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8_{724B5A83-4F7D-4E05-A299-17A04E5BF5A2}" xr6:coauthVersionLast="47" xr6:coauthVersionMax="47" xr10:uidLastSave="{00000000-0000-0000-0000-000000000000}"/>
  <bookViews>
    <workbookView xWindow="-108" yWindow="492" windowWidth="46296" windowHeight="24816" tabRatio="799" activeTab="14"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7" l="1"/>
  <c r="A4" i="7"/>
  <c r="A4" i="2"/>
  <c r="F2" i="14"/>
  <c r="A3" i="13"/>
  <c r="I4" i="17" a="1"/>
  <c r="I4" i="17" l="1"/>
  <c r="C3" i="29"/>
  <c r="B4" i="29"/>
  <c r="D278" i="1"/>
  <c r="F5" i="16" a="1"/>
  <c r="F5" i="16" s="1"/>
  <c r="N5" i="16" s="1"/>
  <c r="AG5" i="16" s="1" a="1"/>
  <c r="AG5" i="16" s="1"/>
  <c r="F6" i="16" a="1"/>
  <c r="F6"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47" i="16" a="1"/>
  <c r="F47" i="16" s="1"/>
  <c r="F48" i="16" a="1"/>
  <c r="F48" i="16" s="1"/>
  <c r="F49" i="16" a="1"/>
  <c r="F49" i="16" s="1"/>
  <c r="F50" i="16" a="1"/>
  <c r="F50" i="16" s="1"/>
  <c r="F51" i="16" a="1"/>
  <c r="F51" i="16" s="1"/>
  <c r="F52" i="16" a="1"/>
  <c r="F52" i="16" s="1"/>
  <c r="F53" i="16" a="1"/>
  <c r="F53" i="16" s="1"/>
  <c r="F54" i="16" a="1"/>
  <c r="F54" i="16" s="1"/>
  <c r="F55" i="16" a="1"/>
  <c r="F55" i="16" s="1"/>
  <c r="F56" i="16" a="1"/>
  <c r="F56" i="16" s="1"/>
  <c r="F57" i="16" a="1"/>
  <c r="F57" i="16" s="1"/>
  <c r="F58" i="16" a="1"/>
  <c r="F58" i="16" s="1"/>
  <c r="F59" i="16" a="1"/>
  <c r="F59" i="16" s="1"/>
  <c r="L59" i="16" s="1"/>
  <c r="F60" i="16" a="1"/>
  <c r="F60" i="16" s="1"/>
  <c r="F61" i="16" a="1"/>
  <c r="F61" i="16" s="1"/>
  <c r="F62" i="16" a="1"/>
  <c r="F62" i="16" s="1"/>
  <c r="F63" i="16" a="1"/>
  <c r="F63" i="16" s="1"/>
  <c r="F64" i="16" a="1"/>
  <c r="F64" i="16" s="1"/>
  <c r="F65" i="16" a="1"/>
  <c r="F65" i="16" s="1"/>
  <c r="F66" i="16" a="1"/>
  <c r="F66" i="16" s="1"/>
  <c r="F67" i="16" a="1"/>
  <c r="F67" i="16" s="1"/>
  <c r="M67" i="16" s="1"/>
  <c r="F68" i="16" a="1"/>
  <c r="F68" i="16" s="1"/>
  <c r="F69" i="16" a="1"/>
  <c r="F69" i="16" s="1"/>
  <c r="F70" i="16" a="1"/>
  <c r="F70" i="16" s="1"/>
  <c r="F71" i="16" a="1"/>
  <c r="F71" i="16" s="1"/>
  <c r="F72" i="16" a="1"/>
  <c r="F72" i="16" s="1"/>
  <c r="F73" i="16" a="1"/>
  <c r="F73" i="16" s="1"/>
  <c r="F74" i="16" a="1"/>
  <c r="F74" i="16" s="1"/>
  <c r="F75" i="16" a="1"/>
  <c r="F75" i="16" s="1"/>
  <c r="F76" i="16" a="1"/>
  <c r="F76" i="16" s="1"/>
  <c r="F77" i="16" a="1"/>
  <c r="F77" i="16" s="1"/>
  <c r="F78" i="16" a="1"/>
  <c r="F78" i="16" s="1"/>
  <c r="F79" i="16" a="1"/>
  <c r="F79" i="16" s="1"/>
  <c r="F80" i="16" a="1"/>
  <c r="F80" i="16" s="1"/>
  <c r="F81" i="16" a="1"/>
  <c r="F81" i="16" s="1"/>
  <c r="F82" i="16" a="1"/>
  <c r="F82" i="16" s="1"/>
  <c r="F83" i="16" a="1"/>
  <c r="F83" i="16" s="1"/>
  <c r="K83" i="16" s="1"/>
  <c r="F84" i="16" a="1"/>
  <c r="F84" i="16" s="1"/>
  <c r="F85" i="16" a="1"/>
  <c r="F85" i="16" s="1"/>
  <c r="F86" i="16" a="1"/>
  <c r="F86" i="16" s="1"/>
  <c r="F87" i="16" a="1"/>
  <c r="F87" i="16" s="1"/>
  <c r="F88" i="16" a="1"/>
  <c r="F88" i="16" s="1"/>
  <c r="F89" i="16" a="1"/>
  <c r="F89" i="16" s="1"/>
  <c r="F90" i="16" a="1"/>
  <c r="F90" i="16" s="1"/>
  <c r="F91" i="16" a="1"/>
  <c r="F91" i="16" s="1"/>
  <c r="K91" i="16" s="1"/>
  <c r="F92" i="16" a="1"/>
  <c r="F92" i="16" s="1"/>
  <c r="F93" i="16" a="1"/>
  <c r="F93" i="16" s="1"/>
  <c r="F94" i="16" a="1"/>
  <c r="F94" i="16" s="1"/>
  <c r="F95" i="16" a="1"/>
  <c r="F95" i="16" s="1"/>
  <c r="F96" i="16" a="1"/>
  <c r="F96" i="16" s="1"/>
  <c r="F97" i="16" a="1"/>
  <c r="F97" i="16" s="1"/>
  <c r="F98" i="16" a="1"/>
  <c r="F98" i="16" s="1"/>
  <c r="F99" i="16" a="1"/>
  <c r="F99" i="16" s="1"/>
  <c r="F100" i="16" a="1"/>
  <c r="F100" i="16" s="1"/>
  <c r="F101" i="16" a="1"/>
  <c r="F101" i="16" s="1"/>
  <c r="F102" i="16" a="1"/>
  <c r="F102" i="16" s="1"/>
  <c r="F103" i="16" a="1"/>
  <c r="F103" i="16" s="1"/>
  <c r="F104" i="16" a="1"/>
  <c r="F104" i="16" s="1"/>
  <c r="F105" i="16" a="1"/>
  <c r="F105" i="16" s="1"/>
  <c r="F106" i="16" a="1"/>
  <c r="F106" i="16" s="1"/>
  <c r="F107" i="16" a="1"/>
  <c r="F107" i="16" s="1"/>
  <c r="F108" i="16" a="1"/>
  <c r="F108" i="16" s="1"/>
  <c r="F109" i="16" a="1"/>
  <c r="F109" i="16" s="1"/>
  <c r="F110" i="16" a="1"/>
  <c r="F110" i="16" s="1"/>
  <c r="F111" i="16" a="1"/>
  <c r="F111" i="16" s="1"/>
  <c r="F112" i="16" a="1"/>
  <c r="F112" i="16" s="1"/>
  <c r="F113" i="16" a="1"/>
  <c r="F113" i="16" s="1"/>
  <c r="F114" i="16" a="1"/>
  <c r="F114" i="16" s="1"/>
  <c r="F115" i="16" a="1"/>
  <c r="F115" i="16" s="1"/>
  <c r="F116" i="16" a="1"/>
  <c r="F116" i="16" s="1"/>
  <c r="F117" i="16" a="1"/>
  <c r="F117" i="16" s="1"/>
  <c r="F118" i="16" a="1"/>
  <c r="F118" i="16" s="1"/>
  <c r="F119" i="16" a="1"/>
  <c r="F119" i="16" s="1"/>
  <c r="F120" i="16" a="1"/>
  <c r="F120" i="16" s="1"/>
  <c r="F121" i="16" a="1"/>
  <c r="F121" i="16" s="1"/>
  <c r="F122" i="16" a="1"/>
  <c r="F122" i="16" s="1"/>
  <c r="F123" i="16" a="1"/>
  <c r="F123" i="16" s="1"/>
  <c r="F124" i="16" a="1"/>
  <c r="F124" i="16" s="1"/>
  <c r="F125" i="16" a="1"/>
  <c r="F125" i="16" s="1"/>
  <c r="N125" i="16" s="1"/>
  <c r="AG125" i="16" s="1" a="1"/>
  <c r="AG125" i="16" s="1"/>
  <c r="F126" i="16" a="1"/>
  <c r="F126" i="16" s="1"/>
  <c r="F127" i="16" a="1"/>
  <c r="F127" i="16" s="1"/>
  <c r="F128" i="16" a="1"/>
  <c r="F128" i="16" s="1"/>
  <c r="N128" i="16" s="1"/>
  <c r="AG128" i="16" s="1" a="1"/>
  <c r="AG128" i="16" s="1"/>
  <c r="F129" i="16" a="1"/>
  <c r="F129" i="16" s="1"/>
  <c r="N129" i="16" s="1"/>
  <c r="AG129" i="16" s="1" a="1"/>
  <c r="AG129" i="16" s="1"/>
  <c r="F130" i="16" a="1"/>
  <c r="F130" i="16" s="1"/>
  <c r="F131" i="16" a="1"/>
  <c r="F131" i="16" s="1"/>
  <c r="F132" i="16" a="1"/>
  <c r="F132" i="16" s="1"/>
  <c r="N132" i="16" s="1"/>
  <c r="AG132" i="16" s="1" a="1"/>
  <c r="AG132" i="16" s="1"/>
  <c r="F133" i="16" a="1"/>
  <c r="F133" i="16" s="1"/>
  <c r="F134" i="16" a="1"/>
  <c r="F134" i="16" s="1"/>
  <c r="F135" i="16" a="1"/>
  <c r="F135" i="16" s="1"/>
  <c r="F136" i="16" a="1"/>
  <c r="F136" i="16" s="1"/>
  <c r="N136" i="16" s="1"/>
  <c r="AG136" i="16" s="1" a="1"/>
  <c r="AG136" i="16" s="1"/>
  <c r="F137" i="16" a="1"/>
  <c r="F137" i="16" s="1"/>
  <c r="F138" i="16" a="1"/>
  <c r="F138" i="16" s="1"/>
  <c r="F139" i="16" a="1"/>
  <c r="F139" i="16" s="1"/>
  <c r="F140" i="16" a="1"/>
  <c r="F140" i="16" s="1"/>
  <c r="F141" i="16" a="1"/>
  <c r="F141" i="16" s="1"/>
  <c r="N141" i="16" s="1"/>
  <c r="AG141" i="16" s="1" a="1"/>
  <c r="AG141" i="16" s="1"/>
  <c r="F142" i="16" a="1"/>
  <c r="F142" i="16" s="1"/>
  <c r="F143" i="16" a="1"/>
  <c r="F143" i="16" s="1"/>
  <c r="F144" i="16" a="1"/>
  <c r="F144" i="16" s="1"/>
  <c r="N144" i="16" s="1"/>
  <c r="AG144" i="16" s="1" a="1"/>
  <c r="AG144" i="16" s="1"/>
  <c r="F145" i="16" a="1"/>
  <c r="F145" i="16" s="1"/>
  <c r="F146" i="16" a="1"/>
  <c r="F146" i="16" s="1"/>
  <c r="F147" i="16" a="1"/>
  <c r="F147" i="16" s="1"/>
  <c r="F148" i="16" a="1"/>
  <c r="F148" i="16" s="1"/>
  <c r="N148" i="16" s="1"/>
  <c r="AG148" i="16" s="1" a="1"/>
  <c r="AG148" i="16" s="1"/>
  <c r="F149" i="16" a="1"/>
  <c r="F149" i="16" s="1"/>
  <c r="F150" i="16" a="1"/>
  <c r="F150" i="16" s="1"/>
  <c r="F151" i="16" a="1"/>
  <c r="F151" i="16" s="1"/>
  <c r="F152" i="16" a="1"/>
  <c r="F152" i="16" s="1"/>
  <c r="F153" i="16" a="1"/>
  <c r="F153" i="16" s="1"/>
  <c r="F154" i="16" a="1"/>
  <c r="F154" i="16" s="1"/>
  <c r="F155" i="16" a="1"/>
  <c r="F155" i="16" s="1"/>
  <c r="F156" i="16" a="1"/>
  <c r="F156" i="16" s="1"/>
  <c r="F157" i="16" a="1"/>
  <c r="F157" i="16" s="1"/>
  <c r="N157" i="16" s="1"/>
  <c r="AG157" i="16" s="1" a="1"/>
  <c r="AG157" i="16" s="1"/>
  <c r="F158" i="16" a="1"/>
  <c r="F158" i="16" s="1"/>
  <c r="F159" i="16" a="1"/>
  <c r="F159" i="16" s="1"/>
  <c r="F160" i="16" a="1"/>
  <c r="F160" i="16" s="1"/>
  <c r="N160" i="16" s="1"/>
  <c r="AG160" i="16" s="1" a="1"/>
  <c r="AG160" i="16" s="1"/>
  <c r="F161" i="16" a="1"/>
  <c r="F161" i="16" s="1"/>
  <c r="N161" i="16" s="1"/>
  <c r="AG161" i="16" s="1" a="1"/>
  <c r="AG161" i="16" s="1"/>
  <c r="F162" i="16" a="1"/>
  <c r="F162" i="16" s="1"/>
  <c r="F163" i="16" a="1"/>
  <c r="F163" i="16" s="1"/>
  <c r="F164" i="16" a="1"/>
  <c r="F164" i="16" s="1"/>
  <c r="N164" i="16" s="1"/>
  <c r="AG164" i="16" s="1" a="1"/>
  <c r="AG164" i="16" s="1"/>
  <c r="F165" i="16" a="1"/>
  <c r="F165" i="16" s="1"/>
  <c r="F166" i="16" a="1"/>
  <c r="F166" i="16" s="1"/>
  <c r="F167" i="16" a="1"/>
  <c r="F167" i="16" s="1"/>
  <c r="F168" i="16" a="1"/>
  <c r="F168" i="16" s="1"/>
  <c r="F169" i="16" a="1"/>
  <c r="F169" i="16" s="1"/>
  <c r="F170" i="16" a="1"/>
  <c r="F170" i="16" s="1"/>
  <c r="F171" i="16" a="1"/>
  <c r="F171" i="16" s="1"/>
  <c r="F172" i="16" a="1"/>
  <c r="F172" i="16" s="1"/>
  <c r="F173" i="16" a="1"/>
  <c r="F173" i="16" s="1"/>
  <c r="N173" i="16" s="1"/>
  <c r="AG173" i="16" s="1" a="1"/>
  <c r="AG173" i="16" s="1"/>
  <c r="F174" i="16" a="1"/>
  <c r="F174" i="16" s="1"/>
  <c r="F175" i="16" a="1"/>
  <c r="F175" i="16" s="1"/>
  <c r="F176" i="16" a="1"/>
  <c r="F176" i="16" s="1"/>
  <c r="N176" i="16" s="1"/>
  <c r="AG176" i="16" s="1" a="1"/>
  <c r="AG176" i="16" s="1"/>
  <c r="F177" i="16" a="1"/>
  <c r="F177" i="16" s="1"/>
  <c r="F178" i="16" a="1"/>
  <c r="F178" i="16" s="1"/>
  <c r="F179" i="16" a="1"/>
  <c r="F179" i="16" s="1"/>
  <c r="F180" i="16" a="1"/>
  <c r="F180" i="16" s="1"/>
  <c r="N180" i="16" s="1"/>
  <c r="AG180" i="16" s="1" a="1"/>
  <c r="AG180" i="16" s="1"/>
  <c r="F181" i="16" a="1"/>
  <c r="F181" i="16" s="1"/>
  <c r="F182" i="16" a="1"/>
  <c r="F182" i="16" s="1"/>
  <c r="F183" i="16" a="1"/>
  <c r="F183" i="16" s="1"/>
  <c r="F184" i="16" a="1"/>
  <c r="F184" i="16" s="1"/>
  <c r="N184" i="16" s="1"/>
  <c r="AG184" i="16" s="1" a="1"/>
  <c r="AG184" i="16" s="1"/>
  <c r="F185" i="16" a="1"/>
  <c r="F185" i="16" s="1"/>
  <c r="F186" i="16" a="1"/>
  <c r="F186" i="16" s="1"/>
  <c r="F187" i="16" a="1"/>
  <c r="F187" i="16" s="1"/>
  <c r="F188" i="16" a="1"/>
  <c r="F188" i="16" s="1"/>
  <c r="F189" i="16" a="1"/>
  <c r="F189" i="16" s="1"/>
  <c r="N189" i="16" s="1"/>
  <c r="AG189" i="16" s="1" a="1"/>
  <c r="AG189" i="16" s="1"/>
  <c r="F190" i="16" a="1"/>
  <c r="F190" i="16" s="1"/>
  <c r="F191" i="16" a="1"/>
  <c r="F191" i="16" s="1"/>
  <c r="F192" i="16" a="1"/>
  <c r="F192" i="16" s="1"/>
  <c r="N192" i="16" s="1"/>
  <c r="AG192" i="16" s="1" a="1"/>
  <c r="AG192" i="16" s="1"/>
  <c r="F193" i="16" a="1"/>
  <c r="F193" i="16" s="1"/>
  <c r="F194" i="16" a="1"/>
  <c r="F194" i="16" s="1"/>
  <c r="F195" i="16" a="1"/>
  <c r="F195" i="16" s="1"/>
  <c r="F196" i="16" a="1"/>
  <c r="F196" i="16" s="1"/>
  <c r="N196" i="16" s="1"/>
  <c r="AG196" i="16" s="1" a="1"/>
  <c r="AG196" i="16" s="1"/>
  <c r="F197" i="16" a="1"/>
  <c r="F197" i="16" s="1"/>
  <c r="N197" i="16" s="1"/>
  <c r="AG197" i="16" s="1" a="1"/>
  <c r="AG197" i="16" s="1"/>
  <c r="F198" i="16" a="1"/>
  <c r="F198" i="16" s="1"/>
  <c r="F199" i="16" a="1"/>
  <c r="F199" i="16" s="1"/>
  <c r="F200" i="16" a="1"/>
  <c r="F200" i="16" s="1"/>
  <c r="F201" i="16" a="1"/>
  <c r="F201" i="16" s="1"/>
  <c r="F202" i="16" a="1"/>
  <c r="F202" i="16" s="1"/>
  <c r="F203" i="16" a="1"/>
  <c r="F203" i="16" s="1"/>
  <c r="F204" i="16" a="1"/>
  <c r="F204" i="16" s="1"/>
  <c r="F205" i="16" a="1"/>
  <c r="F205" i="16" s="1"/>
  <c r="N205" i="16" s="1"/>
  <c r="AG205" i="16" s="1" a="1"/>
  <c r="AG205" i="16" s="1"/>
  <c r="F206" i="16" a="1"/>
  <c r="F206" i="16" s="1"/>
  <c r="F207" i="16" a="1"/>
  <c r="F207" i="16" s="1"/>
  <c r="F208" i="16" a="1"/>
  <c r="F208" i="16" s="1"/>
  <c r="N208" i="16" s="1"/>
  <c r="AG208" i="16" s="1" a="1"/>
  <c r="AG208" i="16" s="1"/>
  <c r="F209" i="16" a="1"/>
  <c r="F209" i="16" s="1"/>
  <c r="N209" i="16" s="1"/>
  <c r="AG209" i="16" s="1" a="1"/>
  <c r="AG209" i="16" s="1"/>
  <c r="F210" i="16" a="1"/>
  <c r="F210" i="16" s="1"/>
  <c r="F211" i="16" a="1"/>
  <c r="F211" i="16" s="1"/>
  <c r="F212" i="16" a="1"/>
  <c r="F212" i="16" s="1"/>
  <c r="N212" i="16" s="1"/>
  <c r="AG212" i="16" s="1" a="1"/>
  <c r="AG212" i="16" s="1"/>
  <c r="F213" i="16" a="1"/>
  <c r="F213" i="16" s="1"/>
  <c r="F214" i="16" a="1"/>
  <c r="F214" i="16" s="1"/>
  <c r="F215" i="16" a="1"/>
  <c r="F215" i="16" s="1"/>
  <c r="F216" i="16" a="1"/>
  <c r="F216" i="16" s="1"/>
  <c r="N216" i="16" s="1"/>
  <c r="AG216" i="16" s="1" a="1"/>
  <c r="AG216" i="16" s="1"/>
  <c r="F217" i="16" a="1"/>
  <c r="F217" i="16" s="1"/>
  <c r="N217" i="16" s="1"/>
  <c r="AG217" i="16" s="1" a="1"/>
  <c r="AG217" i="16" s="1"/>
  <c r="F218" i="16" a="1"/>
  <c r="F218" i="16" s="1"/>
  <c r="M218" i="16" s="1"/>
  <c r="AF218" i="16" s="1" a="1"/>
  <c r="AF218" i="16" s="1"/>
  <c r="F219" i="16" a="1"/>
  <c r="F219" i="16" s="1"/>
  <c r="F220" i="16" a="1"/>
  <c r="F220" i="16" s="1"/>
  <c r="F221" i="16" a="1"/>
  <c r="F221" i="16" s="1"/>
  <c r="N221" i="16" s="1"/>
  <c r="AG221" i="16" s="1" a="1"/>
  <c r="AG221" i="16" s="1"/>
  <c r="F222" i="16" a="1"/>
  <c r="F222" i="16" s="1"/>
  <c r="F223" i="16" a="1"/>
  <c r="F223" i="16" s="1"/>
  <c r="M223" i="16" s="1"/>
  <c r="AF223" i="16" s="1" a="1"/>
  <c r="AF223" i="16" s="1"/>
  <c r="F224" i="16" a="1"/>
  <c r="F224" i="16" s="1"/>
  <c r="F225" i="16" a="1"/>
  <c r="F225" i="16" s="1"/>
  <c r="F226" i="16" a="1"/>
  <c r="F226" i="16" s="1"/>
  <c r="N226" i="16" s="1"/>
  <c r="AG226" i="16" s="1" a="1"/>
  <c r="AG226" i="16" s="1"/>
  <c r="F227" i="16" a="1"/>
  <c r="F227" i="16" s="1"/>
  <c r="M227" i="16" s="1"/>
  <c r="F228" i="16" a="1"/>
  <c r="F228" i="16" s="1"/>
  <c r="F229" i="16" a="1"/>
  <c r="F229" i="16" s="1"/>
  <c r="F230" i="16" a="1"/>
  <c r="F230" i="16" s="1"/>
  <c r="N230" i="16" s="1"/>
  <c r="AG230" i="16" s="1" a="1"/>
  <c r="AG230" i="16" s="1"/>
  <c r="F231" i="16" a="1"/>
  <c r="F231" i="16" s="1"/>
  <c r="F232" i="16" a="1"/>
  <c r="F232" i="16" s="1"/>
  <c r="F233" i="16" a="1"/>
  <c r="F233" i="16" s="1"/>
  <c r="F234" i="16" a="1"/>
  <c r="F234" i="16" s="1"/>
  <c r="F235" i="16" a="1"/>
  <c r="F235" i="16" s="1"/>
  <c r="F236" i="16" a="1"/>
  <c r="F236" i="16" s="1"/>
  <c r="F237" i="16" a="1"/>
  <c r="F237" i="16" s="1"/>
  <c r="F238" i="16" a="1"/>
  <c r="F238" i="16" s="1"/>
  <c r="F239" i="16" a="1"/>
  <c r="F239" i="16" s="1"/>
  <c r="F240" i="16" a="1"/>
  <c r="F240" i="16" s="1"/>
  <c r="F241" i="16" a="1"/>
  <c r="F241" i="16" s="1"/>
  <c r="N241" i="16" s="1"/>
  <c r="AG241" i="16" s="1" a="1"/>
  <c r="AG241" i="16" s="1"/>
  <c r="F242" i="16" a="1"/>
  <c r="F242" i="16" s="1"/>
  <c r="M242" i="16" s="1"/>
  <c r="F243" i="16" a="1"/>
  <c r="F243" i="16" s="1"/>
  <c r="F244" i="16" a="1"/>
  <c r="F244" i="16" s="1"/>
  <c r="F245" i="16" a="1"/>
  <c r="F245" i="16" s="1"/>
  <c r="F246" i="16" a="1"/>
  <c r="F246" i="16" s="1"/>
  <c r="F247" i="16" a="1"/>
  <c r="F247" i="16" s="1"/>
  <c r="F248" i="16" a="1"/>
  <c r="F248" i="16" s="1"/>
  <c r="F249" i="16" a="1"/>
  <c r="F249" i="16" s="1"/>
  <c r="F250" i="16" a="1"/>
  <c r="F250" i="16" s="1"/>
  <c r="F251" i="16" a="1"/>
  <c r="F251" i="16" s="1"/>
  <c r="F252" i="16" a="1"/>
  <c r="F252" i="16" s="1"/>
  <c r="F253" i="16" a="1"/>
  <c r="F253" i="16" s="1"/>
  <c r="F254" i="16" a="1"/>
  <c r="F254" i="16" s="1"/>
  <c r="F255" i="16" a="1"/>
  <c r="F255" i="16" s="1"/>
  <c r="F256" i="16" a="1"/>
  <c r="F256" i="16" s="1"/>
  <c r="F257" i="16" a="1"/>
  <c r="F257" i="16" s="1"/>
  <c r="F258" i="16" a="1"/>
  <c r="F258" i="16" s="1"/>
  <c r="M258" i="16" s="1"/>
  <c r="F259" i="16" a="1"/>
  <c r="F259" i="16" s="1"/>
  <c r="F260" i="16" a="1"/>
  <c r="F260" i="16" s="1"/>
  <c r="F261" i="16" a="1"/>
  <c r="F261" i="16" s="1"/>
  <c r="F262" i="16" a="1"/>
  <c r="F262" i="16" s="1"/>
  <c r="N262" i="16" s="1"/>
  <c r="AG262" i="16" s="1" a="1"/>
  <c r="AG262" i="16" s="1"/>
  <c r="F263" i="16" a="1"/>
  <c r="F263" i="16" s="1"/>
  <c r="F264" i="16" a="1"/>
  <c r="F264" i="16" s="1"/>
  <c r="F265" i="16" a="1"/>
  <c r="F265" i="16" s="1"/>
  <c r="F266" i="16" a="1"/>
  <c r="F266" i="16" s="1"/>
  <c r="F267" i="16" a="1"/>
  <c r="F267" i="16" s="1"/>
  <c r="F268" i="16" a="1"/>
  <c r="F268" i="16" s="1"/>
  <c r="F269" i="16" a="1"/>
  <c r="F269" i="16" s="1"/>
  <c r="F270" i="16" a="1"/>
  <c r="F270" i="16" s="1"/>
  <c r="F271" i="16" a="1"/>
  <c r="F271" i="16" s="1"/>
  <c r="F272" i="16" a="1"/>
  <c r="F272" i="16" s="1"/>
  <c r="F273" i="16" a="1"/>
  <c r="F273" i="16" s="1"/>
  <c r="F274" i="16" a="1"/>
  <c r="F274" i="16" s="1"/>
  <c r="F275" i="16" a="1"/>
  <c r="F275" i="16" s="1"/>
  <c r="F276" i="16" a="1"/>
  <c r="F276" i="16" s="1"/>
  <c r="F277" i="16" a="1"/>
  <c r="F277" i="16" s="1"/>
  <c r="F278" i="16" a="1"/>
  <c r="F278" i="16" s="1"/>
  <c r="N278" i="16" s="1"/>
  <c r="AG278" i="16" s="1" a="1"/>
  <c r="AG278" i="16" s="1"/>
  <c r="F279" i="16" a="1"/>
  <c r="F279" i="16" s="1"/>
  <c r="F280" i="16" a="1"/>
  <c r="F280" i="16" s="1"/>
  <c r="N280" i="16" s="1"/>
  <c r="AG280" i="16" s="1" a="1"/>
  <c r="AG280" i="16" s="1"/>
  <c r="F281" i="16" a="1"/>
  <c r="F281" i="16" s="1"/>
  <c r="F282" i="16" a="1"/>
  <c r="F282" i="16" s="1"/>
  <c r="F283" i="16" a="1"/>
  <c r="F283" i="16" s="1"/>
  <c r="F284" i="16" a="1"/>
  <c r="F284" i="16" s="1"/>
  <c r="F285" i="16" a="1"/>
  <c r="F285" i="16" s="1"/>
  <c r="F286" i="16" a="1"/>
  <c r="F286" i="16" s="1"/>
  <c r="F287" i="16" a="1"/>
  <c r="F287" i="16" s="1"/>
  <c r="F288" i="16" a="1"/>
  <c r="F288" i="16" s="1"/>
  <c r="F289" i="16" a="1"/>
  <c r="F289" i="16" s="1"/>
  <c r="N289" i="16" s="1"/>
  <c r="AG289" i="16" s="1" a="1"/>
  <c r="AG289" i="16" s="1"/>
  <c r="F290" i="16" a="1"/>
  <c r="F290" i="16" s="1"/>
  <c r="M290" i="16" s="1"/>
  <c r="F291" i="16" a="1"/>
  <c r="F291" i="16" s="1"/>
  <c r="F292" i="16" a="1"/>
  <c r="F292" i="16" s="1"/>
  <c r="F293" i="16" a="1"/>
  <c r="F293" i="16" s="1"/>
  <c r="F294" i="16" a="1"/>
  <c r="F294" i="16" s="1"/>
  <c r="N294" i="16" s="1"/>
  <c r="AG294" i="16" s="1" a="1"/>
  <c r="AG294" i="16" s="1"/>
  <c r="F295" i="16" a="1"/>
  <c r="F295" i="16" s="1"/>
  <c r="F296" i="16" a="1"/>
  <c r="F296" i="16" s="1"/>
  <c r="F297" i="16" a="1"/>
  <c r="F297" i="16" s="1"/>
  <c r="F298" i="16" a="1"/>
  <c r="F298" i="16" s="1"/>
  <c r="F299" i="16" a="1"/>
  <c r="F299" i="16" s="1"/>
  <c r="F300" i="16" a="1"/>
  <c r="F300" i="16" s="1"/>
  <c r="F301" i="16" a="1"/>
  <c r="F301" i="16" s="1"/>
  <c r="F302" i="16" a="1"/>
  <c r="F302" i="16" s="1"/>
  <c r="F303" i="16" a="1"/>
  <c r="F303" i="16" s="1"/>
  <c r="F304" i="16" a="1"/>
  <c r="F304" i="16" s="1"/>
  <c r="F305" i="16" a="1"/>
  <c r="F305" i="16" s="1"/>
  <c r="F306" i="16" a="1"/>
  <c r="F306" i="16" s="1"/>
  <c r="F307" i="16" a="1"/>
  <c r="F307" i="16" s="1"/>
  <c r="F308" i="16" a="1"/>
  <c r="F308" i="16" s="1"/>
  <c r="F309" i="16" a="1"/>
  <c r="F309" i="16" s="1"/>
  <c r="F310" i="16" a="1"/>
  <c r="F310" i="16" s="1"/>
  <c r="N310" i="16" s="1"/>
  <c r="AG310" i="16" s="1" a="1"/>
  <c r="AG310" i="16" s="1"/>
  <c r="F311" i="16" a="1"/>
  <c r="F311" i="16" s="1"/>
  <c r="F312" i="16" a="1"/>
  <c r="F312" i="16" s="1"/>
  <c r="F313" i="16" a="1"/>
  <c r="F313" i="16" s="1"/>
  <c r="F314" i="16" a="1"/>
  <c r="F314" i="16" s="1"/>
  <c r="F315" i="16" a="1"/>
  <c r="F315" i="16" s="1"/>
  <c r="F316" i="16" a="1"/>
  <c r="F316" i="16" s="1"/>
  <c r="F317" i="16" a="1"/>
  <c r="F317" i="16" s="1"/>
  <c r="F318" i="16" a="1"/>
  <c r="F318" i="16" s="1"/>
  <c r="F319" i="16" a="1"/>
  <c r="F319" i="16" s="1"/>
  <c r="F320" i="16" a="1"/>
  <c r="F320" i="16" s="1"/>
  <c r="N320" i="16" s="1"/>
  <c r="AG320" i="16" s="1" a="1"/>
  <c r="AG320" i="16" s="1"/>
  <c r="F321" i="16" a="1"/>
  <c r="F321" i="16" s="1"/>
  <c r="F322" i="16" a="1"/>
  <c r="F322" i="16" s="1"/>
  <c r="F323" i="16" a="1"/>
  <c r="F323" i="16" s="1"/>
  <c r="F324" i="16" a="1"/>
  <c r="F324" i="16" s="1"/>
  <c r="F325" i="16" a="1"/>
  <c r="F325" i="16" s="1"/>
  <c r="F326" i="16" a="1"/>
  <c r="F326" i="16" s="1"/>
  <c r="F327" i="16" a="1"/>
  <c r="F327" i="16" s="1"/>
  <c r="F328" i="16" a="1"/>
  <c r="F328" i="16" s="1"/>
  <c r="F329" i="16" a="1"/>
  <c r="F329" i="16" s="1"/>
  <c r="F330" i="16" a="1"/>
  <c r="F330" i="16" s="1"/>
  <c r="F331" i="16" a="1"/>
  <c r="F331" i="16" s="1"/>
  <c r="F332" i="16" a="1"/>
  <c r="F332" i="16" s="1"/>
  <c r="F333" i="16" a="1"/>
  <c r="F333" i="16" s="1"/>
  <c r="F334" i="16" a="1"/>
  <c r="F334" i="16" s="1"/>
  <c r="F335" i="16" a="1"/>
  <c r="F335" i="16" s="1"/>
  <c r="F336" i="16" a="1"/>
  <c r="F336" i="16" s="1"/>
  <c r="N336" i="16" s="1"/>
  <c r="AG336" i="16" s="1" a="1"/>
  <c r="AG336" i="16" s="1"/>
  <c r="F337" i="16" a="1"/>
  <c r="F337" i="16" s="1"/>
  <c r="F338" i="16" a="1"/>
  <c r="F338" i="16" s="1"/>
  <c r="F339" i="16" a="1"/>
  <c r="F339" i="16" s="1"/>
  <c r="F340" i="16" a="1"/>
  <c r="F340" i="16" s="1"/>
  <c r="F341" i="16" a="1"/>
  <c r="F341" i="16" s="1"/>
  <c r="F342" i="16" a="1"/>
  <c r="F342" i="16" s="1"/>
  <c r="F343" i="16" a="1"/>
  <c r="F343" i="16" s="1"/>
  <c r="F344" i="16" a="1"/>
  <c r="F344" i="16" s="1"/>
  <c r="F345" i="16" a="1"/>
  <c r="F345" i="16" s="1"/>
  <c r="F346" i="16" a="1"/>
  <c r="F346" i="16" s="1"/>
  <c r="F347" i="16" a="1"/>
  <c r="F347" i="16" s="1"/>
  <c r="F348" i="16" a="1"/>
  <c r="F348" i="16" s="1"/>
  <c r="F349" i="16" a="1"/>
  <c r="F349" i="16" s="1"/>
  <c r="F350" i="16" a="1"/>
  <c r="F350" i="16" s="1"/>
  <c r="F351" i="16" a="1"/>
  <c r="F351" i="16" s="1"/>
  <c r="F352" i="16" a="1"/>
  <c r="F352" i="16" s="1"/>
  <c r="N352" i="16" s="1"/>
  <c r="AG352" i="16" s="1" a="1"/>
  <c r="AG352" i="16" s="1"/>
  <c r="F353" i="16" a="1"/>
  <c r="F353" i="16" s="1"/>
  <c r="F354" i="16" a="1"/>
  <c r="F354" i="16" s="1"/>
  <c r="F355" i="16" a="1"/>
  <c r="F355" i="16" s="1"/>
  <c r="F356" i="16" a="1"/>
  <c r="F356" i="16" s="1"/>
  <c r="F357" i="16" a="1"/>
  <c r="F357" i="16" s="1"/>
  <c r="N357" i="16" s="1"/>
  <c r="AG357" i="16" s="1" a="1"/>
  <c r="AG357" i="16" s="1"/>
  <c r="F358" i="16" a="1"/>
  <c r="F358" i="16" s="1"/>
  <c r="F359" i="16" a="1"/>
  <c r="F359" i="16" s="1"/>
  <c r="F360" i="16" a="1"/>
  <c r="F360" i="16" s="1"/>
  <c r="M360" i="16" s="1"/>
  <c r="F361" i="16" a="1"/>
  <c r="F361" i="16" s="1"/>
  <c r="F362" i="16" a="1"/>
  <c r="F362" i="16" s="1"/>
  <c r="F363" i="16" a="1"/>
  <c r="F363" i="16" s="1"/>
  <c r="F364" i="16" a="1"/>
  <c r="F364" i="16" s="1"/>
  <c r="F365" i="16" a="1"/>
  <c r="F365" i="16" s="1"/>
  <c r="F366" i="16" a="1"/>
  <c r="F366" i="16" s="1"/>
  <c r="F367" i="16" a="1"/>
  <c r="F367" i="16" s="1"/>
  <c r="F368" i="16" a="1"/>
  <c r="F368" i="16" s="1"/>
  <c r="N368" i="16" s="1"/>
  <c r="AG368" i="16" s="1" a="1"/>
  <c r="AG368" i="16" s="1"/>
  <c r="F369" i="16" a="1"/>
  <c r="F369" i="16" s="1"/>
  <c r="F370" i="16" a="1"/>
  <c r="F370" i="16" s="1"/>
  <c r="M370" i="16" s="1"/>
  <c r="AH370" i="16" s="1"/>
  <c r="F371" i="16" a="1"/>
  <c r="F371" i="16" s="1"/>
  <c r="F372" i="16" a="1"/>
  <c r="F372" i="16" s="1"/>
  <c r="N372" i="16" s="1"/>
  <c r="AG372" i="16" s="1" a="1"/>
  <c r="AG372" i="16" s="1"/>
  <c r="F373" i="16" a="1"/>
  <c r="F373" i="16" s="1"/>
  <c r="N373" i="16" s="1"/>
  <c r="AG373" i="16" s="1" a="1"/>
  <c r="AG373" i="16" s="1"/>
  <c r="F374" i="16" a="1"/>
  <c r="F374" i="16" s="1"/>
  <c r="F375" i="16" a="1"/>
  <c r="F375" i="16" s="1"/>
  <c r="F376" i="16" a="1"/>
  <c r="F376" i="16" s="1"/>
  <c r="N376" i="16" s="1"/>
  <c r="AG376" i="16" s="1" a="1"/>
  <c r="AG376" i="16" s="1"/>
  <c r="F377" i="16" a="1"/>
  <c r="F377" i="16" s="1"/>
  <c r="F378" i="16" a="1"/>
  <c r="F378" i="16" s="1"/>
  <c r="F379" i="16" a="1"/>
  <c r="F379" i="16" s="1"/>
  <c r="F380" i="16" a="1"/>
  <c r="F380" i="16" s="1"/>
  <c r="F381" i="16" a="1"/>
  <c r="F381" i="16" s="1"/>
  <c r="F382" i="16" a="1"/>
  <c r="F382" i="16" s="1"/>
  <c r="F383" i="16" a="1"/>
  <c r="F383" i="16" s="1"/>
  <c r="F384" i="16" a="1"/>
  <c r="F384" i="16" s="1"/>
  <c r="N384" i="16" s="1"/>
  <c r="AG384" i="16" s="1" a="1"/>
  <c r="AG384" i="16" s="1"/>
  <c r="F385" i="16" a="1"/>
  <c r="F385" i="16" s="1"/>
  <c r="F386" i="16" a="1"/>
  <c r="F386" i="16" s="1"/>
  <c r="F387" i="16" a="1"/>
  <c r="F387" i="16" s="1"/>
  <c r="F388" i="16" a="1"/>
  <c r="F388" i="16" s="1"/>
  <c r="F389" i="16" a="1"/>
  <c r="F389" i="16" s="1"/>
  <c r="F390" i="16" a="1"/>
  <c r="F390" i="16" s="1"/>
  <c r="N390" i="16" s="1"/>
  <c r="AG390" i="16" s="1" a="1"/>
  <c r="AG390" i="16" s="1"/>
  <c r="F391" i="16" a="1"/>
  <c r="F391" i="16" s="1"/>
  <c r="M391" i="16" s="1"/>
  <c r="F392" i="16" a="1"/>
  <c r="F392" i="16" s="1"/>
  <c r="F393" i="16" a="1"/>
  <c r="F393" i="16" s="1"/>
  <c r="F394" i="16" a="1"/>
  <c r="F394" i="16" s="1"/>
  <c r="F395" i="16" a="1"/>
  <c r="F395" i="16" s="1"/>
  <c r="F396" i="16" a="1"/>
  <c r="F396" i="16" s="1"/>
  <c r="F397" i="16" a="1"/>
  <c r="F397" i="16" s="1"/>
  <c r="F398" i="16" a="1"/>
  <c r="F398" i="16" s="1"/>
  <c r="F399" i="16" a="1"/>
  <c r="F399" i="16" s="1"/>
  <c r="F400" i="16" a="1"/>
  <c r="F400" i="16" s="1"/>
  <c r="N400" i="16" s="1"/>
  <c r="AG400" i="16" s="1" a="1"/>
  <c r="AG400" i="16" s="1"/>
  <c r="F401" i="16" a="1"/>
  <c r="F401" i="16" s="1"/>
  <c r="F402" i="16" a="1"/>
  <c r="F402" i="16" s="1"/>
  <c r="F403" i="16" a="1"/>
  <c r="F403" i="16" s="1"/>
  <c r="F404" i="16" a="1"/>
  <c r="F404" i="16" s="1"/>
  <c r="F405" i="16" a="1"/>
  <c r="F405" i="16" s="1"/>
  <c r="F406" i="16" a="1"/>
  <c r="F406" i="16" s="1"/>
  <c r="N406" i="16" s="1"/>
  <c r="AG406" i="16" s="1" a="1"/>
  <c r="AG406" i="16" s="1"/>
  <c r="F407" i="16" a="1"/>
  <c r="F407" i="16" s="1"/>
  <c r="M407" i="16" s="1"/>
  <c r="F408" i="16" a="1"/>
  <c r="F408" i="16" s="1"/>
  <c r="N408" i="16" s="1"/>
  <c r="AG408" i="16" s="1" a="1"/>
  <c r="AG408" i="16" s="1"/>
  <c r="F409" i="16" a="1"/>
  <c r="F409" i="16" s="1"/>
  <c r="M409" i="16" s="1"/>
  <c r="F410" i="16" a="1"/>
  <c r="F410" i="16" s="1"/>
  <c r="F411" i="16" a="1"/>
  <c r="F411" i="16" s="1"/>
  <c r="M411" i="16" s="1"/>
  <c r="F412" i="16" a="1"/>
  <c r="F412" i="16" s="1"/>
  <c r="F413" i="16" a="1"/>
  <c r="F413" i="16" s="1"/>
  <c r="F414" i="16" a="1"/>
  <c r="F414" i="16" s="1"/>
  <c r="F415" i="16" a="1"/>
  <c r="F415" i="16" s="1"/>
  <c r="F416" i="16" a="1"/>
  <c r="F416" i="16" s="1"/>
  <c r="N416" i="16" s="1"/>
  <c r="AG416" i="16" s="1" a="1"/>
  <c r="AG416" i="16" s="1"/>
  <c r="F417" i="16" a="1"/>
  <c r="F417" i="16" s="1"/>
  <c r="F418" i="16" a="1"/>
  <c r="F418" i="16" s="1"/>
  <c r="F419" i="16" a="1"/>
  <c r="F419" i="16" s="1"/>
  <c r="F420" i="16" a="1"/>
  <c r="F420" i="16" s="1"/>
  <c r="F421" i="16" a="1"/>
  <c r="F421" i="16" s="1"/>
  <c r="F422" i="16" a="1"/>
  <c r="F422" i="16" s="1"/>
  <c r="N422" i="16" s="1"/>
  <c r="AG422" i="16" s="1" a="1"/>
  <c r="AG422" i="16" s="1"/>
  <c r="F423" i="16" a="1"/>
  <c r="F423" i="16" s="1"/>
  <c r="M423" i="16" s="1"/>
  <c r="F424" i="16" a="1"/>
  <c r="F424" i="16" s="1"/>
  <c r="N424" i="16" s="1"/>
  <c r="AG424" i="16" s="1" a="1"/>
  <c r="AG424" i="16" s="1"/>
  <c r="F425" i="16" a="1"/>
  <c r="F425" i="16" s="1"/>
  <c r="M425" i="16" s="1"/>
  <c r="F426" i="16" a="1"/>
  <c r="F426" i="16" s="1"/>
  <c r="F427" i="16" a="1"/>
  <c r="F427" i="16" s="1"/>
  <c r="N427" i="16" s="1"/>
  <c r="AG427" i="16" s="1" a="1"/>
  <c r="AG427" i="16" s="1"/>
  <c r="F428" i="16" a="1"/>
  <c r="F428" i="16" s="1"/>
  <c r="F429" i="16" a="1"/>
  <c r="F429" i="16" s="1"/>
  <c r="F430" i="16" a="1"/>
  <c r="F430" i="16" s="1"/>
  <c r="F431" i="16" a="1"/>
  <c r="F431" i="16" s="1"/>
  <c r="F432" i="16" a="1"/>
  <c r="F432" i="16" s="1"/>
  <c r="N432" i="16" s="1"/>
  <c r="AG432" i="16" s="1" a="1"/>
  <c r="AG432" i="16" s="1"/>
  <c r="F433" i="16" a="1"/>
  <c r="F433" i="16" s="1"/>
  <c r="F434" i="16" a="1"/>
  <c r="F434" i="16" s="1"/>
  <c r="F435" i="16" a="1"/>
  <c r="F435" i="16" s="1"/>
  <c r="F436" i="16" a="1"/>
  <c r="F436" i="16" s="1"/>
  <c r="F437" i="16" a="1"/>
  <c r="F437" i="16" s="1"/>
  <c r="F438" i="16" a="1"/>
  <c r="F438" i="16" s="1"/>
  <c r="N438" i="16" s="1"/>
  <c r="AG438" i="16" s="1" a="1"/>
  <c r="AG438" i="16" s="1"/>
  <c r="F439" i="16" a="1"/>
  <c r="F439" i="16" s="1"/>
  <c r="M439" i="16" s="1"/>
  <c r="F440" i="16" a="1"/>
  <c r="F440" i="16" s="1"/>
  <c r="N440" i="16" s="1"/>
  <c r="AG440" i="16" s="1" a="1"/>
  <c r="AG440" i="16" s="1"/>
  <c r="F441" i="16" a="1"/>
  <c r="F441" i="16" s="1"/>
  <c r="M441" i="16" s="1"/>
  <c r="F442" i="16" a="1"/>
  <c r="F442" i="16" s="1"/>
  <c r="F443" i="16" a="1"/>
  <c r="F443" i="16" s="1"/>
  <c r="N443" i="16" s="1"/>
  <c r="AG443" i="16" s="1" a="1"/>
  <c r="AG443" i="16" s="1"/>
  <c r="F444" i="16" a="1"/>
  <c r="F444" i="16" s="1"/>
  <c r="F445" i="16" a="1"/>
  <c r="F445" i="16" s="1"/>
  <c r="F446" i="16" a="1"/>
  <c r="F446" i="16" s="1"/>
  <c r="F447" i="16" a="1"/>
  <c r="F447" i="16" s="1"/>
  <c r="F448" i="16" a="1"/>
  <c r="F448" i="16" s="1"/>
  <c r="N448" i="16" s="1"/>
  <c r="AG448" i="16" s="1" a="1"/>
  <c r="AG448" i="16" s="1"/>
  <c r="F449" i="16" a="1"/>
  <c r="F449" i="16" s="1"/>
  <c r="F450" i="16" a="1"/>
  <c r="F450" i="16" s="1"/>
  <c r="F451" i="16" a="1"/>
  <c r="F451" i="16" s="1"/>
  <c r="F452" i="16" a="1"/>
  <c r="F452" i="16" s="1"/>
  <c r="F453" i="16" a="1"/>
  <c r="F453" i="16" s="1"/>
  <c r="F454" i="16" a="1"/>
  <c r="F454" i="16" s="1"/>
  <c r="N454" i="16" s="1"/>
  <c r="AG454" i="16" s="1" a="1"/>
  <c r="AG454" i="16" s="1"/>
  <c r="F455" i="16" a="1"/>
  <c r="F455" i="16" s="1"/>
  <c r="M455" i="16" s="1"/>
  <c r="F456" i="16" a="1"/>
  <c r="F456" i="16" s="1"/>
  <c r="N456" i="16" s="1"/>
  <c r="AG456" i="16" s="1" a="1"/>
  <c r="AG456" i="16" s="1"/>
  <c r="F457" i="16" a="1"/>
  <c r="F457" i="16" s="1"/>
  <c r="F458" i="16" a="1"/>
  <c r="F458" i="16" s="1"/>
  <c r="N458" i="16" s="1"/>
  <c r="AG458" i="16" s="1" a="1"/>
  <c r="AG458" i="16" s="1"/>
  <c r="F459" i="16" a="1"/>
  <c r="F459" i="16" s="1"/>
  <c r="M459" i="16" s="1"/>
  <c r="AF459" i="16" s="1" a="1"/>
  <c r="AF459" i="16" s="1"/>
  <c r="F460" i="16" a="1"/>
  <c r="F460" i="16" s="1"/>
  <c r="F461" i="16" a="1"/>
  <c r="F461" i="16" s="1"/>
  <c r="F4" i="16" a="1"/>
  <c r="F4" i="16" s="1"/>
  <c r="N4" i="16" s="1"/>
  <c r="AG4" i="16" s="1" a="1"/>
  <c r="AG4" i="16" s="1"/>
  <c r="A23" i="29"/>
  <c r="A22" i="29"/>
  <c r="H5" i="29"/>
  <c r="H4" i="29"/>
  <c r="H3" i="29"/>
  <c r="A1" i="16"/>
  <c r="Q35" i="16" a="1"/>
  <c r="Q35" i="16" s="1"/>
  <c r="Q36" i="16" a="1"/>
  <c r="Q36" i="16" s="1"/>
  <c r="Q37" i="16" a="1"/>
  <c r="Q37" i="16" s="1"/>
  <c r="Q38" i="16" a="1"/>
  <c r="Q38" i="16" s="1"/>
  <c r="Q39" i="16" a="1"/>
  <c r="Q39" i="16" s="1"/>
  <c r="Q40" i="16" a="1"/>
  <c r="Q40" i="16" s="1"/>
  <c r="Q41" i="16" a="1"/>
  <c r="Q41" i="16" s="1"/>
  <c r="Q42" i="16" a="1"/>
  <c r="Q42" i="16" s="1"/>
  <c r="Q43" i="16" a="1"/>
  <c r="Q43" i="16" s="1"/>
  <c r="Q44" i="16" a="1"/>
  <c r="Q44" i="16" s="1"/>
  <c r="Q45" i="16" a="1"/>
  <c r="Q45" i="16" s="1"/>
  <c r="Q46" i="16" a="1"/>
  <c r="Q46" i="16" s="1"/>
  <c r="Q47" i="16" a="1"/>
  <c r="Q47" i="16" s="1"/>
  <c r="Q48" i="16" a="1"/>
  <c r="Q48" i="16" s="1"/>
  <c r="Q49" i="16" a="1"/>
  <c r="Q49" i="16" s="1"/>
  <c r="Q50" i="16" a="1"/>
  <c r="Q50" i="16" s="1"/>
  <c r="Q51" i="16" a="1"/>
  <c r="Q51" i="16" s="1"/>
  <c r="Q52" i="16" a="1"/>
  <c r="Q52" i="16" s="1"/>
  <c r="Q53" i="16" a="1"/>
  <c r="Q53" i="16" s="1"/>
  <c r="Q54" i="16" a="1"/>
  <c r="Q54" i="16" s="1"/>
  <c r="Q55" i="16" a="1"/>
  <c r="Q55" i="16" s="1"/>
  <c r="Q56" i="16" a="1"/>
  <c r="Q56" i="16" s="1"/>
  <c r="Q57" i="16" a="1"/>
  <c r="Q57" i="16" s="1"/>
  <c r="Q58" i="16" a="1"/>
  <c r="Q58" i="16" s="1"/>
  <c r="Q59" i="16" a="1"/>
  <c r="Q59" i="16" s="1"/>
  <c r="Q60" i="16" a="1"/>
  <c r="Q60" i="16" s="1"/>
  <c r="Q61" i="16" a="1"/>
  <c r="Q61" i="16" s="1"/>
  <c r="Q62" i="16" a="1"/>
  <c r="Q62" i="16" s="1"/>
  <c r="Q63" i="16" a="1"/>
  <c r="Q63" i="16" s="1"/>
  <c r="Q64" i="16" a="1"/>
  <c r="Q64" i="16" s="1"/>
  <c r="Q65" i="16" a="1"/>
  <c r="Q65" i="16" s="1"/>
  <c r="Q66" i="16" a="1"/>
  <c r="Q66" i="16" s="1"/>
  <c r="Q67" i="16" a="1"/>
  <c r="Q67" i="16" s="1"/>
  <c r="Q68" i="16" a="1"/>
  <c r="Q68" i="16" s="1"/>
  <c r="Q69" i="16" a="1"/>
  <c r="Q69" i="16" s="1"/>
  <c r="Q70" i="16" a="1"/>
  <c r="Q70" i="16" s="1"/>
  <c r="Q71" i="16" a="1"/>
  <c r="Q71" i="16" s="1"/>
  <c r="Q72" i="16" a="1"/>
  <c r="Q72" i="16" s="1"/>
  <c r="Q73" i="16" a="1"/>
  <c r="Q73" i="16" s="1"/>
  <c r="Q74" i="16" a="1"/>
  <c r="Q74" i="16" s="1"/>
  <c r="Q75" i="16" a="1"/>
  <c r="Q75" i="16" s="1"/>
  <c r="Q76" i="16" a="1"/>
  <c r="Q76" i="16" s="1"/>
  <c r="Q77" i="16" a="1"/>
  <c r="Q77" i="16" s="1"/>
  <c r="Q78" i="16" a="1"/>
  <c r="Q78" i="16" s="1"/>
  <c r="Q79" i="16" a="1"/>
  <c r="Q79" i="16" s="1"/>
  <c r="Q80" i="16" a="1"/>
  <c r="Q80" i="16" s="1"/>
  <c r="Q81" i="16" a="1"/>
  <c r="Q81" i="16" s="1"/>
  <c r="Q82" i="16" a="1"/>
  <c r="Q82" i="16" s="1"/>
  <c r="Q83" i="16" a="1"/>
  <c r="Q83" i="16" s="1"/>
  <c r="Q84" i="16" a="1"/>
  <c r="Q84" i="16" s="1"/>
  <c r="Q85" i="16" a="1"/>
  <c r="Q85" i="16" s="1"/>
  <c r="Q86" i="16" a="1"/>
  <c r="Q86" i="16" s="1"/>
  <c r="Q87" i="16" a="1"/>
  <c r="Q87" i="16" s="1"/>
  <c r="Q88" i="16" a="1"/>
  <c r="Q88" i="16" s="1"/>
  <c r="Q89" i="16" a="1"/>
  <c r="Q89" i="16" s="1"/>
  <c r="Q90" i="16" a="1"/>
  <c r="Q90" i="16" s="1"/>
  <c r="Q91" i="16" a="1"/>
  <c r="Q91" i="16" s="1"/>
  <c r="Q92" i="16" a="1"/>
  <c r="Q92" i="16" s="1"/>
  <c r="Q93" i="16" a="1"/>
  <c r="Q93" i="16" s="1"/>
  <c r="Q94" i="16" a="1"/>
  <c r="Q94" i="16" s="1"/>
  <c r="Q95" i="16" a="1"/>
  <c r="Q95" i="16" s="1"/>
  <c r="Q96" i="16" a="1"/>
  <c r="Q96" i="16" s="1"/>
  <c r="Q97" i="16" a="1"/>
  <c r="Q97" i="16" s="1"/>
  <c r="Q98" i="16" a="1"/>
  <c r="Q98" i="16" s="1"/>
  <c r="Q99" i="16" a="1"/>
  <c r="Q99" i="16" s="1"/>
  <c r="Q100" i="16" a="1"/>
  <c r="Q100" i="16" s="1"/>
  <c r="Q101" i="16" a="1"/>
  <c r="Q101" i="16" s="1"/>
  <c r="Q102" i="16" a="1"/>
  <c r="Q102" i="16" s="1"/>
  <c r="Q103" i="16" a="1"/>
  <c r="Q103" i="16" s="1"/>
  <c r="Q104" i="16" a="1"/>
  <c r="Q104" i="16" s="1"/>
  <c r="Q105" i="16" a="1"/>
  <c r="Q105" i="16" s="1"/>
  <c r="Q106" i="16" a="1"/>
  <c r="Q106" i="16" s="1"/>
  <c r="Q107" i="16" a="1"/>
  <c r="Q107" i="16" s="1"/>
  <c r="Q108" i="16" a="1"/>
  <c r="Q108" i="16" s="1"/>
  <c r="Q109" i="16" a="1"/>
  <c r="Q109" i="16" s="1"/>
  <c r="Q110" i="16" a="1"/>
  <c r="Q110" i="16" s="1"/>
  <c r="Q111" i="16" a="1"/>
  <c r="Q111" i="16" s="1"/>
  <c r="Q112" i="16" a="1"/>
  <c r="Q112" i="16" s="1"/>
  <c r="Q113" i="16" a="1"/>
  <c r="Q113" i="16" s="1"/>
  <c r="Q114" i="16" a="1"/>
  <c r="Q114" i="16" s="1"/>
  <c r="Q115" i="16" a="1"/>
  <c r="Q115" i="16" s="1"/>
  <c r="Q116" i="16" a="1"/>
  <c r="Q116" i="16" s="1"/>
  <c r="Q117" i="16" a="1"/>
  <c r="Q117" i="16" s="1"/>
  <c r="Q118" i="16" a="1"/>
  <c r="Q118" i="16" s="1"/>
  <c r="Q119" i="16" a="1"/>
  <c r="Q119" i="16" s="1"/>
  <c r="Q120" i="16" a="1"/>
  <c r="Q120" i="16" s="1"/>
  <c r="P35" i="16" a="1"/>
  <c r="P35" i="16" s="1"/>
  <c r="R35" i="16" s="1"/>
  <c r="P36" i="16" a="1"/>
  <c r="P36" i="16" s="1"/>
  <c r="R36" i="16" s="1"/>
  <c r="P37" i="16" a="1"/>
  <c r="P37" i="16" s="1"/>
  <c r="R37" i="16" s="1"/>
  <c r="P38" i="16" a="1"/>
  <c r="P38" i="16" s="1"/>
  <c r="R38" i="16" s="1"/>
  <c r="P39" i="16" a="1"/>
  <c r="P39" i="16" s="1"/>
  <c r="R39" i="16" s="1"/>
  <c r="P40" i="16" a="1"/>
  <c r="P40" i="16" s="1"/>
  <c r="R40" i="16" s="1"/>
  <c r="P41" i="16" a="1"/>
  <c r="P41" i="16" s="1"/>
  <c r="R41" i="16" s="1"/>
  <c r="P42" i="16" a="1"/>
  <c r="P42" i="16" s="1"/>
  <c r="R42" i="16" s="1"/>
  <c r="P43" i="16" a="1"/>
  <c r="P43" i="16" s="1"/>
  <c r="R43" i="16" s="1"/>
  <c r="P44" i="16" a="1"/>
  <c r="P44" i="16" s="1"/>
  <c r="R44" i="16" s="1"/>
  <c r="P45" i="16" a="1"/>
  <c r="P45" i="16" s="1"/>
  <c r="R45" i="16" s="1"/>
  <c r="P46" i="16" a="1"/>
  <c r="P46" i="16" s="1"/>
  <c r="R46" i="16" s="1"/>
  <c r="P47" i="16" a="1"/>
  <c r="P47" i="16" s="1"/>
  <c r="R47" i="16" s="1"/>
  <c r="P48" i="16" a="1"/>
  <c r="P48" i="16" s="1"/>
  <c r="R48" i="16" s="1"/>
  <c r="P49" i="16" a="1"/>
  <c r="P49" i="16" s="1"/>
  <c r="R49" i="16" s="1"/>
  <c r="P50" i="16" a="1"/>
  <c r="P50" i="16" s="1"/>
  <c r="R50" i="16" s="1"/>
  <c r="P51" i="16" a="1"/>
  <c r="P51" i="16" s="1"/>
  <c r="R51" i="16" s="1"/>
  <c r="P52" i="16" a="1"/>
  <c r="P52" i="16" s="1"/>
  <c r="R52" i="16" s="1"/>
  <c r="P53" i="16" a="1"/>
  <c r="P53" i="16" s="1"/>
  <c r="R53" i="16" s="1"/>
  <c r="P54" i="16" a="1"/>
  <c r="P54" i="16" s="1"/>
  <c r="R54" i="16" s="1"/>
  <c r="P55" i="16" a="1"/>
  <c r="P55" i="16" s="1"/>
  <c r="R55" i="16" s="1"/>
  <c r="P56" i="16" a="1"/>
  <c r="P56" i="16" s="1"/>
  <c r="R56" i="16" s="1"/>
  <c r="P57" i="16" a="1"/>
  <c r="P57" i="16" s="1"/>
  <c r="R57" i="16" s="1"/>
  <c r="P58" i="16" a="1"/>
  <c r="P58" i="16" s="1"/>
  <c r="R58" i="16" s="1"/>
  <c r="P59" i="16" a="1"/>
  <c r="P59" i="16" s="1"/>
  <c r="R59" i="16" s="1"/>
  <c r="P60" i="16" a="1"/>
  <c r="P60" i="16" s="1"/>
  <c r="R60" i="16" s="1"/>
  <c r="P61" i="16" a="1"/>
  <c r="P61" i="16" s="1"/>
  <c r="R61" i="16" s="1"/>
  <c r="P62" i="16" a="1"/>
  <c r="P62" i="16" s="1"/>
  <c r="R62" i="16" s="1"/>
  <c r="P63" i="16" a="1"/>
  <c r="P63" i="16" s="1"/>
  <c r="R63" i="16" s="1"/>
  <c r="P64" i="16" a="1"/>
  <c r="P64" i="16" s="1"/>
  <c r="R64" i="16" s="1"/>
  <c r="P65" i="16" a="1"/>
  <c r="P65" i="16" s="1"/>
  <c r="R65" i="16" s="1"/>
  <c r="P66" i="16" a="1"/>
  <c r="P66" i="16" s="1"/>
  <c r="R66" i="16" s="1"/>
  <c r="P67" i="16" a="1"/>
  <c r="P67" i="16" s="1"/>
  <c r="R67" i="16" s="1"/>
  <c r="P68" i="16" a="1"/>
  <c r="P68" i="16" s="1"/>
  <c r="R68" i="16" s="1"/>
  <c r="P69" i="16" a="1"/>
  <c r="P69" i="16" s="1"/>
  <c r="R69" i="16" s="1"/>
  <c r="P70" i="16" a="1"/>
  <c r="P70" i="16" s="1"/>
  <c r="R70" i="16" s="1"/>
  <c r="P71" i="16" a="1"/>
  <c r="P71" i="16" s="1"/>
  <c r="R71" i="16" s="1"/>
  <c r="P72" i="16" a="1"/>
  <c r="P72" i="16" s="1"/>
  <c r="R72" i="16" s="1"/>
  <c r="P73" i="16" a="1"/>
  <c r="P73" i="16" s="1"/>
  <c r="R73" i="16" s="1"/>
  <c r="P74" i="16" a="1"/>
  <c r="P74" i="16" s="1"/>
  <c r="R74" i="16" s="1"/>
  <c r="P75" i="16" a="1"/>
  <c r="P75" i="16" s="1"/>
  <c r="R75" i="16" s="1"/>
  <c r="P76" i="16" a="1"/>
  <c r="P76" i="16" s="1"/>
  <c r="R76" i="16" s="1"/>
  <c r="P77" i="16" a="1"/>
  <c r="P77" i="16" s="1"/>
  <c r="R77" i="16" s="1"/>
  <c r="P78" i="16" a="1"/>
  <c r="P78" i="16" s="1"/>
  <c r="R78" i="16" s="1"/>
  <c r="P79" i="16" a="1"/>
  <c r="P79" i="16" s="1"/>
  <c r="R79" i="16" s="1"/>
  <c r="P80" i="16" a="1"/>
  <c r="P80" i="16" s="1"/>
  <c r="R80" i="16" s="1"/>
  <c r="P81" i="16" a="1"/>
  <c r="P81" i="16" s="1"/>
  <c r="R81" i="16" s="1"/>
  <c r="P82" i="16" a="1"/>
  <c r="P82" i="16" s="1"/>
  <c r="R82" i="16" s="1"/>
  <c r="P83" i="16" a="1"/>
  <c r="P83" i="16" s="1"/>
  <c r="R83" i="16" s="1"/>
  <c r="P84" i="16" a="1"/>
  <c r="P84" i="16" s="1"/>
  <c r="R84" i="16" s="1"/>
  <c r="P85" i="16" a="1"/>
  <c r="P85" i="16" s="1"/>
  <c r="R85" i="16" s="1"/>
  <c r="P86" i="16" a="1"/>
  <c r="P86" i="16" s="1"/>
  <c r="R86" i="16" s="1"/>
  <c r="P87" i="16" a="1"/>
  <c r="P87" i="16" s="1"/>
  <c r="R87" i="16" s="1"/>
  <c r="P88" i="16" a="1"/>
  <c r="P88" i="16" s="1"/>
  <c r="R88" i="16" s="1"/>
  <c r="P89" i="16" a="1"/>
  <c r="P89" i="16" s="1"/>
  <c r="R89" i="16" s="1"/>
  <c r="P90" i="16" a="1"/>
  <c r="P90" i="16" s="1"/>
  <c r="R90" i="16" s="1"/>
  <c r="P91" i="16" a="1"/>
  <c r="P91" i="16" s="1"/>
  <c r="R91" i="16" s="1"/>
  <c r="P92" i="16" a="1"/>
  <c r="P92" i="16" s="1"/>
  <c r="R92" i="16" s="1"/>
  <c r="P93" i="16" a="1"/>
  <c r="P93" i="16" s="1"/>
  <c r="R93" i="16" s="1"/>
  <c r="P94" i="16" a="1"/>
  <c r="P94" i="16" s="1"/>
  <c r="R94" i="16" s="1"/>
  <c r="P95" i="16" a="1"/>
  <c r="P95" i="16" s="1"/>
  <c r="R95" i="16" s="1"/>
  <c r="P96" i="16" a="1"/>
  <c r="P96" i="16" s="1"/>
  <c r="R96" i="16" s="1"/>
  <c r="P97" i="16" a="1"/>
  <c r="P97" i="16" s="1"/>
  <c r="R97" i="16" s="1"/>
  <c r="P98" i="16" a="1"/>
  <c r="P98" i="16" s="1"/>
  <c r="R98" i="16" s="1"/>
  <c r="P99" i="16" a="1"/>
  <c r="P99" i="16" s="1"/>
  <c r="R99" i="16" s="1"/>
  <c r="P100" i="16" a="1"/>
  <c r="P100" i="16" s="1"/>
  <c r="R100" i="16" s="1"/>
  <c r="P101" i="16" a="1"/>
  <c r="P101" i="16" s="1"/>
  <c r="R101" i="16" s="1"/>
  <c r="P102" i="16" a="1"/>
  <c r="P102" i="16" s="1"/>
  <c r="R102" i="16" s="1"/>
  <c r="P103" i="16" a="1"/>
  <c r="P103" i="16" s="1"/>
  <c r="R103" i="16" s="1"/>
  <c r="P104" i="16" a="1"/>
  <c r="P104" i="16" s="1"/>
  <c r="R104" i="16" s="1"/>
  <c r="P105" i="16" a="1"/>
  <c r="P105" i="16" s="1"/>
  <c r="R105" i="16" s="1"/>
  <c r="P106" i="16" a="1"/>
  <c r="P106" i="16" s="1"/>
  <c r="R106" i="16" s="1"/>
  <c r="P107" i="16" a="1"/>
  <c r="P107" i="16" s="1"/>
  <c r="R107" i="16" s="1"/>
  <c r="P108" i="16" a="1"/>
  <c r="P108" i="16" s="1"/>
  <c r="R108" i="16" s="1"/>
  <c r="P109" i="16" a="1"/>
  <c r="P109" i="16" s="1"/>
  <c r="R109" i="16" s="1"/>
  <c r="P110" i="16" a="1"/>
  <c r="P110" i="16" s="1"/>
  <c r="R110" i="16" s="1"/>
  <c r="P111" i="16" a="1"/>
  <c r="P111" i="16" s="1"/>
  <c r="R111" i="16" s="1"/>
  <c r="P112" i="16" a="1"/>
  <c r="P112" i="16" s="1"/>
  <c r="R112" i="16" s="1"/>
  <c r="P113" i="16" a="1"/>
  <c r="P113" i="16" s="1"/>
  <c r="R113" i="16" s="1"/>
  <c r="P114" i="16" a="1"/>
  <c r="P114" i="16" s="1"/>
  <c r="R114" i="16" s="1"/>
  <c r="P115" i="16" a="1"/>
  <c r="P115" i="16" s="1"/>
  <c r="R115" i="16" s="1"/>
  <c r="P116" i="16" a="1"/>
  <c r="P116" i="16" s="1"/>
  <c r="R116" i="16" s="1"/>
  <c r="P117" i="16" a="1"/>
  <c r="P117" i="16" s="1"/>
  <c r="R117" i="16" s="1"/>
  <c r="P118" i="16" a="1"/>
  <c r="P118" i="16" s="1"/>
  <c r="R118" i="16" s="1"/>
  <c r="P119" i="16" a="1"/>
  <c r="P119" i="16" s="1"/>
  <c r="R119" i="16" s="1"/>
  <c r="P120" i="16" a="1"/>
  <c r="P120" i="16" s="1"/>
  <c r="R120" i="16" s="1"/>
  <c r="Q34" i="16" a="1"/>
  <c r="Q34" i="16" s="1"/>
  <c r="P34" i="16" a="1"/>
  <c r="P34" i="16" s="1"/>
  <c r="R34" i="16" s="1"/>
  <c r="J47" i="16" a="1"/>
  <c r="J47" i="16"/>
  <c r="J48" i="16" a="1"/>
  <c r="J48" i="16" s="1"/>
  <c r="J49" i="16" a="1"/>
  <c r="J49" i="16"/>
  <c r="J50" i="16" a="1"/>
  <c r="J50" i="16"/>
  <c r="J51" i="16" a="1"/>
  <c r="J51" i="16"/>
  <c r="J52" i="16" a="1"/>
  <c r="J52" i="16" s="1"/>
  <c r="J53" i="16" a="1"/>
  <c r="J53" i="16"/>
  <c r="J54" i="16" a="1"/>
  <c r="J54" i="16" s="1"/>
  <c r="J55" i="16" a="1"/>
  <c r="J55" i="16"/>
  <c r="J56" i="16" a="1"/>
  <c r="J56" i="16" s="1"/>
  <c r="J57" i="16" a="1"/>
  <c r="J57" i="16"/>
  <c r="J58" i="16" a="1"/>
  <c r="J58" i="16"/>
  <c r="J59" i="16" a="1"/>
  <c r="J59" i="16"/>
  <c r="J60" i="16" a="1"/>
  <c r="J60" i="16" s="1"/>
  <c r="J61" i="16" a="1"/>
  <c r="J61" i="16"/>
  <c r="J62" i="16" a="1"/>
  <c r="J62" i="16" s="1"/>
  <c r="J63" i="16" a="1"/>
  <c r="J63" i="16"/>
  <c r="J64" i="16" a="1"/>
  <c r="J64" i="16" s="1"/>
  <c r="J65" i="16" a="1"/>
  <c r="J65" i="16"/>
  <c r="J66" i="16" a="1"/>
  <c r="J66" i="16"/>
  <c r="J67" i="16" a="1"/>
  <c r="J67" i="16"/>
  <c r="J68" i="16" a="1"/>
  <c r="J68" i="16" s="1"/>
  <c r="J69" i="16" a="1"/>
  <c r="J69" i="16"/>
  <c r="J70" i="16" a="1"/>
  <c r="J70" i="16" s="1"/>
  <c r="J71" i="16" a="1"/>
  <c r="J71" i="16"/>
  <c r="J72" i="16" a="1"/>
  <c r="J72" i="16" s="1"/>
  <c r="J73" i="16" a="1"/>
  <c r="J73" i="16"/>
  <c r="J74" i="16" a="1"/>
  <c r="J74" i="16"/>
  <c r="J75" i="16" a="1"/>
  <c r="J75" i="16"/>
  <c r="J76" i="16" a="1"/>
  <c r="J76" i="16" s="1"/>
  <c r="J77" i="16" a="1"/>
  <c r="J77" i="16" s="1"/>
  <c r="J78" i="16" a="1"/>
  <c r="J78" i="16" s="1"/>
  <c r="J79" i="16" a="1"/>
  <c r="J79" i="16"/>
  <c r="J80" i="16" a="1"/>
  <c r="J80" i="16" s="1"/>
  <c r="J81" i="16" a="1"/>
  <c r="J81" i="16"/>
  <c r="J82" i="16" a="1"/>
  <c r="J82" i="16"/>
  <c r="J83" i="16" a="1"/>
  <c r="J83" i="16"/>
  <c r="J84" i="16" a="1"/>
  <c r="J84" i="16" s="1"/>
  <c r="J85" i="16" a="1"/>
  <c r="J85" i="16"/>
  <c r="J86" i="16" a="1"/>
  <c r="J86" i="16" s="1"/>
  <c r="J87" i="16" a="1"/>
  <c r="J87" i="16"/>
  <c r="J88" i="16" a="1"/>
  <c r="J88" i="16" s="1"/>
  <c r="J89" i="16" a="1"/>
  <c r="J89" i="16"/>
  <c r="J90" i="16" a="1"/>
  <c r="J90" i="16"/>
  <c r="J91" i="16" a="1"/>
  <c r="J91" i="16"/>
  <c r="J92" i="16" a="1"/>
  <c r="J92" i="16" s="1"/>
  <c r="J93" i="16" a="1"/>
  <c r="J93" i="16" s="1"/>
  <c r="J94" i="16" a="1"/>
  <c r="J94" i="16" s="1"/>
  <c r="J95" i="16" a="1"/>
  <c r="J95" i="16" s="1"/>
  <c r="J96" i="16" a="1"/>
  <c r="J96" i="16" s="1"/>
  <c r="J97" i="16" a="1"/>
  <c r="J97" i="16"/>
  <c r="J98" i="16" a="1"/>
  <c r="J98" i="16"/>
  <c r="J99" i="16" a="1"/>
  <c r="J99" i="16"/>
  <c r="J100" i="16" a="1"/>
  <c r="J100" i="16" s="1"/>
  <c r="J101" i="16" a="1"/>
  <c r="J101" i="16" s="1"/>
  <c r="J102" i="16" a="1"/>
  <c r="J102" i="16" s="1"/>
  <c r="J103" i="16" a="1"/>
  <c r="J103" i="16" s="1"/>
  <c r="J104" i="16" a="1"/>
  <c r="J104" i="16" s="1"/>
  <c r="J105" i="16" a="1"/>
  <c r="J105" i="16"/>
  <c r="J106" i="16" a="1"/>
  <c r="J106" i="16"/>
  <c r="J107" i="16" a="1"/>
  <c r="J107" i="16"/>
  <c r="J108" i="16" a="1"/>
  <c r="J108" i="16" s="1"/>
  <c r="J109" i="16" a="1"/>
  <c r="J109" i="16" s="1"/>
  <c r="J110" i="16" a="1"/>
  <c r="J110" i="16" s="1"/>
  <c r="J111" i="16" a="1"/>
  <c r="J111" i="16" s="1"/>
  <c r="J112" i="16" a="1"/>
  <c r="J112" i="16" s="1"/>
  <c r="J113" i="16" a="1"/>
  <c r="J113" i="16"/>
  <c r="J114" i="16" a="1"/>
  <c r="J114" i="16"/>
  <c r="J115" i="16" a="1"/>
  <c r="J115" i="16"/>
  <c r="J116" i="16" a="1"/>
  <c r="J116" i="16" s="1"/>
  <c r="J117" i="16" a="1"/>
  <c r="J117" i="16" s="1"/>
  <c r="J118" i="16" a="1"/>
  <c r="J118" i="16" s="1"/>
  <c r="J119" i="16" a="1"/>
  <c r="J119" i="16" s="1"/>
  <c r="J120" i="16" a="1"/>
  <c r="J120" i="16" s="1"/>
  <c r="I47" i="16" a="1"/>
  <c r="I47" i="16" s="1"/>
  <c r="I48" i="16" a="1"/>
  <c r="I48" i="16" s="1"/>
  <c r="I49" i="16" a="1"/>
  <c r="I49" i="16" s="1"/>
  <c r="I50" i="16" a="1"/>
  <c r="I50" i="16" s="1"/>
  <c r="I51" i="16" a="1"/>
  <c r="I51" i="16"/>
  <c r="I52" i="16" a="1"/>
  <c r="I52" i="16"/>
  <c r="I53" i="16" a="1"/>
  <c r="I53" i="16"/>
  <c r="I54" i="16" a="1"/>
  <c r="I54" i="16" s="1"/>
  <c r="I55" i="16" a="1"/>
  <c r="I55" i="16" s="1"/>
  <c r="I56" i="16" a="1"/>
  <c r="I56" i="16" s="1"/>
  <c r="I57" i="16" a="1"/>
  <c r="I57" i="16" s="1"/>
  <c r="I58" i="16" a="1"/>
  <c r="I58" i="16" s="1"/>
  <c r="I59" i="16" a="1"/>
  <c r="I59" i="16"/>
  <c r="I60" i="16" a="1"/>
  <c r="I60" i="16"/>
  <c r="I61" i="16" a="1"/>
  <c r="I61" i="16"/>
  <c r="I62" i="16" a="1"/>
  <c r="I62" i="16" s="1"/>
  <c r="I63" i="16" a="1"/>
  <c r="I63" i="16" s="1"/>
  <c r="I64" i="16" a="1"/>
  <c r="I64" i="16" s="1"/>
  <c r="I65" i="16" a="1"/>
  <c r="I65" i="16" s="1"/>
  <c r="I66" i="16" a="1"/>
  <c r="I66" i="16" s="1"/>
  <c r="I67" i="16" a="1"/>
  <c r="I67" i="16"/>
  <c r="I68" i="16" a="1"/>
  <c r="I68" i="16"/>
  <c r="I69" i="16" a="1"/>
  <c r="I69" i="16"/>
  <c r="I70" i="16" a="1"/>
  <c r="I70" i="16" s="1"/>
  <c r="I71" i="16" a="1"/>
  <c r="I71" i="16" s="1"/>
  <c r="I72" i="16" a="1"/>
  <c r="I72" i="16" s="1"/>
  <c r="I73" i="16" a="1"/>
  <c r="I73" i="16" s="1"/>
  <c r="I74" i="16" a="1"/>
  <c r="I74" i="16" s="1"/>
  <c r="I75" i="16" a="1"/>
  <c r="I75" i="16"/>
  <c r="I76" i="16" a="1"/>
  <c r="I76" i="16"/>
  <c r="I77" i="16" a="1"/>
  <c r="I77" i="16"/>
  <c r="I78" i="16" a="1"/>
  <c r="I78" i="16" s="1"/>
  <c r="I79" i="16" a="1"/>
  <c r="I79" i="16" s="1"/>
  <c r="I80" i="16" a="1"/>
  <c r="I80" i="16" s="1"/>
  <c r="I81" i="16" a="1"/>
  <c r="I81" i="16" s="1"/>
  <c r="I82" i="16" a="1"/>
  <c r="I82" i="16" s="1"/>
  <c r="I83" i="16" a="1"/>
  <c r="I83" i="16"/>
  <c r="I84" i="16" a="1"/>
  <c r="I84" i="16"/>
  <c r="I85" i="16" a="1"/>
  <c r="I85" i="16"/>
  <c r="I86" i="16" a="1"/>
  <c r="I86" i="16" s="1"/>
  <c r="I87" i="16" a="1"/>
  <c r="I87" i="16" s="1"/>
  <c r="I88" i="16" a="1"/>
  <c r="I88" i="16" s="1"/>
  <c r="I89" i="16" a="1"/>
  <c r="I89" i="16" s="1"/>
  <c r="I90" i="16" a="1"/>
  <c r="I90" i="16" s="1"/>
  <c r="I91" i="16" a="1"/>
  <c r="I91" i="16"/>
  <c r="I92" i="16" a="1"/>
  <c r="I92" i="16"/>
  <c r="I93" i="16" a="1"/>
  <c r="I93" i="16"/>
  <c r="I94" i="16" a="1"/>
  <c r="I94" i="16" s="1"/>
  <c r="I95" i="16" a="1"/>
  <c r="I95" i="16" s="1"/>
  <c r="I96" i="16" a="1"/>
  <c r="I96" i="16" s="1"/>
  <c r="I97" i="16" a="1"/>
  <c r="I97" i="16" s="1"/>
  <c r="I98" i="16" a="1"/>
  <c r="I98" i="16" s="1"/>
  <c r="I99" i="16" a="1"/>
  <c r="I99" i="16"/>
  <c r="I100" i="16" a="1"/>
  <c r="I100" i="16"/>
  <c r="I101" i="16" a="1"/>
  <c r="I101" i="16" s="1"/>
  <c r="I102" i="16" a="1"/>
  <c r="I102" i="16" s="1"/>
  <c r="I103" i="16" a="1"/>
  <c r="I103" i="16" s="1"/>
  <c r="I104" i="16" a="1"/>
  <c r="I104" i="16" s="1"/>
  <c r="I105" i="16" a="1"/>
  <c r="I105" i="16" s="1"/>
  <c r="I106" i="16" a="1"/>
  <c r="I106" i="16" s="1"/>
  <c r="I107" i="16" a="1"/>
  <c r="I107" i="16"/>
  <c r="I108" i="16" a="1"/>
  <c r="I108" i="16"/>
  <c r="I109" i="16" a="1"/>
  <c r="I109" i="16" s="1"/>
  <c r="I110" i="16" a="1"/>
  <c r="I110" i="16" s="1"/>
  <c r="I111" i="16" a="1"/>
  <c r="I111" i="16" s="1"/>
  <c r="I112" i="16" a="1"/>
  <c r="I112" i="16" s="1"/>
  <c r="I113" i="16" a="1"/>
  <c r="I113" i="16" s="1"/>
  <c r="I114" i="16" a="1"/>
  <c r="I114" i="16" s="1"/>
  <c r="I115" i="16" a="1"/>
  <c r="I115" i="16"/>
  <c r="I116" i="16" a="1"/>
  <c r="I116" i="16"/>
  <c r="I117" i="16" a="1"/>
  <c r="I117" i="16" s="1"/>
  <c r="I118" i="16" a="1"/>
  <c r="I118" i="16" s="1"/>
  <c r="I119" i="16" a="1"/>
  <c r="I119" i="16" s="1"/>
  <c r="I120" i="16" a="1"/>
  <c r="I120" i="16" s="1"/>
  <c r="H47" i="16" a="1"/>
  <c r="H47" i="16" s="1"/>
  <c r="H48" i="16" a="1"/>
  <c r="H48" i="16" s="1"/>
  <c r="H49" i="16" a="1"/>
  <c r="H49" i="16" s="1"/>
  <c r="H50" i="16" a="1"/>
  <c r="H50" i="16" s="1"/>
  <c r="H51" i="16" a="1"/>
  <c r="H51" i="16" s="1"/>
  <c r="H52" i="16" a="1"/>
  <c r="H52" i="16" s="1"/>
  <c r="H53" i="16" a="1"/>
  <c r="H53" i="16"/>
  <c r="H54" i="16" a="1"/>
  <c r="H54" i="16"/>
  <c r="H55" i="16" a="1"/>
  <c r="H55" i="16" s="1"/>
  <c r="H56" i="16" a="1"/>
  <c r="H56" i="16" s="1"/>
  <c r="H57" i="16" a="1"/>
  <c r="H57" i="16" s="1"/>
  <c r="H58" i="16" a="1"/>
  <c r="H58" i="16" s="1"/>
  <c r="H59" i="16" a="1"/>
  <c r="H59" i="16" s="1"/>
  <c r="H60" i="16" a="1"/>
  <c r="H60" i="16" s="1"/>
  <c r="H61" i="16" a="1"/>
  <c r="H61" i="16"/>
  <c r="H62" i="16" a="1"/>
  <c r="H62" i="16"/>
  <c r="H63" i="16" a="1"/>
  <c r="H63" i="16" s="1"/>
  <c r="H64" i="16" a="1"/>
  <c r="H64" i="16" s="1"/>
  <c r="H65" i="16" a="1"/>
  <c r="H65" i="16" s="1"/>
  <c r="H66" i="16" a="1"/>
  <c r="H66" i="16" s="1"/>
  <c r="H67" i="16" a="1"/>
  <c r="H67" i="16" s="1"/>
  <c r="H68" i="16" a="1"/>
  <c r="H68" i="16" s="1"/>
  <c r="H69" i="16" a="1"/>
  <c r="H69" i="16"/>
  <c r="H70" i="16" a="1"/>
  <c r="H70" i="16"/>
  <c r="H71" i="16" a="1"/>
  <c r="H71" i="16" s="1"/>
  <c r="H72" i="16" a="1"/>
  <c r="H72" i="16" s="1"/>
  <c r="H73" i="16" a="1"/>
  <c r="H73" i="16" s="1"/>
  <c r="H74" i="16" a="1"/>
  <c r="H74" i="16" s="1"/>
  <c r="H75" i="16" a="1"/>
  <c r="H75" i="16" s="1"/>
  <c r="H76" i="16" a="1"/>
  <c r="H76" i="16" s="1"/>
  <c r="H77" i="16" a="1"/>
  <c r="H77" i="16"/>
  <c r="H78" i="16" a="1"/>
  <c r="H78" i="16"/>
  <c r="H79" i="16" a="1"/>
  <c r="H79" i="16" s="1"/>
  <c r="H80" i="16" a="1"/>
  <c r="H80" i="16" s="1"/>
  <c r="H81" i="16" a="1"/>
  <c r="H81" i="16" s="1"/>
  <c r="H82" i="16" a="1"/>
  <c r="H82" i="16" s="1"/>
  <c r="H83" i="16" a="1"/>
  <c r="H83" i="16" s="1"/>
  <c r="H84" i="16" a="1"/>
  <c r="H84" i="16" s="1"/>
  <c r="H85" i="16" a="1"/>
  <c r="H85" i="16"/>
  <c r="H86" i="16" a="1"/>
  <c r="H86" i="16"/>
  <c r="H87" i="16" a="1"/>
  <c r="H87" i="16" s="1"/>
  <c r="H88" i="16" a="1"/>
  <c r="H88" i="16" s="1"/>
  <c r="H89" i="16" a="1"/>
  <c r="H89" i="16" s="1"/>
  <c r="H90" i="16" a="1"/>
  <c r="H90" i="16" s="1"/>
  <c r="H91" i="16" a="1"/>
  <c r="H91" i="16" s="1"/>
  <c r="H92" i="16" a="1"/>
  <c r="H92" i="16" s="1"/>
  <c r="H93" i="16" a="1"/>
  <c r="H93" i="16"/>
  <c r="H94" i="16" a="1"/>
  <c r="H94" i="16"/>
  <c r="H95" i="16" a="1"/>
  <c r="H95" i="16" s="1"/>
  <c r="H96" i="16" a="1"/>
  <c r="H96" i="16" s="1"/>
  <c r="H97" i="16" a="1"/>
  <c r="H97" i="16" s="1"/>
  <c r="H98" i="16" a="1"/>
  <c r="H98" i="16" s="1"/>
  <c r="H99" i="16" a="1"/>
  <c r="H99" i="16" s="1"/>
  <c r="H100" i="16" a="1"/>
  <c r="H100" i="16" s="1"/>
  <c r="H101" i="16" a="1"/>
  <c r="H101" i="16"/>
  <c r="H102" i="16" a="1"/>
  <c r="H102" i="16"/>
  <c r="H103" i="16" a="1"/>
  <c r="H103" i="16" s="1"/>
  <c r="H104" i="16" a="1"/>
  <c r="H104" i="16" s="1"/>
  <c r="H105" i="16" a="1"/>
  <c r="H105" i="16" s="1"/>
  <c r="H106" i="16" a="1"/>
  <c r="H106" i="16" s="1"/>
  <c r="H107" i="16" a="1"/>
  <c r="H107" i="16" s="1"/>
  <c r="H108" i="16" a="1"/>
  <c r="H108" i="16" s="1"/>
  <c r="H109" i="16" a="1"/>
  <c r="H109" i="16"/>
  <c r="H110" i="16" a="1"/>
  <c r="H110" i="16"/>
  <c r="H111" i="16" a="1"/>
  <c r="H111" i="16" s="1"/>
  <c r="H112" i="16" a="1"/>
  <c r="H112" i="16" s="1"/>
  <c r="H113" i="16" a="1"/>
  <c r="H113" i="16" s="1"/>
  <c r="H114" i="16" a="1"/>
  <c r="H114" i="16" s="1"/>
  <c r="H115" i="16" a="1"/>
  <c r="H115" i="16" s="1"/>
  <c r="H116" i="16" a="1"/>
  <c r="H116" i="16" s="1"/>
  <c r="H117" i="16" a="1"/>
  <c r="H117" i="16"/>
  <c r="H118" i="16" a="1"/>
  <c r="H118" i="16"/>
  <c r="H119" i="16" a="1"/>
  <c r="H119" i="16" s="1"/>
  <c r="H120" i="16" a="1"/>
  <c r="H120" i="16" s="1"/>
  <c r="D47" i="16" a="1"/>
  <c r="D47" i="16"/>
  <c r="D48" i="16" a="1"/>
  <c r="D48" i="16"/>
  <c r="D49" i="16" a="1"/>
  <c r="D49" i="16" s="1"/>
  <c r="D50" i="16" a="1"/>
  <c r="D50" i="16" s="1"/>
  <c r="D51" i="16" a="1"/>
  <c r="D51" i="16" s="1"/>
  <c r="D52" i="16" a="1"/>
  <c r="D52" i="16" s="1"/>
  <c r="D53" i="16" a="1"/>
  <c r="D53" i="16" s="1"/>
  <c r="D54" i="16" a="1"/>
  <c r="D54" i="16" s="1"/>
  <c r="D55" i="16" a="1"/>
  <c r="D55" i="16"/>
  <c r="D56" i="16" a="1"/>
  <c r="D56" i="16"/>
  <c r="D57" i="16" a="1"/>
  <c r="D57" i="16" s="1"/>
  <c r="D58" i="16" a="1"/>
  <c r="D58" i="16" s="1"/>
  <c r="D59" i="16" a="1"/>
  <c r="D59" i="16" s="1"/>
  <c r="D60" i="16" a="1"/>
  <c r="D60" i="16" s="1"/>
  <c r="D61" i="16" a="1"/>
  <c r="D61" i="16" s="1"/>
  <c r="D62" i="16" a="1"/>
  <c r="D62" i="16" s="1"/>
  <c r="D63" i="16" a="1"/>
  <c r="D63" i="16"/>
  <c r="D64" i="16" a="1"/>
  <c r="D64" i="16"/>
  <c r="D65" i="16" a="1"/>
  <c r="D65" i="16" s="1"/>
  <c r="D66" i="16" a="1"/>
  <c r="D66" i="16" s="1"/>
  <c r="D67" i="16" a="1"/>
  <c r="D67" i="16" s="1"/>
  <c r="D68" i="16" a="1"/>
  <c r="D68" i="16" s="1"/>
  <c r="D69" i="16" a="1"/>
  <c r="D69" i="16" s="1"/>
  <c r="D70" i="16" a="1"/>
  <c r="D70" i="16" s="1"/>
  <c r="D71" i="16" a="1"/>
  <c r="D71" i="16"/>
  <c r="D72" i="16" a="1"/>
  <c r="D72" i="16"/>
  <c r="D73" i="16" a="1"/>
  <c r="D73" i="16" s="1"/>
  <c r="D74" i="16" a="1"/>
  <c r="D74" i="16" s="1"/>
  <c r="D75" i="16" a="1"/>
  <c r="D75" i="16" s="1"/>
  <c r="D76" i="16" a="1"/>
  <c r="D76" i="16" s="1"/>
  <c r="D77" i="16" a="1"/>
  <c r="D77" i="16" s="1"/>
  <c r="D78" i="16" a="1"/>
  <c r="D78" i="16" s="1"/>
  <c r="D79" i="16" a="1"/>
  <c r="D79" i="16"/>
  <c r="D80" i="16" a="1"/>
  <c r="D80" i="16"/>
  <c r="D81" i="16" a="1"/>
  <c r="D81" i="16" s="1"/>
  <c r="D82" i="16" a="1"/>
  <c r="D82" i="16" s="1"/>
  <c r="D83" i="16" a="1"/>
  <c r="D83" i="16" s="1"/>
  <c r="D84" i="16" a="1"/>
  <c r="D84" i="16" s="1"/>
  <c r="D85" i="16" a="1"/>
  <c r="D85" i="16" s="1"/>
  <c r="D86" i="16" a="1"/>
  <c r="D86" i="16" s="1"/>
  <c r="D87" i="16" a="1"/>
  <c r="D87" i="16"/>
  <c r="D88" i="16" a="1"/>
  <c r="D88" i="16"/>
  <c r="D89" i="16" a="1"/>
  <c r="D89" i="16" s="1"/>
  <c r="D90" i="16" a="1"/>
  <c r="D90" i="16" s="1"/>
  <c r="D91" i="16" a="1"/>
  <c r="D91" i="16" s="1"/>
  <c r="D92" i="16" a="1"/>
  <c r="D92" i="16" s="1"/>
  <c r="D93" i="16" a="1"/>
  <c r="D93" i="16" s="1"/>
  <c r="D94" i="16" a="1"/>
  <c r="D94" i="16" s="1"/>
  <c r="D95" i="16" a="1"/>
  <c r="D95" i="16"/>
  <c r="D96" i="16" a="1"/>
  <c r="D96" i="16"/>
  <c r="D97" i="16" a="1"/>
  <c r="D97" i="16" s="1"/>
  <c r="D98" i="16" a="1"/>
  <c r="D98" i="16" s="1"/>
  <c r="D99" i="16" a="1"/>
  <c r="D99" i="16" s="1"/>
  <c r="D100" i="16" a="1"/>
  <c r="D100" i="16" s="1"/>
  <c r="D101" i="16" a="1"/>
  <c r="D101" i="16" s="1"/>
  <c r="D102" i="16" a="1"/>
  <c r="D102" i="16" s="1"/>
  <c r="D103" i="16" a="1"/>
  <c r="D103" i="16"/>
  <c r="D104" i="16" a="1"/>
  <c r="D104" i="16"/>
  <c r="D105" i="16" a="1"/>
  <c r="D105" i="16" s="1"/>
  <c r="D106" i="16" a="1"/>
  <c r="D106" i="16" s="1"/>
  <c r="D107" i="16" a="1"/>
  <c r="D107" i="16" s="1"/>
  <c r="D108" i="16" a="1"/>
  <c r="D108" i="16" s="1"/>
  <c r="D109" i="16" a="1"/>
  <c r="D109" i="16" s="1"/>
  <c r="D110" i="16" a="1"/>
  <c r="D110" i="16" s="1"/>
  <c r="D111" i="16" a="1"/>
  <c r="D111" i="16"/>
  <c r="D112" i="16" a="1"/>
  <c r="D112" i="16"/>
  <c r="D113" i="16" a="1"/>
  <c r="D113" i="16" s="1"/>
  <c r="D114" i="16" a="1"/>
  <c r="D114" i="16" s="1"/>
  <c r="D115" i="16" a="1"/>
  <c r="D115" i="16" s="1"/>
  <c r="D116" i="16" a="1"/>
  <c r="D116" i="16" s="1"/>
  <c r="D117" i="16" a="1"/>
  <c r="D117" i="16" s="1"/>
  <c r="D118" i="16" a="1"/>
  <c r="D118" i="16" s="1"/>
  <c r="D119" i="16" a="1"/>
  <c r="D119" i="16"/>
  <c r="D120" i="16" a="1"/>
  <c r="D120" i="16"/>
  <c r="AI108" i="16" a="1"/>
  <c r="AI108" i="16" s="1"/>
  <c r="AE34" i="16"/>
  <c r="AI34" i="16" s="1" a="1"/>
  <c r="AI34" i="16" s="1"/>
  <c r="AE35" i="16"/>
  <c r="AI35" i="16" s="1" a="1"/>
  <c r="AI35" i="16" s="1"/>
  <c r="AE36" i="16"/>
  <c r="AI36" i="16" s="1" a="1"/>
  <c r="AI36" i="16" s="1"/>
  <c r="AE37" i="16"/>
  <c r="AI37" i="16" s="1" a="1"/>
  <c r="AI37" i="16" s="1"/>
  <c r="AE38" i="16"/>
  <c r="AI38" i="16" s="1" a="1"/>
  <c r="AI38" i="16" s="1"/>
  <c r="AE39" i="16"/>
  <c r="AI39" i="16" s="1" a="1"/>
  <c r="AI39" i="16" s="1"/>
  <c r="AE40" i="16"/>
  <c r="AI40" i="16" s="1" a="1"/>
  <c r="AI40" i="16" s="1"/>
  <c r="AE41" i="16"/>
  <c r="AI41" i="16" s="1" a="1"/>
  <c r="AI41" i="16" s="1"/>
  <c r="AE42" i="16"/>
  <c r="AI42" i="16" s="1" a="1"/>
  <c r="AI42" i="16" s="1"/>
  <c r="AE43" i="16"/>
  <c r="AI43" i="16" s="1" a="1"/>
  <c r="AI43" i="16" s="1"/>
  <c r="AE44" i="16"/>
  <c r="AI44" i="16" s="1" a="1"/>
  <c r="AI44" i="16" s="1"/>
  <c r="AE45" i="16"/>
  <c r="AI45" i="16" s="1" a="1"/>
  <c r="AI45" i="16" s="1"/>
  <c r="AE46" i="16"/>
  <c r="AI46" i="16" s="1" a="1"/>
  <c r="AI46" i="16" s="1"/>
  <c r="AE47" i="16"/>
  <c r="AI47" i="16" s="1" a="1"/>
  <c r="AI47" i="16" s="1"/>
  <c r="AE48" i="16"/>
  <c r="AI48" i="16" s="1" a="1"/>
  <c r="AI48" i="16" s="1"/>
  <c r="AE49" i="16"/>
  <c r="AI49" i="16" s="1" a="1"/>
  <c r="AI49" i="16" s="1"/>
  <c r="AE50" i="16"/>
  <c r="AI50" i="16" s="1" a="1"/>
  <c r="AI50" i="16" s="1"/>
  <c r="AE51" i="16"/>
  <c r="AI51" i="16" s="1" a="1"/>
  <c r="AI51" i="16" s="1"/>
  <c r="AE52" i="16"/>
  <c r="AI52" i="16" s="1" a="1"/>
  <c r="AI52" i="16" s="1"/>
  <c r="AE53" i="16"/>
  <c r="AI53" i="16" s="1" a="1"/>
  <c r="AI53" i="16" s="1"/>
  <c r="AE54" i="16"/>
  <c r="AI54" i="16" s="1" a="1"/>
  <c r="AI54" i="16" s="1"/>
  <c r="AE55" i="16"/>
  <c r="AI55" i="16" s="1" a="1"/>
  <c r="AI55" i="16" s="1"/>
  <c r="AE56" i="16"/>
  <c r="AI56" i="16" s="1" a="1"/>
  <c r="AI56" i="16" s="1"/>
  <c r="AE57" i="16"/>
  <c r="AI57" i="16" s="1" a="1"/>
  <c r="AI57" i="16" s="1"/>
  <c r="AE58" i="16"/>
  <c r="AI58" i="16" s="1" a="1"/>
  <c r="AI58" i="16" s="1"/>
  <c r="AE59" i="16"/>
  <c r="AI59" i="16" s="1" a="1"/>
  <c r="AI59" i="16" s="1"/>
  <c r="AE60" i="16"/>
  <c r="AI60" i="16" s="1" a="1"/>
  <c r="AI60" i="16" s="1"/>
  <c r="AE61" i="16"/>
  <c r="AI61" i="16" s="1" a="1"/>
  <c r="AI61" i="16" s="1"/>
  <c r="AE62" i="16"/>
  <c r="AI62" i="16" s="1" a="1"/>
  <c r="AI62" i="16" s="1"/>
  <c r="AE63" i="16"/>
  <c r="AI63" i="16" s="1" a="1"/>
  <c r="AI63" i="16" s="1"/>
  <c r="AE64" i="16"/>
  <c r="AI64" i="16" s="1" a="1"/>
  <c r="AI64" i="16" s="1"/>
  <c r="AE65" i="16"/>
  <c r="AI65" i="16" s="1" a="1"/>
  <c r="AI65" i="16" s="1"/>
  <c r="AE66" i="16"/>
  <c r="AI66" i="16" s="1" a="1"/>
  <c r="AI66" i="16" s="1"/>
  <c r="AE67" i="16"/>
  <c r="AI67" i="16" s="1" a="1"/>
  <c r="AI67" i="16" s="1"/>
  <c r="AE68" i="16"/>
  <c r="AI68" i="16" s="1" a="1"/>
  <c r="AI68" i="16" s="1"/>
  <c r="AE69" i="16"/>
  <c r="AI69" i="16" s="1" a="1"/>
  <c r="AI69" i="16" s="1"/>
  <c r="AE70" i="16"/>
  <c r="AI70" i="16" s="1" a="1"/>
  <c r="AI70" i="16" s="1"/>
  <c r="AE71" i="16"/>
  <c r="AI71" i="16" s="1" a="1"/>
  <c r="AI71" i="16" s="1"/>
  <c r="AE72" i="16"/>
  <c r="AI72" i="16" s="1" a="1"/>
  <c r="AI72" i="16" s="1"/>
  <c r="AE73" i="16"/>
  <c r="AI73" i="16" s="1" a="1"/>
  <c r="AI73" i="16" s="1"/>
  <c r="AE74" i="16"/>
  <c r="AI74" i="16" s="1" a="1"/>
  <c r="AI74" i="16" s="1"/>
  <c r="AE75" i="16"/>
  <c r="AI75" i="16" s="1" a="1"/>
  <c r="AI75" i="16" s="1"/>
  <c r="AE76" i="16"/>
  <c r="AI76" i="16" s="1" a="1"/>
  <c r="AI76" i="16" s="1"/>
  <c r="AE77" i="16"/>
  <c r="AI77" i="16" s="1" a="1"/>
  <c r="AI77" i="16" s="1"/>
  <c r="AE78" i="16"/>
  <c r="AI78" i="16" s="1" a="1"/>
  <c r="AI78" i="16" s="1"/>
  <c r="AE79" i="16"/>
  <c r="AI79" i="16" s="1" a="1"/>
  <c r="AI79" i="16" s="1"/>
  <c r="AE80" i="16"/>
  <c r="AI80" i="16" s="1" a="1"/>
  <c r="AI80" i="16" s="1"/>
  <c r="AE81" i="16"/>
  <c r="AI81" i="16" s="1" a="1"/>
  <c r="AI81" i="16" s="1"/>
  <c r="AE82" i="16"/>
  <c r="AI82" i="16" s="1" a="1"/>
  <c r="AI82" i="16" s="1"/>
  <c r="AE83" i="16"/>
  <c r="AI83" i="16" s="1" a="1"/>
  <c r="AI83" i="16" s="1"/>
  <c r="AE84" i="16"/>
  <c r="AI84" i="16" s="1" a="1"/>
  <c r="AI84" i="16" s="1"/>
  <c r="AE85" i="16"/>
  <c r="AI85" i="16" s="1" a="1"/>
  <c r="AI85" i="16" s="1"/>
  <c r="AE86" i="16"/>
  <c r="AI86" i="16" s="1" a="1"/>
  <c r="AI86" i="16" s="1"/>
  <c r="AE87" i="16"/>
  <c r="AI87" i="16" s="1" a="1"/>
  <c r="AI87" i="16" s="1"/>
  <c r="AE88" i="16"/>
  <c r="AI88" i="16" s="1" a="1"/>
  <c r="AI88" i="16" s="1"/>
  <c r="AE89" i="16"/>
  <c r="AI89" i="16" s="1" a="1"/>
  <c r="AI89" i="16" s="1"/>
  <c r="AE90" i="16"/>
  <c r="AI90" i="16" s="1" a="1"/>
  <c r="AI90" i="16" s="1"/>
  <c r="AE91" i="16"/>
  <c r="AI91" i="16" s="1" a="1"/>
  <c r="AI91" i="16" s="1"/>
  <c r="AE92" i="16"/>
  <c r="AI92" i="16" s="1" a="1"/>
  <c r="AI92" i="16" s="1"/>
  <c r="AE93" i="16"/>
  <c r="AI93" i="16" s="1" a="1"/>
  <c r="AI93" i="16" s="1"/>
  <c r="AE94" i="16"/>
  <c r="AI94" i="16" s="1" a="1"/>
  <c r="AI94" i="16" s="1"/>
  <c r="AE95" i="16"/>
  <c r="AI95" i="16" s="1" a="1"/>
  <c r="AI95" i="16" s="1"/>
  <c r="AE96" i="16"/>
  <c r="AI96" i="16" s="1" a="1"/>
  <c r="AI96" i="16" s="1"/>
  <c r="AE97" i="16"/>
  <c r="AI97" i="16" s="1" a="1"/>
  <c r="AI97" i="16" s="1"/>
  <c r="AE98" i="16"/>
  <c r="AI98" i="16" s="1" a="1"/>
  <c r="AI98" i="16" s="1"/>
  <c r="AE99" i="16"/>
  <c r="AI99" i="16" s="1" a="1"/>
  <c r="AI99" i="16" s="1"/>
  <c r="AE100" i="16"/>
  <c r="AI100" i="16" s="1" a="1"/>
  <c r="AI100" i="16" s="1"/>
  <c r="AE101" i="16"/>
  <c r="AI101" i="16" s="1" a="1"/>
  <c r="AI101" i="16" s="1"/>
  <c r="AE102" i="16"/>
  <c r="AI102" i="16" s="1" a="1"/>
  <c r="AI102" i="16" s="1"/>
  <c r="AE103" i="16"/>
  <c r="AI103" i="16" s="1" a="1"/>
  <c r="AI103" i="16" s="1"/>
  <c r="AE104" i="16"/>
  <c r="AI104" i="16" s="1" a="1"/>
  <c r="AI104" i="16" s="1"/>
  <c r="AE105" i="16"/>
  <c r="AI105" i="16" s="1" a="1"/>
  <c r="AI105" i="16" s="1"/>
  <c r="AE106" i="16"/>
  <c r="AI106" i="16" s="1" a="1"/>
  <c r="AI106" i="16" s="1"/>
  <c r="AE107" i="16"/>
  <c r="AI107" i="16" s="1" a="1"/>
  <c r="AI107" i="16" s="1"/>
  <c r="AE108" i="16"/>
  <c r="AE109" i="16"/>
  <c r="AI109" i="16" s="1" a="1"/>
  <c r="AI109" i="16" s="1"/>
  <c r="AE110" i="16"/>
  <c r="AI110" i="16" s="1" a="1"/>
  <c r="AI110" i="16" s="1"/>
  <c r="AE111" i="16"/>
  <c r="AI111" i="16" s="1" a="1"/>
  <c r="AI111" i="16" s="1"/>
  <c r="AE112" i="16"/>
  <c r="AI112" i="16" s="1" a="1"/>
  <c r="AI112" i="16" s="1"/>
  <c r="AE113" i="16"/>
  <c r="AI113" i="16" s="1" a="1"/>
  <c r="AI113" i="16" s="1"/>
  <c r="AE114" i="16"/>
  <c r="AI114" i="16" s="1" a="1"/>
  <c r="AI114" i="16" s="1"/>
  <c r="AE115" i="16"/>
  <c r="AI115" i="16" s="1" a="1"/>
  <c r="AI115" i="16" s="1"/>
  <c r="AE116" i="16"/>
  <c r="AI116" i="16" s="1" a="1"/>
  <c r="AI116" i="16" s="1"/>
  <c r="AE117" i="16"/>
  <c r="AI117" i="16" s="1" a="1"/>
  <c r="AI117" i="16" s="1"/>
  <c r="AE118" i="16"/>
  <c r="AI118" i="16" s="1" a="1"/>
  <c r="AI118" i="16" s="1"/>
  <c r="AE119" i="16"/>
  <c r="AI119" i="16" s="1" a="1"/>
  <c r="AI119" i="16" s="1"/>
  <c r="AE120" i="16"/>
  <c r="AI120" i="16" s="1" a="1"/>
  <c r="AI120" i="16" s="1"/>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BC405" i="26"/>
  <c r="BB405" i="26"/>
  <c r="BA405" i="26"/>
  <c r="AZ405" i="26"/>
  <c r="AY405" i="26"/>
  <c r="AX405" i="26"/>
  <c r="AW405" i="26"/>
  <c r="AV405" i="26"/>
  <c r="AU405" i="26"/>
  <c r="AT405" i="26"/>
  <c r="AS405" i="26"/>
  <c r="AR405" i="26"/>
  <c r="AQ405" i="26"/>
  <c r="AP405" i="26"/>
  <c r="AO405" i="26"/>
  <c r="AN405" i="26"/>
  <c r="AM405" i="26"/>
  <c r="AL405" i="26"/>
  <c r="AK405" i="26"/>
  <c r="AJ405" i="26"/>
  <c r="AI405" i="26"/>
  <c r="AH405" i="26"/>
  <c r="AG405" i="26"/>
  <c r="AF405" i="26"/>
  <c r="AE405" i="26"/>
  <c r="AD405" i="26"/>
  <c r="AC405" i="26"/>
  <c r="AB405" i="26"/>
  <c r="AA405" i="26"/>
  <c r="Z405" i="26"/>
  <c r="Y405" i="26"/>
  <c r="X405" i="26"/>
  <c r="W405" i="26"/>
  <c r="V405" i="26"/>
  <c r="U405" i="26"/>
  <c r="T405" i="26"/>
  <c r="S405" i="26"/>
  <c r="R405" i="26"/>
  <c r="Q405" i="26"/>
  <c r="P405" i="26"/>
  <c r="O405" i="26"/>
  <c r="N405" i="26"/>
  <c r="M405" i="26"/>
  <c r="L405" i="26"/>
  <c r="K405" i="26"/>
  <c r="J405" i="26"/>
  <c r="I405" i="26"/>
  <c r="H405" i="26"/>
  <c r="G405" i="26"/>
  <c r="F405" i="26"/>
  <c r="E405" i="26"/>
  <c r="D405" i="26"/>
  <c r="C405" i="26"/>
  <c r="B405" i="26"/>
  <c r="BD405" i="26" s="1"/>
  <c r="BC404" i="26"/>
  <c r="BB404" i="26"/>
  <c r="BA404" i="26"/>
  <c r="AZ404" i="26"/>
  <c r="AY404" i="26"/>
  <c r="AX404" i="26"/>
  <c r="AW404" i="26"/>
  <c r="AV404" i="26"/>
  <c r="AU404" i="26"/>
  <c r="AT404" i="26"/>
  <c r="AS404" i="26"/>
  <c r="AR404" i="26"/>
  <c r="AQ404" i="26"/>
  <c r="AP404" i="26"/>
  <c r="AO404" i="26"/>
  <c r="AN404" i="26"/>
  <c r="AM404" i="26"/>
  <c r="AL404" i="26"/>
  <c r="AK404" i="26"/>
  <c r="AJ404" i="26"/>
  <c r="AI404" i="26"/>
  <c r="AH404" i="26"/>
  <c r="AG404" i="26"/>
  <c r="AF404" i="26"/>
  <c r="AE404" i="26"/>
  <c r="AD404" i="26"/>
  <c r="AC404" i="26"/>
  <c r="BL404" i="26" s="1"/>
  <c r="AB404" i="26"/>
  <c r="AA404" i="26"/>
  <c r="Z404" i="26"/>
  <c r="Y404" i="26"/>
  <c r="X404" i="26"/>
  <c r="W404" i="26"/>
  <c r="V404" i="26"/>
  <c r="U404" i="26"/>
  <c r="T404" i="26"/>
  <c r="S404" i="26"/>
  <c r="R404" i="26"/>
  <c r="Q404" i="26"/>
  <c r="P404" i="26"/>
  <c r="O404" i="26"/>
  <c r="N404" i="26"/>
  <c r="M404" i="26"/>
  <c r="L404" i="26"/>
  <c r="K404" i="26"/>
  <c r="J404" i="26"/>
  <c r="I404" i="26"/>
  <c r="H404" i="26"/>
  <c r="G404" i="26"/>
  <c r="F404" i="26"/>
  <c r="E404" i="26"/>
  <c r="D404" i="26"/>
  <c r="C404" i="26"/>
  <c r="B404" i="26"/>
  <c r="BD404" i="26" s="1"/>
  <c r="BE404" i="26" s="1"/>
  <c r="BG404" i="26" s="1"/>
  <c r="BL403" i="26"/>
  <c r="BC403" i="26"/>
  <c r="BB403" i="26"/>
  <c r="BA403" i="26"/>
  <c r="AZ403" i="26"/>
  <c r="AY403" i="26"/>
  <c r="AX403" i="26"/>
  <c r="AW403" i="26"/>
  <c r="AV403" i="26"/>
  <c r="AU403" i="26"/>
  <c r="AT403" i="26"/>
  <c r="AS403" i="26"/>
  <c r="AR403" i="26"/>
  <c r="AQ403" i="26"/>
  <c r="AP403" i="26"/>
  <c r="AO403" i="26"/>
  <c r="AN403" i="26"/>
  <c r="AM403" i="26"/>
  <c r="AL403" i="26"/>
  <c r="AK403" i="26"/>
  <c r="AJ403" i="26"/>
  <c r="AI403" i="26"/>
  <c r="AH403" i="26"/>
  <c r="AG403" i="26"/>
  <c r="AF403" i="26"/>
  <c r="AE403" i="26"/>
  <c r="AD403" i="26"/>
  <c r="AC403" i="26"/>
  <c r="AB403" i="26"/>
  <c r="AA403" i="26"/>
  <c r="Z403" i="26"/>
  <c r="Y403" i="26"/>
  <c r="X403" i="26"/>
  <c r="W403" i="26"/>
  <c r="V403" i="26"/>
  <c r="U403" i="26"/>
  <c r="T403" i="26"/>
  <c r="S403" i="26"/>
  <c r="R403" i="26"/>
  <c r="Q403" i="26"/>
  <c r="P403" i="26"/>
  <c r="O403" i="26"/>
  <c r="N403" i="26"/>
  <c r="M403" i="26"/>
  <c r="L403" i="26"/>
  <c r="K403" i="26"/>
  <c r="J403" i="26"/>
  <c r="I403" i="26"/>
  <c r="H403" i="26"/>
  <c r="G403" i="26"/>
  <c r="F403" i="26"/>
  <c r="E403" i="26"/>
  <c r="D403" i="26"/>
  <c r="C403" i="26"/>
  <c r="B403" i="26"/>
  <c r="BC402" i="26"/>
  <c r="BB402" i="26"/>
  <c r="BA402" i="26"/>
  <c r="AZ402" i="26"/>
  <c r="AY402" i="26"/>
  <c r="AX402" i="26"/>
  <c r="AW402" i="26"/>
  <c r="AV402" i="26"/>
  <c r="AU402" i="26"/>
  <c r="AT402" i="26"/>
  <c r="AS402" i="26"/>
  <c r="AR402" i="26"/>
  <c r="AQ402" i="26"/>
  <c r="AP402" i="26"/>
  <c r="AO402" i="26"/>
  <c r="AN402" i="26"/>
  <c r="AM402" i="26"/>
  <c r="AL402" i="26"/>
  <c r="AK402" i="26"/>
  <c r="AJ402" i="26"/>
  <c r="AI402" i="26"/>
  <c r="AH402" i="26"/>
  <c r="AG402" i="26"/>
  <c r="AF402" i="26"/>
  <c r="AE402" i="26"/>
  <c r="AD402" i="26"/>
  <c r="AC402" i="26"/>
  <c r="AB402" i="26"/>
  <c r="AA402" i="26"/>
  <c r="Z402" i="26"/>
  <c r="Y402" i="26"/>
  <c r="X402" i="26"/>
  <c r="W402" i="26"/>
  <c r="V402" i="26"/>
  <c r="U402" i="26"/>
  <c r="T402" i="26"/>
  <c r="S402" i="26"/>
  <c r="R402" i="26"/>
  <c r="Q402" i="26"/>
  <c r="P402" i="26"/>
  <c r="O402" i="26"/>
  <c r="N402" i="26"/>
  <c r="M402" i="26"/>
  <c r="L402" i="26"/>
  <c r="K402" i="26"/>
  <c r="J402" i="26"/>
  <c r="I402" i="26"/>
  <c r="H402" i="26"/>
  <c r="G402" i="26"/>
  <c r="F402" i="26"/>
  <c r="E402" i="26"/>
  <c r="D402" i="26"/>
  <c r="C402" i="26"/>
  <c r="B402" i="26"/>
  <c r="BC401" i="26"/>
  <c r="BB401" i="26"/>
  <c r="BA401" i="26"/>
  <c r="AZ401" i="26"/>
  <c r="AY401" i="26"/>
  <c r="AX401" i="26"/>
  <c r="AW401" i="26"/>
  <c r="AV401" i="26"/>
  <c r="AU401" i="26"/>
  <c r="AT401" i="26"/>
  <c r="AS401" i="26"/>
  <c r="AR401" i="26"/>
  <c r="AQ401" i="26"/>
  <c r="AP401" i="26"/>
  <c r="AO401" i="26"/>
  <c r="AN401" i="26"/>
  <c r="AM401" i="26"/>
  <c r="AL401" i="26"/>
  <c r="AK401" i="26"/>
  <c r="AJ401" i="26"/>
  <c r="AI401" i="26"/>
  <c r="AH401" i="26"/>
  <c r="AG401" i="26"/>
  <c r="AF401" i="26"/>
  <c r="AE401" i="26"/>
  <c r="AD401" i="26"/>
  <c r="BL401" i="26" s="1"/>
  <c r="AC401" i="26"/>
  <c r="AB401" i="26"/>
  <c r="AA401" i="26"/>
  <c r="Z401" i="26"/>
  <c r="Y401" i="26"/>
  <c r="X401" i="26"/>
  <c r="W401" i="26"/>
  <c r="V401" i="26"/>
  <c r="U401" i="26"/>
  <c r="T401" i="26"/>
  <c r="S401" i="26"/>
  <c r="R401" i="26"/>
  <c r="Q401" i="26"/>
  <c r="P401" i="26"/>
  <c r="O401" i="26"/>
  <c r="N401" i="26"/>
  <c r="M401" i="26"/>
  <c r="L401" i="26"/>
  <c r="K401" i="26"/>
  <c r="J401" i="26"/>
  <c r="I401" i="26"/>
  <c r="H401" i="26"/>
  <c r="G401" i="26"/>
  <c r="F401" i="26"/>
  <c r="E401" i="26"/>
  <c r="D401" i="26"/>
  <c r="C401" i="26"/>
  <c r="B401" i="26"/>
  <c r="BC400" i="26"/>
  <c r="BB400" i="26"/>
  <c r="BA400" i="26"/>
  <c r="AZ400" i="26"/>
  <c r="AY400" i="26"/>
  <c r="AX400" i="26"/>
  <c r="AW400" i="26"/>
  <c r="AV400" i="26"/>
  <c r="AU400" i="26"/>
  <c r="AT400" i="26"/>
  <c r="AS400" i="26"/>
  <c r="AR400" i="26"/>
  <c r="AQ400" i="26"/>
  <c r="AP400" i="26"/>
  <c r="AO400" i="26"/>
  <c r="AN400" i="26"/>
  <c r="AM400" i="26"/>
  <c r="AL400" i="26"/>
  <c r="AK400" i="26"/>
  <c r="AJ400" i="26"/>
  <c r="AI400" i="26"/>
  <c r="AH400" i="26"/>
  <c r="AG400" i="26"/>
  <c r="AF400" i="26"/>
  <c r="AE400" i="26"/>
  <c r="AD400" i="26"/>
  <c r="BL400" i="26" s="1"/>
  <c r="AC400" i="26"/>
  <c r="AB400" i="26"/>
  <c r="AA400" i="26"/>
  <c r="Z400" i="26"/>
  <c r="Y400" i="26"/>
  <c r="X400" i="26"/>
  <c r="W400" i="26"/>
  <c r="V400" i="26"/>
  <c r="U400" i="26"/>
  <c r="T400" i="26"/>
  <c r="S400" i="26"/>
  <c r="R400" i="26"/>
  <c r="Q400" i="26"/>
  <c r="P400" i="26"/>
  <c r="O400" i="26"/>
  <c r="N400" i="26"/>
  <c r="M400" i="26"/>
  <c r="L400" i="26"/>
  <c r="K400" i="26"/>
  <c r="J400" i="26"/>
  <c r="I400" i="26"/>
  <c r="H400" i="26"/>
  <c r="G400" i="26"/>
  <c r="F400" i="26"/>
  <c r="E400" i="26"/>
  <c r="D400" i="26"/>
  <c r="C400" i="26"/>
  <c r="B400" i="26"/>
  <c r="BC399" i="26"/>
  <c r="BB399" i="26"/>
  <c r="BA399" i="26"/>
  <c r="AZ399" i="26"/>
  <c r="AY399" i="26"/>
  <c r="AX399" i="26"/>
  <c r="AW399" i="26"/>
  <c r="AV399" i="26"/>
  <c r="AU399" i="26"/>
  <c r="AT399" i="26"/>
  <c r="AS399" i="26"/>
  <c r="AR399" i="26"/>
  <c r="AQ399" i="26"/>
  <c r="AP399" i="26"/>
  <c r="AO399" i="26"/>
  <c r="AN399" i="26"/>
  <c r="AM399" i="26"/>
  <c r="AL399" i="26"/>
  <c r="AK399" i="26"/>
  <c r="AJ399" i="26"/>
  <c r="AI399" i="26"/>
  <c r="AH399" i="26"/>
  <c r="AG399" i="26"/>
  <c r="AF399" i="26"/>
  <c r="AE399" i="26"/>
  <c r="AD399" i="26"/>
  <c r="AC399" i="26"/>
  <c r="AB399" i="26"/>
  <c r="AA399" i="26"/>
  <c r="Z399" i="26"/>
  <c r="Y399" i="26"/>
  <c r="X399" i="26"/>
  <c r="W399" i="26"/>
  <c r="V399" i="26"/>
  <c r="U399" i="26"/>
  <c r="T399" i="26"/>
  <c r="S399" i="26"/>
  <c r="R399" i="26"/>
  <c r="Q399" i="26"/>
  <c r="P399" i="26"/>
  <c r="O399" i="26"/>
  <c r="N399" i="26"/>
  <c r="M399" i="26"/>
  <c r="L399" i="26"/>
  <c r="K399" i="26"/>
  <c r="J399" i="26"/>
  <c r="I399" i="26"/>
  <c r="H399" i="26"/>
  <c r="BD399" i="26" s="1"/>
  <c r="G399" i="26"/>
  <c r="F399" i="26"/>
  <c r="E399" i="26"/>
  <c r="D399" i="26"/>
  <c r="C399" i="26"/>
  <c r="B399" i="26"/>
  <c r="BC398" i="26"/>
  <c r="BB398" i="26"/>
  <c r="BA398" i="26"/>
  <c r="AZ398" i="26"/>
  <c r="AY398" i="26"/>
  <c r="AX398" i="26"/>
  <c r="AW398" i="26"/>
  <c r="AV398" i="26"/>
  <c r="AU398" i="26"/>
  <c r="AT398" i="26"/>
  <c r="AS398" i="26"/>
  <c r="AR398" i="26"/>
  <c r="AQ398" i="26"/>
  <c r="AP398" i="26"/>
  <c r="AO398" i="26"/>
  <c r="AN398" i="26"/>
  <c r="BL398" i="26" s="1"/>
  <c r="AM398" i="26"/>
  <c r="AL398" i="26"/>
  <c r="AK398" i="26"/>
  <c r="AJ398" i="26"/>
  <c r="AI398" i="26"/>
  <c r="AH398" i="26"/>
  <c r="AG398" i="26"/>
  <c r="AF398" i="26"/>
  <c r="AE398" i="26"/>
  <c r="AD398" i="26"/>
  <c r="AC398" i="26"/>
  <c r="AB398" i="26"/>
  <c r="AA398" i="26"/>
  <c r="Z398" i="26"/>
  <c r="Y398" i="26"/>
  <c r="X398" i="26"/>
  <c r="W398" i="26"/>
  <c r="V398" i="26"/>
  <c r="U398" i="26"/>
  <c r="T398" i="26"/>
  <c r="S398" i="26"/>
  <c r="R398" i="26"/>
  <c r="Q398" i="26"/>
  <c r="P398" i="26"/>
  <c r="O398" i="26"/>
  <c r="N398" i="26"/>
  <c r="M398" i="26"/>
  <c r="L398" i="26"/>
  <c r="K398" i="26"/>
  <c r="J398" i="26"/>
  <c r="I398" i="26"/>
  <c r="H398" i="26"/>
  <c r="BD398" i="26" s="1"/>
  <c r="G398" i="26"/>
  <c r="F398" i="26"/>
  <c r="E398" i="26"/>
  <c r="D398" i="26"/>
  <c r="C398" i="26"/>
  <c r="B398" i="26"/>
  <c r="BC397" i="26"/>
  <c r="BB397" i="26"/>
  <c r="BA397" i="26"/>
  <c r="AZ397" i="26"/>
  <c r="AY397" i="26"/>
  <c r="AX397" i="26"/>
  <c r="AW397" i="26"/>
  <c r="AV397" i="26"/>
  <c r="AU397" i="26"/>
  <c r="AT397" i="26"/>
  <c r="AS397" i="26"/>
  <c r="AR397" i="26"/>
  <c r="AQ397" i="26"/>
  <c r="AP397" i="26"/>
  <c r="AO397" i="26"/>
  <c r="AN397" i="26"/>
  <c r="AM397" i="26"/>
  <c r="AL397" i="26"/>
  <c r="AK397" i="26"/>
  <c r="AJ397" i="26"/>
  <c r="AI397" i="26"/>
  <c r="AH397" i="26"/>
  <c r="AG397" i="26"/>
  <c r="AF397" i="26"/>
  <c r="AE397" i="26"/>
  <c r="BL397" i="26" s="1"/>
  <c r="AD397" i="26"/>
  <c r="AC397" i="26"/>
  <c r="AB397" i="26"/>
  <c r="AA397" i="26"/>
  <c r="Z397" i="26"/>
  <c r="Y397" i="26"/>
  <c r="X397" i="26"/>
  <c r="W397" i="26"/>
  <c r="V397" i="26"/>
  <c r="U397" i="26"/>
  <c r="T397" i="26"/>
  <c r="S397" i="26"/>
  <c r="R397" i="26"/>
  <c r="Q397" i="26"/>
  <c r="P397" i="26"/>
  <c r="O397" i="26"/>
  <c r="N397" i="26"/>
  <c r="M397" i="26"/>
  <c r="L397" i="26"/>
  <c r="K397" i="26"/>
  <c r="J397" i="26"/>
  <c r="I397" i="26"/>
  <c r="H397" i="26"/>
  <c r="G397" i="26"/>
  <c r="F397" i="26"/>
  <c r="E397" i="26"/>
  <c r="D397" i="26"/>
  <c r="C397" i="26"/>
  <c r="B397" i="26"/>
  <c r="BC396" i="26"/>
  <c r="BB396" i="26"/>
  <c r="BA396" i="26"/>
  <c r="AZ396" i="26"/>
  <c r="AY396" i="26"/>
  <c r="AX396" i="26"/>
  <c r="AW396" i="26"/>
  <c r="AV396" i="26"/>
  <c r="AU396" i="26"/>
  <c r="AT396" i="26"/>
  <c r="AS396" i="26"/>
  <c r="AR396" i="26"/>
  <c r="AQ396" i="26"/>
  <c r="AP396" i="26"/>
  <c r="AO396" i="26"/>
  <c r="AN396" i="26"/>
  <c r="AM396" i="26"/>
  <c r="BL396" i="26" s="1"/>
  <c r="AL396" i="26"/>
  <c r="AK396" i="26"/>
  <c r="AJ396" i="26"/>
  <c r="AI396" i="26"/>
  <c r="AH396" i="26"/>
  <c r="AG396" i="26"/>
  <c r="AF396" i="26"/>
  <c r="AE396" i="26"/>
  <c r="AD396" i="26"/>
  <c r="AC396" i="26"/>
  <c r="AB396" i="26"/>
  <c r="AA396" i="26"/>
  <c r="Z396" i="26"/>
  <c r="Y396" i="26"/>
  <c r="X396" i="26"/>
  <c r="W396" i="26"/>
  <c r="V396" i="26"/>
  <c r="U396" i="26"/>
  <c r="T396" i="26"/>
  <c r="S396" i="26"/>
  <c r="R396" i="26"/>
  <c r="Q396" i="26"/>
  <c r="P396" i="26"/>
  <c r="O396" i="26"/>
  <c r="N396" i="26"/>
  <c r="M396" i="26"/>
  <c r="L396" i="26"/>
  <c r="K396" i="26"/>
  <c r="J396" i="26"/>
  <c r="I396" i="26"/>
  <c r="H396" i="26"/>
  <c r="G396" i="26"/>
  <c r="F396" i="26"/>
  <c r="E396" i="26"/>
  <c r="D396" i="26"/>
  <c r="C396" i="26"/>
  <c r="B396" i="26"/>
  <c r="BD396" i="26" s="1"/>
  <c r="BC395" i="26"/>
  <c r="BB395" i="26"/>
  <c r="BA395" i="26"/>
  <c r="AZ395" i="26"/>
  <c r="AY395" i="26"/>
  <c r="AX395" i="26"/>
  <c r="AW395" i="26"/>
  <c r="AV395" i="26"/>
  <c r="AU395" i="26"/>
  <c r="AT395" i="26"/>
  <c r="AS395" i="26"/>
  <c r="AR395" i="26"/>
  <c r="AQ395" i="26"/>
  <c r="AP395" i="26"/>
  <c r="AO395" i="26"/>
  <c r="AN395" i="26"/>
  <c r="AM395" i="26"/>
  <c r="AL395" i="26"/>
  <c r="AK395" i="26"/>
  <c r="AJ395" i="26"/>
  <c r="AI395" i="26"/>
  <c r="AH395" i="26"/>
  <c r="AG395" i="26"/>
  <c r="AF395" i="26"/>
  <c r="AE395" i="26"/>
  <c r="AD395" i="26"/>
  <c r="AC395" i="26"/>
  <c r="BL395" i="26" s="1"/>
  <c r="AB395" i="26"/>
  <c r="AA395" i="26"/>
  <c r="Z395" i="26"/>
  <c r="Y395" i="26"/>
  <c r="X395" i="26"/>
  <c r="W395" i="26"/>
  <c r="V395" i="26"/>
  <c r="U395" i="26"/>
  <c r="T395" i="26"/>
  <c r="S395" i="26"/>
  <c r="R395" i="26"/>
  <c r="Q395" i="26"/>
  <c r="P395" i="26"/>
  <c r="O395" i="26"/>
  <c r="N395" i="26"/>
  <c r="M395" i="26"/>
  <c r="L395" i="26"/>
  <c r="K395" i="26"/>
  <c r="J395" i="26"/>
  <c r="I395" i="26"/>
  <c r="H395" i="26"/>
  <c r="BD395" i="26" s="1"/>
  <c r="G395" i="26"/>
  <c r="F395" i="26"/>
  <c r="E395" i="26"/>
  <c r="D395" i="26"/>
  <c r="C395" i="26"/>
  <c r="B395" i="26"/>
  <c r="BC394" i="26"/>
  <c r="BB394" i="26"/>
  <c r="BA394" i="26"/>
  <c r="AZ394" i="26"/>
  <c r="AY394" i="26"/>
  <c r="AX394" i="26"/>
  <c r="AW394" i="26"/>
  <c r="AV394" i="26"/>
  <c r="AU394" i="26"/>
  <c r="AT394" i="26"/>
  <c r="AS394" i="26"/>
  <c r="AR394" i="26"/>
  <c r="AQ394" i="26"/>
  <c r="AP394" i="26"/>
  <c r="AO394" i="26"/>
  <c r="AN394" i="26"/>
  <c r="AM394" i="26"/>
  <c r="AL394" i="26"/>
  <c r="AK394" i="26"/>
  <c r="AJ394" i="26"/>
  <c r="AI394" i="26"/>
  <c r="AH394" i="26"/>
  <c r="AG394" i="26"/>
  <c r="AF394" i="26"/>
  <c r="AE394" i="26"/>
  <c r="AD394" i="26"/>
  <c r="AC394" i="26"/>
  <c r="BL394" i="26" s="1"/>
  <c r="AB394" i="26"/>
  <c r="AA394" i="26"/>
  <c r="Z394" i="26"/>
  <c r="Y394" i="26"/>
  <c r="X394" i="26"/>
  <c r="W394" i="26"/>
  <c r="V394" i="26"/>
  <c r="U394" i="26"/>
  <c r="T394" i="26"/>
  <c r="S394" i="26"/>
  <c r="R394" i="26"/>
  <c r="Q394" i="26"/>
  <c r="P394" i="26"/>
  <c r="O394" i="26"/>
  <c r="N394" i="26"/>
  <c r="M394" i="26"/>
  <c r="L394" i="26"/>
  <c r="K394" i="26"/>
  <c r="J394" i="26"/>
  <c r="I394" i="26"/>
  <c r="H394" i="26"/>
  <c r="G394" i="26"/>
  <c r="F394" i="26"/>
  <c r="E394" i="26"/>
  <c r="D394" i="26"/>
  <c r="C394" i="26"/>
  <c r="B394" i="26"/>
  <c r="BC393" i="26"/>
  <c r="BB393" i="26"/>
  <c r="BA393" i="26"/>
  <c r="AZ393" i="26"/>
  <c r="AY393" i="26"/>
  <c r="AX393" i="26"/>
  <c r="AW393" i="26"/>
  <c r="AV393" i="26"/>
  <c r="AU393" i="26"/>
  <c r="AT393" i="26"/>
  <c r="AS393" i="26"/>
  <c r="AR393" i="26"/>
  <c r="AQ393" i="26"/>
  <c r="AP393" i="26"/>
  <c r="AO393" i="26"/>
  <c r="AN393" i="26"/>
  <c r="AM393" i="26"/>
  <c r="AL393" i="26"/>
  <c r="AK393" i="26"/>
  <c r="AJ393" i="26"/>
  <c r="AI393" i="26"/>
  <c r="AH393" i="26"/>
  <c r="AG393" i="26"/>
  <c r="AF393" i="26"/>
  <c r="AE393" i="26"/>
  <c r="AD393" i="26"/>
  <c r="AC393" i="26"/>
  <c r="AB393" i="26"/>
  <c r="AA393" i="26"/>
  <c r="Z393" i="26"/>
  <c r="Y393" i="26"/>
  <c r="X393" i="26"/>
  <c r="W393" i="26"/>
  <c r="V393" i="26"/>
  <c r="U393" i="26"/>
  <c r="T393" i="26"/>
  <c r="S393" i="26"/>
  <c r="R393" i="26"/>
  <c r="Q393" i="26"/>
  <c r="P393" i="26"/>
  <c r="O393" i="26"/>
  <c r="N393" i="26"/>
  <c r="M393" i="26"/>
  <c r="L393" i="26"/>
  <c r="K393" i="26"/>
  <c r="J393" i="26"/>
  <c r="I393" i="26"/>
  <c r="H393" i="26"/>
  <c r="G393" i="26"/>
  <c r="F393" i="26"/>
  <c r="E393" i="26"/>
  <c r="D393" i="26"/>
  <c r="C393" i="26"/>
  <c r="B393" i="26"/>
  <c r="BC392" i="26"/>
  <c r="BB392" i="26"/>
  <c r="BA392" i="26"/>
  <c r="AZ392" i="26"/>
  <c r="AY392" i="26"/>
  <c r="AX392" i="26"/>
  <c r="AW392" i="26"/>
  <c r="AV392" i="26"/>
  <c r="AU392" i="26"/>
  <c r="AT392" i="26"/>
  <c r="AS392" i="26"/>
  <c r="AR392" i="26"/>
  <c r="AQ392" i="26"/>
  <c r="AP392" i="26"/>
  <c r="AO392" i="26"/>
  <c r="AN392" i="26"/>
  <c r="AM392" i="26"/>
  <c r="AL392" i="26"/>
  <c r="AK392" i="26"/>
  <c r="AJ392" i="26"/>
  <c r="AI392" i="26"/>
  <c r="AH392" i="26"/>
  <c r="AG392" i="26"/>
  <c r="AF392" i="26"/>
  <c r="AE392" i="26"/>
  <c r="AD392" i="26"/>
  <c r="AC392" i="26"/>
  <c r="AB392" i="26"/>
  <c r="AA392" i="26"/>
  <c r="Z392" i="26"/>
  <c r="Y392" i="26"/>
  <c r="X392" i="26"/>
  <c r="W392" i="26"/>
  <c r="V392" i="26"/>
  <c r="U392" i="26"/>
  <c r="T392" i="26"/>
  <c r="S392" i="26"/>
  <c r="R392" i="26"/>
  <c r="Q392" i="26"/>
  <c r="P392" i="26"/>
  <c r="O392" i="26"/>
  <c r="N392" i="26"/>
  <c r="M392" i="26"/>
  <c r="L392" i="26"/>
  <c r="K392" i="26"/>
  <c r="J392" i="26"/>
  <c r="I392" i="26"/>
  <c r="H392" i="26"/>
  <c r="BD392" i="26" s="1"/>
  <c r="G392" i="26"/>
  <c r="F392" i="26"/>
  <c r="E392" i="26"/>
  <c r="D392" i="26"/>
  <c r="C392" i="26"/>
  <c r="B392" i="26"/>
  <c r="BC391" i="26"/>
  <c r="BB391" i="26"/>
  <c r="BA391" i="26"/>
  <c r="AZ391" i="26"/>
  <c r="AY391" i="26"/>
  <c r="AX391" i="26"/>
  <c r="AW391" i="26"/>
  <c r="AV391" i="26"/>
  <c r="AU391" i="26"/>
  <c r="AT391" i="26"/>
  <c r="AS391" i="26"/>
  <c r="AR391" i="26"/>
  <c r="AQ391" i="26"/>
  <c r="AP391" i="26"/>
  <c r="AO391" i="26"/>
  <c r="AN391" i="26"/>
  <c r="AM391" i="26"/>
  <c r="AL391" i="26"/>
  <c r="AK391" i="26"/>
  <c r="AJ391" i="26"/>
  <c r="AI391" i="26"/>
  <c r="AH391" i="26"/>
  <c r="AG391" i="26"/>
  <c r="AF391" i="26"/>
  <c r="AE391" i="26"/>
  <c r="AD391" i="26"/>
  <c r="AC391" i="26"/>
  <c r="BL391" i="26" s="1"/>
  <c r="AB391" i="26"/>
  <c r="AA391" i="26"/>
  <c r="Z391" i="26"/>
  <c r="Y391" i="26"/>
  <c r="X391" i="26"/>
  <c r="W391" i="26"/>
  <c r="V391" i="26"/>
  <c r="U391" i="26"/>
  <c r="T391" i="26"/>
  <c r="S391" i="26"/>
  <c r="R391" i="26"/>
  <c r="Q391" i="26"/>
  <c r="P391" i="26"/>
  <c r="O391" i="26"/>
  <c r="N391" i="26"/>
  <c r="M391" i="26"/>
  <c r="L391" i="26"/>
  <c r="K391" i="26"/>
  <c r="J391" i="26"/>
  <c r="I391" i="26"/>
  <c r="H391" i="26"/>
  <c r="BD391" i="26" s="1"/>
  <c r="G391" i="26"/>
  <c r="F391" i="26"/>
  <c r="E391" i="26"/>
  <c r="D391" i="26"/>
  <c r="C391" i="26"/>
  <c r="B391" i="26"/>
  <c r="BC390" i="26"/>
  <c r="BB390" i="26"/>
  <c r="BA390" i="26"/>
  <c r="AZ390" i="26"/>
  <c r="AY390" i="26"/>
  <c r="AX390" i="26"/>
  <c r="AW390" i="26"/>
  <c r="AV390" i="26"/>
  <c r="AU390" i="26"/>
  <c r="AT390" i="26"/>
  <c r="AS390" i="26"/>
  <c r="AR390" i="26"/>
  <c r="AQ390" i="26"/>
  <c r="AP390" i="26"/>
  <c r="AO390" i="26"/>
  <c r="AN390" i="26"/>
  <c r="AM390" i="26"/>
  <c r="AL390" i="26"/>
  <c r="AK390" i="26"/>
  <c r="AJ390" i="26"/>
  <c r="AI390" i="26"/>
  <c r="AH390" i="26"/>
  <c r="AG390" i="26"/>
  <c r="AF390" i="26"/>
  <c r="AE390" i="26"/>
  <c r="AD390" i="26"/>
  <c r="AC390" i="26"/>
  <c r="AB390" i="26"/>
  <c r="AA390" i="26"/>
  <c r="Z390" i="26"/>
  <c r="Y390" i="26"/>
  <c r="X390" i="26"/>
  <c r="W390" i="26"/>
  <c r="V390" i="26"/>
  <c r="U390" i="26"/>
  <c r="T390" i="26"/>
  <c r="S390" i="26"/>
  <c r="R390" i="26"/>
  <c r="Q390" i="26"/>
  <c r="P390" i="26"/>
  <c r="O390" i="26"/>
  <c r="N390" i="26"/>
  <c r="M390" i="26"/>
  <c r="L390" i="26"/>
  <c r="K390" i="26"/>
  <c r="J390" i="26"/>
  <c r="I390" i="26"/>
  <c r="H390" i="26"/>
  <c r="G390" i="26"/>
  <c r="F390" i="26"/>
  <c r="E390" i="26"/>
  <c r="D390" i="26"/>
  <c r="C390" i="26"/>
  <c r="BD390" i="26" s="1"/>
  <c r="B390" i="26"/>
  <c r="BC389" i="26"/>
  <c r="BB389" i="26"/>
  <c r="BA389" i="26"/>
  <c r="AZ389" i="26"/>
  <c r="AY389" i="26"/>
  <c r="AX389" i="26"/>
  <c r="AW389" i="26"/>
  <c r="AV389" i="26"/>
  <c r="AU389" i="26"/>
  <c r="AT389" i="26"/>
  <c r="AS389" i="26"/>
  <c r="AR389" i="26"/>
  <c r="AQ389" i="26"/>
  <c r="AP389" i="26"/>
  <c r="AO389" i="26"/>
  <c r="AN389" i="26"/>
  <c r="AM389" i="26"/>
  <c r="AL389" i="26"/>
  <c r="AK389" i="26"/>
  <c r="AJ389" i="26"/>
  <c r="AI389" i="26"/>
  <c r="AH389" i="26"/>
  <c r="AG389" i="26"/>
  <c r="AF389" i="26"/>
  <c r="AE389" i="26"/>
  <c r="AD389" i="26"/>
  <c r="AC389" i="26"/>
  <c r="AB389" i="26"/>
  <c r="AA389" i="26"/>
  <c r="Z389" i="26"/>
  <c r="Y389" i="26"/>
  <c r="X389" i="26"/>
  <c r="W389" i="26"/>
  <c r="V389" i="26"/>
  <c r="U389" i="26"/>
  <c r="T389" i="26"/>
  <c r="S389" i="26"/>
  <c r="R389" i="26"/>
  <c r="Q389" i="26"/>
  <c r="P389" i="26"/>
  <c r="O389" i="26"/>
  <c r="N389" i="26"/>
  <c r="M389" i="26"/>
  <c r="L389" i="26"/>
  <c r="K389" i="26"/>
  <c r="J389" i="26"/>
  <c r="I389" i="26"/>
  <c r="H389" i="26"/>
  <c r="G389" i="26"/>
  <c r="F389" i="26"/>
  <c r="E389" i="26"/>
  <c r="D389" i="26"/>
  <c r="C389" i="26"/>
  <c r="B389" i="26"/>
  <c r="BD389" i="26" s="1"/>
  <c r="BC388" i="26"/>
  <c r="BB388" i="26"/>
  <c r="BA388" i="26"/>
  <c r="AZ388" i="26"/>
  <c r="AY388" i="26"/>
  <c r="AX388" i="26"/>
  <c r="AW388" i="26"/>
  <c r="AV388" i="26"/>
  <c r="AU388" i="26"/>
  <c r="AT388" i="26"/>
  <c r="AS388" i="26"/>
  <c r="AR388" i="26"/>
  <c r="AQ388" i="26"/>
  <c r="AP388" i="26"/>
  <c r="AO388" i="26"/>
  <c r="AN388" i="26"/>
  <c r="AM388" i="26"/>
  <c r="AL388" i="26"/>
  <c r="AK388" i="26"/>
  <c r="AJ388" i="26"/>
  <c r="AI388" i="26"/>
  <c r="AH388" i="26"/>
  <c r="AG388" i="26"/>
  <c r="AF388" i="26"/>
  <c r="AE388" i="26"/>
  <c r="AD388" i="26"/>
  <c r="AC388" i="26"/>
  <c r="BL388" i="26" s="1"/>
  <c r="AB388" i="26"/>
  <c r="AA388" i="26"/>
  <c r="Z388" i="26"/>
  <c r="Y388" i="26"/>
  <c r="X388" i="26"/>
  <c r="W388" i="26"/>
  <c r="V388" i="26"/>
  <c r="U388" i="26"/>
  <c r="T388" i="26"/>
  <c r="S388" i="26"/>
  <c r="R388" i="26"/>
  <c r="Q388" i="26"/>
  <c r="P388" i="26"/>
  <c r="O388" i="26"/>
  <c r="N388" i="26"/>
  <c r="M388" i="26"/>
  <c r="L388" i="26"/>
  <c r="K388" i="26"/>
  <c r="J388" i="26"/>
  <c r="I388" i="26"/>
  <c r="H388" i="26"/>
  <c r="G388" i="26"/>
  <c r="F388" i="26"/>
  <c r="E388" i="26"/>
  <c r="D388" i="26"/>
  <c r="C388" i="26"/>
  <c r="B388" i="26"/>
  <c r="BC387" i="26"/>
  <c r="BB387" i="26"/>
  <c r="BA387" i="26"/>
  <c r="AZ387" i="26"/>
  <c r="AY387" i="26"/>
  <c r="AX387" i="26"/>
  <c r="AW387" i="26"/>
  <c r="AV387" i="26"/>
  <c r="AU387" i="26"/>
  <c r="AT387" i="26"/>
  <c r="AS387" i="26"/>
  <c r="AR387" i="26"/>
  <c r="AQ387" i="26"/>
  <c r="AP387" i="26"/>
  <c r="AO387" i="26"/>
  <c r="AN387" i="26"/>
  <c r="AM387" i="26"/>
  <c r="AL387" i="26"/>
  <c r="AK387" i="26"/>
  <c r="AJ387" i="26"/>
  <c r="AI387" i="26"/>
  <c r="AH387" i="26"/>
  <c r="AG387" i="26"/>
  <c r="AF387" i="26"/>
  <c r="BL387" i="26" s="1"/>
  <c r="AE387" i="26"/>
  <c r="AD387" i="26"/>
  <c r="AC387" i="26"/>
  <c r="AB387" i="26"/>
  <c r="AA387" i="26"/>
  <c r="Z387" i="26"/>
  <c r="Y387" i="26"/>
  <c r="X387" i="26"/>
  <c r="W387" i="26"/>
  <c r="V387" i="26"/>
  <c r="U387" i="26"/>
  <c r="T387" i="26"/>
  <c r="S387" i="26"/>
  <c r="R387" i="26"/>
  <c r="Q387" i="26"/>
  <c r="P387" i="26"/>
  <c r="O387" i="26"/>
  <c r="N387" i="26"/>
  <c r="M387" i="26"/>
  <c r="L387" i="26"/>
  <c r="K387" i="26"/>
  <c r="J387" i="26"/>
  <c r="I387" i="26"/>
  <c r="H387" i="26"/>
  <c r="G387" i="26"/>
  <c r="F387" i="26"/>
  <c r="E387" i="26"/>
  <c r="D387" i="26"/>
  <c r="C387" i="26"/>
  <c r="B387" i="26"/>
  <c r="BC386" i="26"/>
  <c r="BB386" i="26"/>
  <c r="BA386" i="26"/>
  <c r="AZ386" i="26"/>
  <c r="AY386" i="26"/>
  <c r="AX386" i="26"/>
  <c r="AW386" i="26"/>
  <c r="AV386" i="26"/>
  <c r="AU386" i="26"/>
  <c r="AT386" i="26"/>
  <c r="AS386" i="26"/>
  <c r="AR386" i="26"/>
  <c r="AQ386" i="26"/>
  <c r="AP386" i="26"/>
  <c r="AO386" i="26"/>
  <c r="AN386" i="26"/>
  <c r="AM386" i="26"/>
  <c r="AL386" i="26"/>
  <c r="AK386" i="26"/>
  <c r="AJ386" i="26"/>
  <c r="AI386" i="26"/>
  <c r="AH386" i="26"/>
  <c r="AG386" i="26"/>
  <c r="AF386" i="26"/>
  <c r="AE386" i="26"/>
  <c r="AD386" i="26"/>
  <c r="AC386" i="26"/>
  <c r="AB386" i="26"/>
  <c r="AA386" i="26"/>
  <c r="Z386" i="26"/>
  <c r="Y386" i="26"/>
  <c r="X386" i="26"/>
  <c r="W386" i="26"/>
  <c r="V386" i="26"/>
  <c r="U386" i="26"/>
  <c r="T386" i="26"/>
  <c r="S386" i="26"/>
  <c r="R386" i="26"/>
  <c r="Q386" i="26"/>
  <c r="P386" i="26"/>
  <c r="O386" i="26"/>
  <c r="N386" i="26"/>
  <c r="M386" i="26"/>
  <c r="L386" i="26"/>
  <c r="K386" i="26"/>
  <c r="J386" i="26"/>
  <c r="I386" i="26"/>
  <c r="H386" i="26"/>
  <c r="G386" i="26"/>
  <c r="F386" i="26"/>
  <c r="E386" i="26"/>
  <c r="D386" i="26"/>
  <c r="BD386" i="26" s="1"/>
  <c r="C386" i="26"/>
  <c r="B386" i="26"/>
  <c r="BC385" i="26"/>
  <c r="BB385" i="26"/>
  <c r="BA385" i="26"/>
  <c r="AZ385" i="26"/>
  <c r="AY385" i="26"/>
  <c r="AX385" i="26"/>
  <c r="AW385" i="26"/>
  <c r="AV385" i="26"/>
  <c r="AU385" i="26"/>
  <c r="AT385" i="26"/>
  <c r="AS385" i="26"/>
  <c r="AR385" i="26"/>
  <c r="AQ385" i="26"/>
  <c r="AP385" i="26"/>
  <c r="AO385" i="26"/>
  <c r="AN385" i="26"/>
  <c r="AM385" i="26"/>
  <c r="AL385" i="26"/>
  <c r="AK385" i="26"/>
  <c r="AJ385" i="26"/>
  <c r="AI385" i="26"/>
  <c r="AH385" i="26"/>
  <c r="AG385" i="26"/>
  <c r="AF385" i="26"/>
  <c r="AE385" i="26"/>
  <c r="AD385" i="26"/>
  <c r="BL385" i="26" s="1"/>
  <c r="BN385" i="26" s="1"/>
  <c r="AC385" i="26"/>
  <c r="AB385" i="26"/>
  <c r="AA385" i="26"/>
  <c r="Z385" i="26"/>
  <c r="Y385" i="26"/>
  <c r="X385" i="26"/>
  <c r="W385" i="26"/>
  <c r="V385" i="26"/>
  <c r="U385" i="26"/>
  <c r="T385" i="26"/>
  <c r="S385" i="26"/>
  <c r="R385" i="26"/>
  <c r="Q385" i="26"/>
  <c r="P385" i="26"/>
  <c r="O385" i="26"/>
  <c r="N385" i="26"/>
  <c r="M385" i="26"/>
  <c r="L385" i="26"/>
  <c r="K385" i="26"/>
  <c r="J385" i="26"/>
  <c r="I385" i="26"/>
  <c r="H385" i="26"/>
  <c r="G385" i="26"/>
  <c r="F385" i="26"/>
  <c r="E385" i="26"/>
  <c r="D385" i="26"/>
  <c r="C385" i="26"/>
  <c r="B385" i="26"/>
  <c r="BC384" i="26"/>
  <c r="BB384" i="26"/>
  <c r="BA384" i="26"/>
  <c r="AZ384" i="26"/>
  <c r="AY384" i="26"/>
  <c r="AX384" i="26"/>
  <c r="AW384" i="26"/>
  <c r="AV384" i="26"/>
  <c r="AU384" i="26"/>
  <c r="AT384" i="26"/>
  <c r="AS384" i="26"/>
  <c r="AR384" i="26"/>
  <c r="AQ384" i="26"/>
  <c r="AP384" i="26"/>
  <c r="AO384" i="26"/>
  <c r="AN384" i="26"/>
  <c r="AM384" i="26"/>
  <c r="AL384" i="26"/>
  <c r="AK384" i="26"/>
  <c r="AJ384" i="26"/>
  <c r="AI384" i="26"/>
  <c r="AH384" i="26"/>
  <c r="AG384" i="26"/>
  <c r="AF384" i="26"/>
  <c r="AE384" i="26"/>
  <c r="BL384" i="26" s="1"/>
  <c r="AD384" i="26"/>
  <c r="AC384" i="26"/>
  <c r="AB384" i="26"/>
  <c r="AA384" i="26"/>
  <c r="Z384" i="26"/>
  <c r="Y384" i="26"/>
  <c r="X384" i="26"/>
  <c r="W384" i="26"/>
  <c r="V384" i="26"/>
  <c r="U384" i="26"/>
  <c r="T384" i="26"/>
  <c r="S384" i="26"/>
  <c r="R384" i="26"/>
  <c r="Q384" i="26"/>
  <c r="P384" i="26"/>
  <c r="O384" i="26"/>
  <c r="N384" i="26"/>
  <c r="M384" i="26"/>
  <c r="L384" i="26"/>
  <c r="K384" i="26"/>
  <c r="J384" i="26"/>
  <c r="I384" i="26"/>
  <c r="H384" i="26"/>
  <c r="G384" i="26"/>
  <c r="F384" i="26"/>
  <c r="E384" i="26"/>
  <c r="D384" i="26"/>
  <c r="C384" i="26"/>
  <c r="B384" i="26"/>
  <c r="BC383" i="26"/>
  <c r="BB383" i="26"/>
  <c r="BA383" i="26"/>
  <c r="AZ383" i="26"/>
  <c r="AY383" i="26"/>
  <c r="AX383" i="26"/>
  <c r="AW383" i="26"/>
  <c r="AV383" i="26"/>
  <c r="AU383" i="26"/>
  <c r="AT383" i="26"/>
  <c r="AS383" i="26"/>
  <c r="AR383" i="26"/>
  <c r="AQ383" i="26"/>
  <c r="AP383" i="26"/>
  <c r="AO383" i="26"/>
  <c r="AN383" i="26"/>
  <c r="AM383" i="26"/>
  <c r="AL383" i="26"/>
  <c r="AK383" i="26"/>
  <c r="AJ383" i="26"/>
  <c r="AI383" i="26"/>
  <c r="AH383" i="26"/>
  <c r="AG383" i="26"/>
  <c r="AF383" i="26"/>
  <c r="AE383" i="26"/>
  <c r="AD383" i="26"/>
  <c r="AC383" i="26"/>
  <c r="AB383" i="26"/>
  <c r="AA383" i="26"/>
  <c r="Z383" i="26"/>
  <c r="Y383" i="26"/>
  <c r="X383" i="26"/>
  <c r="W383" i="26"/>
  <c r="V383" i="26"/>
  <c r="U383" i="26"/>
  <c r="T383" i="26"/>
  <c r="S383" i="26"/>
  <c r="R383" i="26"/>
  <c r="Q383" i="26"/>
  <c r="P383" i="26"/>
  <c r="O383" i="26"/>
  <c r="N383" i="26"/>
  <c r="M383" i="26"/>
  <c r="L383" i="26"/>
  <c r="K383" i="26"/>
  <c r="J383" i="26"/>
  <c r="I383" i="26"/>
  <c r="H383" i="26"/>
  <c r="G383" i="26"/>
  <c r="F383" i="26"/>
  <c r="E383" i="26"/>
  <c r="D383" i="26"/>
  <c r="C383" i="26"/>
  <c r="BD383" i="26" s="1"/>
  <c r="B383" i="26"/>
  <c r="BC382" i="26"/>
  <c r="BB382" i="26"/>
  <c r="BA382" i="26"/>
  <c r="AZ382" i="26"/>
  <c r="AY382" i="26"/>
  <c r="AX382" i="26"/>
  <c r="AW382" i="26"/>
  <c r="AV382" i="26"/>
  <c r="AU382" i="26"/>
  <c r="AT382" i="26"/>
  <c r="AS382" i="26"/>
  <c r="AR382" i="26"/>
  <c r="AQ382" i="26"/>
  <c r="AP382" i="26"/>
  <c r="AO382" i="26"/>
  <c r="AN382" i="26"/>
  <c r="AM382" i="26"/>
  <c r="AL382" i="26"/>
  <c r="AK382" i="26"/>
  <c r="AJ382" i="26"/>
  <c r="AI382" i="26"/>
  <c r="AH382" i="26"/>
  <c r="AG382" i="26"/>
  <c r="AF382" i="26"/>
  <c r="AE382" i="26"/>
  <c r="AD382" i="26"/>
  <c r="BL382" i="26" s="1"/>
  <c r="AC382" i="26"/>
  <c r="AB382" i="26"/>
  <c r="AA382" i="26"/>
  <c r="Z382" i="26"/>
  <c r="Y382" i="26"/>
  <c r="X382" i="26"/>
  <c r="W382" i="26"/>
  <c r="V382" i="26"/>
  <c r="U382" i="26"/>
  <c r="T382" i="26"/>
  <c r="S382" i="26"/>
  <c r="R382" i="26"/>
  <c r="Q382" i="26"/>
  <c r="P382" i="26"/>
  <c r="O382" i="26"/>
  <c r="N382" i="26"/>
  <c r="M382" i="26"/>
  <c r="L382" i="26"/>
  <c r="K382" i="26"/>
  <c r="J382" i="26"/>
  <c r="I382" i="26"/>
  <c r="H382" i="26"/>
  <c r="G382" i="26"/>
  <c r="F382" i="26"/>
  <c r="E382" i="26"/>
  <c r="D382" i="26"/>
  <c r="C382" i="26"/>
  <c r="B382" i="26"/>
  <c r="BN381" i="26"/>
  <c r="BC381" i="26"/>
  <c r="BB381" i="26"/>
  <c r="BA381" i="26"/>
  <c r="AZ381" i="26"/>
  <c r="AY381" i="26"/>
  <c r="AX381" i="26"/>
  <c r="AW381" i="26"/>
  <c r="AV381" i="26"/>
  <c r="AU381" i="26"/>
  <c r="AT381" i="26"/>
  <c r="AS381" i="26"/>
  <c r="AR381" i="26"/>
  <c r="AQ381" i="26"/>
  <c r="AP381" i="26"/>
  <c r="AO381" i="26"/>
  <c r="AN381" i="26"/>
  <c r="AM381" i="26"/>
  <c r="AL381" i="26"/>
  <c r="AK381" i="26"/>
  <c r="AJ381" i="26"/>
  <c r="AI381" i="26"/>
  <c r="AH381" i="26"/>
  <c r="AG381" i="26"/>
  <c r="AF381" i="26"/>
  <c r="AE381" i="26"/>
  <c r="AD381" i="26"/>
  <c r="AC381" i="26"/>
  <c r="BL381" i="26" s="1"/>
  <c r="BM381" i="26" s="1"/>
  <c r="AB381" i="26"/>
  <c r="AA381" i="26"/>
  <c r="Z381" i="26"/>
  <c r="Y381" i="26"/>
  <c r="X381" i="26"/>
  <c r="W381" i="26"/>
  <c r="V381" i="26"/>
  <c r="U381" i="26"/>
  <c r="T381" i="26"/>
  <c r="S381" i="26"/>
  <c r="R381" i="26"/>
  <c r="Q381" i="26"/>
  <c r="P381" i="26"/>
  <c r="O381" i="26"/>
  <c r="N381" i="26"/>
  <c r="M381" i="26"/>
  <c r="L381" i="26"/>
  <c r="K381" i="26"/>
  <c r="J381" i="26"/>
  <c r="I381" i="26"/>
  <c r="H381" i="26"/>
  <c r="G381" i="26"/>
  <c r="F381" i="26"/>
  <c r="E381" i="26"/>
  <c r="D381" i="26"/>
  <c r="C381" i="26"/>
  <c r="B381" i="26"/>
  <c r="BC380" i="26"/>
  <c r="BB380" i="26"/>
  <c r="BA380" i="26"/>
  <c r="AZ380" i="26"/>
  <c r="AY380" i="26"/>
  <c r="AX380" i="26"/>
  <c r="AW380" i="26"/>
  <c r="AV380" i="26"/>
  <c r="AU380" i="26"/>
  <c r="AT380" i="26"/>
  <c r="AS380" i="26"/>
  <c r="AR380" i="26"/>
  <c r="AQ380" i="26"/>
  <c r="AP380" i="26"/>
  <c r="AO380" i="26"/>
  <c r="AN380" i="26"/>
  <c r="AM380" i="26"/>
  <c r="AL380" i="26"/>
  <c r="AK380" i="26"/>
  <c r="AJ380" i="26"/>
  <c r="AI380" i="26"/>
  <c r="AH380" i="26"/>
  <c r="AG380" i="26"/>
  <c r="AF380" i="26"/>
  <c r="AE380" i="26"/>
  <c r="BL380" i="26" s="1"/>
  <c r="AD380" i="26"/>
  <c r="AC380" i="26"/>
  <c r="AB380" i="26"/>
  <c r="AA380" i="26"/>
  <c r="Z380" i="26"/>
  <c r="Y380" i="26"/>
  <c r="X380" i="26"/>
  <c r="W380" i="26"/>
  <c r="V380" i="26"/>
  <c r="U380" i="26"/>
  <c r="T380" i="26"/>
  <c r="S380" i="26"/>
  <c r="R380" i="26"/>
  <c r="Q380" i="26"/>
  <c r="P380" i="26"/>
  <c r="O380" i="26"/>
  <c r="N380" i="26"/>
  <c r="M380" i="26"/>
  <c r="L380" i="26"/>
  <c r="K380" i="26"/>
  <c r="J380" i="26"/>
  <c r="I380" i="26"/>
  <c r="H380" i="26"/>
  <c r="G380" i="26"/>
  <c r="F380" i="26"/>
  <c r="E380" i="26"/>
  <c r="D380" i="26"/>
  <c r="C380" i="26"/>
  <c r="B380" i="26"/>
  <c r="BD380" i="26" s="1"/>
  <c r="BC379" i="26"/>
  <c r="BB379" i="26"/>
  <c r="BA379" i="26"/>
  <c r="AZ379" i="26"/>
  <c r="AY379" i="26"/>
  <c r="AX379" i="26"/>
  <c r="AW379" i="26"/>
  <c r="AV379" i="26"/>
  <c r="AU379" i="26"/>
  <c r="AT379" i="26"/>
  <c r="AS379" i="26"/>
  <c r="AR379" i="26"/>
  <c r="AQ379" i="26"/>
  <c r="AP379" i="26"/>
  <c r="AO379" i="26"/>
  <c r="AN379" i="26"/>
  <c r="AM379" i="26"/>
  <c r="AL379" i="26"/>
  <c r="AK379" i="26"/>
  <c r="AJ379" i="26"/>
  <c r="AI379" i="26"/>
  <c r="AH379" i="26"/>
  <c r="AG379" i="26"/>
  <c r="AF379" i="26"/>
  <c r="AE379" i="26"/>
  <c r="AD379" i="26"/>
  <c r="AC379" i="26"/>
  <c r="AB379" i="26"/>
  <c r="AA379" i="26"/>
  <c r="Z379" i="26"/>
  <c r="Y379" i="26"/>
  <c r="X379" i="26"/>
  <c r="W379" i="26"/>
  <c r="V379" i="26"/>
  <c r="U379" i="26"/>
  <c r="T379" i="26"/>
  <c r="S379" i="26"/>
  <c r="R379" i="26"/>
  <c r="Q379" i="26"/>
  <c r="P379" i="26"/>
  <c r="O379" i="26"/>
  <c r="N379" i="26"/>
  <c r="M379" i="26"/>
  <c r="L379" i="26"/>
  <c r="K379" i="26"/>
  <c r="J379" i="26"/>
  <c r="I379" i="26"/>
  <c r="H379" i="26"/>
  <c r="G379" i="26"/>
  <c r="BD379" i="26" s="1"/>
  <c r="F379" i="26"/>
  <c r="E379" i="26"/>
  <c r="D379" i="26"/>
  <c r="C379" i="26"/>
  <c r="B379" i="26"/>
  <c r="BC378" i="26"/>
  <c r="BB378" i="26"/>
  <c r="BA378" i="26"/>
  <c r="AZ378" i="26"/>
  <c r="AY378" i="26"/>
  <c r="AX378" i="26"/>
  <c r="AW378" i="26"/>
  <c r="AV378" i="26"/>
  <c r="AU378" i="26"/>
  <c r="AT378" i="26"/>
  <c r="AS378" i="26"/>
  <c r="AR378" i="26"/>
  <c r="AQ378" i="26"/>
  <c r="AP378" i="26"/>
  <c r="AO378" i="26"/>
  <c r="AN378" i="26"/>
  <c r="AM378" i="26"/>
  <c r="AL378" i="26"/>
  <c r="AK378" i="26"/>
  <c r="AJ378" i="26"/>
  <c r="AI378" i="26"/>
  <c r="AH378" i="26"/>
  <c r="AG378" i="26"/>
  <c r="AF378" i="26"/>
  <c r="AE378" i="26"/>
  <c r="AD378" i="26"/>
  <c r="AC378" i="26"/>
  <c r="AB378" i="26"/>
  <c r="AA378" i="26"/>
  <c r="Z378" i="26"/>
  <c r="Y378" i="26"/>
  <c r="X378" i="26"/>
  <c r="W378" i="26"/>
  <c r="V378" i="26"/>
  <c r="U378" i="26"/>
  <c r="T378" i="26"/>
  <c r="S378" i="26"/>
  <c r="R378" i="26"/>
  <c r="Q378" i="26"/>
  <c r="P378" i="26"/>
  <c r="O378" i="26"/>
  <c r="N378" i="26"/>
  <c r="M378" i="26"/>
  <c r="L378" i="26"/>
  <c r="K378" i="26"/>
  <c r="J378" i="26"/>
  <c r="I378" i="26"/>
  <c r="H378" i="26"/>
  <c r="G378" i="26"/>
  <c r="F378" i="26"/>
  <c r="E378" i="26"/>
  <c r="D378" i="26"/>
  <c r="C378" i="26"/>
  <c r="B378" i="26"/>
  <c r="BC377" i="26"/>
  <c r="BB377" i="26"/>
  <c r="BA377" i="26"/>
  <c r="AZ377" i="26"/>
  <c r="AY377" i="26"/>
  <c r="AX377" i="26"/>
  <c r="AW377" i="26"/>
  <c r="AV377" i="26"/>
  <c r="AU377" i="26"/>
  <c r="AT377" i="26"/>
  <c r="AS377" i="26"/>
  <c r="AR377" i="26"/>
  <c r="AQ377" i="26"/>
  <c r="AP377" i="26"/>
  <c r="AO377" i="26"/>
  <c r="AN377" i="26"/>
  <c r="AM377" i="26"/>
  <c r="AL377" i="26"/>
  <c r="AK377" i="26"/>
  <c r="AJ377" i="26"/>
  <c r="AI377" i="26"/>
  <c r="AH377" i="26"/>
  <c r="AG377" i="26"/>
  <c r="AF377" i="26"/>
  <c r="AE377" i="26"/>
  <c r="AD377" i="26"/>
  <c r="AC377" i="26"/>
  <c r="AB377" i="26"/>
  <c r="AA377" i="26"/>
  <c r="Z377" i="26"/>
  <c r="Y377" i="26"/>
  <c r="X377" i="26"/>
  <c r="W377" i="26"/>
  <c r="V377" i="26"/>
  <c r="U377" i="26"/>
  <c r="T377" i="26"/>
  <c r="S377" i="26"/>
  <c r="R377" i="26"/>
  <c r="Q377" i="26"/>
  <c r="P377" i="26"/>
  <c r="O377" i="26"/>
  <c r="N377" i="26"/>
  <c r="M377" i="26"/>
  <c r="L377" i="26"/>
  <c r="K377" i="26"/>
  <c r="J377" i="26"/>
  <c r="I377" i="26"/>
  <c r="H377" i="26"/>
  <c r="G377" i="26"/>
  <c r="F377" i="26"/>
  <c r="E377" i="26"/>
  <c r="D377" i="26"/>
  <c r="C377" i="26"/>
  <c r="B377" i="26"/>
  <c r="BD377" i="26" s="1"/>
  <c r="BC376" i="26"/>
  <c r="BB376" i="26"/>
  <c r="BA376" i="26"/>
  <c r="AZ376" i="26"/>
  <c r="AY376" i="26"/>
  <c r="AX376" i="26"/>
  <c r="AW376" i="26"/>
  <c r="AV376" i="26"/>
  <c r="AU376" i="26"/>
  <c r="AT376" i="26"/>
  <c r="AS376" i="26"/>
  <c r="AR376" i="26"/>
  <c r="AQ376" i="26"/>
  <c r="AP376" i="26"/>
  <c r="AO376" i="26"/>
  <c r="AN376" i="26"/>
  <c r="AM376" i="26"/>
  <c r="AL376" i="26"/>
  <c r="AK376" i="26"/>
  <c r="AJ376" i="26"/>
  <c r="AI376" i="26"/>
  <c r="AH376" i="26"/>
  <c r="AG376" i="26"/>
  <c r="AF376" i="26"/>
  <c r="AE376" i="26"/>
  <c r="AD376" i="26"/>
  <c r="AC376" i="26"/>
  <c r="AB376" i="26"/>
  <c r="AA376" i="26"/>
  <c r="Z376" i="26"/>
  <c r="Y376" i="26"/>
  <c r="X376" i="26"/>
  <c r="W376" i="26"/>
  <c r="V376" i="26"/>
  <c r="U376" i="26"/>
  <c r="T376" i="26"/>
  <c r="S376" i="26"/>
  <c r="R376" i="26"/>
  <c r="Q376" i="26"/>
  <c r="P376" i="26"/>
  <c r="O376" i="26"/>
  <c r="N376" i="26"/>
  <c r="M376" i="26"/>
  <c r="L376" i="26"/>
  <c r="K376" i="26"/>
  <c r="J376" i="26"/>
  <c r="I376" i="26"/>
  <c r="H376" i="26"/>
  <c r="G376" i="26"/>
  <c r="F376" i="26"/>
  <c r="BD376" i="26" s="1"/>
  <c r="BE376" i="26" s="1"/>
  <c r="E376" i="26"/>
  <c r="D376" i="26"/>
  <c r="C376" i="26"/>
  <c r="B376" i="26"/>
  <c r="BC375" i="26"/>
  <c r="BB375" i="26"/>
  <c r="BA375" i="26"/>
  <c r="AZ375" i="26"/>
  <c r="AY375" i="26"/>
  <c r="AX375" i="26"/>
  <c r="AW375" i="26"/>
  <c r="AV375" i="26"/>
  <c r="AU375" i="26"/>
  <c r="AT375" i="26"/>
  <c r="AS375" i="26"/>
  <c r="AR375" i="26"/>
  <c r="AQ375" i="26"/>
  <c r="AP375" i="26"/>
  <c r="AO375" i="26"/>
  <c r="AN375" i="26"/>
  <c r="AM375" i="26"/>
  <c r="AL375" i="26"/>
  <c r="AK375" i="26"/>
  <c r="AJ375" i="26"/>
  <c r="AI375" i="26"/>
  <c r="AH375" i="26"/>
  <c r="AG375" i="26"/>
  <c r="AF375" i="26"/>
  <c r="AE375" i="26"/>
  <c r="AD375" i="26"/>
  <c r="AC375" i="26"/>
  <c r="BL375" i="26" s="1"/>
  <c r="AB375" i="26"/>
  <c r="AA375" i="26"/>
  <c r="Z375" i="26"/>
  <c r="Y375" i="26"/>
  <c r="X375" i="26"/>
  <c r="W375" i="26"/>
  <c r="V375" i="26"/>
  <c r="U375" i="26"/>
  <c r="T375" i="26"/>
  <c r="S375" i="26"/>
  <c r="R375" i="26"/>
  <c r="Q375" i="26"/>
  <c r="P375" i="26"/>
  <c r="O375" i="26"/>
  <c r="N375" i="26"/>
  <c r="M375" i="26"/>
  <c r="L375" i="26"/>
  <c r="K375" i="26"/>
  <c r="J375" i="26"/>
  <c r="I375" i="26"/>
  <c r="H375" i="26"/>
  <c r="G375" i="26"/>
  <c r="F375" i="26"/>
  <c r="E375" i="26"/>
  <c r="D375" i="26"/>
  <c r="C375" i="26"/>
  <c r="B375" i="26"/>
  <c r="BD375" i="26" s="1"/>
  <c r="BC374" i="26"/>
  <c r="BB374" i="26"/>
  <c r="BA374" i="26"/>
  <c r="AZ374" i="26"/>
  <c r="AY374" i="26"/>
  <c r="AX374" i="26"/>
  <c r="AW374" i="26"/>
  <c r="AV374" i="26"/>
  <c r="AU374" i="26"/>
  <c r="AT374" i="26"/>
  <c r="AS374" i="26"/>
  <c r="AR374" i="26"/>
  <c r="AQ374" i="26"/>
  <c r="AP374" i="26"/>
  <c r="AO374" i="26"/>
  <c r="AN374" i="26"/>
  <c r="AM374" i="26"/>
  <c r="AL374" i="26"/>
  <c r="AK374" i="26"/>
  <c r="AJ374" i="26"/>
  <c r="AI374" i="26"/>
  <c r="AH374" i="26"/>
  <c r="AG374" i="26"/>
  <c r="AF374" i="26"/>
  <c r="AE374" i="26"/>
  <c r="AD374" i="26"/>
  <c r="AC374" i="26"/>
  <c r="AB374" i="26"/>
  <c r="AA374" i="26"/>
  <c r="Z374" i="26"/>
  <c r="Y374" i="26"/>
  <c r="X374" i="26"/>
  <c r="W374" i="26"/>
  <c r="V374" i="26"/>
  <c r="U374" i="26"/>
  <c r="T374" i="26"/>
  <c r="S374" i="26"/>
  <c r="R374" i="26"/>
  <c r="Q374" i="26"/>
  <c r="P374" i="26"/>
  <c r="O374" i="26"/>
  <c r="N374" i="26"/>
  <c r="M374" i="26"/>
  <c r="L374" i="26"/>
  <c r="K374" i="26"/>
  <c r="J374" i="26"/>
  <c r="I374" i="26"/>
  <c r="H374" i="26"/>
  <c r="G374" i="26"/>
  <c r="F374" i="26"/>
  <c r="E374" i="26"/>
  <c r="D374" i="26"/>
  <c r="C374" i="26"/>
  <c r="B374" i="26"/>
  <c r="BD374" i="26" s="1"/>
  <c r="BC373" i="26"/>
  <c r="BB373" i="26"/>
  <c r="BA373" i="26"/>
  <c r="AZ373" i="26"/>
  <c r="AY373" i="26"/>
  <c r="AX373" i="26"/>
  <c r="AW373" i="26"/>
  <c r="AV373" i="26"/>
  <c r="AU373" i="26"/>
  <c r="AT373" i="26"/>
  <c r="AS373" i="26"/>
  <c r="AR373" i="26"/>
  <c r="AQ373" i="26"/>
  <c r="AP373" i="26"/>
  <c r="AO373" i="26"/>
  <c r="AN373" i="26"/>
  <c r="AM373" i="26"/>
  <c r="AL373" i="26"/>
  <c r="AK373" i="26"/>
  <c r="AJ373" i="26"/>
  <c r="AI373" i="26"/>
  <c r="AH373" i="26"/>
  <c r="AG373" i="26"/>
  <c r="AF373" i="26"/>
  <c r="AE373" i="26"/>
  <c r="AD373" i="26"/>
  <c r="AC373" i="26"/>
  <c r="AB373" i="26"/>
  <c r="AA373" i="26"/>
  <c r="Z373" i="26"/>
  <c r="Y373" i="26"/>
  <c r="X373" i="26"/>
  <c r="W373" i="26"/>
  <c r="V373" i="26"/>
  <c r="U373" i="26"/>
  <c r="T373" i="26"/>
  <c r="S373" i="26"/>
  <c r="R373" i="26"/>
  <c r="Q373" i="26"/>
  <c r="P373" i="26"/>
  <c r="O373" i="26"/>
  <c r="N373" i="26"/>
  <c r="M373" i="26"/>
  <c r="L373" i="26"/>
  <c r="K373" i="26"/>
  <c r="J373" i="26"/>
  <c r="I373" i="26"/>
  <c r="H373" i="26"/>
  <c r="BD373" i="26" s="1"/>
  <c r="G373" i="26"/>
  <c r="F373" i="26"/>
  <c r="E373" i="26"/>
  <c r="D373" i="26"/>
  <c r="C373" i="26"/>
  <c r="B373" i="26"/>
  <c r="BC372" i="26"/>
  <c r="BB372" i="26"/>
  <c r="BA372" i="26"/>
  <c r="AZ372" i="26"/>
  <c r="AY372" i="26"/>
  <c r="AX372" i="26"/>
  <c r="AW372" i="26"/>
  <c r="AV372" i="26"/>
  <c r="AU372" i="26"/>
  <c r="AT372" i="26"/>
  <c r="AS372" i="26"/>
  <c r="AR372" i="26"/>
  <c r="AQ372" i="26"/>
  <c r="AP372" i="26"/>
  <c r="AO372" i="26"/>
  <c r="AN372" i="26"/>
  <c r="AM372" i="26"/>
  <c r="AL372" i="26"/>
  <c r="AK372" i="26"/>
  <c r="AJ372" i="26"/>
  <c r="AI372" i="26"/>
  <c r="AH372" i="26"/>
  <c r="AG372" i="26"/>
  <c r="AF372" i="26"/>
  <c r="AE372" i="26"/>
  <c r="AD372" i="26"/>
  <c r="AC372" i="26"/>
  <c r="AB372" i="26"/>
  <c r="AA372" i="26"/>
  <c r="Z372" i="26"/>
  <c r="Y372" i="26"/>
  <c r="X372" i="26"/>
  <c r="W372" i="26"/>
  <c r="V372" i="26"/>
  <c r="U372" i="26"/>
  <c r="T372" i="26"/>
  <c r="S372" i="26"/>
  <c r="R372" i="26"/>
  <c r="Q372" i="26"/>
  <c r="P372" i="26"/>
  <c r="O372" i="26"/>
  <c r="N372" i="26"/>
  <c r="M372" i="26"/>
  <c r="L372" i="26"/>
  <c r="K372" i="26"/>
  <c r="J372" i="26"/>
  <c r="I372" i="26"/>
  <c r="H372" i="26"/>
  <c r="G372" i="26"/>
  <c r="F372" i="26"/>
  <c r="E372" i="26"/>
  <c r="D372" i="26"/>
  <c r="C372" i="26"/>
  <c r="B372" i="26"/>
  <c r="BC371" i="26"/>
  <c r="BB371" i="26"/>
  <c r="BA371" i="26"/>
  <c r="AZ371" i="26"/>
  <c r="AY371" i="26"/>
  <c r="AX371" i="26"/>
  <c r="AW371" i="26"/>
  <c r="AV371" i="26"/>
  <c r="AU371" i="26"/>
  <c r="AT371" i="26"/>
  <c r="AS371" i="26"/>
  <c r="AR371" i="26"/>
  <c r="AQ371" i="26"/>
  <c r="AP371" i="26"/>
  <c r="AO371" i="26"/>
  <c r="AN371" i="26"/>
  <c r="AM371" i="26"/>
  <c r="AL371" i="26"/>
  <c r="BL371" i="26" s="1"/>
  <c r="AK371" i="26"/>
  <c r="AJ371" i="26"/>
  <c r="AI371" i="26"/>
  <c r="AH371" i="26"/>
  <c r="AG371" i="26"/>
  <c r="AF371" i="26"/>
  <c r="AE371" i="26"/>
  <c r="AD371" i="26"/>
  <c r="AC371" i="26"/>
  <c r="AB371" i="26"/>
  <c r="AA371" i="26"/>
  <c r="Z371" i="26"/>
  <c r="Y371" i="26"/>
  <c r="X371" i="26"/>
  <c r="W371" i="26"/>
  <c r="V371" i="26"/>
  <c r="U371" i="26"/>
  <c r="T371" i="26"/>
  <c r="S371" i="26"/>
  <c r="R371" i="26"/>
  <c r="Q371" i="26"/>
  <c r="P371" i="26"/>
  <c r="O371" i="26"/>
  <c r="N371" i="26"/>
  <c r="M371" i="26"/>
  <c r="L371" i="26"/>
  <c r="K371" i="26"/>
  <c r="J371" i="26"/>
  <c r="I371" i="26"/>
  <c r="H371" i="26"/>
  <c r="G371" i="26"/>
  <c r="F371" i="26"/>
  <c r="E371" i="26"/>
  <c r="D371" i="26"/>
  <c r="C371" i="26"/>
  <c r="B371" i="26"/>
  <c r="BC370" i="26"/>
  <c r="BB370" i="26"/>
  <c r="BA370" i="26"/>
  <c r="AZ370" i="26"/>
  <c r="AY370" i="26"/>
  <c r="AX370" i="26"/>
  <c r="AW370" i="26"/>
  <c r="AV370" i="26"/>
  <c r="AU370" i="26"/>
  <c r="AT370" i="26"/>
  <c r="AS370" i="26"/>
  <c r="AR370" i="26"/>
  <c r="AQ370" i="26"/>
  <c r="AP370" i="26"/>
  <c r="AO370" i="26"/>
  <c r="AN370" i="26"/>
  <c r="AM370" i="26"/>
  <c r="AL370" i="26"/>
  <c r="AK370" i="26"/>
  <c r="AJ370" i="26"/>
  <c r="AI370" i="26"/>
  <c r="AH370" i="26"/>
  <c r="AG370" i="26"/>
  <c r="AF370" i="26"/>
  <c r="AE370" i="26"/>
  <c r="AD370" i="26"/>
  <c r="AC370" i="26"/>
  <c r="AB370" i="26"/>
  <c r="AA370" i="26"/>
  <c r="Z370" i="26"/>
  <c r="Y370" i="26"/>
  <c r="X370" i="26"/>
  <c r="W370" i="26"/>
  <c r="V370" i="26"/>
  <c r="U370" i="26"/>
  <c r="T370" i="26"/>
  <c r="S370" i="26"/>
  <c r="R370" i="26"/>
  <c r="Q370" i="26"/>
  <c r="P370" i="26"/>
  <c r="O370" i="26"/>
  <c r="N370" i="26"/>
  <c r="M370" i="26"/>
  <c r="L370" i="26"/>
  <c r="K370" i="26"/>
  <c r="J370" i="26"/>
  <c r="I370" i="26"/>
  <c r="H370" i="26"/>
  <c r="G370" i="26"/>
  <c r="F370" i="26"/>
  <c r="E370" i="26"/>
  <c r="BD370" i="26" s="1"/>
  <c r="D370" i="26"/>
  <c r="C370" i="26"/>
  <c r="B370" i="26"/>
  <c r="BC369" i="26"/>
  <c r="BB369" i="26"/>
  <c r="BA369" i="26"/>
  <c r="AZ369" i="26"/>
  <c r="AY369" i="26"/>
  <c r="AX369" i="26"/>
  <c r="AW369" i="26"/>
  <c r="AV369" i="26"/>
  <c r="AU369" i="26"/>
  <c r="AT369" i="26"/>
  <c r="AS369" i="26"/>
  <c r="AR369" i="26"/>
  <c r="AQ369" i="26"/>
  <c r="AP369" i="26"/>
  <c r="AO369" i="26"/>
  <c r="AN369" i="26"/>
  <c r="AM369" i="26"/>
  <c r="AL369" i="26"/>
  <c r="AK369" i="26"/>
  <c r="AJ369" i="26"/>
  <c r="AI369" i="26"/>
  <c r="AH369" i="26"/>
  <c r="AG369" i="26"/>
  <c r="AF369" i="26"/>
  <c r="AE369" i="26"/>
  <c r="AD369" i="26"/>
  <c r="BL369" i="26" s="1"/>
  <c r="AC369" i="26"/>
  <c r="AB369" i="26"/>
  <c r="AA369" i="26"/>
  <c r="Z369" i="26"/>
  <c r="Y369" i="26"/>
  <c r="X369" i="26"/>
  <c r="W369" i="26"/>
  <c r="V369" i="26"/>
  <c r="U369" i="26"/>
  <c r="T369" i="26"/>
  <c r="S369" i="26"/>
  <c r="R369" i="26"/>
  <c r="Q369" i="26"/>
  <c r="P369" i="26"/>
  <c r="O369" i="26"/>
  <c r="N369" i="26"/>
  <c r="M369" i="26"/>
  <c r="L369" i="26"/>
  <c r="K369" i="26"/>
  <c r="J369" i="26"/>
  <c r="I369" i="26"/>
  <c r="H369" i="26"/>
  <c r="G369" i="26"/>
  <c r="F369" i="26"/>
  <c r="E369" i="26"/>
  <c r="D369" i="26"/>
  <c r="C369" i="26"/>
  <c r="B369" i="26"/>
  <c r="BC368" i="26"/>
  <c r="BB368" i="26"/>
  <c r="BA368" i="26"/>
  <c r="AZ368" i="26"/>
  <c r="AY368" i="26"/>
  <c r="AX368" i="26"/>
  <c r="AW368" i="26"/>
  <c r="AV368" i="26"/>
  <c r="AU368" i="26"/>
  <c r="AT368" i="26"/>
  <c r="AS368" i="26"/>
  <c r="AR368" i="26"/>
  <c r="AQ368" i="26"/>
  <c r="AP368" i="26"/>
  <c r="AO368" i="26"/>
  <c r="AN368" i="26"/>
  <c r="AM368" i="26"/>
  <c r="AL368" i="26"/>
  <c r="AK368" i="26"/>
  <c r="BL368" i="26" s="1"/>
  <c r="AJ368" i="26"/>
  <c r="AI368" i="26"/>
  <c r="AH368" i="26"/>
  <c r="AG368" i="26"/>
  <c r="AF368" i="26"/>
  <c r="AE368" i="26"/>
  <c r="AD368" i="26"/>
  <c r="AC368" i="26"/>
  <c r="AB368" i="26"/>
  <c r="AA368" i="26"/>
  <c r="Z368" i="26"/>
  <c r="Y368" i="26"/>
  <c r="X368" i="26"/>
  <c r="W368" i="26"/>
  <c r="V368" i="26"/>
  <c r="U368" i="26"/>
  <c r="T368" i="26"/>
  <c r="S368" i="26"/>
  <c r="R368" i="26"/>
  <c r="Q368" i="26"/>
  <c r="P368" i="26"/>
  <c r="O368" i="26"/>
  <c r="N368" i="26"/>
  <c r="M368" i="26"/>
  <c r="L368" i="26"/>
  <c r="K368" i="26"/>
  <c r="J368" i="26"/>
  <c r="I368" i="26"/>
  <c r="H368" i="26"/>
  <c r="G368" i="26"/>
  <c r="F368" i="26"/>
  <c r="E368" i="26"/>
  <c r="D368" i="26"/>
  <c r="C368" i="26"/>
  <c r="B368" i="26"/>
  <c r="BC367" i="26"/>
  <c r="BB367" i="26"/>
  <c r="BA367" i="26"/>
  <c r="AZ367" i="26"/>
  <c r="AY367" i="26"/>
  <c r="AX367" i="26"/>
  <c r="AW367" i="26"/>
  <c r="AV367" i="26"/>
  <c r="AU367" i="26"/>
  <c r="AT367" i="26"/>
  <c r="AS367" i="26"/>
  <c r="AR367" i="26"/>
  <c r="AQ367" i="26"/>
  <c r="AP367" i="26"/>
  <c r="AO367" i="26"/>
  <c r="AN367" i="26"/>
  <c r="AM367" i="26"/>
  <c r="AL367" i="26"/>
  <c r="AK367" i="26"/>
  <c r="AJ367" i="26"/>
  <c r="AI367" i="26"/>
  <c r="AH367" i="26"/>
  <c r="AG367" i="26"/>
  <c r="AF367" i="26"/>
  <c r="AE367" i="26"/>
  <c r="AD367" i="26"/>
  <c r="AC367" i="26"/>
  <c r="AB367" i="26"/>
  <c r="AA367" i="26"/>
  <c r="Z367" i="26"/>
  <c r="Y367" i="26"/>
  <c r="X367" i="26"/>
  <c r="W367" i="26"/>
  <c r="V367" i="26"/>
  <c r="U367" i="26"/>
  <c r="T367" i="26"/>
  <c r="S367" i="26"/>
  <c r="R367" i="26"/>
  <c r="Q367" i="26"/>
  <c r="P367" i="26"/>
  <c r="O367" i="26"/>
  <c r="N367" i="26"/>
  <c r="M367" i="26"/>
  <c r="L367" i="26"/>
  <c r="K367" i="26"/>
  <c r="J367" i="26"/>
  <c r="I367" i="26"/>
  <c r="H367" i="26"/>
  <c r="G367" i="26"/>
  <c r="F367" i="26"/>
  <c r="E367" i="26"/>
  <c r="D367" i="26"/>
  <c r="BD367" i="26" s="1"/>
  <c r="C367" i="26"/>
  <c r="B367" i="26"/>
  <c r="BC366" i="26"/>
  <c r="BB366" i="26"/>
  <c r="BA366" i="26"/>
  <c r="AZ366" i="26"/>
  <c r="AY366" i="26"/>
  <c r="AX366" i="26"/>
  <c r="AW366" i="26"/>
  <c r="AV366" i="26"/>
  <c r="AU366" i="26"/>
  <c r="AT366" i="26"/>
  <c r="AS366" i="26"/>
  <c r="AR366" i="26"/>
  <c r="AQ366" i="26"/>
  <c r="AP366" i="26"/>
  <c r="AO366" i="26"/>
  <c r="AN366" i="26"/>
  <c r="BL366" i="26" s="1"/>
  <c r="AM366" i="26"/>
  <c r="AL366" i="26"/>
  <c r="AK366" i="26"/>
  <c r="AJ366" i="26"/>
  <c r="AI366" i="26"/>
  <c r="AH366" i="26"/>
  <c r="AG366" i="26"/>
  <c r="AF366" i="26"/>
  <c r="AE366" i="26"/>
  <c r="AD366" i="26"/>
  <c r="AC366" i="26"/>
  <c r="AB366" i="26"/>
  <c r="AA366" i="26"/>
  <c r="Z366" i="26"/>
  <c r="Y366" i="26"/>
  <c r="X366" i="26"/>
  <c r="W366" i="26"/>
  <c r="V366" i="26"/>
  <c r="U366" i="26"/>
  <c r="T366" i="26"/>
  <c r="S366" i="26"/>
  <c r="R366" i="26"/>
  <c r="Q366" i="26"/>
  <c r="P366" i="26"/>
  <c r="O366" i="26"/>
  <c r="N366" i="26"/>
  <c r="M366" i="26"/>
  <c r="L366" i="26"/>
  <c r="K366" i="26"/>
  <c r="J366" i="26"/>
  <c r="I366" i="26"/>
  <c r="H366" i="26"/>
  <c r="BD366" i="26" s="1"/>
  <c r="G366" i="26"/>
  <c r="F366" i="26"/>
  <c r="E366" i="26"/>
  <c r="D366" i="26"/>
  <c r="C366" i="26"/>
  <c r="B366" i="26"/>
  <c r="BC365" i="26"/>
  <c r="BB365" i="26"/>
  <c r="BA365" i="26"/>
  <c r="AZ365" i="26"/>
  <c r="AY365" i="26"/>
  <c r="AX365" i="26"/>
  <c r="AW365" i="26"/>
  <c r="AV365" i="26"/>
  <c r="AU365" i="26"/>
  <c r="AT365" i="26"/>
  <c r="AS365" i="26"/>
  <c r="AR365" i="26"/>
  <c r="AQ365" i="26"/>
  <c r="AP365" i="26"/>
  <c r="AO365" i="26"/>
  <c r="AN365" i="26"/>
  <c r="AM365" i="26"/>
  <c r="AL365" i="26"/>
  <c r="AK365" i="26"/>
  <c r="AJ365" i="26"/>
  <c r="AI365" i="26"/>
  <c r="AH365" i="26"/>
  <c r="AG365" i="26"/>
  <c r="AF365" i="26"/>
  <c r="AE365" i="26"/>
  <c r="AD365" i="26"/>
  <c r="AC365" i="26"/>
  <c r="BL365" i="26" s="1"/>
  <c r="AB365" i="26"/>
  <c r="AA365" i="26"/>
  <c r="Z365" i="26"/>
  <c r="Y365" i="26"/>
  <c r="X365" i="26"/>
  <c r="W365" i="26"/>
  <c r="V365" i="26"/>
  <c r="U365" i="26"/>
  <c r="T365" i="26"/>
  <c r="S365" i="26"/>
  <c r="R365" i="26"/>
  <c r="Q365" i="26"/>
  <c r="P365" i="26"/>
  <c r="O365" i="26"/>
  <c r="N365" i="26"/>
  <c r="M365" i="26"/>
  <c r="L365" i="26"/>
  <c r="K365" i="26"/>
  <c r="J365" i="26"/>
  <c r="I365" i="26"/>
  <c r="H365" i="26"/>
  <c r="G365" i="26"/>
  <c r="F365" i="26"/>
  <c r="E365" i="26"/>
  <c r="D365" i="26"/>
  <c r="C365" i="26"/>
  <c r="B365" i="26"/>
  <c r="BC364" i="26"/>
  <c r="BB364" i="26"/>
  <c r="BA364" i="26"/>
  <c r="AZ364" i="26"/>
  <c r="AY364" i="26"/>
  <c r="AX364" i="26"/>
  <c r="AW364" i="26"/>
  <c r="AV364" i="26"/>
  <c r="AU364" i="26"/>
  <c r="AT364" i="26"/>
  <c r="AS364" i="26"/>
  <c r="AR364" i="26"/>
  <c r="AQ364" i="26"/>
  <c r="AP364" i="26"/>
  <c r="AO364" i="26"/>
  <c r="AN364" i="26"/>
  <c r="AM364" i="26"/>
  <c r="AL364" i="26"/>
  <c r="AK364" i="26"/>
  <c r="AJ364" i="26"/>
  <c r="AI364" i="26"/>
  <c r="AH364" i="26"/>
  <c r="AG364" i="26"/>
  <c r="AF364" i="26"/>
  <c r="AE364" i="26"/>
  <c r="AD364" i="26"/>
  <c r="AC364" i="26"/>
  <c r="AB364" i="26"/>
  <c r="AA364" i="26"/>
  <c r="Z364" i="26"/>
  <c r="Y364" i="26"/>
  <c r="X364" i="26"/>
  <c r="W364" i="26"/>
  <c r="V364" i="26"/>
  <c r="U364" i="26"/>
  <c r="T364" i="26"/>
  <c r="S364" i="26"/>
  <c r="R364" i="26"/>
  <c r="Q364" i="26"/>
  <c r="P364" i="26"/>
  <c r="O364" i="26"/>
  <c r="N364" i="26"/>
  <c r="M364" i="26"/>
  <c r="L364" i="26"/>
  <c r="K364" i="26"/>
  <c r="J364" i="26"/>
  <c r="I364" i="26"/>
  <c r="H364" i="26"/>
  <c r="G364" i="26"/>
  <c r="F364" i="26"/>
  <c r="E364" i="26"/>
  <c r="D364" i="26"/>
  <c r="C364" i="26"/>
  <c r="BD364" i="26" s="1"/>
  <c r="B364" i="26"/>
  <c r="BC363" i="26"/>
  <c r="BB363" i="26"/>
  <c r="BA363" i="26"/>
  <c r="AZ363" i="26"/>
  <c r="AY363" i="26"/>
  <c r="AX363" i="26"/>
  <c r="AW363" i="26"/>
  <c r="AV363" i="26"/>
  <c r="AU363" i="26"/>
  <c r="AT363" i="26"/>
  <c r="AS363" i="26"/>
  <c r="AR363" i="26"/>
  <c r="AQ363" i="26"/>
  <c r="AP363" i="26"/>
  <c r="AO363" i="26"/>
  <c r="AN363" i="26"/>
  <c r="AM363" i="26"/>
  <c r="AL363" i="26"/>
  <c r="AK363" i="26"/>
  <c r="AJ363" i="26"/>
  <c r="AI363" i="26"/>
  <c r="AH363" i="26"/>
  <c r="AG363" i="26"/>
  <c r="AF363" i="26"/>
  <c r="AE363" i="26"/>
  <c r="AD363" i="26"/>
  <c r="AC363" i="26"/>
  <c r="AB363" i="26"/>
  <c r="AA363" i="26"/>
  <c r="Z363" i="26"/>
  <c r="Y363" i="26"/>
  <c r="X363" i="26"/>
  <c r="W363" i="26"/>
  <c r="V363" i="26"/>
  <c r="U363" i="26"/>
  <c r="T363" i="26"/>
  <c r="S363" i="26"/>
  <c r="R363" i="26"/>
  <c r="Q363" i="26"/>
  <c r="P363" i="26"/>
  <c r="O363" i="26"/>
  <c r="N363" i="26"/>
  <c r="M363" i="26"/>
  <c r="L363" i="26"/>
  <c r="K363" i="26"/>
  <c r="J363" i="26"/>
  <c r="I363" i="26"/>
  <c r="H363" i="26"/>
  <c r="BD363" i="26" s="1"/>
  <c r="G363" i="26"/>
  <c r="F363" i="26"/>
  <c r="E363" i="26"/>
  <c r="D363" i="26"/>
  <c r="C363" i="26"/>
  <c r="B363" i="26"/>
  <c r="BC362" i="26"/>
  <c r="BB362" i="26"/>
  <c r="BA362" i="26"/>
  <c r="AZ362" i="26"/>
  <c r="AY362" i="26"/>
  <c r="AX362" i="26"/>
  <c r="AW362" i="26"/>
  <c r="AV362" i="26"/>
  <c r="AU362" i="26"/>
  <c r="AT362" i="26"/>
  <c r="AS362" i="26"/>
  <c r="AR362" i="26"/>
  <c r="AQ362" i="26"/>
  <c r="AP362" i="26"/>
  <c r="AO362" i="26"/>
  <c r="AN362" i="26"/>
  <c r="AM362" i="26"/>
  <c r="AL362" i="26"/>
  <c r="AK362" i="26"/>
  <c r="AJ362" i="26"/>
  <c r="AI362" i="26"/>
  <c r="AH362" i="26"/>
  <c r="AG362" i="26"/>
  <c r="AF362" i="26"/>
  <c r="AE362" i="26"/>
  <c r="AD362" i="26"/>
  <c r="AC362" i="26"/>
  <c r="BL362" i="26" s="1"/>
  <c r="AB362" i="26"/>
  <c r="AA362" i="26"/>
  <c r="Z362" i="26"/>
  <c r="Y362" i="26"/>
  <c r="X362" i="26"/>
  <c r="W362" i="26"/>
  <c r="V362" i="26"/>
  <c r="U362" i="26"/>
  <c r="T362" i="26"/>
  <c r="S362" i="26"/>
  <c r="R362" i="26"/>
  <c r="Q362" i="26"/>
  <c r="P362" i="26"/>
  <c r="O362" i="26"/>
  <c r="N362" i="26"/>
  <c r="M362" i="26"/>
  <c r="L362" i="26"/>
  <c r="K362" i="26"/>
  <c r="J362" i="26"/>
  <c r="I362" i="26"/>
  <c r="H362" i="26"/>
  <c r="G362" i="26"/>
  <c r="F362" i="26"/>
  <c r="E362" i="26"/>
  <c r="D362" i="26"/>
  <c r="C362" i="26"/>
  <c r="B362" i="26"/>
  <c r="BD362" i="26" s="1"/>
  <c r="BC361" i="26"/>
  <c r="BB361" i="26"/>
  <c r="BA361" i="26"/>
  <c r="AZ361" i="26"/>
  <c r="AY361" i="26"/>
  <c r="AX361" i="26"/>
  <c r="AW361" i="26"/>
  <c r="AV361" i="26"/>
  <c r="AU361" i="26"/>
  <c r="AT361" i="26"/>
  <c r="AS361" i="26"/>
  <c r="AR361" i="26"/>
  <c r="AQ361" i="26"/>
  <c r="AP361" i="26"/>
  <c r="AO361" i="26"/>
  <c r="AN361" i="26"/>
  <c r="AM361" i="26"/>
  <c r="AL361" i="26"/>
  <c r="AK361" i="26"/>
  <c r="AJ361" i="26"/>
  <c r="AI361" i="26"/>
  <c r="AH361" i="26"/>
  <c r="AG361" i="26"/>
  <c r="AF361" i="26"/>
  <c r="AE361" i="26"/>
  <c r="AD361" i="26"/>
  <c r="AC361" i="26"/>
  <c r="AB361" i="26"/>
  <c r="AA361" i="26"/>
  <c r="Z361" i="26"/>
  <c r="Y361" i="26"/>
  <c r="X361" i="26"/>
  <c r="W361" i="26"/>
  <c r="V361" i="26"/>
  <c r="U361" i="26"/>
  <c r="T361" i="26"/>
  <c r="S361" i="26"/>
  <c r="R361" i="26"/>
  <c r="Q361" i="26"/>
  <c r="P361" i="26"/>
  <c r="O361" i="26"/>
  <c r="N361" i="26"/>
  <c r="M361" i="26"/>
  <c r="L361" i="26"/>
  <c r="K361" i="26"/>
  <c r="J361" i="26"/>
  <c r="I361" i="26"/>
  <c r="H361" i="26"/>
  <c r="BD361" i="26" s="1"/>
  <c r="G361" i="26"/>
  <c r="F361" i="26"/>
  <c r="E361" i="26"/>
  <c r="D361" i="26"/>
  <c r="C361" i="26"/>
  <c r="B361" i="26"/>
  <c r="BC360" i="26"/>
  <c r="BB360" i="26"/>
  <c r="BA360" i="26"/>
  <c r="AZ360" i="26"/>
  <c r="AY360" i="26"/>
  <c r="AX360" i="26"/>
  <c r="AW360" i="26"/>
  <c r="AV360" i="26"/>
  <c r="AU360" i="26"/>
  <c r="AT360" i="26"/>
  <c r="AS360" i="26"/>
  <c r="AR360" i="26"/>
  <c r="AQ360" i="26"/>
  <c r="AP360" i="26"/>
  <c r="AO360" i="26"/>
  <c r="AN360" i="26"/>
  <c r="AM360" i="26"/>
  <c r="AL360" i="26"/>
  <c r="AK360" i="26"/>
  <c r="AJ360" i="26"/>
  <c r="AI360" i="26"/>
  <c r="AH360" i="26"/>
  <c r="AG360" i="26"/>
  <c r="AF360" i="26"/>
  <c r="AE360" i="26"/>
  <c r="AD360" i="26"/>
  <c r="AC360" i="26"/>
  <c r="AB360" i="26"/>
  <c r="AA360" i="26"/>
  <c r="Z360" i="26"/>
  <c r="Y360" i="26"/>
  <c r="X360" i="26"/>
  <c r="W360" i="26"/>
  <c r="V360" i="26"/>
  <c r="U360" i="26"/>
  <c r="T360" i="26"/>
  <c r="S360" i="26"/>
  <c r="R360" i="26"/>
  <c r="Q360" i="26"/>
  <c r="P360" i="26"/>
  <c r="O360" i="26"/>
  <c r="N360" i="26"/>
  <c r="M360" i="26"/>
  <c r="L360" i="26"/>
  <c r="K360" i="26"/>
  <c r="J360" i="26"/>
  <c r="I360" i="26"/>
  <c r="H360" i="26"/>
  <c r="G360" i="26"/>
  <c r="F360" i="26"/>
  <c r="BD360" i="26" s="1"/>
  <c r="E360" i="26"/>
  <c r="D360" i="26"/>
  <c r="C360" i="26"/>
  <c r="B360" i="26"/>
  <c r="BC359" i="26"/>
  <c r="BB359" i="26"/>
  <c r="BA359" i="26"/>
  <c r="AZ359" i="26"/>
  <c r="AY359" i="26"/>
  <c r="AX359" i="26"/>
  <c r="AW359" i="26"/>
  <c r="AV359" i="26"/>
  <c r="AU359" i="26"/>
  <c r="AT359" i="26"/>
  <c r="AS359" i="26"/>
  <c r="AR359" i="26"/>
  <c r="AQ359" i="26"/>
  <c r="AP359" i="26"/>
  <c r="AO359" i="26"/>
  <c r="AN359" i="26"/>
  <c r="AM359" i="26"/>
  <c r="AL359" i="26"/>
  <c r="AK359" i="26"/>
  <c r="AJ359" i="26"/>
  <c r="AI359" i="26"/>
  <c r="AH359" i="26"/>
  <c r="AG359" i="26"/>
  <c r="AF359" i="26"/>
  <c r="AE359" i="26"/>
  <c r="AD359" i="26"/>
  <c r="AC359" i="26"/>
  <c r="BL359" i="26" s="1"/>
  <c r="AB359" i="26"/>
  <c r="AA359" i="26"/>
  <c r="Z359" i="26"/>
  <c r="Y359" i="26"/>
  <c r="X359" i="26"/>
  <c r="W359" i="26"/>
  <c r="V359" i="26"/>
  <c r="U359" i="26"/>
  <c r="T359" i="26"/>
  <c r="S359" i="26"/>
  <c r="R359" i="26"/>
  <c r="Q359" i="26"/>
  <c r="P359" i="26"/>
  <c r="O359" i="26"/>
  <c r="N359" i="26"/>
  <c r="M359" i="26"/>
  <c r="L359" i="26"/>
  <c r="K359" i="26"/>
  <c r="J359" i="26"/>
  <c r="I359" i="26"/>
  <c r="H359" i="26"/>
  <c r="G359" i="26"/>
  <c r="F359" i="26"/>
  <c r="E359" i="26"/>
  <c r="D359" i="26"/>
  <c r="C359" i="26"/>
  <c r="B359" i="26"/>
  <c r="BD359" i="26" s="1"/>
  <c r="BC358" i="26"/>
  <c r="BB358" i="26"/>
  <c r="BA358" i="26"/>
  <c r="AZ358" i="26"/>
  <c r="AY358" i="26"/>
  <c r="AX358" i="26"/>
  <c r="AW358" i="26"/>
  <c r="AV358" i="26"/>
  <c r="AU358" i="26"/>
  <c r="AT358" i="26"/>
  <c r="AS358" i="26"/>
  <c r="AR358" i="26"/>
  <c r="AQ358" i="26"/>
  <c r="AP358" i="26"/>
  <c r="AO358" i="26"/>
  <c r="AN358" i="26"/>
  <c r="AM358" i="26"/>
  <c r="AL358" i="26"/>
  <c r="AK358" i="26"/>
  <c r="AJ358" i="26"/>
  <c r="AI358" i="26"/>
  <c r="AH358" i="26"/>
  <c r="AG358" i="26"/>
  <c r="AF358" i="26"/>
  <c r="AE358" i="26"/>
  <c r="AD358" i="26"/>
  <c r="AC358" i="26"/>
  <c r="AB358" i="26"/>
  <c r="AA358" i="26"/>
  <c r="Z358" i="26"/>
  <c r="Y358" i="26"/>
  <c r="X358" i="26"/>
  <c r="W358" i="26"/>
  <c r="V358" i="26"/>
  <c r="U358" i="26"/>
  <c r="T358" i="26"/>
  <c r="S358" i="26"/>
  <c r="R358" i="26"/>
  <c r="Q358" i="26"/>
  <c r="P358" i="26"/>
  <c r="O358" i="26"/>
  <c r="N358" i="26"/>
  <c r="M358" i="26"/>
  <c r="L358" i="26"/>
  <c r="K358" i="26"/>
  <c r="J358" i="26"/>
  <c r="I358" i="26"/>
  <c r="H358" i="26"/>
  <c r="G358" i="26"/>
  <c r="F358" i="26"/>
  <c r="E358" i="26"/>
  <c r="D358" i="26"/>
  <c r="C358" i="26"/>
  <c r="B358" i="26"/>
  <c r="BD358" i="26" s="1"/>
  <c r="BC357" i="26"/>
  <c r="BB357" i="26"/>
  <c r="BA357" i="26"/>
  <c r="AZ357" i="26"/>
  <c r="AY357" i="26"/>
  <c r="AX357" i="26"/>
  <c r="AW357" i="26"/>
  <c r="AV357" i="26"/>
  <c r="AU357" i="26"/>
  <c r="AT357" i="26"/>
  <c r="AS357" i="26"/>
  <c r="AR357" i="26"/>
  <c r="AQ357" i="26"/>
  <c r="AP357" i="26"/>
  <c r="AO357" i="26"/>
  <c r="AN357" i="26"/>
  <c r="AM357" i="26"/>
  <c r="AL357" i="26"/>
  <c r="AK357" i="26"/>
  <c r="AJ357" i="26"/>
  <c r="AI357" i="26"/>
  <c r="AH357" i="26"/>
  <c r="AG357" i="26"/>
  <c r="AF357" i="26"/>
  <c r="AE357" i="26"/>
  <c r="AD357" i="26"/>
  <c r="AC357" i="26"/>
  <c r="AB357" i="26"/>
  <c r="AA357" i="26"/>
  <c r="Z357" i="26"/>
  <c r="Y357" i="26"/>
  <c r="X357" i="26"/>
  <c r="W357" i="26"/>
  <c r="V357" i="26"/>
  <c r="U357" i="26"/>
  <c r="T357" i="26"/>
  <c r="S357" i="26"/>
  <c r="R357" i="26"/>
  <c r="Q357" i="26"/>
  <c r="P357" i="26"/>
  <c r="O357" i="26"/>
  <c r="N357" i="26"/>
  <c r="M357" i="26"/>
  <c r="L357" i="26"/>
  <c r="K357" i="26"/>
  <c r="J357" i="26"/>
  <c r="I357" i="26"/>
  <c r="H357" i="26"/>
  <c r="G357" i="26"/>
  <c r="F357" i="26"/>
  <c r="E357" i="26"/>
  <c r="D357" i="26"/>
  <c r="C357" i="26"/>
  <c r="B357" i="26"/>
  <c r="BD357" i="26" s="1"/>
  <c r="BL356" i="26"/>
  <c r="BC356" i="26"/>
  <c r="BB356" i="26"/>
  <c r="BA356" i="26"/>
  <c r="AZ356" i="26"/>
  <c r="AY356" i="26"/>
  <c r="AX356" i="26"/>
  <c r="AW356" i="26"/>
  <c r="AV356" i="26"/>
  <c r="AU356" i="26"/>
  <c r="AT356" i="26"/>
  <c r="AS356" i="26"/>
  <c r="AR356" i="26"/>
  <c r="AQ356" i="26"/>
  <c r="AP356" i="26"/>
  <c r="AO356" i="26"/>
  <c r="AN356" i="26"/>
  <c r="AM356" i="26"/>
  <c r="AL356" i="26"/>
  <c r="AK356" i="26"/>
  <c r="AJ356" i="26"/>
  <c r="AI356" i="26"/>
  <c r="AH356" i="26"/>
  <c r="AG356" i="26"/>
  <c r="AF356" i="26"/>
  <c r="AE356" i="26"/>
  <c r="AD356" i="26"/>
  <c r="AC356" i="26"/>
  <c r="AB356" i="26"/>
  <c r="AA356" i="26"/>
  <c r="Z356" i="26"/>
  <c r="Y356" i="26"/>
  <c r="X356" i="26"/>
  <c r="W356" i="26"/>
  <c r="V356" i="26"/>
  <c r="U356" i="26"/>
  <c r="T356" i="26"/>
  <c r="S356" i="26"/>
  <c r="R356" i="26"/>
  <c r="Q356" i="26"/>
  <c r="P356" i="26"/>
  <c r="O356" i="26"/>
  <c r="N356" i="26"/>
  <c r="M356" i="26"/>
  <c r="L356" i="26"/>
  <c r="K356" i="26"/>
  <c r="J356" i="26"/>
  <c r="I356" i="26"/>
  <c r="H356" i="26"/>
  <c r="G356" i="26"/>
  <c r="F356" i="26"/>
  <c r="E356" i="26"/>
  <c r="D356" i="26"/>
  <c r="C356" i="26"/>
  <c r="B356" i="26"/>
  <c r="BC355" i="26"/>
  <c r="BB355" i="26"/>
  <c r="BA355" i="26"/>
  <c r="AZ355" i="26"/>
  <c r="AY355" i="26"/>
  <c r="AX355" i="26"/>
  <c r="AW355" i="26"/>
  <c r="AV355" i="26"/>
  <c r="AU355" i="26"/>
  <c r="AT355" i="26"/>
  <c r="AS355" i="26"/>
  <c r="AR355" i="26"/>
  <c r="AQ355" i="26"/>
  <c r="AP355" i="26"/>
  <c r="AO355" i="26"/>
  <c r="AN355" i="26"/>
  <c r="AM355" i="26"/>
  <c r="AL355" i="26"/>
  <c r="AK355" i="26"/>
  <c r="AJ355" i="26"/>
  <c r="AI355" i="26"/>
  <c r="AH355" i="26"/>
  <c r="AG355" i="26"/>
  <c r="AF355" i="26"/>
  <c r="AE355" i="26"/>
  <c r="BL355" i="26" s="1"/>
  <c r="AD355" i="26"/>
  <c r="AC355" i="26"/>
  <c r="AB355" i="26"/>
  <c r="AA355" i="26"/>
  <c r="Z355" i="26"/>
  <c r="Y355" i="26"/>
  <c r="X355" i="26"/>
  <c r="W355" i="26"/>
  <c r="V355" i="26"/>
  <c r="U355" i="26"/>
  <c r="T355" i="26"/>
  <c r="S355" i="26"/>
  <c r="R355" i="26"/>
  <c r="Q355" i="26"/>
  <c r="P355" i="26"/>
  <c r="O355" i="26"/>
  <c r="N355" i="26"/>
  <c r="M355" i="26"/>
  <c r="L355" i="26"/>
  <c r="K355" i="26"/>
  <c r="J355" i="26"/>
  <c r="I355" i="26"/>
  <c r="H355" i="26"/>
  <c r="G355" i="26"/>
  <c r="F355" i="26"/>
  <c r="E355" i="26"/>
  <c r="D355" i="26"/>
  <c r="C355" i="26"/>
  <c r="B355" i="26"/>
  <c r="BC354" i="26"/>
  <c r="BB354" i="26"/>
  <c r="BA354" i="26"/>
  <c r="AZ354" i="26"/>
  <c r="AY354" i="26"/>
  <c r="AX354" i="26"/>
  <c r="AW354" i="26"/>
  <c r="AV354" i="26"/>
  <c r="AU354" i="26"/>
  <c r="AT354" i="26"/>
  <c r="AS354" i="26"/>
  <c r="AR354" i="26"/>
  <c r="AQ354" i="26"/>
  <c r="AP354" i="26"/>
  <c r="AO354" i="26"/>
  <c r="AN354" i="26"/>
  <c r="AM354" i="26"/>
  <c r="AL354" i="26"/>
  <c r="AK354" i="26"/>
  <c r="AJ354" i="26"/>
  <c r="AI354" i="26"/>
  <c r="AH354" i="26"/>
  <c r="AG354" i="26"/>
  <c r="AF354" i="26"/>
  <c r="AE354" i="26"/>
  <c r="AD354" i="26"/>
  <c r="AC354" i="26"/>
  <c r="AB354" i="26"/>
  <c r="AA354" i="26"/>
  <c r="Z354" i="26"/>
  <c r="Y354" i="26"/>
  <c r="X354" i="26"/>
  <c r="W354" i="26"/>
  <c r="V354" i="26"/>
  <c r="U354" i="26"/>
  <c r="T354" i="26"/>
  <c r="S354" i="26"/>
  <c r="R354" i="26"/>
  <c r="Q354" i="26"/>
  <c r="P354" i="26"/>
  <c r="O354" i="26"/>
  <c r="N354" i="26"/>
  <c r="M354" i="26"/>
  <c r="L354" i="26"/>
  <c r="K354" i="26"/>
  <c r="J354" i="26"/>
  <c r="I354" i="26"/>
  <c r="H354" i="26"/>
  <c r="G354" i="26"/>
  <c r="F354" i="26"/>
  <c r="BD354" i="26" s="1"/>
  <c r="E354" i="26"/>
  <c r="D354" i="26"/>
  <c r="C354" i="26"/>
  <c r="B354" i="26"/>
  <c r="BC353" i="26"/>
  <c r="BB353" i="26"/>
  <c r="BA353" i="26"/>
  <c r="AZ353" i="26"/>
  <c r="AY353" i="26"/>
  <c r="AX353" i="26"/>
  <c r="AW353" i="26"/>
  <c r="AV353" i="26"/>
  <c r="AU353" i="26"/>
  <c r="AT353" i="26"/>
  <c r="AS353" i="26"/>
  <c r="AR353" i="26"/>
  <c r="AQ353" i="26"/>
  <c r="AP353" i="26"/>
  <c r="AO353" i="26"/>
  <c r="AN353" i="26"/>
  <c r="AM353" i="26"/>
  <c r="AL353" i="26"/>
  <c r="AK353" i="26"/>
  <c r="AJ353" i="26"/>
  <c r="AI353" i="26"/>
  <c r="AH353" i="26"/>
  <c r="AG353" i="26"/>
  <c r="AF353" i="26"/>
  <c r="AE353" i="26"/>
  <c r="AD353" i="26"/>
  <c r="AC353" i="26"/>
  <c r="AB353" i="26"/>
  <c r="AA353" i="26"/>
  <c r="Z353" i="26"/>
  <c r="Y353" i="26"/>
  <c r="X353" i="26"/>
  <c r="W353" i="26"/>
  <c r="V353" i="26"/>
  <c r="U353" i="26"/>
  <c r="T353" i="26"/>
  <c r="S353" i="26"/>
  <c r="R353" i="26"/>
  <c r="Q353" i="26"/>
  <c r="P353" i="26"/>
  <c r="O353" i="26"/>
  <c r="N353" i="26"/>
  <c r="M353" i="26"/>
  <c r="L353" i="26"/>
  <c r="K353" i="26"/>
  <c r="J353" i="26"/>
  <c r="I353" i="26"/>
  <c r="H353" i="26"/>
  <c r="G353" i="26"/>
  <c r="F353" i="26"/>
  <c r="E353" i="26"/>
  <c r="D353" i="26"/>
  <c r="C353" i="26"/>
  <c r="B353" i="26"/>
  <c r="BL352" i="26"/>
  <c r="BC352" i="26"/>
  <c r="BB352" i="26"/>
  <c r="BA352" i="26"/>
  <c r="AZ352" i="26"/>
  <c r="AY352" i="26"/>
  <c r="AX352" i="26"/>
  <c r="AW352" i="26"/>
  <c r="AV352" i="26"/>
  <c r="AU352" i="26"/>
  <c r="AT352" i="26"/>
  <c r="AS352" i="26"/>
  <c r="AR352" i="26"/>
  <c r="AQ352" i="26"/>
  <c r="AP352" i="26"/>
  <c r="AO352" i="26"/>
  <c r="AN352" i="26"/>
  <c r="AM352" i="26"/>
  <c r="AL352" i="26"/>
  <c r="AK352" i="26"/>
  <c r="AJ352" i="26"/>
  <c r="AI352" i="26"/>
  <c r="AH352" i="26"/>
  <c r="AG352" i="26"/>
  <c r="AF352" i="26"/>
  <c r="AE352" i="26"/>
  <c r="AD352" i="26"/>
  <c r="AC352" i="26"/>
  <c r="AB352" i="26"/>
  <c r="AA352" i="26"/>
  <c r="Z352" i="26"/>
  <c r="Y352" i="26"/>
  <c r="X352" i="26"/>
  <c r="W352" i="26"/>
  <c r="V352" i="26"/>
  <c r="U352" i="26"/>
  <c r="T352" i="26"/>
  <c r="S352" i="26"/>
  <c r="R352" i="26"/>
  <c r="Q352" i="26"/>
  <c r="P352" i="26"/>
  <c r="O352" i="26"/>
  <c r="N352" i="26"/>
  <c r="M352" i="26"/>
  <c r="L352" i="26"/>
  <c r="K352" i="26"/>
  <c r="J352" i="26"/>
  <c r="I352" i="26"/>
  <c r="H352" i="26"/>
  <c r="G352" i="26"/>
  <c r="F352" i="26"/>
  <c r="E352" i="26"/>
  <c r="D352" i="26"/>
  <c r="C352" i="26"/>
  <c r="B352" i="26"/>
  <c r="BC351" i="26"/>
  <c r="BB351" i="26"/>
  <c r="BA351" i="26"/>
  <c r="AZ351" i="26"/>
  <c r="AY351" i="26"/>
  <c r="AX351" i="26"/>
  <c r="AW351" i="26"/>
  <c r="AV351" i="26"/>
  <c r="AU351" i="26"/>
  <c r="AT351" i="26"/>
  <c r="AS351" i="26"/>
  <c r="AR351" i="26"/>
  <c r="AQ351" i="26"/>
  <c r="AP351" i="26"/>
  <c r="AO351" i="26"/>
  <c r="AN351" i="26"/>
  <c r="AM351" i="26"/>
  <c r="AL351" i="26"/>
  <c r="AK351" i="26"/>
  <c r="AJ351" i="26"/>
  <c r="AI351" i="26"/>
  <c r="AH351" i="26"/>
  <c r="AG351" i="26"/>
  <c r="AF351" i="26"/>
  <c r="AE351" i="26"/>
  <c r="AD351" i="26"/>
  <c r="AC351" i="26"/>
  <c r="AB351" i="26"/>
  <c r="AA351" i="26"/>
  <c r="Z351" i="26"/>
  <c r="Y351" i="26"/>
  <c r="X351" i="26"/>
  <c r="W351" i="26"/>
  <c r="V351" i="26"/>
  <c r="U351" i="26"/>
  <c r="T351" i="26"/>
  <c r="S351" i="26"/>
  <c r="R351" i="26"/>
  <c r="Q351" i="26"/>
  <c r="P351" i="26"/>
  <c r="O351" i="26"/>
  <c r="N351" i="26"/>
  <c r="M351" i="26"/>
  <c r="L351" i="26"/>
  <c r="K351" i="26"/>
  <c r="J351" i="26"/>
  <c r="I351" i="26"/>
  <c r="H351" i="26"/>
  <c r="G351" i="26"/>
  <c r="F351" i="26"/>
  <c r="E351" i="26"/>
  <c r="D351" i="26"/>
  <c r="C351" i="26"/>
  <c r="BD351" i="26" s="1"/>
  <c r="B351" i="26"/>
  <c r="BC350" i="26"/>
  <c r="BB350" i="26"/>
  <c r="BA350" i="26"/>
  <c r="AZ350" i="26"/>
  <c r="AY350" i="26"/>
  <c r="AX350" i="26"/>
  <c r="AW350" i="26"/>
  <c r="AV350" i="26"/>
  <c r="AU350" i="26"/>
  <c r="AT350" i="26"/>
  <c r="AS350" i="26"/>
  <c r="AR350" i="26"/>
  <c r="AQ350" i="26"/>
  <c r="AP350" i="26"/>
  <c r="AO350" i="26"/>
  <c r="AN350" i="26"/>
  <c r="AM350" i="26"/>
  <c r="AL350" i="26"/>
  <c r="AK350" i="26"/>
  <c r="AJ350" i="26"/>
  <c r="AI350" i="26"/>
  <c r="AH350" i="26"/>
  <c r="AG350" i="26"/>
  <c r="AF350" i="26"/>
  <c r="AE350" i="26"/>
  <c r="AD350" i="26"/>
  <c r="AC350" i="26"/>
  <c r="AB350" i="26"/>
  <c r="AA350" i="26"/>
  <c r="Z350" i="26"/>
  <c r="Y350" i="26"/>
  <c r="X350" i="26"/>
  <c r="W350" i="26"/>
  <c r="V350" i="26"/>
  <c r="U350" i="26"/>
  <c r="T350" i="26"/>
  <c r="S350" i="26"/>
  <c r="R350" i="26"/>
  <c r="Q350" i="26"/>
  <c r="P350" i="26"/>
  <c r="O350" i="26"/>
  <c r="N350" i="26"/>
  <c r="M350" i="26"/>
  <c r="L350" i="26"/>
  <c r="K350" i="26"/>
  <c r="J350" i="26"/>
  <c r="I350" i="26"/>
  <c r="H350" i="26"/>
  <c r="G350" i="26"/>
  <c r="F350" i="26"/>
  <c r="E350" i="26"/>
  <c r="BD350" i="26" s="1"/>
  <c r="BE350" i="26" s="1"/>
  <c r="D350" i="26"/>
  <c r="C350" i="26"/>
  <c r="B350" i="26"/>
  <c r="BC349" i="26"/>
  <c r="BB349" i="26"/>
  <c r="BA349" i="26"/>
  <c r="AZ349" i="26"/>
  <c r="AY349" i="26"/>
  <c r="AX349" i="26"/>
  <c r="AW349" i="26"/>
  <c r="AV349" i="26"/>
  <c r="AU349" i="26"/>
  <c r="AT349" i="26"/>
  <c r="AS349" i="26"/>
  <c r="AR349" i="26"/>
  <c r="AQ349" i="26"/>
  <c r="AP349" i="26"/>
  <c r="AO349" i="26"/>
  <c r="AN349" i="26"/>
  <c r="AM349" i="26"/>
  <c r="AL349" i="26"/>
  <c r="AK349" i="26"/>
  <c r="AJ349" i="26"/>
  <c r="AI349" i="26"/>
  <c r="AH349" i="26"/>
  <c r="AG349" i="26"/>
  <c r="AF349" i="26"/>
  <c r="AE349" i="26"/>
  <c r="AD349" i="26"/>
  <c r="AC349" i="26"/>
  <c r="AB349" i="26"/>
  <c r="AA349" i="26"/>
  <c r="Z349" i="26"/>
  <c r="Y349" i="26"/>
  <c r="X349" i="26"/>
  <c r="W349" i="26"/>
  <c r="V349" i="26"/>
  <c r="U349" i="26"/>
  <c r="T349" i="26"/>
  <c r="S349" i="26"/>
  <c r="R349" i="26"/>
  <c r="Q349" i="26"/>
  <c r="P349" i="26"/>
  <c r="O349" i="26"/>
  <c r="N349" i="26"/>
  <c r="M349" i="26"/>
  <c r="L349" i="26"/>
  <c r="K349" i="26"/>
  <c r="J349" i="26"/>
  <c r="I349" i="26"/>
  <c r="H349" i="26"/>
  <c r="G349" i="26"/>
  <c r="F349" i="26"/>
  <c r="E349" i="26"/>
  <c r="D349" i="26"/>
  <c r="C349" i="26"/>
  <c r="B349" i="26"/>
  <c r="BC348" i="26"/>
  <c r="BB348" i="26"/>
  <c r="BA348" i="26"/>
  <c r="AZ348" i="26"/>
  <c r="AY348" i="26"/>
  <c r="AX348" i="26"/>
  <c r="AW348" i="26"/>
  <c r="AV348" i="26"/>
  <c r="AU348" i="26"/>
  <c r="AT348" i="26"/>
  <c r="AS348" i="26"/>
  <c r="AR348" i="26"/>
  <c r="AQ348" i="26"/>
  <c r="AP348" i="26"/>
  <c r="AO348" i="26"/>
  <c r="AN348" i="26"/>
  <c r="AM348" i="26"/>
  <c r="AL348" i="26"/>
  <c r="AK348" i="26"/>
  <c r="AJ348" i="26"/>
  <c r="AI348" i="26"/>
  <c r="AH348" i="26"/>
  <c r="AG348" i="26"/>
  <c r="AF348" i="26"/>
  <c r="AE348" i="26"/>
  <c r="BL348" i="26" s="1"/>
  <c r="AD348" i="26"/>
  <c r="AC348" i="26"/>
  <c r="AB348" i="26"/>
  <c r="AA348" i="26"/>
  <c r="Z348" i="26"/>
  <c r="Y348" i="26"/>
  <c r="X348" i="26"/>
  <c r="W348" i="26"/>
  <c r="V348" i="26"/>
  <c r="U348" i="26"/>
  <c r="T348" i="26"/>
  <c r="S348" i="26"/>
  <c r="R348" i="26"/>
  <c r="Q348" i="26"/>
  <c r="P348" i="26"/>
  <c r="O348" i="26"/>
  <c r="N348" i="26"/>
  <c r="M348" i="26"/>
  <c r="L348" i="26"/>
  <c r="K348" i="26"/>
  <c r="J348" i="26"/>
  <c r="I348" i="26"/>
  <c r="H348" i="26"/>
  <c r="G348" i="26"/>
  <c r="F348" i="26"/>
  <c r="E348" i="26"/>
  <c r="D348" i="26"/>
  <c r="C348" i="26"/>
  <c r="B348" i="26"/>
  <c r="BD348" i="26" s="1"/>
  <c r="BC347" i="26"/>
  <c r="BB347" i="26"/>
  <c r="BA347" i="26"/>
  <c r="AZ347" i="26"/>
  <c r="AY347" i="26"/>
  <c r="AX347" i="26"/>
  <c r="AW347" i="26"/>
  <c r="AV347" i="26"/>
  <c r="AU347" i="26"/>
  <c r="AT347" i="26"/>
  <c r="AS347" i="26"/>
  <c r="AR347" i="26"/>
  <c r="AQ347" i="26"/>
  <c r="AP347" i="26"/>
  <c r="AO347" i="26"/>
  <c r="AN347" i="26"/>
  <c r="AM347" i="26"/>
  <c r="AL347" i="26"/>
  <c r="AK347" i="26"/>
  <c r="AJ347" i="26"/>
  <c r="AI347" i="26"/>
  <c r="AH347" i="26"/>
  <c r="AG347" i="26"/>
  <c r="AF347" i="26"/>
  <c r="AE347" i="26"/>
  <c r="AD347" i="26"/>
  <c r="AC347" i="26"/>
  <c r="AB347" i="26"/>
  <c r="AA347" i="26"/>
  <c r="Z347" i="26"/>
  <c r="Y347" i="26"/>
  <c r="X347" i="26"/>
  <c r="W347" i="26"/>
  <c r="V347" i="26"/>
  <c r="U347" i="26"/>
  <c r="T347" i="26"/>
  <c r="S347" i="26"/>
  <c r="R347" i="26"/>
  <c r="Q347" i="26"/>
  <c r="P347" i="26"/>
  <c r="O347" i="26"/>
  <c r="N347" i="26"/>
  <c r="M347" i="26"/>
  <c r="L347" i="26"/>
  <c r="K347" i="26"/>
  <c r="J347" i="26"/>
  <c r="I347" i="26"/>
  <c r="H347" i="26"/>
  <c r="BD347" i="26" s="1"/>
  <c r="G347" i="26"/>
  <c r="F347" i="26"/>
  <c r="E347" i="26"/>
  <c r="D347" i="26"/>
  <c r="C347" i="26"/>
  <c r="B347" i="26"/>
  <c r="BC346" i="26"/>
  <c r="BB346" i="26"/>
  <c r="BA346" i="26"/>
  <c r="AZ346" i="26"/>
  <c r="AY346" i="26"/>
  <c r="AX346" i="26"/>
  <c r="AW346" i="26"/>
  <c r="AV346" i="26"/>
  <c r="AU346" i="26"/>
  <c r="AT346" i="26"/>
  <c r="AS346" i="26"/>
  <c r="AR346" i="26"/>
  <c r="AQ346" i="26"/>
  <c r="AP346" i="26"/>
  <c r="AO346" i="26"/>
  <c r="AN346" i="26"/>
  <c r="AM346" i="26"/>
  <c r="AL346" i="26"/>
  <c r="AK346" i="26"/>
  <c r="AJ346" i="26"/>
  <c r="AI346" i="26"/>
  <c r="AH346" i="26"/>
  <c r="AG346" i="26"/>
  <c r="AF346" i="26"/>
  <c r="AE346" i="26"/>
  <c r="AD346" i="26"/>
  <c r="AC346" i="26"/>
  <c r="BL346" i="26" s="1"/>
  <c r="AB346" i="26"/>
  <c r="AA346" i="26"/>
  <c r="Z346" i="26"/>
  <c r="Y346" i="26"/>
  <c r="X346" i="26"/>
  <c r="W346" i="26"/>
  <c r="V346" i="26"/>
  <c r="U346" i="26"/>
  <c r="T346" i="26"/>
  <c r="S346" i="26"/>
  <c r="R346" i="26"/>
  <c r="Q346" i="26"/>
  <c r="P346" i="26"/>
  <c r="O346" i="26"/>
  <c r="N346" i="26"/>
  <c r="M346" i="26"/>
  <c r="L346" i="26"/>
  <c r="K346" i="26"/>
  <c r="J346" i="26"/>
  <c r="I346" i="26"/>
  <c r="H346" i="26"/>
  <c r="G346" i="26"/>
  <c r="F346" i="26"/>
  <c r="E346" i="26"/>
  <c r="D346" i="26"/>
  <c r="C346" i="26"/>
  <c r="B346" i="26"/>
  <c r="BC345" i="26"/>
  <c r="BB345" i="26"/>
  <c r="BA345" i="26"/>
  <c r="AZ345" i="26"/>
  <c r="AY345" i="26"/>
  <c r="AX345" i="26"/>
  <c r="AW345" i="26"/>
  <c r="AV345" i="26"/>
  <c r="AU345" i="26"/>
  <c r="AT345" i="26"/>
  <c r="AS345" i="26"/>
  <c r="AR345" i="26"/>
  <c r="AQ345" i="26"/>
  <c r="AP345" i="26"/>
  <c r="AO345" i="26"/>
  <c r="AN345" i="26"/>
  <c r="AM345" i="26"/>
  <c r="AL345" i="26"/>
  <c r="AK345" i="26"/>
  <c r="AJ345" i="26"/>
  <c r="AI345" i="26"/>
  <c r="AH345" i="26"/>
  <c r="AG345" i="26"/>
  <c r="AF345" i="26"/>
  <c r="AE345" i="26"/>
  <c r="AD345" i="26"/>
  <c r="AC345" i="26"/>
  <c r="AB345" i="26"/>
  <c r="AA345" i="26"/>
  <c r="Z345" i="26"/>
  <c r="Y345" i="26"/>
  <c r="X345" i="26"/>
  <c r="W345" i="26"/>
  <c r="V345" i="26"/>
  <c r="U345" i="26"/>
  <c r="T345" i="26"/>
  <c r="S345" i="26"/>
  <c r="R345" i="26"/>
  <c r="Q345" i="26"/>
  <c r="P345" i="26"/>
  <c r="O345" i="26"/>
  <c r="N345" i="26"/>
  <c r="M345" i="26"/>
  <c r="L345" i="26"/>
  <c r="K345" i="26"/>
  <c r="J345" i="26"/>
  <c r="I345" i="26"/>
  <c r="H345" i="26"/>
  <c r="G345" i="26"/>
  <c r="F345" i="26"/>
  <c r="E345" i="26"/>
  <c r="D345" i="26"/>
  <c r="C345" i="26"/>
  <c r="B345" i="26"/>
  <c r="BD345" i="26" s="1"/>
  <c r="BC344" i="26"/>
  <c r="BB344" i="26"/>
  <c r="BA344" i="26"/>
  <c r="AZ344" i="26"/>
  <c r="AY344" i="26"/>
  <c r="AX344" i="26"/>
  <c r="AW344" i="26"/>
  <c r="AV344" i="26"/>
  <c r="AU344" i="26"/>
  <c r="AT344" i="26"/>
  <c r="AS344" i="26"/>
  <c r="AR344" i="26"/>
  <c r="AQ344" i="26"/>
  <c r="AP344" i="26"/>
  <c r="AO344" i="26"/>
  <c r="AN344" i="26"/>
  <c r="AM344" i="26"/>
  <c r="AL344" i="26"/>
  <c r="AK344" i="26"/>
  <c r="AJ344" i="26"/>
  <c r="AI344" i="26"/>
  <c r="AH344" i="26"/>
  <c r="AG344" i="26"/>
  <c r="AF344" i="26"/>
  <c r="AE344" i="26"/>
  <c r="AD344" i="26"/>
  <c r="AC344" i="26"/>
  <c r="AB344" i="26"/>
  <c r="AA344" i="26"/>
  <c r="Z344" i="26"/>
  <c r="Y344" i="26"/>
  <c r="X344" i="26"/>
  <c r="W344" i="26"/>
  <c r="V344" i="26"/>
  <c r="U344" i="26"/>
  <c r="T344" i="26"/>
  <c r="S344" i="26"/>
  <c r="R344" i="26"/>
  <c r="Q344" i="26"/>
  <c r="P344" i="26"/>
  <c r="O344" i="26"/>
  <c r="N344" i="26"/>
  <c r="M344" i="26"/>
  <c r="L344" i="26"/>
  <c r="K344" i="26"/>
  <c r="J344" i="26"/>
  <c r="I344" i="26"/>
  <c r="H344" i="26"/>
  <c r="G344" i="26"/>
  <c r="F344" i="26"/>
  <c r="BD344" i="26" s="1"/>
  <c r="E344" i="26"/>
  <c r="D344" i="26"/>
  <c r="C344" i="26"/>
  <c r="B344" i="26"/>
  <c r="BC343" i="26"/>
  <c r="BB343" i="26"/>
  <c r="BA343" i="26"/>
  <c r="AZ343" i="26"/>
  <c r="AY343" i="26"/>
  <c r="AX343" i="26"/>
  <c r="AW343" i="26"/>
  <c r="AV343" i="26"/>
  <c r="AU343" i="26"/>
  <c r="AT343" i="26"/>
  <c r="AS343" i="26"/>
  <c r="AR343" i="26"/>
  <c r="AQ343" i="26"/>
  <c r="AP343" i="26"/>
  <c r="AO343" i="26"/>
  <c r="AN343" i="26"/>
  <c r="AM343" i="26"/>
  <c r="AL343" i="26"/>
  <c r="AK343" i="26"/>
  <c r="AJ343" i="26"/>
  <c r="AI343" i="26"/>
  <c r="AH343" i="26"/>
  <c r="AG343" i="26"/>
  <c r="AF343" i="26"/>
  <c r="AE343" i="26"/>
  <c r="AD343" i="26"/>
  <c r="AC343" i="26"/>
  <c r="BL343" i="26" s="1"/>
  <c r="AB343" i="26"/>
  <c r="AA343" i="26"/>
  <c r="Z343" i="26"/>
  <c r="Y343" i="26"/>
  <c r="X343" i="26"/>
  <c r="W343" i="26"/>
  <c r="V343" i="26"/>
  <c r="U343" i="26"/>
  <c r="T343" i="26"/>
  <c r="S343" i="26"/>
  <c r="R343" i="26"/>
  <c r="Q343" i="26"/>
  <c r="P343" i="26"/>
  <c r="O343" i="26"/>
  <c r="N343" i="26"/>
  <c r="M343" i="26"/>
  <c r="L343" i="26"/>
  <c r="K343" i="26"/>
  <c r="J343" i="26"/>
  <c r="I343" i="26"/>
  <c r="H343" i="26"/>
  <c r="G343" i="26"/>
  <c r="F343" i="26"/>
  <c r="E343" i="26"/>
  <c r="D343" i="26"/>
  <c r="C343" i="26"/>
  <c r="B343" i="26"/>
  <c r="BD343" i="26" s="1"/>
  <c r="BC342" i="26"/>
  <c r="BB342" i="26"/>
  <c r="BA342" i="26"/>
  <c r="AZ342" i="26"/>
  <c r="AY342" i="26"/>
  <c r="AX342" i="26"/>
  <c r="AW342" i="26"/>
  <c r="AV342" i="26"/>
  <c r="AU342" i="26"/>
  <c r="AT342" i="26"/>
  <c r="AS342" i="26"/>
  <c r="AR342" i="26"/>
  <c r="AQ342" i="26"/>
  <c r="AP342" i="26"/>
  <c r="AO342" i="26"/>
  <c r="AN342" i="26"/>
  <c r="AM342" i="26"/>
  <c r="AL342" i="26"/>
  <c r="AK342" i="26"/>
  <c r="AJ342" i="26"/>
  <c r="AI342" i="26"/>
  <c r="AH342" i="26"/>
  <c r="AG342" i="26"/>
  <c r="AF342" i="26"/>
  <c r="AE342" i="26"/>
  <c r="AD342" i="26"/>
  <c r="AC342" i="26"/>
  <c r="AB342" i="26"/>
  <c r="AA342" i="26"/>
  <c r="Z342" i="26"/>
  <c r="Y342" i="26"/>
  <c r="X342" i="26"/>
  <c r="W342" i="26"/>
  <c r="V342" i="26"/>
  <c r="U342" i="26"/>
  <c r="T342" i="26"/>
  <c r="S342" i="26"/>
  <c r="R342" i="26"/>
  <c r="Q342" i="26"/>
  <c r="P342" i="26"/>
  <c r="O342" i="26"/>
  <c r="N342" i="26"/>
  <c r="M342" i="26"/>
  <c r="L342" i="26"/>
  <c r="K342" i="26"/>
  <c r="J342" i="26"/>
  <c r="I342" i="26"/>
  <c r="H342" i="26"/>
  <c r="G342" i="26"/>
  <c r="F342" i="26"/>
  <c r="E342" i="26"/>
  <c r="D342" i="26"/>
  <c r="C342" i="26"/>
  <c r="B342" i="26"/>
  <c r="BC341" i="26"/>
  <c r="BB341" i="26"/>
  <c r="BA341" i="26"/>
  <c r="AZ341" i="26"/>
  <c r="AY341" i="26"/>
  <c r="AX341" i="26"/>
  <c r="AW341" i="26"/>
  <c r="AV341" i="26"/>
  <c r="AU341" i="26"/>
  <c r="AT341" i="26"/>
  <c r="AS341" i="26"/>
  <c r="AR341" i="26"/>
  <c r="AQ341" i="26"/>
  <c r="AP341" i="26"/>
  <c r="AO341" i="26"/>
  <c r="AN341" i="26"/>
  <c r="AM341" i="26"/>
  <c r="AL341" i="26"/>
  <c r="AK341" i="26"/>
  <c r="AJ341" i="26"/>
  <c r="AI341" i="26"/>
  <c r="AH341" i="26"/>
  <c r="AG341" i="26"/>
  <c r="AF341" i="26"/>
  <c r="AE341" i="26"/>
  <c r="AD341" i="26"/>
  <c r="AC341" i="26"/>
  <c r="AB341" i="26"/>
  <c r="AA341" i="26"/>
  <c r="Z341" i="26"/>
  <c r="Y341" i="26"/>
  <c r="X341" i="26"/>
  <c r="W341" i="26"/>
  <c r="V341" i="26"/>
  <c r="U341" i="26"/>
  <c r="T341" i="26"/>
  <c r="S341" i="26"/>
  <c r="R341" i="26"/>
  <c r="Q341" i="26"/>
  <c r="P341" i="26"/>
  <c r="O341" i="26"/>
  <c r="N341" i="26"/>
  <c r="M341" i="26"/>
  <c r="L341" i="26"/>
  <c r="K341" i="26"/>
  <c r="J341" i="26"/>
  <c r="I341" i="26"/>
  <c r="H341" i="26"/>
  <c r="BD341" i="26" s="1"/>
  <c r="G341" i="26"/>
  <c r="F341" i="26"/>
  <c r="E341" i="26"/>
  <c r="D341" i="26"/>
  <c r="C341" i="26"/>
  <c r="B341" i="26"/>
  <c r="BC340" i="26"/>
  <c r="BB340" i="26"/>
  <c r="BA340" i="26"/>
  <c r="AZ340" i="26"/>
  <c r="AY340" i="26"/>
  <c r="AX340" i="26"/>
  <c r="AW340" i="26"/>
  <c r="AV340" i="26"/>
  <c r="AU340" i="26"/>
  <c r="AT340" i="26"/>
  <c r="AS340" i="26"/>
  <c r="AR340" i="26"/>
  <c r="AQ340" i="26"/>
  <c r="AP340" i="26"/>
  <c r="AO340" i="26"/>
  <c r="AN340" i="26"/>
  <c r="AM340" i="26"/>
  <c r="AL340" i="26"/>
  <c r="AK340" i="26"/>
  <c r="AJ340" i="26"/>
  <c r="AI340" i="26"/>
  <c r="AH340" i="26"/>
  <c r="AG340" i="26"/>
  <c r="AF340" i="26"/>
  <c r="AE340" i="26"/>
  <c r="AD340" i="26"/>
  <c r="AC340" i="26"/>
  <c r="BL340" i="26" s="1"/>
  <c r="AB340" i="26"/>
  <c r="AA340" i="26"/>
  <c r="Z340" i="26"/>
  <c r="Y340" i="26"/>
  <c r="X340" i="26"/>
  <c r="W340" i="26"/>
  <c r="V340" i="26"/>
  <c r="U340" i="26"/>
  <c r="T340" i="26"/>
  <c r="S340" i="26"/>
  <c r="R340" i="26"/>
  <c r="Q340" i="26"/>
  <c r="P340" i="26"/>
  <c r="O340" i="26"/>
  <c r="N340" i="26"/>
  <c r="M340" i="26"/>
  <c r="L340" i="26"/>
  <c r="K340" i="26"/>
  <c r="J340" i="26"/>
  <c r="I340" i="26"/>
  <c r="H340" i="26"/>
  <c r="G340" i="26"/>
  <c r="F340" i="26"/>
  <c r="E340" i="26"/>
  <c r="D340" i="26"/>
  <c r="C340" i="26"/>
  <c r="B340" i="26"/>
  <c r="BC339" i="26"/>
  <c r="BB339" i="26"/>
  <c r="BA339" i="26"/>
  <c r="AZ339" i="26"/>
  <c r="AY339" i="26"/>
  <c r="AX339" i="26"/>
  <c r="AW339" i="26"/>
  <c r="AV339" i="26"/>
  <c r="AU339" i="26"/>
  <c r="AT339" i="26"/>
  <c r="AS339" i="26"/>
  <c r="AR339" i="26"/>
  <c r="AQ339" i="26"/>
  <c r="AP339" i="26"/>
  <c r="AO339" i="26"/>
  <c r="AN339" i="26"/>
  <c r="AM339" i="26"/>
  <c r="AL339" i="26"/>
  <c r="AK339" i="26"/>
  <c r="AJ339" i="26"/>
  <c r="AI339" i="26"/>
  <c r="AH339" i="26"/>
  <c r="AG339" i="26"/>
  <c r="AF339" i="26"/>
  <c r="AE339" i="26"/>
  <c r="AD339" i="26"/>
  <c r="AC339" i="26"/>
  <c r="AB339" i="26"/>
  <c r="AA339" i="26"/>
  <c r="Z339" i="26"/>
  <c r="Y339" i="26"/>
  <c r="X339" i="26"/>
  <c r="W339" i="26"/>
  <c r="V339" i="26"/>
  <c r="U339" i="26"/>
  <c r="T339" i="26"/>
  <c r="S339" i="26"/>
  <c r="R339" i="26"/>
  <c r="Q339" i="26"/>
  <c r="P339" i="26"/>
  <c r="O339" i="26"/>
  <c r="N339" i="26"/>
  <c r="M339" i="26"/>
  <c r="L339" i="26"/>
  <c r="K339" i="26"/>
  <c r="J339" i="26"/>
  <c r="I339" i="26"/>
  <c r="H339" i="26"/>
  <c r="G339" i="26"/>
  <c r="F339" i="26"/>
  <c r="E339" i="26"/>
  <c r="D339" i="26"/>
  <c r="C339" i="26"/>
  <c r="B339" i="26"/>
  <c r="BD339" i="26" s="1"/>
  <c r="BC338" i="26"/>
  <c r="BB338" i="26"/>
  <c r="BA338" i="26"/>
  <c r="AZ338" i="26"/>
  <c r="AY338" i="26"/>
  <c r="AX338" i="26"/>
  <c r="AW338" i="26"/>
  <c r="AV338" i="26"/>
  <c r="AU338" i="26"/>
  <c r="AT338" i="26"/>
  <c r="AS338" i="26"/>
  <c r="AR338" i="26"/>
  <c r="AQ338" i="26"/>
  <c r="AP338" i="26"/>
  <c r="AO338" i="26"/>
  <c r="AN338" i="26"/>
  <c r="AM338" i="26"/>
  <c r="AL338" i="26"/>
  <c r="AK338" i="26"/>
  <c r="AJ338" i="26"/>
  <c r="AI338" i="26"/>
  <c r="AH338" i="26"/>
  <c r="AG338" i="26"/>
  <c r="AF338" i="26"/>
  <c r="AE338" i="26"/>
  <c r="AD338" i="26"/>
  <c r="AC338" i="26"/>
  <c r="AB338" i="26"/>
  <c r="AA338" i="26"/>
  <c r="Z338" i="26"/>
  <c r="Y338" i="26"/>
  <c r="X338" i="26"/>
  <c r="W338" i="26"/>
  <c r="V338" i="26"/>
  <c r="U338" i="26"/>
  <c r="T338" i="26"/>
  <c r="S338" i="26"/>
  <c r="R338" i="26"/>
  <c r="Q338" i="26"/>
  <c r="P338" i="26"/>
  <c r="O338" i="26"/>
  <c r="N338" i="26"/>
  <c r="M338" i="26"/>
  <c r="L338" i="26"/>
  <c r="K338" i="26"/>
  <c r="J338" i="26"/>
  <c r="I338" i="26"/>
  <c r="H338" i="26"/>
  <c r="G338" i="26"/>
  <c r="F338" i="26"/>
  <c r="E338" i="26"/>
  <c r="D338" i="26"/>
  <c r="C338" i="26"/>
  <c r="B338" i="26"/>
  <c r="BC337" i="26"/>
  <c r="BB337" i="26"/>
  <c r="BA337" i="26"/>
  <c r="AZ337" i="26"/>
  <c r="AY337" i="26"/>
  <c r="AX337" i="26"/>
  <c r="AW337" i="26"/>
  <c r="AV337" i="26"/>
  <c r="AU337" i="26"/>
  <c r="AT337" i="26"/>
  <c r="AS337" i="26"/>
  <c r="AR337" i="26"/>
  <c r="AQ337" i="26"/>
  <c r="AP337" i="26"/>
  <c r="AO337" i="26"/>
  <c r="AN337" i="26"/>
  <c r="AM337" i="26"/>
  <c r="AL337" i="26"/>
  <c r="AK337" i="26"/>
  <c r="AJ337" i="26"/>
  <c r="AI337" i="26"/>
  <c r="AH337" i="26"/>
  <c r="AG337" i="26"/>
  <c r="AF337" i="26"/>
  <c r="AE337" i="26"/>
  <c r="AD337" i="26"/>
  <c r="AC337" i="26"/>
  <c r="AB337" i="26"/>
  <c r="AA337" i="26"/>
  <c r="Z337" i="26"/>
  <c r="Y337" i="26"/>
  <c r="X337" i="26"/>
  <c r="W337" i="26"/>
  <c r="V337" i="26"/>
  <c r="U337" i="26"/>
  <c r="T337" i="26"/>
  <c r="S337" i="26"/>
  <c r="R337" i="26"/>
  <c r="Q337" i="26"/>
  <c r="P337" i="26"/>
  <c r="O337" i="26"/>
  <c r="N337" i="26"/>
  <c r="M337" i="26"/>
  <c r="L337" i="26"/>
  <c r="K337" i="26"/>
  <c r="J337" i="26"/>
  <c r="I337" i="26"/>
  <c r="H337" i="26"/>
  <c r="G337" i="26"/>
  <c r="F337" i="26"/>
  <c r="E337" i="26"/>
  <c r="D337" i="26"/>
  <c r="C337" i="26"/>
  <c r="B337" i="26"/>
  <c r="BC336" i="26"/>
  <c r="BB336" i="26"/>
  <c r="BA336" i="26"/>
  <c r="AZ336" i="26"/>
  <c r="AY336" i="26"/>
  <c r="AX336" i="26"/>
  <c r="AW336" i="26"/>
  <c r="AV336" i="26"/>
  <c r="AU336" i="26"/>
  <c r="AT336" i="26"/>
  <c r="AS336" i="26"/>
  <c r="AR336" i="26"/>
  <c r="AQ336" i="26"/>
  <c r="AP336" i="26"/>
  <c r="AO336" i="26"/>
  <c r="AN336" i="26"/>
  <c r="AM336" i="26"/>
  <c r="AL336" i="26"/>
  <c r="AK336" i="26"/>
  <c r="AJ336" i="26"/>
  <c r="AI336" i="26"/>
  <c r="AH336" i="26"/>
  <c r="AG336" i="26"/>
  <c r="AF336" i="26"/>
  <c r="AE336" i="26"/>
  <c r="AD336" i="26"/>
  <c r="BL336" i="26" s="1"/>
  <c r="AC336" i="26"/>
  <c r="AB336" i="26"/>
  <c r="AA336" i="26"/>
  <c r="Z336" i="26"/>
  <c r="Y336" i="26"/>
  <c r="X336" i="26"/>
  <c r="W336" i="26"/>
  <c r="V336" i="26"/>
  <c r="U336" i="26"/>
  <c r="T336" i="26"/>
  <c r="S336" i="26"/>
  <c r="R336" i="26"/>
  <c r="Q336" i="26"/>
  <c r="P336" i="26"/>
  <c r="O336" i="26"/>
  <c r="N336" i="26"/>
  <c r="M336" i="26"/>
  <c r="L336" i="26"/>
  <c r="K336" i="26"/>
  <c r="J336" i="26"/>
  <c r="I336" i="26"/>
  <c r="H336" i="26"/>
  <c r="G336" i="26"/>
  <c r="F336" i="26"/>
  <c r="E336" i="26"/>
  <c r="D336" i="26"/>
  <c r="C336" i="26"/>
  <c r="B336" i="26"/>
  <c r="BC335" i="26"/>
  <c r="BB335" i="26"/>
  <c r="BA335" i="26"/>
  <c r="AZ335" i="26"/>
  <c r="AY335" i="26"/>
  <c r="AX335" i="26"/>
  <c r="AW335" i="26"/>
  <c r="AV335" i="26"/>
  <c r="AU335" i="26"/>
  <c r="AT335" i="26"/>
  <c r="AS335" i="26"/>
  <c r="AR335" i="26"/>
  <c r="AQ335" i="26"/>
  <c r="AP335" i="26"/>
  <c r="AO335" i="26"/>
  <c r="AN335" i="26"/>
  <c r="AM335" i="26"/>
  <c r="AL335" i="26"/>
  <c r="AK335" i="26"/>
  <c r="AJ335" i="26"/>
  <c r="AI335" i="26"/>
  <c r="AH335" i="26"/>
  <c r="AG335" i="26"/>
  <c r="AF335" i="26"/>
  <c r="AE335" i="26"/>
  <c r="AD335" i="26"/>
  <c r="AC335" i="26"/>
  <c r="AB335" i="26"/>
  <c r="AA335" i="26"/>
  <c r="Z335" i="26"/>
  <c r="Y335" i="26"/>
  <c r="X335" i="26"/>
  <c r="W335" i="26"/>
  <c r="V335" i="26"/>
  <c r="U335" i="26"/>
  <c r="T335" i="26"/>
  <c r="S335" i="26"/>
  <c r="R335" i="26"/>
  <c r="Q335" i="26"/>
  <c r="P335" i="26"/>
  <c r="O335" i="26"/>
  <c r="N335" i="26"/>
  <c r="M335" i="26"/>
  <c r="L335" i="26"/>
  <c r="K335" i="26"/>
  <c r="J335" i="26"/>
  <c r="I335" i="26"/>
  <c r="H335" i="26"/>
  <c r="G335" i="26"/>
  <c r="F335" i="26"/>
  <c r="E335" i="26"/>
  <c r="D335" i="26"/>
  <c r="C335" i="26"/>
  <c r="BD335" i="26" s="1"/>
  <c r="B335" i="26"/>
  <c r="BM334" i="26"/>
  <c r="BC334" i="26"/>
  <c r="BB334" i="26"/>
  <c r="BA334" i="26"/>
  <c r="AZ334" i="26"/>
  <c r="AY334" i="26"/>
  <c r="AX334" i="26"/>
  <c r="AW334" i="26"/>
  <c r="AV334" i="26"/>
  <c r="AU334" i="26"/>
  <c r="AT334" i="26"/>
  <c r="AS334" i="26"/>
  <c r="AR334" i="26"/>
  <c r="AQ334" i="26"/>
  <c r="AP334" i="26"/>
  <c r="AO334" i="26"/>
  <c r="AN334" i="26"/>
  <c r="AM334" i="26"/>
  <c r="AL334" i="26"/>
  <c r="AK334" i="26"/>
  <c r="AJ334" i="26"/>
  <c r="AI334" i="26"/>
  <c r="AH334" i="26"/>
  <c r="AG334" i="26"/>
  <c r="AF334" i="26"/>
  <c r="AE334" i="26"/>
  <c r="AD334" i="26"/>
  <c r="AC334" i="26"/>
  <c r="BL334" i="26" s="1"/>
  <c r="BN334" i="26" s="1"/>
  <c r="AB334" i="26"/>
  <c r="AA334" i="26"/>
  <c r="Z334" i="26"/>
  <c r="Y334" i="26"/>
  <c r="X334" i="26"/>
  <c r="W334" i="26"/>
  <c r="V334" i="26"/>
  <c r="U334" i="26"/>
  <c r="T334" i="26"/>
  <c r="S334" i="26"/>
  <c r="R334" i="26"/>
  <c r="Q334" i="26"/>
  <c r="P334" i="26"/>
  <c r="O334" i="26"/>
  <c r="N334" i="26"/>
  <c r="M334" i="26"/>
  <c r="L334" i="26"/>
  <c r="K334" i="26"/>
  <c r="J334" i="26"/>
  <c r="I334" i="26"/>
  <c r="H334" i="26"/>
  <c r="G334" i="26"/>
  <c r="F334" i="26"/>
  <c r="E334" i="26"/>
  <c r="BD334" i="26" s="1"/>
  <c r="D334" i="26"/>
  <c r="C334" i="26"/>
  <c r="B334" i="26"/>
  <c r="BC333" i="26"/>
  <c r="BB333" i="26"/>
  <c r="BA333" i="26"/>
  <c r="AZ333" i="26"/>
  <c r="AY333" i="26"/>
  <c r="AX333" i="26"/>
  <c r="AW333" i="26"/>
  <c r="AV333" i="26"/>
  <c r="AU333" i="26"/>
  <c r="AT333" i="26"/>
  <c r="AS333" i="26"/>
  <c r="AR333" i="26"/>
  <c r="AQ333" i="26"/>
  <c r="AP333" i="26"/>
  <c r="AO333" i="26"/>
  <c r="AN333" i="26"/>
  <c r="AM333" i="26"/>
  <c r="AL333" i="26"/>
  <c r="AK333" i="26"/>
  <c r="AJ333" i="26"/>
  <c r="AI333" i="26"/>
  <c r="AH333" i="26"/>
  <c r="AG333" i="26"/>
  <c r="AF333" i="26"/>
  <c r="AE333" i="26"/>
  <c r="AD333" i="26"/>
  <c r="AC333" i="26"/>
  <c r="AB333" i="26"/>
  <c r="AA333" i="26"/>
  <c r="Z333" i="26"/>
  <c r="Y333" i="26"/>
  <c r="X333" i="26"/>
  <c r="W333" i="26"/>
  <c r="V333" i="26"/>
  <c r="U333" i="26"/>
  <c r="T333" i="26"/>
  <c r="S333" i="26"/>
  <c r="R333" i="26"/>
  <c r="Q333" i="26"/>
  <c r="P333" i="26"/>
  <c r="O333" i="26"/>
  <c r="N333" i="26"/>
  <c r="M333" i="26"/>
  <c r="L333" i="26"/>
  <c r="K333" i="26"/>
  <c r="J333" i="26"/>
  <c r="I333" i="26"/>
  <c r="H333" i="26"/>
  <c r="G333" i="26"/>
  <c r="F333" i="26"/>
  <c r="E333" i="26"/>
  <c r="D333" i="26"/>
  <c r="C333" i="26"/>
  <c r="B333" i="26"/>
  <c r="BC332" i="26"/>
  <c r="BB332" i="26"/>
  <c r="BA332" i="26"/>
  <c r="AZ332" i="26"/>
  <c r="AY332" i="26"/>
  <c r="AX332" i="26"/>
  <c r="AW332" i="26"/>
  <c r="AV332" i="26"/>
  <c r="AU332" i="26"/>
  <c r="AT332" i="26"/>
  <c r="AS332" i="26"/>
  <c r="AR332" i="26"/>
  <c r="AQ332" i="26"/>
  <c r="AP332" i="26"/>
  <c r="AO332" i="26"/>
  <c r="AN332" i="26"/>
  <c r="AM332" i="26"/>
  <c r="AL332" i="26"/>
  <c r="AK332" i="26"/>
  <c r="AJ332" i="26"/>
  <c r="AI332" i="26"/>
  <c r="AH332" i="26"/>
  <c r="AG332" i="26"/>
  <c r="AF332" i="26"/>
  <c r="AE332" i="26"/>
  <c r="BL332" i="26" s="1"/>
  <c r="AD332" i="26"/>
  <c r="AC332" i="26"/>
  <c r="AB332" i="26"/>
  <c r="AA332" i="26"/>
  <c r="Z332" i="26"/>
  <c r="Y332" i="26"/>
  <c r="X332" i="26"/>
  <c r="W332" i="26"/>
  <c r="V332" i="26"/>
  <c r="U332" i="26"/>
  <c r="T332" i="26"/>
  <c r="S332" i="26"/>
  <c r="R332" i="26"/>
  <c r="Q332" i="26"/>
  <c r="P332" i="26"/>
  <c r="O332" i="26"/>
  <c r="N332" i="26"/>
  <c r="M332" i="26"/>
  <c r="L332" i="26"/>
  <c r="K332" i="26"/>
  <c r="J332" i="26"/>
  <c r="I332" i="26"/>
  <c r="H332" i="26"/>
  <c r="G332" i="26"/>
  <c r="F332" i="26"/>
  <c r="E332" i="26"/>
  <c r="D332" i="26"/>
  <c r="C332" i="26"/>
  <c r="B332" i="26"/>
  <c r="BD332" i="26" s="1"/>
  <c r="BC331" i="26"/>
  <c r="BB331" i="26"/>
  <c r="BA331" i="26"/>
  <c r="AZ331" i="26"/>
  <c r="AY331" i="26"/>
  <c r="AX331" i="26"/>
  <c r="AW331" i="26"/>
  <c r="AV331" i="26"/>
  <c r="AU331" i="26"/>
  <c r="AT331" i="26"/>
  <c r="AS331" i="26"/>
  <c r="AR331" i="26"/>
  <c r="AQ331" i="26"/>
  <c r="AP331" i="26"/>
  <c r="AO331" i="26"/>
  <c r="AN331" i="26"/>
  <c r="AM331" i="26"/>
  <c r="AL331" i="26"/>
  <c r="AK331" i="26"/>
  <c r="AJ331" i="26"/>
  <c r="AI331" i="26"/>
  <c r="AH331" i="26"/>
  <c r="AG331" i="26"/>
  <c r="AF331" i="26"/>
  <c r="AE331" i="26"/>
  <c r="AD331" i="26"/>
  <c r="AC331" i="26"/>
  <c r="AB331" i="26"/>
  <c r="AA331" i="26"/>
  <c r="Z331" i="26"/>
  <c r="Y331" i="26"/>
  <c r="X331" i="26"/>
  <c r="W331" i="26"/>
  <c r="V331" i="26"/>
  <c r="U331" i="26"/>
  <c r="T331" i="26"/>
  <c r="S331" i="26"/>
  <c r="R331" i="26"/>
  <c r="Q331" i="26"/>
  <c r="P331" i="26"/>
  <c r="O331" i="26"/>
  <c r="N331" i="26"/>
  <c r="M331" i="26"/>
  <c r="L331" i="26"/>
  <c r="K331" i="26"/>
  <c r="J331" i="26"/>
  <c r="I331" i="26"/>
  <c r="H331" i="26"/>
  <c r="G331" i="26"/>
  <c r="F331" i="26"/>
  <c r="E331" i="26"/>
  <c r="D331" i="26"/>
  <c r="BD331" i="26" s="1"/>
  <c r="C331" i="26"/>
  <c r="B331" i="26"/>
  <c r="BC330" i="26"/>
  <c r="BB330" i="26"/>
  <c r="BA330" i="26"/>
  <c r="AZ330" i="26"/>
  <c r="AY330" i="26"/>
  <c r="AX330" i="26"/>
  <c r="AW330" i="26"/>
  <c r="AV330" i="26"/>
  <c r="AU330" i="26"/>
  <c r="AT330" i="26"/>
  <c r="AS330" i="26"/>
  <c r="AR330" i="26"/>
  <c r="AQ330" i="26"/>
  <c r="AP330" i="26"/>
  <c r="AO330" i="26"/>
  <c r="AN330" i="26"/>
  <c r="AM330" i="26"/>
  <c r="AL330" i="26"/>
  <c r="AK330" i="26"/>
  <c r="AJ330" i="26"/>
  <c r="AI330" i="26"/>
  <c r="AH330" i="26"/>
  <c r="AG330" i="26"/>
  <c r="AF330" i="26"/>
  <c r="AE330" i="26"/>
  <c r="AD330" i="26"/>
  <c r="AC330" i="26"/>
  <c r="AB330" i="26"/>
  <c r="AA330" i="26"/>
  <c r="Z330" i="26"/>
  <c r="Y330" i="26"/>
  <c r="X330" i="26"/>
  <c r="W330" i="26"/>
  <c r="V330" i="26"/>
  <c r="U330" i="26"/>
  <c r="T330" i="26"/>
  <c r="S330" i="26"/>
  <c r="R330" i="26"/>
  <c r="Q330" i="26"/>
  <c r="P330" i="26"/>
  <c r="O330" i="26"/>
  <c r="N330" i="26"/>
  <c r="M330" i="26"/>
  <c r="L330" i="26"/>
  <c r="K330" i="26"/>
  <c r="J330" i="26"/>
  <c r="I330" i="26"/>
  <c r="H330" i="26"/>
  <c r="G330" i="26"/>
  <c r="F330" i="26"/>
  <c r="E330" i="26"/>
  <c r="D330" i="26"/>
  <c r="C330" i="26"/>
  <c r="B330" i="26"/>
  <c r="BC329" i="26"/>
  <c r="BB329" i="26"/>
  <c r="BA329" i="26"/>
  <c r="AZ329" i="26"/>
  <c r="AY329" i="26"/>
  <c r="AX329" i="26"/>
  <c r="AW329" i="26"/>
  <c r="AV329" i="26"/>
  <c r="AU329" i="26"/>
  <c r="AT329" i="26"/>
  <c r="AS329" i="26"/>
  <c r="AR329" i="26"/>
  <c r="AQ329" i="26"/>
  <c r="AP329" i="26"/>
  <c r="AO329" i="26"/>
  <c r="AN329" i="26"/>
  <c r="AM329" i="26"/>
  <c r="AL329" i="26"/>
  <c r="AK329" i="26"/>
  <c r="AJ329" i="26"/>
  <c r="AI329" i="26"/>
  <c r="AH329" i="26"/>
  <c r="AG329" i="26"/>
  <c r="AF329" i="26"/>
  <c r="AE329" i="26"/>
  <c r="AD329" i="26"/>
  <c r="AC329" i="26"/>
  <c r="AB329" i="26"/>
  <c r="AA329" i="26"/>
  <c r="Z329" i="26"/>
  <c r="Y329" i="26"/>
  <c r="X329" i="26"/>
  <c r="W329" i="26"/>
  <c r="V329" i="26"/>
  <c r="U329" i="26"/>
  <c r="T329" i="26"/>
  <c r="S329" i="26"/>
  <c r="R329" i="26"/>
  <c r="Q329" i="26"/>
  <c r="P329" i="26"/>
  <c r="O329" i="26"/>
  <c r="N329" i="26"/>
  <c r="M329" i="26"/>
  <c r="L329" i="26"/>
  <c r="K329" i="26"/>
  <c r="J329" i="26"/>
  <c r="I329" i="26"/>
  <c r="H329" i="26"/>
  <c r="G329" i="26"/>
  <c r="F329" i="26"/>
  <c r="E329" i="26"/>
  <c r="D329" i="26"/>
  <c r="C329" i="26"/>
  <c r="BD329" i="26" s="1"/>
  <c r="B329" i="26"/>
  <c r="BC328" i="26"/>
  <c r="BB328" i="26"/>
  <c r="BA328" i="26"/>
  <c r="AZ328" i="26"/>
  <c r="AY328" i="26"/>
  <c r="AX328" i="26"/>
  <c r="AW328" i="26"/>
  <c r="AV328" i="26"/>
  <c r="AU328" i="26"/>
  <c r="AT328" i="26"/>
  <c r="AS328" i="26"/>
  <c r="AR328" i="26"/>
  <c r="AQ328" i="26"/>
  <c r="AP328" i="26"/>
  <c r="AO328" i="26"/>
  <c r="AN328" i="26"/>
  <c r="AM328" i="26"/>
  <c r="AL328" i="26"/>
  <c r="AK328" i="26"/>
  <c r="AJ328" i="26"/>
  <c r="AI328" i="26"/>
  <c r="AH328" i="26"/>
  <c r="AG328" i="26"/>
  <c r="AF328" i="26"/>
  <c r="AE328" i="26"/>
  <c r="AD328" i="26"/>
  <c r="AC328" i="26"/>
  <c r="AB328" i="26"/>
  <c r="AA328" i="26"/>
  <c r="Z328" i="26"/>
  <c r="Y328" i="26"/>
  <c r="X328" i="26"/>
  <c r="W328" i="26"/>
  <c r="V328" i="26"/>
  <c r="U328" i="26"/>
  <c r="T328" i="26"/>
  <c r="S328" i="26"/>
  <c r="R328" i="26"/>
  <c r="Q328" i="26"/>
  <c r="P328" i="26"/>
  <c r="O328" i="26"/>
  <c r="N328" i="26"/>
  <c r="M328" i="26"/>
  <c r="L328" i="26"/>
  <c r="K328" i="26"/>
  <c r="J328" i="26"/>
  <c r="I328" i="26"/>
  <c r="H328" i="26"/>
  <c r="G328" i="26"/>
  <c r="BD328" i="26" s="1"/>
  <c r="F328" i="26"/>
  <c r="E328" i="26"/>
  <c r="D328" i="26"/>
  <c r="C328" i="26"/>
  <c r="B328" i="26"/>
  <c r="BC327" i="26"/>
  <c r="BB327" i="26"/>
  <c r="BA327" i="26"/>
  <c r="AZ327" i="26"/>
  <c r="AY327" i="26"/>
  <c r="AX327" i="26"/>
  <c r="AW327" i="26"/>
  <c r="AV327" i="26"/>
  <c r="AU327" i="26"/>
  <c r="AT327" i="26"/>
  <c r="AS327" i="26"/>
  <c r="AR327" i="26"/>
  <c r="AQ327" i="26"/>
  <c r="AP327" i="26"/>
  <c r="AO327" i="26"/>
  <c r="AN327" i="26"/>
  <c r="AM327" i="26"/>
  <c r="AL327" i="26"/>
  <c r="AK327" i="26"/>
  <c r="AJ327" i="26"/>
  <c r="AI327" i="26"/>
  <c r="AH327" i="26"/>
  <c r="AG327" i="26"/>
  <c r="AF327" i="26"/>
  <c r="AE327" i="26"/>
  <c r="AD327" i="26"/>
  <c r="AC327" i="26"/>
  <c r="BL327" i="26" s="1"/>
  <c r="AB327" i="26"/>
  <c r="AA327" i="26"/>
  <c r="Z327" i="26"/>
  <c r="Y327" i="26"/>
  <c r="X327" i="26"/>
  <c r="W327" i="26"/>
  <c r="V327" i="26"/>
  <c r="U327" i="26"/>
  <c r="T327" i="26"/>
  <c r="S327" i="26"/>
  <c r="R327" i="26"/>
  <c r="Q327" i="26"/>
  <c r="P327" i="26"/>
  <c r="O327" i="26"/>
  <c r="N327" i="26"/>
  <c r="M327" i="26"/>
  <c r="L327" i="26"/>
  <c r="K327" i="26"/>
  <c r="J327" i="26"/>
  <c r="I327" i="26"/>
  <c r="H327" i="26"/>
  <c r="G327" i="26"/>
  <c r="F327" i="26"/>
  <c r="E327" i="26"/>
  <c r="D327" i="26"/>
  <c r="C327" i="26"/>
  <c r="B327" i="26"/>
  <c r="BC326" i="26"/>
  <c r="BB326" i="26"/>
  <c r="BA326" i="26"/>
  <c r="AZ326" i="26"/>
  <c r="AY326" i="26"/>
  <c r="AX326" i="26"/>
  <c r="AW326" i="26"/>
  <c r="AV326" i="26"/>
  <c r="AU326" i="26"/>
  <c r="AT326" i="26"/>
  <c r="AS326" i="26"/>
  <c r="AR326" i="26"/>
  <c r="AQ326" i="26"/>
  <c r="AP326" i="26"/>
  <c r="AO326" i="26"/>
  <c r="AN326" i="26"/>
  <c r="AM326" i="26"/>
  <c r="AL326" i="26"/>
  <c r="AK326" i="26"/>
  <c r="AJ326" i="26"/>
  <c r="AI326" i="26"/>
  <c r="AH326" i="26"/>
  <c r="AG326" i="26"/>
  <c r="AF326" i="26"/>
  <c r="AE326" i="26"/>
  <c r="AD326" i="26"/>
  <c r="AC326" i="26"/>
  <c r="AB326" i="26"/>
  <c r="AA326" i="26"/>
  <c r="Z326" i="26"/>
  <c r="Y326" i="26"/>
  <c r="X326" i="26"/>
  <c r="W326" i="26"/>
  <c r="V326" i="26"/>
  <c r="U326" i="26"/>
  <c r="T326" i="26"/>
  <c r="S326" i="26"/>
  <c r="R326" i="26"/>
  <c r="Q326" i="26"/>
  <c r="P326" i="26"/>
  <c r="O326" i="26"/>
  <c r="N326" i="26"/>
  <c r="M326" i="26"/>
  <c r="L326" i="26"/>
  <c r="K326" i="26"/>
  <c r="J326" i="26"/>
  <c r="I326" i="26"/>
  <c r="H326" i="26"/>
  <c r="G326" i="26"/>
  <c r="F326" i="26"/>
  <c r="E326" i="26"/>
  <c r="D326" i="26"/>
  <c r="C326" i="26"/>
  <c r="B326" i="26"/>
  <c r="BD326" i="26" s="1"/>
  <c r="BC325" i="26"/>
  <c r="BB325" i="26"/>
  <c r="BA325" i="26"/>
  <c r="AZ325" i="26"/>
  <c r="AY325" i="26"/>
  <c r="AX325" i="26"/>
  <c r="AW325" i="26"/>
  <c r="AV325" i="26"/>
  <c r="AU325" i="26"/>
  <c r="AT325" i="26"/>
  <c r="AS325" i="26"/>
  <c r="AR325" i="26"/>
  <c r="AQ325" i="26"/>
  <c r="AP325" i="26"/>
  <c r="AO325" i="26"/>
  <c r="AN325" i="26"/>
  <c r="AM325" i="26"/>
  <c r="AL325" i="26"/>
  <c r="AK325" i="26"/>
  <c r="AJ325" i="26"/>
  <c r="AI325" i="26"/>
  <c r="AH325" i="26"/>
  <c r="AG325" i="26"/>
  <c r="AF325" i="26"/>
  <c r="AE325" i="26"/>
  <c r="AD325" i="26"/>
  <c r="AC325" i="26"/>
  <c r="AB325" i="26"/>
  <c r="AA325" i="26"/>
  <c r="Z325" i="26"/>
  <c r="Y325" i="26"/>
  <c r="X325" i="26"/>
  <c r="W325" i="26"/>
  <c r="V325" i="26"/>
  <c r="U325" i="26"/>
  <c r="T325" i="26"/>
  <c r="S325" i="26"/>
  <c r="R325" i="26"/>
  <c r="Q325" i="26"/>
  <c r="P325" i="26"/>
  <c r="O325" i="26"/>
  <c r="N325" i="26"/>
  <c r="M325" i="26"/>
  <c r="L325" i="26"/>
  <c r="K325" i="26"/>
  <c r="J325" i="26"/>
  <c r="I325" i="26"/>
  <c r="H325" i="26"/>
  <c r="G325" i="26"/>
  <c r="F325" i="26"/>
  <c r="E325" i="26"/>
  <c r="D325" i="26"/>
  <c r="C325" i="26"/>
  <c r="B325" i="26"/>
  <c r="BC324" i="26"/>
  <c r="BB324" i="26"/>
  <c r="BA324" i="26"/>
  <c r="AZ324" i="26"/>
  <c r="AY324" i="26"/>
  <c r="AX324" i="26"/>
  <c r="AW324" i="26"/>
  <c r="AV324" i="26"/>
  <c r="AU324" i="26"/>
  <c r="AT324" i="26"/>
  <c r="AS324" i="26"/>
  <c r="AR324" i="26"/>
  <c r="AQ324" i="26"/>
  <c r="AP324" i="26"/>
  <c r="AO324" i="26"/>
  <c r="AN324" i="26"/>
  <c r="AM324" i="26"/>
  <c r="AL324" i="26"/>
  <c r="AK324" i="26"/>
  <c r="AJ324" i="26"/>
  <c r="AI324" i="26"/>
  <c r="AH324" i="26"/>
  <c r="AG324" i="26"/>
  <c r="AF324" i="26"/>
  <c r="AE324" i="26"/>
  <c r="AD324" i="26"/>
  <c r="AC324" i="26"/>
  <c r="BL324" i="26" s="1"/>
  <c r="AB324" i="26"/>
  <c r="AA324" i="26"/>
  <c r="Z324" i="26"/>
  <c r="Y324" i="26"/>
  <c r="X324" i="26"/>
  <c r="W324" i="26"/>
  <c r="V324" i="26"/>
  <c r="U324" i="26"/>
  <c r="T324" i="26"/>
  <c r="S324" i="26"/>
  <c r="R324" i="26"/>
  <c r="Q324" i="26"/>
  <c r="P324" i="26"/>
  <c r="O324" i="26"/>
  <c r="N324" i="26"/>
  <c r="M324" i="26"/>
  <c r="L324" i="26"/>
  <c r="K324" i="26"/>
  <c r="J324" i="26"/>
  <c r="I324" i="26"/>
  <c r="H324" i="26"/>
  <c r="G324" i="26"/>
  <c r="F324" i="26"/>
  <c r="E324" i="26"/>
  <c r="D324" i="26"/>
  <c r="C324" i="26"/>
  <c r="B324" i="26"/>
  <c r="BC323" i="26"/>
  <c r="BB323" i="26"/>
  <c r="BA323" i="26"/>
  <c r="AZ323" i="26"/>
  <c r="AY323" i="26"/>
  <c r="AX323" i="26"/>
  <c r="AW323" i="26"/>
  <c r="AV323" i="26"/>
  <c r="AU323" i="26"/>
  <c r="AT323" i="26"/>
  <c r="AS323" i="26"/>
  <c r="AR323" i="26"/>
  <c r="AQ323" i="26"/>
  <c r="AP323" i="26"/>
  <c r="AO323" i="26"/>
  <c r="AN323" i="26"/>
  <c r="AM323" i="26"/>
  <c r="AL323" i="26"/>
  <c r="AK323" i="26"/>
  <c r="AJ323" i="26"/>
  <c r="AI323" i="26"/>
  <c r="AH323" i="26"/>
  <c r="AG323" i="26"/>
  <c r="AF323" i="26"/>
  <c r="AE323" i="26"/>
  <c r="AD323" i="26"/>
  <c r="AC323" i="26"/>
  <c r="BL323" i="26" s="1"/>
  <c r="AB323" i="26"/>
  <c r="AA323" i="26"/>
  <c r="Z323" i="26"/>
  <c r="Y323" i="26"/>
  <c r="X323" i="26"/>
  <c r="W323" i="26"/>
  <c r="V323" i="26"/>
  <c r="U323" i="26"/>
  <c r="T323" i="26"/>
  <c r="S323" i="26"/>
  <c r="R323" i="26"/>
  <c r="Q323" i="26"/>
  <c r="P323" i="26"/>
  <c r="O323" i="26"/>
  <c r="N323" i="26"/>
  <c r="M323" i="26"/>
  <c r="L323" i="26"/>
  <c r="K323" i="26"/>
  <c r="J323" i="26"/>
  <c r="I323" i="26"/>
  <c r="H323" i="26"/>
  <c r="G323" i="26"/>
  <c r="F323" i="26"/>
  <c r="E323" i="26"/>
  <c r="D323" i="26"/>
  <c r="C323" i="26"/>
  <c r="B323" i="26"/>
  <c r="BC322" i="26"/>
  <c r="BB322" i="26"/>
  <c r="BA322" i="26"/>
  <c r="AZ322" i="26"/>
  <c r="AY322" i="26"/>
  <c r="AX322" i="26"/>
  <c r="AW322" i="26"/>
  <c r="AV322" i="26"/>
  <c r="AU322" i="26"/>
  <c r="AT322" i="26"/>
  <c r="AS322" i="26"/>
  <c r="AR322" i="26"/>
  <c r="AQ322" i="26"/>
  <c r="AP322" i="26"/>
  <c r="AO322" i="26"/>
  <c r="AN322" i="26"/>
  <c r="AM322" i="26"/>
  <c r="AL322" i="26"/>
  <c r="AK322" i="26"/>
  <c r="AJ322" i="26"/>
  <c r="AI322" i="26"/>
  <c r="AH322" i="26"/>
  <c r="AG322" i="26"/>
  <c r="AF322" i="26"/>
  <c r="AE322" i="26"/>
  <c r="AD322" i="26"/>
  <c r="AC322" i="26"/>
  <c r="AB322" i="26"/>
  <c r="AA322" i="26"/>
  <c r="Z322" i="26"/>
  <c r="Y322" i="26"/>
  <c r="X322" i="26"/>
  <c r="W322" i="26"/>
  <c r="V322" i="26"/>
  <c r="U322" i="26"/>
  <c r="T322" i="26"/>
  <c r="S322" i="26"/>
  <c r="R322" i="26"/>
  <c r="Q322" i="26"/>
  <c r="P322" i="26"/>
  <c r="O322" i="26"/>
  <c r="N322" i="26"/>
  <c r="M322" i="26"/>
  <c r="L322" i="26"/>
  <c r="K322" i="26"/>
  <c r="J322" i="26"/>
  <c r="I322" i="26"/>
  <c r="H322" i="26"/>
  <c r="BD322" i="26" s="1"/>
  <c r="G322" i="26"/>
  <c r="F322" i="26"/>
  <c r="E322" i="26"/>
  <c r="D322" i="26"/>
  <c r="C322" i="26"/>
  <c r="B322" i="26"/>
  <c r="BC321" i="26"/>
  <c r="BB321" i="26"/>
  <c r="BA321" i="26"/>
  <c r="AZ321" i="26"/>
  <c r="AY321" i="26"/>
  <c r="AX321" i="26"/>
  <c r="AW321" i="26"/>
  <c r="AV321" i="26"/>
  <c r="AU321" i="26"/>
  <c r="AT321" i="26"/>
  <c r="AS321" i="26"/>
  <c r="AR321" i="26"/>
  <c r="AQ321" i="26"/>
  <c r="AP321" i="26"/>
  <c r="AO321" i="26"/>
  <c r="AN321" i="26"/>
  <c r="AM321" i="26"/>
  <c r="AL321" i="26"/>
  <c r="AK321" i="26"/>
  <c r="AJ321" i="26"/>
  <c r="AI321" i="26"/>
  <c r="AH321" i="26"/>
  <c r="AG321" i="26"/>
  <c r="AF321" i="26"/>
  <c r="AE321" i="26"/>
  <c r="AD321" i="26"/>
  <c r="AC321" i="26"/>
  <c r="AB321" i="26"/>
  <c r="AA321" i="26"/>
  <c r="Z321" i="26"/>
  <c r="Y321" i="26"/>
  <c r="X321" i="26"/>
  <c r="W321" i="26"/>
  <c r="V321" i="26"/>
  <c r="U321" i="26"/>
  <c r="T321" i="26"/>
  <c r="S321" i="26"/>
  <c r="R321" i="26"/>
  <c r="Q321" i="26"/>
  <c r="P321" i="26"/>
  <c r="O321" i="26"/>
  <c r="N321" i="26"/>
  <c r="M321" i="26"/>
  <c r="L321" i="26"/>
  <c r="K321" i="26"/>
  <c r="J321" i="26"/>
  <c r="I321" i="26"/>
  <c r="H321" i="26"/>
  <c r="G321" i="26"/>
  <c r="F321" i="26"/>
  <c r="E321" i="26"/>
  <c r="D321" i="26"/>
  <c r="C321" i="26"/>
  <c r="B321" i="26"/>
  <c r="BK320" i="26"/>
  <c r="BC320" i="26"/>
  <c r="BB320" i="26"/>
  <c r="BA320" i="26"/>
  <c r="AZ320" i="26"/>
  <c r="AY320" i="26"/>
  <c r="AX320" i="26"/>
  <c r="AW320" i="26"/>
  <c r="AV320" i="26"/>
  <c r="AU320" i="26"/>
  <c r="AT320" i="26"/>
  <c r="AS320" i="26"/>
  <c r="AR320" i="26"/>
  <c r="AQ320" i="26"/>
  <c r="AP320" i="26"/>
  <c r="AO320" i="26"/>
  <c r="AN320" i="26"/>
  <c r="AM320" i="26"/>
  <c r="AL320" i="26"/>
  <c r="AK320" i="26"/>
  <c r="AJ320" i="26"/>
  <c r="AI320" i="26"/>
  <c r="AH320" i="26"/>
  <c r="AG320" i="26"/>
  <c r="AF320" i="26"/>
  <c r="AE320" i="26"/>
  <c r="AD320" i="26"/>
  <c r="AC320" i="26"/>
  <c r="BL320" i="26" s="1"/>
  <c r="AB320" i="26"/>
  <c r="AA320" i="26"/>
  <c r="Z320" i="26"/>
  <c r="Y320" i="26"/>
  <c r="X320" i="26"/>
  <c r="W320" i="26"/>
  <c r="V320" i="26"/>
  <c r="U320" i="26"/>
  <c r="T320" i="26"/>
  <c r="S320" i="26"/>
  <c r="R320" i="26"/>
  <c r="Q320" i="26"/>
  <c r="P320" i="26"/>
  <c r="O320" i="26"/>
  <c r="N320" i="26"/>
  <c r="M320" i="26"/>
  <c r="L320" i="26"/>
  <c r="K320" i="26"/>
  <c r="J320" i="26"/>
  <c r="I320" i="26"/>
  <c r="H320" i="26"/>
  <c r="G320" i="26"/>
  <c r="F320" i="26"/>
  <c r="E320" i="26"/>
  <c r="D320" i="26"/>
  <c r="C320" i="26"/>
  <c r="B320" i="26"/>
  <c r="BD320" i="26" s="1"/>
  <c r="BE320" i="26" s="1"/>
  <c r="BG320" i="26" s="1"/>
  <c r="BC319" i="26"/>
  <c r="BB319" i="26"/>
  <c r="BA319" i="26"/>
  <c r="AZ319" i="26"/>
  <c r="AY319" i="26"/>
  <c r="AX319" i="26"/>
  <c r="AW319" i="26"/>
  <c r="AV319" i="26"/>
  <c r="AU319" i="26"/>
  <c r="AT319" i="26"/>
  <c r="AS319" i="26"/>
  <c r="AR319" i="26"/>
  <c r="AQ319" i="26"/>
  <c r="AP319" i="26"/>
  <c r="AO319" i="26"/>
  <c r="AN319" i="26"/>
  <c r="AM319" i="26"/>
  <c r="AL319" i="26"/>
  <c r="AK319" i="26"/>
  <c r="AJ319" i="26"/>
  <c r="AI319" i="26"/>
  <c r="AH319" i="26"/>
  <c r="AG319" i="26"/>
  <c r="AF319" i="26"/>
  <c r="AE319" i="26"/>
  <c r="AD319" i="26"/>
  <c r="AC319" i="26"/>
  <c r="BL319" i="26" s="1"/>
  <c r="AB319" i="26"/>
  <c r="AA319" i="26"/>
  <c r="Z319" i="26"/>
  <c r="Y319" i="26"/>
  <c r="X319" i="26"/>
  <c r="W319" i="26"/>
  <c r="V319" i="26"/>
  <c r="U319" i="26"/>
  <c r="T319" i="26"/>
  <c r="S319" i="26"/>
  <c r="R319" i="26"/>
  <c r="Q319" i="26"/>
  <c r="P319" i="26"/>
  <c r="O319" i="26"/>
  <c r="N319" i="26"/>
  <c r="M319" i="26"/>
  <c r="L319" i="26"/>
  <c r="K319" i="26"/>
  <c r="J319" i="26"/>
  <c r="I319" i="26"/>
  <c r="H319" i="26"/>
  <c r="BD319" i="26" s="1"/>
  <c r="G319" i="26"/>
  <c r="F319" i="26"/>
  <c r="E319" i="26"/>
  <c r="D319" i="26"/>
  <c r="C319" i="26"/>
  <c r="B319" i="26"/>
  <c r="BL318" i="26"/>
  <c r="BC318" i="26"/>
  <c r="BB318" i="26"/>
  <c r="BA318" i="26"/>
  <c r="AZ318" i="26"/>
  <c r="AY318" i="26"/>
  <c r="AX318" i="26"/>
  <c r="AW318" i="26"/>
  <c r="AV318" i="26"/>
  <c r="AU318" i="26"/>
  <c r="AT318" i="26"/>
  <c r="AS318" i="26"/>
  <c r="AR318" i="26"/>
  <c r="AQ318" i="26"/>
  <c r="AP318" i="26"/>
  <c r="AO318" i="26"/>
  <c r="AN318" i="26"/>
  <c r="AM318" i="26"/>
  <c r="AL318" i="26"/>
  <c r="AK318" i="26"/>
  <c r="AJ318" i="26"/>
  <c r="AI318" i="26"/>
  <c r="AH318" i="26"/>
  <c r="AG318" i="26"/>
  <c r="AF318" i="26"/>
  <c r="AE318" i="26"/>
  <c r="AD318" i="26"/>
  <c r="AC318" i="26"/>
  <c r="AB318" i="26"/>
  <c r="AA318" i="26"/>
  <c r="Z318" i="26"/>
  <c r="Y318" i="26"/>
  <c r="X318" i="26"/>
  <c r="W318" i="26"/>
  <c r="V318" i="26"/>
  <c r="U318" i="26"/>
  <c r="T318" i="26"/>
  <c r="S318" i="26"/>
  <c r="R318" i="26"/>
  <c r="Q318" i="26"/>
  <c r="P318" i="26"/>
  <c r="O318" i="26"/>
  <c r="N318" i="26"/>
  <c r="M318" i="26"/>
  <c r="L318" i="26"/>
  <c r="K318" i="26"/>
  <c r="J318" i="26"/>
  <c r="I318" i="26"/>
  <c r="H318" i="26"/>
  <c r="G318" i="26"/>
  <c r="F318" i="26"/>
  <c r="E318" i="26"/>
  <c r="D318" i="26"/>
  <c r="C318" i="26"/>
  <c r="B318" i="26"/>
  <c r="BC317" i="26"/>
  <c r="BB317" i="26"/>
  <c r="BA317" i="26"/>
  <c r="AZ317" i="26"/>
  <c r="AY317" i="26"/>
  <c r="AX317" i="26"/>
  <c r="AW317" i="26"/>
  <c r="AV317" i="26"/>
  <c r="AU317" i="26"/>
  <c r="AT317" i="26"/>
  <c r="AS317" i="26"/>
  <c r="AR317" i="26"/>
  <c r="AQ317" i="26"/>
  <c r="AP317" i="26"/>
  <c r="AO317" i="26"/>
  <c r="AN317" i="26"/>
  <c r="AM317" i="26"/>
  <c r="AL317" i="26"/>
  <c r="AK317" i="26"/>
  <c r="AJ317" i="26"/>
  <c r="AI317" i="26"/>
  <c r="AH317" i="26"/>
  <c r="AG317" i="26"/>
  <c r="AF317" i="26"/>
  <c r="AE317" i="26"/>
  <c r="AD317" i="26"/>
  <c r="AC317" i="26"/>
  <c r="AB317" i="26"/>
  <c r="AA317" i="26"/>
  <c r="Z317" i="26"/>
  <c r="Y317" i="26"/>
  <c r="X317" i="26"/>
  <c r="W317" i="26"/>
  <c r="V317" i="26"/>
  <c r="U317" i="26"/>
  <c r="T317" i="26"/>
  <c r="S317" i="26"/>
  <c r="R317" i="26"/>
  <c r="Q317" i="26"/>
  <c r="P317" i="26"/>
  <c r="O317" i="26"/>
  <c r="N317" i="26"/>
  <c r="M317" i="26"/>
  <c r="L317" i="26"/>
  <c r="K317" i="26"/>
  <c r="J317" i="26"/>
  <c r="I317" i="26"/>
  <c r="H317" i="26"/>
  <c r="G317" i="26"/>
  <c r="F317" i="26"/>
  <c r="E317" i="26"/>
  <c r="D317" i="26"/>
  <c r="C317" i="26"/>
  <c r="B317" i="26"/>
  <c r="BC316" i="26"/>
  <c r="BB316" i="26"/>
  <c r="BA316" i="26"/>
  <c r="AZ316" i="26"/>
  <c r="AY316" i="26"/>
  <c r="AX316" i="26"/>
  <c r="AW316" i="26"/>
  <c r="AV316" i="26"/>
  <c r="AU316" i="26"/>
  <c r="AT316" i="26"/>
  <c r="AS316" i="26"/>
  <c r="AR316" i="26"/>
  <c r="AQ316" i="26"/>
  <c r="AP316" i="26"/>
  <c r="AO316" i="26"/>
  <c r="AN316" i="26"/>
  <c r="AM316" i="26"/>
  <c r="AL316" i="26"/>
  <c r="AK316" i="26"/>
  <c r="AJ316" i="26"/>
  <c r="AI316" i="26"/>
  <c r="AH316" i="26"/>
  <c r="AG316" i="26"/>
  <c r="AF316" i="26"/>
  <c r="AE316" i="26"/>
  <c r="AD316" i="26"/>
  <c r="AC316" i="26"/>
  <c r="AB316" i="26"/>
  <c r="AA316" i="26"/>
  <c r="Z316" i="26"/>
  <c r="Y316" i="26"/>
  <c r="X316" i="26"/>
  <c r="W316" i="26"/>
  <c r="V316" i="26"/>
  <c r="U316" i="26"/>
  <c r="T316" i="26"/>
  <c r="S316" i="26"/>
  <c r="R316" i="26"/>
  <c r="Q316" i="26"/>
  <c r="P316" i="26"/>
  <c r="O316" i="26"/>
  <c r="N316" i="26"/>
  <c r="M316" i="26"/>
  <c r="L316" i="26"/>
  <c r="K316" i="26"/>
  <c r="J316" i="26"/>
  <c r="I316" i="26"/>
  <c r="H316" i="26"/>
  <c r="G316" i="26"/>
  <c r="F316" i="26"/>
  <c r="E316" i="26"/>
  <c r="D316" i="26"/>
  <c r="BD316" i="26" s="1"/>
  <c r="C316" i="26"/>
  <c r="B316" i="26"/>
  <c r="BC315" i="26"/>
  <c r="BB315" i="26"/>
  <c r="BA315" i="26"/>
  <c r="AZ315" i="26"/>
  <c r="AY315" i="26"/>
  <c r="AX315" i="26"/>
  <c r="AW315" i="26"/>
  <c r="AV315" i="26"/>
  <c r="AU315" i="26"/>
  <c r="AT315" i="26"/>
  <c r="AS315" i="26"/>
  <c r="AR315" i="26"/>
  <c r="AQ315" i="26"/>
  <c r="AP315" i="26"/>
  <c r="AO315" i="26"/>
  <c r="AN315" i="26"/>
  <c r="AM315" i="26"/>
  <c r="AL315" i="26"/>
  <c r="AK315" i="26"/>
  <c r="AJ315" i="26"/>
  <c r="AI315" i="26"/>
  <c r="AH315" i="26"/>
  <c r="AG315" i="26"/>
  <c r="AF315" i="26"/>
  <c r="AE315" i="26"/>
  <c r="AD315" i="26"/>
  <c r="AC315" i="26"/>
  <c r="BL315" i="26" s="1"/>
  <c r="AB315" i="26"/>
  <c r="AA315" i="26"/>
  <c r="Z315" i="26"/>
  <c r="Y315" i="26"/>
  <c r="X315" i="26"/>
  <c r="W315" i="26"/>
  <c r="V315" i="26"/>
  <c r="U315" i="26"/>
  <c r="T315" i="26"/>
  <c r="S315" i="26"/>
  <c r="R315" i="26"/>
  <c r="Q315" i="26"/>
  <c r="P315" i="26"/>
  <c r="O315" i="26"/>
  <c r="N315" i="26"/>
  <c r="M315" i="26"/>
  <c r="L315" i="26"/>
  <c r="K315" i="26"/>
  <c r="J315" i="26"/>
  <c r="I315" i="26"/>
  <c r="H315" i="26"/>
  <c r="G315" i="26"/>
  <c r="F315" i="26"/>
  <c r="E315" i="26"/>
  <c r="D315" i="26"/>
  <c r="C315" i="26"/>
  <c r="B315" i="26"/>
  <c r="BD315" i="26" s="1"/>
  <c r="BF315" i="26" s="1"/>
  <c r="BC314" i="26"/>
  <c r="BB314" i="26"/>
  <c r="BA314" i="26"/>
  <c r="AZ314" i="26"/>
  <c r="AY314" i="26"/>
  <c r="AX314" i="26"/>
  <c r="AW314" i="26"/>
  <c r="AV314" i="26"/>
  <c r="AU314" i="26"/>
  <c r="AT314" i="26"/>
  <c r="AS314" i="26"/>
  <c r="AR314" i="26"/>
  <c r="AQ314" i="26"/>
  <c r="AP314" i="26"/>
  <c r="AO314" i="26"/>
  <c r="AN314" i="26"/>
  <c r="AM314" i="26"/>
  <c r="AL314" i="26"/>
  <c r="AK314" i="26"/>
  <c r="AJ314" i="26"/>
  <c r="AI314" i="26"/>
  <c r="AH314" i="26"/>
  <c r="AG314" i="26"/>
  <c r="AF314" i="26"/>
  <c r="AE314" i="26"/>
  <c r="AD314" i="26"/>
  <c r="BL314" i="26" s="1"/>
  <c r="AC314" i="26"/>
  <c r="AB314" i="26"/>
  <c r="AA314" i="26"/>
  <c r="Z314" i="26"/>
  <c r="Y314" i="26"/>
  <c r="X314" i="26"/>
  <c r="W314" i="26"/>
  <c r="V314" i="26"/>
  <c r="U314" i="26"/>
  <c r="T314" i="26"/>
  <c r="S314" i="26"/>
  <c r="R314" i="26"/>
  <c r="Q314" i="26"/>
  <c r="P314" i="26"/>
  <c r="O314" i="26"/>
  <c r="N314" i="26"/>
  <c r="M314" i="26"/>
  <c r="L314" i="26"/>
  <c r="K314" i="26"/>
  <c r="J314" i="26"/>
  <c r="I314" i="26"/>
  <c r="H314" i="26"/>
  <c r="G314" i="26"/>
  <c r="F314" i="26"/>
  <c r="E314" i="26"/>
  <c r="D314" i="26"/>
  <c r="C314" i="26"/>
  <c r="B314" i="26"/>
  <c r="BC313" i="26"/>
  <c r="BB313" i="26"/>
  <c r="BA313" i="26"/>
  <c r="AZ313" i="26"/>
  <c r="AY313" i="26"/>
  <c r="AX313" i="26"/>
  <c r="AW313" i="26"/>
  <c r="AV313" i="26"/>
  <c r="AU313" i="26"/>
  <c r="AT313" i="26"/>
  <c r="AS313" i="26"/>
  <c r="AR313" i="26"/>
  <c r="AQ313" i="26"/>
  <c r="AP313" i="26"/>
  <c r="AO313" i="26"/>
  <c r="AN313" i="26"/>
  <c r="AM313" i="26"/>
  <c r="AL313" i="26"/>
  <c r="AK313" i="26"/>
  <c r="AJ313" i="26"/>
  <c r="AI313" i="26"/>
  <c r="AH313" i="26"/>
  <c r="AG313" i="26"/>
  <c r="AF313" i="26"/>
  <c r="AE313" i="26"/>
  <c r="AD313" i="26"/>
  <c r="BL313" i="26" s="1"/>
  <c r="AC313" i="26"/>
  <c r="AB313" i="26"/>
  <c r="AA313" i="26"/>
  <c r="Z313" i="26"/>
  <c r="Y313" i="26"/>
  <c r="X313" i="26"/>
  <c r="W313" i="26"/>
  <c r="V313" i="26"/>
  <c r="U313" i="26"/>
  <c r="T313" i="26"/>
  <c r="S313" i="26"/>
  <c r="R313" i="26"/>
  <c r="Q313" i="26"/>
  <c r="P313" i="26"/>
  <c r="O313" i="26"/>
  <c r="N313" i="26"/>
  <c r="M313" i="26"/>
  <c r="L313" i="26"/>
  <c r="K313" i="26"/>
  <c r="J313" i="26"/>
  <c r="I313" i="26"/>
  <c r="H313" i="26"/>
  <c r="G313" i="26"/>
  <c r="F313" i="26"/>
  <c r="E313" i="26"/>
  <c r="D313" i="26"/>
  <c r="C313" i="26"/>
  <c r="B313" i="26"/>
  <c r="BC312" i="26"/>
  <c r="BB312" i="26"/>
  <c r="BA312" i="26"/>
  <c r="AZ312" i="26"/>
  <c r="AY312" i="26"/>
  <c r="AX312" i="26"/>
  <c r="AW312" i="26"/>
  <c r="AV312" i="26"/>
  <c r="AU312" i="26"/>
  <c r="AT312" i="26"/>
  <c r="AS312" i="26"/>
  <c r="AR312" i="26"/>
  <c r="AQ312" i="26"/>
  <c r="AP312" i="26"/>
  <c r="AO312" i="26"/>
  <c r="AN312" i="26"/>
  <c r="AM312" i="26"/>
  <c r="AL312" i="26"/>
  <c r="AK312" i="26"/>
  <c r="AJ312" i="26"/>
  <c r="AI312" i="26"/>
  <c r="AH312" i="26"/>
  <c r="AG312" i="26"/>
  <c r="AF312" i="26"/>
  <c r="AE312" i="26"/>
  <c r="AD312" i="26"/>
  <c r="AC312" i="26"/>
  <c r="AB312" i="26"/>
  <c r="AA312" i="26"/>
  <c r="Z312" i="26"/>
  <c r="Y312" i="26"/>
  <c r="X312" i="26"/>
  <c r="W312" i="26"/>
  <c r="V312" i="26"/>
  <c r="U312" i="26"/>
  <c r="T312" i="26"/>
  <c r="S312" i="26"/>
  <c r="R312" i="26"/>
  <c r="Q312" i="26"/>
  <c r="P312" i="26"/>
  <c r="O312" i="26"/>
  <c r="N312" i="26"/>
  <c r="M312" i="26"/>
  <c r="L312" i="26"/>
  <c r="K312" i="26"/>
  <c r="J312" i="26"/>
  <c r="I312" i="26"/>
  <c r="H312" i="26"/>
  <c r="BD312" i="26" s="1"/>
  <c r="G312" i="26"/>
  <c r="F312" i="26"/>
  <c r="E312" i="26"/>
  <c r="D312" i="26"/>
  <c r="C312" i="26"/>
  <c r="B312" i="26"/>
  <c r="BC311" i="26"/>
  <c r="BB311" i="26"/>
  <c r="BA311" i="26"/>
  <c r="AZ311" i="26"/>
  <c r="AY311" i="26"/>
  <c r="AX311" i="26"/>
  <c r="AW311" i="26"/>
  <c r="AV311" i="26"/>
  <c r="AU311" i="26"/>
  <c r="AT311" i="26"/>
  <c r="AS311" i="26"/>
  <c r="AR311" i="26"/>
  <c r="AQ311" i="26"/>
  <c r="AP311" i="26"/>
  <c r="AO311" i="26"/>
  <c r="AN311" i="26"/>
  <c r="AM311" i="26"/>
  <c r="AL311" i="26"/>
  <c r="AK311" i="26"/>
  <c r="AJ311" i="26"/>
  <c r="AI311" i="26"/>
  <c r="AH311" i="26"/>
  <c r="AG311" i="26"/>
  <c r="AF311" i="26"/>
  <c r="AE311" i="26"/>
  <c r="AD311" i="26"/>
  <c r="AC311" i="26"/>
  <c r="BL311" i="26" s="1"/>
  <c r="AB311" i="26"/>
  <c r="AA311" i="26"/>
  <c r="Z311" i="26"/>
  <c r="Y311" i="26"/>
  <c r="X311" i="26"/>
  <c r="W311" i="26"/>
  <c r="V311" i="26"/>
  <c r="U311" i="26"/>
  <c r="T311" i="26"/>
  <c r="S311" i="26"/>
  <c r="R311" i="26"/>
  <c r="Q311" i="26"/>
  <c r="P311" i="26"/>
  <c r="O311" i="26"/>
  <c r="N311" i="26"/>
  <c r="M311" i="26"/>
  <c r="L311" i="26"/>
  <c r="K311" i="26"/>
  <c r="J311" i="26"/>
  <c r="I311" i="26"/>
  <c r="H311" i="26"/>
  <c r="G311" i="26"/>
  <c r="F311" i="26"/>
  <c r="E311" i="26"/>
  <c r="D311" i="26"/>
  <c r="C311" i="26"/>
  <c r="B311" i="26"/>
  <c r="BC310" i="26"/>
  <c r="BB310" i="26"/>
  <c r="BA310" i="26"/>
  <c r="AZ310" i="26"/>
  <c r="AY310" i="26"/>
  <c r="AX310" i="26"/>
  <c r="AW310" i="26"/>
  <c r="AV310" i="26"/>
  <c r="AU310" i="26"/>
  <c r="AT310" i="26"/>
  <c r="AS310" i="26"/>
  <c r="AR310" i="26"/>
  <c r="AQ310" i="26"/>
  <c r="AP310" i="26"/>
  <c r="AO310" i="26"/>
  <c r="AN310" i="26"/>
  <c r="AM310" i="26"/>
  <c r="AL310" i="26"/>
  <c r="AK310" i="26"/>
  <c r="AJ310" i="26"/>
  <c r="AI310" i="26"/>
  <c r="AH310" i="26"/>
  <c r="AG310" i="26"/>
  <c r="AF310" i="26"/>
  <c r="AE310" i="26"/>
  <c r="AD310" i="26"/>
  <c r="AC310" i="26"/>
  <c r="AB310" i="26"/>
  <c r="AA310" i="26"/>
  <c r="Z310" i="26"/>
  <c r="Y310" i="26"/>
  <c r="X310" i="26"/>
  <c r="W310" i="26"/>
  <c r="V310" i="26"/>
  <c r="U310" i="26"/>
  <c r="T310" i="26"/>
  <c r="S310" i="26"/>
  <c r="R310" i="26"/>
  <c r="Q310" i="26"/>
  <c r="P310" i="26"/>
  <c r="O310" i="26"/>
  <c r="N310" i="26"/>
  <c r="M310" i="26"/>
  <c r="L310" i="26"/>
  <c r="K310" i="26"/>
  <c r="J310" i="26"/>
  <c r="I310" i="26"/>
  <c r="H310" i="26"/>
  <c r="G310" i="26"/>
  <c r="F310" i="26"/>
  <c r="E310" i="26"/>
  <c r="D310" i="26"/>
  <c r="C310" i="26"/>
  <c r="B310" i="26"/>
  <c r="BD310" i="26" s="1"/>
  <c r="BC309" i="26"/>
  <c r="BB309" i="26"/>
  <c r="BA309" i="26"/>
  <c r="AZ309" i="26"/>
  <c r="AY309" i="26"/>
  <c r="AX309" i="26"/>
  <c r="AW309" i="26"/>
  <c r="AV309" i="26"/>
  <c r="AU309" i="26"/>
  <c r="AT309" i="26"/>
  <c r="AS309" i="26"/>
  <c r="AR309" i="26"/>
  <c r="AQ309" i="26"/>
  <c r="AP309" i="26"/>
  <c r="AO309" i="26"/>
  <c r="AN309" i="26"/>
  <c r="AM309" i="26"/>
  <c r="AL309" i="26"/>
  <c r="AK309" i="26"/>
  <c r="AJ309" i="26"/>
  <c r="AI309" i="26"/>
  <c r="AH309" i="26"/>
  <c r="AG309" i="26"/>
  <c r="AF309" i="26"/>
  <c r="AE309" i="26"/>
  <c r="AD309" i="26"/>
  <c r="AC309" i="26"/>
  <c r="AB309" i="26"/>
  <c r="AA309" i="26"/>
  <c r="Z309" i="26"/>
  <c r="Y309" i="26"/>
  <c r="X309" i="26"/>
  <c r="W309" i="26"/>
  <c r="V309" i="26"/>
  <c r="U309" i="26"/>
  <c r="T309" i="26"/>
  <c r="S309" i="26"/>
  <c r="R309" i="26"/>
  <c r="Q309" i="26"/>
  <c r="P309" i="26"/>
  <c r="O309" i="26"/>
  <c r="N309" i="26"/>
  <c r="M309" i="26"/>
  <c r="L309" i="26"/>
  <c r="K309" i="26"/>
  <c r="J309" i="26"/>
  <c r="I309" i="26"/>
  <c r="H309" i="26"/>
  <c r="G309" i="26"/>
  <c r="F309" i="26"/>
  <c r="E309" i="26"/>
  <c r="D309" i="26"/>
  <c r="C309" i="26"/>
  <c r="B309" i="26"/>
  <c r="BD309" i="26" s="1"/>
  <c r="BC308" i="26"/>
  <c r="BB308" i="26"/>
  <c r="BA308" i="26"/>
  <c r="AZ308" i="26"/>
  <c r="AY308" i="26"/>
  <c r="AX308" i="26"/>
  <c r="AW308" i="26"/>
  <c r="AV308" i="26"/>
  <c r="AU308" i="26"/>
  <c r="AT308" i="26"/>
  <c r="AS308" i="26"/>
  <c r="AR308" i="26"/>
  <c r="AQ308" i="26"/>
  <c r="AP308" i="26"/>
  <c r="AO308" i="26"/>
  <c r="AN308" i="26"/>
  <c r="AM308" i="26"/>
  <c r="AL308" i="26"/>
  <c r="AK308" i="26"/>
  <c r="AJ308" i="26"/>
  <c r="AI308" i="26"/>
  <c r="AH308" i="26"/>
  <c r="AG308" i="26"/>
  <c r="AF308" i="26"/>
  <c r="BL308" i="26" s="1"/>
  <c r="AE308" i="26"/>
  <c r="AD308" i="26"/>
  <c r="AC308" i="26"/>
  <c r="AB308" i="26"/>
  <c r="AA308" i="26"/>
  <c r="Z308" i="26"/>
  <c r="Y308" i="26"/>
  <c r="X308" i="26"/>
  <c r="W308" i="26"/>
  <c r="V308" i="26"/>
  <c r="U308" i="26"/>
  <c r="T308" i="26"/>
  <c r="S308" i="26"/>
  <c r="R308" i="26"/>
  <c r="Q308" i="26"/>
  <c r="P308" i="26"/>
  <c r="O308" i="26"/>
  <c r="N308" i="26"/>
  <c r="M308" i="26"/>
  <c r="L308" i="26"/>
  <c r="K308" i="26"/>
  <c r="J308" i="26"/>
  <c r="I308" i="26"/>
  <c r="H308" i="26"/>
  <c r="G308" i="26"/>
  <c r="F308" i="26"/>
  <c r="E308" i="26"/>
  <c r="D308" i="26"/>
  <c r="C308" i="26"/>
  <c r="B308" i="26"/>
  <c r="BD308" i="26" s="1"/>
  <c r="BC307" i="26"/>
  <c r="BB307" i="26"/>
  <c r="BA307" i="26"/>
  <c r="AZ307" i="26"/>
  <c r="AY307" i="26"/>
  <c r="AX307" i="26"/>
  <c r="AW307" i="26"/>
  <c r="AV307" i="26"/>
  <c r="AU307" i="26"/>
  <c r="AT307" i="26"/>
  <c r="AS307" i="26"/>
  <c r="AR307" i="26"/>
  <c r="AQ307" i="26"/>
  <c r="AP307" i="26"/>
  <c r="AO307" i="26"/>
  <c r="AN307" i="26"/>
  <c r="AM307" i="26"/>
  <c r="AL307" i="26"/>
  <c r="AK307" i="26"/>
  <c r="AJ307" i="26"/>
  <c r="AI307" i="26"/>
  <c r="AH307" i="26"/>
  <c r="AG307" i="26"/>
  <c r="AF307" i="26"/>
  <c r="AE307" i="26"/>
  <c r="AD307" i="26"/>
  <c r="AC307" i="26"/>
  <c r="AB307" i="26"/>
  <c r="AA307" i="26"/>
  <c r="Z307" i="26"/>
  <c r="Y307" i="26"/>
  <c r="X307" i="26"/>
  <c r="W307" i="26"/>
  <c r="V307" i="26"/>
  <c r="U307" i="26"/>
  <c r="T307" i="26"/>
  <c r="S307" i="26"/>
  <c r="R307" i="26"/>
  <c r="Q307" i="26"/>
  <c r="P307" i="26"/>
  <c r="O307" i="26"/>
  <c r="N307" i="26"/>
  <c r="M307" i="26"/>
  <c r="L307" i="26"/>
  <c r="K307" i="26"/>
  <c r="J307" i="26"/>
  <c r="I307" i="26"/>
  <c r="H307" i="26"/>
  <c r="BD307" i="26" s="1"/>
  <c r="G307" i="26"/>
  <c r="F307" i="26"/>
  <c r="E307" i="26"/>
  <c r="D307" i="26"/>
  <c r="C307" i="26"/>
  <c r="B307" i="26"/>
  <c r="BC306" i="26"/>
  <c r="BB306" i="26"/>
  <c r="BA306" i="26"/>
  <c r="AZ306" i="26"/>
  <c r="AY306" i="26"/>
  <c r="AX306" i="26"/>
  <c r="AW306" i="26"/>
  <c r="AV306" i="26"/>
  <c r="AU306" i="26"/>
  <c r="AT306" i="26"/>
  <c r="AS306" i="26"/>
  <c r="AR306" i="26"/>
  <c r="AQ306" i="26"/>
  <c r="AP306" i="26"/>
  <c r="AO306" i="26"/>
  <c r="AN306" i="26"/>
  <c r="AM306" i="26"/>
  <c r="AL306" i="26"/>
  <c r="AK306" i="26"/>
  <c r="AJ306" i="26"/>
  <c r="AI306" i="26"/>
  <c r="AH306" i="26"/>
  <c r="AG306" i="26"/>
  <c r="AF306" i="26"/>
  <c r="AE306" i="26"/>
  <c r="AD306" i="26"/>
  <c r="AC306" i="26"/>
  <c r="BL306" i="26" s="1"/>
  <c r="AB306" i="26"/>
  <c r="AA306" i="26"/>
  <c r="Z306" i="26"/>
  <c r="Y306" i="26"/>
  <c r="X306" i="26"/>
  <c r="W306" i="26"/>
  <c r="V306" i="26"/>
  <c r="U306" i="26"/>
  <c r="T306" i="26"/>
  <c r="S306" i="26"/>
  <c r="R306" i="26"/>
  <c r="Q306" i="26"/>
  <c r="P306" i="26"/>
  <c r="O306" i="26"/>
  <c r="N306" i="26"/>
  <c r="M306" i="26"/>
  <c r="L306" i="26"/>
  <c r="K306" i="26"/>
  <c r="J306" i="26"/>
  <c r="I306" i="26"/>
  <c r="H306" i="26"/>
  <c r="G306" i="26"/>
  <c r="F306" i="26"/>
  <c r="E306" i="26"/>
  <c r="D306" i="26"/>
  <c r="C306" i="26"/>
  <c r="B306" i="26"/>
  <c r="BC305" i="26"/>
  <c r="BB305" i="26"/>
  <c r="BA305" i="26"/>
  <c r="AZ305" i="26"/>
  <c r="AY305" i="26"/>
  <c r="AX305" i="26"/>
  <c r="AW305" i="26"/>
  <c r="AV305" i="26"/>
  <c r="AU305" i="26"/>
  <c r="AT305" i="26"/>
  <c r="AS305" i="26"/>
  <c r="AR305" i="26"/>
  <c r="AQ305" i="26"/>
  <c r="AP305" i="26"/>
  <c r="AO305" i="26"/>
  <c r="AN305" i="26"/>
  <c r="AM305" i="26"/>
  <c r="AL305" i="26"/>
  <c r="AK305" i="26"/>
  <c r="AJ305" i="26"/>
  <c r="AI305" i="26"/>
  <c r="AH305" i="26"/>
  <c r="AG305" i="26"/>
  <c r="AF305" i="26"/>
  <c r="AE305" i="26"/>
  <c r="AD305" i="26"/>
  <c r="AC305" i="26"/>
  <c r="AB305" i="26"/>
  <c r="AA305" i="26"/>
  <c r="Z305" i="26"/>
  <c r="Y305" i="26"/>
  <c r="X305" i="26"/>
  <c r="W305" i="26"/>
  <c r="V305" i="26"/>
  <c r="U305" i="26"/>
  <c r="T305" i="26"/>
  <c r="S305" i="26"/>
  <c r="R305" i="26"/>
  <c r="Q305" i="26"/>
  <c r="P305" i="26"/>
  <c r="O305" i="26"/>
  <c r="N305" i="26"/>
  <c r="M305" i="26"/>
  <c r="L305" i="26"/>
  <c r="K305" i="26"/>
  <c r="J305" i="26"/>
  <c r="I305" i="26"/>
  <c r="H305" i="26"/>
  <c r="G305" i="26"/>
  <c r="F305" i="26"/>
  <c r="E305" i="26"/>
  <c r="D305" i="26"/>
  <c r="C305" i="26"/>
  <c r="B305" i="26"/>
  <c r="BC304" i="26"/>
  <c r="BB304" i="26"/>
  <c r="BA304" i="26"/>
  <c r="AZ304" i="26"/>
  <c r="AY304" i="26"/>
  <c r="AX304" i="26"/>
  <c r="AW304" i="26"/>
  <c r="AV304" i="26"/>
  <c r="AU304" i="26"/>
  <c r="AT304" i="26"/>
  <c r="AS304" i="26"/>
  <c r="AR304" i="26"/>
  <c r="AQ304" i="26"/>
  <c r="AP304" i="26"/>
  <c r="AO304" i="26"/>
  <c r="AN304" i="26"/>
  <c r="AM304" i="26"/>
  <c r="AL304" i="26"/>
  <c r="AK304" i="26"/>
  <c r="AJ304" i="26"/>
  <c r="AI304" i="26"/>
  <c r="AH304" i="26"/>
  <c r="AG304" i="26"/>
  <c r="AF304" i="26"/>
  <c r="AE304" i="26"/>
  <c r="AD304" i="26"/>
  <c r="AC304" i="26"/>
  <c r="AB304" i="26"/>
  <c r="AA304" i="26"/>
  <c r="Z304" i="26"/>
  <c r="Y304" i="26"/>
  <c r="X304" i="26"/>
  <c r="W304" i="26"/>
  <c r="V304" i="26"/>
  <c r="U304" i="26"/>
  <c r="T304" i="26"/>
  <c r="S304" i="26"/>
  <c r="R304" i="26"/>
  <c r="Q304" i="26"/>
  <c r="P304" i="26"/>
  <c r="O304" i="26"/>
  <c r="N304" i="26"/>
  <c r="M304" i="26"/>
  <c r="L304" i="26"/>
  <c r="K304" i="26"/>
  <c r="J304" i="26"/>
  <c r="I304" i="26"/>
  <c r="H304" i="26"/>
  <c r="G304" i="26"/>
  <c r="F304" i="26"/>
  <c r="E304" i="26"/>
  <c r="D304" i="26"/>
  <c r="C304" i="26"/>
  <c r="B304" i="26"/>
  <c r="BC303" i="26"/>
  <c r="BB303" i="26"/>
  <c r="BA303" i="26"/>
  <c r="AZ303" i="26"/>
  <c r="AY303" i="26"/>
  <c r="AX303" i="26"/>
  <c r="AW303" i="26"/>
  <c r="AV303" i="26"/>
  <c r="AU303" i="26"/>
  <c r="AT303" i="26"/>
  <c r="AS303" i="26"/>
  <c r="AR303" i="26"/>
  <c r="AQ303" i="26"/>
  <c r="AP303" i="26"/>
  <c r="AO303" i="26"/>
  <c r="AN303" i="26"/>
  <c r="AM303" i="26"/>
  <c r="AL303" i="26"/>
  <c r="AK303" i="26"/>
  <c r="AJ303" i="26"/>
  <c r="AI303" i="26"/>
  <c r="AH303" i="26"/>
  <c r="AG303" i="26"/>
  <c r="AF303" i="26"/>
  <c r="AE303" i="26"/>
  <c r="AD303" i="26"/>
  <c r="AC303" i="26"/>
  <c r="AB303" i="26"/>
  <c r="AA303" i="26"/>
  <c r="Z303" i="26"/>
  <c r="Y303" i="26"/>
  <c r="X303" i="26"/>
  <c r="W303" i="26"/>
  <c r="V303" i="26"/>
  <c r="U303" i="26"/>
  <c r="T303" i="26"/>
  <c r="S303" i="26"/>
  <c r="R303" i="26"/>
  <c r="Q303" i="26"/>
  <c r="P303" i="26"/>
  <c r="O303" i="26"/>
  <c r="N303" i="26"/>
  <c r="M303" i="26"/>
  <c r="L303" i="26"/>
  <c r="K303" i="26"/>
  <c r="J303" i="26"/>
  <c r="I303" i="26"/>
  <c r="H303" i="26"/>
  <c r="G303" i="26"/>
  <c r="F303" i="26"/>
  <c r="E303" i="26"/>
  <c r="D303" i="26"/>
  <c r="C303" i="26"/>
  <c r="B303" i="26"/>
  <c r="BC302" i="26"/>
  <c r="BB302" i="26"/>
  <c r="BA302" i="26"/>
  <c r="AZ302" i="26"/>
  <c r="AY302" i="26"/>
  <c r="AX302" i="26"/>
  <c r="AW302" i="26"/>
  <c r="AV302" i="26"/>
  <c r="AU302" i="26"/>
  <c r="AT302" i="26"/>
  <c r="AS302" i="26"/>
  <c r="AR302" i="26"/>
  <c r="AQ302" i="26"/>
  <c r="AP302" i="26"/>
  <c r="AO302" i="26"/>
  <c r="AN302" i="26"/>
  <c r="AM302" i="26"/>
  <c r="AL302" i="26"/>
  <c r="AK302" i="26"/>
  <c r="AJ302" i="26"/>
  <c r="AI302" i="26"/>
  <c r="AH302" i="26"/>
  <c r="AG302" i="26"/>
  <c r="AF302" i="26"/>
  <c r="AE302" i="26"/>
  <c r="AD302" i="26"/>
  <c r="AC302" i="26"/>
  <c r="AB302" i="26"/>
  <c r="AA302" i="26"/>
  <c r="Z302" i="26"/>
  <c r="Y302" i="26"/>
  <c r="X302" i="26"/>
  <c r="W302" i="26"/>
  <c r="V302" i="26"/>
  <c r="U302" i="26"/>
  <c r="T302" i="26"/>
  <c r="S302" i="26"/>
  <c r="R302" i="26"/>
  <c r="Q302" i="26"/>
  <c r="P302" i="26"/>
  <c r="O302" i="26"/>
  <c r="N302" i="26"/>
  <c r="M302" i="26"/>
  <c r="L302" i="26"/>
  <c r="K302" i="26"/>
  <c r="J302" i="26"/>
  <c r="I302" i="26"/>
  <c r="H302" i="26"/>
  <c r="G302" i="26"/>
  <c r="F302" i="26"/>
  <c r="E302" i="26"/>
  <c r="D302" i="26"/>
  <c r="C302" i="26"/>
  <c r="B302" i="26"/>
  <c r="BC301" i="26"/>
  <c r="BB301" i="26"/>
  <c r="BA301" i="26"/>
  <c r="AZ301" i="26"/>
  <c r="AY301" i="26"/>
  <c r="AX301" i="26"/>
  <c r="AW301" i="26"/>
  <c r="AV301" i="26"/>
  <c r="AU301" i="26"/>
  <c r="AT301" i="26"/>
  <c r="AS301" i="26"/>
  <c r="AR301" i="26"/>
  <c r="AQ301" i="26"/>
  <c r="AP301" i="26"/>
  <c r="AO301" i="26"/>
  <c r="AN301" i="26"/>
  <c r="AM301" i="26"/>
  <c r="AL301" i="26"/>
  <c r="AK301" i="26"/>
  <c r="AJ301" i="26"/>
  <c r="AI301" i="26"/>
  <c r="AH301" i="26"/>
  <c r="AG301" i="26"/>
  <c r="AF301" i="26"/>
  <c r="AE301" i="26"/>
  <c r="AD301" i="26"/>
  <c r="AC301" i="26"/>
  <c r="AB301" i="26"/>
  <c r="AA301" i="26"/>
  <c r="Z301" i="26"/>
  <c r="Y301" i="26"/>
  <c r="X301" i="26"/>
  <c r="W301" i="26"/>
  <c r="V301" i="26"/>
  <c r="U301" i="26"/>
  <c r="T301" i="26"/>
  <c r="S301" i="26"/>
  <c r="R301" i="26"/>
  <c r="Q301" i="26"/>
  <c r="P301" i="26"/>
  <c r="O301" i="26"/>
  <c r="N301" i="26"/>
  <c r="M301" i="26"/>
  <c r="L301" i="26"/>
  <c r="K301" i="26"/>
  <c r="J301" i="26"/>
  <c r="I301" i="26"/>
  <c r="H301" i="26"/>
  <c r="G301" i="26"/>
  <c r="F301" i="26"/>
  <c r="E301" i="26"/>
  <c r="D301" i="26"/>
  <c r="C301" i="26"/>
  <c r="B301" i="26"/>
  <c r="BC300" i="26"/>
  <c r="BB300" i="26"/>
  <c r="BA300" i="26"/>
  <c r="AZ300" i="26"/>
  <c r="AY300" i="26"/>
  <c r="AX300" i="26"/>
  <c r="AW300" i="26"/>
  <c r="AV300" i="26"/>
  <c r="AU300" i="26"/>
  <c r="AT300" i="26"/>
  <c r="AS300" i="26"/>
  <c r="AR300" i="26"/>
  <c r="AQ300" i="26"/>
  <c r="AP300" i="26"/>
  <c r="AO300" i="26"/>
  <c r="AN300" i="26"/>
  <c r="AM300" i="26"/>
  <c r="AL300" i="26"/>
  <c r="AK300" i="26"/>
  <c r="AJ300" i="26"/>
  <c r="AI300" i="26"/>
  <c r="AH300" i="26"/>
  <c r="AG300" i="26"/>
  <c r="AF300" i="26"/>
  <c r="AE300" i="26"/>
  <c r="AD300" i="26"/>
  <c r="AC300" i="26"/>
  <c r="AB300" i="26"/>
  <c r="AA300" i="26"/>
  <c r="Z300" i="26"/>
  <c r="Y300" i="26"/>
  <c r="X300" i="26"/>
  <c r="W300" i="26"/>
  <c r="V300" i="26"/>
  <c r="U300" i="26"/>
  <c r="T300" i="26"/>
  <c r="S300" i="26"/>
  <c r="R300" i="26"/>
  <c r="Q300" i="26"/>
  <c r="P300" i="26"/>
  <c r="O300" i="26"/>
  <c r="N300" i="26"/>
  <c r="M300" i="26"/>
  <c r="L300" i="26"/>
  <c r="K300" i="26"/>
  <c r="J300" i="26"/>
  <c r="I300" i="26"/>
  <c r="H300" i="26"/>
  <c r="G300" i="26"/>
  <c r="F300" i="26"/>
  <c r="E300" i="26"/>
  <c r="D300" i="26"/>
  <c r="C300" i="26"/>
  <c r="B300" i="26"/>
  <c r="BC299" i="26"/>
  <c r="BB299" i="26"/>
  <c r="BA299" i="26"/>
  <c r="AZ299" i="26"/>
  <c r="AY299" i="26"/>
  <c r="AX299" i="26"/>
  <c r="AW299" i="26"/>
  <c r="AV299" i="26"/>
  <c r="AU299" i="26"/>
  <c r="AT299" i="26"/>
  <c r="AS299" i="26"/>
  <c r="AR299" i="26"/>
  <c r="AQ299" i="26"/>
  <c r="AP299" i="26"/>
  <c r="AO299" i="26"/>
  <c r="AN299" i="26"/>
  <c r="AM299" i="26"/>
  <c r="AL299" i="26"/>
  <c r="AK299" i="26"/>
  <c r="AJ299" i="26"/>
  <c r="AI299" i="26"/>
  <c r="AH299" i="26"/>
  <c r="AG299" i="26"/>
  <c r="AF299" i="26"/>
  <c r="AE299" i="26"/>
  <c r="AD299" i="26"/>
  <c r="AC299" i="26"/>
  <c r="AB299" i="26"/>
  <c r="AA299" i="26"/>
  <c r="Z299" i="26"/>
  <c r="Y299" i="26"/>
  <c r="X299" i="26"/>
  <c r="W299" i="26"/>
  <c r="V299" i="26"/>
  <c r="U299" i="26"/>
  <c r="T299" i="26"/>
  <c r="S299" i="26"/>
  <c r="R299" i="26"/>
  <c r="Q299" i="26"/>
  <c r="P299" i="26"/>
  <c r="O299" i="26"/>
  <c r="N299" i="26"/>
  <c r="M299" i="26"/>
  <c r="L299" i="26"/>
  <c r="K299" i="26"/>
  <c r="J299" i="26"/>
  <c r="I299" i="26"/>
  <c r="H299" i="26"/>
  <c r="G299" i="26"/>
  <c r="F299" i="26"/>
  <c r="E299" i="26"/>
  <c r="D299" i="26"/>
  <c r="C299" i="26"/>
  <c r="B299" i="26"/>
  <c r="BC298" i="26"/>
  <c r="BB298" i="26"/>
  <c r="BA298" i="26"/>
  <c r="AZ298" i="26"/>
  <c r="AY298" i="26"/>
  <c r="AX298" i="26"/>
  <c r="AW298" i="26"/>
  <c r="AV298" i="26"/>
  <c r="AU298" i="26"/>
  <c r="AT298" i="26"/>
  <c r="AS298" i="26"/>
  <c r="AR298" i="26"/>
  <c r="AQ298" i="26"/>
  <c r="AP298" i="26"/>
  <c r="AO298" i="26"/>
  <c r="AN298" i="26"/>
  <c r="AM298" i="26"/>
  <c r="AL298" i="26"/>
  <c r="AK298" i="26"/>
  <c r="AJ298" i="26"/>
  <c r="AI298" i="26"/>
  <c r="AH298" i="26"/>
  <c r="AG298" i="26"/>
  <c r="AF298" i="26"/>
  <c r="AE298" i="26"/>
  <c r="AD298" i="26"/>
  <c r="AC298" i="26"/>
  <c r="AB298" i="26"/>
  <c r="AA298" i="26"/>
  <c r="Z298" i="26"/>
  <c r="Y298" i="26"/>
  <c r="X298" i="26"/>
  <c r="W298" i="26"/>
  <c r="V298" i="26"/>
  <c r="U298" i="26"/>
  <c r="T298" i="26"/>
  <c r="S298" i="26"/>
  <c r="R298" i="26"/>
  <c r="Q298" i="26"/>
  <c r="P298" i="26"/>
  <c r="O298" i="26"/>
  <c r="N298" i="26"/>
  <c r="M298" i="26"/>
  <c r="L298" i="26"/>
  <c r="K298" i="26"/>
  <c r="J298" i="26"/>
  <c r="I298" i="26"/>
  <c r="H298" i="26"/>
  <c r="G298" i="26"/>
  <c r="F298" i="26"/>
  <c r="E298" i="26"/>
  <c r="D298" i="26"/>
  <c r="C298" i="26"/>
  <c r="B298" i="26"/>
  <c r="BC297" i="26"/>
  <c r="BB297" i="26"/>
  <c r="BA297" i="26"/>
  <c r="AZ297" i="26"/>
  <c r="AY297" i="26"/>
  <c r="AX297" i="26"/>
  <c r="AW297" i="26"/>
  <c r="AV297" i="26"/>
  <c r="AU297" i="26"/>
  <c r="AT297" i="26"/>
  <c r="AS297" i="26"/>
  <c r="AR297" i="26"/>
  <c r="AQ297" i="26"/>
  <c r="AP297" i="26"/>
  <c r="AO297" i="26"/>
  <c r="AN297" i="26"/>
  <c r="AM297" i="26"/>
  <c r="AL297" i="26"/>
  <c r="AK297" i="26"/>
  <c r="AJ297" i="26"/>
  <c r="AI297" i="26"/>
  <c r="AH297" i="26"/>
  <c r="AG297" i="26"/>
  <c r="AF297" i="26"/>
  <c r="AE297" i="26"/>
  <c r="AD297" i="26"/>
  <c r="AC297" i="26"/>
  <c r="AB297" i="26"/>
  <c r="AA297" i="26"/>
  <c r="Z297" i="26"/>
  <c r="Y297" i="26"/>
  <c r="X297" i="26"/>
  <c r="W297" i="26"/>
  <c r="V297" i="26"/>
  <c r="U297" i="26"/>
  <c r="T297" i="26"/>
  <c r="S297" i="26"/>
  <c r="R297" i="26"/>
  <c r="Q297" i="26"/>
  <c r="P297" i="26"/>
  <c r="O297" i="26"/>
  <c r="N297" i="26"/>
  <c r="M297" i="26"/>
  <c r="L297" i="26"/>
  <c r="K297" i="26"/>
  <c r="J297" i="26"/>
  <c r="I297" i="26"/>
  <c r="H297" i="26"/>
  <c r="G297" i="26"/>
  <c r="F297" i="26"/>
  <c r="E297" i="26"/>
  <c r="D297" i="26"/>
  <c r="C297" i="26"/>
  <c r="B297" i="26"/>
  <c r="BC296" i="26"/>
  <c r="BB296" i="26"/>
  <c r="BA296" i="26"/>
  <c r="AZ296" i="26"/>
  <c r="AY296" i="26"/>
  <c r="AX296" i="26"/>
  <c r="AW296" i="26"/>
  <c r="AV296" i="26"/>
  <c r="AU296" i="26"/>
  <c r="AT296" i="26"/>
  <c r="AS296" i="26"/>
  <c r="AR296" i="26"/>
  <c r="AQ296" i="26"/>
  <c r="AP296" i="26"/>
  <c r="AO296" i="26"/>
  <c r="AN296" i="26"/>
  <c r="AM296" i="26"/>
  <c r="AL296" i="26"/>
  <c r="AK296" i="26"/>
  <c r="AJ296" i="26"/>
  <c r="AI296" i="26"/>
  <c r="AH296" i="26"/>
  <c r="AG296" i="26"/>
  <c r="AF296" i="26"/>
  <c r="AE296" i="26"/>
  <c r="AD296" i="26"/>
  <c r="AC296" i="26"/>
  <c r="AB296" i="26"/>
  <c r="AA296" i="26"/>
  <c r="Z296" i="26"/>
  <c r="Y296" i="26"/>
  <c r="X296" i="26"/>
  <c r="W296" i="26"/>
  <c r="V296" i="26"/>
  <c r="U296" i="26"/>
  <c r="T296" i="26"/>
  <c r="S296" i="26"/>
  <c r="R296" i="26"/>
  <c r="Q296" i="26"/>
  <c r="P296" i="26"/>
  <c r="O296" i="26"/>
  <c r="N296" i="26"/>
  <c r="M296" i="26"/>
  <c r="L296" i="26"/>
  <c r="K296" i="26"/>
  <c r="J296" i="26"/>
  <c r="I296" i="26"/>
  <c r="H296" i="26"/>
  <c r="G296" i="26"/>
  <c r="F296" i="26"/>
  <c r="E296" i="26"/>
  <c r="D296" i="26"/>
  <c r="C296" i="26"/>
  <c r="B296" i="26"/>
  <c r="BC295" i="26"/>
  <c r="BB295" i="26"/>
  <c r="BA295" i="26"/>
  <c r="AZ295" i="26"/>
  <c r="AY295" i="26"/>
  <c r="AX295" i="26"/>
  <c r="AW295" i="26"/>
  <c r="AV295" i="26"/>
  <c r="AU295" i="26"/>
  <c r="AT295" i="26"/>
  <c r="AS295" i="26"/>
  <c r="AR295" i="26"/>
  <c r="AQ295" i="26"/>
  <c r="AP295" i="26"/>
  <c r="AO295" i="26"/>
  <c r="AN295" i="26"/>
  <c r="AM295" i="26"/>
  <c r="AL295" i="26"/>
  <c r="AK295" i="26"/>
  <c r="AJ295" i="26"/>
  <c r="AI295" i="26"/>
  <c r="AH295" i="26"/>
  <c r="AG295" i="26"/>
  <c r="AF295" i="26"/>
  <c r="AE295" i="26"/>
  <c r="AD295" i="26"/>
  <c r="AC295" i="26"/>
  <c r="AB295" i="26"/>
  <c r="AA295" i="26"/>
  <c r="Z295" i="26"/>
  <c r="Y295" i="26"/>
  <c r="X295" i="26"/>
  <c r="W295" i="26"/>
  <c r="V295" i="26"/>
  <c r="U295" i="26"/>
  <c r="T295" i="26"/>
  <c r="S295" i="26"/>
  <c r="R295" i="26"/>
  <c r="Q295" i="26"/>
  <c r="P295" i="26"/>
  <c r="O295" i="26"/>
  <c r="N295" i="26"/>
  <c r="M295" i="26"/>
  <c r="L295" i="26"/>
  <c r="K295" i="26"/>
  <c r="J295" i="26"/>
  <c r="I295" i="26"/>
  <c r="H295" i="26"/>
  <c r="G295" i="26"/>
  <c r="F295" i="26"/>
  <c r="E295" i="26"/>
  <c r="D295" i="26"/>
  <c r="C295" i="26"/>
  <c r="B295" i="26"/>
  <c r="BC294" i="26"/>
  <c r="BB294" i="26"/>
  <c r="BA294" i="26"/>
  <c r="AZ294" i="26"/>
  <c r="AY294" i="26"/>
  <c r="AX294" i="26"/>
  <c r="AW294" i="26"/>
  <c r="AV294" i="26"/>
  <c r="AU294" i="26"/>
  <c r="AT294" i="26"/>
  <c r="AS294" i="26"/>
  <c r="AR294" i="26"/>
  <c r="AQ294" i="26"/>
  <c r="AP294" i="26"/>
  <c r="AO294" i="26"/>
  <c r="AN294" i="26"/>
  <c r="AM294" i="26"/>
  <c r="AL294" i="26"/>
  <c r="AK294" i="26"/>
  <c r="AJ294" i="26"/>
  <c r="AI294" i="26"/>
  <c r="AH294" i="26"/>
  <c r="AG294" i="26"/>
  <c r="AF294" i="26"/>
  <c r="AE294" i="26"/>
  <c r="AD294" i="26"/>
  <c r="AC294" i="26"/>
  <c r="AB294" i="26"/>
  <c r="AA294" i="26"/>
  <c r="Z294" i="26"/>
  <c r="Y294" i="26"/>
  <c r="X294" i="26"/>
  <c r="W294" i="26"/>
  <c r="V294" i="26"/>
  <c r="U294" i="26"/>
  <c r="T294" i="26"/>
  <c r="S294" i="26"/>
  <c r="R294" i="26"/>
  <c r="Q294" i="26"/>
  <c r="P294" i="26"/>
  <c r="O294" i="26"/>
  <c r="N294" i="26"/>
  <c r="M294" i="26"/>
  <c r="L294" i="26"/>
  <c r="K294" i="26"/>
  <c r="J294" i="26"/>
  <c r="I294" i="26"/>
  <c r="H294" i="26"/>
  <c r="G294" i="26"/>
  <c r="F294" i="26"/>
  <c r="E294" i="26"/>
  <c r="D294" i="26"/>
  <c r="C294" i="26"/>
  <c r="B294" i="26"/>
  <c r="BC293" i="26"/>
  <c r="BB293" i="26"/>
  <c r="BA293" i="26"/>
  <c r="AZ293" i="26"/>
  <c r="AY293" i="26"/>
  <c r="AX293" i="26"/>
  <c r="AW293" i="26"/>
  <c r="AV293" i="26"/>
  <c r="AU293" i="26"/>
  <c r="AT293" i="26"/>
  <c r="AS293" i="26"/>
  <c r="AR293" i="26"/>
  <c r="AQ293" i="26"/>
  <c r="AP293" i="26"/>
  <c r="AO293" i="26"/>
  <c r="AN293" i="26"/>
  <c r="AM293" i="26"/>
  <c r="AL293" i="26"/>
  <c r="AK293" i="26"/>
  <c r="AJ293" i="26"/>
  <c r="AI293" i="26"/>
  <c r="AH293" i="26"/>
  <c r="AG293" i="26"/>
  <c r="AF293" i="26"/>
  <c r="AE293" i="26"/>
  <c r="AD293" i="26"/>
  <c r="AC293" i="26"/>
  <c r="AB293" i="26"/>
  <c r="AA293" i="26"/>
  <c r="Z293" i="26"/>
  <c r="Y293" i="26"/>
  <c r="X293" i="26"/>
  <c r="W293" i="26"/>
  <c r="V293" i="26"/>
  <c r="U293" i="26"/>
  <c r="T293" i="26"/>
  <c r="S293" i="26"/>
  <c r="R293" i="26"/>
  <c r="Q293" i="26"/>
  <c r="P293" i="26"/>
  <c r="O293" i="26"/>
  <c r="N293" i="26"/>
  <c r="M293" i="26"/>
  <c r="L293" i="26"/>
  <c r="K293" i="26"/>
  <c r="J293" i="26"/>
  <c r="I293" i="26"/>
  <c r="H293" i="26"/>
  <c r="G293" i="26"/>
  <c r="F293" i="26"/>
  <c r="E293" i="26"/>
  <c r="D293" i="26"/>
  <c r="C293" i="26"/>
  <c r="B293" i="26"/>
  <c r="BC292" i="26"/>
  <c r="BB292" i="26"/>
  <c r="BA292" i="26"/>
  <c r="AZ292" i="26"/>
  <c r="AY292" i="26"/>
  <c r="AX292" i="26"/>
  <c r="AW292" i="26"/>
  <c r="AV292" i="26"/>
  <c r="AU292" i="26"/>
  <c r="AT292" i="26"/>
  <c r="AS292" i="26"/>
  <c r="AR292" i="26"/>
  <c r="AQ292" i="26"/>
  <c r="AP292" i="26"/>
  <c r="AO292" i="26"/>
  <c r="AN292" i="26"/>
  <c r="AM292" i="26"/>
  <c r="AL292" i="26"/>
  <c r="AK292" i="26"/>
  <c r="AJ292" i="26"/>
  <c r="AI292" i="26"/>
  <c r="AH292" i="26"/>
  <c r="AG292" i="26"/>
  <c r="AF292" i="26"/>
  <c r="AE292" i="26"/>
  <c r="AD292" i="26"/>
  <c r="AC292" i="26"/>
  <c r="AB292" i="26"/>
  <c r="AA292" i="26"/>
  <c r="Z292" i="26"/>
  <c r="Y292" i="26"/>
  <c r="X292" i="26"/>
  <c r="W292" i="26"/>
  <c r="V292" i="26"/>
  <c r="U292" i="26"/>
  <c r="T292" i="26"/>
  <c r="S292" i="26"/>
  <c r="R292" i="26"/>
  <c r="Q292" i="26"/>
  <c r="P292" i="26"/>
  <c r="O292" i="26"/>
  <c r="N292" i="26"/>
  <c r="M292" i="26"/>
  <c r="L292" i="26"/>
  <c r="K292" i="26"/>
  <c r="J292" i="26"/>
  <c r="I292" i="26"/>
  <c r="H292" i="26"/>
  <c r="G292" i="26"/>
  <c r="F292" i="26"/>
  <c r="E292" i="26"/>
  <c r="D292" i="26"/>
  <c r="C292" i="26"/>
  <c r="B292" i="26"/>
  <c r="BC291" i="26"/>
  <c r="BB291" i="26"/>
  <c r="BA291" i="26"/>
  <c r="AZ291" i="26"/>
  <c r="AY291" i="26"/>
  <c r="AX291" i="26"/>
  <c r="AW291" i="26"/>
  <c r="AV291" i="26"/>
  <c r="AU291" i="26"/>
  <c r="AT291" i="26"/>
  <c r="AS291" i="26"/>
  <c r="AR291" i="26"/>
  <c r="AQ291" i="26"/>
  <c r="AP291" i="26"/>
  <c r="AO291" i="26"/>
  <c r="AN291" i="26"/>
  <c r="AM291" i="26"/>
  <c r="AL291" i="26"/>
  <c r="AK291" i="26"/>
  <c r="AJ291" i="26"/>
  <c r="AI291" i="26"/>
  <c r="AH291" i="26"/>
  <c r="AG291" i="26"/>
  <c r="AF291" i="26"/>
  <c r="AE291" i="26"/>
  <c r="AD291" i="26"/>
  <c r="AC291" i="26"/>
  <c r="AB291" i="26"/>
  <c r="AA291" i="26"/>
  <c r="Z291" i="26"/>
  <c r="Y291" i="26"/>
  <c r="X291" i="26"/>
  <c r="W291" i="26"/>
  <c r="V291" i="26"/>
  <c r="U291" i="26"/>
  <c r="T291" i="26"/>
  <c r="S291" i="26"/>
  <c r="R291" i="26"/>
  <c r="Q291" i="26"/>
  <c r="P291" i="26"/>
  <c r="O291" i="26"/>
  <c r="N291" i="26"/>
  <c r="M291" i="26"/>
  <c r="L291" i="26"/>
  <c r="K291" i="26"/>
  <c r="J291" i="26"/>
  <c r="I291" i="26"/>
  <c r="H291" i="26"/>
  <c r="G291" i="26"/>
  <c r="F291" i="26"/>
  <c r="E291" i="26"/>
  <c r="D291" i="26"/>
  <c r="C291" i="26"/>
  <c r="B291" i="26"/>
  <c r="BC290" i="26"/>
  <c r="BB290" i="26"/>
  <c r="BA290" i="26"/>
  <c r="AZ290" i="26"/>
  <c r="AY290" i="26"/>
  <c r="AX290" i="26"/>
  <c r="AW290" i="26"/>
  <c r="AV290" i="26"/>
  <c r="AU290" i="26"/>
  <c r="AT290" i="26"/>
  <c r="AS290" i="26"/>
  <c r="AR290" i="26"/>
  <c r="AQ290" i="26"/>
  <c r="AP290" i="26"/>
  <c r="AO290" i="26"/>
  <c r="AN290" i="26"/>
  <c r="AM290" i="26"/>
  <c r="AL290" i="26"/>
  <c r="AK290" i="26"/>
  <c r="AJ290" i="26"/>
  <c r="AI290" i="26"/>
  <c r="AH290" i="26"/>
  <c r="AG290" i="26"/>
  <c r="AF290" i="26"/>
  <c r="AE290" i="26"/>
  <c r="AD290" i="26"/>
  <c r="AC290" i="26"/>
  <c r="AB290" i="26"/>
  <c r="AA290" i="26"/>
  <c r="Z290" i="26"/>
  <c r="Y290" i="26"/>
  <c r="X290" i="26"/>
  <c r="W290" i="26"/>
  <c r="V290" i="26"/>
  <c r="U290" i="26"/>
  <c r="T290" i="26"/>
  <c r="S290" i="26"/>
  <c r="R290" i="26"/>
  <c r="Q290" i="26"/>
  <c r="P290" i="26"/>
  <c r="O290" i="26"/>
  <c r="N290" i="26"/>
  <c r="M290" i="26"/>
  <c r="L290" i="26"/>
  <c r="K290" i="26"/>
  <c r="J290" i="26"/>
  <c r="I290" i="26"/>
  <c r="H290" i="26"/>
  <c r="G290" i="26"/>
  <c r="F290" i="26"/>
  <c r="E290" i="26"/>
  <c r="D290" i="26"/>
  <c r="C290" i="26"/>
  <c r="B290" i="26"/>
  <c r="BC289" i="26"/>
  <c r="BB289" i="26"/>
  <c r="BA289" i="26"/>
  <c r="AZ289" i="26"/>
  <c r="AY289" i="26"/>
  <c r="AX289" i="26"/>
  <c r="AW289" i="26"/>
  <c r="AV289" i="26"/>
  <c r="AU289" i="26"/>
  <c r="AT289" i="26"/>
  <c r="AS289" i="26"/>
  <c r="AR289" i="26"/>
  <c r="AQ289" i="26"/>
  <c r="AP289" i="26"/>
  <c r="AO289" i="26"/>
  <c r="AN289" i="26"/>
  <c r="AM289" i="26"/>
  <c r="AL289" i="26"/>
  <c r="AK289" i="26"/>
  <c r="AJ289" i="26"/>
  <c r="AI289" i="26"/>
  <c r="AH289" i="26"/>
  <c r="AG289" i="26"/>
  <c r="AF289" i="26"/>
  <c r="AE289" i="26"/>
  <c r="AD289" i="26"/>
  <c r="AC289" i="26"/>
  <c r="AB289" i="26"/>
  <c r="AA289" i="26"/>
  <c r="Z289" i="26"/>
  <c r="Y289" i="26"/>
  <c r="X289" i="26"/>
  <c r="W289" i="26"/>
  <c r="V289" i="26"/>
  <c r="U289" i="26"/>
  <c r="T289" i="26"/>
  <c r="S289" i="26"/>
  <c r="R289" i="26"/>
  <c r="Q289" i="26"/>
  <c r="P289" i="26"/>
  <c r="O289" i="26"/>
  <c r="N289" i="26"/>
  <c r="M289" i="26"/>
  <c r="L289" i="26"/>
  <c r="K289" i="26"/>
  <c r="J289" i="26"/>
  <c r="I289" i="26"/>
  <c r="H289" i="26"/>
  <c r="G289" i="26"/>
  <c r="F289" i="26"/>
  <c r="E289" i="26"/>
  <c r="D289" i="26"/>
  <c r="C289" i="26"/>
  <c r="B289" i="26"/>
  <c r="BC288" i="26"/>
  <c r="BB288" i="26"/>
  <c r="BA288" i="26"/>
  <c r="AZ288" i="26"/>
  <c r="AY288" i="26"/>
  <c r="AX288" i="26"/>
  <c r="AW288" i="26"/>
  <c r="AV288" i="26"/>
  <c r="AU288" i="26"/>
  <c r="AT288" i="26"/>
  <c r="AS288" i="26"/>
  <c r="AR288" i="26"/>
  <c r="AQ288" i="26"/>
  <c r="AP288" i="26"/>
  <c r="AO288" i="26"/>
  <c r="AN288" i="26"/>
  <c r="AM288" i="26"/>
  <c r="AL288" i="26"/>
  <c r="AK288" i="26"/>
  <c r="AJ288" i="26"/>
  <c r="AI288" i="26"/>
  <c r="AH288" i="26"/>
  <c r="AG288" i="26"/>
  <c r="AF288" i="26"/>
  <c r="AE288" i="26"/>
  <c r="AD288" i="26"/>
  <c r="AC288" i="26"/>
  <c r="AB288" i="26"/>
  <c r="AA288" i="26"/>
  <c r="Z288" i="26"/>
  <c r="Y288" i="26"/>
  <c r="X288" i="26"/>
  <c r="W288" i="26"/>
  <c r="V288" i="26"/>
  <c r="U288" i="26"/>
  <c r="T288" i="26"/>
  <c r="S288" i="26"/>
  <c r="R288" i="26"/>
  <c r="Q288" i="26"/>
  <c r="P288" i="26"/>
  <c r="O288" i="26"/>
  <c r="N288" i="26"/>
  <c r="M288" i="26"/>
  <c r="L288" i="26"/>
  <c r="K288" i="26"/>
  <c r="J288" i="26"/>
  <c r="I288" i="26"/>
  <c r="H288" i="26"/>
  <c r="G288" i="26"/>
  <c r="F288" i="26"/>
  <c r="E288" i="26"/>
  <c r="D288" i="26"/>
  <c r="C288" i="26"/>
  <c r="B288" i="26"/>
  <c r="BC287" i="26"/>
  <c r="BB287" i="26"/>
  <c r="BA287" i="26"/>
  <c r="AZ287" i="26"/>
  <c r="AY287" i="26"/>
  <c r="AX287" i="26"/>
  <c r="AW287" i="26"/>
  <c r="AV287" i="26"/>
  <c r="AU287" i="26"/>
  <c r="AT287" i="26"/>
  <c r="AS287" i="26"/>
  <c r="AR287" i="26"/>
  <c r="AQ287" i="26"/>
  <c r="AP287" i="26"/>
  <c r="AO287" i="26"/>
  <c r="AN287" i="26"/>
  <c r="AM287" i="26"/>
  <c r="AL287" i="26"/>
  <c r="AK287" i="26"/>
  <c r="AJ287" i="26"/>
  <c r="AI287" i="26"/>
  <c r="AH287" i="26"/>
  <c r="AG287" i="26"/>
  <c r="AF287" i="26"/>
  <c r="AE287" i="26"/>
  <c r="AD287" i="26"/>
  <c r="AC287" i="26"/>
  <c r="AB287" i="26"/>
  <c r="AA287" i="26"/>
  <c r="Z287" i="26"/>
  <c r="Y287" i="26"/>
  <c r="X287" i="26"/>
  <c r="W287" i="26"/>
  <c r="V287" i="26"/>
  <c r="U287" i="26"/>
  <c r="T287" i="26"/>
  <c r="S287" i="26"/>
  <c r="R287" i="26"/>
  <c r="Q287" i="26"/>
  <c r="P287" i="26"/>
  <c r="O287" i="26"/>
  <c r="N287" i="26"/>
  <c r="M287" i="26"/>
  <c r="L287" i="26"/>
  <c r="K287" i="26"/>
  <c r="J287" i="26"/>
  <c r="I287" i="26"/>
  <c r="H287" i="26"/>
  <c r="G287" i="26"/>
  <c r="F287" i="26"/>
  <c r="E287" i="26"/>
  <c r="D287" i="26"/>
  <c r="C287" i="26"/>
  <c r="B287" i="26"/>
  <c r="BC286" i="26"/>
  <c r="BB286" i="26"/>
  <c r="BA286" i="26"/>
  <c r="AZ286" i="26"/>
  <c r="AY286" i="26"/>
  <c r="AX286" i="26"/>
  <c r="AW286" i="26"/>
  <c r="AV286" i="26"/>
  <c r="AU286" i="26"/>
  <c r="AT286" i="26"/>
  <c r="AS286" i="26"/>
  <c r="AR286" i="26"/>
  <c r="AQ286" i="26"/>
  <c r="AP286" i="26"/>
  <c r="AO286" i="26"/>
  <c r="AN286" i="26"/>
  <c r="AM286" i="26"/>
  <c r="AL286" i="26"/>
  <c r="AK286" i="26"/>
  <c r="AJ286" i="26"/>
  <c r="AI286" i="26"/>
  <c r="AH286" i="26"/>
  <c r="AG286" i="26"/>
  <c r="AF286" i="26"/>
  <c r="AE286" i="26"/>
  <c r="AD286" i="26"/>
  <c r="AC286" i="26"/>
  <c r="AB286" i="26"/>
  <c r="AA286" i="26"/>
  <c r="Z286" i="26"/>
  <c r="Y286" i="26"/>
  <c r="X286" i="26"/>
  <c r="W286" i="26"/>
  <c r="V286" i="26"/>
  <c r="U286" i="26"/>
  <c r="T286" i="26"/>
  <c r="S286" i="26"/>
  <c r="R286" i="26"/>
  <c r="Q286" i="26"/>
  <c r="P286" i="26"/>
  <c r="O286" i="26"/>
  <c r="N286" i="26"/>
  <c r="M286" i="26"/>
  <c r="L286" i="26"/>
  <c r="K286" i="26"/>
  <c r="J286" i="26"/>
  <c r="I286" i="26"/>
  <c r="H286" i="26"/>
  <c r="G286" i="26"/>
  <c r="F286" i="26"/>
  <c r="E286" i="26"/>
  <c r="D286" i="26"/>
  <c r="C286" i="26"/>
  <c r="B286" i="26"/>
  <c r="BC285" i="26"/>
  <c r="BB285" i="26"/>
  <c r="BA285" i="26"/>
  <c r="AZ285" i="26"/>
  <c r="AY285" i="26"/>
  <c r="AX285" i="26"/>
  <c r="AW285" i="26"/>
  <c r="AV285" i="26"/>
  <c r="AU285" i="26"/>
  <c r="AT285" i="26"/>
  <c r="AS285" i="26"/>
  <c r="AR285" i="26"/>
  <c r="AQ285" i="26"/>
  <c r="AP285" i="26"/>
  <c r="AO285" i="26"/>
  <c r="AN285" i="26"/>
  <c r="AM285" i="26"/>
  <c r="AL285" i="26"/>
  <c r="AK285" i="26"/>
  <c r="AJ285" i="26"/>
  <c r="AI285" i="26"/>
  <c r="AH285" i="26"/>
  <c r="AG285" i="26"/>
  <c r="AF285" i="26"/>
  <c r="AE285" i="26"/>
  <c r="AD285" i="26"/>
  <c r="AC285" i="26"/>
  <c r="AB285" i="26"/>
  <c r="AA285" i="26"/>
  <c r="Z285" i="26"/>
  <c r="Y285" i="26"/>
  <c r="X285" i="26"/>
  <c r="W285" i="26"/>
  <c r="V285" i="26"/>
  <c r="U285" i="26"/>
  <c r="T285" i="26"/>
  <c r="S285" i="26"/>
  <c r="R285" i="26"/>
  <c r="Q285" i="26"/>
  <c r="P285" i="26"/>
  <c r="O285" i="26"/>
  <c r="N285" i="26"/>
  <c r="M285" i="26"/>
  <c r="L285" i="26"/>
  <c r="K285" i="26"/>
  <c r="J285" i="26"/>
  <c r="I285" i="26"/>
  <c r="H285" i="26"/>
  <c r="G285" i="26"/>
  <c r="F285" i="26"/>
  <c r="E285" i="26"/>
  <c r="D285" i="26"/>
  <c r="C285" i="26"/>
  <c r="B285" i="26"/>
  <c r="BC284" i="26"/>
  <c r="BB284" i="26"/>
  <c r="BA284" i="26"/>
  <c r="AZ284" i="26"/>
  <c r="AY284" i="26"/>
  <c r="AX284" i="26"/>
  <c r="AW284" i="26"/>
  <c r="AV284" i="26"/>
  <c r="AU284" i="26"/>
  <c r="AT284" i="26"/>
  <c r="AS284" i="26"/>
  <c r="AR284" i="26"/>
  <c r="AQ284" i="26"/>
  <c r="AP284" i="26"/>
  <c r="AO284" i="26"/>
  <c r="AN284" i="26"/>
  <c r="AM284" i="26"/>
  <c r="AL284" i="26"/>
  <c r="AK284" i="26"/>
  <c r="AJ284" i="26"/>
  <c r="AI284" i="26"/>
  <c r="AH284" i="26"/>
  <c r="AG284" i="26"/>
  <c r="AF284" i="26"/>
  <c r="AE284" i="26"/>
  <c r="AD284" i="26"/>
  <c r="AC284" i="26"/>
  <c r="AB284" i="26"/>
  <c r="AA284" i="26"/>
  <c r="Z284" i="26"/>
  <c r="Y284" i="26"/>
  <c r="X284" i="26"/>
  <c r="W284" i="26"/>
  <c r="V284" i="26"/>
  <c r="U284" i="26"/>
  <c r="T284" i="26"/>
  <c r="S284" i="26"/>
  <c r="R284" i="26"/>
  <c r="Q284" i="26"/>
  <c r="P284" i="26"/>
  <c r="O284" i="26"/>
  <c r="N284" i="26"/>
  <c r="M284" i="26"/>
  <c r="L284" i="26"/>
  <c r="K284" i="26"/>
  <c r="J284" i="26"/>
  <c r="I284" i="26"/>
  <c r="H284" i="26"/>
  <c r="G284" i="26"/>
  <c r="F284" i="26"/>
  <c r="E284" i="26"/>
  <c r="D284" i="26"/>
  <c r="C284" i="26"/>
  <c r="B284" i="26"/>
  <c r="BC283" i="26"/>
  <c r="BB283" i="26"/>
  <c r="BA283" i="26"/>
  <c r="AZ283" i="26"/>
  <c r="AY283" i="26"/>
  <c r="AX283" i="26"/>
  <c r="AW283" i="26"/>
  <c r="AV283" i="26"/>
  <c r="AU283" i="26"/>
  <c r="AT283" i="26"/>
  <c r="AS283" i="26"/>
  <c r="AR283" i="26"/>
  <c r="AQ283" i="26"/>
  <c r="AP283" i="26"/>
  <c r="AO283" i="26"/>
  <c r="AN283" i="26"/>
  <c r="AM283" i="26"/>
  <c r="AL283" i="26"/>
  <c r="AK283" i="26"/>
  <c r="AJ283" i="26"/>
  <c r="AI283" i="26"/>
  <c r="AH283" i="26"/>
  <c r="AG283" i="26"/>
  <c r="AF283" i="26"/>
  <c r="AE283" i="26"/>
  <c r="AD283" i="26"/>
  <c r="AC283" i="26"/>
  <c r="AB283" i="26"/>
  <c r="AA283" i="26"/>
  <c r="Z283" i="26"/>
  <c r="Y283" i="26"/>
  <c r="X283" i="26"/>
  <c r="W283" i="26"/>
  <c r="V283" i="26"/>
  <c r="U283" i="26"/>
  <c r="T283" i="26"/>
  <c r="S283" i="26"/>
  <c r="R283" i="26"/>
  <c r="Q283" i="26"/>
  <c r="P283" i="26"/>
  <c r="O283" i="26"/>
  <c r="N283" i="26"/>
  <c r="M283" i="26"/>
  <c r="L283" i="26"/>
  <c r="K283" i="26"/>
  <c r="J283" i="26"/>
  <c r="I283" i="26"/>
  <c r="H283" i="26"/>
  <c r="G283" i="26"/>
  <c r="F283" i="26"/>
  <c r="E283" i="26"/>
  <c r="D283" i="26"/>
  <c r="C283" i="26"/>
  <c r="B283" i="26"/>
  <c r="BC282" i="26"/>
  <c r="BB282" i="26"/>
  <c r="BA282" i="26"/>
  <c r="AZ282" i="26"/>
  <c r="AY282" i="26"/>
  <c r="AX282" i="26"/>
  <c r="AW282" i="26"/>
  <c r="AV282" i="26"/>
  <c r="AU282" i="26"/>
  <c r="AT282" i="26"/>
  <c r="AS282" i="26"/>
  <c r="AR282" i="26"/>
  <c r="AQ282" i="26"/>
  <c r="AP282" i="26"/>
  <c r="AO282" i="26"/>
  <c r="AN282" i="26"/>
  <c r="AM282" i="26"/>
  <c r="AL282" i="26"/>
  <c r="AK282" i="26"/>
  <c r="AJ282" i="26"/>
  <c r="AI282" i="26"/>
  <c r="AH282" i="26"/>
  <c r="AG282" i="26"/>
  <c r="AF282" i="26"/>
  <c r="AE282" i="26"/>
  <c r="AD282" i="26"/>
  <c r="AC282" i="26"/>
  <c r="AB282" i="26"/>
  <c r="AA282" i="26"/>
  <c r="Z282" i="26"/>
  <c r="Y282" i="26"/>
  <c r="X282" i="26"/>
  <c r="W282" i="26"/>
  <c r="V282" i="26"/>
  <c r="U282" i="26"/>
  <c r="T282" i="26"/>
  <c r="S282" i="26"/>
  <c r="R282" i="26"/>
  <c r="Q282" i="26"/>
  <c r="P282" i="26"/>
  <c r="O282" i="26"/>
  <c r="N282" i="26"/>
  <c r="M282" i="26"/>
  <c r="L282" i="26"/>
  <c r="K282" i="26"/>
  <c r="J282" i="26"/>
  <c r="I282" i="26"/>
  <c r="H282" i="26"/>
  <c r="G282" i="26"/>
  <c r="F282" i="26"/>
  <c r="E282" i="26"/>
  <c r="D282" i="26"/>
  <c r="C282" i="26"/>
  <c r="B282" i="26"/>
  <c r="BC281" i="26"/>
  <c r="BB281" i="26"/>
  <c r="BA281" i="26"/>
  <c r="AZ281" i="26"/>
  <c r="AY281" i="26"/>
  <c r="AX281" i="26"/>
  <c r="AW281" i="26"/>
  <c r="AV281" i="26"/>
  <c r="AU281" i="26"/>
  <c r="AT281" i="26"/>
  <c r="AS281" i="26"/>
  <c r="AR281" i="26"/>
  <c r="AQ281" i="26"/>
  <c r="AP281" i="26"/>
  <c r="AO281" i="26"/>
  <c r="AN281" i="26"/>
  <c r="AM281" i="26"/>
  <c r="AL281" i="26"/>
  <c r="AK281" i="26"/>
  <c r="AJ281" i="26"/>
  <c r="AI281" i="26"/>
  <c r="AH281" i="26"/>
  <c r="AG281" i="26"/>
  <c r="AF281" i="26"/>
  <c r="AE281" i="26"/>
  <c r="AD281" i="26"/>
  <c r="AC281" i="26"/>
  <c r="AB281" i="26"/>
  <c r="AA281" i="26"/>
  <c r="Z281" i="26"/>
  <c r="Y281" i="26"/>
  <c r="X281" i="26"/>
  <c r="W281" i="26"/>
  <c r="V281" i="26"/>
  <c r="U281" i="26"/>
  <c r="T281" i="26"/>
  <c r="S281" i="26"/>
  <c r="R281" i="26"/>
  <c r="Q281" i="26"/>
  <c r="P281" i="26"/>
  <c r="O281" i="26"/>
  <c r="N281" i="26"/>
  <c r="M281" i="26"/>
  <c r="L281" i="26"/>
  <c r="K281" i="26"/>
  <c r="J281" i="26"/>
  <c r="I281" i="26"/>
  <c r="H281" i="26"/>
  <c r="G281" i="26"/>
  <c r="F281" i="26"/>
  <c r="E281" i="26"/>
  <c r="D281" i="26"/>
  <c r="C281" i="26"/>
  <c r="B281" i="26"/>
  <c r="BC280" i="26"/>
  <c r="BB280" i="26"/>
  <c r="BA280" i="26"/>
  <c r="AZ280" i="26"/>
  <c r="AY280" i="26"/>
  <c r="AX280" i="26"/>
  <c r="AW280" i="26"/>
  <c r="AV280" i="26"/>
  <c r="AU280" i="26"/>
  <c r="AT280" i="26"/>
  <c r="AS280" i="26"/>
  <c r="AR280" i="26"/>
  <c r="AQ280" i="26"/>
  <c r="AP280" i="26"/>
  <c r="AO280" i="26"/>
  <c r="AN280" i="26"/>
  <c r="AM280" i="26"/>
  <c r="AL280" i="26"/>
  <c r="AK280" i="26"/>
  <c r="AJ280" i="26"/>
  <c r="AI280" i="26"/>
  <c r="AH280" i="26"/>
  <c r="AG280" i="26"/>
  <c r="AF280" i="26"/>
  <c r="AE280" i="26"/>
  <c r="AD280" i="26"/>
  <c r="AC280" i="26"/>
  <c r="AB280" i="26"/>
  <c r="AA280" i="26"/>
  <c r="Z280" i="26"/>
  <c r="Y280" i="26"/>
  <c r="X280" i="26"/>
  <c r="W280" i="26"/>
  <c r="V280" i="26"/>
  <c r="U280" i="26"/>
  <c r="T280" i="26"/>
  <c r="S280" i="26"/>
  <c r="R280" i="26"/>
  <c r="Q280" i="26"/>
  <c r="P280" i="26"/>
  <c r="O280" i="26"/>
  <c r="N280" i="26"/>
  <c r="M280" i="26"/>
  <c r="L280" i="26"/>
  <c r="K280" i="26"/>
  <c r="J280" i="26"/>
  <c r="I280" i="26"/>
  <c r="H280" i="26"/>
  <c r="G280" i="26"/>
  <c r="F280" i="26"/>
  <c r="E280" i="26"/>
  <c r="D280" i="26"/>
  <c r="C280" i="26"/>
  <c r="B280" i="26"/>
  <c r="BC279" i="26"/>
  <c r="BB279" i="26"/>
  <c r="BA279" i="26"/>
  <c r="AZ279" i="26"/>
  <c r="AY279" i="26"/>
  <c r="AX279" i="26"/>
  <c r="AW279" i="26"/>
  <c r="AV279" i="26"/>
  <c r="AU279" i="26"/>
  <c r="AT279" i="26"/>
  <c r="AS279" i="26"/>
  <c r="AR279" i="26"/>
  <c r="AQ279" i="26"/>
  <c r="AP279" i="26"/>
  <c r="AO279" i="26"/>
  <c r="AN279" i="26"/>
  <c r="AM279" i="26"/>
  <c r="AL279" i="26"/>
  <c r="AK279" i="26"/>
  <c r="AJ279" i="26"/>
  <c r="AI279" i="26"/>
  <c r="AH279" i="26"/>
  <c r="AG279" i="26"/>
  <c r="AF279" i="26"/>
  <c r="AE279" i="26"/>
  <c r="AD279" i="26"/>
  <c r="AC279" i="26"/>
  <c r="AB279" i="26"/>
  <c r="AA279" i="26"/>
  <c r="Z279" i="26"/>
  <c r="Y279" i="26"/>
  <c r="X279" i="26"/>
  <c r="W279" i="26"/>
  <c r="V279" i="26"/>
  <c r="U279" i="26"/>
  <c r="T279" i="26"/>
  <c r="S279" i="26"/>
  <c r="R279" i="26"/>
  <c r="Q279" i="26"/>
  <c r="P279" i="26"/>
  <c r="O279" i="26"/>
  <c r="N279" i="26"/>
  <c r="M279" i="26"/>
  <c r="L279" i="26"/>
  <c r="K279" i="26"/>
  <c r="J279" i="26"/>
  <c r="I279" i="26"/>
  <c r="H279" i="26"/>
  <c r="G279" i="26"/>
  <c r="F279" i="26"/>
  <c r="E279" i="26"/>
  <c r="D279" i="26"/>
  <c r="C279" i="26"/>
  <c r="B279" i="26"/>
  <c r="BC278" i="26"/>
  <c r="BB278" i="26"/>
  <c r="BA278" i="26"/>
  <c r="AZ278" i="26"/>
  <c r="AY278" i="26"/>
  <c r="AX278" i="26"/>
  <c r="AW278" i="26"/>
  <c r="AV278" i="26"/>
  <c r="AU278" i="26"/>
  <c r="AT278" i="26"/>
  <c r="AS278" i="26"/>
  <c r="AR278" i="26"/>
  <c r="AQ278" i="26"/>
  <c r="AP278" i="26"/>
  <c r="AO278" i="26"/>
  <c r="AN278" i="26"/>
  <c r="AM278" i="26"/>
  <c r="AL278" i="26"/>
  <c r="AK278" i="26"/>
  <c r="AJ278" i="26"/>
  <c r="AI278" i="26"/>
  <c r="AH278" i="26"/>
  <c r="AG278" i="26"/>
  <c r="AF278" i="26"/>
  <c r="AE278" i="26"/>
  <c r="AD278" i="26"/>
  <c r="AC278" i="26"/>
  <c r="AB278" i="26"/>
  <c r="AA278" i="26"/>
  <c r="Z278" i="26"/>
  <c r="Y278" i="26"/>
  <c r="X278" i="26"/>
  <c r="W278" i="26"/>
  <c r="V278" i="26"/>
  <c r="U278" i="26"/>
  <c r="T278" i="26"/>
  <c r="S278" i="26"/>
  <c r="R278" i="26"/>
  <c r="Q278" i="26"/>
  <c r="P278" i="26"/>
  <c r="O278" i="26"/>
  <c r="N278" i="26"/>
  <c r="M278" i="26"/>
  <c r="L278" i="26"/>
  <c r="K278" i="26"/>
  <c r="J278" i="26"/>
  <c r="I278" i="26"/>
  <c r="H278" i="26"/>
  <c r="G278" i="26"/>
  <c r="F278" i="26"/>
  <c r="E278" i="26"/>
  <c r="D278" i="26"/>
  <c r="C278" i="26"/>
  <c r="B278" i="26"/>
  <c r="BC277" i="26"/>
  <c r="BB277" i="26"/>
  <c r="BA277" i="26"/>
  <c r="AZ277" i="26"/>
  <c r="AY277" i="26"/>
  <c r="AX277" i="26"/>
  <c r="AW277" i="26"/>
  <c r="AV277" i="26"/>
  <c r="AU277" i="26"/>
  <c r="AT277" i="26"/>
  <c r="AS277" i="26"/>
  <c r="AR277" i="26"/>
  <c r="AQ277" i="26"/>
  <c r="AP277" i="26"/>
  <c r="AO277" i="26"/>
  <c r="AN277" i="26"/>
  <c r="AM277" i="26"/>
  <c r="AL277" i="26"/>
  <c r="AK277" i="26"/>
  <c r="AJ277" i="26"/>
  <c r="AI277" i="26"/>
  <c r="AH277" i="26"/>
  <c r="AG277" i="26"/>
  <c r="AF277" i="26"/>
  <c r="AE277" i="26"/>
  <c r="AD277" i="26"/>
  <c r="AC277" i="26"/>
  <c r="AB277" i="26"/>
  <c r="AA277" i="26"/>
  <c r="Z277" i="26"/>
  <c r="Y277" i="26"/>
  <c r="X277" i="26"/>
  <c r="W277" i="26"/>
  <c r="V277" i="26"/>
  <c r="U277" i="26"/>
  <c r="T277" i="26"/>
  <c r="S277" i="26"/>
  <c r="R277" i="26"/>
  <c r="Q277" i="26"/>
  <c r="P277" i="26"/>
  <c r="O277" i="26"/>
  <c r="N277" i="26"/>
  <c r="M277" i="26"/>
  <c r="L277" i="26"/>
  <c r="K277" i="26"/>
  <c r="J277" i="26"/>
  <c r="I277" i="26"/>
  <c r="H277" i="26"/>
  <c r="G277" i="26"/>
  <c r="F277" i="26"/>
  <c r="E277" i="26"/>
  <c r="D277" i="26"/>
  <c r="C277" i="26"/>
  <c r="B277" i="26"/>
  <c r="BC276" i="26"/>
  <c r="BB276" i="26"/>
  <c r="BA276" i="26"/>
  <c r="AZ276" i="26"/>
  <c r="AY276" i="26"/>
  <c r="AX276" i="26"/>
  <c r="AW276" i="26"/>
  <c r="AV276" i="26"/>
  <c r="AU276" i="26"/>
  <c r="AT276" i="26"/>
  <c r="AS276" i="26"/>
  <c r="AR276" i="26"/>
  <c r="AQ276" i="26"/>
  <c r="AP276" i="26"/>
  <c r="AO276" i="26"/>
  <c r="AN276" i="26"/>
  <c r="AM276" i="26"/>
  <c r="AL276" i="26"/>
  <c r="AK276" i="26"/>
  <c r="AJ276" i="26"/>
  <c r="AI276" i="26"/>
  <c r="AH276" i="26"/>
  <c r="AG276" i="26"/>
  <c r="AF276" i="26"/>
  <c r="AE276" i="26"/>
  <c r="AD276" i="26"/>
  <c r="AC276" i="26"/>
  <c r="AB276" i="26"/>
  <c r="AA276" i="26"/>
  <c r="Z276" i="26"/>
  <c r="Y276" i="26"/>
  <c r="X276" i="26"/>
  <c r="W276" i="26"/>
  <c r="V276" i="26"/>
  <c r="U276" i="26"/>
  <c r="T276" i="26"/>
  <c r="S276" i="26"/>
  <c r="R276" i="26"/>
  <c r="Q276" i="26"/>
  <c r="P276" i="26"/>
  <c r="O276" i="26"/>
  <c r="N276" i="26"/>
  <c r="M276" i="26"/>
  <c r="L276" i="26"/>
  <c r="K276" i="26"/>
  <c r="J276" i="26"/>
  <c r="I276" i="26"/>
  <c r="H276" i="26"/>
  <c r="G276" i="26"/>
  <c r="F276" i="26"/>
  <c r="E276" i="26"/>
  <c r="D276" i="26"/>
  <c r="C276" i="26"/>
  <c r="B276" i="26"/>
  <c r="BC275" i="26"/>
  <c r="BB275" i="26"/>
  <c r="BA275" i="26"/>
  <c r="AZ275" i="26"/>
  <c r="AY275" i="26"/>
  <c r="AX275" i="26"/>
  <c r="AW275" i="26"/>
  <c r="AV275" i="26"/>
  <c r="AU275" i="26"/>
  <c r="AT275" i="26"/>
  <c r="AS275" i="26"/>
  <c r="AR275" i="26"/>
  <c r="AQ275" i="26"/>
  <c r="AP275" i="26"/>
  <c r="AO275" i="26"/>
  <c r="AN275" i="26"/>
  <c r="AM275" i="26"/>
  <c r="AL275" i="26"/>
  <c r="AK275" i="26"/>
  <c r="AJ275" i="26"/>
  <c r="AI275" i="26"/>
  <c r="AH275" i="26"/>
  <c r="AG275" i="26"/>
  <c r="AF275" i="26"/>
  <c r="AE275" i="26"/>
  <c r="AD275" i="26"/>
  <c r="AC275" i="26"/>
  <c r="AB275" i="26"/>
  <c r="AA275" i="26"/>
  <c r="Z275" i="26"/>
  <c r="Y275" i="26"/>
  <c r="X275" i="26"/>
  <c r="W275" i="26"/>
  <c r="V275" i="26"/>
  <c r="U275" i="26"/>
  <c r="T275" i="26"/>
  <c r="S275" i="26"/>
  <c r="R275" i="26"/>
  <c r="Q275" i="26"/>
  <c r="P275" i="26"/>
  <c r="O275" i="26"/>
  <c r="N275" i="26"/>
  <c r="M275" i="26"/>
  <c r="L275" i="26"/>
  <c r="K275" i="26"/>
  <c r="J275" i="26"/>
  <c r="I275" i="26"/>
  <c r="H275" i="26"/>
  <c r="G275" i="26"/>
  <c r="F275" i="26"/>
  <c r="E275" i="26"/>
  <c r="D275" i="26"/>
  <c r="C275" i="26"/>
  <c r="B275" i="26"/>
  <c r="BC274" i="26"/>
  <c r="BB274" i="26"/>
  <c r="BA274" i="26"/>
  <c r="AZ274" i="26"/>
  <c r="AY274" i="26"/>
  <c r="AX274" i="26"/>
  <c r="AW274" i="26"/>
  <c r="AV274" i="26"/>
  <c r="AU274" i="26"/>
  <c r="AT274" i="26"/>
  <c r="AS274" i="26"/>
  <c r="AR274" i="26"/>
  <c r="AQ274" i="26"/>
  <c r="AP274" i="26"/>
  <c r="AO274" i="26"/>
  <c r="AN274" i="26"/>
  <c r="AM274" i="26"/>
  <c r="AL274" i="26"/>
  <c r="AK274" i="26"/>
  <c r="AJ274" i="26"/>
  <c r="AI274" i="26"/>
  <c r="AH274" i="26"/>
  <c r="AG274" i="26"/>
  <c r="AF274" i="26"/>
  <c r="AE274" i="26"/>
  <c r="AD274" i="26"/>
  <c r="AC274" i="26"/>
  <c r="AB274" i="26"/>
  <c r="AA274" i="26"/>
  <c r="Z274" i="26"/>
  <c r="Y274" i="26"/>
  <c r="X274" i="26"/>
  <c r="W274" i="26"/>
  <c r="V274" i="26"/>
  <c r="U274" i="26"/>
  <c r="T274" i="26"/>
  <c r="S274" i="26"/>
  <c r="R274" i="26"/>
  <c r="Q274" i="26"/>
  <c r="P274" i="26"/>
  <c r="O274" i="26"/>
  <c r="N274" i="26"/>
  <c r="M274" i="26"/>
  <c r="L274" i="26"/>
  <c r="K274" i="26"/>
  <c r="J274" i="26"/>
  <c r="I274" i="26"/>
  <c r="H274" i="26"/>
  <c r="G274" i="26"/>
  <c r="F274" i="26"/>
  <c r="E274" i="26"/>
  <c r="D274" i="26"/>
  <c r="C274" i="26"/>
  <c r="B274" i="26"/>
  <c r="BC273" i="26"/>
  <c r="BB273" i="26"/>
  <c r="BA273" i="26"/>
  <c r="AZ273" i="26"/>
  <c r="AY273" i="26"/>
  <c r="AX273" i="26"/>
  <c r="AW273" i="26"/>
  <c r="AV273" i="26"/>
  <c r="AU273" i="26"/>
  <c r="AT273" i="26"/>
  <c r="AS273" i="26"/>
  <c r="AR273" i="26"/>
  <c r="AQ273" i="26"/>
  <c r="AP273" i="26"/>
  <c r="AO273" i="26"/>
  <c r="AN273" i="26"/>
  <c r="AM273" i="26"/>
  <c r="AL273" i="26"/>
  <c r="AK273" i="26"/>
  <c r="AJ273" i="26"/>
  <c r="AI273" i="26"/>
  <c r="AH273" i="26"/>
  <c r="AG273" i="26"/>
  <c r="AF273" i="26"/>
  <c r="AE273" i="26"/>
  <c r="AD273" i="26"/>
  <c r="AC273" i="26"/>
  <c r="AB273" i="26"/>
  <c r="AA273" i="26"/>
  <c r="Z273" i="26"/>
  <c r="Y273" i="26"/>
  <c r="X273" i="26"/>
  <c r="W273" i="26"/>
  <c r="V273" i="26"/>
  <c r="U273" i="26"/>
  <c r="T273" i="26"/>
  <c r="S273" i="26"/>
  <c r="R273" i="26"/>
  <c r="Q273" i="26"/>
  <c r="P273" i="26"/>
  <c r="O273" i="26"/>
  <c r="N273" i="26"/>
  <c r="M273" i="26"/>
  <c r="L273" i="26"/>
  <c r="K273" i="26"/>
  <c r="J273" i="26"/>
  <c r="I273" i="26"/>
  <c r="H273" i="26"/>
  <c r="G273" i="26"/>
  <c r="F273" i="26"/>
  <c r="E273" i="26"/>
  <c r="D273" i="26"/>
  <c r="C273" i="26"/>
  <c r="B273" i="26"/>
  <c r="BC272" i="26"/>
  <c r="BB272" i="26"/>
  <c r="BA272" i="26"/>
  <c r="AZ272" i="26"/>
  <c r="AY272" i="26"/>
  <c r="AX272" i="26"/>
  <c r="AW272" i="26"/>
  <c r="AV272" i="26"/>
  <c r="AU272" i="26"/>
  <c r="AT272" i="26"/>
  <c r="AS272" i="26"/>
  <c r="AR272" i="26"/>
  <c r="AQ272" i="26"/>
  <c r="AP272" i="26"/>
  <c r="AO272" i="26"/>
  <c r="AN272" i="26"/>
  <c r="AM272" i="26"/>
  <c r="AL272" i="26"/>
  <c r="AK272" i="26"/>
  <c r="AJ272" i="26"/>
  <c r="AI272" i="26"/>
  <c r="AH272" i="26"/>
  <c r="AG272" i="26"/>
  <c r="AF272" i="26"/>
  <c r="AE272" i="26"/>
  <c r="AD272" i="26"/>
  <c r="AC272" i="26"/>
  <c r="AB272" i="26"/>
  <c r="AA272" i="26"/>
  <c r="Z272" i="26"/>
  <c r="Y272" i="26"/>
  <c r="X272" i="26"/>
  <c r="W272" i="26"/>
  <c r="V272" i="26"/>
  <c r="U272" i="26"/>
  <c r="T272" i="26"/>
  <c r="S272" i="26"/>
  <c r="R272" i="26"/>
  <c r="Q272" i="26"/>
  <c r="P272" i="26"/>
  <c r="O272" i="26"/>
  <c r="N272" i="26"/>
  <c r="M272" i="26"/>
  <c r="L272" i="26"/>
  <c r="K272" i="26"/>
  <c r="J272" i="26"/>
  <c r="I272" i="26"/>
  <c r="H272" i="26"/>
  <c r="G272" i="26"/>
  <c r="F272" i="26"/>
  <c r="E272" i="26"/>
  <c r="D272" i="26"/>
  <c r="C272" i="26"/>
  <c r="B272" i="26"/>
  <c r="BC271" i="26"/>
  <c r="BB271" i="26"/>
  <c r="BA271" i="26"/>
  <c r="AZ271" i="26"/>
  <c r="AY271" i="26"/>
  <c r="AX271" i="26"/>
  <c r="AW271" i="26"/>
  <c r="AV271" i="26"/>
  <c r="AU271" i="26"/>
  <c r="AT271" i="26"/>
  <c r="AS271" i="26"/>
  <c r="AR271" i="26"/>
  <c r="AQ271" i="26"/>
  <c r="AP271" i="26"/>
  <c r="AO271" i="26"/>
  <c r="AN271" i="26"/>
  <c r="AM271" i="26"/>
  <c r="AL271" i="26"/>
  <c r="AK271" i="26"/>
  <c r="AJ271" i="26"/>
  <c r="AI271" i="26"/>
  <c r="AH271" i="26"/>
  <c r="AG271" i="26"/>
  <c r="AF271" i="26"/>
  <c r="AE271" i="26"/>
  <c r="AD271" i="26"/>
  <c r="AC271" i="26"/>
  <c r="AB271" i="26"/>
  <c r="AA271" i="26"/>
  <c r="Z271" i="26"/>
  <c r="Y271" i="26"/>
  <c r="X271" i="26"/>
  <c r="W271" i="26"/>
  <c r="V271" i="26"/>
  <c r="U271" i="26"/>
  <c r="T271" i="26"/>
  <c r="S271" i="26"/>
  <c r="R271" i="26"/>
  <c r="Q271" i="26"/>
  <c r="P271" i="26"/>
  <c r="O271" i="26"/>
  <c r="N271" i="26"/>
  <c r="M271" i="26"/>
  <c r="L271" i="26"/>
  <c r="K271" i="26"/>
  <c r="J271" i="26"/>
  <c r="I271" i="26"/>
  <c r="H271" i="26"/>
  <c r="G271" i="26"/>
  <c r="F271" i="26"/>
  <c r="E271" i="26"/>
  <c r="D271" i="26"/>
  <c r="C271" i="26"/>
  <c r="B271" i="26"/>
  <c r="BC270" i="26"/>
  <c r="BB270" i="26"/>
  <c r="BA270" i="26"/>
  <c r="AZ270" i="26"/>
  <c r="AY270" i="26"/>
  <c r="AX270" i="26"/>
  <c r="AW270" i="26"/>
  <c r="AV270" i="26"/>
  <c r="AU270" i="26"/>
  <c r="AT270" i="26"/>
  <c r="AS270" i="26"/>
  <c r="AR270" i="26"/>
  <c r="AQ270" i="26"/>
  <c r="AP270" i="26"/>
  <c r="AO270" i="26"/>
  <c r="AN270" i="26"/>
  <c r="AM270" i="26"/>
  <c r="AL270" i="26"/>
  <c r="AK270" i="26"/>
  <c r="AJ270" i="26"/>
  <c r="AI270" i="26"/>
  <c r="AH270" i="26"/>
  <c r="AG270" i="26"/>
  <c r="AF270" i="26"/>
  <c r="AE270" i="26"/>
  <c r="AD270" i="26"/>
  <c r="AC270" i="26"/>
  <c r="AB270" i="26"/>
  <c r="AA270" i="26"/>
  <c r="Z270" i="26"/>
  <c r="Y270" i="26"/>
  <c r="X270" i="26"/>
  <c r="W270" i="26"/>
  <c r="V270" i="26"/>
  <c r="U270" i="26"/>
  <c r="T270" i="26"/>
  <c r="S270" i="26"/>
  <c r="R270" i="26"/>
  <c r="Q270" i="26"/>
  <c r="P270" i="26"/>
  <c r="O270" i="26"/>
  <c r="N270" i="26"/>
  <c r="M270" i="26"/>
  <c r="L270" i="26"/>
  <c r="K270" i="26"/>
  <c r="J270" i="26"/>
  <c r="I270" i="26"/>
  <c r="H270" i="26"/>
  <c r="G270" i="26"/>
  <c r="F270" i="26"/>
  <c r="E270" i="26"/>
  <c r="D270" i="26"/>
  <c r="C270" i="26"/>
  <c r="B270" i="26"/>
  <c r="BC269" i="26"/>
  <c r="BB269" i="26"/>
  <c r="BA269" i="26"/>
  <c r="AZ269" i="26"/>
  <c r="AY269" i="26"/>
  <c r="AX269" i="26"/>
  <c r="AW269" i="26"/>
  <c r="AV269" i="26"/>
  <c r="AU269" i="26"/>
  <c r="AT269" i="26"/>
  <c r="AS269" i="26"/>
  <c r="AR269" i="26"/>
  <c r="AQ269" i="26"/>
  <c r="AP269" i="26"/>
  <c r="AO269" i="26"/>
  <c r="AN269" i="26"/>
  <c r="AM269" i="26"/>
  <c r="AL269" i="26"/>
  <c r="AK269" i="26"/>
  <c r="AJ269" i="26"/>
  <c r="AI269" i="26"/>
  <c r="AH269" i="26"/>
  <c r="AG269" i="26"/>
  <c r="AF269" i="26"/>
  <c r="AE269" i="26"/>
  <c r="AD269" i="26"/>
  <c r="AC269" i="26"/>
  <c r="AB269" i="26"/>
  <c r="AA269" i="26"/>
  <c r="Z269" i="26"/>
  <c r="Y269" i="26"/>
  <c r="X269" i="26"/>
  <c r="W269" i="26"/>
  <c r="V269" i="26"/>
  <c r="U269" i="26"/>
  <c r="T269" i="26"/>
  <c r="S269" i="26"/>
  <c r="R269" i="26"/>
  <c r="Q269" i="26"/>
  <c r="P269" i="26"/>
  <c r="O269" i="26"/>
  <c r="N269" i="26"/>
  <c r="M269" i="26"/>
  <c r="L269" i="26"/>
  <c r="K269" i="26"/>
  <c r="J269" i="26"/>
  <c r="I269" i="26"/>
  <c r="H269" i="26"/>
  <c r="G269" i="26"/>
  <c r="F269" i="26"/>
  <c r="E269" i="26"/>
  <c r="D269" i="26"/>
  <c r="C269" i="26"/>
  <c r="B269" i="26"/>
  <c r="BC268" i="26"/>
  <c r="BB268" i="26"/>
  <c r="BA268" i="26"/>
  <c r="AZ268" i="26"/>
  <c r="AY268" i="26"/>
  <c r="AX268" i="26"/>
  <c r="AW268" i="26"/>
  <c r="AV268" i="26"/>
  <c r="AU268" i="26"/>
  <c r="AT268" i="26"/>
  <c r="AS268" i="26"/>
  <c r="AR268" i="26"/>
  <c r="AQ268" i="26"/>
  <c r="AP268" i="26"/>
  <c r="AO268" i="26"/>
  <c r="AN268" i="26"/>
  <c r="AM268" i="26"/>
  <c r="AL268" i="26"/>
  <c r="AK268" i="26"/>
  <c r="AJ268" i="26"/>
  <c r="AI268" i="26"/>
  <c r="AH268" i="26"/>
  <c r="AG268" i="26"/>
  <c r="AF268" i="26"/>
  <c r="AE268" i="26"/>
  <c r="AD268" i="26"/>
  <c r="AC268" i="26"/>
  <c r="AB268" i="26"/>
  <c r="AA268" i="26"/>
  <c r="Z268" i="26"/>
  <c r="Y268" i="26"/>
  <c r="X268" i="26"/>
  <c r="W268" i="26"/>
  <c r="V268" i="26"/>
  <c r="U268" i="26"/>
  <c r="T268" i="26"/>
  <c r="S268" i="26"/>
  <c r="R268" i="26"/>
  <c r="Q268" i="26"/>
  <c r="P268" i="26"/>
  <c r="O268" i="26"/>
  <c r="N268" i="26"/>
  <c r="M268" i="26"/>
  <c r="L268" i="26"/>
  <c r="K268" i="26"/>
  <c r="J268" i="26"/>
  <c r="I268" i="26"/>
  <c r="H268" i="26"/>
  <c r="G268" i="26"/>
  <c r="F268" i="26"/>
  <c r="E268" i="26"/>
  <c r="D268" i="26"/>
  <c r="C268" i="26"/>
  <c r="B268" i="26"/>
  <c r="BC267" i="26"/>
  <c r="BB267" i="26"/>
  <c r="BA267" i="26"/>
  <c r="AZ267" i="26"/>
  <c r="AY267" i="26"/>
  <c r="AX267" i="26"/>
  <c r="AW267" i="26"/>
  <c r="AV267" i="26"/>
  <c r="AU267" i="26"/>
  <c r="AT267" i="26"/>
  <c r="AS267" i="26"/>
  <c r="AR267" i="26"/>
  <c r="AQ267" i="26"/>
  <c r="AP267" i="26"/>
  <c r="AO267" i="26"/>
  <c r="AN267" i="26"/>
  <c r="AM267" i="26"/>
  <c r="AL267" i="26"/>
  <c r="AK267" i="26"/>
  <c r="AJ267" i="26"/>
  <c r="AI267" i="26"/>
  <c r="AH267" i="26"/>
  <c r="AG267" i="26"/>
  <c r="AF267" i="26"/>
  <c r="AE267" i="26"/>
  <c r="AD267" i="26"/>
  <c r="AC267" i="26"/>
  <c r="AB267" i="26"/>
  <c r="AA267" i="26"/>
  <c r="Z267" i="26"/>
  <c r="Y267" i="26"/>
  <c r="X267" i="26"/>
  <c r="W267" i="26"/>
  <c r="V267" i="26"/>
  <c r="U267" i="26"/>
  <c r="T267" i="26"/>
  <c r="S267" i="26"/>
  <c r="R267" i="26"/>
  <c r="Q267" i="26"/>
  <c r="P267" i="26"/>
  <c r="O267" i="26"/>
  <c r="N267" i="26"/>
  <c r="M267" i="26"/>
  <c r="L267" i="26"/>
  <c r="K267" i="26"/>
  <c r="J267" i="26"/>
  <c r="I267" i="26"/>
  <c r="H267" i="26"/>
  <c r="G267" i="26"/>
  <c r="F267" i="26"/>
  <c r="E267" i="26"/>
  <c r="D267" i="26"/>
  <c r="C267" i="26"/>
  <c r="B267" i="26"/>
  <c r="BC266" i="26"/>
  <c r="BB266" i="26"/>
  <c r="BA266" i="26"/>
  <c r="AZ266" i="26"/>
  <c r="AY266" i="26"/>
  <c r="AX266" i="26"/>
  <c r="AW266" i="26"/>
  <c r="AV266" i="26"/>
  <c r="AU266" i="26"/>
  <c r="AT266" i="26"/>
  <c r="AS266" i="26"/>
  <c r="AR266" i="26"/>
  <c r="AQ266" i="26"/>
  <c r="AP266" i="26"/>
  <c r="AO266" i="26"/>
  <c r="AN266" i="26"/>
  <c r="AM266" i="26"/>
  <c r="AL266" i="26"/>
  <c r="AK266" i="26"/>
  <c r="AJ266" i="26"/>
  <c r="AI266" i="26"/>
  <c r="AH266" i="26"/>
  <c r="AG266" i="26"/>
  <c r="AF266" i="26"/>
  <c r="AE266" i="26"/>
  <c r="AD266" i="26"/>
  <c r="AC266" i="26"/>
  <c r="AB266" i="26"/>
  <c r="AA266" i="26"/>
  <c r="Z266" i="26"/>
  <c r="Y266" i="26"/>
  <c r="X266" i="26"/>
  <c r="W266" i="26"/>
  <c r="V266" i="26"/>
  <c r="U266" i="26"/>
  <c r="T266" i="26"/>
  <c r="S266" i="26"/>
  <c r="R266" i="26"/>
  <c r="Q266" i="26"/>
  <c r="P266" i="26"/>
  <c r="O266" i="26"/>
  <c r="N266" i="26"/>
  <c r="M266" i="26"/>
  <c r="L266" i="26"/>
  <c r="K266" i="26"/>
  <c r="J266" i="26"/>
  <c r="I266" i="26"/>
  <c r="H266" i="26"/>
  <c r="G266" i="26"/>
  <c r="F266" i="26"/>
  <c r="E266" i="26"/>
  <c r="D266" i="26"/>
  <c r="C266" i="26"/>
  <c r="B266" i="26"/>
  <c r="BC265" i="26"/>
  <c r="BB265" i="26"/>
  <c r="BA265" i="26"/>
  <c r="AZ265" i="26"/>
  <c r="AY265" i="26"/>
  <c r="AX265" i="26"/>
  <c r="AW265" i="26"/>
  <c r="AV265" i="26"/>
  <c r="AU265" i="26"/>
  <c r="AT265" i="26"/>
  <c r="AS265" i="26"/>
  <c r="AR265" i="26"/>
  <c r="AQ265" i="26"/>
  <c r="AP265" i="26"/>
  <c r="AO265" i="26"/>
  <c r="AN265" i="26"/>
  <c r="AM265" i="26"/>
  <c r="AL265" i="26"/>
  <c r="AK265" i="26"/>
  <c r="AJ265" i="26"/>
  <c r="AI265" i="26"/>
  <c r="AH265" i="26"/>
  <c r="AG265" i="26"/>
  <c r="AF265" i="26"/>
  <c r="AE265" i="26"/>
  <c r="AD265" i="26"/>
  <c r="AC265" i="26"/>
  <c r="AB265" i="26"/>
  <c r="AA265" i="26"/>
  <c r="Z265" i="26"/>
  <c r="Y265" i="26"/>
  <c r="X265" i="26"/>
  <c r="W265" i="26"/>
  <c r="V265" i="26"/>
  <c r="U265" i="26"/>
  <c r="T265" i="26"/>
  <c r="S265" i="26"/>
  <c r="R265" i="26"/>
  <c r="Q265" i="26"/>
  <c r="P265" i="26"/>
  <c r="O265" i="26"/>
  <c r="N265" i="26"/>
  <c r="M265" i="26"/>
  <c r="L265" i="26"/>
  <c r="K265" i="26"/>
  <c r="J265" i="26"/>
  <c r="I265" i="26"/>
  <c r="H265" i="26"/>
  <c r="G265" i="26"/>
  <c r="F265" i="26"/>
  <c r="E265" i="26"/>
  <c r="D265" i="26"/>
  <c r="C265" i="26"/>
  <c r="B265" i="26"/>
  <c r="BC264" i="26"/>
  <c r="BB264" i="26"/>
  <c r="BA264" i="26"/>
  <c r="AZ264" i="26"/>
  <c r="AY264" i="26"/>
  <c r="AX264" i="26"/>
  <c r="AW264" i="26"/>
  <c r="AV264" i="26"/>
  <c r="AU264" i="26"/>
  <c r="AT264" i="26"/>
  <c r="AS264" i="26"/>
  <c r="AR264" i="26"/>
  <c r="AQ264" i="26"/>
  <c r="AP264" i="26"/>
  <c r="AO264" i="26"/>
  <c r="AN264" i="26"/>
  <c r="AM264" i="26"/>
  <c r="AL264" i="26"/>
  <c r="AK264" i="26"/>
  <c r="AJ264" i="26"/>
  <c r="AI264" i="26"/>
  <c r="AH264" i="26"/>
  <c r="AG264" i="26"/>
  <c r="AF264" i="26"/>
  <c r="AE264" i="26"/>
  <c r="AD264" i="26"/>
  <c r="AC264" i="26"/>
  <c r="AB264" i="26"/>
  <c r="AA264" i="26"/>
  <c r="Z264" i="26"/>
  <c r="Y264" i="26"/>
  <c r="X264" i="26"/>
  <c r="W264" i="26"/>
  <c r="V264" i="26"/>
  <c r="U264" i="26"/>
  <c r="T264" i="26"/>
  <c r="S264" i="26"/>
  <c r="R264" i="26"/>
  <c r="Q264" i="26"/>
  <c r="P264" i="26"/>
  <c r="O264" i="26"/>
  <c r="N264" i="26"/>
  <c r="M264" i="26"/>
  <c r="L264" i="26"/>
  <c r="K264" i="26"/>
  <c r="J264" i="26"/>
  <c r="I264" i="26"/>
  <c r="H264" i="26"/>
  <c r="G264" i="26"/>
  <c r="F264" i="26"/>
  <c r="E264" i="26"/>
  <c r="D264" i="26"/>
  <c r="C264" i="26"/>
  <c r="B264" i="26"/>
  <c r="BC263" i="26"/>
  <c r="BB263" i="26"/>
  <c r="BA263" i="26"/>
  <c r="AZ263" i="26"/>
  <c r="AY263" i="26"/>
  <c r="AX263" i="26"/>
  <c r="AW263" i="26"/>
  <c r="AV263" i="26"/>
  <c r="AU263" i="26"/>
  <c r="AT263" i="26"/>
  <c r="AS263" i="26"/>
  <c r="AR263" i="26"/>
  <c r="AQ263" i="26"/>
  <c r="AP263" i="26"/>
  <c r="AO263" i="26"/>
  <c r="AN263" i="26"/>
  <c r="AM263" i="26"/>
  <c r="AL263" i="26"/>
  <c r="AK263" i="26"/>
  <c r="AJ263" i="26"/>
  <c r="AI263" i="26"/>
  <c r="AH263" i="26"/>
  <c r="AG263" i="26"/>
  <c r="AF263" i="26"/>
  <c r="AE263" i="26"/>
  <c r="AD263" i="26"/>
  <c r="AC263" i="26"/>
  <c r="AB263" i="26"/>
  <c r="AA263" i="26"/>
  <c r="Z263" i="26"/>
  <c r="Y263" i="26"/>
  <c r="X263" i="26"/>
  <c r="W263" i="26"/>
  <c r="V263" i="26"/>
  <c r="U263" i="26"/>
  <c r="T263" i="26"/>
  <c r="S263" i="26"/>
  <c r="R263" i="26"/>
  <c r="Q263" i="26"/>
  <c r="P263" i="26"/>
  <c r="O263" i="26"/>
  <c r="N263" i="26"/>
  <c r="M263" i="26"/>
  <c r="L263" i="26"/>
  <c r="K263" i="26"/>
  <c r="J263" i="26"/>
  <c r="I263" i="26"/>
  <c r="H263" i="26"/>
  <c r="G263" i="26"/>
  <c r="F263" i="26"/>
  <c r="E263" i="26"/>
  <c r="D263" i="26"/>
  <c r="C263" i="26"/>
  <c r="B263" i="26"/>
  <c r="BC262" i="26"/>
  <c r="BB262" i="26"/>
  <c r="BA262" i="26"/>
  <c r="AZ262" i="26"/>
  <c r="AY262" i="26"/>
  <c r="AX262" i="26"/>
  <c r="AW262" i="26"/>
  <c r="AV262" i="26"/>
  <c r="AU262" i="26"/>
  <c r="AT262" i="26"/>
  <c r="AS262" i="26"/>
  <c r="AR262" i="26"/>
  <c r="AQ262" i="26"/>
  <c r="AP262" i="26"/>
  <c r="AO262" i="26"/>
  <c r="AN262" i="26"/>
  <c r="AM262" i="26"/>
  <c r="AL262" i="26"/>
  <c r="AK262" i="26"/>
  <c r="AJ262" i="26"/>
  <c r="AI262" i="26"/>
  <c r="AH262" i="26"/>
  <c r="AG262" i="26"/>
  <c r="AF262" i="26"/>
  <c r="AE262" i="26"/>
  <c r="AD262" i="26"/>
  <c r="AC262" i="26"/>
  <c r="AB262" i="26"/>
  <c r="AA262" i="26"/>
  <c r="Z262" i="26"/>
  <c r="Y262" i="26"/>
  <c r="X262" i="26"/>
  <c r="W262" i="26"/>
  <c r="V262" i="26"/>
  <c r="U262" i="26"/>
  <c r="T262" i="26"/>
  <c r="S262" i="26"/>
  <c r="R262" i="26"/>
  <c r="Q262" i="26"/>
  <c r="P262" i="26"/>
  <c r="O262" i="26"/>
  <c r="N262" i="26"/>
  <c r="M262" i="26"/>
  <c r="L262" i="26"/>
  <c r="K262" i="26"/>
  <c r="J262" i="26"/>
  <c r="I262" i="26"/>
  <c r="H262" i="26"/>
  <c r="G262" i="26"/>
  <c r="F262" i="26"/>
  <c r="E262" i="26"/>
  <c r="D262" i="26"/>
  <c r="C262" i="26"/>
  <c r="B262" i="26"/>
  <c r="BC261" i="26"/>
  <c r="BB261" i="26"/>
  <c r="BA261" i="26"/>
  <c r="AZ261" i="26"/>
  <c r="AY261" i="26"/>
  <c r="AX261" i="26"/>
  <c r="AW261" i="26"/>
  <c r="AV261" i="26"/>
  <c r="AU261" i="26"/>
  <c r="AT261" i="26"/>
  <c r="AS261" i="26"/>
  <c r="AR261" i="26"/>
  <c r="AQ261" i="26"/>
  <c r="AP261" i="26"/>
  <c r="AO261" i="26"/>
  <c r="AN261" i="26"/>
  <c r="AM261" i="26"/>
  <c r="AL261" i="26"/>
  <c r="AK261" i="26"/>
  <c r="AJ261" i="26"/>
  <c r="AI261" i="26"/>
  <c r="AH261" i="26"/>
  <c r="AG261" i="26"/>
  <c r="AF261" i="26"/>
  <c r="AE261" i="26"/>
  <c r="AD261" i="26"/>
  <c r="AC261" i="26"/>
  <c r="AB261" i="26"/>
  <c r="AA261" i="26"/>
  <c r="Z261" i="26"/>
  <c r="Y261" i="26"/>
  <c r="X261" i="26"/>
  <c r="W261" i="26"/>
  <c r="V261" i="26"/>
  <c r="U261" i="26"/>
  <c r="T261" i="26"/>
  <c r="S261" i="26"/>
  <c r="R261" i="26"/>
  <c r="Q261" i="26"/>
  <c r="P261" i="26"/>
  <c r="O261" i="26"/>
  <c r="N261" i="26"/>
  <c r="M261" i="26"/>
  <c r="L261" i="26"/>
  <c r="K261" i="26"/>
  <c r="J261" i="26"/>
  <c r="I261" i="26"/>
  <c r="H261" i="26"/>
  <c r="G261" i="26"/>
  <c r="F261" i="26"/>
  <c r="E261" i="26"/>
  <c r="D261" i="26"/>
  <c r="C261" i="26"/>
  <c r="B261" i="26"/>
  <c r="BC260" i="26"/>
  <c r="BB260" i="26"/>
  <c r="BA260" i="26"/>
  <c r="AZ260" i="26"/>
  <c r="AY260" i="26"/>
  <c r="AX260" i="26"/>
  <c r="AW260" i="26"/>
  <c r="AV260" i="26"/>
  <c r="AU260" i="26"/>
  <c r="AT260" i="26"/>
  <c r="AS260" i="26"/>
  <c r="AR260" i="26"/>
  <c r="AQ260" i="26"/>
  <c r="AP260" i="26"/>
  <c r="AO260" i="26"/>
  <c r="AN260" i="26"/>
  <c r="AM260" i="26"/>
  <c r="AL260" i="26"/>
  <c r="AK260" i="26"/>
  <c r="AJ260" i="26"/>
  <c r="AI260" i="26"/>
  <c r="AH260" i="26"/>
  <c r="AG260" i="26"/>
  <c r="AF260" i="26"/>
  <c r="AE260" i="26"/>
  <c r="AD260" i="26"/>
  <c r="AC260" i="26"/>
  <c r="AB260" i="26"/>
  <c r="AA260" i="26"/>
  <c r="Z260" i="26"/>
  <c r="Y260" i="26"/>
  <c r="X260" i="26"/>
  <c r="W260" i="26"/>
  <c r="V260" i="26"/>
  <c r="U260" i="26"/>
  <c r="T260" i="26"/>
  <c r="S260" i="26"/>
  <c r="R260" i="26"/>
  <c r="Q260" i="26"/>
  <c r="P260" i="26"/>
  <c r="O260" i="26"/>
  <c r="N260" i="26"/>
  <c r="M260" i="26"/>
  <c r="L260" i="26"/>
  <c r="K260" i="26"/>
  <c r="J260" i="26"/>
  <c r="I260" i="26"/>
  <c r="H260" i="26"/>
  <c r="G260" i="26"/>
  <c r="F260" i="26"/>
  <c r="E260" i="26"/>
  <c r="D260" i="26"/>
  <c r="C260" i="26"/>
  <c r="B260" i="26"/>
  <c r="BC259" i="26"/>
  <c r="BB259" i="26"/>
  <c r="BA259" i="26"/>
  <c r="AZ259" i="26"/>
  <c r="AY259" i="26"/>
  <c r="AX259" i="26"/>
  <c r="AW259" i="26"/>
  <c r="AV259" i="26"/>
  <c r="AU259" i="26"/>
  <c r="AT259" i="26"/>
  <c r="AS259" i="26"/>
  <c r="AR259" i="26"/>
  <c r="AQ259" i="26"/>
  <c r="AP259" i="26"/>
  <c r="AO259" i="26"/>
  <c r="AN259" i="26"/>
  <c r="AM259" i="26"/>
  <c r="AL259" i="26"/>
  <c r="AK259" i="26"/>
  <c r="AJ259" i="26"/>
  <c r="AI259" i="26"/>
  <c r="AH259" i="26"/>
  <c r="AG259" i="26"/>
  <c r="AF259" i="26"/>
  <c r="AE259" i="26"/>
  <c r="AD259" i="26"/>
  <c r="AC259" i="26"/>
  <c r="AB259" i="26"/>
  <c r="AA259" i="26"/>
  <c r="Z259" i="26"/>
  <c r="Y259" i="26"/>
  <c r="X259" i="26"/>
  <c r="W259" i="26"/>
  <c r="V259" i="26"/>
  <c r="U259" i="26"/>
  <c r="T259" i="26"/>
  <c r="S259" i="26"/>
  <c r="R259" i="26"/>
  <c r="Q259" i="26"/>
  <c r="P259" i="26"/>
  <c r="O259" i="26"/>
  <c r="N259" i="26"/>
  <c r="M259" i="26"/>
  <c r="L259" i="26"/>
  <c r="K259" i="26"/>
  <c r="J259" i="26"/>
  <c r="I259" i="26"/>
  <c r="H259" i="26"/>
  <c r="G259" i="26"/>
  <c r="F259" i="26"/>
  <c r="E259" i="26"/>
  <c r="D259" i="26"/>
  <c r="C259" i="26"/>
  <c r="B259" i="26"/>
  <c r="BC258" i="26"/>
  <c r="BB258" i="26"/>
  <c r="BA258" i="26"/>
  <c r="AZ258" i="26"/>
  <c r="AY258" i="26"/>
  <c r="AX258" i="26"/>
  <c r="AW258" i="26"/>
  <c r="AV258" i="26"/>
  <c r="AU258" i="26"/>
  <c r="AT258" i="26"/>
  <c r="AS258" i="26"/>
  <c r="AR258" i="26"/>
  <c r="AQ258" i="26"/>
  <c r="AP258" i="26"/>
  <c r="AO258" i="26"/>
  <c r="AN258" i="26"/>
  <c r="AM258" i="26"/>
  <c r="AL258" i="26"/>
  <c r="AK258" i="26"/>
  <c r="AJ258" i="26"/>
  <c r="AI258" i="26"/>
  <c r="AH258" i="26"/>
  <c r="AG258" i="26"/>
  <c r="AF258" i="26"/>
  <c r="AE258" i="26"/>
  <c r="AD258" i="26"/>
  <c r="AC258" i="26"/>
  <c r="AB258" i="26"/>
  <c r="AA258" i="26"/>
  <c r="Z258" i="26"/>
  <c r="Y258" i="26"/>
  <c r="X258" i="26"/>
  <c r="W258" i="26"/>
  <c r="V258" i="26"/>
  <c r="U258" i="26"/>
  <c r="T258" i="26"/>
  <c r="S258" i="26"/>
  <c r="R258" i="26"/>
  <c r="Q258" i="26"/>
  <c r="P258" i="26"/>
  <c r="O258" i="26"/>
  <c r="N258" i="26"/>
  <c r="M258" i="26"/>
  <c r="L258" i="26"/>
  <c r="K258" i="26"/>
  <c r="J258" i="26"/>
  <c r="I258" i="26"/>
  <c r="H258" i="26"/>
  <c r="G258" i="26"/>
  <c r="F258" i="26"/>
  <c r="E258" i="26"/>
  <c r="D258" i="26"/>
  <c r="C258" i="26"/>
  <c r="B258" i="26"/>
  <c r="BC257" i="26"/>
  <c r="BB257" i="26"/>
  <c r="BA257" i="26"/>
  <c r="AZ257" i="26"/>
  <c r="AY257" i="26"/>
  <c r="AX257" i="26"/>
  <c r="AW257" i="26"/>
  <c r="AV257" i="26"/>
  <c r="AU257" i="26"/>
  <c r="AT257" i="26"/>
  <c r="AS257" i="26"/>
  <c r="AR257" i="26"/>
  <c r="AQ257" i="26"/>
  <c r="AP257" i="26"/>
  <c r="AO257" i="26"/>
  <c r="AN257" i="26"/>
  <c r="AM257" i="26"/>
  <c r="AL257" i="26"/>
  <c r="AK257" i="26"/>
  <c r="AJ257" i="26"/>
  <c r="AI257" i="26"/>
  <c r="AH257" i="26"/>
  <c r="AG257" i="26"/>
  <c r="AF257" i="26"/>
  <c r="AE257" i="26"/>
  <c r="AD257" i="26"/>
  <c r="AC257" i="26"/>
  <c r="AB257" i="26"/>
  <c r="AA257" i="26"/>
  <c r="Z257" i="26"/>
  <c r="Y257" i="26"/>
  <c r="X257" i="26"/>
  <c r="W257" i="26"/>
  <c r="V257" i="26"/>
  <c r="U257" i="26"/>
  <c r="T257" i="26"/>
  <c r="S257" i="26"/>
  <c r="R257" i="26"/>
  <c r="Q257" i="26"/>
  <c r="P257" i="26"/>
  <c r="O257" i="26"/>
  <c r="N257" i="26"/>
  <c r="M257" i="26"/>
  <c r="L257" i="26"/>
  <c r="K257" i="26"/>
  <c r="J257" i="26"/>
  <c r="I257" i="26"/>
  <c r="H257" i="26"/>
  <c r="G257" i="26"/>
  <c r="F257" i="26"/>
  <c r="E257" i="26"/>
  <c r="D257" i="26"/>
  <c r="C257" i="26"/>
  <c r="B257" i="26"/>
  <c r="BC256" i="26"/>
  <c r="BB256" i="26"/>
  <c r="BA256" i="26"/>
  <c r="AZ256" i="26"/>
  <c r="AY256" i="26"/>
  <c r="AX256" i="26"/>
  <c r="AW256" i="26"/>
  <c r="AV256" i="26"/>
  <c r="AU256" i="26"/>
  <c r="AT256" i="26"/>
  <c r="AS256" i="26"/>
  <c r="AR256" i="26"/>
  <c r="AQ256" i="26"/>
  <c r="AP256" i="26"/>
  <c r="AO256" i="26"/>
  <c r="AN256" i="26"/>
  <c r="AM256" i="26"/>
  <c r="AL256" i="26"/>
  <c r="AK256" i="26"/>
  <c r="AJ256" i="26"/>
  <c r="AI256" i="26"/>
  <c r="AH256" i="26"/>
  <c r="AG256" i="26"/>
  <c r="AF256" i="26"/>
  <c r="AE256" i="26"/>
  <c r="AD256" i="26"/>
  <c r="AC256" i="26"/>
  <c r="AB256" i="26"/>
  <c r="AA256" i="26"/>
  <c r="Z256" i="26"/>
  <c r="Y256" i="26"/>
  <c r="X256" i="26"/>
  <c r="W256" i="26"/>
  <c r="V256" i="26"/>
  <c r="U256" i="26"/>
  <c r="T256" i="26"/>
  <c r="S256" i="26"/>
  <c r="R256" i="26"/>
  <c r="Q256" i="26"/>
  <c r="P256" i="26"/>
  <c r="O256" i="26"/>
  <c r="N256" i="26"/>
  <c r="M256" i="26"/>
  <c r="L256" i="26"/>
  <c r="K256" i="26"/>
  <c r="J256" i="26"/>
  <c r="I256" i="26"/>
  <c r="H256" i="26"/>
  <c r="G256" i="26"/>
  <c r="F256" i="26"/>
  <c r="E256" i="26"/>
  <c r="D256" i="26"/>
  <c r="C256" i="26"/>
  <c r="B256" i="26"/>
  <c r="BC255" i="26"/>
  <c r="BB255" i="26"/>
  <c r="BA255" i="26"/>
  <c r="AZ255" i="26"/>
  <c r="AY255" i="26"/>
  <c r="AX255" i="26"/>
  <c r="AW255" i="26"/>
  <c r="AV255" i="26"/>
  <c r="AU255" i="26"/>
  <c r="AT255" i="26"/>
  <c r="AS255" i="26"/>
  <c r="AR255" i="26"/>
  <c r="AQ255" i="26"/>
  <c r="AP255" i="26"/>
  <c r="AO255" i="26"/>
  <c r="AN255" i="26"/>
  <c r="AM255" i="26"/>
  <c r="AL255" i="26"/>
  <c r="AK255" i="26"/>
  <c r="AJ255" i="26"/>
  <c r="AI255" i="26"/>
  <c r="AH255" i="26"/>
  <c r="AG255" i="26"/>
  <c r="AF255" i="26"/>
  <c r="AE255" i="26"/>
  <c r="AD255" i="26"/>
  <c r="AC255" i="26"/>
  <c r="AB255" i="26"/>
  <c r="AA255" i="26"/>
  <c r="Z255" i="26"/>
  <c r="Y255" i="26"/>
  <c r="X255" i="26"/>
  <c r="W255" i="26"/>
  <c r="V255" i="26"/>
  <c r="U255" i="26"/>
  <c r="T255" i="26"/>
  <c r="S255" i="26"/>
  <c r="R255" i="26"/>
  <c r="Q255" i="26"/>
  <c r="P255" i="26"/>
  <c r="O255" i="26"/>
  <c r="N255" i="26"/>
  <c r="M255" i="26"/>
  <c r="L255" i="26"/>
  <c r="K255" i="26"/>
  <c r="J255" i="26"/>
  <c r="I255" i="26"/>
  <c r="H255" i="26"/>
  <c r="G255" i="26"/>
  <c r="F255" i="26"/>
  <c r="E255" i="26"/>
  <c r="D255" i="26"/>
  <c r="C255" i="26"/>
  <c r="B255" i="26"/>
  <c r="BC254" i="26"/>
  <c r="BB254" i="26"/>
  <c r="BA254" i="26"/>
  <c r="AZ254" i="26"/>
  <c r="AY254" i="26"/>
  <c r="AX254" i="26"/>
  <c r="AW254" i="26"/>
  <c r="AV254" i="26"/>
  <c r="AU254" i="26"/>
  <c r="AT254" i="26"/>
  <c r="AS254" i="26"/>
  <c r="AR254" i="26"/>
  <c r="AQ254" i="26"/>
  <c r="AP254" i="26"/>
  <c r="AO254" i="26"/>
  <c r="AN254" i="26"/>
  <c r="AM254" i="26"/>
  <c r="AL254" i="26"/>
  <c r="AK254" i="26"/>
  <c r="AJ254" i="26"/>
  <c r="AI254" i="26"/>
  <c r="AH254" i="26"/>
  <c r="AG254" i="26"/>
  <c r="AF254" i="26"/>
  <c r="AE254" i="26"/>
  <c r="AD254" i="26"/>
  <c r="AC254" i="26"/>
  <c r="AB254" i="26"/>
  <c r="AA254" i="26"/>
  <c r="Z254" i="26"/>
  <c r="Y254" i="26"/>
  <c r="X254" i="26"/>
  <c r="W254" i="26"/>
  <c r="V254" i="26"/>
  <c r="U254" i="26"/>
  <c r="T254" i="26"/>
  <c r="S254" i="26"/>
  <c r="R254" i="26"/>
  <c r="Q254" i="26"/>
  <c r="P254" i="26"/>
  <c r="O254" i="26"/>
  <c r="N254" i="26"/>
  <c r="M254" i="26"/>
  <c r="L254" i="26"/>
  <c r="K254" i="26"/>
  <c r="J254" i="26"/>
  <c r="I254" i="26"/>
  <c r="H254" i="26"/>
  <c r="G254" i="26"/>
  <c r="F254" i="26"/>
  <c r="E254" i="26"/>
  <c r="D254" i="26"/>
  <c r="C254" i="26"/>
  <c r="B254" i="26"/>
  <c r="BC253" i="26"/>
  <c r="BB253" i="26"/>
  <c r="BA253" i="26"/>
  <c r="AZ253" i="26"/>
  <c r="AY253" i="26"/>
  <c r="AX253" i="26"/>
  <c r="AW253" i="26"/>
  <c r="AV253" i="26"/>
  <c r="AU253" i="26"/>
  <c r="AT253" i="26"/>
  <c r="AS253" i="26"/>
  <c r="AR253" i="26"/>
  <c r="AQ253" i="26"/>
  <c r="AP253" i="26"/>
  <c r="AO253" i="26"/>
  <c r="AN253" i="26"/>
  <c r="AM253" i="26"/>
  <c r="AL253" i="26"/>
  <c r="AK253" i="26"/>
  <c r="AJ253" i="26"/>
  <c r="AI253" i="26"/>
  <c r="AH253" i="26"/>
  <c r="AG253" i="26"/>
  <c r="AF253" i="26"/>
  <c r="AE253" i="26"/>
  <c r="AD253" i="26"/>
  <c r="AC253" i="26"/>
  <c r="AB253" i="26"/>
  <c r="AA253" i="26"/>
  <c r="Z253" i="26"/>
  <c r="Y253" i="26"/>
  <c r="X253" i="26"/>
  <c r="W253" i="26"/>
  <c r="V253" i="26"/>
  <c r="U253" i="26"/>
  <c r="T253" i="26"/>
  <c r="S253" i="26"/>
  <c r="R253" i="26"/>
  <c r="Q253" i="26"/>
  <c r="P253" i="26"/>
  <c r="O253" i="26"/>
  <c r="N253" i="26"/>
  <c r="M253" i="26"/>
  <c r="L253" i="26"/>
  <c r="K253" i="26"/>
  <c r="J253" i="26"/>
  <c r="I253" i="26"/>
  <c r="H253" i="26"/>
  <c r="G253" i="26"/>
  <c r="F253" i="26"/>
  <c r="E253" i="26"/>
  <c r="D253" i="26"/>
  <c r="C253" i="26"/>
  <c r="B253" i="26"/>
  <c r="BC252" i="26"/>
  <c r="BB252" i="26"/>
  <c r="BA252" i="26"/>
  <c r="AZ252" i="26"/>
  <c r="AY252" i="26"/>
  <c r="AX252" i="26"/>
  <c r="AW252" i="26"/>
  <c r="AV252" i="26"/>
  <c r="AU252" i="26"/>
  <c r="AT252" i="26"/>
  <c r="AS252" i="26"/>
  <c r="AR252" i="26"/>
  <c r="AQ252" i="26"/>
  <c r="AP252" i="26"/>
  <c r="AO252" i="26"/>
  <c r="AN252" i="26"/>
  <c r="AM252" i="26"/>
  <c r="AL252" i="26"/>
  <c r="AK252" i="26"/>
  <c r="AJ252" i="26"/>
  <c r="AI252" i="26"/>
  <c r="AH252" i="26"/>
  <c r="AG252" i="26"/>
  <c r="AF252" i="26"/>
  <c r="AE252" i="26"/>
  <c r="AD252" i="26"/>
  <c r="AC252" i="26"/>
  <c r="AB252" i="26"/>
  <c r="AA252" i="26"/>
  <c r="Z252" i="26"/>
  <c r="Y252" i="26"/>
  <c r="X252" i="26"/>
  <c r="W252" i="26"/>
  <c r="V252" i="26"/>
  <c r="U252" i="26"/>
  <c r="T252" i="26"/>
  <c r="S252" i="26"/>
  <c r="R252" i="26"/>
  <c r="Q252" i="26"/>
  <c r="P252" i="26"/>
  <c r="O252" i="26"/>
  <c r="N252" i="26"/>
  <c r="M252" i="26"/>
  <c r="L252" i="26"/>
  <c r="K252" i="26"/>
  <c r="J252" i="26"/>
  <c r="I252" i="26"/>
  <c r="H252" i="26"/>
  <c r="G252" i="26"/>
  <c r="F252" i="26"/>
  <c r="E252" i="26"/>
  <c r="D252" i="26"/>
  <c r="C252" i="26"/>
  <c r="B252" i="26"/>
  <c r="BC251" i="26"/>
  <c r="BB251" i="26"/>
  <c r="BA251" i="26"/>
  <c r="AZ251" i="26"/>
  <c r="AY251" i="26"/>
  <c r="AX251" i="26"/>
  <c r="AW251" i="26"/>
  <c r="AV251" i="26"/>
  <c r="AU251" i="26"/>
  <c r="AT251" i="26"/>
  <c r="AS251" i="26"/>
  <c r="AR251" i="26"/>
  <c r="AQ251" i="26"/>
  <c r="AP251" i="26"/>
  <c r="AO251" i="26"/>
  <c r="AN251" i="26"/>
  <c r="AM251" i="26"/>
  <c r="AL251" i="26"/>
  <c r="AK251" i="26"/>
  <c r="AJ251" i="26"/>
  <c r="AI251" i="26"/>
  <c r="AH251" i="26"/>
  <c r="AG251" i="26"/>
  <c r="AF251" i="26"/>
  <c r="AE251" i="26"/>
  <c r="AD251" i="26"/>
  <c r="AC251" i="26"/>
  <c r="AB251" i="26"/>
  <c r="AA251" i="26"/>
  <c r="Z251" i="26"/>
  <c r="Y251" i="26"/>
  <c r="X251" i="26"/>
  <c r="W251" i="26"/>
  <c r="V251" i="26"/>
  <c r="U251" i="26"/>
  <c r="T251" i="26"/>
  <c r="S251" i="26"/>
  <c r="R251" i="26"/>
  <c r="Q251" i="26"/>
  <c r="P251" i="26"/>
  <c r="O251" i="26"/>
  <c r="N251" i="26"/>
  <c r="M251" i="26"/>
  <c r="L251" i="26"/>
  <c r="K251" i="26"/>
  <c r="J251" i="26"/>
  <c r="I251" i="26"/>
  <c r="H251" i="26"/>
  <c r="G251" i="26"/>
  <c r="F251" i="26"/>
  <c r="E251" i="26"/>
  <c r="D251" i="26"/>
  <c r="C251" i="26"/>
  <c r="B251" i="26"/>
  <c r="BC250" i="26"/>
  <c r="BB250" i="26"/>
  <c r="BA250" i="26"/>
  <c r="AZ250" i="26"/>
  <c r="AY250" i="26"/>
  <c r="AX250" i="26"/>
  <c r="AW250" i="26"/>
  <c r="AV250" i="26"/>
  <c r="AU250" i="26"/>
  <c r="AT250" i="26"/>
  <c r="AS250" i="26"/>
  <c r="AR250" i="26"/>
  <c r="AQ250" i="26"/>
  <c r="AP250" i="26"/>
  <c r="AO250" i="26"/>
  <c r="AN250" i="26"/>
  <c r="AM250" i="26"/>
  <c r="AL250" i="26"/>
  <c r="AK250" i="26"/>
  <c r="AJ250" i="26"/>
  <c r="AI250" i="26"/>
  <c r="AH250" i="26"/>
  <c r="AG250" i="26"/>
  <c r="AF250" i="26"/>
  <c r="AE250" i="26"/>
  <c r="AD250" i="26"/>
  <c r="AC250" i="26"/>
  <c r="AB250" i="26"/>
  <c r="AA250" i="26"/>
  <c r="Z250" i="26"/>
  <c r="Y250" i="26"/>
  <c r="X250" i="26"/>
  <c r="W250" i="26"/>
  <c r="V250" i="26"/>
  <c r="U250" i="26"/>
  <c r="T250" i="26"/>
  <c r="S250" i="26"/>
  <c r="R250" i="26"/>
  <c r="Q250" i="26"/>
  <c r="P250" i="26"/>
  <c r="O250" i="26"/>
  <c r="N250" i="26"/>
  <c r="M250" i="26"/>
  <c r="L250" i="26"/>
  <c r="K250" i="26"/>
  <c r="J250" i="26"/>
  <c r="I250" i="26"/>
  <c r="H250" i="26"/>
  <c r="G250" i="26"/>
  <c r="F250" i="26"/>
  <c r="E250" i="26"/>
  <c r="D250" i="26"/>
  <c r="C250" i="26"/>
  <c r="B250" i="26"/>
  <c r="BC249" i="26"/>
  <c r="BB249" i="26"/>
  <c r="BA249" i="26"/>
  <c r="AZ249" i="26"/>
  <c r="AY249" i="26"/>
  <c r="AX249" i="26"/>
  <c r="AW249" i="26"/>
  <c r="AV249" i="26"/>
  <c r="AU249" i="26"/>
  <c r="AT249" i="26"/>
  <c r="AS249" i="26"/>
  <c r="AR249" i="26"/>
  <c r="AQ249" i="26"/>
  <c r="AP249" i="26"/>
  <c r="AO249" i="26"/>
  <c r="AN249" i="26"/>
  <c r="AM249" i="26"/>
  <c r="AL249" i="26"/>
  <c r="AK249" i="26"/>
  <c r="AJ249" i="26"/>
  <c r="AI249" i="26"/>
  <c r="AH249" i="26"/>
  <c r="AG249" i="26"/>
  <c r="AF249" i="26"/>
  <c r="AE249" i="26"/>
  <c r="AD249" i="26"/>
  <c r="AC249" i="26"/>
  <c r="AB249" i="26"/>
  <c r="AA249" i="26"/>
  <c r="Z249" i="26"/>
  <c r="Y249" i="26"/>
  <c r="X249" i="26"/>
  <c r="W249" i="26"/>
  <c r="V249" i="26"/>
  <c r="U249" i="26"/>
  <c r="T249" i="26"/>
  <c r="S249" i="26"/>
  <c r="R249" i="26"/>
  <c r="Q249" i="26"/>
  <c r="P249" i="26"/>
  <c r="O249" i="26"/>
  <c r="N249" i="26"/>
  <c r="M249" i="26"/>
  <c r="L249" i="26"/>
  <c r="K249" i="26"/>
  <c r="J249" i="26"/>
  <c r="I249" i="26"/>
  <c r="H249" i="26"/>
  <c r="G249" i="26"/>
  <c r="F249" i="26"/>
  <c r="E249" i="26"/>
  <c r="D249" i="26"/>
  <c r="C249" i="26"/>
  <c r="B249" i="26"/>
  <c r="BC248" i="26"/>
  <c r="BB248" i="26"/>
  <c r="BA248" i="26"/>
  <c r="AZ248" i="26"/>
  <c r="AY248" i="26"/>
  <c r="AX248" i="26"/>
  <c r="AW248" i="26"/>
  <c r="AV248" i="26"/>
  <c r="AU248" i="26"/>
  <c r="AT248" i="26"/>
  <c r="AS248" i="26"/>
  <c r="AR248" i="26"/>
  <c r="AQ248" i="26"/>
  <c r="AP248" i="26"/>
  <c r="AO248" i="26"/>
  <c r="AN248" i="26"/>
  <c r="AM248" i="26"/>
  <c r="AL248" i="26"/>
  <c r="AK248" i="26"/>
  <c r="AJ248" i="26"/>
  <c r="AI248" i="26"/>
  <c r="AH248" i="26"/>
  <c r="AG248" i="26"/>
  <c r="AF248" i="26"/>
  <c r="AE248" i="26"/>
  <c r="AD248" i="26"/>
  <c r="AC248" i="26"/>
  <c r="AB248" i="26"/>
  <c r="AA248" i="26"/>
  <c r="Z248" i="26"/>
  <c r="Y248" i="26"/>
  <c r="X248" i="26"/>
  <c r="W248" i="26"/>
  <c r="V248" i="26"/>
  <c r="U248" i="26"/>
  <c r="T248" i="26"/>
  <c r="S248" i="26"/>
  <c r="R248" i="26"/>
  <c r="Q248" i="26"/>
  <c r="P248" i="26"/>
  <c r="O248" i="26"/>
  <c r="N248" i="26"/>
  <c r="M248" i="26"/>
  <c r="L248" i="26"/>
  <c r="K248" i="26"/>
  <c r="J248" i="26"/>
  <c r="I248" i="26"/>
  <c r="H248" i="26"/>
  <c r="G248" i="26"/>
  <c r="F248" i="26"/>
  <c r="E248" i="26"/>
  <c r="D248" i="26"/>
  <c r="C248" i="26"/>
  <c r="B248" i="26"/>
  <c r="BC247" i="26"/>
  <c r="BB247" i="26"/>
  <c r="BA247" i="26"/>
  <c r="AZ247" i="26"/>
  <c r="AY247" i="26"/>
  <c r="AX247" i="26"/>
  <c r="AW247" i="26"/>
  <c r="AV247" i="26"/>
  <c r="AU247" i="26"/>
  <c r="AT247" i="26"/>
  <c r="AS247" i="26"/>
  <c r="AR247" i="26"/>
  <c r="AQ247" i="26"/>
  <c r="AP247" i="26"/>
  <c r="AO247" i="26"/>
  <c r="AN247" i="26"/>
  <c r="AM247" i="26"/>
  <c r="AL247" i="26"/>
  <c r="AK247" i="26"/>
  <c r="AJ247" i="26"/>
  <c r="AI247" i="26"/>
  <c r="AH247" i="26"/>
  <c r="AG247" i="26"/>
  <c r="AF247" i="26"/>
  <c r="AE247" i="26"/>
  <c r="AD247" i="26"/>
  <c r="AC247" i="26"/>
  <c r="AB247" i="26"/>
  <c r="AA247" i="26"/>
  <c r="Z247" i="26"/>
  <c r="Y247" i="26"/>
  <c r="X247" i="26"/>
  <c r="W247" i="26"/>
  <c r="V247" i="26"/>
  <c r="U247" i="26"/>
  <c r="T247" i="26"/>
  <c r="S247" i="26"/>
  <c r="R247" i="26"/>
  <c r="Q247" i="26"/>
  <c r="P247" i="26"/>
  <c r="O247" i="26"/>
  <c r="N247" i="26"/>
  <c r="M247" i="26"/>
  <c r="L247" i="26"/>
  <c r="K247" i="26"/>
  <c r="J247" i="26"/>
  <c r="I247" i="26"/>
  <c r="H247" i="26"/>
  <c r="G247" i="26"/>
  <c r="F247" i="26"/>
  <c r="E247" i="26"/>
  <c r="D247" i="26"/>
  <c r="C247" i="26"/>
  <c r="B247" i="26"/>
  <c r="BC246" i="26"/>
  <c r="BB246" i="26"/>
  <c r="BA246" i="26"/>
  <c r="AZ246" i="26"/>
  <c r="AY246" i="26"/>
  <c r="AX246" i="26"/>
  <c r="AW246" i="26"/>
  <c r="AV246" i="26"/>
  <c r="AU246" i="26"/>
  <c r="AT246" i="26"/>
  <c r="AS246" i="26"/>
  <c r="AR246" i="26"/>
  <c r="AQ246" i="26"/>
  <c r="AP246" i="26"/>
  <c r="AO246" i="26"/>
  <c r="AN246" i="26"/>
  <c r="AM246" i="26"/>
  <c r="AL246" i="26"/>
  <c r="AK246" i="26"/>
  <c r="AJ246" i="26"/>
  <c r="AI246" i="26"/>
  <c r="AH246" i="26"/>
  <c r="AG246" i="26"/>
  <c r="AF246" i="26"/>
  <c r="AE246" i="26"/>
  <c r="AD246" i="26"/>
  <c r="AC246" i="26"/>
  <c r="AB246" i="26"/>
  <c r="AA246" i="26"/>
  <c r="Z246" i="26"/>
  <c r="Y246" i="26"/>
  <c r="X246" i="26"/>
  <c r="W246" i="26"/>
  <c r="V246" i="26"/>
  <c r="U246" i="26"/>
  <c r="T246" i="26"/>
  <c r="S246" i="26"/>
  <c r="R246" i="26"/>
  <c r="Q246" i="26"/>
  <c r="P246" i="26"/>
  <c r="O246" i="26"/>
  <c r="N246" i="26"/>
  <c r="M246" i="26"/>
  <c r="L246" i="26"/>
  <c r="K246" i="26"/>
  <c r="J246" i="26"/>
  <c r="I246" i="26"/>
  <c r="H246" i="26"/>
  <c r="G246" i="26"/>
  <c r="F246" i="26"/>
  <c r="E246" i="26"/>
  <c r="D246" i="26"/>
  <c r="C246" i="26"/>
  <c r="B246" i="26"/>
  <c r="BC245" i="26"/>
  <c r="BB245" i="26"/>
  <c r="BA245" i="26"/>
  <c r="AZ245" i="26"/>
  <c r="AY245" i="26"/>
  <c r="AX245" i="26"/>
  <c r="AW245" i="26"/>
  <c r="AV245" i="26"/>
  <c r="AU245" i="26"/>
  <c r="AT245" i="26"/>
  <c r="AS245" i="26"/>
  <c r="AR245" i="26"/>
  <c r="AQ245" i="26"/>
  <c r="AP245" i="26"/>
  <c r="AO245" i="26"/>
  <c r="AN245" i="26"/>
  <c r="AM245" i="26"/>
  <c r="AL245" i="26"/>
  <c r="AK245" i="26"/>
  <c r="AJ245" i="26"/>
  <c r="AI245" i="26"/>
  <c r="AH245" i="26"/>
  <c r="AG245" i="26"/>
  <c r="AF245" i="26"/>
  <c r="AE245" i="26"/>
  <c r="AD245" i="26"/>
  <c r="AC245" i="26"/>
  <c r="AB245" i="26"/>
  <c r="AA245" i="26"/>
  <c r="Z245" i="26"/>
  <c r="Y245" i="26"/>
  <c r="X245" i="26"/>
  <c r="W245" i="26"/>
  <c r="V245" i="26"/>
  <c r="U245" i="26"/>
  <c r="T245" i="26"/>
  <c r="S245" i="26"/>
  <c r="R245" i="26"/>
  <c r="Q245" i="26"/>
  <c r="P245" i="26"/>
  <c r="O245" i="26"/>
  <c r="N245" i="26"/>
  <c r="M245" i="26"/>
  <c r="L245" i="26"/>
  <c r="K245" i="26"/>
  <c r="J245" i="26"/>
  <c r="I245" i="26"/>
  <c r="H245" i="26"/>
  <c r="G245" i="26"/>
  <c r="F245" i="26"/>
  <c r="E245" i="26"/>
  <c r="D245" i="26"/>
  <c r="C245" i="26"/>
  <c r="B245" i="26"/>
  <c r="BC244" i="26"/>
  <c r="BB244" i="26"/>
  <c r="BA244" i="26"/>
  <c r="AZ244" i="26"/>
  <c r="AY244" i="26"/>
  <c r="AX244" i="26"/>
  <c r="AW244" i="26"/>
  <c r="AV244" i="26"/>
  <c r="AU244" i="26"/>
  <c r="AT244" i="26"/>
  <c r="AS244" i="26"/>
  <c r="AR244" i="26"/>
  <c r="AQ244" i="26"/>
  <c r="AP244" i="26"/>
  <c r="AO244" i="26"/>
  <c r="AN244" i="26"/>
  <c r="AM244" i="26"/>
  <c r="AL244" i="26"/>
  <c r="AK244" i="26"/>
  <c r="AJ244" i="26"/>
  <c r="AI244" i="26"/>
  <c r="AH244" i="26"/>
  <c r="AG244" i="26"/>
  <c r="AF244" i="26"/>
  <c r="AE244" i="26"/>
  <c r="AD244" i="26"/>
  <c r="AC244" i="26"/>
  <c r="AB244" i="26"/>
  <c r="AA244" i="26"/>
  <c r="Z244" i="26"/>
  <c r="Y244" i="26"/>
  <c r="X244" i="26"/>
  <c r="W244" i="26"/>
  <c r="V244" i="26"/>
  <c r="U244" i="26"/>
  <c r="T244" i="26"/>
  <c r="S244" i="26"/>
  <c r="R244" i="26"/>
  <c r="Q244" i="26"/>
  <c r="P244" i="26"/>
  <c r="O244" i="26"/>
  <c r="N244" i="26"/>
  <c r="M244" i="26"/>
  <c r="L244" i="26"/>
  <c r="K244" i="26"/>
  <c r="J244" i="26"/>
  <c r="I244" i="26"/>
  <c r="H244" i="26"/>
  <c r="G244" i="26"/>
  <c r="F244" i="26"/>
  <c r="E244" i="26"/>
  <c r="D244" i="26"/>
  <c r="C244" i="26"/>
  <c r="B244" i="26"/>
  <c r="BC243" i="26"/>
  <c r="BB243" i="26"/>
  <c r="BA243" i="26"/>
  <c r="AZ243" i="26"/>
  <c r="AY243" i="26"/>
  <c r="AX243" i="26"/>
  <c r="AW243" i="26"/>
  <c r="AV243" i="26"/>
  <c r="AU243" i="26"/>
  <c r="AT243" i="26"/>
  <c r="AS243" i="26"/>
  <c r="AR243" i="26"/>
  <c r="AQ243" i="26"/>
  <c r="AP243" i="26"/>
  <c r="AO243" i="26"/>
  <c r="AN243" i="26"/>
  <c r="AM243" i="26"/>
  <c r="AL243" i="26"/>
  <c r="AK243" i="26"/>
  <c r="AJ243" i="26"/>
  <c r="AI243" i="26"/>
  <c r="AH243" i="26"/>
  <c r="AG243" i="26"/>
  <c r="AF243" i="26"/>
  <c r="AE243" i="26"/>
  <c r="AD243" i="26"/>
  <c r="AC243" i="26"/>
  <c r="AB243" i="26"/>
  <c r="AA243" i="26"/>
  <c r="Z243" i="26"/>
  <c r="Y243" i="26"/>
  <c r="X243" i="26"/>
  <c r="W243" i="26"/>
  <c r="V243" i="26"/>
  <c r="U243" i="26"/>
  <c r="T243" i="26"/>
  <c r="S243" i="26"/>
  <c r="R243" i="26"/>
  <c r="Q243" i="26"/>
  <c r="P243" i="26"/>
  <c r="O243" i="26"/>
  <c r="N243" i="26"/>
  <c r="M243" i="26"/>
  <c r="L243" i="26"/>
  <c r="K243" i="26"/>
  <c r="J243" i="26"/>
  <c r="I243" i="26"/>
  <c r="H243" i="26"/>
  <c r="G243" i="26"/>
  <c r="F243" i="26"/>
  <c r="E243" i="26"/>
  <c r="D243" i="26"/>
  <c r="C243" i="26"/>
  <c r="B243" i="26"/>
  <c r="BC242" i="26"/>
  <c r="BB242" i="26"/>
  <c r="BA242" i="26"/>
  <c r="AZ242" i="26"/>
  <c r="AY242" i="26"/>
  <c r="AX242" i="26"/>
  <c r="AW242" i="26"/>
  <c r="AV242" i="26"/>
  <c r="AU242" i="26"/>
  <c r="AT242" i="26"/>
  <c r="AS242" i="26"/>
  <c r="AR242" i="26"/>
  <c r="AQ242" i="26"/>
  <c r="AP242" i="26"/>
  <c r="AO242" i="26"/>
  <c r="AN242" i="26"/>
  <c r="AM242" i="26"/>
  <c r="AL242" i="26"/>
  <c r="AK242" i="26"/>
  <c r="AJ242" i="26"/>
  <c r="AI242" i="26"/>
  <c r="AH242" i="26"/>
  <c r="AG242" i="26"/>
  <c r="AF242" i="26"/>
  <c r="AE242" i="26"/>
  <c r="AD242" i="26"/>
  <c r="AC242" i="26"/>
  <c r="AB242" i="26"/>
  <c r="AA242" i="26"/>
  <c r="Z242" i="26"/>
  <c r="Y242" i="26"/>
  <c r="X242" i="26"/>
  <c r="W242" i="26"/>
  <c r="V242" i="26"/>
  <c r="U242" i="26"/>
  <c r="T242" i="26"/>
  <c r="S242" i="26"/>
  <c r="R242" i="26"/>
  <c r="Q242" i="26"/>
  <c r="P242" i="26"/>
  <c r="O242" i="26"/>
  <c r="N242" i="26"/>
  <c r="M242" i="26"/>
  <c r="L242" i="26"/>
  <c r="K242" i="26"/>
  <c r="J242" i="26"/>
  <c r="I242" i="26"/>
  <c r="H242" i="26"/>
  <c r="G242" i="26"/>
  <c r="F242" i="26"/>
  <c r="E242" i="26"/>
  <c r="D242" i="26"/>
  <c r="C242" i="26"/>
  <c r="B242" i="26"/>
  <c r="BC241" i="26"/>
  <c r="BB241" i="26"/>
  <c r="BA241" i="26"/>
  <c r="AZ241" i="26"/>
  <c r="AY241" i="26"/>
  <c r="AX241" i="26"/>
  <c r="AW241" i="26"/>
  <c r="AV241" i="26"/>
  <c r="AU241" i="26"/>
  <c r="AT241" i="26"/>
  <c r="AS241" i="26"/>
  <c r="AR241" i="26"/>
  <c r="AQ241" i="26"/>
  <c r="AP241" i="26"/>
  <c r="AO241" i="26"/>
  <c r="AN241" i="26"/>
  <c r="AM241" i="26"/>
  <c r="AL241" i="26"/>
  <c r="AK241" i="26"/>
  <c r="AJ241" i="26"/>
  <c r="AI241" i="26"/>
  <c r="AH241" i="26"/>
  <c r="AG241" i="26"/>
  <c r="AF241" i="26"/>
  <c r="AE241" i="26"/>
  <c r="AD241" i="26"/>
  <c r="AC241" i="26"/>
  <c r="AB241" i="26"/>
  <c r="AA241" i="26"/>
  <c r="Z241" i="26"/>
  <c r="Y241" i="26"/>
  <c r="X241" i="26"/>
  <c r="W241" i="26"/>
  <c r="V241" i="26"/>
  <c r="U241" i="26"/>
  <c r="T241" i="26"/>
  <c r="S241" i="26"/>
  <c r="R241" i="26"/>
  <c r="Q241" i="26"/>
  <c r="P241" i="26"/>
  <c r="O241" i="26"/>
  <c r="N241" i="26"/>
  <c r="M241" i="26"/>
  <c r="L241" i="26"/>
  <c r="K241" i="26"/>
  <c r="J241" i="26"/>
  <c r="I241" i="26"/>
  <c r="H241" i="26"/>
  <c r="G241" i="26"/>
  <c r="F241" i="26"/>
  <c r="E241" i="26"/>
  <c r="D241" i="26"/>
  <c r="C241" i="26"/>
  <c r="B241" i="26"/>
  <c r="BC240" i="26"/>
  <c r="BB240" i="26"/>
  <c r="BA240" i="26"/>
  <c r="AZ240" i="26"/>
  <c r="AY240" i="26"/>
  <c r="AX240" i="26"/>
  <c r="AW240" i="26"/>
  <c r="AV240" i="26"/>
  <c r="AU240" i="26"/>
  <c r="AT240" i="26"/>
  <c r="AS240" i="26"/>
  <c r="AR240" i="26"/>
  <c r="AQ240" i="26"/>
  <c r="AP240" i="26"/>
  <c r="AO240" i="26"/>
  <c r="AN240" i="26"/>
  <c r="AM240" i="26"/>
  <c r="AL240" i="26"/>
  <c r="AK240" i="26"/>
  <c r="AJ240" i="26"/>
  <c r="AI240" i="26"/>
  <c r="AH240" i="26"/>
  <c r="AG240" i="26"/>
  <c r="AF240" i="26"/>
  <c r="AE240" i="26"/>
  <c r="AD240" i="26"/>
  <c r="AC240" i="26"/>
  <c r="AB240" i="26"/>
  <c r="AA240" i="26"/>
  <c r="Z240" i="26"/>
  <c r="Y240" i="26"/>
  <c r="X240" i="26"/>
  <c r="W240" i="26"/>
  <c r="V240" i="26"/>
  <c r="U240" i="26"/>
  <c r="T240" i="26"/>
  <c r="S240" i="26"/>
  <c r="R240" i="26"/>
  <c r="Q240" i="26"/>
  <c r="P240" i="26"/>
  <c r="O240" i="26"/>
  <c r="N240" i="26"/>
  <c r="M240" i="26"/>
  <c r="L240" i="26"/>
  <c r="K240" i="26"/>
  <c r="J240" i="26"/>
  <c r="I240" i="26"/>
  <c r="H240" i="26"/>
  <c r="G240" i="26"/>
  <c r="F240" i="26"/>
  <c r="E240" i="26"/>
  <c r="D240" i="26"/>
  <c r="C240" i="26"/>
  <c r="B240" i="26"/>
  <c r="BC239" i="26"/>
  <c r="BB239" i="26"/>
  <c r="BA239" i="26"/>
  <c r="AZ239" i="26"/>
  <c r="AY239" i="26"/>
  <c r="AX239" i="26"/>
  <c r="AW239" i="26"/>
  <c r="AV239" i="26"/>
  <c r="AU239" i="26"/>
  <c r="AT239" i="26"/>
  <c r="AS239" i="26"/>
  <c r="AR239" i="26"/>
  <c r="AQ239" i="26"/>
  <c r="AP239" i="26"/>
  <c r="AO239" i="26"/>
  <c r="AN239" i="26"/>
  <c r="AM239" i="26"/>
  <c r="AL239" i="26"/>
  <c r="AK239" i="26"/>
  <c r="AJ239" i="26"/>
  <c r="AI239" i="26"/>
  <c r="AH239" i="26"/>
  <c r="AG239" i="26"/>
  <c r="AF239" i="26"/>
  <c r="AE239" i="26"/>
  <c r="AD239" i="26"/>
  <c r="AC239" i="26"/>
  <c r="AB239" i="26"/>
  <c r="AA239" i="26"/>
  <c r="Z239" i="26"/>
  <c r="Y239" i="26"/>
  <c r="X239" i="26"/>
  <c r="W239" i="26"/>
  <c r="V239" i="26"/>
  <c r="U239" i="26"/>
  <c r="T239" i="26"/>
  <c r="S239" i="26"/>
  <c r="R239" i="26"/>
  <c r="Q239" i="26"/>
  <c r="P239" i="26"/>
  <c r="O239" i="26"/>
  <c r="N239" i="26"/>
  <c r="M239" i="26"/>
  <c r="L239" i="26"/>
  <c r="K239" i="26"/>
  <c r="J239" i="26"/>
  <c r="I239" i="26"/>
  <c r="H239" i="26"/>
  <c r="G239" i="26"/>
  <c r="F239" i="26"/>
  <c r="E239" i="26"/>
  <c r="D239" i="26"/>
  <c r="C239" i="26"/>
  <c r="B239" i="26"/>
  <c r="BC238" i="26"/>
  <c r="BB238" i="26"/>
  <c r="BA238" i="26"/>
  <c r="AZ238" i="26"/>
  <c r="AY238" i="26"/>
  <c r="AX238" i="26"/>
  <c r="AW238" i="26"/>
  <c r="AV238" i="26"/>
  <c r="AU238" i="26"/>
  <c r="AT238" i="26"/>
  <c r="AS238" i="26"/>
  <c r="AR238" i="26"/>
  <c r="AQ238" i="26"/>
  <c r="AP238" i="26"/>
  <c r="AO238" i="26"/>
  <c r="AN238" i="26"/>
  <c r="AM238" i="26"/>
  <c r="AL238" i="26"/>
  <c r="AK238" i="26"/>
  <c r="AJ238" i="26"/>
  <c r="AI238" i="26"/>
  <c r="AH238" i="26"/>
  <c r="AG238" i="26"/>
  <c r="AF238" i="26"/>
  <c r="AE238" i="26"/>
  <c r="AD238" i="26"/>
  <c r="AC238" i="26"/>
  <c r="AB238" i="26"/>
  <c r="AA238" i="26"/>
  <c r="Z238" i="26"/>
  <c r="Y238" i="26"/>
  <c r="X238" i="26"/>
  <c r="W238" i="26"/>
  <c r="V238" i="26"/>
  <c r="U238" i="26"/>
  <c r="T238" i="26"/>
  <c r="S238" i="26"/>
  <c r="R238" i="26"/>
  <c r="Q238" i="26"/>
  <c r="P238" i="26"/>
  <c r="O238" i="26"/>
  <c r="N238" i="26"/>
  <c r="M238" i="26"/>
  <c r="L238" i="26"/>
  <c r="K238" i="26"/>
  <c r="J238" i="26"/>
  <c r="I238" i="26"/>
  <c r="H238" i="26"/>
  <c r="G238" i="26"/>
  <c r="F238" i="26"/>
  <c r="E238" i="26"/>
  <c r="D238" i="26"/>
  <c r="C238" i="26"/>
  <c r="B238" i="26"/>
  <c r="BC237" i="26"/>
  <c r="BB237" i="26"/>
  <c r="BA237" i="26"/>
  <c r="AZ237" i="26"/>
  <c r="AY237" i="26"/>
  <c r="AX237" i="26"/>
  <c r="AW237" i="26"/>
  <c r="AV237" i="26"/>
  <c r="AU237" i="26"/>
  <c r="AT237" i="26"/>
  <c r="AS237" i="26"/>
  <c r="AR237" i="26"/>
  <c r="AQ237" i="26"/>
  <c r="AP237" i="26"/>
  <c r="AO237" i="26"/>
  <c r="AN237" i="26"/>
  <c r="AM237" i="26"/>
  <c r="AL237" i="26"/>
  <c r="AK237" i="26"/>
  <c r="AJ237" i="26"/>
  <c r="AI237" i="26"/>
  <c r="AH237" i="26"/>
  <c r="AG237" i="26"/>
  <c r="AF237" i="26"/>
  <c r="AE237" i="26"/>
  <c r="AD237" i="26"/>
  <c r="AC237" i="26"/>
  <c r="AB237" i="26"/>
  <c r="AA237" i="26"/>
  <c r="Z237" i="26"/>
  <c r="Y237" i="26"/>
  <c r="X237" i="26"/>
  <c r="W237" i="26"/>
  <c r="V237" i="26"/>
  <c r="U237" i="26"/>
  <c r="T237" i="26"/>
  <c r="S237" i="26"/>
  <c r="R237" i="26"/>
  <c r="Q237" i="26"/>
  <c r="P237" i="26"/>
  <c r="O237" i="26"/>
  <c r="N237" i="26"/>
  <c r="M237" i="26"/>
  <c r="L237" i="26"/>
  <c r="K237" i="26"/>
  <c r="J237" i="26"/>
  <c r="I237" i="26"/>
  <c r="H237" i="26"/>
  <c r="G237" i="26"/>
  <c r="F237" i="26"/>
  <c r="E237" i="26"/>
  <c r="D237" i="26"/>
  <c r="C237" i="26"/>
  <c r="B237" i="26"/>
  <c r="BC236" i="26"/>
  <c r="BB236" i="26"/>
  <c r="BA236" i="26"/>
  <c r="AZ236" i="26"/>
  <c r="AY236" i="26"/>
  <c r="AX236" i="26"/>
  <c r="AW236" i="26"/>
  <c r="AV236" i="26"/>
  <c r="AU236" i="26"/>
  <c r="AT236" i="26"/>
  <c r="AS236" i="26"/>
  <c r="AR236" i="26"/>
  <c r="AQ236" i="26"/>
  <c r="AP236" i="26"/>
  <c r="AO236" i="26"/>
  <c r="AN236" i="26"/>
  <c r="AM236" i="26"/>
  <c r="AL236" i="26"/>
  <c r="AK236" i="26"/>
  <c r="AJ236" i="26"/>
  <c r="AI236" i="26"/>
  <c r="AH236" i="26"/>
  <c r="AG236" i="26"/>
  <c r="AF236" i="26"/>
  <c r="AE236" i="26"/>
  <c r="AD236" i="26"/>
  <c r="AC236" i="26"/>
  <c r="AB236" i="26"/>
  <c r="AA236" i="26"/>
  <c r="Z236" i="26"/>
  <c r="Y236" i="26"/>
  <c r="X236" i="26"/>
  <c r="W236" i="26"/>
  <c r="V236" i="26"/>
  <c r="U236" i="26"/>
  <c r="T236" i="26"/>
  <c r="S236" i="26"/>
  <c r="R236" i="26"/>
  <c r="Q236" i="26"/>
  <c r="P236" i="26"/>
  <c r="O236" i="26"/>
  <c r="N236" i="26"/>
  <c r="M236" i="26"/>
  <c r="L236" i="26"/>
  <c r="K236" i="26"/>
  <c r="J236" i="26"/>
  <c r="I236" i="26"/>
  <c r="H236" i="26"/>
  <c r="G236" i="26"/>
  <c r="F236" i="26"/>
  <c r="E236" i="26"/>
  <c r="D236" i="26"/>
  <c r="C236" i="26"/>
  <c r="B236" i="26"/>
  <c r="BC235" i="26"/>
  <c r="BB235" i="26"/>
  <c r="BA235" i="26"/>
  <c r="AZ235" i="26"/>
  <c r="AY235" i="26"/>
  <c r="AX235" i="26"/>
  <c r="AW235" i="26"/>
  <c r="AV235" i="26"/>
  <c r="AU235" i="26"/>
  <c r="AT235" i="26"/>
  <c r="AS235" i="26"/>
  <c r="AR235" i="26"/>
  <c r="AQ235" i="26"/>
  <c r="AP235" i="26"/>
  <c r="AO235" i="26"/>
  <c r="AN235" i="26"/>
  <c r="AM235" i="26"/>
  <c r="AL235" i="26"/>
  <c r="AK235" i="26"/>
  <c r="AJ235" i="26"/>
  <c r="AI235" i="26"/>
  <c r="AH235" i="26"/>
  <c r="AG235" i="26"/>
  <c r="AF235" i="26"/>
  <c r="AE235" i="26"/>
  <c r="AD235" i="26"/>
  <c r="AC235" i="26"/>
  <c r="AB235" i="26"/>
  <c r="AA235" i="26"/>
  <c r="Z235" i="26"/>
  <c r="Y235" i="26"/>
  <c r="X235" i="26"/>
  <c r="W235" i="26"/>
  <c r="V235" i="26"/>
  <c r="U235" i="26"/>
  <c r="T235" i="26"/>
  <c r="S235" i="26"/>
  <c r="R235" i="26"/>
  <c r="Q235" i="26"/>
  <c r="P235" i="26"/>
  <c r="O235" i="26"/>
  <c r="N235" i="26"/>
  <c r="M235" i="26"/>
  <c r="L235" i="26"/>
  <c r="K235" i="26"/>
  <c r="J235" i="26"/>
  <c r="I235" i="26"/>
  <c r="H235" i="26"/>
  <c r="G235" i="26"/>
  <c r="F235" i="26"/>
  <c r="E235" i="26"/>
  <c r="D235" i="26"/>
  <c r="C235" i="26"/>
  <c r="B235" i="26"/>
  <c r="BC234" i="26"/>
  <c r="BB234" i="26"/>
  <c r="BA234" i="26"/>
  <c r="AZ234" i="26"/>
  <c r="AY234" i="26"/>
  <c r="AX234" i="26"/>
  <c r="AW234" i="26"/>
  <c r="AV234" i="26"/>
  <c r="AU234" i="26"/>
  <c r="AT234" i="26"/>
  <c r="AS234" i="26"/>
  <c r="AR234" i="26"/>
  <c r="AQ234" i="26"/>
  <c r="AP234" i="26"/>
  <c r="AO234" i="26"/>
  <c r="AN234" i="26"/>
  <c r="AM234" i="26"/>
  <c r="AL234" i="26"/>
  <c r="AK234" i="26"/>
  <c r="AJ234" i="26"/>
  <c r="AI234" i="26"/>
  <c r="AH234" i="26"/>
  <c r="AG234" i="26"/>
  <c r="AF234" i="26"/>
  <c r="AE234" i="26"/>
  <c r="AD234" i="26"/>
  <c r="AC234" i="26"/>
  <c r="AB234" i="26"/>
  <c r="AA234" i="26"/>
  <c r="Z234" i="26"/>
  <c r="Y234" i="26"/>
  <c r="X234" i="26"/>
  <c r="W234" i="26"/>
  <c r="V234" i="26"/>
  <c r="U234" i="26"/>
  <c r="T234" i="26"/>
  <c r="S234" i="26"/>
  <c r="R234" i="26"/>
  <c r="Q234" i="26"/>
  <c r="P234" i="26"/>
  <c r="O234" i="26"/>
  <c r="N234" i="26"/>
  <c r="M234" i="26"/>
  <c r="L234" i="26"/>
  <c r="K234" i="26"/>
  <c r="J234" i="26"/>
  <c r="I234" i="26"/>
  <c r="H234" i="26"/>
  <c r="G234" i="26"/>
  <c r="F234" i="26"/>
  <c r="E234" i="26"/>
  <c r="D234" i="26"/>
  <c r="C234" i="26"/>
  <c r="B234" i="26"/>
  <c r="BC233" i="26"/>
  <c r="BB233" i="26"/>
  <c r="BA233" i="26"/>
  <c r="AZ233" i="26"/>
  <c r="AY233" i="26"/>
  <c r="AX233" i="26"/>
  <c r="AW233" i="26"/>
  <c r="AV233" i="26"/>
  <c r="AU233" i="26"/>
  <c r="AT233" i="26"/>
  <c r="AS233" i="26"/>
  <c r="AR233" i="26"/>
  <c r="AQ233" i="26"/>
  <c r="AP233" i="26"/>
  <c r="AO233" i="26"/>
  <c r="AN233" i="26"/>
  <c r="AM233" i="26"/>
  <c r="AL233" i="26"/>
  <c r="AK233" i="26"/>
  <c r="AJ233" i="26"/>
  <c r="AI233" i="26"/>
  <c r="AH233" i="26"/>
  <c r="AG233" i="26"/>
  <c r="AF233" i="26"/>
  <c r="AE233" i="26"/>
  <c r="AD233" i="26"/>
  <c r="AC233" i="26"/>
  <c r="AB233" i="26"/>
  <c r="AA233" i="26"/>
  <c r="Z233" i="26"/>
  <c r="Y233" i="26"/>
  <c r="X233" i="26"/>
  <c r="W233" i="26"/>
  <c r="V233" i="26"/>
  <c r="U233" i="26"/>
  <c r="T233" i="26"/>
  <c r="S233" i="26"/>
  <c r="R233" i="26"/>
  <c r="Q233" i="26"/>
  <c r="P233" i="26"/>
  <c r="O233" i="26"/>
  <c r="N233" i="26"/>
  <c r="M233" i="26"/>
  <c r="L233" i="26"/>
  <c r="K233" i="26"/>
  <c r="J233" i="26"/>
  <c r="I233" i="26"/>
  <c r="H233" i="26"/>
  <c r="G233" i="26"/>
  <c r="F233" i="26"/>
  <c r="E233" i="26"/>
  <c r="D233" i="26"/>
  <c r="C233" i="26"/>
  <c r="B233" i="26"/>
  <c r="BC232" i="26"/>
  <c r="BB232" i="26"/>
  <c r="BA232" i="26"/>
  <c r="AZ232" i="26"/>
  <c r="AY232" i="26"/>
  <c r="AX232" i="26"/>
  <c r="AW232" i="26"/>
  <c r="AV232" i="26"/>
  <c r="AU232" i="26"/>
  <c r="AT232" i="26"/>
  <c r="AS232" i="26"/>
  <c r="AR232" i="26"/>
  <c r="AQ232" i="26"/>
  <c r="AP232" i="26"/>
  <c r="AO232" i="26"/>
  <c r="AN232" i="26"/>
  <c r="AM232" i="26"/>
  <c r="AL232" i="26"/>
  <c r="AK232" i="26"/>
  <c r="AJ232" i="26"/>
  <c r="AI232" i="26"/>
  <c r="AH232" i="26"/>
  <c r="AG232" i="26"/>
  <c r="AF232" i="26"/>
  <c r="AE232" i="26"/>
  <c r="AD232" i="26"/>
  <c r="AC232" i="26"/>
  <c r="AB232" i="26"/>
  <c r="AA232" i="26"/>
  <c r="Z232" i="26"/>
  <c r="Y232" i="26"/>
  <c r="X232" i="26"/>
  <c r="W232" i="26"/>
  <c r="V232" i="26"/>
  <c r="U232" i="26"/>
  <c r="T232" i="26"/>
  <c r="S232" i="26"/>
  <c r="R232" i="26"/>
  <c r="Q232" i="26"/>
  <c r="P232" i="26"/>
  <c r="O232" i="26"/>
  <c r="N232" i="26"/>
  <c r="M232" i="26"/>
  <c r="L232" i="26"/>
  <c r="K232" i="26"/>
  <c r="J232" i="26"/>
  <c r="I232" i="26"/>
  <c r="H232" i="26"/>
  <c r="G232" i="26"/>
  <c r="F232" i="26"/>
  <c r="E232" i="26"/>
  <c r="D232" i="26"/>
  <c r="C232" i="26"/>
  <c r="B232" i="26"/>
  <c r="BC231" i="26"/>
  <c r="BB231" i="26"/>
  <c r="BA231" i="26"/>
  <c r="AZ231" i="26"/>
  <c r="AY231" i="26"/>
  <c r="AX231" i="26"/>
  <c r="AW231" i="26"/>
  <c r="AV231" i="26"/>
  <c r="AU231" i="26"/>
  <c r="AT231" i="26"/>
  <c r="AS231" i="26"/>
  <c r="AR231" i="26"/>
  <c r="AQ231" i="26"/>
  <c r="AP231" i="26"/>
  <c r="AO231" i="26"/>
  <c r="AN231" i="26"/>
  <c r="AM231" i="26"/>
  <c r="AL231" i="26"/>
  <c r="AK231" i="26"/>
  <c r="AJ231" i="26"/>
  <c r="AI231" i="26"/>
  <c r="AH231" i="26"/>
  <c r="AG231" i="26"/>
  <c r="AF231" i="26"/>
  <c r="AE231" i="26"/>
  <c r="AD231" i="26"/>
  <c r="AC231" i="26"/>
  <c r="AB231" i="26"/>
  <c r="AA231" i="26"/>
  <c r="Z231" i="26"/>
  <c r="Y231" i="26"/>
  <c r="X231" i="26"/>
  <c r="W231" i="26"/>
  <c r="V231" i="26"/>
  <c r="U231" i="26"/>
  <c r="T231" i="26"/>
  <c r="S231" i="26"/>
  <c r="R231" i="26"/>
  <c r="Q231" i="26"/>
  <c r="P231" i="26"/>
  <c r="O231" i="26"/>
  <c r="N231" i="26"/>
  <c r="M231" i="26"/>
  <c r="L231" i="26"/>
  <c r="K231" i="26"/>
  <c r="J231" i="26"/>
  <c r="I231" i="26"/>
  <c r="H231" i="26"/>
  <c r="G231" i="26"/>
  <c r="F231" i="26"/>
  <c r="E231" i="26"/>
  <c r="D231" i="26"/>
  <c r="C231" i="26"/>
  <c r="B231" i="26"/>
  <c r="BC230" i="26"/>
  <c r="BB230" i="26"/>
  <c r="BA230" i="26"/>
  <c r="AZ230" i="26"/>
  <c r="AY230" i="26"/>
  <c r="AX230" i="26"/>
  <c r="AW230" i="26"/>
  <c r="AV230" i="26"/>
  <c r="AU230" i="26"/>
  <c r="AT230" i="26"/>
  <c r="AS230" i="26"/>
  <c r="AR230" i="26"/>
  <c r="AQ230" i="26"/>
  <c r="AP230" i="26"/>
  <c r="AO230" i="26"/>
  <c r="AN230" i="26"/>
  <c r="AM230" i="26"/>
  <c r="AL230" i="26"/>
  <c r="AK230" i="26"/>
  <c r="AJ230" i="26"/>
  <c r="AI230" i="26"/>
  <c r="AH230" i="26"/>
  <c r="AG230" i="26"/>
  <c r="AF230" i="26"/>
  <c r="AE230" i="26"/>
  <c r="AD230" i="26"/>
  <c r="AC230" i="26"/>
  <c r="AB230" i="26"/>
  <c r="AA230" i="26"/>
  <c r="Z230" i="26"/>
  <c r="Y230" i="26"/>
  <c r="X230" i="26"/>
  <c r="W230" i="26"/>
  <c r="V230" i="26"/>
  <c r="U230" i="26"/>
  <c r="T230" i="26"/>
  <c r="S230" i="26"/>
  <c r="R230" i="26"/>
  <c r="Q230" i="26"/>
  <c r="P230" i="26"/>
  <c r="O230" i="26"/>
  <c r="N230" i="26"/>
  <c r="M230" i="26"/>
  <c r="L230" i="26"/>
  <c r="K230" i="26"/>
  <c r="J230" i="26"/>
  <c r="I230" i="26"/>
  <c r="H230" i="26"/>
  <c r="G230" i="26"/>
  <c r="F230" i="26"/>
  <c r="E230" i="26"/>
  <c r="D230" i="26"/>
  <c r="C230" i="26"/>
  <c r="B230" i="26"/>
  <c r="BC229" i="26"/>
  <c r="BB229" i="26"/>
  <c r="BA229" i="26"/>
  <c r="AZ229" i="26"/>
  <c r="AY229" i="26"/>
  <c r="AX229" i="26"/>
  <c r="AW229" i="26"/>
  <c r="AV229" i="26"/>
  <c r="AU229" i="26"/>
  <c r="AT229" i="26"/>
  <c r="AS229" i="26"/>
  <c r="AR229" i="26"/>
  <c r="AQ229" i="26"/>
  <c r="AP229" i="26"/>
  <c r="AO229" i="26"/>
  <c r="AN229" i="26"/>
  <c r="AM229" i="26"/>
  <c r="AL229" i="26"/>
  <c r="AK229" i="26"/>
  <c r="AJ229" i="26"/>
  <c r="AI229" i="26"/>
  <c r="AH229" i="26"/>
  <c r="AG229" i="26"/>
  <c r="AF229" i="26"/>
  <c r="AE229" i="26"/>
  <c r="AD229" i="26"/>
  <c r="AC229" i="26"/>
  <c r="AB229" i="26"/>
  <c r="AA229" i="26"/>
  <c r="Z229" i="26"/>
  <c r="Y229" i="26"/>
  <c r="X229" i="26"/>
  <c r="W229" i="26"/>
  <c r="V229" i="26"/>
  <c r="U229" i="26"/>
  <c r="T229" i="26"/>
  <c r="S229" i="26"/>
  <c r="R229" i="26"/>
  <c r="Q229" i="26"/>
  <c r="P229" i="26"/>
  <c r="O229" i="26"/>
  <c r="N229" i="26"/>
  <c r="M229" i="26"/>
  <c r="L229" i="26"/>
  <c r="K229" i="26"/>
  <c r="J229" i="26"/>
  <c r="I229" i="26"/>
  <c r="H229" i="26"/>
  <c r="G229" i="26"/>
  <c r="F229" i="26"/>
  <c r="E229" i="26"/>
  <c r="D229" i="26"/>
  <c r="C229" i="26"/>
  <c r="B229" i="26"/>
  <c r="BC228" i="26"/>
  <c r="BB228" i="26"/>
  <c r="BA228" i="26"/>
  <c r="AZ228" i="26"/>
  <c r="AY228" i="26"/>
  <c r="AX228" i="26"/>
  <c r="AW228" i="26"/>
  <c r="AV228" i="26"/>
  <c r="AU228" i="26"/>
  <c r="AT228" i="26"/>
  <c r="AS228" i="26"/>
  <c r="AR228" i="26"/>
  <c r="AQ228" i="26"/>
  <c r="AP228" i="26"/>
  <c r="AO228" i="26"/>
  <c r="AN228" i="26"/>
  <c r="AM228" i="26"/>
  <c r="AL228" i="26"/>
  <c r="AK228" i="26"/>
  <c r="AJ228" i="26"/>
  <c r="AI228" i="26"/>
  <c r="AH228" i="26"/>
  <c r="AG228" i="26"/>
  <c r="AF228" i="26"/>
  <c r="AE228" i="26"/>
  <c r="AD228" i="26"/>
  <c r="AC228" i="26"/>
  <c r="AB228" i="26"/>
  <c r="AA228" i="26"/>
  <c r="Z228" i="26"/>
  <c r="Y228" i="26"/>
  <c r="X228" i="26"/>
  <c r="W228" i="26"/>
  <c r="V228" i="26"/>
  <c r="U228" i="26"/>
  <c r="T228" i="26"/>
  <c r="S228" i="26"/>
  <c r="R228" i="26"/>
  <c r="Q228" i="26"/>
  <c r="P228" i="26"/>
  <c r="O228" i="26"/>
  <c r="N228" i="26"/>
  <c r="M228" i="26"/>
  <c r="L228" i="26"/>
  <c r="K228" i="26"/>
  <c r="J228" i="26"/>
  <c r="I228" i="26"/>
  <c r="H228" i="26"/>
  <c r="G228" i="26"/>
  <c r="F228" i="26"/>
  <c r="E228" i="26"/>
  <c r="D228" i="26"/>
  <c r="C228" i="26"/>
  <c r="B228" i="26"/>
  <c r="BC227" i="26"/>
  <c r="BB227" i="26"/>
  <c r="BA227" i="26"/>
  <c r="AZ227" i="26"/>
  <c r="AY227" i="26"/>
  <c r="AX227" i="26"/>
  <c r="AW227" i="26"/>
  <c r="AV227" i="26"/>
  <c r="AU227" i="26"/>
  <c r="AT227" i="26"/>
  <c r="AS227" i="26"/>
  <c r="AR227" i="26"/>
  <c r="AQ227" i="26"/>
  <c r="AP227" i="26"/>
  <c r="AO227" i="26"/>
  <c r="AN227" i="26"/>
  <c r="AM227" i="26"/>
  <c r="AL227" i="26"/>
  <c r="AK227" i="26"/>
  <c r="AJ227" i="26"/>
  <c r="AI227" i="26"/>
  <c r="AH227" i="26"/>
  <c r="AG227" i="26"/>
  <c r="AF227" i="26"/>
  <c r="AE227" i="26"/>
  <c r="AD227" i="26"/>
  <c r="AC227" i="26"/>
  <c r="AB227" i="26"/>
  <c r="AA227" i="26"/>
  <c r="Z227" i="26"/>
  <c r="Y227" i="26"/>
  <c r="X227" i="26"/>
  <c r="W227" i="26"/>
  <c r="V227" i="26"/>
  <c r="U227" i="26"/>
  <c r="T227" i="26"/>
  <c r="S227" i="26"/>
  <c r="R227" i="26"/>
  <c r="Q227" i="26"/>
  <c r="P227" i="26"/>
  <c r="O227" i="26"/>
  <c r="N227" i="26"/>
  <c r="M227" i="26"/>
  <c r="L227" i="26"/>
  <c r="K227" i="26"/>
  <c r="J227" i="26"/>
  <c r="I227" i="26"/>
  <c r="H227" i="26"/>
  <c r="G227" i="26"/>
  <c r="F227" i="26"/>
  <c r="E227" i="26"/>
  <c r="D227" i="26"/>
  <c r="C227" i="26"/>
  <c r="B227" i="26"/>
  <c r="BC226" i="26"/>
  <c r="BB226" i="26"/>
  <c r="BA226" i="26"/>
  <c r="AZ226" i="26"/>
  <c r="AY226" i="26"/>
  <c r="AX226" i="26"/>
  <c r="AW226" i="26"/>
  <c r="AV226" i="26"/>
  <c r="AU226" i="26"/>
  <c r="AT226" i="26"/>
  <c r="AS226" i="26"/>
  <c r="AR226" i="26"/>
  <c r="AQ226" i="26"/>
  <c r="AP226" i="26"/>
  <c r="AO226" i="26"/>
  <c r="AN226" i="26"/>
  <c r="AM226" i="26"/>
  <c r="AL226" i="26"/>
  <c r="AK226" i="26"/>
  <c r="AJ226" i="26"/>
  <c r="AI226" i="26"/>
  <c r="AH226" i="26"/>
  <c r="AG226" i="26"/>
  <c r="AF226" i="26"/>
  <c r="AE226" i="26"/>
  <c r="AD226" i="26"/>
  <c r="AC226" i="26"/>
  <c r="AB226" i="26"/>
  <c r="AA226" i="26"/>
  <c r="Z226" i="26"/>
  <c r="Y226" i="26"/>
  <c r="X226" i="26"/>
  <c r="W226" i="26"/>
  <c r="V226" i="26"/>
  <c r="U226" i="26"/>
  <c r="T226" i="26"/>
  <c r="S226" i="26"/>
  <c r="R226" i="26"/>
  <c r="Q226" i="26"/>
  <c r="P226" i="26"/>
  <c r="O226" i="26"/>
  <c r="N226" i="26"/>
  <c r="M226" i="26"/>
  <c r="L226" i="26"/>
  <c r="K226" i="26"/>
  <c r="J226" i="26"/>
  <c r="I226" i="26"/>
  <c r="H226" i="26"/>
  <c r="G226" i="26"/>
  <c r="F226" i="26"/>
  <c r="E226" i="26"/>
  <c r="D226" i="26"/>
  <c r="C226" i="26"/>
  <c r="B226" i="26"/>
  <c r="BC225" i="26"/>
  <c r="BB225" i="26"/>
  <c r="BA225" i="26"/>
  <c r="AZ225" i="26"/>
  <c r="AY225" i="26"/>
  <c r="AX225" i="26"/>
  <c r="AW225" i="26"/>
  <c r="AV225" i="26"/>
  <c r="AU225" i="26"/>
  <c r="AT225" i="26"/>
  <c r="AS225" i="26"/>
  <c r="AR225" i="26"/>
  <c r="AQ225" i="26"/>
  <c r="AP225" i="26"/>
  <c r="AO225" i="26"/>
  <c r="AN225" i="26"/>
  <c r="AM225" i="26"/>
  <c r="AL225" i="26"/>
  <c r="AK225" i="26"/>
  <c r="AJ225" i="26"/>
  <c r="AI225" i="26"/>
  <c r="AH225" i="26"/>
  <c r="AG225" i="26"/>
  <c r="AF225" i="26"/>
  <c r="AE225" i="26"/>
  <c r="AD225" i="26"/>
  <c r="AC225" i="26"/>
  <c r="AB225" i="26"/>
  <c r="AA225" i="26"/>
  <c r="Z225" i="26"/>
  <c r="Y225" i="26"/>
  <c r="X225" i="26"/>
  <c r="W225" i="26"/>
  <c r="V225" i="26"/>
  <c r="U225" i="26"/>
  <c r="T225" i="26"/>
  <c r="S225" i="26"/>
  <c r="R225" i="26"/>
  <c r="Q225" i="26"/>
  <c r="P225" i="26"/>
  <c r="O225" i="26"/>
  <c r="N225" i="26"/>
  <c r="M225" i="26"/>
  <c r="L225" i="26"/>
  <c r="K225" i="26"/>
  <c r="J225" i="26"/>
  <c r="I225" i="26"/>
  <c r="H225" i="26"/>
  <c r="G225" i="26"/>
  <c r="F225" i="26"/>
  <c r="E225" i="26"/>
  <c r="D225" i="26"/>
  <c r="C225" i="26"/>
  <c r="B225" i="26"/>
  <c r="BC224" i="26"/>
  <c r="BB224" i="26"/>
  <c r="BA224" i="26"/>
  <c r="AZ224" i="26"/>
  <c r="AY224" i="26"/>
  <c r="AX224" i="26"/>
  <c r="AW224" i="26"/>
  <c r="AV224" i="26"/>
  <c r="AU224" i="26"/>
  <c r="AT224" i="26"/>
  <c r="AS224" i="26"/>
  <c r="AR224" i="26"/>
  <c r="AQ224" i="26"/>
  <c r="AP224" i="26"/>
  <c r="AO224" i="26"/>
  <c r="AN224" i="26"/>
  <c r="AM224" i="26"/>
  <c r="AL224" i="26"/>
  <c r="AK224" i="26"/>
  <c r="AJ224" i="26"/>
  <c r="AI224" i="26"/>
  <c r="AH224" i="26"/>
  <c r="AG224" i="26"/>
  <c r="AF224" i="26"/>
  <c r="AE224" i="26"/>
  <c r="AD224" i="26"/>
  <c r="AC224" i="26"/>
  <c r="AB224" i="26"/>
  <c r="AA224" i="26"/>
  <c r="Z224" i="26"/>
  <c r="Y224" i="26"/>
  <c r="X224" i="26"/>
  <c r="W224" i="26"/>
  <c r="V224" i="26"/>
  <c r="U224" i="26"/>
  <c r="T224" i="26"/>
  <c r="S224" i="26"/>
  <c r="R224" i="26"/>
  <c r="Q224" i="26"/>
  <c r="P224" i="26"/>
  <c r="O224" i="26"/>
  <c r="N224" i="26"/>
  <c r="M224" i="26"/>
  <c r="L224" i="26"/>
  <c r="K224" i="26"/>
  <c r="J224" i="26"/>
  <c r="I224" i="26"/>
  <c r="H224" i="26"/>
  <c r="G224" i="26"/>
  <c r="F224" i="26"/>
  <c r="E224" i="26"/>
  <c r="D224" i="26"/>
  <c r="C224" i="26"/>
  <c r="B224" i="26"/>
  <c r="BC223" i="26"/>
  <c r="BB223" i="26"/>
  <c r="BA223" i="26"/>
  <c r="AZ223" i="26"/>
  <c r="AY223" i="26"/>
  <c r="AX223" i="26"/>
  <c r="AW223" i="26"/>
  <c r="AV223" i="26"/>
  <c r="AU223" i="26"/>
  <c r="AT223" i="26"/>
  <c r="AS223" i="26"/>
  <c r="AR223" i="26"/>
  <c r="AQ223" i="26"/>
  <c r="AP223" i="26"/>
  <c r="AO223" i="26"/>
  <c r="AN223" i="26"/>
  <c r="AM223" i="26"/>
  <c r="AL223" i="26"/>
  <c r="AK223" i="26"/>
  <c r="AJ223" i="26"/>
  <c r="AI223" i="26"/>
  <c r="AH223" i="26"/>
  <c r="AG223" i="26"/>
  <c r="AF223" i="26"/>
  <c r="AE223" i="26"/>
  <c r="AD223" i="26"/>
  <c r="AC223" i="26"/>
  <c r="AB223" i="26"/>
  <c r="AA223" i="26"/>
  <c r="Z223" i="26"/>
  <c r="Y223" i="26"/>
  <c r="X223" i="26"/>
  <c r="W223" i="26"/>
  <c r="V223" i="26"/>
  <c r="U223" i="26"/>
  <c r="T223" i="26"/>
  <c r="S223" i="26"/>
  <c r="R223" i="26"/>
  <c r="Q223" i="26"/>
  <c r="P223" i="26"/>
  <c r="O223" i="26"/>
  <c r="N223" i="26"/>
  <c r="M223" i="26"/>
  <c r="L223" i="26"/>
  <c r="K223" i="26"/>
  <c r="J223" i="26"/>
  <c r="I223" i="26"/>
  <c r="H223" i="26"/>
  <c r="G223" i="26"/>
  <c r="F223" i="26"/>
  <c r="E223" i="26"/>
  <c r="D223" i="26"/>
  <c r="C223" i="26"/>
  <c r="B223" i="26"/>
  <c r="BC222" i="26"/>
  <c r="BB222" i="26"/>
  <c r="BA222" i="26"/>
  <c r="AZ222" i="26"/>
  <c r="AY222" i="26"/>
  <c r="AX222" i="26"/>
  <c r="AW222" i="26"/>
  <c r="AV222" i="26"/>
  <c r="AU222" i="26"/>
  <c r="AT222" i="26"/>
  <c r="AS222" i="26"/>
  <c r="AR222" i="26"/>
  <c r="AQ222" i="26"/>
  <c r="AP222" i="26"/>
  <c r="AO222" i="26"/>
  <c r="AN222" i="26"/>
  <c r="AM222" i="26"/>
  <c r="AL222" i="26"/>
  <c r="AK222" i="26"/>
  <c r="AJ222" i="26"/>
  <c r="AI222" i="26"/>
  <c r="AH222" i="26"/>
  <c r="AG222" i="26"/>
  <c r="AF222" i="26"/>
  <c r="AE222" i="26"/>
  <c r="AD222" i="26"/>
  <c r="AC222" i="26"/>
  <c r="AB222" i="26"/>
  <c r="AA222" i="26"/>
  <c r="Z222" i="26"/>
  <c r="Y222" i="26"/>
  <c r="X222" i="26"/>
  <c r="W222" i="26"/>
  <c r="V222" i="26"/>
  <c r="U222" i="26"/>
  <c r="T222" i="26"/>
  <c r="S222" i="26"/>
  <c r="R222" i="26"/>
  <c r="Q222" i="26"/>
  <c r="P222" i="26"/>
  <c r="O222" i="26"/>
  <c r="N222" i="26"/>
  <c r="M222" i="26"/>
  <c r="L222" i="26"/>
  <c r="K222" i="26"/>
  <c r="J222" i="26"/>
  <c r="I222" i="26"/>
  <c r="H222" i="26"/>
  <c r="G222" i="26"/>
  <c r="F222" i="26"/>
  <c r="E222" i="26"/>
  <c r="D222" i="26"/>
  <c r="C222" i="26"/>
  <c r="B222" i="26"/>
  <c r="BC221" i="26"/>
  <c r="BB221" i="26"/>
  <c r="BA221" i="26"/>
  <c r="AZ221" i="26"/>
  <c r="AY221" i="26"/>
  <c r="AX221" i="26"/>
  <c r="AW221" i="26"/>
  <c r="AV221" i="26"/>
  <c r="AU221" i="26"/>
  <c r="AT221" i="26"/>
  <c r="AS221" i="26"/>
  <c r="AR221" i="26"/>
  <c r="AQ221" i="26"/>
  <c r="AP221" i="26"/>
  <c r="AO221" i="26"/>
  <c r="AN221" i="26"/>
  <c r="AM221" i="26"/>
  <c r="AL221" i="26"/>
  <c r="AK221" i="26"/>
  <c r="AJ221" i="26"/>
  <c r="AI221" i="26"/>
  <c r="AH221" i="26"/>
  <c r="AG221" i="26"/>
  <c r="AF221" i="26"/>
  <c r="AE221" i="26"/>
  <c r="AD221" i="26"/>
  <c r="AC221" i="26"/>
  <c r="AB221" i="26"/>
  <c r="AA221" i="26"/>
  <c r="Z221" i="26"/>
  <c r="Y221" i="26"/>
  <c r="X221" i="26"/>
  <c r="W221" i="26"/>
  <c r="V221" i="26"/>
  <c r="U221" i="26"/>
  <c r="T221" i="26"/>
  <c r="S221" i="26"/>
  <c r="R221" i="26"/>
  <c r="Q221" i="26"/>
  <c r="P221" i="26"/>
  <c r="O221" i="26"/>
  <c r="N221" i="26"/>
  <c r="M221" i="26"/>
  <c r="L221" i="26"/>
  <c r="K221" i="26"/>
  <c r="J221" i="26"/>
  <c r="I221" i="26"/>
  <c r="H221" i="26"/>
  <c r="G221" i="26"/>
  <c r="F221" i="26"/>
  <c r="E221" i="26"/>
  <c r="D221" i="26"/>
  <c r="C221" i="26"/>
  <c r="B221" i="26"/>
  <c r="BC220" i="26"/>
  <c r="BB220" i="26"/>
  <c r="BA220" i="26"/>
  <c r="AZ220" i="26"/>
  <c r="AY220" i="26"/>
  <c r="AX220" i="26"/>
  <c r="AW220" i="26"/>
  <c r="AV220" i="26"/>
  <c r="AU220" i="26"/>
  <c r="AT220" i="26"/>
  <c r="AS220" i="26"/>
  <c r="AR220" i="26"/>
  <c r="AQ220" i="26"/>
  <c r="AP220" i="26"/>
  <c r="AO220" i="26"/>
  <c r="AN220" i="26"/>
  <c r="AM220" i="26"/>
  <c r="AL220" i="26"/>
  <c r="AK220" i="26"/>
  <c r="AJ220" i="26"/>
  <c r="AI220" i="26"/>
  <c r="AH220" i="26"/>
  <c r="AG220" i="26"/>
  <c r="AF220" i="26"/>
  <c r="AE220" i="26"/>
  <c r="AD220" i="26"/>
  <c r="AC220" i="26"/>
  <c r="AB220" i="26"/>
  <c r="AA220" i="26"/>
  <c r="Z220" i="26"/>
  <c r="Y220" i="26"/>
  <c r="X220" i="26"/>
  <c r="W220" i="26"/>
  <c r="V220" i="26"/>
  <c r="U220" i="26"/>
  <c r="T220" i="26"/>
  <c r="S220" i="26"/>
  <c r="R220" i="26"/>
  <c r="Q220" i="26"/>
  <c r="P220" i="26"/>
  <c r="O220" i="26"/>
  <c r="N220" i="26"/>
  <c r="M220" i="26"/>
  <c r="L220" i="26"/>
  <c r="K220" i="26"/>
  <c r="J220" i="26"/>
  <c r="I220" i="26"/>
  <c r="H220" i="26"/>
  <c r="G220" i="26"/>
  <c r="F220" i="26"/>
  <c r="E220" i="26"/>
  <c r="D220" i="26"/>
  <c r="C220" i="26"/>
  <c r="B220" i="26"/>
  <c r="BC219" i="26"/>
  <c r="BB219" i="26"/>
  <c r="BA219" i="26"/>
  <c r="AZ219" i="26"/>
  <c r="AY219" i="26"/>
  <c r="AX219" i="26"/>
  <c r="AW219" i="26"/>
  <c r="AV219" i="26"/>
  <c r="AU219" i="26"/>
  <c r="AT219" i="26"/>
  <c r="AS219" i="26"/>
  <c r="AR219" i="26"/>
  <c r="AQ219" i="26"/>
  <c r="AP219" i="26"/>
  <c r="AO219" i="26"/>
  <c r="AN219" i="26"/>
  <c r="AM219" i="26"/>
  <c r="AL219" i="26"/>
  <c r="AK219" i="26"/>
  <c r="AJ219" i="26"/>
  <c r="AI219" i="26"/>
  <c r="AH219" i="26"/>
  <c r="AG219" i="26"/>
  <c r="AF219" i="26"/>
  <c r="AE219" i="26"/>
  <c r="AD219" i="26"/>
  <c r="AC219" i="26"/>
  <c r="AB219" i="26"/>
  <c r="AA219" i="26"/>
  <c r="Z219" i="26"/>
  <c r="Y219" i="26"/>
  <c r="X219" i="26"/>
  <c r="W219" i="26"/>
  <c r="V219" i="26"/>
  <c r="U219" i="26"/>
  <c r="T219" i="26"/>
  <c r="S219" i="26"/>
  <c r="R219" i="26"/>
  <c r="Q219" i="26"/>
  <c r="P219" i="26"/>
  <c r="O219" i="26"/>
  <c r="N219" i="26"/>
  <c r="M219" i="26"/>
  <c r="L219" i="26"/>
  <c r="K219" i="26"/>
  <c r="J219" i="26"/>
  <c r="I219" i="26"/>
  <c r="H219" i="26"/>
  <c r="G219" i="26"/>
  <c r="F219" i="26"/>
  <c r="E219" i="26"/>
  <c r="D219" i="26"/>
  <c r="C219" i="26"/>
  <c r="B219" i="26"/>
  <c r="BC218" i="26"/>
  <c r="BB218" i="26"/>
  <c r="BA218" i="26"/>
  <c r="AZ218" i="26"/>
  <c r="AY218" i="26"/>
  <c r="AX218" i="26"/>
  <c r="AW218" i="26"/>
  <c r="AV218" i="26"/>
  <c r="AU218" i="26"/>
  <c r="AT218" i="26"/>
  <c r="AS218" i="26"/>
  <c r="AR218" i="26"/>
  <c r="AQ218" i="26"/>
  <c r="AP218" i="26"/>
  <c r="AO218" i="26"/>
  <c r="AN218" i="26"/>
  <c r="AM218" i="26"/>
  <c r="AL218" i="26"/>
  <c r="AK218" i="26"/>
  <c r="AJ218" i="26"/>
  <c r="AI218" i="26"/>
  <c r="AH218" i="26"/>
  <c r="AG218" i="26"/>
  <c r="AF218" i="26"/>
  <c r="AE218" i="26"/>
  <c r="AD218" i="26"/>
  <c r="AC218" i="26"/>
  <c r="AB218" i="26"/>
  <c r="AA218" i="26"/>
  <c r="Z218" i="26"/>
  <c r="Y218" i="26"/>
  <c r="X218" i="26"/>
  <c r="W218" i="26"/>
  <c r="V218" i="26"/>
  <c r="U218" i="26"/>
  <c r="T218" i="26"/>
  <c r="S218" i="26"/>
  <c r="R218" i="26"/>
  <c r="Q218" i="26"/>
  <c r="P218" i="26"/>
  <c r="O218" i="26"/>
  <c r="N218" i="26"/>
  <c r="M218" i="26"/>
  <c r="L218" i="26"/>
  <c r="K218" i="26"/>
  <c r="J218" i="26"/>
  <c r="I218" i="26"/>
  <c r="H218" i="26"/>
  <c r="G218" i="26"/>
  <c r="F218" i="26"/>
  <c r="E218" i="26"/>
  <c r="D218" i="26"/>
  <c r="C218" i="26"/>
  <c r="B218" i="26"/>
  <c r="BC217" i="26"/>
  <c r="BB217" i="26"/>
  <c r="BA217" i="26"/>
  <c r="AZ217" i="26"/>
  <c r="AY217" i="26"/>
  <c r="AX217" i="26"/>
  <c r="AW217" i="26"/>
  <c r="AV217" i="26"/>
  <c r="AU217" i="26"/>
  <c r="AT217" i="26"/>
  <c r="AS217" i="26"/>
  <c r="AR217" i="26"/>
  <c r="AQ217" i="26"/>
  <c r="AP217" i="26"/>
  <c r="AO217" i="26"/>
  <c r="AN217" i="26"/>
  <c r="AM217" i="26"/>
  <c r="AL217" i="26"/>
  <c r="AK217" i="26"/>
  <c r="AJ217" i="26"/>
  <c r="AI217" i="26"/>
  <c r="AH217" i="26"/>
  <c r="AG217" i="26"/>
  <c r="AF217" i="26"/>
  <c r="AE217" i="26"/>
  <c r="AD217" i="26"/>
  <c r="AC217" i="26"/>
  <c r="AB217" i="26"/>
  <c r="AA217" i="26"/>
  <c r="Z217" i="26"/>
  <c r="Y217" i="26"/>
  <c r="X217" i="26"/>
  <c r="W217" i="26"/>
  <c r="V217" i="26"/>
  <c r="U217" i="26"/>
  <c r="T217" i="26"/>
  <c r="S217" i="26"/>
  <c r="R217" i="26"/>
  <c r="Q217" i="26"/>
  <c r="P217" i="26"/>
  <c r="O217" i="26"/>
  <c r="N217" i="26"/>
  <c r="M217" i="26"/>
  <c r="L217" i="26"/>
  <c r="K217" i="26"/>
  <c r="J217" i="26"/>
  <c r="I217" i="26"/>
  <c r="H217" i="26"/>
  <c r="G217" i="26"/>
  <c r="F217" i="26"/>
  <c r="E217" i="26"/>
  <c r="D217" i="26"/>
  <c r="C217" i="26"/>
  <c r="B217" i="26"/>
  <c r="BC216" i="26"/>
  <c r="BB216" i="26"/>
  <c r="BA216" i="26"/>
  <c r="AZ216" i="26"/>
  <c r="AY216" i="26"/>
  <c r="AX216" i="26"/>
  <c r="AW216" i="26"/>
  <c r="AV216" i="26"/>
  <c r="AU216" i="26"/>
  <c r="AT216" i="26"/>
  <c r="AS216" i="26"/>
  <c r="AR216" i="26"/>
  <c r="AQ216" i="26"/>
  <c r="AP216" i="26"/>
  <c r="AO216" i="26"/>
  <c r="AN216" i="26"/>
  <c r="AM216" i="26"/>
  <c r="AL216" i="26"/>
  <c r="AK216" i="26"/>
  <c r="AJ216" i="26"/>
  <c r="AI216" i="26"/>
  <c r="AH216" i="26"/>
  <c r="AG216" i="26"/>
  <c r="AF216" i="26"/>
  <c r="AE216" i="26"/>
  <c r="AD216" i="26"/>
  <c r="AC216" i="26"/>
  <c r="AB216" i="26"/>
  <c r="AA216" i="26"/>
  <c r="Z216" i="26"/>
  <c r="Y216" i="26"/>
  <c r="X216" i="26"/>
  <c r="W216" i="26"/>
  <c r="V216" i="26"/>
  <c r="U216" i="26"/>
  <c r="T216" i="26"/>
  <c r="S216" i="26"/>
  <c r="R216" i="26"/>
  <c r="Q216" i="26"/>
  <c r="P216" i="26"/>
  <c r="O216" i="26"/>
  <c r="N216" i="26"/>
  <c r="M216" i="26"/>
  <c r="L216" i="26"/>
  <c r="K216" i="26"/>
  <c r="J216" i="26"/>
  <c r="I216" i="26"/>
  <c r="H216" i="26"/>
  <c r="G216" i="26"/>
  <c r="F216" i="26"/>
  <c r="E216" i="26"/>
  <c r="D216" i="26"/>
  <c r="C216" i="26"/>
  <c r="B216" i="26"/>
  <c r="BC215" i="26"/>
  <c r="BB215" i="26"/>
  <c r="BA215" i="26"/>
  <c r="AZ215" i="26"/>
  <c r="AY215" i="26"/>
  <c r="AX215" i="26"/>
  <c r="AW215" i="26"/>
  <c r="AV215" i="26"/>
  <c r="AU215" i="26"/>
  <c r="AT215" i="26"/>
  <c r="AS215" i="26"/>
  <c r="AR215" i="26"/>
  <c r="AQ215" i="26"/>
  <c r="AP215" i="26"/>
  <c r="AO215" i="26"/>
  <c r="AN215" i="26"/>
  <c r="AM215" i="26"/>
  <c r="AL215" i="26"/>
  <c r="AK215" i="26"/>
  <c r="AJ215" i="26"/>
  <c r="AI215" i="26"/>
  <c r="AH215" i="26"/>
  <c r="AG215" i="26"/>
  <c r="AF215" i="26"/>
  <c r="AE215" i="26"/>
  <c r="AD215" i="26"/>
  <c r="AC215" i="26"/>
  <c r="AB215" i="26"/>
  <c r="AA215" i="26"/>
  <c r="Z215" i="26"/>
  <c r="Y215" i="26"/>
  <c r="X215" i="26"/>
  <c r="W215" i="26"/>
  <c r="V215" i="26"/>
  <c r="U215" i="26"/>
  <c r="T215" i="26"/>
  <c r="S215" i="26"/>
  <c r="R215" i="26"/>
  <c r="Q215" i="26"/>
  <c r="P215" i="26"/>
  <c r="O215" i="26"/>
  <c r="N215" i="26"/>
  <c r="M215" i="26"/>
  <c r="L215" i="26"/>
  <c r="K215" i="26"/>
  <c r="J215" i="26"/>
  <c r="I215" i="26"/>
  <c r="H215" i="26"/>
  <c r="G215" i="26"/>
  <c r="F215" i="26"/>
  <c r="E215" i="26"/>
  <c r="D215" i="26"/>
  <c r="C215" i="26"/>
  <c r="B215" i="26"/>
  <c r="BC214" i="26"/>
  <c r="BB214" i="26"/>
  <c r="BA214" i="26"/>
  <c r="AZ214" i="26"/>
  <c r="AY214" i="26"/>
  <c r="AX214" i="26"/>
  <c r="AW214" i="26"/>
  <c r="AV214" i="26"/>
  <c r="AU214" i="26"/>
  <c r="AT214" i="26"/>
  <c r="AS214" i="26"/>
  <c r="AR214" i="26"/>
  <c r="AQ214" i="26"/>
  <c r="AP214" i="26"/>
  <c r="AO214" i="26"/>
  <c r="AN214" i="26"/>
  <c r="AM214" i="26"/>
  <c r="AL214" i="26"/>
  <c r="AK214" i="26"/>
  <c r="AJ214" i="26"/>
  <c r="AI214" i="26"/>
  <c r="AH214" i="26"/>
  <c r="AG214" i="26"/>
  <c r="AF214" i="26"/>
  <c r="AE214" i="26"/>
  <c r="AD214" i="26"/>
  <c r="AC214" i="26"/>
  <c r="AB214" i="26"/>
  <c r="AA214" i="26"/>
  <c r="Z214" i="26"/>
  <c r="Y214" i="26"/>
  <c r="X214" i="26"/>
  <c r="W214" i="26"/>
  <c r="V214" i="26"/>
  <c r="U214" i="26"/>
  <c r="T214" i="26"/>
  <c r="S214" i="26"/>
  <c r="R214" i="26"/>
  <c r="Q214" i="26"/>
  <c r="P214" i="26"/>
  <c r="O214" i="26"/>
  <c r="N214" i="26"/>
  <c r="M214" i="26"/>
  <c r="L214" i="26"/>
  <c r="K214" i="26"/>
  <c r="J214" i="26"/>
  <c r="I214" i="26"/>
  <c r="H214" i="26"/>
  <c r="G214" i="26"/>
  <c r="F214" i="26"/>
  <c r="E214" i="26"/>
  <c r="D214" i="26"/>
  <c r="C214" i="26"/>
  <c r="B214" i="26"/>
  <c r="BC213" i="26"/>
  <c r="BB213" i="26"/>
  <c r="BA213" i="26"/>
  <c r="AZ213" i="26"/>
  <c r="AY213" i="26"/>
  <c r="AX213" i="26"/>
  <c r="AW213" i="26"/>
  <c r="AV213" i="26"/>
  <c r="AU213" i="26"/>
  <c r="AT213" i="26"/>
  <c r="AS213" i="26"/>
  <c r="AR213" i="26"/>
  <c r="AQ213" i="26"/>
  <c r="AP213" i="26"/>
  <c r="AO213" i="26"/>
  <c r="AN213" i="26"/>
  <c r="AM213" i="26"/>
  <c r="AL213" i="26"/>
  <c r="AK213" i="26"/>
  <c r="AJ213" i="26"/>
  <c r="AI213" i="26"/>
  <c r="AH213" i="26"/>
  <c r="AG213" i="26"/>
  <c r="AF213" i="26"/>
  <c r="AE213" i="26"/>
  <c r="AD213" i="26"/>
  <c r="AC213" i="26"/>
  <c r="AB213" i="26"/>
  <c r="AA213" i="26"/>
  <c r="Z213" i="26"/>
  <c r="Y213" i="26"/>
  <c r="X213" i="26"/>
  <c r="W213" i="26"/>
  <c r="V213" i="26"/>
  <c r="U213" i="26"/>
  <c r="T213" i="26"/>
  <c r="S213" i="26"/>
  <c r="R213" i="26"/>
  <c r="Q213" i="26"/>
  <c r="P213" i="26"/>
  <c r="O213" i="26"/>
  <c r="N213" i="26"/>
  <c r="M213" i="26"/>
  <c r="L213" i="26"/>
  <c r="K213" i="26"/>
  <c r="J213" i="26"/>
  <c r="I213" i="26"/>
  <c r="H213" i="26"/>
  <c r="G213" i="26"/>
  <c r="F213" i="26"/>
  <c r="E213" i="26"/>
  <c r="D213" i="26"/>
  <c r="C213" i="26"/>
  <c r="B213" i="26"/>
  <c r="BC212" i="26"/>
  <c r="BB212" i="26"/>
  <c r="BA212" i="26"/>
  <c r="AZ212" i="26"/>
  <c r="AY212" i="26"/>
  <c r="AX212" i="26"/>
  <c r="AW212" i="26"/>
  <c r="AV212" i="26"/>
  <c r="AU212" i="26"/>
  <c r="AT212" i="26"/>
  <c r="AS212" i="26"/>
  <c r="AR212" i="26"/>
  <c r="AQ212" i="26"/>
  <c r="AP212" i="26"/>
  <c r="AO212" i="26"/>
  <c r="AN212" i="26"/>
  <c r="AM212" i="26"/>
  <c r="AL212" i="26"/>
  <c r="AK212" i="26"/>
  <c r="AJ212" i="26"/>
  <c r="AI212" i="26"/>
  <c r="AH212" i="26"/>
  <c r="AG212" i="26"/>
  <c r="AF212" i="26"/>
  <c r="AE212" i="26"/>
  <c r="AD212" i="26"/>
  <c r="AC212" i="26"/>
  <c r="AB212" i="26"/>
  <c r="AA212" i="26"/>
  <c r="Z212" i="26"/>
  <c r="Y212" i="26"/>
  <c r="X212" i="26"/>
  <c r="W212" i="26"/>
  <c r="V212" i="26"/>
  <c r="U212" i="26"/>
  <c r="T212" i="26"/>
  <c r="S212" i="26"/>
  <c r="R212" i="26"/>
  <c r="Q212" i="26"/>
  <c r="P212" i="26"/>
  <c r="O212" i="26"/>
  <c r="N212" i="26"/>
  <c r="M212" i="26"/>
  <c r="L212" i="26"/>
  <c r="K212" i="26"/>
  <c r="J212" i="26"/>
  <c r="I212" i="26"/>
  <c r="H212" i="26"/>
  <c r="G212" i="26"/>
  <c r="F212" i="26"/>
  <c r="E212" i="26"/>
  <c r="D212" i="26"/>
  <c r="C212" i="26"/>
  <c r="B212" i="26"/>
  <c r="BC211" i="26"/>
  <c r="BB211" i="26"/>
  <c r="BA211" i="26"/>
  <c r="AZ211" i="26"/>
  <c r="AY211" i="26"/>
  <c r="AX211" i="26"/>
  <c r="AW211" i="26"/>
  <c r="AV211" i="26"/>
  <c r="AU211" i="26"/>
  <c r="AT211" i="26"/>
  <c r="AS211" i="26"/>
  <c r="AR211" i="26"/>
  <c r="AQ211" i="26"/>
  <c r="AP211" i="26"/>
  <c r="AO211" i="26"/>
  <c r="AN211" i="26"/>
  <c r="AM211" i="26"/>
  <c r="AL211" i="26"/>
  <c r="AK211" i="26"/>
  <c r="AJ211" i="26"/>
  <c r="AI211" i="26"/>
  <c r="AH211" i="26"/>
  <c r="AG211" i="26"/>
  <c r="AF211" i="26"/>
  <c r="AE211" i="26"/>
  <c r="AD211" i="26"/>
  <c r="AC211" i="26"/>
  <c r="AB211" i="26"/>
  <c r="AA211" i="26"/>
  <c r="Z211" i="26"/>
  <c r="Y211" i="26"/>
  <c r="X211" i="26"/>
  <c r="W211" i="26"/>
  <c r="V211" i="26"/>
  <c r="U211" i="26"/>
  <c r="T211" i="26"/>
  <c r="S211" i="26"/>
  <c r="R211" i="26"/>
  <c r="Q211" i="26"/>
  <c r="P211" i="26"/>
  <c r="O211" i="26"/>
  <c r="N211" i="26"/>
  <c r="M211" i="26"/>
  <c r="L211" i="26"/>
  <c r="K211" i="26"/>
  <c r="J211" i="26"/>
  <c r="I211" i="26"/>
  <c r="H211" i="26"/>
  <c r="G211" i="26"/>
  <c r="F211" i="26"/>
  <c r="E211" i="26"/>
  <c r="D211" i="26"/>
  <c r="C211" i="26"/>
  <c r="B211" i="26"/>
  <c r="BC210" i="26"/>
  <c r="BB210" i="26"/>
  <c r="BA210" i="26"/>
  <c r="AZ210" i="26"/>
  <c r="AY210" i="26"/>
  <c r="AX210" i="26"/>
  <c r="AW210" i="26"/>
  <c r="AV210" i="26"/>
  <c r="AU210" i="26"/>
  <c r="AT210" i="26"/>
  <c r="AS210" i="26"/>
  <c r="AR210" i="26"/>
  <c r="AQ210" i="26"/>
  <c r="AP210" i="26"/>
  <c r="AO210" i="26"/>
  <c r="AN210" i="26"/>
  <c r="AM210" i="26"/>
  <c r="AL210" i="26"/>
  <c r="AK210" i="26"/>
  <c r="AJ210" i="26"/>
  <c r="AI210" i="26"/>
  <c r="AH210" i="26"/>
  <c r="AG210" i="26"/>
  <c r="AF210" i="26"/>
  <c r="AE210" i="26"/>
  <c r="AD210" i="26"/>
  <c r="AC210" i="26"/>
  <c r="AB210" i="26"/>
  <c r="AA210" i="26"/>
  <c r="Z210" i="26"/>
  <c r="Y210" i="26"/>
  <c r="X210" i="26"/>
  <c r="W210" i="26"/>
  <c r="V210" i="26"/>
  <c r="U210" i="26"/>
  <c r="T210" i="26"/>
  <c r="S210" i="26"/>
  <c r="R210" i="26"/>
  <c r="Q210" i="26"/>
  <c r="P210" i="26"/>
  <c r="O210" i="26"/>
  <c r="N210" i="26"/>
  <c r="M210" i="26"/>
  <c r="L210" i="26"/>
  <c r="K210" i="26"/>
  <c r="J210" i="26"/>
  <c r="I210" i="26"/>
  <c r="H210" i="26"/>
  <c r="G210" i="26"/>
  <c r="F210" i="26"/>
  <c r="E210" i="26"/>
  <c r="D210" i="26"/>
  <c r="C210" i="26"/>
  <c r="B210" i="26"/>
  <c r="BC209" i="26"/>
  <c r="BB209" i="26"/>
  <c r="BA209" i="26"/>
  <c r="AZ209" i="26"/>
  <c r="AY209" i="26"/>
  <c r="AX209" i="26"/>
  <c r="AW209" i="26"/>
  <c r="AV209" i="26"/>
  <c r="AU209" i="26"/>
  <c r="AT209" i="26"/>
  <c r="AS209" i="26"/>
  <c r="AR209" i="26"/>
  <c r="AQ209" i="26"/>
  <c r="AP209" i="26"/>
  <c r="AO209" i="26"/>
  <c r="AN209" i="26"/>
  <c r="AM209" i="26"/>
  <c r="AL209" i="26"/>
  <c r="AK209" i="26"/>
  <c r="AJ209" i="26"/>
  <c r="AI209" i="26"/>
  <c r="AH209" i="26"/>
  <c r="AG209" i="26"/>
  <c r="AF209" i="26"/>
  <c r="AE209" i="26"/>
  <c r="AD209" i="26"/>
  <c r="AC209" i="26"/>
  <c r="AB209" i="26"/>
  <c r="AA209" i="26"/>
  <c r="Z209" i="26"/>
  <c r="Y209" i="26"/>
  <c r="X209" i="26"/>
  <c r="W209" i="26"/>
  <c r="V209" i="26"/>
  <c r="U209" i="26"/>
  <c r="T209" i="26"/>
  <c r="S209" i="26"/>
  <c r="R209" i="26"/>
  <c r="Q209" i="26"/>
  <c r="P209" i="26"/>
  <c r="O209" i="26"/>
  <c r="N209" i="26"/>
  <c r="M209" i="26"/>
  <c r="L209" i="26"/>
  <c r="K209" i="26"/>
  <c r="J209" i="26"/>
  <c r="I209" i="26"/>
  <c r="H209" i="26"/>
  <c r="G209" i="26"/>
  <c r="F209" i="26"/>
  <c r="E209" i="26"/>
  <c r="D209" i="26"/>
  <c r="C209" i="26"/>
  <c r="B209" i="26"/>
  <c r="BC208" i="26"/>
  <c r="BB208" i="26"/>
  <c r="BA208" i="26"/>
  <c r="AZ208" i="26"/>
  <c r="AY208" i="26"/>
  <c r="AX208" i="26"/>
  <c r="AW208" i="26"/>
  <c r="AV208" i="26"/>
  <c r="AU208" i="26"/>
  <c r="AT208" i="26"/>
  <c r="AS208" i="26"/>
  <c r="AR208" i="26"/>
  <c r="AQ208" i="26"/>
  <c r="AP208" i="26"/>
  <c r="AO208" i="26"/>
  <c r="AN208" i="26"/>
  <c r="AM208" i="26"/>
  <c r="AL208" i="26"/>
  <c r="AK208" i="26"/>
  <c r="AJ208" i="26"/>
  <c r="AI208" i="26"/>
  <c r="AH208" i="26"/>
  <c r="AG208" i="26"/>
  <c r="AF208" i="26"/>
  <c r="AE208" i="26"/>
  <c r="AD208" i="26"/>
  <c r="AC208" i="26"/>
  <c r="AB208" i="26"/>
  <c r="AA208" i="26"/>
  <c r="Z208" i="26"/>
  <c r="Y208" i="26"/>
  <c r="X208" i="26"/>
  <c r="W208" i="26"/>
  <c r="V208" i="26"/>
  <c r="U208" i="26"/>
  <c r="T208" i="26"/>
  <c r="S208" i="26"/>
  <c r="R208" i="26"/>
  <c r="Q208" i="26"/>
  <c r="P208" i="26"/>
  <c r="O208" i="26"/>
  <c r="N208" i="26"/>
  <c r="M208" i="26"/>
  <c r="L208" i="26"/>
  <c r="K208" i="26"/>
  <c r="J208" i="26"/>
  <c r="I208" i="26"/>
  <c r="H208" i="26"/>
  <c r="G208" i="26"/>
  <c r="F208" i="26"/>
  <c r="E208" i="26"/>
  <c r="D208" i="26"/>
  <c r="C208" i="26"/>
  <c r="B208" i="26"/>
  <c r="BC207" i="26"/>
  <c r="BB207" i="26"/>
  <c r="BA207" i="26"/>
  <c r="AZ207" i="26"/>
  <c r="AY207" i="26"/>
  <c r="AX207" i="26"/>
  <c r="AW207" i="26"/>
  <c r="AV207" i="26"/>
  <c r="AU207" i="26"/>
  <c r="AT207" i="26"/>
  <c r="AS207" i="26"/>
  <c r="AR207" i="26"/>
  <c r="AQ207" i="26"/>
  <c r="AP207" i="26"/>
  <c r="AO207" i="26"/>
  <c r="AN207" i="26"/>
  <c r="AM207" i="26"/>
  <c r="AL207" i="26"/>
  <c r="AK207" i="26"/>
  <c r="AJ207" i="26"/>
  <c r="AI207" i="26"/>
  <c r="AH207" i="26"/>
  <c r="AG207" i="26"/>
  <c r="AF207" i="26"/>
  <c r="AE207" i="26"/>
  <c r="AD207" i="26"/>
  <c r="AC207" i="26"/>
  <c r="AB207" i="26"/>
  <c r="AA207" i="26"/>
  <c r="Z207" i="26"/>
  <c r="Y207" i="26"/>
  <c r="X207" i="26"/>
  <c r="W207" i="26"/>
  <c r="V207" i="26"/>
  <c r="U207" i="26"/>
  <c r="T207" i="26"/>
  <c r="S207" i="26"/>
  <c r="R207" i="26"/>
  <c r="Q207" i="26"/>
  <c r="P207" i="26"/>
  <c r="O207" i="26"/>
  <c r="N207" i="26"/>
  <c r="M207" i="26"/>
  <c r="L207" i="26"/>
  <c r="K207" i="26"/>
  <c r="J207" i="26"/>
  <c r="I207" i="26"/>
  <c r="H207" i="26"/>
  <c r="G207" i="26"/>
  <c r="F207" i="26"/>
  <c r="E207" i="26"/>
  <c r="D207" i="26"/>
  <c r="C207" i="26"/>
  <c r="B207" i="26"/>
  <c r="BC206" i="26"/>
  <c r="BB206" i="26"/>
  <c r="BA206" i="26"/>
  <c r="AZ206" i="26"/>
  <c r="AY206" i="26"/>
  <c r="AX206" i="26"/>
  <c r="AW206" i="26"/>
  <c r="AV206" i="26"/>
  <c r="AU206" i="26"/>
  <c r="AT206" i="26"/>
  <c r="AS206" i="26"/>
  <c r="AR206" i="26"/>
  <c r="AQ206" i="26"/>
  <c r="AP206" i="26"/>
  <c r="AO206" i="26"/>
  <c r="AN206" i="26"/>
  <c r="AM206" i="26"/>
  <c r="AL206" i="26"/>
  <c r="AK206" i="26"/>
  <c r="AJ206" i="26"/>
  <c r="AI206" i="26"/>
  <c r="AH206" i="26"/>
  <c r="AG206" i="26"/>
  <c r="AF206" i="26"/>
  <c r="AE206" i="26"/>
  <c r="AD206" i="26"/>
  <c r="AC206" i="26"/>
  <c r="AB206" i="26"/>
  <c r="AA206" i="26"/>
  <c r="Z206" i="26"/>
  <c r="Y206" i="26"/>
  <c r="X206" i="26"/>
  <c r="W206" i="26"/>
  <c r="V206" i="26"/>
  <c r="U206" i="26"/>
  <c r="T206" i="26"/>
  <c r="S206" i="26"/>
  <c r="R206" i="26"/>
  <c r="Q206" i="26"/>
  <c r="P206" i="26"/>
  <c r="O206" i="26"/>
  <c r="N206" i="26"/>
  <c r="M206" i="26"/>
  <c r="L206" i="26"/>
  <c r="K206" i="26"/>
  <c r="J206" i="26"/>
  <c r="I206" i="26"/>
  <c r="H206" i="26"/>
  <c r="G206" i="26"/>
  <c r="F206" i="26"/>
  <c r="E206" i="26"/>
  <c r="D206" i="26"/>
  <c r="C206" i="26"/>
  <c r="B206" i="26"/>
  <c r="BC205" i="26"/>
  <c r="BB205" i="26"/>
  <c r="BA205" i="26"/>
  <c r="AZ205" i="26"/>
  <c r="AY205" i="26"/>
  <c r="AX205" i="26"/>
  <c r="AW205" i="26"/>
  <c r="AV205" i="26"/>
  <c r="AU205" i="26"/>
  <c r="AT205" i="26"/>
  <c r="AS205" i="26"/>
  <c r="AR205" i="26"/>
  <c r="AQ205" i="26"/>
  <c r="AP205" i="26"/>
  <c r="AO205" i="26"/>
  <c r="AN205" i="26"/>
  <c r="AM205" i="26"/>
  <c r="AL205" i="26"/>
  <c r="AK205" i="26"/>
  <c r="AJ205" i="26"/>
  <c r="AI205" i="26"/>
  <c r="AH205" i="26"/>
  <c r="AG205" i="26"/>
  <c r="AF205" i="26"/>
  <c r="AE205" i="26"/>
  <c r="AD205" i="26"/>
  <c r="AC205" i="26"/>
  <c r="AB205" i="26"/>
  <c r="AA205" i="26"/>
  <c r="Z205" i="26"/>
  <c r="Y205" i="26"/>
  <c r="X205" i="26"/>
  <c r="W205" i="26"/>
  <c r="V205" i="26"/>
  <c r="U205" i="26"/>
  <c r="T205" i="26"/>
  <c r="S205" i="26"/>
  <c r="R205" i="26"/>
  <c r="Q205" i="26"/>
  <c r="P205" i="26"/>
  <c r="O205" i="26"/>
  <c r="N205" i="26"/>
  <c r="M205" i="26"/>
  <c r="L205" i="26"/>
  <c r="K205" i="26"/>
  <c r="J205" i="26"/>
  <c r="I205" i="26"/>
  <c r="H205" i="26"/>
  <c r="G205" i="26"/>
  <c r="F205" i="26"/>
  <c r="E205" i="26"/>
  <c r="D205" i="26"/>
  <c r="C205" i="26"/>
  <c r="B205" i="26"/>
  <c r="BC204" i="26"/>
  <c r="BB204" i="26"/>
  <c r="BA204" i="26"/>
  <c r="AZ204" i="26"/>
  <c r="AY204" i="26"/>
  <c r="AX204" i="26"/>
  <c r="AW204" i="26"/>
  <c r="AV204" i="26"/>
  <c r="AU204" i="26"/>
  <c r="AT204" i="26"/>
  <c r="AS204" i="26"/>
  <c r="AR204" i="26"/>
  <c r="AQ204" i="26"/>
  <c r="AP204" i="26"/>
  <c r="AO204" i="26"/>
  <c r="AN204" i="26"/>
  <c r="AM204" i="26"/>
  <c r="AL204" i="26"/>
  <c r="AK204" i="26"/>
  <c r="AJ204" i="26"/>
  <c r="AI204" i="26"/>
  <c r="AH204" i="26"/>
  <c r="AG204" i="26"/>
  <c r="AF204" i="26"/>
  <c r="AE204" i="26"/>
  <c r="AD204" i="26"/>
  <c r="AC204" i="26"/>
  <c r="AB204" i="26"/>
  <c r="AA204" i="26"/>
  <c r="Z204" i="26"/>
  <c r="Y204" i="26"/>
  <c r="X204" i="26"/>
  <c r="W204" i="26"/>
  <c r="V204" i="26"/>
  <c r="U204" i="26"/>
  <c r="T204" i="26"/>
  <c r="S204" i="26"/>
  <c r="R204" i="26"/>
  <c r="Q204" i="26"/>
  <c r="P204" i="26"/>
  <c r="O204" i="26"/>
  <c r="N204" i="26"/>
  <c r="M204" i="26"/>
  <c r="L204" i="26"/>
  <c r="K204" i="26"/>
  <c r="J204" i="26"/>
  <c r="I204" i="26"/>
  <c r="H204" i="26"/>
  <c r="G204" i="26"/>
  <c r="F204" i="26"/>
  <c r="E204" i="26"/>
  <c r="D204" i="26"/>
  <c r="C204" i="26"/>
  <c r="B204" i="26"/>
  <c r="BC203" i="26"/>
  <c r="BB203" i="26"/>
  <c r="BA203" i="26"/>
  <c r="AZ203" i="26"/>
  <c r="AY203" i="26"/>
  <c r="AX203" i="26"/>
  <c r="AW203" i="26"/>
  <c r="AV203" i="26"/>
  <c r="AU203" i="26"/>
  <c r="AT203" i="26"/>
  <c r="AS203" i="26"/>
  <c r="AR203" i="26"/>
  <c r="AQ203" i="26"/>
  <c r="AP203" i="26"/>
  <c r="AO203" i="26"/>
  <c r="AN203" i="26"/>
  <c r="AM203" i="26"/>
  <c r="AL203" i="26"/>
  <c r="AK203" i="26"/>
  <c r="AJ203" i="26"/>
  <c r="AI203" i="26"/>
  <c r="AH203" i="26"/>
  <c r="AG203" i="26"/>
  <c r="AF203" i="26"/>
  <c r="AE203" i="26"/>
  <c r="AD203" i="26"/>
  <c r="AC203" i="26"/>
  <c r="AB203" i="26"/>
  <c r="AA203" i="26"/>
  <c r="Z203" i="26"/>
  <c r="Y203" i="26"/>
  <c r="X203" i="26"/>
  <c r="W203" i="26"/>
  <c r="V203" i="26"/>
  <c r="U203" i="26"/>
  <c r="T203" i="26"/>
  <c r="S203" i="26"/>
  <c r="R203" i="26"/>
  <c r="Q203" i="26"/>
  <c r="P203" i="26"/>
  <c r="O203" i="26"/>
  <c r="N203" i="26"/>
  <c r="M203" i="26"/>
  <c r="L203" i="26"/>
  <c r="K203" i="26"/>
  <c r="J203" i="26"/>
  <c r="I203" i="26"/>
  <c r="H203" i="26"/>
  <c r="G203" i="26"/>
  <c r="F203" i="26"/>
  <c r="E203" i="26"/>
  <c r="D203" i="26"/>
  <c r="C203" i="26"/>
  <c r="B203" i="26"/>
  <c r="BC202" i="26"/>
  <c r="BB202" i="26"/>
  <c r="BA202" i="26"/>
  <c r="AZ202" i="26"/>
  <c r="AY202" i="26"/>
  <c r="AX202" i="26"/>
  <c r="AW202" i="26"/>
  <c r="AV202" i="26"/>
  <c r="AU202" i="26"/>
  <c r="AT202" i="26"/>
  <c r="AS202" i="26"/>
  <c r="AR202" i="26"/>
  <c r="AQ202" i="26"/>
  <c r="AP202" i="26"/>
  <c r="AO202" i="26"/>
  <c r="AN202" i="26"/>
  <c r="AM202" i="26"/>
  <c r="AL202" i="26"/>
  <c r="AK202" i="26"/>
  <c r="AJ202" i="26"/>
  <c r="AI202" i="26"/>
  <c r="AH202" i="26"/>
  <c r="AG202" i="26"/>
  <c r="AF202" i="26"/>
  <c r="AE202" i="26"/>
  <c r="AD202" i="26"/>
  <c r="AC202" i="26"/>
  <c r="AB202" i="26"/>
  <c r="AA202" i="26"/>
  <c r="Z202" i="26"/>
  <c r="Y202" i="26"/>
  <c r="X202" i="26"/>
  <c r="W202" i="26"/>
  <c r="V202" i="26"/>
  <c r="U202" i="26"/>
  <c r="T202" i="26"/>
  <c r="S202" i="26"/>
  <c r="R202" i="26"/>
  <c r="Q202" i="26"/>
  <c r="P202" i="26"/>
  <c r="O202" i="26"/>
  <c r="N202" i="26"/>
  <c r="M202" i="26"/>
  <c r="L202" i="26"/>
  <c r="K202" i="26"/>
  <c r="J202" i="26"/>
  <c r="I202" i="26"/>
  <c r="H202" i="26"/>
  <c r="G202" i="26"/>
  <c r="F202" i="26"/>
  <c r="E202" i="26"/>
  <c r="D202" i="26"/>
  <c r="C202" i="26"/>
  <c r="B202" i="26"/>
  <c r="BC201" i="26"/>
  <c r="BB201" i="26"/>
  <c r="BA201" i="26"/>
  <c r="AZ201" i="26"/>
  <c r="AY201" i="26"/>
  <c r="AX201" i="26"/>
  <c r="AW201" i="26"/>
  <c r="AV201" i="26"/>
  <c r="AU201" i="26"/>
  <c r="AT201" i="26"/>
  <c r="AS201" i="26"/>
  <c r="AR201" i="26"/>
  <c r="AQ201" i="26"/>
  <c r="AP201" i="26"/>
  <c r="AO201" i="26"/>
  <c r="AN201" i="26"/>
  <c r="AM201" i="26"/>
  <c r="AL201" i="26"/>
  <c r="AK201" i="26"/>
  <c r="AJ201" i="26"/>
  <c r="AI201" i="26"/>
  <c r="AH201" i="26"/>
  <c r="AG201" i="26"/>
  <c r="AF201" i="26"/>
  <c r="AE201" i="26"/>
  <c r="AD201" i="26"/>
  <c r="AC201" i="26"/>
  <c r="AB201" i="26"/>
  <c r="AA201" i="26"/>
  <c r="Z201" i="26"/>
  <c r="Y201" i="26"/>
  <c r="X201" i="26"/>
  <c r="W201" i="26"/>
  <c r="V201" i="26"/>
  <c r="U201" i="26"/>
  <c r="T201" i="26"/>
  <c r="S201" i="26"/>
  <c r="R201" i="26"/>
  <c r="Q201" i="26"/>
  <c r="P201" i="26"/>
  <c r="O201" i="26"/>
  <c r="N201" i="26"/>
  <c r="M201" i="26"/>
  <c r="L201" i="26"/>
  <c r="K201" i="26"/>
  <c r="J201" i="26"/>
  <c r="I201" i="26"/>
  <c r="H201" i="26"/>
  <c r="G201" i="26"/>
  <c r="F201" i="26"/>
  <c r="E201" i="26"/>
  <c r="D201" i="26"/>
  <c r="C201" i="26"/>
  <c r="B201" i="26"/>
  <c r="BC200" i="26"/>
  <c r="BB200" i="26"/>
  <c r="BA200" i="26"/>
  <c r="AZ200" i="26"/>
  <c r="AY200" i="26"/>
  <c r="AX200" i="26"/>
  <c r="AW200" i="26"/>
  <c r="AV200" i="26"/>
  <c r="AU200" i="26"/>
  <c r="AT200" i="26"/>
  <c r="AS200" i="26"/>
  <c r="AR200" i="26"/>
  <c r="AQ200" i="26"/>
  <c r="AP200" i="26"/>
  <c r="AO200" i="26"/>
  <c r="AN200" i="26"/>
  <c r="AM200" i="26"/>
  <c r="AL200" i="26"/>
  <c r="AK200" i="26"/>
  <c r="AJ200" i="26"/>
  <c r="AI200" i="26"/>
  <c r="AH200" i="26"/>
  <c r="AG200" i="26"/>
  <c r="AF200" i="26"/>
  <c r="AE200" i="26"/>
  <c r="AD200" i="26"/>
  <c r="AC200" i="26"/>
  <c r="AB200" i="26"/>
  <c r="AA200" i="26"/>
  <c r="Z200" i="26"/>
  <c r="Y200" i="26"/>
  <c r="X200" i="26"/>
  <c r="W200" i="26"/>
  <c r="V200" i="26"/>
  <c r="U200" i="26"/>
  <c r="T200" i="26"/>
  <c r="S200" i="26"/>
  <c r="R200" i="26"/>
  <c r="Q200" i="26"/>
  <c r="P200" i="26"/>
  <c r="O200" i="26"/>
  <c r="N200" i="26"/>
  <c r="M200" i="26"/>
  <c r="L200" i="26"/>
  <c r="K200" i="26"/>
  <c r="J200" i="26"/>
  <c r="I200" i="26"/>
  <c r="H200" i="26"/>
  <c r="G200" i="26"/>
  <c r="F200" i="26"/>
  <c r="E200" i="26"/>
  <c r="D200" i="26"/>
  <c r="C200" i="26"/>
  <c r="B200" i="26"/>
  <c r="BC199" i="26"/>
  <c r="BB199" i="26"/>
  <c r="BA199" i="26"/>
  <c r="AZ199" i="26"/>
  <c r="AY199" i="26"/>
  <c r="AX199" i="26"/>
  <c r="AW199" i="26"/>
  <c r="AV199" i="26"/>
  <c r="AU199" i="26"/>
  <c r="AT199" i="26"/>
  <c r="AS199" i="26"/>
  <c r="AR199" i="26"/>
  <c r="AQ199" i="26"/>
  <c r="AP199" i="26"/>
  <c r="AO199" i="26"/>
  <c r="AN199" i="26"/>
  <c r="AM199" i="26"/>
  <c r="AL199" i="26"/>
  <c r="AK199" i="26"/>
  <c r="AJ199" i="26"/>
  <c r="AI199" i="26"/>
  <c r="AH199" i="26"/>
  <c r="AG199" i="26"/>
  <c r="AF199" i="26"/>
  <c r="AE199" i="26"/>
  <c r="AD199" i="26"/>
  <c r="AC199" i="26"/>
  <c r="AB199" i="26"/>
  <c r="AA199" i="26"/>
  <c r="Z199" i="26"/>
  <c r="Y199" i="26"/>
  <c r="X199" i="26"/>
  <c r="W199" i="26"/>
  <c r="V199" i="26"/>
  <c r="U199" i="26"/>
  <c r="T199" i="26"/>
  <c r="S199" i="26"/>
  <c r="R199" i="26"/>
  <c r="Q199" i="26"/>
  <c r="P199" i="26"/>
  <c r="O199" i="26"/>
  <c r="N199" i="26"/>
  <c r="M199" i="26"/>
  <c r="L199" i="26"/>
  <c r="K199" i="26"/>
  <c r="J199" i="26"/>
  <c r="I199" i="26"/>
  <c r="H199" i="26"/>
  <c r="G199" i="26"/>
  <c r="F199" i="26"/>
  <c r="E199" i="26"/>
  <c r="D199" i="26"/>
  <c r="C199" i="26"/>
  <c r="B199" i="26"/>
  <c r="BC198" i="26"/>
  <c r="BB198" i="26"/>
  <c r="BA198" i="26"/>
  <c r="AZ198" i="26"/>
  <c r="AY198" i="26"/>
  <c r="AX198" i="26"/>
  <c r="AW198" i="26"/>
  <c r="AV198" i="26"/>
  <c r="AU198" i="26"/>
  <c r="AT198" i="26"/>
  <c r="AS198" i="26"/>
  <c r="AR198" i="26"/>
  <c r="AQ198" i="26"/>
  <c r="AP198" i="26"/>
  <c r="AO198" i="26"/>
  <c r="AN198" i="26"/>
  <c r="AM198" i="26"/>
  <c r="AL198" i="26"/>
  <c r="AK198" i="26"/>
  <c r="AJ198" i="26"/>
  <c r="AI198" i="26"/>
  <c r="AH198" i="26"/>
  <c r="AG198" i="26"/>
  <c r="AF198" i="26"/>
  <c r="AE198" i="26"/>
  <c r="AD198" i="26"/>
  <c r="AC198" i="26"/>
  <c r="AB198" i="26"/>
  <c r="AA198" i="26"/>
  <c r="Z198" i="26"/>
  <c r="Y198" i="26"/>
  <c r="X198" i="26"/>
  <c r="W198" i="26"/>
  <c r="V198" i="26"/>
  <c r="U198" i="26"/>
  <c r="T198" i="26"/>
  <c r="S198" i="26"/>
  <c r="R198" i="26"/>
  <c r="Q198" i="26"/>
  <c r="P198" i="26"/>
  <c r="O198" i="26"/>
  <c r="N198" i="26"/>
  <c r="M198" i="26"/>
  <c r="L198" i="26"/>
  <c r="K198" i="26"/>
  <c r="J198" i="26"/>
  <c r="I198" i="26"/>
  <c r="H198" i="26"/>
  <c r="G198" i="26"/>
  <c r="F198" i="26"/>
  <c r="E198" i="26"/>
  <c r="D198" i="26"/>
  <c r="C198" i="26"/>
  <c r="B198" i="26"/>
  <c r="BC197" i="26"/>
  <c r="BB197" i="26"/>
  <c r="BA197" i="26"/>
  <c r="AZ197" i="26"/>
  <c r="AY197" i="26"/>
  <c r="AX197" i="26"/>
  <c r="AW197" i="26"/>
  <c r="AV197" i="26"/>
  <c r="AU197" i="26"/>
  <c r="AT197" i="26"/>
  <c r="AS197" i="26"/>
  <c r="AR197" i="26"/>
  <c r="AQ197" i="26"/>
  <c r="AP197" i="26"/>
  <c r="AO197" i="26"/>
  <c r="AN197" i="26"/>
  <c r="AM197" i="26"/>
  <c r="AL197" i="26"/>
  <c r="AK197" i="26"/>
  <c r="AJ197" i="26"/>
  <c r="AI197" i="26"/>
  <c r="AH197" i="26"/>
  <c r="AG197" i="26"/>
  <c r="AF197" i="26"/>
  <c r="AE197" i="26"/>
  <c r="AD197" i="26"/>
  <c r="AC197" i="26"/>
  <c r="AB197" i="26"/>
  <c r="AA197" i="26"/>
  <c r="Z197" i="26"/>
  <c r="Y197" i="26"/>
  <c r="X197" i="26"/>
  <c r="W197" i="26"/>
  <c r="V197" i="26"/>
  <c r="U197" i="26"/>
  <c r="T197" i="26"/>
  <c r="S197" i="26"/>
  <c r="R197" i="26"/>
  <c r="Q197" i="26"/>
  <c r="P197" i="26"/>
  <c r="O197" i="26"/>
  <c r="N197" i="26"/>
  <c r="M197" i="26"/>
  <c r="L197" i="26"/>
  <c r="K197" i="26"/>
  <c r="J197" i="26"/>
  <c r="I197" i="26"/>
  <c r="H197" i="26"/>
  <c r="G197" i="26"/>
  <c r="F197" i="26"/>
  <c r="E197" i="26"/>
  <c r="D197" i="26"/>
  <c r="C197" i="26"/>
  <c r="B197" i="26"/>
  <c r="BC196" i="26"/>
  <c r="BB196" i="26"/>
  <c r="BA196" i="26"/>
  <c r="AZ196" i="26"/>
  <c r="AY196" i="26"/>
  <c r="AX196" i="26"/>
  <c r="AW196" i="26"/>
  <c r="AV196" i="26"/>
  <c r="AU196" i="26"/>
  <c r="AT196" i="26"/>
  <c r="AS196" i="26"/>
  <c r="AR196" i="26"/>
  <c r="AQ196" i="26"/>
  <c r="AP196" i="26"/>
  <c r="AO196" i="26"/>
  <c r="AN196" i="26"/>
  <c r="AM196" i="26"/>
  <c r="AL196" i="26"/>
  <c r="AK196" i="26"/>
  <c r="AJ196" i="26"/>
  <c r="AI196" i="26"/>
  <c r="AH196" i="26"/>
  <c r="AG196" i="26"/>
  <c r="AF196" i="26"/>
  <c r="AE196" i="26"/>
  <c r="AD196" i="26"/>
  <c r="AC196" i="26"/>
  <c r="AB196" i="26"/>
  <c r="AA196" i="26"/>
  <c r="Z196" i="26"/>
  <c r="Y196" i="26"/>
  <c r="X196" i="26"/>
  <c r="W196" i="26"/>
  <c r="V196" i="26"/>
  <c r="U196" i="26"/>
  <c r="T196" i="26"/>
  <c r="S196" i="26"/>
  <c r="R196" i="26"/>
  <c r="Q196" i="26"/>
  <c r="P196" i="26"/>
  <c r="O196" i="26"/>
  <c r="N196" i="26"/>
  <c r="M196" i="26"/>
  <c r="L196" i="26"/>
  <c r="K196" i="26"/>
  <c r="J196" i="26"/>
  <c r="I196" i="26"/>
  <c r="H196" i="26"/>
  <c r="G196" i="26"/>
  <c r="F196" i="26"/>
  <c r="E196" i="26"/>
  <c r="D196" i="26"/>
  <c r="C196" i="26"/>
  <c r="B196" i="26"/>
  <c r="BC195" i="26"/>
  <c r="BB195" i="26"/>
  <c r="BA195" i="26"/>
  <c r="AZ195" i="26"/>
  <c r="AY195" i="26"/>
  <c r="AX195" i="26"/>
  <c r="AW195" i="26"/>
  <c r="AV195" i="26"/>
  <c r="AU195" i="26"/>
  <c r="AT195" i="26"/>
  <c r="AS195" i="26"/>
  <c r="AR195" i="26"/>
  <c r="AQ195" i="26"/>
  <c r="AP195" i="26"/>
  <c r="AO195" i="26"/>
  <c r="AN195" i="26"/>
  <c r="AM195" i="26"/>
  <c r="AL195" i="26"/>
  <c r="AK195" i="26"/>
  <c r="AJ195" i="26"/>
  <c r="AI195" i="26"/>
  <c r="AH195" i="26"/>
  <c r="AG195" i="26"/>
  <c r="AF195" i="26"/>
  <c r="AE195" i="26"/>
  <c r="AD195" i="26"/>
  <c r="AC195" i="26"/>
  <c r="AB195" i="26"/>
  <c r="AA195" i="26"/>
  <c r="Z195" i="26"/>
  <c r="Y195" i="26"/>
  <c r="X195" i="26"/>
  <c r="W195" i="26"/>
  <c r="V195" i="26"/>
  <c r="U195" i="26"/>
  <c r="T195" i="26"/>
  <c r="S195" i="26"/>
  <c r="R195" i="26"/>
  <c r="Q195" i="26"/>
  <c r="P195" i="26"/>
  <c r="O195" i="26"/>
  <c r="N195" i="26"/>
  <c r="M195" i="26"/>
  <c r="L195" i="26"/>
  <c r="K195" i="26"/>
  <c r="J195" i="26"/>
  <c r="I195" i="26"/>
  <c r="H195" i="26"/>
  <c r="G195" i="26"/>
  <c r="F195" i="26"/>
  <c r="E195" i="26"/>
  <c r="D195" i="26"/>
  <c r="C195" i="26"/>
  <c r="B195" i="26"/>
  <c r="BC194" i="26"/>
  <c r="BB194" i="26"/>
  <c r="BA194" i="26"/>
  <c r="AZ194" i="26"/>
  <c r="AY194" i="26"/>
  <c r="AX194" i="26"/>
  <c r="AW194" i="26"/>
  <c r="AV194" i="26"/>
  <c r="AU194" i="26"/>
  <c r="AT194" i="26"/>
  <c r="AS194" i="26"/>
  <c r="AR194" i="26"/>
  <c r="AQ194" i="26"/>
  <c r="AP194" i="26"/>
  <c r="AO194" i="26"/>
  <c r="AN194" i="26"/>
  <c r="AM194" i="26"/>
  <c r="AL194" i="26"/>
  <c r="AK194" i="26"/>
  <c r="AJ194" i="26"/>
  <c r="AI194" i="26"/>
  <c r="AH194" i="26"/>
  <c r="AG194" i="26"/>
  <c r="AF194" i="26"/>
  <c r="AE194" i="26"/>
  <c r="AD194" i="26"/>
  <c r="AC194" i="26"/>
  <c r="AB194" i="26"/>
  <c r="AA194" i="26"/>
  <c r="Z194" i="26"/>
  <c r="Y194" i="26"/>
  <c r="X194" i="26"/>
  <c r="W194" i="26"/>
  <c r="V194" i="26"/>
  <c r="U194" i="26"/>
  <c r="T194" i="26"/>
  <c r="S194" i="26"/>
  <c r="R194" i="26"/>
  <c r="Q194" i="26"/>
  <c r="P194" i="26"/>
  <c r="O194" i="26"/>
  <c r="N194" i="26"/>
  <c r="M194" i="26"/>
  <c r="L194" i="26"/>
  <c r="K194" i="26"/>
  <c r="J194" i="26"/>
  <c r="I194" i="26"/>
  <c r="H194" i="26"/>
  <c r="G194" i="26"/>
  <c r="F194" i="26"/>
  <c r="E194" i="26"/>
  <c r="D194" i="26"/>
  <c r="C194" i="26"/>
  <c r="B194" i="26"/>
  <c r="BC193" i="26"/>
  <c r="BB193" i="26"/>
  <c r="BA193" i="26"/>
  <c r="AZ193" i="26"/>
  <c r="AY193" i="26"/>
  <c r="AX193" i="26"/>
  <c r="AW193" i="26"/>
  <c r="AV193" i="26"/>
  <c r="AU193" i="26"/>
  <c r="AT193" i="26"/>
  <c r="AS193" i="26"/>
  <c r="AR193" i="26"/>
  <c r="AQ193" i="26"/>
  <c r="AP193" i="26"/>
  <c r="AO193" i="26"/>
  <c r="AN193" i="26"/>
  <c r="AM193" i="26"/>
  <c r="AL193" i="26"/>
  <c r="AK193" i="26"/>
  <c r="AJ193" i="26"/>
  <c r="AI193" i="26"/>
  <c r="AH193" i="26"/>
  <c r="AG193" i="26"/>
  <c r="AF193" i="26"/>
  <c r="AE193" i="26"/>
  <c r="AD193" i="26"/>
  <c r="AC193" i="26"/>
  <c r="AB193" i="26"/>
  <c r="AA193" i="26"/>
  <c r="Z193" i="26"/>
  <c r="Y193" i="26"/>
  <c r="X193" i="26"/>
  <c r="W193" i="26"/>
  <c r="V193" i="26"/>
  <c r="U193" i="26"/>
  <c r="T193" i="26"/>
  <c r="S193" i="26"/>
  <c r="R193" i="26"/>
  <c r="Q193" i="26"/>
  <c r="P193" i="26"/>
  <c r="O193" i="26"/>
  <c r="N193" i="26"/>
  <c r="M193" i="26"/>
  <c r="L193" i="26"/>
  <c r="K193" i="26"/>
  <c r="J193" i="26"/>
  <c r="I193" i="26"/>
  <c r="H193" i="26"/>
  <c r="G193" i="26"/>
  <c r="F193" i="26"/>
  <c r="E193" i="26"/>
  <c r="D193" i="26"/>
  <c r="C193" i="26"/>
  <c r="B193" i="26"/>
  <c r="BC192" i="26"/>
  <c r="BB192" i="26"/>
  <c r="BA192" i="26"/>
  <c r="AZ192" i="26"/>
  <c r="AY192" i="26"/>
  <c r="AX192" i="26"/>
  <c r="AW192" i="26"/>
  <c r="AV192" i="26"/>
  <c r="AU192" i="26"/>
  <c r="AT192" i="26"/>
  <c r="AS192" i="26"/>
  <c r="AR192" i="26"/>
  <c r="AQ192" i="26"/>
  <c r="AP192" i="26"/>
  <c r="AO192" i="26"/>
  <c r="AN192" i="26"/>
  <c r="AM192" i="26"/>
  <c r="AL192" i="26"/>
  <c r="AK192" i="26"/>
  <c r="AJ192" i="26"/>
  <c r="AI192" i="26"/>
  <c r="AH192" i="26"/>
  <c r="AG192" i="26"/>
  <c r="AF192" i="26"/>
  <c r="AE192" i="26"/>
  <c r="AD192" i="26"/>
  <c r="AC192" i="26"/>
  <c r="AB192" i="26"/>
  <c r="AA192" i="26"/>
  <c r="Z192" i="26"/>
  <c r="Y192" i="26"/>
  <c r="X192" i="26"/>
  <c r="W192" i="26"/>
  <c r="V192" i="26"/>
  <c r="U192" i="26"/>
  <c r="T192" i="26"/>
  <c r="S192" i="26"/>
  <c r="R192" i="26"/>
  <c r="Q192" i="26"/>
  <c r="P192" i="26"/>
  <c r="O192" i="26"/>
  <c r="N192" i="26"/>
  <c r="M192" i="26"/>
  <c r="L192" i="26"/>
  <c r="K192" i="26"/>
  <c r="J192" i="26"/>
  <c r="I192" i="26"/>
  <c r="H192" i="26"/>
  <c r="G192" i="26"/>
  <c r="F192" i="26"/>
  <c r="E192" i="26"/>
  <c r="D192" i="26"/>
  <c r="C192" i="26"/>
  <c r="B192" i="26"/>
  <c r="BC191" i="26"/>
  <c r="BB191" i="26"/>
  <c r="BA191" i="26"/>
  <c r="AZ191" i="26"/>
  <c r="AY191" i="26"/>
  <c r="AX191" i="26"/>
  <c r="AW191" i="26"/>
  <c r="AV191" i="26"/>
  <c r="AU191" i="26"/>
  <c r="AT191" i="26"/>
  <c r="AS191" i="26"/>
  <c r="AR191" i="26"/>
  <c r="AQ191" i="26"/>
  <c r="AP191" i="26"/>
  <c r="AO191" i="26"/>
  <c r="AN191" i="26"/>
  <c r="AM191" i="26"/>
  <c r="AL191" i="26"/>
  <c r="AK191" i="26"/>
  <c r="AJ191" i="26"/>
  <c r="AI191" i="26"/>
  <c r="AH191" i="26"/>
  <c r="AG191" i="26"/>
  <c r="AF191" i="26"/>
  <c r="AE191" i="26"/>
  <c r="AD191" i="26"/>
  <c r="AC191" i="26"/>
  <c r="AB191" i="26"/>
  <c r="AA191" i="26"/>
  <c r="Z191" i="26"/>
  <c r="Y191" i="26"/>
  <c r="X191" i="26"/>
  <c r="W191" i="26"/>
  <c r="V191" i="26"/>
  <c r="U191" i="26"/>
  <c r="T191" i="26"/>
  <c r="S191" i="26"/>
  <c r="R191" i="26"/>
  <c r="Q191" i="26"/>
  <c r="P191" i="26"/>
  <c r="O191" i="26"/>
  <c r="N191" i="26"/>
  <c r="M191" i="26"/>
  <c r="L191" i="26"/>
  <c r="K191" i="26"/>
  <c r="J191" i="26"/>
  <c r="I191" i="26"/>
  <c r="H191" i="26"/>
  <c r="G191" i="26"/>
  <c r="F191" i="26"/>
  <c r="E191" i="26"/>
  <c r="D191" i="26"/>
  <c r="C191" i="26"/>
  <c r="B191" i="26"/>
  <c r="BC190" i="26"/>
  <c r="BB190" i="26"/>
  <c r="BA190" i="26"/>
  <c r="AZ190" i="26"/>
  <c r="AY190" i="26"/>
  <c r="AX190" i="26"/>
  <c r="AW190" i="26"/>
  <c r="AV190" i="26"/>
  <c r="AU190" i="26"/>
  <c r="AT190" i="26"/>
  <c r="AS190" i="26"/>
  <c r="AR190" i="26"/>
  <c r="AQ190" i="26"/>
  <c r="AP190" i="26"/>
  <c r="AO190" i="26"/>
  <c r="AN190" i="26"/>
  <c r="AM190" i="26"/>
  <c r="AL190" i="26"/>
  <c r="AK190" i="26"/>
  <c r="AJ190" i="26"/>
  <c r="AI190" i="26"/>
  <c r="AH190" i="26"/>
  <c r="AG190" i="26"/>
  <c r="AF190" i="26"/>
  <c r="AE190" i="26"/>
  <c r="AD190" i="26"/>
  <c r="AC190" i="26"/>
  <c r="AB190" i="26"/>
  <c r="AA190" i="26"/>
  <c r="Z190" i="26"/>
  <c r="Y190" i="26"/>
  <c r="X190" i="26"/>
  <c r="W190" i="26"/>
  <c r="V190" i="26"/>
  <c r="U190" i="26"/>
  <c r="T190" i="26"/>
  <c r="S190" i="26"/>
  <c r="R190" i="26"/>
  <c r="Q190" i="26"/>
  <c r="P190" i="26"/>
  <c r="O190" i="26"/>
  <c r="N190" i="26"/>
  <c r="M190" i="26"/>
  <c r="L190" i="26"/>
  <c r="K190" i="26"/>
  <c r="J190" i="26"/>
  <c r="I190" i="26"/>
  <c r="H190" i="26"/>
  <c r="G190" i="26"/>
  <c r="F190" i="26"/>
  <c r="E190" i="26"/>
  <c r="D190" i="26"/>
  <c r="C190" i="26"/>
  <c r="B190" i="26"/>
  <c r="BC189" i="26"/>
  <c r="BB189" i="26"/>
  <c r="BA189" i="26"/>
  <c r="AZ189" i="26"/>
  <c r="AY189" i="26"/>
  <c r="AX189" i="26"/>
  <c r="AW189" i="26"/>
  <c r="AV189" i="26"/>
  <c r="AU189" i="26"/>
  <c r="AT189" i="26"/>
  <c r="AS189" i="26"/>
  <c r="AR189" i="26"/>
  <c r="AQ189" i="26"/>
  <c r="AP189" i="26"/>
  <c r="AO189" i="26"/>
  <c r="AN189" i="26"/>
  <c r="AM189" i="26"/>
  <c r="AL189" i="26"/>
  <c r="AK189" i="26"/>
  <c r="AJ189" i="26"/>
  <c r="AI189" i="26"/>
  <c r="AH189" i="26"/>
  <c r="AG189" i="26"/>
  <c r="AF189" i="26"/>
  <c r="AE189" i="26"/>
  <c r="AD189" i="26"/>
  <c r="AC189" i="26"/>
  <c r="AB189" i="26"/>
  <c r="AA189" i="26"/>
  <c r="Z189" i="26"/>
  <c r="Y189" i="26"/>
  <c r="X189" i="26"/>
  <c r="W189" i="26"/>
  <c r="V189" i="26"/>
  <c r="U189" i="26"/>
  <c r="T189" i="26"/>
  <c r="S189" i="26"/>
  <c r="R189" i="26"/>
  <c r="Q189" i="26"/>
  <c r="P189" i="26"/>
  <c r="O189" i="26"/>
  <c r="N189" i="26"/>
  <c r="M189" i="26"/>
  <c r="L189" i="26"/>
  <c r="K189" i="26"/>
  <c r="J189" i="26"/>
  <c r="I189" i="26"/>
  <c r="H189" i="26"/>
  <c r="G189" i="26"/>
  <c r="F189" i="26"/>
  <c r="E189" i="26"/>
  <c r="D189" i="26"/>
  <c r="C189" i="26"/>
  <c r="B189" i="26"/>
  <c r="BC188" i="26"/>
  <c r="BB188" i="26"/>
  <c r="BA188" i="26"/>
  <c r="AZ188" i="26"/>
  <c r="AY188" i="26"/>
  <c r="AX188" i="26"/>
  <c r="AW188" i="26"/>
  <c r="AV188" i="26"/>
  <c r="AU188" i="26"/>
  <c r="AT188" i="26"/>
  <c r="AS188" i="26"/>
  <c r="AR188" i="26"/>
  <c r="AQ188" i="26"/>
  <c r="AP188" i="26"/>
  <c r="AO188" i="26"/>
  <c r="AN188" i="26"/>
  <c r="AM188" i="26"/>
  <c r="AL188" i="26"/>
  <c r="AK188" i="26"/>
  <c r="AJ188" i="26"/>
  <c r="AI188" i="26"/>
  <c r="AH188" i="26"/>
  <c r="AG188" i="26"/>
  <c r="AF188" i="26"/>
  <c r="AE188" i="26"/>
  <c r="AD188" i="26"/>
  <c r="AC188" i="26"/>
  <c r="AB188" i="26"/>
  <c r="AA188" i="26"/>
  <c r="Z188" i="26"/>
  <c r="Y188" i="26"/>
  <c r="X188" i="26"/>
  <c r="W188" i="26"/>
  <c r="V188" i="26"/>
  <c r="U188" i="26"/>
  <c r="T188" i="26"/>
  <c r="S188" i="26"/>
  <c r="R188" i="26"/>
  <c r="Q188" i="26"/>
  <c r="P188" i="26"/>
  <c r="O188" i="26"/>
  <c r="N188" i="26"/>
  <c r="M188" i="26"/>
  <c r="L188" i="26"/>
  <c r="K188" i="26"/>
  <c r="J188" i="26"/>
  <c r="I188" i="26"/>
  <c r="H188" i="26"/>
  <c r="G188" i="26"/>
  <c r="F188" i="26"/>
  <c r="E188" i="26"/>
  <c r="D188" i="26"/>
  <c r="C188" i="26"/>
  <c r="B188" i="26"/>
  <c r="BC187" i="26"/>
  <c r="BB187" i="26"/>
  <c r="BA187" i="26"/>
  <c r="AZ187" i="26"/>
  <c r="AY187" i="26"/>
  <c r="AX187" i="26"/>
  <c r="AW187" i="26"/>
  <c r="AV187" i="26"/>
  <c r="AU187" i="26"/>
  <c r="AT187" i="26"/>
  <c r="AS187" i="26"/>
  <c r="AR187" i="26"/>
  <c r="AQ187" i="26"/>
  <c r="AP187" i="26"/>
  <c r="AO187" i="26"/>
  <c r="AN187" i="26"/>
  <c r="AM187" i="26"/>
  <c r="AL187" i="26"/>
  <c r="AK187" i="26"/>
  <c r="AJ187" i="26"/>
  <c r="AI187" i="26"/>
  <c r="AH187" i="26"/>
  <c r="AG187" i="26"/>
  <c r="AF187" i="26"/>
  <c r="AE187" i="26"/>
  <c r="AD187" i="26"/>
  <c r="AC187" i="26"/>
  <c r="AB187" i="26"/>
  <c r="AA187" i="26"/>
  <c r="Z187" i="26"/>
  <c r="Y187" i="26"/>
  <c r="X187" i="26"/>
  <c r="W187" i="26"/>
  <c r="V187" i="26"/>
  <c r="U187" i="26"/>
  <c r="T187" i="26"/>
  <c r="S187" i="26"/>
  <c r="R187" i="26"/>
  <c r="Q187" i="26"/>
  <c r="P187" i="26"/>
  <c r="O187" i="26"/>
  <c r="N187" i="26"/>
  <c r="M187" i="26"/>
  <c r="L187" i="26"/>
  <c r="K187" i="26"/>
  <c r="J187" i="26"/>
  <c r="I187" i="26"/>
  <c r="H187" i="26"/>
  <c r="G187" i="26"/>
  <c r="F187" i="26"/>
  <c r="E187" i="26"/>
  <c r="D187" i="26"/>
  <c r="C187" i="26"/>
  <c r="B187" i="26"/>
  <c r="BC186" i="26"/>
  <c r="BB186" i="26"/>
  <c r="BA186" i="26"/>
  <c r="AZ186" i="26"/>
  <c r="AY186" i="26"/>
  <c r="AX186" i="26"/>
  <c r="AW186" i="26"/>
  <c r="AV186" i="26"/>
  <c r="AU186" i="26"/>
  <c r="AT186" i="26"/>
  <c r="AS186" i="26"/>
  <c r="AR186" i="26"/>
  <c r="AQ186" i="26"/>
  <c r="AP186" i="26"/>
  <c r="AO186" i="26"/>
  <c r="AN186" i="26"/>
  <c r="AM186" i="26"/>
  <c r="AL186" i="26"/>
  <c r="AK186" i="26"/>
  <c r="AJ186" i="26"/>
  <c r="AI186" i="26"/>
  <c r="AH186" i="26"/>
  <c r="AG186" i="26"/>
  <c r="AF186" i="26"/>
  <c r="AE186" i="26"/>
  <c r="AD186" i="26"/>
  <c r="AC186" i="26"/>
  <c r="AB186" i="26"/>
  <c r="AA186" i="26"/>
  <c r="Z186" i="26"/>
  <c r="Y186" i="26"/>
  <c r="X186" i="26"/>
  <c r="W186" i="26"/>
  <c r="V186" i="26"/>
  <c r="U186" i="26"/>
  <c r="T186" i="26"/>
  <c r="S186" i="26"/>
  <c r="R186" i="26"/>
  <c r="Q186" i="26"/>
  <c r="P186" i="26"/>
  <c r="O186" i="26"/>
  <c r="N186" i="26"/>
  <c r="M186" i="26"/>
  <c r="L186" i="26"/>
  <c r="K186" i="26"/>
  <c r="J186" i="26"/>
  <c r="I186" i="26"/>
  <c r="H186" i="26"/>
  <c r="G186" i="26"/>
  <c r="F186" i="26"/>
  <c r="E186" i="26"/>
  <c r="D186" i="26"/>
  <c r="C186" i="26"/>
  <c r="B186" i="26"/>
  <c r="BC185" i="26"/>
  <c r="BB185" i="26"/>
  <c r="BA185" i="26"/>
  <c r="AZ185" i="26"/>
  <c r="AY185" i="26"/>
  <c r="AX185" i="26"/>
  <c r="AW185" i="26"/>
  <c r="AV185" i="26"/>
  <c r="AU185" i="26"/>
  <c r="AT185" i="26"/>
  <c r="AS185" i="26"/>
  <c r="AR185" i="26"/>
  <c r="AQ185" i="26"/>
  <c r="AP185" i="26"/>
  <c r="AO185" i="26"/>
  <c r="AN185" i="26"/>
  <c r="AM185" i="26"/>
  <c r="AL185" i="26"/>
  <c r="AK185" i="26"/>
  <c r="AJ185" i="26"/>
  <c r="AI185" i="26"/>
  <c r="AH185" i="26"/>
  <c r="AG185" i="26"/>
  <c r="AF185" i="26"/>
  <c r="AE185" i="26"/>
  <c r="AD185" i="26"/>
  <c r="AC185" i="26"/>
  <c r="AB185" i="26"/>
  <c r="AA185" i="26"/>
  <c r="Z185" i="26"/>
  <c r="Y185" i="26"/>
  <c r="X185" i="26"/>
  <c r="W185" i="26"/>
  <c r="V185" i="26"/>
  <c r="U185" i="26"/>
  <c r="T185" i="26"/>
  <c r="S185" i="26"/>
  <c r="R185" i="26"/>
  <c r="Q185" i="26"/>
  <c r="P185" i="26"/>
  <c r="O185" i="26"/>
  <c r="N185" i="26"/>
  <c r="M185" i="26"/>
  <c r="L185" i="26"/>
  <c r="K185" i="26"/>
  <c r="J185" i="26"/>
  <c r="I185" i="26"/>
  <c r="H185" i="26"/>
  <c r="G185" i="26"/>
  <c r="F185" i="26"/>
  <c r="E185" i="26"/>
  <c r="D185" i="26"/>
  <c r="C185" i="26"/>
  <c r="B185" i="26"/>
  <c r="BC184" i="26"/>
  <c r="BB184" i="26"/>
  <c r="BA184" i="26"/>
  <c r="AZ184" i="26"/>
  <c r="AY184" i="26"/>
  <c r="AX184" i="26"/>
  <c r="AW184" i="26"/>
  <c r="AV184" i="26"/>
  <c r="AU184" i="26"/>
  <c r="AT184" i="26"/>
  <c r="AS184" i="26"/>
  <c r="AR184" i="26"/>
  <c r="AQ184" i="26"/>
  <c r="AP184" i="26"/>
  <c r="AO184" i="26"/>
  <c r="AN184" i="26"/>
  <c r="AM184" i="26"/>
  <c r="AL184" i="26"/>
  <c r="AK184" i="26"/>
  <c r="AJ184" i="26"/>
  <c r="AI184" i="26"/>
  <c r="AH184" i="26"/>
  <c r="AG184" i="26"/>
  <c r="AF184" i="26"/>
  <c r="AE184" i="26"/>
  <c r="AD184" i="26"/>
  <c r="AC184" i="26"/>
  <c r="AB184" i="26"/>
  <c r="AA184" i="26"/>
  <c r="Z184" i="26"/>
  <c r="Y184" i="26"/>
  <c r="X184" i="26"/>
  <c r="W184" i="26"/>
  <c r="V184" i="26"/>
  <c r="U184" i="26"/>
  <c r="T184" i="26"/>
  <c r="S184" i="26"/>
  <c r="R184" i="26"/>
  <c r="Q184" i="26"/>
  <c r="P184" i="26"/>
  <c r="O184" i="26"/>
  <c r="N184" i="26"/>
  <c r="M184" i="26"/>
  <c r="L184" i="26"/>
  <c r="K184" i="26"/>
  <c r="J184" i="26"/>
  <c r="I184" i="26"/>
  <c r="H184" i="26"/>
  <c r="G184" i="26"/>
  <c r="F184" i="26"/>
  <c r="E184" i="26"/>
  <c r="D184" i="26"/>
  <c r="C184" i="26"/>
  <c r="B184" i="26"/>
  <c r="BC183" i="26"/>
  <c r="BB183" i="26"/>
  <c r="BA183" i="26"/>
  <c r="AZ183" i="26"/>
  <c r="AY183" i="26"/>
  <c r="AX183" i="26"/>
  <c r="AW183" i="26"/>
  <c r="AV183" i="26"/>
  <c r="AU183" i="26"/>
  <c r="AT183" i="26"/>
  <c r="AS183" i="26"/>
  <c r="AR183" i="26"/>
  <c r="AQ183" i="26"/>
  <c r="AP183" i="26"/>
  <c r="AO183" i="26"/>
  <c r="AN183" i="26"/>
  <c r="AM183" i="26"/>
  <c r="AL183" i="26"/>
  <c r="AK183" i="26"/>
  <c r="AJ183" i="26"/>
  <c r="AI183" i="26"/>
  <c r="AH183" i="26"/>
  <c r="AG183" i="26"/>
  <c r="AF183" i="26"/>
  <c r="AE183" i="26"/>
  <c r="AD183" i="26"/>
  <c r="AC183" i="26"/>
  <c r="AB183" i="26"/>
  <c r="AA183" i="26"/>
  <c r="Z183" i="26"/>
  <c r="Y183" i="26"/>
  <c r="X183" i="26"/>
  <c r="W183" i="26"/>
  <c r="V183" i="26"/>
  <c r="U183" i="26"/>
  <c r="T183" i="26"/>
  <c r="S183" i="26"/>
  <c r="R183" i="26"/>
  <c r="Q183" i="26"/>
  <c r="P183" i="26"/>
  <c r="O183" i="26"/>
  <c r="N183" i="26"/>
  <c r="M183" i="26"/>
  <c r="L183" i="26"/>
  <c r="K183" i="26"/>
  <c r="J183" i="26"/>
  <c r="I183" i="26"/>
  <c r="H183" i="26"/>
  <c r="G183" i="26"/>
  <c r="F183" i="26"/>
  <c r="E183" i="26"/>
  <c r="D183" i="26"/>
  <c r="C183" i="26"/>
  <c r="B183" i="26"/>
  <c r="BC182" i="26"/>
  <c r="BB182" i="26"/>
  <c r="BA182" i="26"/>
  <c r="AZ182" i="26"/>
  <c r="AY182" i="26"/>
  <c r="AX182" i="26"/>
  <c r="AW182" i="26"/>
  <c r="AV182" i="26"/>
  <c r="AU182" i="26"/>
  <c r="AT182" i="26"/>
  <c r="AS182" i="26"/>
  <c r="AR182" i="26"/>
  <c r="AQ182" i="26"/>
  <c r="AP182" i="26"/>
  <c r="AO182" i="26"/>
  <c r="AN182" i="26"/>
  <c r="AM182" i="26"/>
  <c r="AL182" i="26"/>
  <c r="AK182" i="26"/>
  <c r="AJ182" i="26"/>
  <c r="AI182" i="26"/>
  <c r="AH182" i="26"/>
  <c r="AG182" i="26"/>
  <c r="AF182" i="26"/>
  <c r="AE182" i="26"/>
  <c r="AD182" i="26"/>
  <c r="AC182" i="26"/>
  <c r="AB182" i="26"/>
  <c r="AA182" i="26"/>
  <c r="Z182" i="26"/>
  <c r="Y182" i="26"/>
  <c r="X182" i="26"/>
  <c r="W182" i="26"/>
  <c r="V182" i="26"/>
  <c r="U182" i="26"/>
  <c r="T182" i="26"/>
  <c r="S182" i="26"/>
  <c r="R182" i="26"/>
  <c r="Q182" i="26"/>
  <c r="P182" i="26"/>
  <c r="O182" i="26"/>
  <c r="N182" i="26"/>
  <c r="M182" i="26"/>
  <c r="L182" i="26"/>
  <c r="K182" i="26"/>
  <c r="J182" i="26"/>
  <c r="I182" i="26"/>
  <c r="H182" i="26"/>
  <c r="G182" i="26"/>
  <c r="F182" i="26"/>
  <c r="E182" i="26"/>
  <c r="D182" i="26"/>
  <c r="C182" i="26"/>
  <c r="B182" i="26"/>
  <c r="BC181" i="26"/>
  <c r="BB181" i="26"/>
  <c r="BA181" i="26"/>
  <c r="AZ181" i="26"/>
  <c r="AY181" i="26"/>
  <c r="AX181" i="26"/>
  <c r="AW181" i="26"/>
  <c r="AV181" i="26"/>
  <c r="AU181" i="26"/>
  <c r="AT181" i="26"/>
  <c r="AS181" i="26"/>
  <c r="AR181" i="26"/>
  <c r="AQ181" i="26"/>
  <c r="AP181" i="26"/>
  <c r="AO181" i="26"/>
  <c r="AN181" i="26"/>
  <c r="AM181" i="26"/>
  <c r="AL181" i="26"/>
  <c r="AK181" i="26"/>
  <c r="AJ181" i="26"/>
  <c r="AI181" i="26"/>
  <c r="AH181" i="26"/>
  <c r="AG181" i="26"/>
  <c r="AF181" i="26"/>
  <c r="AE181" i="26"/>
  <c r="AD181" i="26"/>
  <c r="AC181" i="26"/>
  <c r="AB181" i="26"/>
  <c r="AA181" i="26"/>
  <c r="Z181" i="26"/>
  <c r="Y181" i="26"/>
  <c r="X181" i="26"/>
  <c r="W181" i="26"/>
  <c r="V181" i="26"/>
  <c r="U181" i="26"/>
  <c r="T181" i="26"/>
  <c r="S181" i="26"/>
  <c r="R181" i="26"/>
  <c r="Q181" i="26"/>
  <c r="P181" i="26"/>
  <c r="O181" i="26"/>
  <c r="N181" i="26"/>
  <c r="M181" i="26"/>
  <c r="L181" i="26"/>
  <c r="K181" i="26"/>
  <c r="J181" i="26"/>
  <c r="I181" i="26"/>
  <c r="H181" i="26"/>
  <c r="G181" i="26"/>
  <c r="F181" i="26"/>
  <c r="E181" i="26"/>
  <c r="D181" i="26"/>
  <c r="C181" i="26"/>
  <c r="B181" i="26"/>
  <c r="BC180" i="26"/>
  <c r="BB180" i="26"/>
  <c r="BA180" i="26"/>
  <c r="AZ180" i="26"/>
  <c r="AY180" i="26"/>
  <c r="AX180" i="26"/>
  <c r="AW180" i="26"/>
  <c r="AV180" i="26"/>
  <c r="AU180" i="26"/>
  <c r="AT180" i="26"/>
  <c r="AS180" i="26"/>
  <c r="AR180" i="26"/>
  <c r="AQ180" i="26"/>
  <c r="AP180" i="26"/>
  <c r="AO180" i="26"/>
  <c r="AN180" i="26"/>
  <c r="AM180" i="26"/>
  <c r="AL180" i="26"/>
  <c r="AK180" i="26"/>
  <c r="AJ180" i="26"/>
  <c r="AI180" i="26"/>
  <c r="AH180" i="26"/>
  <c r="AG180" i="26"/>
  <c r="AF180" i="26"/>
  <c r="AE180" i="26"/>
  <c r="AD180" i="26"/>
  <c r="AC180" i="26"/>
  <c r="AB180" i="26"/>
  <c r="AA180" i="26"/>
  <c r="Z180" i="26"/>
  <c r="Y180" i="26"/>
  <c r="X180" i="26"/>
  <c r="W180" i="26"/>
  <c r="V180" i="26"/>
  <c r="U180" i="26"/>
  <c r="T180" i="26"/>
  <c r="S180" i="26"/>
  <c r="R180" i="26"/>
  <c r="Q180" i="26"/>
  <c r="P180" i="26"/>
  <c r="O180" i="26"/>
  <c r="N180" i="26"/>
  <c r="M180" i="26"/>
  <c r="L180" i="26"/>
  <c r="K180" i="26"/>
  <c r="J180" i="26"/>
  <c r="I180" i="26"/>
  <c r="H180" i="26"/>
  <c r="G180" i="26"/>
  <c r="F180" i="26"/>
  <c r="E180" i="26"/>
  <c r="D180" i="26"/>
  <c r="C180" i="26"/>
  <c r="B180" i="26"/>
  <c r="BC179" i="26"/>
  <c r="BB179" i="26"/>
  <c r="BA179" i="26"/>
  <c r="AZ179" i="26"/>
  <c r="AY179" i="26"/>
  <c r="AX179" i="26"/>
  <c r="AW179" i="26"/>
  <c r="AV179" i="26"/>
  <c r="AU179" i="26"/>
  <c r="AT179" i="26"/>
  <c r="AS179" i="26"/>
  <c r="AR179" i="26"/>
  <c r="AQ179" i="26"/>
  <c r="AP179" i="26"/>
  <c r="AO179" i="26"/>
  <c r="AN179" i="26"/>
  <c r="AM179" i="26"/>
  <c r="AL179" i="26"/>
  <c r="AK179" i="26"/>
  <c r="AJ179" i="26"/>
  <c r="AI179" i="26"/>
  <c r="AH179" i="26"/>
  <c r="AG179" i="26"/>
  <c r="AF179" i="26"/>
  <c r="AE179" i="26"/>
  <c r="AD179" i="26"/>
  <c r="AC179" i="26"/>
  <c r="AB179" i="26"/>
  <c r="AA179" i="26"/>
  <c r="Z179" i="26"/>
  <c r="Y179" i="26"/>
  <c r="X179" i="26"/>
  <c r="W179" i="26"/>
  <c r="V179" i="26"/>
  <c r="U179" i="26"/>
  <c r="T179" i="26"/>
  <c r="S179" i="26"/>
  <c r="R179" i="26"/>
  <c r="Q179" i="26"/>
  <c r="P179" i="26"/>
  <c r="O179" i="26"/>
  <c r="N179" i="26"/>
  <c r="M179" i="26"/>
  <c r="L179" i="26"/>
  <c r="K179" i="26"/>
  <c r="J179" i="26"/>
  <c r="I179" i="26"/>
  <c r="H179" i="26"/>
  <c r="G179" i="26"/>
  <c r="F179" i="26"/>
  <c r="E179" i="26"/>
  <c r="D179" i="26"/>
  <c r="C179" i="26"/>
  <c r="B179" i="26"/>
  <c r="BC178" i="26"/>
  <c r="BB178" i="26"/>
  <c r="BA178" i="26"/>
  <c r="AZ178" i="26"/>
  <c r="AY178" i="26"/>
  <c r="AX178" i="26"/>
  <c r="AW178" i="26"/>
  <c r="AV178" i="26"/>
  <c r="AU178" i="26"/>
  <c r="AT178" i="26"/>
  <c r="AS178" i="26"/>
  <c r="AR178" i="26"/>
  <c r="AQ178" i="26"/>
  <c r="AP178" i="26"/>
  <c r="AO178" i="26"/>
  <c r="AN178" i="26"/>
  <c r="AM178" i="26"/>
  <c r="AL178" i="26"/>
  <c r="AK178" i="26"/>
  <c r="AJ178" i="26"/>
  <c r="AI178" i="26"/>
  <c r="AH178" i="26"/>
  <c r="AG178" i="26"/>
  <c r="AF178" i="26"/>
  <c r="AE178" i="26"/>
  <c r="AD178" i="26"/>
  <c r="AC178" i="26"/>
  <c r="AB178" i="26"/>
  <c r="AA178" i="26"/>
  <c r="Z178" i="26"/>
  <c r="Y178" i="26"/>
  <c r="X178" i="26"/>
  <c r="W178" i="26"/>
  <c r="V178" i="26"/>
  <c r="U178" i="26"/>
  <c r="T178" i="26"/>
  <c r="S178" i="26"/>
  <c r="R178" i="26"/>
  <c r="Q178" i="26"/>
  <c r="P178" i="26"/>
  <c r="O178" i="26"/>
  <c r="N178" i="26"/>
  <c r="M178" i="26"/>
  <c r="L178" i="26"/>
  <c r="K178" i="26"/>
  <c r="J178" i="26"/>
  <c r="I178" i="26"/>
  <c r="H178" i="26"/>
  <c r="G178" i="26"/>
  <c r="F178" i="26"/>
  <c r="E178" i="26"/>
  <c r="D178" i="26"/>
  <c r="C178" i="26"/>
  <c r="B178" i="26"/>
  <c r="BC177" i="26"/>
  <c r="BB177" i="26"/>
  <c r="BA177" i="26"/>
  <c r="AZ177" i="26"/>
  <c r="AY177" i="26"/>
  <c r="AX177" i="26"/>
  <c r="AW177" i="26"/>
  <c r="AV177" i="26"/>
  <c r="AU177" i="26"/>
  <c r="AT177" i="26"/>
  <c r="AS177" i="26"/>
  <c r="AR177" i="26"/>
  <c r="AQ177" i="26"/>
  <c r="AP177" i="26"/>
  <c r="AO177" i="26"/>
  <c r="AN177" i="26"/>
  <c r="AM177" i="26"/>
  <c r="AL177" i="26"/>
  <c r="AK177" i="26"/>
  <c r="AJ177" i="26"/>
  <c r="AI177" i="26"/>
  <c r="AH177" i="26"/>
  <c r="AG177" i="26"/>
  <c r="AF177" i="26"/>
  <c r="AE177" i="26"/>
  <c r="AD177" i="26"/>
  <c r="AC177" i="26"/>
  <c r="AB177" i="26"/>
  <c r="AA177" i="26"/>
  <c r="Z177" i="26"/>
  <c r="Y177" i="26"/>
  <c r="X177" i="26"/>
  <c r="W177" i="26"/>
  <c r="V177" i="26"/>
  <c r="U177" i="26"/>
  <c r="T177" i="26"/>
  <c r="S177" i="26"/>
  <c r="R177" i="26"/>
  <c r="Q177" i="26"/>
  <c r="P177" i="26"/>
  <c r="O177" i="26"/>
  <c r="N177" i="26"/>
  <c r="M177" i="26"/>
  <c r="L177" i="26"/>
  <c r="K177" i="26"/>
  <c r="J177" i="26"/>
  <c r="I177" i="26"/>
  <c r="H177" i="26"/>
  <c r="G177" i="26"/>
  <c r="F177" i="26"/>
  <c r="E177" i="26"/>
  <c r="D177" i="26"/>
  <c r="C177" i="26"/>
  <c r="B177" i="26"/>
  <c r="BC176" i="26"/>
  <c r="BB176" i="26"/>
  <c r="BA176" i="26"/>
  <c r="AZ176" i="26"/>
  <c r="AY176" i="26"/>
  <c r="AX176" i="26"/>
  <c r="AW176" i="26"/>
  <c r="AV176" i="26"/>
  <c r="AU176" i="26"/>
  <c r="AT176" i="26"/>
  <c r="AS176" i="26"/>
  <c r="AR176" i="26"/>
  <c r="AQ176" i="26"/>
  <c r="AP176" i="26"/>
  <c r="AO176" i="26"/>
  <c r="AN176" i="26"/>
  <c r="AM176" i="26"/>
  <c r="AL176" i="26"/>
  <c r="AK176" i="26"/>
  <c r="AJ176" i="26"/>
  <c r="AI176" i="26"/>
  <c r="AH176" i="26"/>
  <c r="AG176" i="26"/>
  <c r="AF176" i="26"/>
  <c r="AE176" i="26"/>
  <c r="AD176" i="26"/>
  <c r="AC176" i="26"/>
  <c r="AB176" i="26"/>
  <c r="AA176" i="26"/>
  <c r="Z176" i="26"/>
  <c r="Y176" i="26"/>
  <c r="X176" i="26"/>
  <c r="W176" i="26"/>
  <c r="V176" i="26"/>
  <c r="U176" i="26"/>
  <c r="T176" i="26"/>
  <c r="S176" i="26"/>
  <c r="R176" i="26"/>
  <c r="Q176" i="26"/>
  <c r="P176" i="26"/>
  <c r="O176" i="26"/>
  <c r="N176" i="26"/>
  <c r="M176" i="26"/>
  <c r="L176" i="26"/>
  <c r="K176" i="26"/>
  <c r="J176" i="26"/>
  <c r="I176" i="26"/>
  <c r="H176" i="26"/>
  <c r="G176" i="26"/>
  <c r="F176" i="26"/>
  <c r="E176" i="26"/>
  <c r="D176" i="26"/>
  <c r="C176" i="26"/>
  <c r="B176" i="26"/>
  <c r="BC175" i="26"/>
  <c r="BB175" i="26"/>
  <c r="BA175" i="26"/>
  <c r="AZ175" i="26"/>
  <c r="AY175" i="26"/>
  <c r="AX175" i="26"/>
  <c r="AW175" i="26"/>
  <c r="AV175" i="26"/>
  <c r="AU175" i="26"/>
  <c r="AT175" i="26"/>
  <c r="AS175" i="26"/>
  <c r="AR175" i="26"/>
  <c r="AQ175" i="26"/>
  <c r="AP175" i="26"/>
  <c r="AO175" i="26"/>
  <c r="AN175" i="26"/>
  <c r="AM175" i="26"/>
  <c r="AL175" i="26"/>
  <c r="AK175" i="26"/>
  <c r="AJ175" i="26"/>
  <c r="AI175" i="26"/>
  <c r="AH175" i="26"/>
  <c r="AG175" i="26"/>
  <c r="AF175" i="26"/>
  <c r="AE175" i="26"/>
  <c r="AD175" i="26"/>
  <c r="AC175" i="26"/>
  <c r="AB175" i="26"/>
  <c r="AA175" i="26"/>
  <c r="Z175" i="26"/>
  <c r="Y175" i="26"/>
  <c r="X175" i="26"/>
  <c r="W175" i="26"/>
  <c r="V175" i="26"/>
  <c r="U175" i="26"/>
  <c r="T175" i="26"/>
  <c r="S175" i="26"/>
  <c r="R175" i="26"/>
  <c r="Q175" i="26"/>
  <c r="P175" i="26"/>
  <c r="O175" i="26"/>
  <c r="N175" i="26"/>
  <c r="M175" i="26"/>
  <c r="L175" i="26"/>
  <c r="K175" i="26"/>
  <c r="J175" i="26"/>
  <c r="I175" i="26"/>
  <c r="H175" i="26"/>
  <c r="G175" i="26"/>
  <c r="F175" i="26"/>
  <c r="E175" i="26"/>
  <c r="D175" i="26"/>
  <c r="C175" i="26"/>
  <c r="B175" i="26"/>
  <c r="BC174" i="26"/>
  <c r="BB174" i="26"/>
  <c r="BA174" i="26"/>
  <c r="AZ174" i="26"/>
  <c r="AY174" i="26"/>
  <c r="AX174" i="26"/>
  <c r="AW174" i="26"/>
  <c r="AV174" i="26"/>
  <c r="AU174" i="26"/>
  <c r="AT174" i="26"/>
  <c r="AS174" i="26"/>
  <c r="AR174" i="26"/>
  <c r="AQ174" i="26"/>
  <c r="AP174" i="26"/>
  <c r="AO174" i="26"/>
  <c r="AN174" i="26"/>
  <c r="AM174" i="26"/>
  <c r="AL174" i="26"/>
  <c r="AK174" i="26"/>
  <c r="AJ174" i="26"/>
  <c r="AI174" i="26"/>
  <c r="AH174" i="26"/>
  <c r="AG174" i="26"/>
  <c r="AF174" i="26"/>
  <c r="AE174" i="26"/>
  <c r="AD174" i="26"/>
  <c r="AC174" i="26"/>
  <c r="AB174" i="26"/>
  <c r="AA174" i="26"/>
  <c r="Z174" i="26"/>
  <c r="Y174" i="26"/>
  <c r="X174" i="26"/>
  <c r="W174" i="26"/>
  <c r="V174" i="26"/>
  <c r="U174" i="26"/>
  <c r="T174" i="26"/>
  <c r="S174" i="26"/>
  <c r="R174" i="26"/>
  <c r="Q174" i="26"/>
  <c r="P174" i="26"/>
  <c r="O174" i="26"/>
  <c r="N174" i="26"/>
  <c r="M174" i="26"/>
  <c r="L174" i="26"/>
  <c r="K174" i="26"/>
  <c r="J174" i="26"/>
  <c r="I174" i="26"/>
  <c r="H174" i="26"/>
  <c r="G174" i="26"/>
  <c r="F174" i="26"/>
  <c r="E174" i="26"/>
  <c r="D174" i="26"/>
  <c r="C174" i="26"/>
  <c r="B174" i="26"/>
  <c r="BC173" i="26"/>
  <c r="BB173" i="26"/>
  <c r="BA173" i="26"/>
  <c r="AZ173" i="26"/>
  <c r="AY173" i="26"/>
  <c r="AX173" i="26"/>
  <c r="AW173" i="26"/>
  <c r="AV173" i="26"/>
  <c r="AU173" i="26"/>
  <c r="AT173" i="26"/>
  <c r="AS173" i="26"/>
  <c r="AR173" i="26"/>
  <c r="AQ173" i="26"/>
  <c r="AP173" i="26"/>
  <c r="AO173" i="26"/>
  <c r="AN173" i="26"/>
  <c r="AM173" i="26"/>
  <c r="AL173" i="26"/>
  <c r="AK173" i="26"/>
  <c r="AJ173" i="26"/>
  <c r="AI173" i="26"/>
  <c r="AH173" i="26"/>
  <c r="AG173" i="26"/>
  <c r="AF173" i="26"/>
  <c r="AE173" i="26"/>
  <c r="AD173" i="26"/>
  <c r="AC173" i="26"/>
  <c r="AB173" i="26"/>
  <c r="AA173" i="26"/>
  <c r="Z173" i="26"/>
  <c r="Y173" i="26"/>
  <c r="X173" i="26"/>
  <c r="W173" i="26"/>
  <c r="V173" i="26"/>
  <c r="U173" i="26"/>
  <c r="T173" i="26"/>
  <c r="S173" i="26"/>
  <c r="R173" i="26"/>
  <c r="Q173" i="26"/>
  <c r="P173" i="26"/>
  <c r="O173" i="26"/>
  <c r="N173" i="26"/>
  <c r="M173" i="26"/>
  <c r="L173" i="26"/>
  <c r="K173" i="26"/>
  <c r="J173" i="26"/>
  <c r="I173" i="26"/>
  <c r="H173" i="26"/>
  <c r="G173" i="26"/>
  <c r="F173" i="26"/>
  <c r="E173" i="26"/>
  <c r="D173" i="26"/>
  <c r="C173" i="26"/>
  <c r="B173" i="26"/>
  <c r="BC172" i="26"/>
  <c r="BB172" i="26"/>
  <c r="BA172" i="26"/>
  <c r="AZ172" i="26"/>
  <c r="AY172" i="26"/>
  <c r="AX172" i="26"/>
  <c r="AW172" i="26"/>
  <c r="AV172" i="26"/>
  <c r="AU172" i="26"/>
  <c r="AT172" i="26"/>
  <c r="AS172" i="26"/>
  <c r="AR172" i="26"/>
  <c r="AQ172" i="26"/>
  <c r="AP172" i="26"/>
  <c r="AO172" i="26"/>
  <c r="AN172" i="26"/>
  <c r="AM172" i="26"/>
  <c r="AL172" i="26"/>
  <c r="AK172" i="26"/>
  <c r="AJ172" i="26"/>
  <c r="AI172" i="26"/>
  <c r="AH172" i="26"/>
  <c r="AG172" i="26"/>
  <c r="AF172" i="26"/>
  <c r="AE172" i="26"/>
  <c r="AD172" i="26"/>
  <c r="AC172" i="26"/>
  <c r="AB172" i="26"/>
  <c r="AA172" i="26"/>
  <c r="Z172" i="26"/>
  <c r="Y172" i="26"/>
  <c r="X172" i="26"/>
  <c r="W172" i="26"/>
  <c r="V172" i="26"/>
  <c r="U172" i="26"/>
  <c r="T172" i="26"/>
  <c r="S172" i="26"/>
  <c r="R172" i="26"/>
  <c r="Q172" i="26"/>
  <c r="P172" i="26"/>
  <c r="O172" i="26"/>
  <c r="N172" i="26"/>
  <c r="M172" i="26"/>
  <c r="L172" i="26"/>
  <c r="K172" i="26"/>
  <c r="J172" i="26"/>
  <c r="I172" i="26"/>
  <c r="H172" i="26"/>
  <c r="G172" i="26"/>
  <c r="F172" i="26"/>
  <c r="E172" i="26"/>
  <c r="D172" i="26"/>
  <c r="C172" i="26"/>
  <c r="B172" i="26"/>
  <c r="BC171" i="26"/>
  <c r="BB171" i="26"/>
  <c r="BA171" i="26"/>
  <c r="AZ171" i="26"/>
  <c r="AY171" i="26"/>
  <c r="AX171" i="26"/>
  <c r="AW171" i="26"/>
  <c r="AV171" i="26"/>
  <c r="AU171" i="26"/>
  <c r="AT171" i="26"/>
  <c r="AS171" i="26"/>
  <c r="AR171" i="26"/>
  <c r="AQ171" i="26"/>
  <c r="AP171" i="26"/>
  <c r="AO171" i="26"/>
  <c r="AN171" i="26"/>
  <c r="AM171" i="26"/>
  <c r="AL171" i="26"/>
  <c r="AK171" i="26"/>
  <c r="AJ171" i="26"/>
  <c r="AI171" i="26"/>
  <c r="AH171" i="26"/>
  <c r="AG171" i="26"/>
  <c r="AF171" i="26"/>
  <c r="AE171" i="26"/>
  <c r="AD171" i="26"/>
  <c r="AC171" i="26"/>
  <c r="AB171" i="26"/>
  <c r="AA171" i="26"/>
  <c r="Z171" i="26"/>
  <c r="Y171" i="26"/>
  <c r="X171" i="26"/>
  <c r="W171" i="26"/>
  <c r="V171" i="26"/>
  <c r="U171" i="26"/>
  <c r="T171" i="26"/>
  <c r="S171" i="26"/>
  <c r="R171" i="26"/>
  <c r="Q171" i="26"/>
  <c r="P171" i="26"/>
  <c r="O171" i="26"/>
  <c r="N171" i="26"/>
  <c r="M171" i="26"/>
  <c r="L171" i="26"/>
  <c r="K171" i="26"/>
  <c r="J171" i="26"/>
  <c r="I171" i="26"/>
  <c r="H171" i="26"/>
  <c r="G171" i="26"/>
  <c r="F171" i="26"/>
  <c r="E171" i="26"/>
  <c r="D171" i="26"/>
  <c r="C171" i="26"/>
  <c r="B171" i="26"/>
  <c r="BC170" i="26"/>
  <c r="BB170" i="26"/>
  <c r="BA170" i="26"/>
  <c r="AZ170" i="26"/>
  <c r="AY170" i="26"/>
  <c r="AX170" i="26"/>
  <c r="AW170" i="26"/>
  <c r="AV170" i="26"/>
  <c r="AU170" i="26"/>
  <c r="AT170" i="26"/>
  <c r="AS170" i="26"/>
  <c r="AR170" i="26"/>
  <c r="AQ170" i="26"/>
  <c r="AP170" i="26"/>
  <c r="AO170" i="26"/>
  <c r="AN170" i="26"/>
  <c r="AM170" i="26"/>
  <c r="AL170" i="26"/>
  <c r="AK170" i="26"/>
  <c r="AJ170" i="26"/>
  <c r="AI170" i="26"/>
  <c r="AH170" i="26"/>
  <c r="AG170" i="26"/>
  <c r="AF170" i="26"/>
  <c r="AE170" i="26"/>
  <c r="AD170" i="26"/>
  <c r="AC170" i="26"/>
  <c r="AB170" i="26"/>
  <c r="AA170" i="26"/>
  <c r="Z170" i="26"/>
  <c r="Y170" i="26"/>
  <c r="X170" i="26"/>
  <c r="W170" i="26"/>
  <c r="V170" i="26"/>
  <c r="U170" i="26"/>
  <c r="T170" i="26"/>
  <c r="S170" i="26"/>
  <c r="R170" i="26"/>
  <c r="Q170" i="26"/>
  <c r="P170" i="26"/>
  <c r="O170" i="26"/>
  <c r="N170" i="26"/>
  <c r="M170" i="26"/>
  <c r="L170" i="26"/>
  <c r="K170" i="26"/>
  <c r="J170" i="26"/>
  <c r="I170" i="26"/>
  <c r="H170" i="26"/>
  <c r="G170" i="26"/>
  <c r="F170" i="26"/>
  <c r="E170" i="26"/>
  <c r="D170" i="26"/>
  <c r="C170" i="26"/>
  <c r="B170" i="26"/>
  <c r="BC169" i="26"/>
  <c r="BB169" i="26"/>
  <c r="BA169" i="26"/>
  <c r="AZ169" i="26"/>
  <c r="AY169" i="26"/>
  <c r="AX169" i="26"/>
  <c r="AW169" i="26"/>
  <c r="AV169" i="26"/>
  <c r="AU169" i="26"/>
  <c r="AT169" i="26"/>
  <c r="AS169" i="26"/>
  <c r="AR169" i="26"/>
  <c r="AQ169" i="26"/>
  <c r="AP169" i="26"/>
  <c r="AO169" i="26"/>
  <c r="AN169" i="26"/>
  <c r="AM169" i="26"/>
  <c r="AL169" i="26"/>
  <c r="AK169" i="26"/>
  <c r="AJ169" i="26"/>
  <c r="AI169" i="26"/>
  <c r="AH169" i="26"/>
  <c r="AG169" i="26"/>
  <c r="AF169" i="26"/>
  <c r="AE169" i="26"/>
  <c r="AD169" i="26"/>
  <c r="AC169" i="26"/>
  <c r="AB169" i="26"/>
  <c r="AA169" i="26"/>
  <c r="Z169" i="26"/>
  <c r="Y169" i="26"/>
  <c r="X169" i="26"/>
  <c r="W169" i="26"/>
  <c r="V169" i="26"/>
  <c r="U169" i="26"/>
  <c r="T169" i="26"/>
  <c r="S169" i="26"/>
  <c r="R169" i="26"/>
  <c r="Q169" i="26"/>
  <c r="P169" i="26"/>
  <c r="O169" i="26"/>
  <c r="N169" i="26"/>
  <c r="M169" i="26"/>
  <c r="L169" i="26"/>
  <c r="K169" i="26"/>
  <c r="J169" i="26"/>
  <c r="I169" i="26"/>
  <c r="H169" i="26"/>
  <c r="G169" i="26"/>
  <c r="F169" i="26"/>
  <c r="E169" i="26"/>
  <c r="D169" i="26"/>
  <c r="C169" i="26"/>
  <c r="B169" i="26"/>
  <c r="BC168" i="26"/>
  <c r="BB168" i="26"/>
  <c r="BA168" i="26"/>
  <c r="AZ168" i="26"/>
  <c r="AY168" i="26"/>
  <c r="AX168" i="26"/>
  <c r="AW168" i="26"/>
  <c r="AV168" i="26"/>
  <c r="AU168" i="26"/>
  <c r="AT168" i="26"/>
  <c r="AS168" i="26"/>
  <c r="AR168" i="26"/>
  <c r="AQ168" i="26"/>
  <c r="AP168" i="26"/>
  <c r="AO168" i="26"/>
  <c r="AN168" i="26"/>
  <c r="AM168" i="26"/>
  <c r="AL168" i="26"/>
  <c r="AK168" i="26"/>
  <c r="AJ168" i="26"/>
  <c r="AI168" i="26"/>
  <c r="AH168" i="26"/>
  <c r="AG168" i="26"/>
  <c r="AF168" i="26"/>
  <c r="AE168" i="26"/>
  <c r="AD168" i="26"/>
  <c r="AC168" i="26"/>
  <c r="AB168" i="26"/>
  <c r="AA168" i="26"/>
  <c r="Z168" i="26"/>
  <c r="Y168" i="26"/>
  <c r="X168" i="26"/>
  <c r="W168" i="26"/>
  <c r="V168" i="26"/>
  <c r="U168" i="26"/>
  <c r="T168" i="26"/>
  <c r="S168" i="26"/>
  <c r="R168" i="26"/>
  <c r="Q168" i="26"/>
  <c r="P168" i="26"/>
  <c r="O168" i="26"/>
  <c r="N168" i="26"/>
  <c r="M168" i="26"/>
  <c r="L168" i="26"/>
  <c r="K168" i="26"/>
  <c r="J168" i="26"/>
  <c r="I168" i="26"/>
  <c r="H168" i="26"/>
  <c r="G168" i="26"/>
  <c r="F168" i="26"/>
  <c r="E168" i="26"/>
  <c r="D168" i="26"/>
  <c r="C168" i="26"/>
  <c r="B168" i="26"/>
  <c r="BC167" i="26"/>
  <c r="BB167" i="26"/>
  <c r="BA167" i="26"/>
  <c r="AZ167" i="26"/>
  <c r="AY167" i="26"/>
  <c r="AX167" i="26"/>
  <c r="AW167" i="26"/>
  <c r="AV167" i="26"/>
  <c r="AU167" i="26"/>
  <c r="AT167" i="26"/>
  <c r="AS167" i="26"/>
  <c r="AR167" i="26"/>
  <c r="AQ167" i="26"/>
  <c r="AP167" i="26"/>
  <c r="AO167" i="26"/>
  <c r="AN167" i="26"/>
  <c r="AM167" i="26"/>
  <c r="AL167" i="26"/>
  <c r="AK167" i="26"/>
  <c r="AJ167" i="26"/>
  <c r="AI167" i="26"/>
  <c r="AH167" i="26"/>
  <c r="AG167" i="26"/>
  <c r="AF167" i="26"/>
  <c r="AE167" i="26"/>
  <c r="AD167" i="26"/>
  <c r="AC167" i="26"/>
  <c r="AB167" i="26"/>
  <c r="AA167" i="26"/>
  <c r="Z167" i="26"/>
  <c r="Y167" i="26"/>
  <c r="X167" i="26"/>
  <c r="W167" i="26"/>
  <c r="V167" i="26"/>
  <c r="U167" i="26"/>
  <c r="T167" i="26"/>
  <c r="S167" i="26"/>
  <c r="R167" i="26"/>
  <c r="Q167" i="26"/>
  <c r="P167" i="26"/>
  <c r="O167" i="26"/>
  <c r="N167" i="26"/>
  <c r="M167" i="26"/>
  <c r="L167" i="26"/>
  <c r="K167" i="26"/>
  <c r="J167" i="26"/>
  <c r="I167" i="26"/>
  <c r="H167" i="26"/>
  <c r="G167" i="26"/>
  <c r="F167" i="26"/>
  <c r="E167" i="26"/>
  <c r="D167" i="26"/>
  <c r="C167" i="26"/>
  <c r="B167" i="26"/>
  <c r="BC166" i="26"/>
  <c r="BB166" i="26"/>
  <c r="BA166" i="26"/>
  <c r="AZ166" i="26"/>
  <c r="AY166" i="26"/>
  <c r="AX166" i="26"/>
  <c r="AW166" i="26"/>
  <c r="AV166" i="26"/>
  <c r="AU166" i="26"/>
  <c r="AT166" i="26"/>
  <c r="AS166" i="26"/>
  <c r="AR166" i="26"/>
  <c r="AQ166" i="26"/>
  <c r="AP166" i="26"/>
  <c r="AO166" i="26"/>
  <c r="AN166" i="26"/>
  <c r="AM166" i="26"/>
  <c r="AL166" i="26"/>
  <c r="AK166" i="26"/>
  <c r="AJ166" i="26"/>
  <c r="AI166" i="26"/>
  <c r="AH166" i="26"/>
  <c r="AG166" i="26"/>
  <c r="AF166" i="26"/>
  <c r="AE166" i="26"/>
  <c r="AD166" i="26"/>
  <c r="AC166" i="26"/>
  <c r="AB166" i="26"/>
  <c r="AA166" i="26"/>
  <c r="Z166" i="26"/>
  <c r="Y166" i="26"/>
  <c r="X166" i="26"/>
  <c r="W166" i="26"/>
  <c r="V166" i="26"/>
  <c r="U166" i="26"/>
  <c r="T166" i="26"/>
  <c r="S166" i="26"/>
  <c r="R166" i="26"/>
  <c r="Q166" i="26"/>
  <c r="P166" i="26"/>
  <c r="O166" i="26"/>
  <c r="N166" i="26"/>
  <c r="M166" i="26"/>
  <c r="L166" i="26"/>
  <c r="K166" i="26"/>
  <c r="J166" i="26"/>
  <c r="I166" i="26"/>
  <c r="H166" i="26"/>
  <c r="G166" i="26"/>
  <c r="F166" i="26"/>
  <c r="E166" i="26"/>
  <c r="D166" i="26"/>
  <c r="C166" i="26"/>
  <c r="B166" i="26"/>
  <c r="BC165" i="26"/>
  <c r="BB165" i="26"/>
  <c r="BA165" i="26"/>
  <c r="AZ165" i="26"/>
  <c r="AY165" i="26"/>
  <c r="AX165" i="26"/>
  <c r="AW165" i="26"/>
  <c r="AV165" i="26"/>
  <c r="AU165" i="26"/>
  <c r="AT165" i="26"/>
  <c r="AS165" i="26"/>
  <c r="AR165" i="26"/>
  <c r="AQ165" i="26"/>
  <c r="AP165" i="26"/>
  <c r="AO165" i="26"/>
  <c r="AN165" i="26"/>
  <c r="AM165" i="26"/>
  <c r="AL165" i="26"/>
  <c r="AK165" i="26"/>
  <c r="AJ165" i="26"/>
  <c r="AI165" i="26"/>
  <c r="AH165" i="26"/>
  <c r="AG165" i="26"/>
  <c r="AF165" i="26"/>
  <c r="AE165" i="26"/>
  <c r="AD165" i="26"/>
  <c r="AC165" i="26"/>
  <c r="AB165" i="26"/>
  <c r="AA165" i="26"/>
  <c r="Z165" i="26"/>
  <c r="Y165" i="26"/>
  <c r="X165" i="26"/>
  <c r="W165" i="26"/>
  <c r="V165" i="26"/>
  <c r="U165" i="26"/>
  <c r="T165" i="26"/>
  <c r="S165" i="26"/>
  <c r="R165" i="26"/>
  <c r="Q165" i="26"/>
  <c r="P165" i="26"/>
  <c r="O165" i="26"/>
  <c r="N165" i="26"/>
  <c r="M165" i="26"/>
  <c r="L165" i="26"/>
  <c r="K165" i="26"/>
  <c r="J165" i="26"/>
  <c r="I165" i="26"/>
  <c r="H165" i="26"/>
  <c r="G165" i="26"/>
  <c r="F165" i="26"/>
  <c r="E165" i="26"/>
  <c r="D165" i="26"/>
  <c r="C165" i="26"/>
  <c r="B165" i="26"/>
  <c r="BC164" i="26"/>
  <c r="BB164" i="26"/>
  <c r="BA164" i="26"/>
  <c r="AZ164" i="26"/>
  <c r="AY164" i="26"/>
  <c r="AX164" i="26"/>
  <c r="AW164" i="26"/>
  <c r="AV164" i="26"/>
  <c r="AU164" i="26"/>
  <c r="AT164" i="26"/>
  <c r="AS164" i="26"/>
  <c r="AR164" i="26"/>
  <c r="AQ164" i="26"/>
  <c r="AP164" i="26"/>
  <c r="AO164" i="26"/>
  <c r="AN164" i="26"/>
  <c r="AM164" i="26"/>
  <c r="AL164" i="26"/>
  <c r="AK164" i="26"/>
  <c r="AJ164" i="26"/>
  <c r="AI164" i="26"/>
  <c r="AH164" i="26"/>
  <c r="AG164" i="26"/>
  <c r="AF164" i="26"/>
  <c r="AE164" i="26"/>
  <c r="AD164" i="26"/>
  <c r="AC164" i="26"/>
  <c r="AB164" i="26"/>
  <c r="AA164" i="26"/>
  <c r="Z164" i="26"/>
  <c r="Y164" i="26"/>
  <c r="X164" i="26"/>
  <c r="W164" i="26"/>
  <c r="V164" i="26"/>
  <c r="U164" i="26"/>
  <c r="T164" i="26"/>
  <c r="S164" i="26"/>
  <c r="R164" i="26"/>
  <c r="Q164" i="26"/>
  <c r="P164" i="26"/>
  <c r="O164" i="26"/>
  <c r="N164" i="26"/>
  <c r="M164" i="26"/>
  <c r="L164" i="26"/>
  <c r="K164" i="26"/>
  <c r="J164" i="26"/>
  <c r="I164" i="26"/>
  <c r="H164" i="26"/>
  <c r="G164" i="26"/>
  <c r="F164" i="26"/>
  <c r="E164" i="26"/>
  <c r="D164" i="26"/>
  <c r="C164" i="26"/>
  <c r="B164" i="26"/>
  <c r="BC163" i="26"/>
  <c r="BB163" i="26"/>
  <c r="BA163" i="26"/>
  <c r="AZ163" i="26"/>
  <c r="AY163" i="26"/>
  <c r="AX163" i="26"/>
  <c r="AW163" i="26"/>
  <c r="AV163" i="26"/>
  <c r="AU163" i="26"/>
  <c r="AT163" i="26"/>
  <c r="AS163" i="26"/>
  <c r="AR163" i="26"/>
  <c r="AQ163" i="26"/>
  <c r="AP163" i="26"/>
  <c r="AO163" i="26"/>
  <c r="AN163" i="26"/>
  <c r="AM163" i="26"/>
  <c r="AL163" i="26"/>
  <c r="AK163" i="26"/>
  <c r="AJ163" i="26"/>
  <c r="AI163" i="26"/>
  <c r="AH163" i="26"/>
  <c r="AG163" i="26"/>
  <c r="AF163" i="26"/>
  <c r="AE163" i="26"/>
  <c r="AD163" i="26"/>
  <c r="AC163" i="26"/>
  <c r="AB163" i="26"/>
  <c r="AA163" i="26"/>
  <c r="Z163" i="26"/>
  <c r="Y163" i="26"/>
  <c r="X163" i="26"/>
  <c r="W163" i="26"/>
  <c r="V163" i="26"/>
  <c r="U163" i="26"/>
  <c r="T163" i="26"/>
  <c r="S163" i="26"/>
  <c r="R163" i="26"/>
  <c r="Q163" i="26"/>
  <c r="P163" i="26"/>
  <c r="O163" i="26"/>
  <c r="N163" i="26"/>
  <c r="M163" i="26"/>
  <c r="L163" i="26"/>
  <c r="K163" i="26"/>
  <c r="J163" i="26"/>
  <c r="I163" i="26"/>
  <c r="H163" i="26"/>
  <c r="G163" i="26"/>
  <c r="F163" i="26"/>
  <c r="E163" i="26"/>
  <c r="D163" i="26"/>
  <c r="C163" i="26"/>
  <c r="B163" i="26"/>
  <c r="BC162" i="26"/>
  <c r="BB162" i="26"/>
  <c r="BA162" i="26"/>
  <c r="AZ162" i="26"/>
  <c r="AY162" i="26"/>
  <c r="AX162" i="26"/>
  <c r="AW162" i="26"/>
  <c r="AV162" i="26"/>
  <c r="AU162" i="26"/>
  <c r="AT162" i="26"/>
  <c r="AS162" i="26"/>
  <c r="AR162" i="26"/>
  <c r="AQ162" i="26"/>
  <c r="AP162" i="26"/>
  <c r="AO162" i="26"/>
  <c r="AN162" i="26"/>
  <c r="AM162" i="26"/>
  <c r="AL162" i="26"/>
  <c r="AK162" i="26"/>
  <c r="AJ162" i="26"/>
  <c r="AI162" i="26"/>
  <c r="AH162" i="26"/>
  <c r="AG162" i="26"/>
  <c r="AF162" i="26"/>
  <c r="AE162" i="26"/>
  <c r="AD162" i="26"/>
  <c r="AC162" i="26"/>
  <c r="AB162" i="26"/>
  <c r="AA162" i="26"/>
  <c r="Z162" i="26"/>
  <c r="Y162" i="26"/>
  <c r="X162" i="26"/>
  <c r="W162" i="26"/>
  <c r="V162" i="26"/>
  <c r="U162" i="26"/>
  <c r="T162" i="26"/>
  <c r="S162" i="26"/>
  <c r="R162" i="26"/>
  <c r="Q162" i="26"/>
  <c r="P162" i="26"/>
  <c r="O162" i="26"/>
  <c r="N162" i="26"/>
  <c r="M162" i="26"/>
  <c r="L162" i="26"/>
  <c r="K162" i="26"/>
  <c r="J162" i="26"/>
  <c r="I162" i="26"/>
  <c r="H162" i="26"/>
  <c r="G162" i="26"/>
  <c r="F162" i="26"/>
  <c r="E162" i="26"/>
  <c r="D162" i="26"/>
  <c r="C162" i="26"/>
  <c r="B162" i="26"/>
  <c r="BC161" i="26"/>
  <c r="BB161" i="26"/>
  <c r="BA161" i="26"/>
  <c r="AZ161" i="26"/>
  <c r="AY161" i="26"/>
  <c r="AX161" i="26"/>
  <c r="AW161" i="26"/>
  <c r="AV161" i="26"/>
  <c r="AU161" i="26"/>
  <c r="AT161" i="26"/>
  <c r="AS161" i="26"/>
  <c r="AR161" i="26"/>
  <c r="AQ161" i="26"/>
  <c r="AP161" i="26"/>
  <c r="AO161" i="26"/>
  <c r="AN161" i="26"/>
  <c r="AM161" i="26"/>
  <c r="AL161" i="26"/>
  <c r="AK161" i="26"/>
  <c r="AJ161" i="26"/>
  <c r="AI161" i="26"/>
  <c r="AH161" i="26"/>
  <c r="AG161" i="26"/>
  <c r="AF161" i="26"/>
  <c r="AE161" i="26"/>
  <c r="AD161" i="26"/>
  <c r="AC161" i="26"/>
  <c r="AB161" i="26"/>
  <c r="AA161" i="26"/>
  <c r="Z161" i="26"/>
  <c r="Y161" i="26"/>
  <c r="X161" i="26"/>
  <c r="W161" i="26"/>
  <c r="V161" i="26"/>
  <c r="U161" i="26"/>
  <c r="T161" i="26"/>
  <c r="S161" i="26"/>
  <c r="R161" i="26"/>
  <c r="Q161" i="26"/>
  <c r="P161" i="26"/>
  <c r="O161" i="26"/>
  <c r="N161" i="26"/>
  <c r="M161" i="26"/>
  <c r="L161" i="26"/>
  <c r="K161" i="26"/>
  <c r="J161" i="26"/>
  <c r="I161" i="26"/>
  <c r="H161" i="26"/>
  <c r="G161" i="26"/>
  <c r="F161" i="26"/>
  <c r="E161" i="26"/>
  <c r="D161" i="26"/>
  <c r="C161" i="26"/>
  <c r="B161" i="26"/>
  <c r="BC160" i="26"/>
  <c r="BB160" i="26"/>
  <c r="BA160" i="26"/>
  <c r="AZ160" i="26"/>
  <c r="AY160" i="26"/>
  <c r="AX160" i="26"/>
  <c r="AW160" i="26"/>
  <c r="AV160" i="26"/>
  <c r="AU160" i="26"/>
  <c r="AT160" i="26"/>
  <c r="AS160" i="26"/>
  <c r="AR160" i="26"/>
  <c r="AQ160" i="26"/>
  <c r="AP160" i="26"/>
  <c r="AO160" i="26"/>
  <c r="AN160" i="26"/>
  <c r="AM160" i="26"/>
  <c r="AL160" i="26"/>
  <c r="AK160" i="26"/>
  <c r="AJ160" i="26"/>
  <c r="AI160" i="26"/>
  <c r="AH160" i="26"/>
  <c r="AG160" i="26"/>
  <c r="AF160" i="26"/>
  <c r="AE160" i="26"/>
  <c r="AD160" i="26"/>
  <c r="AC160" i="26"/>
  <c r="AB160" i="26"/>
  <c r="AA160" i="26"/>
  <c r="Z160" i="26"/>
  <c r="Y160" i="26"/>
  <c r="X160" i="26"/>
  <c r="W160" i="26"/>
  <c r="V160" i="26"/>
  <c r="U160" i="26"/>
  <c r="T160" i="26"/>
  <c r="S160" i="26"/>
  <c r="R160" i="26"/>
  <c r="Q160" i="26"/>
  <c r="P160" i="26"/>
  <c r="O160" i="26"/>
  <c r="N160" i="26"/>
  <c r="M160" i="26"/>
  <c r="L160" i="26"/>
  <c r="K160" i="26"/>
  <c r="J160" i="26"/>
  <c r="I160" i="26"/>
  <c r="H160" i="26"/>
  <c r="G160" i="26"/>
  <c r="F160" i="26"/>
  <c r="E160" i="26"/>
  <c r="D160" i="26"/>
  <c r="C160" i="26"/>
  <c r="B160" i="26"/>
  <c r="BC159" i="26"/>
  <c r="BB159" i="26"/>
  <c r="BA159" i="26"/>
  <c r="AZ159" i="26"/>
  <c r="AY159" i="26"/>
  <c r="AX159" i="26"/>
  <c r="AW159" i="26"/>
  <c r="AV159" i="26"/>
  <c r="AU159" i="26"/>
  <c r="AT159" i="26"/>
  <c r="AS159" i="26"/>
  <c r="AR159" i="26"/>
  <c r="AQ159" i="26"/>
  <c r="AP159" i="26"/>
  <c r="AO159" i="26"/>
  <c r="AN159" i="26"/>
  <c r="AM159" i="26"/>
  <c r="AL159" i="26"/>
  <c r="AK159" i="26"/>
  <c r="AJ159" i="26"/>
  <c r="AI159" i="26"/>
  <c r="AH159" i="26"/>
  <c r="AG159" i="26"/>
  <c r="AF159" i="26"/>
  <c r="AE159" i="26"/>
  <c r="AD159" i="26"/>
  <c r="AC159" i="26"/>
  <c r="AB159" i="26"/>
  <c r="AA159" i="26"/>
  <c r="Z159" i="26"/>
  <c r="Y159" i="26"/>
  <c r="X159" i="26"/>
  <c r="W159" i="26"/>
  <c r="V159" i="26"/>
  <c r="U159" i="26"/>
  <c r="T159" i="26"/>
  <c r="S159" i="26"/>
  <c r="R159" i="26"/>
  <c r="Q159" i="26"/>
  <c r="P159" i="26"/>
  <c r="O159" i="26"/>
  <c r="N159" i="26"/>
  <c r="M159" i="26"/>
  <c r="L159" i="26"/>
  <c r="K159" i="26"/>
  <c r="J159" i="26"/>
  <c r="I159" i="26"/>
  <c r="H159" i="26"/>
  <c r="G159" i="26"/>
  <c r="F159" i="26"/>
  <c r="E159" i="26"/>
  <c r="D159" i="26"/>
  <c r="C159" i="26"/>
  <c r="B159" i="26"/>
  <c r="BC158" i="26"/>
  <c r="BB158" i="26"/>
  <c r="BA158" i="26"/>
  <c r="AZ158" i="26"/>
  <c r="AY158" i="26"/>
  <c r="AX158" i="26"/>
  <c r="AW158" i="26"/>
  <c r="AV158" i="26"/>
  <c r="AU158" i="26"/>
  <c r="AT158" i="26"/>
  <c r="AS158" i="26"/>
  <c r="AR158" i="26"/>
  <c r="AQ158" i="26"/>
  <c r="AP158" i="26"/>
  <c r="AO158" i="26"/>
  <c r="AN158" i="26"/>
  <c r="AM158" i="26"/>
  <c r="AL158" i="26"/>
  <c r="AK158" i="26"/>
  <c r="AJ158" i="26"/>
  <c r="AI158" i="26"/>
  <c r="AH158" i="26"/>
  <c r="AG158" i="26"/>
  <c r="AF158" i="26"/>
  <c r="AE158" i="26"/>
  <c r="AD158" i="26"/>
  <c r="AC158" i="26"/>
  <c r="AB158" i="26"/>
  <c r="AA158" i="26"/>
  <c r="Z158" i="26"/>
  <c r="Y158" i="26"/>
  <c r="X158" i="26"/>
  <c r="W158" i="26"/>
  <c r="V158" i="26"/>
  <c r="U158" i="26"/>
  <c r="T158" i="26"/>
  <c r="S158" i="26"/>
  <c r="R158" i="26"/>
  <c r="Q158" i="26"/>
  <c r="P158" i="26"/>
  <c r="O158" i="26"/>
  <c r="N158" i="26"/>
  <c r="M158" i="26"/>
  <c r="L158" i="26"/>
  <c r="K158" i="26"/>
  <c r="J158" i="26"/>
  <c r="I158" i="26"/>
  <c r="H158" i="26"/>
  <c r="G158" i="26"/>
  <c r="F158" i="26"/>
  <c r="E158" i="26"/>
  <c r="D158" i="26"/>
  <c r="C158" i="26"/>
  <c r="B158" i="26"/>
  <c r="BC157" i="26"/>
  <c r="BB157" i="26"/>
  <c r="BA157" i="26"/>
  <c r="AZ157" i="26"/>
  <c r="AY157" i="26"/>
  <c r="AX157" i="26"/>
  <c r="AW157" i="26"/>
  <c r="AV157" i="26"/>
  <c r="AU157" i="26"/>
  <c r="AT157" i="26"/>
  <c r="AS157" i="26"/>
  <c r="AR157" i="26"/>
  <c r="AQ157" i="26"/>
  <c r="AP157" i="26"/>
  <c r="AO157" i="26"/>
  <c r="AN157" i="26"/>
  <c r="AM157" i="26"/>
  <c r="AL157" i="26"/>
  <c r="AK157" i="26"/>
  <c r="AJ157" i="26"/>
  <c r="AI157" i="26"/>
  <c r="AH157" i="26"/>
  <c r="AG157" i="26"/>
  <c r="AF157" i="26"/>
  <c r="AE157" i="26"/>
  <c r="AD157" i="26"/>
  <c r="AC157" i="26"/>
  <c r="AB157" i="26"/>
  <c r="AA157" i="26"/>
  <c r="Z157" i="26"/>
  <c r="Y157" i="26"/>
  <c r="X157" i="26"/>
  <c r="W157" i="26"/>
  <c r="V157" i="26"/>
  <c r="U157" i="26"/>
  <c r="T157" i="26"/>
  <c r="S157" i="26"/>
  <c r="R157" i="26"/>
  <c r="Q157" i="26"/>
  <c r="P157" i="26"/>
  <c r="O157" i="26"/>
  <c r="N157" i="26"/>
  <c r="M157" i="26"/>
  <c r="L157" i="26"/>
  <c r="K157" i="26"/>
  <c r="J157" i="26"/>
  <c r="I157" i="26"/>
  <c r="H157" i="26"/>
  <c r="G157" i="26"/>
  <c r="F157" i="26"/>
  <c r="E157" i="26"/>
  <c r="D157" i="26"/>
  <c r="C157" i="26"/>
  <c r="B157" i="26"/>
  <c r="BC156" i="26"/>
  <c r="BB156" i="26"/>
  <c r="BA156" i="26"/>
  <c r="AZ156" i="26"/>
  <c r="AY156" i="26"/>
  <c r="AX156" i="26"/>
  <c r="AW156" i="26"/>
  <c r="AV156" i="26"/>
  <c r="AU156" i="26"/>
  <c r="AT156" i="26"/>
  <c r="AS156" i="26"/>
  <c r="AR156" i="26"/>
  <c r="AQ156" i="26"/>
  <c r="AP156" i="26"/>
  <c r="AO156" i="26"/>
  <c r="AN156" i="26"/>
  <c r="AM156" i="26"/>
  <c r="AL156" i="26"/>
  <c r="AK156" i="26"/>
  <c r="AJ156" i="26"/>
  <c r="AI156" i="26"/>
  <c r="AH156" i="26"/>
  <c r="AG156" i="26"/>
  <c r="AF156" i="26"/>
  <c r="AE156" i="26"/>
  <c r="AD156" i="26"/>
  <c r="AC156" i="26"/>
  <c r="AB156" i="26"/>
  <c r="AA156" i="26"/>
  <c r="Z156" i="26"/>
  <c r="Y156" i="26"/>
  <c r="X156" i="26"/>
  <c r="W156" i="26"/>
  <c r="V156" i="26"/>
  <c r="U156" i="26"/>
  <c r="T156" i="26"/>
  <c r="S156" i="26"/>
  <c r="R156" i="26"/>
  <c r="Q156" i="26"/>
  <c r="P156" i="26"/>
  <c r="O156" i="26"/>
  <c r="N156" i="26"/>
  <c r="M156" i="26"/>
  <c r="L156" i="26"/>
  <c r="K156" i="26"/>
  <c r="J156" i="26"/>
  <c r="I156" i="26"/>
  <c r="H156" i="26"/>
  <c r="G156" i="26"/>
  <c r="F156" i="26"/>
  <c r="E156" i="26"/>
  <c r="D156" i="26"/>
  <c r="C156" i="26"/>
  <c r="B156" i="26"/>
  <c r="BC155" i="26"/>
  <c r="BB155" i="26"/>
  <c r="BA155" i="26"/>
  <c r="AZ155" i="26"/>
  <c r="AY155" i="26"/>
  <c r="AX155" i="26"/>
  <c r="AW155" i="26"/>
  <c r="AV155" i="26"/>
  <c r="AU155" i="26"/>
  <c r="AT155" i="26"/>
  <c r="AS155" i="26"/>
  <c r="AR155" i="26"/>
  <c r="AQ155" i="26"/>
  <c r="AP155" i="26"/>
  <c r="AO155" i="26"/>
  <c r="AN155" i="26"/>
  <c r="AM155" i="26"/>
  <c r="AL155" i="26"/>
  <c r="AK155" i="26"/>
  <c r="AJ155" i="26"/>
  <c r="AI155" i="26"/>
  <c r="AH155" i="26"/>
  <c r="AG155" i="26"/>
  <c r="AF155" i="26"/>
  <c r="AE155" i="26"/>
  <c r="AD155" i="26"/>
  <c r="AC155" i="26"/>
  <c r="AB155" i="26"/>
  <c r="AA155" i="26"/>
  <c r="Z155" i="26"/>
  <c r="Y155" i="26"/>
  <c r="X155" i="26"/>
  <c r="W155" i="26"/>
  <c r="V155" i="26"/>
  <c r="U155" i="26"/>
  <c r="T155" i="26"/>
  <c r="S155" i="26"/>
  <c r="R155" i="26"/>
  <c r="Q155" i="26"/>
  <c r="P155" i="26"/>
  <c r="O155" i="26"/>
  <c r="N155" i="26"/>
  <c r="M155" i="26"/>
  <c r="L155" i="26"/>
  <c r="K155" i="26"/>
  <c r="J155" i="26"/>
  <c r="I155" i="26"/>
  <c r="H155" i="26"/>
  <c r="G155" i="26"/>
  <c r="F155" i="26"/>
  <c r="E155" i="26"/>
  <c r="D155" i="26"/>
  <c r="C155" i="26"/>
  <c r="B155" i="26"/>
  <c r="BC154" i="26"/>
  <c r="BB154" i="26"/>
  <c r="BA154" i="26"/>
  <c r="AZ154" i="26"/>
  <c r="AY154" i="26"/>
  <c r="AX154" i="26"/>
  <c r="AW154" i="26"/>
  <c r="AV154" i="26"/>
  <c r="AU154" i="26"/>
  <c r="AT154" i="26"/>
  <c r="AS154" i="26"/>
  <c r="AR154" i="26"/>
  <c r="AQ154" i="26"/>
  <c r="AP154" i="26"/>
  <c r="AO154" i="26"/>
  <c r="AN154" i="26"/>
  <c r="AM154" i="26"/>
  <c r="AL154" i="26"/>
  <c r="AK154" i="26"/>
  <c r="AJ154" i="26"/>
  <c r="AI154" i="26"/>
  <c r="AH154" i="26"/>
  <c r="AG154" i="26"/>
  <c r="AF154" i="26"/>
  <c r="AE154" i="26"/>
  <c r="AD154" i="26"/>
  <c r="AC154" i="26"/>
  <c r="AB154" i="26"/>
  <c r="AA154" i="26"/>
  <c r="Z154" i="26"/>
  <c r="Y154" i="26"/>
  <c r="X154" i="26"/>
  <c r="W154" i="26"/>
  <c r="V154" i="26"/>
  <c r="U154" i="26"/>
  <c r="T154" i="26"/>
  <c r="S154" i="26"/>
  <c r="R154" i="26"/>
  <c r="Q154" i="26"/>
  <c r="P154" i="26"/>
  <c r="O154" i="26"/>
  <c r="N154" i="26"/>
  <c r="M154" i="26"/>
  <c r="L154" i="26"/>
  <c r="K154" i="26"/>
  <c r="J154" i="26"/>
  <c r="I154" i="26"/>
  <c r="H154" i="26"/>
  <c r="G154" i="26"/>
  <c r="F154" i="26"/>
  <c r="E154" i="26"/>
  <c r="D154" i="26"/>
  <c r="C154" i="26"/>
  <c r="B154" i="26"/>
  <c r="BC153" i="26"/>
  <c r="BB153" i="26"/>
  <c r="BA153" i="26"/>
  <c r="AZ153" i="26"/>
  <c r="AY153" i="26"/>
  <c r="AX153" i="26"/>
  <c r="AW153" i="26"/>
  <c r="AV153" i="26"/>
  <c r="AU153" i="26"/>
  <c r="AT153" i="26"/>
  <c r="AS153" i="26"/>
  <c r="AR153" i="26"/>
  <c r="AQ153" i="26"/>
  <c r="AP153" i="26"/>
  <c r="AO153" i="26"/>
  <c r="AN153" i="26"/>
  <c r="AM153" i="26"/>
  <c r="AL153" i="26"/>
  <c r="AK153" i="26"/>
  <c r="AJ153" i="26"/>
  <c r="AI153" i="26"/>
  <c r="AH153" i="26"/>
  <c r="AG153" i="26"/>
  <c r="AF153" i="26"/>
  <c r="AE153" i="26"/>
  <c r="AD153" i="26"/>
  <c r="AC153" i="26"/>
  <c r="AB153" i="26"/>
  <c r="AA153" i="26"/>
  <c r="Z153" i="26"/>
  <c r="Y153" i="26"/>
  <c r="X153" i="26"/>
  <c r="W153" i="26"/>
  <c r="V153" i="26"/>
  <c r="U153" i="26"/>
  <c r="T153" i="26"/>
  <c r="S153" i="26"/>
  <c r="R153" i="26"/>
  <c r="Q153" i="26"/>
  <c r="P153" i="26"/>
  <c r="O153" i="26"/>
  <c r="N153" i="26"/>
  <c r="M153" i="26"/>
  <c r="L153" i="26"/>
  <c r="K153" i="26"/>
  <c r="J153" i="26"/>
  <c r="I153" i="26"/>
  <c r="H153" i="26"/>
  <c r="G153" i="26"/>
  <c r="F153" i="26"/>
  <c r="E153" i="26"/>
  <c r="D153" i="26"/>
  <c r="C153" i="26"/>
  <c r="B153" i="26"/>
  <c r="BC152" i="26"/>
  <c r="BB152" i="26"/>
  <c r="BA152" i="26"/>
  <c r="AZ152" i="26"/>
  <c r="AY152" i="26"/>
  <c r="AX152" i="26"/>
  <c r="AW152" i="26"/>
  <c r="AV152" i="26"/>
  <c r="AU152" i="26"/>
  <c r="AT152" i="26"/>
  <c r="AS152" i="26"/>
  <c r="AR152" i="26"/>
  <c r="AQ152" i="26"/>
  <c r="AP152" i="26"/>
  <c r="AO152" i="26"/>
  <c r="AN152" i="26"/>
  <c r="AM152" i="26"/>
  <c r="AL152" i="26"/>
  <c r="AK152" i="26"/>
  <c r="AJ152" i="26"/>
  <c r="AI152" i="26"/>
  <c r="AH152" i="26"/>
  <c r="AG152" i="26"/>
  <c r="AF152" i="26"/>
  <c r="AE152" i="26"/>
  <c r="AD152" i="26"/>
  <c r="AC152" i="26"/>
  <c r="AB152" i="26"/>
  <c r="AA152" i="26"/>
  <c r="Z152" i="26"/>
  <c r="Y152" i="26"/>
  <c r="X152" i="26"/>
  <c r="W152" i="26"/>
  <c r="V152" i="26"/>
  <c r="U152" i="26"/>
  <c r="T152" i="26"/>
  <c r="S152" i="26"/>
  <c r="R152" i="26"/>
  <c r="Q152" i="26"/>
  <c r="P152" i="26"/>
  <c r="O152" i="26"/>
  <c r="N152" i="26"/>
  <c r="M152" i="26"/>
  <c r="L152" i="26"/>
  <c r="K152" i="26"/>
  <c r="J152" i="26"/>
  <c r="I152" i="26"/>
  <c r="H152" i="26"/>
  <c r="G152" i="26"/>
  <c r="F152" i="26"/>
  <c r="E152" i="26"/>
  <c r="D152" i="26"/>
  <c r="C152" i="26"/>
  <c r="B152" i="26"/>
  <c r="BC151" i="26"/>
  <c r="BB151" i="26"/>
  <c r="BA151" i="26"/>
  <c r="AZ151" i="26"/>
  <c r="AY151" i="26"/>
  <c r="AX151" i="26"/>
  <c r="AW151" i="26"/>
  <c r="AV151" i="26"/>
  <c r="AU151" i="26"/>
  <c r="AT151" i="26"/>
  <c r="AS151" i="26"/>
  <c r="AR151" i="26"/>
  <c r="AQ151" i="26"/>
  <c r="AP151" i="26"/>
  <c r="AO151" i="26"/>
  <c r="AN151" i="26"/>
  <c r="AM151" i="26"/>
  <c r="AL151" i="26"/>
  <c r="AK151" i="26"/>
  <c r="AJ151" i="26"/>
  <c r="AI151" i="26"/>
  <c r="AH151" i="26"/>
  <c r="AG151" i="26"/>
  <c r="AF151" i="26"/>
  <c r="AE151" i="26"/>
  <c r="AD151" i="26"/>
  <c r="AC151" i="26"/>
  <c r="AB151" i="26"/>
  <c r="AA151" i="26"/>
  <c r="Z151" i="26"/>
  <c r="Y151" i="26"/>
  <c r="X151" i="26"/>
  <c r="W151" i="26"/>
  <c r="V151" i="26"/>
  <c r="U151" i="26"/>
  <c r="T151" i="26"/>
  <c r="S151" i="26"/>
  <c r="R151" i="26"/>
  <c r="Q151" i="26"/>
  <c r="P151" i="26"/>
  <c r="O151" i="26"/>
  <c r="N151" i="26"/>
  <c r="M151" i="26"/>
  <c r="L151" i="26"/>
  <c r="K151" i="26"/>
  <c r="J151" i="26"/>
  <c r="I151" i="26"/>
  <c r="H151" i="26"/>
  <c r="G151" i="26"/>
  <c r="F151" i="26"/>
  <c r="E151" i="26"/>
  <c r="D151" i="26"/>
  <c r="C151" i="26"/>
  <c r="B151" i="26"/>
  <c r="BC150" i="26"/>
  <c r="BB150" i="26"/>
  <c r="BA150" i="26"/>
  <c r="AZ150" i="26"/>
  <c r="AY150" i="26"/>
  <c r="AX150" i="26"/>
  <c r="AW150" i="26"/>
  <c r="AV150" i="26"/>
  <c r="AU150" i="26"/>
  <c r="AT150" i="26"/>
  <c r="AS150" i="26"/>
  <c r="AR150" i="26"/>
  <c r="AQ150" i="26"/>
  <c r="AP150" i="26"/>
  <c r="AO150" i="26"/>
  <c r="AN150" i="26"/>
  <c r="AM150" i="26"/>
  <c r="AL150" i="26"/>
  <c r="AK150" i="26"/>
  <c r="AJ150" i="26"/>
  <c r="AI150" i="26"/>
  <c r="AH150" i="26"/>
  <c r="AG150" i="26"/>
  <c r="AF150" i="26"/>
  <c r="AE150" i="26"/>
  <c r="AD150" i="26"/>
  <c r="AC150" i="26"/>
  <c r="AB150" i="26"/>
  <c r="AA150" i="26"/>
  <c r="Z150" i="26"/>
  <c r="Y150" i="26"/>
  <c r="X150" i="26"/>
  <c r="W150" i="26"/>
  <c r="V150" i="26"/>
  <c r="U150" i="26"/>
  <c r="T150" i="26"/>
  <c r="S150" i="26"/>
  <c r="R150" i="26"/>
  <c r="Q150" i="26"/>
  <c r="P150" i="26"/>
  <c r="O150" i="26"/>
  <c r="N150" i="26"/>
  <c r="M150" i="26"/>
  <c r="L150" i="26"/>
  <c r="K150" i="26"/>
  <c r="J150" i="26"/>
  <c r="I150" i="26"/>
  <c r="H150" i="26"/>
  <c r="G150" i="26"/>
  <c r="F150" i="26"/>
  <c r="E150" i="26"/>
  <c r="D150" i="26"/>
  <c r="C150" i="26"/>
  <c r="B150" i="26"/>
  <c r="BC149" i="26"/>
  <c r="BB149" i="26"/>
  <c r="BA149" i="26"/>
  <c r="AZ149" i="26"/>
  <c r="AY149" i="26"/>
  <c r="AX149" i="26"/>
  <c r="AW149" i="26"/>
  <c r="AV149" i="26"/>
  <c r="AU149" i="26"/>
  <c r="AT149" i="26"/>
  <c r="AS149" i="26"/>
  <c r="AR149" i="26"/>
  <c r="AQ149" i="26"/>
  <c r="AP149" i="26"/>
  <c r="AO149" i="26"/>
  <c r="AN149" i="26"/>
  <c r="AM149" i="26"/>
  <c r="AL149" i="26"/>
  <c r="AK149" i="26"/>
  <c r="AJ149" i="26"/>
  <c r="AI149" i="26"/>
  <c r="AH149" i="26"/>
  <c r="AG149" i="26"/>
  <c r="AF149" i="26"/>
  <c r="AE149" i="26"/>
  <c r="AD149" i="26"/>
  <c r="AC149" i="26"/>
  <c r="AB149" i="26"/>
  <c r="AA149" i="26"/>
  <c r="Z149" i="26"/>
  <c r="Y149" i="26"/>
  <c r="X149" i="26"/>
  <c r="W149" i="26"/>
  <c r="V149" i="26"/>
  <c r="U149" i="26"/>
  <c r="T149" i="26"/>
  <c r="S149" i="26"/>
  <c r="R149" i="26"/>
  <c r="Q149" i="26"/>
  <c r="P149" i="26"/>
  <c r="O149" i="26"/>
  <c r="N149" i="26"/>
  <c r="M149" i="26"/>
  <c r="L149" i="26"/>
  <c r="K149" i="26"/>
  <c r="J149" i="26"/>
  <c r="I149" i="26"/>
  <c r="H149" i="26"/>
  <c r="G149" i="26"/>
  <c r="F149" i="26"/>
  <c r="E149" i="26"/>
  <c r="D149" i="26"/>
  <c r="C149" i="26"/>
  <c r="B149" i="26"/>
  <c r="BC148" i="26"/>
  <c r="BB148" i="26"/>
  <c r="BA148" i="26"/>
  <c r="AZ148" i="26"/>
  <c r="AY148" i="26"/>
  <c r="AX148" i="26"/>
  <c r="AW148" i="26"/>
  <c r="AV148" i="26"/>
  <c r="AU148" i="26"/>
  <c r="AT148" i="26"/>
  <c r="AS148" i="26"/>
  <c r="AR148" i="26"/>
  <c r="AQ148" i="26"/>
  <c r="AP148" i="26"/>
  <c r="AO148" i="26"/>
  <c r="AN148" i="26"/>
  <c r="AM148" i="26"/>
  <c r="AL148" i="26"/>
  <c r="AK148" i="26"/>
  <c r="AJ148" i="26"/>
  <c r="AI148" i="26"/>
  <c r="AH148" i="26"/>
  <c r="AG148" i="26"/>
  <c r="AF148" i="26"/>
  <c r="AE148" i="26"/>
  <c r="AD148" i="26"/>
  <c r="AC148" i="26"/>
  <c r="AB148" i="26"/>
  <c r="AA148" i="26"/>
  <c r="Z148" i="26"/>
  <c r="Y148" i="26"/>
  <c r="X148" i="26"/>
  <c r="W148" i="26"/>
  <c r="V148" i="26"/>
  <c r="U148" i="26"/>
  <c r="T148" i="26"/>
  <c r="S148" i="26"/>
  <c r="R148" i="26"/>
  <c r="Q148" i="26"/>
  <c r="P148" i="26"/>
  <c r="O148" i="26"/>
  <c r="N148" i="26"/>
  <c r="M148" i="26"/>
  <c r="L148" i="26"/>
  <c r="K148" i="26"/>
  <c r="J148" i="26"/>
  <c r="I148" i="26"/>
  <c r="H148" i="26"/>
  <c r="G148" i="26"/>
  <c r="F148" i="26"/>
  <c r="E148" i="26"/>
  <c r="D148" i="26"/>
  <c r="C148" i="26"/>
  <c r="B148" i="26"/>
  <c r="BC147" i="26"/>
  <c r="BB147" i="26"/>
  <c r="BA147" i="26"/>
  <c r="AZ147" i="26"/>
  <c r="AY147" i="26"/>
  <c r="AX147" i="26"/>
  <c r="AW147" i="26"/>
  <c r="AV147" i="26"/>
  <c r="AU147" i="26"/>
  <c r="AT147" i="26"/>
  <c r="AS147" i="26"/>
  <c r="AR147" i="26"/>
  <c r="AQ147" i="26"/>
  <c r="AP147" i="26"/>
  <c r="AO147" i="26"/>
  <c r="AN147" i="26"/>
  <c r="AM147" i="26"/>
  <c r="AL147" i="26"/>
  <c r="AK147" i="26"/>
  <c r="AJ147" i="26"/>
  <c r="AI147" i="26"/>
  <c r="AH147" i="26"/>
  <c r="AG147" i="26"/>
  <c r="AF147" i="26"/>
  <c r="AE147" i="26"/>
  <c r="AD147" i="26"/>
  <c r="AC147" i="26"/>
  <c r="AB147" i="26"/>
  <c r="AA147" i="26"/>
  <c r="Z147" i="26"/>
  <c r="Y147" i="26"/>
  <c r="X147" i="26"/>
  <c r="W147" i="26"/>
  <c r="V147" i="26"/>
  <c r="U147" i="26"/>
  <c r="T147" i="26"/>
  <c r="S147" i="26"/>
  <c r="R147" i="26"/>
  <c r="Q147" i="26"/>
  <c r="P147" i="26"/>
  <c r="O147" i="26"/>
  <c r="N147" i="26"/>
  <c r="M147" i="26"/>
  <c r="L147" i="26"/>
  <c r="K147" i="26"/>
  <c r="J147" i="26"/>
  <c r="I147" i="26"/>
  <c r="H147" i="26"/>
  <c r="G147" i="26"/>
  <c r="F147" i="26"/>
  <c r="E147" i="26"/>
  <c r="D147" i="26"/>
  <c r="C147" i="26"/>
  <c r="B147" i="26"/>
  <c r="BC146" i="26"/>
  <c r="BB146" i="26"/>
  <c r="BA146" i="26"/>
  <c r="AZ146" i="26"/>
  <c r="AY146" i="26"/>
  <c r="AX146" i="26"/>
  <c r="AW146" i="26"/>
  <c r="AV146" i="26"/>
  <c r="AU146" i="26"/>
  <c r="AT146" i="26"/>
  <c r="AS146" i="26"/>
  <c r="AR146" i="26"/>
  <c r="AQ146" i="26"/>
  <c r="AP146" i="26"/>
  <c r="AO146" i="26"/>
  <c r="AN146" i="26"/>
  <c r="AM146" i="26"/>
  <c r="AL146" i="26"/>
  <c r="AK146" i="26"/>
  <c r="AJ146" i="26"/>
  <c r="AI146" i="26"/>
  <c r="AH146" i="26"/>
  <c r="AG146" i="26"/>
  <c r="AF146" i="26"/>
  <c r="AE146" i="26"/>
  <c r="AD146" i="26"/>
  <c r="AC146" i="26"/>
  <c r="AB146" i="26"/>
  <c r="AA146" i="26"/>
  <c r="Z146" i="26"/>
  <c r="Y146" i="26"/>
  <c r="X146" i="26"/>
  <c r="W146" i="26"/>
  <c r="V146" i="26"/>
  <c r="U146" i="26"/>
  <c r="T146" i="26"/>
  <c r="S146" i="26"/>
  <c r="R146" i="26"/>
  <c r="Q146" i="26"/>
  <c r="P146" i="26"/>
  <c r="O146" i="26"/>
  <c r="N146" i="26"/>
  <c r="M146" i="26"/>
  <c r="L146" i="26"/>
  <c r="K146" i="26"/>
  <c r="J146" i="26"/>
  <c r="I146" i="26"/>
  <c r="H146" i="26"/>
  <c r="G146" i="26"/>
  <c r="F146" i="26"/>
  <c r="E146" i="26"/>
  <c r="D146" i="26"/>
  <c r="C146" i="26"/>
  <c r="B146" i="26"/>
  <c r="BC145" i="26"/>
  <c r="BB145" i="26"/>
  <c r="BA145" i="26"/>
  <c r="AZ145" i="26"/>
  <c r="AY145" i="26"/>
  <c r="AX145" i="26"/>
  <c r="AW145" i="26"/>
  <c r="AV145" i="26"/>
  <c r="AU145" i="26"/>
  <c r="AT145" i="26"/>
  <c r="AS145" i="26"/>
  <c r="AR145" i="26"/>
  <c r="AQ145" i="26"/>
  <c r="AP145" i="26"/>
  <c r="AO145" i="26"/>
  <c r="AN145" i="26"/>
  <c r="AM145" i="26"/>
  <c r="AL145" i="26"/>
  <c r="AK145" i="26"/>
  <c r="AJ145" i="26"/>
  <c r="AI145" i="26"/>
  <c r="AH145" i="26"/>
  <c r="AG145" i="26"/>
  <c r="AF145" i="26"/>
  <c r="AE145" i="26"/>
  <c r="AD145" i="26"/>
  <c r="AC145" i="26"/>
  <c r="AB145" i="26"/>
  <c r="AA145" i="26"/>
  <c r="Z145" i="26"/>
  <c r="Y145" i="26"/>
  <c r="X145" i="26"/>
  <c r="W145" i="26"/>
  <c r="V145" i="26"/>
  <c r="U145" i="26"/>
  <c r="T145" i="26"/>
  <c r="S145" i="26"/>
  <c r="R145" i="26"/>
  <c r="Q145" i="26"/>
  <c r="P145" i="26"/>
  <c r="O145" i="26"/>
  <c r="N145" i="26"/>
  <c r="M145" i="26"/>
  <c r="L145" i="26"/>
  <c r="K145" i="26"/>
  <c r="J145" i="26"/>
  <c r="I145" i="26"/>
  <c r="H145" i="26"/>
  <c r="G145" i="26"/>
  <c r="F145" i="26"/>
  <c r="E145" i="26"/>
  <c r="D145" i="26"/>
  <c r="C145" i="26"/>
  <c r="B145" i="26"/>
  <c r="BC144" i="26"/>
  <c r="BB144" i="26"/>
  <c r="BA144" i="26"/>
  <c r="AZ144" i="26"/>
  <c r="AY144" i="26"/>
  <c r="AX144" i="26"/>
  <c r="AW144" i="26"/>
  <c r="AV144" i="26"/>
  <c r="AU144" i="26"/>
  <c r="AT144" i="26"/>
  <c r="AS144" i="26"/>
  <c r="AR144" i="26"/>
  <c r="AQ144" i="26"/>
  <c r="AP144" i="26"/>
  <c r="AO144" i="26"/>
  <c r="AN144" i="26"/>
  <c r="AM144" i="26"/>
  <c r="AL144" i="26"/>
  <c r="AK144" i="26"/>
  <c r="AJ144" i="26"/>
  <c r="AI144" i="26"/>
  <c r="AH144" i="26"/>
  <c r="AG144" i="26"/>
  <c r="AF144" i="26"/>
  <c r="AE144" i="26"/>
  <c r="AD144" i="26"/>
  <c r="AC144" i="26"/>
  <c r="AB144" i="26"/>
  <c r="AA144" i="26"/>
  <c r="Z144" i="26"/>
  <c r="Y144" i="26"/>
  <c r="X144" i="26"/>
  <c r="W144" i="26"/>
  <c r="V144" i="26"/>
  <c r="U144" i="26"/>
  <c r="T144" i="26"/>
  <c r="S144" i="26"/>
  <c r="R144" i="26"/>
  <c r="Q144" i="26"/>
  <c r="P144" i="26"/>
  <c r="O144" i="26"/>
  <c r="N144" i="26"/>
  <c r="M144" i="26"/>
  <c r="L144" i="26"/>
  <c r="K144" i="26"/>
  <c r="J144" i="26"/>
  <c r="I144" i="26"/>
  <c r="H144" i="26"/>
  <c r="G144" i="26"/>
  <c r="F144" i="26"/>
  <c r="E144" i="26"/>
  <c r="D144" i="26"/>
  <c r="C144" i="26"/>
  <c r="B144" i="26"/>
  <c r="BC143" i="26"/>
  <c r="BB143" i="26"/>
  <c r="BA143" i="26"/>
  <c r="AZ143" i="26"/>
  <c r="AY143" i="26"/>
  <c r="AX143" i="26"/>
  <c r="AW143" i="26"/>
  <c r="AV143" i="26"/>
  <c r="AU143" i="26"/>
  <c r="AT143" i="26"/>
  <c r="AS143" i="26"/>
  <c r="AR143" i="26"/>
  <c r="AQ143" i="26"/>
  <c r="AP143" i="26"/>
  <c r="AO143" i="26"/>
  <c r="AN143" i="26"/>
  <c r="AM143" i="26"/>
  <c r="AL143" i="26"/>
  <c r="AK143" i="26"/>
  <c r="AJ143" i="26"/>
  <c r="AI143" i="26"/>
  <c r="AH143" i="26"/>
  <c r="AG143" i="26"/>
  <c r="AF143" i="26"/>
  <c r="AE143" i="26"/>
  <c r="AD143" i="26"/>
  <c r="AC143" i="26"/>
  <c r="AB143" i="26"/>
  <c r="AA143" i="26"/>
  <c r="Z143" i="26"/>
  <c r="Y143" i="26"/>
  <c r="X143" i="26"/>
  <c r="W143" i="26"/>
  <c r="V143" i="26"/>
  <c r="U143" i="26"/>
  <c r="T143" i="26"/>
  <c r="S143" i="26"/>
  <c r="R143" i="26"/>
  <c r="Q143" i="26"/>
  <c r="P143" i="26"/>
  <c r="O143" i="26"/>
  <c r="N143" i="26"/>
  <c r="M143" i="26"/>
  <c r="L143" i="26"/>
  <c r="K143" i="26"/>
  <c r="J143" i="26"/>
  <c r="I143" i="26"/>
  <c r="H143" i="26"/>
  <c r="G143" i="26"/>
  <c r="F143" i="26"/>
  <c r="E143" i="26"/>
  <c r="D143" i="26"/>
  <c r="C143" i="26"/>
  <c r="B143" i="26"/>
  <c r="BC142" i="26"/>
  <c r="BB142" i="26"/>
  <c r="BA142" i="26"/>
  <c r="AZ142" i="26"/>
  <c r="AY142" i="26"/>
  <c r="AX142" i="26"/>
  <c r="AW142" i="26"/>
  <c r="AV142" i="26"/>
  <c r="AU142" i="26"/>
  <c r="AT142" i="26"/>
  <c r="AS142" i="26"/>
  <c r="AR142" i="26"/>
  <c r="AQ142" i="26"/>
  <c r="AP142" i="26"/>
  <c r="AO142" i="26"/>
  <c r="AN142" i="26"/>
  <c r="AM142" i="26"/>
  <c r="AL142" i="26"/>
  <c r="AK142" i="26"/>
  <c r="AJ142" i="26"/>
  <c r="AI142" i="26"/>
  <c r="AH142" i="26"/>
  <c r="AG142" i="26"/>
  <c r="AF142" i="26"/>
  <c r="AE142" i="26"/>
  <c r="AD142" i="26"/>
  <c r="AC142" i="26"/>
  <c r="AB142" i="26"/>
  <c r="AA142" i="26"/>
  <c r="Z142" i="26"/>
  <c r="Y142" i="26"/>
  <c r="X142" i="26"/>
  <c r="W142" i="26"/>
  <c r="V142" i="26"/>
  <c r="U142" i="26"/>
  <c r="T142" i="26"/>
  <c r="S142" i="26"/>
  <c r="R142" i="26"/>
  <c r="Q142" i="26"/>
  <c r="P142" i="26"/>
  <c r="O142" i="26"/>
  <c r="N142" i="26"/>
  <c r="M142" i="26"/>
  <c r="L142" i="26"/>
  <c r="K142" i="26"/>
  <c r="J142" i="26"/>
  <c r="I142" i="26"/>
  <c r="H142" i="26"/>
  <c r="G142" i="26"/>
  <c r="F142" i="26"/>
  <c r="E142" i="26"/>
  <c r="D142" i="26"/>
  <c r="C142" i="26"/>
  <c r="B142" i="26"/>
  <c r="BC141" i="26"/>
  <c r="BB141" i="26"/>
  <c r="BA141" i="26"/>
  <c r="AZ141" i="26"/>
  <c r="AY141" i="26"/>
  <c r="AX141" i="26"/>
  <c r="AW141" i="26"/>
  <c r="AV141" i="26"/>
  <c r="AU141" i="26"/>
  <c r="AT141" i="26"/>
  <c r="AS141" i="26"/>
  <c r="AR141" i="26"/>
  <c r="AQ141" i="26"/>
  <c r="AP141" i="26"/>
  <c r="AO141" i="26"/>
  <c r="AN141" i="26"/>
  <c r="AM141" i="26"/>
  <c r="AL141" i="26"/>
  <c r="AK141" i="26"/>
  <c r="AJ141" i="26"/>
  <c r="AI141" i="26"/>
  <c r="AH141" i="26"/>
  <c r="AG141" i="26"/>
  <c r="AF141" i="26"/>
  <c r="AE141" i="26"/>
  <c r="AD141" i="26"/>
  <c r="AC141" i="26"/>
  <c r="AB141" i="26"/>
  <c r="AA141" i="26"/>
  <c r="Z141" i="26"/>
  <c r="Y141" i="26"/>
  <c r="X141" i="26"/>
  <c r="W141" i="26"/>
  <c r="V141" i="26"/>
  <c r="U141" i="26"/>
  <c r="T141" i="26"/>
  <c r="S141" i="26"/>
  <c r="R141" i="26"/>
  <c r="Q141" i="26"/>
  <c r="P141" i="26"/>
  <c r="O141" i="26"/>
  <c r="N141" i="26"/>
  <c r="M141" i="26"/>
  <c r="L141" i="26"/>
  <c r="K141" i="26"/>
  <c r="J141" i="26"/>
  <c r="I141" i="26"/>
  <c r="H141" i="26"/>
  <c r="G141" i="26"/>
  <c r="F141" i="26"/>
  <c r="E141" i="26"/>
  <c r="D141" i="26"/>
  <c r="C141" i="26"/>
  <c r="B141" i="26"/>
  <c r="BC140" i="26"/>
  <c r="BB140" i="26"/>
  <c r="BA140" i="26"/>
  <c r="AZ140" i="26"/>
  <c r="AY140" i="26"/>
  <c r="AX140" i="26"/>
  <c r="AW140" i="26"/>
  <c r="AV140" i="26"/>
  <c r="AU140" i="26"/>
  <c r="AT140" i="26"/>
  <c r="AS140" i="26"/>
  <c r="AR140" i="26"/>
  <c r="AQ140" i="26"/>
  <c r="AP140" i="26"/>
  <c r="AO140" i="26"/>
  <c r="AN140" i="26"/>
  <c r="AM140" i="26"/>
  <c r="AL140" i="26"/>
  <c r="AK140" i="26"/>
  <c r="AJ140" i="26"/>
  <c r="AI140" i="26"/>
  <c r="AH140" i="26"/>
  <c r="AG140" i="26"/>
  <c r="AF140" i="26"/>
  <c r="AE140" i="26"/>
  <c r="AD140" i="26"/>
  <c r="AC140" i="26"/>
  <c r="AB140" i="26"/>
  <c r="AA140" i="26"/>
  <c r="Z140" i="26"/>
  <c r="Y140" i="26"/>
  <c r="X140" i="26"/>
  <c r="W140" i="26"/>
  <c r="V140" i="26"/>
  <c r="U140" i="26"/>
  <c r="T140" i="26"/>
  <c r="S140" i="26"/>
  <c r="R140" i="26"/>
  <c r="Q140" i="26"/>
  <c r="P140" i="26"/>
  <c r="O140" i="26"/>
  <c r="N140" i="26"/>
  <c r="M140" i="26"/>
  <c r="L140" i="26"/>
  <c r="K140" i="26"/>
  <c r="J140" i="26"/>
  <c r="I140" i="26"/>
  <c r="H140" i="26"/>
  <c r="G140" i="26"/>
  <c r="F140" i="26"/>
  <c r="E140" i="26"/>
  <c r="D140" i="26"/>
  <c r="C140" i="26"/>
  <c r="B140" i="26"/>
  <c r="BC139" i="26"/>
  <c r="BB139" i="26"/>
  <c r="BA139" i="26"/>
  <c r="AZ139" i="26"/>
  <c r="AY139" i="26"/>
  <c r="AX139" i="26"/>
  <c r="AW139" i="26"/>
  <c r="AV139" i="26"/>
  <c r="AU139" i="26"/>
  <c r="AT139" i="26"/>
  <c r="AS139" i="26"/>
  <c r="AR139" i="26"/>
  <c r="AQ139" i="26"/>
  <c r="AP139" i="26"/>
  <c r="AO139" i="26"/>
  <c r="AN139" i="26"/>
  <c r="AM139" i="26"/>
  <c r="AL139" i="26"/>
  <c r="AK139" i="26"/>
  <c r="AJ139" i="26"/>
  <c r="AI139" i="26"/>
  <c r="AH139" i="26"/>
  <c r="AG139" i="26"/>
  <c r="AF139" i="26"/>
  <c r="AE139" i="26"/>
  <c r="AD139" i="26"/>
  <c r="AC139" i="26"/>
  <c r="AB139" i="26"/>
  <c r="AA139" i="26"/>
  <c r="Z139" i="26"/>
  <c r="Y139" i="26"/>
  <c r="X139" i="26"/>
  <c r="W139" i="26"/>
  <c r="V139" i="26"/>
  <c r="U139" i="26"/>
  <c r="T139" i="26"/>
  <c r="S139" i="26"/>
  <c r="R139" i="26"/>
  <c r="Q139" i="26"/>
  <c r="P139" i="26"/>
  <c r="O139" i="26"/>
  <c r="N139" i="26"/>
  <c r="M139" i="26"/>
  <c r="L139" i="26"/>
  <c r="K139" i="26"/>
  <c r="J139" i="26"/>
  <c r="I139" i="26"/>
  <c r="H139" i="26"/>
  <c r="G139" i="26"/>
  <c r="F139" i="26"/>
  <c r="E139" i="26"/>
  <c r="D139" i="26"/>
  <c r="C139" i="26"/>
  <c r="B139" i="26"/>
  <c r="BC138" i="26"/>
  <c r="BB138" i="26"/>
  <c r="BA138" i="26"/>
  <c r="AZ138" i="26"/>
  <c r="AY138" i="26"/>
  <c r="AX138" i="26"/>
  <c r="AW138" i="26"/>
  <c r="AV138" i="26"/>
  <c r="AU138" i="26"/>
  <c r="AT138" i="26"/>
  <c r="AS138" i="26"/>
  <c r="AR138" i="26"/>
  <c r="AQ138" i="26"/>
  <c r="AP138" i="26"/>
  <c r="AO138" i="26"/>
  <c r="AN138" i="26"/>
  <c r="AM138" i="26"/>
  <c r="AL138" i="26"/>
  <c r="AK138" i="26"/>
  <c r="AJ138" i="26"/>
  <c r="AI138" i="26"/>
  <c r="AH138" i="26"/>
  <c r="AG138" i="26"/>
  <c r="AF138" i="26"/>
  <c r="AE138" i="26"/>
  <c r="AD138" i="26"/>
  <c r="AC138" i="26"/>
  <c r="AB138" i="26"/>
  <c r="AA138" i="26"/>
  <c r="Z138" i="26"/>
  <c r="Y138" i="26"/>
  <c r="X138" i="26"/>
  <c r="W138" i="26"/>
  <c r="V138" i="26"/>
  <c r="U138" i="26"/>
  <c r="T138" i="26"/>
  <c r="S138" i="26"/>
  <c r="R138" i="26"/>
  <c r="Q138" i="26"/>
  <c r="P138" i="26"/>
  <c r="O138" i="26"/>
  <c r="N138" i="26"/>
  <c r="M138" i="26"/>
  <c r="L138" i="26"/>
  <c r="K138" i="26"/>
  <c r="J138" i="26"/>
  <c r="I138" i="26"/>
  <c r="H138" i="26"/>
  <c r="G138" i="26"/>
  <c r="F138" i="26"/>
  <c r="E138" i="26"/>
  <c r="D138" i="26"/>
  <c r="C138" i="26"/>
  <c r="B138" i="26"/>
  <c r="BC137" i="26"/>
  <c r="BB137" i="26"/>
  <c r="BA137" i="26"/>
  <c r="AZ137" i="26"/>
  <c r="AY137" i="26"/>
  <c r="AX137" i="26"/>
  <c r="AW137" i="26"/>
  <c r="AV137" i="26"/>
  <c r="AU137" i="26"/>
  <c r="AT137" i="26"/>
  <c r="AS137" i="26"/>
  <c r="AR137" i="26"/>
  <c r="AQ137" i="26"/>
  <c r="AP137" i="26"/>
  <c r="AO137" i="26"/>
  <c r="AN137" i="26"/>
  <c r="AM137" i="26"/>
  <c r="AL137" i="26"/>
  <c r="AK137" i="26"/>
  <c r="AJ137" i="26"/>
  <c r="AI137" i="26"/>
  <c r="AH137" i="26"/>
  <c r="AG137" i="26"/>
  <c r="AF137" i="26"/>
  <c r="AE137" i="26"/>
  <c r="AD137" i="26"/>
  <c r="AC137" i="26"/>
  <c r="AB137" i="26"/>
  <c r="AA137" i="26"/>
  <c r="Z137" i="26"/>
  <c r="Y137" i="26"/>
  <c r="X137" i="26"/>
  <c r="W137" i="26"/>
  <c r="V137" i="26"/>
  <c r="U137" i="26"/>
  <c r="T137" i="26"/>
  <c r="S137" i="26"/>
  <c r="R137" i="26"/>
  <c r="Q137" i="26"/>
  <c r="P137" i="26"/>
  <c r="O137" i="26"/>
  <c r="N137" i="26"/>
  <c r="M137" i="26"/>
  <c r="L137" i="26"/>
  <c r="K137" i="26"/>
  <c r="J137" i="26"/>
  <c r="I137" i="26"/>
  <c r="H137" i="26"/>
  <c r="G137" i="26"/>
  <c r="F137" i="26"/>
  <c r="E137" i="26"/>
  <c r="D137" i="26"/>
  <c r="C137" i="26"/>
  <c r="B137" i="26"/>
  <c r="BC136" i="26"/>
  <c r="BB136" i="26"/>
  <c r="BA136" i="26"/>
  <c r="AZ136" i="26"/>
  <c r="AY136" i="26"/>
  <c r="AX136" i="26"/>
  <c r="AW136" i="26"/>
  <c r="AV136" i="26"/>
  <c r="AU136" i="26"/>
  <c r="AT136" i="26"/>
  <c r="AS136" i="26"/>
  <c r="AR136" i="26"/>
  <c r="AQ136" i="26"/>
  <c r="AP136" i="26"/>
  <c r="AO136" i="26"/>
  <c r="AN136" i="26"/>
  <c r="AM136" i="26"/>
  <c r="AL136" i="26"/>
  <c r="AK136" i="26"/>
  <c r="AJ136" i="26"/>
  <c r="AI136" i="26"/>
  <c r="AH136" i="26"/>
  <c r="AG136" i="26"/>
  <c r="AF136" i="26"/>
  <c r="AE136" i="26"/>
  <c r="AD136" i="26"/>
  <c r="AC136" i="26"/>
  <c r="AB136" i="26"/>
  <c r="AA136" i="26"/>
  <c r="Z136" i="26"/>
  <c r="Y136" i="26"/>
  <c r="X136" i="26"/>
  <c r="W136" i="26"/>
  <c r="V136" i="26"/>
  <c r="U136" i="26"/>
  <c r="T136" i="26"/>
  <c r="S136" i="26"/>
  <c r="R136" i="26"/>
  <c r="Q136" i="26"/>
  <c r="P136" i="26"/>
  <c r="O136" i="26"/>
  <c r="N136" i="26"/>
  <c r="M136" i="26"/>
  <c r="L136" i="26"/>
  <c r="K136" i="26"/>
  <c r="J136" i="26"/>
  <c r="I136" i="26"/>
  <c r="H136" i="26"/>
  <c r="G136" i="26"/>
  <c r="F136" i="26"/>
  <c r="E136" i="26"/>
  <c r="D136" i="26"/>
  <c r="C136" i="26"/>
  <c r="B136" i="26"/>
  <c r="BC135" i="26"/>
  <c r="BB135" i="26"/>
  <c r="BA135" i="26"/>
  <c r="AZ135" i="26"/>
  <c r="AY135" i="26"/>
  <c r="AX135" i="26"/>
  <c r="AW135" i="26"/>
  <c r="AV135" i="26"/>
  <c r="AU135" i="26"/>
  <c r="AT135" i="26"/>
  <c r="AS135" i="26"/>
  <c r="AR135" i="26"/>
  <c r="AQ135" i="26"/>
  <c r="AP135" i="26"/>
  <c r="AO135" i="26"/>
  <c r="AN135" i="26"/>
  <c r="AM135" i="26"/>
  <c r="AL135" i="26"/>
  <c r="AK135" i="26"/>
  <c r="AJ135" i="26"/>
  <c r="AI135" i="26"/>
  <c r="AH135" i="26"/>
  <c r="AG135" i="26"/>
  <c r="AF135" i="26"/>
  <c r="AE135" i="26"/>
  <c r="AD135" i="26"/>
  <c r="AC135" i="26"/>
  <c r="AB135" i="26"/>
  <c r="AA135" i="26"/>
  <c r="Z135" i="26"/>
  <c r="Y135" i="26"/>
  <c r="X135" i="26"/>
  <c r="W135" i="26"/>
  <c r="V135" i="26"/>
  <c r="U135" i="26"/>
  <c r="T135" i="26"/>
  <c r="S135" i="26"/>
  <c r="R135" i="26"/>
  <c r="Q135" i="26"/>
  <c r="P135" i="26"/>
  <c r="O135" i="26"/>
  <c r="N135" i="26"/>
  <c r="M135" i="26"/>
  <c r="L135" i="26"/>
  <c r="K135" i="26"/>
  <c r="J135" i="26"/>
  <c r="I135" i="26"/>
  <c r="H135" i="26"/>
  <c r="G135" i="26"/>
  <c r="F135" i="26"/>
  <c r="E135" i="26"/>
  <c r="D135" i="26"/>
  <c r="C135" i="26"/>
  <c r="B135" i="26"/>
  <c r="BC134" i="26"/>
  <c r="BB134" i="26"/>
  <c r="BA134" i="26"/>
  <c r="AZ134" i="26"/>
  <c r="AY134" i="26"/>
  <c r="AX134" i="26"/>
  <c r="AW134" i="26"/>
  <c r="AV134" i="26"/>
  <c r="AU134" i="26"/>
  <c r="AT134" i="26"/>
  <c r="AS134" i="26"/>
  <c r="AR134" i="26"/>
  <c r="AQ134" i="26"/>
  <c r="AP134" i="26"/>
  <c r="AO134" i="26"/>
  <c r="AN134" i="26"/>
  <c r="AM134" i="26"/>
  <c r="AL134" i="26"/>
  <c r="AK134" i="26"/>
  <c r="AJ134" i="26"/>
  <c r="AI134" i="26"/>
  <c r="AH134" i="26"/>
  <c r="AG134" i="26"/>
  <c r="AF134" i="26"/>
  <c r="AE134" i="26"/>
  <c r="AD134" i="26"/>
  <c r="AC134" i="26"/>
  <c r="AB134" i="26"/>
  <c r="AA134" i="26"/>
  <c r="Z134" i="26"/>
  <c r="Y134" i="26"/>
  <c r="X134" i="26"/>
  <c r="W134" i="26"/>
  <c r="V134" i="26"/>
  <c r="U134" i="26"/>
  <c r="T134" i="26"/>
  <c r="S134" i="26"/>
  <c r="R134" i="26"/>
  <c r="Q134" i="26"/>
  <c r="P134" i="26"/>
  <c r="O134" i="26"/>
  <c r="N134" i="26"/>
  <c r="M134" i="26"/>
  <c r="L134" i="26"/>
  <c r="K134" i="26"/>
  <c r="J134" i="26"/>
  <c r="I134" i="26"/>
  <c r="H134" i="26"/>
  <c r="G134" i="26"/>
  <c r="F134" i="26"/>
  <c r="E134" i="26"/>
  <c r="D134" i="26"/>
  <c r="C134" i="26"/>
  <c r="B134" i="26"/>
  <c r="BC133" i="26"/>
  <c r="BB133" i="26"/>
  <c r="BA133" i="26"/>
  <c r="AZ133" i="26"/>
  <c r="AY133" i="26"/>
  <c r="AX133" i="26"/>
  <c r="AW133" i="26"/>
  <c r="AV133" i="26"/>
  <c r="AU133" i="26"/>
  <c r="AT133" i="26"/>
  <c r="AS133" i="26"/>
  <c r="AR133" i="26"/>
  <c r="AQ133" i="26"/>
  <c r="AP133" i="26"/>
  <c r="AO133" i="26"/>
  <c r="AN133" i="26"/>
  <c r="AM133" i="26"/>
  <c r="AL133" i="26"/>
  <c r="AK133" i="26"/>
  <c r="AJ133" i="26"/>
  <c r="AI133" i="26"/>
  <c r="AH133" i="26"/>
  <c r="AG133" i="26"/>
  <c r="AF133" i="26"/>
  <c r="AE133" i="26"/>
  <c r="AD133" i="26"/>
  <c r="AC133" i="26"/>
  <c r="AB133" i="26"/>
  <c r="AA133" i="26"/>
  <c r="Z133" i="26"/>
  <c r="Y133" i="26"/>
  <c r="X133" i="26"/>
  <c r="W133" i="26"/>
  <c r="V133" i="26"/>
  <c r="U133" i="26"/>
  <c r="T133" i="26"/>
  <c r="S133" i="26"/>
  <c r="R133" i="26"/>
  <c r="Q133" i="26"/>
  <c r="P133" i="26"/>
  <c r="O133" i="26"/>
  <c r="N133" i="26"/>
  <c r="M133" i="26"/>
  <c r="L133" i="26"/>
  <c r="K133" i="26"/>
  <c r="J133" i="26"/>
  <c r="I133" i="26"/>
  <c r="H133" i="26"/>
  <c r="G133" i="26"/>
  <c r="F133" i="26"/>
  <c r="E133" i="26"/>
  <c r="D133" i="26"/>
  <c r="C133" i="26"/>
  <c r="B133" i="26"/>
  <c r="BC132" i="26"/>
  <c r="BB132" i="26"/>
  <c r="BA132" i="26"/>
  <c r="AZ132" i="26"/>
  <c r="AY132" i="26"/>
  <c r="AX132" i="26"/>
  <c r="AW132" i="26"/>
  <c r="AV132" i="26"/>
  <c r="AU132" i="26"/>
  <c r="AT132" i="26"/>
  <c r="AS132" i="26"/>
  <c r="AR132" i="26"/>
  <c r="AQ132" i="26"/>
  <c r="AP132" i="26"/>
  <c r="AO132" i="26"/>
  <c r="AN132" i="26"/>
  <c r="AM132" i="26"/>
  <c r="AL132" i="26"/>
  <c r="AK132" i="26"/>
  <c r="AJ132" i="26"/>
  <c r="AI132" i="26"/>
  <c r="AH132" i="26"/>
  <c r="AG132" i="26"/>
  <c r="AF132" i="26"/>
  <c r="AE132" i="26"/>
  <c r="AD132" i="26"/>
  <c r="AC132" i="26"/>
  <c r="AB132" i="26"/>
  <c r="AA132" i="26"/>
  <c r="Z132" i="26"/>
  <c r="Y132" i="26"/>
  <c r="X132" i="26"/>
  <c r="W132" i="26"/>
  <c r="V132" i="26"/>
  <c r="U132" i="26"/>
  <c r="T132" i="26"/>
  <c r="S132" i="26"/>
  <c r="R132" i="26"/>
  <c r="Q132" i="26"/>
  <c r="P132" i="26"/>
  <c r="O132" i="26"/>
  <c r="N132" i="26"/>
  <c r="M132" i="26"/>
  <c r="L132" i="26"/>
  <c r="K132" i="26"/>
  <c r="J132" i="26"/>
  <c r="I132" i="26"/>
  <c r="H132" i="26"/>
  <c r="G132" i="26"/>
  <c r="F132" i="26"/>
  <c r="E132" i="26"/>
  <c r="D132" i="26"/>
  <c r="C132" i="26"/>
  <c r="B132" i="26"/>
  <c r="BC131" i="26"/>
  <c r="BB131" i="26"/>
  <c r="BA131" i="26"/>
  <c r="AZ131" i="26"/>
  <c r="AY131" i="26"/>
  <c r="AX131" i="26"/>
  <c r="AW131" i="26"/>
  <c r="AV131" i="26"/>
  <c r="AU131" i="26"/>
  <c r="AT131" i="26"/>
  <c r="AS131" i="26"/>
  <c r="AR131" i="26"/>
  <c r="AQ131" i="26"/>
  <c r="AP131" i="26"/>
  <c r="AO131" i="26"/>
  <c r="AN131" i="26"/>
  <c r="AM131" i="26"/>
  <c r="AL131" i="26"/>
  <c r="AK131" i="26"/>
  <c r="AJ131" i="26"/>
  <c r="AI131" i="26"/>
  <c r="AH131" i="26"/>
  <c r="AG131" i="26"/>
  <c r="AF131" i="26"/>
  <c r="AE131" i="26"/>
  <c r="AD131" i="26"/>
  <c r="AC131" i="26"/>
  <c r="AB131" i="26"/>
  <c r="AA131" i="26"/>
  <c r="Z131" i="26"/>
  <c r="Y131" i="26"/>
  <c r="X131" i="26"/>
  <c r="W131" i="26"/>
  <c r="V131" i="26"/>
  <c r="U131" i="26"/>
  <c r="T131" i="26"/>
  <c r="S131" i="26"/>
  <c r="R131" i="26"/>
  <c r="Q131" i="26"/>
  <c r="P131" i="26"/>
  <c r="O131" i="26"/>
  <c r="N131" i="26"/>
  <c r="M131" i="26"/>
  <c r="L131" i="26"/>
  <c r="K131" i="26"/>
  <c r="J131" i="26"/>
  <c r="I131" i="26"/>
  <c r="H131" i="26"/>
  <c r="G131" i="26"/>
  <c r="F131" i="26"/>
  <c r="E131" i="26"/>
  <c r="D131" i="26"/>
  <c r="C131" i="26"/>
  <c r="B131" i="26"/>
  <c r="BC130" i="26"/>
  <c r="BB130" i="26"/>
  <c r="BA130" i="26"/>
  <c r="AZ130" i="26"/>
  <c r="AY130" i="26"/>
  <c r="AX130" i="26"/>
  <c r="AW130" i="26"/>
  <c r="AV130" i="26"/>
  <c r="AU130" i="26"/>
  <c r="AT130" i="26"/>
  <c r="AS130" i="26"/>
  <c r="AR130" i="26"/>
  <c r="AQ130" i="26"/>
  <c r="AP130" i="26"/>
  <c r="AO130" i="26"/>
  <c r="AN130" i="26"/>
  <c r="AM130" i="26"/>
  <c r="AL130" i="26"/>
  <c r="AK130" i="26"/>
  <c r="AJ130" i="26"/>
  <c r="AI130" i="26"/>
  <c r="AH130" i="26"/>
  <c r="AG130" i="26"/>
  <c r="AF130" i="26"/>
  <c r="AE130" i="26"/>
  <c r="AD130" i="26"/>
  <c r="AC130" i="26"/>
  <c r="AB130" i="26"/>
  <c r="AA130" i="26"/>
  <c r="Z130" i="26"/>
  <c r="Y130" i="26"/>
  <c r="X130" i="26"/>
  <c r="W130" i="26"/>
  <c r="V130" i="26"/>
  <c r="U130" i="26"/>
  <c r="T130" i="26"/>
  <c r="S130" i="26"/>
  <c r="R130" i="26"/>
  <c r="Q130" i="26"/>
  <c r="P130" i="26"/>
  <c r="O130" i="26"/>
  <c r="N130" i="26"/>
  <c r="M130" i="26"/>
  <c r="L130" i="26"/>
  <c r="K130" i="26"/>
  <c r="J130" i="26"/>
  <c r="I130" i="26"/>
  <c r="H130" i="26"/>
  <c r="G130" i="26"/>
  <c r="F130" i="26"/>
  <c r="E130" i="26"/>
  <c r="D130" i="26"/>
  <c r="C130" i="26"/>
  <c r="B130" i="26"/>
  <c r="BC129" i="26"/>
  <c r="BB129" i="26"/>
  <c r="BA129" i="26"/>
  <c r="AZ129" i="26"/>
  <c r="AY129" i="26"/>
  <c r="AX129" i="26"/>
  <c r="AW129" i="26"/>
  <c r="AV129" i="26"/>
  <c r="AU129" i="26"/>
  <c r="AT129" i="26"/>
  <c r="AS129" i="26"/>
  <c r="AR129" i="26"/>
  <c r="AQ129" i="26"/>
  <c r="AP129" i="26"/>
  <c r="AO129" i="26"/>
  <c r="AN129" i="26"/>
  <c r="AM129" i="26"/>
  <c r="AL129" i="26"/>
  <c r="AK129" i="26"/>
  <c r="AJ129" i="26"/>
  <c r="AI129" i="26"/>
  <c r="AH129" i="26"/>
  <c r="AG129" i="26"/>
  <c r="AF129" i="26"/>
  <c r="AE129" i="26"/>
  <c r="AD129" i="26"/>
  <c r="AC129" i="26"/>
  <c r="AB129" i="26"/>
  <c r="AA129" i="26"/>
  <c r="Z129" i="26"/>
  <c r="Y129" i="26"/>
  <c r="X129" i="26"/>
  <c r="W129" i="26"/>
  <c r="V129" i="26"/>
  <c r="U129" i="26"/>
  <c r="T129" i="26"/>
  <c r="S129" i="26"/>
  <c r="R129" i="26"/>
  <c r="Q129" i="26"/>
  <c r="P129" i="26"/>
  <c r="O129" i="26"/>
  <c r="N129" i="26"/>
  <c r="M129" i="26"/>
  <c r="L129" i="26"/>
  <c r="K129" i="26"/>
  <c r="J129" i="26"/>
  <c r="I129" i="26"/>
  <c r="H129" i="26"/>
  <c r="G129" i="26"/>
  <c r="F129" i="26"/>
  <c r="E129" i="26"/>
  <c r="D129" i="26"/>
  <c r="C129" i="26"/>
  <c r="B129" i="26"/>
  <c r="BC128" i="26"/>
  <c r="BB128" i="26"/>
  <c r="BA128" i="26"/>
  <c r="AZ128" i="26"/>
  <c r="AY128" i="26"/>
  <c r="AX128" i="26"/>
  <c r="AW128" i="26"/>
  <c r="AV128" i="26"/>
  <c r="AU128" i="26"/>
  <c r="AT128" i="26"/>
  <c r="AS128" i="26"/>
  <c r="AR128" i="26"/>
  <c r="AQ128" i="26"/>
  <c r="AP128" i="26"/>
  <c r="AO128" i="26"/>
  <c r="AN128" i="26"/>
  <c r="AM128" i="26"/>
  <c r="AL128" i="26"/>
  <c r="AK128" i="26"/>
  <c r="AJ128" i="26"/>
  <c r="AI128" i="26"/>
  <c r="AH128" i="26"/>
  <c r="AG128" i="26"/>
  <c r="AF128" i="26"/>
  <c r="AE128" i="26"/>
  <c r="AD128" i="26"/>
  <c r="AC128" i="26"/>
  <c r="AB128" i="26"/>
  <c r="AA128" i="26"/>
  <c r="Z128" i="26"/>
  <c r="Y128" i="26"/>
  <c r="X128" i="26"/>
  <c r="W128" i="26"/>
  <c r="V128" i="26"/>
  <c r="U128" i="26"/>
  <c r="T128" i="26"/>
  <c r="S128" i="26"/>
  <c r="R128" i="26"/>
  <c r="Q128" i="26"/>
  <c r="P128" i="26"/>
  <c r="O128" i="26"/>
  <c r="N128" i="26"/>
  <c r="M128" i="26"/>
  <c r="L128" i="26"/>
  <c r="K128" i="26"/>
  <c r="J128" i="26"/>
  <c r="I128" i="26"/>
  <c r="H128" i="26"/>
  <c r="G128" i="26"/>
  <c r="F128" i="26"/>
  <c r="E128" i="26"/>
  <c r="D128" i="26"/>
  <c r="C128" i="26"/>
  <c r="B128" i="26"/>
  <c r="BC127" i="26"/>
  <c r="BB127" i="26"/>
  <c r="BA127" i="26"/>
  <c r="AZ127" i="26"/>
  <c r="AY127" i="26"/>
  <c r="AX127" i="26"/>
  <c r="AW127" i="26"/>
  <c r="AV127" i="26"/>
  <c r="AU127" i="26"/>
  <c r="AT127" i="26"/>
  <c r="AS127" i="26"/>
  <c r="AR127" i="26"/>
  <c r="AQ127" i="26"/>
  <c r="AP127" i="26"/>
  <c r="AO127" i="26"/>
  <c r="AN127" i="26"/>
  <c r="AM127" i="26"/>
  <c r="AL127" i="26"/>
  <c r="AK127" i="26"/>
  <c r="AJ127" i="26"/>
  <c r="AI127" i="26"/>
  <c r="AH127" i="26"/>
  <c r="AG127" i="26"/>
  <c r="AF127" i="26"/>
  <c r="AE127" i="26"/>
  <c r="AD127" i="26"/>
  <c r="AC127" i="26"/>
  <c r="AB127" i="26"/>
  <c r="AA127" i="26"/>
  <c r="Z127" i="26"/>
  <c r="Y127" i="26"/>
  <c r="X127" i="26"/>
  <c r="W127" i="26"/>
  <c r="V127" i="26"/>
  <c r="U127" i="26"/>
  <c r="T127" i="26"/>
  <c r="S127" i="26"/>
  <c r="R127" i="26"/>
  <c r="Q127" i="26"/>
  <c r="P127" i="26"/>
  <c r="O127" i="26"/>
  <c r="N127" i="26"/>
  <c r="M127" i="26"/>
  <c r="L127" i="26"/>
  <c r="K127" i="26"/>
  <c r="J127" i="26"/>
  <c r="I127" i="26"/>
  <c r="H127" i="26"/>
  <c r="G127" i="26"/>
  <c r="F127" i="26"/>
  <c r="E127" i="26"/>
  <c r="D127" i="26"/>
  <c r="C127" i="26"/>
  <c r="B127" i="26"/>
  <c r="BC126" i="26"/>
  <c r="BB126" i="26"/>
  <c r="BA126" i="26"/>
  <c r="AZ126" i="26"/>
  <c r="AY126" i="26"/>
  <c r="AX126" i="26"/>
  <c r="AW126" i="26"/>
  <c r="AV126" i="26"/>
  <c r="AU126" i="26"/>
  <c r="AT126" i="26"/>
  <c r="AS126" i="26"/>
  <c r="AR126" i="26"/>
  <c r="AQ126" i="26"/>
  <c r="AP126" i="26"/>
  <c r="AO126" i="26"/>
  <c r="AN126" i="26"/>
  <c r="AM126" i="26"/>
  <c r="AL126" i="26"/>
  <c r="AK126" i="26"/>
  <c r="AJ126" i="26"/>
  <c r="AI126" i="26"/>
  <c r="AH126" i="26"/>
  <c r="AG126" i="26"/>
  <c r="AF126" i="26"/>
  <c r="AE126" i="26"/>
  <c r="AD126" i="26"/>
  <c r="AC126" i="26"/>
  <c r="AB126" i="26"/>
  <c r="AA126" i="26"/>
  <c r="Z126" i="26"/>
  <c r="Y126" i="26"/>
  <c r="X126" i="26"/>
  <c r="W126" i="26"/>
  <c r="V126" i="26"/>
  <c r="U126" i="26"/>
  <c r="T126" i="26"/>
  <c r="S126" i="26"/>
  <c r="R126" i="26"/>
  <c r="Q126" i="26"/>
  <c r="P126" i="26"/>
  <c r="O126" i="26"/>
  <c r="N126" i="26"/>
  <c r="M126" i="26"/>
  <c r="L126" i="26"/>
  <c r="K126" i="26"/>
  <c r="J126" i="26"/>
  <c r="I126" i="26"/>
  <c r="H126" i="26"/>
  <c r="G126" i="26"/>
  <c r="F126" i="26"/>
  <c r="E126" i="26"/>
  <c r="D126" i="26"/>
  <c r="C126" i="26"/>
  <c r="B126" i="26"/>
  <c r="BC125" i="26"/>
  <c r="BB125" i="26"/>
  <c r="BA125" i="26"/>
  <c r="AZ125" i="26"/>
  <c r="AY125" i="26"/>
  <c r="AX125" i="26"/>
  <c r="AW125" i="26"/>
  <c r="AV125" i="26"/>
  <c r="AU125" i="26"/>
  <c r="AT125" i="26"/>
  <c r="AS125" i="26"/>
  <c r="AR125" i="26"/>
  <c r="AQ125" i="26"/>
  <c r="AP125" i="26"/>
  <c r="AO125" i="26"/>
  <c r="AN125" i="26"/>
  <c r="AM125" i="26"/>
  <c r="AL125" i="26"/>
  <c r="AK125" i="26"/>
  <c r="AJ125" i="26"/>
  <c r="AI125" i="26"/>
  <c r="AH125" i="26"/>
  <c r="AG125" i="26"/>
  <c r="AF125" i="26"/>
  <c r="AE125" i="26"/>
  <c r="AD125" i="26"/>
  <c r="AC125" i="26"/>
  <c r="AB125" i="26"/>
  <c r="AA125" i="26"/>
  <c r="Z125" i="26"/>
  <c r="Y125" i="26"/>
  <c r="X125" i="26"/>
  <c r="W125" i="26"/>
  <c r="V125" i="26"/>
  <c r="U125" i="26"/>
  <c r="T125" i="26"/>
  <c r="S125" i="26"/>
  <c r="R125" i="26"/>
  <c r="Q125" i="26"/>
  <c r="P125" i="26"/>
  <c r="O125" i="26"/>
  <c r="N125" i="26"/>
  <c r="M125" i="26"/>
  <c r="L125" i="26"/>
  <c r="K125" i="26"/>
  <c r="J125" i="26"/>
  <c r="I125" i="26"/>
  <c r="H125" i="26"/>
  <c r="G125" i="26"/>
  <c r="F125" i="26"/>
  <c r="E125" i="26"/>
  <c r="D125" i="26"/>
  <c r="C125" i="26"/>
  <c r="B125" i="26"/>
  <c r="BC124" i="26"/>
  <c r="BB124" i="26"/>
  <c r="BA124" i="26"/>
  <c r="AZ124" i="26"/>
  <c r="AY124" i="26"/>
  <c r="AX124" i="26"/>
  <c r="AW124" i="26"/>
  <c r="AV124" i="26"/>
  <c r="AU124" i="26"/>
  <c r="AT124" i="26"/>
  <c r="AS124" i="26"/>
  <c r="AR124" i="26"/>
  <c r="AQ124" i="26"/>
  <c r="AP124" i="26"/>
  <c r="AO124" i="26"/>
  <c r="AN124" i="26"/>
  <c r="AM124" i="26"/>
  <c r="AL124" i="26"/>
  <c r="AK124" i="26"/>
  <c r="AJ124" i="26"/>
  <c r="AI124" i="26"/>
  <c r="AH124" i="26"/>
  <c r="AG124" i="26"/>
  <c r="AF124" i="26"/>
  <c r="AE124" i="26"/>
  <c r="AD124" i="26"/>
  <c r="AC124" i="26"/>
  <c r="AB124" i="26"/>
  <c r="AA124" i="26"/>
  <c r="Z124" i="26"/>
  <c r="Y124" i="26"/>
  <c r="X124" i="26"/>
  <c r="W124" i="26"/>
  <c r="V124" i="26"/>
  <c r="U124" i="26"/>
  <c r="T124" i="26"/>
  <c r="S124" i="26"/>
  <c r="R124" i="26"/>
  <c r="Q124" i="26"/>
  <c r="P124" i="26"/>
  <c r="O124" i="26"/>
  <c r="N124" i="26"/>
  <c r="M124" i="26"/>
  <c r="L124" i="26"/>
  <c r="K124" i="26"/>
  <c r="J124" i="26"/>
  <c r="I124" i="26"/>
  <c r="H124" i="26"/>
  <c r="G124" i="26"/>
  <c r="F124" i="26"/>
  <c r="E124" i="26"/>
  <c r="D124" i="26"/>
  <c r="C124" i="26"/>
  <c r="B124" i="26"/>
  <c r="BC123" i="26"/>
  <c r="BB123" i="26"/>
  <c r="BA123" i="26"/>
  <c r="AZ123" i="26"/>
  <c r="AY123" i="26"/>
  <c r="AX123" i="26"/>
  <c r="AW123" i="26"/>
  <c r="AV123" i="26"/>
  <c r="AU123" i="26"/>
  <c r="AT123" i="26"/>
  <c r="AS123" i="26"/>
  <c r="AR123" i="26"/>
  <c r="AQ123" i="26"/>
  <c r="AP123" i="26"/>
  <c r="AO123" i="26"/>
  <c r="AN123" i="26"/>
  <c r="AM123" i="26"/>
  <c r="AL123" i="26"/>
  <c r="AK123" i="26"/>
  <c r="AJ123" i="26"/>
  <c r="AI123" i="26"/>
  <c r="AH123" i="26"/>
  <c r="AG123" i="26"/>
  <c r="AF123" i="26"/>
  <c r="AE123" i="26"/>
  <c r="AD123" i="26"/>
  <c r="AC123" i="26"/>
  <c r="AB123" i="26"/>
  <c r="AA123" i="26"/>
  <c r="Z123" i="26"/>
  <c r="Y123" i="26"/>
  <c r="X123" i="26"/>
  <c r="W123" i="26"/>
  <c r="V123" i="26"/>
  <c r="U123" i="26"/>
  <c r="T123" i="26"/>
  <c r="S123" i="26"/>
  <c r="R123" i="26"/>
  <c r="Q123" i="26"/>
  <c r="P123" i="26"/>
  <c r="O123" i="26"/>
  <c r="N123" i="26"/>
  <c r="M123" i="26"/>
  <c r="L123" i="26"/>
  <c r="K123" i="26"/>
  <c r="J123" i="26"/>
  <c r="I123" i="26"/>
  <c r="H123" i="26"/>
  <c r="G123" i="26"/>
  <c r="F123" i="26"/>
  <c r="E123" i="26"/>
  <c r="D123" i="26"/>
  <c r="C123" i="26"/>
  <c r="B123" i="26"/>
  <c r="BC122" i="26"/>
  <c r="BB122" i="26"/>
  <c r="BA122" i="26"/>
  <c r="AZ122" i="26"/>
  <c r="AY122" i="26"/>
  <c r="AX122" i="26"/>
  <c r="AW122" i="26"/>
  <c r="AV122" i="26"/>
  <c r="AU122" i="26"/>
  <c r="AT122" i="26"/>
  <c r="AS122" i="26"/>
  <c r="AR122" i="26"/>
  <c r="AQ122" i="26"/>
  <c r="AP122" i="26"/>
  <c r="AO122" i="26"/>
  <c r="AN122" i="26"/>
  <c r="AM122" i="26"/>
  <c r="AL122" i="26"/>
  <c r="AK122" i="26"/>
  <c r="AJ122" i="26"/>
  <c r="AI122" i="26"/>
  <c r="AH122" i="26"/>
  <c r="AG122" i="26"/>
  <c r="AF122" i="26"/>
  <c r="AE122" i="26"/>
  <c r="AD122" i="26"/>
  <c r="AC122" i="26"/>
  <c r="AB122" i="26"/>
  <c r="AA122" i="26"/>
  <c r="Z122" i="26"/>
  <c r="Y122" i="26"/>
  <c r="X122" i="26"/>
  <c r="W122" i="26"/>
  <c r="V122" i="26"/>
  <c r="U122" i="26"/>
  <c r="T122" i="26"/>
  <c r="S122" i="26"/>
  <c r="R122" i="26"/>
  <c r="Q122" i="26"/>
  <c r="P122" i="26"/>
  <c r="O122" i="26"/>
  <c r="N122" i="26"/>
  <c r="M122" i="26"/>
  <c r="L122" i="26"/>
  <c r="K122" i="26"/>
  <c r="J122" i="26"/>
  <c r="I122" i="26"/>
  <c r="H122" i="26"/>
  <c r="G122" i="26"/>
  <c r="F122" i="26"/>
  <c r="E122" i="26"/>
  <c r="D122" i="26"/>
  <c r="C122" i="26"/>
  <c r="B122" i="26"/>
  <c r="BC121" i="26"/>
  <c r="BB121" i="26"/>
  <c r="BA121" i="26"/>
  <c r="AZ121" i="26"/>
  <c r="AY121" i="26"/>
  <c r="AX121" i="26"/>
  <c r="AW121" i="26"/>
  <c r="AV121" i="26"/>
  <c r="AU121" i="26"/>
  <c r="AT121" i="26"/>
  <c r="AS121" i="26"/>
  <c r="AR121" i="26"/>
  <c r="AQ121" i="26"/>
  <c r="AP121" i="26"/>
  <c r="AO121" i="26"/>
  <c r="AN121" i="26"/>
  <c r="AM121" i="26"/>
  <c r="AL121" i="26"/>
  <c r="AK121" i="26"/>
  <c r="AJ121" i="26"/>
  <c r="AI121" i="26"/>
  <c r="AH121" i="26"/>
  <c r="AG121" i="26"/>
  <c r="AF121" i="26"/>
  <c r="AE121" i="26"/>
  <c r="AD121" i="26"/>
  <c r="AC121" i="26"/>
  <c r="AB121" i="26"/>
  <c r="AA121" i="26"/>
  <c r="Z121" i="26"/>
  <c r="Y121" i="26"/>
  <c r="X121" i="26"/>
  <c r="W121" i="26"/>
  <c r="V121" i="26"/>
  <c r="U121" i="26"/>
  <c r="T121" i="26"/>
  <c r="S121" i="26"/>
  <c r="R121" i="26"/>
  <c r="Q121" i="26"/>
  <c r="P121" i="26"/>
  <c r="O121" i="26"/>
  <c r="N121" i="26"/>
  <c r="M121" i="26"/>
  <c r="L121" i="26"/>
  <c r="K121" i="26"/>
  <c r="J121" i="26"/>
  <c r="I121" i="26"/>
  <c r="H121" i="26"/>
  <c r="G121" i="26"/>
  <c r="F121" i="26"/>
  <c r="E121" i="26"/>
  <c r="D121" i="26"/>
  <c r="C121" i="26"/>
  <c r="B121" i="26"/>
  <c r="BC120" i="26"/>
  <c r="BB120" i="26"/>
  <c r="BA120" i="26"/>
  <c r="AZ120" i="26"/>
  <c r="AY120" i="26"/>
  <c r="AX120" i="26"/>
  <c r="AW120" i="26"/>
  <c r="AV120" i="26"/>
  <c r="AU120" i="26"/>
  <c r="AT120" i="26"/>
  <c r="AS120" i="26"/>
  <c r="AR120" i="26"/>
  <c r="AQ120" i="26"/>
  <c r="AP120" i="26"/>
  <c r="AO120" i="26"/>
  <c r="AN120" i="26"/>
  <c r="AM120" i="26"/>
  <c r="AL120" i="26"/>
  <c r="AK120" i="26"/>
  <c r="AJ120" i="26"/>
  <c r="AI120" i="26"/>
  <c r="AH120" i="26"/>
  <c r="AG120" i="26"/>
  <c r="AF120" i="26"/>
  <c r="AE120" i="26"/>
  <c r="AD120" i="26"/>
  <c r="AC120" i="26"/>
  <c r="AB120" i="26"/>
  <c r="AA120" i="26"/>
  <c r="Z120" i="26"/>
  <c r="Y120" i="26"/>
  <c r="X120" i="26"/>
  <c r="W120" i="26"/>
  <c r="V120" i="26"/>
  <c r="U120" i="26"/>
  <c r="T120" i="26"/>
  <c r="S120" i="26"/>
  <c r="R120" i="26"/>
  <c r="Q120" i="26"/>
  <c r="P120" i="26"/>
  <c r="O120" i="26"/>
  <c r="N120" i="26"/>
  <c r="M120" i="26"/>
  <c r="L120" i="26"/>
  <c r="K120" i="26"/>
  <c r="J120" i="26"/>
  <c r="I120" i="26"/>
  <c r="H120" i="26"/>
  <c r="G120" i="26"/>
  <c r="F120" i="26"/>
  <c r="E120" i="26"/>
  <c r="D120" i="26"/>
  <c r="C120" i="26"/>
  <c r="B120" i="26"/>
  <c r="BC119" i="26"/>
  <c r="BB119" i="26"/>
  <c r="BA119" i="26"/>
  <c r="AZ119" i="26"/>
  <c r="AY119" i="26"/>
  <c r="AX119" i="26"/>
  <c r="AW119" i="26"/>
  <c r="AV119" i="26"/>
  <c r="AU119" i="26"/>
  <c r="AT119" i="26"/>
  <c r="AS119" i="26"/>
  <c r="AR119" i="26"/>
  <c r="AQ119" i="26"/>
  <c r="AP119" i="26"/>
  <c r="AO119" i="26"/>
  <c r="AN119" i="26"/>
  <c r="AM119" i="26"/>
  <c r="AL119" i="26"/>
  <c r="AK119" i="26"/>
  <c r="AJ119" i="26"/>
  <c r="AI119" i="26"/>
  <c r="AH119" i="26"/>
  <c r="AG119" i="26"/>
  <c r="AF119" i="26"/>
  <c r="AE119" i="26"/>
  <c r="AD119" i="26"/>
  <c r="AC119" i="26"/>
  <c r="AB119" i="26"/>
  <c r="AA119" i="26"/>
  <c r="Z119" i="26"/>
  <c r="Y119" i="26"/>
  <c r="X119" i="26"/>
  <c r="W119" i="26"/>
  <c r="V119" i="26"/>
  <c r="U119" i="26"/>
  <c r="T119" i="26"/>
  <c r="S119" i="26"/>
  <c r="R119" i="26"/>
  <c r="Q119" i="26"/>
  <c r="P119" i="26"/>
  <c r="O119" i="26"/>
  <c r="N119" i="26"/>
  <c r="M119" i="26"/>
  <c r="L119" i="26"/>
  <c r="K119" i="26"/>
  <c r="J119" i="26"/>
  <c r="I119" i="26"/>
  <c r="H119" i="26"/>
  <c r="G119" i="26"/>
  <c r="F119" i="26"/>
  <c r="E119" i="26"/>
  <c r="D119" i="26"/>
  <c r="C119" i="26"/>
  <c r="B119" i="26"/>
  <c r="BC118" i="26"/>
  <c r="BB118" i="26"/>
  <c r="BA118" i="26"/>
  <c r="AZ118" i="26"/>
  <c r="AY118" i="26"/>
  <c r="AX118" i="26"/>
  <c r="AW118" i="26"/>
  <c r="AV118" i="26"/>
  <c r="AU118" i="26"/>
  <c r="AT118" i="26"/>
  <c r="AS118" i="26"/>
  <c r="AR118" i="26"/>
  <c r="AQ118" i="26"/>
  <c r="AP118" i="26"/>
  <c r="AO118" i="26"/>
  <c r="AN118" i="26"/>
  <c r="AM118" i="26"/>
  <c r="AL118" i="26"/>
  <c r="AK118" i="26"/>
  <c r="AJ118" i="26"/>
  <c r="AI118" i="26"/>
  <c r="AH118" i="26"/>
  <c r="AG118" i="26"/>
  <c r="AF118" i="26"/>
  <c r="AE118" i="26"/>
  <c r="AD118" i="26"/>
  <c r="AC118" i="26"/>
  <c r="AB118" i="26"/>
  <c r="AA118" i="26"/>
  <c r="Z118" i="26"/>
  <c r="Y118" i="26"/>
  <c r="X118" i="26"/>
  <c r="W118" i="26"/>
  <c r="V118" i="26"/>
  <c r="U118" i="26"/>
  <c r="T118" i="26"/>
  <c r="S118" i="26"/>
  <c r="R118" i="26"/>
  <c r="Q118" i="26"/>
  <c r="P118" i="26"/>
  <c r="O118" i="26"/>
  <c r="N118" i="26"/>
  <c r="M118" i="26"/>
  <c r="L118" i="26"/>
  <c r="K118" i="26"/>
  <c r="J118" i="26"/>
  <c r="I118" i="26"/>
  <c r="H118" i="26"/>
  <c r="G118" i="26"/>
  <c r="F118" i="26"/>
  <c r="E118" i="26"/>
  <c r="D118" i="26"/>
  <c r="C118" i="26"/>
  <c r="B118" i="26"/>
  <c r="BC117" i="26"/>
  <c r="BB117" i="26"/>
  <c r="BA117" i="26"/>
  <c r="AZ117" i="26"/>
  <c r="AY117" i="26"/>
  <c r="AX117" i="26"/>
  <c r="AW117" i="26"/>
  <c r="AV117" i="26"/>
  <c r="AU117" i="26"/>
  <c r="AT117" i="26"/>
  <c r="AS117" i="26"/>
  <c r="AR117" i="26"/>
  <c r="AQ117" i="26"/>
  <c r="AP117" i="26"/>
  <c r="AO117" i="26"/>
  <c r="AN117" i="26"/>
  <c r="AM117" i="26"/>
  <c r="AL117" i="26"/>
  <c r="AK117" i="26"/>
  <c r="AJ117" i="26"/>
  <c r="AI117" i="26"/>
  <c r="AH117" i="26"/>
  <c r="AG117" i="26"/>
  <c r="AF117" i="26"/>
  <c r="AE117" i="26"/>
  <c r="AD117" i="26"/>
  <c r="AC117" i="26"/>
  <c r="AB117" i="26"/>
  <c r="AA117" i="26"/>
  <c r="Z117" i="26"/>
  <c r="Y117" i="26"/>
  <c r="X117" i="26"/>
  <c r="W117" i="26"/>
  <c r="V117" i="26"/>
  <c r="U117" i="26"/>
  <c r="T117" i="26"/>
  <c r="S117" i="26"/>
  <c r="R117" i="26"/>
  <c r="Q117" i="26"/>
  <c r="P117" i="26"/>
  <c r="O117" i="26"/>
  <c r="N117" i="26"/>
  <c r="M117" i="26"/>
  <c r="L117" i="26"/>
  <c r="K117" i="26"/>
  <c r="J117" i="26"/>
  <c r="I117" i="26"/>
  <c r="H117" i="26"/>
  <c r="G117" i="26"/>
  <c r="F117" i="26"/>
  <c r="E117" i="26"/>
  <c r="D117" i="26"/>
  <c r="C117" i="26"/>
  <c r="B117" i="26"/>
  <c r="BC116" i="26"/>
  <c r="BB116" i="26"/>
  <c r="BA116" i="26"/>
  <c r="AZ116" i="26"/>
  <c r="AY116" i="26"/>
  <c r="AX116" i="26"/>
  <c r="AW116" i="26"/>
  <c r="AV116" i="26"/>
  <c r="AU116" i="26"/>
  <c r="AT116" i="26"/>
  <c r="AS116" i="26"/>
  <c r="AR116" i="26"/>
  <c r="AQ116" i="26"/>
  <c r="AP116" i="26"/>
  <c r="AO116" i="26"/>
  <c r="AN116" i="26"/>
  <c r="AM116" i="26"/>
  <c r="AL116" i="26"/>
  <c r="AK116" i="26"/>
  <c r="AJ116" i="26"/>
  <c r="AI116" i="26"/>
  <c r="AH116" i="26"/>
  <c r="AG116" i="26"/>
  <c r="AF116" i="26"/>
  <c r="AE116" i="26"/>
  <c r="AD116" i="26"/>
  <c r="AC116" i="26"/>
  <c r="AB116" i="26"/>
  <c r="AA116" i="26"/>
  <c r="Z116" i="26"/>
  <c r="Y116" i="26"/>
  <c r="X116" i="26"/>
  <c r="W116" i="26"/>
  <c r="V116" i="26"/>
  <c r="U116" i="26"/>
  <c r="T116" i="26"/>
  <c r="S116" i="26"/>
  <c r="R116" i="26"/>
  <c r="Q116" i="26"/>
  <c r="P116" i="26"/>
  <c r="O116" i="26"/>
  <c r="N116" i="26"/>
  <c r="M116" i="26"/>
  <c r="L116" i="26"/>
  <c r="K116" i="26"/>
  <c r="J116" i="26"/>
  <c r="I116" i="26"/>
  <c r="H116" i="26"/>
  <c r="G116" i="26"/>
  <c r="F116" i="26"/>
  <c r="E116" i="26"/>
  <c r="D116" i="26"/>
  <c r="C116" i="26"/>
  <c r="B116" i="26"/>
  <c r="BC115" i="26"/>
  <c r="BB115" i="26"/>
  <c r="BA115" i="26"/>
  <c r="AZ115" i="26"/>
  <c r="AY115" i="26"/>
  <c r="AX115" i="26"/>
  <c r="AW115" i="26"/>
  <c r="AV115" i="26"/>
  <c r="AU115" i="26"/>
  <c r="AT115" i="26"/>
  <c r="AS115" i="26"/>
  <c r="AR115" i="26"/>
  <c r="AQ115" i="26"/>
  <c r="AP115" i="26"/>
  <c r="AO115" i="26"/>
  <c r="AN115" i="26"/>
  <c r="AM115" i="26"/>
  <c r="AL115" i="26"/>
  <c r="AK115" i="26"/>
  <c r="AJ115" i="26"/>
  <c r="AI115" i="26"/>
  <c r="AH115" i="26"/>
  <c r="AG115" i="26"/>
  <c r="AF115" i="26"/>
  <c r="AE115" i="26"/>
  <c r="AD115" i="26"/>
  <c r="AC115" i="26"/>
  <c r="AB115" i="26"/>
  <c r="AA115" i="26"/>
  <c r="Z115" i="26"/>
  <c r="Y115" i="26"/>
  <c r="X115" i="26"/>
  <c r="W115" i="26"/>
  <c r="V115" i="26"/>
  <c r="U115" i="26"/>
  <c r="T115" i="26"/>
  <c r="S115" i="26"/>
  <c r="R115" i="26"/>
  <c r="Q115" i="26"/>
  <c r="P115" i="26"/>
  <c r="O115" i="26"/>
  <c r="N115" i="26"/>
  <c r="M115" i="26"/>
  <c r="L115" i="26"/>
  <c r="K115" i="26"/>
  <c r="J115" i="26"/>
  <c r="I115" i="26"/>
  <c r="H115" i="26"/>
  <c r="G115" i="26"/>
  <c r="F115" i="26"/>
  <c r="E115" i="26"/>
  <c r="D115" i="26"/>
  <c r="C115" i="26"/>
  <c r="B115" i="26"/>
  <c r="BC114" i="26"/>
  <c r="BB114" i="26"/>
  <c r="BA114" i="26"/>
  <c r="AZ114" i="26"/>
  <c r="AY114" i="26"/>
  <c r="AX114" i="26"/>
  <c r="AW114" i="26"/>
  <c r="AV114" i="26"/>
  <c r="AU114" i="26"/>
  <c r="AT114" i="26"/>
  <c r="AS114" i="26"/>
  <c r="AR114" i="26"/>
  <c r="AQ114" i="26"/>
  <c r="AP114" i="26"/>
  <c r="AO114" i="26"/>
  <c r="AN114" i="26"/>
  <c r="AM114" i="26"/>
  <c r="AL114" i="26"/>
  <c r="AK114" i="26"/>
  <c r="AJ114" i="26"/>
  <c r="AI114" i="26"/>
  <c r="AH114" i="26"/>
  <c r="AG114" i="26"/>
  <c r="AF114" i="26"/>
  <c r="AE114" i="26"/>
  <c r="AD114" i="26"/>
  <c r="AC114" i="26"/>
  <c r="AB114" i="26"/>
  <c r="AA114" i="26"/>
  <c r="Z114" i="26"/>
  <c r="Y114" i="26"/>
  <c r="X114" i="26"/>
  <c r="W114" i="26"/>
  <c r="V114" i="26"/>
  <c r="U114" i="26"/>
  <c r="T114" i="26"/>
  <c r="S114" i="26"/>
  <c r="R114" i="26"/>
  <c r="Q114" i="26"/>
  <c r="P114" i="26"/>
  <c r="O114" i="26"/>
  <c r="N114" i="26"/>
  <c r="M114" i="26"/>
  <c r="L114" i="26"/>
  <c r="K114" i="26"/>
  <c r="J114" i="26"/>
  <c r="I114" i="26"/>
  <c r="H114" i="26"/>
  <c r="G114" i="26"/>
  <c r="F114" i="26"/>
  <c r="E114" i="26"/>
  <c r="D114" i="26"/>
  <c r="C114" i="26"/>
  <c r="B114" i="26"/>
  <c r="BC113" i="26"/>
  <c r="BB113" i="26"/>
  <c r="BA113" i="26"/>
  <c r="AZ113" i="26"/>
  <c r="AY113" i="26"/>
  <c r="AX113" i="26"/>
  <c r="AW113" i="26"/>
  <c r="AV113" i="26"/>
  <c r="AU113" i="26"/>
  <c r="AT113" i="26"/>
  <c r="AS113" i="26"/>
  <c r="AR113" i="26"/>
  <c r="AQ113" i="26"/>
  <c r="AP113" i="26"/>
  <c r="AO113" i="26"/>
  <c r="AN113" i="26"/>
  <c r="AM113" i="26"/>
  <c r="AL113" i="26"/>
  <c r="AK113" i="26"/>
  <c r="AJ113" i="26"/>
  <c r="AI113" i="26"/>
  <c r="AH113" i="26"/>
  <c r="AG113" i="26"/>
  <c r="AF113" i="26"/>
  <c r="AE113" i="26"/>
  <c r="AD113" i="26"/>
  <c r="AC113" i="26"/>
  <c r="AB113" i="26"/>
  <c r="AA113" i="26"/>
  <c r="Z113" i="26"/>
  <c r="Y113" i="26"/>
  <c r="X113" i="26"/>
  <c r="W113" i="26"/>
  <c r="V113" i="26"/>
  <c r="U113" i="26"/>
  <c r="T113" i="26"/>
  <c r="S113" i="26"/>
  <c r="R113" i="26"/>
  <c r="Q113" i="26"/>
  <c r="P113" i="26"/>
  <c r="O113" i="26"/>
  <c r="N113" i="26"/>
  <c r="M113" i="26"/>
  <c r="L113" i="26"/>
  <c r="K113" i="26"/>
  <c r="J113" i="26"/>
  <c r="I113" i="26"/>
  <c r="H113" i="26"/>
  <c r="G113" i="26"/>
  <c r="F113" i="26"/>
  <c r="E113" i="26"/>
  <c r="D113" i="26"/>
  <c r="C113" i="26"/>
  <c r="B113" i="26"/>
  <c r="BC112" i="26"/>
  <c r="BB112" i="26"/>
  <c r="BA112" i="26"/>
  <c r="AZ112" i="26"/>
  <c r="AY112" i="26"/>
  <c r="AX112" i="26"/>
  <c r="AW112" i="26"/>
  <c r="AV112" i="26"/>
  <c r="AU112" i="26"/>
  <c r="AT112" i="26"/>
  <c r="AS112" i="26"/>
  <c r="AR112" i="26"/>
  <c r="AQ112" i="26"/>
  <c r="AP112" i="26"/>
  <c r="AO112" i="26"/>
  <c r="AN112" i="26"/>
  <c r="AM112" i="26"/>
  <c r="AL112" i="26"/>
  <c r="AK112" i="26"/>
  <c r="AJ112" i="26"/>
  <c r="AI112" i="26"/>
  <c r="AH112" i="26"/>
  <c r="AG112" i="26"/>
  <c r="AF112" i="26"/>
  <c r="AE112" i="26"/>
  <c r="AD112" i="26"/>
  <c r="AC112" i="26"/>
  <c r="AB112" i="26"/>
  <c r="AA112" i="26"/>
  <c r="Z112" i="26"/>
  <c r="Y112" i="26"/>
  <c r="X112" i="26"/>
  <c r="W112" i="26"/>
  <c r="V112" i="26"/>
  <c r="U112" i="26"/>
  <c r="T112" i="26"/>
  <c r="S112" i="26"/>
  <c r="R112" i="26"/>
  <c r="Q112" i="26"/>
  <c r="P112" i="26"/>
  <c r="O112" i="26"/>
  <c r="N112" i="26"/>
  <c r="M112" i="26"/>
  <c r="L112" i="26"/>
  <c r="K112" i="26"/>
  <c r="J112" i="26"/>
  <c r="I112" i="26"/>
  <c r="H112" i="26"/>
  <c r="G112" i="26"/>
  <c r="F112" i="26"/>
  <c r="E112" i="26"/>
  <c r="D112" i="26"/>
  <c r="C112" i="26"/>
  <c r="B112" i="26"/>
  <c r="BC111" i="26"/>
  <c r="BB111" i="26"/>
  <c r="BA111" i="26"/>
  <c r="AZ111" i="26"/>
  <c r="AY111" i="26"/>
  <c r="AX111" i="26"/>
  <c r="AW111" i="26"/>
  <c r="AV111" i="26"/>
  <c r="AU111" i="26"/>
  <c r="AT111" i="26"/>
  <c r="AS111" i="26"/>
  <c r="AR111" i="26"/>
  <c r="AQ111" i="26"/>
  <c r="AP111" i="26"/>
  <c r="AO111" i="26"/>
  <c r="AN111" i="26"/>
  <c r="AM111" i="26"/>
  <c r="AL111" i="26"/>
  <c r="AK111" i="26"/>
  <c r="AJ111" i="26"/>
  <c r="AI111" i="26"/>
  <c r="AH111" i="26"/>
  <c r="AG111" i="26"/>
  <c r="AF111" i="26"/>
  <c r="AE111" i="26"/>
  <c r="AD111" i="26"/>
  <c r="AC111" i="26"/>
  <c r="AB111" i="26"/>
  <c r="AA111" i="26"/>
  <c r="Z111" i="26"/>
  <c r="Y111" i="26"/>
  <c r="X111" i="26"/>
  <c r="W111" i="26"/>
  <c r="V111" i="26"/>
  <c r="U111" i="26"/>
  <c r="T111" i="26"/>
  <c r="S111" i="26"/>
  <c r="R111" i="26"/>
  <c r="Q111" i="26"/>
  <c r="P111" i="26"/>
  <c r="O111" i="26"/>
  <c r="N111" i="26"/>
  <c r="M111" i="26"/>
  <c r="L111" i="26"/>
  <c r="K111" i="26"/>
  <c r="J111" i="26"/>
  <c r="I111" i="26"/>
  <c r="H111" i="26"/>
  <c r="G111" i="26"/>
  <c r="F111" i="26"/>
  <c r="E111" i="26"/>
  <c r="D111" i="26"/>
  <c r="C111" i="26"/>
  <c r="B111" i="26"/>
  <c r="BC110" i="26"/>
  <c r="BB110" i="26"/>
  <c r="BA110" i="26"/>
  <c r="AZ110" i="26"/>
  <c r="AY110" i="26"/>
  <c r="AX110" i="26"/>
  <c r="AW110" i="26"/>
  <c r="AV110" i="26"/>
  <c r="AU110" i="26"/>
  <c r="AT110" i="26"/>
  <c r="AS110" i="26"/>
  <c r="AR110" i="26"/>
  <c r="AQ110" i="26"/>
  <c r="AP110" i="26"/>
  <c r="AO110" i="26"/>
  <c r="AN110" i="26"/>
  <c r="AM110" i="26"/>
  <c r="AL110" i="26"/>
  <c r="AK110" i="26"/>
  <c r="AJ110" i="26"/>
  <c r="AI110" i="26"/>
  <c r="AH110" i="26"/>
  <c r="AG110" i="26"/>
  <c r="AF110" i="26"/>
  <c r="AE110" i="26"/>
  <c r="AD110" i="26"/>
  <c r="AC110" i="26"/>
  <c r="AB110" i="26"/>
  <c r="AA110" i="26"/>
  <c r="Z110" i="26"/>
  <c r="Y110" i="26"/>
  <c r="X110" i="26"/>
  <c r="W110" i="26"/>
  <c r="V110" i="26"/>
  <c r="U110" i="26"/>
  <c r="T110" i="26"/>
  <c r="S110" i="26"/>
  <c r="R110" i="26"/>
  <c r="Q110" i="26"/>
  <c r="P110" i="26"/>
  <c r="O110" i="26"/>
  <c r="N110" i="26"/>
  <c r="M110" i="26"/>
  <c r="L110" i="26"/>
  <c r="K110" i="26"/>
  <c r="J110" i="26"/>
  <c r="I110" i="26"/>
  <c r="H110" i="26"/>
  <c r="G110" i="26"/>
  <c r="F110" i="26"/>
  <c r="E110" i="26"/>
  <c r="D110" i="26"/>
  <c r="C110" i="26"/>
  <c r="B110" i="26"/>
  <c r="BC109" i="26"/>
  <c r="BB109" i="26"/>
  <c r="BA109" i="26"/>
  <c r="AZ109" i="26"/>
  <c r="AY109" i="26"/>
  <c r="AX109" i="26"/>
  <c r="AW109" i="26"/>
  <c r="AV109" i="26"/>
  <c r="AU109" i="26"/>
  <c r="AT109" i="26"/>
  <c r="AS109" i="26"/>
  <c r="AR109" i="26"/>
  <c r="AQ109" i="26"/>
  <c r="AP109" i="26"/>
  <c r="AO109" i="26"/>
  <c r="AN109" i="26"/>
  <c r="AM109" i="26"/>
  <c r="AL109" i="26"/>
  <c r="AK109" i="26"/>
  <c r="AJ109" i="26"/>
  <c r="AI109" i="26"/>
  <c r="AH109" i="26"/>
  <c r="AG109" i="26"/>
  <c r="AF109" i="26"/>
  <c r="AE109" i="26"/>
  <c r="AD109" i="26"/>
  <c r="AC109" i="26"/>
  <c r="AB109" i="26"/>
  <c r="AA109" i="26"/>
  <c r="Z109" i="26"/>
  <c r="Y109" i="26"/>
  <c r="X109" i="26"/>
  <c r="W109" i="26"/>
  <c r="V109" i="26"/>
  <c r="U109" i="26"/>
  <c r="T109" i="26"/>
  <c r="S109" i="26"/>
  <c r="R109" i="26"/>
  <c r="Q109" i="26"/>
  <c r="P109" i="26"/>
  <c r="O109" i="26"/>
  <c r="N109" i="26"/>
  <c r="M109" i="26"/>
  <c r="L109" i="26"/>
  <c r="K109" i="26"/>
  <c r="J109" i="26"/>
  <c r="I109" i="26"/>
  <c r="H109" i="26"/>
  <c r="G109" i="26"/>
  <c r="F109" i="26"/>
  <c r="E109" i="26"/>
  <c r="D109" i="26"/>
  <c r="C109" i="26"/>
  <c r="B109" i="26"/>
  <c r="BC108" i="26"/>
  <c r="BB108" i="26"/>
  <c r="BA108" i="26"/>
  <c r="AZ108" i="26"/>
  <c r="AY108" i="26"/>
  <c r="AX108" i="26"/>
  <c r="AW108" i="26"/>
  <c r="AV108" i="26"/>
  <c r="AU108" i="26"/>
  <c r="AT108" i="26"/>
  <c r="AS108" i="26"/>
  <c r="AR108" i="26"/>
  <c r="AQ108" i="26"/>
  <c r="AP108" i="26"/>
  <c r="AO108" i="26"/>
  <c r="AN108" i="26"/>
  <c r="AM108" i="26"/>
  <c r="AL108" i="26"/>
  <c r="AK108" i="26"/>
  <c r="AJ108" i="26"/>
  <c r="AI108" i="26"/>
  <c r="AH108" i="26"/>
  <c r="AG108" i="26"/>
  <c r="AF108" i="26"/>
  <c r="AE108" i="26"/>
  <c r="AD108" i="26"/>
  <c r="AC108" i="26"/>
  <c r="AB108" i="26"/>
  <c r="AA108" i="26"/>
  <c r="Z108" i="26"/>
  <c r="Y108" i="26"/>
  <c r="X108" i="26"/>
  <c r="W108" i="26"/>
  <c r="V108" i="26"/>
  <c r="U108" i="26"/>
  <c r="T108" i="26"/>
  <c r="S108" i="26"/>
  <c r="R108" i="26"/>
  <c r="Q108" i="26"/>
  <c r="P108" i="26"/>
  <c r="O108" i="26"/>
  <c r="N108" i="26"/>
  <c r="M108" i="26"/>
  <c r="L108" i="26"/>
  <c r="K108" i="26"/>
  <c r="J108" i="26"/>
  <c r="I108" i="26"/>
  <c r="H108" i="26"/>
  <c r="G108" i="26"/>
  <c r="F108" i="26"/>
  <c r="E108" i="26"/>
  <c r="D108" i="26"/>
  <c r="C108" i="26"/>
  <c r="B108" i="26"/>
  <c r="BC107" i="26"/>
  <c r="BB107" i="26"/>
  <c r="BA107" i="26"/>
  <c r="AZ107" i="26"/>
  <c r="AY107" i="26"/>
  <c r="AX107" i="26"/>
  <c r="AW107" i="26"/>
  <c r="AV107" i="26"/>
  <c r="AU107" i="26"/>
  <c r="AT107" i="26"/>
  <c r="AS107" i="26"/>
  <c r="AR107" i="26"/>
  <c r="AQ107" i="26"/>
  <c r="AP107" i="26"/>
  <c r="AO107" i="26"/>
  <c r="AN107" i="26"/>
  <c r="AM107" i="26"/>
  <c r="AL107" i="26"/>
  <c r="AK107" i="26"/>
  <c r="AJ107" i="26"/>
  <c r="AI107" i="26"/>
  <c r="AH107" i="26"/>
  <c r="AG107" i="26"/>
  <c r="AF107" i="26"/>
  <c r="AE107" i="26"/>
  <c r="AD107" i="26"/>
  <c r="AC107" i="26"/>
  <c r="AB107" i="26"/>
  <c r="AA107" i="26"/>
  <c r="Z107" i="26"/>
  <c r="Y107" i="26"/>
  <c r="X107" i="26"/>
  <c r="W107" i="26"/>
  <c r="V107" i="26"/>
  <c r="U107" i="26"/>
  <c r="T107" i="26"/>
  <c r="S107" i="26"/>
  <c r="R107" i="26"/>
  <c r="Q107" i="26"/>
  <c r="P107" i="26"/>
  <c r="O107" i="26"/>
  <c r="N107" i="26"/>
  <c r="M107" i="26"/>
  <c r="L107" i="26"/>
  <c r="K107" i="26"/>
  <c r="J107" i="26"/>
  <c r="I107" i="26"/>
  <c r="H107" i="26"/>
  <c r="G107" i="26"/>
  <c r="F107" i="26"/>
  <c r="E107" i="26"/>
  <c r="D107" i="26"/>
  <c r="C107" i="26"/>
  <c r="B107" i="26"/>
  <c r="BC106" i="26"/>
  <c r="BB106" i="26"/>
  <c r="BA106" i="26"/>
  <c r="AZ106" i="26"/>
  <c r="AY106" i="26"/>
  <c r="AX106" i="26"/>
  <c r="AW106" i="26"/>
  <c r="AV106" i="26"/>
  <c r="AU106" i="26"/>
  <c r="AT106" i="26"/>
  <c r="AS106" i="26"/>
  <c r="AR106" i="26"/>
  <c r="AQ106" i="26"/>
  <c r="AP106" i="26"/>
  <c r="AO106" i="26"/>
  <c r="AN106" i="26"/>
  <c r="AM106" i="26"/>
  <c r="AL106" i="26"/>
  <c r="AK106" i="26"/>
  <c r="AJ106" i="26"/>
  <c r="AI106" i="26"/>
  <c r="AH106" i="26"/>
  <c r="AG106" i="26"/>
  <c r="AF106" i="26"/>
  <c r="AE106" i="26"/>
  <c r="AD106" i="26"/>
  <c r="AC106" i="26"/>
  <c r="AB106" i="26"/>
  <c r="AA106" i="26"/>
  <c r="Z106" i="26"/>
  <c r="Y106" i="26"/>
  <c r="X106" i="26"/>
  <c r="W106" i="26"/>
  <c r="V106" i="26"/>
  <c r="U106" i="26"/>
  <c r="T106" i="26"/>
  <c r="S106" i="26"/>
  <c r="R106" i="26"/>
  <c r="Q106" i="26"/>
  <c r="P106" i="26"/>
  <c r="O106" i="26"/>
  <c r="N106" i="26"/>
  <c r="M106" i="26"/>
  <c r="L106" i="26"/>
  <c r="K106" i="26"/>
  <c r="J106" i="26"/>
  <c r="I106" i="26"/>
  <c r="H106" i="26"/>
  <c r="G106" i="26"/>
  <c r="F106" i="26"/>
  <c r="E106" i="26"/>
  <c r="D106" i="26"/>
  <c r="C106" i="26"/>
  <c r="B106" i="26"/>
  <c r="BC105" i="26"/>
  <c r="BB105" i="26"/>
  <c r="BA105" i="26"/>
  <c r="AZ105" i="26"/>
  <c r="AY105" i="26"/>
  <c r="AX105" i="26"/>
  <c r="AW105" i="26"/>
  <c r="AV105" i="26"/>
  <c r="AU105" i="26"/>
  <c r="AT105" i="26"/>
  <c r="AS105" i="26"/>
  <c r="AR105" i="26"/>
  <c r="AQ105" i="26"/>
  <c r="AP105" i="26"/>
  <c r="AO105" i="26"/>
  <c r="AN105" i="26"/>
  <c r="AM105" i="26"/>
  <c r="AL105" i="26"/>
  <c r="AK105" i="26"/>
  <c r="AJ105" i="26"/>
  <c r="AI105" i="26"/>
  <c r="AH105" i="26"/>
  <c r="AG105" i="26"/>
  <c r="AF105" i="26"/>
  <c r="AE105" i="26"/>
  <c r="AD105" i="26"/>
  <c r="AC105" i="26"/>
  <c r="AB105" i="26"/>
  <c r="AA105" i="26"/>
  <c r="Z105" i="26"/>
  <c r="Y105" i="26"/>
  <c r="X105" i="26"/>
  <c r="W105" i="26"/>
  <c r="V105" i="26"/>
  <c r="U105" i="26"/>
  <c r="T105" i="26"/>
  <c r="S105" i="26"/>
  <c r="R105" i="26"/>
  <c r="Q105" i="26"/>
  <c r="P105" i="26"/>
  <c r="O105" i="26"/>
  <c r="N105" i="26"/>
  <c r="M105" i="26"/>
  <c r="L105" i="26"/>
  <c r="K105" i="26"/>
  <c r="J105" i="26"/>
  <c r="I105" i="26"/>
  <c r="H105" i="26"/>
  <c r="G105" i="26"/>
  <c r="F105" i="26"/>
  <c r="E105" i="26"/>
  <c r="D105" i="26"/>
  <c r="C105" i="26"/>
  <c r="B105" i="26"/>
  <c r="BC104" i="26"/>
  <c r="BB104" i="26"/>
  <c r="BA104" i="26"/>
  <c r="AZ104" i="26"/>
  <c r="AY104" i="26"/>
  <c r="AX104" i="26"/>
  <c r="AW104" i="26"/>
  <c r="AV104" i="26"/>
  <c r="AU104" i="26"/>
  <c r="AT104" i="26"/>
  <c r="AS104" i="26"/>
  <c r="AR104" i="26"/>
  <c r="AQ104" i="26"/>
  <c r="AP104" i="26"/>
  <c r="AO104" i="26"/>
  <c r="AN104" i="26"/>
  <c r="AM104" i="26"/>
  <c r="AL104" i="26"/>
  <c r="AK104" i="26"/>
  <c r="AJ104" i="26"/>
  <c r="AI104" i="26"/>
  <c r="AH104" i="26"/>
  <c r="AG104" i="26"/>
  <c r="AF104" i="26"/>
  <c r="AE104" i="26"/>
  <c r="AD104" i="26"/>
  <c r="AC104" i="26"/>
  <c r="AB104" i="26"/>
  <c r="AA104" i="26"/>
  <c r="Z104" i="26"/>
  <c r="Y104" i="26"/>
  <c r="X104" i="26"/>
  <c r="W104" i="26"/>
  <c r="V104" i="26"/>
  <c r="U104" i="26"/>
  <c r="T104" i="26"/>
  <c r="S104" i="26"/>
  <c r="R104" i="26"/>
  <c r="Q104" i="26"/>
  <c r="P104" i="26"/>
  <c r="O104" i="26"/>
  <c r="N104" i="26"/>
  <c r="M104" i="26"/>
  <c r="L104" i="26"/>
  <c r="K104" i="26"/>
  <c r="J104" i="26"/>
  <c r="I104" i="26"/>
  <c r="H104" i="26"/>
  <c r="G104" i="26"/>
  <c r="F104" i="26"/>
  <c r="E104" i="26"/>
  <c r="D104" i="26"/>
  <c r="C104" i="26"/>
  <c r="B104" i="26"/>
  <c r="BC103" i="26"/>
  <c r="BB103" i="26"/>
  <c r="BA103" i="26"/>
  <c r="AZ103" i="26"/>
  <c r="AY103" i="26"/>
  <c r="AX103" i="26"/>
  <c r="AW103" i="26"/>
  <c r="AV103" i="26"/>
  <c r="AU103" i="26"/>
  <c r="AT103" i="26"/>
  <c r="AS103" i="26"/>
  <c r="AR103" i="26"/>
  <c r="AQ103" i="26"/>
  <c r="AP103" i="26"/>
  <c r="AO103" i="26"/>
  <c r="AN103" i="26"/>
  <c r="AM103" i="26"/>
  <c r="AL103" i="26"/>
  <c r="AK103" i="26"/>
  <c r="AJ103" i="26"/>
  <c r="AI103" i="26"/>
  <c r="AH103" i="26"/>
  <c r="AG103" i="26"/>
  <c r="AF103" i="26"/>
  <c r="AE103" i="26"/>
  <c r="AD103" i="26"/>
  <c r="AC103" i="26"/>
  <c r="AB103" i="26"/>
  <c r="AA103" i="26"/>
  <c r="Z103" i="26"/>
  <c r="Y103" i="26"/>
  <c r="X103" i="26"/>
  <c r="W103" i="26"/>
  <c r="V103" i="26"/>
  <c r="U103" i="26"/>
  <c r="T103" i="26"/>
  <c r="S103" i="26"/>
  <c r="R103" i="26"/>
  <c r="Q103" i="26"/>
  <c r="P103" i="26"/>
  <c r="O103" i="26"/>
  <c r="N103" i="26"/>
  <c r="M103" i="26"/>
  <c r="L103" i="26"/>
  <c r="K103" i="26"/>
  <c r="J103" i="26"/>
  <c r="I103" i="26"/>
  <c r="H103" i="26"/>
  <c r="G103" i="26"/>
  <c r="F103" i="26"/>
  <c r="E103" i="26"/>
  <c r="D103" i="26"/>
  <c r="C103" i="26"/>
  <c r="B103" i="26"/>
  <c r="BC102" i="26"/>
  <c r="BB102" i="26"/>
  <c r="BA102" i="26"/>
  <c r="AZ102" i="26"/>
  <c r="AY102" i="26"/>
  <c r="AX102" i="26"/>
  <c r="AW102" i="26"/>
  <c r="AV102" i="26"/>
  <c r="AU102" i="26"/>
  <c r="AT102" i="26"/>
  <c r="AS102" i="26"/>
  <c r="AR102" i="26"/>
  <c r="AQ102" i="26"/>
  <c r="AP102" i="26"/>
  <c r="AO102" i="26"/>
  <c r="AN102" i="26"/>
  <c r="AM102" i="26"/>
  <c r="AL102" i="26"/>
  <c r="AK102" i="26"/>
  <c r="AJ102" i="26"/>
  <c r="AI102" i="26"/>
  <c r="AH102" i="26"/>
  <c r="AG102" i="26"/>
  <c r="AF102" i="26"/>
  <c r="AE102" i="26"/>
  <c r="AD102" i="26"/>
  <c r="AC102" i="26"/>
  <c r="AB102" i="26"/>
  <c r="AA102" i="26"/>
  <c r="Z102" i="26"/>
  <c r="Y102" i="26"/>
  <c r="X102" i="26"/>
  <c r="W102" i="26"/>
  <c r="V102" i="26"/>
  <c r="U102" i="26"/>
  <c r="T102" i="26"/>
  <c r="S102" i="26"/>
  <c r="R102" i="26"/>
  <c r="Q102" i="26"/>
  <c r="P102" i="26"/>
  <c r="O102" i="26"/>
  <c r="N102" i="26"/>
  <c r="M102" i="26"/>
  <c r="L102" i="26"/>
  <c r="K102" i="26"/>
  <c r="J102" i="26"/>
  <c r="I102" i="26"/>
  <c r="H102" i="26"/>
  <c r="G102" i="26"/>
  <c r="F102" i="26"/>
  <c r="E102" i="26"/>
  <c r="D102" i="26"/>
  <c r="C102" i="26"/>
  <c r="B102" i="26"/>
  <c r="BC101" i="26"/>
  <c r="BB101" i="26"/>
  <c r="BA101" i="26"/>
  <c r="AZ101" i="26"/>
  <c r="AY101" i="26"/>
  <c r="AX101" i="26"/>
  <c r="AW101" i="26"/>
  <c r="AV101" i="26"/>
  <c r="AU101" i="26"/>
  <c r="AT101" i="26"/>
  <c r="AS101" i="26"/>
  <c r="AR101" i="26"/>
  <c r="AQ101" i="26"/>
  <c r="AP101" i="26"/>
  <c r="AO101" i="26"/>
  <c r="AN101" i="26"/>
  <c r="AM101" i="26"/>
  <c r="AL101" i="26"/>
  <c r="AK101" i="26"/>
  <c r="AJ101" i="26"/>
  <c r="AI101" i="26"/>
  <c r="AH101" i="26"/>
  <c r="AG101" i="26"/>
  <c r="AF101" i="26"/>
  <c r="AE101" i="26"/>
  <c r="AD101" i="26"/>
  <c r="AC101" i="26"/>
  <c r="AB101" i="26"/>
  <c r="AA101" i="26"/>
  <c r="Z101" i="26"/>
  <c r="Y101" i="26"/>
  <c r="X101" i="26"/>
  <c r="W101" i="26"/>
  <c r="V101" i="26"/>
  <c r="U101" i="26"/>
  <c r="T101" i="26"/>
  <c r="S101" i="26"/>
  <c r="R101" i="26"/>
  <c r="Q101" i="26"/>
  <c r="P101" i="26"/>
  <c r="O101" i="26"/>
  <c r="N101" i="26"/>
  <c r="M101" i="26"/>
  <c r="L101" i="26"/>
  <c r="K101" i="26"/>
  <c r="J101" i="26"/>
  <c r="I101" i="26"/>
  <c r="H101" i="26"/>
  <c r="G101" i="26"/>
  <c r="F101" i="26"/>
  <c r="E101" i="26"/>
  <c r="D101" i="26"/>
  <c r="C101" i="26"/>
  <c r="B101" i="26"/>
  <c r="BC100" i="26"/>
  <c r="BB100" i="26"/>
  <c r="BA100" i="26"/>
  <c r="AZ100" i="26"/>
  <c r="AY100" i="26"/>
  <c r="AX100" i="26"/>
  <c r="AW100" i="26"/>
  <c r="AV100" i="26"/>
  <c r="AU100" i="26"/>
  <c r="AT100" i="26"/>
  <c r="AS100" i="26"/>
  <c r="AR100" i="26"/>
  <c r="AQ100" i="26"/>
  <c r="AP100" i="26"/>
  <c r="AO100" i="26"/>
  <c r="AN100" i="26"/>
  <c r="AM100" i="26"/>
  <c r="AL100" i="26"/>
  <c r="AK100" i="26"/>
  <c r="AJ100" i="26"/>
  <c r="AI100" i="26"/>
  <c r="AH100" i="26"/>
  <c r="AG100" i="26"/>
  <c r="AF100" i="26"/>
  <c r="AE100" i="26"/>
  <c r="AD100" i="26"/>
  <c r="AC100" i="26"/>
  <c r="AB100" i="26"/>
  <c r="AA100" i="26"/>
  <c r="Z100" i="26"/>
  <c r="Y100" i="26"/>
  <c r="X100" i="26"/>
  <c r="W100" i="26"/>
  <c r="V100" i="26"/>
  <c r="U100" i="26"/>
  <c r="T100" i="26"/>
  <c r="S100" i="26"/>
  <c r="R100" i="26"/>
  <c r="Q100" i="26"/>
  <c r="P100" i="26"/>
  <c r="O100" i="26"/>
  <c r="N100" i="26"/>
  <c r="M100" i="26"/>
  <c r="L100" i="26"/>
  <c r="K100" i="26"/>
  <c r="J100" i="26"/>
  <c r="I100" i="26"/>
  <c r="H100" i="26"/>
  <c r="G100" i="26"/>
  <c r="F100" i="26"/>
  <c r="E100" i="26"/>
  <c r="D100" i="26"/>
  <c r="C100" i="26"/>
  <c r="B100" i="26"/>
  <c r="BC99" i="26"/>
  <c r="BB99" i="26"/>
  <c r="BA99" i="26"/>
  <c r="AZ99" i="26"/>
  <c r="AY99" i="26"/>
  <c r="AX99" i="26"/>
  <c r="AW99" i="26"/>
  <c r="AV99" i="26"/>
  <c r="AU99" i="26"/>
  <c r="AT99" i="26"/>
  <c r="AS99" i="26"/>
  <c r="AR99" i="26"/>
  <c r="AQ99" i="26"/>
  <c r="AP99" i="26"/>
  <c r="AO99" i="26"/>
  <c r="AN99" i="26"/>
  <c r="AM99" i="26"/>
  <c r="AL99" i="26"/>
  <c r="AK99" i="26"/>
  <c r="AJ99" i="26"/>
  <c r="AI99" i="26"/>
  <c r="AH99" i="26"/>
  <c r="AG99" i="26"/>
  <c r="AF99" i="26"/>
  <c r="AE99" i="26"/>
  <c r="AD99" i="26"/>
  <c r="AC99" i="26"/>
  <c r="AB99" i="26"/>
  <c r="AA99" i="26"/>
  <c r="Z99" i="26"/>
  <c r="Y99" i="26"/>
  <c r="X99" i="26"/>
  <c r="W99" i="26"/>
  <c r="V99" i="26"/>
  <c r="U99" i="26"/>
  <c r="T99" i="26"/>
  <c r="S99" i="26"/>
  <c r="R99" i="26"/>
  <c r="Q99" i="26"/>
  <c r="P99" i="26"/>
  <c r="O99" i="26"/>
  <c r="N99" i="26"/>
  <c r="M99" i="26"/>
  <c r="L99" i="26"/>
  <c r="K99" i="26"/>
  <c r="J99" i="26"/>
  <c r="I99" i="26"/>
  <c r="H99" i="26"/>
  <c r="G99" i="26"/>
  <c r="F99" i="26"/>
  <c r="E99" i="26"/>
  <c r="D99" i="26"/>
  <c r="C99" i="26"/>
  <c r="B99" i="26"/>
  <c r="BC98" i="26"/>
  <c r="BB98" i="26"/>
  <c r="BA98" i="26"/>
  <c r="AZ98" i="26"/>
  <c r="AY98" i="26"/>
  <c r="AX98" i="26"/>
  <c r="AW98" i="26"/>
  <c r="AV98" i="26"/>
  <c r="AU98" i="26"/>
  <c r="AT98" i="26"/>
  <c r="AS98" i="26"/>
  <c r="AR98" i="26"/>
  <c r="AQ98" i="26"/>
  <c r="AP98" i="26"/>
  <c r="AO98" i="26"/>
  <c r="AN98" i="26"/>
  <c r="AM98" i="26"/>
  <c r="AL98" i="26"/>
  <c r="AK98" i="26"/>
  <c r="AJ98" i="26"/>
  <c r="AI98" i="26"/>
  <c r="AH98" i="26"/>
  <c r="AG98" i="26"/>
  <c r="AF98" i="26"/>
  <c r="AE98" i="26"/>
  <c r="AD98" i="26"/>
  <c r="AC98" i="26"/>
  <c r="AB98" i="26"/>
  <c r="AA98" i="26"/>
  <c r="Z98" i="26"/>
  <c r="Y98" i="26"/>
  <c r="X98" i="26"/>
  <c r="W98" i="26"/>
  <c r="V98" i="26"/>
  <c r="U98" i="26"/>
  <c r="T98" i="26"/>
  <c r="S98" i="26"/>
  <c r="R98" i="26"/>
  <c r="Q98" i="26"/>
  <c r="P98" i="26"/>
  <c r="O98" i="26"/>
  <c r="N98" i="26"/>
  <c r="M98" i="26"/>
  <c r="L98" i="26"/>
  <c r="K98" i="26"/>
  <c r="J98" i="26"/>
  <c r="I98" i="26"/>
  <c r="H98" i="26"/>
  <c r="G98" i="26"/>
  <c r="F98" i="26"/>
  <c r="E98" i="26"/>
  <c r="D98" i="26"/>
  <c r="C98" i="26"/>
  <c r="B98" i="26"/>
  <c r="BC97" i="26"/>
  <c r="BB97" i="26"/>
  <c r="BA97" i="26"/>
  <c r="AZ97" i="26"/>
  <c r="AY97" i="26"/>
  <c r="AX97" i="26"/>
  <c r="AW97" i="26"/>
  <c r="AV97" i="26"/>
  <c r="AU97" i="26"/>
  <c r="AT97" i="26"/>
  <c r="AS97" i="26"/>
  <c r="AR97" i="26"/>
  <c r="AQ97" i="26"/>
  <c r="AP97" i="26"/>
  <c r="AO97" i="26"/>
  <c r="AN97" i="26"/>
  <c r="AM97" i="26"/>
  <c r="AL97" i="26"/>
  <c r="AK97" i="26"/>
  <c r="AJ97" i="26"/>
  <c r="AI97" i="26"/>
  <c r="AH97" i="26"/>
  <c r="AG97" i="26"/>
  <c r="AF97" i="26"/>
  <c r="AE97" i="26"/>
  <c r="AD97" i="26"/>
  <c r="AC97" i="26"/>
  <c r="AB97" i="26"/>
  <c r="AA97" i="26"/>
  <c r="Z97" i="26"/>
  <c r="Y97" i="26"/>
  <c r="X97" i="26"/>
  <c r="W97" i="26"/>
  <c r="V97" i="26"/>
  <c r="U97" i="26"/>
  <c r="T97" i="26"/>
  <c r="S97" i="26"/>
  <c r="R97" i="26"/>
  <c r="Q97" i="26"/>
  <c r="P97" i="26"/>
  <c r="O97" i="26"/>
  <c r="N97" i="26"/>
  <c r="M97" i="26"/>
  <c r="L97" i="26"/>
  <c r="K97" i="26"/>
  <c r="J97" i="26"/>
  <c r="I97" i="26"/>
  <c r="H97" i="26"/>
  <c r="G97" i="26"/>
  <c r="F97" i="26"/>
  <c r="E97" i="26"/>
  <c r="D97" i="26"/>
  <c r="C97" i="26"/>
  <c r="B97" i="26"/>
  <c r="BC96" i="26"/>
  <c r="BB96" i="26"/>
  <c r="BA96" i="26"/>
  <c r="AZ96" i="26"/>
  <c r="AY96" i="26"/>
  <c r="AX96" i="26"/>
  <c r="AW96" i="26"/>
  <c r="AV96" i="26"/>
  <c r="AU96" i="26"/>
  <c r="AT96" i="26"/>
  <c r="AS96" i="26"/>
  <c r="AR96" i="26"/>
  <c r="AQ96" i="26"/>
  <c r="AP96" i="26"/>
  <c r="AO96" i="26"/>
  <c r="AN96" i="26"/>
  <c r="AM96" i="26"/>
  <c r="AL96" i="26"/>
  <c r="AK96" i="26"/>
  <c r="AJ96" i="26"/>
  <c r="AI96" i="26"/>
  <c r="AH96" i="26"/>
  <c r="AG96" i="26"/>
  <c r="AF96" i="26"/>
  <c r="AE96" i="26"/>
  <c r="AD96" i="26"/>
  <c r="AC96" i="26"/>
  <c r="AB96" i="26"/>
  <c r="AA96" i="26"/>
  <c r="Z96" i="26"/>
  <c r="Y96" i="26"/>
  <c r="X96" i="26"/>
  <c r="W96" i="26"/>
  <c r="V96" i="26"/>
  <c r="U96" i="26"/>
  <c r="T96" i="26"/>
  <c r="S96" i="26"/>
  <c r="R96" i="26"/>
  <c r="Q96" i="26"/>
  <c r="P96" i="26"/>
  <c r="O96" i="26"/>
  <c r="N96" i="26"/>
  <c r="M96" i="26"/>
  <c r="L96" i="26"/>
  <c r="K96" i="26"/>
  <c r="J96" i="26"/>
  <c r="I96" i="26"/>
  <c r="H96" i="26"/>
  <c r="G96" i="26"/>
  <c r="F96" i="26"/>
  <c r="E96" i="26"/>
  <c r="D96" i="26"/>
  <c r="C96" i="26"/>
  <c r="B96" i="26"/>
  <c r="BC95" i="26"/>
  <c r="BB95" i="26"/>
  <c r="BA95" i="26"/>
  <c r="AZ95" i="26"/>
  <c r="AY95" i="26"/>
  <c r="AX95" i="26"/>
  <c r="AW95" i="26"/>
  <c r="AV95" i="26"/>
  <c r="AU95" i="26"/>
  <c r="AT95" i="26"/>
  <c r="AS95" i="26"/>
  <c r="AR95" i="26"/>
  <c r="AQ95" i="26"/>
  <c r="AP95" i="26"/>
  <c r="AO95" i="26"/>
  <c r="AN95" i="26"/>
  <c r="AM95" i="26"/>
  <c r="AL95" i="26"/>
  <c r="AK95" i="26"/>
  <c r="AJ95" i="26"/>
  <c r="AI95" i="26"/>
  <c r="AH95" i="26"/>
  <c r="AG95" i="26"/>
  <c r="AF95" i="26"/>
  <c r="AE95" i="26"/>
  <c r="AD95" i="26"/>
  <c r="AC95" i="26"/>
  <c r="AB95" i="26"/>
  <c r="AA95" i="26"/>
  <c r="Z95" i="26"/>
  <c r="Y95" i="26"/>
  <c r="X95" i="26"/>
  <c r="W95" i="26"/>
  <c r="V95" i="26"/>
  <c r="U95" i="26"/>
  <c r="T95" i="26"/>
  <c r="S95" i="26"/>
  <c r="R95" i="26"/>
  <c r="Q95" i="26"/>
  <c r="P95" i="26"/>
  <c r="O95" i="26"/>
  <c r="N95" i="26"/>
  <c r="M95" i="26"/>
  <c r="L95" i="26"/>
  <c r="K95" i="26"/>
  <c r="J95" i="26"/>
  <c r="I95" i="26"/>
  <c r="H95" i="26"/>
  <c r="G95" i="26"/>
  <c r="F95" i="26"/>
  <c r="E95" i="26"/>
  <c r="D95" i="26"/>
  <c r="C95" i="26"/>
  <c r="B95" i="26"/>
  <c r="BC94" i="26"/>
  <c r="BB94" i="26"/>
  <c r="BA94" i="26"/>
  <c r="AZ94" i="26"/>
  <c r="AY94" i="26"/>
  <c r="AX94" i="26"/>
  <c r="AW94" i="26"/>
  <c r="AV94" i="26"/>
  <c r="AU94" i="26"/>
  <c r="AT94" i="26"/>
  <c r="AS94" i="26"/>
  <c r="AR94" i="26"/>
  <c r="AQ94" i="26"/>
  <c r="AP94" i="26"/>
  <c r="AO94" i="26"/>
  <c r="AN94" i="26"/>
  <c r="AM94" i="26"/>
  <c r="AL94" i="26"/>
  <c r="AK94" i="26"/>
  <c r="AJ94" i="26"/>
  <c r="AI94" i="26"/>
  <c r="AH94" i="26"/>
  <c r="AG94" i="26"/>
  <c r="AF94" i="26"/>
  <c r="AE94" i="26"/>
  <c r="AD94" i="26"/>
  <c r="AC94" i="26"/>
  <c r="AB94" i="26"/>
  <c r="AA94" i="26"/>
  <c r="Z94" i="26"/>
  <c r="Y94" i="26"/>
  <c r="X94" i="26"/>
  <c r="W94" i="26"/>
  <c r="V94" i="26"/>
  <c r="U94" i="26"/>
  <c r="T94" i="26"/>
  <c r="S94" i="26"/>
  <c r="R94" i="26"/>
  <c r="Q94" i="26"/>
  <c r="P94" i="26"/>
  <c r="O94" i="26"/>
  <c r="N94" i="26"/>
  <c r="M94" i="26"/>
  <c r="L94" i="26"/>
  <c r="K94" i="26"/>
  <c r="J94" i="26"/>
  <c r="I94" i="26"/>
  <c r="H94" i="26"/>
  <c r="G94" i="26"/>
  <c r="F94" i="26"/>
  <c r="E94" i="26"/>
  <c r="D94" i="26"/>
  <c r="C94" i="26"/>
  <c r="B94" i="26"/>
  <c r="BC93" i="26"/>
  <c r="BB93" i="26"/>
  <c r="BA93" i="26"/>
  <c r="AZ93" i="26"/>
  <c r="AY93" i="26"/>
  <c r="AX93" i="26"/>
  <c r="AW93" i="26"/>
  <c r="AV93" i="26"/>
  <c r="AU93" i="26"/>
  <c r="AT93" i="26"/>
  <c r="AS93" i="26"/>
  <c r="AR93" i="26"/>
  <c r="AQ93" i="26"/>
  <c r="AP93" i="26"/>
  <c r="AO93" i="26"/>
  <c r="AN93" i="26"/>
  <c r="AM93" i="26"/>
  <c r="AL93" i="26"/>
  <c r="AK93" i="26"/>
  <c r="AJ93" i="26"/>
  <c r="AI93" i="26"/>
  <c r="AH93" i="26"/>
  <c r="AG93" i="26"/>
  <c r="AF93" i="26"/>
  <c r="AE93" i="26"/>
  <c r="AD93" i="26"/>
  <c r="AC93" i="26"/>
  <c r="AB93" i="26"/>
  <c r="AA93" i="26"/>
  <c r="Z93" i="26"/>
  <c r="Y93" i="26"/>
  <c r="X93" i="26"/>
  <c r="W93" i="26"/>
  <c r="V93" i="26"/>
  <c r="U93" i="26"/>
  <c r="T93" i="26"/>
  <c r="S93" i="26"/>
  <c r="R93" i="26"/>
  <c r="Q93" i="26"/>
  <c r="P93" i="26"/>
  <c r="O93" i="26"/>
  <c r="N93" i="26"/>
  <c r="M93" i="26"/>
  <c r="L93" i="26"/>
  <c r="K93" i="26"/>
  <c r="J93" i="26"/>
  <c r="I93" i="26"/>
  <c r="H93" i="26"/>
  <c r="G93" i="26"/>
  <c r="F93" i="26"/>
  <c r="E93" i="26"/>
  <c r="D93" i="26"/>
  <c r="C93" i="26"/>
  <c r="B93" i="26"/>
  <c r="BC92" i="26"/>
  <c r="BB92" i="26"/>
  <c r="BA92" i="26"/>
  <c r="AZ92" i="26"/>
  <c r="AY92" i="26"/>
  <c r="AX92" i="26"/>
  <c r="AW92" i="26"/>
  <c r="AV92" i="26"/>
  <c r="AU92" i="26"/>
  <c r="AT92" i="26"/>
  <c r="AS92" i="26"/>
  <c r="AR92" i="26"/>
  <c r="AQ92" i="26"/>
  <c r="AP92" i="26"/>
  <c r="AO92" i="26"/>
  <c r="AN92" i="26"/>
  <c r="AM92" i="26"/>
  <c r="AL92" i="26"/>
  <c r="AK92" i="26"/>
  <c r="AJ92" i="26"/>
  <c r="AI92" i="26"/>
  <c r="AH92" i="26"/>
  <c r="AG92" i="26"/>
  <c r="AF92" i="26"/>
  <c r="AE92" i="26"/>
  <c r="AD92" i="26"/>
  <c r="AC92" i="26"/>
  <c r="AB92" i="26"/>
  <c r="AA92" i="26"/>
  <c r="Z92" i="26"/>
  <c r="Y92" i="26"/>
  <c r="X92" i="26"/>
  <c r="W92" i="26"/>
  <c r="V92" i="26"/>
  <c r="U92" i="26"/>
  <c r="T92" i="26"/>
  <c r="S92" i="26"/>
  <c r="R92" i="26"/>
  <c r="Q92" i="26"/>
  <c r="P92" i="26"/>
  <c r="O92" i="26"/>
  <c r="N92" i="26"/>
  <c r="M92" i="26"/>
  <c r="L92" i="26"/>
  <c r="K92" i="26"/>
  <c r="J92" i="26"/>
  <c r="I92" i="26"/>
  <c r="H92" i="26"/>
  <c r="G92" i="26"/>
  <c r="F92" i="26"/>
  <c r="E92" i="26"/>
  <c r="D92" i="26"/>
  <c r="C92" i="26"/>
  <c r="B92" i="26"/>
  <c r="BC91" i="26"/>
  <c r="BB91" i="26"/>
  <c r="BA91" i="26"/>
  <c r="AZ91" i="26"/>
  <c r="AY91" i="26"/>
  <c r="AX91" i="26"/>
  <c r="AW91" i="26"/>
  <c r="AV91" i="26"/>
  <c r="AU91" i="26"/>
  <c r="AT91" i="26"/>
  <c r="AS91" i="26"/>
  <c r="AR91" i="26"/>
  <c r="AQ91" i="26"/>
  <c r="AP91" i="26"/>
  <c r="AO91" i="26"/>
  <c r="AN91" i="26"/>
  <c r="AM91" i="26"/>
  <c r="AL91" i="26"/>
  <c r="AK91" i="26"/>
  <c r="AJ91" i="26"/>
  <c r="AI91" i="26"/>
  <c r="AH91" i="26"/>
  <c r="AG91" i="26"/>
  <c r="AF91" i="26"/>
  <c r="AE91" i="26"/>
  <c r="AD91" i="26"/>
  <c r="AC91" i="26"/>
  <c r="AB91" i="26"/>
  <c r="AA91" i="26"/>
  <c r="Z91" i="26"/>
  <c r="Y91" i="26"/>
  <c r="X91" i="26"/>
  <c r="W91" i="26"/>
  <c r="V91" i="26"/>
  <c r="U91" i="26"/>
  <c r="T91" i="26"/>
  <c r="S91" i="26"/>
  <c r="R91" i="26"/>
  <c r="Q91" i="26"/>
  <c r="P91" i="26"/>
  <c r="O91" i="26"/>
  <c r="N91" i="26"/>
  <c r="M91" i="26"/>
  <c r="L91" i="26"/>
  <c r="K91" i="26"/>
  <c r="J91" i="26"/>
  <c r="I91" i="26"/>
  <c r="H91" i="26"/>
  <c r="G91" i="26"/>
  <c r="F91" i="26"/>
  <c r="E91" i="26"/>
  <c r="D91" i="26"/>
  <c r="C91" i="26"/>
  <c r="B91" i="26"/>
  <c r="BC90" i="26"/>
  <c r="BB90" i="26"/>
  <c r="BA90" i="26"/>
  <c r="AZ90" i="26"/>
  <c r="AY90" i="26"/>
  <c r="AX90" i="26"/>
  <c r="AW90" i="26"/>
  <c r="AV90" i="26"/>
  <c r="AU90" i="26"/>
  <c r="AT90" i="26"/>
  <c r="AS90" i="26"/>
  <c r="AR90" i="26"/>
  <c r="AQ90" i="26"/>
  <c r="AP90" i="26"/>
  <c r="AO90" i="26"/>
  <c r="AN90" i="26"/>
  <c r="AM90" i="26"/>
  <c r="AL90" i="26"/>
  <c r="AK90" i="26"/>
  <c r="AJ90" i="26"/>
  <c r="AI90" i="26"/>
  <c r="AH90" i="26"/>
  <c r="AG90" i="26"/>
  <c r="AF90" i="26"/>
  <c r="AE90" i="26"/>
  <c r="AD90" i="26"/>
  <c r="AC90" i="26"/>
  <c r="AB90" i="26"/>
  <c r="AA90" i="26"/>
  <c r="Z90" i="26"/>
  <c r="Y90" i="26"/>
  <c r="X90" i="26"/>
  <c r="W90" i="26"/>
  <c r="V90" i="26"/>
  <c r="U90" i="26"/>
  <c r="T90" i="26"/>
  <c r="S90" i="26"/>
  <c r="R90" i="26"/>
  <c r="Q90" i="26"/>
  <c r="P90" i="26"/>
  <c r="O90" i="26"/>
  <c r="N90" i="26"/>
  <c r="M90" i="26"/>
  <c r="L90" i="26"/>
  <c r="K90" i="26"/>
  <c r="J90" i="26"/>
  <c r="I90" i="26"/>
  <c r="H90" i="26"/>
  <c r="G90" i="26"/>
  <c r="F90" i="26"/>
  <c r="E90" i="26"/>
  <c r="D90" i="26"/>
  <c r="C90" i="26"/>
  <c r="B90" i="26"/>
  <c r="BC89" i="26"/>
  <c r="BB89" i="26"/>
  <c r="BA89" i="26"/>
  <c r="AZ89" i="26"/>
  <c r="AY89" i="26"/>
  <c r="AX89" i="26"/>
  <c r="AW89" i="26"/>
  <c r="AV89" i="26"/>
  <c r="AU89" i="26"/>
  <c r="AT89" i="26"/>
  <c r="AS89" i="26"/>
  <c r="AR89" i="26"/>
  <c r="AQ89" i="26"/>
  <c r="AP89" i="26"/>
  <c r="AO89" i="26"/>
  <c r="AN89" i="26"/>
  <c r="AM89" i="26"/>
  <c r="AL89" i="26"/>
  <c r="AK89" i="26"/>
  <c r="AJ89" i="26"/>
  <c r="AI89" i="26"/>
  <c r="AH89" i="26"/>
  <c r="AG89" i="26"/>
  <c r="AF89" i="26"/>
  <c r="AE89" i="26"/>
  <c r="AD89" i="26"/>
  <c r="AC89" i="26"/>
  <c r="AB89" i="26"/>
  <c r="AA89" i="26"/>
  <c r="Z89" i="26"/>
  <c r="Y89" i="26"/>
  <c r="X89" i="26"/>
  <c r="W89" i="26"/>
  <c r="V89" i="26"/>
  <c r="U89" i="26"/>
  <c r="T89" i="26"/>
  <c r="S89" i="26"/>
  <c r="R89" i="26"/>
  <c r="Q89" i="26"/>
  <c r="P89" i="26"/>
  <c r="O89" i="26"/>
  <c r="N89" i="26"/>
  <c r="M89" i="26"/>
  <c r="L89" i="26"/>
  <c r="K89" i="26"/>
  <c r="J89" i="26"/>
  <c r="I89" i="26"/>
  <c r="H89" i="26"/>
  <c r="G89" i="26"/>
  <c r="F89" i="26"/>
  <c r="E89" i="26"/>
  <c r="D89" i="26"/>
  <c r="C89" i="26"/>
  <c r="B89" i="26"/>
  <c r="BC88" i="26"/>
  <c r="BB88" i="26"/>
  <c r="BA88" i="26"/>
  <c r="AZ88" i="26"/>
  <c r="AY88" i="26"/>
  <c r="AX88" i="26"/>
  <c r="AW88" i="26"/>
  <c r="AV88" i="26"/>
  <c r="AU88" i="26"/>
  <c r="AT88" i="26"/>
  <c r="AS88" i="26"/>
  <c r="AR88" i="26"/>
  <c r="AQ88" i="26"/>
  <c r="AP88" i="26"/>
  <c r="AO88" i="26"/>
  <c r="AN88" i="26"/>
  <c r="AM88" i="26"/>
  <c r="AL88" i="26"/>
  <c r="AK88" i="26"/>
  <c r="AJ88" i="26"/>
  <c r="AI88" i="26"/>
  <c r="AH88" i="26"/>
  <c r="AG88" i="26"/>
  <c r="AF88" i="26"/>
  <c r="AE88" i="26"/>
  <c r="AD88" i="26"/>
  <c r="AC88" i="26"/>
  <c r="AB88" i="26"/>
  <c r="AA88" i="26"/>
  <c r="Z88" i="26"/>
  <c r="Y88" i="26"/>
  <c r="X88" i="26"/>
  <c r="W88" i="26"/>
  <c r="V88" i="26"/>
  <c r="U88" i="26"/>
  <c r="T88" i="26"/>
  <c r="S88" i="26"/>
  <c r="R88" i="26"/>
  <c r="Q88" i="26"/>
  <c r="P88" i="26"/>
  <c r="O88" i="26"/>
  <c r="N88" i="26"/>
  <c r="M88" i="26"/>
  <c r="L88" i="26"/>
  <c r="K88" i="26"/>
  <c r="J88" i="26"/>
  <c r="I88" i="26"/>
  <c r="H88" i="26"/>
  <c r="G88" i="26"/>
  <c r="F88" i="26"/>
  <c r="E88" i="26"/>
  <c r="D88" i="26"/>
  <c r="C88" i="26"/>
  <c r="B88" i="26"/>
  <c r="BC87" i="26"/>
  <c r="BB87" i="26"/>
  <c r="BA87" i="26"/>
  <c r="AZ87" i="26"/>
  <c r="AY87" i="26"/>
  <c r="AX87" i="26"/>
  <c r="AW87" i="26"/>
  <c r="AV87" i="26"/>
  <c r="AU87" i="26"/>
  <c r="AT87" i="26"/>
  <c r="AS87" i="26"/>
  <c r="AR87" i="26"/>
  <c r="AQ87" i="26"/>
  <c r="AP87" i="26"/>
  <c r="AO87" i="26"/>
  <c r="AN87" i="26"/>
  <c r="AM87" i="26"/>
  <c r="AL87" i="26"/>
  <c r="AK87" i="26"/>
  <c r="AJ87" i="26"/>
  <c r="AI87" i="26"/>
  <c r="AH87" i="26"/>
  <c r="AG87" i="26"/>
  <c r="AF87" i="26"/>
  <c r="AE87" i="26"/>
  <c r="AD87" i="26"/>
  <c r="AC87" i="26"/>
  <c r="AB87" i="26"/>
  <c r="AA87" i="26"/>
  <c r="Z87" i="26"/>
  <c r="Y87" i="26"/>
  <c r="X87" i="26"/>
  <c r="W87" i="26"/>
  <c r="V87" i="26"/>
  <c r="U87" i="26"/>
  <c r="T87" i="26"/>
  <c r="S87" i="26"/>
  <c r="R87" i="26"/>
  <c r="Q87" i="26"/>
  <c r="P87" i="26"/>
  <c r="O87" i="26"/>
  <c r="N87" i="26"/>
  <c r="M87" i="26"/>
  <c r="L87" i="26"/>
  <c r="K87" i="26"/>
  <c r="J87" i="26"/>
  <c r="I87" i="26"/>
  <c r="H87" i="26"/>
  <c r="G87" i="26"/>
  <c r="F87" i="26"/>
  <c r="E87" i="26"/>
  <c r="D87" i="26"/>
  <c r="C87" i="26"/>
  <c r="B87" i="26"/>
  <c r="BC86" i="26"/>
  <c r="BB86" i="26"/>
  <c r="BA86" i="26"/>
  <c r="AZ86" i="26"/>
  <c r="AY86" i="26"/>
  <c r="AX86" i="26"/>
  <c r="AW86" i="26"/>
  <c r="AV86" i="26"/>
  <c r="AU86" i="26"/>
  <c r="AT86" i="26"/>
  <c r="AS86" i="26"/>
  <c r="AR86" i="26"/>
  <c r="AQ86" i="26"/>
  <c r="AP86" i="26"/>
  <c r="AO86" i="26"/>
  <c r="AN86" i="26"/>
  <c r="AM86" i="26"/>
  <c r="AL86" i="26"/>
  <c r="AK86" i="26"/>
  <c r="AJ86" i="26"/>
  <c r="AI86" i="26"/>
  <c r="AH86" i="26"/>
  <c r="AG86" i="26"/>
  <c r="AF86" i="26"/>
  <c r="AE86" i="26"/>
  <c r="AD86" i="26"/>
  <c r="AC86" i="26"/>
  <c r="AB86" i="26"/>
  <c r="AA86" i="26"/>
  <c r="Z86" i="26"/>
  <c r="Y86" i="26"/>
  <c r="X86" i="26"/>
  <c r="W86" i="26"/>
  <c r="V86" i="26"/>
  <c r="U86" i="26"/>
  <c r="T86" i="26"/>
  <c r="S86" i="26"/>
  <c r="R86" i="26"/>
  <c r="Q86" i="26"/>
  <c r="P86" i="26"/>
  <c r="O86" i="26"/>
  <c r="N86" i="26"/>
  <c r="M86" i="26"/>
  <c r="L86" i="26"/>
  <c r="K86" i="26"/>
  <c r="J86" i="26"/>
  <c r="I86" i="26"/>
  <c r="H86" i="26"/>
  <c r="G86" i="26"/>
  <c r="F86" i="26"/>
  <c r="E86" i="26"/>
  <c r="D86" i="26"/>
  <c r="C86" i="26"/>
  <c r="B86" i="26"/>
  <c r="BC85" i="26"/>
  <c r="BB85" i="26"/>
  <c r="BA85" i="26"/>
  <c r="AZ85" i="26"/>
  <c r="AY85" i="26"/>
  <c r="AX85" i="26"/>
  <c r="AW85" i="26"/>
  <c r="AV85" i="26"/>
  <c r="AU85" i="26"/>
  <c r="AT85" i="26"/>
  <c r="AS85" i="26"/>
  <c r="AR85" i="26"/>
  <c r="AQ85" i="26"/>
  <c r="AP85" i="26"/>
  <c r="AO85" i="26"/>
  <c r="AN85" i="26"/>
  <c r="AM85" i="26"/>
  <c r="AL85" i="26"/>
  <c r="AK85" i="26"/>
  <c r="AJ85" i="26"/>
  <c r="AI85" i="26"/>
  <c r="AH85" i="26"/>
  <c r="AG85" i="26"/>
  <c r="AF85" i="26"/>
  <c r="AE85" i="26"/>
  <c r="AD85" i="26"/>
  <c r="AC85" i="26"/>
  <c r="AB85" i="26"/>
  <c r="AA85" i="26"/>
  <c r="Z85" i="26"/>
  <c r="Y85" i="26"/>
  <c r="X85" i="26"/>
  <c r="W85" i="26"/>
  <c r="V85" i="26"/>
  <c r="U85" i="26"/>
  <c r="T85" i="26"/>
  <c r="S85" i="26"/>
  <c r="R85" i="26"/>
  <c r="Q85" i="26"/>
  <c r="P85" i="26"/>
  <c r="O85" i="26"/>
  <c r="N85" i="26"/>
  <c r="M85" i="26"/>
  <c r="L85" i="26"/>
  <c r="K85" i="26"/>
  <c r="J85" i="26"/>
  <c r="I85" i="26"/>
  <c r="H85" i="26"/>
  <c r="G85" i="26"/>
  <c r="F85" i="26"/>
  <c r="E85" i="26"/>
  <c r="D85" i="26"/>
  <c r="C85" i="26"/>
  <c r="B85" i="26"/>
  <c r="BC84" i="26"/>
  <c r="BB84" i="26"/>
  <c r="BA84" i="26"/>
  <c r="AZ84" i="26"/>
  <c r="AY84" i="26"/>
  <c r="AX84" i="26"/>
  <c r="AW84" i="26"/>
  <c r="AV84" i="26"/>
  <c r="AU84" i="26"/>
  <c r="AT84" i="26"/>
  <c r="AS84" i="26"/>
  <c r="AR84" i="26"/>
  <c r="AQ84" i="26"/>
  <c r="AP84" i="26"/>
  <c r="AO84" i="26"/>
  <c r="AN84" i="26"/>
  <c r="AM84" i="26"/>
  <c r="AL84" i="26"/>
  <c r="AK84" i="26"/>
  <c r="AJ84" i="26"/>
  <c r="AI84" i="26"/>
  <c r="AH84" i="26"/>
  <c r="AG84" i="26"/>
  <c r="AF84" i="26"/>
  <c r="AE84" i="26"/>
  <c r="AD84" i="26"/>
  <c r="AC84" i="26"/>
  <c r="AB84" i="26"/>
  <c r="AA84" i="26"/>
  <c r="Z84" i="26"/>
  <c r="Y84" i="26"/>
  <c r="X84" i="26"/>
  <c r="W84" i="26"/>
  <c r="V84" i="26"/>
  <c r="U84" i="26"/>
  <c r="T84" i="26"/>
  <c r="S84" i="26"/>
  <c r="R84" i="26"/>
  <c r="Q84" i="26"/>
  <c r="P84" i="26"/>
  <c r="O84" i="26"/>
  <c r="N84" i="26"/>
  <c r="M84" i="26"/>
  <c r="L84" i="26"/>
  <c r="K84" i="26"/>
  <c r="J84" i="26"/>
  <c r="I84" i="26"/>
  <c r="H84" i="26"/>
  <c r="G84" i="26"/>
  <c r="F84" i="26"/>
  <c r="E84" i="26"/>
  <c r="D84" i="26"/>
  <c r="C84" i="26"/>
  <c r="B84" i="26"/>
  <c r="BC83" i="26"/>
  <c r="BB83" i="26"/>
  <c r="BA83" i="26"/>
  <c r="AZ83" i="26"/>
  <c r="AY83" i="26"/>
  <c r="AX83" i="26"/>
  <c r="AW83" i="26"/>
  <c r="AV83" i="26"/>
  <c r="AU83" i="26"/>
  <c r="AT83" i="26"/>
  <c r="AS83" i="26"/>
  <c r="AR83" i="26"/>
  <c r="AQ83" i="26"/>
  <c r="AP83" i="26"/>
  <c r="AO83" i="26"/>
  <c r="AN83" i="26"/>
  <c r="AM83" i="26"/>
  <c r="AL83" i="26"/>
  <c r="AK83" i="26"/>
  <c r="AJ83" i="26"/>
  <c r="AI83" i="26"/>
  <c r="AH83" i="26"/>
  <c r="AG83" i="26"/>
  <c r="AF83" i="26"/>
  <c r="AE83" i="26"/>
  <c r="AD83" i="26"/>
  <c r="AC83" i="26"/>
  <c r="AB83" i="26"/>
  <c r="AA83" i="26"/>
  <c r="Z83" i="26"/>
  <c r="Y83" i="26"/>
  <c r="X83" i="26"/>
  <c r="W83" i="26"/>
  <c r="V83" i="26"/>
  <c r="U83" i="26"/>
  <c r="T83" i="26"/>
  <c r="S83" i="26"/>
  <c r="R83" i="26"/>
  <c r="Q83" i="26"/>
  <c r="P83" i="26"/>
  <c r="O83" i="26"/>
  <c r="N83" i="26"/>
  <c r="M83" i="26"/>
  <c r="L83" i="26"/>
  <c r="K83" i="26"/>
  <c r="J83" i="26"/>
  <c r="I83" i="26"/>
  <c r="H83" i="26"/>
  <c r="G83" i="26"/>
  <c r="F83" i="26"/>
  <c r="E83" i="26"/>
  <c r="D83" i="26"/>
  <c r="C83" i="26"/>
  <c r="B83" i="26"/>
  <c r="BC82" i="26"/>
  <c r="BB82" i="26"/>
  <c r="BA82" i="26"/>
  <c r="AZ82" i="26"/>
  <c r="AY82" i="26"/>
  <c r="AX82" i="26"/>
  <c r="AW82" i="26"/>
  <c r="AV82" i="26"/>
  <c r="AU82" i="26"/>
  <c r="AT82" i="26"/>
  <c r="AS82" i="26"/>
  <c r="AR82" i="26"/>
  <c r="AQ82" i="26"/>
  <c r="AP82" i="26"/>
  <c r="AO82" i="26"/>
  <c r="AN82" i="26"/>
  <c r="AM82" i="26"/>
  <c r="AL82" i="26"/>
  <c r="AK82" i="26"/>
  <c r="AJ82" i="26"/>
  <c r="AI82" i="26"/>
  <c r="AH82" i="26"/>
  <c r="AG82" i="26"/>
  <c r="AF82" i="26"/>
  <c r="AE82" i="26"/>
  <c r="AD82" i="26"/>
  <c r="AC82" i="26"/>
  <c r="AB82" i="26"/>
  <c r="AA82" i="26"/>
  <c r="Z82" i="26"/>
  <c r="Y82" i="26"/>
  <c r="X82" i="26"/>
  <c r="W82" i="26"/>
  <c r="V82" i="26"/>
  <c r="U82" i="26"/>
  <c r="T82" i="26"/>
  <c r="S82" i="26"/>
  <c r="R82" i="26"/>
  <c r="Q82" i="26"/>
  <c r="P82" i="26"/>
  <c r="O82" i="26"/>
  <c r="N82" i="26"/>
  <c r="M82" i="26"/>
  <c r="L82" i="26"/>
  <c r="K82" i="26"/>
  <c r="J82" i="26"/>
  <c r="I82" i="26"/>
  <c r="H82" i="26"/>
  <c r="G82" i="26"/>
  <c r="F82" i="26"/>
  <c r="E82" i="26"/>
  <c r="D82" i="26"/>
  <c r="C82" i="26"/>
  <c r="B82" i="26"/>
  <c r="BC81" i="26"/>
  <c r="BB81" i="26"/>
  <c r="BA81" i="26"/>
  <c r="AZ81" i="26"/>
  <c r="AY81" i="26"/>
  <c r="AX81" i="26"/>
  <c r="AW81" i="26"/>
  <c r="AV81" i="26"/>
  <c r="AU81" i="26"/>
  <c r="AT81" i="26"/>
  <c r="AS81" i="26"/>
  <c r="AR81" i="26"/>
  <c r="AQ81" i="26"/>
  <c r="AP81" i="26"/>
  <c r="AO81" i="26"/>
  <c r="AN81" i="26"/>
  <c r="AM81" i="26"/>
  <c r="AL81" i="26"/>
  <c r="AK81" i="26"/>
  <c r="AJ81" i="26"/>
  <c r="AI81" i="26"/>
  <c r="AH81" i="26"/>
  <c r="AG81" i="26"/>
  <c r="AF81" i="26"/>
  <c r="AE81" i="26"/>
  <c r="AD81" i="26"/>
  <c r="AC81" i="26"/>
  <c r="AB81" i="26"/>
  <c r="AA81"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BC80" i="26"/>
  <c r="BB80" i="26"/>
  <c r="BA80" i="26"/>
  <c r="AZ80" i="26"/>
  <c r="AY80" i="26"/>
  <c r="AX80" i="26"/>
  <c r="AW80" i="26"/>
  <c r="AV80" i="26"/>
  <c r="AU80" i="26"/>
  <c r="AT80" i="26"/>
  <c r="AS80" i="26"/>
  <c r="AR80" i="26"/>
  <c r="AQ80" i="26"/>
  <c r="AP80" i="26"/>
  <c r="AO80" i="26"/>
  <c r="AN80" i="26"/>
  <c r="AM80" i="26"/>
  <c r="AL80" i="26"/>
  <c r="AK80" i="26"/>
  <c r="AJ80" i="26"/>
  <c r="AI80" i="26"/>
  <c r="AH80" i="26"/>
  <c r="AG80" i="26"/>
  <c r="AF80" i="26"/>
  <c r="AE80" i="26"/>
  <c r="AD80" i="26"/>
  <c r="AC80" i="26"/>
  <c r="AB80" i="26"/>
  <c r="AA80"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BC79" i="26"/>
  <c r="BB79" i="26"/>
  <c r="BA79" i="26"/>
  <c r="AZ79" i="26"/>
  <c r="AY79" i="26"/>
  <c r="AX79" i="26"/>
  <c r="AW79" i="26"/>
  <c r="AV79" i="26"/>
  <c r="AU79" i="26"/>
  <c r="AT79" i="26"/>
  <c r="AS79" i="26"/>
  <c r="AR79" i="26"/>
  <c r="AQ79" i="26"/>
  <c r="AP79" i="26"/>
  <c r="AO79" i="26"/>
  <c r="AN79" i="26"/>
  <c r="AM79" i="26"/>
  <c r="AL79" i="26"/>
  <c r="AK79" i="26"/>
  <c r="AJ79" i="26"/>
  <c r="AI79" i="26"/>
  <c r="AH79" i="26"/>
  <c r="AG79" i="26"/>
  <c r="AF79" i="26"/>
  <c r="AE79" i="26"/>
  <c r="AD79" i="26"/>
  <c r="AC79" i="26"/>
  <c r="AB79" i="26"/>
  <c r="AA79" i="26"/>
  <c r="Z79" i="26"/>
  <c r="Y79" i="26"/>
  <c r="X79" i="26"/>
  <c r="W79" i="26"/>
  <c r="V79" i="26"/>
  <c r="U79" i="26"/>
  <c r="T79" i="26"/>
  <c r="S79" i="26"/>
  <c r="R79" i="26"/>
  <c r="Q79" i="26"/>
  <c r="P79" i="26"/>
  <c r="O79" i="26"/>
  <c r="N79" i="26"/>
  <c r="M79" i="26"/>
  <c r="L79" i="26"/>
  <c r="K79" i="26"/>
  <c r="J79" i="26"/>
  <c r="I79" i="26"/>
  <c r="H79" i="26"/>
  <c r="G79" i="26"/>
  <c r="F79" i="26"/>
  <c r="E79" i="26"/>
  <c r="D79" i="26"/>
  <c r="C79" i="26"/>
  <c r="B79" i="26"/>
  <c r="BC78" i="26"/>
  <c r="BB78" i="26"/>
  <c r="BA78" i="26"/>
  <c r="AZ78" i="26"/>
  <c r="AY78" i="26"/>
  <c r="AX78" i="26"/>
  <c r="AW78" i="26"/>
  <c r="AV78" i="26"/>
  <c r="AU78" i="26"/>
  <c r="AT78" i="26"/>
  <c r="AS78" i="26"/>
  <c r="AR78" i="26"/>
  <c r="AQ78" i="26"/>
  <c r="AP78" i="26"/>
  <c r="AO78" i="26"/>
  <c r="AN78" i="26"/>
  <c r="AM78" i="26"/>
  <c r="AL78" i="26"/>
  <c r="AK78" i="26"/>
  <c r="AJ78" i="26"/>
  <c r="AI78" i="26"/>
  <c r="AH78" i="26"/>
  <c r="AG78" i="26"/>
  <c r="AF78" i="26"/>
  <c r="AE78" i="26"/>
  <c r="AD78" i="26"/>
  <c r="AC78" i="26"/>
  <c r="AB78" i="26"/>
  <c r="AA78"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BC77" i="26"/>
  <c r="BB77" i="26"/>
  <c r="BA77" i="26"/>
  <c r="AZ77" i="26"/>
  <c r="AY77" i="26"/>
  <c r="AX77" i="26"/>
  <c r="AW77" i="26"/>
  <c r="AV77" i="26"/>
  <c r="AU77" i="26"/>
  <c r="AT77" i="26"/>
  <c r="AS77" i="26"/>
  <c r="AR77" i="26"/>
  <c r="AQ77" i="26"/>
  <c r="AP77" i="26"/>
  <c r="AO77" i="26"/>
  <c r="AN77" i="26"/>
  <c r="AM77" i="26"/>
  <c r="AL77" i="26"/>
  <c r="AK77" i="26"/>
  <c r="AJ77" i="26"/>
  <c r="AI77" i="26"/>
  <c r="AH77" i="26"/>
  <c r="AG77" i="26"/>
  <c r="AF77" i="26"/>
  <c r="AE77" i="26"/>
  <c r="AD77" i="26"/>
  <c r="AC77" i="26"/>
  <c r="AB77" i="26"/>
  <c r="AA77"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BC76" i="26"/>
  <c r="BB76" i="26"/>
  <c r="BA76" i="26"/>
  <c r="AZ76" i="26"/>
  <c r="AY76" i="26"/>
  <c r="AX76" i="26"/>
  <c r="AW76" i="26"/>
  <c r="AV76" i="26"/>
  <c r="AU76" i="26"/>
  <c r="AT76" i="26"/>
  <c r="AS76" i="26"/>
  <c r="AR76" i="26"/>
  <c r="AQ76" i="26"/>
  <c r="AP76" i="26"/>
  <c r="AO76" i="26"/>
  <c r="AN76" i="26"/>
  <c r="AM76" i="26"/>
  <c r="AL76" i="26"/>
  <c r="AK76" i="26"/>
  <c r="AJ76" i="26"/>
  <c r="AI76" i="26"/>
  <c r="AH76" i="26"/>
  <c r="AG76" i="26"/>
  <c r="AF76" i="26"/>
  <c r="AE76" i="26"/>
  <c r="AD76" i="26"/>
  <c r="AC76" i="26"/>
  <c r="AB76" i="26"/>
  <c r="AA76"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BC75" i="26"/>
  <c r="BB75" i="26"/>
  <c r="BA75" i="26"/>
  <c r="AZ75" i="26"/>
  <c r="AY75" i="26"/>
  <c r="AX75" i="26"/>
  <c r="AW75" i="26"/>
  <c r="AV75" i="26"/>
  <c r="AU75" i="26"/>
  <c r="AT75" i="26"/>
  <c r="AS75" i="26"/>
  <c r="AR75" i="26"/>
  <c r="AQ75" i="26"/>
  <c r="AP75" i="26"/>
  <c r="AO75" i="26"/>
  <c r="AN75" i="26"/>
  <c r="AM75" i="26"/>
  <c r="AL75" i="26"/>
  <c r="AK75" i="26"/>
  <c r="AJ75" i="26"/>
  <c r="AI75" i="26"/>
  <c r="AH75" i="26"/>
  <c r="AG75" i="26"/>
  <c r="AF75" i="26"/>
  <c r="AE75" i="26"/>
  <c r="AD75" i="26"/>
  <c r="AC75" i="26"/>
  <c r="AB75" i="26"/>
  <c r="AA75"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BC74" i="26"/>
  <c r="BB74" i="26"/>
  <c r="BA74" i="26"/>
  <c r="AZ74" i="26"/>
  <c r="AY74" i="26"/>
  <c r="AX74" i="26"/>
  <c r="AW74" i="26"/>
  <c r="AV74" i="26"/>
  <c r="AU74" i="26"/>
  <c r="AT74" i="26"/>
  <c r="AS74" i="26"/>
  <c r="AR74" i="26"/>
  <c r="AQ74" i="26"/>
  <c r="AP74" i="26"/>
  <c r="AO74" i="26"/>
  <c r="AN74" i="26"/>
  <c r="AM74" i="26"/>
  <c r="AL74" i="26"/>
  <c r="AK74" i="26"/>
  <c r="AJ74" i="26"/>
  <c r="AI74" i="26"/>
  <c r="AH74" i="26"/>
  <c r="AG74" i="26"/>
  <c r="AF74" i="26"/>
  <c r="AE74" i="26"/>
  <c r="AD74" i="26"/>
  <c r="AC74" i="26"/>
  <c r="AB74" i="26"/>
  <c r="AA74" i="26"/>
  <c r="Z74" i="26"/>
  <c r="Y74" i="26"/>
  <c r="X74" i="26"/>
  <c r="W74" i="26"/>
  <c r="V74" i="26"/>
  <c r="U74" i="26"/>
  <c r="T74" i="26"/>
  <c r="S74" i="26"/>
  <c r="R74" i="26"/>
  <c r="Q74" i="26"/>
  <c r="P74" i="26"/>
  <c r="O74" i="26"/>
  <c r="N74" i="26"/>
  <c r="M74" i="26"/>
  <c r="L74" i="26"/>
  <c r="K74" i="26"/>
  <c r="J74" i="26"/>
  <c r="I74" i="26"/>
  <c r="H74" i="26"/>
  <c r="G74" i="26"/>
  <c r="F74" i="26"/>
  <c r="E74" i="26"/>
  <c r="D74" i="26"/>
  <c r="C74" i="26"/>
  <c r="B74" i="26"/>
  <c r="BC73" i="26"/>
  <c r="BB73" i="26"/>
  <c r="BA73" i="26"/>
  <c r="AZ73" i="26"/>
  <c r="AY73" i="26"/>
  <c r="AX73" i="26"/>
  <c r="AW73" i="26"/>
  <c r="AV73" i="26"/>
  <c r="AU73" i="26"/>
  <c r="AT73" i="26"/>
  <c r="AS73" i="26"/>
  <c r="AR73" i="26"/>
  <c r="AQ73" i="26"/>
  <c r="AP73" i="26"/>
  <c r="AO73" i="26"/>
  <c r="AN73" i="26"/>
  <c r="AM73" i="26"/>
  <c r="AL73" i="26"/>
  <c r="AK73" i="26"/>
  <c r="AJ73" i="26"/>
  <c r="AI73" i="26"/>
  <c r="AH73" i="26"/>
  <c r="AG73" i="26"/>
  <c r="AF73" i="26"/>
  <c r="AE73" i="26"/>
  <c r="AD73" i="26"/>
  <c r="AC73" i="26"/>
  <c r="AB73" i="26"/>
  <c r="AA73"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BC72" i="26"/>
  <c r="BB72" i="26"/>
  <c r="BA72" i="26"/>
  <c r="AZ72" i="26"/>
  <c r="AY72" i="26"/>
  <c r="AX72" i="26"/>
  <c r="AW72" i="26"/>
  <c r="AV72" i="26"/>
  <c r="AU72" i="26"/>
  <c r="AT72" i="26"/>
  <c r="AS72" i="26"/>
  <c r="AR72" i="26"/>
  <c r="AQ72" i="26"/>
  <c r="AP72" i="26"/>
  <c r="AO72" i="26"/>
  <c r="AN72" i="26"/>
  <c r="AM72" i="26"/>
  <c r="AL72" i="26"/>
  <c r="AK72" i="26"/>
  <c r="AJ72" i="26"/>
  <c r="AI72" i="26"/>
  <c r="AH72" i="26"/>
  <c r="AG72" i="26"/>
  <c r="AF72" i="26"/>
  <c r="AE72" i="26"/>
  <c r="AD72" i="26"/>
  <c r="AC72" i="26"/>
  <c r="AB72" i="26"/>
  <c r="AA72"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BC71" i="26"/>
  <c r="BB71" i="26"/>
  <c r="BA71" i="26"/>
  <c r="AZ71" i="26"/>
  <c r="AY71" i="26"/>
  <c r="AX71" i="26"/>
  <c r="AW71" i="26"/>
  <c r="AV71" i="26"/>
  <c r="AU71" i="26"/>
  <c r="AT71" i="26"/>
  <c r="AS71" i="26"/>
  <c r="AR71" i="26"/>
  <c r="AQ71" i="26"/>
  <c r="AP71" i="26"/>
  <c r="AO71" i="26"/>
  <c r="AN71" i="26"/>
  <c r="AM71" i="26"/>
  <c r="AL71" i="26"/>
  <c r="AK71" i="26"/>
  <c r="AJ71" i="26"/>
  <c r="AI71" i="26"/>
  <c r="AH71" i="26"/>
  <c r="AG71" i="26"/>
  <c r="AF71" i="26"/>
  <c r="AE71" i="26"/>
  <c r="AD71" i="26"/>
  <c r="AC71" i="26"/>
  <c r="AB71" i="26"/>
  <c r="AA71" i="26"/>
  <c r="Z71" i="26"/>
  <c r="Y71" i="26"/>
  <c r="X71" i="26"/>
  <c r="W71" i="26"/>
  <c r="V71" i="26"/>
  <c r="U71" i="26"/>
  <c r="T71" i="26"/>
  <c r="S71" i="26"/>
  <c r="R71" i="26"/>
  <c r="Q71" i="26"/>
  <c r="P71" i="26"/>
  <c r="O71" i="26"/>
  <c r="N71" i="26"/>
  <c r="M71" i="26"/>
  <c r="L71" i="26"/>
  <c r="K71" i="26"/>
  <c r="J71" i="26"/>
  <c r="I71" i="26"/>
  <c r="H71" i="26"/>
  <c r="G71" i="26"/>
  <c r="F71" i="26"/>
  <c r="E71" i="26"/>
  <c r="D71" i="26"/>
  <c r="C71" i="26"/>
  <c r="B71" i="26"/>
  <c r="BC70" i="26"/>
  <c r="BB70" i="26"/>
  <c r="BA70" i="26"/>
  <c r="AZ70" i="26"/>
  <c r="AY70" i="26"/>
  <c r="AX70" i="26"/>
  <c r="AW70" i="26"/>
  <c r="AV70" i="26"/>
  <c r="AU70" i="26"/>
  <c r="AT70" i="26"/>
  <c r="AS70" i="26"/>
  <c r="AR70" i="26"/>
  <c r="AQ70" i="26"/>
  <c r="AP70" i="26"/>
  <c r="AO70" i="26"/>
  <c r="AN70" i="26"/>
  <c r="AM70" i="26"/>
  <c r="AL70" i="26"/>
  <c r="AK70" i="26"/>
  <c r="AJ70" i="26"/>
  <c r="AI70" i="26"/>
  <c r="AH70" i="26"/>
  <c r="AG70" i="26"/>
  <c r="AF70" i="26"/>
  <c r="AE70" i="26"/>
  <c r="AD70" i="26"/>
  <c r="AC70" i="26"/>
  <c r="AB70" i="26"/>
  <c r="AA70"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BC69" i="26"/>
  <c r="BB69" i="26"/>
  <c r="BA69" i="26"/>
  <c r="AZ69" i="26"/>
  <c r="AY69" i="26"/>
  <c r="AX69" i="26"/>
  <c r="AW69" i="26"/>
  <c r="AV69" i="26"/>
  <c r="AU69" i="26"/>
  <c r="AT69" i="26"/>
  <c r="AS69" i="26"/>
  <c r="AR69" i="26"/>
  <c r="AQ69" i="26"/>
  <c r="AP69" i="26"/>
  <c r="AO69" i="26"/>
  <c r="AN69" i="26"/>
  <c r="AM69" i="26"/>
  <c r="AL69" i="26"/>
  <c r="AK69" i="26"/>
  <c r="AJ69" i="26"/>
  <c r="AI69" i="26"/>
  <c r="AH69" i="26"/>
  <c r="AG69" i="26"/>
  <c r="AF69" i="26"/>
  <c r="AE69" i="26"/>
  <c r="AD69" i="26"/>
  <c r="AC69" i="26"/>
  <c r="AB69" i="26"/>
  <c r="AA69" i="26"/>
  <c r="Z69" i="26"/>
  <c r="Y69" i="26"/>
  <c r="X69" i="26"/>
  <c r="W69" i="26"/>
  <c r="V69" i="26"/>
  <c r="U69" i="26"/>
  <c r="T69" i="26"/>
  <c r="S69" i="26"/>
  <c r="R69" i="26"/>
  <c r="Q69" i="26"/>
  <c r="P69" i="26"/>
  <c r="O69" i="26"/>
  <c r="N69" i="26"/>
  <c r="M69" i="26"/>
  <c r="L69" i="26"/>
  <c r="K69" i="26"/>
  <c r="J69" i="26"/>
  <c r="I69" i="26"/>
  <c r="H69" i="26"/>
  <c r="G69" i="26"/>
  <c r="F69" i="26"/>
  <c r="E69" i="26"/>
  <c r="D69" i="26"/>
  <c r="C69" i="26"/>
  <c r="B69" i="26"/>
  <c r="BC68" i="26"/>
  <c r="BB68" i="26"/>
  <c r="BA68" i="26"/>
  <c r="AZ68" i="26"/>
  <c r="AY68" i="26"/>
  <c r="AX68" i="26"/>
  <c r="AW68" i="26"/>
  <c r="AV68" i="26"/>
  <c r="AU68" i="26"/>
  <c r="AT68" i="26"/>
  <c r="AS68" i="26"/>
  <c r="AR68" i="26"/>
  <c r="AQ68" i="26"/>
  <c r="AP68" i="26"/>
  <c r="AO68" i="26"/>
  <c r="AN68" i="26"/>
  <c r="AM68" i="26"/>
  <c r="AL68" i="26"/>
  <c r="AK68" i="26"/>
  <c r="AJ68" i="26"/>
  <c r="AI68" i="26"/>
  <c r="AH68" i="26"/>
  <c r="AG68" i="26"/>
  <c r="AF68" i="26"/>
  <c r="AE68" i="26"/>
  <c r="AD68" i="26"/>
  <c r="AC68" i="26"/>
  <c r="AB68" i="26"/>
  <c r="AA68" i="26"/>
  <c r="Z68" i="26"/>
  <c r="Y68" i="26"/>
  <c r="X68" i="26"/>
  <c r="W68" i="26"/>
  <c r="V68" i="26"/>
  <c r="U68" i="26"/>
  <c r="T68" i="26"/>
  <c r="S68" i="26"/>
  <c r="R68" i="26"/>
  <c r="Q68" i="26"/>
  <c r="P68" i="26"/>
  <c r="O68" i="26"/>
  <c r="N68" i="26"/>
  <c r="M68" i="26"/>
  <c r="L68" i="26"/>
  <c r="K68" i="26"/>
  <c r="J68" i="26"/>
  <c r="I68" i="26"/>
  <c r="H68" i="26"/>
  <c r="G68" i="26"/>
  <c r="F68" i="26"/>
  <c r="E68" i="26"/>
  <c r="D68" i="26"/>
  <c r="C68" i="26"/>
  <c r="B68" i="26"/>
  <c r="BC67" i="26"/>
  <c r="BB67" i="26"/>
  <c r="BA67" i="26"/>
  <c r="AZ67" i="26"/>
  <c r="AY67" i="26"/>
  <c r="AX67" i="26"/>
  <c r="AW67" i="26"/>
  <c r="AV67" i="26"/>
  <c r="AU67" i="26"/>
  <c r="AT67" i="26"/>
  <c r="AS67" i="26"/>
  <c r="AR67" i="26"/>
  <c r="AQ67" i="26"/>
  <c r="AP67" i="26"/>
  <c r="AO67" i="26"/>
  <c r="AN67" i="26"/>
  <c r="AM67" i="26"/>
  <c r="AL67" i="26"/>
  <c r="AK67" i="26"/>
  <c r="AJ67" i="26"/>
  <c r="AI67" i="26"/>
  <c r="AH67" i="26"/>
  <c r="AG67" i="26"/>
  <c r="AF67" i="26"/>
  <c r="AE67" i="26"/>
  <c r="AD67" i="26"/>
  <c r="AC67" i="26"/>
  <c r="AB67" i="26"/>
  <c r="AA67"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BC66" i="26"/>
  <c r="BB66" i="26"/>
  <c r="BA66" i="26"/>
  <c r="AZ66" i="26"/>
  <c r="AY66" i="26"/>
  <c r="AX66" i="26"/>
  <c r="AW66" i="26"/>
  <c r="AV66" i="26"/>
  <c r="AU66" i="26"/>
  <c r="AT66" i="26"/>
  <c r="AS66" i="26"/>
  <c r="AR66" i="26"/>
  <c r="AQ66" i="26"/>
  <c r="AP66" i="26"/>
  <c r="AO66" i="26"/>
  <c r="AN66" i="26"/>
  <c r="AM66" i="26"/>
  <c r="AL66" i="26"/>
  <c r="AK66" i="26"/>
  <c r="AJ66" i="26"/>
  <c r="AI66" i="26"/>
  <c r="AH66" i="26"/>
  <c r="AG66" i="26"/>
  <c r="AF66" i="26"/>
  <c r="AE66" i="26"/>
  <c r="AD66" i="26"/>
  <c r="AC66" i="26"/>
  <c r="AB66" i="26"/>
  <c r="AA66" i="26"/>
  <c r="Z66" i="26"/>
  <c r="Y66" i="26"/>
  <c r="X66" i="26"/>
  <c r="W66" i="26"/>
  <c r="V66" i="26"/>
  <c r="U66" i="26"/>
  <c r="T66" i="26"/>
  <c r="S66" i="26"/>
  <c r="R66" i="26"/>
  <c r="Q66" i="26"/>
  <c r="P66" i="26"/>
  <c r="O66" i="26"/>
  <c r="N66" i="26"/>
  <c r="M66" i="26"/>
  <c r="L66" i="26"/>
  <c r="K66" i="26"/>
  <c r="J66" i="26"/>
  <c r="I66" i="26"/>
  <c r="H66" i="26"/>
  <c r="G66" i="26"/>
  <c r="F66" i="26"/>
  <c r="E66" i="26"/>
  <c r="D66" i="26"/>
  <c r="C66" i="26"/>
  <c r="B66" i="26"/>
  <c r="BC65" i="26"/>
  <c r="BB65" i="26"/>
  <c r="BA65" i="26"/>
  <c r="AZ65" i="26"/>
  <c r="AY65" i="26"/>
  <c r="AX65" i="26"/>
  <c r="AW65" i="26"/>
  <c r="AV65" i="26"/>
  <c r="AU65" i="26"/>
  <c r="AT65" i="26"/>
  <c r="AS65" i="26"/>
  <c r="AR65" i="26"/>
  <c r="AQ65" i="26"/>
  <c r="AP65" i="26"/>
  <c r="AO65" i="26"/>
  <c r="AN65" i="26"/>
  <c r="AM65" i="26"/>
  <c r="AL65" i="26"/>
  <c r="AK65" i="26"/>
  <c r="AJ65" i="26"/>
  <c r="AI65" i="26"/>
  <c r="AH65" i="26"/>
  <c r="AG65" i="26"/>
  <c r="AF65" i="26"/>
  <c r="AE65" i="26"/>
  <c r="AD65" i="26"/>
  <c r="AC65" i="26"/>
  <c r="AB65" i="26"/>
  <c r="AA65"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BC64" i="26"/>
  <c r="BB64" i="26"/>
  <c r="BA64" i="26"/>
  <c r="AZ64" i="26"/>
  <c r="AY64" i="26"/>
  <c r="AX64" i="26"/>
  <c r="AW64" i="26"/>
  <c r="AV64" i="26"/>
  <c r="AU64" i="26"/>
  <c r="AT64" i="26"/>
  <c r="AS64" i="26"/>
  <c r="AR64" i="26"/>
  <c r="AQ64" i="26"/>
  <c r="AP64" i="26"/>
  <c r="AO64" i="26"/>
  <c r="AN64" i="26"/>
  <c r="AM64" i="26"/>
  <c r="AL64" i="26"/>
  <c r="AK64" i="26"/>
  <c r="AJ64" i="26"/>
  <c r="AI64" i="26"/>
  <c r="AH64" i="26"/>
  <c r="AG64" i="26"/>
  <c r="AF64" i="26"/>
  <c r="AE64" i="26"/>
  <c r="AD64" i="26"/>
  <c r="AC64" i="26"/>
  <c r="AB64" i="26"/>
  <c r="AA64" i="26"/>
  <c r="Z64" i="26"/>
  <c r="Y64" i="26"/>
  <c r="X64" i="26"/>
  <c r="W64" i="26"/>
  <c r="V64" i="26"/>
  <c r="U64" i="26"/>
  <c r="T64" i="26"/>
  <c r="S64" i="26"/>
  <c r="R64" i="26"/>
  <c r="Q64" i="26"/>
  <c r="P64" i="26"/>
  <c r="O64" i="26"/>
  <c r="N64" i="26"/>
  <c r="M64" i="26"/>
  <c r="L64" i="26"/>
  <c r="K64" i="26"/>
  <c r="J64" i="26"/>
  <c r="I64" i="26"/>
  <c r="H64" i="26"/>
  <c r="G64" i="26"/>
  <c r="F64" i="26"/>
  <c r="E64" i="26"/>
  <c r="D64" i="26"/>
  <c r="C64" i="26"/>
  <c r="B64" i="26"/>
  <c r="BC63" i="26"/>
  <c r="BB63" i="26"/>
  <c r="BA63" i="26"/>
  <c r="AZ63" i="26"/>
  <c r="AY63" i="26"/>
  <c r="AX63" i="26"/>
  <c r="AW63" i="26"/>
  <c r="AV63" i="26"/>
  <c r="AU63" i="26"/>
  <c r="AT63" i="26"/>
  <c r="AS63" i="26"/>
  <c r="AR63" i="26"/>
  <c r="AQ63" i="26"/>
  <c r="AP63" i="26"/>
  <c r="AO63" i="26"/>
  <c r="AN63" i="26"/>
  <c r="AM63" i="26"/>
  <c r="AL63" i="26"/>
  <c r="AK63" i="26"/>
  <c r="AJ63" i="26"/>
  <c r="AI63" i="26"/>
  <c r="AH63" i="26"/>
  <c r="AG63" i="26"/>
  <c r="AF63" i="26"/>
  <c r="AE63" i="26"/>
  <c r="AD63" i="26"/>
  <c r="AC63" i="26"/>
  <c r="AB63" i="26"/>
  <c r="AA63" i="26"/>
  <c r="Z63" i="26"/>
  <c r="Y63" i="26"/>
  <c r="X63" i="26"/>
  <c r="W63" i="26"/>
  <c r="V63" i="26"/>
  <c r="U63" i="26"/>
  <c r="T63" i="26"/>
  <c r="S63" i="26"/>
  <c r="R63" i="26"/>
  <c r="Q63" i="26"/>
  <c r="P63" i="26"/>
  <c r="O63" i="26"/>
  <c r="N63" i="26"/>
  <c r="M63" i="26"/>
  <c r="L63" i="26"/>
  <c r="K63" i="26"/>
  <c r="J63" i="26"/>
  <c r="I63" i="26"/>
  <c r="H63" i="26"/>
  <c r="G63" i="26"/>
  <c r="F63" i="26"/>
  <c r="E63" i="26"/>
  <c r="D63" i="26"/>
  <c r="C63" i="26"/>
  <c r="B63" i="26"/>
  <c r="BC62" i="26"/>
  <c r="BB62" i="26"/>
  <c r="BA62" i="26"/>
  <c r="AZ62" i="26"/>
  <c r="AY62" i="26"/>
  <c r="AX62" i="26"/>
  <c r="AW62" i="26"/>
  <c r="AV62" i="26"/>
  <c r="AU62" i="26"/>
  <c r="AT62" i="26"/>
  <c r="AS62" i="26"/>
  <c r="AR62" i="26"/>
  <c r="AQ62" i="26"/>
  <c r="AP62" i="26"/>
  <c r="AO62" i="26"/>
  <c r="AN62" i="26"/>
  <c r="AM62" i="26"/>
  <c r="AL62" i="26"/>
  <c r="AK62" i="26"/>
  <c r="AJ62" i="26"/>
  <c r="AI62" i="26"/>
  <c r="AH62" i="26"/>
  <c r="AG62" i="26"/>
  <c r="AF62" i="26"/>
  <c r="AE62" i="26"/>
  <c r="AD62" i="26"/>
  <c r="AC62" i="26"/>
  <c r="AB62" i="26"/>
  <c r="AA62"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BC61" i="26"/>
  <c r="BB61" i="26"/>
  <c r="BA61" i="26"/>
  <c r="AZ61" i="26"/>
  <c r="AY61" i="26"/>
  <c r="AX61" i="26"/>
  <c r="AW61" i="26"/>
  <c r="AV61" i="26"/>
  <c r="AU61" i="26"/>
  <c r="AT61" i="26"/>
  <c r="AS61" i="26"/>
  <c r="AR61" i="26"/>
  <c r="AQ61" i="26"/>
  <c r="AP61" i="26"/>
  <c r="AO61" i="26"/>
  <c r="AN61" i="26"/>
  <c r="AM61" i="26"/>
  <c r="AL61" i="26"/>
  <c r="AK61" i="26"/>
  <c r="AJ61" i="26"/>
  <c r="AI61" i="26"/>
  <c r="AH61" i="26"/>
  <c r="AG61" i="26"/>
  <c r="AF61" i="26"/>
  <c r="AE61" i="26"/>
  <c r="AD61" i="26"/>
  <c r="AC61" i="26"/>
  <c r="AB61" i="26"/>
  <c r="AA61" i="26"/>
  <c r="Z61" i="26"/>
  <c r="Y61" i="26"/>
  <c r="X61" i="26"/>
  <c r="W61" i="26"/>
  <c r="V61" i="26"/>
  <c r="U61" i="26"/>
  <c r="T61" i="26"/>
  <c r="S61" i="26"/>
  <c r="R61" i="26"/>
  <c r="Q61" i="26"/>
  <c r="P61" i="26"/>
  <c r="O61" i="26"/>
  <c r="N61" i="26"/>
  <c r="M61" i="26"/>
  <c r="L61" i="26"/>
  <c r="K61" i="26"/>
  <c r="J61" i="26"/>
  <c r="I61" i="26"/>
  <c r="H61" i="26"/>
  <c r="G61" i="26"/>
  <c r="F61" i="26"/>
  <c r="E61" i="26"/>
  <c r="D61" i="26"/>
  <c r="C61" i="26"/>
  <c r="B61" i="26"/>
  <c r="BC60" i="26"/>
  <c r="BB60" i="26"/>
  <c r="BA60" i="26"/>
  <c r="AZ60" i="26"/>
  <c r="AY60" i="26"/>
  <c r="AX60" i="26"/>
  <c r="AW60" i="26"/>
  <c r="AV60" i="26"/>
  <c r="AU60" i="26"/>
  <c r="AT60" i="26"/>
  <c r="AS60" i="26"/>
  <c r="AR60" i="26"/>
  <c r="AQ60" i="26"/>
  <c r="AP60" i="26"/>
  <c r="AO60" i="26"/>
  <c r="AN60" i="26"/>
  <c r="AM60" i="26"/>
  <c r="AL60" i="26"/>
  <c r="AK60" i="26"/>
  <c r="AJ60" i="26"/>
  <c r="AI60" i="26"/>
  <c r="AH60" i="26"/>
  <c r="AG60" i="26"/>
  <c r="AF60" i="26"/>
  <c r="AE60" i="26"/>
  <c r="AD60" i="26"/>
  <c r="AC60" i="26"/>
  <c r="AB60" i="26"/>
  <c r="AA60"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BC59" i="26"/>
  <c r="BB59" i="26"/>
  <c r="BA59" i="26"/>
  <c r="AZ59" i="26"/>
  <c r="AY59" i="26"/>
  <c r="AX59" i="26"/>
  <c r="AW59" i="26"/>
  <c r="AV59" i="26"/>
  <c r="AU59" i="26"/>
  <c r="AT59" i="26"/>
  <c r="AS59" i="26"/>
  <c r="AR59" i="26"/>
  <c r="AQ59" i="26"/>
  <c r="AP59" i="26"/>
  <c r="AO59" i="26"/>
  <c r="AN59" i="26"/>
  <c r="AM59" i="26"/>
  <c r="AL59" i="26"/>
  <c r="AK59" i="26"/>
  <c r="AJ59" i="26"/>
  <c r="AI59" i="26"/>
  <c r="AH59" i="26"/>
  <c r="AG59" i="26"/>
  <c r="AF59" i="26"/>
  <c r="AE59" i="26"/>
  <c r="AD59" i="26"/>
  <c r="AC59" i="26"/>
  <c r="AB59" i="26"/>
  <c r="AA59"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BC58" i="26"/>
  <c r="BB58" i="26"/>
  <c r="BA58" i="26"/>
  <c r="AZ58" i="26"/>
  <c r="AY58" i="26"/>
  <c r="AX58" i="26"/>
  <c r="AW58" i="26"/>
  <c r="AV58" i="26"/>
  <c r="AU58" i="26"/>
  <c r="AT58" i="26"/>
  <c r="AS58" i="26"/>
  <c r="AR58" i="26"/>
  <c r="AQ58" i="26"/>
  <c r="AP58" i="26"/>
  <c r="AO58" i="26"/>
  <c r="AN58" i="26"/>
  <c r="AM58" i="26"/>
  <c r="AL58" i="26"/>
  <c r="AK58" i="26"/>
  <c r="AJ58" i="26"/>
  <c r="AI58" i="26"/>
  <c r="AH58" i="26"/>
  <c r="AG58" i="26"/>
  <c r="AF58" i="26"/>
  <c r="AE58" i="26"/>
  <c r="AD58" i="26"/>
  <c r="AC58" i="26"/>
  <c r="AB58" i="26"/>
  <c r="AA58" i="26"/>
  <c r="Z58" i="26"/>
  <c r="Y58" i="26"/>
  <c r="X58" i="26"/>
  <c r="W58" i="26"/>
  <c r="V58" i="26"/>
  <c r="U58" i="26"/>
  <c r="T58" i="26"/>
  <c r="S58" i="26"/>
  <c r="R58" i="26"/>
  <c r="Q58" i="26"/>
  <c r="P58" i="26"/>
  <c r="O58" i="26"/>
  <c r="N58" i="26"/>
  <c r="M58" i="26"/>
  <c r="L58" i="26"/>
  <c r="K58" i="26"/>
  <c r="J58" i="26"/>
  <c r="I58" i="26"/>
  <c r="H58" i="26"/>
  <c r="G58" i="26"/>
  <c r="F58" i="26"/>
  <c r="E58" i="26"/>
  <c r="D58" i="26"/>
  <c r="C58" i="26"/>
  <c r="B58" i="26"/>
  <c r="BC57" i="26"/>
  <c r="BB57" i="26"/>
  <c r="BA57" i="26"/>
  <c r="AZ57" i="26"/>
  <c r="AY57" i="26"/>
  <c r="AX57" i="26"/>
  <c r="AW57" i="26"/>
  <c r="AV57" i="26"/>
  <c r="AU57" i="26"/>
  <c r="AT57" i="26"/>
  <c r="AS57" i="26"/>
  <c r="AR57" i="26"/>
  <c r="AQ57" i="26"/>
  <c r="AP57" i="26"/>
  <c r="AO57" i="26"/>
  <c r="AN57" i="26"/>
  <c r="AM57" i="26"/>
  <c r="AL57" i="26"/>
  <c r="AK57" i="26"/>
  <c r="AJ57" i="26"/>
  <c r="AI57" i="26"/>
  <c r="AH57" i="26"/>
  <c r="AG57" i="26"/>
  <c r="AF57" i="26"/>
  <c r="AE57" i="26"/>
  <c r="AD57" i="26"/>
  <c r="AC57" i="26"/>
  <c r="AB57" i="26"/>
  <c r="AA57"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BC56" i="26"/>
  <c r="BB56" i="26"/>
  <c r="BA56" i="26"/>
  <c r="AZ56" i="26"/>
  <c r="AY56" i="26"/>
  <c r="AX56" i="26"/>
  <c r="AW56" i="26"/>
  <c r="AV56" i="26"/>
  <c r="AU56" i="26"/>
  <c r="AT56" i="26"/>
  <c r="AS56" i="26"/>
  <c r="AR56" i="26"/>
  <c r="AQ56" i="26"/>
  <c r="AP56" i="26"/>
  <c r="AO56" i="26"/>
  <c r="AN56" i="26"/>
  <c r="AM56" i="26"/>
  <c r="AL56" i="26"/>
  <c r="AK56" i="26"/>
  <c r="AJ56" i="26"/>
  <c r="AI56" i="26"/>
  <c r="AH56" i="26"/>
  <c r="AG56" i="26"/>
  <c r="AF56" i="26"/>
  <c r="AE56" i="26"/>
  <c r="AD56" i="26"/>
  <c r="AC56" i="26"/>
  <c r="AB56" i="26"/>
  <c r="AA56" i="26"/>
  <c r="Z56" i="26"/>
  <c r="Y56" i="26"/>
  <c r="X56" i="26"/>
  <c r="W56" i="26"/>
  <c r="V56" i="26"/>
  <c r="U56" i="26"/>
  <c r="T56" i="26"/>
  <c r="S56" i="26"/>
  <c r="R56" i="26"/>
  <c r="Q56" i="26"/>
  <c r="P56" i="26"/>
  <c r="O56" i="26"/>
  <c r="N56" i="26"/>
  <c r="M56" i="26"/>
  <c r="L56" i="26"/>
  <c r="K56" i="26"/>
  <c r="J56" i="26"/>
  <c r="I56" i="26"/>
  <c r="H56" i="26"/>
  <c r="G56" i="26"/>
  <c r="F56" i="26"/>
  <c r="E56" i="26"/>
  <c r="D56" i="26"/>
  <c r="C56" i="26"/>
  <c r="B56" i="26"/>
  <c r="BC55" i="26"/>
  <c r="BB55" i="26"/>
  <c r="BA55" i="26"/>
  <c r="AZ55" i="26"/>
  <c r="AY55" i="26"/>
  <c r="AX55" i="26"/>
  <c r="AW55" i="26"/>
  <c r="AV55" i="26"/>
  <c r="AU55" i="26"/>
  <c r="AT55" i="26"/>
  <c r="AS55" i="26"/>
  <c r="AR55" i="26"/>
  <c r="AQ55" i="26"/>
  <c r="AP55" i="26"/>
  <c r="AO55" i="26"/>
  <c r="AN55" i="26"/>
  <c r="AM55" i="26"/>
  <c r="AL55" i="26"/>
  <c r="AK55" i="26"/>
  <c r="AJ55" i="26"/>
  <c r="AI55" i="26"/>
  <c r="AH55" i="26"/>
  <c r="AG55" i="26"/>
  <c r="AF55" i="26"/>
  <c r="AE55" i="26"/>
  <c r="AD55" i="26"/>
  <c r="AC55" i="26"/>
  <c r="AB55" i="26"/>
  <c r="AA55" i="26"/>
  <c r="Z55" i="26"/>
  <c r="Y55" i="26"/>
  <c r="X55" i="26"/>
  <c r="W55" i="26"/>
  <c r="V55" i="26"/>
  <c r="U55" i="26"/>
  <c r="T55" i="26"/>
  <c r="S55" i="26"/>
  <c r="R55" i="26"/>
  <c r="Q55" i="26"/>
  <c r="P55" i="26"/>
  <c r="O55" i="26"/>
  <c r="N55" i="26"/>
  <c r="M55" i="26"/>
  <c r="L55" i="26"/>
  <c r="K55" i="26"/>
  <c r="J55" i="26"/>
  <c r="I55" i="26"/>
  <c r="H55" i="26"/>
  <c r="G55" i="26"/>
  <c r="F55" i="26"/>
  <c r="E55" i="26"/>
  <c r="D55" i="26"/>
  <c r="C55" i="26"/>
  <c r="B55" i="26"/>
  <c r="BC54" i="26"/>
  <c r="BB54" i="26"/>
  <c r="BA54" i="26"/>
  <c r="AZ54" i="26"/>
  <c r="AY54" i="26"/>
  <c r="AX54" i="26"/>
  <c r="AW54" i="26"/>
  <c r="AV54" i="26"/>
  <c r="AU54" i="26"/>
  <c r="AT54" i="26"/>
  <c r="AS54" i="26"/>
  <c r="AR54" i="26"/>
  <c r="AQ54" i="26"/>
  <c r="AP54" i="26"/>
  <c r="AO54" i="26"/>
  <c r="AN54" i="26"/>
  <c r="AM54" i="26"/>
  <c r="AL54" i="26"/>
  <c r="AK54" i="26"/>
  <c r="AJ54" i="26"/>
  <c r="AI54" i="26"/>
  <c r="AH54" i="26"/>
  <c r="AG54" i="26"/>
  <c r="AF54" i="26"/>
  <c r="AE54" i="26"/>
  <c r="AD54" i="26"/>
  <c r="AC54" i="26"/>
  <c r="AB54" i="26"/>
  <c r="AA54"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BC53" i="26"/>
  <c r="BB53" i="26"/>
  <c r="BA53" i="26"/>
  <c r="AZ53" i="26"/>
  <c r="AY53" i="26"/>
  <c r="AX53" i="26"/>
  <c r="AW53" i="26"/>
  <c r="AV53" i="26"/>
  <c r="AU53" i="26"/>
  <c r="AT53" i="26"/>
  <c r="AS53" i="26"/>
  <c r="AR53" i="26"/>
  <c r="AQ53" i="26"/>
  <c r="AP53" i="26"/>
  <c r="AO53" i="26"/>
  <c r="AN53" i="26"/>
  <c r="AM53" i="26"/>
  <c r="AL53" i="26"/>
  <c r="AK53" i="26"/>
  <c r="AJ53" i="26"/>
  <c r="AI53" i="26"/>
  <c r="AH53" i="26"/>
  <c r="AG53" i="26"/>
  <c r="AF53" i="26"/>
  <c r="AE53" i="26"/>
  <c r="AD53" i="26"/>
  <c r="AC53" i="26"/>
  <c r="AB53" i="26"/>
  <c r="AA53" i="26"/>
  <c r="Z53" i="26"/>
  <c r="Y53" i="26"/>
  <c r="X53" i="26"/>
  <c r="W53" i="26"/>
  <c r="V53" i="26"/>
  <c r="U53" i="26"/>
  <c r="T53" i="26"/>
  <c r="S53" i="26"/>
  <c r="R53" i="26"/>
  <c r="Q53" i="26"/>
  <c r="P53" i="26"/>
  <c r="O53" i="26"/>
  <c r="N53" i="26"/>
  <c r="M53" i="26"/>
  <c r="L53" i="26"/>
  <c r="K53" i="26"/>
  <c r="J53" i="26"/>
  <c r="I53" i="26"/>
  <c r="H53" i="26"/>
  <c r="G53" i="26"/>
  <c r="F53" i="26"/>
  <c r="E53" i="26"/>
  <c r="D53" i="26"/>
  <c r="C53" i="26"/>
  <c r="B53" i="26"/>
  <c r="BC52" i="26"/>
  <c r="BB52" i="26"/>
  <c r="BA52" i="26"/>
  <c r="AZ52" i="26"/>
  <c r="AY52" i="26"/>
  <c r="AX52" i="26"/>
  <c r="AW52" i="26"/>
  <c r="AV52" i="26"/>
  <c r="AU52" i="26"/>
  <c r="AT52" i="26"/>
  <c r="AS52" i="26"/>
  <c r="AR52" i="26"/>
  <c r="AQ52" i="26"/>
  <c r="AP52" i="26"/>
  <c r="AO52" i="26"/>
  <c r="AN52" i="26"/>
  <c r="AM52" i="26"/>
  <c r="AL52" i="26"/>
  <c r="AK52" i="26"/>
  <c r="AJ52" i="26"/>
  <c r="AI52" i="26"/>
  <c r="AH52" i="26"/>
  <c r="AG52" i="26"/>
  <c r="AF52" i="26"/>
  <c r="AE52" i="26"/>
  <c r="AD52" i="26"/>
  <c r="AC52" i="26"/>
  <c r="AB52" i="26"/>
  <c r="AA52" i="26"/>
  <c r="Z52" i="26"/>
  <c r="Y52" i="26"/>
  <c r="X52" i="26"/>
  <c r="W52" i="26"/>
  <c r="V52" i="26"/>
  <c r="U52" i="26"/>
  <c r="T52" i="26"/>
  <c r="S52" i="26"/>
  <c r="R52" i="26"/>
  <c r="Q52" i="26"/>
  <c r="P52" i="26"/>
  <c r="O52" i="26"/>
  <c r="N52" i="26"/>
  <c r="M52" i="26"/>
  <c r="L52" i="26"/>
  <c r="K52" i="26"/>
  <c r="J52" i="26"/>
  <c r="I52" i="26"/>
  <c r="H52" i="26"/>
  <c r="G52" i="26"/>
  <c r="F52" i="26"/>
  <c r="E52" i="26"/>
  <c r="D52" i="26"/>
  <c r="C52" i="26"/>
  <c r="B52" i="26"/>
  <c r="BC51" i="26"/>
  <c r="BB51" i="26"/>
  <c r="BA51" i="26"/>
  <c r="AZ51" i="26"/>
  <c r="AY51" i="26"/>
  <c r="AX51" i="26"/>
  <c r="AW51" i="26"/>
  <c r="AV51" i="26"/>
  <c r="AU51" i="26"/>
  <c r="AT51" i="26"/>
  <c r="AS51" i="26"/>
  <c r="AR51" i="26"/>
  <c r="AQ51" i="26"/>
  <c r="AP51" i="26"/>
  <c r="AO51" i="26"/>
  <c r="AN51" i="26"/>
  <c r="AM51" i="26"/>
  <c r="AL51" i="26"/>
  <c r="AK51" i="26"/>
  <c r="AJ51" i="26"/>
  <c r="AI51" i="26"/>
  <c r="AH51" i="26"/>
  <c r="AG51" i="26"/>
  <c r="AF51" i="26"/>
  <c r="AE51" i="26"/>
  <c r="AD51" i="26"/>
  <c r="AC51" i="26"/>
  <c r="AB51" i="26"/>
  <c r="AA51"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BC50" i="26"/>
  <c r="BB50" i="26"/>
  <c r="BA50" i="26"/>
  <c r="AZ50" i="26"/>
  <c r="AY50" i="26"/>
  <c r="AX50" i="26"/>
  <c r="AW50" i="26"/>
  <c r="AV50" i="26"/>
  <c r="AU50" i="26"/>
  <c r="AT50" i="26"/>
  <c r="AS50" i="26"/>
  <c r="AR50" i="26"/>
  <c r="AQ50" i="26"/>
  <c r="AP50" i="26"/>
  <c r="AO50" i="26"/>
  <c r="AN50" i="26"/>
  <c r="AM50" i="26"/>
  <c r="AL50" i="26"/>
  <c r="AK50" i="26"/>
  <c r="AJ50" i="26"/>
  <c r="AI50" i="26"/>
  <c r="AH50" i="26"/>
  <c r="AG50" i="26"/>
  <c r="AF50" i="26"/>
  <c r="AE50" i="26"/>
  <c r="AD50" i="26"/>
  <c r="AC50" i="26"/>
  <c r="AB50" i="26"/>
  <c r="AA50" i="26"/>
  <c r="Z50" i="26"/>
  <c r="Y50" i="26"/>
  <c r="X50" i="26"/>
  <c r="W50" i="26"/>
  <c r="V50" i="26"/>
  <c r="U50" i="26"/>
  <c r="T50" i="26"/>
  <c r="S50" i="26"/>
  <c r="R50" i="26"/>
  <c r="Q50" i="26"/>
  <c r="P50" i="26"/>
  <c r="O50" i="26"/>
  <c r="N50" i="26"/>
  <c r="M50" i="26"/>
  <c r="L50" i="26"/>
  <c r="K50" i="26"/>
  <c r="J50" i="26"/>
  <c r="I50" i="26"/>
  <c r="H50" i="26"/>
  <c r="G50" i="26"/>
  <c r="F50" i="26"/>
  <c r="E50" i="26"/>
  <c r="D50" i="26"/>
  <c r="C50" i="26"/>
  <c r="B50" i="26"/>
  <c r="BC49" i="26"/>
  <c r="BB49" i="26"/>
  <c r="BA49" i="26"/>
  <c r="AZ49" i="26"/>
  <c r="AY49" i="26"/>
  <c r="AX49" i="26"/>
  <c r="AW49" i="26"/>
  <c r="AV49" i="26"/>
  <c r="AU49" i="26"/>
  <c r="AT49" i="26"/>
  <c r="AS49" i="26"/>
  <c r="AR49" i="26"/>
  <c r="AQ49" i="26"/>
  <c r="AP49" i="26"/>
  <c r="AO49" i="26"/>
  <c r="AN49" i="26"/>
  <c r="AM49" i="26"/>
  <c r="AL49" i="26"/>
  <c r="AK49" i="26"/>
  <c r="AJ49" i="26"/>
  <c r="AI49" i="26"/>
  <c r="AH49" i="26"/>
  <c r="AG49" i="26"/>
  <c r="AF49" i="26"/>
  <c r="AE49" i="26"/>
  <c r="AD49" i="26"/>
  <c r="AC49" i="26"/>
  <c r="AB49" i="26"/>
  <c r="AA49" i="26"/>
  <c r="Z49" i="26"/>
  <c r="Y49" i="26"/>
  <c r="X49" i="26"/>
  <c r="W49" i="26"/>
  <c r="V49" i="26"/>
  <c r="U49" i="26"/>
  <c r="T49" i="26"/>
  <c r="S49" i="26"/>
  <c r="R49" i="26"/>
  <c r="Q49" i="26"/>
  <c r="P49" i="26"/>
  <c r="O49" i="26"/>
  <c r="N49" i="26"/>
  <c r="M49" i="26"/>
  <c r="L49" i="26"/>
  <c r="K49" i="26"/>
  <c r="J49" i="26"/>
  <c r="I49" i="26"/>
  <c r="H49" i="26"/>
  <c r="G49" i="26"/>
  <c r="F49" i="26"/>
  <c r="E49" i="26"/>
  <c r="D49" i="26"/>
  <c r="C49" i="26"/>
  <c r="B49" i="26"/>
  <c r="BC48" i="26"/>
  <c r="BB48" i="26"/>
  <c r="BA48" i="26"/>
  <c r="AZ48" i="26"/>
  <c r="AY48" i="26"/>
  <c r="AX48" i="26"/>
  <c r="AW48" i="26"/>
  <c r="AV48" i="26"/>
  <c r="AU48" i="26"/>
  <c r="AT48" i="26"/>
  <c r="AS48" i="26"/>
  <c r="AR48" i="26"/>
  <c r="AQ48" i="26"/>
  <c r="AP48" i="26"/>
  <c r="AO48" i="26"/>
  <c r="AN48" i="26"/>
  <c r="AM48" i="26"/>
  <c r="AL48" i="26"/>
  <c r="AK48" i="26"/>
  <c r="AJ48" i="26"/>
  <c r="AI48" i="26"/>
  <c r="AH48" i="26"/>
  <c r="AG48" i="26"/>
  <c r="AF48" i="26"/>
  <c r="AE48" i="26"/>
  <c r="AD48" i="26"/>
  <c r="AC48" i="26"/>
  <c r="AB48" i="26"/>
  <c r="AA48" i="26"/>
  <c r="Z48" i="26"/>
  <c r="Y48" i="26"/>
  <c r="X48" i="26"/>
  <c r="W48" i="26"/>
  <c r="V48" i="26"/>
  <c r="U48" i="26"/>
  <c r="T48" i="26"/>
  <c r="S48" i="26"/>
  <c r="R48" i="26"/>
  <c r="Q48" i="26"/>
  <c r="P48" i="26"/>
  <c r="O48" i="26"/>
  <c r="N48" i="26"/>
  <c r="M48" i="26"/>
  <c r="L48" i="26"/>
  <c r="K48" i="26"/>
  <c r="J48" i="26"/>
  <c r="I48" i="26"/>
  <c r="H48" i="26"/>
  <c r="G48" i="26"/>
  <c r="F48" i="26"/>
  <c r="E48" i="26"/>
  <c r="D48" i="26"/>
  <c r="C48" i="26"/>
  <c r="B48" i="26"/>
  <c r="BC47" i="26"/>
  <c r="BB47" i="26"/>
  <c r="BA47" i="26"/>
  <c r="AZ47" i="26"/>
  <c r="AY47" i="26"/>
  <c r="AX47" i="26"/>
  <c r="AW47" i="26"/>
  <c r="AV47" i="26"/>
  <c r="AU47" i="26"/>
  <c r="AT47" i="26"/>
  <c r="AS47" i="26"/>
  <c r="AR47" i="26"/>
  <c r="AQ47" i="26"/>
  <c r="AP47" i="26"/>
  <c r="AO47" i="26"/>
  <c r="AN47" i="26"/>
  <c r="AM47" i="26"/>
  <c r="AL47" i="26"/>
  <c r="AK47" i="26"/>
  <c r="AJ47" i="26"/>
  <c r="AI47" i="26"/>
  <c r="AH47" i="26"/>
  <c r="AG47" i="26"/>
  <c r="AF47" i="26"/>
  <c r="AE47" i="26"/>
  <c r="AD47" i="26"/>
  <c r="AC47" i="26"/>
  <c r="AB47" i="26"/>
  <c r="AA47" i="26"/>
  <c r="Z47" i="26"/>
  <c r="Y47" i="26"/>
  <c r="X47" i="26"/>
  <c r="W47" i="26"/>
  <c r="V47" i="26"/>
  <c r="U47" i="26"/>
  <c r="T47" i="26"/>
  <c r="S47" i="26"/>
  <c r="R47" i="26"/>
  <c r="Q47" i="26"/>
  <c r="P47" i="26"/>
  <c r="O47" i="26"/>
  <c r="N47" i="26"/>
  <c r="M47" i="26"/>
  <c r="L47" i="26"/>
  <c r="K47" i="26"/>
  <c r="J47" i="26"/>
  <c r="I47" i="26"/>
  <c r="H47" i="26"/>
  <c r="G47" i="26"/>
  <c r="F47" i="26"/>
  <c r="E47" i="26"/>
  <c r="D47" i="26"/>
  <c r="C47" i="26"/>
  <c r="B47" i="26"/>
  <c r="BC46" i="26"/>
  <c r="BB46" i="26"/>
  <c r="BA46" i="26"/>
  <c r="AZ46" i="26"/>
  <c r="AY46" i="26"/>
  <c r="AX46" i="26"/>
  <c r="AW46" i="26"/>
  <c r="AV46" i="26"/>
  <c r="AU46" i="26"/>
  <c r="AT46" i="26"/>
  <c r="AS46" i="26"/>
  <c r="AR46" i="26"/>
  <c r="AQ46" i="26"/>
  <c r="AP46" i="26"/>
  <c r="AO46" i="26"/>
  <c r="AN46" i="26"/>
  <c r="AM46" i="26"/>
  <c r="AL46" i="26"/>
  <c r="AK46" i="26"/>
  <c r="AJ46" i="26"/>
  <c r="AI46" i="26"/>
  <c r="AH46" i="26"/>
  <c r="AG46" i="26"/>
  <c r="AF46" i="26"/>
  <c r="AE46" i="26"/>
  <c r="AD46" i="26"/>
  <c r="AC46" i="26"/>
  <c r="AB46" i="26"/>
  <c r="AA46" i="26"/>
  <c r="Z46" i="26"/>
  <c r="Y46" i="26"/>
  <c r="X46" i="26"/>
  <c r="W46" i="26"/>
  <c r="V46" i="26"/>
  <c r="U46" i="26"/>
  <c r="T46" i="26"/>
  <c r="S46" i="26"/>
  <c r="R46" i="26"/>
  <c r="Q46" i="26"/>
  <c r="P46" i="26"/>
  <c r="O46" i="26"/>
  <c r="N46" i="26"/>
  <c r="M46" i="26"/>
  <c r="L46" i="26"/>
  <c r="K46" i="26"/>
  <c r="J46" i="26"/>
  <c r="I46" i="26"/>
  <c r="H46" i="26"/>
  <c r="G46" i="26"/>
  <c r="F46" i="26"/>
  <c r="E46" i="26"/>
  <c r="D46" i="26"/>
  <c r="C46" i="26"/>
  <c r="B46" i="26"/>
  <c r="BC45" i="26"/>
  <c r="BB45" i="26"/>
  <c r="BA45" i="26"/>
  <c r="AZ45" i="26"/>
  <c r="AY45" i="26"/>
  <c r="AX45" i="26"/>
  <c r="AW45" i="26"/>
  <c r="AV45" i="26"/>
  <c r="AU45" i="26"/>
  <c r="AT45" i="26"/>
  <c r="AS45" i="26"/>
  <c r="AR45" i="26"/>
  <c r="AQ45" i="26"/>
  <c r="AP45" i="26"/>
  <c r="AO45" i="26"/>
  <c r="AN45" i="26"/>
  <c r="AM45" i="26"/>
  <c r="AL45" i="26"/>
  <c r="AK45" i="26"/>
  <c r="AJ45" i="26"/>
  <c r="AI45" i="26"/>
  <c r="AH45" i="26"/>
  <c r="AG45" i="26"/>
  <c r="AF45" i="26"/>
  <c r="AE45" i="26"/>
  <c r="AD45" i="26"/>
  <c r="AC45" i="26"/>
  <c r="AB45" i="26"/>
  <c r="AA45" i="26"/>
  <c r="Z45" i="26"/>
  <c r="Y45" i="26"/>
  <c r="X45" i="26"/>
  <c r="W45" i="26"/>
  <c r="V45" i="26"/>
  <c r="U45" i="26"/>
  <c r="T45" i="26"/>
  <c r="S45" i="26"/>
  <c r="R45" i="26"/>
  <c r="Q45" i="26"/>
  <c r="P45" i="26"/>
  <c r="O45" i="26"/>
  <c r="N45" i="26"/>
  <c r="M45" i="26"/>
  <c r="L45" i="26"/>
  <c r="K45" i="26"/>
  <c r="J45" i="26"/>
  <c r="I45" i="26"/>
  <c r="H45" i="26"/>
  <c r="G45" i="26"/>
  <c r="F45" i="26"/>
  <c r="E45" i="26"/>
  <c r="D45" i="26"/>
  <c r="C45" i="26"/>
  <c r="B45" i="26"/>
  <c r="BC44" i="26"/>
  <c r="BB44" i="26"/>
  <c r="BA44" i="26"/>
  <c r="AZ44" i="26"/>
  <c r="AY44" i="26"/>
  <c r="AX44" i="26"/>
  <c r="AW44" i="26"/>
  <c r="AV44" i="26"/>
  <c r="AU44" i="26"/>
  <c r="AT44" i="26"/>
  <c r="AS44" i="26"/>
  <c r="AR44" i="26"/>
  <c r="AQ44" i="26"/>
  <c r="AP44" i="26"/>
  <c r="AO44" i="26"/>
  <c r="AN44" i="26"/>
  <c r="AM44" i="26"/>
  <c r="AL44" i="26"/>
  <c r="AK44" i="26"/>
  <c r="AJ44" i="26"/>
  <c r="AI44" i="26"/>
  <c r="AH44" i="26"/>
  <c r="AG44" i="26"/>
  <c r="AF44" i="26"/>
  <c r="AE44" i="26"/>
  <c r="AD44" i="26"/>
  <c r="AC44" i="26"/>
  <c r="AB44" i="26"/>
  <c r="AA44" i="26"/>
  <c r="Z44" i="26"/>
  <c r="Y44" i="26"/>
  <c r="X44" i="26"/>
  <c r="W44" i="26"/>
  <c r="V44" i="26"/>
  <c r="U44" i="26"/>
  <c r="T44" i="26"/>
  <c r="S44" i="26"/>
  <c r="R44" i="26"/>
  <c r="Q44" i="26"/>
  <c r="P44" i="26"/>
  <c r="O44" i="26"/>
  <c r="N44" i="26"/>
  <c r="M44" i="26"/>
  <c r="L44" i="26"/>
  <c r="K44" i="26"/>
  <c r="J44" i="26"/>
  <c r="I44" i="26"/>
  <c r="H44" i="26"/>
  <c r="G44" i="26"/>
  <c r="F44" i="26"/>
  <c r="E44" i="26"/>
  <c r="D44" i="26"/>
  <c r="C44" i="26"/>
  <c r="B44" i="26"/>
  <c r="BC43" i="26"/>
  <c r="BB43" i="26"/>
  <c r="BA43" i="26"/>
  <c r="AZ43" i="26"/>
  <c r="AY43" i="26"/>
  <c r="AX43" i="26"/>
  <c r="AW43" i="26"/>
  <c r="AV43" i="26"/>
  <c r="AU43" i="26"/>
  <c r="AT43" i="26"/>
  <c r="AS43" i="26"/>
  <c r="AR43" i="26"/>
  <c r="AQ43" i="26"/>
  <c r="AP43" i="26"/>
  <c r="AO43" i="26"/>
  <c r="AN43" i="26"/>
  <c r="AM43" i="26"/>
  <c r="AL43" i="26"/>
  <c r="AK43" i="26"/>
  <c r="AJ43" i="26"/>
  <c r="AI43" i="26"/>
  <c r="AH43" i="26"/>
  <c r="AG43" i="26"/>
  <c r="AF43" i="26"/>
  <c r="AE43" i="26"/>
  <c r="AD43" i="26"/>
  <c r="AC43" i="26"/>
  <c r="AB43" i="26"/>
  <c r="AA43" i="26"/>
  <c r="Z43" i="26"/>
  <c r="Y43" i="26"/>
  <c r="X43" i="26"/>
  <c r="W43" i="26"/>
  <c r="V43" i="26"/>
  <c r="U43" i="26"/>
  <c r="T43" i="26"/>
  <c r="S43" i="26"/>
  <c r="R43" i="26"/>
  <c r="Q43" i="26"/>
  <c r="P43" i="26"/>
  <c r="O43" i="26"/>
  <c r="N43" i="26"/>
  <c r="M43" i="26"/>
  <c r="L43" i="26"/>
  <c r="K43" i="26"/>
  <c r="J43" i="26"/>
  <c r="I43" i="26"/>
  <c r="H43" i="26"/>
  <c r="G43" i="26"/>
  <c r="F43" i="26"/>
  <c r="E43" i="26"/>
  <c r="D43" i="26"/>
  <c r="C43" i="26"/>
  <c r="B43" i="26"/>
  <c r="BC42" i="26"/>
  <c r="BB42" i="26"/>
  <c r="BA42" i="26"/>
  <c r="AZ42" i="26"/>
  <c r="AY42" i="26"/>
  <c r="AX42" i="26"/>
  <c r="AW42" i="26"/>
  <c r="AV42" i="26"/>
  <c r="AU42" i="26"/>
  <c r="AT42" i="26"/>
  <c r="AS42" i="26"/>
  <c r="AR42" i="26"/>
  <c r="AQ42" i="26"/>
  <c r="AP42" i="26"/>
  <c r="AO42" i="26"/>
  <c r="AN42" i="26"/>
  <c r="AM42" i="26"/>
  <c r="AL42" i="26"/>
  <c r="AK42" i="26"/>
  <c r="AJ42" i="26"/>
  <c r="AI42" i="26"/>
  <c r="AH42" i="26"/>
  <c r="AG42" i="26"/>
  <c r="AF42" i="26"/>
  <c r="AE42" i="26"/>
  <c r="AD42" i="26"/>
  <c r="AC42" i="26"/>
  <c r="AB42" i="26"/>
  <c r="AA42" i="26"/>
  <c r="Z42" i="26"/>
  <c r="Y42" i="26"/>
  <c r="X42" i="26"/>
  <c r="W42" i="26"/>
  <c r="V42" i="26"/>
  <c r="U42" i="26"/>
  <c r="T42" i="26"/>
  <c r="S42" i="26"/>
  <c r="R42" i="26"/>
  <c r="Q42" i="26"/>
  <c r="P42" i="26"/>
  <c r="O42" i="26"/>
  <c r="N42" i="26"/>
  <c r="M42" i="26"/>
  <c r="L42" i="26"/>
  <c r="K42" i="26"/>
  <c r="J42" i="26"/>
  <c r="I42" i="26"/>
  <c r="H42" i="26"/>
  <c r="G42" i="26"/>
  <c r="F42" i="26"/>
  <c r="E42" i="26"/>
  <c r="D42" i="26"/>
  <c r="C42" i="26"/>
  <c r="B42" i="26"/>
  <c r="BC41" i="26"/>
  <c r="BB41" i="26"/>
  <c r="BA41" i="26"/>
  <c r="AZ41" i="26"/>
  <c r="AY41" i="26"/>
  <c r="AX41" i="26"/>
  <c r="AW41" i="26"/>
  <c r="AV41" i="26"/>
  <c r="AU41" i="26"/>
  <c r="AT41" i="26"/>
  <c r="AS41" i="26"/>
  <c r="AR41" i="26"/>
  <c r="AQ41" i="26"/>
  <c r="AP41" i="26"/>
  <c r="AO41" i="26"/>
  <c r="AN41" i="26"/>
  <c r="AM41" i="26"/>
  <c r="AL41" i="26"/>
  <c r="AK41" i="26"/>
  <c r="AJ41" i="26"/>
  <c r="AI41" i="26"/>
  <c r="AH41" i="26"/>
  <c r="AG41" i="26"/>
  <c r="AF41" i="26"/>
  <c r="AE41" i="26"/>
  <c r="AD41" i="26"/>
  <c r="AC41" i="26"/>
  <c r="AB41" i="26"/>
  <c r="AA41" i="26"/>
  <c r="Z41" i="26"/>
  <c r="Y41" i="26"/>
  <c r="X41" i="26"/>
  <c r="W41" i="26"/>
  <c r="V41" i="26"/>
  <c r="U41" i="26"/>
  <c r="T41" i="26"/>
  <c r="S41" i="26"/>
  <c r="R41" i="26"/>
  <c r="Q41" i="26"/>
  <c r="P41" i="26"/>
  <c r="O41" i="26"/>
  <c r="N41" i="26"/>
  <c r="M41" i="26"/>
  <c r="L41" i="26"/>
  <c r="K41" i="26"/>
  <c r="J41" i="26"/>
  <c r="I41" i="26"/>
  <c r="H41" i="26"/>
  <c r="G41" i="26"/>
  <c r="F41" i="26"/>
  <c r="E41" i="26"/>
  <c r="D41" i="26"/>
  <c r="C41" i="26"/>
  <c r="B41" i="26"/>
  <c r="BC40" i="26"/>
  <c r="BB40" i="26"/>
  <c r="BA40" i="26"/>
  <c r="AZ40" i="26"/>
  <c r="AY40" i="26"/>
  <c r="AX40" i="26"/>
  <c r="AW40" i="26"/>
  <c r="AV40" i="26"/>
  <c r="AU40" i="26"/>
  <c r="AT40" i="26"/>
  <c r="AS40" i="26"/>
  <c r="AR40" i="26"/>
  <c r="AQ40" i="26"/>
  <c r="AP40" i="26"/>
  <c r="AO40" i="26"/>
  <c r="AN40" i="26"/>
  <c r="AM40" i="26"/>
  <c r="AL40" i="26"/>
  <c r="AK40" i="26"/>
  <c r="AJ40" i="26"/>
  <c r="AI40" i="26"/>
  <c r="AH40" i="26"/>
  <c r="AG40" i="26"/>
  <c r="AF40" i="26"/>
  <c r="AE40" i="26"/>
  <c r="AD40" i="26"/>
  <c r="AC40" i="26"/>
  <c r="AB40" i="26"/>
  <c r="AA40" i="26"/>
  <c r="Z40" i="26"/>
  <c r="Y40" i="26"/>
  <c r="X40" i="26"/>
  <c r="W40" i="26"/>
  <c r="V40" i="26"/>
  <c r="U40" i="26"/>
  <c r="T40" i="26"/>
  <c r="S40" i="26"/>
  <c r="R40" i="26"/>
  <c r="Q40" i="26"/>
  <c r="P40" i="26"/>
  <c r="O40" i="26"/>
  <c r="N40" i="26"/>
  <c r="M40" i="26"/>
  <c r="L40" i="26"/>
  <c r="K40" i="26"/>
  <c r="J40" i="26"/>
  <c r="I40" i="26"/>
  <c r="H40" i="26"/>
  <c r="G40" i="26"/>
  <c r="F40" i="26"/>
  <c r="E40" i="26"/>
  <c r="D40" i="26"/>
  <c r="C40" i="26"/>
  <c r="B40" i="26"/>
  <c r="BC39" i="26"/>
  <c r="BB39" i="26"/>
  <c r="BA39" i="26"/>
  <c r="AZ39" i="26"/>
  <c r="AY39" i="26"/>
  <c r="AX39" i="26"/>
  <c r="AW39" i="26"/>
  <c r="AV39" i="26"/>
  <c r="AU39" i="26"/>
  <c r="AT39" i="26"/>
  <c r="AS39" i="26"/>
  <c r="AR39" i="26"/>
  <c r="AQ39" i="26"/>
  <c r="AP39" i="26"/>
  <c r="AO39" i="26"/>
  <c r="AN39" i="26"/>
  <c r="AM39" i="26"/>
  <c r="AL39" i="26"/>
  <c r="AK39" i="26"/>
  <c r="AJ39" i="26"/>
  <c r="AI39" i="26"/>
  <c r="AH39" i="26"/>
  <c r="AG39" i="26"/>
  <c r="AF39" i="26"/>
  <c r="AE39" i="26"/>
  <c r="AD39" i="26"/>
  <c r="AC39" i="26"/>
  <c r="AB39" i="26"/>
  <c r="AA39" i="26"/>
  <c r="Z39" i="26"/>
  <c r="Y39" i="26"/>
  <c r="X39" i="26"/>
  <c r="W39" i="26"/>
  <c r="V39" i="26"/>
  <c r="U39" i="26"/>
  <c r="T39" i="26"/>
  <c r="S39" i="26"/>
  <c r="R39" i="26"/>
  <c r="Q39" i="26"/>
  <c r="P39" i="26"/>
  <c r="O39" i="26"/>
  <c r="N39" i="26"/>
  <c r="M39" i="26"/>
  <c r="L39" i="26"/>
  <c r="K39" i="26"/>
  <c r="J39" i="26"/>
  <c r="I39" i="26"/>
  <c r="H39" i="26"/>
  <c r="G39" i="26"/>
  <c r="F39" i="26"/>
  <c r="E39" i="26"/>
  <c r="D39" i="26"/>
  <c r="C39" i="26"/>
  <c r="B39" i="26"/>
  <c r="BC38" i="26"/>
  <c r="BB38" i="26"/>
  <c r="BA38" i="26"/>
  <c r="AZ38" i="26"/>
  <c r="AY38" i="26"/>
  <c r="AX38" i="26"/>
  <c r="AW38" i="26"/>
  <c r="AV38" i="26"/>
  <c r="AU38" i="26"/>
  <c r="AT38" i="26"/>
  <c r="AS38" i="26"/>
  <c r="AR38" i="26"/>
  <c r="AQ38" i="26"/>
  <c r="AP38" i="26"/>
  <c r="AO38" i="26"/>
  <c r="AN38" i="26"/>
  <c r="AM38" i="26"/>
  <c r="AL38" i="26"/>
  <c r="AK38" i="26"/>
  <c r="AJ38" i="26"/>
  <c r="AI38" i="26"/>
  <c r="AH38" i="26"/>
  <c r="AG38" i="26"/>
  <c r="AF38" i="26"/>
  <c r="AE38" i="26"/>
  <c r="AD38" i="26"/>
  <c r="AC38" i="26"/>
  <c r="AB38" i="26"/>
  <c r="AA38" i="26"/>
  <c r="Z38" i="26"/>
  <c r="Y38" i="26"/>
  <c r="X38" i="26"/>
  <c r="W38" i="26"/>
  <c r="V38" i="26"/>
  <c r="U38" i="26"/>
  <c r="T38" i="26"/>
  <c r="S38" i="26"/>
  <c r="R38" i="26"/>
  <c r="Q38" i="26"/>
  <c r="P38" i="26"/>
  <c r="O38" i="26"/>
  <c r="N38" i="26"/>
  <c r="M38" i="26"/>
  <c r="L38" i="26"/>
  <c r="K38" i="26"/>
  <c r="J38" i="26"/>
  <c r="I38" i="26"/>
  <c r="H38" i="26"/>
  <c r="G38" i="26"/>
  <c r="F38" i="26"/>
  <c r="E38" i="26"/>
  <c r="D38" i="26"/>
  <c r="C38" i="26"/>
  <c r="B38" i="26"/>
  <c r="BC37" i="26"/>
  <c r="BB37" i="26"/>
  <c r="BA37" i="26"/>
  <c r="AZ37" i="26"/>
  <c r="AY37" i="26"/>
  <c r="AX37" i="26"/>
  <c r="AW37" i="26"/>
  <c r="AV37" i="26"/>
  <c r="AU37" i="26"/>
  <c r="AT37" i="26"/>
  <c r="AS37" i="26"/>
  <c r="AR37" i="26"/>
  <c r="AQ37" i="26"/>
  <c r="AP37" i="26"/>
  <c r="AO37" i="26"/>
  <c r="AN37" i="26"/>
  <c r="AM37" i="26"/>
  <c r="AL37" i="26"/>
  <c r="AK37" i="26"/>
  <c r="AJ37" i="26"/>
  <c r="AI37" i="26"/>
  <c r="AH37" i="26"/>
  <c r="AG37" i="26"/>
  <c r="AF37" i="26"/>
  <c r="AE37" i="26"/>
  <c r="AD37" i="26"/>
  <c r="AC37" i="26"/>
  <c r="AB37" i="26"/>
  <c r="AA37" i="26"/>
  <c r="Z37" i="26"/>
  <c r="Y37" i="26"/>
  <c r="X37" i="26"/>
  <c r="W37" i="26"/>
  <c r="V37" i="26"/>
  <c r="U37" i="26"/>
  <c r="T37" i="26"/>
  <c r="S37" i="26"/>
  <c r="R37" i="26"/>
  <c r="Q37" i="26"/>
  <c r="P37" i="26"/>
  <c r="O37" i="26"/>
  <c r="N37" i="26"/>
  <c r="M37" i="26"/>
  <c r="L37" i="26"/>
  <c r="K37" i="26"/>
  <c r="J37" i="26"/>
  <c r="I37" i="26"/>
  <c r="H37" i="26"/>
  <c r="G37" i="26"/>
  <c r="F37" i="26"/>
  <c r="E37" i="26"/>
  <c r="D37" i="26"/>
  <c r="C37" i="26"/>
  <c r="B37" i="26"/>
  <c r="BC36" i="26"/>
  <c r="BB36" i="26"/>
  <c r="BA36" i="26"/>
  <c r="AZ36" i="26"/>
  <c r="AY36" i="26"/>
  <c r="AX36" i="26"/>
  <c r="AW36" i="26"/>
  <c r="AV36" i="26"/>
  <c r="AU36" i="26"/>
  <c r="AT36" i="26"/>
  <c r="AS36" i="26"/>
  <c r="AR36" i="26"/>
  <c r="AQ36" i="26"/>
  <c r="AP36" i="26"/>
  <c r="AO36" i="26"/>
  <c r="AN36" i="26"/>
  <c r="AM36" i="26"/>
  <c r="AL36" i="26"/>
  <c r="AK36" i="26"/>
  <c r="AJ36" i="26"/>
  <c r="AI36" i="26"/>
  <c r="AH36" i="26"/>
  <c r="AG36" i="26"/>
  <c r="AF36" i="26"/>
  <c r="AE36" i="26"/>
  <c r="AD36" i="26"/>
  <c r="AC36" i="26"/>
  <c r="AB36" i="26"/>
  <c r="AA36" i="26"/>
  <c r="Z36" i="26"/>
  <c r="Y36" i="26"/>
  <c r="X36" i="26"/>
  <c r="W36" i="26"/>
  <c r="V36" i="26"/>
  <c r="U36" i="26"/>
  <c r="T36" i="26"/>
  <c r="S36" i="26"/>
  <c r="R36" i="26"/>
  <c r="Q36" i="26"/>
  <c r="P36" i="26"/>
  <c r="O36" i="26"/>
  <c r="N36" i="26"/>
  <c r="M36" i="26"/>
  <c r="L36" i="26"/>
  <c r="K36" i="26"/>
  <c r="J36" i="26"/>
  <c r="I36" i="26"/>
  <c r="H36" i="26"/>
  <c r="G36" i="26"/>
  <c r="F36" i="26"/>
  <c r="E36" i="26"/>
  <c r="D36" i="26"/>
  <c r="C36" i="26"/>
  <c r="B36" i="26"/>
  <c r="BC35" i="26"/>
  <c r="BB35" i="26"/>
  <c r="BA35" i="26"/>
  <c r="AZ35" i="26"/>
  <c r="AY35" i="26"/>
  <c r="AX35" i="26"/>
  <c r="AW35" i="26"/>
  <c r="AV35" i="26"/>
  <c r="AU35" i="26"/>
  <c r="AT35" i="26"/>
  <c r="AS35" i="26"/>
  <c r="AR35" i="26"/>
  <c r="AQ35" i="26"/>
  <c r="AP35" i="26"/>
  <c r="AO35" i="26"/>
  <c r="AN35" i="26"/>
  <c r="AM35" i="26"/>
  <c r="AL35" i="26"/>
  <c r="AK35" i="26"/>
  <c r="AJ35" i="26"/>
  <c r="AI35" i="26"/>
  <c r="AH35" i="26"/>
  <c r="AG35" i="26"/>
  <c r="AF35" i="26"/>
  <c r="AE35" i="26"/>
  <c r="AD35" i="26"/>
  <c r="AC35" i="26"/>
  <c r="AB35" i="26"/>
  <c r="AA35" i="26"/>
  <c r="Z35" i="26"/>
  <c r="Y35" i="26"/>
  <c r="X35" i="26"/>
  <c r="W35" i="26"/>
  <c r="V35" i="26"/>
  <c r="U35" i="26"/>
  <c r="T35" i="26"/>
  <c r="S35" i="26"/>
  <c r="R35" i="26"/>
  <c r="Q35" i="26"/>
  <c r="P35" i="26"/>
  <c r="O35" i="26"/>
  <c r="N35" i="26"/>
  <c r="M35" i="26"/>
  <c r="L35" i="26"/>
  <c r="K35" i="26"/>
  <c r="J35" i="26"/>
  <c r="I35" i="26"/>
  <c r="H35" i="26"/>
  <c r="G35" i="26"/>
  <c r="F35" i="26"/>
  <c r="E35" i="26"/>
  <c r="D35" i="26"/>
  <c r="C35" i="26"/>
  <c r="B35" i="26"/>
  <c r="BC34" i="26"/>
  <c r="BB34" i="26"/>
  <c r="BA34" i="26"/>
  <c r="AZ34" i="26"/>
  <c r="AY34" i="26"/>
  <c r="AX34" i="26"/>
  <c r="AW34" i="26"/>
  <c r="AV34" i="26"/>
  <c r="AU34" i="26"/>
  <c r="AT34" i="26"/>
  <c r="AS34" i="26"/>
  <c r="AR34" i="26"/>
  <c r="AQ34" i="26"/>
  <c r="AP34" i="26"/>
  <c r="AO34" i="26"/>
  <c r="AN34" i="26"/>
  <c r="AM34" i="26"/>
  <c r="AL34" i="26"/>
  <c r="AK34" i="26"/>
  <c r="AJ34" i="26"/>
  <c r="AI34" i="26"/>
  <c r="AH34" i="26"/>
  <c r="AG34" i="26"/>
  <c r="AF34" i="26"/>
  <c r="AE34" i="26"/>
  <c r="AD34" i="26"/>
  <c r="AC34" i="26"/>
  <c r="AB34" i="26"/>
  <c r="AA34" i="26"/>
  <c r="Z34" i="26"/>
  <c r="Y34" i="26"/>
  <c r="X34" i="26"/>
  <c r="W34" i="26"/>
  <c r="V34" i="26"/>
  <c r="U34" i="26"/>
  <c r="T34" i="26"/>
  <c r="S34" i="26"/>
  <c r="R34" i="26"/>
  <c r="Q34" i="26"/>
  <c r="P34" i="26"/>
  <c r="O34" i="26"/>
  <c r="N34" i="26"/>
  <c r="M34" i="26"/>
  <c r="L34" i="26"/>
  <c r="K34" i="26"/>
  <c r="J34" i="26"/>
  <c r="I34" i="26"/>
  <c r="H34" i="26"/>
  <c r="G34" i="26"/>
  <c r="F34" i="26"/>
  <c r="E34" i="26"/>
  <c r="D34" i="26"/>
  <c r="C34" i="26"/>
  <c r="B34" i="26"/>
  <c r="BC33" i="26"/>
  <c r="BB33" i="26"/>
  <c r="BA33" i="26"/>
  <c r="AZ33" i="26"/>
  <c r="AY33" i="26"/>
  <c r="AX33" i="26"/>
  <c r="AW33" i="26"/>
  <c r="AV33" i="26"/>
  <c r="AU33" i="26"/>
  <c r="AT33" i="26"/>
  <c r="AS33" i="26"/>
  <c r="AR33" i="26"/>
  <c r="AQ33" i="26"/>
  <c r="AP33" i="26"/>
  <c r="AO33" i="26"/>
  <c r="AN33" i="26"/>
  <c r="AM33" i="26"/>
  <c r="AL33" i="26"/>
  <c r="AK33" i="26"/>
  <c r="AJ33" i="26"/>
  <c r="AI33" i="26"/>
  <c r="AH33" i="26"/>
  <c r="AG33" i="26"/>
  <c r="AF33" i="26"/>
  <c r="AE33" i="26"/>
  <c r="AD33" i="26"/>
  <c r="AC33" i="26"/>
  <c r="AB33" i="26"/>
  <c r="AA33" i="26"/>
  <c r="Z33" i="26"/>
  <c r="Y33" i="26"/>
  <c r="X33" i="26"/>
  <c r="W33" i="26"/>
  <c r="V33" i="26"/>
  <c r="U33" i="26"/>
  <c r="T33" i="26"/>
  <c r="S33" i="26"/>
  <c r="R33" i="26"/>
  <c r="Q33" i="26"/>
  <c r="P33" i="26"/>
  <c r="O33" i="26"/>
  <c r="N33" i="26"/>
  <c r="M33" i="26"/>
  <c r="L33" i="26"/>
  <c r="K33" i="26"/>
  <c r="J33" i="26"/>
  <c r="I33" i="26"/>
  <c r="H33" i="26"/>
  <c r="G33" i="26"/>
  <c r="F33" i="26"/>
  <c r="E33" i="26"/>
  <c r="D33" i="26"/>
  <c r="C33" i="26"/>
  <c r="B33" i="26"/>
  <c r="BC32" i="26"/>
  <c r="BB32" i="26"/>
  <c r="BA32" i="26"/>
  <c r="AZ32" i="26"/>
  <c r="AY32" i="26"/>
  <c r="AX32" i="26"/>
  <c r="AW32" i="26"/>
  <c r="AV32" i="26"/>
  <c r="AU32" i="26"/>
  <c r="AT32" i="26"/>
  <c r="AS32" i="26"/>
  <c r="AR32" i="26"/>
  <c r="AQ32" i="26"/>
  <c r="AP32" i="26"/>
  <c r="AO32" i="26"/>
  <c r="AN32" i="26"/>
  <c r="AM32" i="26"/>
  <c r="AL32" i="26"/>
  <c r="AK32" i="26"/>
  <c r="AJ32" i="26"/>
  <c r="AI32" i="26"/>
  <c r="AH32" i="26"/>
  <c r="AG32" i="26"/>
  <c r="AF32" i="26"/>
  <c r="AE32" i="26"/>
  <c r="AD32" i="26"/>
  <c r="AC32" i="26"/>
  <c r="AB32" i="26"/>
  <c r="AA32" i="26"/>
  <c r="Z32" i="26"/>
  <c r="Y32" i="26"/>
  <c r="X32" i="26"/>
  <c r="W32" i="26"/>
  <c r="V32" i="26"/>
  <c r="U32" i="26"/>
  <c r="T32" i="26"/>
  <c r="S32" i="26"/>
  <c r="R32" i="26"/>
  <c r="Q32" i="26"/>
  <c r="P32" i="26"/>
  <c r="O32" i="26"/>
  <c r="N32" i="26"/>
  <c r="M32" i="26"/>
  <c r="L32" i="26"/>
  <c r="K32" i="26"/>
  <c r="J32" i="26"/>
  <c r="I32" i="26"/>
  <c r="H32" i="26"/>
  <c r="G32" i="26"/>
  <c r="F32" i="26"/>
  <c r="E32" i="26"/>
  <c r="D32" i="26"/>
  <c r="C32" i="26"/>
  <c r="B32" i="26"/>
  <c r="BC31" i="26"/>
  <c r="BB31" i="26"/>
  <c r="BA31" i="26"/>
  <c r="AZ31" i="26"/>
  <c r="AY31" i="26"/>
  <c r="AX31" i="26"/>
  <c r="AW31" i="26"/>
  <c r="AV31" i="26"/>
  <c r="AU31" i="26"/>
  <c r="AT31" i="26"/>
  <c r="AS31" i="26"/>
  <c r="AR31" i="26"/>
  <c r="AQ31" i="26"/>
  <c r="AP31" i="26"/>
  <c r="AO31" i="26"/>
  <c r="AN31" i="26"/>
  <c r="AM31" i="26"/>
  <c r="AL31" i="26"/>
  <c r="AK31" i="26"/>
  <c r="AJ31" i="26"/>
  <c r="AI31" i="26"/>
  <c r="AH31" i="26"/>
  <c r="AG31" i="26"/>
  <c r="AF31" i="26"/>
  <c r="AE31" i="26"/>
  <c r="AD31" i="26"/>
  <c r="AC31" i="26"/>
  <c r="AB31" i="26"/>
  <c r="AA31" i="26"/>
  <c r="Z31" i="26"/>
  <c r="Y31" i="26"/>
  <c r="X31" i="26"/>
  <c r="W31" i="26"/>
  <c r="V31" i="26"/>
  <c r="U31" i="26"/>
  <c r="T31" i="26"/>
  <c r="S31" i="26"/>
  <c r="R31" i="26"/>
  <c r="Q31" i="26"/>
  <c r="P31" i="26"/>
  <c r="O31" i="26"/>
  <c r="N31" i="26"/>
  <c r="M31" i="26"/>
  <c r="L31" i="26"/>
  <c r="K31" i="26"/>
  <c r="J31" i="26"/>
  <c r="I31" i="26"/>
  <c r="H31" i="26"/>
  <c r="G31" i="26"/>
  <c r="F31" i="26"/>
  <c r="E31" i="26"/>
  <c r="D31" i="26"/>
  <c r="C31" i="26"/>
  <c r="B31" i="26"/>
  <c r="BC30" i="26"/>
  <c r="BB30" i="26"/>
  <c r="BA30" i="26"/>
  <c r="AZ30" i="26"/>
  <c r="AY30" i="26"/>
  <c r="AX30" i="26"/>
  <c r="AW30" i="26"/>
  <c r="AV30" i="26"/>
  <c r="AU30" i="26"/>
  <c r="AT30" i="26"/>
  <c r="AS30" i="26"/>
  <c r="AR30" i="26"/>
  <c r="AQ30" i="26"/>
  <c r="AP30" i="26"/>
  <c r="AO30" i="26"/>
  <c r="AN30" i="26"/>
  <c r="AM30" i="26"/>
  <c r="AL30" i="26"/>
  <c r="AK30" i="26"/>
  <c r="AJ30" i="26"/>
  <c r="AI30" i="26"/>
  <c r="AH30" i="26"/>
  <c r="AG30" i="26"/>
  <c r="AF30" i="26"/>
  <c r="AE30" i="26"/>
  <c r="AD30" i="26"/>
  <c r="AC30" i="26"/>
  <c r="AB30" i="26"/>
  <c r="AA30" i="26"/>
  <c r="Z30" i="26"/>
  <c r="Y30" i="26"/>
  <c r="X30" i="26"/>
  <c r="W30" i="26"/>
  <c r="V30" i="26"/>
  <c r="U30" i="26"/>
  <c r="T30" i="26"/>
  <c r="S30" i="26"/>
  <c r="R30" i="26"/>
  <c r="Q30" i="26"/>
  <c r="P30" i="26"/>
  <c r="O30" i="26"/>
  <c r="N30" i="26"/>
  <c r="M30" i="26"/>
  <c r="L30" i="26"/>
  <c r="K30" i="26"/>
  <c r="J30" i="26"/>
  <c r="I30" i="26"/>
  <c r="H30" i="26"/>
  <c r="G30" i="26"/>
  <c r="F30" i="26"/>
  <c r="E30" i="26"/>
  <c r="D30" i="26"/>
  <c r="C30" i="26"/>
  <c r="B30" i="26"/>
  <c r="BC29" i="26"/>
  <c r="BB29" i="26"/>
  <c r="BA29" i="26"/>
  <c r="AZ29" i="26"/>
  <c r="AY29" i="26"/>
  <c r="AX29" i="26"/>
  <c r="AW29" i="26"/>
  <c r="AV29" i="26"/>
  <c r="AU29" i="26"/>
  <c r="AT29" i="26"/>
  <c r="AS29" i="26"/>
  <c r="AR29" i="26"/>
  <c r="AQ29" i="26"/>
  <c r="AP29" i="26"/>
  <c r="AO29" i="26"/>
  <c r="AN29" i="26"/>
  <c r="AM29" i="26"/>
  <c r="AL29" i="26"/>
  <c r="AK29" i="26"/>
  <c r="AJ29" i="26"/>
  <c r="AI29" i="26"/>
  <c r="AH29" i="26"/>
  <c r="AG29" i="26"/>
  <c r="AF29" i="26"/>
  <c r="AE29" i="26"/>
  <c r="AD29" i="26"/>
  <c r="AC29" i="26"/>
  <c r="AB29" i="26"/>
  <c r="AA29" i="26"/>
  <c r="Z29" i="26"/>
  <c r="Y29" i="26"/>
  <c r="X29" i="26"/>
  <c r="W29" i="26"/>
  <c r="V29" i="26"/>
  <c r="U29" i="26"/>
  <c r="T29" i="26"/>
  <c r="S29" i="26"/>
  <c r="R29" i="26"/>
  <c r="Q29" i="26"/>
  <c r="P29" i="26"/>
  <c r="O29" i="26"/>
  <c r="N29" i="26"/>
  <c r="M29" i="26"/>
  <c r="L29" i="26"/>
  <c r="K29" i="26"/>
  <c r="J29" i="26"/>
  <c r="I29" i="26"/>
  <c r="H29" i="26"/>
  <c r="G29" i="26"/>
  <c r="F29" i="26"/>
  <c r="E29" i="26"/>
  <c r="D29" i="26"/>
  <c r="C29" i="26"/>
  <c r="B29" i="26"/>
  <c r="BC28" i="26"/>
  <c r="BB28" i="26"/>
  <c r="BA28" i="26"/>
  <c r="AZ28" i="26"/>
  <c r="AY28" i="26"/>
  <c r="AX28" i="26"/>
  <c r="AW28" i="26"/>
  <c r="AV28" i="26"/>
  <c r="AU28" i="26"/>
  <c r="AT28" i="26"/>
  <c r="AS28" i="26"/>
  <c r="AR28" i="26"/>
  <c r="AQ28" i="26"/>
  <c r="AP28" i="26"/>
  <c r="AO28" i="26"/>
  <c r="AN28" i="26"/>
  <c r="AM28" i="26"/>
  <c r="AL28" i="26"/>
  <c r="AK28" i="26"/>
  <c r="AJ28" i="26"/>
  <c r="AI28" i="26"/>
  <c r="AH28" i="26"/>
  <c r="AG28" i="26"/>
  <c r="AF28" i="26"/>
  <c r="AE28" i="26"/>
  <c r="AD28" i="26"/>
  <c r="AC28" i="26"/>
  <c r="AB28" i="26"/>
  <c r="AA28" i="26"/>
  <c r="Z28" i="26"/>
  <c r="Y28" i="26"/>
  <c r="X28" i="26"/>
  <c r="W28" i="26"/>
  <c r="V28" i="26"/>
  <c r="U28" i="26"/>
  <c r="T28" i="26"/>
  <c r="S28" i="26"/>
  <c r="R28" i="26"/>
  <c r="Q28" i="26"/>
  <c r="P28" i="26"/>
  <c r="O28" i="26"/>
  <c r="N28" i="26"/>
  <c r="M28" i="26"/>
  <c r="L28" i="26"/>
  <c r="K28" i="26"/>
  <c r="J28" i="26"/>
  <c r="I28" i="26"/>
  <c r="H28" i="26"/>
  <c r="G28" i="26"/>
  <c r="F28" i="26"/>
  <c r="E28" i="26"/>
  <c r="D28" i="26"/>
  <c r="C28" i="26"/>
  <c r="B28" i="26"/>
  <c r="BC27" i="26"/>
  <c r="BB27" i="26"/>
  <c r="BA27" i="26"/>
  <c r="AZ27" i="26"/>
  <c r="AY27" i="26"/>
  <c r="AX27" i="26"/>
  <c r="AW27" i="26"/>
  <c r="AV27" i="26"/>
  <c r="AU27" i="26"/>
  <c r="AT27" i="26"/>
  <c r="AS27" i="26"/>
  <c r="AR27" i="26"/>
  <c r="AQ27" i="26"/>
  <c r="AP27" i="26"/>
  <c r="AO27" i="26"/>
  <c r="AN27" i="26"/>
  <c r="AM27" i="26"/>
  <c r="AL27" i="26"/>
  <c r="AK27" i="26"/>
  <c r="AJ27" i="26"/>
  <c r="AI27" i="26"/>
  <c r="AH27" i="26"/>
  <c r="AG27" i="26"/>
  <c r="AF27" i="26"/>
  <c r="AE27" i="26"/>
  <c r="AD27" i="26"/>
  <c r="AC27" i="26"/>
  <c r="AB27" i="26"/>
  <c r="AA27" i="26"/>
  <c r="Z27" i="26"/>
  <c r="Y27" i="26"/>
  <c r="X27" i="26"/>
  <c r="W27" i="26"/>
  <c r="V27" i="26"/>
  <c r="U27" i="26"/>
  <c r="T27" i="26"/>
  <c r="S27" i="26"/>
  <c r="R27" i="26"/>
  <c r="Q27" i="26"/>
  <c r="P27" i="26"/>
  <c r="O27" i="26"/>
  <c r="N27" i="26"/>
  <c r="M27" i="26"/>
  <c r="L27" i="26"/>
  <c r="K27" i="26"/>
  <c r="J27" i="26"/>
  <c r="I27" i="26"/>
  <c r="H27" i="26"/>
  <c r="G27" i="26"/>
  <c r="F27" i="26"/>
  <c r="E27" i="26"/>
  <c r="D27" i="26"/>
  <c r="C27" i="26"/>
  <c r="B27" i="26"/>
  <c r="BC26" i="26"/>
  <c r="BB26" i="26"/>
  <c r="BA26" i="26"/>
  <c r="AZ26" i="26"/>
  <c r="AY26" i="26"/>
  <c r="AX26" i="26"/>
  <c r="AW26" i="26"/>
  <c r="AV26" i="26"/>
  <c r="AU26" i="26"/>
  <c r="AT26" i="26"/>
  <c r="AS26" i="26"/>
  <c r="AR26" i="26"/>
  <c r="AQ26" i="26"/>
  <c r="AP26" i="26"/>
  <c r="AO26" i="26"/>
  <c r="AN26" i="26"/>
  <c r="AM26" i="26"/>
  <c r="AL26" i="26"/>
  <c r="AK26" i="26"/>
  <c r="AJ26" i="26"/>
  <c r="AI26" i="26"/>
  <c r="AH26" i="26"/>
  <c r="AG26" i="26"/>
  <c r="AF26" i="26"/>
  <c r="AE26" i="26"/>
  <c r="AD26" i="26"/>
  <c r="AC26" i="26"/>
  <c r="AB26" i="26"/>
  <c r="AA26" i="26"/>
  <c r="Z26" i="26"/>
  <c r="Y26" i="26"/>
  <c r="X26" i="26"/>
  <c r="W26" i="26"/>
  <c r="V26" i="26"/>
  <c r="U26" i="26"/>
  <c r="T26" i="26"/>
  <c r="S26" i="26"/>
  <c r="R26" i="26"/>
  <c r="Q26" i="26"/>
  <c r="P26" i="26"/>
  <c r="O26" i="26"/>
  <c r="N26" i="26"/>
  <c r="M26" i="26"/>
  <c r="L26" i="26"/>
  <c r="K26" i="26"/>
  <c r="J26" i="26"/>
  <c r="I26" i="26"/>
  <c r="H26" i="26"/>
  <c r="G26" i="26"/>
  <c r="F26" i="26"/>
  <c r="E26" i="26"/>
  <c r="D26" i="26"/>
  <c r="C26" i="26"/>
  <c r="B26" i="26"/>
  <c r="BC25" i="26"/>
  <c r="BB25" i="26"/>
  <c r="BA25" i="26"/>
  <c r="AZ25" i="26"/>
  <c r="AY25" i="26"/>
  <c r="AX25" i="26"/>
  <c r="AW25" i="26"/>
  <c r="AV25" i="26"/>
  <c r="AU25" i="26"/>
  <c r="AT25" i="26"/>
  <c r="AS25" i="26"/>
  <c r="AR25" i="26"/>
  <c r="AQ25" i="26"/>
  <c r="AP25" i="26"/>
  <c r="AO25" i="26"/>
  <c r="AN25" i="26"/>
  <c r="AM25" i="26"/>
  <c r="AL25" i="26"/>
  <c r="AK25" i="26"/>
  <c r="AJ25" i="26"/>
  <c r="AI25" i="26"/>
  <c r="AH25" i="26"/>
  <c r="AG25" i="26"/>
  <c r="AF25" i="26"/>
  <c r="AE25" i="26"/>
  <c r="AD25" i="26"/>
  <c r="AC25" i="26"/>
  <c r="AB25" i="26"/>
  <c r="AA25" i="26"/>
  <c r="Z25" i="26"/>
  <c r="Y25" i="26"/>
  <c r="X25" i="26"/>
  <c r="W25" i="26"/>
  <c r="V25" i="26"/>
  <c r="U25" i="26"/>
  <c r="T25" i="26"/>
  <c r="S25" i="26"/>
  <c r="R25" i="26"/>
  <c r="Q25" i="26"/>
  <c r="P25" i="26"/>
  <c r="O25" i="26"/>
  <c r="N25" i="26"/>
  <c r="M25" i="26"/>
  <c r="L25" i="26"/>
  <c r="K25" i="26"/>
  <c r="J25" i="26"/>
  <c r="I25" i="26"/>
  <c r="H25" i="26"/>
  <c r="G25" i="26"/>
  <c r="F25" i="26"/>
  <c r="E25" i="26"/>
  <c r="D25" i="26"/>
  <c r="C25" i="26"/>
  <c r="B25" i="26"/>
  <c r="BC24" i="26"/>
  <c r="BB24" i="26"/>
  <c r="BA24" i="26"/>
  <c r="AZ24" i="26"/>
  <c r="AY24" i="26"/>
  <c r="AX24" i="26"/>
  <c r="AW24" i="26"/>
  <c r="AV24" i="26"/>
  <c r="AU24" i="26"/>
  <c r="AT24" i="26"/>
  <c r="AS24" i="26"/>
  <c r="AR24" i="26"/>
  <c r="AQ24" i="26"/>
  <c r="AP24" i="26"/>
  <c r="AO24" i="26"/>
  <c r="AN24" i="26"/>
  <c r="AM24"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G24" i="26"/>
  <c r="F24" i="26"/>
  <c r="E24" i="26"/>
  <c r="D24" i="26"/>
  <c r="C24" i="26"/>
  <c r="B24" i="26"/>
  <c r="BC23" i="26"/>
  <c r="BB23" i="26"/>
  <c r="BA23" i="26"/>
  <c r="AZ23" i="26"/>
  <c r="AY23" i="26"/>
  <c r="AX23" i="26"/>
  <c r="AW23" i="26"/>
  <c r="AV23" i="26"/>
  <c r="AU23" i="26"/>
  <c r="AT23" i="26"/>
  <c r="AS23" i="26"/>
  <c r="AR23" i="26"/>
  <c r="AQ23" i="26"/>
  <c r="AP23" i="26"/>
  <c r="AO23" i="26"/>
  <c r="AN23" i="26"/>
  <c r="AM23" i="26"/>
  <c r="AL23" i="26"/>
  <c r="AK23" i="26"/>
  <c r="AJ23" i="26"/>
  <c r="AI23" i="26"/>
  <c r="AH23" i="26"/>
  <c r="AG23" i="26"/>
  <c r="AF23" i="26"/>
  <c r="AE23" i="26"/>
  <c r="AD23" i="26"/>
  <c r="AC23" i="26"/>
  <c r="AB23" i="26"/>
  <c r="AA23" i="26"/>
  <c r="Z23" i="26"/>
  <c r="Y23" i="26"/>
  <c r="X23" i="26"/>
  <c r="W23" i="26"/>
  <c r="V23" i="26"/>
  <c r="U23" i="26"/>
  <c r="T23" i="26"/>
  <c r="S23" i="26"/>
  <c r="R23" i="26"/>
  <c r="Q23" i="26"/>
  <c r="P23" i="26"/>
  <c r="O23" i="26"/>
  <c r="N23" i="26"/>
  <c r="M23" i="26"/>
  <c r="L23" i="26"/>
  <c r="K23" i="26"/>
  <c r="J23" i="26"/>
  <c r="I23" i="26"/>
  <c r="H23" i="26"/>
  <c r="G23" i="26"/>
  <c r="F23" i="26"/>
  <c r="E23" i="26"/>
  <c r="D23" i="26"/>
  <c r="C23" i="26"/>
  <c r="B23" i="26"/>
  <c r="BC22" i="26"/>
  <c r="BB22" i="26"/>
  <c r="BA22" i="26"/>
  <c r="AZ22" i="26"/>
  <c r="AY22" i="26"/>
  <c r="AX22" i="26"/>
  <c r="AW22" i="26"/>
  <c r="AV22" i="26"/>
  <c r="AU22" i="26"/>
  <c r="AT22" i="26"/>
  <c r="AS22" i="26"/>
  <c r="AR22" i="26"/>
  <c r="AQ22" i="26"/>
  <c r="AP22" i="26"/>
  <c r="AO22" i="26"/>
  <c r="AN22" i="26"/>
  <c r="AM22" i="26"/>
  <c r="AL22" i="26"/>
  <c r="AK22" i="26"/>
  <c r="AJ22" i="26"/>
  <c r="AI22" i="26"/>
  <c r="AH22" i="26"/>
  <c r="AG22" i="26"/>
  <c r="AF22" i="26"/>
  <c r="AE22" i="26"/>
  <c r="AD22" i="26"/>
  <c r="AC22" i="26"/>
  <c r="AB22" i="26"/>
  <c r="AA22" i="26"/>
  <c r="Z22" i="26"/>
  <c r="Y22" i="26"/>
  <c r="X22" i="26"/>
  <c r="W22" i="26"/>
  <c r="V22" i="26"/>
  <c r="U22" i="26"/>
  <c r="T22" i="26"/>
  <c r="S22" i="26"/>
  <c r="R22" i="26"/>
  <c r="Q22" i="26"/>
  <c r="P22" i="26"/>
  <c r="O22" i="26"/>
  <c r="N22" i="26"/>
  <c r="M22" i="26"/>
  <c r="L22" i="26"/>
  <c r="K22" i="26"/>
  <c r="J22" i="26"/>
  <c r="I22" i="26"/>
  <c r="H22" i="26"/>
  <c r="G22" i="26"/>
  <c r="F22" i="26"/>
  <c r="E22" i="26"/>
  <c r="D22" i="26"/>
  <c r="C22" i="26"/>
  <c r="B22" i="26"/>
  <c r="BC21" i="26"/>
  <c r="BB21" i="26"/>
  <c r="BA21" i="26"/>
  <c r="AZ21" i="26"/>
  <c r="AY21" i="26"/>
  <c r="AX21" i="26"/>
  <c r="AW21" i="26"/>
  <c r="AV21" i="26"/>
  <c r="AU21" i="26"/>
  <c r="AT21" i="26"/>
  <c r="AS21" i="26"/>
  <c r="AR21" i="26"/>
  <c r="AQ21" i="26"/>
  <c r="AP21" i="26"/>
  <c r="AO21" i="26"/>
  <c r="AN21" i="26"/>
  <c r="AM21" i="26"/>
  <c r="AL21" i="26"/>
  <c r="AK21" i="26"/>
  <c r="AJ21" i="26"/>
  <c r="AI21" i="26"/>
  <c r="AH21" i="26"/>
  <c r="AG21" i="26"/>
  <c r="AF21" i="26"/>
  <c r="AE21" i="26"/>
  <c r="AD21" i="26"/>
  <c r="AC21" i="26"/>
  <c r="AB21" i="26"/>
  <c r="AA21" i="26"/>
  <c r="Z21" i="26"/>
  <c r="Y21" i="26"/>
  <c r="X21" i="26"/>
  <c r="W21" i="26"/>
  <c r="V21" i="26"/>
  <c r="U21" i="26"/>
  <c r="T21" i="26"/>
  <c r="S21" i="26"/>
  <c r="R21" i="26"/>
  <c r="Q21" i="26"/>
  <c r="P21" i="26"/>
  <c r="O21" i="26"/>
  <c r="N21" i="26"/>
  <c r="M21" i="26"/>
  <c r="L21" i="26"/>
  <c r="K21" i="26"/>
  <c r="J21" i="26"/>
  <c r="I21" i="26"/>
  <c r="H21" i="26"/>
  <c r="G21" i="26"/>
  <c r="F21" i="26"/>
  <c r="E21" i="26"/>
  <c r="D21" i="26"/>
  <c r="C21" i="26"/>
  <c r="B21" i="26"/>
  <c r="BC20" i="26"/>
  <c r="BB20" i="26"/>
  <c r="BA20" i="26"/>
  <c r="AZ20" i="26"/>
  <c r="AY20" i="26"/>
  <c r="AX20" i="26"/>
  <c r="AW20" i="26"/>
  <c r="AV20" i="26"/>
  <c r="AU20" i="26"/>
  <c r="AT20" i="26"/>
  <c r="AS20" i="26"/>
  <c r="AR20" i="26"/>
  <c r="AQ20" i="26"/>
  <c r="AP20" i="26"/>
  <c r="AO20" i="26"/>
  <c r="AN20" i="26"/>
  <c r="AM20" i="26"/>
  <c r="AL20" i="26"/>
  <c r="AK20" i="26"/>
  <c r="AJ20" i="26"/>
  <c r="AI20" i="26"/>
  <c r="AH20" i="26"/>
  <c r="AG20" i="26"/>
  <c r="AF20" i="26"/>
  <c r="AE20" i="26"/>
  <c r="AD20" i="26"/>
  <c r="AC20" i="26"/>
  <c r="AB20" i="26"/>
  <c r="AA20" i="26"/>
  <c r="Z20" i="26"/>
  <c r="Y20" i="26"/>
  <c r="X20" i="26"/>
  <c r="W20" i="26"/>
  <c r="V20" i="26"/>
  <c r="U20" i="26"/>
  <c r="T20" i="26"/>
  <c r="S20" i="26"/>
  <c r="R20" i="26"/>
  <c r="Q20" i="26"/>
  <c r="P20" i="26"/>
  <c r="O20" i="26"/>
  <c r="N20" i="26"/>
  <c r="M20" i="26"/>
  <c r="L20" i="26"/>
  <c r="K20" i="26"/>
  <c r="J20" i="26"/>
  <c r="I20" i="26"/>
  <c r="H20" i="26"/>
  <c r="G20" i="26"/>
  <c r="F20" i="26"/>
  <c r="E20" i="26"/>
  <c r="D20" i="26"/>
  <c r="C20" i="26"/>
  <c r="B20" i="26"/>
  <c r="BC19" i="26"/>
  <c r="BB19" i="26"/>
  <c r="BA19" i="26"/>
  <c r="AZ19" i="26"/>
  <c r="AY19" i="26"/>
  <c r="AX19" i="26"/>
  <c r="AW19" i="26"/>
  <c r="AV19" i="26"/>
  <c r="AU19" i="26"/>
  <c r="AT19" i="26"/>
  <c r="AS19" i="26"/>
  <c r="AR19" i="26"/>
  <c r="AQ19" i="26"/>
  <c r="AP19" i="26"/>
  <c r="AO19" i="26"/>
  <c r="AN19" i="26"/>
  <c r="AM19" i="26"/>
  <c r="AL19" i="26"/>
  <c r="AK19" i="26"/>
  <c r="AJ19" i="26"/>
  <c r="AI19" i="26"/>
  <c r="AH19" i="26"/>
  <c r="AG19" i="26"/>
  <c r="AF19" i="26"/>
  <c r="AE19" i="26"/>
  <c r="AD19" i="26"/>
  <c r="AC19" i="26"/>
  <c r="AB19" i="26"/>
  <c r="AA19" i="26"/>
  <c r="Z19" i="26"/>
  <c r="Y19" i="26"/>
  <c r="X19" i="26"/>
  <c r="W19" i="26"/>
  <c r="V19" i="26"/>
  <c r="U19" i="26"/>
  <c r="T19" i="26"/>
  <c r="S19" i="26"/>
  <c r="R19" i="26"/>
  <c r="Q19" i="26"/>
  <c r="P19" i="26"/>
  <c r="O19" i="26"/>
  <c r="N19" i="26"/>
  <c r="M19" i="26"/>
  <c r="L19" i="26"/>
  <c r="K19" i="26"/>
  <c r="J19" i="26"/>
  <c r="I19" i="26"/>
  <c r="H19" i="26"/>
  <c r="G19" i="26"/>
  <c r="F19" i="26"/>
  <c r="E19" i="26"/>
  <c r="D19" i="26"/>
  <c r="C19" i="26"/>
  <c r="B19" i="26"/>
  <c r="BC18" i="26"/>
  <c r="BB18" i="26"/>
  <c r="BA18" i="26"/>
  <c r="AZ18" i="26"/>
  <c r="AY18" i="26"/>
  <c r="AX18" i="26"/>
  <c r="AW18" i="26"/>
  <c r="AV18" i="26"/>
  <c r="AU18" i="26"/>
  <c r="AT18" i="26"/>
  <c r="AS18" i="26"/>
  <c r="AR18" i="26"/>
  <c r="AQ18" i="26"/>
  <c r="AP18" i="26"/>
  <c r="AO18" i="26"/>
  <c r="AN18" i="26"/>
  <c r="AM18" i="26"/>
  <c r="AL18" i="26"/>
  <c r="AK18" i="26"/>
  <c r="AJ18" i="26"/>
  <c r="AI18" i="26"/>
  <c r="AH18" i="26"/>
  <c r="AG18" i="26"/>
  <c r="AF18" i="26"/>
  <c r="AE18" i="26"/>
  <c r="AD18" i="26"/>
  <c r="AC18" i="26"/>
  <c r="AB18" i="26"/>
  <c r="AA18" i="26"/>
  <c r="Z18" i="26"/>
  <c r="Y18" i="26"/>
  <c r="X18" i="26"/>
  <c r="W18" i="26"/>
  <c r="V18" i="26"/>
  <c r="U18" i="26"/>
  <c r="T18" i="26"/>
  <c r="S18" i="26"/>
  <c r="R18" i="26"/>
  <c r="Q18" i="26"/>
  <c r="P18" i="26"/>
  <c r="O18" i="26"/>
  <c r="N18" i="26"/>
  <c r="M18" i="26"/>
  <c r="L18" i="26"/>
  <c r="K18" i="26"/>
  <c r="J18" i="26"/>
  <c r="I18" i="26"/>
  <c r="H18" i="26"/>
  <c r="G18" i="26"/>
  <c r="F18" i="26"/>
  <c r="E18" i="26"/>
  <c r="D18" i="26"/>
  <c r="C18" i="26"/>
  <c r="B18" i="26"/>
  <c r="BC17" i="26"/>
  <c r="BB17" i="26"/>
  <c r="BA17" i="26"/>
  <c r="AZ17" i="26"/>
  <c r="AY17" i="26"/>
  <c r="AX17" i="26"/>
  <c r="AW17" i="26"/>
  <c r="AV17" i="26"/>
  <c r="AU17" i="26"/>
  <c r="AT17" i="26"/>
  <c r="AS17" i="26"/>
  <c r="AR17" i="26"/>
  <c r="AQ17" i="26"/>
  <c r="AP17" i="26"/>
  <c r="AO17" i="26"/>
  <c r="AN17" i="26"/>
  <c r="AM17" i="26"/>
  <c r="AL17" i="26"/>
  <c r="AK17" i="26"/>
  <c r="AJ17" i="26"/>
  <c r="AI17" i="26"/>
  <c r="AH17" i="26"/>
  <c r="AG17" i="26"/>
  <c r="AF17" i="26"/>
  <c r="AE17" i="26"/>
  <c r="AD17" i="26"/>
  <c r="AC17" i="26"/>
  <c r="AB17" i="26"/>
  <c r="AA17" i="26"/>
  <c r="Z17" i="26"/>
  <c r="Y17" i="26"/>
  <c r="X17" i="26"/>
  <c r="W17" i="26"/>
  <c r="V17" i="26"/>
  <c r="U17" i="26"/>
  <c r="T17" i="26"/>
  <c r="S17" i="26"/>
  <c r="R17" i="26"/>
  <c r="Q17" i="26"/>
  <c r="P17" i="26"/>
  <c r="O17" i="26"/>
  <c r="N17" i="26"/>
  <c r="M17" i="26"/>
  <c r="L17" i="26"/>
  <c r="K17" i="26"/>
  <c r="J17" i="26"/>
  <c r="I17" i="26"/>
  <c r="H17" i="26"/>
  <c r="G17" i="26"/>
  <c r="F17" i="26"/>
  <c r="E17" i="26"/>
  <c r="D17" i="26"/>
  <c r="C17" i="26"/>
  <c r="B17" i="26"/>
  <c r="BC16" i="26"/>
  <c r="BB16" i="26"/>
  <c r="BA16" i="26"/>
  <c r="AZ16" i="26"/>
  <c r="AY16" i="26"/>
  <c r="AX16" i="26"/>
  <c r="AW16" i="26"/>
  <c r="AV16" i="26"/>
  <c r="AU16" i="26"/>
  <c r="AT16" i="26"/>
  <c r="AS16" i="26"/>
  <c r="AR16" i="26"/>
  <c r="AQ16" i="26"/>
  <c r="AP16" i="26"/>
  <c r="AO16" i="26"/>
  <c r="AN16" i="26"/>
  <c r="AM16" i="26"/>
  <c r="AL16" i="26"/>
  <c r="AK16" i="26"/>
  <c r="AJ16" i="26"/>
  <c r="AI16" i="26"/>
  <c r="AH16" i="26"/>
  <c r="AG16" i="26"/>
  <c r="AF16" i="26"/>
  <c r="AE16" i="26"/>
  <c r="AD16" i="26"/>
  <c r="AC16" i="26"/>
  <c r="AB16" i="26"/>
  <c r="AA16" i="26"/>
  <c r="Z16" i="26"/>
  <c r="Y16" i="26"/>
  <c r="X16" i="26"/>
  <c r="W16" i="26"/>
  <c r="V16" i="26"/>
  <c r="U16" i="26"/>
  <c r="T16" i="26"/>
  <c r="S16" i="26"/>
  <c r="R16" i="26"/>
  <c r="Q16" i="26"/>
  <c r="P16" i="26"/>
  <c r="O16" i="26"/>
  <c r="N16" i="26"/>
  <c r="M16" i="26"/>
  <c r="L16" i="26"/>
  <c r="K16" i="26"/>
  <c r="J16" i="26"/>
  <c r="I16" i="26"/>
  <c r="H16" i="26"/>
  <c r="G16" i="26"/>
  <c r="F16" i="26"/>
  <c r="E16" i="26"/>
  <c r="D16" i="26"/>
  <c r="C16" i="26"/>
  <c r="B16" i="26"/>
  <c r="BC15" i="26"/>
  <c r="BB15" i="26"/>
  <c r="BA15" i="26"/>
  <c r="AZ15" i="26"/>
  <c r="AY15" i="26"/>
  <c r="AX15" i="26"/>
  <c r="AW15" i="26"/>
  <c r="AV15" i="26"/>
  <c r="AU15" i="26"/>
  <c r="AT15" i="26"/>
  <c r="AS15" i="26"/>
  <c r="AR15" i="26"/>
  <c r="AQ15" i="26"/>
  <c r="AP15" i="26"/>
  <c r="AO15" i="26"/>
  <c r="AN15" i="26"/>
  <c r="AM15" i="26"/>
  <c r="AL15" i="26"/>
  <c r="AK15" i="26"/>
  <c r="AJ15" i="26"/>
  <c r="AI15" i="26"/>
  <c r="AH15" i="26"/>
  <c r="AG15" i="26"/>
  <c r="AF15" i="26"/>
  <c r="AE15" i="26"/>
  <c r="AD15" i="26"/>
  <c r="AC15" i="26"/>
  <c r="AB15" i="26"/>
  <c r="AA15" i="26"/>
  <c r="Z15" i="26"/>
  <c r="Y15" i="26"/>
  <c r="X15" i="26"/>
  <c r="W15" i="26"/>
  <c r="V15" i="26"/>
  <c r="U15" i="26"/>
  <c r="T15" i="26"/>
  <c r="S15" i="26"/>
  <c r="R15" i="26"/>
  <c r="Q15" i="26"/>
  <c r="P15" i="26"/>
  <c r="O15" i="26"/>
  <c r="N15" i="26"/>
  <c r="M15" i="26"/>
  <c r="L15" i="26"/>
  <c r="K15" i="26"/>
  <c r="J15" i="26"/>
  <c r="I15" i="26"/>
  <c r="H15" i="26"/>
  <c r="G15" i="26"/>
  <c r="F15" i="26"/>
  <c r="E15" i="26"/>
  <c r="D15" i="26"/>
  <c r="C15" i="26"/>
  <c r="B15" i="26"/>
  <c r="BC14" i="26"/>
  <c r="BB14" i="26"/>
  <c r="BA14" i="26"/>
  <c r="AZ14" i="26"/>
  <c r="AY14" i="26"/>
  <c r="AX14" i="26"/>
  <c r="AW14" i="26"/>
  <c r="AV14" i="26"/>
  <c r="AU14" i="26"/>
  <c r="AT14" i="26"/>
  <c r="AS14" i="26"/>
  <c r="AR14" i="26"/>
  <c r="AQ14" i="26"/>
  <c r="AP14" i="26"/>
  <c r="AO14" i="26"/>
  <c r="AN14" i="26"/>
  <c r="AM14" i="26"/>
  <c r="AL14" i="26"/>
  <c r="AK14" i="26"/>
  <c r="AJ14" i="26"/>
  <c r="AI14" i="26"/>
  <c r="AH14" i="26"/>
  <c r="AG14" i="26"/>
  <c r="AF14" i="26"/>
  <c r="AE14" i="26"/>
  <c r="AD14" i="26"/>
  <c r="AC14" i="26"/>
  <c r="AB14" i="26"/>
  <c r="AA14" i="26"/>
  <c r="Z14" i="26"/>
  <c r="Y14" i="26"/>
  <c r="X14" i="26"/>
  <c r="W14" i="26"/>
  <c r="V14" i="26"/>
  <c r="U14" i="26"/>
  <c r="T14" i="26"/>
  <c r="S14" i="26"/>
  <c r="R14" i="26"/>
  <c r="Q14" i="26"/>
  <c r="P14" i="26"/>
  <c r="O14" i="26"/>
  <c r="N14" i="26"/>
  <c r="M14" i="26"/>
  <c r="L14" i="26"/>
  <c r="K14" i="26"/>
  <c r="J14" i="26"/>
  <c r="I14" i="26"/>
  <c r="H14" i="26"/>
  <c r="G14" i="26"/>
  <c r="F14" i="26"/>
  <c r="E14" i="26"/>
  <c r="D14" i="26"/>
  <c r="C14" i="26"/>
  <c r="B14" i="26"/>
  <c r="BC13" i="26"/>
  <c r="BB13" i="26"/>
  <c r="BA13" i="26"/>
  <c r="AZ13" i="26"/>
  <c r="AY13" i="26"/>
  <c r="AX13" i="26"/>
  <c r="AW13" i="26"/>
  <c r="AV13" i="26"/>
  <c r="AU13" i="26"/>
  <c r="AT13" i="26"/>
  <c r="AS13" i="26"/>
  <c r="AR13" i="26"/>
  <c r="AQ13" i="26"/>
  <c r="AP13" i="26"/>
  <c r="AO13" i="26"/>
  <c r="AN13" i="26"/>
  <c r="AM13" i="26"/>
  <c r="AL13" i="26"/>
  <c r="AK13" i="26"/>
  <c r="AJ13" i="26"/>
  <c r="AI13" i="26"/>
  <c r="AH13" i="26"/>
  <c r="AG13" i="26"/>
  <c r="AF13" i="26"/>
  <c r="AE13" i="26"/>
  <c r="AD13" i="26"/>
  <c r="AC13" i="26"/>
  <c r="AB13" i="26"/>
  <c r="AA13" i="26"/>
  <c r="Z13" i="26"/>
  <c r="Y13" i="26"/>
  <c r="X13" i="26"/>
  <c r="W13" i="26"/>
  <c r="V13" i="26"/>
  <c r="U13" i="26"/>
  <c r="T13" i="26"/>
  <c r="S13" i="26"/>
  <c r="R13" i="26"/>
  <c r="Q13" i="26"/>
  <c r="P13" i="26"/>
  <c r="O13" i="26"/>
  <c r="N13" i="26"/>
  <c r="M13" i="26"/>
  <c r="L13" i="26"/>
  <c r="K13" i="26"/>
  <c r="J13" i="26"/>
  <c r="I13" i="26"/>
  <c r="H13" i="26"/>
  <c r="G13" i="26"/>
  <c r="F13" i="26"/>
  <c r="E13" i="26"/>
  <c r="D13" i="26"/>
  <c r="C13" i="26"/>
  <c r="B13" i="26"/>
  <c r="BC12" i="26"/>
  <c r="BB12" i="26"/>
  <c r="BA12" i="26"/>
  <c r="AZ12" i="26"/>
  <c r="AY12" i="26"/>
  <c r="AX12" i="26"/>
  <c r="AW12" i="26"/>
  <c r="AV12" i="26"/>
  <c r="AU12" i="26"/>
  <c r="AT12" i="26"/>
  <c r="AS12" i="26"/>
  <c r="AR12" i="26"/>
  <c r="AQ12" i="26"/>
  <c r="AP12" i="26"/>
  <c r="AO12" i="26"/>
  <c r="AN12" i="26"/>
  <c r="AM12" i="26"/>
  <c r="AL12" i="26"/>
  <c r="AK12" i="26"/>
  <c r="AJ12" i="26"/>
  <c r="AI12" i="26"/>
  <c r="AH12" i="26"/>
  <c r="AG12" i="26"/>
  <c r="AF12" i="26"/>
  <c r="AE12" i="26"/>
  <c r="AD12" i="26"/>
  <c r="AC12" i="26"/>
  <c r="AB12" i="26"/>
  <c r="AA12" i="26"/>
  <c r="Z12" i="26"/>
  <c r="Y12" i="26"/>
  <c r="X12" i="26"/>
  <c r="W12" i="26"/>
  <c r="V12" i="26"/>
  <c r="U12" i="26"/>
  <c r="T12" i="26"/>
  <c r="S12" i="26"/>
  <c r="R12" i="26"/>
  <c r="Q12" i="26"/>
  <c r="P12" i="26"/>
  <c r="O12" i="26"/>
  <c r="N12" i="26"/>
  <c r="M12" i="26"/>
  <c r="L12" i="26"/>
  <c r="K12" i="26"/>
  <c r="J12" i="26"/>
  <c r="I12" i="26"/>
  <c r="H12" i="26"/>
  <c r="G12" i="26"/>
  <c r="F12" i="26"/>
  <c r="E12" i="26"/>
  <c r="D12" i="26"/>
  <c r="C12" i="26"/>
  <c r="B12" i="26"/>
  <c r="BC11" i="26"/>
  <c r="BB11" i="26"/>
  <c r="BA11" i="26"/>
  <c r="AZ11" i="26"/>
  <c r="AY11" i="26"/>
  <c r="AX11" i="26"/>
  <c r="AW11" i="26"/>
  <c r="AV11" i="26"/>
  <c r="AU11" i="26"/>
  <c r="AT11" i="26"/>
  <c r="AS11" i="26"/>
  <c r="AR11" i="26"/>
  <c r="AQ11" i="26"/>
  <c r="AP11" i="26"/>
  <c r="AO11" i="26"/>
  <c r="AN11" i="26"/>
  <c r="AM11" i="26"/>
  <c r="AL11" i="26"/>
  <c r="AK11" i="26"/>
  <c r="AJ11" i="26"/>
  <c r="AI11" i="26"/>
  <c r="AH11" i="26"/>
  <c r="AG11" i="26"/>
  <c r="AF11" i="26"/>
  <c r="AE11" i="26"/>
  <c r="AD11" i="26"/>
  <c r="AC11" i="26"/>
  <c r="AB11" i="26"/>
  <c r="AA11" i="26"/>
  <c r="Z11" i="26"/>
  <c r="Y11" i="26"/>
  <c r="X11" i="26"/>
  <c r="W11" i="26"/>
  <c r="V11" i="26"/>
  <c r="U11" i="26"/>
  <c r="T11" i="26"/>
  <c r="S11" i="26"/>
  <c r="R11" i="26"/>
  <c r="Q11" i="26"/>
  <c r="P11" i="26"/>
  <c r="O11" i="26"/>
  <c r="N11" i="26"/>
  <c r="M11" i="26"/>
  <c r="L11" i="26"/>
  <c r="K11" i="26"/>
  <c r="J11" i="26"/>
  <c r="I11" i="26"/>
  <c r="H11" i="26"/>
  <c r="G11" i="26"/>
  <c r="F11" i="26"/>
  <c r="E11" i="26"/>
  <c r="D11" i="26"/>
  <c r="C11" i="26"/>
  <c r="B11" i="26"/>
  <c r="BC10" i="26"/>
  <c r="BB10" i="26"/>
  <c r="BA10" i="26"/>
  <c r="AZ10" i="26"/>
  <c r="AY10" i="26"/>
  <c r="AX10" i="26"/>
  <c r="AW10" i="26"/>
  <c r="AV10" i="26"/>
  <c r="AU10" i="26"/>
  <c r="AT10" i="26"/>
  <c r="AS10" i="26"/>
  <c r="AR10" i="26"/>
  <c r="AQ10" i="26"/>
  <c r="AP10" i="26"/>
  <c r="AO10" i="26"/>
  <c r="AN10" i="26"/>
  <c r="AM10" i="26"/>
  <c r="AL10" i="26"/>
  <c r="AK10" i="26"/>
  <c r="AJ10" i="26"/>
  <c r="AI10" i="26"/>
  <c r="AH10" i="26"/>
  <c r="AG10" i="26"/>
  <c r="AF10" i="26"/>
  <c r="AE10" i="26"/>
  <c r="AD10" i="26"/>
  <c r="AC10" i="26"/>
  <c r="AB10" i="26"/>
  <c r="AA10" i="26"/>
  <c r="Z10" i="26"/>
  <c r="Y10" i="26"/>
  <c r="X10" i="26"/>
  <c r="W10" i="26"/>
  <c r="V10" i="26"/>
  <c r="U10" i="26"/>
  <c r="T10" i="26"/>
  <c r="S10" i="26"/>
  <c r="R10" i="26"/>
  <c r="Q10" i="26"/>
  <c r="P10" i="26"/>
  <c r="O10" i="26"/>
  <c r="N10" i="26"/>
  <c r="M10" i="26"/>
  <c r="L10" i="26"/>
  <c r="K10" i="26"/>
  <c r="J10" i="26"/>
  <c r="I10" i="26"/>
  <c r="H10" i="26"/>
  <c r="G10" i="26"/>
  <c r="F10" i="26"/>
  <c r="E10" i="26"/>
  <c r="D10" i="26"/>
  <c r="C10" i="26"/>
  <c r="B10" i="26"/>
  <c r="BC9" i="26"/>
  <c r="BB9" i="26"/>
  <c r="BA9" i="26"/>
  <c r="AZ9" i="26"/>
  <c r="AY9" i="26"/>
  <c r="AX9" i="26"/>
  <c r="AW9" i="26"/>
  <c r="AV9" i="26"/>
  <c r="AU9" i="26"/>
  <c r="AT9" i="26"/>
  <c r="AS9" i="26"/>
  <c r="AR9" i="26"/>
  <c r="AQ9" i="26"/>
  <c r="AP9" i="26"/>
  <c r="AO9" i="26"/>
  <c r="AN9" i="26"/>
  <c r="AM9" i="26"/>
  <c r="AL9" i="26"/>
  <c r="AK9" i="26"/>
  <c r="AJ9" i="26"/>
  <c r="AI9" i="26"/>
  <c r="AH9" i="26"/>
  <c r="AG9" i="26"/>
  <c r="AF9" i="26"/>
  <c r="AE9" i="26"/>
  <c r="AD9" i="26"/>
  <c r="AC9" i="26"/>
  <c r="AB9" i="26"/>
  <c r="AA9" i="26"/>
  <c r="Z9" i="26"/>
  <c r="Y9" i="26"/>
  <c r="X9" i="26"/>
  <c r="W9" i="26"/>
  <c r="V9" i="26"/>
  <c r="U9" i="26"/>
  <c r="T9" i="26"/>
  <c r="S9" i="26"/>
  <c r="R9" i="26"/>
  <c r="Q9" i="26"/>
  <c r="P9" i="26"/>
  <c r="O9" i="26"/>
  <c r="N9" i="26"/>
  <c r="M9" i="26"/>
  <c r="L9" i="26"/>
  <c r="K9" i="26"/>
  <c r="J9" i="26"/>
  <c r="I9" i="26"/>
  <c r="H9" i="26"/>
  <c r="G9" i="26"/>
  <c r="F9" i="26"/>
  <c r="E9" i="26"/>
  <c r="D9" i="26"/>
  <c r="C9" i="26"/>
  <c r="B9" i="26"/>
  <c r="BC8" i="26"/>
  <c r="BB8" i="26"/>
  <c r="BA8" i="26"/>
  <c r="AZ8" i="26"/>
  <c r="AY8" i="26"/>
  <c r="AX8" i="26"/>
  <c r="AW8" i="26"/>
  <c r="AV8" i="26"/>
  <c r="AU8" i="26"/>
  <c r="AT8" i="26"/>
  <c r="AS8" i="26"/>
  <c r="AR8" i="26"/>
  <c r="AQ8" i="26"/>
  <c r="AP8" i="26"/>
  <c r="AO8" i="26"/>
  <c r="AN8" i="26"/>
  <c r="AM8" i="26"/>
  <c r="AL8" i="26"/>
  <c r="AK8" i="26"/>
  <c r="AJ8" i="26"/>
  <c r="AI8" i="26"/>
  <c r="AH8" i="26"/>
  <c r="AG8" i="26"/>
  <c r="AF8" i="26"/>
  <c r="AE8" i="26"/>
  <c r="AD8" i="26"/>
  <c r="AC8" i="26"/>
  <c r="AB8" i="26"/>
  <c r="AA8" i="26"/>
  <c r="Z8" i="26"/>
  <c r="Y8" i="26"/>
  <c r="X8" i="26"/>
  <c r="W8" i="26"/>
  <c r="V8" i="26"/>
  <c r="U8" i="26"/>
  <c r="T8" i="26"/>
  <c r="S8" i="26"/>
  <c r="R8" i="26"/>
  <c r="Q8" i="26"/>
  <c r="P8" i="26"/>
  <c r="O8" i="26"/>
  <c r="N8" i="26"/>
  <c r="M8" i="26"/>
  <c r="L8" i="26"/>
  <c r="K8" i="26"/>
  <c r="J8" i="26"/>
  <c r="I8" i="26"/>
  <c r="H8" i="26"/>
  <c r="G8" i="26"/>
  <c r="F8" i="26"/>
  <c r="E8" i="26"/>
  <c r="D8" i="26"/>
  <c r="C8" i="26"/>
  <c r="B8" i="26"/>
  <c r="BC7" i="26"/>
  <c r="BB7" i="26"/>
  <c r="BA7" i="26"/>
  <c r="AZ7" i="26"/>
  <c r="AY7" i="26"/>
  <c r="AX7" i="26"/>
  <c r="AW7" i="26"/>
  <c r="AV7" i="26"/>
  <c r="AU7" i="26"/>
  <c r="AT7" i="26"/>
  <c r="AS7" i="26"/>
  <c r="AR7" i="26"/>
  <c r="AQ7" i="26"/>
  <c r="AP7" i="26"/>
  <c r="AO7" i="26"/>
  <c r="AN7" i="26"/>
  <c r="AM7" i="26"/>
  <c r="AL7" i="26"/>
  <c r="AK7" i="26"/>
  <c r="AJ7" i="26"/>
  <c r="AI7" i="26"/>
  <c r="AH7" i="26"/>
  <c r="AG7" i="26"/>
  <c r="AF7" i="26"/>
  <c r="AE7" i="26"/>
  <c r="AD7" i="26"/>
  <c r="AC7" i="26"/>
  <c r="AB7" i="26"/>
  <c r="AA7" i="26"/>
  <c r="Z7" i="26"/>
  <c r="Y7" i="26"/>
  <c r="X7" i="26"/>
  <c r="W7" i="26"/>
  <c r="V7" i="26"/>
  <c r="U7" i="26"/>
  <c r="T7" i="26"/>
  <c r="S7" i="26"/>
  <c r="R7" i="26"/>
  <c r="Q7" i="26"/>
  <c r="P7" i="26"/>
  <c r="O7" i="26"/>
  <c r="N7" i="26"/>
  <c r="M7" i="26"/>
  <c r="L7" i="26"/>
  <c r="K7" i="26"/>
  <c r="J7" i="26"/>
  <c r="I7" i="26"/>
  <c r="H7" i="26"/>
  <c r="G7" i="26"/>
  <c r="F7" i="26"/>
  <c r="E7" i="26"/>
  <c r="D7" i="26"/>
  <c r="C7" i="26"/>
  <c r="B7" i="26"/>
  <c r="BC6" i="26"/>
  <c r="BB6" i="26"/>
  <c r="BA6" i="26"/>
  <c r="AZ6" i="26"/>
  <c r="AY6" i="26"/>
  <c r="AX6" i="26"/>
  <c r="AW6" i="26"/>
  <c r="AV6" i="26"/>
  <c r="AU6" i="26"/>
  <c r="AT6" i="26"/>
  <c r="AS6" i="26"/>
  <c r="AR6" i="26"/>
  <c r="AQ6" i="26"/>
  <c r="AP6" i="26"/>
  <c r="AO6" i="26"/>
  <c r="AN6" i="26"/>
  <c r="AM6" i="26"/>
  <c r="AL6" i="26"/>
  <c r="AK6" i="26"/>
  <c r="AJ6" i="26"/>
  <c r="AI6" i="26"/>
  <c r="AH6" i="26"/>
  <c r="AG6" i="26"/>
  <c r="AF6" i="26"/>
  <c r="AE6" i="26"/>
  <c r="AD6" i="26"/>
  <c r="AC6" i="26"/>
  <c r="AB6" i="26"/>
  <c r="AA6" i="26"/>
  <c r="Z6" i="26"/>
  <c r="Y6" i="26"/>
  <c r="X6" i="26"/>
  <c r="W6" i="26"/>
  <c r="V6" i="26"/>
  <c r="U6" i="26"/>
  <c r="T6" i="26"/>
  <c r="S6" i="26"/>
  <c r="R6" i="26"/>
  <c r="Q6" i="26"/>
  <c r="P6" i="26"/>
  <c r="O6" i="26"/>
  <c r="N6" i="26"/>
  <c r="M6" i="26"/>
  <c r="L6" i="26"/>
  <c r="K6" i="26"/>
  <c r="J6" i="26"/>
  <c r="I6" i="26"/>
  <c r="H6" i="26"/>
  <c r="G6" i="26"/>
  <c r="F6" i="26"/>
  <c r="E6" i="26"/>
  <c r="D6" i="26"/>
  <c r="C6" i="26"/>
  <c r="B6" i="26"/>
  <c r="AP405" i="25"/>
  <c r="AO405" i="25"/>
  <c r="AN405" i="25"/>
  <c r="AM405" i="25"/>
  <c r="AL405" i="25"/>
  <c r="AK405" i="25"/>
  <c r="AJ405" i="25"/>
  <c r="AI405" i="25"/>
  <c r="AH405" i="25"/>
  <c r="AG405" i="25"/>
  <c r="AF405" i="25"/>
  <c r="AE405" i="25"/>
  <c r="AD405" i="25"/>
  <c r="AC405" i="25"/>
  <c r="AB405" i="25"/>
  <c r="AA405" i="25"/>
  <c r="Z405" i="25"/>
  <c r="Y405" i="25"/>
  <c r="X405" i="25"/>
  <c r="W405" i="25"/>
  <c r="V405" i="25"/>
  <c r="U405" i="25"/>
  <c r="T405" i="25"/>
  <c r="S405" i="25"/>
  <c r="R405" i="25"/>
  <c r="Q405" i="25"/>
  <c r="P405" i="25"/>
  <c r="O405" i="25"/>
  <c r="N405" i="25"/>
  <c r="M405" i="25"/>
  <c r="L405" i="25"/>
  <c r="K405" i="25"/>
  <c r="J405" i="25"/>
  <c r="I405" i="25"/>
  <c r="H405" i="25"/>
  <c r="G405" i="25"/>
  <c r="F405" i="25"/>
  <c r="E405" i="25"/>
  <c r="D405" i="25"/>
  <c r="C405" i="25"/>
  <c r="B405" i="25"/>
  <c r="A405" i="25"/>
  <c r="AP404" i="25"/>
  <c r="AO404" i="25"/>
  <c r="AN404" i="25"/>
  <c r="AM404" i="25"/>
  <c r="AL404" i="25"/>
  <c r="AK404" i="25"/>
  <c r="AJ404" i="25"/>
  <c r="AI404" i="25"/>
  <c r="AH404" i="25"/>
  <c r="AG404" i="25"/>
  <c r="AF404" i="25"/>
  <c r="AE404" i="25"/>
  <c r="AD404" i="25"/>
  <c r="AC404" i="25"/>
  <c r="AB404" i="25"/>
  <c r="AA404" i="25"/>
  <c r="Z404" i="25"/>
  <c r="Y404" i="25"/>
  <c r="X404" i="25"/>
  <c r="W404" i="25"/>
  <c r="V404" i="25"/>
  <c r="U404" i="25"/>
  <c r="T404" i="25"/>
  <c r="S404" i="25"/>
  <c r="R404" i="25"/>
  <c r="Q404" i="25"/>
  <c r="P404" i="25"/>
  <c r="O404" i="25"/>
  <c r="N404" i="25"/>
  <c r="M404" i="25"/>
  <c r="L404" i="25"/>
  <c r="K404" i="25"/>
  <c r="J404" i="25"/>
  <c r="I404" i="25"/>
  <c r="H404" i="25"/>
  <c r="G404" i="25"/>
  <c r="F404" i="25"/>
  <c r="E404" i="25"/>
  <c r="D404" i="25"/>
  <c r="C404" i="25"/>
  <c r="B404" i="25"/>
  <c r="A404" i="25"/>
  <c r="AP403" i="25"/>
  <c r="AO403" i="25"/>
  <c r="AN403" i="25"/>
  <c r="AM403" i="25"/>
  <c r="AL403" i="25"/>
  <c r="AK403" i="25"/>
  <c r="AJ403" i="25"/>
  <c r="AI403" i="25"/>
  <c r="AH403" i="25"/>
  <c r="AG403" i="25"/>
  <c r="AF403" i="25"/>
  <c r="AE403" i="25"/>
  <c r="AD403" i="25"/>
  <c r="AC403" i="25"/>
  <c r="AB403" i="25"/>
  <c r="AA403" i="25"/>
  <c r="Z403" i="25"/>
  <c r="Y403" i="25"/>
  <c r="X403" i="25"/>
  <c r="W403" i="25"/>
  <c r="V403" i="25"/>
  <c r="U403" i="25"/>
  <c r="T403" i="25"/>
  <c r="S403" i="25"/>
  <c r="R403" i="25"/>
  <c r="Q403" i="25"/>
  <c r="P403" i="25"/>
  <c r="O403" i="25"/>
  <c r="N403" i="25"/>
  <c r="M403" i="25"/>
  <c r="L403" i="25"/>
  <c r="K403" i="25"/>
  <c r="J403" i="25"/>
  <c r="I403" i="25"/>
  <c r="H403" i="25"/>
  <c r="G403" i="25"/>
  <c r="F403" i="25"/>
  <c r="E403" i="25"/>
  <c r="D403" i="25"/>
  <c r="C403" i="25"/>
  <c r="B403" i="25"/>
  <c r="A403" i="25"/>
  <c r="AP402" i="25"/>
  <c r="AO402" i="25"/>
  <c r="AN402" i="25"/>
  <c r="AM402" i="25"/>
  <c r="AL402" i="25"/>
  <c r="AK402" i="25"/>
  <c r="AJ402" i="25"/>
  <c r="AI402" i="25"/>
  <c r="AH402" i="25"/>
  <c r="AG402" i="25"/>
  <c r="AF402" i="25"/>
  <c r="AE402" i="25"/>
  <c r="AD402" i="25"/>
  <c r="AC402" i="25"/>
  <c r="AB402" i="25"/>
  <c r="AA402" i="25"/>
  <c r="Z402" i="25"/>
  <c r="Y402" i="25"/>
  <c r="X402" i="25"/>
  <c r="W402" i="25"/>
  <c r="V402" i="25"/>
  <c r="U402" i="25"/>
  <c r="T402" i="25"/>
  <c r="S402" i="25"/>
  <c r="R402" i="25"/>
  <c r="Q402" i="25"/>
  <c r="P402" i="25"/>
  <c r="O402" i="25"/>
  <c r="N402" i="25"/>
  <c r="M402" i="25"/>
  <c r="L402" i="25"/>
  <c r="K402" i="25"/>
  <c r="J402" i="25"/>
  <c r="I402" i="25"/>
  <c r="H402" i="25"/>
  <c r="G402" i="25"/>
  <c r="F402" i="25"/>
  <c r="E402" i="25"/>
  <c r="D402" i="25"/>
  <c r="C402" i="25"/>
  <c r="B402" i="25"/>
  <c r="A402" i="25"/>
  <c r="AP401" i="25"/>
  <c r="AO401" i="25"/>
  <c r="AN401" i="25"/>
  <c r="AM401" i="25"/>
  <c r="AL401" i="25"/>
  <c r="AK401" i="25"/>
  <c r="AJ401" i="25"/>
  <c r="AI401" i="25"/>
  <c r="AH401" i="25"/>
  <c r="AG401" i="25"/>
  <c r="AF401" i="25"/>
  <c r="AE401" i="25"/>
  <c r="AD401" i="25"/>
  <c r="AC401" i="25"/>
  <c r="AB401" i="25"/>
  <c r="AA401" i="25"/>
  <c r="Z401" i="25"/>
  <c r="Y401" i="25"/>
  <c r="X401" i="25"/>
  <c r="W401" i="25"/>
  <c r="V401" i="25"/>
  <c r="U401" i="25"/>
  <c r="T401" i="25"/>
  <c r="S401" i="25"/>
  <c r="R401" i="25"/>
  <c r="Q401" i="25"/>
  <c r="P401" i="25"/>
  <c r="O401" i="25"/>
  <c r="N401" i="25"/>
  <c r="M401" i="25"/>
  <c r="L401" i="25"/>
  <c r="K401" i="25"/>
  <c r="J401" i="25"/>
  <c r="I401" i="25"/>
  <c r="H401" i="25"/>
  <c r="G401" i="25"/>
  <c r="F401" i="25"/>
  <c r="E401" i="25"/>
  <c r="D401" i="25"/>
  <c r="C401" i="25"/>
  <c r="B401" i="25"/>
  <c r="A401" i="25"/>
  <c r="AP400" i="25"/>
  <c r="AO400" i="25"/>
  <c r="AN400" i="25"/>
  <c r="AM400" i="25"/>
  <c r="AL400" i="25"/>
  <c r="AK400" i="25"/>
  <c r="AJ400" i="25"/>
  <c r="AI400" i="25"/>
  <c r="AH400" i="25"/>
  <c r="AG400" i="25"/>
  <c r="AF400" i="25"/>
  <c r="AE400" i="25"/>
  <c r="AD400" i="25"/>
  <c r="AC400" i="25"/>
  <c r="AB400" i="25"/>
  <c r="AA400" i="25"/>
  <c r="Z400" i="25"/>
  <c r="Y400" i="25"/>
  <c r="X400" i="25"/>
  <c r="W400" i="25"/>
  <c r="V400" i="25"/>
  <c r="U400" i="25"/>
  <c r="T400" i="25"/>
  <c r="S400" i="25"/>
  <c r="R400" i="25"/>
  <c r="Q400" i="25"/>
  <c r="P400" i="25"/>
  <c r="O400" i="25"/>
  <c r="N400" i="25"/>
  <c r="M400" i="25"/>
  <c r="L400" i="25"/>
  <c r="K400" i="25"/>
  <c r="J400" i="25"/>
  <c r="I400" i="25"/>
  <c r="H400" i="25"/>
  <c r="G400" i="25"/>
  <c r="F400" i="25"/>
  <c r="E400" i="25"/>
  <c r="D400" i="25"/>
  <c r="C400" i="25"/>
  <c r="B400" i="25"/>
  <c r="A400" i="25"/>
  <c r="AP399" i="25"/>
  <c r="AO399" i="25"/>
  <c r="AN399" i="25"/>
  <c r="AM399" i="25"/>
  <c r="AL399" i="25"/>
  <c r="AK399" i="25"/>
  <c r="AJ399" i="25"/>
  <c r="AI399" i="25"/>
  <c r="AH399" i="25"/>
  <c r="AG399" i="25"/>
  <c r="AF399" i="25"/>
  <c r="AE399" i="25"/>
  <c r="AD399" i="25"/>
  <c r="AC399" i="25"/>
  <c r="AB399" i="25"/>
  <c r="AA399" i="25"/>
  <c r="Z399" i="25"/>
  <c r="Y399" i="25"/>
  <c r="X399" i="25"/>
  <c r="W399" i="25"/>
  <c r="V399" i="25"/>
  <c r="U399" i="25"/>
  <c r="T399" i="25"/>
  <c r="S399" i="25"/>
  <c r="R399" i="25"/>
  <c r="Q399" i="25"/>
  <c r="P399" i="25"/>
  <c r="O399" i="25"/>
  <c r="N399" i="25"/>
  <c r="M399" i="25"/>
  <c r="L399" i="25"/>
  <c r="K399" i="25"/>
  <c r="J399" i="25"/>
  <c r="I399" i="25"/>
  <c r="H399" i="25"/>
  <c r="G399" i="25"/>
  <c r="F399" i="25"/>
  <c r="E399" i="25"/>
  <c r="D399" i="25"/>
  <c r="C399" i="25"/>
  <c r="B399" i="25"/>
  <c r="A399" i="25"/>
  <c r="AP398" i="25"/>
  <c r="AO398" i="25"/>
  <c r="AN398" i="25"/>
  <c r="AM398" i="25"/>
  <c r="AL398" i="25"/>
  <c r="AK398" i="25"/>
  <c r="AJ398" i="25"/>
  <c r="AI398" i="25"/>
  <c r="AH398" i="25"/>
  <c r="AG398" i="25"/>
  <c r="AF398" i="25"/>
  <c r="AE398" i="25"/>
  <c r="AD398" i="25"/>
  <c r="AC398" i="25"/>
  <c r="AB398" i="25"/>
  <c r="AA398" i="25"/>
  <c r="Z398" i="25"/>
  <c r="Y398" i="25"/>
  <c r="X398" i="25"/>
  <c r="W398" i="25"/>
  <c r="V398" i="25"/>
  <c r="U398" i="25"/>
  <c r="T398" i="25"/>
  <c r="S398" i="25"/>
  <c r="R398" i="25"/>
  <c r="Q398" i="25"/>
  <c r="P398" i="25"/>
  <c r="O398" i="25"/>
  <c r="N398" i="25"/>
  <c r="M398" i="25"/>
  <c r="L398" i="25"/>
  <c r="K398" i="25"/>
  <c r="J398" i="25"/>
  <c r="I398" i="25"/>
  <c r="H398" i="25"/>
  <c r="G398" i="25"/>
  <c r="F398" i="25"/>
  <c r="E398" i="25"/>
  <c r="D398" i="25"/>
  <c r="C398" i="25"/>
  <c r="B398" i="25"/>
  <c r="A398" i="25"/>
  <c r="AP397" i="25"/>
  <c r="AO397" i="25"/>
  <c r="AN397" i="25"/>
  <c r="AM397" i="25"/>
  <c r="AL397" i="25"/>
  <c r="AK397" i="25"/>
  <c r="AJ397" i="25"/>
  <c r="AI397" i="25"/>
  <c r="AH397" i="25"/>
  <c r="AG397" i="25"/>
  <c r="AF397" i="25"/>
  <c r="AE397" i="25"/>
  <c r="AD397" i="25"/>
  <c r="AC397" i="25"/>
  <c r="AB397" i="25"/>
  <c r="AA397" i="25"/>
  <c r="Z397" i="25"/>
  <c r="Y397" i="25"/>
  <c r="X397" i="25"/>
  <c r="W397" i="25"/>
  <c r="V397" i="25"/>
  <c r="U397" i="25"/>
  <c r="T397" i="25"/>
  <c r="S397" i="25"/>
  <c r="R397" i="25"/>
  <c r="Q397" i="25"/>
  <c r="P397" i="25"/>
  <c r="O397" i="25"/>
  <c r="N397" i="25"/>
  <c r="M397" i="25"/>
  <c r="L397" i="25"/>
  <c r="K397" i="25"/>
  <c r="J397" i="25"/>
  <c r="I397" i="25"/>
  <c r="H397" i="25"/>
  <c r="G397" i="25"/>
  <c r="F397" i="25"/>
  <c r="E397" i="25"/>
  <c r="D397" i="25"/>
  <c r="C397" i="25"/>
  <c r="B397" i="25"/>
  <c r="A397" i="25"/>
  <c r="AP396" i="25"/>
  <c r="AO396" i="25"/>
  <c r="AN396" i="25"/>
  <c r="AM396" i="25"/>
  <c r="AL396" i="25"/>
  <c r="AK396" i="25"/>
  <c r="AJ396" i="25"/>
  <c r="AI396" i="25"/>
  <c r="AH396" i="25"/>
  <c r="AG396" i="25"/>
  <c r="AF396" i="25"/>
  <c r="AE396" i="25"/>
  <c r="AD396" i="25"/>
  <c r="AC396" i="25"/>
  <c r="AB396" i="25"/>
  <c r="AA396" i="25"/>
  <c r="Z396" i="25"/>
  <c r="Y396" i="25"/>
  <c r="X396" i="25"/>
  <c r="W396" i="25"/>
  <c r="V396" i="25"/>
  <c r="U396" i="25"/>
  <c r="T396" i="25"/>
  <c r="S396" i="25"/>
  <c r="R396" i="25"/>
  <c r="Q396" i="25"/>
  <c r="P396" i="25"/>
  <c r="O396" i="25"/>
  <c r="N396" i="25"/>
  <c r="M396" i="25"/>
  <c r="L396" i="25"/>
  <c r="K396" i="25"/>
  <c r="J396" i="25"/>
  <c r="I396" i="25"/>
  <c r="H396" i="25"/>
  <c r="G396" i="25"/>
  <c r="F396" i="25"/>
  <c r="E396" i="25"/>
  <c r="D396" i="25"/>
  <c r="C396" i="25"/>
  <c r="B396" i="25"/>
  <c r="A396" i="25"/>
  <c r="AP395" i="25"/>
  <c r="AO395" i="25"/>
  <c r="AN395" i="25"/>
  <c r="AM395" i="25"/>
  <c r="AL395" i="25"/>
  <c r="AK395" i="25"/>
  <c r="AJ395" i="25"/>
  <c r="AI395" i="25"/>
  <c r="AH395" i="25"/>
  <c r="AG395" i="25"/>
  <c r="AF395" i="25"/>
  <c r="AE395" i="25"/>
  <c r="AD395" i="25"/>
  <c r="AC395" i="25"/>
  <c r="AB395" i="25"/>
  <c r="AA395" i="25"/>
  <c r="Z395" i="25"/>
  <c r="Y395" i="25"/>
  <c r="X395" i="25"/>
  <c r="W395" i="25"/>
  <c r="V395" i="25"/>
  <c r="U395" i="25"/>
  <c r="T395" i="25"/>
  <c r="S395" i="25"/>
  <c r="R395" i="25"/>
  <c r="Q395" i="25"/>
  <c r="P395" i="25"/>
  <c r="O395" i="25"/>
  <c r="N395" i="25"/>
  <c r="M395" i="25"/>
  <c r="L395" i="25"/>
  <c r="K395" i="25"/>
  <c r="J395" i="25"/>
  <c r="I395" i="25"/>
  <c r="H395" i="25"/>
  <c r="G395" i="25"/>
  <c r="F395" i="25"/>
  <c r="E395" i="25"/>
  <c r="D395" i="25"/>
  <c r="C395" i="25"/>
  <c r="B395" i="25"/>
  <c r="A395" i="25"/>
  <c r="AP394" i="25"/>
  <c r="AO394" i="25"/>
  <c r="AN394" i="25"/>
  <c r="AM394" i="25"/>
  <c r="AL394" i="25"/>
  <c r="AK394" i="25"/>
  <c r="AJ394" i="25"/>
  <c r="AI394" i="25"/>
  <c r="AH394" i="25"/>
  <c r="AG394" i="25"/>
  <c r="AF394" i="25"/>
  <c r="AE394" i="25"/>
  <c r="AD394" i="25"/>
  <c r="AC394" i="25"/>
  <c r="AB394" i="25"/>
  <c r="AA394" i="25"/>
  <c r="Z394" i="25"/>
  <c r="Y394" i="25"/>
  <c r="X394" i="25"/>
  <c r="W394" i="25"/>
  <c r="V394" i="25"/>
  <c r="U394" i="25"/>
  <c r="T394" i="25"/>
  <c r="S394" i="25"/>
  <c r="R394" i="25"/>
  <c r="Q394" i="25"/>
  <c r="P394" i="25"/>
  <c r="O394" i="25"/>
  <c r="N394" i="25"/>
  <c r="M394" i="25"/>
  <c r="L394" i="25"/>
  <c r="K394" i="25"/>
  <c r="J394" i="25"/>
  <c r="I394" i="25"/>
  <c r="H394" i="25"/>
  <c r="G394" i="25"/>
  <c r="F394" i="25"/>
  <c r="E394" i="25"/>
  <c r="D394" i="25"/>
  <c r="C394" i="25"/>
  <c r="B394" i="25"/>
  <c r="A394" i="25"/>
  <c r="AP393" i="25"/>
  <c r="AO393" i="25"/>
  <c r="AN393" i="25"/>
  <c r="AM393" i="25"/>
  <c r="AL393" i="25"/>
  <c r="AK393" i="25"/>
  <c r="AJ393" i="25"/>
  <c r="AI393" i="25"/>
  <c r="AH393" i="25"/>
  <c r="AG393" i="25"/>
  <c r="AF393" i="25"/>
  <c r="AE393" i="25"/>
  <c r="AD393" i="25"/>
  <c r="AC393" i="25"/>
  <c r="AB393" i="25"/>
  <c r="AA393" i="25"/>
  <c r="Z393" i="25"/>
  <c r="Y393" i="25"/>
  <c r="X393" i="25"/>
  <c r="W393" i="25"/>
  <c r="V393" i="25"/>
  <c r="U393" i="25"/>
  <c r="T393" i="25"/>
  <c r="S393" i="25"/>
  <c r="R393" i="25"/>
  <c r="Q393" i="25"/>
  <c r="P393" i="25"/>
  <c r="O393" i="25"/>
  <c r="N393" i="25"/>
  <c r="M393" i="25"/>
  <c r="L393" i="25"/>
  <c r="K393" i="25"/>
  <c r="J393" i="25"/>
  <c r="I393" i="25"/>
  <c r="H393" i="25"/>
  <c r="G393" i="25"/>
  <c r="F393" i="25"/>
  <c r="E393" i="25"/>
  <c r="D393" i="25"/>
  <c r="C393" i="25"/>
  <c r="B393" i="25"/>
  <c r="A393" i="25"/>
  <c r="AP392" i="25"/>
  <c r="AO392" i="25"/>
  <c r="AN392" i="25"/>
  <c r="AM392" i="25"/>
  <c r="AL392" i="25"/>
  <c r="AK392" i="25"/>
  <c r="AJ392" i="25"/>
  <c r="AI392" i="25"/>
  <c r="AH392" i="25"/>
  <c r="AG392" i="25"/>
  <c r="AF392" i="25"/>
  <c r="AE392" i="25"/>
  <c r="AD392" i="25"/>
  <c r="AC392" i="25"/>
  <c r="AB392" i="25"/>
  <c r="AA392" i="25"/>
  <c r="Z392" i="25"/>
  <c r="Y392" i="25"/>
  <c r="X392" i="25"/>
  <c r="W392" i="25"/>
  <c r="V392" i="25"/>
  <c r="U392" i="25"/>
  <c r="T392" i="25"/>
  <c r="S392" i="25"/>
  <c r="R392" i="25"/>
  <c r="Q392" i="25"/>
  <c r="P392" i="25"/>
  <c r="O392" i="25"/>
  <c r="N392" i="25"/>
  <c r="M392" i="25"/>
  <c r="L392" i="25"/>
  <c r="K392" i="25"/>
  <c r="J392" i="25"/>
  <c r="I392" i="25"/>
  <c r="H392" i="25"/>
  <c r="G392" i="25"/>
  <c r="F392" i="25"/>
  <c r="E392" i="25"/>
  <c r="D392" i="25"/>
  <c r="C392" i="25"/>
  <c r="B392" i="25"/>
  <c r="A392" i="25"/>
  <c r="AP391" i="25"/>
  <c r="AO391" i="25"/>
  <c r="AN391" i="25"/>
  <c r="AM391" i="25"/>
  <c r="AL391" i="25"/>
  <c r="AK391" i="25"/>
  <c r="AJ391" i="25"/>
  <c r="AI391" i="25"/>
  <c r="AH391" i="25"/>
  <c r="AG391" i="25"/>
  <c r="AF391" i="25"/>
  <c r="AE391" i="25"/>
  <c r="AD391" i="25"/>
  <c r="AC391" i="25"/>
  <c r="AB391" i="25"/>
  <c r="AA391" i="25"/>
  <c r="Z391" i="25"/>
  <c r="Y391" i="25"/>
  <c r="X391" i="25"/>
  <c r="W391" i="25"/>
  <c r="V391" i="25"/>
  <c r="U391" i="25"/>
  <c r="T391" i="25"/>
  <c r="S391" i="25"/>
  <c r="R391" i="25"/>
  <c r="Q391" i="25"/>
  <c r="P391" i="25"/>
  <c r="O391" i="25"/>
  <c r="N391" i="25"/>
  <c r="M391" i="25"/>
  <c r="L391" i="25"/>
  <c r="K391" i="25"/>
  <c r="J391" i="25"/>
  <c r="I391" i="25"/>
  <c r="H391" i="25"/>
  <c r="G391" i="25"/>
  <c r="F391" i="25"/>
  <c r="E391" i="25"/>
  <c r="D391" i="25"/>
  <c r="C391" i="25"/>
  <c r="B391" i="25"/>
  <c r="A391" i="25"/>
  <c r="AP390" i="25"/>
  <c r="AO390" i="25"/>
  <c r="AN390" i="25"/>
  <c r="AM390" i="25"/>
  <c r="AL390" i="25"/>
  <c r="AK390" i="25"/>
  <c r="AJ390" i="25"/>
  <c r="AI390" i="25"/>
  <c r="AH390" i="25"/>
  <c r="AG390" i="25"/>
  <c r="AF390" i="25"/>
  <c r="AE390" i="25"/>
  <c r="AD390" i="25"/>
  <c r="AC390" i="25"/>
  <c r="AB390" i="25"/>
  <c r="AA390" i="25"/>
  <c r="Z390" i="25"/>
  <c r="Y390" i="25"/>
  <c r="X390" i="25"/>
  <c r="W390" i="25"/>
  <c r="V390" i="25"/>
  <c r="U390" i="25"/>
  <c r="T390" i="25"/>
  <c r="S390" i="25"/>
  <c r="R390" i="25"/>
  <c r="Q390" i="25"/>
  <c r="P390" i="25"/>
  <c r="O390" i="25"/>
  <c r="N390" i="25"/>
  <c r="M390" i="25"/>
  <c r="L390" i="25"/>
  <c r="K390" i="25"/>
  <c r="J390" i="25"/>
  <c r="I390" i="25"/>
  <c r="H390" i="25"/>
  <c r="G390" i="25"/>
  <c r="F390" i="25"/>
  <c r="E390" i="25"/>
  <c r="D390" i="25"/>
  <c r="C390" i="25"/>
  <c r="B390" i="25"/>
  <c r="A390" i="25"/>
  <c r="AP389" i="25"/>
  <c r="AO389" i="25"/>
  <c r="AN389" i="25"/>
  <c r="AM389" i="25"/>
  <c r="AL389" i="25"/>
  <c r="AK389" i="25"/>
  <c r="AJ389" i="25"/>
  <c r="AI389" i="25"/>
  <c r="AH389" i="25"/>
  <c r="AG389" i="25"/>
  <c r="AF389" i="25"/>
  <c r="AE389" i="25"/>
  <c r="AD389" i="25"/>
  <c r="AC389" i="25"/>
  <c r="AB389" i="25"/>
  <c r="AA389" i="25"/>
  <c r="Z389" i="25"/>
  <c r="Y389" i="25"/>
  <c r="X389" i="25"/>
  <c r="W389" i="25"/>
  <c r="V389" i="25"/>
  <c r="U389" i="25"/>
  <c r="T389" i="25"/>
  <c r="S389" i="25"/>
  <c r="R389" i="25"/>
  <c r="Q389" i="25"/>
  <c r="P389" i="25"/>
  <c r="O389" i="25"/>
  <c r="N389" i="25"/>
  <c r="M389" i="25"/>
  <c r="L389" i="25"/>
  <c r="K389" i="25"/>
  <c r="J389" i="25"/>
  <c r="I389" i="25"/>
  <c r="H389" i="25"/>
  <c r="G389" i="25"/>
  <c r="F389" i="25"/>
  <c r="E389" i="25"/>
  <c r="D389" i="25"/>
  <c r="C389" i="25"/>
  <c r="B389" i="25"/>
  <c r="A389" i="25"/>
  <c r="AP388" i="25"/>
  <c r="AO388" i="25"/>
  <c r="AN388" i="25"/>
  <c r="AM388" i="25"/>
  <c r="AL388" i="25"/>
  <c r="AK388" i="25"/>
  <c r="AJ388" i="25"/>
  <c r="AI388" i="25"/>
  <c r="AH388" i="25"/>
  <c r="AG388" i="25"/>
  <c r="AF388" i="25"/>
  <c r="AE388" i="25"/>
  <c r="AD388" i="25"/>
  <c r="AC388" i="25"/>
  <c r="AB388" i="25"/>
  <c r="AA388" i="25"/>
  <c r="Z388" i="25"/>
  <c r="Y388" i="25"/>
  <c r="X388" i="25"/>
  <c r="W388" i="25"/>
  <c r="V388" i="25"/>
  <c r="U388" i="25"/>
  <c r="T388" i="25"/>
  <c r="S388" i="25"/>
  <c r="R388" i="25"/>
  <c r="Q388" i="25"/>
  <c r="P388" i="25"/>
  <c r="O388" i="25"/>
  <c r="N388" i="25"/>
  <c r="M388" i="25"/>
  <c r="L388" i="25"/>
  <c r="K388" i="25"/>
  <c r="J388" i="25"/>
  <c r="I388" i="25"/>
  <c r="H388" i="25"/>
  <c r="G388" i="25"/>
  <c r="F388" i="25"/>
  <c r="E388" i="25"/>
  <c r="D388" i="25"/>
  <c r="C388" i="25"/>
  <c r="B388" i="25"/>
  <c r="A388" i="25"/>
  <c r="AP387" i="25"/>
  <c r="AO387" i="25"/>
  <c r="AN387" i="25"/>
  <c r="AM387" i="25"/>
  <c r="AL387" i="25"/>
  <c r="AK387" i="25"/>
  <c r="AJ387" i="25"/>
  <c r="AI387" i="25"/>
  <c r="AH387" i="25"/>
  <c r="AG387" i="25"/>
  <c r="AF387" i="25"/>
  <c r="AE387" i="25"/>
  <c r="AD387" i="25"/>
  <c r="AC387" i="25"/>
  <c r="AB387" i="25"/>
  <c r="AA387" i="25"/>
  <c r="Z387" i="25"/>
  <c r="Y387" i="25"/>
  <c r="X387" i="25"/>
  <c r="W387" i="25"/>
  <c r="V387" i="25"/>
  <c r="U387" i="25"/>
  <c r="T387" i="25"/>
  <c r="S387" i="25"/>
  <c r="R387" i="25"/>
  <c r="Q387" i="25"/>
  <c r="P387" i="25"/>
  <c r="O387" i="25"/>
  <c r="N387" i="25"/>
  <c r="M387" i="25"/>
  <c r="L387" i="25"/>
  <c r="K387" i="25"/>
  <c r="J387" i="25"/>
  <c r="I387" i="25"/>
  <c r="H387" i="25"/>
  <c r="G387" i="25"/>
  <c r="F387" i="25"/>
  <c r="E387" i="25"/>
  <c r="D387" i="25"/>
  <c r="C387" i="25"/>
  <c r="B387" i="25"/>
  <c r="A387" i="25"/>
  <c r="AP386" i="25"/>
  <c r="AO386" i="25"/>
  <c r="AN386" i="25"/>
  <c r="AM386" i="25"/>
  <c r="AL386" i="25"/>
  <c r="AK386" i="25"/>
  <c r="AJ386" i="25"/>
  <c r="AI386" i="25"/>
  <c r="AH386" i="25"/>
  <c r="AG386" i="25"/>
  <c r="AF386" i="25"/>
  <c r="AE386" i="25"/>
  <c r="AD386" i="25"/>
  <c r="AC386" i="25"/>
  <c r="AB386" i="25"/>
  <c r="AA386" i="25"/>
  <c r="Z386" i="25"/>
  <c r="Y386" i="25"/>
  <c r="X386" i="25"/>
  <c r="W386" i="25"/>
  <c r="V386" i="25"/>
  <c r="U386" i="25"/>
  <c r="T386" i="25"/>
  <c r="S386" i="25"/>
  <c r="R386" i="25"/>
  <c r="Q386" i="25"/>
  <c r="P386" i="25"/>
  <c r="O386" i="25"/>
  <c r="N386" i="25"/>
  <c r="M386" i="25"/>
  <c r="L386" i="25"/>
  <c r="K386" i="25"/>
  <c r="J386" i="25"/>
  <c r="I386" i="25"/>
  <c r="H386" i="25"/>
  <c r="G386" i="25"/>
  <c r="F386" i="25"/>
  <c r="E386" i="25"/>
  <c r="D386" i="25"/>
  <c r="C386" i="25"/>
  <c r="B386" i="25"/>
  <c r="A386" i="25"/>
  <c r="AP385" i="25"/>
  <c r="AO385" i="25"/>
  <c r="AN385" i="25"/>
  <c r="AM385" i="25"/>
  <c r="AL385" i="25"/>
  <c r="AK385" i="25"/>
  <c r="AJ385" i="25"/>
  <c r="AI385" i="25"/>
  <c r="AH385" i="25"/>
  <c r="AG385" i="25"/>
  <c r="AF385" i="25"/>
  <c r="AE385" i="25"/>
  <c r="AD385" i="25"/>
  <c r="AC385" i="25"/>
  <c r="AB385" i="25"/>
  <c r="AA385" i="25"/>
  <c r="Z385" i="25"/>
  <c r="Y385" i="25"/>
  <c r="X385" i="25"/>
  <c r="W385" i="25"/>
  <c r="V385" i="25"/>
  <c r="U385" i="25"/>
  <c r="T385" i="25"/>
  <c r="S385" i="25"/>
  <c r="R385" i="25"/>
  <c r="Q385" i="25"/>
  <c r="P385" i="25"/>
  <c r="O385" i="25"/>
  <c r="N385" i="25"/>
  <c r="M385" i="25"/>
  <c r="L385" i="25"/>
  <c r="K385" i="25"/>
  <c r="J385" i="25"/>
  <c r="I385" i="25"/>
  <c r="H385" i="25"/>
  <c r="G385" i="25"/>
  <c r="F385" i="25"/>
  <c r="E385" i="25"/>
  <c r="D385" i="25"/>
  <c r="C385" i="25"/>
  <c r="B385" i="25"/>
  <c r="A385" i="25"/>
  <c r="AP384" i="25"/>
  <c r="AO384" i="25"/>
  <c r="AN384" i="25"/>
  <c r="AM384" i="25"/>
  <c r="AL384" i="25"/>
  <c r="AK384" i="25"/>
  <c r="AJ384" i="25"/>
  <c r="AI384" i="25"/>
  <c r="AH384" i="25"/>
  <c r="AG384" i="25"/>
  <c r="AF384" i="25"/>
  <c r="AE384" i="25"/>
  <c r="AD384" i="25"/>
  <c r="AC384" i="25"/>
  <c r="AB384" i="25"/>
  <c r="AA384" i="25"/>
  <c r="Z384" i="25"/>
  <c r="Y384" i="25"/>
  <c r="X384" i="25"/>
  <c r="W384" i="25"/>
  <c r="V384" i="25"/>
  <c r="U384" i="25"/>
  <c r="T384" i="25"/>
  <c r="S384" i="25"/>
  <c r="R384" i="25"/>
  <c r="Q384" i="25"/>
  <c r="P384" i="25"/>
  <c r="O384" i="25"/>
  <c r="N384" i="25"/>
  <c r="M384" i="25"/>
  <c r="L384" i="25"/>
  <c r="K384" i="25"/>
  <c r="J384" i="25"/>
  <c r="I384" i="25"/>
  <c r="H384" i="25"/>
  <c r="G384" i="25"/>
  <c r="F384" i="25"/>
  <c r="E384" i="25"/>
  <c r="D384" i="25"/>
  <c r="C384" i="25"/>
  <c r="B384" i="25"/>
  <c r="A384" i="25"/>
  <c r="AP383" i="25"/>
  <c r="AO383" i="25"/>
  <c r="AN383" i="25"/>
  <c r="AM383" i="25"/>
  <c r="AL383" i="25"/>
  <c r="AK383" i="25"/>
  <c r="AJ383" i="25"/>
  <c r="AI383" i="25"/>
  <c r="AH383" i="25"/>
  <c r="AG383" i="25"/>
  <c r="AF383" i="25"/>
  <c r="AE383" i="25"/>
  <c r="AD383" i="25"/>
  <c r="AC383" i="25"/>
  <c r="AB383" i="25"/>
  <c r="AA383" i="25"/>
  <c r="Z383" i="25"/>
  <c r="Y383" i="25"/>
  <c r="X383" i="25"/>
  <c r="W383" i="25"/>
  <c r="V383" i="25"/>
  <c r="U383" i="25"/>
  <c r="T383" i="25"/>
  <c r="S383" i="25"/>
  <c r="R383" i="25"/>
  <c r="Q383" i="25"/>
  <c r="P383" i="25"/>
  <c r="O383" i="25"/>
  <c r="N383" i="25"/>
  <c r="M383" i="25"/>
  <c r="L383" i="25"/>
  <c r="K383" i="25"/>
  <c r="J383" i="25"/>
  <c r="I383" i="25"/>
  <c r="H383" i="25"/>
  <c r="G383" i="25"/>
  <c r="F383" i="25"/>
  <c r="E383" i="25"/>
  <c r="D383" i="25"/>
  <c r="C383" i="25"/>
  <c r="B383" i="25"/>
  <c r="A383" i="25"/>
  <c r="AP382" i="25"/>
  <c r="AO382" i="25"/>
  <c r="AN382" i="25"/>
  <c r="AM382" i="25"/>
  <c r="AL382" i="25"/>
  <c r="AK382" i="25"/>
  <c r="AJ382" i="25"/>
  <c r="AI382" i="25"/>
  <c r="AH382" i="25"/>
  <c r="AG382" i="25"/>
  <c r="AF382" i="25"/>
  <c r="AE382" i="25"/>
  <c r="AD382" i="25"/>
  <c r="AC382" i="25"/>
  <c r="AB382" i="25"/>
  <c r="AA382" i="25"/>
  <c r="Z382" i="25"/>
  <c r="Y382" i="25"/>
  <c r="X382" i="25"/>
  <c r="W382" i="25"/>
  <c r="V382" i="25"/>
  <c r="U382" i="25"/>
  <c r="T382" i="25"/>
  <c r="S382" i="25"/>
  <c r="R382" i="25"/>
  <c r="Q382" i="25"/>
  <c r="P382" i="25"/>
  <c r="O382" i="25"/>
  <c r="N382" i="25"/>
  <c r="M382" i="25"/>
  <c r="L382" i="25"/>
  <c r="K382" i="25"/>
  <c r="J382" i="25"/>
  <c r="I382" i="25"/>
  <c r="H382" i="25"/>
  <c r="G382" i="25"/>
  <c r="F382" i="25"/>
  <c r="E382" i="25"/>
  <c r="D382" i="25"/>
  <c r="C382" i="25"/>
  <c r="B382" i="25"/>
  <c r="A382" i="25"/>
  <c r="AP381" i="25"/>
  <c r="AO381" i="25"/>
  <c r="AN381" i="25"/>
  <c r="AM381" i="25"/>
  <c r="AL381" i="25"/>
  <c r="AK381" i="25"/>
  <c r="AJ381" i="25"/>
  <c r="AI381" i="25"/>
  <c r="AH381" i="25"/>
  <c r="AG381" i="25"/>
  <c r="AF381" i="25"/>
  <c r="AE381" i="25"/>
  <c r="AD381" i="25"/>
  <c r="AC381" i="25"/>
  <c r="AB381" i="25"/>
  <c r="AA381" i="25"/>
  <c r="Z381" i="25"/>
  <c r="Y381" i="25"/>
  <c r="X381" i="25"/>
  <c r="W381" i="25"/>
  <c r="V381" i="25"/>
  <c r="U381" i="25"/>
  <c r="T381" i="25"/>
  <c r="S381" i="25"/>
  <c r="R381" i="25"/>
  <c r="Q381" i="25"/>
  <c r="P381" i="25"/>
  <c r="O381" i="25"/>
  <c r="N381" i="25"/>
  <c r="M381" i="25"/>
  <c r="L381" i="25"/>
  <c r="K381" i="25"/>
  <c r="J381" i="25"/>
  <c r="I381" i="25"/>
  <c r="H381" i="25"/>
  <c r="G381" i="25"/>
  <c r="F381" i="25"/>
  <c r="E381" i="25"/>
  <c r="D381" i="25"/>
  <c r="C381" i="25"/>
  <c r="B381" i="25"/>
  <c r="A381" i="25"/>
  <c r="AP380" i="25"/>
  <c r="AO380" i="25"/>
  <c r="AN380" i="25"/>
  <c r="AM380" i="25"/>
  <c r="AL380" i="25"/>
  <c r="AK380" i="25"/>
  <c r="AJ380" i="25"/>
  <c r="AI380" i="25"/>
  <c r="AH380" i="25"/>
  <c r="AG380" i="25"/>
  <c r="AF380" i="25"/>
  <c r="AE380" i="25"/>
  <c r="AD380" i="25"/>
  <c r="AC380" i="25"/>
  <c r="AB380" i="25"/>
  <c r="AA380" i="25"/>
  <c r="Z380" i="25"/>
  <c r="Y380" i="25"/>
  <c r="X380" i="25"/>
  <c r="W380" i="25"/>
  <c r="V380" i="25"/>
  <c r="U380" i="25"/>
  <c r="T380" i="25"/>
  <c r="S380" i="25"/>
  <c r="R380" i="25"/>
  <c r="Q380" i="25"/>
  <c r="P380" i="25"/>
  <c r="O380" i="25"/>
  <c r="N380" i="25"/>
  <c r="M380" i="25"/>
  <c r="L380" i="25"/>
  <c r="K380" i="25"/>
  <c r="J380" i="25"/>
  <c r="I380" i="25"/>
  <c r="H380" i="25"/>
  <c r="G380" i="25"/>
  <c r="F380" i="25"/>
  <c r="E380" i="25"/>
  <c r="D380" i="25"/>
  <c r="C380" i="25"/>
  <c r="B380" i="25"/>
  <c r="A380" i="25"/>
  <c r="AP379" i="25"/>
  <c r="AO379" i="25"/>
  <c r="AN379" i="25"/>
  <c r="AM379" i="25"/>
  <c r="AL379" i="25"/>
  <c r="AK379" i="25"/>
  <c r="AJ379" i="25"/>
  <c r="AI379" i="25"/>
  <c r="AH379" i="25"/>
  <c r="AG379" i="25"/>
  <c r="AF379" i="25"/>
  <c r="AE379" i="25"/>
  <c r="AD379" i="25"/>
  <c r="AC379" i="25"/>
  <c r="AB379" i="25"/>
  <c r="AA379" i="25"/>
  <c r="Z379" i="25"/>
  <c r="Y379" i="25"/>
  <c r="X379" i="25"/>
  <c r="W379" i="25"/>
  <c r="V379" i="25"/>
  <c r="U379" i="25"/>
  <c r="T379" i="25"/>
  <c r="S379" i="25"/>
  <c r="R379" i="25"/>
  <c r="Q379" i="25"/>
  <c r="P379" i="25"/>
  <c r="O379" i="25"/>
  <c r="N379" i="25"/>
  <c r="M379" i="25"/>
  <c r="L379" i="25"/>
  <c r="K379" i="25"/>
  <c r="J379" i="25"/>
  <c r="I379" i="25"/>
  <c r="H379" i="25"/>
  <c r="G379" i="25"/>
  <c r="F379" i="25"/>
  <c r="E379" i="25"/>
  <c r="D379" i="25"/>
  <c r="C379" i="25"/>
  <c r="B379" i="25"/>
  <c r="A379" i="25"/>
  <c r="AP378" i="25"/>
  <c r="AO378" i="25"/>
  <c r="AN378" i="25"/>
  <c r="AM378" i="25"/>
  <c r="AL378" i="25"/>
  <c r="AK378" i="25"/>
  <c r="AJ378" i="25"/>
  <c r="AI378" i="25"/>
  <c r="AH378" i="25"/>
  <c r="AG378" i="25"/>
  <c r="AF378" i="25"/>
  <c r="AE378" i="25"/>
  <c r="AD378" i="25"/>
  <c r="AC378" i="25"/>
  <c r="AB378" i="25"/>
  <c r="AA378" i="25"/>
  <c r="Z378" i="25"/>
  <c r="Y378" i="25"/>
  <c r="X378" i="25"/>
  <c r="W378" i="25"/>
  <c r="V378" i="25"/>
  <c r="U378" i="25"/>
  <c r="T378" i="25"/>
  <c r="S378" i="25"/>
  <c r="R378" i="25"/>
  <c r="Q378" i="25"/>
  <c r="P378" i="25"/>
  <c r="O378" i="25"/>
  <c r="N378" i="25"/>
  <c r="M378" i="25"/>
  <c r="L378" i="25"/>
  <c r="K378" i="25"/>
  <c r="J378" i="25"/>
  <c r="I378" i="25"/>
  <c r="H378" i="25"/>
  <c r="G378" i="25"/>
  <c r="F378" i="25"/>
  <c r="E378" i="25"/>
  <c r="D378" i="25"/>
  <c r="C378" i="25"/>
  <c r="B378" i="25"/>
  <c r="A378" i="25"/>
  <c r="AP377" i="25"/>
  <c r="AO377" i="25"/>
  <c r="AN377" i="25"/>
  <c r="AM377" i="25"/>
  <c r="AL377" i="25"/>
  <c r="AK377" i="25"/>
  <c r="AJ377" i="25"/>
  <c r="AI377" i="25"/>
  <c r="AH377" i="25"/>
  <c r="AG377" i="25"/>
  <c r="AF377" i="25"/>
  <c r="AE377" i="25"/>
  <c r="AD377" i="25"/>
  <c r="AC377" i="25"/>
  <c r="AB377" i="25"/>
  <c r="AA377" i="25"/>
  <c r="Z377" i="25"/>
  <c r="Y377" i="25"/>
  <c r="X377" i="25"/>
  <c r="W377" i="25"/>
  <c r="V377" i="25"/>
  <c r="U377" i="25"/>
  <c r="T377" i="25"/>
  <c r="S377" i="25"/>
  <c r="R377" i="25"/>
  <c r="Q377" i="25"/>
  <c r="P377" i="25"/>
  <c r="O377" i="25"/>
  <c r="N377" i="25"/>
  <c r="M377" i="25"/>
  <c r="L377" i="25"/>
  <c r="K377" i="25"/>
  <c r="J377" i="25"/>
  <c r="I377" i="25"/>
  <c r="H377" i="25"/>
  <c r="G377" i="25"/>
  <c r="F377" i="25"/>
  <c r="E377" i="25"/>
  <c r="D377" i="25"/>
  <c r="C377" i="25"/>
  <c r="B377" i="25"/>
  <c r="A377" i="25"/>
  <c r="AP376" i="25"/>
  <c r="AO376" i="25"/>
  <c r="AN376" i="25"/>
  <c r="AM376" i="25"/>
  <c r="AL376" i="25"/>
  <c r="AK376" i="25"/>
  <c r="AJ376" i="25"/>
  <c r="AI376" i="25"/>
  <c r="AH376" i="25"/>
  <c r="AG376" i="25"/>
  <c r="AF376" i="25"/>
  <c r="AE376" i="25"/>
  <c r="AD376" i="25"/>
  <c r="AC376" i="25"/>
  <c r="AB376" i="25"/>
  <c r="AA376" i="25"/>
  <c r="Z376" i="25"/>
  <c r="Y376" i="25"/>
  <c r="X376" i="25"/>
  <c r="W376" i="25"/>
  <c r="V376" i="25"/>
  <c r="U376" i="25"/>
  <c r="T376" i="25"/>
  <c r="S376" i="25"/>
  <c r="R376" i="25"/>
  <c r="Q376" i="25"/>
  <c r="P376" i="25"/>
  <c r="O376" i="25"/>
  <c r="N376" i="25"/>
  <c r="M376" i="25"/>
  <c r="L376" i="25"/>
  <c r="K376" i="25"/>
  <c r="J376" i="25"/>
  <c r="I376" i="25"/>
  <c r="H376" i="25"/>
  <c r="G376" i="25"/>
  <c r="F376" i="25"/>
  <c r="E376" i="25"/>
  <c r="D376" i="25"/>
  <c r="C376" i="25"/>
  <c r="B376" i="25"/>
  <c r="A376" i="25"/>
  <c r="AP375" i="25"/>
  <c r="AO375" i="25"/>
  <c r="AN375" i="25"/>
  <c r="AM375" i="25"/>
  <c r="AL375" i="25"/>
  <c r="AK375" i="25"/>
  <c r="AJ375" i="25"/>
  <c r="AI375" i="25"/>
  <c r="AH375" i="25"/>
  <c r="AG375" i="25"/>
  <c r="AF375" i="25"/>
  <c r="AE375" i="25"/>
  <c r="AD375" i="25"/>
  <c r="AC375" i="25"/>
  <c r="AB375" i="25"/>
  <c r="AA375" i="25"/>
  <c r="Z375" i="25"/>
  <c r="Y375" i="25"/>
  <c r="X375" i="25"/>
  <c r="W375" i="25"/>
  <c r="V375" i="25"/>
  <c r="U375" i="25"/>
  <c r="T375" i="25"/>
  <c r="S375" i="25"/>
  <c r="R375" i="25"/>
  <c r="Q375" i="25"/>
  <c r="P375" i="25"/>
  <c r="O375" i="25"/>
  <c r="N375" i="25"/>
  <c r="M375" i="25"/>
  <c r="L375" i="25"/>
  <c r="K375" i="25"/>
  <c r="J375" i="25"/>
  <c r="I375" i="25"/>
  <c r="H375" i="25"/>
  <c r="G375" i="25"/>
  <c r="F375" i="25"/>
  <c r="E375" i="25"/>
  <c r="D375" i="25"/>
  <c r="C375" i="25"/>
  <c r="B375" i="25"/>
  <c r="A375" i="25"/>
  <c r="AP374" i="25"/>
  <c r="AO374" i="25"/>
  <c r="AN374" i="25"/>
  <c r="AM374" i="25"/>
  <c r="AL374" i="25"/>
  <c r="AK374" i="25"/>
  <c r="AJ374" i="25"/>
  <c r="AI374" i="25"/>
  <c r="AH374" i="25"/>
  <c r="AG374" i="25"/>
  <c r="AF374" i="25"/>
  <c r="AE374" i="25"/>
  <c r="AD374" i="25"/>
  <c r="AC374" i="25"/>
  <c r="AB374" i="25"/>
  <c r="AA374" i="25"/>
  <c r="Z374" i="25"/>
  <c r="Y374" i="25"/>
  <c r="X374" i="25"/>
  <c r="W374" i="25"/>
  <c r="V374" i="25"/>
  <c r="U374" i="25"/>
  <c r="T374" i="25"/>
  <c r="S374" i="25"/>
  <c r="R374" i="25"/>
  <c r="Q374" i="25"/>
  <c r="P374" i="25"/>
  <c r="O374" i="25"/>
  <c r="N374" i="25"/>
  <c r="M374" i="25"/>
  <c r="L374" i="25"/>
  <c r="K374" i="25"/>
  <c r="J374" i="25"/>
  <c r="I374" i="25"/>
  <c r="H374" i="25"/>
  <c r="G374" i="25"/>
  <c r="F374" i="25"/>
  <c r="E374" i="25"/>
  <c r="D374" i="25"/>
  <c r="C374" i="25"/>
  <c r="B374" i="25"/>
  <c r="A374" i="25"/>
  <c r="AP373" i="25"/>
  <c r="AO373" i="25"/>
  <c r="AN373" i="25"/>
  <c r="AM373" i="25"/>
  <c r="AL373" i="25"/>
  <c r="AK373" i="25"/>
  <c r="AJ373" i="25"/>
  <c r="AI373" i="25"/>
  <c r="AH373" i="25"/>
  <c r="AG373" i="25"/>
  <c r="AF373" i="25"/>
  <c r="AE373" i="25"/>
  <c r="AD373" i="25"/>
  <c r="AC373" i="25"/>
  <c r="AB373" i="25"/>
  <c r="AA373" i="25"/>
  <c r="Z373" i="25"/>
  <c r="Y373" i="25"/>
  <c r="X373" i="25"/>
  <c r="W373" i="25"/>
  <c r="V373" i="25"/>
  <c r="U373" i="25"/>
  <c r="T373" i="25"/>
  <c r="S373" i="25"/>
  <c r="R373" i="25"/>
  <c r="Q373" i="25"/>
  <c r="P373" i="25"/>
  <c r="O373" i="25"/>
  <c r="N373" i="25"/>
  <c r="M373" i="25"/>
  <c r="L373" i="25"/>
  <c r="K373" i="25"/>
  <c r="J373" i="25"/>
  <c r="I373" i="25"/>
  <c r="H373" i="25"/>
  <c r="G373" i="25"/>
  <c r="F373" i="25"/>
  <c r="E373" i="25"/>
  <c r="D373" i="25"/>
  <c r="C373" i="25"/>
  <c r="B373" i="25"/>
  <c r="A373" i="25"/>
  <c r="AP372" i="25"/>
  <c r="AO372" i="25"/>
  <c r="AN372" i="25"/>
  <c r="AM372" i="25"/>
  <c r="AL372" i="25"/>
  <c r="AK372" i="25"/>
  <c r="AJ372" i="25"/>
  <c r="AI372" i="25"/>
  <c r="AH372" i="25"/>
  <c r="AG372" i="25"/>
  <c r="AF372" i="25"/>
  <c r="AE372" i="25"/>
  <c r="AD372" i="25"/>
  <c r="AC372" i="25"/>
  <c r="AB372" i="25"/>
  <c r="AA372" i="25"/>
  <c r="Z372" i="25"/>
  <c r="Y372" i="25"/>
  <c r="X372" i="25"/>
  <c r="W372" i="25"/>
  <c r="V372" i="25"/>
  <c r="U372" i="25"/>
  <c r="T372" i="25"/>
  <c r="S372" i="25"/>
  <c r="R372" i="25"/>
  <c r="Q372" i="25"/>
  <c r="P372" i="25"/>
  <c r="O372" i="25"/>
  <c r="N372" i="25"/>
  <c r="M372" i="25"/>
  <c r="L372" i="25"/>
  <c r="K372" i="25"/>
  <c r="J372" i="25"/>
  <c r="I372" i="25"/>
  <c r="H372" i="25"/>
  <c r="G372" i="25"/>
  <c r="F372" i="25"/>
  <c r="E372" i="25"/>
  <c r="D372" i="25"/>
  <c r="C372" i="25"/>
  <c r="B372" i="25"/>
  <c r="A372" i="25"/>
  <c r="AP371" i="25"/>
  <c r="AO371" i="25"/>
  <c r="AN371" i="25"/>
  <c r="AM371" i="25"/>
  <c r="AL371" i="25"/>
  <c r="AK371" i="25"/>
  <c r="AJ371" i="25"/>
  <c r="AI371" i="25"/>
  <c r="AH371" i="25"/>
  <c r="AG371" i="25"/>
  <c r="AF371" i="25"/>
  <c r="AE371" i="25"/>
  <c r="AD371" i="25"/>
  <c r="AC371" i="25"/>
  <c r="AB371" i="25"/>
  <c r="AA371" i="25"/>
  <c r="Z371" i="25"/>
  <c r="Y371" i="25"/>
  <c r="X371" i="25"/>
  <c r="W371" i="25"/>
  <c r="V371" i="25"/>
  <c r="U371" i="25"/>
  <c r="T371" i="25"/>
  <c r="S371" i="25"/>
  <c r="R371" i="25"/>
  <c r="Q371" i="25"/>
  <c r="P371" i="25"/>
  <c r="O371" i="25"/>
  <c r="N371" i="25"/>
  <c r="M371" i="25"/>
  <c r="L371" i="25"/>
  <c r="K371" i="25"/>
  <c r="J371" i="25"/>
  <c r="I371" i="25"/>
  <c r="H371" i="25"/>
  <c r="G371" i="25"/>
  <c r="F371" i="25"/>
  <c r="E371" i="25"/>
  <c r="D371" i="25"/>
  <c r="C371" i="25"/>
  <c r="B371" i="25"/>
  <c r="A371" i="25"/>
  <c r="AP370" i="25"/>
  <c r="AO370" i="25"/>
  <c r="AN370" i="25"/>
  <c r="AM370" i="25"/>
  <c r="AL370" i="25"/>
  <c r="AK370" i="25"/>
  <c r="AJ370" i="25"/>
  <c r="AI370" i="25"/>
  <c r="AH370" i="25"/>
  <c r="AG370" i="25"/>
  <c r="AF370" i="25"/>
  <c r="AE370" i="25"/>
  <c r="AD370" i="25"/>
  <c r="AC370" i="25"/>
  <c r="AB370" i="25"/>
  <c r="AA370" i="25"/>
  <c r="Z370" i="25"/>
  <c r="Y370" i="25"/>
  <c r="X370" i="25"/>
  <c r="W370" i="25"/>
  <c r="V370" i="25"/>
  <c r="U370" i="25"/>
  <c r="T370" i="25"/>
  <c r="S370" i="25"/>
  <c r="R370" i="25"/>
  <c r="Q370" i="25"/>
  <c r="P370" i="25"/>
  <c r="O370" i="25"/>
  <c r="N370" i="25"/>
  <c r="M370" i="25"/>
  <c r="L370" i="25"/>
  <c r="K370" i="25"/>
  <c r="J370" i="25"/>
  <c r="I370" i="25"/>
  <c r="H370" i="25"/>
  <c r="G370" i="25"/>
  <c r="F370" i="25"/>
  <c r="E370" i="25"/>
  <c r="D370" i="25"/>
  <c r="C370" i="25"/>
  <c r="B370" i="25"/>
  <c r="A370" i="25"/>
  <c r="AP369" i="25"/>
  <c r="AO369" i="25"/>
  <c r="AN369" i="25"/>
  <c r="AM369" i="25"/>
  <c r="AL369" i="25"/>
  <c r="AK369" i="25"/>
  <c r="AJ369" i="25"/>
  <c r="AI369" i="25"/>
  <c r="AH369" i="25"/>
  <c r="AG369" i="25"/>
  <c r="AF369" i="25"/>
  <c r="AE369" i="25"/>
  <c r="AD369" i="25"/>
  <c r="AC369" i="25"/>
  <c r="AB369" i="25"/>
  <c r="AA369" i="25"/>
  <c r="Z369" i="25"/>
  <c r="Y369" i="25"/>
  <c r="X369" i="25"/>
  <c r="W369" i="25"/>
  <c r="V369" i="25"/>
  <c r="U369" i="25"/>
  <c r="T369" i="25"/>
  <c r="S369" i="25"/>
  <c r="R369" i="25"/>
  <c r="Q369" i="25"/>
  <c r="P369" i="25"/>
  <c r="O369" i="25"/>
  <c r="N369" i="25"/>
  <c r="M369" i="25"/>
  <c r="L369" i="25"/>
  <c r="K369" i="25"/>
  <c r="J369" i="25"/>
  <c r="I369" i="25"/>
  <c r="H369" i="25"/>
  <c r="G369" i="25"/>
  <c r="F369" i="25"/>
  <c r="E369" i="25"/>
  <c r="D369" i="25"/>
  <c r="C369" i="25"/>
  <c r="B369" i="25"/>
  <c r="A369" i="25"/>
  <c r="AP368" i="25"/>
  <c r="AO368" i="25"/>
  <c r="AN368" i="25"/>
  <c r="AM368" i="25"/>
  <c r="AL368" i="25"/>
  <c r="AK368" i="25"/>
  <c r="AJ368" i="25"/>
  <c r="AI368" i="25"/>
  <c r="AH368" i="25"/>
  <c r="AG368" i="25"/>
  <c r="AF368" i="25"/>
  <c r="AE368" i="25"/>
  <c r="AD368" i="25"/>
  <c r="AC368" i="25"/>
  <c r="AB368" i="25"/>
  <c r="AA368" i="25"/>
  <c r="Z368" i="25"/>
  <c r="Y368" i="25"/>
  <c r="X368" i="25"/>
  <c r="W368" i="25"/>
  <c r="V368" i="25"/>
  <c r="U368" i="25"/>
  <c r="T368" i="25"/>
  <c r="S368" i="25"/>
  <c r="R368" i="25"/>
  <c r="Q368" i="25"/>
  <c r="P368" i="25"/>
  <c r="O368" i="25"/>
  <c r="N368" i="25"/>
  <c r="M368" i="25"/>
  <c r="L368" i="25"/>
  <c r="K368" i="25"/>
  <c r="J368" i="25"/>
  <c r="I368" i="25"/>
  <c r="H368" i="25"/>
  <c r="G368" i="25"/>
  <c r="F368" i="25"/>
  <c r="E368" i="25"/>
  <c r="D368" i="25"/>
  <c r="C368" i="25"/>
  <c r="B368" i="25"/>
  <c r="A368" i="25"/>
  <c r="AP367" i="25"/>
  <c r="AO367" i="25"/>
  <c r="AN367" i="25"/>
  <c r="AM367" i="25"/>
  <c r="AL367" i="25"/>
  <c r="AK367" i="25"/>
  <c r="AJ367" i="25"/>
  <c r="AI367" i="25"/>
  <c r="AH367" i="25"/>
  <c r="AG367" i="25"/>
  <c r="AF367" i="25"/>
  <c r="AE367" i="25"/>
  <c r="AD367" i="25"/>
  <c r="AC367" i="25"/>
  <c r="AB367" i="25"/>
  <c r="AA367" i="25"/>
  <c r="Z367" i="25"/>
  <c r="Y367" i="25"/>
  <c r="X367" i="25"/>
  <c r="W367" i="25"/>
  <c r="V367" i="25"/>
  <c r="U367" i="25"/>
  <c r="T367" i="25"/>
  <c r="S367" i="25"/>
  <c r="R367" i="25"/>
  <c r="Q367" i="25"/>
  <c r="P367" i="25"/>
  <c r="O367" i="25"/>
  <c r="N367" i="25"/>
  <c r="M367" i="25"/>
  <c r="L367" i="25"/>
  <c r="K367" i="25"/>
  <c r="J367" i="25"/>
  <c r="I367" i="25"/>
  <c r="H367" i="25"/>
  <c r="G367" i="25"/>
  <c r="F367" i="25"/>
  <c r="E367" i="25"/>
  <c r="D367" i="25"/>
  <c r="C367" i="25"/>
  <c r="B367" i="25"/>
  <c r="A367" i="25"/>
  <c r="AP366" i="25"/>
  <c r="AO366" i="25"/>
  <c r="AN366" i="25"/>
  <c r="AM366" i="25"/>
  <c r="AL366" i="25"/>
  <c r="AK366" i="25"/>
  <c r="AJ366" i="25"/>
  <c r="AI366" i="25"/>
  <c r="AH366" i="25"/>
  <c r="AG366" i="25"/>
  <c r="AF366" i="25"/>
  <c r="AE366" i="25"/>
  <c r="AD366" i="25"/>
  <c r="AC366" i="25"/>
  <c r="AB366" i="25"/>
  <c r="AA366" i="25"/>
  <c r="Z366" i="25"/>
  <c r="Y366" i="25"/>
  <c r="X366" i="25"/>
  <c r="W366" i="25"/>
  <c r="V366" i="25"/>
  <c r="U366" i="25"/>
  <c r="T366" i="25"/>
  <c r="S366" i="25"/>
  <c r="R366" i="25"/>
  <c r="Q366" i="25"/>
  <c r="P366" i="25"/>
  <c r="O366" i="25"/>
  <c r="N366" i="25"/>
  <c r="M366" i="25"/>
  <c r="L366" i="25"/>
  <c r="K366" i="25"/>
  <c r="J366" i="25"/>
  <c r="I366" i="25"/>
  <c r="H366" i="25"/>
  <c r="G366" i="25"/>
  <c r="F366" i="25"/>
  <c r="E366" i="25"/>
  <c r="D366" i="25"/>
  <c r="C366" i="25"/>
  <c r="B366" i="25"/>
  <c r="A366" i="25"/>
  <c r="AP365" i="25"/>
  <c r="AO365" i="25"/>
  <c r="AN365" i="25"/>
  <c r="AM365" i="25"/>
  <c r="AL365" i="25"/>
  <c r="AK365" i="25"/>
  <c r="AJ365" i="25"/>
  <c r="AI365" i="25"/>
  <c r="AH365" i="25"/>
  <c r="AG365" i="25"/>
  <c r="AF365" i="25"/>
  <c r="AE365" i="25"/>
  <c r="AD365" i="25"/>
  <c r="AC365" i="25"/>
  <c r="AB365" i="25"/>
  <c r="AA365" i="25"/>
  <c r="Z365" i="25"/>
  <c r="Y365" i="25"/>
  <c r="X365" i="25"/>
  <c r="W365" i="25"/>
  <c r="V365" i="25"/>
  <c r="U365" i="25"/>
  <c r="T365" i="25"/>
  <c r="S365" i="25"/>
  <c r="R365" i="25"/>
  <c r="Q365" i="25"/>
  <c r="P365" i="25"/>
  <c r="O365" i="25"/>
  <c r="N365" i="25"/>
  <c r="M365" i="25"/>
  <c r="L365" i="25"/>
  <c r="K365" i="25"/>
  <c r="J365" i="25"/>
  <c r="I365" i="25"/>
  <c r="H365" i="25"/>
  <c r="G365" i="25"/>
  <c r="F365" i="25"/>
  <c r="E365" i="25"/>
  <c r="D365" i="25"/>
  <c r="C365" i="25"/>
  <c r="B365" i="25"/>
  <c r="A365" i="25"/>
  <c r="AP364" i="25"/>
  <c r="AO364" i="25"/>
  <c r="AN364" i="25"/>
  <c r="AM364" i="25"/>
  <c r="AL364" i="25"/>
  <c r="AK364" i="25"/>
  <c r="AJ364" i="25"/>
  <c r="AI364" i="25"/>
  <c r="AH364" i="25"/>
  <c r="AG364" i="25"/>
  <c r="AF364" i="25"/>
  <c r="AE364" i="25"/>
  <c r="AD364" i="25"/>
  <c r="AC364" i="25"/>
  <c r="AB364" i="25"/>
  <c r="AA364" i="25"/>
  <c r="Z364" i="25"/>
  <c r="Y364" i="25"/>
  <c r="X364" i="25"/>
  <c r="W364" i="25"/>
  <c r="V364" i="25"/>
  <c r="U364" i="25"/>
  <c r="T364" i="25"/>
  <c r="S364" i="25"/>
  <c r="R364" i="25"/>
  <c r="Q364" i="25"/>
  <c r="P364" i="25"/>
  <c r="O364" i="25"/>
  <c r="N364" i="25"/>
  <c r="M364" i="25"/>
  <c r="L364" i="25"/>
  <c r="K364" i="25"/>
  <c r="J364" i="25"/>
  <c r="I364" i="25"/>
  <c r="H364" i="25"/>
  <c r="G364" i="25"/>
  <c r="F364" i="25"/>
  <c r="E364" i="25"/>
  <c r="D364" i="25"/>
  <c r="C364" i="25"/>
  <c r="B364" i="25"/>
  <c r="A364" i="25"/>
  <c r="AP363" i="25"/>
  <c r="AO363" i="25"/>
  <c r="AN363" i="25"/>
  <c r="AM363" i="25"/>
  <c r="AL363" i="25"/>
  <c r="AK363" i="25"/>
  <c r="AJ363" i="25"/>
  <c r="AI363" i="25"/>
  <c r="AH363" i="25"/>
  <c r="AG363" i="25"/>
  <c r="AF363" i="25"/>
  <c r="AE363" i="25"/>
  <c r="AD363" i="25"/>
  <c r="AC363" i="25"/>
  <c r="AB363" i="25"/>
  <c r="AA363" i="25"/>
  <c r="Z363" i="25"/>
  <c r="Y363" i="25"/>
  <c r="X363" i="25"/>
  <c r="W363" i="25"/>
  <c r="V363" i="25"/>
  <c r="U363" i="25"/>
  <c r="T363" i="25"/>
  <c r="S363" i="25"/>
  <c r="R363" i="25"/>
  <c r="Q363" i="25"/>
  <c r="P363" i="25"/>
  <c r="O363" i="25"/>
  <c r="N363" i="25"/>
  <c r="M363" i="25"/>
  <c r="L363" i="25"/>
  <c r="K363" i="25"/>
  <c r="J363" i="25"/>
  <c r="I363" i="25"/>
  <c r="H363" i="25"/>
  <c r="G363" i="25"/>
  <c r="F363" i="25"/>
  <c r="E363" i="25"/>
  <c r="D363" i="25"/>
  <c r="C363" i="25"/>
  <c r="B363" i="25"/>
  <c r="A363" i="25"/>
  <c r="AP362" i="25"/>
  <c r="AO362" i="25"/>
  <c r="AN362" i="25"/>
  <c r="AM362" i="25"/>
  <c r="AL362" i="25"/>
  <c r="AK362" i="25"/>
  <c r="AJ362" i="25"/>
  <c r="AI362" i="25"/>
  <c r="AH362" i="25"/>
  <c r="AG362" i="25"/>
  <c r="AF362" i="25"/>
  <c r="AE362" i="25"/>
  <c r="AD362" i="25"/>
  <c r="AC362" i="25"/>
  <c r="AB362" i="25"/>
  <c r="AA362" i="25"/>
  <c r="Z362" i="25"/>
  <c r="Y362" i="25"/>
  <c r="X362" i="25"/>
  <c r="W362" i="25"/>
  <c r="V362" i="25"/>
  <c r="U362" i="25"/>
  <c r="T362" i="25"/>
  <c r="S362" i="25"/>
  <c r="R362" i="25"/>
  <c r="Q362" i="25"/>
  <c r="P362" i="25"/>
  <c r="O362" i="25"/>
  <c r="N362" i="25"/>
  <c r="M362" i="25"/>
  <c r="L362" i="25"/>
  <c r="K362" i="25"/>
  <c r="J362" i="25"/>
  <c r="I362" i="25"/>
  <c r="H362" i="25"/>
  <c r="G362" i="25"/>
  <c r="F362" i="25"/>
  <c r="E362" i="25"/>
  <c r="D362" i="25"/>
  <c r="C362" i="25"/>
  <c r="B362" i="25"/>
  <c r="A362" i="25"/>
  <c r="AP361" i="25"/>
  <c r="AO361" i="25"/>
  <c r="AN361" i="25"/>
  <c r="AM361" i="25"/>
  <c r="AL361" i="25"/>
  <c r="AK361" i="25"/>
  <c r="AJ361" i="25"/>
  <c r="AI361" i="25"/>
  <c r="AH361" i="25"/>
  <c r="AG361" i="25"/>
  <c r="AF361" i="25"/>
  <c r="AE361" i="25"/>
  <c r="AD361" i="25"/>
  <c r="AC361" i="25"/>
  <c r="AB361" i="25"/>
  <c r="AA361" i="25"/>
  <c r="Z361" i="25"/>
  <c r="Y361" i="25"/>
  <c r="X361" i="25"/>
  <c r="W361" i="25"/>
  <c r="V361" i="25"/>
  <c r="U361" i="25"/>
  <c r="T361" i="25"/>
  <c r="S361" i="25"/>
  <c r="R361" i="25"/>
  <c r="Q361" i="25"/>
  <c r="P361" i="25"/>
  <c r="O361" i="25"/>
  <c r="N361" i="25"/>
  <c r="M361" i="25"/>
  <c r="L361" i="25"/>
  <c r="K361" i="25"/>
  <c r="J361" i="25"/>
  <c r="I361" i="25"/>
  <c r="H361" i="25"/>
  <c r="G361" i="25"/>
  <c r="F361" i="25"/>
  <c r="E361" i="25"/>
  <c r="D361" i="25"/>
  <c r="C361" i="25"/>
  <c r="B361" i="25"/>
  <c r="A361" i="25"/>
  <c r="AP360" i="25"/>
  <c r="AO360" i="25"/>
  <c r="AN360" i="25"/>
  <c r="AM360" i="25"/>
  <c r="AL360" i="25"/>
  <c r="AK360" i="25"/>
  <c r="AJ360" i="25"/>
  <c r="AI360" i="25"/>
  <c r="AH360" i="25"/>
  <c r="AG360" i="25"/>
  <c r="AF360" i="25"/>
  <c r="AE360" i="25"/>
  <c r="AD360" i="25"/>
  <c r="AC360" i="25"/>
  <c r="AB360" i="25"/>
  <c r="AA360" i="25"/>
  <c r="Z360" i="25"/>
  <c r="Y360" i="25"/>
  <c r="X360" i="25"/>
  <c r="W360" i="25"/>
  <c r="V360" i="25"/>
  <c r="U360" i="25"/>
  <c r="T360" i="25"/>
  <c r="S360" i="25"/>
  <c r="R360" i="25"/>
  <c r="Q360" i="25"/>
  <c r="P360" i="25"/>
  <c r="O360" i="25"/>
  <c r="N360" i="25"/>
  <c r="M360" i="25"/>
  <c r="L360" i="25"/>
  <c r="K360" i="25"/>
  <c r="J360" i="25"/>
  <c r="I360" i="25"/>
  <c r="H360" i="25"/>
  <c r="G360" i="25"/>
  <c r="F360" i="25"/>
  <c r="E360" i="25"/>
  <c r="D360" i="25"/>
  <c r="C360" i="25"/>
  <c r="B360" i="25"/>
  <c r="A360" i="25"/>
  <c r="AP359" i="25"/>
  <c r="AO359" i="25"/>
  <c r="AN359" i="25"/>
  <c r="AM359" i="25"/>
  <c r="AL359" i="25"/>
  <c r="AK359" i="25"/>
  <c r="AJ359" i="25"/>
  <c r="AI359" i="25"/>
  <c r="AH359" i="25"/>
  <c r="AG359" i="25"/>
  <c r="AF359" i="25"/>
  <c r="AE359" i="25"/>
  <c r="AD359" i="25"/>
  <c r="AC359" i="25"/>
  <c r="AB359" i="25"/>
  <c r="AA359" i="25"/>
  <c r="Z359" i="25"/>
  <c r="Y359" i="25"/>
  <c r="X359" i="25"/>
  <c r="W359" i="25"/>
  <c r="V359" i="25"/>
  <c r="U359" i="25"/>
  <c r="T359" i="25"/>
  <c r="S359" i="25"/>
  <c r="R359" i="25"/>
  <c r="Q359" i="25"/>
  <c r="P359" i="25"/>
  <c r="O359" i="25"/>
  <c r="N359" i="25"/>
  <c r="M359" i="25"/>
  <c r="L359" i="25"/>
  <c r="K359" i="25"/>
  <c r="J359" i="25"/>
  <c r="I359" i="25"/>
  <c r="H359" i="25"/>
  <c r="G359" i="25"/>
  <c r="F359" i="25"/>
  <c r="E359" i="25"/>
  <c r="D359" i="25"/>
  <c r="C359" i="25"/>
  <c r="B359" i="25"/>
  <c r="A359" i="25"/>
  <c r="AP358" i="25"/>
  <c r="AO358" i="25"/>
  <c r="AN358" i="25"/>
  <c r="AM358" i="25"/>
  <c r="AL358" i="25"/>
  <c r="AK358" i="25"/>
  <c r="AJ358" i="25"/>
  <c r="AI358" i="25"/>
  <c r="AH358" i="25"/>
  <c r="AG358" i="25"/>
  <c r="AF358" i="25"/>
  <c r="AE358" i="25"/>
  <c r="AD358" i="25"/>
  <c r="AC358" i="25"/>
  <c r="AB358" i="25"/>
  <c r="AA358" i="25"/>
  <c r="Z358" i="25"/>
  <c r="Y358" i="25"/>
  <c r="X358" i="25"/>
  <c r="W358" i="25"/>
  <c r="V358" i="25"/>
  <c r="U358" i="25"/>
  <c r="T358" i="25"/>
  <c r="S358" i="25"/>
  <c r="R358" i="25"/>
  <c r="Q358" i="25"/>
  <c r="P358" i="25"/>
  <c r="O358" i="25"/>
  <c r="N358" i="25"/>
  <c r="M358" i="25"/>
  <c r="L358" i="25"/>
  <c r="K358" i="25"/>
  <c r="J358" i="25"/>
  <c r="I358" i="25"/>
  <c r="H358" i="25"/>
  <c r="G358" i="25"/>
  <c r="F358" i="25"/>
  <c r="E358" i="25"/>
  <c r="D358" i="25"/>
  <c r="C358" i="25"/>
  <c r="B358" i="25"/>
  <c r="A358" i="25"/>
  <c r="AP357" i="25"/>
  <c r="AO357" i="25"/>
  <c r="AN357" i="25"/>
  <c r="AM357" i="25"/>
  <c r="AL357" i="25"/>
  <c r="AK357" i="25"/>
  <c r="AJ357" i="25"/>
  <c r="AI357" i="25"/>
  <c r="AH357" i="25"/>
  <c r="AG357" i="25"/>
  <c r="AF357" i="25"/>
  <c r="AE357" i="25"/>
  <c r="AD357" i="25"/>
  <c r="AC357" i="25"/>
  <c r="AB357" i="25"/>
  <c r="AA357" i="25"/>
  <c r="Z357" i="25"/>
  <c r="Y357" i="25"/>
  <c r="X357" i="25"/>
  <c r="W357" i="25"/>
  <c r="V357" i="25"/>
  <c r="U357" i="25"/>
  <c r="T357" i="25"/>
  <c r="S357" i="25"/>
  <c r="R357" i="25"/>
  <c r="Q357" i="25"/>
  <c r="P357" i="25"/>
  <c r="O357" i="25"/>
  <c r="N357" i="25"/>
  <c r="M357" i="25"/>
  <c r="L357" i="25"/>
  <c r="K357" i="25"/>
  <c r="J357" i="25"/>
  <c r="I357" i="25"/>
  <c r="H357" i="25"/>
  <c r="G357" i="25"/>
  <c r="F357" i="25"/>
  <c r="E357" i="25"/>
  <c r="D357" i="25"/>
  <c r="C357" i="25"/>
  <c r="B357" i="25"/>
  <c r="A357" i="25"/>
  <c r="AP356" i="25"/>
  <c r="AO356" i="25"/>
  <c r="AN356" i="25"/>
  <c r="AM356" i="25"/>
  <c r="AL356" i="25"/>
  <c r="AK356" i="25"/>
  <c r="AJ356" i="25"/>
  <c r="AI356" i="25"/>
  <c r="AH356" i="25"/>
  <c r="AG356" i="25"/>
  <c r="AF356" i="25"/>
  <c r="AE356" i="25"/>
  <c r="AD356" i="25"/>
  <c r="AC356" i="25"/>
  <c r="AB356" i="25"/>
  <c r="AA356" i="25"/>
  <c r="Z356" i="25"/>
  <c r="Y356" i="25"/>
  <c r="X356" i="25"/>
  <c r="W356" i="25"/>
  <c r="V356" i="25"/>
  <c r="U356" i="25"/>
  <c r="T356" i="25"/>
  <c r="S356" i="25"/>
  <c r="R356" i="25"/>
  <c r="Q356" i="25"/>
  <c r="P356" i="25"/>
  <c r="O356" i="25"/>
  <c r="N356" i="25"/>
  <c r="M356" i="25"/>
  <c r="L356" i="25"/>
  <c r="K356" i="25"/>
  <c r="J356" i="25"/>
  <c r="I356" i="25"/>
  <c r="H356" i="25"/>
  <c r="G356" i="25"/>
  <c r="F356" i="25"/>
  <c r="E356" i="25"/>
  <c r="D356" i="25"/>
  <c r="C356" i="25"/>
  <c r="B356" i="25"/>
  <c r="A356" i="25"/>
  <c r="AP355" i="25"/>
  <c r="AO355" i="25"/>
  <c r="AN355" i="25"/>
  <c r="AM355" i="25"/>
  <c r="AL355" i="25"/>
  <c r="AK355" i="25"/>
  <c r="AJ355" i="25"/>
  <c r="AI355" i="25"/>
  <c r="AH355" i="25"/>
  <c r="AG355" i="25"/>
  <c r="AF355" i="25"/>
  <c r="AE355" i="25"/>
  <c r="AD355" i="25"/>
  <c r="AC355" i="25"/>
  <c r="AB355" i="25"/>
  <c r="AA355" i="25"/>
  <c r="Z355" i="25"/>
  <c r="Y355" i="25"/>
  <c r="X355" i="25"/>
  <c r="W355" i="25"/>
  <c r="V355" i="25"/>
  <c r="U355" i="25"/>
  <c r="T355" i="25"/>
  <c r="S355" i="25"/>
  <c r="R355" i="25"/>
  <c r="Q355" i="25"/>
  <c r="P355" i="25"/>
  <c r="O355" i="25"/>
  <c r="N355" i="25"/>
  <c r="M355" i="25"/>
  <c r="L355" i="25"/>
  <c r="K355" i="25"/>
  <c r="J355" i="25"/>
  <c r="I355" i="25"/>
  <c r="H355" i="25"/>
  <c r="G355" i="25"/>
  <c r="F355" i="25"/>
  <c r="E355" i="25"/>
  <c r="D355" i="25"/>
  <c r="C355" i="25"/>
  <c r="B355" i="25"/>
  <c r="A355" i="25"/>
  <c r="AP354" i="25"/>
  <c r="AO354" i="25"/>
  <c r="AN354" i="25"/>
  <c r="AM354" i="25"/>
  <c r="AL354" i="25"/>
  <c r="AK354" i="25"/>
  <c r="AJ354" i="25"/>
  <c r="AI354" i="25"/>
  <c r="AH354" i="25"/>
  <c r="AG354" i="25"/>
  <c r="AF354" i="25"/>
  <c r="AE354" i="25"/>
  <c r="AD354" i="25"/>
  <c r="AC354" i="25"/>
  <c r="AB354" i="25"/>
  <c r="AA354" i="25"/>
  <c r="Z354" i="25"/>
  <c r="Y354" i="25"/>
  <c r="X354" i="25"/>
  <c r="W354" i="25"/>
  <c r="V354" i="25"/>
  <c r="U354" i="25"/>
  <c r="T354" i="25"/>
  <c r="S354" i="25"/>
  <c r="R354" i="25"/>
  <c r="Q354" i="25"/>
  <c r="P354" i="25"/>
  <c r="O354" i="25"/>
  <c r="N354" i="25"/>
  <c r="M354" i="25"/>
  <c r="L354" i="25"/>
  <c r="K354" i="25"/>
  <c r="J354" i="25"/>
  <c r="I354" i="25"/>
  <c r="H354" i="25"/>
  <c r="G354" i="25"/>
  <c r="F354" i="25"/>
  <c r="E354" i="25"/>
  <c r="D354" i="25"/>
  <c r="C354" i="25"/>
  <c r="B354" i="25"/>
  <c r="A354" i="25"/>
  <c r="AP353" i="25"/>
  <c r="AO353" i="25"/>
  <c r="AN353" i="25"/>
  <c r="AM353" i="25"/>
  <c r="AL353" i="25"/>
  <c r="AK353" i="25"/>
  <c r="AJ353" i="25"/>
  <c r="AI353" i="25"/>
  <c r="AH353" i="25"/>
  <c r="AG353" i="25"/>
  <c r="AF353" i="25"/>
  <c r="AE353" i="25"/>
  <c r="AD353" i="25"/>
  <c r="AC353" i="25"/>
  <c r="AB353" i="25"/>
  <c r="AA353" i="25"/>
  <c r="Z353" i="25"/>
  <c r="Y353" i="25"/>
  <c r="X353" i="25"/>
  <c r="W353" i="25"/>
  <c r="V353" i="25"/>
  <c r="U353" i="25"/>
  <c r="T353" i="25"/>
  <c r="S353" i="25"/>
  <c r="R353" i="25"/>
  <c r="Q353" i="25"/>
  <c r="P353" i="25"/>
  <c r="O353" i="25"/>
  <c r="N353" i="25"/>
  <c r="M353" i="25"/>
  <c r="L353" i="25"/>
  <c r="K353" i="25"/>
  <c r="J353" i="25"/>
  <c r="I353" i="25"/>
  <c r="H353" i="25"/>
  <c r="G353" i="25"/>
  <c r="F353" i="25"/>
  <c r="E353" i="25"/>
  <c r="D353" i="25"/>
  <c r="C353" i="25"/>
  <c r="B353" i="25"/>
  <c r="A353" i="25"/>
  <c r="AP352" i="25"/>
  <c r="AO352" i="25"/>
  <c r="AN352" i="25"/>
  <c r="AM352" i="25"/>
  <c r="AL352" i="25"/>
  <c r="AK352" i="25"/>
  <c r="AJ352" i="25"/>
  <c r="AI352" i="25"/>
  <c r="AH352" i="25"/>
  <c r="AG352" i="25"/>
  <c r="AF352" i="25"/>
  <c r="AE352" i="25"/>
  <c r="AD352" i="25"/>
  <c r="AC352" i="25"/>
  <c r="AB352" i="25"/>
  <c r="AA352" i="25"/>
  <c r="Z352" i="25"/>
  <c r="Y352" i="25"/>
  <c r="X352" i="25"/>
  <c r="W352" i="25"/>
  <c r="V352" i="25"/>
  <c r="U352" i="25"/>
  <c r="T352" i="25"/>
  <c r="S352" i="25"/>
  <c r="R352" i="25"/>
  <c r="Q352" i="25"/>
  <c r="P352" i="25"/>
  <c r="O352" i="25"/>
  <c r="N352" i="25"/>
  <c r="M352" i="25"/>
  <c r="L352" i="25"/>
  <c r="K352" i="25"/>
  <c r="J352" i="25"/>
  <c r="I352" i="25"/>
  <c r="H352" i="25"/>
  <c r="G352" i="25"/>
  <c r="F352" i="25"/>
  <c r="E352" i="25"/>
  <c r="D352" i="25"/>
  <c r="C352" i="25"/>
  <c r="B352" i="25"/>
  <c r="A352" i="25"/>
  <c r="AP351" i="25"/>
  <c r="AO351" i="25"/>
  <c r="AN351" i="25"/>
  <c r="AM351" i="25"/>
  <c r="AL351" i="25"/>
  <c r="AK351" i="25"/>
  <c r="AJ351" i="25"/>
  <c r="AI351" i="25"/>
  <c r="AH351" i="25"/>
  <c r="AG351" i="25"/>
  <c r="AF351" i="25"/>
  <c r="AE351" i="25"/>
  <c r="AD351" i="25"/>
  <c r="AC351" i="25"/>
  <c r="AB351" i="25"/>
  <c r="AA351" i="25"/>
  <c r="Z351" i="25"/>
  <c r="Y351" i="25"/>
  <c r="X351" i="25"/>
  <c r="W351" i="25"/>
  <c r="V351" i="25"/>
  <c r="U351" i="25"/>
  <c r="T351" i="25"/>
  <c r="S351" i="25"/>
  <c r="R351" i="25"/>
  <c r="Q351" i="25"/>
  <c r="P351" i="25"/>
  <c r="O351" i="25"/>
  <c r="N351" i="25"/>
  <c r="M351" i="25"/>
  <c r="L351" i="25"/>
  <c r="K351" i="25"/>
  <c r="J351" i="25"/>
  <c r="I351" i="25"/>
  <c r="H351" i="25"/>
  <c r="G351" i="25"/>
  <c r="F351" i="25"/>
  <c r="E351" i="25"/>
  <c r="D351" i="25"/>
  <c r="C351" i="25"/>
  <c r="B351" i="25"/>
  <c r="A351" i="25"/>
  <c r="AP350" i="25"/>
  <c r="AO350" i="25"/>
  <c r="AN350" i="25"/>
  <c r="AM350" i="25"/>
  <c r="AL350" i="25"/>
  <c r="AK350" i="25"/>
  <c r="AJ350" i="25"/>
  <c r="AI350" i="25"/>
  <c r="AH350" i="25"/>
  <c r="AG350" i="25"/>
  <c r="AF350" i="25"/>
  <c r="AE350" i="25"/>
  <c r="AD350" i="25"/>
  <c r="AC350" i="25"/>
  <c r="AB350" i="25"/>
  <c r="AA350" i="25"/>
  <c r="Z350" i="25"/>
  <c r="Y350" i="25"/>
  <c r="X350" i="25"/>
  <c r="W350" i="25"/>
  <c r="V350" i="25"/>
  <c r="U350" i="25"/>
  <c r="T350" i="25"/>
  <c r="S350" i="25"/>
  <c r="R350" i="25"/>
  <c r="Q350" i="25"/>
  <c r="P350" i="25"/>
  <c r="O350" i="25"/>
  <c r="N350" i="25"/>
  <c r="M350" i="25"/>
  <c r="L350" i="25"/>
  <c r="K350" i="25"/>
  <c r="J350" i="25"/>
  <c r="I350" i="25"/>
  <c r="H350" i="25"/>
  <c r="G350" i="25"/>
  <c r="F350" i="25"/>
  <c r="E350" i="25"/>
  <c r="D350" i="25"/>
  <c r="C350" i="25"/>
  <c r="B350" i="25"/>
  <c r="A350" i="25"/>
  <c r="AP349" i="25"/>
  <c r="AO349" i="25"/>
  <c r="AN349" i="25"/>
  <c r="AM349" i="25"/>
  <c r="AL349" i="25"/>
  <c r="AK349" i="25"/>
  <c r="AJ349" i="25"/>
  <c r="AI349" i="25"/>
  <c r="AH349" i="25"/>
  <c r="AG349" i="25"/>
  <c r="AF349" i="25"/>
  <c r="AE349" i="25"/>
  <c r="AD349" i="25"/>
  <c r="AC349" i="25"/>
  <c r="AB349" i="25"/>
  <c r="AA349" i="25"/>
  <c r="Z349" i="25"/>
  <c r="Y349" i="25"/>
  <c r="X349" i="25"/>
  <c r="W349" i="25"/>
  <c r="V349" i="25"/>
  <c r="U349" i="25"/>
  <c r="T349" i="25"/>
  <c r="S349" i="25"/>
  <c r="R349" i="25"/>
  <c r="Q349" i="25"/>
  <c r="P349" i="25"/>
  <c r="O349" i="25"/>
  <c r="N349" i="25"/>
  <c r="M349" i="25"/>
  <c r="L349" i="25"/>
  <c r="K349" i="25"/>
  <c r="J349" i="25"/>
  <c r="I349" i="25"/>
  <c r="H349" i="25"/>
  <c r="G349" i="25"/>
  <c r="F349" i="25"/>
  <c r="E349" i="25"/>
  <c r="D349" i="25"/>
  <c r="C349" i="25"/>
  <c r="B349" i="25"/>
  <c r="A349" i="25"/>
  <c r="AP348" i="25"/>
  <c r="AO348" i="25"/>
  <c r="AN348" i="25"/>
  <c r="AM348" i="25"/>
  <c r="AL348" i="25"/>
  <c r="AK348" i="25"/>
  <c r="AJ348" i="25"/>
  <c r="AI348" i="25"/>
  <c r="AH348" i="25"/>
  <c r="AG348" i="25"/>
  <c r="AF348" i="25"/>
  <c r="AE348" i="25"/>
  <c r="AD348" i="25"/>
  <c r="AC348" i="25"/>
  <c r="AB348" i="25"/>
  <c r="AA348" i="25"/>
  <c r="Z348" i="25"/>
  <c r="Y348" i="25"/>
  <c r="X348" i="25"/>
  <c r="W348" i="25"/>
  <c r="V348" i="25"/>
  <c r="U348" i="25"/>
  <c r="T348" i="25"/>
  <c r="S348" i="25"/>
  <c r="R348" i="25"/>
  <c r="Q348" i="25"/>
  <c r="P348" i="25"/>
  <c r="O348" i="25"/>
  <c r="N348" i="25"/>
  <c r="M348" i="25"/>
  <c r="L348" i="25"/>
  <c r="K348" i="25"/>
  <c r="J348" i="25"/>
  <c r="I348" i="25"/>
  <c r="H348" i="25"/>
  <c r="G348" i="25"/>
  <c r="F348" i="25"/>
  <c r="E348" i="25"/>
  <c r="D348" i="25"/>
  <c r="C348" i="25"/>
  <c r="B348" i="25"/>
  <c r="A348" i="25"/>
  <c r="AP347" i="25"/>
  <c r="AO347" i="25"/>
  <c r="AN347" i="25"/>
  <c r="AM347" i="25"/>
  <c r="AL347" i="25"/>
  <c r="AK347" i="25"/>
  <c r="AJ347" i="25"/>
  <c r="AI347" i="25"/>
  <c r="AH347" i="25"/>
  <c r="AG347" i="25"/>
  <c r="AF347" i="25"/>
  <c r="AE347" i="25"/>
  <c r="AD347" i="25"/>
  <c r="AC347" i="25"/>
  <c r="AB347" i="25"/>
  <c r="AA347" i="25"/>
  <c r="Z347" i="25"/>
  <c r="Y347" i="25"/>
  <c r="X347" i="25"/>
  <c r="W347" i="25"/>
  <c r="V347" i="25"/>
  <c r="U347" i="25"/>
  <c r="T347" i="25"/>
  <c r="S347" i="25"/>
  <c r="R347" i="25"/>
  <c r="Q347" i="25"/>
  <c r="P347" i="25"/>
  <c r="O347" i="25"/>
  <c r="N347" i="25"/>
  <c r="M347" i="25"/>
  <c r="L347" i="25"/>
  <c r="K347" i="25"/>
  <c r="J347" i="25"/>
  <c r="I347" i="25"/>
  <c r="H347" i="25"/>
  <c r="G347" i="25"/>
  <c r="F347" i="25"/>
  <c r="E347" i="25"/>
  <c r="D347" i="25"/>
  <c r="C347" i="25"/>
  <c r="B347" i="25"/>
  <c r="A347" i="25"/>
  <c r="AP346" i="25"/>
  <c r="AO346" i="25"/>
  <c r="AN346" i="25"/>
  <c r="AM346" i="25"/>
  <c r="AL346" i="25"/>
  <c r="AK346" i="25"/>
  <c r="AJ346" i="25"/>
  <c r="AI346" i="25"/>
  <c r="AH346" i="25"/>
  <c r="AG346" i="25"/>
  <c r="AF346" i="25"/>
  <c r="AE346" i="25"/>
  <c r="AD346" i="25"/>
  <c r="AC346" i="25"/>
  <c r="AB346" i="25"/>
  <c r="AA346" i="25"/>
  <c r="Z346" i="25"/>
  <c r="Y346" i="25"/>
  <c r="X346" i="25"/>
  <c r="W346" i="25"/>
  <c r="V346" i="25"/>
  <c r="U346" i="25"/>
  <c r="T346" i="25"/>
  <c r="S346" i="25"/>
  <c r="R346" i="25"/>
  <c r="Q346" i="25"/>
  <c r="P346" i="25"/>
  <c r="O346" i="25"/>
  <c r="N346" i="25"/>
  <c r="M346" i="25"/>
  <c r="L346" i="25"/>
  <c r="K346" i="25"/>
  <c r="J346" i="25"/>
  <c r="I346" i="25"/>
  <c r="H346" i="25"/>
  <c r="G346" i="25"/>
  <c r="F346" i="25"/>
  <c r="E346" i="25"/>
  <c r="D346" i="25"/>
  <c r="C346" i="25"/>
  <c r="B346" i="25"/>
  <c r="A346" i="25"/>
  <c r="AP345" i="25"/>
  <c r="AO345" i="25"/>
  <c r="AN345" i="25"/>
  <c r="AM345" i="25"/>
  <c r="AL345" i="25"/>
  <c r="AK345" i="25"/>
  <c r="AJ345" i="25"/>
  <c r="AI345" i="25"/>
  <c r="AH345" i="25"/>
  <c r="AG345" i="25"/>
  <c r="AF345" i="25"/>
  <c r="AE345" i="25"/>
  <c r="AD345" i="25"/>
  <c r="AC345" i="25"/>
  <c r="AB345" i="25"/>
  <c r="AA345" i="25"/>
  <c r="Z345" i="25"/>
  <c r="Y345" i="25"/>
  <c r="X345" i="25"/>
  <c r="W345" i="25"/>
  <c r="V345" i="25"/>
  <c r="U345" i="25"/>
  <c r="T345" i="25"/>
  <c r="S345" i="25"/>
  <c r="R345" i="25"/>
  <c r="Q345" i="25"/>
  <c r="P345" i="25"/>
  <c r="O345" i="25"/>
  <c r="N345" i="25"/>
  <c r="M345" i="25"/>
  <c r="L345" i="25"/>
  <c r="K345" i="25"/>
  <c r="J345" i="25"/>
  <c r="I345" i="25"/>
  <c r="H345" i="25"/>
  <c r="G345" i="25"/>
  <c r="F345" i="25"/>
  <c r="E345" i="25"/>
  <c r="D345" i="25"/>
  <c r="C345" i="25"/>
  <c r="B345" i="25"/>
  <c r="A345" i="25"/>
  <c r="AP344" i="25"/>
  <c r="AO344" i="25"/>
  <c r="AN344" i="25"/>
  <c r="AM344" i="25"/>
  <c r="AL344" i="25"/>
  <c r="AK344" i="25"/>
  <c r="AJ344" i="25"/>
  <c r="AI344" i="25"/>
  <c r="AH344" i="25"/>
  <c r="AG344" i="25"/>
  <c r="AF344" i="25"/>
  <c r="AE344" i="25"/>
  <c r="AD344" i="25"/>
  <c r="AC344" i="25"/>
  <c r="AB344" i="25"/>
  <c r="AA344" i="25"/>
  <c r="Z344" i="25"/>
  <c r="Y344" i="25"/>
  <c r="X344" i="25"/>
  <c r="W344" i="25"/>
  <c r="V344" i="25"/>
  <c r="U344" i="25"/>
  <c r="T344" i="25"/>
  <c r="S344" i="25"/>
  <c r="R344" i="25"/>
  <c r="Q344" i="25"/>
  <c r="P344" i="25"/>
  <c r="O344" i="25"/>
  <c r="N344" i="25"/>
  <c r="M344" i="25"/>
  <c r="L344" i="25"/>
  <c r="K344" i="25"/>
  <c r="J344" i="25"/>
  <c r="I344" i="25"/>
  <c r="H344" i="25"/>
  <c r="G344" i="25"/>
  <c r="F344" i="25"/>
  <c r="E344" i="25"/>
  <c r="D344" i="25"/>
  <c r="C344" i="25"/>
  <c r="B344" i="25"/>
  <c r="A344" i="25"/>
  <c r="AP343" i="25"/>
  <c r="AO343" i="25"/>
  <c r="AN343" i="25"/>
  <c r="AM343" i="25"/>
  <c r="AL343" i="25"/>
  <c r="AK343" i="25"/>
  <c r="AJ343" i="25"/>
  <c r="AI343" i="25"/>
  <c r="AH343" i="25"/>
  <c r="AG343" i="25"/>
  <c r="AF343" i="25"/>
  <c r="AE343" i="25"/>
  <c r="AD343" i="25"/>
  <c r="AC343" i="25"/>
  <c r="AB343" i="25"/>
  <c r="AA343" i="25"/>
  <c r="Z343" i="25"/>
  <c r="Y343" i="25"/>
  <c r="X343" i="25"/>
  <c r="W343" i="25"/>
  <c r="V343" i="25"/>
  <c r="U343" i="25"/>
  <c r="T343" i="25"/>
  <c r="S343" i="25"/>
  <c r="R343" i="25"/>
  <c r="Q343" i="25"/>
  <c r="P343" i="25"/>
  <c r="O343" i="25"/>
  <c r="N343" i="25"/>
  <c r="M343" i="25"/>
  <c r="L343" i="25"/>
  <c r="K343" i="25"/>
  <c r="J343" i="25"/>
  <c r="I343" i="25"/>
  <c r="H343" i="25"/>
  <c r="G343" i="25"/>
  <c r="F343" i="25"/>
  <c r="E343" i="25"/>
  <c r="D343" i="25"/>
  <c r="C343" i="25"/>
  <c r="B343" i="25"/>
  <c r="A343" i="25"/>
  <c r="AP342" i="25"/>
  <c r="AO342" i="25"/>
  <c r="AN342" i="25"/>
  <c r="AM342" i="25"/>
  <c r="AL342" i="25"/>
  <c r="AK342" i="25"/>
  <c r="AJ342" i="25"/>
  <c r="AI342" i="25"/>
  <c r="AH342" i="25"/>
  <c r="AG342" i="25"/>
  <c r="AF342" i="25"/>
  <c r="AE342" i="25"/>
  <c r="AD342" i="25"/>
  <c r="AC342" i="25"/>
  <c r="AB342" i="25"/>
  <c r="AA342" i="25"/>
  <c r="Z342" i="25"/>
  <c r="Y342" i="25"/>
  <c r="X342" i="25"/>
  <c r="W342" i="25"/>
  <c r="V342" i="25"/>
  <c r="U342" i="25"/>
  <c r="T342" i="25"/>
  <c r="S342" i="25"/>
  <c r="R342" i="25"/>
  <c r="Q342" i="25"/>
  <c r="P342" i="25"/>
  <c r="O342" i="25"/>
  <c r="N342" i="25"/>
  <c r="M342" i="25"/>
  <c r="L342" i="25"/>
  <c r="K342" i="25"/>
  <c r="J342" i="25"/>
  <c r="I342" i="25"/>
  <c r="H342" i="25"/>
  <c r="G342" i="25"/>
  <c r="F342" i="25"/>
  <c r="E342" i="25"/>
  <c r="D342" i="25"/>
  <c r="C342" i="25"/>
  <c r="B342" i="25"/>
  <c r="A342" i="25"/>
  <c r="AP341" i="25"/>
  <c r="AO341" i="25"/>
  <c r="AN341" i="25"/>
  <c r="AM341" i="25"/>
  <c r="AL341" i="25"/>
  <c r="AK341" i="25"/>
  <c r="AJ341" i="25"/>
  <c r="AI341" i="25"/>
  <c r="AH341" i="25"/>
  <c r="AG341" i="25"/>
  <c r="AF341" i="25"/>
  <c r="AE341" i="25"/>
  <c r="AD341" i="25"/>
  <c r="AC341" i="25"/>
  <c r="AB341" i="25"/>
  <c r="AA341" i="25"/>
  <c r="Z341" i="25"/>
  <c r="Y341" i="25"/>
  <c r="X341" i="25"/>
  <c r="W341" i="25"/>
  <c r="V341" i="25"/>
  <c r="U341" i="25"/>
  <c r="T341" i="25"/>
  <c r="S341" i="25"/>
  <c r="R341" i="25"/>
  <c r="Q341" i="25"/>
  <c r="P341" i="25"/>
  <c r="O341" i="25"/>
  <c r="N341" i="25"/>
  <c r="M341" i="25"/>
  <c r="L341" i="25"/>
  <c r="K341" i="25"/>
  <c r="J341" i="25"/>
  <c r="I341" i="25"/>
  <c r="H341" i="25"/>
  <c r="G341" i="25"/>
  <c r="F341" i="25"/>
  <c r="E341" i="25"/>
  <c r="D341" i="25"/>
  <c r="C341" i="25"/>
  <c r="B341" i="25"/>
  <c r="A341" i="25"/>
  <c r="AP340" i="25"/>
  <c r="AO340" i="25"/>
  <c r="AN340" i="25"/>
  <c r="AM340" i="25"/>
  <c r="AL340" i="25"/>
  <c r="AK340" i="25"/>
  <c r="AJ340" i="25"/>
  <c r="AI340" i="25"/>
  <c r="AH340" i="25"/>
  <c r="AG340" i="25"/>
  <c r="AF340" i="25"/>
  <c r="AE340" i="25"/>
  <c r="AD340" i="25"/>
  <c r="AC340" i="25"/>
  <c r="AB340" i="25"/>
  <c r="AA340" i="25"/>
  <c r="Z340" i="25"/>
  <c r="Y340" i="25"/>
  <c r="X340" i="25"/>
  <c r="W340" i="25"/>
  <c r="V340" i="25"/>
  <c r="U340" i="25"/>
  <c r="T340" i="25"/>
  <c r="S340" i="25"/>
  <c r="R340" i="25"/>
  <c r="Q340" i="25"/>
  <c r="P340" i="25"/>
  <c r="O340" i="25"/>
  <c r="N340" i="25"/>
  <c r="M340" i="25"/>
  <c r="L340" i="25"/>
  <c r="K340" i="25"/>
  <c r="J340" i="25"/>
  <c r="I340" i="25"/>
  <c r="H340" i="25"/>
  <c r="G340" i="25"/>
  <c r="F340" i="25"/>
  <c r="E340" i="25"/>
  <c r="D340" i="25"/>
  <c r="C340" i="25"/>
  <c r="B340" i="25"/>
  <c r="A340" i="25"/>
  <c r="AP339" i="25"/>
  <c r="AO339" i="25"/>
  <c r="AN339" i="25"/>
  <c r="AM339" i="25"/>
  <c r="AL339" i="25"/>
  <c r="AK339" i="25"/>
  <c r="AJ339" i="25"/>
  <c r="AI339" i="25"/>
  <c r="AH339" i="25"/>
  <c r="AG339" i="25"/>
  <c r="AF339" i="25"/>
  <c r="AE339" i="25"/>
  <c r="AD339" i="25"/>
  <c r="AC339" i="25"/>
  <c r="AB339" i="25"/>
  <c r="AA339" i="25"/>
  <c r="Z339" i="25"/>
  <c r="Y339" i="25"/>
  <c r="X339" i="25"/>
  <c r="W339" i="25"/>
  <c r="V339" i="25"/>
  <c r="U339" i="25"/>
  <c r="T339" i="25"/>
  <c r="S339" i="25"/>
  <c r="R339" i="25"/>
  <c r="Q339" i="25"/>
  <c r="P339" i="25"/>
  <c r="O339" i="25"/>
  <c r="N339" i="25"/>
  <c r="M339" i="25"/>
  <c r="L339" i="25"/>
  <c r="K339" i="25"/>
  <c r="J339" i="25"/>
  <c r="I339" i="25"/>
  <c r="H339" i="25"/>
  <c r="G339" i="25"/>
  <c r="F339" i="25"/>
  <c r="E339" i="25"/>
  <c r="D339" i="25"/>
  <c r="C339" i="25"/>
  <c r="B339" i="25"/>
  <c r="A339" i="25"/>
  <c r="AP338" i="25"/>
  <c r="AO338" i="25"/>
  <c r="AN338" i="25"/>
  <c r="AM338" i="25"/>
  <c r="AL338" i="25"/>
  <c r="AK338" i="25"/>
  <c r="AJ338" i="25"/>
  <c r="AI338" i="25"/>
  <c r="AH338" i="25"/>
  <c r="AG338" i="25"/>
  <c r="AF338" i="25"/>
  <c r="AE338" i="25"/>
  <c r="AD338" i="25"/>
  <c r="AC338" i="25"/>
  <c r="AB338" i="25"/>
  <c r="AA338" i="25"/>
  <c r="Z338" i="25"/>
  <c r="Y338" i="25"/>
  <c r="X338" i="25"/>
  <c r="W338" i="25"/>
  <c r="V338" i="25"/>
  <c r="U338" i="25"/>
  <c r="T338" i="25"/>
  <c r="S338" i="25"/>
  <c r="R338" i="25"/>
  <c r="Q338" i="25"/>
  <c r="P338" i="25"/>
  <c r="O338" i="25"/>
  <c r="N338" i="25"/>
  <c r="M338" i="25"/>
  <c r="L338" i="25"/>
  <c r="K338" i="25"/>
  <c r="J338" i="25"/>
  <c r="I338" i="25"/>
  <c r="H338" i="25"/>
  <c r="G338" i="25"/>
  <c r="F338" i="25"/>
  <c r="E338" i="25"/>
  <c r="D338" i="25"/>
  <c r="C338" i="25"/>
  <c r="B338" i="25"/>
  <c r="A338" i="25"/>
  <c r="AP337" i="25"/>
  <c r="AO337" i="25"/>
  <c r="AN337" i="25"/>
  <c r="AM337" i="25"/>
  <c r="AL337" i="25"/>
  <c r="AK337" i="25"/>
  <c r="AJ337" i="25"/>
  <c r="AI337" i="25"/>
  <c r="AH337" i="25"/>
  <c r="AG337" i="25"/>
  <c r="AF337" i="25"/>
  <c r="AE337" i="25"/>
  <c r="AD337" i="25"/>
  <c r="AC337" i="25"/>
  <c r="AB337" i="25"/>
  <c r="AA337" i="25"/>
  <c r="Z337" i="25"/>
  <c r="Y337" i="25"/>
  <c r="X337" i="25"/>
  <c r="W337" i="25"/>
  <c r="V337" i="25"/>
  <c r="U337" i="25"/>
  <c r="T337" i="25"/>
  <c r="S337" i="25"/>
  <c r="R337" i="25"/>
  <c r="Q337" i="25"/>
  <c r="P337" i="25"/>
  <c r="O337" i="25"/>
  <c r="N337" i="25"/>
  <c r="M337" i="25"/>
  <c r="L337" i="25"/>
  <c r="K337" i="25"/>
  <c r="J337" i="25"/>
  <c r="I337" i="25"/>
  <c r="H337" i="25"/>
  <c r="G337" i="25"/>
  <c r="F337" i="25"/>
  <c r="E337" i="25"/>
  <c r="D337" i="25"/>
  <c r="C337" i="25"/>
  <c r="B337" i="25"/>
  <c r="A337" i="25"/>
  <c r="AP336" i="25"/>
  <c r="AO336" i="25"/>
  <c r="AN336" i="25"/>
  <c r="AM336" i="25"/>
  <c r="AL336" i="25"/>
  <c r="AK336" i="25"/>
  <c r="AJ336" i="25"/>
  <c r="AI336" i="25"/>
  <c r="AH336" i="25"/>
  <c r="AG336" i="25"/>
  <c r="AF336" i="25"/>
  <c r="AE336" i="25"/>
  <c r="AD336" i="25"/>
  <c r="AC336" i="25"/>
  <c r="AB336" i="25"/>
  <c r="AA336" i="25"/>
  <c r="Z336" i="25"/>
  <c r="Y336" i="25"/>
  <c r="X336" i="25"/>
  <c r="W336" i="25"/>
  <c r="V336" i="25"/>
  <c r="U336" i="25"/>
  <c r="T336" i="25"/>
  <c r="S336" i="25"/>
  <c r="R336" i="25"/>
  <c r="Q336" i="25"/>
  <c r="P336" i="25"/>
  <c r="O336" i="25"/>
  <c r="N336" i="25"/>
  <c r="M336" i="25"/>
  <c r="L336" i="25"/>
  <c r="K336" i="25"/>
  <c r="J336" i="25"/>
  <c r="I336" i="25"/>
  <c r="H336" i="25"/>
  <c r="G336" i="25"/>
  <c r="F336" i="25"/>
  <c r="E336" i="25"/>
  <c r="D336" i="25"/>
  <c r="C336" i="25"/>
  <c r="B336" i="25"/>
  <c r="A336" i="25"/>
  <c r="AP335" i="25"/>
  <c r="AO335" i="25"/>
  <c r="AN335" i="25"/>
  <c r="AM335" i="25"/>
  <c r="AL335" i="25"/>
  <c r="AK335" i="25"/>
  <c r="AJ335" i="25"/>
  <c r="AI335" i="25"/>
  <c r="AH335" i="25"/>
  <c r="AG335" i="25"/>
  <c r="AF335" i="25"/>
  <c r="AE335" i="25"/>
  <c r="AD335" i="25"/>
  <c r="AC335" i="25"/>
  <c r="AB335" i="25"/>
  <c r="AA335" i="25"/>
  <c r="Z335" i="25"/>
  <c r="Y335" i="25"/>
  <c r="X335" i="25"/>
  <c r="W335" i="25"/>
  <c r="V335" i="25"/>
  <c r="U335" i="25"/>
  <c r="T335" i="25"/>
  <c r="S335" i="25"/>
  <c r="R335" i="25"/>
  <c r="Q335" i="25"/>
  <c r="P335" i="25"/>
  <c r="O335" i="25"/>
  <c r="N335" i="25"/>
  <c r="M335" i="25"/>
  <c r="L335" i="25"/>
  <c r="K335" i="25"/>
  <c r="J335" i="25"/>
  <c r="I335" i="25"/>
  <c r="H335" i="25"/>
  <c r="G335" i="25"/>
  <c r="F335" i="25"/>
  <c r="E335" i="25"/>
  <c r="D335" i="25"/>
  <c r="C335" i="25"/>
  <c r="B335" i="25"/>
  <c r="A335" i="25"/>
  <c r="AP334" i="25"/>
  <c r="AO334" i="25"/>
  <c r="AN334" i="25"/>
  <c r="AM334" i="25"/>
  <c r="AL334" i="25"/>
  <c r="AK334" i="25"/>
  <c r="AJ334" i="25"/>
  <c r="AI334" i="25"/>
  <c r="AH334" i="25"/>
  <c r="AG334" i="25"/>
  <c r="AF334" i="25"/>
  <c r="AE334" i="25"/>
  <c r="AD334" i="25"/>
  <c r="AC334" i="25"/>
  <c r="AB334" i="25"/>
  <c r="AA334" i="25"/>
  <c r="Z334" i="25"/>
  <c r="Y334" i="25"/>
  <c r="X334" i="25"/>
  <c r="W334" i="25"/>
  <c r="V334" i="25"/>
  <c r="U334" i="25"/>
  <c r="T334" i="25"/>
  <c r="S334" i="25"/>
  <c r="R334" i="25"/>
  <c r="Q334" i="25"/>
  <c r="P334" i="25"/>
  <c r="O334" i="25"/>
  <c r="N334" i="25"/>
  <c r="M334" i="25"/>
  <c r="L334" i="25"/>
  <c r="K334" i="25"/>
  <c r="J334" i="25"/>
  <c r="I334" i="25"/>
  <c r="H334" i="25"/>
  <c r="G334" i="25"/>
  <c r="F334" i="25"/>
  <c r="E334" i="25"/>
  <c r="D334" i="25"/>
  <c r="C334" i="25"/>
  <c r="B334" i="25"/>
  <c r="A334" i="25"/>
  <c r="AP333" i="25"/>
  <c r="AO333" i="25"/>
  <c r="AN333" i="25"/>
  <c r="AM333" i="25"/>
  <c r="AL333" i="25"/>
  <c r="AK333" i="25"/>
  <c r="AJ333" i="25"/>
  <c r="AI333" i="25"/>
  <c r="AH333" i="25"/>
  <c r="AG333" i="25"/>
  <c r="AF333" i="25"/>
  <c r="AE333" i="25"/>
  <c r="AD333" i="25"/>
  <c r="AC333" i="25"/>
  <c r="AB333" i="25"/>
  <c r="AA333" i="25"/>
  <c r="Z333" i="25"/>
  <c r="Y333" i="25"/>
  <c r="X333" i="25"/>
  <c r="W333" i="25"/>
  <c r="V333" i="25"/>
  <c r="U333" i="25"/>
  <c r="T333" i="25"/>
  <c r="S333" i="25"/>
  <c r="R333" i="25"/>
  <c r="Q333" i="25"/>
  <c r="P333" i="25"/>
  <c r="O333" i="25"/>
  <c r="N333" i="25"/>
  <c r="M333" i="25"/>
  <c r="L333" i="25"/>
  <c r="K333" i="25"/>
  <c r="J333" i="25"/>
  <c r="I333" i="25"/>
  <c r="H333" i="25"/>
  <c r="G333" i="25"/>
  <c r="F333" i="25"/>
  <c r="E333" i="25"/>
  <c r="D333" i="25"/>
  <c r="C333" i="25"/>
  <c r="B333" i="25"/>
  <c r="A333" i="25"/>
  <c r="AP332" i="25"/>
  <c r="AO332" i="25"/>
  <c r="AN332" i="25"/>
  <c r="AM332" i="25"/>
  <c r="AL332" i="25"/>
  <c r="AK332" i="25"/>
  <c r="AJ332" i="25"/>
  <c r="AI332" i="25"/>
  <c r="AH332" i="25"/>
  <c r="AG332" i="25"/>
  <c r="AF332" i="25"/>
  <c r="AE332" i="25"/>
  <c r="AD332" i="25"/>
  <c r="AC332" i="25"/>
  <c r="AB332" i="25"/>
  <c r="AA332" i="25"/>
  <c r="Z332" i="25"/>
  <c r="Y332" i="25"/>
  <c r="X332" i="25"/>
  <c r="W332" i="25"/>
  <c r="V332" i="25"/>
  <c r="U332" i="25"/>
  <c r="T332" i="25"/>
  <c r="S332" i="25"/>
  <c r="R332" i="25"/>
  <c r="Q332" i="25"/>
  <c r="P332" i="25"/>
  <c r="O332" i="25"/>
  <c r="N332" i="25"/>
  <c r="M332" i="25"/>
  <c r="L332" i="25"/>
  <c r="K332" i="25"/>
  <c r="J332" i="25"/>
  <c r="I332" i="25"/>
  <c r="H332" i="25"/>
  <c r="G332" i="25"/>
  <c r="F332" i="25"/>
  <c r="E332" i="25"/>
  <c r="D332" i="25"/>
  <c r="C332" i="25"/>
  <c r="B332" i="25"/>
  <c r="A332" i="25"/>
  <c r="AP331" i="25"/>
  <c r="AO331" i="25"/>
  <c r="AN331" i="25"/>
  <c r="AM331" i="25"/>
  <c r="AL331" i="25"/>
  <c r="AK331" i="25"/>
  <c r="AJ331" i="25"/>
  <c r="AI331" i="25"/>
  <c r="AH331" i="25"/>
  <c r="AG331" i="25"/>
  <c r="AF331" i="25"/>
  <c r="AE331" i="25"/>
  <c r="AD331" i="25"/>
  <c r="AC331" i="25"/>
  <c r="AB331" i="25"/>
  <c r="AA331" i="25"/>
  <c r="Z331" i="25"/>
  <c r="Y331" i="25"/>
  <c r="X331" i="25"/>
  <c r="W331" i="25"/>
  <c r="V331" i="25"/>
  <c r="U331" i="25"/>
  <c r="T331" i="25"/>
  <c r="S331" i="25"/>
  <c r="R331" i="25"/>
  <c r="Q331" i="25"/>
  <c r="P331" i="25"/>
  <c r="O331" i="25"/>
  <c r="N331" i="25"/>
  <c r="M331" i="25"/>
  <c r="L331" i="25"/>
  <c r="K331" i="25"/>
  <c r="J331" i="25"/>
  <c r="I331" i="25"/>
  <c r="H331" i="25"/>
  <c r="G331" i="25"/>
  <c r="F331" i="25"/>
  <c r="E331" i="25"/>
  <c r="D331" i="25"/>
  <c r="C331" i="25"/>
  <c r="B331" i="25"/>
  <c r="A331" i="25"/>
  <c r="AP330" i="25"/>
  <c r="AO330" i="25"/>
  <c r="AN330" i="25"/>
  <c r="AM330" i="25"/>
  <c r="AL330" i="25"/>
  <c r="AK330" i="25"/>
  <c r="AJ330" i="25"/>
  <c r="AI330" i="25"/>
  <c r="AH330" i="25"/>
  <c r="AG330" i="25"/>
  <c r="AF330" i="25"/>
  <c r="AE330" i="25"/>
  <c r="AD330" i="25"/>
  <c r="AC330" i="25"/>
  <c r="AB330" i="25"/>
  <c r="AA330" i="25"/>
  <c r="Z330" i="25"/>
  <c r="Y330" i="25"/>
  <c r="X330" i="25"/>
  <c r="W330" i="25"/>
  <c r="V330" i="25"/>
  <c r="U330" i="25"/>
  <c r="T330" i="25"/>
  <c r="S330" i="25"/>
  <c r="R330" i="25"/>
  <c r="Q330" i="25"/>
  <c r="P330" i="25"/>
  <c r="O330" i="25"/>
  <c r="N330" i="25"/>
  <c r="M330" i="25"/>
  <c r="L330" i="25"/>
  <c r="K330" i="25"/>
  <c r="J330" i="25"/>
  <c r="I330" i="25"/>
  <c r="H330" i="25"/>
  <c r="G330" i="25"/>
  <c r="F330" i="25"/>
  <c r="E330" i="25"/>
  <c r="D330" i="25"/>
  <c r="C330" i="25"/>
  <c r="B330" i="25"/>
  <c r="A330" i="25"/>
  <c r="AP329" i="25"/>
  <c r="AO329" i="25"/>
  <c r="AN329" i="25"/>
  <c r="AM329" i="25"/>
  <c r="AL329" i="25"/>
  <c r="AK329" i="25"/>
  <c r="AJ329" i="25"/>
  <c r="AI329" i="25"/>
  <c r="AH329" i="25"/>
  <c r="AG329" i="25"/>
  <c r="AF329" i="25"/>
  <c r="AE329" i="25"/>
  <c r="AD329" i="25"/>
  <c r="AC329" i="25"/>
  <c r="AB329" i="25"/>
  <c r="AA329" i="25"/>
  <c r="Z329" i="25"/>
  <c r="Y329" i="25"/>
  <c r="X329" i="25"/>
  <c r="W329" i="25"/>
  <c r="V329" i="25"/>
  <c r="U329" i="25"/>
  <c r="T329" i="25"/>
  <c r="S329" i="25"/>
  <c r="R329" i="25"/>
  <c r="Q329" i="25"/>
  <c r="P329" i="25"/>
  <c r="O329" i="25"/>
  <c r="N329" i="25"/>
  <c r="M329" i="25"/>
  <c r="L329" i="25"/>
  <c r="K329" i="25"/>
  <c r="J329" i="25"/>
  <c r="I329" i="25"/>
  <c r="H329" i="25"/>
  <c r="G329" i="25"/>
  <c r="F329" i="25"/>
  <c r="E329" i="25"/>
  <c r="D329" i="25"/>
  <c r="C329" i="25"/>
  <c r="B329" i="25"/>
  <c r="A329" i="25"/>
  <c r="AP328" i="25"/>
  <c r="AO328" i="25"/>
  <c r="AN328" i="25"/>
  <c r="AM328" i="25"/>
  <c r="AL328" i="25"/>
  <c r="AK328" i="25"/>
  <c r="AJ328" i="25"/>
  <c r="AI328" i="25"/>
  <c r="AH328" i="25"/>
  <c r="AG328" i="25"/>
  <c r="AF328" i="25"/>
  <c r="AE328" i="25"/>
  <c r="AD328" i="25"/>
  <c r="AC328" i="25"/>
  <c r="AB328" i="25"/>
  <c r="AA328" i="25"/>
  <c r="Z328" i="25"/>
  <c r="Y328" i="25"/>
  <c r="X328" i="25"/>
  <c r="W328" i="25"/>
  <c r="V328" i="25"/>
  <c r="U328" i="25"/>
  <c r="T328" i="25"/>
  <c r="S328" i="25"/>
  <c r="R328" i="25"/>
  <c r="Q328" i="25"/>
  <c r="P328" i="25"/>
  <c r="O328" i="25"/>
  <c r="N328" i="25"/>
  <c r="M328" i="25"/>
  <c r="L328" i="25"/>
  <c r="K328" i="25"/>
  <c r="J328" i="25"/>
  <c r="I328" i="25"/>
  <c r="H328" i="25"/>
  <c r="G328" i="25"/>
  <c r="F328" i="25"/>
  <c r="E328" i="25"/>
  <c r="D328" i="25"/>
  <c r="C328" i="25"/>
  <c r="B328" i="25"/>
  <c r="A328" i="25"/>
  <c r="AP327" i="25"/>
  <c r="AO327" i="25"/>
  <c r="AN327" i="25"/>
  <c r="AM327" i="25"/>
  <c r="AL327" i="25"/>
  <c r="AK327" i="25"/>
  <c r="AJ327" i="25"/>
  <c r="AI327" i="25"/>
  <c r="AH327" i="25"/>
  <c r="AG327" i="25"/>
  <c r="AF327" i="25"/>
  <c r="AE327" i="25"/>
  <c r="AD327" i="25"/>
  <c r="AC327" i="25"/>
  <c r="AB327" i="25"/>
  <c r="AA327" i="25"/>
  <c r="Z327" i="25"/>
  <c r="Y327" i="25"/>
  <c r="X327" i="25"/>
  <c r="W327" i="25"/>
  <c r="V327" i="25"/>
  <c r="U327" i="25"/>
  <c r="T327" i="25"/>
  <c r="S327" i="25"/>
  <c r="R327" i="25"/>
  <c r="Q327" i="25"/>
  <c r="P327" i="25"/>
  <c r="O327" i="25"/>
  <c r="N327" i="25"/>
  <c r="M327" i="25"/>
  <c r="L327" i="25"/>
  <c r="K327" i="25"/>
  <c r="J327" i="25"/>
  <c r="I327" i="25"/>
  <c r="H327" i="25"/>
  <c r="G327" i="25"/>
  <c r="F327" i="25"/>
  <c r="E327" i="25"/>
  <c r="D327" i="25"/>
  <c r="C327" i="25"/>
  <c r="B327" i="25"/>
  <c r="A327" i="25"/>
  <c r="AP326" i="25"/>
  <c r="AO326" i="25"/>
  <c r="AN326" i="25"/>
  <c r="AM326" i="25"/>
  <c r="AL326" i="25"/>
  <c r="AK326" i="25"/>
  <c r="AJ326" i="25"/>
  <c r="AI326" i="25"/>
  <c r="AH326" i="25"/>
  <c r="AG326" i="25"/>
  <c r="AF326" i="25"/>
  <c r="AE326" i="25"/>
  <c r="AD326" i="25"/>
  <c r="AC326" i="25"/>
  <c r="AB326" i="25"/>
  <c r="AA326" i="25"/>
  <c r="Z326" i="25"/>
  <c r="Y326" i="25"/>
  <c r="X326" i="25"/>
  <c r="W326" i="25"/>
  <c r="V326" i="25"/>
  <c r="U326" i="25"/>
  <c r="T326" i="25"/>
  <c r="S326" i="25"/>
  <c r="R326" i="25"/>
  <c r="Q326" i="25"/>
  <c r="P326" i="25"/>
  <c r="O326" i="25"/>
  <c r="N326" i="25"/>
  <c r="M326" i="25"/>
  <c r="L326" i="25"/>
  <c r="K326" i="25"/>
  <c r="J326" i="25"/>
  <c r="I326" i="25"/>
  <c r="H326" i="25"/>
  <c r="G326" i="25"/>
  <c r="F326" i="25"/>
  <c r="E326" i="25"/>
  <c r="D326" i="25"/>
  <c r="C326" i="25"/>
  <c r="B326" i="25"/>
  <c r="A326" i="25"/>
  <c r="AP325" i="25"/>
  <c r="AO325" i="25"/>
  <c r="AN325" i="25"/>
  <c r="AM325" i="25"/>
  <c r="AL325" i="25"/>
  <c r="AK325" i="25"/>
  <c r="AJ325" i="25"/>
  <c r="AI325" i="25"/>
  <c r="AH325" i="25"/>
  <c r="AG325" i="25"/>
  <c r="AF325" i="25"/>
  <c r="AE325" i="25"/>
  <c r="AD325" i="25"/>
  <c r="AC325" i="25"/>
  <c r="AB325" i="25"/>
  <c r="AA325" i="25"/>
  <c r="Z325" i="25"/>
  <c r="Y325" i="25"/>
  <c r="X325" i="25"/>
  <c r="W325" i="25"/>
  <c r="V325" i="25"/>
  <c r="U325" i="25"/>
  <c r="T325" i="25"/>
  <c r="S325" i="25"/>
  <c r="R325" i="25"/>
  <c r="Q325" i="25"/>
  <c r="P325" i="25"/>
  <c r="O325" i="25"/>
  <c r="N325" i="25"/>
  <c r="M325" i="25"/>
  <c r="L325" i="25"/>
  <c r="K325" i="25"/>
  <c r="J325" i="25"/>
  <c r="I325" i="25"/>
  <c r="H325" i="25"/>
  <c r="G325" i="25"/>
  <c r="F325" i="25"/>
  <c r="E325" i="25"/>
  <c r="D325" i="25"/>
  <c r="C325" i="25"/>
  <c r="B325" i="25"/>
  <c r="A325" i="25"/>
  <c r="AP324" i="25"/>
  <c r="AO324" i="25"/>
  <c r="AN324" i="25"/>
  <c r="AM324" i="25"/>
  <c r="AL324" i="25"/>
  <c r="AK324" i="25"/>
  <c r="AJ324" i="25"/>
  <c r="AI324" i="25"/>
  <c r="AH324" i="25"/>
  <c r="AG324" i="25"/>
  <c r="AF324" i="25"/>
  <c r="AE324" i="25"/>
  <c r="AD324" i="25"/>
  <c r="AC324" i="25"/>
  <c r="AB324" i="25"/>
  <c r="AA324" i="25"/>
  <c r="Z324" i="25"/>
  <c r="Y324" i="25"/>
  <c r="X324" i="25"/>
  <c r="W324" i="25"/>
  <c r="V324" i="25"/>
  <c r="U324" i="25"/>
  <c r="T324" i="25"/>
  <c r="S324" i="25"/>
  <c r="R324" i="25"/>
  <c r="Q324" i="25"/>
  <c r="P324" i="25"/>
  <c r="O324" i="25"/>
  <c r="N324" i="25"/>
  <c r="M324" i="25"/>
  <c r="L324" i="25"/>
  <c r="K324" i="25"/>
  <c r="J324" i="25"/>
  <c r="I324" i="25"/>
  <c r="H324" i="25"/>
  <c r="G324" i="25"/>
  <c r="F324" i="25"/>
  <c r="E324" i="25"/>
  <c r="D324" i="25"/>
  <c r="C324" i="25"/>
  <c r="B324" i="25"/>
  <c r="A324" i="25"/>
  <c r="AP323" i="25"/>
  <c r="AO323" i="25"/>
  <c r="AN323" i="25"/>
  <c r="AM323" i="25"/>
  <c r="AL323" i="25"/>
  <c r="AK323" i="25"/>
  <c r="AJ323" i="25"/>
  <c r="AI323" i="25"/>
  <c r="AH323" i="25"/>
  <c r="AG323" i="25"/>
  <c r="AF323" i="25"/>
  <c r="AE323" i="25"/>
  <c r="AD323" i="25"/>
  <c r="AC323" i="25"/>
  <c r="AB323" i="25"/>
  <c r="AA323" i="25"/>
  <c r="Z323" i="25"/>
  <c r="Y323" i="25"/>
  <c r="X323" i="25"/>
  <c r="W323" i="25"/>
  <c r="V323" i="25"/>
  <c r="U323" i="25"/>
  <c r="T323" i="25"/>
  <c r="S323" i="25"/>
  <c r="R323" i="25"/>
  <c r="Q323" i="25"/>
  <c r="P323" i="25"/>
  <c r="O323" i="25"/>
  <c r="N323" i="25"/>
  <c r="M323" i="25"/>
  <c r="L323" i="25"/>
  <c r="K323" i="25"/>
  <c r="J323" i="25"/>
  <c r="I323" i="25"/>
  <c r="H323" i="25"/>
  <c r="G323" i="25"/>
  <c r="F323" i="25"/>
  <c r="E323" i="25"/>
  <c r="D323" i="25"/>
  <c r="C323" i="25"/>
  <c r="B323" i="25"/>
  <c r="A323" i="25"/>
  <c r="AP322" i="25"/>
  <c r="AO322" i="25"/>
  <c r="AN322" i="25"/>
  <c r="AM322" i="25"/>
  <c r="AL322" i="25"/>
  <c r="AK322" i="25"/>
  <c r="AJ322" i="25"/>
  <c r="AI322" i="25"/>
  <c r="AH322" i="25"/>
  <c r="AG322" i="25"/>
  <c r="AF322" i="25"/>
  <c r="AE322" i="25"/>
  <c r="AD322" i="25"/>
  <c r="AC322" i="25"/>
  <c r="AB322" i="25"/>
  <c r="AA322" i="25"/>
  <c r="Z322" i="25"/>
  <c r="Y322" i="25"/>
  <c r="X322" i="25"/>
  <c r="W322" i="25"/>
  <c r="V322" i="25"/>
  <c r="U322" i="25"/>
  <c r="T322" i="25"/>
  <c r="S322" i="25"/>
  <c r="R322" i="25"/>
  <c r="Q322" i="25"/>
  <c r="P322" i="25"/>
  <c r="O322" i="25"/>
  <c r="N322" i="25"/>
  <c r="M322" i="25"/>
  <c r="L322" i="25"/>
  <c r="K322" i="25"/>
  <c r="J322" i="25"/>
  <c r="I322" i="25"/>
  <c r="H322" i="25"/>
  <c r="G322" i="25"/>
  <c r="F322" i="25"/>
  <c r="E322" i="25"/>
  <c r="D322" i="25"/>
  <c r="C322" i="25"/>
  <c r="B322" i="25"/>
  <c r="A322" i="25"/>
  <c r="AP321" i="25"/>
  <c r="AO321" i="25"/>
  <c r="AN321" i="25"/>
  <c r="AM321" i="25"/>
  <c r="AL321" i="25"/>
  <c r="AK321" i="25"/>
  <c r="AJ321" i="25"/>
  <c r="AI321" i="25"/>
  <c r="AH321" i="25"/>
  <c r="AG321" i="25"/>
  <c r="AF321" i="25"/>
  <c r="AE321" i="25"/>
  <c r="AD321" i="25"/>
  <c r="AC321" i="25"/>
  <c r="AB321" i="25"/>
  <c r="AA321" i="25"/>
  <c r="Z321" i="25"/>
  <c r="Y321" i="25"/>
  <c r="X321" i="25"/>
  <c r="W321" i="25"/>
  <c r="V321" i="25"/>
  <c r="U321" i="25"/>
  <c r="T321" i="25"/>
  <c r="S321" i="25"/>
  <c r="R321" i="25"/>
  <c r="Q321" i="25"/>
  <c r="P321" i="25"/>
  <c r="O321" i="25"/>
  <c r="N321" i="25"/>
  <c r="M321" i="25"/>
  <c r="L321" i="25"/>
  <c r="K321" i="25"/>
  <c r="J321" i="25"/>
  <c r="I321" i="25"/>
  <c r="H321" i="25"/>
  <c r="G321" i="25"/>
  <c r="F321" i="25"/>
  <c r="E321" i="25"/>
  <c r="D321" i="25"/>
  <c r="C321" i="25"/>
  <c r="B321" i="25"/>
  <c r="A321" i="25"/>
  <c r="AP320" i="25"/>
  <c r="AO320" i="25"/>
  <c r="AN320" i="25"/>
  <c r="AM320" i="25"/>
  <c r="AL320" i="25"/>
  <c r="AK320" i="25"/>
  <c r="AJ320" i="25"/>
  <c r="AI320" i="25"/>
  <c r="AH320" i="25"/>
  <c r="AG320" i="25"/>
  <c r="AF320" i="25"/>
  <c r="AE320" i="25"/>
  <c r="AD320" i="25"/>
  <c r="AC320" i="25"/>
  <c r="AB320" i="25"/>
  <c r="AA320" i="25"/>
  <c r="Z320" i="25"/>
  <c r="Y320" i="25"/>
  <c r="X320" i="25"/>
  <c r="W320" i="25"/>
  <c r="V320" i="25"/>
  <c r="U320" i="25"/>
  <c r="T320" i="25"/>
  <c r="S320" i="25"/>
  <c r="R320" i="25"/>
  <c r="Q320" i="25"/>
  <c r="P320" i="25"/>
  <c r="O320" i="25"/>
  <c r="N320" i="25"/>
  <c r="M320" i="25"/>
  <c r="L320" i="25"/>
  <c r="K320" i="25"/>
  <c r="J320" i="25"/>
  <c r="I320" i="25"/>
  <c r="H320" i="25"/>
  <c r="G320" i="25"/>
  <c r="F320" i="25"/>
  <c r="E320" i="25"/>
  <c r="D320" i="25"/>
  <c r="C320" i="25"/>
  <c r="B320" i="25"/>
  <c r="A320" i="25"/>
  <c r="AP319" i="25"/>
  <c r="AO319" i="25"/>
  <c r="AN319" i="25"/>
  <c r="AM319" i="25"/>
  <c r="AL319" i="25"/>
  <c r="AK319" i="25"/>
  <c r="AJ319" i="25"/>
  <c r="AI319" i="25"/>
  <c r="AH319" i="25"/>
  <c r="AG319" i="25"/>
  <c r="AF319" i="25"/>
  <c r="AE319" i="25"/>
  <c r="AD319" i="25"/>
  <c r="AC319" i="25"/>
  <c r="AB319" i="25"/>
  <c r="AA319" i="25"/>
  <c r="Z319" i="25"/>
  <c r="Y319" i="25"/>
  <c r="X319" i="25"/>
  <c r="W319" i="25"/>
  <c r="V319" i="25"/>
  <c r="U319" i="25"/>
  <c r="T319" i="25"/>
  <c r="S319" i="25"/>
  <c r="R319" i="25"/>
  <c r="Q319" i="25"/>
  <c r="P319" i="25"/>
  <c r="O319" i="25"/>
  <c r="N319" i="25"/>
  <c r="M319" i="25"/>
  <c r="L319" i="25"/>
  <c r="K319" i="25"/>
  <c r="J319" i="25"/>
  <c r="I319" i="25"/>
  <c r="H319" i="25"/>
  <c r="G319" i="25"/>
  <c r="F319" i="25"/>
  <c r="E319" i="25"/>
  <c r="D319" i="25"/>
  <c r="C319" i="25"/>
  <c r="B319" i="25"/>
  <c r="A319" i="25"/>
  <c r="AP318" i="25"/>
  <c r="AO318" i="25"/>
  <c r="AN318" i="25"/>
  <c r="AM318" i="25"/>
  <c r="AL318" i="25"/>
  <c r="AK318" i="25"/>
  <c r="AJ318" i="25"/>
  <c r="AI318" i="25"/>
  <c r="AH318" i="25"/>
  <c r="AG318" i="25"/>
  <c r="AF318" i="25"/>
  <c r="AE318" i="25"/>
  <c r="AD318" i="25"/>
  <c r="AC318" i="25"/>
  <c r="AB318" i="25"/>
  <c r="AA318" i="25"/>
  <c r="Z318" i="25"/>
  <c r="Y318" i="25"/>
  <c r="X318" i="25"/>
  <c r="W318" i="25"/>
  <c r="V318" i="25"/>
  <c r="U318" i="25"/>
  <c r="T318" i="25"/>
  <c r="S318" i="25"/>
  <c r="R318" i="25"/>
  <c r="Q318" i="25"/>
  <c r="P318" i="25"/>
  <c r="O318" i="25"/>
  <c r="N318" i="25"/>
  <c r="M318" i="25"/>
  <c r="L318" i="25"/>
  <c r="K318" i="25"/>
  <c r="J318" i="25"/>
  <c r="I318" i="25"/>
  <c r="H318" i="25"/>
  <c r="G318" i="25"/>
  <c r="F318" i="25"/>
  <c r="E318" i="25"/>
  <c r="D318" i="25"/>
  <c r="C318" i="25"/>
  <c r="B318" i="25"/>
  <c r="A318" i="25"/>
  <c r="AP317" i="25"/>
  <c r="AO317" i="25"/>
  <c r="AN317" i="25"/>
  <c r="AM317" i="25"/>
  <c r="AL317" i="25"/>
  <c r="AK317" i="25"/>
  <c r="AJ317" i="25"/>
  <c r="AI317" i="25"/>
  <c r="AH317" i="25"/>
  <c r="AG317" i="25"/>
  <c r="AF317" i="25"/>
  <c r="AE317" i="25"/>
  <c r="AD317" i="25"/>
  <c r="AC317" i="25"/>
  <c r="AB317" i="25"/>
  <c r="AA317" i="25"/>
  <c r="Z317" i="25"/>
  <c r="Y317" i="25"/>
  <c r="X317" i="25"/>
  <c r="W317" i="25"/>
  <c r="V317" i="25"/>
  <c r="U317" i="25"/>
  <c r="T317" i="25"/>
  <c r="S317" i="25"/>
  <c r="R317" i="25"/>
  <c r="Q317" i="25"/>
  <c r="P317" i="25"/>
  <c r="O317" i="25"/>
  <c r="N317" i="25"/>
  <c r="M317" i="25"/>
  <c r="L317" i="25"/>
  <c r="K317" i="25"/>
  <c r="J317" i="25"/>
  <c r="I317" i="25"/>
  <c r="H317" i="25"/>
  <c r="G317" i="25"/>
  <c r="F317" i="25"/>
  <c r="E317" i="25"/>
  <c r="D317" i="25"/>
  <c r="C317" i="25"/>
  <c r="B317" i="25"/>
  <c r="A317" i="25"/>
  <c r="AP316" i="25"/>
  <c r="AO316" i="25"/>
  <c r="AN316" i="25"/>
  <c r="AM316" i="25"/>
  <c r="AL316" i="25"/>
  <c r="AK316" i="25"/>
  <c r="AJ316" i="25"/>
  <c r="AI316" i="25"/>
  <c r="AH316" i="25"/>
  <c r="AG316" i="25"/>
  <c r="AF316" i="25"/>
  <c r="AE316" i="25"/>
  <c r="AD316" i="25"/>
  <c r="AC316" i="25"/>
  <c r="AB316" i="25"/>
  <c r="AA316" i="25"/>
  <c r="Z316" i="25"/>
  <c r="Y316" i="25"/>
  <c r="X316" i="25"/>
  <c r="W316" i="25"/>
  <c r="V316" i="25"/>
  <c r="U316" i="25"/>
  <c r="T316" i="25"/>
  <c r="S316" i="25"/>
  <c r="R316" i="25"/>
  <c r="Q316" i="25"/>
  <c r="P316" i="25"/>
  <c r="O316" i="25"/>
  <c r="N316" i="25"/>
  <c r="M316" i="25"/>
  <c r="L316" i="25"/>
  <c r="K316" i="25"/>
  <c r="J316" i="25"/>
  <c r="I316" i="25"/>
  <c r="H316" i="25"/>
  <c r="G316" i="25"/>
  <c r="F316" i="25"/>
  <c r="E316" i="25"/>
  <c r="D316" i="25"/>
  <c r="C316" i="25"/>
  <c r="B316" i="25"/>
  <c r="A316" i="25"/>
  <c r="AP315" i="25"/>
  <c r="AO315" i="25"/>
  <c r="AN315" i="25"/>
  <c r="AM315" i="25"/>
  <c r="AL315" i="25"/>
  <c r="AK315" i="25"/>
  <c r="AJ315" i="25"/>
  <c r="AI315" i="25"/>
  <c r="AH315" i="25"/>
  <c r="AG315" i="25"/>
  <c r="AF315" i="25"/>
  <c r="AE315" i="25"/>
  <c r="AD315" i="25"/>
  <c r="AC315" i="25"/>
  <c r="AB315" i="25"/>
  <c r="AA315" i="25"/>
  <c r="Z315" i="25"/>
  <c r="Y315" i="25"/>
  <c r="X315" i="25"/>
  <c r="W315" i="25"/>
  <c r="V315" i="25"/>
  <c r="U315" i="25"/>
  <c r="T315" i="25"/>
  <c r="S315" i="25"/>
  <c r="R315" i="25"/>
  <c r="Q315" i="25"/>
  <c r="P315" i="25"/>
  <c r="O315" i="25"/>
  <c r="N315" i="25"/>
  <c r="M315" i="25"/>
  <c r="L315" i="25"/>
  <c r="K315" i="25"/>
  <c r="J315" i="25"/>
  <c r="I315" i="25"/>
  <c r="H315" i="25"/>
  <c r="G315" i="25"/>
  <c r="F315" i="25"/>
  <c r="E315" i="25"/>
  <c r="D315" i="25"/>
  <c r="C315" i="25"/>
  <c r="B315" i="25"/>
  <c r="A315" i="25"/>
  <c r="AP314" i="25"/>
  <c r="AO314" i="25"/>
  <c r="AN314" i="25"/>
  <c r="AM314" i="25"/>
  <c r="AL314" i="25"/>
  <c r="AK314" i="25"/>
  <c r="AJ314" i="25"/>
  <c r="AI314" i="25"/>
  <c r="AH314" i="25"/>
  <c r="AG314" i="25"/>
  <c r="AF314" i="25"/>
  <c r="AE314" i="25"/>
  <c r="AD314" i="25"/>
  <c r="AC314" i="25"/>
  <c r="AB314" i="25"/>
  <c r="AA314" i="25"/>
  <c r="Z314" i="25"/>
  <c r="Y314" i="25"/>
  <c r="X314" i="25"/>
  <c r="W314" i="25"/>
  <c r="V314" i="25"/>
  <c r="U314" i="25"/>
  <c r="T314" i="25"/>
  <c r="S314" i="25"/>
  <c r="R314" i="25"/>
  <c r="Q314" i="25"/>
  <c r="P314" i="25"/>
  <c r="O314" i="25"/>
  <c r="N314" i="25"/>
  <c r="M314" i="25"/>
  <c r="L314" i="25"/>
  <c r="K314" i="25"/>
  <c r="J314" i="25"/>
  <c r="I314" i="25"/>
  <c r="H314" i="25"/>
  <c r="G314" i="25"/>
  <c r="F314" i="25"/>
  <c r="E314" i="25"/>
  <c r="D314" i="25"/>
  <c r="C314" i="25"/>
  <c r="B314" i="25"/>
  <c r="A314" i="25"/>
  <c r="AP313" i="25"/>
  <c r="AO313" i="25"/>
  <c r="AN313" i="25"/>
  <c r="AM313" i="25"/>
  <c r="AL313" i="25"/>
  <c r="AK313" i="25"/>
  <c r="AJ313" i="25"/>
  <c r="AI313" i="25"/>
  <c r="AH313" i="25"/>
  <c r="AG313" i="25"/>
  <c r="AF313" i="25"/>
  <c r="AE313" i="25"/>
  <c r="AD313" i="25"/>
  <c r="AC313" i="25"/>
  <c r="AB313" i="25"/>
  <c r="AA313" i="25"/>
  <c r="Z313" i="25"/>
  <c r="Y313" i="25"/>
  <c r="X313" i="25"/>
  <c r="W313" i="25"/>
  <c r="V313" i="25"/>
  <c r="U313" i="25"/>
  <c r="T313" i="25"/>
  <c r="S313" i="25"/>
  <c r="R313" i="25"/>
  <c r="Q313" i="25"/>
  <c r="P313" i="25"/>
  <c r="O313" i="25"/>
  <c r="N313" i="25"/>
  <c r="M313" i="25"/>
  <c r="L313" i="25"/>
  <c r="K313" i="25"/>
  <c r="J313" i="25"/>
  <c r="I313" i="25"/>
  <c r="H313" i="25"/>
  <c r="G313" i="25"/>
  <c r="F313" i="25"/>
  <c r="E313" i="25"/>
  <c r="D313" i="25"/>
  <c r="C313" i="25"/>
  <c r="B313" i="25"/>
  <c r="A313" i="25"/>
  <c r="AP312" i="25"/>
  <c r="AO312" i="25"/>
  <c r="AN312" i="25"/>
  <c r="AM312" i="25"/>
  <c r="AL312" i="25"/>
  <c r="AK312" i="25"/>
  <c r="AJ312" i="25"/>
  <c r="AI312" i="25"/>
  <c r="AH312" i="25"/>
  <c r="AG312" i="25"/>
  <c r="AF312" i="25"/>
  <c r="AE312" i="25"/>
  <c r="AD312" i="25"/>
  <c r="AC312" i="25"/>
  <c r="AB312" i="25"/>
  <c r="AA312" i="25"/>
  <c r="Z312" i="25"/>
  <c r="Y312" i="25"/>
  <c r="X312" i="25"/>
  <c r="W312" i="25"/>
  <c r="V312" i="25"/>
  <c r="U312" i="25"/>
  <c r="T312" i="25"/>
  <c r="S312" i="25"/>
  <c r="R312" i="25"/>
  <c r="Q312" i="25"/>
  <c r="P312" i="25"/>
  <c r="O312" i="25"/>
  <c r="N312" i="25"/>
  <c r="M312" i="25"/>
  <c r="L312" i="25"/>
  <c r="K312" i="25"/>
  <c r="J312" i="25"/>
  <c r="I312" i="25"/>
  <c r="H312" i="25"/>
  <c r="G312" i="25"/>
  <c r="F312" i="25"/>
  <c r="E312" i="25"/>
  <c r="D312" i="25"/>
  <c r="C312" i="25"/>
  <c r="B312" i="25"/>
  <c r="A312" i="25"/>
  <c r="AP311" i="25"/>
  <c r="AO311" i="25"/>
  <c r="AN311" i="25"/>
  <c r="AM311" i="25"/>
  <c r="AL311" i="25"/>
  <c r="AK311" i="25"/>
  <c r="AJ311" i="25"/>
  <c r="AI311" i="25"/>
  <c r="AH311" i="25"/>
  <c r="AG311" i="25"/>
  <c r="AF311" i="25"/>
  <c r="AE311" i="25"/>
  <c r="AD311" i="25"/>
  <c r="AC311" i="25"/>
  <c r="AB311" i="25"/>
  <c r="AA311" i="25"/>
  <c r="Z311" i="25"/>
  <c r="Y311" i="25"/>
  <c r="X311" i="25"/>
  <c r="W311" i="25"/>
  <c r="V311" i="25"/>
  <c r="U311" i="25"/>
  <c r="T311" i="25"/>
  <c r="S311" i="25"/>
  <c r="R311" i="25"/>
  <c r="Q311" i="25"/>
  <c r="P311" i="25"/>
  <c r="O311" i="25"/>
  <c r="N311" i="25"/>
  <c r="M311" i="25"/>
  <c r="L311" i="25"/>
  <c r="K311" i="25"/>
  <c r="J311" i="25"/>
  <c r="I311" i="25"/>
  <c r="H311" i="25"/>
  <c r="G311" i="25"/>
  <c r="F311" i="25"/>
  <c r="E311" i="25"/>
  <c r="D311" i="25"/>
  <c r="C311" i="25"/>
  <c r="B311" i="25"/>
  <c r="A311" i="25"/>
  <c r="AP310" i="25"/>
  <c r="AO310" i="25"/>
  <c r="AN310" i="25"/>
  <c r="AM310" i="25"/>
  <c r="AL310" i="25"/>
  <c r="AK310" i="25"/>
  <c r="AJ310" i="25"/>
  <c r="AI310" i="25"/>
  <c r="AH310" i="25"/>
  <c r="AG310" i="25"/>
  <c r="AF310" i="25"/>
  <c r="AE310" i="25"/>
  <c r="AD310" i="25"/>
  <c r="AC310" i="25"/>
  <c r="AB310" i="25"/>
  <c r="AA310" i="25"/>
  <c r="Z310" i="25"/>
  <c r="Y310" i="25"/>
  <c r="X310" i="25"/>
  <c r="W310" i="25"/>
  <c r="V310" i="25"/>
  <c r="U310" i="25"/>
  <c r="T310" i="25"/>
  <c r="S310" i="25"/>
  <c r="R310" i="25"/>
  <c r="Q310" i="25"/>
  <c r="P310" i="25"/>
  <c r="O310" i="25"/>
  <c r="N310" i="25"/>
  <c r="M310" i="25"/>
  <c r="L310" i="25"/>
  <c r="K310" i="25"/>
  <c r="J310" i="25"/>
  <c r="I310" i="25"/>
  <c r="H310" i="25"/>
  <c r="G310" i="25"/>
  <c r="F310" i="25"/>
  <c r="E310" i="25"/>
  <c r="D310" i="25"/>
  <c r="C310" i="25"/>
  <c r="B310" i="25"/>
  <c r="A310" i="25"/>
  <c r="AP309" i="25"/>
  <c r="AO309" i="25"/>
  <c r="AN309" i="25"/>
  <c r="AM309" i="25"/>
  <c r="AL309" i="25"/>
  <c r="AK309" i="25"/>
  <c r="AJ309" i="25"/>
  <c r="AI309" i="25"/>
  <c r="AH309" i="25"/>
  <c r="AG309" i="25"/>
  <c r="AF309" i="25"/>
  <c r="AE309" i="25"/>
  <c r="AD309" i="25"/>
  <c r="AC309" i="25"/>
  <c r="AB309" i="25"/>
  <c r="AA309" i="25"/>
  <c r="Z309" i="25"/>
  <c r="Y309" i="25"/>
  <c r="X309" i="25"/>
  <c r="W309" i="25"/>
  <c r="V309" i="25"/>
  <c r="U309" i="25"/>
  <c r="T309" i="25"/>
  <c r="S309" i="25"/>
  <c r="R309" i="25"/>
  <c r="Q309" i="25"/>
  <c r="P309" i="25"/>
  <c r="O309" i="25"/>
  <c r="N309" i="25"/>
  <c r="M309" i="25"/>
  <c r="L309" i="25"/>
  <c r="K309" i="25"/>
  <c r="J309" i="25"/>
  <c r="I309" i="25"/>
  <c r="H309" i="25"/>
  <c r="G309" i="25"/>
  <c r="F309" i="25"/>
  <c r="E309" i="25"/>
  <c r="D309" i="25"/>
  <c r="C309" i="25"/>
  <c r="B309" i="25"/>
  <c r="A309" i="25"/>
  <c r="AP308" i="25"/>
  <c r="AO308" i="25"/>
  <c r="AN308" i="25"/>
  <c r="AM308" i="25"/>
  <c r="AL308" i="25"/>
  <c r="AK308" i="25"/>
  <c r="AJ308" i="25"/>
  <c r="AI308" i="25"/>
  <c r="AH308" i="25"/>
  <c r="AG308" i="25"/>
  <c r="AF308" i="25"/>
  <c r="AE308" i="25"/>
  <c r="AD308" i="25"/>
  <c r="AC308" i="25"/>
  <c r="AB308" i="25"/>
  <c r="AA308" i="25"/>
  <c r="Z308" i="25"/>
  <c r="Y308" i="25"/>
  <c r="X308" i="25"/>
  <c r="W308" i="25"/>
  <c r="V308" i="25"/>
  <c r="U308" i="25"/>
  <c r="T308" i="25"/>
  <c r="S308" i="25"/>
  <c r="R308" i="25"/>
  <c r="Q308" i="25"/>
  <c r="P308" i="25"/>
  <c r="O308" i="25"/>
  <c r="N308" i="25"/>
  <c r="M308" i="25"/>
  <c r="L308" i="25"/>
  <c r="K308" i="25"/>
  <c r="J308" i="25"/>
  <c r="I308" i="25"/>
  <c r="H308" i="25"/>
  <c r="G308" i="25"/>
  <c r="F308" i="25"/>
  <c r="E308" i="25"/>
  <c r="D308" i="25"/>
  <c r="C308" i="25"/>
  <c r="B308" i="25"/>
  <c r="A308" i="25"/>
  <c r="AP307" i="25"/>
  <c r="AO307" i="25"/>
  <c r="AN307" i="25"/>
  <c r="AM307" i="25"/>
  <c r="AL307" i="25"/>
  <c r="AK307" i="25"/>
  <c r="AJ307" i="25"/>
  <c r="AI307" i="25"/>
  <c r="AH307" i="25"/>
  <c r="AG307" i="25"/>
  <c r="AF307" i="25"/>
  <c r="AE307" i="25"/>
  <c r="AD307" i="25"/>
  <c r="AC307" i="25"/>
  <c r="AB307" i="25"/>
  <c r="AA307" i="25"/>
  <c r="Z307" i="25"/>
  <c r="Y307" i="25"/>
  <c r="X307" i="25"/>
  <c r="W307" i="25"/>
  <c r="V307" i="25"/>
  <c r="U307" i="25"/>
  <c r="T307" i="25"/>
  <c r="S307" i="25"/>
  <c r="R307" i="25"/>
  <c r="Q307" i="25"/>
  <c r="P307" i="25"/>
  <c r="O307" i="25"/>
  <c r="N307" i="25"/>
  <c r="M307" i="25"/>
  <c r="L307" i="25"/>
  <c r="K307" i="25"/>
  <c r="J307" i="25"/>
  <c r="I307" i="25"/>
  <c r="H307" i="25"/>
  <c r="G307" i="25"/>
  <c r="F307" i="25"/>
  <c r="E307" i="25"/>
  <c r="D307" i="25"/>
  <c r="C307" i="25"/>
  <c r="B307" i="25"/>
  <c r="A307" i="25"/>
  <c r="AP306" i="25"/>
  <c r="AO306" i="25"/>
  <c r="AN306" i="25"/>
  <c r="AM306" i="25"/>
  <c r="AL306" i="25"/>
  <c r="AK306" i="25"/>
  <c r="AJ306" i="25"/>
  <c r="AI306" i="25"/>
  <c r="AH306" i="25"/>
  <c r="AG306" i="25"/>
  <c r="AF306" i="25"/>
  <c r="AE306" i="25"/>
  <c r="AD306" i="25"/>
  <c r="AC306" i="25"/>
  <c r="AB306" i="25"/>
  <c r="AA306" i="25"/>
  <c r="Z306" i="25"/>
  <c r="Y306" i="25"/>
  <c r="X306" i="25"/>
  <c r="W306" i="25"/>
  <c r="V306" i="25"/>
  <c r="U306" i="25"/>
  <c r="T306" i="25"/>
  <c r="S306" i="25"/>
  <c r="R306" i="25"/>
  <c r="Q306" i="25"/>
  <c r="P306" i="25"/>
  <c r="O306" i="25"/>
  <c r="N306" i="25"/>
  <c r="M306" i="25"/>
  <c r="L306" i="25"/>
  <c r="K306" i="25"/>
  <c r="J306" i="25"/>
  <c r="I306" i="25"/>
  <c r="H306" i="25"/>
  <c r="G306" i="25"/>
  <c r="F306" i="25"/>
  <c r="E306" i="25"/>
  <c r="D306" i="25"/>
  <c r="C306" i="25"/>
  <c r="B306" i="25"/>
  <c r="A306" i="25"/>
  <c r="AP305" i="25"/>
  <c r="AO305" i="25"/>
  <c r="AN305" i="25"/>
  <c r="AM305" i="25"/>
  <c r="AL305" i="25"/>
  <c r="AK305" i="25"/>
  <c r="AJ305" i="25"/>
  <c r="AI305" i="25"/>
  <c r="AH305" i="25"/>
  <c r="AG305" i="25"/>
  <c r="AF305" i="25"/>
  <c r="AE305" i="25"/>
  <c r="AD305" i="25"/>
  <c r="AC305" i="25"/>
  <c r="AB305" i="25"/>
  <c r="AA305" i="25"/>
  <c r="Z305" i="25"/>
  <c r="Y305" i="25"/>
  <c r="X305" i="25"/>
  <c r="W305" i="25"/>
  <c r="V305" i="25"/>
  <c r="U305" i="25"/>
  <c r="T305" i="25"/>
  <c r="S305" i="25"/>
  <c r="R305" i="25"/>
  <c r="Q305" i="25"/>
  <c r="P305" i="25"/>
  <c r="O305" i="25"/>
  <c r="N305" i="25"/>
  <c r="M305" i="25"/>
  <c r="L305" i="25"/>
  <c r="K305" i="25"/>
  <c r="J305" i="25"/>
  <c r="I305" i="25"/>
  <c r="H305" i="25"/>
  <c r="G305" i="25"/>
  <c r="F305" i="25"/>
  <c r="E305" i="25"/>
  <c r="D305" i="25"/>
  <c r="C305" i="25"/>
  <c r="B305" i="25"/>
  <c r="A305" i="25"/>
  <c r="AP304" i="25"/>
  <c r="AO304" i="25"/>
  <c r="AN304" i="25"/>
  <c r="AM304" i="25"/>
  <c r="AL304" i="25"/>
  <c r="AK304" i="25"/>
  <c r="AJ304" i="25"/>
  <c r="AI304" i="25"/>
  <c r="AH304" i="25"/>
  <c r="AG304" i="25"/>
  <c r="AF304" i="25"/>
  <c r="AE304" i="25"/>
  <c r="AD304" i="25"/>
  <c r="AC304" i="25"/>
  <c r="AB304" i="25"/>
  <c r="AA304" i="25"/>
  <c r="Z304" i="25"/>
  <c r="Y304" i="25"/>
  <c r="X304" i="25"/>
  <c r="W304" i="25"/>
  <c r="V304" i="25"/>
  <c r="U304" i="25"/>
  <c r="T304" i="25"/>
  <c r="S304" i="25"/>
  <c r="R304" i="25"/>
  <c r="Q304" i="25"/>
  <c r="P304" i="25"/>
  <c r="O304" i="25"/>
  <c r="N304" i="25"/>
  <c r="M304" i="25"/>
  <c r="L304" i="25"/>
  <c r="K304" i="25"/>
  <c r="J304" i="25"/>
  <c r="I304" i="25"/>
  <c r="H304" i="25"/>
  <c r="G304" i="25"/>
  <c r="F304" i="25"/>
  <c r="E304" i="25"/>
  <c r="D304" i="25"/>
  <c r="C304" i="25"/>
  <c r="B304" i="25"/>
  <c r="A304" i="25"/>
  <c r="AP303" i="25"/>
  <c r="AO303" i="25"/>
  <c r="AN303" i="25"/>
  <c r="AM303" i="25"/>
  <c r="AL303" i="25"/>
  <c r="AK303" i="25"/>
  <c r="AJ303" i="25"/>
  <c r="AI303" i="25"/>
  <c r="AH303" i="25"/>
  <c r="AG303" i="25"/>
  <c r="AF303" i="25"/>
  <c r="AE303" i="25"/>
  <c r="AD303" i="25"/>
  <c r="AC303" i="25"/>
  <c r="AB303" i="25"/>
  <c r="AA303" i="25"/>
  <c r="Z303" i="25"/>
  <c r="Y303" i="25"/>
  <c r="X303" i="25"/>
  <c r="W303" i="25"/>
  <c r="V303" i="25"/>
  <c r="U303" i="25"/>
  <c r="T303" i="25"/>
  <c r="S303" i="25"/>
  <c r="R303" i="25"/>
  <c r="Q303" i="25"/>
  <c r="P303" i="25"/>
  <c r="O303" i="25"/>
  <c r="N303" i="25"/>
  <c r="M303" i="25"/>
  <c r="L303" i="25"/>
  <c r="K303" i="25"/>
  <c r="J303" i="25"/>
  <c r="I303" i="25"/>
  <c r="H303" i="25"/>
  <c r="G303" i="25"/>
  <c r="F303" i="25"/>
  <c r="E303" i="25"/>
  <c r="D303" i="25"/>
  <c r="C303" i="25"/>
  <c r="B303" i="25"/>
  <c r="A303" i="25"/>
  <c r="AP302" i="25"/>
  <c r="AO302" i="25"/>
  <c r="AN302" i="25"/>
  <c r="AM302" i="25"/>
  <c r="AL302" i="25"/>
  <c r="AK302" i="25"/>
  <c r="AJ302" i="25"/>
  <c r="AI302" i="25"/>
  <c r="AH302" i="25"/>
  <c r="AG302" i="25"/>
  <c r="AF302" i="25"/>
  <c r="AE302" i="25"/>
  <c r="AD302" i="25"/>
  <c r="AC302" i="25"/>
  <c r="AB302" i="25"/>
  <c r="AA302" i="25"/>
  <c r="Z302" i="25"/>
  <c r="Y302" i="25"/>
  <c r="X302" i="25"/>
  <c r="W302" i="25"/>
  <c r="V302" i="25"/>
  <c r="U302" i="25"/>
  <c r="T302" i="25"/>
  <c r="S302" i="25"/>
  <c r="R302" i="25"/>
  <c r="Q302" i="25"/>
  <c r="P302" i="25"/>
  <c r="O302" i="25"/>
  <c r="N302" i="25"/>
  <c r="M302" i="25"/>
  <c r="L302" i="25"/>
  <c r="K302" i="25"/>
  <c r="J302" i="25"/>
  <c r="I302" i="25"/>
  <c r="H302" i="25"/>
  <c r="G302" i="25"/>
  <c r="F302" i="25"/>
  <c r="E302" i="25"/>
  <c r="D302" i="25"/>
  <c r="C302" i="25"/>
  <c r="B302" i="25"/>
  <c r="A302" i="25"/>
  <c r="AP301" i="25"/>
  <c r="AO301" i="25"/>
  <c r="AN301" i="25"/>
  <c r="AM301" i="25"/>
  <c r="AL301" i="25"/>
  <c r="AK301" i="25"/>
  <c r="AJ301" i="25"/>
  <c r="AI301" i="25"/>
  <c r="AH301" i="25"/>
  <c r="AG301" i="25"/>
  <c r="AF301" i="25"/>
  <c r="AE301" i="25"/>
  <c r="AD301" i="25"/>
  <c r="AC301" i="25"/>
  <c r="AB301" i="25"/>
  <c r="AA301" i="25"/>
  <c r="Z301" i="25"/>
  <c r="Y301" i="25"/>
  <c r="X301" i="25"/>
  <c r="W301" i="25"/>
  <c r="V301" i="25"/>
  <c r="U301" i="25"/>
  <c r="T301" i="25"/>
  <c r="S301" i="25"/>
  <c r="R301" i="25"/>
  <c r="Q301" i="25"/>
  <c r="P301" i="25"/>
  <c r="O301" i="25"/>
  <c r="N301" i="25"/>
  <c r="M301" i="25"/>
  <c r="L301" i="25"/>
  <c r="K301" i="25"/>
  <c r="J301" i="25"/>
  <c r="I301" i="25"/>
  <c r="H301" i="25"/>
  <c r="G301" i="25"/>
  <c r="F301" i="25"/>
  <c r="E301" i="25"/>
  <c r="D301" i="25"/>
  <c r="C301" i="25"/>
  <c r="B301" i="25"/>
  <c r="A301" i="25"/>
  <c r="AP300" i="25"/>
  <c r="AO300" i="25"/>
  <c r="AN300" i="25"/>
  <c r="AM300" i="25"/>
  <c r="AL300" i="25"/>
  <c r="AK300" i="25"/>
  <c r="AJ300" i="25"/>
  <c r="AI300" i="25"/>
  <c r="AH300" i="25"/>
  <c r="AG300" i="25"/>
  <c r="AF300" i="25"/>
  <c r="AE300" i="25"/>
  <c r="AD300" i="25"/>
  <c r="AC300" i="25"/>
  <c r="AB300" i="25"/>
  <c r="AA300" i="25"/>
  <c r="Z300" i="25"/>
  <c r="Y300" i="25"/>
  <c r="X300" i="25"/>
  <c r="W300" i="25"/>
  <c r="V300" i="25"/>
  <c r="U300" i="25"/>
  <c r="T300" i="25"/>
  <c r="S300" i="25"/>
  <c r="R300" i="25"/>
  <c r="Q300" i="25"/>
  <c r="P300" i="25"/>
  <c r="O300" i="25"/>
  <c r="N300" i="25"/>
  <c r="M300" i="25"/>
  <c r="L300" i="25"/>
  <c r="K300" i="25"/>
  <c r="J300" i="25"/>
  <c r="I300" i="25"/>
  <c r="H300" i="25"/>
  <c r="G300" i="25"/>
  <c r="F300" i="25"/>
  <c r="E300" i="25"/>
  <c r="D300" i="25"/>
  <c r="C300" i="25"/>
  <c r="B300" i="25"/>
  <c r="A300" i="25"/>
  <c r="AP299" i="25"/>
  <c r="AO299" i="25"/>
  <c r="AN299" i="25"/>
  <c r="AM299" i="25"/>
  <c r="AL299" i="25"/>
  <c r="AK299" i="25"/>
  <c r="AJ299" i="25"/>
  <c r="AI299" i="25"/>
  <c r="AH299" i="25"/>
  <c r="AG299" i="25"/>
  <c r="AF299" i="25"/>
  <c r="AE299" i="25"/>
  <c r="AD299" i="25"/>
  <c r="AC299" i="25"/>
  <c r="AB299" i="25"/>
  <c r="AA299" i="25"/>
  <c r="Z299" i="25"/>
  <c r="Y299" i="25"/>
  <c r="X299" i="25"/>
  <c r="W299" i="25"/>
  <c r="V299" i="25"/>
  <c r="U299" i="25"/>
  <c r="T299" i="25"/>
  <c r="S299" i="25"/>
  <c r="R299" i="25"/>
  <c r="Q299" i="25"/>
  <c r="P299" i="25"/>
  <c r="O299" i="25"/>
  <c r="N299" i="25"/>
  <c r="M299" i="25"/>
  <c r="L299" i="25"/>
  <c r="K299" i="25"/>
  <c r="J299" i="25"/>
  <c r="I299" i="25"/>
  <c r="H299" i="25"/>
  <c r="G299" i="25"/>
  <c r="F299" i="25"/>
  <c r="E299" i="25"/>
  <c r="D299" i="25"/>
  <c r="C299" i="25"/>
  <c r="B299" i="25"/>
  <c r="A299" i="25"/>
  <c r="AP298" i="25"/>
  <c r="AO298" i="25"/>
  <c r="AN298" i="25"/>
  <c r="AM298" i="25"/>
  <c r="AL298" i="25"/>
  <c r="AK298" i="25"/>
  <c r="AJ298" i="25"/>
  <c r="AI298" i="25"/>
  <c r="AH298" i="25"/>
  <c r="AG298" i="25"/>
  <c r="AF298" i="25"/>
  <c r="AE298" i="25"/>
  <c r="AD298" i="25"/>
  <c r="AC298" i="25"/>
  <c r="AB298" i="25"/>
  <c r="AA298" i="25"/>
  <c r="Z298" i="25"/>
  <c r="Y298" i="25"/>
  <c r="X298" i="25"/>
  <c r="W298" i="25"/>
  <c r="V298" i="25"/>
  <c r="U298" i="25"/>
  <c r="T298" i="25"/>
  <c r="S298" i="25"/>
  <c r="R298" i="25"/>
  <c r="Q298" i="25"/>
  <c r="P298" i="25"/>
  <c r="O298" i="25"/>
  <c r="N298" i="25"/>
  <c r="M298" i="25"/>
  <c r="L298" i="25"/>
  <c r="K298" i="25"/>
  <c r="J298" i="25"/>
  <c r="I298" i="25"/>
  <c r="H298" i="25"/>
  <c r="G298" i="25"/>
  <c r="F298" i="25"/>
  <c r="E298" i="25"/>
  <c r="D298" i="25"/>
  <c r="C298" i="25"/>
  <c r="B298" i="25"/>
  <c r="A298" i="25"/>
  <c r="AP297" i="25"/>
  <c r="AO297" i="25"/>
  <c r="AN297" i="25"/>
  <c r="AM297" i="25"/>
  <c r="AL297" i="25"/>
  <c r="AK297" i="25"/>
  <c r="AJ297" i="25"/>
  <c r="AI297" i="25"/>
  <c r="AH297" i="25"/>
  <c r="AG297" i="25"/>
  <c r="AF297" i="25"/>
  <c r="AE297" i="25"/>
  <c r="AD297" i="25"/>
  <c r="AC297" i="25"/>
  <c r="AB297" i="25"/>
  <c r="AA297" i="25"/>
  <c r="Z297" i="25"/>
  <c r="Y297" i="25"/>
  <c r="X297" i="25"/>
  <c r="W297" i="25"/>
  <c r="V297" i="25"/>
  <c r="U297" i="25"/>
  <c r="T297" i="25"/>
  <c r="S297" i="25"/>
  <c r="R297" i="25"/>
  <c r="Q297" i="25"/>
  <c r="P297" i="25"/>
  <c r="O297" i="25"/>
  <c r="N297" i="25"/>
  <c r="M297" i="25"/>
  <c r="L297" i="25"/>
  <c r="K297" i="25"/>
  <c r="J297" i="25"/>
  <c r="I297" i="25"/>
  <c r="H297" i="25"/>
  <c r="G297" i="25"/>
  <c r="F297" i="25"/>
  <c r="E297" i="25"/>
  <c r="D297" i="25"/>
  <c r="C297" i="25"/>
  <c r="B297" i="25"/>
  <c r="A297" i="25"/>
  <c r="AP296" i="25"/>
  <c r="AO296" i="25"/>
  <c r="AN296" i="25"/>
  <c r="AM296" i="25"/>
  <c r="AL296" i="25"/>
  <c r="AK296" i="25"/>
  <c r="AJ296" i="25"/>
  <c r="AI296" i="25"/>
  <c r="AH296" i="25"/>
  <c r="AG296" i="25"/>
  <c r="AF296" i="25"/>
  <c r="AE296" i="25"/>
  <c r="AD296" i="25"/>
  <c r="AC296" i="25"/>
  <c r="AB296" i="25"/>
  <c r="AA296" i="25"/>
  <c r="Z296" i="25"/>
  <c r="Y296" i="25"/>
  <c r="X296" i="25"/>
  <c r="W296" i="25"/>
  <c r="V296" i="25"/>
  <c r="U296" i="25"/>
  <c r="T296" i="25"/>
  <c r="S296" i="25"/>
  <c r="R296" i="25"/>
  <c r="Q296" i="25"/>
  <c r="P296" i="25"/>
  <c r="O296" i="25"/>
  <c r="N296" i="25"/>
  <c r="M296" i="25"/>
  <c r="L296" i="25"/>
  <c r="K296" i="25"/>
  <c r="J296" i="25"/>
  <c r="I296" i="25"/>
  <c r="H296" i="25"/>
  <c r="G296" i="25"/>
  <c r="F296" i="25"/>
  <c r="E296" i="25"/>
  <c r="D296" i="25"/>
  <c r="C296" i="25"/>
  <c r="B296" i="25"/>
  <c r="A296" i="25"/>
  <c r="AP295" i="25"/>
  <c r="AO295" i="25"/>
  <c r="AN295" i="25"/>
  <c r="AM295" i="25"/>
  <c r="AL295" i="25"/>
  <c r="AK295" i="25"/>
  <c r="AJ295" i="25"/>
  <c r="AI295" i="25"/>
  <c r="AH295" i="25"/>
  <c r="AG295" i="25"/>
  <c r="AF295" i="25"/>
  <c r="AE295" i="25"/>
  <c r="AD295" i="25"/>
  <c r="AC295" i="25"/>
  <c r="AB295" i="25"/>
  <c r="AA295" i="25"/>
  <c r="Z295" i="25"/>
  <c r="Y295" i="25"/>
  <c r="X295" i="25"/>
  <c r="W295" i="25"/>
  <c r="V295" i="25"/>
  <c r="U295" i="25"/>
  <c r="T295" i="25"/>
  <c r="S295" i="25"/>
  <c r="R295" i="25"/>
  <c r="Q295" i="25"/>
  <c r="P295" i="25"/>
  <c r="O295" i="25"/>
  <c r="N295" i="25"/>
  <c r="M295" i="25"/>
  <c r="L295" i="25"/>
  <c r="K295" i="25"/>
  <c r="J295" i="25"/>
  <c r="I295" i="25"/>
  <c r="H295" i="25"/>
  <c r="G295" i="25"/>
  <c r="F295" i="25"/>
  <c r="E295" i="25"/>
  <c r="D295" i="25"/>
  <c r="C295" i="25"/>
  <c r="B295" i="25"/>
  <c r="A295" i="25"/>
  <c r="AP294" i="25"/>
  <c r="AO294" i="25"/>
  <c r="AN294" i="25"/>
  <c r="AM294" i="25"/>
  <c r="AL294" i="25"/>
  <c r="AK294" i="25"/>
  <c r="AJ294" i="25"/>
  <c r="AI294" i="25"/>
  <c r="AH294" i="25"/>
  <c r="AG294" i="25"/>
  <c r="AF294" i="25"/>
  <c r="AE294" i="25"/>
  <c r="AD294" i="25"/>
  <c r="AC294" i="25"/>
  <c r="AB294" i="25"/>
  <c r="AA294" i="25"/>
  <c r="Z294" i="25"/>
  <c r="Y294" i="25"/>
  <c r="X294" i="25"/>
  <c r="W294" i="25"/>
  <c r="V294" i="25"/>
  <c r="U294" i="25"/>
  <c r="T294" i="25"/>
  <c r="S294" i="25"/>
  <c r="R294" i="25"/>
  <c r="Q294" i="25"/>
  <c r="P294" i="25"/>
  <c r="O294" i="25"/>
  <c r="N294" i="25"/>
  <c r="M294" i="25"/>
  <c r="L294" i="25"/>
  <c r="K294" i="25"/>
  <c r="J294" i="25"/>
  <c r="I294" i="25"/>
  <c r="H294" i="25"/>
  <c r="G294" i="25"/>
  <c r="F294" i="25"/>
  <c r="E294" i="25"/>
  <c r="D294" i="25"/>
  <c r="C294" i="25"/>
  <c r="B294" i="25"/>
  <c r="A294" i="25"/>
  <c r="AP293" i="25"/>
  <c r="AO293" i="25"/>
  <c r="AN293" i="25"/>
  <c r="AM293" i="25"/>
  <c r="AL293" i="25"/>
  <c r="AK293" i="25"/>
  <c r="AJ293" i="25"/>
  <c r="AI293" i="25"/>
  <c r="AH293" i="25"/>
  <c r="AG293" i="25"/>
  <c r="AF293" i="25"/>
  <c r="AE293" i="25"/>
  <c r="AD293" i="25"/>
  <c r="AC293" i="25"/>
  <c r="AB293" i="25"/>
  <c r="AA293" i="25"/>
  <c r="Z293" i="25"/>
  <c r="Y293" i="25"/>
  <c r="X293" i="25"/>
  <c r="W293" i="25"/>
  <c r="V293" i="25"/>
  <c r="U293" i="25"/>
  <c r="T293" i="25"/>
  <c r="S293" i="25"/>
  <c r="R293" i="25"/>
  <c r="Q293" i="25"/>
  <c r="P293" i="25"/>
  <c r="O293" i="25"/>
  <c r="N293" i="25"/>
  <c r="M293" i="25"/>
  <c r="L293" i="25"/>
  <c r="K293" i="25"/>
  <c r="J293" i="25"/>
  <c r="I293" i="25"/>
  <c r="H293" i="25"/>
  <c r="G293" i="25"/>
  <c r="F293" i="25"/>
  <c r="E293" i="25"/>
  <c r="D293" i="25"/>
  <c r="C293" i="25"/>
  <c r="B293" i="25"/>
  <c r="A293" i="25"/>
  <c r="AP292" i="25"/>
  <c r="AO292" i="25"/>
  <c r="AN292" i="25"/>
  <c r="AM292" i="25"/>
  <c r="AL292" i="25"/>
  <c r="AK292" i="25"/>
  <c r="AJ292" i="25"/>
  <c r="AI292" i="25"/>
  <c r="AH292" i="25"/>
  <c r="AG292" i="25"/>
  <c r="AF292" i="25"/>
  <c r="AE292" i="25"/>
  <c r="AD292" i="25"/>
  <c r="AC292" i="25"/>
  <c r="AB292" i="25"/>
  <c r="AA292" i="25"/>
  <c r="Z292" i="25"/>
  <c r="Y292" i="25"/>
  <c r="X292" i="25"/>
  <c r="W292" i="25"/>
  <c r="V292" i="25"/>
  <c r="U292" i="25"/>
  <c r="T292" i="25"/>
  <c r="S292" i="25"/>
  <c r="R292" i="25"/>
  <c r="Q292" i="25"/>
  <c r="P292" i="25"/>
  <c r="O292" i="25"/>
  <c r="N292" i="25"/>
  <c r="M292" i="25"/>
  <c r="L292" i="25"/>
  <c r="K292" i="25"/>
  <c r="J292" i="25"/>
  <c r="I292" i="25"/>
  <c r="H292" i="25"/>
  <c r="G292" i="25"/>
  <c r="F292" i="25"/>
  <c r="E292" i="25"/>
  <c r="D292" i="25"/>
  <c r="C292" i="25"/>
  <c r="B292" i="25"/>
  <c r="A292" i="25"/>
  <c r="AP291" i="25"/>
  <c r="AO291" i="25"/>
  <c r="AN291" i="25"/>
  <c r="AM291" i="25"/>
  <c r="AL291" i="25"/>
  <c r="AK291" i="25"/>
  <c r="AJ291" i="25"/>
  <c r="AI291" i="25"/>
  <c r="AH291" i="25"/>
  <c r="AG291" i="25"/>
  <c r="AF291" i="25"/>
  <c r="AE291" i="25"/>
  <c r="AD291" i="25"/>
  <c r="AC291" i="25"/>
  <c r="AB291" i="25"/>
  <c r="AA291" i="25"/>
  <c r="Z291" i="25"/>
  <c r="Y291" i="25"/>
  <c r="X291" i="25"/>
  <c r="W291" i="25"/>
  <c r="V291" i="25"/>
  <c r="U291" i="25"/>
  <c r="T291" i="25"/>
  <c r="S291" i="25"/>
  <c r="R291" i="25"/>
  <c r="Q291" i="25"/>
  <c r="P291" i="25"/>
  <c r="O291" i="25"/>
  <c r="N291" i="25"/>
  <c r="M291" i="25"/>
  <c r="L291" i="25"/>
  <c r="K291" i="25"/>
  <c r="J291" i="25"/>
  <c r="I291" i="25"/>
  <c r="H291" i="25"/>
  <c r="G291" i="25"/>
  <c r="F291" i="25"/>
  <c r="E291" i="25"/>
  <c r="D291" i="25"/>
  <c r="C291" i="25"/>
  <c r="B291" i="25"/>
  <c r="A291" i="25"/>
  <c r="AP290" i="25"/>
  <c r="AO290" i="25"/>
  <c r="AN290" i="25"/>
  <c r="AM290" i="25"/>
  <c r="AL290" i="25"/>
  <c r="AK290" i="25"/>
  <c r="AJ290" i="25"/>
  <c r="AI290" i="25"/>
  <c r="AH290" i="25"/>
  <c r="AG290" i="25"/>
  <c r="AF290" i="25"/>
  <c r="AE290" i="25"/>
  <c r="AD290" i="25"/>
  <c r="AC290" i="25"/>
  <c r="AB290" i="25"/>
  <c r="AA290" i="25"/>
  <c r="Z290" i="25"/>
  <c r="Y290" i="25"/>
  <c r="X290" i="25"/>
  <c r="W290" i="25"/>
  <c r="V290" i="25"/>
  <c r="U290" i="25"/>
  <c r="T290" i="25"/>
  <c r="S290" i="25"/>
  <c r="R290" i="25"/>
  <c r="Q290" i="25"/>
  <c r="P290" i="25"/>
  <c r="O290" i="25"/>
  <c r="N290" i="25"/>
  <c r="M290" i="25"/>
  <c r="L290" i="25"/>
  <c r="K290" i="25"/>
  <c r="J290" i="25"/>
  <c r="I290" i="25"/>
  <c r="H290" i="25"/>
  <c r="G290" i="25"/>
  <c r="F290" i="25"/>
  <c r="E290" i="25"/>
  <c r="D290" i="25"/>
  <c r="C290" i="25"/>
  <c r="B290" i="25"/>
  <c r="A290" i="25"/>
  <c r="AP289" i="25"/>
  <c r="AO289" i="25"/>
  <c r="AN289" i="25"/>
  <c r="AM289" i="25"/>
  <c r="AL289" i="25"/>
  <c r="AK289" i="25"/>
  <c r="AJ289" i="25"/>
  <c r="AI289" i="25"/>
  <c r="AH289" i="25"/>
  <c r="AG289" i="25"/>
  <c r="AF289" i="25"/>
  <c r="AE289" i="25"/>
  <c r="AD289" i="25"/>
  <c r="AC289" i="25"/>
  <c r="AB289" i="25"/>
  <c r="AA289" i="25"/>
  <c r="Z289" i="25"/>
  <c r="Y289" i="25"/>
  <c r="X289" i="25"/>
  <c r="W289" i="25"/>
  <c r="V289" i="25"/>
  <c r="U289" i="25"/>
  <c r="T289" i="25"/>
  <c r="S289" i="25"/>
  <c r="R289" i="25"/>
  <c r="Q289" i="25"/>
  <c r="P289" i="25"/>
  <c r="O289" i="25"/>
  <c r="N289" i="25"/>
  <c r="M289" i="25"/>
  <c r="L289" i="25"/>
  <c r="K289" i="25"/>
  <c r="J289" i="25"/>
  <c r="I289" i="25"/>
  <c r="H289" i="25"/>
  <c r="G289" i="25"/>
  <c r="F289" i="25"/>
  <c r="E289" i="25"/>
  <c r="D289" i="25"/>
  <c r="C289" i="25"/>
  <c r="B289" i="25"/>
  <c r="A289" i="25"/>
  <c r="AP288" i="25"/>
  <c r="AO288" i="25"/>
  <c r="AN288" i="25"/>
  <c r="AM288" i="25"/>
  <c r="AL288" i="25"/>
  <c r="AK288" i="25"/>
  <c r="AJ288" i="25"/>
  <c r="AI288" i="25"/>
  <c r="AH288" i="25"/>
  <c r="AG288" i="25"/>
  <c r="AF288" i="25"/>
  <c r="AE288" i="25"/>
  <c r="AD288" i="25"/>
  <c r="AC288" i="25"/>
  <c r="AB288" i="25"/>
  <c r="AA288" i="25"/>
  <c r="Z288" i="25"/>
  <c r="Y288" i="25"/>
  <c r="X288" i="25"/>
  <c r="W288" i="25"/>
  <c r="V288" i="25"/>
  <c r="U288" i="25"/>
  <c r="T288" i="25"/>
  <c r="S288" i="25"/>
  <c r="R288" i="25"/>
  <c r="Q288" i="25"/>
  <c r="P288" i="25"/>
  <c r="O288" i="25"/>
  <c r="N288" i="25"/>
  <c r="M288" i="25"/>
  <c r="L288" i="25"/>
  <c r="K288" i="25"/>
  <c r="J288" i="25"/>
  <c r="I288" i="25"/>
  <c r="H288" i="25"/>
  <c r="G288" i="25"/>
  <c r="F288" i="25"/>
  <c r="E288" i="25"/>
  <c r="D288" i="25"/>
  <c r="C288" i="25"/>
  <c r="B288" i="25"/>
  <c r="A288" i="25"/>
  <c r="AP287" i="25"/>
  <c r="AO287" i="25"/>
  <c r="AN287" i="25"/>
  <c r="AM287" i="25"/>
  <c r="AL287" i="25"/>
  <c r="AK287" i="25"/>
  <c r="AJ287" i="25"/>
  <c r="AI287" i="25"/>
  <c r="AH287" i="25"/>
  <c r="AG287" i="25"/>
  <c r="AF287" i="25"/>
  <c r="AE287" i="25"/>
  <c r="AD287" i="25"/>
  <c r="AC287" i="25"/>
  <c r="AB287" i="25"/>
  <c r="AA287" i="25"/>
  <c r="Z287" i="25"/>
  <c r="Y287" i="25"/>
  <c r="X287" i="25"/>
  <c r="W287" i="25"/>
  <c r="V287" i="25"/>
  <c r="U287" i="25"/>
  <c r="T287" i="25"/>
  <c r="S287" i="25"/>
  <c r="R287" i="25"/>
  <c r="Q287" i="25"/>
  <c r="P287" i="25"/>
  <c r="O287" i="25"/>
  <c r="N287" i="25"/>
  <c r="M287" i="25"/>
  <c r="L287" i="25"/>
  <c r="K287" i="25"/>
  <c r="J287" i="25"/>
  <c r="I287" i="25"/>
  <c r="H287" i="25"/>
  <c r="G287" i="25"/>
  <c r="F287" i="25"/>
  <c r="E287" i="25"/>
  <c r="D287" i="25"/>
  <c r="C287" i="25"/>
  <c r="B287" i="25"/>
  <c r="A287" i="25"/>
  <c r="AP286" i="25"/>
  <c r="AO286" i="25"/>
  <c r="AN286" i="25"/>
  <c r="AM286" i="25"/>
  <c r="AL286" i="25"/>
  <c r="AK286" i="25"/>
  <c r="AJ286" i="25"/>
  <c r="AI286" i="25"/>
  <c r="AH286" i="25"/>
  <c r="AG286" i="25"/>
  <c r="AF286" i="25"/>
  <c r="AE286" i="25"/>
  <c r="AD286" i="25"/>
  <c r="AC286" i="25"/>
  <c r="AB286" i="25"/>
  <c r="AA286" i="25"/>
  <c r="Z286" i="25"/>
  <c r="Y286" i="25"/>
  <c r="X286" i="25"/>
  <c r="W286" i="25"/>
  <c r="V286" i="25"/>
  <c r="U286" i="25"/>
  <c r="T286" i="25"/>
  <c r="S286" i="25"/>
  <c r="R286" i="25"/>
  <c r="Q286" i="25"/>
  <c r="P286" i="25"/>
  <c r="O286" i="25"/>
  <c r="N286" i="25"/>
  <c r="M286" i="25"/>
  <c r="L286" i="25"/>
  <c r="K286" i="25"/>
  <c r="J286" i="25"/>
  <c r="I286" i="25"/>
  <c r="H286" i="25"/>
  <c r="G286" i="25"/>
  <c r="F286" i="25"/>
  <c r="E286" i="25"/>
  <c r="D286" i="25"/>
  <c r="C286" i="25"/>
  <c r="B286" i="25"/>
  <c r="A286" i="25"/>
  <c r="AP285" i="25"/>
  <c r="AO285" i="25"/>
  <c r="AN285" i="25"/>
  <c r="AM285" i="25"/>
  <c r="AL285" i="25"/>
  <c r="AK285" i="25"/>
  <c r="AJ285" i="25"/>
  <c r="AI285" i="25"/>
  <c r="AH285" i="25"/>
  <c r="AG285" i="25"/>
  <c r="AF285" i="25"/>
  <c r="AE285" i="25"/>
  <c r="AD285" i="25"/>
  <c r="AC285" i="25"/>
  <c r="AB285" i="25"/>
  <c r="AA285" i="25"/>
  <c r="Z285" i="25"/>
  <c r="Y285" i="25"/>
  <c r="X285" i="25"/>
  <c r="W285" i="25"/>
  <c r="V285" i="25"/>
  <c r="U285" i="25"/>
  <c r="T285" i="25"/>
  <c r="S285" i="25"/>
  <c r="R285" i="25"/>
  <c r="Q285" i="25"/>
  <c r="P285" i="25"/>
  <c r="O285" i="25"/>
  <c r="N285" i="25"/>
  <c r="M285" i="25"/>
  <c r="L285" i="25"/>
  <c r="K285" i="25"/>
  <c r="J285" i="25"/>
  <c r="I285" i="25"/>
  <c r="H285" i="25"/>
  <c r="G285" i="25"/>
  <c r="F285" i="25"/>
  <c r="E285" i="25"/>
  <c r="D285" i="25"/>
  <c r="C285" i="25"/>
  <c r="B285" i="25"/>
  <c r="A285" i="25"/>
  <c r="AP284" i="25"/>
  <c r="AO284" i="25"/>
  <c r="AN284" i="25"/>
  <c r="AM284" i="25"/>
  <c r="AL284" i="25"/>
  <c r="AK284" i="25"/>
  <c r="AJ284" i="25"/>
  <c r="AI284" i="25"/>
  <c r="AH284" i="25"/>
  <c r="AG284" i="25"/>
  <c r="AF284" i="25"/>
  <c r="AE284" i="25"/>
  <c r="AD284" i="25"/>
  <c r="AC284" i="25"/>
  <c r="AB284" i="25"/>
  <c r="AA284" i="25"/>
  <c r="Z284" i="25"/>
  <c r="Y284" i="25"/>
  <c r="X284" i="25"/>
  <c r="W284" i="25"/>
  <c r="V284" i="25"/>
  <c r="U284" i="25"/>
  <c r="T284" i="25"/>
  <c r="S284" i="25"/>
  <c r="R284" i="25"/>
  <c r="Q284" i="25"/>
  <c r="P284" i="25"/>
  <c r="O284" i="25"/>
  <c r="N284" i="25"/>
  <c r="M284" i="25"/>
  <c r="L284" i="25"/>
  <c r="K284" i="25"/>
  <c r="J284" i="25"/>
  <c r="I284" i="25"/>
  <c r="H284" i="25"/>
  <c r="G284" i="25"/>
  <c r="F284" i="25"/>
  <c r="E284" i="25"/>
  <c r="D284" i="25"/>
  <c r="C284" i="25"/>
  <c r="B284" i="25"/>
  <c r="A284" i="25"/>
  <c r="AP283" i="25"/>
  <c r="AO283" i="25"/>
  <c r="AN283" i="25"/>
  <c r="AM283" i="25"/>
  <c r="AL283" i="25"/>
  <c r="AK283" i="25"/>
  <c r="AJ283" i="25"/>
  <c r="AI283" i="25"/>
  <c r="AH283" i="25"/>
  <c r="AG283" i="25"/>
  <c r="AF283" i="25"/>
  <c r="AE283" i="25"/>
  <c r="AD283" i="25"/>
  <c r="AC283" i="25"/>
  <c r="AB283" i="25"/>
  <c r="AA283" i="25"/>
  <c r="Z283" i="25"/>
  <c r="Y283" i="25"/>
  <c r="X283" i="25"/>
  <c r="W283" i="25"/>
  <c r="V283" i="25"/>
  <c r="U283" i="25"/>
  <c r="T283" i="25"/>
  <c r="S283" i="25"/>
  <c r="R283" i="25"/>
  <c r="Q283" i="25"/>
  <c r="P283" i="25"/>
  <c r="O283" i="25"/>
  <c r="N283" i="25"/>
  <c r="M283" i="25"/>
  <c r="L283" i="25"/>
  <c r="K283" i="25"/>
  <c r="J283" i="25"/>
  <c r="I283" i="25"/>
  <c r="H283" i="25"/>
  <c r="G283" i="25"/>
  <c r="F283" i="25"/>
  <c r="E283" i="25"/>
  <c r="D283" i="25"/>
  <c r="C283" i="25"/>
  <c r="B283" i="25"/>
  <c r="A283" i="25"/>
  <c r="AP282" i="25"/>
  <c r="AO282" i="25"/>
  <c r="AN282" i="25"/>
  <c r="AM282" i="25"/>
  <c r="AL282" i="25"/>
  <c r="AK282" i="25"/>
  <c r="AJ282" i="25"/>
  <c r="AI282" i="25"/>
  <c r="AH282" i="25"/>
  <c r="AG282" i="25"/>
  <c r="AF282" i="25"/>
  <c r="AE282" i="25"/>
  <c r="AD282" i="25"/>
  <c r="AC282" i="25"/>
  <c r="AB282" i="25"/>
  <c r="AA282" i="25"/>
  <c r="Z282" i="25"/>
  <c r="Y282" i="25"/>
  <c r="X282" i="25"/>
  <c r="W282" i="25"/>
  <c r="V282" i="25"/>
  <c r="U282" i="25"/>
  <c r="T282" i="25"/>
  <c r="S282" i="25"/>
  <c r="R282" i="25"/>
  <c r="Q282" i="25"/>
  <c r="P282" i="25"/>
  <c r="O282" i="25"/>
  <c r="N282" i="25"/>
  <c r="M282" i="25"/>
  <c r="L282" i="25"/>
  <c r="K282" i="25"/>
  <c r="J282" i="25"/>
  <c r="I282" i="25"/>
  <c r="H282" i="25"/>
  <c r="G282" i="25"/>
  <c r="F282" i="25"/>
  <c r="E282" i="25"/>
  <c r="D282" i="25"/>
  <c r="C282" i="25"/>
  <c r="B282" i="25"/>
  <c r="A282" i="25"/>
  <c r="AP281" i="25"/>
  <c r="AO281" i="25"/>
  <c r="AN281" i="25"/>
  <c r="AM281" i="25"/>
  <c r="AL281" i="25"/>
  <c r="AK281" i="25"/>
  <c r="AJ281" i="25"/>
  <c r="AI281" i="25"/>
  <c r="AH281" i="25"/>
  <c r="AG281" i="25"/>
  <c r="AF281" i="25"/>
  <c r="AE281" i="25"/>
  <c r="AD281" i="25"/>
  <c r="AC281" i="25"/>
  <c r="AB281" i="25"/>
  <c r="AA281" i="25"/>
  <c r="Z281" i="25"/>
  <c r="Y281" i="25"/>
  <c r="X281" i="25"/>
  <c r="W281" i="25"/>
  <c r="V281" i="25"/>
  <c r="U281" i="25"/>
  <c r="T281" i="25"/>
  <c r="S281" i="25"/>
  <c r="R281" i="25"/>
  <c r="Q281" i="25"/>
  <c r="P281" i="25"/>
  <c r="O281" i="25"/>
  <c r="N281" i="25"/>
  <c r="M281" i="25"/>
  <c r="L281" i="25"/>
  <c r="K281" i="25"/>
  <c r="J281" i="25"/>
  <c r="I281" i="25"/>
  <c r="H281" i="25"/>
  <c r="G281" i="25"/>
  <c r="F281" i="25"/>
  <c r="E281" i="25"/>
  <c r="D281" i="25"/>
  <c r="C281" i="25"/>
  <c r="B281" i="25"/>
  <c r="A281" i="25"/>
  <c r="AP280" i="25"/>
  <c r="AO280" i="25"/>
  <c r="AN280" i="25"/>
  <c r="AM280" i="25"/>
  <c r="AL280" i="25"/>
  <c r="AK280" i="25"/>
  <c r="AJ280" i="25"/>
  <c r="AI280" i="25"/>
  <c r="AH280" i="25"/>
  <c r="AG280" i="25"/>
  <c r="AF280" i="25"/>
  <c r="AE280" i="25"/>
  <c r="AD280" i="25"/>
  <c r="AC280" i="25"/>
  <c r="AB280" i="25"/>
  <c r="AA280" i="25"/>
  <c r="Z280" i="25"/>
  <c r="Y280" i="25"/>
  <c r="X280" i="25"/>
  <c r="W280" i="25"/>
  <c r="V280" i="25"/>
  <c r="U280" i="25"/>
  <c r="T280" i="25"/>
  <c r="S280" i="25"/>
  <c r="R280" i="25"/>
  <c r="Q280" i="25"/>
  <c r="P280" i="25"/>
  <c r="O280" i="25"/>
  <c r="N280" i="25"/>
  <c r="M280" i="25"/>
  <c r="L280" i="25"/>
  <c r="K280" i="25"/>
  <c r="J280" i="25"/>
  <c r="I280" i="25"/>
  <c r="H280" i="25"/>
  <c r="G280" i="25"/>
  <c r="F280" i="25"/>
  <c r="E280" i="25"/>
  <c r="D280" i="25"/>
  <c r="C280" i="25"/>
  <c r="B280" i="25"/>
  <c r="A280" i="25"/>
  <c r="AP279" i="25"/>
  <c r="AO279" i="25"/>
  <c r="AN279" i="25"/>
  <c r="AM279" i="25"/>
  <c r="AL279" i="25"/>
  <c r="AK279" i="25"/>
  <c r="AJ279" i="25"/>
  <c r="AI279" i="25"/>
  <c r="AH279" i="25"/>
  <c r="AG279" i="25"/>
  <c r="AF279" i="25"/>
  <c r="AE279" i="25"/>
  <c r="AD279" i="25"/>
  <c r="AC279" i="25"/>
  <c r="AB279" i="25"/>
  <c r="AA279" i="25"/>
  <c r="Z279" i="25"/>
  <c r="Y279" i="25"/>
  <c r="X279" i="25"/>
  <c r="W279" i="25"/>
  <c r="V279" i="25"/>
  <c r="U279" i="25"/>
  <c r="T279" i="25"/>
  <c r="S279" i="25"/>
  <c r="R279" i="25"/>
  <c r="Q279" i="25"/>
  <c r="P279" i="25"/>
  <c r="O279" i="25"/>
  <c r="N279" i="25"/>
  <c r="M279" i="25"/>
  <c r="L279" i="25"/>
  <c r="K279" i="25"/>
  <c r="J279" i="25"/>
  <c r="I279" i="25"/>
  <c r="H279" i="25"/>
  <c r="G279" i="25"/>
  <c r="F279" i="25"/>
  <c r="E279" i="25"/>
  <c r="D279" i="25"/>
  <c r="C279" i="25"/>
  <c r="B279" i="25"/>
  <c r="A279" i="25"/>
  <c r="AP278" i="25"/>
  <c r="AO278" i="25"/>
  <c r="AN278" i="25"/>
  <c r="AM278" i="25"/>
  <c r="AL278" i="25"/>
  <c r="AK278" i="25"/>
  <c r="AJ278" i="25"/>
  <c r="AI278" i="25"/>
  <c r="AH278" i="25"/>
  <c r="AG278" i="25"/>
  <c r="AF278" i="25"/>
  <c r="AE278" i="25"/>
  <c r="AD278" i="25"/>
  <c r="AC278" i="25"/>
  <c r="AB278" i="25"/>
  <c r="AA278" i="25"/>
  <c r="Z278" i="25"/>
  <c r="Y278" i="25"/>
  <c r="X278" i="25"/>
  <c r="W278" i="25"/>
  <c r="V278" i="25"/>
  <c r="U278" i="25"/>
  <c r="T278" i="25"/>
  <c r="S278" i="25"/>
  <c r="R278" i="25"/>
  <c r="Q278" i="25"/>
  <c r="P278" i="25"/>
  <c r="O278" i="25"/>
  <c r="N278" i="25"/>
  <c r="M278" i="25"/>
  <c r="L278" i="25"/>
  <c r="K278" i="25"/>
  <c r="J278" i="25"/>
  <c r="I278" i="25"/>
  <c r="H278" i="25"/>
  <c r="G278" i="25"/>
  <c r="F278" i="25"/>
  <c r="E278" i="25"/>
  <c r="D278" i="25"/>
  <c r="C278" i="25"/>
  <c r="B278" i="25"/>
  <c r="A278" i="25"/>
  <c r="AP277" i="25"/>
  <c r="AO277" i="25"/>
  <c r="AN277" i="25"/>
  <c r="AM277" i="25"/>
  <c r="AL277" i="25"/>
  <c r="AK277" i="25"/>
  <c r="AJ277" i="25"/>
  <c r="AI277" i="25"/>
  <c r="AH277" i="25"/>
  <c r="AG277" i="25"/>
  <c r="AF277" i="25"/>
  <c r="AE277" i="25"/>
  <c r="AD277" i="25"/>
  <c r="AC277" i="25"/>
  <c r="AB277" i="25"/>
  <c r="AA277" i="25"/>
  <c r="Z277" i="25"/>
  <c r="Y277" i="25"/>
  <c r="X277" i="25"/>
  <c r="W277" i="25"/>
  <c r="V277" i="25"/>
  <c r="U277" i="25"/>
  <c r="T277" i="25"/>
  <c r="S277" i="25"/>
  <c r="R277" i="25"/>
  <c r="Q277" i="25"/>
  <c r="P277" i="25"/>
  <c r="O277" i="25"/>
  <c r="N277" i="25"/>
  <c r="M277" i="25"/>
  <c r="L277" i="25"/>
  <c r="K277" i="25"/>
  <c r="J277" i="25"/>
  <c r="I277" i="25"/>
  <c r="H277" i="25"/>
  <c r="G277" i="25"/>
  <c r="F277" i="25"/>
  <c r="E277" i="25"/>
  <c r="D277" i="25"/>
  <c r="C277" i="25"/>
  <c r="B277" i="25"/>
  <c r="A277" i="25"/>
  <c r="AP276" i="25"/>
  <c r="AO276" i="25"/>
  <c r="AN276" i="25"/>
  <c r="AM276" i="25"/>
  <c r="AL276" i="25"/>
  <c r="AK276" i="25"/>
  <c r="AJ276" i="25"/>
  <c r="AI276" i="25"/>
  <c r="AH276" i="25"/>
  <c r="AG276" i="25"/>
  <c r="AF276" i="25"/>
  <c r="AE276" i="25"/>
  <c r="AD276" i="25"/>
  <c r="AC276" i="25"/>
  <c r="AB276" i="25"/>
  <c r="AA276" i="25"/>
  <c r="Z276" i="25"/>
  <c r="Y276" i="25"/>
  <c r="X276" i="25"/>
  <c r="W276" i="25"/>
  <c r="V276" i="25"/>
  <c r="U276" i="25"/>
  <c r="T276" i="25"/>
  <c r="S276" i="25"/>
  <c r="R276" i="25"/>
  <c r="Q276" i="25"/>
  <c r="P276" i="25"/>
  <c r="O276" i="25"/>
  <c r="N276" i="25"/>
  <c r="M276" i="25"/>
  <c r="L276" i="25"/>
  <c r="K276" i="25"/>
  <c r="J276" i="25"/>
  <c r="I276" i="25"/>
  <c r="H276" i="25"/>
  <c r="G276" i="25"/>
  <c r="F276" i="25"/>
  <c r="E276" i="25"/>
  <c r="D276" i="25"/>
  <c r="C276" i="25"/>
  <c r="B276" i="25"/>
  <c r="A276" i="25"/>
  <c r="AP275" i="25"/>
  <c r="AO275" i="25"/>
  <c r="AN275" i="25"/>
  <c r="AM275" i="25"/>
  <c r="AL275" i="25"/>
  <c r="AK275" i="25"/>
  <c r="AJ275" i="25"/>
  <c r="AI275" i="25"/>
  <c r="AH275" i="25"/>
  <c r="AG275" i="25"/>
  <c r="AF275" i="25"/>
  <c r="AE275" i="25"/>
  <c r="AD275" i="25"/>
  <c r="AC275" i="25"/>
  <c r="AB275" i="25"/>
  <c r="AA275" i="25"/>
  <c r="Z275" i="25"/>
  <c r="Y275" i="25"/>
  <c r="X275" i="25"/>
  <c r="W275" i="25"/>
  <c r="V275" i="25"/>
  <c r="U275" i="25"/>
  <c r="T275" i="25"/>
  <c r="S275" i="25"/>
  <c r="R275" i="25"/>
  <c r="Q275" i="25"/>
  <c r="P275" i="25"/>
  <c r="O275" i="25"/>
  <c r="N275" i="25"/>
  <c r="M275" i="25"/>
  <c r="L275" i="25"/>
  <c r="K275" i="25"/>
  <c r="J275" i="25"/>
  <c r="I275" i="25"/>
  <c r="H275" i="25"/>
  <c r="G275" i="25"/>
  <c r="F275" i="25"/>
  <c r="E275" i="25"/>
  <c r="D275" i="25"/>
  <c r="C275" i="25"/>
  <c r="B275" i="25"/>
  <c r="A275" i="25"/>
  <c r="AP274" i="25"/>
  <c r="AO274" i="25"/>
  <c r="AN274" i="25"/>
  <c r="AM274" i="25"/>
  <c r="AL274" i="25"/>
  <c r="AK274" i="25"/>
  <c r="AJ274" i="25"/>
  <c r="AI274" i="25"/>
  <c r="AH274" i="25"/>
  <c r="AG274" i="25"/>
  <c r="AF274" i="25"/>
  <c r="AE274" i="25"/>
  <c r="AD274" i="25"/>
  <c r="AC274" i="25"/>
  <c r="AB274" i="25"/>
  <c r="AA274" i="25"/>
  <c r="Z274" i="25"/>
  <c r="Y274" i="25"/>
  <c r="X274" i="25"/>
  <c r="W274" i="25"/>
  <c r="V274" i="25"/>
  <c r="U274" i="25"/>
  <c r="T274" i="25"/>
  <c r="S274" i="25"/>
  <c r="R274" i="25"/>
  <c r="Q274" i="25"/>
  <c r="P274" i="25"/>
  <c r="O274" i="25"/>
  <c r="N274" i="25"/>
  <c r="M274" i="25"/>
  <c r="L274" i="25"/>
  <c r="K274" i="25"/>
  <c r="J274" i="25"/>
  <c r="I274" i="25"/>
  <c r="H274" i="25"/>
  <c r="G274" i="25"/>
  <c r="F274" i="25"/>
  <c r="E274" i="25"/>
  <c r="D274" i="25"/>
  <c r="C274" i="25"/>
  <c r="B274" i="25"/>
  <c r="A274" i="25"/>
  <c r="AP273" i="25"/>
  <c r="AO273" i="25"/>
  <c r="AN273" i="25"/>
  <c r="AM273" i="25"/>
  <c r="AL273" i="25"/>
  <c r="AK273" i="25"/>
  <c r="AJ273" i="25"/>
  <c r="AI273" i="25"/>
  <c r="AH273" i="25"/>
  <c r="AG273" i="25"/>
  <c r="AF273" i="25"/>
  <c r="AE273" i="25"/>
  <c r="AD273" i="25"/>
  <c r="AC273" i="25"/>
  <c r="AB273" i="25"/>
  <c r="AA273" i="25"/>
  <c r="Z273" i="25"/>
  <c r="Y273" i="25"/>
  <c r="X273" i="25"/>
  <c r="W273" i="25"/>
  <c r="V273" i="25"/>
  <c r="U273" i="25"/>
  <c r="T273" i="25"/>
  <c r="S273" i="25"/>
  <c r="R273" i="25"/>
  <c r="Q273" i="25"/>
  <c r="P273" i="25"/>
  <c r="O273" i="25"/>
  <c r="N273" i="25"/>
  <c r="M273" i="25"/>
  <c r="L273" i="25"/>
  <c r="K273" i="25"/>
  <c r="J273" i="25"/>
  <c r="I273" i="25"/>
  <c r="H273" i="25"/>
  <c r="G273" i="25"/>
  <c r="F273" i="25"/>
  <c r="E273" i="25"/>
  <c r="D273" i="25"/>
  <c r="C273" i="25"/>
  <c r="B273" i="25"/>
  <c r="A273" i="25"/>
  <c r="AP272" i="25"/>
  <c r="AO272" i="25"/>
  <c r="AN272" i="25"/>
  <c r="AM272" i="25"/>
  <c r="AL272" i="25"/>
  <c r="AK272" i="25"/>
  <c r="AJ272" i="25"/>
  <c r="AI272" i="25"/>
  <c r="AH272" i="25"/>
  <c r="AG272" i="25"/>
  <c r="AF272" i="25"/>
  <c r="AE272" i="25"/>
  <c r="AD272" i="25"/>
  <c r="AC272" i="25"/>
  <c r="AB272" i="25"/>
  <c r="AA272" i="25"/>
  <c r="Z272" i="25"/>
  <c r="Y272" i="25"/>
  <c r="X272" i="25"/>
  <c r="W272" i="25"/>
  <c r="V272" i="25"/>
  <c r="U272" i="25"/>
  <c r="T272" i="25"/>
  <c r="S272" i="25"/>
  <c r="R272" i="25"/>
  <c r="Q272" i="25"/>
  <c r="P272" i="25"/>
  <c r="O272" i="25"/>
  <c r="N272" i="25"/>
  <c r="M272" i="25"/>
  <c r="L272" i="25"/>
  <c r="K272" i="25"/>
  <c r="J272" i="25"/>
  <c r="I272" i="25"/>
  <c r="H272" i="25"/>
  <c r="G272" i="25"/>
  <c r="F272" i="25"/>
  <c r="E272" i="25"/>
  <c r="D272" i="25"/>
  <c r="C272" i="25"/>
  <c r="B272" i="25"/>
  <c r="A272" i="25"/>
  <c r="AP271" i="25"/>
  <c r="AO271" i="25"/>
  <c r="AN271" i="25"/>
  <c r="AM271" i="25"/>
  <c r="AL271" i="25"/>
  <c r="AK271" i="25"/>
  <c r="AJ271" i="25"/>
  <c r="AI271" i="25"/>
  <c r="AH271" i="25"/>
  <c r="AG271" i="25"/>
  <c r="AF271" i="25"/>
  <c r="AE271" i="25"/>
  <c r="AD271" i="25"/>
  <c r="AC271" i="25"/>
  <c r="AB271" i="25"/>
  <c r="AA271" i="25"/>
  <c r="Z271" i="25"/>
  <c r="Y271" i="25"/>
  <c r="X271" i="25"/>
  <c r="W271" i="25"/>
  <c r="V271" i="25"/>
  <c r="U271" i="25"/>
  <c r="T271" i="25"/>
  <c r="S271" i="25"/>
  <c r="R271" i="25"/>
  <c r="Q271" i="25"/>
  <c r="P271" i="25"/>
  <c r="O271" i="25"/>
  <c r="N271" i="25"/>
  <c r="M271" i="25"/>
  <c r="L271" i="25"/>
  <c r="K271" i="25"/>
  <c r="J271" i="25"/>
  <c r="I271" i="25"/>
  <c r="H271" i="25"/>
  <c r="G271" i="25"/>
  <c r="F271" i="25"/>
  <c r="E271" i="25"/>
  <c r="D271" i="25"/>
  <c r="C271" i="25"/>
  <c r="B271" i="25"/>
  <c r="A271" i="25"/>
  <c r="AP270" i="25"/>
  <c r="AO270" i="25"/>
  <c r="AN270" i="25"/>
  <c r="AM270" i="25"/>
  <c r="AL270" i="25"/>
  <c r="AK270" i="25"/>
  <c r="AJ270" i="25"/>
  <c r="AI270" i="25"/>
  <c r="AH270" i="25"/>
  <c r="AG270" i="25"/>
  <c r="AF270" i="25"/>
  <c r="AE270" i="25"/>
  <c r="AD270" i="25"/>
  <c r="AC270" i="25"/>
  <c r="AB270" i="25"/>
  <c r="AA270" i="25"/>
  <c r="Z270" i="25"/>
  <c r="Y270" i="25"/>
  <c r="X270" i="25"/>
  <c r="W270" i="25"/>
  <c r="V270" i="25"/>
  <c r="U270" i="25"/>
  <c r="T270" i="25"/>
  <c r="S270" i="25"/>
  <c r="R270" i="25"/>
  <c r="Q270" i="25"/>
  <c r="P270" i="25"/>
  <c r="O270" i="25"/>
  <c r="N270" i="25"/>
  <c r="M270" i="25"/>
  <c r="L270" i="25"/>
  <c r="K270" i="25"/>
  <c r="J270" i="25"/>
  <c r="I270" i="25"/>
  <c r="H270" i="25"/>
  <c r="G270" i="25"/>
  <c r="F270" i="25"/>
  <c r="E270" i="25"/>
  <c r="D270" i="25"/>
  <c r="C270" i="25"/>
  <c r="B270" i="25"/>
  <c r="A270" i="25"/>
  <c r="AP269" i="25"/>
  <c r="AO269" i="25"/>
  <c r="AN269" i="25"/>
  <c r="AM269" i="25"/>
  <c r="AL269" i="25"/>
  <c r="AK269" i="25"/>
  <c r="AJ269" i="25"/>
  <c r="AI269" i="25"/>
  <c r="AH269" i="25"/>
  <c r="AG269" i="25"/>
  <c r="AF269" i="25"/>
  <c r="AE269" i="25"/>
  <c r="AD269" i="25"/>
  <c r="AC269" i="25"/>
  <c r="AB269" i="25"/>
  <c r="AA269" i="25"/>
  <c r="Z269" i="25"/>
  <c r="Y269" i="25"/>
  <c r="X269" i="25"/>
  <c r="W269" i="25"/>
  <c r="V269" i="25"/>
  <c r="U269" i="25"/>
  <c r="T269" i="25"/>
  <c r="S269" i="25"/>
  <c r="R269" i="25"/>
  <c r="Q269" i="25"/>
  <c r="P269" i="25"/>
  <c r="O269" i="25"/>
  <c r="N269" i="25"/>
  <c r="M269" i="25"/>
  <c r="L269" i="25"/>
  <c r="K269" i="25"/>
  <c r="J269" i="25"/>
  <c r="I269" i="25"/>
  <c r="H269" i="25"/>
  <c r="G269" i="25"/>
  <c r="F269" i="25"/>
  <c r="E269" i="25"/>
  <c r="D269" i="25"/>
  <c r="C269" i="25"/>
  <c r="B269" i="25"/>
  <c r="A269" i="25"/>
  <c r="AP268" i="25"/>
  <c r="AO268" i="25"/>
  <c r="AN268" i="25"/>
  <c r="AM268" i="25"/>
  <c r="AL268" i="25"/>
  <c r="AK268" i="25"/>
  <c r="AJ268" i="25"/>
  <c r="AI268" i="25"/>
  <c r="AH268" i="25"/>
  <c r="AG268" i="25"/>
  <c r="AF268" i="25"/>
  <c r="AE268" i="25"/>
  <c r="AD268" i="25"/>
  <c r="AC268" i="25"/>
  <c r="AB268" i="25"/>
  <c r="AA268" i="25"/>
  <c r="Z268" i="25"/>
  <c r="Y268" i="25"/>
  <c r="X268" i="25"/>
  <c r="W268" i="25"/>
  <c r="V268" i="25"/>
  <c r="U268" i="25"/>
  <c r="T268" i="25"/>
  <c r="S268" i="25"/>
  <c r="R268" i="25"/>
  <c r="Q268" i="25"/>
  <c r="P268" i="25"/>
  <c r="O268" i="25"/>
  <c r="N268" i="25"/>
  <c r="M268" i="25"/>
  <c r="L268" i="25"/>
  <c r="K268" i="25"/>
  <c r="J268" i="25"/>
  <c r="I268" i="25"/>
  <c r="H268" i="25"/>
  <c r="G268" i="25"/>
  <c r="F268" i="25"/>
  <c r="E268" i="25"/>
  <c r="D268" i="25"/>
  <c r="C268" i="25"/>
  <c r="B268" i="25"/>
  <c r="A268" i="25"/>
  <c r="AP267" i="25"/>
  <c r="AO267" i="25"/>
  <c r="AN267" i="25"/>
  <c r="AM267" i="25"/>
  <c r="AL267" i="25"/>
  <c r="AK267" i="25"/>
  <c r="AJ267" i="25"/>
  <c r="AI267" i="25"/>
  <c r="AH267" i="25"/>
  <c r="AG267" i="25"/>
  <c r="AF267" i="25"/>
  <c r="AE267" i="25"/>
  <c r="AD267" i="25"/>
  <c r="AC267" i="25"/>
  <c r="AB267" i="25"/>
  <c r="AA267" i="25"/>
  <c r="Z267" i="25"/>
  <c r="Y267" i="25"/>
  <c r="X267" i="25"/>
  <c r="W267" i="25"/>
  <c r="V267" i="25"/>
  <c r="U267" i="25"/>
  <c r="T267" i="25"/>
  <c r="S267" i="25"/>
  <c r="R267" i="25"/>
  <c r="Q267" i="25"/>
  <c r="P267" i="25"/>
  <c r="O267" i="25"/>
  <c r="N267" i="25"/>
  <c r="M267" i="25"/>
  <c r="L267" i="25"/>
  <c r="K267" i="25"/>
  <c r="J267" i="25"/>
  <c r="I267" i="25"/>
  <c r="H267" i="25"/>
  <c r="G267" i="25"/>
  <c r="F267" i="25"/>
  <c r="E267" i="25"/>
  <c r="D267" i="25"/>
  <c r="C267" i="25"/>
  <c r="B267" i="25"/>
  <c r="A267" i="25"/>
  <c r="AP266" i="25"/>
  <c r="AO266" i="25"/>
  <c r="AN266" i="25"/>
  <c r="AM266" i="25"/>
  <c r="AL266" i="25"/>
  <c r="AK266" i="25"/>
  <c r="AJ266" i="25"/>
  <c r="AI266" i="25"/>
  <c r="AH266" i="25"/>
  <c r="AG266" i="25"/>
  <c r="AF266" i="25"/>
  <c r="AE266" i="25"/>
  <c r="AD266" i="25"/>
  <c r="AC266" i="25"/>
  <c r="AB266" i="25"/>
  <c r="AA266" i="25"/>
  <c r="Z266" i="25"/>
  <c r="Y266" i="25"/>
  <c r="X266" i="25"/>
  <c r="W266" i="25"/>
  <c r="V266" i="25"/>
  <c r="U266" i="25"/>
  <c r="T266" i="25"/>
  <c r="S266" i="25"/>
  <c r="R266" i="25"/>
  <c r="Q266" i="25"/>
  <c r="P266" i="25"/>
  <c r="O266" i="25"/>
  <c r="N266" i="25"/>
  <c r="M266" i="25"/>
  <c r="L266" i="25"/>
  <c r="K266" i="25"/>
  <c r="J266" i="25"/>
  <c r="I266" i="25"/>
  <c r="H266" i="25"/>
  <c r="G266" i="25"/>
  <c r="F266" i="25"/>
  <c r="E266" i="25"/>
  <c r="D266" i="25"/>
  <c r="C266" i="25"/>
  <c r="B266" i="25"/>
  <c r="A266" i="25"/>
  <c r="AP265" i="25"/>
  <c r="AO265" i="25"/>
  <c r="AN265" i="25"/>
  <c r="AM265" i="25"/>
  <c r="AL265" i="25"/>
  <c r="AK265" i="25"/>
  <c r="AJ265" i="25"/>
  <c r="AI265" i="25"/>
  <c r="AH265" i="25"/>
  <c r="AG265" i="25"/>
  <c r="AF265" i="25"/>
  <c r="AE265" i="25"/>
  <c r="AD265" i="25"/>
  <c r="AC265" i="25"/>
  <c r="AB265" i="25"/>
  <c r="AA265" i="25"/>
  <c r="Z265" i="25"/>
  <c r="Y265" i="25"/>
  <c r="X265" i="25"/>
  <c r="W265" i="25"/>
  <c r="V265" i="25"/>
  <c r="U265" i="25"/>
  <c r="T265" i="25"/>
  <c r="S265" i="25"/>
  <c r="R265" i="25"/>
  <c r="Q265" i="25"/>
  <c r="P265" i="25"/>
  <c r="O265" i="25"/>
  <c r="N265" i="25"/>
  <c r="M265" i="25"/>
  <c r="L265" i="25"/>
  <c r="K265" i="25"/>
  <c r="J265" i="25"/>
  <c r="I265" i="25"/>
  <c r="H265" i="25"/>
  <c r="G265" i="25"/>
  <c r="F265" i="25"/>
  <c r="E265" i="25"/>
  <c r="D265" i="25"/>
  <c r="C265" i="25"/>
  <c r="B265" i="25"/>
  <c r="A265" i="25"/>
  <c r="AP264" i="25"/>
  <c r="AO264" i="25"/>
  <c r="AN264" i="25"/>
  <c r="AM264" i="25"/>
  <c r="AL264" i="25"/>
  <c r="AK264" i="25"/>
  <c r="AJ264" i="25"/>
  <c r="AI264" i="25"/>
  <c r="AH264" i="25"/>
  <c r="AG264" i="25"/>
  <c r="AF264" i="25"/>
  <c r="AE264" i="25"/>
  <c r="AD264" i="25"/>
  <c r="AC264" i="25"/>
  <c r="AB264" i="25"/>
  <c r="AA264" i="25"/>
  <c r="Z264" i="25"/>
  <c r="Y264" i="25"/>
  <c r="X264" i="25"/>
  <c r="W264" i="25"/>
  <c r="V264" i="25"/>
  <c r="U264" i="25"/>
  <c r="T264" i="25"/>
  <c r="S264" i="25"/>
  <c r="R264" i="25"/>
  <c r="Q264" i="25"/>
  <c r="P264" i="25"/>
  <c r="O264" i="25"/>
  <c r="N264" i="25"/>
  <c r="M264" i="25"/>
  <c r="L264" i="25"/>
  <c r="K264" i="25"/>
  <c r="J264" i="25"/>
  <c r="I264" i="25"/>
  <c r="H264" i="25"/>
  <c r="G264" i="25"/>
  <c r="F264" i="25"/>
  <c r="E264" i="25"/>
  <c r="D264" i="25"/>
  <c r="C264" i="25"/>
  <c r="B264" i="25"/>
  <c r="A264" i="25"/>
  <c r="AP263" i="25"/>
  <c r="AO263" i="25"/>
  <c r="AN263" i="25"/>
  <c r="AM263" i="25"/>
  <c r="AL263" i="25"/>
  <c r="AK263" i="25"/>
  <c r="AJ263" i="25"/>
  <c r="AI263" i="25"/>
  <c r="AH263" i="25"/>
  <c r="AG263" i="25"/>
  <c r="AF263" i="25"/>
  <c r="AE263" i="25"/>
  <c r="AD263" i="25"/>
  <c r="AC263" i="25"/>
  <c r="AB263" i="25"/>
  <c r="AA263" i="25"/>
  <c r="Z263" i="25"/>
  <c r="Y263" i="25"/>
  <c r="X263" i="25"/>
  <c r="W263" i="25"/>
  <c r="V263" i="25"/>
  <c r="U263" i="25"/>
  <c r="T263" i="25"/>
  <c r="S263" i="25"/>
  <c r="R263" i="25"/>
  <c r="Q263" i="25"/>
  <c r="P263" i="25"/>
  <c r="O263" i="25"/>
  <c r="N263" i="25"/>
  <c r="M263" i="25"/>
  <c r="L263" i="25"/>
  <c r="K263" i="25"/>
  <c r="J263" i="25"/>
  <c r="I263" i="25"/>
  <c r="H263" i="25"/>
  <c r="G263" i="25"/>
  <c r="F263" i="25"/>
  <c r="E263" i="25"/>
  <c r="D263" i="25"/>
  <c r="C263" i="25"/>
  <c r="B263" i="25"/>
  <c r="A263" i="25"/>
  <c r="AP262" i="25"/>
  <c r="AO262" i="25"/>
  <c r="AN262" i="25"/>
  <c r="AM262" i="25"/>
  <c r="AL262" i="25"/>
  <c r="AK262" i="25"/>
  <c r="AJ262" i="25"/>
  <c r="AI262" i="25"/>
  <c r="AH262" i="25"/>
  <c r="AG262" i="25"/>
  <c r="AF262" i="25"/>
  <c r="AE262" i="25"/>
  <c r="AD262" i="25"/>
  <c r="AC262" i="25"/>
  <c r="AB262" i="25"/>
  <c r="AA262" i="25"/>
  <c r="Z262" i="25"/>
  <c r="Y262" i="25"/>
  <c r="X262" i="25"/>
  <c r="W262" i="25"/>
  <c r="V262" i="25"/>
  <c r="U262" i="25"/>
  <c r="T262" i="25"/>
  <c r="S262" i="25"/>
  <c r="R262" i="25"/>
  <c r="Q262" i="25"/>
  <c r="P262" i="25"/>
  <c r="O262" i="25"/>
  <c r="N262" i="25"/>
  <c r="M262" i="25"/>
  <c r="L262" i="25"/>
  <c r="K262" i="25"/>
  <c r="J262" i="25"/>
  <c r="I262" i="25"/>
  <c r="H262" i="25"/>
  <c r="G262" i="25"/>
  <c r="F262" i="25"/>
  <c r="E262" i="25"/>
  <c r="D262" i="25"/>
  <c r="C262" i="25"/>
  <c r="B262" i="25"/>
  <c r="A262" i="25"/>
  <c r="AP261" i="25"/>
  <c r="AO261" i="25"/>
  <c r="AN261" i="25"/>
  <c r="AM261" i="25"/>
  <c r="AL261" i="25"/>
  <c r="AK261" i="25"/>
  <c r="AJ261" i="25"/>
  <c r="AI261" i="25"/>
  <c r="AH261" i="25"/>
  <c r="AG261" i="25"/>
  <c r="AF261" i="25"/>
  <c r="AE261" i="25"/>
  <c r="AD261" i="25"/>
  <c r="AC261" i="25"/>
  <c r="AB261" i="25"/>
  <c r="AA261" i="25"/>
  <c r="Z261" i="25"/>
  <c r="Y261" i="25"/>
  <c r="X261" i="25"/>
  <c r="W261" i="25"/>
  <c r="V261" i="25"/>
  <c r="U261" i="25"/>
  <c r="T261" i="25"/>
  <c r="S261" i="25"/>
  <c r="R261" i="25"/>
  <c r="Q261" i="25"/>
  <c r="P261" i="25"/>
  <c r="O261" i="25"/>
  <c r="N261" i="25"/>
  <c r="M261" i="25"/>
  <c r="L261" i="25"/>
  <c r="K261" i="25"/>
  <c r="J261" i="25"/>
  <c r="I261" i="25"/>
  <c r="H261" i="25"/>
  <c r="G261" i="25"/>
  <c r="F261" i="25"/>
  <c r="E261" i="25"/>
  <c r="D261" i="25"/>
  <c r="C261" i="25"/>
  <c r="B261" i="25"/>
  <c r="A261" i="25"/>
  <c r="AP260" i="25"/>
  <c r="AO260" i="25"/>
  <c r="AN260" i="25"/>
  <c r="AM260" i="25"/>
  <c r="AL260" i="25"/>
  <c r="AK260" i="25"/>
  <c r="AJ260" i="25"/>
  <c r="AI260" i="25"/>
  <c r="AH260" i="25"/>
  <c r="AG260" i="25"/>
  <c r="AF260" i="25"/>
  <c r="AE260" i="25"/>
  <c r="AD260" i="25"/>
  <c r="AC260" i="25"/>
  <c r="AB260" i="25"/>
  <c r="AA260" i="25"/>
  <c r="Z260" i="25"/>
  <c r="Y260" i="25"/>
  <c r="X260" i="25"/>
  <c r="W260" i="25"/>
  <c r="V260" i="25"/>
  <c r="U260" i="25"/>
  <c r="T260" i="25"/>
  <c r="S260" i="25"/>
  <c r="R260" i="25"/>
  <c r="Q260" i="25"/>
  <c r="P260" i="25"/>
  <c r="O260" i="25"/>
  <c r="N260" i="25"/>
  <c r="M260" i="25"/>
  <c r="L260" i="25"/>
  <c r="K260" i="25"/>
  <c r="J260" i="25"/>
  <c r="I260" i="25"/>
  <c r="H260" i="25"/>
  <c r="G260" i="25"/>
  <c r="F260" i="25"/>
  <c r="E260" i="25"/>
  <c r="D260" i="25"/>
  <c r="C260" i="25"/>
  <c r="B260" i="25"/>
  <c r="A260" i="25"/>
  <c r="AP259" i="25"/>
  <c r="AO259" i="25"/>
  <c r="AN259" i="25"/>
  <c r="AM259" i="25"/>
  <c r="AL259" i="25"/>
  <c r="AK259" i="25"/>
  <c r="AJ259" i="25"/>
  <c r="AI259" i="25"/>
  <c r="AH259" i="25"/>
  <c r="AG259" i="25"/>
  <c r="AF259" i="25"/>
  <c r="AE259" i="25"/>
  <c r="AD259" i="25"/>
  <c r="AC259" i="25"/>
  <c r="AB259" i="25"/>
  <c r="AA259" i="25"/>
  <c r="Z259" i="25"/>
  <c r="Y259" i="25"/>
  <c r="X259" i="25"/>
  <c r="W259" i="25"/>
  <c r="V259" i="25"/>
  <c r="U259" i="25"/>
  <c r="T259" i="25"/>
  <c r="S259" i="25"/>
  <c r="R259" i="25"/>
  <c r="Q259" i="25"/>
  <c r="P259" i="25"/>
  <c r="O259" i="25"/>
  <c r="N259" i="25"/>
  <c r="M259" i="25"/>
  <c r="L259" i="25"/>
  <c r="K259" i="25"/>
  <c r="J259" i="25"/>
  <c r="I259" i="25"/>
  <c r="H259" i="25"/>
  <c r="G259" i="25"/>
  <c r="F259" i="25"/>
  <c r="E259" i="25"/>
  <c r="D259" i="25"/>
  <c r="C259" i="25"/>
  <c r="B259" i="25"/>
  <c r="A259" i="25"/>
  <c r="AP258" i="25"/>
  <c r="AO258" i="25"/>
  <c r="AN258" i="25"/>
  <c r="AM258" i="25"/>
  <c r="AL258" i="25"/>
  <c r="AK258" i="25"/>
  <c r="AJ258" i="25"/>
  <c r="AI258" i="25"/>
  <c r="AH258" i="25"/>
  <c r="AG258" i="25"/>
  <c r="AF258" i="25"/>
  <c r="AE258" i="25"/>
  <c r="AD258" i="25"/>
  <c r="AC258" i="25"/>
  <c r="AB258" i="25"/>
  <c r="AA258" i="25"/>
  <c r="Z258" i="25"/>
  <c r="Y258" i="25"/>
  <c r="X258" i="25"/>
  <c r="W258" i="25"/>
  <c r="V258" i="25"/>
  <c r="U258" i="25"/>
  <c r="T258" i="25"/>
  <c r="S258" i="25"/>
  <c r="R258" i="25"/>
  <c r="Q258" i="25"/>
  <c r="P258" i="25"/>
  <c r="O258" i="25"/>
  <c r="N258" i="25"/>
  <c r="M258" i="25"/>
  <c r="L258" i="25"/>
  <c r="K258" i="25"/>
  <c r="J258" i="25"/>
  <c r="I258" i="25"/>
  <c r="H258" i="25"/>
  <c r="G258" i="25"/>
  <c r="F258" i="25"/>
  <c r="E258" i="25"/>
  <c r="D258" i="25"/>
  <c r="C258" i="25"/>
  <c r="B258" i="25"/>
  <c r="A258" i="25"/>
  <c r="AP257" i="25"/>
  <c r="AO257" i="25"/>
  <c r="AN257" i="25"/>
  <c r="AM257" i="25"/>
  <c r="AL257" i="25"/>
  <c r="AK257" i="25"/>
  <c r="AJ257" i="25"/>
  <c r="AI257" i="25"/>
  <c r="AH257" i="25"/>
  <c r="AG257" i="25"/>
  <c r="AF257" i="25"/>
  <c r="AE257" i="25"/>
  <c r="AD257" i="25"/>
  <c r="AC257" i="25"/>
  <c r="AB257" i="25"/>
  <c r="AA257" i="25"/>
  <c r="Z257" i="25"/>
  <c r="Y257" i="25"/>
  <c r="X257" i="25"/>
  <c r="W257" i="25"/>
  <c r="V257" i="25"/>
  <c r="U257" i="25"/>
  <c r="T257" i="25"/>
  <c r="S257" i="25"/>
  <c r="R257" i="25"/>
  <c r="Q257" i="25"/>
  <c r="P257" i="25"/>
  <c r="O257" i="25"/>
  <c r="N257" i="25"/>
  <c r="M257" i="25"/>
  <c r="L257" i="25"/>
  <c r="K257" i="25"/>
  <c r="J257" i="25"/>
  <c r="I257" i="25"/>
  <c r="H257" i="25"/>
  <c r="G257" i="25"/>
  <c r="F257" i="25"/>
  <c r="E257" i="25"/>
  <c r="D257" i="25"/>
  <c r="C257" i="25"/>
  <c r="B257" i="25"/>
  <c r="A257" i="25"/>
  <c r="AP256" i="25"/>
  <c r="AO256" i="25"/>
  <c r="AN256" i="25"/>
  <c r="AM256" i="25"/>
  <c r="AL256" i="25"/>
  <c r="AK256" i="25"/>
  <c r="AJ256" i="25"/>
  <c r="AI256" i="25"/>
  <c r="AH256" i="25"/>
  <c r="AG256" i="25"/>
  <c r="AF256" i="25"/>
  <c r="AE256" i="25"/>
  <c r="AD256" i="25"/>
  <c r="AC256" i="25"/>
  <c r="AB256" i="25"/>
  <c r="AA256" i="25"/>
  <c r="Z256" i="25"/>
  <c r="Y256" i="25"/>
  <c r="X256" i="25"/>
  <c r="W256" i="25"/>
  <c r="V256" i="25"/>
  <c r="U256" i="25"/>
  <c r="T256" i="25"/>
  <c r="S256" i="25"/>
  <c r="R256" i="25"/>
  <c r="Q256" i="25"/>
  <c r="P256" i="25"/>
  <c r="O256" i="25"/>
  <c r="N256" i="25"/>
  <c r="M256" i="25"/>
  <c r="L256" i="25"/>
  <c r="K256" i="25"/>
  <c r="J256" i="25"/>
  <c r="I256" i="25"/>
  <c r="H256" i="25"/>
  <c r="G256" i="25"/>
  <c r="F256" i="25"/>
  <c r="E256" i="25"/>
  <c r="D256" i="25"/>
  <c r="C256" i="25"/>
  <c r="B256" i="25"/>
  <c r="A256" i="25"/>
  <c r="AP255" i="25"/>
  <c r="AO255" i="25"/>
  <c r="AN255" i="25"/>
  <c r="AM255" i="25"/>
  <c r="AL255" i="25"/>
  <c r="AK255" i="25"/>
  <c r="AJ255" i="25"/>
  <c r="AI255" i="25"/>
  <c r="AH255" i="25"/>
  <c r="AG255" i="25"/>
  <c r="AF255" i="25"/>
  <c r="AE255" i="25"/>
  <c r="AD255" i="25"/>
  <c r="AC255" i="25"/>
  <c r="AB255" i="25"/>
  <c r="AA255" i="25"/>
  <c r="Z255" i="25"/>
  <c r="Y255" i="25"/>
  <c r="X255" i="25"/>
  <c r="W255" i="25"/>
  <c r="V255" i="25"/>
  <c r="U255" i="25"/>
  <c r="T255" i="25"/>
  <c r="S255" i="25"/>
  <c r="R255" i="25"/>
  <c r="Q255" i="25"/>
  <c r="P255" i="25"/>
  <c r="O255" i="25"/>
  <c r="N255" i="25"/>
  <c r="M255" i="25"/>
  <c r="L255" i="25"/>
  <c r="K255" i="25"/>
  <c r="J255" i="25"/>
  <c r="I255" i="25"/>
  <c r="H255" i="25"/>
  <c r="G255" i="25"/>
  <c r="F255" i="25"/>
  <c r="E255" i="25"/>
  <c r="D255" i="25"/>
  <c r="C255" i="25"/>
  <c r="B255" i="25"/>
  <c r="A255" i="25"/>
  <c r="AP254" i="25"/>
  <c r="AO254" i="25"/>
  <c r="AN254" i="25"/>
  <c r="AM254" i="25"/>
  <c r="AL254" i="25"/>
  <c r="AK254" i="25"/>
  <c r="AJ254" i="25"/>
  <c r="AI254" i="25"/>
  <c r="AH254" i="25"/>
  <c r="AG254" i="25"/>
  <c r="AF254" i="25"/>
  <c r="AE254" i="25"/>
  <c r="AD254" i="25"/>
  <c r="AC254" i="25"/>
  <c r="AB254" i="25"/>
  <c r="AA254" i="25"/>
  <c r="Z254" i="25"/>
  <c r="Y254" i="25"/>
  <c r="X254" i="25"/>
  <c r="W254" i="25"/>
  <c r="V254" i="25"/>
  <c r="U254" i="25"/>
  <c r="T254" i="25"/>
  <c r="S254" i="25"/>
  <c r="R254" i="25"/>
  <c r="Q254" i="25"/>
  <c r="P254" i="25"/>
  <c r="O254" i="25"/>
  <c r="N254" i="25"/>
  <c r="M254" i="25"/>
  <c r="L254" i="25"/>
  <c r="K254" i="25"/>
  <c r="J254" i="25"/>
  <c r="I254" i="25"/>
  <c r="H254" i="25"/>
  <c r="G254" i="25"/>
  <c r="F254" i="25"/>
  <c r="E254" i="25"/>
  <c r="D254" i="25"/>
  <c r="C254" i="25"/>
  <c r="B254" i="25"/>
  <c r="A254" i="25"/>
  <c r="AP253" i="25"/>
  <c r="AO253" i="25"/>
  <c r="AN253" i="25"/>
  <c r="AM253" i="25"/>
  <c r="AL253" i="25"/>
  <c r="AK253" i="25"/>
  <c r="AJ253" i="25"/>
  <c r="AI253" i="25"/>
  <c r="AH253" i="25"/>
  <c r="AG253" i="25"/>
  <c r="AF253" i="25"/>
  <c r="AE253" i="25"/>
  <c r="AD253" i="25"/>
  <c r="AC253" i="25"/>
  <c r="AB253" i="25"/>
  <c r="AA253" i="25"/>
  <c r="Z253" i="25"/>
  <c r="Y253" i="25"/>
  <c r="X253" i="25"/>
  <c r="W253" i="25"/>
  <c r="V253" i="25"/>
  <c r="U253" i="25"/>
  <c r="T253" i="25"/>
  <c r="S253" i="25"/>
  <c r="R253" i="25"/>
  <c r="Q253" i="25"/>
  <c r="P253" i="25"/>
  <c r="O253" i="25"/>
  <c r="N253" i="25"/>
  <c r="M253" i="25"/>
  <c r="L253" i="25"/>
  <c r="K253" i="25"/>
  <c r="J253" i="25"/>
  <c r="I253" i="25"/>
  <c r="H253" i="25"/>
  <c r="G253" i="25"/>
  <c r="F253" i="25"/>
  <c r="E253" i="25"/>
  <c r="D253" i="25"/>
  <c r="C253" i="25"/>
  <c r="B253" i="25"/>
  <c r="A253" i="25"/>
  <c r="AP252" i="25"/>
  <c r="AO252" i="25"/>
  <c r="AN252" i="25"/>
  <c r="AM252" i="25"/>
  <c r="AL252" i="25"/>
  <c r="AK252" i="25"/>
  <c r="AJ252" i="25"/>
  <c r="AI252" i="25"/>
  <c r="AH252" i="25"/>
  <c r="AG252" i="25"/>
  <c r="AF252" i="25"/>
  <c r="AE252" i="25"/>
  <c r="AD252" i="25"/>
  <c r="AC252" i="25"/>
  <c r="AB252" i="25"/>
  <c r="AA252" i="25"/>
  <c r="Z252" i="25"/>
  <c r="Y252" i="25"/>
  <c r="X252" i="25"/>
  <c r="W252" i="25"/>
  <c r="V252" i="25"/>
  <c r="U252" i="25"/>
  <c r="T252" i="25"/>
  <c r="S252" i="25"/>
  <c r="R252" i="25"/>
  <c r="Q252" i="25"/>
  <c r="P252" i="25"/>
  <c r="O252" i="25"/>
  <c r="N252" i="25"/>
  <c r="M252" i="25"/>
  <c r="L252" i="25"/>
  <c r="K252" i="25"/>
  <c r="J252" i="25"/>
  <c r="I252" i="25"/>
  <c r="H252" i="25"/>
  <c r="G252" i="25"/>
  <c r="F252" i="25"/>
  <c r="E252" i="25"/>
  <c r="D252" i="25"/>
  <c r="C252" i="25"/>
  <c r="B252" i="25"/>
  <c r="A252" i="25"/>
  <c r="AP251" i="25"/>
  <c r="AO251" i="25"/>
  <c r="AN251" i="25"/>
  <c r="AM251" i="25"/>
  <c r="AL251" i="25"/>
  <c r="AK251" i="25"/>
  <c r="AJ251" i="25"/>
  <c r="AI251" i="25"/>
  <c r="AH251" i="25"/>
  <c r="AG251" i="25"/>
  <c r="AF251" i="25"/>
  <c r="AE251" i="25"/>
  <c r="AD251" i="25"/>
  <c r="AC251" i="25"/>
  <c r="AB251" i="25"/>
  <c r="AA251" i="25"/>
  <c r="Z251" i="25"/>
  <c r="Y251" i="25"/>
  <c r="X251" i="25"/>
  <c r="W251" i="25"/>
  <c r="V251" i="25"/>
  <c r="U251" i="25"/>
  <c r="T251" i="25"/>
  <c r="S251" i="25"/>
  <c r="R251" i="25"/>
  <c r="Q251" i="25"/>
  <c r="P251" i="25"/>
  <c r="O251" i="25"/>
  <c r="N251" i="25"/>
  <c r="M251" i="25"/>
  <c r="L251" i="25"/>
  <c r="K251" i="25"/>
  <c r="J251" i="25"/>
  <c r="I251" i="25"/>
  <c r="H251" i="25"/>
  <c r="G251" i="25"/>
  <c r="F251" i="25"/>
  <c r="E251" i="25"/>
  <c r="D251" i="25"/>
  <c r="C251" i="25"/>
  <c r="B251" i="25"/>
  <c r="A251" i="25"/>
  <c r="AP250" i="25"/>
  <c r="AO250" i="25"/>
  <c r="AN250" i="25"/>
  <c r="AM250" i="25"/>
  <c r="AL250" i="25"/>
  <c r="AK250" i="25"/>
  <c r="AJ250" i="25"/>
  <c r="AI250" i="25"/>
  <c r="AH250" i="25"/>
  <c r="AG250" i="25"/>
  <c r="AF250" i="25"/>
  <c r="AE250" i="25"/>
  <c r="AD250" i="25"/>
  <c r="AC250" i="25"/>
  <c r="AB250" i="25"/>
  <c r="AA250" i="25"/>
  <c r="Z250" i="25"/>
  <c r="Y250" i="25"/>
  <c r="X250" i="25"/>
  <c r="W250" i="25"/>
  <c r="V250" i="25"/>
  <c r="U250" i="25"/>
  <c r="T250" i="25"/>
  <c r="S250" i="25"/>
  <c r="R250" i="25"/>
  <c r="Q250" i="25"/>
  <c r="P250" i="25"/>
  <c r="O250" i="25"/>
  <c r="N250" i="25"/>
  <c r="M250" i="25"/>
  <c r="L250" i="25"/>
  <c r="K250" i="25"/>
  <c r="J250" i="25"/>
  <c r="I250" i="25"/>
  <c r="H250" i="25"/>
  <c r="G250" i="25"/>
  <c r="F250" i="25"/>
  <c r="E250" i="25"/>
  <c r="D250" i="25"/>
  <c r="C250" i="25"/>
  <c r="B250" i="25"/>
  <c r="A250" i="25"/>
  <c r="AP249" i="25"/>
  <c r="AO249" i="25"/>
  <c r="AN249" i="25"/>
  <c r="AM249" i="25"/>
  <c r="AL249" i="25"/>
  <c r="AK249" i="25"/>
  <c r="AJ249" i="25"/>
  <c r="AI249" i="25"/>
  <c r="AH249" i="25"/>
  <c r="AG249" i="25"/>
  <c r="AF249" i="25"/>
  <c r="AE249" i="25"/>
  <c r="AD249" i="25"/>
  <c r="AC249" i="25"/>
  <c r="AB249" i="25"/>
  <c r="AA249" i="25"/>
  <c r="Z249" i="25"/>
  <c r="Y249" i="25"/>
  <c r="X249" i="25"/>
  <c r="W249" i="25"/>
  <c r="V249" i="25"/>
  <c r="U249" i="25"/>
  <c r="T249" i="25"/>
  <c r="S249" i="25"/>
  <c r="R249" i="25"/>
  <c r="Q249" i="25"/>
  <c r="P249" i="25"/>
  <c r="O249" i="25"/>
  <c r="N249" i="25"/>
  <c r="M249" i="25"/>
  <c r="L249" i="25"/>
  <c r="K249" i="25"/>
  <c r="J249" i="25"/>
  <c r="I249" i="25"/>
  <c r="H249" i="25"/>
  <c r="G249" i="25"/>
  <c r="F249" i="25"/>
  <c r="E249" i="25"/>
  <c r="D249" i="25"/>
  <c r="C249" i="25"/>
  <c r="B249" i="25"/>
  <c r="A249" i="25"/>
  <c r="AP248" i="25"/>
  <c r="AO248" i="25"/>
  <c r="AN248" i="25"/>
  <c r="AM248" i="25"/>
  <c r="AL248" i="25"/>
  <c r="AK248" i="25"/>
  <c r="AJ248" i="25"/>
  <c r="AI248" i="25"/>
  <c r="AH248" i="25"/>
  <c r="AG248" i="25"/>
  <c r="AF248" i="25"/>
  <c r="AE248" i="25"/>
  <c r="AD248" i="25"/>
  <c r="AC248" i="25"/>
  <c r="AB248" i="25"/>
  <c r="AA248" i="25"/>
  <c r="Z248" i="25"/>
  <c r="Y248" i="25"/>
  <c r="X248" i="25"/>
  <c r="W248" i="25"/>
  <c r="V248" i="25"/>
  <c r="U248" i="25"/>
  <c r="T248" i="25"/>
  <c r="S248" i="25"/>
  <c r="R248" i="25"/>
  <c r="Q248" i="25"/>
  <c r="P248" i="25"/>
  <c r="O248" i="25"/>
  <c r="N248" i="25"/>
  <c r="M248" i="25"/>
  <c r="L248" i="25"/>
  <c r="K248" i="25"/>
  <c r="J248" i="25"/>
  <c r="I248" i="25"/>
  <c r="H248" i="25"/>
  <c r="G248" i="25"/>
  <c r="F248" i="25"/>
  <c r="E248" i="25"/>
  <c r="D248" i="25"/>
  <c r="C248" i="25"/>
  <c r="B248" i="25"/>
  <c r="A248" i="25"/>
  <c r="AP247" i="25"/>
  <c r="AO247" i="25"/>
  <c r="AN247" i="25"/>
  <c r="AM247" i="25"/>
  <c r="AL247" i="25"/>
  <c r="AK247" i="25"/>
  <c r="AJ247" i="25"/>
  <c r="AI247" i="25"/>
  <c r="AH247" i="25"/>
  <c r="AG247" i="25"/>
  <c r="AF247" i="25"/>
  <c r="AE247" i="25"/>
  <c r="AD247" i="25"/>
  <c r="AC247" i="25"/>
  <c r="AB247" i="25"/>
  <c r="AA247" i="25"/>
  <c r="Z247" i="25"/>
  <c r="Y247" i="25"/>
  <c r="X247" i="25"/>
  <c r="W247" i="25"/>
  <c r="V247" i="25"/>
  <c r="U247" i="25"/>
  <c r="T247" i="25"/>
  <c r="S247" i="25"/>
  <c r="R247" i="25"/>
  <c r="Q247" i="25"/>
  <c r="P247" i="25"/>
  <c r="O247" i="25"/>
  <c r="N247" i="25"/>
  <c r="M247" i="25"/>
  <c r="L247" i="25"/>
  <c r="K247" i="25"/>
  <c r="J247" i="25"/>
  <c r="I247" i="25"/>
  <c r="H247" i="25"/>
  <c r="G247" i="25"/>
  <c r="F247" i="25"/>
  <c r="E247" i="25"/>
  <c r="D247" i="25"/>
  <c r="C247" i="25"/>
  <c r="B247" i="25"/>
  <c r="A247" i="25"/>
  <c r="AP246" i="25"/>
  <c r="AO246" i="25"/>
  <c r="AN246" i="25"/>
  <c r="AM246" i="25"/>
  <c r="AL246" i="25"/>
  <c r="AK246" i="25"/>
  <c r="AJ246" i="25"/>
  <c r="AI246" i="25"/>
  <c r="AH246" i="25"/>
  <c r="AG246" i="25"/>
  <c r="AF246" i="25"/>
  <c r="AE246" i="25"/>
  <c r="AD246" i="25"/>
  <c r="AC246" i="25"/>
  <c r="AB246" i="25"/>
  <c r="AA246" i="25"/>
  <c r="Z246" i="25"/>
  <c r="Y246" i="25"/>
  <c r="X246" i="25"/>
  <c r="W246" i="25"/>
  <c r="V246" i="25"/>
  <c r="U246" i="25"/>
  <c r="T246" i="25"/>
  <c r="S246" i="25"/>
  <c r="R246" i="25"/>
  <c r="Q246" i="25"/>
  <c r="P246" i="25"/>
  <c r="O246" i="25"/>
  <c r="N246" i="25"/>
  <c r="M246" i="25"/>
  <c r="L246" i="25"/>
  <c r="K246" i="25"/>
  <c r="J246" i="25"/>
  <c r="I246" i="25"/>
  <c r="H246" i="25"/>
  <c r="G246" i="25"/>
  <c r="F246" i="25"/>
  <c r="E246" i="25"/>
  <c r="D246" i="25"/>
  <c r="C246" i="25"/>
  <c r="B246" i="25"/>
  <c r="A246" i="25"/>
  <c r="AP245" i="25"/>
  <c r="AO245" i="25"/>
  <c r="AN245" i="25"/>
  <c r="AM245" i="25"/>
  <c r="AL245" i="25"/>
  <c r="AK245" i="25"/>
  <c r="AJ245" i="25"/>
  <c r="AI245" i="25"/>
  <c r="AH245" i="25"/>
  <c r="AG245" i="25"/>
  <c r="AF245" i="25"/>
  <c r="AE245" i="25"/>
  <c r="AD245" i="25"/>
  <c r="AC245" i="25"/>
  <c r="AB245" i="25"/>
  <c r="AA245" i="25"/>
  <c r="Z245" i="25"/>
  <c r="Y245" i="25"/>
  <c r="X245" i="25"/>
  <c r="W245" i="25"/>
  <c r="V245" i="25"/>
  <c r="U245" i="25"/>
  <c r="T245" i="25"/>
  <c r="S245" i="25"/>
  <c r="R245" i="25"/>
  <c r="Q245" i="25"/>
  <c r="P245" i="25"/>
  <c r="O245" i="25"/>
  <c r="N245" i="25"/>
  <c r="M245" i="25"/>
  <c r="L245" i="25"/>
  <c r="K245" i="25"/>
  <c r="J245" i="25"/>
  <c r="I245" i="25"/>
  <c r="H245" i="25"/>
  <c r="G245" i="25"/>
  <c r="F245" i="25"/>
  <c r="E245" i="25"/>
  <c r="D245" i="25"/>
  <c r="C245" i="25"/>
  <c r="B245" i="25"/>
  <c r="A245" i="25"/>
  <c r="AP244" i="25"/>
  <c r="AO244" i="25"/>
  <c r="AN244" i="25"/>
  <c r="AM244" i="25"/>
  <c r="AL244" i="25"/>
  <c r="AK244" i="25"/>
  <c r="AJ244" i="25"/>
  <c r="AI244" i="25"/>
  <c r="AH244" i="25"/>
  <c r="AG244" i="25"/>
  <c r="AF244" i="25"/>
  <c r="AE244" i="25"/>
  <c r="AD244" i="25"/>
  <c r="AC244" i="25"/>
  <c r="AB244" i="25"/>
  <c r="AA244" i="25"/>
  <c r="Z244" i="25"/>
  <c r="Y244" i="25"/>
  <c r="X244" i="25"/>
  <c r="W244" i="25"/>
  <c r="V244" i="25"/>
  <c r="U244" i="25"/>
  <c r="T244" i="25"/>
  <c r="S244" i="25"/>
  <c r="R244" i="25"/>
  <c r="Q244" i="25"/>
  <c r="P244" i="25"/>
  <c r="O244" i="25"/>
  <c r="N244" i="25"/>
  <c r="M244" i="25"/>
  <c r="L244" i="25"/>
  <c r="K244" i="25"/>
  <c r="J244" i="25"/>
  <c r="I244" i="25"/>
  <c r="H244" i="25"/>
  <c r="G244" i="25"/>
  <c r="F244" i="25"/>
  <c r="E244" i="25"/>
  <c r="D244" i="25"/>
  <c r="C244" i="25"/>
  <c r="B244" i="25"/>
  <c r="A244" i="25"/>
  <c r="AP243" i="25"/>
  <c r="AO243" i="25"/>
  <c r="AN243" i="25"/>
  <c r="AM243" i="25"/>
  <c r="AL243" i="25"/>
  <c r="AK243" i="25"/>
  <c r="AJ243" i="25"/>
  <c r="AI243" i="25"/>
  <c r="AH243" i="25"/>
  <c r="AG243" i="25"/>
  <c r="AF243" i="25"/>
  <c r="AE243" i="25"/>
  <c r="AD243" i="25"/>
  <c r="AC243" i="25"/>
  <c r="AB243" i="25"/>
  <c r="AA243" i="25"/>
  <c r="Z243" i="25"/>
  <c r="Y243" i="25"/>
  <c r="X243" i="25"/>
  <c r="W243" i="25"/>
  <c r="V243" i="25"/>
  <c r="U243" i="25"/>
  <c r="T243" i="25"/>
  <c r="S243" i="25"/>
  <c r="R243" i="25"/>
  <c r="Q243" i="25"/>
  <c r="P243" i="25"/>
  <c r="O243" i="25"/>
  <c r="N243" i="25"/>
  <c r="M243" i="25"/>
  <c r="L243" i="25"/>
  <c r="K243" i="25"/>
  <c r="J243" i="25"/>
  <c r="I243" i="25"/>
  <c r="H243" i="25"/>
  <c r="G243" i="25"/>
  <c r="F243" i="25"/>
  <c r="E243" i="25"/>
  <c r="D243" i="25"/>
  <c r="C243" i="25"/>
  <c r="B243" i="25"/>
  <c r="A243" i="25"/>
  <c r="AP242" i="25"/>
  <c r="AO242" i="25"/>
  <c r="AN242" i="25"/>
  <c r="AM242" i="25"/>
  <c r="AL242" i="25"/>
  <c r="AK242" i="25"/>
  <c r="AJ242" i="25"/>
  <c r="AI242" i="25"/>
  <c r="AH242" i="25"/>
  <c r="AG242" i="25"/>
  <c r="AF242" i="25"/>
  <c r="AE242" i="25"/>
  <c r="AD242" i="25"/>
  <c r="AC242" i="25"/>
  <c r="AB242" i="25"/>
  <c r="AA242" i="25"/>
  <c r="Z242" i="25"/>
  <c r="Y242" i="25"/>
  <c r="X242" i="25"/>
  <c r="W242" i="25"/>
  <c r="V242" i="25"/>
  <c r="U242" i="25"/>
  <c r="T242" i="25"/>
  <c r="S242" i="25"/>
  <c r="R242" i="25"/>
  <c r="Q242" i="25"/>
  <c r="P242" i="25"/>
  <c r="O242" i="25"/>
  <c r="N242" i="25"/>
  <c r="M242" i="25"/>
  <c r="L242" i="25"/>
  <c r="K242" i="25"/>
  <c r="J242" i="25"/>
  <c r="I242" i="25"/>
  <c r="H242" i="25"/>
  <c r="G242" i="25"/>
  <c r="F242" i="25"/>
  <c r="E242" i="25"/>
  <c r="D242" i="25"/>
  <c r="C242" i="25"/>
  <c r="B242" i="25"/>
  <c r="A242" i="25"/>
  <c r="AP241" i="25"/>
  <c r="AO241" i="25"/>
  <c r="AN241" i="25"/>
  <c r="AM241" i="25"/>
  <c r="AL241" i="25"/>
  <c r="AK241" i="25"/>
  <c r="AJ241" i="25"/>
  <c r="AI241" i="25"/>
  <c r="AH241" i="25"/>
  <c r="AG241" i="25"/>
  <c r="AF241" i="25"/>
  <c r="AE241" i="25"/>
  <c r="AD241" i="25"/>
  <c r="AC241" i="25"/>
  <c r="AB241" i="25"/>
  <c r="AA241" i="25"/>
  <c r="Z241" i="25"/>
  <c r="Y241" i="25"/>
  <c r="X241" i="25"/>
  <c r="W241" i="25"/>
  <c r="V241" i="25"/>
  <c r="U241" i="25"/>
  <c r="T241" i="25"/>
  <c r="S241" i="25"/>
  <c r="R241" i="25"/>
  <c r="Q241" i="25"/>
  <c r="P241" i="25"/>
  <c r="O241" i="25"/>
  <c r="N241" i="25"/>
  <c r="M241" i="25"/>
  <c r="L241" i="25"/>
  <c r="K241" i="25"/>
  <c r="J241" i="25"/>
  <c r="I241" i="25"/>
  <c r="H241" i="25"/>
  <c r="G241" i="25"/>
  <c r="F241" i="25"/>
  <c r="E241" i="25"/>
  <c r="D241" i="25"/>
  <c r="C241" i="25"/>
  <c r="B241" i="25"/>
  <c r="A241" i="25"/>
  <c r="AP240" i="25"/>
  <c r="AO240" i="25"/>
  <c r="AN240" i="25"/>
  <c r="AM240" i="25"/>
  <c r="AL240" i="25"/>
  <c r="AK240" i="25"/>
  <c r="AJ240" i="25"/>
  <c r="AI240" i="25"/>
  <c r="AH240" i="25"/>
  <c r="AG240" i="25"/>
  <c r="AF240" i="25"/>
  <c r="AE240" i="25"/>
  <c r="AD240" i="25"/>
  <c r="AC240" i="25"/>
  <c r="AB240" i="25"/>
  <c r="AA240" i="25"/>
  <c r="Z240" i="25"/>
  <c r="Y240" i="25"/>
  <c r="X240" i="25"/>
  <c r="W240" i="25"/>
  <c r="V240" i="25"/>
  <c r="U240" i="25"/>
  <c r="T240" i="25"/>
  <c r="S240" i="25"/>
  <c r="R240" i="25"/>
  <c r="Q240" i="25"/>
  <c r="P240" i="25"/>
  <c r="O240" i="25"/>
  <c r="N240" i="25"/>
  <c r="M240" i="25"/>
  <c r="L240" i="25"/>
  <c r="K240" i="25"/>
  <c r="J240" i="25"/>
  <c r="I240" i="25"/>
  <c r="H240" i="25"/>
  <c r="G240" i="25"/>
  <c r="F240" i="25"/>
  <c r="E240" i="25"/>
  <c r="D240" i="25"/>
  <c r="C240" i="25"/>
  <c r="B240" i="25"/>
  <c r="A240" i="25"/>
  <c r="AP239" i="25"/>
  <c r="AO239" i="25"/>
  <c r="AN239" i="25"/>
  <c r="AM239" i="25"/>
  <c r="AL239" i="25"/>
  <c r="AK239" i="25"/>
  <c r="AJ239" i="25"/>
  <c r="AI239" i="25"/>
  <c r="AH239" i="25"/>
  <c r="AG239" i="25"/>
  <c r="AF239" i="25"/>
  <c r="AE239" i="25"/>
  <c r="AD239" i="25"/>
  <c r="AC239" i="25"/>
  <c r="AB239" i="25"/>
  <c r="AA239" i="25"/>
  <c r="Z239" i="25"/>
  <c r="Y239" i="25"/>
  <c r="X239" i="25"/>
  <c r="W239" i="25"/>
  <c r="V239" i="25"/>
  <c r="U239" i="25"/>
  <c r="T239" i="25"/>
  <c r="S239" i="25"/>
  <c r="R239" i="25"/>
  <c r="Q239" i="25"/>
  <c r="P239" i="25"/>
  <c r="O239" i="25"/>
  <c r="N239" i="25"/>
  <c r="M239" i="25"/>
  <c r="L239" i="25"/>
  <c r="K239" i="25"/>
  <c r="J239" i="25"/>
  <c r="I239" i="25"/>
  <c r="H239" i="25"/>
  <c r="G239" i="25"/>
  <c r="F239" i="25"/>
  <c r="E239" i="25"/>
  <c r="D239" i="25"/>
  <c r="C239" i="25"/>
  <c r="B239" i="25"/>
  <c r="A239" i="25"/>
  <c r="AP238" i="25"/>
  <c r="AO238" i="25"/>
  <c r="AN238" i="25"/>
  <c r="AM238" i="25"/>
  <c r="AL238" i="25"/>
  <c r="AK238" i="25"/>
  <c r="AJ238" i="25"/>
  <c r="AI238" i="25"/>
  <c r="AH238" i="25"/>
  <c r="AG238" i="25"/>
  <c r="AF238" i="25"/>
  <c r="AE238" i="25"/>
  <c r="AD238" i="25"/>
  <c r="AC238" i="25"/>
  <c r="AB238" i="25"/>
  <c r="AA238" i="25"/>
  <c r="Z238" i="25"/>
  <c r="Y238" i="25"/>
  <c r="X238" i="25"/>
  <c r="W238" i="25"/>
  <c r="V238" i="25"/>
  <c r="U238" i="25"/>
  <c r="T238" i="25"/>
  <c r="S238" i="25"/>
  <c r="R238" i="25"/>
  <c r="Q238" i="25"/>
  <c r="P238" i="25"/>
  <c r="O238" i="25"/>
  <c r="N238" i="25"/>
  <c r="M238" i="25"/>
  <c r="L238" i="25"/>
  <c r="K238" i="25"/>
  <c r="J238" i="25"/>
  <c r="I238" i="25"/>
  <c r="H238" i="25"/>
  <c r="G238" i="25"/>
  <c r="F238" i="25"/>
  <c r="E238" i="25"/>
  <c r="D238" i="25"/>
  <c r="C238" i="25"/>
  <c r="B238" i="25"/>
  <c r="A238" i="25"/>
  <c r="AP237" i="25"/>
  <c r="AO237" i="25"/>
  <c r="AN237" i="25"/>
  <c r="AM237" i="25"/>
  <c r="AL237" i="25"/>
  <c r="AK237" i="25"/>
  <c r="AJ237" i="25"/>
  <c r="AI237" i="25"/>
  <c r="AH237" i="25"/>
  <c r="AG237" i="25"/>
  <c r="AF237" i="25"/>
  <c r="AE237" i="25"/>
  <c r="AD237" i="25"/>
  <c r="AC237" i="25"/>
  <c r="AB237" i="25"/>
  <c r="AA237" i="25"/>
  <c r="Z237" i="25"/>
  <c r="Y237" i="25"/>
  <c r="X237" i="25"/>
  <c r="W237" i="25"/>
  <c r="V237" i="25"/>
  <c r="U237" i="25"/>
  <c r="T237" i="25"/>
  <c r="S237" i="25"/>
  <c r="R237" i="25"/>
  <c r="Q237" i="25"/>
  <c r="P237" i="25"/>
  <c r="O237" i="25"/>
  <c r="N237" i="25"/>
  <c r="M237" i="25"/>
  <c r="L237" i="25"/>
  <c r="K237" i="25"/>
  <c r="J237" i="25"/>
  <c r="I237" i="25"/>
  <c r="H237" i="25"/>
  <c r="G237" i="25"/>
  <c r="F237" i="25"/>
  <c r="E237" i="25"/>
  <c r="D237" i="25"/>
  <c r="C237" i="25"/>
  <c r="B237" i="25"/>
  <c r="A237" i="25"/>
  <c r="AP236" i="25"/>
  <c r="AO236" i="25"/>
  <c r="AN236" i="25"/>
  <c r="AM236" i="25"/>
  <c r="AL236" i="25"/>
  <c r="AK236" i="25"/>
  <c r="AJ236" i="25"/>
  <c r="AI236" i="25"/>
  <c r="AH236" i="25"/>
  <c r="AG236" i="25"/>
  <c r="AF236" i="25"/>
  <c r="AE236" i="25"/>
  <c r="AD236" i="25"/>
  <c r="AC236" i="25"/>
  <c r="AB236" i="25"/>
  <c r="AA236" i="25"/>
  <c r="Z236" i="25"/>
  <c r="Y236" i="25"/>
  <c r="X236" i="25"/>
  <c r="W236" i="25"/>
  <c r="V236" i="25"/>
  <c r="U236" i="25"/>
  <c r="T236" i="25"/>
  <c r="S236" i="25"/>
  <c r="R236" i="25"/>
  <c r="Q236" i="25"/>
  <c r="P236" i="25"/>
  <c r="O236" i="25"/>
  <c r="N236" i="25"/>
  <c r="M236" i="25"/>
  <c r="L236" i="25"/>
  <c r="K236" i="25"/>
  <c r="J236" i="25"/>
  <c r="I236" i="25"/>
  <c r="H236" i="25"/>
  <c r="G236" i="25"/>
  <c r="F236" i="25"/>
  <c r="E236" i="25"/>
  <c r="D236" i="25"/>
  <c r="C236" i="25"/>
  <c r="B236" i="25"/>
  <c r="A236" i="25"/>
  <c r="AP235" i="25"/>
  <c r="AO235" i="25"/>
  <c r="AN235" i="25"/>
  <c r="AM235" i="25"/>
  <c r="AL235" i="25"/>
  <c r="AK235" i="25"/>
  <c r="AJ235" i="25"/>
  <c r="AI235" i="25"/>
  <c r="AH235" i="25"/>
  <c r="AG235" i="25"/>
  <c r="AF235" i="25"/>
  <c r="AE235" i="25"/>
  <c r="AD235" i="25"/>
  <c r="AC235" i="25"/>
  <c r="AB235" i="25"/>
  <c r="AA235" i="25"/>
  <c r="Z235" i="25"/>
  <c r="Y235" i="25"/>
  <c r="X235" i="25"/>
  <c r="W235" i="25"/>
  <c r="V235" i="25"/>
  <c r="U235" i="25"/>
  <c r="T235" i="25"/>
  <c r="S235" i="25"/>
  <c r="R235" i="25"/>
  <c r="Q235" i="25"/>
  <c r="P235" i="25"/>
  <c r="O235" i="25"/>
  <c r="N235" i="25"/>
  <c r="M235" i="25"/>
  <c r="L235" i="25"/>
  <c r="K235" i="25"/>
  <c r="J235" i="25"/>
  <c r="I235" i="25"/>
  <c r="H235" i="25"/>
  <c r="G235" i="25"/>
  <c r="F235" i="25"/>
  <c r="E235" i="25"/>
  <c r="D235" i="25"/>
  <c r="C235" i="25"/>
  <c r="B235" i="25"/>
  <c r="A235" i="25"/>
  <c r="AP234" i="25"/>
  <c r="AO234" i="25"/>
  <c r="AN234" i="25"/>
  <c r="AM234" i="25"/>
  <c r="AL234" i="25"/>
  <c r="AK234" i="25"/>
  <c r="AJ234" i="25"/>
  <c r="AI234" i="25"/>
  <c r="AH234" i="25"/>
  <c r="AG234" i="25"/>
  <c r="AF234" i="25"/>
  <c r="AE234" i="25"/>
  <c r="AD234" i="25"/>
  <c r="AC234" i="25"/>
  <c r="AB234" i="25"/>
  <c r="AA234" i="25"/>
  <c r="Z234" i="25"/>
  <c r="Y234" i="25"/>
  <c r="X234" i="25"/>
  <c r="W234" i="25"/>
  <c r="V234" i="25"/>
  <c r="U234" i="25"/>
  <c r="T234" i="25"/>
  <c r="S234" i="25"/>
  <c r="R234" i="25"/>
  <c r="Q234" i="25"/>
  <c r="P234" i="25"/>
  <c r="O234" i="25"/>
  <c r="N234" i="25"/>
  <c r="M234" i="25"/>
  <c r="L234" i="25"/>
  <c r="K234" i="25"/>
  <c r="J234" i="25"/>
  <c r="I234" i="25"/>
  <c r="H234" i="25"/>
  <c r="G234" i="25"/>
  <c r="F234" i="25"/>
  <c r="E234" i="25"/>
  <c r="D234" i="25"/>
  <c r="C234" i="25"/>
  <c r="B234" i="25"/>
  <c r="A234" i="25"/>
  <c r="AP233" i="25"/>
  <c r="AO233" i="25"/>
  <c r="AN233" i="25"/>
  <c r="AM233" i="25"/>
  <c r="AL233" i="25"/>
  <c r="AK233" i="25"/>
  <c r="AJ233" i="25"/>
  <c r="AI233" i="25"/>
  <c r="AH233" i="25"/>
  <c r="AG233" i="25"/>
  <c r="AF233" i="25"/>
  <c r="AE233" i="25"/>
  <c r="AD233" i="25"/>
  <c r="AC233" i="25"/>
  <c r="AB233" i="25"/>
  <c r="AA233" i="25"/>
  <c r="Z233" i="25"/>
  <c r="Y233" i="25"/>
  <c r="X233" i="25"/>
  <c r="W233" i="25"/>
  <c r="V233" i="25"/>
  <c r="U233" i="25"/>
  <c r="T233" i="25"/>
  <c r="S233" i="25"/>
  <c r="R233" i="25"/>
  <c r="Q233" i="25"/>
  <c r="P233" i="25"/>
  <c r="O233" i="25"/>
  <c r="N233" i="25"/>
  <c r="M233" i="25"/>
  <c r="L233" i="25"/>
  <c r="K233" i="25"/>
  <c r="J233" i="25"/>
  <c r="I233" i="25"/>
  <c r="H233" i="25"/>
  <c r="G233" i="25"/>
  <c r="F233" i="25"/>
  <c r="E233" i="25"/>
  <c r="D233" i="25"/>
  <c r="C233" i="25"/>
  <c r="B233" i="25"/>
  <c r="A233" i="25"/>
  <c r="AP232" i="25"/>
  <c r="AO232" i="25"/>
  <c r="AN232" i="25"/>
  <c r="AM232" i="25"/>
  <c r="AL232" i="25"/>
  <c r="AK232" i="25"/>
  <c r="AJ232" i="25"/>
  <c r="AI232" i="25"/>
  <c r="AH232" i="25"/>
  <c r="AG232" i="25"/>
  <c r="AF232" i="25"/>
  <c r="AE232" i="25"/>
  <c r="AD232" i="25"/>
  <c r="AC232" i="25"/>
  <c r="AB232" i="25"/>
  <c r="AA232" i="25"/>
  <c r="Z232" i="25"/>
  <c r="Y232" i="25"/>
  <c r="X232" i="25"/>
  <c r="W232" i="25"/>
  <c r="V232" i="25"/>
  <c r="U232" i="25"/>
  <c r="T232" i="25"/>
  <c r="S232" i="25"/>
  <c r="R232" i="25"/>
  <c r="Q232" i="25"/>
  <c r="P232" i="25"/>
  <c r="O232" i="25"/>
  <c r="N232" i="25"/>
  <c r="M232" i="25"/>
  <c r="L232" i="25"/>
  <c r="K232" i="25"/>
  <c r="J232" i="25"/>
  <c r="I232" i="25"/>
  <c r="H232" i="25"/>
  <c r="G232" i="25"/>
  <c r="F232" i="25"/>
  <c r="E232" i="25"/>
  <c r="D232" i="25"/>
  <c r="C232" i="25"/>
  <c r="B232" i="25"/>
  <c r="A232" i="25"/>
  <c r="AP231" i="25"/>
  <c r="AO231" i="25"/>
  <c r="AN231" i="25"/>
  <c r="AM231" i="25"/>
  <c r="AL231" i="25"/>
  <c r="AK231" i="25"/>
  <c r="AJ231" i="25"/>
  <c r="AI231" i="25"/>
  <c r="AH231" i="25"/>
  <c r="AG231" i="25"/>
  <c r="AF231" i="25"/>
  <c r="AE231" i="25"/>
  <c r="AD231" i="25"/>
  <c r="AC231" i="25"/>
  <c r="AB231" i="25"/>
  <c r="AA231" i="25"/>
  <c r="Z231" i="25"/>
  <c r="Y231" i="25"/>
  <c r="X231" i="25"/>
  <c r="W231" i="25"/>
  <c r="V231" i="25"/>
  <c r="U231" i="25"/>
  <c r="T231" i="25"/>
  <c r="S231" i="25"/>
  <c r="R231" i="25"/>
  <c r="Q231" i="25"/>
  <c r="P231" i="25"/>
  <c r="O231" i="25"/>
  <c r="N231" i="25"/>
  <c r="M231" i="25"/>
  <c r="L231" i="25"/>
  <c r="K231" i="25"/>
  <c r="J231" i="25"/>
  <c r="I231" i="25"/>
  <c r="H231" i="25"/>
  <c r="G231" i="25"/>
  <c r="F231" i="25"/>
  <c r="E231" i="25"/>
  <c r="D231" i="25"/>
  <c r="C231" i="25"/>
  <c r="B231" i="25"/>
  <c r="A231" i="25"/>
  <c r="AP230" i="25"/>
  <c r="AO230" i="25"/>
  <c r="AN230" i="25"/>
  <c r="AM230" i="25"/>
  <c r="AL230" i="25"/>
  <c r="AK230" i="25"/>
  <c r="AJ230" i="25"/>
  <c r="AI230" i="25"/>
  <c r="AH230" i="25"/>
  <c r="AG230" i="25"/>
  <c r="AF230" i="25"/>
  <c r="AE230" i="25"/>
  <c r="AD230" i="25"/>
  <c r="AC230" i="25"/>
  <c r="AB230" i="25"/>
  <c r="AA230" i="25"/>
  <c r="Z230" i="25"/>
  <c r="Y230" i="25"/>
  <c r="X230" i="25"/>
  <c r="W230" i="25"/>
  <c r="V230" i="25"/>
  <c r="U230" i="25"/>
  <c r="T230" i="25"/>
  <c r="S230" i="25"/>
  <c r="R230" i="25"/>
  <c r="Q230" i="25"/>
  <c r="P230" i="25"/>
  <c r="O230" i="25"/>
  <c r="N230" i="25"/>
  <c r="M230" i="25"/>
  <c r="L230" i="25"/>
  <c r="K230" i="25"/>
  <c r="J230" i="25"/>
  <c r="I230" i="25"/>
  <c r="H230" i="25"/>
  <c r="G230" i="25"/>
  <c r="F230" i="25"/>
  <c r="E230" i="25"/>
  <c r="D230" i="25"/>
  <c r="C230" i="25"/>
  <c r="B230" i="25"/>
  <c r="A230" i="25"/>
  <c r="AP229" i="25"/>
  <c r="AO229" i="25"/>
  <c r="AN229" i="25"/>
  <c r="AM229" i="25"/>
  <c r="AL229" i="25"/>
  <c r="AK229" i="25"/>
  <c r="AJ229" i="25"/>
  <c r="AI229" i="25"/>
  <c r="AH229" i="25"/>
  <c r="AG229" i="25"/>
  <c r="AF229" i="25"/>
  <c r="AE229" i="25"/>
  <c r="AD229" i="25"/>
  <c r="AC229" i="25"/>
  <c r="AB229" i="25"/>
  <c r="AA229" i="25"/>
  <c r="Z229" i="25"/>
  <c r="Y229" i="25"/>
  <c r="X229" i="25"/>
  <c r="W229" i="25"/>
  <c r="V229" i="25"/>
  <c r="U229" i="25"/>
  <c r="T229" i="25"/>
  <c r="S229" i="25"/>
  <c r="R229" i="25"/>
  <c r="Q229" i="25"/>
  <c r="P229" i="25"/>
  <c r="O229" i="25"/>
  <c r="N229" i="25"/>
  <c r="M229" i="25"/>
  <c r="L229" i="25"/>
  <c r="K229" i="25"/>
  <c r="J229" i="25"/>
  <c r="I229" i="25"/>
  <c r="H229" i="25"/>
  <c r="G229" i="25"/>
  <c r="F229" i="25"/>
  <c r="E229" i="25"/>
  <c r="D229" i="25"/>
  <c r="C229" i="25"/>
  <c r="B229" i="25"/>
  <c r="A229" i="25"/>
  <c r="AP228" i="25"/>
  <c r="AO228" i="25"/>
  <c r="AN228" i="25"/>
  <c r="AM228" i="25"/>
  <c r="AL228" i="25"/>
  <c r="AK228" i="25"/>
  <c r="AJ228" i="25"/>
  <c r="AI228" i="25"/>
  <c r="AH228" i="25"/>
  <c r="AG228" i="25"/>
  <c r="AF228" i="25"/>
  <c r="AE228" i="25"/>
  <c r="AD228" i="25"/>
  <c r="AC228" i="25"/>
  <c r="AB228" i="25"/>
  <c r="AA228" i="25"/>
  <c r="Z228" i="25"/>
  <c r="Y228" i="25"/>
  <c r="X228" i="25"/>
  <c r="W228" i="25"/>
  <c r="V228" i="25"/>
  <c r="U228" i="25"/>
  <c r="T228" i="25"/>
  <c r="S228" i="25"/>
  <c r="R228" i="25"/>
  <c r="Q228" i="25"/>
  <c r="P228" i="25"/>
  <c r="O228" i="25"/>
  <c r="N228" i="25"/>
  <c r="M228" i="25"/>
  <c r="L228" i="25"/>
  <c r="K228" i="25"/>
  <c r="J228" i="25"/>
  <c r="I228" i="25"/>
  <c r="H228" i="25"/>
  <c r="G228" i="25"/>
  <c r="F228" i="25"/>
  <c r="E228" i="25"/>
  <c r="D228" i="25"/>
  <c r="C228" i="25"/>
  <c r="B228" i="25"/>
  <c r="A228" i="25"/>
  <c r="AP227" i="25"/>
  <c r="AO227" i="25"/>
  <c r="AN227" i="25"/>
  <c r="AM227" i="25"/>
  <c r="AL227" i="25"/>
  <c r="AK227" i="25"/>
  <c r="AJ227" i="25"/>
  <c r="AI227" i="25"/>
  <c r="AH227" i="25"/>
  <c r="AG227" i="25"/>
  <c r="AF227" i="25"/>
  <c r="AE227" i="25"/>
  <c r="AD227" i="25"/>
  <c r="AC227" i="25"/>
  <c r="AB227" i="25"/>
  <c r="AA227" i="25"/>
  <c r="Z227" i="25"/>
  <c r="Y227" i="25"/>
  <c r="X227" i="25"/>
  <c r="W227" i="25"/>
  <c r="V227" i="25"/>
  <c r="U227" i="25"/>
  <c r="T227" i="25"/>
  <c r="S227" i="25"/>
  <c r="R227" i="25"/>
  <c r="Q227" i="25"/>
  <c r="P227" i="25"/>
  <c r="O227" i="25"/>
  <c r="N227" i="25"/>
  <c r="M227" i="25"/>
  <c r="L227" i="25"/>
  <c r="K227" i="25"/>
  <c r="J227" i="25"/>
  <c r="I227" i="25"/>
  <c r="H227" i="25"/>
  <c r="G227" i="25"/>
  <c r="F227" i="25"/>
  <c r="E227" i="25"/>
  <c r="D227" i="25"/>
  <c r="C227" i="25"/>
  <c r="B227" i="25"/>
  <c r="A227" i="25"/>
  <c r="AP226" i="25"/>
  <c r="AO226" i="25"/>
  <c r="AN226" i="25"/>
  <c r="AM226" i="25"/>
  <c r="AL226" i="25"/>
  <c r="AK226" i="25"/>
  <c r="AJ226" i="25"/>
  <c r="AI226" i="25"/>
  <c r="AH226" i="25"/>
  <c r="AG226" i="25"/>
  <c r="AF226" i="25"/>
  <c r="AE226" i="25"/>
  <c r="AD226" i="25"/>
  <c r="AC226" i="25"/>
  <c r="AB226" i="25"/>
  <c r="AA226" i="25"/>
  <c r="Z226" i="25"/>
  <c r="Y226" i="25"/>
  <c r="X226" i="25"/>
  <c r="W226" i="25"/>
  <c r="V226" i="25"/>
  <c r="U226" i="25"/>
  <c r="T226" i="25"/>
  <c r="S226" i="25"/>
  <c r="R226" i="25"/>
  <c r="Q226" i="25"/>
  <c r="P226" i="25"/>
  <c r="O226" i="25"/>
  <c r="N226" i="25"/>
  <c r="M226" i="25"/>
  <c r="L226" i="25"/>
  <c r="K226" i="25"/>
  <c r="J226" i="25"/>
  <c r="I226" i="25"/>
  <c r="H226" i="25"/>
  <c r="G226" i="25"/>
  <c r="F226" i="25"/>
  <c r="E226" i="25"/>
  <c r="D226" i="25"/>
  <c r="C226" i="25"/>
  <c r="B226" i="25"/>
  <c r="A226" i="25"/>
  <c r="AP225" i="25"/>
  <c r="AO225" i="25"/>
  <c r="AN225" i="25"/>
  <c r="AM225" i="25"/>
  <c r="AL225" i="25"/>
  <c r="AK225" i="25"/>
  <c r="AJ225" i="25"/>
  <c r="AI225" i="25"/>
  <c r="AH225" i="25"/>
  <c r="AG225" i="25"/>
  <c r="AF225" i="25"/>
  <c r="AE225" i="25"/>
  <c r="AD225" i="25"/>
  <c r="AC225" i="25"/>
  <c r="AB225" i="25"/>
  <c r="AA225" i="25"/>
  <c r="Z225" i="25"/>
  <c r="Y225" i="25"/>
  <c r="X225" i="25"/>
  <c r="W225" i="25"/>
  <c r="V225" i="25"/>
  <c r="U225" i="25"/>
  <c r="T225" i="25"/>
  <c r="S225" i="25"/>
  <c r="R225" i="25"/>
  <c r="Q225" i="25"/>
  <c r="P225" i="25"/>
  <c r="O225" i="25"/>
  <c r="N225" i="25"/>
  <c r="M225" i="25"/>
  <c r="L225" i="25"/>
  <c r="K225" i="25"/>
  <c r="J225" i="25"/>
  <c r="I225" i="25"/>
  <c r="H225" i="25"/>
  <c r="G225" i="25"/>
  <c r="F225" i="25"/>
  <c r="E225" i="25"/>
  <c r="D225" i="25"/>
  <c r="C225" i="25"/>
  <c r="B225" i="25"/>
  <c r="A225" i="25"/>
  <c r="AP224" i="25"/>
  <c r="AO224" i="25"/>
  <c r="AN224" i="25"/>
  <c r="AM224" i="25"/>
  <c r="AL224" i="25"/>
  <c r="AK224" i="25"/>
  <c r="AJ224" i="25"/>
  <c r="AI224" i="25"/>
  <c r="AH224" i="25"/>
  <c r="AG224" i="25"/>
  <c r="AF224" i="25"/>
  <c r="AE224" i="25"/>
  <c r="AD224" i="25"/>
  <c r="AC224" i="25"/>
  <c r="AB224" i="25"/>
  <c r="AA224" i="25"/>
  <c r="Z224" i="25"/>
  <c r="Y224" i="25"/>
  <c r="X224" i="25"/>
  <c r="W224" i="25"/>
  <c r="V224" i="25"/>
  <c r="U224" i="25"/>
  <c r="T224" i="25"/>
  <c r="S224" i="25"/>
  <c r="R224" i="25"/>
  <c r="Q224" i="25"/>
  <c r="P224" i="25"/>
  <c r="O224" i="25"/>
  <c r="N224" i="25"/>
  <c r="M224" i="25"/>
  <c r="L224" i="25"/>
  <c r="K224" i="25"/>
  <c r="J224" i="25"/>
  <c r="I224" i="25"/>
  <c r="H224" i="25"/>
  <c r="G224" i="25"/>
  <c r="F224" i="25"/>
  <c r="E224" i="25"/>
  <c r="D224" i="25"/>
  <c r="C224" i="25"/>
  <c r="B224" i="25"/>
  <c r="A224" i="25"/>
  <c r="AP223" i="25"/>
  <c r="AO223" i="25"/>
  <c r="AN223" i="25"/>
  <c r="AM223" i="25"/>
  <c r="AL223" i="25"/>
  <c r="AK223" i="25"/>
  <c r="AJ223" i="25"/>
  <c r="AI223" i="25"/>
  <c r="AH223" i="25"/>
  <c r="AG223" i="25"/>
  <c r="AF223" i="25"/>
  <c r="AE223" i="25"/>
  <c r="AD223" i="25"/>
  <c r="AC223" i="25"/>
  <c r="AB223" i="25"/>
  <c r="AA223" i="25"/>
  <c r="Z223" i="25"/>
  <c r="Y223" i="25"/>
  <c r="X223" i="25"/>
  <c r="W223" i="25"/>
  <c r="V223" i="25"/>
  <c r="U223" i="25"/>
  <c r="T223" i="25"/>
  <c r="S223" i="25"/>
  <c r="R223" i="25"/>
  <c r="Q223" i="25"/>
  <c r="P223" i="25"/>
  <c r="O223" i="25"/>
  <c r="N223" i="25"/>
  <c r="M223" i="25"/>
  <c r="L223" i="25"/>
  <c r="K223" i="25"/>
  <c r="J223" i="25"/>
  <c r="I223" i="25"/>
  <c r="H223" i="25"/>
  <c r="G223" i="25"/>
  <c r="F223" i="25"/>
  <c r="E223" i="25"/>
  <c r="D223" i="25"/>
  <c r="C223" i="25"/>
  <c r="B223" i="25"/>
  <c r="A223" i="25"/>
  <c r="AP222" i="25"/>
  <c r="AO222" i="25"/>
  <c r="AN222" i="25"/>
  <c r="AM222" i="25"/>
  <c r="AL222" i="25"/>
  <c r="AK222" i="25"/>
  <c r="AJ222" i="25"/>
  <c r="AI222" i="25"/>
  <c r="AH222" i="25"/>
  <c r="AG222" i="25"/>
  <c r="AF222" i="25"/>
  <c r="AE222" i="25"/>
  <c r="AD222" i="25"/>
  <c r="AC222" i="25"/>
  <c r="AB222" i="25"/>
  <c r="AA222" i="25"/>
  <c r="Z222" i="25"/>
  <c r="Y222" i="25"/>
  <c r="X222" i="25"/>
  <c r="W222" i="25"/>
  <c r="V222" i="25"/>
  <c r="U222" i="25"/>
  <c r="T222" i="25"/>
  <c r="S222" i="25"/>
  <c r="R222" i="25"/>
  <c r="Q222" i="25"/>
  <c r="P222" i="25"/>
  <c r="O222" i="25"/>
  <c r="N222" i="25"/>
  <c r="M222" i="25"/>
  <c r="L222" i="25"/>
  <c r="K222" i="25"/>
  <c r="J222" i="25"/>
  <c r="I222" i="25"/>
  <c r="H222" i="25"/>
  <c r="G222" i="25"/>
  <c r="F222" i="25"/>
  <c r="E222" i="25"/>
  <c r="D222" i="25"/>
  <c r="C222" i="25"/>
  <c r="B222" i="25"/>
  <c r="A222" i="25"/>
  <c r="AP221" i="25"/>
  <c r="AO221" i="25"/>
  <c r="AN221" i="25"/>
  <c r="AM221" i="25"/>
  <c r="AL221" i="25"/>
  <c r="AK221" i="25"/>
  <c r="AJ221" i="25"/>
  <c r="AI221" i="25"/>
  <c r="AH221" i="25"/>
  <c r="AG221" i="25"/>
  <c r="AF221" i="25"/>
  <c r="AE221" i="25"/>
  <c r="AD221" i="25"/>
  <c r="AC221" i="25"/>
  <c r="AB221" i="25"/>
  <c r="AA221" i="25"/>
  <c r="Z221" i="25"/>
  <c r="Y221" i="25"/>
  <c r="X221" i="25"/>
  <c r="W221" i="25"/>
  <c r="V221" i="25"/>
  <c r="U221" i="25"/>
  <c r="T221" i="25"/>
  <c r="S221" i="25"/>
  <c r="R221" i="25"/>
  <c r="Q221" i="25"/>
  <c r="P221" i="25"/>
  <c r="O221" i="25"/>
  <c r="N221" i="25"/>
  <c r="M221" i="25"/>
  <c r="L221" i="25"/>
  <c r="K221" i="25"/>
  <c r="J221" i="25"/>
  <c r="I221" i="25"/>
  <c r="H221" i="25"/>
  <c r="G221" i="25"/>
  <c r="F221" i="25"/>
  <c r="E221" i="25"/>
  <c r="D221" i="25"/>
  <c r="C221" i="25"/>
  <c r="B221" i="25"/>
  <c r="A221" i="25"/>
  <c r="AP220" i="25"/>
  <c r="AO220" i="25"/>
  <c r="AN220" i="25"/>
  <c r="AM220" i="25"/>
  <c r="AL220" i="25"/>
  <c r="AK220" i="25"/>
  <c r="AJ220" i="25"/>
  <c r="AI220" i="25"/>
  <c r="AH220" i="25"/>
  <c r="AG220" i="25"/>
  <c r="AF220" i="25"/>
  <c r="AE220" i="25"/>
  <c r="AD220" i="25"/>
  <c r="AC220" i="25"/>
  <c r="AB220" i="25"/>
  <c r="AA220" i="25"/>
  <c r="Z220" i="25"/>
  <c r="Y220" i="25"/>
  <c r="X220" i="25"/>
  <c r="W220" i="25"/>
  <c r="V220" i="25"/>
  <c r="U220" i="25"/>
  <c r="T220" i="25"/>
  <c r="S220" i="25"/>
  <c r="R220" i="25"/>
  <c r="Q220" i="25"/>
  <c r="P220" i="25"/>
  <c r="O220" i="25"/>
  <c r="N220" i="25"/>
  <c r="M220" i="25"/>
  <c r="L220" i="25"/>
  <c r="K220" i="25"/>
  <c r="J220" i="25"/>
  <c r="I220" i="25"/>
  <c r="H220" i="25"/>
  <c r="G220" i="25"/>
  <c r="F220" i="25"/>
  <c r="E220" i="25"/>
  <c r="D220" i="25"/>
  <c r="C220" i="25"/>
  <c r="B220" i="25"/>
  <c r="A220" i="25"/>
  <c r="AP219" i="25"/>
  <c r="AO219" i="25"/>
  <c r="AN219" i="25"/>
  <c r="AM219" i="25"/>
  <c r="AL219" i="25"/>
  <c r="AK219" i="25"/>
  <c r="AJ219" i="25"/>
  <c r="AI219" i="25"/>
  <c r="AH219" i="25"/>
  <c r="AG219" i="25"/>
  <c r="AF219" i="25"/>
  <c r="AE219" i="25"/>
  <c r="AD219" i="25"/>
  <c r="AC219" i="25"/>
  <c r="AB219" i="25"/>
  <c r="AA219" i="25"/>
  <c r="Z219" i="25"/>
  <c r="Y219" i="25"/>
  <c r="X219" i="25"/>
  <c r="W219" i="25"/>
  <c r="V219" i="25"/>
  <c r="U219" i="25"/>
  <c r="T219" i="25"/>
  <c r="S219" i="25"/>
  <c r="R219" i="25"/>
  <c r="Q219" i="25"/>
  <c r="P219" i="25"/>
  <c r="O219" i="25"/>
  <c r="N219" i="25"/>
  <c r="M219" i="25"/>
  <c r="L219" i="25"/>
  <c r="K219" i="25"/>
  <c r="J219" i="25"/>
  <c r="I219" i="25"/>
  <c r="H219" i="25"/>
  <c r="G219" i="25"/>
  <c r="F219" i="25"/>
  <c r="E219" i="25"/>
  <c r="D219" i="25"/>
  <c r="C219" i="25"/>
  <c r="B219" i="25"/>
  <c r="A219" i="25"/>
  <c r="AP218" i="25"/>
  <c r="AO218" i="25"/>
  <c r="AN218" i="25"/>
  <c r="AM218" i="25"/>
  <c r="AL218" i="25"/>
  <c r="AK218" i="25"/>
  <c r="AJ218" i="25"/>
  <c r="AI218" i="25"/>
  <c r="AH218" i="25"/>
  <c r="AG218" i="25"/>
  <c r="AF218" i="25"/>
  <c r="AE218" i="25"/>
  <c r="AD218" i="25"/>
  <c r="AC218" i="25"/>
  <c r="AB218" i="25"/>
  <c r="AA218" i="25"/>
  <c r="Z218" i="25"/>
  <c r="Y218" i="25"/>
  <c r="X218" i="25"/>
  <c r="W218" i="25"/>
  <c r="V218" i="25"/>
  <c r="U218" i="25"/>
  <c r="T218" i="25"/>
  <c r="S218" i="25"/>
  <c r="R218" i="25"/>
  <c r="Q218" i="25"/>
  <c r="P218" i="25"/>
  <c r="O218" i="25"/>
  <c r="N218" i="25"/>
  <c r="M218" i="25"/>
  <c r="L218" i="25"/>
  <c r="K218" i="25"/>
  <c r="J218" i="25"/>
  <c r="I218" i="25"/>
  <c r="H218" i="25"/>
  <c r="G218" i="25"/>
  <c r="F218" i="25"/>
  <c r="E218" i="25"/>
  <c r="D218" i="25"/>
  <c r="C218" i="25"/>
  <c r="B218" i="25"/>
  <c r="A218" i="25"/>
  <c r="AP217" i="25"/>
  <c r="AO217" i="25"/>
  <c r="AN217" i="25"/>
  <c r="AM217" i="25"/>
  <c r="AL217" i="25"/>
  <c r="AK217" i="25"/>
  <c r="AJ217" i="25"/>
  <c r="AI217" i="25"/>
  <c r="AH217" i="25"/>
  <c r="AG217" i="25"/>
  <c r="AF217" i="25"/>
  <c r="AE217" i="25"/>
  <c r="AD217" i="25"/>
  <c r="AC217" i="25"/>
  <c r="AB217" i="25"/>
  <c r="AA217" i="25"/>
  <c r="Z217" i="25"/>
  <c r="Y217" i="25"/>
  <c r="X217" i="25"/>
  <c r="W217" i="25"/>
  <c r="V217" i="25"/>
  <c r="U217" i="25"/>
  <c r="T217" i="25"/>
  <c r="S217" i="25"/>
  <c r="R217" i="25"/>
  <c r="Q217" i="25"/>
  <c r="P217" i="25"/>
  <c r="O217" i="25"/>
  <c r="N217" i="25"/>
  <c r="M217" i="25"/>
  <c r="L217" i="25"/>
  <c r="K217" i="25"/>
  <c r="J217" i="25"/>
  <c r="I217" i="25"/>
  <c r="H217" i="25"/>
  <c r="G217" i="25"/>
  <c r="F217" i="25"/>
  <c r="E217" i="25"/>
  <c r="D217" i="25"/>
  <c r="C217" i="25"/>
  <c r="B217" i="25"/>
  <c r="A217" i="25"/>
  <c r="AP216" i="25"/>
  <c r="AO216" i="25"/>
  <c r="AN216" i="25"/>
  <c r="AM216" i="25"/>
  <c r="AL216" i="25"/>
  <c r="AK216" i="25"/>
  <c r="AJ216" i="25"/>
  <c r="AI216" i="25"/>
  <c r="AH216" i="25"/>
  <c r="AG216" i="25"/>
  <c r="AF216" i="25"/>
  <c r="AE216" i="25"/>
  <c r="AD216" i="25"/>
  <c r="AC216" i="25"/>
  <c r="AB216" i="25"/>
  <c r="AA216" i="25"/>
  <c r="Z216" i="25"/>
  <c r="Y216" i="25"/>
  <c r="X216" i="25"/>
  <c r="W216" i="25"/>
  <c r="V216" i="25"/>
  <c r="U216" i="25"/>
  <c r="T216" i="25"/>
  <c r="S216" i="25"/>
  <c r="R216" i="25"/>
  <c r="Q216" i="25"/>
  <c r="P216" i="25"/>
  <c r="O216" i="25"/>
  <c r="N216" i="25"/>
  <c r="M216" i="25"/>
  <c r="L216" i="25"/>
  <c r="K216" i="25"/>
  <c r="J216" i="25"/>
  <c r="I216" i="25"/>
  <c r="H216" i="25"/>
  <c r="G216" i="25"/>
  <c r="F216" i="25"/>
  <c r="E216" i="25"/>
  <c r="D216" i="25"/>
  <c r="C216" i="25"/>
  <c r="B216" i="25"/>
  <c r="A216" i="25"/>
  <c r="AP215" i="25"/>
  <c r="AO215" i="25"/>
  <c r="AN215" i="25"/>
  <c r="AM215" i="25"/>
  <c r="AL215" i="25"/>
  <c r="AK215" i="25"/>
  <c r="AJ215" i="25"/>
  <c r="AI215" i="25"/>
  <c r="AH215" i="25"/>
  <c r="AG215" i="25"/>
  <c r="AF215" i="25"/>
  <c r="AE215" i="25"/>
  <c r="AD215" i="25"/>
  <c r="AC215" i="25"/>
  <c r="AB215" i="25"/>
  <c r="AA215" i="25"/>
  <c r="Z215" i="25"/>
  <c r="Y215" i="25"/>
  <c r="X215" i="25"/>
  <c r="W215" i="25"/>
  <c r="V215" i="25"/>
  <c r="U215" i="25"/>
  <c r="T215" i="25"/>
  <c r="S215" i="25"/>
  <c r="R215" i="25"/>
  <c r="Q215" i="25"/>
  <c r="P215" i="25"/>
  <c r="O215" i="25"/>
  <c r="N215" i="25"/>
  <c r="M215" i="25"/>
  <c r="L215" i="25"/>
  <c r="K215" i="25"/>
  <c r="J215" i="25"/>
  <c r="I215" i="25"/>
  <c r="H215" i="25"/>
  <c r="G215" i="25"/>
  <c r="F215" i="25"/>
  <c r="E215" i="25"/>
  <c r="D215" i="25"/>
  <c r="C215" i="25"/>
  <c r="B215" i="25"/>
  <c r="A215" i="25"/>
  <c r="AP214" i="25"/>
  <c r="AO214" i="25"/>
  <c r="AN214" i="25"/>
  <c r="AM214" i="25"/>
  <c r="AL214" i="25"/>
  <c r="AK214" i="25"/>
  <c r="AJ214" i="25"/>
  <c r="AI214" i="25"/>
  <c r="AH214" i="25"/>
  <c r="AG214" i="25"/>
  <c r="AF214" i="25"/>
  <c r="AE214" i="25"/>
  <c r="AD214" i="25"/>
  <c r="AC214" i="25"/>
  <c r="AB214" i="25"/>
  <c r="AA214" i="25"/>
  <c r="Z214" i="25"/>
  <c r="Y214" i="25"/>
  <c r="X214" i="25"/>
  <c r="W214" i="25"/>
  <c r="V214" i="25"/>
  <c r="U214" i="25"/>
  <c r="T214" i="25"/>
  <c r="S214" i="25"/>
  <c r="R214" i="25"/>
  <c r="Q214" i="25"/>
  <c r="P214" i="25"/>
  <c r="O214" i="25"/>
  <c r="N214" i="25"/>
  <c r="M214" i="25"/>
  <c r="L214" i="25"/>
  <c r="K214" i="25"/>
  <c r="J214" i="25"/>
  <c r="I214" i="25"/>
  <c r="H214" i="25"/>
  <c r="G214" i="25"/>
  <c r="F214" i="25"/>
  <c r="E214" i="25"/>
  <c r="D214" i="25"/>
  <c r="C214" i="25"/>
  <c r="B214" i="25"/>
  <c r="A214" i="25"/>
  <c r="AP213" i="25"/>
  <c r="AO213" i="25"/>
  <c r="AN213" i="25"/>
  <c r="AM213" i="25"/>
  <c r="AL213" i="25"/>
  <c r="AK213" i="25"/>
  <c r="AJ213" i="25"/>
  <c r="AI213" i="25"/>
  <c r="AH213" i="25"/>
  <c r="AG213" i="25"/>
  <c r="AF213" i="25"/>
  <c r="AE213" i="25"/>
  <c r="AD213" i="25"/>
  <c r="AC213" i="25"/>
  <c r="AB213" i="25"/>
  <c r="AA213" i="25"/>
  <c r="Z213" i="25"/>
  <c r="Y213" i="25"/>
  <c r="X213" i="25"/>
  <c r="W213" i="25"/>
  <c r="V213" i="25"/>
  <c r="U213" i="25"/>
  <c r="T213" i="25"/>
  <c r="S213" i="25"/>
  <c r="R213" i="25"/>
  <c r="Q213" i="25"/>
  <c r="P213" i="25"/>
  <c r="O213" i="25"/>
  <c r="N213" i="25"/>
  <c r="M213" i="25"/>
  <c r="L213" i="25"/>
  <c r="K213" i="25"/>
  <c r="J213" i="25"/>
  <c r="I213" i="25"/>
  <c r="H213" i="25"/>
  <c r="G213" i="25"/>
  <c r="F213" i="25"/>
  <c r="E213" i="25"/>
  <c r="D213" i="25"/>
  <c r="C213" i="25"/>
  <c r="B213" i="25"/>
  <c r="A213" i="25"/>
  <c r="AP212" i="25"/>
  <c r="AO212" i="25"/>
  <c r="AN212" i="25"/>
  <c r="AM212" i="25"/>
  <c r="AL212" i="25"/>
  <c r="AK212" i="25"/>
  <c r="AJ212" i="25"/>
  <c r="AI212" i="25"/>
  <c r="AH212" i="25"/>
  <c r="AG212" i="25"/>
  <c r="AF212" i="25"/>
  <c r="AE212" i="25"/>
  <c r="AD212" i="25"/>
  <c r="AC212" i="25"/>
  <c r="AB212" i="25"/>
  <c r="AA212" i="25"/>
  <c r="Z212" i="25"/>
  <c r="Y212" i="25"/>
  <c r="X212" i="25"/>
  <c r="W212" i="25"/>
  <c r="V212" i="25"/>
  <c r="U212" i="25"/>
  <c r="T212" i="25"/>
  <c r="S212" i="25"/>
  <c r="R212" i="25"/>
  <c r="Q212" i="25"/>
  <c r="P212" i="25"/>
  <c r="O212" i="25"/>
  <c r="N212" i="25"/>
  <c r="M212" i="25"/>
  <c r="L212" i="25"/>
  <c r="K212" i="25"/>
  <c r="J212" i="25"/>
  <c r="I212" i="25"/>
  <c r="H212" i="25"/>
  <c r="G212" i="25"/>
  <c r="F212" i="25"/>
  <c r="E212" i="25"/>
  <c r="D212" i="25"/>
  <c r="C212" i="25"/>
  <c r="B212" i="25"/>
  <c r="A212" i="25"/>
  <c r="AP211" i="25"/>
  <c r="AO211" i="25"/>
  <c r="AN211" i="25"/>
  <c r="AM211" i="25"/>
  <c r="AL211" i="25"/>
  <c r="AK211" i="25"/>
  <c r="AJ211" i="25"/>
  <c r="AI211" i="25"/>
  <c r="AH211" i="25"/>
  <c r="AG211" i="25"/>
  <c r="AF211" i="25"/>
  <c r="AE211" i="25"/>
  <c r="AD211" i="25"/>
  <c r="AC211" i="25"/>
  <c r="AB211" i="25"/>
  <c r="AA211" i="25"/>
  <c r="Z211" i="25"/>
  <c r="Y211" i="25"/>
  <c r="X211" i="25"/>
  <c r="W211" i="25"/>
  <c r="V211" i="25"/>
  <c r="U211" i="25"/>
  <c r="T211" i="25"/>
  <c r="S211" i="25"/>
  <c r="R211" i="25"/>
  <c r="Q211" i="25"/>
  <c r="P211" i="25"/>
  <c r="O211" i="25"/>
  <c r="N211" i="25"/>
  <c r="M211" i="25"/>
  <c r="L211" i="25"/>
  <c r="K211" i="25"/>
  <c r="J211" i="25"/>
  <c r="I211" i="25"/>
  <c r="H211" i="25"/>
  <c r="G211" i="25"/>
  <c r="F211" i="25"/>
  <c r="E211" i="25"/>
  <c r="D211" i="25"/>
  <c r="C211" i="25"/>
  <c r="B211" i="25"/>
  <c r="A211" i="25"/>
  <c r="AP210" i="25"/>
  <c r="AO210" i="25"/>
  <c r="AN210" i="25"/>
  <c r="AM210" i="25"/>
  <c r="AL210" i="25"/>
  <c r="AK210" i="25"/>
  <c r="AJ210" i="25"/>
  <c r="AI210" i="25"/>
  <c r="AH210" i="25"/>
  <c r="AG210" i="25"/>
  <c r="AF210" i="25"/>
  <c r="AE210" i="25"/>
  <c r="AD210" i="25"/>
  <c r="AC210" i="25"/>
  <c r="AB210" i="25"/>
  <c r="AA210" i="25"/>
  <c r="Z210" i="25"/>
  <c r="Y210" i="25"/>
  <c r="X210" i="25"/>
  <c r="W210" i="25"/>
  <c r="V210" i="25"/>
  <c r="U210" i="25"/>
  <c r="T210" i="25"/>
  <c r="S210" i="25"/>
  <c r="R210" i="25"/>
  <c r="Q210" i="25"/>
  <c r="P210" i="25"/>
  <c r="O210" i="25"/>
  <c r="N210" i="25"/>
  <c r="M210" i="25"/>
  <c r="L210" i="25"/>
  <c r="K210" i="25"/>
  <c r="J210" i="25"/>
  <c r="I210" i="25"/>
  <c r="H210" i="25"/>
  <c r="G210" i="25"/>
  <c r="F210" i="25"/>
  <c r="E210" i="25"/>
  <c r="D210" i="25"/>
  <c r="C210" i="25"/>
  <c r="B210" i="25"/>
  <c r="A210" i="25"/>
  <c r="AP209" i="25"/>
  <c r="AO209" i="25"/>
  <c r="AN209" i="25"/>
  <c r="AM209" i="25"/>
  <c r="AL209" i="25"/>
  <c r="AK209" i="25"/>
  <c r="AJ209" i="25"/>
  <c r="AI209" i="25"/>
  <c r="AH209" i="25"/>
  <c r="AG209" i="25"/>
  <c r="AF209" i="25"/>
  <c r="AE209" i="25"/>
  <c r="AD209" i="25"/>
  <c r="AC209" i="25"/>
  <c r="AB209" i="25"/>
  <c r="AA209" i="25"/>
  <c r="Z209" i="25"/>
  <c r="Y209" i="25"/>
  <c r="X209" i="25"/>
  <c r="W209" i="25"/>
  <c r="V209" i="25"/>
  <c r="U209" i="25"/>
  <c r="T209" i="25"/>
  <c r="S209" i="25"/>
  <c r="R209" i="25"/>
  <c r="Q209" i="25"/>
  <c r="P209" i="25"/>
  <c r="O209" i="25"/>
  <c r="N209" i="25"/>
  <c r="M209" i="25"/>
  <c r="L209" i="25"/>
  <c r="K209" i="25"/>
  <c r="J209" i="25"/>
  <c r="I209" i="25"/>
  <c r="H209" i="25"/>
  <c r="G209" i="25"/>
  <c r="F209" i="25"/>
  <c r="E209" i="25"/>
  <c r="D209" i="25"/>
  <c r="C209" i="25"/>
  <c r="B209" i="25"/>
  <c r="A209" i="25"/>
  <c r="AP208" i="25"/>
  <c r="AO208" i="25"/>
  <c r="AN208" i="25"/>
  <c r="AM208" i="25"/>
  <c r="AL208" i="25"/>
  <c r="AK208" i="25"/>
  <c r="AJ208" i="25"/>
  <c r="AI208" i="25"/>
  <c r="AH208" i="25"/>
  <c r="AG208" i="25"/>
  <c r="AF208" i="25"/>
  <c r="AE208" i="25"/>
  <c r="AD208" i="25"/>
  <c r="AC208" i="25"/>
  <c r="AB208" i="25"/>
  <c r="AA208" i="25"/>
  <c r="Z208" i="25"/>
  <c r="Y208" i="25"/>
  <c r="X208" i="25"/>
  <c r="W208" i="25"/>
  <c r="V208" i="25"/>
  <c r="U208" i="25"/>
  <c r="T208" i="25"/>
  <c r="S208" i="25"/>
  <c r="R208" i="25"/>
  <c r="Q208" i="25"/>
  <c r="P208" i="25"/>
  <c r="O208" i="25"/>
  <c r="N208" i="25"/>
  <c r="M208" i="25"/>
  <c r="L208" i="25"/>
  <c r="K208" i="25"/>
  <c r="J208" i="25"/>
  <c r="I208" i="25"/>
  <c r="H208" i="25"/>
  <c r="G208" i="25"/>
  <c r="F208" i="25"/>
  <c r="E208" i="25"/>
  <c r="D208" i="25"/>
  <c r="C208" i="25"/>
  <c r="B208" i="25"/>
  <c r="A208" i="25"/>
  <c r="AP207" i="25"/>
  <c r="AO207" i="25"/>
  <c r="AN207" i="25"/>
  <c r="AM207" i="25"/>
  <c r="AL207" i="25"/>
  <c r="AK207" i="25"/>
  <c r="AJ207" i="25"/>
  <c r="AI207" i="25"/>
  <c r="AH207" i="25"/>
  <c r="AG207" i="25"/>
  <c r="AF207" i="25"/>
  <c r="AE207" i="25"/>
  <c r="AD207" i="25"/>
  <c r="AC207" i="25"/>
  <c r="AB207" i="25"/>
  <c r="AA207" i="25"/>
  <c r="Z207" i="25"/>
  <c r="Y207" i="25"/>
  <c r="X207" i="25"/>
  <c r="W207" i="25"/>
  <c r="V207" i="25"/>
  <c r="U207" i="25"/>
  <c r="T207" i="25"/>
  <c r="S207" i="25"/>
  <c r="R207" i="25"/>
  <c r="Q207" i="25"/>
  <c r="P207" i="25"/>
  <c r="O207" i="25"/>
  <c r="N207" i="25"/>
  <c r="M207" i="25"/>
  <c r="L207" i="25"/>
  <c r="K207" i="25"/>
  <c r="J207" i="25"/>
  <c r="I207" i="25"/>
  <c r="H207" i="25"/>
  <c r="G207" i="25"/>
  <c r="F207" i="25"/>
  <c r="E207" i="25"/>
  <c r="D207" i="25"/>
  <c r="C207" i="25"/>
  <c r="B207" i="25"/>
  <c r="A207" i="25"/>
  <c r="AP206" i="25"/>
  <c r="AO206" i="25"/>
  <c r="AN206" i="25"/>
  <c r="AM206" i="25"/>
  <c r="AL206" i="25"/>
  <c r="AK206" i="25"/>
  <c r="AJ206" i="25"/>
  <c r="AI206" i="25"/>
  <c r="AH206" i="25"/>
  <c r="AG206" i="25"/>
  <c r="AF206" i="25"/>
  <c r="AE206" i="25"/>
  <c r="AD206" i="25"/>
  <c r="AC206" i="25"/>
  <c r="AB206" i="25"/>
  <c r="AA206" i="25"/>
  <c r="Z206" i="25"/>
  <c r="Y206" i="25"/>
  <c r="X206" i="25"/>
  <c r="W206" i="25"/>
  <c r="V206" i="25"/>
  <c r="U206" i="25"/>
  <c r="T206" i="25"/>
  <c r="S206" i="25"/>
  <c r="R206" i="25"/>
  <c r="Q206" i="25"/>
  <c r="P206" i="25"/>
  <c r="O206" i="25"/>
  <c r="N206" i="25"/>
  <c r="M206" i="25"/>
  <c r="L206" i="25"/>
  <c r="K206" i="25"/>
  <c r="J206" i="25"/>
  <c r="I206" i="25"/>
  <c r="H206" i="25"/>
  <c r="G206" i="25"/>
  <c r="F206" i="25"/>
  <c r="E206" i="25"/>
  <c r="D206" i="25"/>
  <c r="C206" i="25"/>
  <c r="B206" i="25"/>
  <c r="A206" i="25"/>
  <c r="AP205" i="25"/>
  <c r="AO205" i="25"/>
  <c r="AN205" i="25"/>
  <c r="AM205" i="25"/>
  <c r="AL205" i="25"/>
  <c r="AK205" i="25"/>
  <c r="AJ205" i="25"/>
  <c r="AI205" i="25"/>
  <c r="AH205" i="25"/>
  <c r="AG205" i="25"/>
  <c r="AF205" i="25"/>
  <c r="AE205" i="25"/>
  <c r="AD205" i="25"/>
  <c r="AC205" i="25"/>
  <c r="AB205" i="25"/>
  <c r="AA205" i="25"/>
  <c r="Z205" i="25"/>
  <c r="Y205" i="25"/>
  <c r="X205" i="25"/>
  <c r="W205" i="25"/>
  <c r="V205" i="25"/>
  <c r="U205" i="25"/>
  <c r="T205" i="25"/>
  <c r="S205" i="25"/>
  <c r="R205" i="25"/>
  <c r="Q205" i="25"/>
  <c r="P205" i="25"/>
  <c r="O205" i="25"/>
  <c r="N205" i="25"/>
  <c r="M205" i="25"/>
  <c r="L205" i="25"/>
  <c r="K205" i="25"/>
  <c r="J205" i="25"/>
  <c r="I205" i="25"/>
  <c r="H205" i="25"/>
  <c r="G205" i="25"/>
  <c r="F205" i="25"/>
  <c r="E205" i="25"/>
  <c r="D205" i="25"/>
  <c r="C205" i="25"/>
  <c r="B205" i="25"/>
  <c r="A205" i="25"/>
  <c r="AP204" i="25"/>
  <c r="AO204" i="25"/>
  <c r="AN204" i="25"/>
  <c r="AM204" i="25"/>
  <c r="AL204" i="25"/>
  <c r="AK204" i="25"/>
  <c r="AJ204" i="25"/>
  <c r="AI204" i="25"/>
  <c r="AH204" i="25"/>
  <c r="AG204" i="25"/>
  <c r="AF204" i="25"/>
  <c r="AE204" i="25"/>
  <c r="AD204" i="25"/>
  <c r="AC204" i="25"/>
  <c r="AB204" i="25"/>
  <c r="AA204" i="25"/>
  <c r="Z204" i="25"/>
  <c r="Y204" i="25"/>
  <c r="X204" i="25"/>
  <c r="W204" i="25"/>
  <c r="V204" i="25"/>
  <c r="U204" i="25"/>
  <c r="T204" i="25"/>
  <c r="S204" i="25"/>
  <c r="R204" i="25"/>
  <c r="Q204" i="25"/>
  <c r="P204" i="25"/>
  <c r="O204" i="25"/>
  <c r="N204" i="25"/>
  <c r="M204" i="25"/>
  <c r="L204" i="25"/>
  <c r="K204" i="25"/>
  <c r="J204" i="25"/>
  <c r="I204" i="25"/>
  <c r="H204" i="25"/>
  <c r="G204" i="25"/>
  <c r="F204" i="25"/>
  <c r="E204" i="25"/>
  <c r="D204" i="25"/>
  <c r="C204" i="25"/>
  <c r="B204" i="25"/>
  <c r="A204" i="25"/>
  <c r="AP203" i="25"/>
  <c r="AO203" i="25"/>
  <c r="AN203" i="25"/>
  <c r="AM203" i="25"/>
  <c r="AL203" i="25"/>
  <c r="AK203" i="25"/>
  <c r="AJ203" i="25"/>
  <c r="AI203" i="25"/>
  <c r="AH203" i="25"/>
  <c r="AG203" i="25"/>
  <c r="AF203" i="25"/>
  <c r="AE203" i="25"/>
  <c r="AD203" i="25"/>
  <c r="AC203" i="25"/>
  <c r="AB203" i="25"/>
  <c r="AA203" i="25"/>
  <c r="Z203" i="25"/>
  <c r="Y203" i="25"/>
  <c r="X203" i="25"/>
  <c r="W203" i="25"/>
  <c r="V203" i="25"/>
  <c r="U203" i="25"/>
  <c r="T203" i="25"/>
  <c r="S203" i="25"/>
  <c r="R203" i="25"/>
  <c r="Q203" i="25"/>
  <c r="P203" i="25"/>
  <c r="O203" i="25"/>
  <c r="N203" i="25"/>
  <c r="M203" i="25"/>
  <c r="L203" i="25"/>
  <c r="K203" i="25"/>
  <c r="J203" i="25"/>
  <c r="I203" i="25"/>
  <c r="H203" i="25"/>
  <c r="G203" i="25"/>
  <c r="F203" i="25"/>
  <c r="E203" i="25"/>
  <c r="D203" i="25"/>
  <c r="C203" i="25"/>
  <c r="B203" i="25"/>
  <c r="A203" i="25"/>
  <c r="AP202" i="25"/>
  <c r="AO202" i="25"/>
  <c r="AN202" i="25"/>
  <c r="AM202" i="25"/>
  <c r="AL202" i="25"/>
  <c r="AK202" i="25"/>
  <c r="AJ202" i="25"/>
  <c r="AI202" i="25"/>
  <c r="AH202" i="25"/>
  <c r="AG202" i="25"/>
  <c r="AF202" i="25"/>
  <c r="AE202" i="25"/>
  <c r="AD202" i="25"/>
  <c r="AC202" i="25"/>
  <c r="AB202" i="25"/>
  <c r="AA202" i="25"/>
  <c r="Z202" i="25"/>
  <c r="Y202" i="25"/>
  <c r="X202" i="25"/>
  <c r="W202" i="25"/>
  <c r="V202" i="25"/>
  <c r="U202" i="25"/>
  <c r="T202" i="25"/>
  <c r="S202" i="25"/>
  <c r="R202" i="25"/>
  <c r="Q202" i="25"/>
  <c r="P202" i="25"/>
  <c r="O202" i="25"/>
  <c r="N202" i="25"/>
  <c r="M202" i="25"/>
  <c r="L202" i="25"/>
  <c r="K202" i="25"/>
  <c r="J202" i="25"/>
  <c r="I202" i="25"/>
  <c r="H202" i="25"/>
  <c r="G202" i="25"/>
  <c r="F202" i="25"/>
  <c r="E202" i="25"/>
  <c r="D202" i="25"/>
  <c r="C202" i="25"/>
  <c r="B202" i="25"/>
  <c r="A202" i="25"/>
  <c r="AP201" i="25"/>
  <c r="AO201" i="25"/>
  <c r="AN201" i="25"/>
  <c r="AM201" i="25"/>
  <c r="AL201" i="25"/>
  <c r="AK201" i="25"/>
  <c r="AJ201" i="25"/>
  <c r="AI201" i="25"/>
  <c r="AH201" i="25"/>
  <c r="AG201" i="25"/>
  <c r="AF201" i="25"/>
  <c r="AE201" i="25"/>
  <c r="AD201" i="25"/>
  <c r="AC201" i="25"/>
  <c r="AB201" i="25"/>
  <c r="AA201" i="25"/>
  <c r="Z201" i="25"/>
  <c r="Y201" i="25"/>
  <c r="X201" i="25"/>
  <c r="W201" i="25"/>
  <c r="V201" i="25"/>
  <c r="U201" i="25"/>
  <c r="T201" i="25"/>
  <c r="S201" i="25"/>
  <c r="R201" i="25"/>
  <c r="Q201" i="25"/>
  <c r="P201" i="25"/>
  <c r="O201" i="25"/>
  <c r="N201" i="25"/>
  <c r="M201" i="25"/>
  <c r="L201" i="25"/>
  <c r="K201" i="25"/>
  <c r="J201" i="25"/>
  <c r="I201" i="25"/>
  <c r="H201" i="25"/>
  <c r="G201" i="25"/>
  <c r="F201" i="25"/>
  <c r="E201" i="25"/>
  <c r="D201" i="25"/>
  <c r="C201" i="25"/>
  <c r="B201" i="25"/>
  <c r="A201" i="25"/>
  <c r="AP200" i="25"/>
  <c r="AO200" i="25"/>
  <c r="AN200" i="25"/>
  <c r="AM200" i="25"/>
  <c r="AL200" i="25"/>
  <c r="AK200" i="25"/>
  <c r="AJ200" i="25"/>
  <c r="AI200" i="25"/>
  <c r="AH200" i="25"/>
  <c r="AG200" i="25"/>
  <c r="AF200" i="25"/>
  <c r="AE200" i="25"/>
  <c r="AD200" i="25"/>
  <c r="AC200" i="25"/>
  <c r="AB200" i="25"/>
  <c r="AA200" i="25"/>
  <c r="Z200" i="25"/>
  <c r="Y200" i="25"/>
  <c r="X200" i="25"/>
  <c r="W200" i="25"/>
  <c r="V200" i="25"/>
  <c r="U200" i="25"/>
  <c r="T200" i="25"/>
  <c r="S200" i="25"/>
  <c r="R200" i="25"/>
  <c r="Q200" i="25"/>
  <c r="P200" i="25"/>
  <c r="O200" i="25"/>
  <c r="N200" i="25"/>
  <c r="M200" i="25"/>
  <c r="L200" i="25"/>
  <c r="K200" i="25"/>
  <c r="J200" i="25"/>
  <c r="I200" i="25"/>
  <c r="H200" i="25"/>
  <c r="G200" i="25"/>
  <c r="F200" i="25"/>
  <c r="E200" i="25"/>
  <c r="D200" i="25"/>
  <c r="C200" i="25"/>
  <c r="B200" i="25"/>
  <c r="A200" i="25"/>
  <c r="AP199" i="25"/>
  <c r="AO199" i="25"/>
  <c r="AN199" i="25"/>
  <c r="AM199" i="25"/>
  <c r="AL199" i="25"/>
  <c r="AK199" i="25"/>
  <c r="AJ199" i="25"/>
  <c r="AI199" i="25"/>
  <c r="AH199" i="25"/>
  <c r="AG199" i="25"/>
  <c r="AF199" i="25"/>
  <c r="AE199" i="25"/>
  <c r="AD199" i="25"/>
  <c r="AC199" i="25"/>
  <c r="AB199" i="25"/>
  <c r="AA199" i="25"/>
  <c r="Z199" i="25"/>
  <c r="Y199" i="25"/>
  <c r="X199" i="25"/>
  <c r="W199" i="25"/>
  <c r="V199" i="25"/>
  <c r="U199" i="25"/>
  <c r="T199" i="25"/>
  <c r="S199" i="25"/>
  <c r="R199" i="25"/>
  <c r="Q199" i="25"/>
  <c r="P199" i="25"/>
  <c r="O199" i="25"/>
  <c r="N199" i="25"/>
  <c r="M199" i="25"/>
  <c r="L199" i="25"/>
  <c r="K199" i="25"/>
  <c r="J199" i="25"/>
  <c r="I199" i="25"/>
  <c r="H199" i="25"/>
  <c r="G199" i="25"/>
  <c r="F199" i="25"/>
  <c r="E199" i="25"/>
  <c r="D199" i="25"/>
  <c r="C199" i="25"/>
  <c r="B199" i="25"/>
  <c r="A199" i="25"/>
  <c r="AP198" i="25"/>
  <c r="AO198" i="25"/>
  <c r="AN198" i="25"/>
  <c r="AM198" i="25"/>
  <c r="AL198" i="25"/>
  <c r="AK198" i="25"/>
  <c r="AJ198" i="25"/>
  <c r="AI198" i="25"/>
  <c r="AH198" i="25"/>
  <c r="AG198" i="25"/>
  <c r="AF198" i="25"/>
  <c r="AE198" i="25"/>
  <c r="AD198" i="25"/>
  <c r="AC198" i="25"/>
  <c r="AB198" i="25"/>
  <c r="AA198" i="25"/>
  <c r="Z198" i="25"/>
  <c r="Y198" i="25"/>
  <c r="X198" i="25"/>
  <c r="W198" i="25"/>
  <c r="V198" i="25"/>
  <c r="U198" i="25"/>
  <c r="T198" i="25"/>
  <c r="S198" i="25"/>
  <c r="R198" i="25"/>
  <c r="Q198" i="25"/>
  <c r="P198" i="25"/>
  <c r="O198" i="25"/>
  <c r="N198" i="25"/>
  <c r="M198" i="25"/>
  <c r="L198" i="25"/>
  <c r="K198" i="25"/>
  <c r="J198" i="25"/>
  <c r="I198" i="25"/>
  <c r="H198" i="25"/>
  <c r="G198" i="25"/>
  <c r="F198" i="25"/>
  <c r="E198" i="25"/>
  <c r="D198" i="25"/>
  <c r="C198" i="25"/>
  <c r="B198" i="25"/>
  <c r="A198" i="25"/>
  <c r="AP197" i="25"/>
  <c r="AO197" i="25"/>
  <c r="AN197" i="25"/>
  <c r="AM197" i="25"/>
  <c r="AL197" i="25"/>
  <c r="AK197" i="25"/>
  <c r="AJ197" i="25"/>
  <c r="AI197" i="25"/>
  <c r="AH197" i="25"/>
  <c r="AG197" i="25"/>
  <c r="AF197" i="25"/>
  <c r="AE197" i="25"/>
  <c r="AD197" i="25"/>
  <c r="AC197" i="25"/>
  <c r="AB197" i="25"/>
  <c r="AA197" i="25"/>
  <c r="Z197" i="25"/>
  <c r="Y197" i="25"/>
  <c r="X197" i="25"/>
  <c r="W197" i="25"/>
  <c r="V197" i="25"/>
  <c r="U197" i="25"/>
  <c r="T197" i="25"/>
  <c r="S197" i="25"/>
  <c r="R197" i="25"/>
  <c r="Q197" i="25"/>
  <c r="P197" i="25"/>
  <c r="O197" i="25"/>
  <c r="N197" i="25"/>
  <c r="M197" i="25"/>
  <c r="L197" i="25"/>
  <c r="K197" i="25"/>
  <c r="J197" i="25"/>
  <c r="I197" i="25"/>
  <c r="H197" i="25"/>
  <c r="G197" i="25"/>
  <c r="F197" i="25"/>
  <c r="E197" i="25"/>
  <c r="D197" i="25"/>
  <c r="C197" i="25"/>
  <c r="B197" i="25"/>
  <c r="A197" i="25"/>
  <c r="AP196" i="25"/>
  <c r="AO196" i="25"/>
  <c r="AN196" i="25"/>
  <c r="AM196" i="25"/>
  <c r="AL196" i="25"/>
  <c r="AK196" i="25"/>
  <c r="AJ196" i="25"/>
  <c r="AI196" i="25"/>
  <c r="AH196" i="25"/>
  <c r="AG196" i="25"/>
  <c r="AF196" i="25"/>
  <c r="AE196" i="25"/>
  <c r="AD196" i="25"/>
  <c r="AC196" i="25"/>
  <c r="AB196" i="25"/>
  <c r="AA196" i="25"/>
  <c r="Z196" i="25"/>
  <c r="Y196" i="25"/>
  <c r="X196" i="25"/>
  <c r="W196" i="25"/>
  <c r="V196" i="25"/>
  <c r="U196" i="25"/>
  <c r="T196" i="25"/>
  <c r="S196" i="25"/>
  <c r="R196" i="25"/>
  <c r="Q196" i="25"/>
  <c r="P196" i="25"/>
  <c r="O196" i="25"/>
  <c r="N196" i="25"/>
  <c r="M196" i="25"/>
  <c r="L196" i="25"/>
  <c r="K196" i="25"/>
  <c r="J196" i="25"/>
  <c r="I196" i="25"/>
  <c r="H196" i="25"/>
  <c r="G196" i="25"/>
  <c r="F196" i="25"/>
  <c r="E196" i="25"/>
  <c r="D196" i="25"/>
  <c r="C196" i="25"/>
  <c r="B196" i="25"/>
  <c r="A196" i="25"/>
  <c r="AP195" i="25"/>
  <c r="AO195" i="25"/>
  <c r="AN195" i="25"/>
  <c r="AM195" i="25"/>
  <c r="AL195" i="25"/>
  <c r="AK195" i="25"/>
  <c r="AJ195" i="25"/>
  <c r="AI195" i="25"/>
  <c r="AH195" i="25"/>
  <c r="AG195" i="25"/>
  <c r="AF195" i="25"/>
  <c r="AE195" i="25"/>
  <c r="AD195" i="25"/>
  <c r="AC195" i="25"/>
  <c r="AB195" i="25"/>
  <c r="AA195" i="25"/>
  <c r="Z195" i="25"/>
  <c r="Y195" i="25"/>
  <c r="X195" i="25"/>
  <c r="W195" i="25"/>
  <c r="V195" i="25"/>
  <c r="U195" i="25"/>
  <c r="T195" i="25"/>
  <c r="S195" i="25"/>
  <c r="R195" i="25"/>
  <c r="Q195" i="25"/>
  <c r="P195" i="25"/>
  <c r="O195" i="25"/>
  <c r="N195" i="25"/>
  <c r="M195" i="25"/>
  <c r="L195" i="25"/>
  <c r="K195" i="25"/>
  <c r="J195" i="25"/>
  <c r="I195" i="25"/>
  <c r="H195" i="25"/>
  <c r="G195" i="25"/>
  <c r="F195" i="25"/>
  <c r="E195" i="25"/>
  <c r="D195" i="25"/>
  <c r="C195" i="25"/>
  <c r="B195" i="25"/>
  <c r="A195" i="25"/>
  <c r="AP194" i="25"/>
  <c r="AO194" i="25"/>
  <c r="AN194" i="25"/>
  <c r="AM194" i="25"/>
  <c r="AL194" i="25"/>
  <c r="AK194" i="25"/>
  <c r="AJ194" i="25"/>
  <c r="AI194" i="25"/>
  <c r="AH194" i="25"/>
  <c r="AG194" i="25"/>
  <c r="AF194" i="25"/>
  <c r="AE194" i="25"/>
  <c r="AD194" i="25"/>
  <c r="AC194" i="25"/>
  <c r="AB194" i="25"/>
  <c r="AA194" i="25"/>
  <c r="Z194" i="25"/>
  <c r="Y194" i="25"/>
  <c r="X194" i="25"/>
  <c r="W194" i="25"/>
  <c r="V194" i="25"/>
  <c r="U194" i="25"/>
  <c r="T194" i="25"/>
  <c r="S194" i="25"/>
  <c r="R194" i="25"/>
  <c r="Q194" i="25"/>
  <c r="P194" i="25"/>
  <c r="O194" i="25"/>
  <c r="N194" i="25"/>
  <c r="M194" i="25"/>
  <c r="L194" i="25"/>
  <c r="K194" i="25"/>
  <c r="J194" i="25"/>
  <c r="I194" i="25"/>
  <c r="H194" i="25"/>
  <c r="G194" i="25"/>
  <c r="F194" i="25"/>
  <c r="E194" i="25"/>
  <c r="D194" i="25"/>
  <c r="C194" i="25"/>
  <c r="B194" i="25"/>
  <c r="A194" i="25"/>
  <c r="AP193" i="25"/>
  <c r="AO193" i="25"/>
  <c r="AN193" i="25"/>
  <c r="AM193" i="25"/>
  <c r="AL193" i="25"/>
  <c r="AK193" i="25"/>
  <c r="AJ193" i="25"/>
  <c r="AI193" i="25"/>
  <c r="AH193" i="25"/>
  <c r="AG193" i="25"/>
  <c r="AF193" i="25"/>
  <c r="AE193" i="25"/>
  <c r="AD193" i="25"/>
  <c r="AC193" i="25"/>
  <c r="AB193" i="25"/>
  <c r="AA193" i="25"/>
  <c r="Z193" i="25"/>
  <c r="Y193" i="25"/>
  <c r="X193" i="25"/>
  <c r="W193" i="25"/>
  <c r="V193" i="25"/>
  <c r="U193" i="25"/>
  <c r="T193" i="25"/>
  <c r="S193" i="25"/>
  <c r="R193" i="25"/>
  <c r="Q193" i="25"/>
  <c r="P193" i="25"/>
  <c r="O193" i="25"/>
  <c r="N193" i="25"/>
  <c r="M193" i="25"/>
  <c r="L193" i="25"/>
  <c r="K193" i="25"/>
  <c r="J193" i="25"/>
  <c r="I193" i="25"/>
  <c r="H193" i="25"/>
  <c r="G193" i="25"/>
  <c r="F193" i="25"/>
  <c r="E193" i="25"/>
  <c r="D193" i="25"/>
  <c r="C193" i="25"/>
  <c r="B193" i="25"/>
  <c r="A193" i="25"/>
  <c r="AP192" i="25"/>
  <c r="AO192" i="25"/>
  <c r="AN192" i="25"/>
  <c r="AM192" i="25"/>
  <c r="AL192" i="25"/>
  <c r="AK192" i="25"/>
  <c r="AJ192" i="25"/>
  <c r="AI192" i="25"/>
  <c r="AH192" i="25"/>
  <c r="AG192" i="25"/>
  <c r="AF192" i="25"/>
  <c r="AE192" i="25"/>
  <c r="AD192" i="25"/>
  <c r="AC192" i="25"/>
  <c r="AB192" i="25"/>
  <c r="AA192" i="25"/>
  <c r="Z192" i="25"/>
  <c r="Y192" i="25"/>
  <c r="X192" i="25"/>
  <c r="W192" i="25"/>
  <c r="V192" i="25"/>
  <c r="U192" i="25"/>
  <c r="T192" i="25"/>
  <c r="S192" i="25"/>
  <c r="R192" i="25"/>
  <c r="Q192" i="25"/>
  <c r="P192" i="25"/>
  <c r="O192" i="25"/>
  <c r="N192" i="25"/>
  <c r="M192" i="25"/>
  <c r="L192" i="25"/>
  <c r="K192" i="25"/>
  <c r="J192" i="25"/>
  <c r="I192" i="25"/>
  <c r="H192" i="25"/>
  <c r="G192" i="25"/>
  <c r="F192" i="25"/>
  <c r="E192" i="25"/>
  <c r="D192" i="25"/>
  <c r="C192" i="25"/>
  <c r="B192" i="25"/>
  <c r="A192" i="25"/>
  <c r="AP191" i="25"/>
  <c r="AO191" i="25"/>
  <c r="AN191" i="25"/>
  <c r="AM191" i="25"/>
  <c r="AL191" i="25"/>
  <c r="AK191" i="25"/>
  <c r="AJ191" i="25"/>
  <c r="AI191" i="25"/>
  <c r="AH191" i="25"/>
  <c r="AG191" i="25"/>
  <c r="AF191" i="25"/>
  <c r="AE191" i="25"/>
  <c r="AD191" i="25"/>
  <c r="AC191" i="25"/>
  <c r="AB191" i="25"/>
  <c r="AA191" i="25"/>
  <c r="Z191" i="25"/>
  <c r="Y191" i="25"/>
  <c r="X191" i="25"/>
  <c r="W191" i="25"/>
  <c r="V191" i="25"/>
  <c r="U191" i="25"/>
  <c r="T191" i="25"/>
  <c r="S191" i="25"/>
  <c r="R191" i="25"/>
  <c r="Q191" i="25"/>
  <c r="P191" i="25"/>
  <c r="O191" i="25"/>
  <c r="N191" i="25"/>
  <c r="M191" i="25"/>
  <c r="L191" i="25"/>
  <c r="K191" i="25"/>
  <c r="J191" i="25"/>
  <c r="I191" i="25"/>
  <c r="H191" i="25"/>
  <c r="G191" i="25"/>
  <c r="F191" i="25"/>
  <c r="E191" i="25"/>
  <c r="D191" i="25"/>
  <c r="C191" i="25"/>
  <c r="B191" i="25"/>
  <c r="A191" i="25"/>
  <c r="AP190" i="25"/>
  <c r="AO190" i="25"/>
  <c r="AN190" i="25"/>
  <c r="AM190" i="25"/>
  <c r="AL190" i="25"/>
  <c r="AK190" i="25"/>
  <c r="AJ190" i="25"/>
  <c r="AI190" i="25"/>
  <c r="AH190" i="25"/>
  <c r="AG190" i="25"/>
  <c r="AF190" i="25"/>
  <c r="AE190" i="25"/>
  <c r="AD190" i="25"/>
  <c r="AC190" i="25"/>
  <c r="AB190" i="25"/>
  <c r="AA190" i="25"/>
  <c r="Z190" i="25"/>
  <c r="Y190" i="25"/>
  <c r="X190" i="25"/>
  <c r="W190" i="25"/>
  <c r="V190" i="25"/>
  <c r="U190" i="25"/>
  <c r="T190" i="25"/>
  <c r="S190" i="25"/>
  <c r="R190" i="25"/>
  <c r="Q190" i="25"/>
  <c r="P190" i="25"/>
  <c r="O190" i="25"/>
  <c r="N190" i="25"/>
  <c r="M190" i="25"/>
  <c r="L190" i="25"/>
  <c r="K190" i="25"/>
  <c r="J190" i="25"/>
  <c r="I190" i="25"/>
  <c r="H190" i="25"/>
  <c r="G190" i="25"/>
  <c r="F190" i="25"/>
  <c r="E190" i="25"/>
  <c r="D190" i="25"/>
  <c r="C190" i="25"/>
  <c r="B190" i="25"/>
  <c r="A190" i="25"/>
  <c r="AP189" i="25"/>
  <c r="AO189" i="25"/>
  <c r="AN189" i="25"/>
  <c r="AM189" i="25"/>
  <c r="AL189" i="25"/>
  <c r="AK189" i="25"/>
  <c r="AJ189" i="25"/>
  <c r="AI189" i="25"/>
  <c r="AH189" i="25"/>
  <c r="AG189" i="25"/>
  <c r="AF189" i="25"/>
  <c r="AE189" i="25"/>
  <c r="AD189" i="25"/>
  <c r="AC189" i="25"/>
  <c r="AB189" i="25"/>
  <c r="AA189" i="25"/>
  <c r="Z189" i="25"/>
  <c r="Y189" i="25"/>
  <c r="X189" i="25"/>
  <c r="W189" i="25"/>
  <c r="V189" i="25"/>
  <c r="U189" i="25"/>
  <c r="T189" i="25"/>
  <c r="S189" i="25"/>
  <c r="R189" i="25"/>
  <c r="Q189" i="25"/>
  <c r="P189" i="25"/>
  <c r="O189" i="25"/>
  <c r="N189" i="25"/>
  <c r="M189" i="25"/>
  <c r="L189" i="25"/>
  <c r="K189" i="25"/>
  <c r="J189" i="25"/>
  <c r="I189" i="25"/>
  <c r="H189" i="25"/>
  <c r="G189" i="25"/>
  <c r="F189" i="25"/>
  <c r="E189" i="25"/>
  <c r="D189" i="25"/>
  <c r="C189" i="25"/>
  <c r="B189" i="25"/>
  <c r="A189" i="25"/>
  <c r="AP188" i="25"/>
  <c r="AO188" i="25"/>
  <c r="AN188" i="25"/>
  <c r="AM188" i="25"/>
  <c r="AL188" i="25"/>
  <c r="AK188" i="25"/>
  <c r="AJ188" i="25"/>
  <c r="AI188" i="25"/>
  <c r="AH188" i="25"/>
  <c r="AG188" i="25"/>
  <c r="AF188" i="25"/>
  <c r="AE188" i="25"/>
  <c r="AD188" i="25"/>
  <c r="AC188" i="25"/>
  <c r="AB188" i="25"/>
  <c r="AA188" i="25"/>
  <c r="Z188" i="25"/>
  <c r="Y188" i="25"/>
  <c r="X188" i="25"/>
  <c r="W188" i="25"/>
  <c r="V188" i="25"/>
  <c r="U188" i="25"/>
  <c r="T188" i="25"/>
  <c r="S188" i="25"/>
  <c r="R188" i="25"/>
  <c r="Q188" i="25"/>
  <c r="P188" i="25"/>
  <c r="O188" i="25"/>
  <c r="N188" i="25"/>
  <c r="M188" i="25"/>
  <c r="L188" i="25"/>
  <c r="K188" i="25"/>
  <c r="J188" i="25"/>
  <c r="I188" i="25"/>
  <c r="H188" i="25"/>
  <c r="G188" i="25"/>
  <c r="F188" i="25"/>
  <c r="E188" i="25"/>
  <c r="D188" i="25"/>
  <c r="C188" i="25"/>
  <c r="B188" i="25"/>
  <c r="A188" i="25"/>
  <c r="AP187" i="25"/>
  <c r="AO187" i="25"/>
  <c r="AN187" i="25"/>
  <c r="AM187" i="25"/>
  <c r="AL187" i="25"/>
  <c r="AK187" i="25"/>
  <c r="AJ187" i="25"/>
  <c r="AI187" i="25"/>
  <c r="AH187" i="25"/>
  <c r="AG187" i="25"/>
  <c r="AF187" i="25"/>
  <c r="AE187" i="25"/>
  <c r="AD187" i="25"/>
  <c r="AC187" i="25"/>
  <c r="AB187" i="25"/>
  <c r="AA187" i="25"/>
  <c r="Z187" i="25"/>
  <c r="Y187" i="25"/>
  <c r="X187" i="25"/>
  <c r="W187" i="25"/>
  <c r="V187" i="25"/>
  <c r="U187" i="25"/>
  <c r="T187" i="25"/>
  <c r="S187" i="25"/>
  <c r="R187" i="25"/>
  <c r="Q187" i="25"/>
  <c r="P187" i="25"/>
  <c r="O187" i="25"/>
  <c r="N187" i="25"/>
  <c r="M187" i="25"/>
  <c r="L187" i="25"/>
  <c r="K187" i="25"/>
  <c r="J187" i="25"/>
  <c r="I187" i="25"/>
  <c r="H187" i="25"/>
  <c r="G187" i="25"/>
  <c r="F187" i="25"/>
  <c r="E187" i="25"/>
  <c r="D187" i="25"/>
  <c r="C187" i="25"/>
  <c r="B187" i="25"/>
  <c r="O187" i="22" s="1"/>
  <c r="A187" i="25"/>
  <c r="AP186" i="25"/>
  <c r="AO186" i="25"/>
  <c r="AN186" i="25"/>
  <c r="AM186" i="25"/>
  <c r="AL186" i="25"/>
  <c r="AK186" i="25"/>
  <c r="AJ186" i="25"/>
  <c r="AI186" i="25"/>
  <c r="AH186" i="25"/>
  <c r="AG186" i="25"/>
  <c r="AF186" i="25"/>
  <c r="AE186" i="25"/>
  <c r="AD186" i="25"/>
  <c r="AC186" i="25"/>
  <c r="AB186" i="25"/>
  <c r="AA186" i="25"/>
  <c r="Z186" i="25"/>
  <c r="Y186" i="25"/>
  <c r="X186" i="25"/>
  <c r="W186" i="25"/>
  <c r="V186" i="25"/>
  <c r="U186" i="25"/>
  <c r="T186" i="25"/>
  <c r="S186" i="25"/>
  <c r="R186" i="25"/>
  <c r="Q186" i="25"/>
  <c r="P186" i="25"/>
  <c r="O186" i="25"/>
  <c r="N186" i="25"/>
  <c r="M186" i="25"/>
  <c r="L186" i="25"/>
  <c r="K186" i="25"/>
  <c r="J186" i="25"/>
  <c r="I186" i="25"/>
  <c r="H186" i="25"/>
  <c r="G186" i="25"/>
  <c r="F186" i="25"/>
  <c r="E186" i="25"/>
  <c r="D186" i="25"/>
  <c r="C186" i="25"/>
  <c r="B186" i="25"/>
  <c r="A186" i="25"/>
  <c r="AP185" i="25"/>
  <c r="AO185" i="25"/>
  <c r="AN185" i="25"/>
  <c r="AM185" i="25"/>
  <c r="AL185" i="25"/>
  <c r="AK185" i="25"/>
  <c r="AJ185" i="25"/>
  <c r="AI185" i="25"/>
  <c r="AH185" i="25"/>
  <c r="AG185" i="25"/>
  <c r="AF185" i="25"/>
  <c r="AE185" i="25"/>
  <c r="AD185" i="25"/>
  <c r="AC185" i="25"/>
  <c r="AB185" i="25"/>
  <c r="AA185" i="25"/>
  <c r="Z185" i="25"/>
  <c r="Y185" i="25"/>
  <c r="X185" i="25"/>
  <c r="W185" i="25"/>
  <c r="V185" i="25"/>
  <c r="U185" i="25"/>
  <c r="T185" i="25"/>
  <c r="S185" i="25"/>
  <c r="R185" i="25"/>
  <c r="Q185" i="25"/>
  <c r="P185" i="25"/>
  <c r="O185" i="25"/>
  <c r="N185" i="25"/>
  <c r="M185" i="25"/>
  <c r="L185" i="25"/>
  <c r="K185" i="25"/>
  <c r="J185" i="25"/>
  <c r="I185" i="25"/>
  <c r="H185" i="25"/>
  <c r="G185" i="25"/>
  <c r="F185" i="25"/>
  <c r="E185" i="25"/>
  <c r="D185" i="25"/>
  <c r="C185" i="25"/>
  <c r="B185" i="25"/>
  <c r="A185" i="25"/>
  <c r="AP184" i="25"/>
  <c r="AO184" i="25"/>
  <c r="AN184" i="25"/>
  <c r="AM184" i="25"/>
  <c r="AL184" i="25"/>
  <c r="AK184" i="25"/>
  <c r="AJ184" i="25"/>
  <c r="AI184" i="25"/>
  <c r="AH184" i="25"/>
  <c r="AG184" i="25"/>
  <c r="AF184" i="25"/>
  <c r="AE184" i="25"/>
  <c r="AD184" i="25"/>
  <c r="AC184" i="25"/>
  <c r="AB184" i="25"/>
  <c r="AA184" i="25"/>
  <c r="Z184" i="25"/>
  <c r="Y184" i="25"/>
  <c r="X184" i="25"/>
  <c r="W184" i="25"/>
  <c r="V184" i="25"/>
  <c r="U184" i="25"/>
  <c r="T184" i="25"/>
  <c r="S184" i="25"/>
  <c r="R184" i="25"/>
  <c r="Q184" i="25"/>
  <c r="P184" i="25"/>
  <c r="O184" i="25"/>
  <c r="N184" i="25"/>
  <c r="M184" i="25"/>
  <c r="L184" i="25"/>
  <c r="K184" i="25"/>
  <c r="J184" i="25"/>
  <c r="I184" i="25"/>
  <c r="H184" i="25"/>
  <c r="G184" i="25"/>
  <c r="F184" i="25"/>
  <c r="E184" i="25"/>
  <c r="D184" i="25"/>
  <c r="C184" i="25"/>
  <c r="B184" i="25"/>
  <c r="A184" i="25"/>
  <c r="AP183" i="25"/>
  <c r="AO183" i="25"/>
  <c r="AN183" i="25"/>
  <c r="AM183" i="25"/>
  <c r="AL183" i="25"/>
  <c r="AK183" i="25"/>
  <c r="AJ183" i="25"/>
  <c r="AI183" i="25"/>
  <c r="AH183" i="25"/>
  <c r="AG183" i="25"/>
  <c r="AF183" i="25"/>
  <c r="AE183" i="25"/>
  <c r="AD183" i="25"/>
  <c r="AC183" i="25"/>
  <c r="AB183" i="25"/>
  <c r="AA183" i="25"/>
  <c r="Z183" i="25"/>
  <c r="Y183" i="25"/>
  <c r="X183" i="25"/>
  <c r="W183" i="25"/>
  <c r="V183" i="25"/>
  <c r="U183" i="25"/>
  <c r="T183" i="25"/>
  <c r="S183" i="25"/>
  <c r="R183" i="25"/>
  <c r="Q183" i="25"/>
  <c r="P183" i="25"/>
  <c r="O183" i="25"/>
  <c r="N183" i="25"/>
  <c r="M183" i="25"/>
  <c r="L183" i="25"/>
  <c r="K183" i="25"/>
  <c r="J183" i="25"/>
  <c r="I183" i="25"/>
  <c r="H183" i="25"/>
  <c r="G183" i="25"/>
  <c r="F183" i="25"/>
  <c r="E183" i="25"/>
  <c r="D183" i="25"/>
  <c r="C183" i="25"/>
  <c r="B183" i="25"/>
  <c r="A183" i="25"/>
  <c r="AP182" i="25"/>
  <c r="AO182" i="25"/>
  <c r="AN182" i="25"/>
  <c r="AM182" i="25"/>
  <c r="AL182" i="25"/>
  <c r="AK182" i="25"/>
  <c r="AJ182" i="25"/>
  <c r="AI182" i="25"/>
  <c r="AH182" i="25"/>
  <c r="AG182" i="25"/>
  <c r="AF182" i="25"/>
  <c r="AE182" i="25"/>
  <c r="AD182" i="25"/>
  <c r="AC182" i="25"/>
  <c r="AB182" i="25"/>
  <c r="AA182" i="25"/>
  <c r="Z182" i="25"/>
  <c r="Y182" i="25"/>
  <c r="X182" i="25"/>
  <c r="W182" i="25"/>
  <c r="V182" i="25"/>
  <c r="U182" i="25"/>
  <c r="T182" i="25"/>
  <c r="S182" i="25"/>
  <c r="R182" i="25"/>
  <c r="Q182" i="25"/>
  <c r="P182" i="25"/>
  <c r="O182" i="25"/>
  <c r="N182" i="25"/>
  <c r="M182" i="25"/>
  <c r="L182" i="25"/>
  <c r="K182" i="25"/>
  <c r="J182" i="25"/>
  <c r="I182" i="25"/>
  <c r="H182" i="25"/>
  <c r="G182" i="25"/>
  <c r="F182" i="25"/>
  <c r="E182" i="25"/>
  <c r="D182" i="25"/>
  <c r="C182" i="25"/>
  <c r="B182" i="25"/>
  <c r="A182" i="25"/>
  <c r="AP181" i="25"/>
  <c r="AO181" i="25"/>
  <c r="AN181" i="25"/>
  <c r="AM181" i="25"/>
  <c r="AL181" i="25"/>
  <c r="AK181" i="25"/>
  <c r="AJ181" i="25"/>
  <c r="AI181" i="25"/>
  <c r="AH181" i="25"/>
  <c r="AG181" i="25"/>
  <c r="AF181" i="25"/>
  <c r="AE181" i="25"/>
  <c r="AD181" i="25"/>
  <c r="AC181" i="25"/>
  <c r="AB181" i="25"/>
  <c r="AA181" i="25"/>
  <c r="Z181" i="25"/>
  <c r="Y181" i="25"/>
  <c r="X181" i="25"/>
  <c r="W181" i="25"/>
  <c r="V181" i="25"/>
  <c r="U181" i="25"/>
  <c r="T181" i="25"/>
  <c r="S181" i="25"/>
  <c r="R181" i="25"/>
  <c r="Q181" i="25"/>
  <c r="P181" i="25"/>
  <c r="O181" i="25"/>
  <c r="N181" i="25"/>
  <c r="M181" i="25"/>
  <c r="L181" i="25"/>
  <c r="K181" i="25"/>
  <c r="J181" i="25"/>
  <c r="I181" i="25"/>
  <c r="H181" i="25"/>
  <c r="G181" i="25"/>
  <c r="F181" i="25"/>
  <c r="E181" i="25"/>
  <c r="D181" i="25"/>
  <c r="C181" i="25"/>
  <c r="B181" i="25"/>
  <c r="A181" i="25"/>
  <c r="AP180" i="25"/>
  <c r="AO180" i="25"/>
  <c r="AN180" i="25"/>
  <c r="AM180" i="25"/>
  <c r="AL180" i="25"/>
  <c r="AK180" i="25"/>
  <c r="AJ180" i="25"/>
  <c r="AI180" i="25"/>
  <c r="AH180" i="25"/>
  <c r="AG180" i="25"/>
  <c r="AF180" i="25"/>
  <c r="AE180" i="25"/>
  <c r="AD180" i="25"/>
  <c r="AC180" i="25"/>
  <c r="AB180" i="25"/>
  <c r="AA180" i="25"/>
  <c r="Z180" i="25"/>
  <c r="Y180" i="25"/>
  <c r="X180" i="25"/>
  <c r="W180" i="25"/>
  <c r="V180" i="25"/>
  <c r="U180" i="25"/>
  <c r="T180" i="25"/>
  <c r="S180" i="25"/>
  <c r="R180" i="25"/>
  <c r="Q180" i="25"/>
  <c r="P180" i="25"/>
  <c r="O180" i="25"/>
  <c r="N180" i="25"/>
  <c r="M180" i="25"/>
  <c r="L180" i="25"/>
  <c r="K180" i="25"/>
  <c r="J180" i="25"/>
  <c r="I180" i="25"/>
  <c r="H180" i="25"/>
  <c r="G180" i="25"/>
  <c r="F180" i="25"/>
  <c r="E180" i="25"/>
  <c r="D180" i="25"/>
  <c r="C180" i="25"/>
  <c r="B180" i="25"/>
  <c r="A180" i="25"/>
  <c r="AP179" i="25"/>
  <c r="AO179" i="25"/>
  <c r="AN179" i="25"/>
  <c r="AM179" i="25"/>
  <c r="AL179" i="25"/>
  <c r="AK179" i="25"/>
  <c r="AJ179" i="25"/>
  <c r="AI179" i="25"/>
  <c r="AH179" i="25"/>
  <c r="AG179" i="25"/>
  <c r="AF179" i="25"/>
  <c r="AE179" i="25"/>
  <c r="AD179" i="25"/>
  <c r="AC179" i="25"/>
  <c r="AB179" i="25"/>
  <c r="AA179" i="25"/>
  <c r="Z179" i="25"/>
  <c r="Y179" i="25"/>
  <c r="X179" i="25"/>
  <c r="W179" i="25"/>
  <c r="V179" i="25"/>
  <c r="U179" i="25"/>
  <c r="T179" i="25"/>
  <c r="S179" i="25"/>
  <c r="R179" i="25"/>
  <c r="Q179" i="25"/>
  <c r="P179" i="25"/>
  <c r="O179" i="25"/>
  <c r="N179" i="25"/>
  <c r="M179" i="25"/>
  <c r="L179" i="25"/>
  <c r="K179" i="25"/>
  <c r="J179" i="25"/>
  <c r="I179" i="25"/>
  <c r="H179" i="25"/>
  <c r="G179" i="25"/>
  <c r="F179" i="25"/>
  <c r="E179" i="25"/>
  <c r="D179" i="25"/>
  <c r="C179" i="25"/>
  <c r="B179" i="25"/>
  <c r="A179" i="25"/>
  <c r="AP178" i="25"/>
  <c r="AO178" i="25"/>
  <c r="AN178" i="25"/>
  <c r="AM178" i="25"/>
  <c r="AL178" i="25"/>
  <c r="AK178" i="25"/>
  <c r="AJ178" i="25"/>
  <c r="AI178" i="25"/>
  <c r="AH178" i="25"/>
  <c r="AG178" i="25"/>
  <c r="AF178" i="25"/>
  <c r="AE178" i="25"/>
  <c r="AD178" i="25"/>
  <c r="AC178" i="25"/>
  <c r="AB178" i="25"/>
  <c r="AA178" i="25"/>
  <c r="Z178" i="25"/>
  <c r="Y178" i="25"/>
  <c r="X178" i="25"/>
  <c r="W178" i="25"/>
  <c r="V178" i="25"/>
  <c r="U178" i="25"/>
  <c r="T178" i="25"/>
  <c r="S178" i="25"/>
  <c r="R178" i="25"/>
  <c r="Q178" i="25"/>
  <c r="P178" i="25"/>
  <c r="O178" i="25"/>
  <c r="N178" i="25"/>
  <c r="M178" i="25"/>
  <c r="L178" i="25"/>
  <c r="K178" i="25"/>
  <c r="J178" i="25"/>
  <c r="I178" i="25"/>
  <c r="H178" i="25"/>
  <c r="G178" i="25"/>
  <c r="F178" i="25"/>
  <c r="E178" i="25"/>
  <c r="D178" i="25"/>
  <c r="C178" i="25"/>
  <c r="B178" i="25"/>
  <c r="A178" i="25"/>
  <c r="AP177" i="25"/>
  <c r="AO177" i="25"/>
  <c r="AN177" i="25"/>
  <c r="AM177" i="25"/>
  <c r="AL177" i="25"/>
  <c r="AK177" i="25"/>
  <c r="AJ177" i="25"/>
  <c r="AI177" i="25"/>
  <c r="AH177" i="25"/>
  <c r="AG177" i="25"/>
  <c r="AF177" i="25"/>
  <c r="AE177" i="25"/>
  <c r="AD177" i="25"/>
  <c r="AC177" i="25"/>
  <c r="AB177" i="25"/>
  <c r="AA177" i="25"/>
  <c r="Z177" i="25"/>
  <c r="Y177" i="25"/>
  <c r="X177" i="25"/>
  <c r="W177" i="25"/>
  <c r="V177" i="25"/>
  <c r="U177" i="25"/>
  <c r="T177" i="25"/>
  <c r="S177" i="25"/>
  <c r="R177" i="25"/>
  <c r="Q177" i="25"/>
  <c r="P177" i="25"/>
  <c r="O177" i="25"/>
  <c r="N177" i="25"/>
  <c r="M177" i="25"/>
  <c r="L177" i="25"/>
  <c r="K177" i="25"/>
  <c r="J177" i="25"/>
  <c r="I177" i="25"/>
  <c r="H177" i="25"/>
  <c r="G177" i="25"/>
  <c r="F177" i="25"/>
  <c r="E177" i="25"/>
  <c r="D177" i="25"/>
  <c r="C177" i="25"/>
  <c r="B177" i="25"/>
  <c r="A177" i="25"/>
  <c r="AP176" i="25"/>
  <c r="AO176" i="25"/>
  <c r="AN176" i="25"/>
  <c r="AM176" i="25"/>
  <c r="AL176" i="25"/>
  <c r="AK176" i="25"/>
  <c r="AJ176" i="25"/>
  <c r="AI176" i="25"/>
  <c r="AH176" i="25"/>
  <c r="AG176" i="25"/>
  <c r="AF176" i="25"/>
  <c r="AE176" i="25"/>
  <c r="AD176" i="25"/>
  <c r="AC176" i="25"/>
  <c r="AB176" i="25"/>
  <c r="AA176" i="25"/>
  <c r="Z176" i="25"/>
  <c r="Y176" i="25"/>
  <c r="X176" i="25"/>
  <c r="W176" i="25"/>
  <c r="V176" i="25"/>
  <c r="U176" i="25"/>
  <c r="T176" i="25"/>
  <c r="S176" i="25"/>
  <c r="R176" i="25"/>
  <c r="Q176" i="25"/>
  <c r="P176" i="25"/>
  <c r="O176" i="25"/>
  <c r="N176" i="25"/>
  <c r="M176" i="25"/>
  <c r="L176" i="25"/>
  <c r="K176" i="25"/>
  <c r="J176" i="25"/>
  <c r="I176" i="25"/>
  <c r="H176" i="25"/>
  <c r="G176" i="25"/>
  <c r="F176" i="25"/>
  <c r="E176" i="25"/>
  <c r="D176" i="25"/>
  <c r="C176" i="25"/>
  <c r="B176" i="25"/>
  <c r="A176" i="25"/>
  <c r="AP175" i="25"/>
  <c r="AO175" i="25"/>
  <c r="AN175" i="25"/>
  <c r="AM175" i="25"/>
  <c r="AL175" i="25"/>
  <c r="AK175" i="25"/>
  <c r="AJ175" i="25"/>
  <c r="AI175" i="25"/>
  <c r="AH175" i="25"/>
  <c r="AG175" i="25"/>
  <c r="AF175" i="25"/>
  <c r="AE175" i="25"/>
  <c r="AD175" i="25"/>
  <c r="AC175" i="25"/>
  <c r="AB175" i="25"/>
  <c r="AA175" i="25"/>
  <c r="Z175" i="25"/>
  <c r="Y175" i="25"/>
  <c r="X175" i="25"/>
  <c r="W175" i="25"/>
  <c r="V175" i="25"/>
  <c r="U175" i="25"/>
  <c r="T175" i="25"/>
  <c r="S175" i="25"/>
  <c r="R175" i="25"/>
  <c r="Q175" i="25"/>
  <c r="P175" i="25"/>
  <c r="O175" i="25"/>
  <c r="N175" i="25"/>
  <c r="M175" i="25"/>
  <c r="L175" i="25"/>
  <c r="K175" i="25"/>
  <c r="J175" i="25"/>
  <c r="I175" i="25"/>
  <c r="H175" i="25"/>
  <c r="G175" i="25"/>
  <c r="F175" i="25"/>
  <c r="E175" i="25"/>
  <c r="D175" i="25"/>
  <c r="C175" i="25"/>
  <c r="B175" i="25"/>
  <c r="A175" i="25"/>
  <c r="AP174" i="25"/>
  <c r="AO174" i="25"/>
  <c r="AN174" i="25"/>
  <c r="AM174" i="25"/>
  <c r="AL174" i="25"/>
  <c r="AK174" i="25"/>
  <c r="AJ174" i="25"/>
  <c r="AI174" i="25"/>
  <c r="AH174" i="25"/>
  <c r="AG174" i="25"/>
  <c r="AF174" i="25"/>
  <c r="AE174" i="25"/>
  <c r="AD174" i="25"/>
  <c r="AC174" i="25"/>
  <c r="AB174" i="25"/>
  <c r="AA174" i="25"/>
  <c r="Z174" i="25"/>
  <c r="Y174" i="25"/>
  <c r="X174" i="25"/>
  <c r="W174" i="25"/>
  <c r="V174" i="25"/>
  <c r="U174" i="25"/>
  <c r="T174" i="25"/>
  <c r="S174" i="25"/>
  <c r="R174" i="25"/>
  <c r="Q174" i="25"/>
  <c r="P174" i="25"/>
  <c r="O174" i="25"/>
  <c r="N174" i="25"/>
  <c r="M174" i="25"/>
  <c r="L174" i="25"/>
  <c r="K174" i="25"/>
  <c r="J174" i="25"/>
  <c r="I174" i="25"/>
  <c r="H174" i="25"/>
  <c r="G174" i="25"/>
  <c r="F174" i="25"/>
  <c r="E174" i="25"/>
  <c r="D174" i="25"/>
  <c r="C174" i="25"/>
  <c r="B174" i="25"/>
  <c r="A174" i="25"/>
  <c r="AP173" i="25"/>
  <c r="AO173" i="25"/>
  <c r="AN173" i="25"/>
  <c r="AM173" i="25"/>
  <c r="AL173" i="25"/>
  <c r="AK173" i="25"/>
  <c r="AJ173" i="25"/>
  <c r="AI173" i="25"/>
  <c r="AH173" i="25"/>
  <c r="AG173" i="25"/>
  <c r="AF173" i="25"/>
  <c r="AE173" i="25"/>
  <c r="AD173" i="25"/>
  <c r="AC173" i="25"/>
  <c r="AB173" i="25"/>
  <c r="AA173" i="25"/>
  <c r="Z173" i="25"/>
  <c r="Y173" i="25"/>
  <c r="X173" i="25"/>
  <c r="W173" i="25"/>
  <c r="V173" i="25"/>
  <c r="U173" i="25"/>
  <c r="T173" i="25"/>
  <c r="S173" i="25"/>
  <c r="R173" i="25"/>
  <c r="Q173" i="25"/>
  <c r="P173" i="25"/>
  <c r="O173" i="25"/>
  <c r="N173" i="25"/>
  <c r="M173" i="25"/>
  <c r="L173" i="25"/>
  <c r="K173" i="25"/>
  <c r="J173" i="25"/>
  <c r="I173" i="25"/>
  <c r="H173" i="25"/>
  <c r="G173" i="25"/>
  <c r="F173" i="25"/>
  <c r="E173" i="25"/>
  <c r="D173" i="25"/>
  <c r="C173" i="25"/>
  <c r="B173" i="25"/>
  <c r="A173" i="25"/>
  <c r="AP172" i="25"/>
  <c r="AO172" i="25"/>
  <c r="AN172" i="25"/>
  <c r="AM172" i="25"/>
  <c r="AL172" i="25"/>
  <c r="AK172" i="25"/>
  <c r="AJ172" i="25"/>
  <c r="AI172" i="25"/>
  <c r="AH172" i="25"/>
  <c r="AG172" i="25"/>
  <c r="AF172" i="25"/>
  <c r="AE172" i="25"/>
  <c r="AD172" i="25"/>
  <c r="AC172" i="25"/>
  <c r="AB172" i="25"/>
  <c r="AA172" i="25"/>
  <c r="Z172" i="25"/>
  <c r="Y172" i="25"/>
  <c r="X172" i="25"/>
  <c r="W172" i="25"/>
  <c r="V172" i="25"/>
  <c r="U172" i="25"/>
  <c r="T172" i="25"/>
  <c r="S172" i="25"/>
  <c r="R172" i="25"/>
  <c r="Q172" i="25"/>
  <c r="P172" i="25"/>
  <c r="O172" i="25"/>
  <c r="N172" i="25"/>
  <c r="M172" i="25"/>
  <c r="L172" i="25"/>
  <c r="K172" i="25"/>
  <c r="J172" i="25"/>
  <c r="I172" i="25"/>
  <c r="H172" i="25"/>
  <c r="G172" i="25"/>
  <c r="F172" i="25"/>
  <c r="E172" i="25"/>
  <c r="D172" i="25"/>
  <c r="C172" i="25"/>
  <c r="B172" i="25"/>
  <c r="A172" i="25"/>
  <c r="AP171" i="25"/>
  <c r="AO171" i="25"/>
  <c r="AN171" i="25"/>
  <c r="AM171" i="25"/>
  <c r="AL171" i="25"/>
  <c r="AK171" i="25"/>
  <c r="AJ171" i="25"/>
  <c r="AI171" i="25"/>
  <c r="AH171" i="25"/>
  <c r="AG171" i="25"/>
  <c r="AF171" i="25"/>
  <c r="AE171" i="25"/>
  <c r="AD171" i="25"/>
  <c r="AC171" i="25"/>
  <c r="AB171" i="25"/>
  <c r="AA171" i="25"/>
  <c r="Z171" i="25"/>
  <c r="Y171" i="25"/>
  <c r="X171" i="25"/>
  <c r="W171" i="25"/>
  <c r="V171" i="25"/>
  <c r="U171" i="25"/>
  <c r="T171" i="25"/>
  <c r="S171" i="25"/>
  <c r="R171" i="25"/>
  <c r="Q171" i="25"/>
  <c r="P171" i="25"/>
  <c r="O171" i="25"/>
  <c r="N171" i="25"/>
  <c r="M171" i="25"/>
  <c r="L171" i="25"/>
  <c r="K171" i="25"/>
  <c r="J171" i="25"/>
  <c r="I171" i="25"/>
  <c r="H171" i="25"/>
  <c r="G171" i="25"/>
  <c r="F171" i="25"/>
  <c r="E171" i="25"/>
  <c r="D171" i="25"/>
  <c r="C171" i="25"/>
  <c r="B171" i="25"/>
  <c r="A171" i="25"/>
  <c r="AP170" i="25"/>
  <c r="AO170" i="25"/>
  <c r="AN170" i="25"/>
  <c r="AM170" i="25"/>
  <c r="AL170" i="25"/>
  <c r="AK170" i="25"/>
  <c r="AJ170" i="25"/>
  <c r="AI170" i="25"/>
  <c r="AH170" i="25"/>
  <c r="AG170" i="25"/>
  <c r="AF170" i="25"/>
  <c r="AE170" i="25"/>
  <c r="AD170" i="25"/>
  <c r="AC170" i="25"/>
  <c r="AB170" i="25"/>
  <c r="AA170" i="25"/>
  <c r="Z170" i="25"/>
  <c r="Y170" i="25"/>
  <c r="X170" i="25"/>
  <c r="W170" i="25"/>
  <c r="V170" i="25"/>
  <c r="U170" i="25"/>
  <c r="T170" i="25"/>
  <c r="S170" i="25"/>
  <c r="R170" i="25"/>
  <c r="Q170" i="25"/>
  <c r="P170" i="25"/>
  <c r="O170" i="25"/>
  <c r="N170" i="25"/>
  <c r="M170" i="25"/>
  <c r="L170" i="25"/>
  <c r="K170" i="25"/>
  <c r="J170" i="25"/>
  <c r="I170" i="25"/>
  <c r="H170" i="25"/>
  <c r="G170" i="25"/>
  <c r="F170" i="25"/>
  <c r="E170" i="25"/>
  <c r="D170" i="25"/>
  <c r="C170" i="25"/>
  <c r="B170" i="25"/>
  <c r="A170" i="25"/>
  <c r="AP169" i="25"/>
  <c r="AO169" i="25"/>
  <c r="AN169" i="25"/>
  <c r="AM169" i="25"/>
  <c r="AL169" i="25"/>
  <c r="AK169" i="25"/>
  <c r="AJ169" i="25"/>
  <c r="AI169" i="25"/>
  <c r="AH169" i="25"/>
  <c r="AG169" i="25"/>
  <c r="AF169" i="25"/>
  <c r="AE169" i="25"/>
  <c r="AD169" i="25"/>
  <c r="AC169" i="25"/>
  <c r="AB169" i="25"/>
  <c r="AA169" i="25"/>
  <c r="Z169" i="25"/>
  <c r="Y169" i="25"/>
  <c r="X169" i="25"/>
  <c r="W169" i="25"/>
  <c r="V169" i="25"/>
  <c r="U169" i="25"/>
  <c r="T169" i="25"/>
  <c r="S169" i="25"/>
  <c r="R169" i="25"/>
  <c r="Q169" i="25"/>
  <c r="P169" i="25"/>
  <c r="O169" i="25"/>
  <c r="N169" i="25"/>
  <c r="M169" i="25"/>
  <c r="L169" i="25"/>
  <c r="K169" i="25"/>
  <c r="J169" i="25"/>
  <c r="I169" i="25"/>
  <c r="H169" i="25"/>
  <c r="G169" i="25"/>
  <c r="F169" i="25"/>
  <c r="E169" i="25"/>
  <c r="D169" i="25"/>
  <c r="C169" i="25"/>
  <c r="B169" i="25"/>
  <c r="A169" i="25"/>
  <c r="AP168" i="25"/>
  <c r="AO168" i="25"/>
  <c r="AN168" i="25"/>
  <c r="AM168" i="25"/>
  <c r="AL168" i="25"/>
  <c r="AK168" i="25"/>
  <c r="AJ168" i="25"/>
  <c r="AI168" i="25"/>
  <c r="AH168" i="25"/>
  <c r="AG168" i="25"/>
  <c r="AF168" i="25"/>
  <c r="AE168" i="25"/>
  <c r="AD168" i="25"/>
  <c r="AC168" i="25"/>
  <c r="AB168" i="25"/>
  <c r="AA168" i="25"/>
  <c r="Z168" i="25"/>
  <c r="Y168" i="25"/>
  <c r="X168" i="25"/>
  <c r="W168" i="25"/>
  <c r="V168" i="25"/>
  <c r="U168" i="25"/>
  <c r="T168" i="25"/>
  <c r="S168" i="25"/>
  <c r="R168" i="25"/>
  <c r="Q168" i="25"/>
  <c r="P168" i="25"/>
  <c r="O168" i="25"/>
  <c r="N168" i="25"/>
  <c r="M168" i="25"/>
  <c r="L168" i="25"/>
  <c r="K168" i="25"/>
  <c r="J168" i="25"/>
  <c r="I168" i="25"/>
  <c r="H168" i="25"/>
  <c r="G168" i="25"/>
  <c r="F168" i="25"/>
  <c r="E168" i="25"/>
  <c r="D168" i="25"/>
  <c r="C168" i="25"/>
  <c r="B168" i="25"/>
  <c r="A168" i="25"/>
  <c r="AP167" i="25"/>
  <c r="AO167" i="25"/>
  <c r="AN167" i="25"/>
  <c r="AM167" i="25"/>
  <c r="AL167" i="25"/>
  <c r="AK167" i="25"/>
  <c r="AJ167" i="25"/>
  <c r="AI167" i="25"/>
  <c r="AH167" i="25"/>
  <c r="AG167" i="25"/>
  <c r="AF167" i="25"/>
  <c r="AE167" i="25"/>
  <c r="AD167" i="25"/>
  <c r="AC167" i="25"/>
  <c r="AB167" i="25"/>
  <c r="AA167" i="25"/>
  <c r="Z167" i="25"/>
  <c r="Y167" i="25"/>
  <c r="X167" i="25"/>
  <c r="W167" i="25"/>
  <c r="V167" i="25"/>
  <c r="U167" i="25"/>
  <c r="T167" i="25"/>
  <c r="S167" i="25"/>
  <c r="R167" i="25"/>
  <c r="Q167" i="25"/>
  <c r="P167" i="25"/>
  <c r="O167" i="25"/>
  <c r="N167" i="25"/>
  <c r="M167" i="25"/>
  <c r="L167" i="25"/>
  <c r="K167" i="25"/>
  <c r="J167" i="25"/>
  <c r="I167" i="25"/>
  <c r="H167" i="25"/>
  <c r="G167" i="25"/>
  <c r="F167" i="25"/>
  <c r="E167" i="25"/>
  <c r="D167" i="25"/>
  <c r="C167" i="25"/>
  <c r="B167" i="25"/>
  <c r="A167" i="25"/>
  <c r="AP166" i="25"/>
  <c r="AO166" i="25"/>
  <c r="AN166" i="25"/>
  <c r="AM166" i="25"/>
  <c r="AL166" i="25"/>
  <c r="AK166" i="25"/>
  <c r="AJ166" i="25"/>
  <c r="AI166" i="25"/>
  <c r="AH166" i="25"/>
  <c r="AG166" i="25"/>
  <c r="AF166" i="25"/>
  <c r="AE166" i="25"/>
  <c r="AD166" i="25"/>
  <c r="AC166" i="25"/>
  <c r="AB166" i="25"/>
  <c r="AA166" i="25"/>
  <c r="Z166" i="25"/>
  <c r="Y166" i="25"/>
  <c r="X166" i="25"/>
  <c r="W166" i="25"/>
  <c r="V166" i="25"/>
  <c r="U166" i="25"/>
  <c r="T166" i="25"/>
  <c r="S166" i="25"/>
  <c r="R166" i="25"/>
  <c r="Q166" i="25"/>
  <c r="P166" i="25"/>
  <c r="O166" i="25"/>
  <c r="N166" i="25"/>
  <c r="M166" i="25"/>
  <c r="L166" i="25"/>
  <c r="K166" i="25"/>
  <c r="J166" i="25"/>
  <c r="I166" i="25"/>
  <c r="H166" i="25"/>
  <c r="G166" i="25"/>
  <c r="F166" i="25"/>
  <c r="E166" i="25"/>
  <c r="D166" i="25"/>
  <c r="C166" i="25"/>
  <c r="B166" i="25"/>
  <c r="A166" i="25"/>
  <c r="AP165" i="25"/>
  <c r="AO165" i="25"/>
  <c r="AN165" i="25"/>
  <c r="AM165" i="25"/>
  <c r="AL165" i="25"/>
  <c r="AK165" i="25"/>
  <c r="AJ165" i="25"/>
  <c r="AI165" i="25"/>
  <c r="AH165" i="25"/>
  <c r="AG165" i="25"/>
  <c r="AF165" i="25"/>
  <c r="AE165" i="25"/>
  <c r="AD165" i="25"/>
  <c r="AC165" i="25"/>
  <c r="AB165" i="25"/>
  <c r="AA165" i="25"/>
  <c r="Z165" i="25"/>
  <c r="Y165" i="25"/>
  <c r="X165" i="25"/>
  <c r="W165" i="25"/>
  <c r="V165" i="25"/>
  <c r="U165" i="25"/>
  <c r="T165" i="25"/>
  <c r="S165" i="25"/>
  <c r="R165" i="25"/>
  <c r="Q165" i="25"/>
  <c r="P165" i="25"/>
  <c r="O165" i="25"/>
  <c r="N165" i="25"/>
  <c r="M165" i="25"/>
  <c r="L165" i="25"/>
  <c r="K165" i="25"/>
  <c r="J165" i="25"/>
  <c r="I165" i="25"/>
  <c r="H165" i="25"/>
  <c r="G165" i="25"/>
  <c r="F165" i="25"/>
  <c r="E165" i="25"/>
  <c r="D165" i="25"/>
  <c r="C165" i="25"/>
  <c r="B165" i="25"/>
  <c r="A165" i="25"/>
  <c r="AP164" i="25"/>
  <c r="AO164" i="25"/>
  <c r="AN164" i="25"/>
  <c r="AM164" i="25"/>
  <c r="AL164" i="25"/>
  <c r="AK164" i="25"/>
  <c r="AJ164" i="25"/>
  <c r="AI164" i="25"/>
  <c r="AH164" i="25"/>
  <c r="AG164" i="25"/>
  <c r="AF164" i="25"/>
  <c r="AE164" i="25"/>
  <c r="AD164" i="25"/>
  <c r="AC164" i="25"/>
  <c r="AB164" i="25"/>
  <c r="AA164" i="25"/>
  <c r="Z164" i="25"/>
  <c r="Y164" i="25"/>
  <c r="X164" i="25"/>
  <c r="W164" i="25"/>
  <c r="V164" i="25"/>
  <c r="U164" i="25"/>
  <c r="T164" i="25"/>
  <c r="S164" i="25"/>
  <c r="R164" i="25"/>
  <c r="Q164" i="25"/>
  <c r="P164" i="25"/>
  <c r="O164" i="25"/>
  <c r="N164" i="25"/>
  <c r="M164" i="25"/>
  <c r="L164" i="25"/>
  <c r="K164" i="25"/>
  <c r="J164" i="25"/>
  <c r="I164" i="25"/>
  <c r="H164" i="25"/>
  <c r="G164" i="25"/>
  <c r="F164" i="25"/>
  <c r="E164" i="25"/>
  <c r="D164" i="25"/>
  <c r="C164" i="25"/>
  <c r="B164" i="25"/>
  <c r="A164" i="25"/>
  <c r="AP163" i="25"/>
  <c r="AO163" i="25"/>
  <c r="AN163" i="25"/>
  <c r="AM163" i="25"/>
  <c r="AL163" i="25"/>
  <c r="AK163" i="25"/>
  <c r="AJ163" i="25"/>
  <c r="AI163" i="25"/>
  <c r="AH163" i="25"/>
  <c r="AG163" i="25"/>
  <c r="AF163" i="25"/>
  <c r="AE163" i="25"/>
  <c r="AD163" i="25"/>
  <c r="AC163" i="25"/>
  <c r="AB163" i="25"/>
  <c r="AA163" i="25"/>
  <c r="Z163" i="25"/>
  <c r="Y163" i="25"/>
  <c r="X163" i="25"/>
  <c r="W163" i="25"/>
  <c r="V163" i="25"/>
  <c r="U163" i="25"/>
  <c r="T163" i="25"/>
  <c r="S163" i="25"/>
  <c r="R163" i="25"/>
  <c r="Q163" i="25"/>
  <c r="P163" i="25"/>
  <c r="O163" i="25"/>
  <c r="N163" i="25"/>
  <c r="M163" i="25"/>
  <c r="L163" i="25"/>
  <c r="K163" i="25"/>
  <c r="J163" i="25"/>
  <c r="I163" i="25"/>
  <c r="H163" i="25"/>
  <c r="G163" i="25"/>
  <c r="F163" i="25"/>
  <c r="E163" i="25"/>
  <c r="D163" i="25"/>
  <c r="C163" i="25"/>
  <c r="B163" i="25"/>
  <c r="A163" i="25"/>
  <c r="AP162" i="25"/>
  <c r="AO162" i="25"/>
  <c r="AN162" i="25"/>
  <c r="AM162" i="25"/>
  <c r="AL162" i="25"/>
  <c r="AK162" i="25"/>
  <c r="AJ162" i="25"/>
  <c r="AI162" i="25"/>
  <c r="AH162" i="25"/>
  <c r="AG162" i="25"/>
  <c r="AF162" i="25"/>
  <c r="AE162" i="25"/>
  <c r="AD162" i="25"/>
  <c r="AC162" i="25"/>
  <c r="AB162" i="25"/>
  <c r="AA162" i="25"/>
  <c r="Z162" i="25"/>
  <c r="Y162" i="25"/>
  <c r="X162" i="25"/>
  <c r="W162" i="25"/>
  <c r="V162" i="25"/>
  <c r="U162" i="25"/>
  <c r="T162" i="25"/>
  <c r="S162" i="25"/>
  <c r="R162" i="25"/>
  <c r="Q162" i="25"/>
  <c r="P162" i="25"/>
  <c r="O162" i="25"/>
  <c r="N162" i="25"/>
  <c r="M162" i="25"/>
  <c r="L162" i="25"/>
  <c r="K162" i="25"/>
  <c r="J162" i="25"/>
  <c r="I162" i="25"/>
  <c r="H162" i="25"/>
  <c r="G162" i="25"/>
  <c r="F162" i="25"/>
  <c r="E162" i="25"/>
  <c r="D162" i="25"/>
  <c r="C162" i="25"/>
  <c r="B162" i="25"/>
  <c r="A162" i="25"/>
  <c r="AP161" i="25"/>
  <c r="AO161" i="25"/>
  <c r="AN161" i="25"/>
  <c r="AM161" i="25"/>
  <c r="AL161" i="25"/>
  <c r="AK161" i="25"/>
  <c r="AJ161" i="25"/>
  <c r="AI161" i="25"/>
  <c r="AH161" i="25"/>
  <c r="AG161" i="25"/>
  <c r="AF161" i="25"/>
  <c r="AE161" i="25"/>
  <c r="AD161" i="25"/>
  <c r="AC161" i="25"/>
  <c r="AB161" i="25"/>
  <c r="AA161" i="25"/>
  <c r="Z161" i="25"/>
  <c r="Y161" i="25"/>
  <c r="X161" i="25"/>
  <c r="W161" i="25"/>
  <c r="V161" i="25"/>
  <c r="U161" i="25"/>
  <c r="T161" i="25"/>
  <c r="S161" i="25"/>
  <c r="R161" i="25"/>
  <c r="Q161" i="25"/>
  <c r="P161" i="25"/>
  <c r="O161" i="25"/>
  <c r="N161" i="25"/>
  <c r="M161" i="25"/>
  <c r="L161" i="25"/>
  <c r="K161" i="25"/>
  <c r="J161" i="25"/>
  <c r="I161" i="25"/>
  <c r="H161" i="25"/>
  <c r="G161" i="25"/>
  <c r="F161" i="25"/>
  <c r="E161" i="25"/>
  <c r="D161" i="25"/>
  <c r="C161" i="25"/>
  <c r="B161" i="25"/>
  <c r="A161" i="25"/>
  <c r="AP160" i="25"/>
  <c r="AO160" i="25"/>
  <c r="AN160" i="25"/>
  <c r="AM160" i="25"/>
  <c r="AL160" i="25"/>
  <c r="AK160" i="25"/>
  <c r="AJ160" i="25"/>
  <c r="AI160" i="25"/>
  <c r="AH160" i="25"/>
  <c r="AG160" i="25"/>
  <c r="AF160" i="25"/>
  <c r="AE160" i="25"/>
  <c r="AD160" i="25"/>
  <c r="AC160" i="25"/>
  <c r="AB160" i="25"/>
  <c r="AA160" i="25"/>
  <c r="Z160" i="25"/>
  <c r="Y160" i="25"/>
  <c r="X160" i="25"/>
  <c r="W160" i="25"/>
  <c r="V160" i="25"/>
  <c r="U160" i="25"/>
  <c r="T160" i="25"/>
  <c r="S160" i="25"/>
  <c r="R160" i="25"/>
  <c r="Q160" i="25"/>
  <c r="P160" i="25"/>
  <c r="O160" i="25"/>
  <c r="N160" i="25"/>
  <c r="M160" i="25"/>
  <c r="L160" i="25"/>
  <c r="K160" i="25"/>
  <c r="J160" i="25"/>
  <c r="I160" i="25"/>
  <c r="H160" i="25"/>
  <c r="G160" i="25"/>
  <c r="F160" i="25"/>
  <c r="E160" i="25"/>
  <c r="D160" i="25"/>
  <c r="C160" i="25"/>
  <c r="B160" i="25"/>
  <c r="A160" i="25"/>
  <c r="AP159" i="25"/>
  <c r="AO159" i="25"/>
  <c r="AN159" i="25"/>
  <c r="AM159" i="25"/>
  <c r="AL159" i="25"/>
  <c r="AK159" i="25"/>
  <c r="AJ159" i="25"/>
  <c r="AI159" i="25"/>
  <c r="AH159" i="25"/>
  <c r="AG159" i="25"/>
  <c r="AF159" i="25"/>
  <c r="AE159" i="25"/>
  <c r="AD159" i="25"/>
  <c r="AC159" i="25"/>
  <c r="AB159" i="25"/>
  <c r="AA159" i="25"/>
  <c r="Z159" i="25"/>
  <c r="Y159" i="25"/>
  <c r="X159" i="25"/>
  <c r="W159" i="25"/>
  <c r="V159" i="25"/>
  <c r="U159" i="25"/>
  <c r="T159" i="25"/>
  <c r="S159" i="25"/>
  <c r="R159" i="25"/>
  <c r="Q159" i="25"/>
  <c r="P159" i="25"/>
  <c r="O159" i="25"/>
  <c r="N159" i="25"/>
  <c r="M159" i="25"/>
  <c r="L159" i="25"/>
  <c r="K159" i="25"/>
  <c r="J159" i="25"/>
  <c r="I159" i="25"/>
  <c r="H159" i="25"/>
  <c r="G159" i="25"/>
  <c r="F159" i="25"/>
  <c r="E159" i="25"/>
  <c r="D159" i="25"/>
  <c r="C159" i="25"/>
  <c r="B159" i="25"/>
  <c r="A159" i="25"/>
  <c r="AP158" i="25"/>
  <c r="AO158" i="25"/>
  <c r="AN158" i="25"/>
  <c r="AM158" i="25"/>
  <c r="AL158" i="25"/>
  <c r="AK158" i="25"/>
  <c r="AJ158" i="25"/>
  <c r="AI158" i="25"/>
  <c r="AH158" i="25"/>
  <c r="AG158" i="25"/>
  <c r="AF158" i="25"/>
  <c r="AE158" i="25"/>
  <c r="AD158" i="25"/>
  <c r="AC158" i="25"/>
  <c r="AB158" i="25"/>
  <c r="AA158" i="25"/>
  <c r="Z158" i="25"/>
  <c r="Y158" i="25"/>
  <c r="X158" i="25"/>
  <c r="W158" i="25"/>
  <c r="V158" i="25"/>
  <c r="U158" i="25"/>
  <c r="T158" i="25"/>
  <c r="S158" i="25"/>
  <c r="R158" i="25"/>
  <c r="Q158" i="25"/>
  <c r="P158" i="25"/>
  <c r="O158" i="25"/>
  <c r="N158" i="25"/>
  <c r="M158" i="25"/>
  <c r="L158" i="25"/>
  <c r="K158" i="25"/>
  <c r="J158" i="25"/>
  <c r="I158" i="25"/>
  <c r="H158" i="25"/>
  <c r="G158" i="25"/>
  <c r="F158" i="25"/>
  <c r="E158" i="25"/>
  <c r="D158" i="25"/>
  <c r="C158" i="25"/>
  <c r="B158" i="25"/>
  <c r="A158" i="25"/>
  <c r="AP157" i="25"/>
  <c r="AO157" i="25"/>
  <c r="AN157" i="25"/>
  <c r="AM157" i="25"/>
  <c r="AL157" i="25"/>
  <c r="AK157" i="25"/>
  <c r="AJ157" i="25"/>
  <c r="AI157" i="25"/>
  <c r="AH157" i="25"/>
  <c r="AG157" i="25"/>
  <c r="AF157" i="25"/>
  <c r="AE157" i="25"/>
  <c r="AD157" i="25"/>
  <c r="AC157" i="25"/>
  <c r="AB157" i="25"/>
  <c r="AA157" i="25"/>
  <c r="Z157" i="25"/>
  <c r="Y157" i="25"/>
  <c r="X157" i="25"/>
  <c r="W157" i="25"/>
  <c r="V157" i="25"/>
  <c r="U157" i="25"/>
  <c r="T157" i="25"/>
  <c r="S157" i="25"/>
  <c r="R157" i="25"/>
  <c r="Q157" i="25"/>
  <c r="P157" i="25"/>
  <c r="O157" i="25"/>
  <c r="N157" i="25"/>
  <c r="M157" i="25"/>
  <c r="L157" i="25"/>
  <c r="K157" i="25"/>
  <c r="J157" i="25"/>
  <c r="I157" i="25"/>
  <c r="H157" i="25"/>
  <c r="G157" i="25"/>
  <c r="F157" i="25"/>
  <c r="E157" i="25"/>
  <c r="D157" i="25"/>
  <c r="C157" i="25"/>
  <c r="B157" i="25"/>
  <c r="A157" i="25"/>
  <c r="AP156" i="25"/>
  <c r="AO156" i="25"/>
  <c r="AN156" i="25"/>
  <c r="AM156" i="25"/>
  <c r="AL156" i="25"/>
  <c r="AK156" i="25"/>
  <c r="AJ156" i="25"/>
  <c r="AI156" i="25"/>
  <c r="AH156" i="25"/>
  <c r="AG156" i="25"/>
  <c r="AF156" i="25"/>
  <c r="AE156" i="25"/>
  <c r="AD156" i="25"/>
  <c r="AC156" i="25"/>
  <c r="AB156" i="25"/>
  <c r="AA156" i="25"/>
  <c r="Z156" i="25"/>
  <c r="Y156" i="25"/>
  <c r="X156" i="25"/>
  <c r="W156" i="25"/>
  <c r="V156" i="25"/>
  <c r="U156" i="25"/>
  <c r="T156" i="25"/>
  <c r="S156" i="25"/>
  <c r="R156" i="25"/>
  <c r="Q156" i="25"/>
  <c r="P156" i="25"/>
  <c r="O156" i="25"/>
  <c r="N156" i="25"/>
  <c r="M156" i="25"/>
  <c r="L156" i="25"/>
  <c r="K156" i="25"/>
  <c r="J156" i="25"/>
  <c r="I156" i="25"/>
  <c r="H156" i="25"/>
  <c r="G156" i="25"/>
  <c r="F156" i="25"/>
  <c r="E156" i="25"/>
  <c r="D156" i="25"/>
  <c r="C156" i="25"/>
  <c r="B156" i="25"/>
  <c r="A156" i="25"/>
  <c r="AP155" i="25"/>
  <c r="AO155" i="25"/>
  <c r="AN155" i="25"/>
  <c r="AM155" i="25"/>
  <c r="AL155" i="25"/>
  <c r="AK155" i="25"/>
  <c r="AJ155" i="25"/>
  <c r="AI155" i="25"/>
  <c r="AH155" i="25"/>
  <c r="AG155" i="25"/>
  <c r="AF155" i="25"/>
  <c r="AE155" i="25"/>
  <c r="AD155" i="25"/>
  <c r="AC155" i="25"/>
  <c r="AB155" i="25"/>
  <c r="AA155" i="25"/>
  <c r="Z155" i="25"/>
  <c r="Y155" i="25"/>
  <c r="X155" i="25"/>
  <c r="W155" i="25"/>
  <c r="V155" i="25"/>
  <c r="U155" i="25"/>
  <c r="T155" i="25"/>
  <c r="S155" i="25"/>
  <c r="R155" i="25"/>
  <c r="Q155" i="25"/>
  <c r="P155" i="25"/>
  <c r="O155" i="25"/>
  <c r="N155" i="25"/>
  <c r="M155" i="25"/>
  <c r="L155" i="25"/>
  <c r="K155" i="25"/>
  <c r="J155" i="25"/>
  <c r="I155" i="25"/>
  <c r="H155" i="25"/>
  <c r="G155" i="25"/>
  <c r="F155" i="25"/>
  <c r="E155" i="25"/>
  <c r="D155" i="25"/>
  <c r="C155" i="25"/>
  <c r="B155" i="25"/>
  <c r="A155" i="25"/>
  <c r="AP154" i="25"/>
  <c r="AO154" i="25"/>
  <c r="AN154" i="25"/>
  <c r="AM154" i="25"/>
  <c r="AL154" i="25"/>
  <c r="AK154" i="25"/>
  <c r="AJ154" i="25"/>
  <c r="AI154" i="25"/>
  <c r="AH154" i="25"/>
  <c r="AG154" i="25"/>
  <c r="AF154" i="25"/>
  <c r="AE154" i="25"/>
  <c r="AD154" i="25"/>
  <c r="AC154" i="25"/>
  <c r="AB154" i="25"/>
  <c r="AA154" i="25"/>
  <c r="Z154" i="25"/>
  <c r="Y154" i="25"/>
  <c r="X154" i="25"/>
  <c r="W154" i="25"/>
  <c r="V154" i="25"/>
  <c r="U154" i="25"/>
  <c r="T154" i="25"/>
  <c r="S154" i="25"/>
  <c r="R154" i="25"/>
  <c r="Q154" i="25"/>
  <c r="P154" i="25"/>
  <c r="O154" i="25"/>
  <c r="N154" i="25"/>
  <c r="M154" i="25"/>
  <c r="L154" i="25"/>
  <c r="K154" i="25"/>
  <c r="J154" i="25"/>
  <c r="I154" i="25"/>
  <c r="H154" i="25"/>
  <c r="G154" i="25"/>
  <c r="F154" i="25"/>
  <c r="E154" i="25"/>
  <c r="D154" i="25"/>
  <c r="C154" i="25"/>
  <c r="B154" i="25"/>
  <c r="A154" i="25"/>
  <c r="AP153" i="25"/>
  <c r="AO153" i="25"/>
  <c r="AN153" i="25"/>
  <c r="AM153" i="25"/>
  <c r="AL153" i="25"/>
  <c r="AK153" i="25"/>
  <c r="AJ153" i="25"/>
  <c r="AI153" i="25"/>
  <c r="AH153" i="25"/>
  <c r="AG153" i="25"/>
  <c r="AF153" i="25"/>
  <c r="AE153" i="25"/>
  <c r="AD153" i="25"/>
  <c r="AC153" i="25"/>
  <c r="AB153" i="25"/>
  <c r="AA153" i="25"/>
  <c r="Z153" i="25"/>
  <c r="Y153" i="25"/>
  <c r="X153" i="25"/>
  <c r="W153" i="25"/>
  <c r="V153" i="25"/>
  <c r="U153" i="25"/>
  <c r="T153" i="25"/>
  <c r="S153" i="25"/>
  <c r="R153" i="25"/>
  <c r="Q153" i="25"/>
  <c r="P153" i="25"/>
  <c r="O153" i="25"/>
  <c r="N153" i="25"/>
  <c r="M153" i="25"/>
  <c r="L153" i="25"/>
  <c r="K153" i="25"/>
  <c r="J153" i="25"/>
  <c r="I153" i="25"/>
  <c r="H153" i="25"/>
  <c r="G153" i="25"/>
  <c r="F153" i="25"/>
  <c r="E153" i="25"/>
  <c r="D153" i="25"/>
  <c r="C153" i="25"/>
  <c r="B153" i="25"/>
  <c r="A153" i="25"/>
  <c r="AP152" i="25"/>
  <c r="AO152" i="25"/>
  <c r="AN152" i="25"/>
  <c r="AM152" i="25"/>
  <c r="AL152" i="25"/>
  <c r="AK152" i="25"/>
  <c r="AJ152" i="25"/>
  <c r="AI152" i="25"/>
  <c r="AH152" i="25"/>
  <c r="AG152" i="25"/>
  <c r="AF152" i="25"/>
  <c r="AE152" i="25"/>
  <c r="AD152" i="25"/>
  <c r="AC152" i="25"/>
  <c r="AB152" i="25"/>
  <c r="AA152" i="25"/>
  <c r="Z152" i="25"/>
  <c r="Y152" i="25"/>
  <c r="X152" i="25"/>
  <c r="W152" i="25"/>
  <c r="V152" i="25"/>
  <c r="U152" i="25"/>
  <c r="T152" i="25"/>
  <c r="S152" i="25"/>
  <c r="R152" i="25"/>
  <c r="Q152" i="25"/>
  <c r="P152" i="25"/>
  <c r="O152" i="25"/>
  <c r="N152" i="25"/>
  <c r="M152" i="25"/>
  <c r="L152" i="25"/>
  <c r="K152" i="25"/>
  <c r="J152" i="25"/>
  <c r="I152" i="25"/>
  <c r="H152" i="25"/>
  <c r="G152" i="25"/>
  <c r="F152" i="25"/>
  <c r="E152" i="25"/>
  <c r="D152" i="25"/>
  <c r="C152" i="25"/>
  <c r="B152" i="25"/>
  <c r="A152" i="25"/>
  <c r="AP151" i="25"/>
  <c r="AO151" i="25"/>
  <c r="AN151" i="25"/>
  <c r="AM151" i="25"/>
  <c r="AL151" i="25"/>
  <c r="AK151" i="25"/>
  <c r="AJ151" i="25"/>
  <c r="AI151" i="25"/>
  <c r="AH151" i="25"/>
  <c r="AG151" i="25"/>
  <c r="AF151" i="25"/>
  <c r="AE151" i="25"/>
  <c r="AD151" i="25"/>
  <c r="AC151" i="25"/>
  <c r="AB151" i="25"/>
  <c r="AA151" i="25"/>
  <c r="Z151" i="25"/>
  <c r="Y151" i="25"/>
  <c r="X151" i="25"/>
  <c r="W151" i="25"/>
  <c r="V151" i="25"/>
  <c r="U151" i="25"/>
  <c r="T151" i="25"/>
  <c r="S151" i="25"/>
  <c r="R151" i="25"/>
  <c r="Q151" i="25"/>
  <c r="P151" i="25"/>
  <c r="O151" i="25"/>
  <c r="N151" i="25"/>
  <c r="M151" i="25"/>
  <c r="L151" i="25"/>
  <c r="K151" i="25"/>
  <c r="J151" i="25"/>
  <c r="I151" i="25"/>
  <c r="H151" i="25"/>
  <c r="G151" i="25"/>
  <c r="F151" i="25"/>
  <c r="E151" i="25"/>
  <c r="D151" i="25"/>
  <c r="C151" i="25"/>
  <c r="B151" i="25"/>
  <c r="A151" i="25"/>
  <c r="AP150" i="25"/>
  <c r="AO150" i="25"/>
  <c r="AN150" i="25"/>
  <c r="AM150" i="25"/>
  <c r="AL150" i="25"/>
  <c r="AK150" i="25"/>
  <c r="AJ150" i="25"/>
  <c r="AI150" i="25"/>
  <c r="AH150" i="25"/>
  <c r="AG150" i="25"/>
  <c r="AF150" i="25"/>
  <c r="AE150" i="25"/>
  <c r="AD150" i="25"/>
  <c r="AC150" i="25"/>
  <c r="AB150" i="25"/>
  <c r="AA150" i="25"/>
  <c r="Z150" i="25"/>
  <c r="Y150" i="25"/>
  <c r="X150" i="25"/>
  <c r="W150" i="25"/>
  <c r="V150" i="25"/>
  <c r="U150" i="25"/>
  <c r="T150" i="25"/>
  <c r="S150" i="25"/>
  <c r="R150" i="25"/>
  <c r="Q150" i="25"/>
  <c r="P150" i="25"/>
  <c r="O150" i="25"/>
  <c r="N150" i="25"/>
  <c r="M150" i="25"/>
  <c r="L150" i="25"/>
  <c r="K150" i="25"/>
  <c r="J150" i="25"/>
  <c r="I150" i="25"/>
  <c r="H150" i="25"/>
  <c r="G150" i="25"/>
  <c r="F150" i="25"/>
  <c r="E150" i="25"/>
  <c r="D150" i="25"/>
  <c r="C150" i="25"/>
  <c r="B150" i="25"/>
  <c r="A150" i="25"/>
  <c r="AP149" i="25"/>
  <c r="AO149" i="25"/>
  <c r="AN149" i="25"/>
  <c r="AM149" i="25"/>
  <c r="AL149" i="25"/>
  <c r="AK149" i="25"/>
  <c r="AJ149" i="25"/>
  <c r="AI149" i="25"/>
  <c r="AH149" i="25"/>
  <c r="AG149" i="25"/>
  <c r="AF149" i="25"/>
  <c r="AE149" i="25"/>
  <c r="AD149" i="25"/>
  <c r="AC149" i="25"/>
  <c r="AB149" i="25"/>
  <c r="AA149" i="25"/>
  <c r="Z149" i="25"/>
  <c r="Y149" i="25"/>
  <c r="X149" i="25"/>
  <c r="W149" i="25"/>
  <c r="V149" i="25"/>
  <c r="U149" i="25"/>
  <c r="T149" i="25"/>
  <c r="S149" i="25"/>
  <c r="R149" i="25"/>
  <c r="Q149" i="25"/>
  <c r="P149" i="25"/>
  <c r="O149" i="25"/>
  <c r="N149" i="25"/>
  <c r="M149" i="25"/>
  <c r="L149" i="25"/>
  <c r="K149" i="25"/>
  <c r="J149" i="25"/>
  <c r="I149" i="25"/>
  <c r="H149" i="25"/>
  <c r="G149" i="25"/>
  <c r="F149" i="25"/>
  <c r="E149" i="25"/>
  <c r="D149" i="25"/>
  <c r="C149" i="25"/>
  <c r="B149" i="25"/>
  <c r="A149" i="25"/>
  <c r="AP148" i="25"/>
  <c r="AO148" i="25"/>
  <c r="AN148" i="25"/>
  <c r="AM148" i="25"/>
  <c r="AL148" i="25"/>
  <c r="AK148" i="25"/>
  <c r="AJ148" i="25"/>
  <c r="AI148" i="25"/>
  <c r="AH148" i="25"/>
  <c r="AG148" i="25"/>
  <c r="AF148" i="25"/>
  <c r="AE148" i="25"/>
  <c r="AD148" i="25"/>
  <c r="AC148" i="25"/>
  <c r="AB148" i="25"/>
  <c r="AA148" i="25"/>
  <c r="Z148" i="25"/>
  <c r="Y148" i="25"/>
  <c r="X148" i="25"/>
  <c r="W148" i="25"/>
  <c r="V148" i="25"/>
  <c r="U148" i="25"/>
  <c r="T148" i="25"/>
  <c r="S148" i="25"/>
  <c r="R148" i="25"/>
  <c r="Q148" i="25"/>
  <c r="P148" i="25"/>
  <c r="O148" i="25"/>
  <c r="N148" i="25"/>
  <c r="M148" i="25"/>
  <c r="L148" i="25"/>
  <c r="K148" i="25"/>
  <c r="J148" i="25"/>
  <c r="I148" i="25"/>
  <c r="H148" i="25"/>
  <c r="G148" i="25"/>
  <c r="F148" i="25"/>
  <c r="E148" i="25"/>
  <c r="D148" i="25"/>
  <c r="C148" i="25"/>
  <c r="B148" i="25"/>
  <c r="A148" i="25"/>
  <c r="AP147" i="25"/>
  <c r="AO147" i="25"/>
  <c r="AN147" i="25"/>
  <c r="AM147" i="25"/>
  <c r="AL147" i="25"/>
  <c r="AK147" i="25"/>
  <c r="AJ147" i="25"/>
  <c r="AI147" i="25"/>
  <c r="AH147" i="25"/>
  <c r="AG147" i="25"/>
  <c r="AF147" i="25"/>
  <c r="AE147" i="25"/>
  <c r="AD147" i="25"/>
  <c r="AC147" i="25"/>
  <c r="AB147" i="25"/>
  <c r="AA147" i="25"/>
  <c r="Z147" i="25"/>
  <c r="Y147" i="25"/>
  <c r="X147" i="25"/>
  <c r="W147" i="25"/>
  <c r="V147" i="25"/>
  <c r="U147" i="25"/>
  <c r="T147" i="25"/>
  <c r="S147" i="25"/>
  <c r="R147" i="25"/>
  <c r="Q147" i="25"/>
  <c r="P147" i="25"/>
  <c r="O147" i="25"/>
  <c r="N147" i="25"/>
  <c r="M147" i="25"/>
  <c r="L147" i="25"/>
  <c r="K147" i="25"/>
  <c r="J147" i="25"/>
  <c r="I147" i="25"/>
  <c r="H147" i="25"/>
  <c r="G147" i="25"/>
  <c r="F147" i="25"/>
  <c r="E147" i="25"/>
  <c r="D147" i="25"/>
  <c r="C147" i="25"/>
  <c r="B147" i="25"/>
  <c r="A147" i="25"/>
  <c r="AP146" i="25"/>
  <c r="AO146" i="25"/>
  <c r="AN146" i="25"/>
  <c r="AM146" i="25"/>
  <c r="AL146" i="25"/>
  <c r="AK146" i="25"/>
  <c r="AJ146" i="25"/>
  <c r="AI146" i="25"/>
  <c r="AH146" i="25"/>
  <c r="AG146" i="25"/>
  <c r="AF146" i="25"/>
  <c r="AE146" i="25"/>
  <c r="AD146" i="25"/>
  <c r="AC146" i="25"/>
  <c r="AB146" i="25"/>
  <c r="AA146" i="25"/>
  <c r="Z146" i="25"/>
  <c r="Y146" i="25"/>
  <c r="X146" i="25"/>
  <c r="W146" i="25"/>
  <c r="V146" i="25"/>
  <c r="U146" i="25"/>
  <c r="T146" i="25"/>
  <c r="S146" i="25"/>
  <c r="R146" i="25"/>
  <c r="Q146" i="25"/>
  <c r="P146" i="25"/>
  <c r="O146" i="25"/>
  <c r="N146" i="25"/>
  <c r="M146" i="25"/>
  <c r="L146" i="25"/>
  <c r="K146" i="25"/>
  <c r="J146" i="25"/>
  <c r="I146" i="25"/>
  <c r="H146" i="25"/>
  <c r="G146" i="25"/>
  <c r="F146" i="25"/>
  <c r="E146" i="25"/>
  <c r="D146" i="25"/>
  <c r="C146" i="25"/>
  <c r="B146" i="25"/>
  <c r="A146" i="25"/>
  <c r="AP145" i="25"/>
  <c r="AO145" i="25"/>
  <c r="AN145" i="25"/>
  <c r="AM145" i="25"/>
  <c r="AL145" i="25"/>
  <c r="AK145" i="25"/>
  <c r="AJ145" i="25"/>
  <c r="AI145" i="25"/>
  <c r="AH145" i="25"/>
  <c r="AG145" i="25"/>
  <c r="AF145" i="25"/>
  <c r="AE145" i="25"/>
  <c r="AD145" i="25"/>
  <c r="AC145" i="25"/>
  <c r="AB145" i="25"/>
  <c r="AA145" i="25"/>
  <c r="Z145" i="25"/>
  <c r="Y145" i="25"/>
  <c r="X145" i="25"/>
  <c r="W145" i="25"/>
  <c r="V145" i="25"/>
  <c r="U145" i="25"/>
  <c r="T145" i="25"/>
  <c r="S145" i="25"/>
  <c r="R145" i="25"/>
  <c r="Q145" i="25"/>
  <c r="P145" i="25"/>
  <c r="O145" i="25"/>
  <c r="N145" i="25"/>
  <c r="M145" i="25"/>
  <c r="L145" i="25"/>
  <c r="K145" i="25"/>
  <c r="J145" i="25"/>
  <c r="I145" i="25"/>
  <c r="H145" i="25"/>
  <c r="G145" i="25"/>
  <c r="F145" i="25"/>
  <c r="E145" i="25"/>
  <c r="D145" i="25"/>
  <c r="C145" i="25"/>
  <c r="B145" i="25"/>
  <c r="A145" i="25"/>
  <c r="AP144" i="25"/>
  <c r="AO144" i="25"/>
  <c r="AN144" i="25"/>
  <c r="AM144" i="25"/>
  <c r="AL144" i="25"/>
  <c r="AK144" i="25"/>
  <c r="AJ144" i="25"/>
  <c r="AI144" i="25"/>
  <c r="AH144" i="25"/>
  <c r="AG144" i="25"/>
  <c r="AF144" i="25"/>
  <c r="AE144" i="25"/>
  <c r="AD144" i="25"/>
  <c r="AC144" i="25"/>
  <c r="AB144" i="25"/>
  <c r="AA144" i="25"/>
  <c r="Z144" i="25"/>
  <c r="Y144" i="25"/>
  <c r="X144" i="25"/>
  <c r="W144" i="25"/>
  <c r="V144" i="25"/>
  <c r="U144" i="25"/>
  <c r="T144" i="25"/>
  <c r="S144" i="25"/>
  <c r="R144" i="25"/>
  <c r="Q144" i="25"/>
  <c r="P144" i="25"/>
  <c r="O144" i="25"/>
  <c r="N144" i="25"/>
  <c r="M144" i="25"/>
  <c r="L144" i="25"/>
  <c r="K144" i="25"/>
  <c r="J144" i="25"/>
  <c r="I144" i="25"/>
  <c r="H144" i="25"/>
  <c r="G144" i="25"/>
  <c r="F144" i="25"/>
  <c r="E144" i="25"/>
  <c r="D144" i="25"/>
  <c r="C144" i="25"/>
  <c r="B144" i="25"/>
  <c r="A144" i="25"/>
  <c r="AP143" i="25"/>
  <c r="AO143" i="25"/>
  <c r="AN143" i="25"/>
  <c r="AM143" i="25"/>
  <c r="AL143" i="25"/>
  <c r="AK143" i="25"/>
  <c r="AJ143" i="25"/>
  <c r="AI143" i="25"/>
  <c r="AH143" i="25"/>
  <c r="AG143" i="25"/>
  <c r="AF143" i="25"/>
  <c r="AE143" i="25"/>
  <c r="AD143" i="25"/>
  <c r="AC143" i="25"/>
  <c r="AB143" i="25"/>
  <c r="AA143" i="25"/>
  <c r="Z143" i="25"/>
  <c r="Y143" i="25"/>
  <c r="X143" i="25"/>
  <c r="W143" i="25"/>
  <c r="V143" i="25"/>
  <c r="U143" i="25"/>
  <c r="T143" i="25"/>
  <c r="S143" i="25"/>
  <c r="R143" i="25"/>
  <c r="Q143" i="25"/>
  <c r="P143" i="25"/>
  <c r="O143" i="25"/>
  <c r="N143" i="25"/>
  <c r="M143" i="25"/>
  <c r="L143" i="25"/>
  <c r="K143" i="25"/>
  <c r="J143" i="25"/>
  <c r="I143" i="25"/>
  <c r="H143" i="25"/>
  <c r="G143" i="25"/>
  <c r="F143" i="25"/>
  <c r="E143" i="25"/>
  <c r="D143" i="25"/>
  <c r="C143" i="25"/>
  <c r="B143" i="25"/>
  <c r="A143" i="25"/>
  <c r="AP142" i="25"/>
  <c r="AO142" i="25"/>
  <c r="AN142" i="25"/>
  <c r="AM142" i="25"/>
  <c r="AL142" i="25"/>
  <c r="AK142" i="25"/>
  <c r="AJ142" i="25"/>
  <c r="AI142" i="25"/>
  <c r="AH142" i="25"/>
  <c r="AG142" i="25"/>
  <c r="AF142" i="25"/>
  <c r="AE142" i="25"/>
  <c r="AD142" i="25"/>
  <c r="AC142" i="25"/>
  <c r="AB142" i="25"/>
  <c r="AA142" i="25"/>
  <c r="Z142" i="25"/>
  <c r="Y142" i="25"/>
  <c r="X142" i="25"/>
  <c r="W142" i="25"/>
  <c r="V142" i="25"/>
  <c r="U142" i="25"/>
  <c r="T142" i="25"/>
  <c r="S142" i="25"/>
  <c r="R142" i="25"/>
  <c r="Q142" i="25"/>
  <c r="P142" i="25"/>
  <c r="O142" i="25"/>
  <c r="N142" i="25"/>
  <c r="M142" i="25"/>
  <c r="L142" i="25"/>
  <c r="K142" i="25"/>
  <c r="J142" i="25"/>
  <c r="I142" i="25"/>
  <c r="H142" i="25"/>
  <c r="G142" i="25"/>
  <c r="F142" i="25"/>
  <c r="E142" i="25"/>
  <c r="D142" i="25"/>
  <c r="C142" i="25"/>
  <c r="B142" i="25"/>
  <c r="A142" i="25"/>
  <c r="AP141" i="25"/>
  <c r="AO141" i="25"/>
  <c r="AN141" i="25"/>
  <c r="AM141" i="25"/>
  <c r="AL141" i="25"/>
  <c r="AK141" i="25"/>
  <c r="AJ141" i="25"/>
  <c r="AI141" i="25"/>
  <c r="AH141" i="25"/>
  <c r="AG141" i="25"/>
  <c r="AF141" i="25"/>
  <c r="AE141" i="25"/>
  <c r="AD141" i="25"/>
  <c r="AC141" i="25"/>
  <c r="AB141" i="25"/>
  <c r="AA141" i="25"/>
  <c r="Z141" i="25"/>
  <c r="Y141" i="25"/>
  <c r="X141" i="25"/>
  <c r="W141" i="25"/>
  <c r="V141" i="25"/>
  <c r="U141" i="25"/>
  <c r="T141" i="25"/>
  <c r="S141" i="25"/>
  <c r="R141" i="25"/>
  <c r="Q141" i="25"/>
  <c r="P141" i="25"/>
  <c r="O141" i="25"/>
  <c r="N141" i="25"/>
  <c r="M141" i="25"/>
  <c r="L141" i="25"/>
  <c r="K141" i="25"/>
  <c r="J141" i="25"/>
  <c r="I141" i="25"/>
  <c r="H141" i="25"/>
  <c r="G141" i="25"/>
  <c r="F141" i="25"/>
  <c r="E141" i="25"/>
  <c r="D141" i="25"/>
  <c r="C141" i="25"/>
  <c r="B141" i="25"/>
  <c r="A141" i="25"/>
  <c r="AP140" i="25"/>
  <c r="AO140" i="25"/>
  <c r="AN140" i="25"/>
  <c r="AM140" i="25"/>
  <c r="AL140" i="25"/>
  <c r="AK140" i="25"/>
  <c r="AJ140" i="25"/>
  <c r="AI140" i="25"/>
  <c r="AH140" i="25"/>
  <c r="AG140" i="25"/>
  <c r="AF140" i="25"/>
  <c r="AE140" i="25"/>
  <c r="AD140" i="25"/>
  <c r="AC140" i="25"/>
  <c r="AB140" i="25"/>
  <c r="AA140" i="25"/>
  <c r="Z140" i="25"/>
  <c r="Y140" i="25"/>
  <c r="X140" i="25"/>
  <c r="W140" i="25"/>
  <c r="V140" i="25"/>
  <c r="U140" i="25"/>
  <c r="T140" i="25"/>
  <c r="S140" i="25"/>
  <c r="R140" i="25"/>
  <c r="Q140" i="25"/>
  <c r="P140" i="25"/>
  <c r="O140" i="25"/>
  <c r="N140" i="25"/>
  <c r="M140" i="25"/>
  <c r="L140" i="25"/>
  <c r="K140" i="25"/>
  <c r="J140" i="25"/>
  <c r="I140" i="25"/>
  <c r="H140" i="25"/>
  <c r="G140" i="25"/>
  <c r="F140" i="25"/>
  <c r="E140" i="25"/>
  <c r="D140" i="25"/>
  <c r="C140" i="25"/>
  <c r="B140" i="25"/>
  <c r="A140" i="25"/>
  <c r="AP139" i="25"/>
  <c r="AO139" i="25"/>
  <c r="AN139" i="25"/>
  <c r="AM139" i="25"/>
  <c r="AL139" i="25"/>
  <c r="AK139" i="25"/>
  <c r="AJ139" i="25"/>
  <c r="AI139" i="25"/>
  <c r="AH139" i="25"/>
  <c r="AG139" i="25"/>
  <c r="AF139" i="25"/>
  <c r="AE139" i="25"/>
  <c r="AD139" i="25"/>
  <c r="AC139" i="25"/>
  <c r="AB139" i="25"/>
  <c r="AA139" i="25"/>
  <c r="Z139" i="25"/>
  <c r="Y139" i="25"/>
  <c r="X139" i="25"/>
  <c r="W139" i="25"/>
  <c r="V139" i="25"/>
  <c r="U139" i="25"/>
  <c r="T139" i="25"/>
  <c r="S139" i="25"/>
  <c r="R139" i="25"/>
  <c r="Q139" i="25"/>
  <c r="P139" i="25"/>
  <c r="O139" i="25"/>
  <c r="N139" i="25"/>
  <c r="M139" i="25"/>
  <c r="L139" i="25"/>
  <c r="K139" i="25"/>
  <c r="J139" i="25"/>
  <c r="I139" i="25"/>
  <c r="H139" i="25"/>
  <c r="G139" i="25"/>
  <c r="F139" i="25"/>
  <c r="E139" i="25"/>
  <c r="D139" i="25"/>
  <c r="C139" i="25"/>
  <c r="B139" i="25"/>
  <c r="A139" i="25"/>
  <c r="AP138" i="25"/>
  <c r="AO138" i="25"/>
  <c r="AN138" i="25"/>
  <c r="AM138" i="25"/>
  <c r="AL138" i="25"/>
  <c r="AK138" i="25"/>
  <c r="AJ138" i="25"/>
  <c r="AI138" i="25"/>
  <c r="AH138" i="25"/>
  <c r="AG138" i="25"/>
  <c r="AF138" i="25"/>
  <c r="AE138" i="25"/>
  <c r="AD138" i="25"/>
  <c r="AC138" i="25"/>
  <c r="AB138" i="25"/>
  <c r="AA138" i="25"/>
  <c r="Z138" i="25"/>
  <c r="Y138" i="25"/>
  <c r="X138" i="25"/>
  <c r="W138" i="25"/>
  <c r="V138" i="25"/>
  <c r="U138" i="25"/>
  <c r="T138" i="25"/>
  <c r="S138" i="25"/>
  <c r="R138" i="25"/>
  <c r="Q138" i="25"/>
  <c r="P138" i="25"/>
  <c r="O138" i="25"/>
  <c r="N138" i="25"/>
  <c r="M138" i="25"/>
  <c r="L138" i="25"/>
  <c r="K138" i="25"/>
  <c r="J138" i="25"/>
  <c r="I138" i="25"/>
  <c r="H138" i="25"/>
  <c r="G138" i="25"/>
  <c r="F138" i="25"/>
  <c r="E138" i="25"/>
  <c r="D138" i="25"/>
  <c r="C138" i="25"/>
  <c r="B138" i="25"/>
  <c r="A138" i="25"/>
  <c r="AP137" i="25"/>
  <c r="AO137" i="25"/>
  <c r="AN137" i="25"/>
  <c r="AM137" i="25"/>
  <c r="AL137" i="25"/>
  <c r="AK137" i="25"/>
  <c r="AJ137" i="25"/>
  <c r="AI137" i="25"/>
  <c r="AH137" i="25"/>
  <c r="AG137" i="25"/>
  <c r="AF137" i="25"/>
  <c r="AE137" i="25"/>
  <c r="AD137" i="25"/>
  <c r="AC137" i="25"/>
  <c r="AB137" i="25"/>
  <c r="AA137" i="25"/>
  <c r="Z137" i="25"/>
  <c r="Y137" i="25"/>
  <c r="X137" i="25"/>
  <c r="W137" i="25"/>
  <c r="V137" i="25"/>
  <c r="U137" i="25"/>
  <c r="T137" i="25"/>
  <c r="S137" i="25"/>
  <c r="R137" i="25"/>
  <c r="Q137" i="25"/>
  <c r="P137" i="25"/>
  <c r="O137" i="25"/>
  <c r="N137" i="25"/>
  <c r="M137" i="25"/>
  <c r="L137" i="25"/>
  <c r="K137" i="25"/>
  <c r="J137" i="25"/>
  <c r="I137" i="25"/>
  <c r="H137" i="25"/>
  <c r="G137" i="25"/>
  <c r="F137" i="25"/>
  <c r="E137" i="25"/>
  <c r="D137" i="25"/>
  <c r="C137" i="25"/>
  <c r="B137" i="25"/>
  <c r="A137" i="25"/>
  <c r="AP136" i="25"/>
  <c r="AO136" i="25"/>
  <c r="AN136" i="25"/>
  <c r="AM136" i="25"/>
  <c r="AL136" i="25"/>
  <c r="AK136" i="25"/>
  <c r="AJ136" i="25"/>
  <c r="AI136" i="25"/>
  <c r="AH136" i="25"/>
  <c r="AG136" i="25"/>
  <c r="AF136" i="25"/>
  <c r="AE136" i="25"/>
  <c r="AD136" i="25"/>
  <c r="AC136" i="25"/>
  <c r="AB136" i="25"/>
  <c r="AA136" i="25"/>
  <c r="Z136" i="25"/>
  <c r="Y136" i="25"/>
  <c r="X136" i="25"/>
  <c r="W136" i="25"/>
  <c r="V136" i="25"/>
  <c r="U136" i="25"/>
  <c r="T136" i="25"/>
  <c r="S136" i="25"/>
  <c r="R136" i="25"/>
  <c r="Q136" i="25"/>
  <c r="P136" i="25"/>
  <c r="O136" i="25"/>
  <c r="N136" i="25"/>
  <c r="M136" i="25"/>
  <c r="L136" i="25"/>
  <c r="K136" i="25"/>
  <c r="J136" i="25"/>
  <c r="I136" i="25"/>
  <c r="H136" i="25"/>
  <c r="G136" i="25"/>
  <c r="F136" i="25"/>
  <c r="E136" i="25"/>
  <c r="D136" i="25"/>
  <c r="C136" i="25"/>
  <c r="B136" i="25"/>
  <c r="A136" i="25"/>
  <c r="AP135" i="25"/>
  <c r="AO135" i="25"/>
  <c r="AN135" i="25"/>
  <c r="AM135" i="25"/>
  <c r="AL135" i="25"/>
  <c r="AK135" i="25"/>
  <c r="AJ135" i="25"/>
  <c r="AI135" i="25"/>
  <c r="AH135" i="25"/>
  <c r="AG135" i="25"/>
  <c r="AF135" i="25"/>
  <c r="AE135" i="25"/>
  <c r="AD135" i="25"/>
  <c r="AC135" i="25"/>
  <c r="AB135" i="25"/>
  <c r="AA135" i="25"/>
  <c r="Z135" i="25"/>
  <c r="Y135" i="25"/>
  <c r="X135" i="25"/>
  <c r="W135" i="25"/>
  <c r="V135" i="25"/>
  <c r="U135" i="25"/>
  <c r="T135" i="25"/>
  <c r="S135" i="25"/>
  <c r="R135" i="25"/>
  <c r="Q135" i="25"/>
  <c r="P135" i="25"/>
  <c r="O135" i="25"/>
  <c r="N135" i="25"/>
  <c r="M135" i="25"/>
  <c r="L135" i="25"/>
  <c r="K135" i="25"/>
  <c r="J135" i="25"/>
  <c r="I135" i="25"/>
  <c r="H135" i="25"/>
  <c r="G135" i="25"/>
  <c r="F135" i="25"/>
  <c r="E135" i="25"/>
  <c r="D135" i="25"/>
  <c r="C135" i="25"/>
  <c r="B135" i="25"/>
  <c r="A135" i="25"/>
  <c r="AP134" i="25"/>
  <c r="AO134" i="25"/>
  <c r="AN134" i="25"/>
  <c r="AM134" i="25"/>
  <c r="AL134" i="25"/>
  <c r="AK134" i="25"/>
  <c r="AJ134" i="25"/>
  <c r="AI134" i="25"/>
  <c r="AH134" i="25"/>
  <c r="AG134" i="25"/>
  <c r="AF134" i="25"/>
  <c r="AE134" i="25"/>
  <c r="AD134" i="25"/>
  <c r="AC134" i="25"/>
  <c r="AB134" i="25"/>
  <c r="AA134" i="25"/>
  <c r="Z134" i="25"/>
  <c r="Y134" i="25"/>
  <c r="X134" i="25"/>
  <c r="W134" i="25"/>
  <c r="V134" i="25"/>
  <c r="U134" i="25"/>
  <c r="T134" i="25"/>
  <c r="S134" i="25"/>
  <c r="R134" i="25"/>
  <c r="Q134" i="25"/>
  <c r="P134" i="25"/>
  <c r="O134" i="25"/>
  <c r="N134" i="25"/>
  <c r="M134" i="25"/>
  <c r="L134" i="25"/>
  <c r="K134" i="25"/>
  <c r="J134" i="25"/>
  <c r="I134" i="25"/>
  <c r="H134" i="25"/>
  <c r="G134" i="25"/>
  <c r="F134" i="25"/>
  <c r="E134" i="25"/>
  <c r="D134" i="25"/>
  <c r="C134" i="25"/>
  <c r="B134" i="25"/>
  <c r="A134" i="25"/>
  <c r="AP133" i="25"/>
  <c r="AO133" i="25"/>
  <c r="AN133" i="25"/>
  <c r="AM133" i="25"/>
  <c r="AL133" i="25"/>
  <c r="AK133" i="25"/>
  <c r="AJ133" i="25"/>
  <c r="AI133" i="25"/>
  <c r="AH133" i="25"/>
  <c r="AG133" i="25"/>
  <c r="AF133" i="25"/>
  <c r="AE133" i="25"/>
  <c r="AD133" i="25"/>
  <c r="AC133" i="25"/>
  <c r="AB133" i="25"/>
  <c r="AA133" i="25"/>
  <c r="Z133" i="25"/>
  <c r="Y133" i="25"/>
  <c r="X133" i="25"/>
  <c r="W133" i="25"/>
  <c r="V133" i="25"/>
  <c r="U133" i="25"/>
  <c r="T133" i="25"/>
  <c r="S133" i="25"/>
  <c r="R133" i="25"/>
  <c r="Q133" i="25"/>
  <c r="P133" i="25"/>
  <c r="O133" i="25"/>
  <c r="N133" i="25"/>
  <c r="M133" i="25"/>
  <c r="L133" i="25"/>
  <c r="K133" i="25"/>
  <c r="J133" i="25"/>
  <c r="I133" i="25"/>
  <c r="H133" i="25"/>
  <c r="G133" i="25"/>
  <c r="F133" i="25"/>
  <c r="E133" i="25"/>
  <c r="D133" i="25"/>
  <c r="C133" i="25"/>
  <c r="B133" i="25"/>
  <c r="A133" i="25"/>
  <c r="AP132" i="25"/>
  <c r="AO132" i="25"/>
  <c r="AN132" i="25"/>
  <c r="AM132" i="25"/>
  <c r="AL132" i="25"/>
  <c r="AK132" i="25"/>
  <c r="AJ132" i="25"/>
  <c r="AI132" i="25"/>
  <c r="AH132" i="25"/>
  <c r="AG132" i="25"/>
  <c r="AF132" i="25"/>
  <c r="AE132" i="25"/>
  <c r="AD132" i="25"/>
  <c r="AC132" i="25"/>
  <c r="AB132" i="25"/>
  <c r="AA132" i="25"/>
  <c r="Z132" i="25"/>
  <c r="Y132" i="25"/>
  <c r="X132" i="25"/>
  <c r="W132" i="25"/>
  <c r="V132" i="25"/>
  <c r="U132" i="25"/>
  <c r="T132" i="25"/>
  <c r="S132" i="25"/>
  <c r="R132" i="25"/>
  <c r="Q132" i="25"/>
  <c r="P132" i="25"/>
  <c r="O132" i="25"/>
  <c r="N132" i="25"/>
  <c r="M132" i="25"/>
  <c r="L132" i="25"/>
  <c r="K132" i="25"/>
  <c r="J132" i="25"/>
  <c r="I132" i="25"/>
  <c r="H132" i="25"/>
  <c r="G132" i="25"/>
  <c r="F132" i="25"/>
  <c r="E132" i="25"/>
  <c r="D132" i="25"/>
  <c r="C132" i="25"/>
  <c r="B132" i="25"/>
  <c r="A132" i="25"/>
  <c r="AP131" i="25"/>
  <c r="AO131" i="25"/>
  <c r="AN131" i="25"/>
  <c r="AM131" i="25"/>
  <c r="AL131" i="25"/>
  <c r="AK131" i="25"/>
  <c r="AJ131" i="25"/>
  <c r="AI131" i="25"/>
  <c r="AH131" i="25"/>
  <c r="AG131" i="25"/>
  <c r="AF131" i="25"/>
  <c r="AE131" i="25"/>
  <c r="AD131" i="25"/>
  <c r="AC131" i="25"/>
  <c r="AB131" i="25"/>
  <c r="AA131" i="25"/>
  <c r="Z131" i="25"/>
  <c r="Y131" i="25"/>
  <c r="X131" i="25"/>
  <c r="W131" i="25"/>
  <c r="V131" i="25"/>
  <c r="U131" i="25"/>
  <c r="T131" i="25"/>
  <c r="S131" i="25"/>
  <c r="R131" i="25"/>
  <c r="Q131" i="25"/>
  <c r="P131" i="25"/>
  <c r="O131" i="25"/>
  <c r="N131" i="25"/>
  <c r="M131" i="25"/>
  <c r="L131" i="25"/>
  <c r="K131" i="25"/>
  <c r="J131" i="25"/>
  <c r="I131" i="25"/>
  <c r="H131" i="25"/>
  <c r="G131" i="25"/>
  <c r="F131" i="25"/>
  <c r="E131" i="25"/>
  <c r="D131" i="25"/>
  <c r="C131" i="25"/>
  <c r="B131" i="25"/>
  <c r="A131" i="25"/>
  <c r="AP130" i="25"/>
  <c r="AO130" i="25"/>
  <c r="AN130" i="25"/>
  <c r="AM130" i="25"/>
  <c r="AL130" i="25"/>
  <c r="AK130" i="25"/>
  <c r="AJ130" i="25"/>
  <c r="AI130" i="25"/>
  <c r="AH130" i="25"/>
  <c r="AG130" i="25"/>
  <c r="AF130" i="25"/>
  <c r="AE130" i="25"/>
  <c r="AD130" i="25"/>
  <c r="AC130" i="25"/>
  <c r="AB130" i="25"/>
  <c r="AA130" i="25"/>
  <c r="Z130" i="25"/>
  <c r="Y130" i="25"/>
  <c r="X130" i="25"/>
  <c r="W130" i="25"/>
  <c r="V130" i="25"/>
  <c r="U130" i="25"/>
  <c r="T130" i="25"/>
  <c r="S130" i="25"/>
  <c r="R130" i="25"/>
  <c r="Q130" i="25"/>
  <c r="P130" i="25"/>
  <c r="O130" i="25"/>
  <c r="N130" i="25"/>
  <c r="M130" i="25"/>
  <c r="L130" i="25"/>
  <c r="K130" i="25"/>
  <c r="J130" i="25"/>
  <c r="I130" i="25"/>
  <c r="H130" i="25"/>
  <c r="G130" i="25"/>
  <c r="F130" i="25"/>
  <c r="E130" i="25"/>
  <c r="D130" i="25"/>
  <c r="C130" i="25"/>
  <c r="B130" i="25"/>
  <c r="A130" i="25"/>
  <c r="AP129" i="25"/>
  <c r="AO129" i="25"/>
  <c r="AN129" i="25"/>
  <c r="AM129" i="25"/>
  <c r="AL129" i="25"/>
  <c r="AK129" i="25"/>
  <c r="AJ129" i="25"/>
  <c r="AI129" i="25"/>
  <c r="AH129" i="25"/>
  <c r="AG129" i="25"/>
  <c r="AF129" i="25"/>
  <c r="AE129" i="25"/>
  <c r="AD129" i="25"/>
  <c r="AC129" i="25"/>
  <c r="AB129" i="25"/>
  <c r="AA129" i="25"/>
  <c r="Z129" i="25"/>
  <c r="Y129" i="25"/>
  <c r="X129" i="25"/>
  <c r="W129" i="25"/>
  <c r="V129" i="25"/>
  <c r="U129" i="25"/>
  <c r="T129" i="25"/>
  <c r="S129" i="25"/>
  <c r="R129" i="25"/>
  <c r="Q129" i="25"/>
  <c r="P129" i="25"/>
  <c r="O129" i="25"/>
  <c r="N129" i="25"/>
  <c r="M129" i="25"/>
  <c r="L129" i="25"/>
  <c r="K129" i="25"/>
  <c r="J129" i="25"/>
  <c r="I129" i="25"/>
  <c r="H129" i="25"/>
  <c r="G129" i="25"/>
  <c r="F129" i="25"/>
  <c r="E129" i="25"/>
  <c r="D129" i="25"/>
  <c r="C129" i="25"/>
  <c r="B129" i="25"/>
  <c r="A129" i="25"/>
  <c r="AP128" i="25"/>
  <c r="AO128" i="25"/>
  <c r="AN128" i="25"/>
  <c r="AM128" i="25"/>
  <c r="AL128" i="25"/>
  <c r="AK128" i="25"/>
  <c r="AJ128" i="25"/>
  <c r="AI128" i="25"/>
  <c r="AH128" i="25"/>
  <c r="AG128" i="25"/>
  <c r="AF128" i="25"/>
  <c r="AE128" i="25"/>
  <c r="AD128" i="25"/>
  <c r="AC128" i="25"/>
  <c r="AB128" i="25"/>
  <c r="AA128" i="25"/>
  <c r="Z128" i="25"/>
  <c r="Y128" i="25"/>
  <c r="X128" i="25"/>
  <c r="W128" i="25"/>
  <c r="V128" i="25"/>
  <c r="U128" i="25"/>
  <c r="T128" i="25"/>
  <c r="S128" i="25"/>
  <c r="R128" i="25"/>
  <c r="Q128" i="25"/>
  <c r="P128" i="25"/>
  <c r="O128" i="25"/>
  <c r="N128" i="25"/>
  <c r="M128" i="25"/>
  <c r="L128" i="25"/>
  <c r="K128" i="25"/>
  <c r="J128" i="25"/>
  <c r="I128" i="25"/>
  <c r="H128" i="25"/>
  <c r="G128" i="25"/>
  <c r="F128" i="25"/>
  <c r="E128" i="25"/>
  <c r="D128" i="25"/>
  <c r="C128" i="25"/>
  <c r="B128" i="25"/>
  <c r="A128" i="25"/>
  <c r="AP127" i="25"/>
  <c r="AO127" i="25"/>
  <c r="AN127" i="25"/>
  <c r="AM127" i="25"/>
  <c r="AL127" i="25"/>
  <c r="AK127" i="25"/>
  <c r="AJ127" i="25"/>
  <c r="AI127" i="25"/>
  <c r="AH127" i="25"/>
  <c r="AG127" i="25"/>
  <c r="AF127" i="25"/>
  <c r="AE127" i="25"/>
  <c r="AD127" i="25"/>
  <c r="AC127" i="25"/>
  <c r="AB127" i="25"/>
  <c r="AA127" i="25"/>
  <c r="Z127" i="25"/>
  <c r="Y127" i="25"/>
  <c r="X127" i="25"/>
  <c r="W127" i="25"/>
  <c r="V127" i="25"/>
  <c r="U127" i="25"/>
  <c r="T127" i="25"/>
  <c r="S127" i="25"/>
  <c r="R127" i="25"/>
  <c r="Q127" i="25"/>
  <c r="P127" i="25"/>
  <c r="O127" i="25"/>
  <c r="N127" i="25"/>
  <c r="M127" i="25"/>
  <c r="L127" i="25"/>
  <c r="K127" i="25"/>
  <c r="J127" i="25"/>
  <c r="I127" i="25"/>
  <c r="H127" i="25"/>
  <c r="G127" i="25"/>
  <c r="F127" i="25"/>
  <c r="E127" i="25"/>
  <c r="D127" i="25"/>
  <c r="C127" i="25"/>
  <c r="B127" i="25"/>
  <c r="A127" i="25"/>
  <c r="AP126" i="25"/>
  <c r="AO126" i="25"/>
  <c r="AN126" i="25"/>
  <c r="AM126" i="25"/>
  <c r="AL126" i="25"/>
  <c r="AK126" i="25"/>
  <c r="AJ126" i="25"/>
  <c r="AI126" i="25"/>
  <c r="AH126" i="25"/>
  <c r="AG126" i="25"/>
  <c r="AF126" i="25"/>
  <c r="AE126" i="25"/>
  <c r="AD126" i="25"/>
  <c r="AC126" i="25"/>
  <c r="AB126" i="25"/>
  <c r="AA126" i="25"/>
  <c r="Z126" i="25"/>
  <c r="Y126" i="25"/>
  <c r="X126" i="25"/>
  <c r="W126" i="25"/>
  <c r="V126" i="25"/>
  <c r="U126" i="25"/>
  <c r="T126" i="25"/>
  <c r="S126" i="25"/>
  <c r="R126" i="25"/>
  <c r="Q126" i="25"/>
  <c r="P126" i="25"/>
  <c r="O126" i="25"/>
  <c r="N126" i="25"/>
  <c r="M126" i="25"/>
  <c r="L126" i="25"/>
  <c r="K126" i="25"/>
  <c r="J126" i="25"/>
  <c r="I126" i="25"/>
  <c r="H126" i="25"/>
  <c r="G126" i="25"/>
  <c r="F126" i="25"/>
  <c r="E126" i="25"/>
  <c r="D126" i="25"/>
  <c r="C126" i="25"/>
  <c r="B126" i="25"/>
  <c r="A126" i="25"/>
  <c r="AP125" i="25"/>
  <c r="AO125" i="25"/>
  <c r="AN125" i="25"/>
  <c r="AM125" i="25"/>
  <c r="AL125" i="25"/>
  <c r="AK125" i="25"/>
  <c r="AJ125" i="25"/>
  <c r="AI125" i="25"/>
  <c r="AH125" i="25"/>
  <c r="AG125" i="25"/>
  <c r="AF125" i="25"/>
  <c r="AE125" i="25"/>
  <c r="AD125" i="25"/>
  <c r="AC125" i="25"/>
  <c r="AB125" i="25"/>
  <c r="AA125" i="25"/>
  <c r="Z125" i="25"/>
  <c r="Y125" i="25"/>
  <c r="X125" i="25"/>
  <c r="W125" i="25"/>
  <c r="V125" i="25"/>
  <c r="U125" i="25"/>
  <c r="T125" i="25"/>
  <c r="S125" i="25"/>
  <c r="R125" i="25"/>
  <c r="Q125" i="25"/>
  <c r="P125" i="25"/>
  <c r="O125" i="25"/>
  <c r="N125" i="25"/>
  <c r="M125" i="25"/>
  <c r="L125" i="25"/>
  <c r="K125" i="25"/>
  <c r="J125" i="25"/>
  <c r="I125" i="25"/>
  <c r="H125" i="25"/>
  <c r="G125" i="25"/>
  <c r="F125" i="25"/>
  <c r="E125" i="25"/>
  <c r="D125" i="25"/>
  <c r="C125" i="25"/>
  <c r="B125" i="25"/>
  <c r="A125" i="25"/>
  <c r="AP124" i="25"/>
  <c r="AO124" i="25"/>
  <c r="AN124" i="25"/>
  <c r="AM124" i="25"/>
  <c r="AL124" i="25"/>
  <c r="AK124" i="25"/>
  <c r="AJ124" i="25"/>
  <c r="AI124" i="25"/>
  <c r="AH124" i="25"/>
  <c r="AG124" i="25"/>
  <c r="AF124" i="25"/>
  <c r="AE124" i="25"/>
  <c r="AD124" i="25"/>
  <c r="AC124" i="25"/>
  <c r="AB124" i="25"/>
  <c r="AA124" i="25"/>
  <c r="Z124" i="25"/>
  <c r="Y124" i="25"/>
  <c r="X124" i="25"/>
  <c r="W124" i="25"/>
  <c r="V124" i="25"/>
  <c r="U124" i="25"/>
  <c r="T124" i="25"/>
  <c r="S124" i="25"/>
  <c r="R124" i="25"/>
  <c r="Q124" i="25"/>
  <c r="P124" i="25"/>
  <c r="O124" i="25"/>
  <c r="N124" i="25"/>
  <c r="M124" i="25"/>
  <c r="L124" i="25"/>
  <c r="K124" i="25"/>
  <c r="J124" i="25"/>
  <c r="I124" i="25"/>
  <c r="H124" i="25"/>
  <c r="G124" i="25"/>
  <c r="F124" i="25"/>
  <c r="E124" i="25"/>
  <c r="D124" i="25"/>
  <c r="C124" i="25"/>
  <c r="B124" i="25"/>
  <c r="A124" i="25"/>
  <c r="AP123" i="25"/>
  <c r="AO123" i="25"/>
  <c r="AN123" i="25"/>
  <c r="AM123" i="25"/>
  <c r="AL123" i="25"/>
  <c r="AK123" i="25"/>
  <c r="AJ123" i="25"/>
  <c r="AI123" i="25"/>
  <c r="AH123" i="25"/>
  <c r="AG123" i="25"/>
  <c r="AF123" i="25"/>
  <c r="AE123" i="25"/>
  <c r="AD123" i="25"/>
  <c r="AC123" i="25"/>
  <c r="AB123" i="25"/>
  <c r="AA123" i="25"/>
  <c r="Z123" i="25"/>
  <c r="Y123" i="25"/>
  <c r="X123" i="25"/>
  <c r="W123" i="25"/>
  <c r="V123" i="25"/>
  <c r="U123" i="25"/>
  <c r="T123" i="25"/>
  <c r="S123" i="25"/>
  <c r="R123" i="25"/>
  <c r="Q123" i="25"/>
  <c r="P123" i="25"/>
  <c r="O123" i="25"/>
  <c r="N123" i="25"/>
  <c r="M123" i="25"/>
  <c r="L123" i="25"/>
  <c r="K123" i="25"/>
  <c r="J123" i="25"/>
  <c r="I123" i="25"/>
  <c r="H123" i="25"/>
  <c r="G123" i="25"/>
  <c r="F123" i="25"/>
  <c r="E123" i="25"/>
  <c r="D123" i="25"/>
  <c r="C123" i="25"/>
  <c r="B123" i="25"/>
  <c r="A123" i="25"/>
  <c r="AP122" i="25"/>
  <c r="AO122" i="25"/>
  <c r="AN122" i="25"/>
  <c r="AM122" i="25"/>
  <c r="AL122" i="25"/>
  <c r="AK122" i="25"/>
  <c r="AJ122" i="25"/>
  <c r="AI122" i="25"/>
  <c r="AH122" i="25"/>
  <c r="AG122" i="25"/>
  <c r="AF122" i="25"/>
  <c r="AE122" i="25"/>
  <c r="AD122" i="25"/>
  <c r="AC122" i="25"/>
  <c r="AB122" i="25"/>
  <c r="AA122" i="25"/>
  <c r="Z122" i="25"/>
  <c r="Y122" i="25"/>
  <c r="X122" i="25"/>
  <c r="W122" i="25"/>
  <c r="V122" i="25"/>
  <c r="U122" i="25"/>
  <c r="T122" i="25"/>
  <c r="S122" i="25"/>
  <c r="R122" i="25"/>
  <c r="Q122" i="25"/>
  <c r="P122" i="25"/>
  <c r="O122" i="25"/>
  <c r="N122" i="25"/>
  <c r="M122" i="25"/>
  <c r="L122" i="25"/>
  <c r="K122" i="25"/>
  <c r="J122" i="25"/>
  <c r="I122" i="25"/>
  <c r="H122" i="25"/>
  <c r="G122" i="25"/>
  <c r="F122" i="25"/>
  <c r="E122" i="25"/>
  <c r="D122" i="25"/>
  <c r="C122" i="25"/>
  <c r="B122" i="25"/>
  <c r="A122" i="25"/>
  <c r="AP121" i="25"/>
  <c r="AO121" i="25"/>
  <c r="AN121" i="25"/>
  <c r="AM121" i="25"/>
  <c r="AL121" i="25"/>
  <c r="AK121" i="25"/>
  <c r="AJ121" i="25"/>
  <c r="AI121" i="25"/>
  <c r="AH121" i="25"/>
  <c r="AG121" i="25"/>
  <c r="AF121" i="25"/>
  <c r="AE121" i="25"/>
  <c r="AD121" i="25"/>
  <c r="AC121" i="25"/>
  <c r="AB121" i="25"/>
  <c r="AA121" i="25"/>
  <c r="Z121" i="25"/>
  <c r="Y121" i="25"/>
  <c r="X121" i="25"/>
  <c r="W121" i="25"/>
  <c r="V121" i="25"/>
  <c r="U121" i="25"/>
  <c r="T121" i="25"/>
  <c r="S121" i="25"/>
  <c r="R121" i="25"/>
  <c r="Q121" i="25"/>
  <c r="P121" i="25"/>
  <c r="O121" i="25"/>
  <c r="N121" i="25"/>
  <c r="M121" i="25"/>
  <c r="L121" i="25"/>
  <c r="K121" i="25"/>
  <c r="J121" i="25"/>
  <c r="I121" i="25"/>
  <c r="H121" i="25"/>
  <c r="G121" i="25"/>
  <c r="F121" i="25"/>
  <c r="E121" i="25"/>
  <c r="D121" i="25"/>
  <c r="C121" i="25"/>
  <c r="B121" i="25"/>
  <c r="A121" i="25"/>
  <c r="AP120" i="25"/>
  <c r="AO120" i="25"/>
  <c r="AN120" i="25"/>
  <c r="AM120" i="25"/>
  <c r="AL120" i="25"/>
  <c r="AK120" i="25"/>
  <c r="AJ120" i="25"/>
  <c r="AI120" i="25"/>
  <c r="AH120" i="25"/>
  <c r="AG120" i="25"/>
  <c r="AF120" i="25"/>
  <c r="AE120" i="25"/>
  <c r="AD120" i="25"/>
  <c r="AC120" i="25"/>
  <c r="AB120" i="25"/>
  <c r="AA120" i="25"/>
  <c r="Z120" i="25"/>
  <c r="Y120" i="25"/>
  <c r="X120" i="25"/>
  <c r="W120" i="25"/>
  <c r="V120" i="25"/>
  <c r="U120" i="25"/>
  <c r="T120" i="25"/>
  <c r="S120" i="25"/>
  <c r="R120" i="25"/>
  <c r="Q120" i="25"/>
  <c r="P120" i="25"/>
  <c r="O120" i="25"/>
  <c r="N120" i="25"/>
  <c r="M120" i="25"/>
  <c r="L120" i="25"/>
  <c r="K120" i="25"/>
  <c r="J120" i="25"/>
  <c r="I120" i="25"/>
  <c r="H120" i="25"/>
  <c r="G120" i="25"/>
  <c r="F120" i="25"/>
  <c r="E120" i="25"/>
  <c r="D120" i="25"/>
  <c r="C120" i="25"/>
  <c r="B120" i="25"/>
  <c r="A120" i="25"/>
  <c r="AP119" i="25"/>
  <c r="AO119" i="25"/>
  <c r="AN119" i="25"/>
  <c r="AM119" i="25"/>
  <c r="AL119" i="25"/>
  <c r="AK119" i="25"/>
  <c r="AJ119" i="25"/>
  <c r="AI119" i="25"/>
  <c r="AH119" i="25"/>
  <c r="AG119" i="25"/>
  <c r="AF119" i="25"/>
  <c r="AE119" i="25"/>
  <c r="AD119" i="25"/>
  <c r="AC119" i="25"/>
  <c r="AB119" i="25"/>
  <c r="AA119" i="25"/>
  <c r="Z119" i="25"/>
  <c r="Y119" i="25"/>
  <c r="X119" i="25"/>
  <c r="W119" i="25"/>
  <c r="V119" i="25"/>
  <c r="U119" i="25"/>
  <c r="T119" i="25"/>
  <c r="S119" i="25"/>
  <c r="R119" i="25"/>
  <c r="Q119" i="25"/>
  <c r="P119" i="25"/>
  <c r="O119" i="25"/>
  <c r="N119" i="25"/>
  <c r="M119" i="25"/>
  <c r="L119" i="25"/>
  <c r="K119" i="25"/>
  <c r="J119" i="25"/>
  <c r="I119" i="25"/>
  <c r="H119" i="25"/>
  <c r="G119" i="25"/>
  <c r="F119" i="25"/>
  <c r="E119" i="25"/>
  <c r="D119" i="25"/>
  <c r="C119" i="25"/>
  <c r="B119" i="25"/>
  <c r="A119" i="25"/>
  <c r="AP118" i="25"/>
  <c r="AO118" i="25"/>
  <c r="AN118" i="25"/>
  <c r="AM118" i="25"/>
  <c r="AL118" i="25"/>
  <c r="AK118" i="25"/>
  <c r="AJ118" i="25"/>
  <c r="AI118" i="25"/>
  <c r="AH118" i="25"/>
  <c r="AG118" i="25"/>
  <c r="AF118" i="25"/>
  <c r="AE118" i="25"/>
  <c r="AD118" i="25"/>
  <c r="AC118" i="25"/>
  <c r="AB118" i="25"/>
  <c r="AA118" i="25"/>
  <c r="Z118" i="25"/>
  <c r="Y118" i="25"/>
  <c r="X118" i="25"/>
  <c r="W118" i="25"/>
  <c r="V118" i="25"/>
  <c r="U118" i="25"/>
  <c r="T118" i="25"/>
  <c r="S118" i="25"/>
  <c r="R118" i="25"/>
  <c r="Q118" i="25"/>
  <c r="P118" i="25"/>
  <c r="O118" i="25"/>
  <c r="N118" i="25"/>
  <c r="M118" i="25"/>
  <c r="L118" i="25"/>
  <c r="K118" i="25"/>
  <c r="J118" i="25"/>
  <c r="I118" i="25"/>
  <c r="H118" i="25"/>
  <c r="G118" i="25"/>
  <c r="F118" i="25"/>
  <c r="E118" i="25"/>
  <c r="D118" i="25"/>
  <c r="C118" i="25"/>
  <c r="B118" i="25"/>
  <c r="A118" i="25"/>
  <c r="AP117" i="25"/>
  <c r="AO117" i="25"/>
  <c r="AN117" i="25"/>
  <c r="AM117" i="25"/>
  <c r="AL117" i="25"/>
  <c r="AK117" i="25"/>
  <c r="AJ117" i="25"/>
  <c r="AI117" i="25"/>
  <c r="AH117" i="25"/>
  <c r="AG117" i="25"/>
  <c r="AF117" i="25"/>
  <c r="AE117" i="25"/>
  <c r="AD117" i="25"/>
  <c r="AC117" i="25"/>
  <c r="AB117" i="25"/>
  <c r="AA117" i="25"/>
  <c r="Z117" i="25"/>
  <c r="Y117" i="25"/>
  <c r="X117" i="25"/>
  <c r="W117" i="25"/>
  <c r="V117" i="25"/>
  <c r="U117" i="25"/>
  <c r="T117" i="25"/>
  <c r="S117" i="25"/>
  <c r="R117" i="25"/>
  <c r="Q117" i="25"/>
  <c r="P117" i="25"/>
  <c r="O117" i="25"/>
  <c r="N117" i="25"/>
  <c r="M117" i="25"/>
  <c r="L117" i="25"/>
  <c r="K117" i="25"/>
  <c r="J117" i="25"/>
  <c r="I117" i="25"/>
  <c r="H117" i="25"/>
  <c r="G117" i="25"/>
  <c r="F117" i="25"/>
  <c r="E117" i="25"/>
  <c r="D117" i="25"/>
  <c r="C117" i="25"/>
  <c r="B117" i="25"/>
  <c r="A117" i="25"/>
  <c r="AP116" i="25"/>
  <c r="AO116" i="25"/>
  <c r="AN116" i="25"/>
  <c r="AM116" i="25"/>
  <c r="AL116" i="25"/>
  <c r="AK116" i="25"/>
  <c r="AJ116" i="25"/>
  <c r="AI116" i="25"/>
  <c r="AH116" i="25"/>
  <c r="AG116" i="25"/>
  <c r="AF116" i="25"/>
  <c r="AE116" i="25"/>
  <c r="AD116" i="25"/>
  <c r="AC116" i="25"/>
  <c r="AB116" i="25"/>
  <c r="AA116" i="25"/>
  <c r="Z116" i="25"/>
  <c r="Y116" i="25"/>
  <c r="X116" i="25"/>
  <c r="W116" i="25"/>
  <c r="V116" i="25"/>
  <c r="U116" i="25"/>
  <c r="T116" i="25"/>
  <c r="S116" i="25"/>
  <c r="R116" i="25"/>
  <c r="Q116" i="25"/>
  <c r="P116" i="25"/>
  <c r="O116" i="25"/>
  <c r="N116" i="25"/>
  <c r="M116" i="25"/>
  <c r="L116" i="25"/>
  <c r="K116" i="25"/>
  <c r="J116" i="25"/>
  <c r="I116" i="25"/>
  <c r="H116" i="25"/>
  <c r="G116" i="25"/>
  <c r="F116" i="25"/>
  <c r="E116" i="25"/>
  <c r="D116" i="25"/>
  <c r="C116" i="25"/>
  <c r="B116" i="25"/>
  <c r="A116" i="25"/>
  <c r="AP115" i="25"/>
  <c r="AO115" i="25"/>
  <c r="AN115" i="25"/>
  <c r="AM115" i="25"/>
  <c r="AL115" i="25"/>
  <c r="AK115" i="25"/>
  <c r="AJ115" i="25"/>
  <c r="AI115" i="25"/>
  <c r="AH115" i="25"/>
  <c r="AG115" i="25"/>
  <c r="AF115" i="25"/>
  <c r="AE115" i="25"/>
  <c r="AD115" i="25"/>
  <c r="AC115" i="25"/>
  <c r="AB115" i="25"/>
  <c r="AA115" i="25"/>
  <c r="Z115" i="25"/>
  <c r="Y115" i="25"/>
  <c r="X115" i="25"/>
  <c r="W115" i="25"/>
  <c r="V115" i="25"/>
  <c r="U115" i="25"/>
  <c r="T115" i="25"/>
  <c r="S115" i="25"/>
  <c r="R115" i="25"/>
  <c r="Q115" i="25"/>
  <c r="P115" i="25"/>
  <c r="O115" i="25"/>
  <c r="N115" i="25"/>
  <c r="M115" i="25"/>
  <c r="L115" i="25"/>
  <c r="K115" i="25"/>
  <c r="J115" i="25"/>
  <c r="I115" i="25"/>
  <c r="H115" i="25"/>
  <c r="G115" i="25"/>
  <c r="F115" i="25"/>
  <c r="E115" i="25"/>
  <c r="D115" i="25"/>
  <c r="C115" i="25"/>
  <c r="B115" i="25"/>
  <c r="A115" i="25"/>
  <c r="AP114" i="25"/>
  <c r="AO114" i="25"/>
  <c r="AN114" i="25"/>
  <c r="AM114" i="25"/>
  <c r="AL114" i="25"/>
  <c r="AK114" i="25"/>
  <c r="AJ114" i="25"/>
  <c r="AI114" i="25"/>
  <c r="AH114" i="25"/>
  <c r="AG114" i="25"/>
  <c r="AF114" i="25"/>
  <c r="AE114" i="25"/>
  <c r="AD114" i="25"/>
  <c r="AC114" i="25"/>
  <c r="AB114" i="25"/>
  <c r="AA114" i="25"/>
  <c r="Z114" i="25"/>
  <c r="Y114" i="25"/>
  <c r="X114" i="25"/>
  <c r="W114" i="25"/>
  <c r="V114" i="25"/>
  <c r="U114" i="25"/>
  <c r="T114" i="25"/>
  <c r="S114" i="25"/>
  <c r="R114" i="25"/>
  <c r="Q114" i="25"/>
  <c r="P114" i="25"/>
  <c r="O114" i="25"/>
  <c r="N114" i="25"/>
  <c r="M114" i="25"/>
  <c r="L114" i="25"/>
  <c r="K114" i="25"/>
  <c r="J114" i="25"/>
  <c r="I114" i="25"/>
  <c r="H114" i="25"/>
  <c r="G114" i="25"/>
  <c r="F114" i="25"/>
  <c r="E114" i="25"/>
  <c r="D114" i="25"/>
  <c r="C114" i="25"/>
  <c r="B114" i="25"/>
  <c r="A114" i="25"/>
  <c r="AP113" i="25"/>
  <c r="AO113" i="25"/>
  <c r="AN113" i="25"/>
  <c r="AM113" i="25"/>
  <c r="AL113" i="25"/>
  <c r="AK113" i="25"/>
  <c r="AJ113" i="25"/>
  <c r="AI113" i="25"/>
  <c r="AH113" i="25"/>
  <c r="AG113" i="25"/>
  <c r="AF113" i="25"/>
  <c r="AE113" i="25"/>
  <c r="AD113" i="25"/>
  <c r="AC113" i="25"/>
  <c r="AB113" i="25"/>
  <c r="AA113" i="25"/>
  <c r="Z113" i="25"/>
  <c r="Y113" i="25"/>
  <c r="X113" i="25"/>
  <c r="W113" i="25"/>
  <c r="V113" i="25"/>
  <c r="U113" i="25"/>
  <c r="T113" i="25"/>
  <c r="S113" i="25"/>
  <c r="R113" i="25"/>
  <c r="Q113" i="25"/>
  <c r="P113" i="25"/>
  <c r="O113" i="25"/>
  <c r="N113" i="25"/>
  <c r="M113" i="25"/>
  <c r="L113" i="25"/>
  <c r="K113" i="25"/>
  <c r="J113" i="25"/>
  <c r="I113" i="25"/>
  <c r="H113" i="25"/>
  <c r="G113" i="25"/>
  <c r="F113" i="25"/>
  <c r="E113" i="25"/>
  <c r="D113" i="25"/>
  <c r="C113" i="25"/>
  <c r="B113" i="25"/>
  <c r="A113" i="25"/>
  <c r="AP112" i="25"/>
  <c r="AO112" i="25"/>
  <c r="AN112" i="25"/>
  <c r="AM112" i="25"/>
  <c r="AL112" i="25"/>
  <c r="AK112" i="25"/>
  <c r="AJ112" i="25"/>
  <c r="AI112" i="25"/>
  <c r="AH112" i="25"/>
  <c r="AG112" i="25"/>
  <c r="AF112" i="25"/>
  <c r="AE112" i="25"/>
  <c r="AD112" i="25"/>
  <c r="AC112" i="25"/>
  <c r="AB112" i="25"/>
  <c r="AA112" i="25"/>
  <c r="Z112" i="25"/>
  <c r="Y112" i="25"/>
  <c r="X112" i="25"/>
  <c r="W112" i="25"/>
  <c r="V112" i="25"/>
  <c r="U112" i="25"/>
  <c r="T112" i="25"/>
  <c r="S112" i="25"/>
  <c r="R112" i="25"/>
  <c r="Q112" i="25"/>
  <c r="P112" i="25"/>
  <c r="O112" i="25"/>
  <c r="N112" i="25"/>
  <c r="M112" i="25"/>
  <c r="L112" i="25"/>
  <c r="K112" i="25"/>
  <c r="J112" i="25"/>
  <c r="I112" i="25"/>
  <c r="H112" i="25"/>
  <c r="G112" i="25"/>
  <c r="F112" i="25"/>
  <c r="E112" i="25"/>
  <c r="D112" i="25"/>
  <c r="C112" i="25"/>
  <c r="B112" i="25"/>
  <c r="A112" i="25"/>
  <c r="AP111" i="25"/>
  <c r="AO111" i="25"/>
  <c r="AN111" i="25"/>
  <c r="AM111" i="25"/>
  <c r="AL111" i="25"/>
  <c r="AK111" i="25"/>
  <c r="AJ111" i="25"/>
  <c r="AI111" i="25"/>
  <c r="AH111" i="25"/>
  <c r="AG111" i="25"/>
  <c r="AF111" i="25"/>
  <c r="AE111" i="25"/>
  <c r="AD111" i="25"/>
  <c r="AC111" i="25"/>
  <c r="AB111" i="25"/>
  <c r="AA111" i="25"/>
  <c r="Z111" i="25"/>
  <c r="Y111" i="25"/>
  <c r="X111" i="25"/>
  <c r="W111" i="25"/>
  <c r="V111" i="25"/>
  <c r="U111" i="25"/>
  <c r="T111" i="25"/>
  <c r="S111" i="25"/>
  <c r="R111" i="25"/>
  <c r="Q111" i="25"/>
  <c r="P111" i="25"/>
  <c r="O111" i="25"/>
  <c r="N111" i="25"/>
  <c r="M111" i="25"/>
  <c r="L111" i="25"/>
  <c r="K111" i="25"/>
  <c r="J111" i="25"/>
  <c r="I111" i="25"/>
  <c r="H111" i="25"/>
  <c r="G111" i="25"/>
  <c r="F111" i="25"/>
  <c r="E111" i="25"/>
  <c r="D111" i="25"/>
  <c r="C111" i="25"/>
  <c r="B111" i="25"/>
  <c r="A111" i="25"/>
  <c r="AP110" i="25"/>
  <c r="AO110" i="25"/>
  <c r="AN110" i="25"/>
  <c r="AM110" i="25"/>
  <c r="AL110" i="25"/>
  <c r="AK110" i="25"/>
  <c r="AJ110" i="25"/>
  <c r="AI110" i="25"/>
  <c r="AH110" i="25"/>
  <c r="AG110" i="25"/>
  <c r="AF110" i="25"/>
  <c r="AE110" i="25"/>
  <c r="AD110" i="25"/>
  <c r="AC110" i="25"/>
  <c r="AB110" i="25"/>
  <c r="AA110" i="25"/>
  <c r="Z110" i="25"/>
  <c r="Y110" i="25"/>
  <c r="X110" i="25"/>
  <c r="W110" i="25"/>
  <c r="V110" i="25"/>
  <c r="U110" i="25"/>
  <c r="T110" i="25"/>
  <c r="S110" i="25"/>
  <c r="R110" i="25"/>
  <c r="Q110" i="25"/>
  <c r="P110" i="25"/>
  <c r="O110" i="25"/>
  <c r="N110" i="25"/>
  <c r="M110" i="25"/>
  <c r="L110" i="25"/>
  <c r="K110" i="25"/>
  <c r="J110" i="25"/>
  <c r="I110" i="25"/>
  <c r="H110" i="25"/>
  <c r="G110" i="25"/>
  <c r="F110" i="25"/>
  <c r="E110" i="25"/>
  <c r="D110" i="25"/>
  <c r="C110" i="25"/>
  <c r="B110" i="25"/>
  <c r="A110" i="25"/>
  <c r="AP109" i="25"/>
  <c r="AO109" i="25"/>
  <c r="AN109" i="25"/>
  <c r="AM109" i="25"/>
  <c r="AL109" i="25"/>
  <c r="AK109" i="25"/>
  <c r="AJ109" i="25"/>
  <c r="AI109" i="25"/>
  <c r="AH109" i="25"/>
  <c r="AG109" i="25"/>
  <c r="AF109" i="25"/>
  <c r="AE109" i="25"/>
  <c r="AD109" i="25"/>
  <c r="AC109" i="25"/>
  <c r="AB109" i="25"/>
  <c r="AA109" i="25"/>
  <c r="Z109" i="25"/>
  <c r="Y109" i="25"/>
  <c r="X109" i="25"/>
  <c r="W109" i="25"/>
  <c r="V109" i="25"/>
  <c r="U109" i="25"/>
  <c r="T109" i="25"/>
  <c r="S109" i="25"/>
  <c r="R109" i="25"/>
  <c r="Q109" i="25"/>
  <c r="P109" i="25"/>
  <c r="O109" i="25"/>
  <c r="N109" i="25"/>
  <c r="M109" i="25"/>
  <c r="L109" i="25"/>
  <c r="K109" i="25"/>
  <c r="J109" i="25"/>
  <c r="I109" i="25"/>
  <c r="H109" i="25"/>
  <c r="G109" i="25"/>
  <c r="F109" i="25"/>
  <c r="E109" i="25"/>
  <c r="D109" i="25"/>
  <c r="C109" i="25"/>
  <c r="B109" i="25"/>
  <c r="A109" i="25"/>
  <c r="AP108" i="25"/>
  <c r="AO108" i="25"/>
  <c r="AN108" i="25"/>
  <c r="AM108" i="25"/>
  <c r="AL108" i="25"/>
  <c r="AK108" i="25"/>
  <c r="AJ108" i="25"/>
  <c r="AI108" i="25"/>
  <c r="AH108" i="25"/>
  <c r="AG108" i="25"/>
  <c r="AF108" i="25"/>
  <c r="AE108" i="25"/>
  <c r="AD108" i="25"/>
  <c r="AC108" i="25"/>
  <c r="AB108" i="25"/>
  <c r="AA108" i="25"/>
  <c r="Z108" i="25"/>
  <c r="Y108" i="25"/>
  <c r="X108" i="25"/>
  <c r="W108" i="25"/>
  <c r="V108" i="25"/>
  <c r="U108" i="25"/>
  <c r="T108" i="25"/>
  <c r="S108" i="25"/>
  <c r="R108" i="25"/>
  <c r="Q108" i="25"/>
  <c r="P108" i="25"/>
  <c r="O108" i="25"/>
  <c r="N108" i="25"/>
  <c r="M108" i="25"/>
  <c r="L108" i="25"/>
  <c r="K108" i="25"/>
  <c r="J108" i="25"/>
  <c r="I108" i="25"/>
  <c r="H108" i="25"/>
  <c r="G108" i="25"/>
  <c r="F108" i="25"/>
  <c r="E108" i="25"/>
  <c r="D108" i="25"/>
  <c r="C108" i="25"/>
  <c r="B108" i="25"/>
  <c r="A108" i="25"/>
  <c r="AP107" i="25"/>
  <c r="AO107" i="25"/>
  <c r="AN107" i="25"/>
  <c r="AM107" i="25"/>
  <c r="AL107" i="25"/>
  <c r="AK107" i="25"/>
  <c r="AJ107" i="25"/>
  <c r="AI107" i="25"/>
  <c r="AH107" i="25"/>
  <c r="AG107" i="25"/>
  <c r="AF107" i="25"/>
  <c r="AE107" i="25"/>
  <c r="AD107" i="25"/>
  <c r="AC107" i="25"/>
  <c r="AB107" i="25"/>
  <c r="AA107" i="25"/>
  <c r="Z107" i="25"/>
  <c r="Y107" i="25"/>
  <c r="X107" i="25"/>
  <c r="W107" i="25"/>
  <c r="V107" i="25"/>
  <c r="U107" i="25"/>
  <c r="T107" i="25"/>
  <c r="S107" i="25"/>
  <c r="R107" i="25"/>
  <c r="Q107" i="25"/>
  <c r="P107" i="25"/>
  <c r="O107" i="25"/>
  <c r="N107" i="25"/>
  <c r="M107" i="25"/>
  <c r="L107" i="25"/>
  <c r="K107" i="25"/>
  <c r="J107" i="25"/>
  <c r="I107" i="25"/>
  <c r="H107" i="25"/>
  <c r="G107" i="25"/>
  <c r="F107" i="25"/>
  <c r="E107" i="25"/>
  <c r="D107" i="25"/>
  <c r="C107" i="25"/>
  <c r="B107" i="25"/>
  <c r="A107" i="25"/>
  <c r="AP106" i="25"/>
  <c r="AO106" i="25"/>
  <c r="AN106" i="25"/>
  <c r="AM106" i="25"/>
  <c r="AL106" i="25"/>
  <c r="AK106" i="25"/>
  <c r="AJ106" i="25"/>
  <c r="AI106" i="25"/>
  <c r="AH106" i="25"/>
  <c r="AG106" i="25"/>
  <c r="AF106" i="25"/>
  <c r="AE106" i="25"/>
  <c r="AD106" i="25"/>
  <c r="AC106" i="25"/>
  <c r="AB106" i="25"/>
  <c r="AA106" i="25"/>
  <c r="Z106" i="25"/>
  <c r="Y106" i="25"/>
  <c r="X106" i="25"/>
  <c r="W106" i="25"/>
  <c r="V106" i="25"/>
  <c r="U106" i="25"/>
  <c r="T106" i="25"/>
  <c r="S106" i="25"/>
  <c r="R106" i="25"/>
  <c r="Q106" i="25"/>
  <c r="P106" i="25"/>
  <c r="O106" i="25"/>
  <c r="N106" i="25"/>
  <c r="M106" i="25"/>
  <c r="L106" i="25"/>
  <c r="K106" i="25"/>
  <c r="J106" i="25"/>
  <c r="I106" i="25"/>
  <c r="H106" i="25"/>
  <c r="G106" i="25"/>
  <c r="F106" i="25"/>
  <c r="E106" i="25"/>
  <c r="D106" i="25"/>
  <c r="C106" i="25"/>
  <c r="B106" i="25"/>
  <c r="A106" i="25"/>
  <c r="AP105" i="25"/>
  <c r="AO105" i="25"/>
  <c r="AN105" i="25"/>
  <c r="AM105" i="25"/>
  <c r="AL105" i="25"/>
  <c r="AK105" i="25"/>
  <c r="AJ105" i="25"/>
  <c r="AI105" i="25"/>
  <c r="AH105" i="25"/>
  <c r="AG105" i="25"/>
  <c r="AF105" i="25"/>
  <c r="AE105" i="25"/>
  <c r="AD105" i="25"/>
  <c r="AC105" i="25"/>
  <c r="AB105" i="25"/>
  <c r="AA105" i="25"/>
  <c r="Z105" i="25"/>
  <c r="Y105" i="25"/>
  <c r="X105" i="25"/>
  <c r="W105" i="25"/>
  <c r="V105" i="25"/>
  <c r="U105" i="25"/>
  <c r="T105" i="25"/>
  <c r="S105" i="25"/>
  <c r="R105" i="25"/>
  <c r="Q105" i="25"/>
  <c r="P105" i="25"/>
  <c r="O105" i="25"/>
  <c r="N105" i="25"/>
  <c r="M105" i="25"/>
  <c r="L105" i="25"/>
  <c r="K105" i="25"/>
  <c r="J105" i="25"/>
  <c r="I105" i="25"/>
  <c r="H105" i="25"/>
  <c r="G105" i="25"/>
  <c r="F105" i="25"/>
  <c r="E105" i="25"/>
  <c r="D105" i="25"/>
  <c r="C105" i="25"/>
  <c r="B105" i="25"/>
  <c r="A105" i="25"/>
  <c r="AP104" i="25"/>
  <c r="AO104" i="25"/>
  <c r="AN104" i="25"/>
  <c r="AM104" i="25"/>
  <c r="AL104" i="25"/>
  <c r="AK104" i="25"/>
  <c r="AJ104" i="25"/>
  <c r="AI104" i="25"/>
  <c r="AH104" i="25"/>
  <c r="AG104" i="25"/>
  <c r="AF104" i="25"/>
  <c r="AE104" i="25"/>
  <c r="AD104" i="25"/>
  <c r="AC104" i="25"/>
  <c r="AB104" i="25"/>
  <c r="AA104" i="25"/>
  <c r="Z104" i="25"/>
  <c r="Y104" i="25"/>
  <c r="X104" i="25"/>
  <c r="W104" i="25"/>
  <c r="V104" i="25"/>
  <c r="U104" i="25"/>
  <c r="T104" i="25"/>
  <c r="S104" i="25"/>
  <c r="R104" i="25"/>
  <c r="Q104" i="25"/>
  <c r="P104" i="25"/>
  <c r="O104" i="25"/>
  <c r="N104" i="25"/>
  <c r="M104" i="25"/>
  <c r="L104" i="25"/>
  <c r="K104" i="25"/>
  <c r="J104" i="25"/>
  <c r="I104" i="25"/>
  <c r="H104" i="25"/>
  <c r="G104" i="25"/>
  <c r="F104" i="25"/>
  <c r="E104" i="25"/>
  <c r="D104" i="25"/>
  <c r="C104" i="25"/>
  <c r="B104" i="25"/>
  <c r="A104" i="25"/>
  <c r="AP103" i="25"/>
  <c r="AO103" i="25"/>
  <c r="AN103" i="25"/>
  <c r="AM103" i="25"/>
  <c r="AL103" i="25"/>
  <c r="AK103" i="25"/>
  <c r="AJ103" i="25"/>
  <c r="AI103" i="25"/>
  <c r="AH103" i="25"/>
  <c r="AG103" i="25"/>
  <c r="AF103" i="25"/>
  <c r="AE103" i="25"/>
  <c r="AD103" i="25"/>
  <c r="AC103" i="25"/>
  <c r="AB103" i="25"/>
  <c r="AA103" i="25"/>
  <c r="Z103" i="25"/>
  <c r="Y103" i="25"/>
  <c r="X103" i="25"/>
  <c r="W103" i="25"/>
  <c r="V103" i="25"/>
  <c r="U103" i="25"/>
  <c r="T103" i="25"/>
  <c r="S103" i="25"/>
  <c r="R103" i="25"/>
  <c r="Q103" i="25"/>
  <c r="P103" i="25"/>
  <c r="O103" i="25"/>
  <c r="N103" i="25"/>
  <c r="M103" i="25"/>
  <c r="L103" i="25"/>
  <c r="K103" i="25"/>
  <c r="J103" i="25"/>
  <c r="I103" i="25"/>
  <c r="H103" i="25"/>
  <c r="G103" i="25"/>
  <c r="F103" i="25"/>
  <c r="E103" i="25"/>
  <c r="D103" i="25"/>
  <c r="C103" i="25"/>
  <c r="B103" i="25"/>
  <c r="A103" i="25"/>
  <c r="AP102" i="25"/>
  <c r="AO102" i="25"/>
  <c r="AN102" i="25"/>
  <c r="AM102" i="25"/>
  <c r="AL102" i="25"/>
  <c r="AK102" i="25"/>
  <c r="AJ102" i="25"/>
  <c r="AI102" i="25"/>
  <c r="AH102" i="25"/>
  <c r="AG102" i="25"/>
  <c r="AF102" i="25"/>
  <c r="AE102" i="25"/>
  <c r="AD102" i="25"/>
  <c r="AC102" i="25"/>
  <c r="AB102" i="25"/>
  <c r="AA102" i="25"/>
  <c r="Z102" i="25"/>
  <c r="Y102" i="25"/>
  <c r="X102" i="25"/>
  <c r="W102" i="25"/>
  <c r="V102" i="25"/>
  <c r="U102" i="25"/>
  <c r="T102" i="25"/>
  <c r="S102" i="25"/>
  <c r="R102" i="25"/>
  <c r="Q102" i="25"/>
  <c r="P102" i="25"/>
  <c r="O102" i="25"/>
  <c r="N102" i="25"/>
  <c r="M102" i="25"/>
  <c r="L102" i="25"/>
  <c r="K102" i="25"/>
  <c r="J102" i="25"/>
  <c r="I102" i="25"/>
  <c r="H102" i="25"/>
  <c r="G102" i="25"/>
  <c r="F102" i="25"/>
  <c r="E102" i="25"/>
  <c r="D102" i="25"/>
  <c r="C102" i="25"/>
  <c r="B102" i="25"/>
  <c r="A102" i="25"/>
  <c r="AP101" i="25"/>
  <c r="AO101" i="25"/>
  <c r="AN101" i="25"/>
  <c r="AM101" i="25"/>
  <c r="AL101" i="25"/>
  <c r="AK101" i="25"/>
  <c r="AJ101" i="25"/>
  <c r="AI101" i="25"/>
  <c r="AH101" i="25"/>
  <c r="AG101" i="25"/>
  <c r="AF101" i="25"/>
  <c r="AE101" i="25"/>
  <c r="AD101" i="25"/>
  <c r="AC101" i="25"/>
  <c r="AB101" i="25"/>
  <c r="AA101" i="25"/>
  <c r="Z101" i="25"/>
  <c r="Y101" i="25"/>
  <c r="X101" i="25"/>
  <c r="W101" i="25"/>
  <c r="V101" i="25"/>
  <c r="U101" i="25"/>
  <c r="T101" i="25"/>
  <c r="S101" i="25"/>
  <c r="R101" i="25"/>
  <c r="Q101" i="25"/>
  <c r="P101" i="25"/>
  <c r="O101" i="25"/>
  <c r="N101" i="25"/>
  <c r="M101" i="25"/>
  <c r="L101" i="25"/>
  <c r="K101" i="25"/>
  <c r="J101" i="25"/>
  <c r="I101" i="25"/>
  <c r="H101" i="25"/>
  <c r="G101" i="25"/>
  <c r="F101" i="25"/>
  <c r="E101" i="25"/>
  <c r="D101" i="25"/>
  <c r="C101" i="25"/>
  <c r="B101" i="25"/>
  <c r="A101" i="25"/>
  <c r="AP100" i="25"/>
  <c r="AO100" i="25"/>
  <c r="AN100" i="25"/>
  <c r="AM100" i="25"/>
  <c r="AL100" i="25"/>
  <c r="AK100" i="25"/>
  <c r="AJ100" i="25"/>
  <c r="AI100" i="25"/>
  <c r="AH100" i="25"/>
  <c r="AG100" i="25"/>
  <c r="AF100" i="25"/>
  <c r="AE100" i="25"/>
  <c r="AD100" i="25"/>
  <c r="AC100" i="25"/>
  <c r="AB100" i="25"/>
  <c r="AA100" i="25"/>
  <c r="Z100" i="25"/>
  <c r="Y100" i="25"/>
  <c r="X100" i="25"/>
  <c r="W100" i="25"/>
  <c r="V100" i="25"/>
  <c r="U100" i="25"/>
  <c r="T100" i="25"/>
  <c r="S100" i="25"/>
  <c r="R100" i="25"/>
  <c r="Q100" i="25"/>
  <c r="P100" i="25"/>
  <c r="O100" i="25"/>
  <c r="N100" i="25"/>
  <c r="M100" i="25"/>
  <c r="L100" i="25"/>
  <c r="K100" i="25"/>
  <c r="J100" i="25"/>
  <c r="I100" i="25"/>
  <c r="H100" i="25"/>
  <c r="G100" i="25"/>
  <c r="F100" i="25"/>
  <c r="E100" i="25"/>
  <c r="D100" i="25"/>
  <c r="C100" i="25"/>
  <c r="B100" i="25"/>
  <c r="A100" i="25"/>
  <c r="AP99" i="25"/>
  <c r="AO99" i="25"/>
  <c r="AN99" i="25"/>
  <c r="AM99" i="25"/>
  <c r="AL99" i="25"/>
  <c r="AK99" i="25"/>
  <c r="AJ99" i="25"/>
  <c r="AI99" i="25"/>
  <c r="AH99" i="25"/>
  <c r="AG99" i="25"/>
  <c r="AF99" i="25"/>
  <c r="AE99" i="25"/>
  <c r="AD99" i="25"/>
  <c r="AC99" i="25"/>
  <c r="AB99" i="25"/>
  <c r="AA99" i="25"/>
  <c r="Z99" i="25"/>
  <c r="Y99" i="25"/>
  <c r="X99" i="25"/>
  <c r="W99" i="25"/>
  <c r="V99" i="25"/>
  <c r="U99" i="25"/>
  <c r="T99" i="25"/>
  <c r="S99" i="25"/>
  <c r="R99" i="25"/>
  <c r="Q99" i="25"/>
  <c r="P99" i="25"/>
  <c r="O99" i="25"/>
  <c r="N99" i="25"/>
  <c r="M99" i="25"/>
  <c r="L99" i="25"/>
  <c r="K99" i="25"/>
  <c r="J99" i="25"/>
  <c r="I99" i="25"/>
  <c r="H99" i="25"/>
  <c r="G99" i="25"/>
  <c r="F99" i="25"/>
  <c r="E99" i="25"/>
  <c r="D99" i="25"/>
  <c r="C99" i="25"/>
  <c r="B99" i="25"/>
  <c r="A99" i="25"/>
  <c r="AP98" i="25"/>
  <c r="AO98" i="25"/>
  <c r="AN98" i="25"/>
  <c r="AM98" i="25"/>
  <c r="AL98" i="25"/>
  <c r="AK98" i="25"/>
  <c r="AJ98" i="25"/>
  <c r="AI98" i="25"/>
  <c r="AH98" i="25"/>
  <c r="AG98" i="25"/>
  <c r="AF98" i="25"/>
  <c r="AE98" i="25"/>
  <c r="AD98" i="25"/>
  <c r="AC98" i="25"/>
  <c r="AB98" i="25"/>
  <c r="AA98" i="25"/>
  <c r="Z98" i="25"/>
  <c r="Y98" i="25"/>
  <c r="X98" i="25"/>
  <c r="W98" i="25"/>
  <c r="V98" i="25"/>
  <c r="U98" i="25"/>
  <c r="T98" i="25"/>
  <c r="S98" i="25"/>
  <c r="R98" i="25"/>
  <c r="Q98" i="25"/>
  <c r="P98" i="25"/>
  <c r="O98" i="25"/>
  <c r="N98" i="25"/>
  <c r="M98" i="25"/>
  <c r="L98" i="25"/>
  <c r="K98" i="25"/>
  <c r="J98" i="25"/>
  <c r="I98" i="25"/>
  <c r="H98" i="25"/>
  <c r="G98" i="25"/>
  <c r="F98" i="25"/>
  <c r="E98" i="25"/>
  <c r="D98" i="25"/>
  <c r="C98" i="25"/>
  <c r="B98" i="25"/>
  <c r="A98" i="25"/>
  <c r="AP97" i="25"/>
  <c r="AO97" i="25"/>
  <c r="AN97" i="25"/>
  <c r="AM97" i="25"/>
  <c r="AL97" i="25"/>
  <c r="AK97" i="25"/>
  <c r="AJ97" i="25"/>
  <c r="AI97" i="25"/>
  <c r="AH97" i="25"/>
  <c r="AG97" i="25"/>
  <c r="AF97" i="25"/>
  <c r="AE97" i="25"/>
  <c r="AD97" i="25"/>
  <c r="AC97" i="25"/>
  <c r="AB97" i="25"/>
  <c r="AA97" i="25"/>
  <c r="Z97" i="25"/>
  <c r="Y97" i="25"/>
  <c r="X97" i="25"/>
  <c r="W97" i="25"/>
  <c r="V97" i="25"/>
  <c r="U97" i="25"/>
  <c r="T97" i="25"/>
  <c r="S97" i="25"/>
  <c r="R97" i="25"/>
  <c r="Q97" i="25"/>
  <c r="P97" i="25"/>
  <c r="O97" i="25"/>
  <c r="N97" i="25"/>
  <c r="M97" i="25"/>
  <c r="L97" i="25"/>
  <c r="K97" i="25"/>
  <c r="J97" i="25"/>
  <c r="I97" i="25"/>
  <c r="H97" i="25"/>
  <c r="G97" i="25"/>
  <c r="F97" i="25"/>
  <c r="E97" i="25"/>
  <c r="D97" i="25"/>
  <c r="C97" i="25"/>
  <c r="B97" i="25"/>
  <c r="A97" i="25"/>
  <c r="AP96" i="25"/>
  <c r="AO96" i="25"/>
  <c r="AN96" i="25"/>
  <c r="AM96" i="25"/>
  <c r="AL96" i="25"/>
  <c r="AK96" i="25"/>
  <c r="AJ96" i="25"/>
  <c r="AI96" i="25"/>
  <c r="AH96" i="25"/>
  <c r="AG96" i="25"/>
  <c r="AF96" i="25"/>
  <c r="AE96" i="25"/>
  <c r="AD96" i="25"/>
  <c r="AC96" i="25"/>
  <c r="AB96" i="25"/>
  <c r="AA96" i="25"/>
  <c r="Z96" i="25"/>
  <c r="Y96" i="25"/>
  <c r="X96" i="25"/>
  <c r="W96" i="25"/>
  <c r="V96" i="25"/>
  <c r="U96" i="25"/>
  <c r="T96" i="25"/>
  <c r="S96" i="25"/>
  <c r="R96" i="25"/>
  <c r="Q96" i="25"/>
  <c r="P96" i="25"/>
  <c r="O96" i="25"/>
  <c r="N96" i="25"/>
  <c r="M96" i="25"/>
  <c r="L96" i="25"/>
  <c r="K96" i="25"/>
  <c r="J96" i="25"/>
  <c r="I96" i="25"/>
  <c r="H96" i="25"/>
  <c r="G96" i="25"/>
  <c r="F96" i="25"/>
  <c r="E96" i="25"/>
  <c r="D96" i="25"/>
  <c r="C96" i="25"/>
  <c r="B96" i="25"/>
  <c r="A96" i="25"/>
  <c r="AP95" i="25"/>
  <c r="AO95" i="25"/>
  <c r="AN95" i="25"/>
  <c r="AM95" i="25"/>
  <c r="AL95" i="25"/>
  <c r="AK95" i="25"/>
  <c r="AJ95" i="25"/>
  <c r="AI95" i="25"/>
  <c r="AH95" i="25"/>
  <c r="AG95" i="25"/>
  <c r="AF95" i="25"/>
  <c r="AE95" i="25"/>
  <c r="AD95" i="25"/>
  <c r="AC95" i="25"/>
  <c r="AB95" i="25"/>
  <c r="AA95" i="25"/>
  <c r="Z95" i="25"/>
  <c r="Y95" i="25"/>
  <c r="X95" i="25"/>
  <c r="W95" i="25"/>
  <c r="V95" i="25"/>
  <c r="U95" i="25"/>
  <c r="T95" i="25"/>
  <c r="S95" i="25"/>
  <c r="R95" i="25"/>
  <c r="Q95" i="25"/>
  <c r="P95" i="25"/>
  <c r="O95" i="25"/>
  <c r="N95" i="25"/>
  <c r="M95" i="25"/>
  <c r="L95" i="25"/>
  <c r="K95" i="25"/>
  <c r="J95" i="25"/>
  <c r="I95" i="25"/>
  <c r="H95" i="25"/>
  <c r="G95" i="25"/>
  <c r="F95" i="25"/>
  <c r="E95" i="25"/>
  <c r="D95" i="25"/>
  <c r="C95" i="25"/>
  <c r="B95" i="25"/>
  <c r="A95" i="25"/>
  <c r="AP94" i="25"/>
  <c r="AO94" i="25"/>
  <c r="AN94" i="25"/>
  <c r="AM94" i="25"/>
  <c r="AL94" i="25"/>
  <c r="AK94" i="25"/>
  <c r="AJ94" i="25"/>
  <c r="AI94" i="25"/>
  <c r="AH94" i="25"/>
  <c r="AG94" i="25"/>
  <c r="AF94" i="25"/>
  <c r="AE94" i="25"/>
  <c r="AD94" i="25"/>
  <c r="AC94" i="25"/>
  <c r="AB94" i="25"/>
  <c r="AA94" i="25"/>
  <c r="Z94" i="25"/>
  <c r="Y94" i="25"/>
  <c r="X94" i="25"/>
  <c r="W94" i="25"/>
  <c r="V94" i="25"/>
  <c r="U94" i="25"/>
  <c r="T94" i="25"/>
  <c r="S94" i="25"/>
  <c r="R94" i="25"/>
  <c r="Q94" i="25"/>
  <c r="P94" i="25"/>
  <c r="O94" i="25"/>
  <c r="N94" i="25"/>
  <c r="M94" i="25"/>
  <c r="L94" i="25"/>
  <c r="K94" i="25"/>
  <c r="J94" i="25"/>
  <c r="I94" i="25"/>
  <c r="H94" i="25"/>
  <c r="G94" i="25"/>
  <c r="F94" i="25"/>
  <c r="E94" i="25"/>
  <c r="D94" i="25"/>
  <c r="C94" i="25"/>
  <c r="B94" i="25"/>
  <c r="A94" i="25"/>
  <c r="AP93" i="25"/>
  <c r="AO93" i="25"/>
  <c r="AN93" i="25"/>
  <c r="AM93" i="25"/>
  <c r="AL93" i="25"/>
  <c r="AK93" i="25"/>
  <c r="AJ93" i="25"/>
  <c r="AI93" i="25"/>
  <c r="AH93" i="25"/>
  <c r="AG93" i="25"/>
  <c r="AF93" i="25"/>
  <c r="AE93" i="25"/>
  <c r="AD93" i="25"/>
  <c r="AC93" i="25"/>
  <c r="AB93" i="25"/>
  <c r="AA93" i="25"/>
  <c r="Z93" i="25"/>
  <c r="Y93" i="25"/>
  <c r="X93" i="25"/>
  <c r="W93" i="25"/>
  <c r="V93" i="25"/>
  <c r="U93" i="25"/>
  <c r="T93" i="25"/>
  <c r="S93" i="25"/>
  <c r="R93" i="25"/>
  <c r="Q93" i="25"/>
  <c r="P93" i="25"/>
  <c r="O93" i="25"/>
  <c r="N93" i="25"/>
  <c r="M93" i="25"/>
  <c r="L93" i="25"/>
  <c r="K93" i="25"/>
  <c r="J93" i="25"/>
  <c r="I93" i="25"/>
  <c r="H93" i="25"/>
  <c r="G93" i="25"/>
  <c r="F93" i="25"/>
  <c r="E93" i="25"/>
  <c r="D93" i="25"/>
  <c r="C93" i="25"/>
  <c r="B93" i="25"/>
  <c r="A93" i="25"/>
  <c r="AP92" i="25"/>
  <c r="AO92" i="25"/>
  <c r="AN92" i="25"/>
  <c r="AM92" i="25"/>
  <c r="AL92" i="25"/>
  <c r="AK92" i="25"/>
  <c r="AJ92" i="25"/>
  <c r="AI92" i="25"/>
  <c r="AH92" i="25"/>
  <c r="AG92" i="25"/>
  <c r="AF92" i="25"/>
  <c r="AE92" i="25"/>
  <c r="AD92" i="25"/>
  <c r="AC92" i="25"/>
  <c r="AB92" i="25"/>
  <c r="AA92" i="25"/>
  <c r="Z92" i="25"/>
  <c r="Y92" i="25"/>
  <c r="X92" i="25"/>
  <c r="W92" i="25"/>
  <c r="V92" i="25"/>
  <c r="U92" i="25"/>
  <c r="T92" i="25"/>
  <c r="S92" i="25"/>
  <c r="R92" i="25"/>
  <c r="Q92" i="25"/>
  <c r="P92" i="25"/>
  <c r="O92" i="25"/>
  <c r="N92" i="25"/>
  <c r="M92" i="25"/>
  <c r="L92" i="25"/>
  <c r="K92" i="25"/>
  <c r="J92" i="25"/>
  <c r="I92" i="25"/>
  <c r="H92" i="25"/>
  <c r="G92" i="25"/>
  <c r="F92" i="25"/>
  <c r="E92" i="25"/>
  <c r="D92" i="25"/>
  <c r="C92" i="25"/>
  <c r="B92" i="25"/>
  <c r="A92" i="25"/>
  <c r="AP91" i="25"/>
  <c r="AO91" i="25"/>
  <c r="AN91" i="25"/>
  <c r="AM91" i="25"/>
  <c r="AL91" i="25"/>
  <c r="AK91" i="25"/>
  <c r="AJ91" i="25"/>
  <c r="AI91" i="25"/>
  <c r="AH91" i="25"/>
  <c r="AG91" i="25"/>
  <c r="AF91" i="25"/>
  <c r="AE91" i="25"/>
  <c r="AD91" i="25"/>
  <c r="AC91" i="25"/>
  <c r="AB91" i="25"/>
  <c r="AA91" i="25"/>
  <c r="Z91" i="25"/>
  <c r="Y91" i="25"/>
  <c r="X91" i="25"/>
  <c r="W91" i="25"/>
  <c r="V91" i="25"/>
  <c r="U91" i="25"/>
  <c r="T91" i="25"/>
  <c r="S91" i="25"/>
  <c r="R91" i="25"/>
  <c r="Q91" i="25"/>
  <c r="P91" i="25"/>
  <c r="O91" i="25"/>
  <c r="N91" i="25"/>
  <c r="M91" i="25"/>
  <c r="L91" i="25"/>
  <c r="K91" i="25"/>
  <c r="J91" i="25"/>
  <c r="I91" i="25"/>
  <c r="H91" i="25"/>
  <c r="G91" i="25"/>
  <c r="F91" i="25"/>
  <c r="E91" i="25"/>
  <c r="D91" i="25"/>
  <c r="C91" i="25"/>
  <c r="B91" i="25"/>
  <c r="A91" i="25"/>
  <c r="AP90" i="25"/>
  <c r="AO90" i="25"/>
  <c r="AN90" i="25"/>
  <c r="AM90" i="25"/>
  <c r="AL90" i="25"/>
  <c r="AK90" i="25"/>
  <c r="AJ90" i="25"/>
  <c r="AI90" i="25"/>
  <c r="AH90" i="25"/>
  <c r="AG90" i="25"/>
  <c r="AF90" i="25"/>
  <c r="AE90" i="25"/>
  <c r="AD90" i="25"/>
  <c r="AC90" i="25"/>
  <c r="AB90" i="25"/>
  <c r="AA90" i="25"/>
  <c r="Z90" i="25"/>
  <c r="Y90" i="25"/>
  <c r="X90" i="25"/>
  <c r="W90" i="25"/>
  <c r="V90" i="25"/>
  <c r="U90" i="25"/>
  <c r="T90" i="25"/>
  <c r="S90" i="25"/>
  <c r="R90" i="25"/>
  <c r="Q90" i="25"/>
  <c r="P90" i="25"/>
  <c r="O90" i="25"/>
  <c r="N90" i="25"/>
  <c r="M90" i="25"/>
  <c r="L90" i="25"/>
  <c r="K90" i="25"/>
  <c r="J90" i="25"/>
  <c r="I90" i="25"/>
  <c r="H90" i="25"/>
  <c r="G90" i="25"/>
  <c r="F90" i="25"/>
  <c r="E90" i="25"/>
  <c r="D90" i="25"/>
  <c r="C90" i="25"/>
  <c r="B90" i="25"/>
  <c r="A90" i="25"/>
  <c r="AP89" i="25"/>
  <c r="AO89" i="25"/>
  <c r="AN89" i="25"/>
  <c r="AM89" i="25"/>
  <c r="AL89" i="25"/>
  <c r="AK89" i="25"/>
  <c r="AJ89" i="25"/>
  <c r="AI89" i="25"/>
  <c r="AH89" i="25"/>
  <c r="AG89" i="25"/>
  <c r="AF89" i="25"/>
  <c r="AE89" i="25"/>
  <c r="AD89" i="25"/>
  <c r="AC89" i="25"/>
  <c r="AB89" i="25"/>
  <c r="AA89" i="25"/>
  <c r="Z89" i="25"/>
  <c r="Y89" i="25"/>
  <c r="X89" i="25"/>
  <c r="W89" i="25"/>
  <c r="V89" i="25"/>
  <c r="U89" i="25"/>
  <c r="T89" i="25"/>
  <c r="S89" i="25"/>
  <c r="R89" i="25"/>
  <c r="Q89" i="25"/>
  <c r="P89" i="25"/>
  <c r="O89" i="25"/>
  <c r="N89" i="25"/>
  <c r="M89" i="25"/>
  <c r="L89" i="25"/>
  <c r="K89" i="25"/>
  <c r="J89" i="25"/>
  <c r="I89" i="25"/>
  <c r="H89" i="25"/>
  <c r="G89" i="25"/>
  <c r="F89" i="25"/>
  <c r="E89" i="25"/>
  <c r="D89" i="25"/>
  <c r="C89" i="25"/>
  <c r="B89" i="25"/>
  <c r="A89" i="25"/>
  <c r="AP88" i="25"/>
  <c r="AO88" i="25"/>
  <c r="AN88" i="25"/>
  <c r="AM88" i="25"/>
  <c r="AL88" i="25"/>
  <c r="AK88" i="25"/>
  <c r="AJ88" i="25"/>
  <c r="AI88" i="25"/>
  <c r="AH88" i="25"/>
  <c r="AG88" i="25"/>
  <c r="AF88" i="25"/>
  <c r="AE88" i="25"/>
  <c r="AD88" i="25"/>
  <c r="AC88" i="25"/>
  <c r="AB88" i="25"/>
  <c r="AA88" i="25"/>
  <c r="Z88" i="25"/>
  <c r="Y88" i="25"/>
  <c r="X88" i="25"/>
  <c r="W88" i="25"/>
  <c r="V88" i="25"/>
  <c r="U88" i="25"/>
  <c r="T88" i="25"/>
  <c r="S88" i="25"/>
  <c r="R88" i="25"/>
  <c r="Q88" i="25"/>
  <c r="P88" i="25"/>
  <c r="O88" i="25"/>
  <c r="N88" i="25"/>
  <c r="M88" i="25"/>
  <c r="L88" i="25"/>
  <c r="K88" i="25"/>
  <c r="J88" i="25"/>
  <c r="I88" i="25"/>
  <c r="H88" i="25"/>
  <c r="G88" i="25"/>
  <c r="F88" i="25"/>
  <c r="E88" i="25"/>
  <c r="D88" i="25"/>
  <c r="C88" i="25"/>
  <c r="B88" i="25"/>
  <c r="A88" i="25"/>
  <c r="AP87" i="25"/>
  <c r="AO87" i="25"/>
  <c r="AN87" i="25"/>
  <c r="AM87" i="25"/>
  <c r="AL87" i="25"/>
  <c r="AK87" i="25"/>
  <c r="AJ87" i="25"/>
  <c r="AI87" i="25"/>
  <c r="AH87" i="25"/>
  <c r="AG87" i="25"/>
  <c r="AF87" i="25"/>
  <c r="AE87" i="25"/>
  <c r="AD87" i="25"/>
  <c r="AC87" i="25"/>
  <c r="AB87" i="25"/>
  <c r="AA87" i="25"/>
  <c r="Z87" i="25"/>
  <c r="Y87" i="25"/>
  <c r="X87" i="25"/>
  <c r="W87" i="25"/>
  <c r="V87" i="25"/>
  <c r="U87" i="25"/>
  <c r="T87" i="25"/>
  <c r="S87" i="25"/>
  <c r="R87" i="25"/>
  <c r="Q87" i="25"/>
  <c r="P87" i="25"/>
  <c r="O87" i="25"/>
  <c r="N87" i="25"/>
  <c r="M87" i="25"/>
  <c r="L87" i="25"/>
  <c r="K87" i="25"/>
  <c r="J87" i="25"/>
  <c r="I87" i="25"/>
  <c r="H87" i="25"/>
  <c r="G87" i="25"/>
  <c r="F87" i="25"/>
  <c r="E87" i="25"/>
  <c r="D87" i="25"/>
  <c r="C87" i="25"/>
  <c r="B87" i="25"/>
  <c r="A87" i="25"/>
  <c r="AP86" i="25"/>
  <c r="AO86" i="25"/>
  <c r="AN86" i="25"/>
  <c r="AM86" i="25"/>
  <c r="AL86" i="25"/>
  <c r="AK86" i="25"/>
  <c r="AJ86" i="25"/>
  <c r="AI86" i="25"/>
  <c r="AH86" i="25"/>
  <c r="AG86" i="25"/>
  <c r="AF86" i="25"/>
  <c r="AE86" i="25"/>
  <c r="AD86" i="25"/>
  <c r="AC86" i="25"/>
  <c r="AB86" i="25"/>
  <c r="AA86" i="25"/>
  <c r="Z86" i="25"/>
  <c r="Y86" i="25"/>
  <c r="X86" i="25"/>
  <c r="W86" i="25"/>
  <c r="V86" i="25"/>
  <c r="U86" i="25"/>
  <c r="T86" i="25"/>
  <c r="S86" i="25"/>
  <c r="R86" i="25"/>
  <c r="Q86" i="25"/>
  <c r="P86" i="25"/>
  <c r="O86" i="25"/>
  <c r="N86" i="25"/>
  <c r="M86" i="25"/>
  <c r="L86" i="25"/>
  <c r="K86" i="25"/>
  <c r="J86" i="25"/>
  <c r="I86" i="25"/>
  <c r="H86" i="25"/>
  <c r="G86" i="25"/>
  <c r="F86" i="25"/>
  <c r="E86" i="25"/>
  <c r="D86" i="25"/>
  <c r="C86" i="25"/>
  <c r="B86" i="25"/>
  <c r="A86" i="25"/>
  <c r="AP85" i="25"/>
  <c r="AO85" i="25"/>
  <c r="AN85" i="25"/>
  <c r="AM85" i="25"/>
  <c r="AL85" i="25"/>
  <c r="AK85" i="25"/>
  <c r="AJ85" i="25"/>
  <c r="AI85" i="25"/>
  <c r="AH85" i="25"/>
  <c r="AG85" i="25"/>
  <c r="AF85" i="25"/>
  <c r="AE85" i="25"/>
  <c r="AD85" i="25"/>
  <c r="AC85" i="25"/>
  <c r="AB85" i="25"/>
  <c r="AA85" i="25"/>
  <c r="Z85" i="25"/>
  <c r="Y85" i="25"/>
  <c r="X85" i="25"/>
  <c r="W85" i="25"/>
  <c r="V85" i="25"/>
  <c r="U85" i="25"/>
  <c r="T85" i="25"/>
  <c r="S85" i="25"/>
  <c r="R85" i="25"/>
  <c r="Q85" i="25"/>
  <c r="P85" i="25"/>
  <c r="O85" i="25"/>
  <c r="N85" i="25"/>
  <c r="M85" i="25"/>
  <c r="L85" i="25"/>
  <c r="K85" i="25"/>
  <c r="J85" i="25"/>
  <c r="I85" i="25"/>
  <c r="H85" i="25"/>
  <c r="G85" i="25"/>
  <c r="F85" i="25"/>
  <c r="E85" i="25"/>
  <c r="D85" i="25"/>
  <c r="C85" i="25"/>
  <c r="B85" i="25"/>
  <c r="A85" i="25"/>
  <c r="AP84" i="25"/>
  <c r="AO84" i="25"/>
  <c r="AN84" i="25"/>
  <c r="AM84" i="25"/>
  <c r="AL84" i="25"/>
  <c r="AK84" i="25"/>
  <c r="AJ84" i="25"/>
  <c r="AI84" i="25"/>
  <c r="AH84" i="25"/>
  <c r="AG84" i="25"/>
  <c r="AF84" i="25"/>
  <c r="AE84" i="25"/>
  <c r="AD84" i="25"/>
  <c r="AC84" i="25"/>
  <c r="AB84" i="25"/>
  <c r="AA84" i="25"/>
  <c r="Z84" i="25"/>
  <c r="Y84" i="25"/>
  <c r="X84" i="25"/>
  <c r="W84" i="25"/>
  <c r="V84" i="25"/>
  <c r="U84" i="25"/>
  <c r="T84" i="25"/>
  <c r="S84" i="25"/>
  <c r="R84" i="25"/>
  <c r="Q84" i="25"/>
  <c r="P84" i="25"/>
  <c r="O84" i="25"/>
  <c r="N84" i="25"/>
  <c r="M84" i="25"/>
  <c r="L84" i="25"/>
  <c r="K84" i="25"/>
  <c r="J84" i="25"/>
  <c r="I84" i="25"/>
  <c r="H84" i="25"/>
  <c r="G84" i="25"/>
  <c r="F84" i="25"/>
  <c r="E84" i="25"/>
  <c r="D84" i="25"/>
  <c r="C84" i="25"/>
  <c r="B84" i="25"/>
  <c r="A84" i="25"/>
  <c r="AP83" i="25"/>
  <c r="AO83" i="25"/>
  <c r="AN83" i="25"/>
  <c r="AM83" i="25"/>
  <c r="AL83" i="25"/>
  <c r="AK83" i="25"/>
  <c r="AJ83" i="25"/>
  <c r="AI83" i="25"/>
  <c r="AH83" i="25"/>
  <c r="AG83" i="25"/>
  <c r="AF83" i="25"/>
  <c r="AE83" i="25"/>
  <c r="AD83" i="25"/>
  <c r="AC83" i="25"/>
  <c r="AB83" i="25"/>
  <c r="AA83" i="25"/>
  <c r="Z83" i="25"/>
  <c r="Y83" i="25"/>
  <c r="X83" i="25"/>
  <c r="W83" i="25"/>
  <c r="V83" i="25"/>
  <c r="U83" i="25"/>
  <c r="T83" i="25"/>
  <c r="S83" i="25"/>
  <c r="R83" i="25"/>
  <c r="Q83" i="25"/>
  <c r="P83" i="25"/>
  <c r="O83" i="25"/>
  <c r="N83" i="25"/>
  <c r="M83" i="25"/>
  <c r="L83" i="25"/>
  <c r="K83" i="25"/>
  <c r="J83" i="25"/>
  <c r="I83" i="25"/>
  <c r="H83" i="25"/>
  <c r="G83" i="25"/>
  <c r="F83" i="25"/>
  <c r="E83" i="25"/>
  <c r="D83" i="25"/>
  <c r="C83" i="25"/>
  <c r="B83" i="25"/>
  <c r="A83" i="25"/>
  <c r="AP82" i="25"/>
  <c r="AO82" i="25"/>
  <c r="AN82" i="25"/>
  <c r="AM82" i="25"/>
  <c r="AL82" i="25"/>
  <c r="AK82" i="25"/>
  <c r="AJ82" i="25"/>
  <c r="AI82" i="25"/>
  <c r="AH82" i="25"/>
  <c r="AG82" i="25"/>
  <c r="AF82" i="25"/>
  <c r="AE82" i="25"/>
  <c r="AD82" i="25"/>
  <c r="AC82" i="25"/>
  <c r="AB82" i="25"/>
  <c r="AA82" i="25"/>
  <c r="Z82" i="25"/>
  <c r="Y82" i="25"/>
  <c r="X82" i="25"/>
  <c r="W82" i="25"/>
  <c r="V82" i="25"/>
  <c r="U82" i="25"/>
  <c r="T82" i="25"/>
  <c r="S82" i="25"/>
  <c r="R82" i="25"/>
  <c r="Q82" i="25"/>
  <c r="P82" i="25"/>
  <c r="O82" i="25"/>
  <c r="N82" i="25"/>
  <c r="M82" i="25"/>
  <c r="L82" i="25"/>
  <c r="K82" i="25"/>
  <c r="J82" i="25"/>
  <c r="I82" i="25"/>
  <c r="H82" i="25"/>
  <c r="G82" i="25"/>
  <c r="F82" i="25"/>
  <c r="E82" i="25"/>
  <c r="D82" i="25"/>
  <c r="C82" i="25"/>
  <c r="B82" i="25"/>
  <c r="A82" i="25"/>
  <c r="AP81" i="25"/>
  <c r="AO81" i="25"/>
  <c r="AN81" i="25"/>
  <c r="AM81" i="25"/>
  <c r="AL81" i="25"/>
  <c r="AK81" i="25"/>
  <c r="AJ81" i="25"/>
  <c r="AI81" i="25"/>
  <c r="AH81" i="25"/>
  <c r="AG81" i="25"/>
  <c r="AF81" i="25"/>
  <c r="AE81" i="25"/>
  <c r="AD81" i="25"/>
  <c r="AC81" i="25"/>
  <c r="AB81" i="25"/>
  <c r="AA81" i="25"/>
  <c r="Z81" i="25"/>
  <c r="Y81" i="25"/>
  <c r="X81" i="25"/>
  <c r="W81" i="25"/>
  <c r="V81" i="25"/>
  <c r="U81" i="25"/>
  <c r="T81" i="25"/>
  <c r="S81" i="25"/>
  <c r="R81" i="25"/>
  <c r="Q81" i="25"/>
  <c r="P81" i="25"/>
  <c r="O81" i="25"/>
  <c r="N81" i="25"/>
  <c r="M81" i="25"/>
  <c r="L81" i="25"/>
  <c r="K81" i="25"/>
  <c r="J81" i="25"/>
  <c r="I81" i="25"/>
  <c r="H81" i="25"/>
  <c r="G81" i="25"/>
  <c r="F81" i="25"/>
  <c r="E81" i="25"/>
  <c r="D81" i="25"/>
  <c r="C81" i="25"/>
  <c r="B81" i="25"/>
  <c r="A81" i="25"/>
  <c r="AP80" i="25"/>
  <c r="AO80" i="25"/>
  <c r="AN80" i="25"/>
  <c r="AM80" i="25"/>
  <c r="AL80" i="25"/>
  <c r="AK80" i="25"/>
  <c r="AJ80" i="25"/>
  <c r="AI80" i="25"/>
  <c r="AH80" i="25"/>
  <c r="AG80" i="25"/>
  <c r="AF80" i="25"/>
  <c r="AE80" i="25"/>
  <c r="AD80" i="25"/>
  <c r="AC80" i="25"/>
  <c r="AB80" i="25"/>
  <c r="AA80" i="25"/>
  <c r="Z80" i="25"/>
  <c r="Y80" i="25"/>
  <c r="X80" i="25"/>
  <c r="W80" i="25"/>
  <c r="V80" i="25"/>
  <c r="U80" i="25"/>
  <c r="T80" i="25"/>
  <c r="S80" i="25"/>
  <c r="R80" i="25"/>
  <c r="Q80" i="25"/>
  <c r="P80" i="25"/>
  <c r="O80" i="25"/>
  <c r="N80" i="25"/>
  <c r="M80" i="25"/>
  <c r="L80" i="25"/>
  <c r="K80" i="25"/>
  <c r="J80" i="25"/>
  <c r="I80" i="25"/>
  <c r="H80" i="25"/>
  <c r="G80" i="25"/>
  <c r="F80" i="25"/>
  <c r="E80" i="25"/>
  <c r="D80" i="25"/>
  <c r="C80" i="25"/>
  <c r="B80" i="25"/>
  <c r="A80" i="25"/>
  <c r="AP79" i="25"/>
  <c r="AO79" i="25"/>
  <c r="AN79" i="25"/>
  <c r="AM79" i="25"/>
  <c r="AL79" i="25"/>
  <c r="AK79" i="25"/>
  <c r="AJ79" i="25"/>
  <c r="AI79" i="25"/>
  <c r="AH79" i="25"/>
  <c r="AG79" i="25"/>
  <c r="AF79" i="25"/>
  <c r="AE79" i="25"/>
  <c r="AD79" i="25"/>
  <c r="AC79" i="25"/>
  <c r="AB79" i="25"/>
  <c r="AA79" i="25"/>
  <c r="Z79" i="25"/>
  <c r="Y79" i="25"/>
  <c r="X79" i="25"/>
  <c r="W79" i="25"/>
  <c r="V79" i="25"/>
  <c r="U79" i="25"/>
  <c r="T79" i="25"/>
  <c r="S79" i="25"/>
  <c r="R79" i="25"/>
  <c r="Q79" i="25"/>
  <c r="P79" i="25"/>
  <c r="O79" i="25"/>
  <c r="N79" i="25"/>
  <c r="M79" i="25"/>
  <c r="L79" i="25"/>
  <c r="K79" i="25"/>
  <c r="J79" i="25"/>
  <c r="I79" i="25"/>
  <c r="H79" i="25"/>
  <c r="G79" i="25"/>
  <c r="F79" i="25"/>
  <c r="E79" i="25"/>
  <c r="D79" i="25"/>
  <c r="C79" i="25"/>
  <c r="B79" i="25"/>
  <c r="A79" i="25"/>
  <c r="AP78" i="25"/>
  <c r="AO78" i="25"/>
  <c r="AN78" i="25"/>
  <c r="AM78" i="25"/>
  <c r="AL78" i="25"/>
  <c r="AK78" i="25"/>
  <c r="AJ78" i="25"/>
  <c r="AI78" i="25"/>
  <c r="AH78" i="25"/>
  <c r="AG78" i="25"/>
  <c r="AF78" i="25"/>
  <c r="AE78" i="25"/>
  <c r="AD78" i="25"/>
  <c r="AC78" i="25"/>
  <c r="AB78" i="25"/>
  <c r="AA78" i="25"/>
  <c r="Z78" i="25"/>
  <c r="Y78" i="25"/>
  <c r="X78" i="25"/>
  <c r="W78" i="25"/>
  <c r="V78" i="25"/>
  <c r="U78" i="25"/>
  <c r="T78" i="25"/>
  <c r="S78" i="25"/>
  <c r="R78" i="25"/>
  <c r="Q78" i="25"/>
  <c r="P78" i="25"/>
  <c r="O78" i="25"/>
  <c r="N78" i="25"/>
  <c r="M78" i="25"/>
  <c r="L78" i="25"/>
  <c r="K78" i="25"/>
  <c r="J78" i="25"/>
  <c r="I78" i="25"/>
  <c r="H78" i="25"/>
  <c r="G78" i="25"/>
  <c r="F78" i="25"/>
  <c r="E78" i="25"/>
  <c r="D78" i="25"/>
  <c r="C78" i="25"/>
  <c r="B78" i="25"/>
  <c r="A78" i="25"/>
  <c r="AP77" i="25"/>
  <c r="AO77" i="25"/>
  <c r="AN77" i="25"/>
  <c r="AM77" i="25"/>
  <c r="AL77" i="25"/>
  <c r="AK77" i="25"/>
  <c r="AJ77" i="25"/>
  <c r="AI77" i="25"/>
  <c r="AH77" i="25"/>
  <c r="AG77" i="25"/>
  <c r="AF77" i="25"/>
  <c r="AE77" i="25"/>
  <c r="AD77" i="25"/>
  <c r="AC77" i="25"/>
  <c r="AB77" i="25"/>
  <c r="AA77"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AP76" i="25"/>
  <c r="AO76" i="25"/>
  <c r="AN76" i="25"/>
  <c r="AM76" i="25"/>
  <c r="AL76" i="25"/>
  <c r="AK76" i="25"/>
  <c r="AJ76" i="25"/>
  <c r="AI76" i="25"/>
  <c r="AH76" i="25"/>
  <c r="AG76" i="25"/>
  <c r="AF76" i="25"/>
  <c r="AE76" i="25"/>
  <c r="AD76" i="25"/>
  <c r="AC76" i="25"/>
  <c r="AB76" i="25"/>
  <c r="AA76"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AP75" i="25"/>
  <c r="AO75" i="25"/>
  <c r="AN75" i="25"/>
  <c r="AM75" i="25"/>
  <c r="AL75" i="25"/>
  <c r="AK75" i="25"/>
  <c r="AJ75" i="25"/>
  <c r="AI75" i="25"/>
  <c r="AH75" i="25"/>
  <c r="AG75" i="25"/>
  <c r="AF75" i="25"/>
  <c r="AE75" i="25"/>
  <c r="AD75" i="25"/>
  <c r="AC75" i="25"/>
  <c r="AB75" i="25"/>
  <c r="AA75" i="25"/>
  <c r="Z75" i="25"/>
  <c r="Y75" i="25"/>
  <c r="X75" i="25"/>
  <c r="W75" i="25"/>
  <c r="V75" i="25"/>
  <c r="U75" i="25"/>
  <c r="T75" i="25"/>
  <c r="S75" i="25"/>
  <c r="R75" i="25"/>
  <c r="Q75" i="25"/>
  <c r="P75" i="25"/>
  <c r="O75" i="25"/>
  <c r="N75" i="25"/>
  <c r="M75" i="25"/>
  <c r="L75" i="25"/>
  <c r="K75" i="25"/>
  <c r="J75" i="25"/>
  <c r="I75" i="25"/>
  <c r="H75" i="25"/>
  <c r="G75" i="25"/>
  <c r="F75" i="25"/>
  <c r="E75" i="25"/>
  <c r="D75" i="25"/>
  <c r="C75" i="25"/>
  <c r="B75" i="25"/>
  <c r="A75" i="25"/>
  <c r="AP74" i="25"/>
  <c r="AO74" i="25"/>
  <c r="AN74" i="25"/>
  <c r="AM74" i="25"/>
  <c r="AL74" i="25"/>
  <c r="AK74" i="25"/>
  <c r="AJ74" i="25"/>
  <c r="AI74" i="25"/>
  <c r="AH74" i="25"/>
  <c r="AG74" i="25"/>
  <c r="AF74" i="25"/>
  <c r="AE74" i="25"/>
  <c r="AD74" i="25"/>
  <c r="AC74" i="25"/>
  <c r="AB74" i="25"/>
  <c r="AA74"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AP73" i="25"/>
  <c r="AO73" i="25"/>
  <c r="AN73" i="25"/>
  <c r="AM73" i="25"/>
  <c r="AL73" i="25"/>
  <c r="AK73" i="25"/>
  <c r="AJ73" i="25"/>
  <c r="AI73" i="25"/>
  <c r="AH73" i="25"/>
  <c r="AG73" i="25"/>
  <c r="AF73" i="25"/>
  <c r="AE73" i="25"/>
  <c r="AD73" i="25"/>
  <c r="AC73" i="25"/>
  <c r="AB73" i="25"/>
  <c r="AA73"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AP72" i="25"/>
  <c r="AO72" i="25"/>
  <c r="AN72" i="25"/>
  <c r="AM72" i="25"/>
  <c r="AL72" i="25"/>
  <c r="AK72" i="25"/>
  <c r="AJ72" i="25"/>
  <c r="AI72" i="25"/>
  <c r="AH72" i="25"/>
  <c r="AG72" i="25"/>
  <c r="AF72" i="25"/>
  <c r="AE72" i="25"/>
  <c r="AD72" i="25"/>
  <c r="AC72" i="25"/>
  <c r="AB72" i="25"/>
  <c r="AA72" i="25"/>
  <c r="Z72" i="25"/>
  <c r="Y72" i="25"/>
  <c r="X72" i="25"/>
  <c r="W72" i="25"/>
  <c r="V72" i="25"/>
  <c r="U72" i="25"/>
  <c r="T72" i="25"/>
  <c r="S72" i="25"/>
  <c r="R72" i="25"/>
  <c r="Q72" i="25"/>
  <c r="P72" i="25"/>
  <c r="O72" i="25"/>
  <c r="N72" i="25"/>
  <c r="M72" i="25"/>
  <c r="L72" i="25"/>
  <c r="K72" i="25"/>
  <c r="J72" i="25"/>
  <c r="I72" i="25"/>
  <c r="H72" i="25"/>
  <c r="G72" i="25"/>
  <c r="F72" i="25"/>
  <c r="E72" i="25"/>
  <c r="D72" i="25"/>
  <c r="C72" i="25"/>
  <c r="B72" i="25"/>
  <c r="A72" i="25"/>
  <c r="AP71" i="25"/>
  <c r="AO71" i="25"/>
  <c r="AN71" i="25"/>
  <c r="AM71" i="25"/>
  <c r="AL71" i="25"/>
  <c r="AK71" i="25"/>
  <c r="AJ71" i="25"/>
  <c r="AI71" i="25"/>
  <c r="AH71" i="25"/>
  <c r="AG71" i="25"/>
  <c r="AF71" i="25"/>
  <c r="AE71" i="25"/>
  <c r="AD71" i="25"/>
  <c r="AC71" i="25"/>
  <c r="AB71" i="25"/>
  <c r="AA71"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AP70" i="25"/>
  <c r="AO70" i="25"/>
  <c r="AN70" i="25"/>
  <c r="AM70" i="25"/>
  <c r="AL70" i="25"/>
  <c r="AK70" i="25"/>
  <c r="AJ70" i="25"/>
  <c r="AI70" i="25"/>
  <c r="AH70" i="25"/>
  <c r="AG70" i="25"/>
  <c r="AF70" i="25"/>
  <c r="AE70" i="25"/>
  <c r="AD70" i="25"/>
  <c r="AC70" i="25"/>
  <c r="AB70" i="25"/>
  <c r="AA70" i="25"/>
  <c r="Z70" i="25"/>
  <c r="Y70" i="25"/>
  <c r="X70" i="25"/>
  <c r="W70" i="25"/>
  <c r="V70" i="25"/>
  <c r="U70" i="25"/>
  <c r="T70" i="25"/>
  <c r="S70" i="25"/>
  <c r="R70" i="25"/>
  <c r="Q70" i="25"/>
  <c r="P70" i="25"/>
  <c r="O70" i="25"/>
  <c r="N70" i="25"/>
  <c r="M70" i="25"/>
  <c r="L70" i="25"/>
  <c r="K70" i="25"/>
  <c r="J70" i="25"/>
  <c r="I70" i="25"/>
  <c r="H70" i="25"/>
  <c r="G70" i="25"/>
  <c r="F70" i="25"/>
  <c r="E70" i="25"/>
  <c r="D70" i="25"/>
  <c r="C70" i="25"/>
  <c r="B70" i="25"/>
  <c r="A70" i="25"/>
  <c r="AP69" i="25"/>
  <c r="AO69" i="25"/>
  <c r="AN69" i="25"/>
  <c r="AM69" i="25"/>
  <c r="AL69" i="25"/>
  <c r="AK69" i="25"/>
  <c r="AJ69" i="25"/>
  <c r="AI69" i="25"/>
  <c r="AH69" i="25"/>
  <c r="AG69" i="25"/>
  <c r="AF69" i="25"/>
  <c r="AE69" i="25"/>
  <c r="AD69" i="25"/>
  <c r="AC69" i="25"/>
  <c r="AB69" i="25"/>
  <c r="AA69" i="25"/>
  <c r="Z69" i="25"/>
  <c r="Y69" i="25"/>
  <c r="X69" i="25"/>
  <c r="W69" i="25"/>
  <c r="V69" i="25"/>
  <c r="U69" i="25"/>
  <c r="T69" i="25"/>
  <c r="S69" i="25"/>
  <c r="R69" i="25"/>
  <c r="Q69" i="25"/>
  <c r="P69" i="25"/>
  <c r="O69" i="25"/>
  <c r="N69" i="25"/>
  <c r="M69" i="25"/>
  <c r="L69" i="25"/>
  <c r="K69" i="25"/>
  <c r="J69" i="25"/>
  <c r="I69" i="25"/>
  <c r="H69" i="25"/>
  <c r="G69" i="25"/>
  <c r="F69" i="25"/>
  <c r="E69" i="25"/>
  <c r="D69" i="25"/>
  <c r="C69" i="25"/>
  <c r="B69" i="25"/>
  <c r="A69" i="25"/>
  <c r="AP68" i="25"/>
  <c r="AO68" i="25"/>
  <c r="AN68" i="25"/>
  <c r="AM68" i="25"/>
  <c r="AL68" i="25"/>
  <c r="AK68" i="25"/>
  <c r="AJ68" i="25"/>
  <c r="AI68" i="25"/>
  <c r="AH68" i="25"/>
  <c r="AG68" i="25"/>
  <c r="AF68" i="25"/>
  <c r="AE68" i="25"/>
  <c r="AD68" i="25"/>
  <c r="AC68" i="25"/>
  <c r="AB68" i="25"/>
  <c r="AA68"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AP67" i="25"/>
  <c r="AO67" i="25"/>
  <c r="AN67" i="25"/>
  <c r="AM67" i="25"/>
  <c r="AL67" i="25"/>
  <c r="AK67" i="25"/>
  <c r="AJ67" i="25"/>
  <c r="AI67" i="25"/>
  <c r="AH67" i="25"/>
  <c r="AG67" i="25"/>
  <c r="AF67" i="25"/>
  <c r="AE67" i="25"/>
  <c r="AD67" i="25"/>
  <c r="AC67" i="25"/>
  <c r="AB67" i="25"/>
  <c r="AA67" i="25"/>
  <c r="Z67" i="25"/>
  <c r="Y67" i="25"/>
  <c r="X67" i="25"/>
  <c r="W67" i="25"/>
  <c r="V67" i="25"/>
  <c r="U67" i="25"/>
  <c r="T67" i="25"/>
  <c r="S67" i="25"/>
  <c r="R67" i="25"/>
  <c r="Q67" i="25"/>
  <c r="P67" i="25"/>
  <c r="O67" i="25"/>
  <c r="N67" i="25"/>
  <c r="M67" i="25"/>
  <c r="L67" i="25"/>
  <c r="K67" i="25"/>
  <c r="J67" i="25"/>
  <c r="I67" i="25"/>
  <c r="H67" i="25"/>
  <c r="G67" i="25"/>
  <c r="F67" i="25"/>
  <c r="E67" i="25"/>
  <c r="D67" i="25"/>
  <c r="C67" i="25"/>
  <c r="B67" i="25"/>
  <c r="A67" i="25"/>
  <c r="AP66" i="25"/>
  <c r="AO66" i="25"/>
  <c r="AN66" i="25"/>
  <c r="AM66" i="25"/>
  <c r="AL66" i="25"/>
  <c r="AK66" i="25"/>
  <c r="AJ66" i="25"/>
  <c r="AI66" i="25"/>
  <c r="AH66" i="25"/>
  <c r="AG66" i="25"/>
  <c r="AF66" i="25"/>
  <c r="AE66" i="25"/>
  <c r="AD66" i="25"/>
  <c r="AC66" i="25"/>
  <c r="AB66" i="25"/>
  <c r="AA66"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AP65" i="25"/>
  <c r="AO65" i="25"/>
  <c r="AN65" i="25"/>
  <c r="AM65" i="25"/>
  <c r="AL65" i="25"/>
  <c r="AK65" i="25"/>
  <c r="AJ65" i="25"/>
  <c r="AI65" i="25"/>
  <c r="AH65" i="25"/>
  <c r="AG65" i="25"/>
  <c r="AF65" i="25"/>
  <c r="AE65" i="25"/>
  <c r="AD65" i="25"/>
  <c r="AC65" i="25"/>
  <c r="AB65" i="25"/>
  <c r="AA65" i="25"/>
  <c r="Z65" i="25"/>
  <c r="Y65" i="25"/>
  <c r="X65" i="25"/>
  <c r="W65" i="25"/>
  <c r="V65" i="25"/>
  <c r="U65" i="25"/>
  <c r="T65" i="25"/>
  <c r="S65" i="25"/>
  <c r="R65" i="25"/>
  <c r="Q65" i="25"/>
  <c r="P65" i="25"/>
  <c r="O65" i="25"/>
  <c r="N65" i="25"/>
  <c r="M65" i="25"/>
  <c r="L65" i="25"/>
  <c r="K65" i="25"/>
  <c r="J65" i="25"/>
  <c r="I65" i="25"/>
  <c r="H65" i="25"/>
  <c r="G65" i="25"/>
  <c r="F65" i="25"/>
  <c r="E65" i="25"/>
  <c r="D65" i="25"/>
  <c r="C65" i="25"/>
  <c r="B65" i="25"/>
  <c r="A65" i="25"/>
  <c r="AP64" i="25"/>
  <c r="AO64" i="25"/>
  <c r="AN64" i="25"/>
  <c r="AM64" i="25"/>
  <c r="AL64" i="25"/>
  <c r="AK64" i="25"/>
  <c r="AJ64" i="25"/>
  <c r="AI64" i="25"/>
  <c r="AH64" i="25"/>
  <c r="AG64" i="25"/>
  <c r="AF64" i="25"/>
  <c r="AE64" i="25"/>
  <c r="AD64" i="25"/>
  <c r="AC64" i="25"/>
  <c r="AB64" i="25"/>
  <c r="AA64" i="25"/>
  <c r="Z64" i="25"/>
  <c r="Y64" i="25"/>
  <c r="X64" i="25"/>
  <c r="W64" i="25"/>
  <c r="V64" i="25"/>
  <c r="U64" i="25"/>
  <c r="T64" i="25"/>
  <c r="S64" i="25"/>
  <c r="R64" i="25"/>
  <c r="Q64" i="25"/>
  <c r="P64" i="25"/>
  <c r="O64" i="25"/>
  <c r="N64" i="25"/>
  <c r="M64" i="25"/>
  <c r="L64" i="25"/>
  <c r="K64" i="25"/>
  <c r="J64" i="25"/>
  <c r="I64" i="25"/>
  <c r="H64" i="25"/>
  <c r="G64" i="25"/>
  <c r="F64" i="25"/>
  <c r="E64" i="25"/>
  <c r="D64" i="25"/>
  <c r="C64" i="25"/>
  <c r="B64" i="25"/>
  <c r="A64" i="25"/>
  <c r="AP63" i="25"/>
  <c r="AO63" i="25"/>
  <c r="AN63" i="25"/>
  <c r="AM63" i="25"/>
  <c r="AL63" i="25"/>
  <c r="AK63" i="25"/>
  <c r="AJ63" i="25"/>
  <c r="AI63" i="25"/>
  <c r="AH63" i="25"/>
  <c r="AG63" i="25"/>
  <c r="AF63" i="25"/>
  <c r="AE63" i="25"/>
  <c r="AD63" i="25"/>
  <c r="AC63" i="25"/>
  <c r="AB63" i="25"/>
  <c r="AA63"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AP62" i="25"/>
  <c r="AO62" i="25"/>
  <c r="AN62" i="25"/>
  <c r="AM62" i="25"/>
  <c r="AL62" i="25"/>
  <c r="AK62" i="25"/>
  <c r="AJ62" i="25"/>
  <c r="AI62" i="25"/>
  <c r="AH62" i="25"/>
  <c r="AG62" i="25"/>
  <c r="AF62" i="25"/>
  <c r="AE62" i="25"/>
  <c r="AD62" i="25"/>
  <c r="AC62" i="25"/>
  <c r="AB62" i="25"/>
  <c r="AA62" i="25"/>
  <c r="Z62" i="25"/>
  <c r="Y62" i="25"/>
  <c r="X62" i="25"/>
  <c r="W62" i="25"/>
  <c r="V62" i="25"/>
  <c r="U62" i="25"/>
  <c r="T62" i="25"/>
  <c r="S62" i="25"/>
  <c r="R62" i="25"/>
  <c r="Q62" i="25"/>
  <c r="P62" i="25"/>
  <c r="O62" i="25"/>
  <c r="N62" i="25"/>
  <c r="M62" i="25"/>
  <c r="L62" i="25"/>
  <c r="K62" i="25"/>
  <c r="J62" i="25"/>
  <c r="I62" i="25"/>
  <c r="H62" i="25"/>
  <c r="G62" i="25"/>
  <c r="F62" i="25"/>
  <c r="E62" i="25"/>
  <c r="D62" i="25"/>
  <c r="C62" i="25"/>
  <c r="B62" i="25"/>
  <c r="A62" i="25"/>
  <c r="AP61" i="25"/>
  <c r="AO61" i="25"/>
  <c r="AN61" i="25"/>
  <c r="AM61" i="25"/>
  <c r="AL61" i="25"/>
  <c r="AK61" i="25"/>
  <c r="AJ61" i="25"/>
  <c r="AI61" i="25"/>
  <c r="AH61" i="25"/>
  <c r="AG61" i="25"/>
  <c r="AF61" i="25"/>
  <c r="AE61" i="25"/>
  <c r="AD61" i="25"/>
  <c r="AC61" i="25"/>
  <c r="AB61" i="25"/>
  <c r="AA61" i="25"/>
  <c r="Z61" i="25"/>
  <c r="Y61" i="25"/>
  <c r="X61" i="25"/>
  <c r="W61" i="25"/>
  <c r="V61" i="25"/>
  <c r="U61" i="25"/>
  <c r="T61" i="25"/>
  <c r="S61" i="25"/>
  <c r="R61" i="25"/>
  <c r="Q61" i="25"/>
  <c r="P61" i="25"/>
  <c r="O61" i="25"/>
  <c r="N61" i="25"/>
  <c r="M61" i="25"/>
  <c r="L61" i="25"/>
  <c r="K61" i="25"/>
  <c r="J61" i="25"/>
  <c r="I61" i="25"/>
  <c r="H61" i="25"/>
  <c r="G61" i="25"/>
  <c r="F61" i="25"/>
  <c r="E61" i="25"/>
  <c r="D61" i="25"/>
  <c r="C61" i="25"/>
  <c r="B61" i="25"/>
  <c r="A61" i="25"/>
  <c r="AP60" i="25"/>
  <c r="AO60" i="25"/>
  <c r="AN60" i="25"/>
  <c r="AM60" i="25"/>
  <c r="AL60" i="25"/>
  <c r="AK60" i="25"/>
  <c r="AJ60" i="25"/>
  <c r="AI60" i="25"/>
  <c r="AH60" i="25"/>
  <c r="AG60" i="25"/>
  <c r="AF60" i="25"/>
  <c r="AE60" i="25"/>
  <c r="AD60" i="25"/>
  <c r="AC60" i="25"/>
  <c r="AB60" i="25"/>
  <c r="AA60"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AP59" i="25"/>
  <c r="AO59" i="25"/>
  <c r="AN59" i="25"/>
  <c r="AM59" i="25"/>
  <c r="AL59" i="25"/>
  <c r="AK59" i="25"/>
  <c r="AJ59" i="25"/>
  <c r="AI59" i="25"/>
  <c r="AH59" i="25"/>
  <c r="AG59" i="25"/>
  <c r="AF59" i="25"/>
  <c r="AE59" i="25"/>
  <c r="AD59" i="25"/>
  <c r="AC59" i="25"/>
  <c r="AB59" i="25"/>
  <c r="AA59" i="25"/>
  <c r="Z59" i="25"/>
  <c r="Y59" i="25"/>
  <c r="X59" i="25"/>
  <c r="W59" i="25"/>
  <c r="V59" i="25"/>
  <c r="U59" i="25"/>
  <c r="T59" i="25"/>
  <c r="S59" i="25"/>
  <c r="R59" i="25"/>
  <c r="Q59" i="25"/>
  <c r="P59" i="25"/>
  <c r="O59" i="25"/>
  <c r="N59" i="25"/>
  <c r="M59" i="25"/>
  <c r="L59" i="25"/>
  <c r="K59" i="25"/>
  <c r="J59" i="25"/>
  <c r="I59" i="25"/>
  <c r="H59" i="25"/>
  <c r="G59" i="25"/>
  <c r="F59" i="25"/>
  <c r="E59" i="25"/>
  <c r="D59" i="25"/>
  <c r="C59" i="25"/>
  <c r="B59" i="25"/>
  <c r="A59" i="25"/>
  <c r="AP58" i="25"/>
  <c r="AO58" i="25"/>
  <c r="AN58" i="25"/>
  <c r="AM58" i="25"/>
  <c r="AL58" i="25"/>
  <c r="AK58" i="25"/>
  <c r="AJ58" i="25"/>
  <c r="AI58" i="25"/>
  <c r="AH58" i="25"/>
  <c r="AG58" i="25"/>
  <c r="AF58" i="25"/>
  <c r="AE58" i="25"/>
  <c r="AD58" i="25"/>
  <c r="AC58" i="25"/>
  <c r="AB58" i="25"/>
  <c r="AA58"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AP57" i="25"/>
  <c r="AO57" i="25"/>
  <c r="AN57" i="25"/>
  <c r="AM57" i="25"/>
  <c r="AL57" i="25"/>
  <c r="AK57" i="25"/>
  <c r="AJ57" i="25"/>
  <c r="AI57" i="25"/>
  <c r="AH57" i="25"/>
  <c r="AG57" i="25"/>
  <c r="AF57" i="25"/>
  <c r="AE57" i="25"/>
  <c r="AD57" i="25"/>
  <c r="AC57" i="25"/>
  <c r="AB57" i="25"/>
  <c r="AA57"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AP56" i="25"/>
  <c r="AO56" i="25"/>
  <c r="AN56" i="25"/>
  <c r="AM56" i="25"/>
  <c r="AL56" i="25"/>
  <c r="AK56" i="25"/>
  <c r="AJ56" i="25"/>
  <c r="AI56" i="25"/>
  <c r="AH56" i="25"/>
  <c r="AG56" i="25"/>
  <c r="AF56" i="25"/>
  <c r="AE56" i="25"/>
  <c r="AD56" i="25"/>
  <c r="AC56" i="25"/>
  <c r="AB56" i="25"/>
  <c r="AA56" i="25"/>
  <c r="Z56" i="25"/>
  <c r="Y56" i="25"/>
  <c r="X56" i="25"/>
  <c r="W56" i="25"/>
  <c r="V56" i="25"/>
  <c r="U56" i="25"/>
  <c r="T56" i="25"/>
  <c r="S56" i="25"/>
  <c r="R56" i="25"/>
  <c r="Q56" i="25"/>
  <c r="P56" i="25"/>
  <c r="O56" i="25"/>
  <c r="N56" i="25"/>
  <c r="M56" i="25"/>
  <c r="L56" i="25"/>
  <c r="K56" i="25"/>
  <c r="J56" i="25"/>
  <c r="I56" i="25"/>
  <c r="H56" i="25"/>
  <c r="G56" i="25"/>
  <c r="F56" i="25"/>
  <c r="E56" i="25"/>
  <c r="D56" i="25"/>
  <c r="C56" i="25"/>
  <c r="B56" i="25"/>
  <c r="A56" i="25"/>
  <c r="AP55" i="25"/>
  <c r="AO55" i="25"/>
  <c r="AN55" i="25"/>
  <c r="AM55" i="25"/>
  <c r="AL55" i="25"/>
  <c r="AK55" i="25"/>
  <c r="AJ55" i="25"/>
  <c r="AI55" i="25"/>
  <c r="AH55" i="25"/>
  <c r="AG55" i="25"/>
  <c r="AF55" i="25"/>
  <c r="AE55" i="25"/>
  <c r="AD55" i="25"/>
  <c r="AC55" i="25"/>
  <c r="AB55" i="25"/>
  <c r="AA55"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AP54" i="25"/>
  <c r="AO54" i="25"/>
  <c r="AN54" i="25"/>
  <c r="AM54" i="25"/>
  <c r="AL54" i="25"/>
  <c r="AK54" i="25"/>
  <c r="AJ54" i="25"/>
  <c r="AI54" i="25"/>
  <c r="AH54" i="25"/>
  <c r="AG54" i="25"/>
  <c r="AF54" i="25"/>
  <c r="AE54" i="25"/>
  <c r="AD54" i="25"/>
  <c r="AC54" i="25"/>
  <c r="AB54" i="25"/>
  <c r="AA54" i="25"/>
  <c r="Z54" i="25"/>
  <c r="Y54" i="25"/>
  <c r="X54" i="25"/>
  <c r="W54" i="25"/>
  <c r="V54" i="25"/>
  <c r="U54" i="25"/>
  <c r="T54" i="25"/>
  <c r="S54" i="25"/>
  <c r="R54" i="25"/>
  <c r="Q54" i="25"/>
  <c r="P54" i="25"/>
  <c r="O54" i="25"/>
  <c r="N54" i="25"/>
  <c r="M54" i="25"/>
  <c r="L54" i="25"/>
  <c r="K54" i="25"/>
  <c r="J54" i="25"/>
  <c r="I54" i="25"/>
  <c r="H54" i="25"/>
  <c r="G54" i="25"/>
  <c r="F54" i="25"/>
  <c r="E54" i="25"/>
  <c r="D54" i="25"/>
  <c r="C54" i="25"/>
  <c r="B54" i="25"/>
  <c r="A54" i="25"/>
  <c r="AP53" i="25"/>
  <c r="AO53" i="25"/>
  <c r="AN53" i="25"/>
  <c r="AM53" i="25"/>
  <c r="AL53" i="25"/>
  <c r="AK53" i="25"/>
  <c r="AJ53" i="25"/>
  <c r="AI53" i="25"/>
  <c r="AH53" i="25"/>
  <c r="AG53" i="25"/>
  <c r="AF53" i="25"/>
  <c r="AE53" i="25"/>
  <c r="AD53" i="25"/>
  <c r="AC53" i="25"/>
  <c r="AB53" i="25"/>
  <c r="AA53"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53" i="25"/>
  <c r="AP52" i="25"/>
  <c r="AO52" i="25"/>
  <c r="AN52" i="25"/>
  <c r="AM52" i="25"/>
  <c r="AL52" i="25"/>
  <c r="AK52" i="25"/>
  <c r="AJ52" i="25"/>
  <c r="AI52" i="25"/>
  <c r="AH52" i="25"/>
  <c r="AG52" i="25"/>
  <c r="AF52" i="25"/>
  <c r="AE52" i="25"/>
  <c r="AD52" i="25"/>
  <c r="AC52" i="25"/>
  <c r="AB52" i="25"/>
  <c r="AA52"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AP51" i="25"/>
  <c r="AO51" i="25"/>
  <c r="AN51" i="25"/>
  <c r="AM51" i="25"/>
  <c r="AL51" i="25"/>
  <c r="AK51" i="25"/>
  <c r="AJ51" i="25"/>
  <c r="AI51" i="25"/>
  <c r="AH51" i="25"/>
  <c r="AG51" i="25"/>
  <c r="AF51" i="25"/>
  <c r="AE51" i="25"/>
  <c r="AD51" i="25"/>
  <c r="AC51" i="25"/>
  <c r="AB51" i="25"/>
  <c r="AA51"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51" i="25"/>
  <c r="AP50" i="25"/>
  <c r="AO50" i="25"/>
  <c r="AN50" i="25"/>
  <c r="AM50" i="25"/>
  <c r="AL50" i="25"/>
  <c r="AK50" i="25"/>
  <c r="AJ50" i="25"/>
  <c r="AI50" i="25"/>
  <c r="AH50" i="25"/>
  <c r="AG50" i="25"/>
  <c r="AF50" i="25"/>
  <c r="AE50" i="25"/>
  <c r="AD50" i="25"/>
  <c r="AC50" i="25"/>
  <c r="AB50" i="25"/>
  <c r="AA50" i="25"/>
  <c r="Z50" i="25"/>
  <c r="Y50" i="25"/>
  <c r="X50" i="25"/>
  <c r="W50" i="25"/>
  <c r="V50" i="25"/>
  <c r="U50" i="25"/>
  <c r="T50" i="25"/>
  <c r="S50" i="25"/>
  <c r="R50" i="25"/>
  <c r="Q50" i="25"/>
  <c r="P50" i="25"/>
  <c r="O50" i="25"/>
  <c r="N50" i="25"/>
  <c r="M50" i="25"/>
  <c r="L50" i="25"/>
  <c r="K50" i="25"/>
  <c r="J50" i="25"/>
  <c r="I50" i="25"/>
  <c r="H50" i="25"/>
  <c r="G50" i="25"/>
  <c r="F50" i="25"/>
  <c r="E50" i="25"/>
  <c r="D50" i="25"/>
  <c r="C50" i="25"/>
  <c r="B50" i="25"/>
  <c r="A50" i="25"/>
  <c r="AP49" i="25"/>
  <c r="AO49" i="25"/>
  <c r="AN49" i="25"/>
  <c r="AM49" i="25"/>
  <c r="AL49" i="25"/>
  <c r="AK49" i="25"/>
  <c r="AJ49" i="25"/>
  <c r="AI49" i="25"/>
  <c r="AH49" i="25"/>
  <c r="AG49" i="25"/>
  <c r="AF49" i="25"/>
  <c r="AE49" i="25"/>
  <c r="AD49" i="25"/>
  <c r="AC49" i="25"/>
  <c r="AB49" i="25"/>
  <c r="AA49" i="25"/>
  <c r="Z49" i="25"/>
  <c r="Y49" i="25"/>
  <c r="X49" i="25"/>
  <c r="W49" i="25"/>
  <c r="V49" i="25"/>
  <c r="U49" i="25"/>
  <c r="T49" i="25"/>
  <c r="S49" i="25"/>
  <c r="R49" i="25"/>
  <c r="Q49" i="25"/>
  <c r="P49" i="25"/>
  <c r="O49" i="25"/>
  <c r="N49" i="25"/>
  <c r="M49" i="25"/>
  <c r="L49" i="25"/>
  <c r="K49" i="25"/>
  <c r="J49" i="25"/>
  <c r="I49" i="25"/>
  <c r="H49" i="25"/>
  <c r="G49" i="25"/>
  <c r="F49" i="25"/>
  <c r="E49" i="25"/>
  <c r="D49" i="25"/>
  <c r="C49" i="25"/>
  <c r="B49" i="25"/>
  <c r="A49" i="25"/>
  <c r="AP48" i="25"/>
  <c r="AO48" i="25"/>
  <c r="AN48" i="25"/>
  <c r="AM48" i="25"/>
  <c r="AL48" i="25"/>
  <c r="AK48" i="25"/>
  <c r="AJ48" i="25"/>
  <c r="AI48" i="25"/>
  <c r="AH48" i="25"/>
  <c r="AG48" i="25"/>
  <c r="AF48" i="25"/>
  <c r="AE48" i="25"/>
  <c r="AD48" i="25"/>
  <c r="AC48" i="25"/>
  <c r="AB48" i="25"/>
  <c r="AA48" i="25"/>
  <c r="Z48" i="25"/>
  <c r="Y48" i="25"/>
  <c r="X48" i="25"/>
  <c r="W48" i="25"/>
  <c r="V48" i="25"/>
  <c r="U48" i="25"/>
  <c r="T48" i="25"/>
  <c r="S48" i="25"/>
  <c r="R48" i="25"/>
  <c r="Q48" i="25"/>
  <c r="P48" i="25"/>
  <c r="O48" i="25"/>
  <c r="N48" i="25"/>
  <c r="M48" i="25"/>
  <c r="L48" i="25"/>
  <c r="K48" i="25"/>
  <c r="J48" i="25"/>
  <c r="I48" i="25"/>
  <c r="H48" i="25"/>
  <c r="G48" i="25"/>
  <c r="F48" i="25"/>
  <c r="E48" i="25"/>
  <c r="D48" i="25"/>
  <c r="C48" i="25"/>
  <c r="B48" i="25"/>
  <c r="A48" i="25"/>
  <c r="AP47" i="25"/>
  <c r="AO47" i="25"/>
  <c r="AN47" i="25"/>
  <c r="AM47" i="25"/>
  <c r="AL47" i="25"/>
  <c r="AK47" i="25"/>
  <c r="AJ47" i="25"/>
  <c r="AI47" i="25"/>
  <c r="AH47" i="25"/>
  <c r="AG47" i="25"/>
  <c r="AF47" i="25"/>
  <c r="AE47" i="25"/>
  <c r="AD47" i="25"/>
  <c r="AC47" i="25"/>
  <c r="AB47" i="25"/>
  <c r="AA47" i="25"/>
  <c r="Z47" i="25"/>
  <c r="Y47" i="25"/>
  <c r="X47" i="25"/>
  <c r="W47" i="25"/>
  <c r="V47" i="25"/>
  <c r="U47" i="25"/>
  <c r="T47" i="25"/>
  <c r="S47" i="25"/>
  <c r="R47" i="25"/>
  <c r="Q47" i="25"/>
  <c r="P47" i="25"/>
  <c r="O47" i="25"/>
  <c r="N47" i="25"/>
  <c r="M47" i="25"/>
  <c r="L47" i="25"/>
  <c r="K47" i="25"/>
  <c r="J47" i="25"/>
  <c r="I47" i="25"/>
  <c r="H47" i="25"/>
  <c r="G47" i="25"/>
  <c r="F47" i="25"/>
  <c r="E47" i="25"/>
  <c r="D47" i="25"/>
  <c r="C47" i="25"/>
  <c r="B47" i="25"/>
  <c r="A47" i="25"/>
  <c r="AP46" i="25"/>
  <c r="AO46" i="25"/>
  <c r="AN46" i="25"/>
  <c r="AM46" i="25"/>
  <c r="AL46" i="25"/>
  <c r="AK46" i="25"/>
  <c r="AJ46" i="25"/>
  <c r="AI46" i="25"/>
  <c r="AH46" i="25"/>
  <c r="AG46" i="25"/>
  <c r="AF46" i="25"/>
  <c r="AE46" i="25"/>
  <c r="AD46" i="25"/>
  <c r="AC46" i="25"/>
  <c r="AB46" i="25"/>
  <c r="AA46" i="25"/>
  <c r="Z46" i="25"/>
  <c r="Y46" i="25"/>
  <c r="X46" i="25"/>
  <c r="W46" i="25"/>
  <c r="V46" i="25"/>
  <c r="U46" i="25"/>
  <c r="T46" i="25"/>
  <c r="S46" i="25"/>
  <c r="R46" i="25"/>
  <c r="Q46" i="25"/>
  <c r="P46" i="25"/>
  <c r="O46" i="25"/>
  <c r="N46" i="25"/>
  <c r="M46" i="25"/>
  <c r="L46" i="25"/>
  <c r="K46" i="25"/>
  <c r="J46" i="25"/>
  <c r="I46" i="25"/>
  <c r="H46" i="25"/>
  <c r="G46" i="25"/>
  <c r="F46" i="25"/>
  <c r="E46" i="25"/>
  <c r="D46" i="25"/>
  <c r="C46" i="25"/>
  <c r="B46" i="25"/>
  <c r="A46" i="25"/>
  <c r="AP45" i="25"/>
  <c r="AO45" i="25"/>
  <c r="AN45" i="25"/>
  <c r="AM45" i="25"/>
  <c r="AL45" i="25"/>
  <c r="AK45" i="25"/>
  <c r="AJ45" i="25"/>
  <c r="AI45" i="25"/>
  <c r="AH45" i="25"/>
  <c r="AG45" i="25"/>
  <c r="AF45" i="25"/>
  <c r="AE45" i="25"/>
  <c r="AD45" i="25"/>
  <c r="AC45" i="25"/>
  <c r="AB45" i="25"/>
  <c r="AA45" i="25"/>
  <c r="Z45" i="25"/>
  <c r="Y45" i="25"/>
  <c r="X45" i="25"/>
  <c r="W45" i="25"/>
  <c r="V45" i="25"/>
  <c r="U45" i="25"/>
  <c r="T45" i="25"/>
  <c r="S45" i="25"/>
  <c r="R45" i="25"/>
  <c r="Q45" i="25"/>
  <c r="P45" i="25"/>
  <c r="O45" i="25"/>
  <c r="N45" i="25"/>
  <c r="M45" i="25"/>
  <c r="L45" i="25"/>
  <c r="K45" i="25"/>
  <c r="J45" i="25"/>
  <c r="I45" i="25"/>
  <c r="H45" i="25"/>
  <c r="G45" i="25"/>
  <c r="F45" i="25"/>
  <c r="E45" i="25"/>
  <c r="D45" i="25"/>
  <c r="C45" i="25"/>
  <c r="B45" i="25"/>
  <c r="A45" i="25"/>
  <c r="AP44" i="25"/>
  <c r="AO44" i="25"/>
  <c r="AN44" i="25"/>
  <c r="AM44" i="25"/>
  <c r="AL44" i="25"/>
  <c r="AK44" i="25"/>
  <c r="AJ44" i="25"/>
  <c r="AI44" i="25"/>
  <c r="AH44" i="25"/>
  <c r="AG44" i="25"/>
  <c r="AF44" i="25"/>
  <c r="AE44" i="25"/>
  <c r="AD44" i="25"/>
  <c r="AC44" i="25"/>
  <c r="AB44" i="25"/>
  <c r="AA44" i="25"/>
  <c r="Z44" i="25"/>
  <c r="Y44" i="25"/>
  <c r="X44" i="25"/>
  <c r="W44" i="25"/>
  <c r="V44" i="25"/>
  <c r="U44" i="25"/>
  <c r="T44" i="25"/>
  <c r="S44" i="25"/>
  <c r="R44" i="25"/>
  <c r="Q44" i="25"/>
  <c r="P44" i="25"/>
  <c r="O44" i="25"/>
  <c r="N44" i="25"/>
  <c r="M44" i="25"/>
  <c r="L44" i="25"/>
  <c r="K44" i="25"/>
  <c r="J44" i="25"/>
  <c r="I44" i="25"/>
  <c r="H44" i="25"/>
  <c r="G44" i="25"/>
  <c r="F44" i="25"/>
  <c r="E44" i="25"/>
  <c r="D44" i="25"/>
  <c r="C44" i="25"/>
  <c r="B44" i="25"/>
  <c r="A44" i="25"/>
  <c r="AP43" i="25"/>
  <c r="AO43" i="25"/>
  <c r="AN43" i="25"/>
  <c r="AM43" i="25"/>
  <c r="AL43" i="25"/>
  <c r="AK43" i="25"/>
  <c r="AJ43" i="25"/>
  <c r="AI43" i="25"/>
  <c r="AH43" i="25"/>
  <c r="AG43" i="25"/>
  <c r="AF43" i="25"/>
  <c r="AE43" i="25"/>
  <c r="AD43" i="25"/>
  <c r="AC43" i="25"/>
  <c r="AB43" i="25"/>
  <c r="AA43" i="25"/>
  <c r="Z43" i="25"/>
  <c r="Y43" i="25"/>
  <c r="X43" i="25"/>
  <c r="W43" i="25"/>
  <c r="V43" i="25"/>
  <c r="U43" i="25"/>
  <c r="T43" i="25"/>
  <c r="S43" i="25"/>
  <c r="R43" i="25"/>
  <c r="Q43" i="25"/>
  <c r="P43" i="25"/>
  <c r="O43" i="25"/>
  <c r="N43" i="25"/>
  <c r="M43" i="25"/>
  <c r="L43" i="25"/>
  <c r="K43" i="25"/>
  <c r="J43" i="25"/>
  <c r="I43" i="25"/>
  <c r="H43" i="25"/>
  <c r="G43" i="25"/>
  <c r="F43" i="25"/>
  <c r="E43" i="25"/>
  <c r="D43" i="25"/>
  <c r="C43" i="25"/>
  <c r="B43" i="25"/>
  <c r="A43" i="25"/>
  <c r="AP42" i="25"/>
  <c r="AO42" i="25"/>
  <c r="AN42" i="25"/>
  <c r="AM42" i="25"/>
  <c r="AL42" i="25"/>
  <c r="AK42" i="25"/>
  <c r="AJ42" i="25"/>
  <c r="AI42" i="25"/>
  <c r="AH42" i="25"/>
  <c r="AG42" i="25"/>
  <c r="AF42" i="25"/>
  <c r="AE42" i="25"/>
  <c r="AD42" i="25"/>
  <c r="AC42" i="25"/>
  <c r="AB42" i="25"/>
  <c r="AA42" i="25"/>
  <c r="Z42" i="25"/>
  <c r="Y42" i="25"/>
  <c r="X42" i="25"/>
  <c r="W42" i="25"/>
  <c r="V42" i="25"/>
  <c r="U42" i="25"/>
  <c r="T42" i="25"/>
  <c r="S42" i="25"/>
  <c r="R42" i="25"/>
  <c r="Q42" i="25"/>
  <c r="P42" i="25"/>
  <c r="O42" i="25"/>
  <c r="N42" i="25"/>
  <c r="M42" i="25"/>
  <c r="L42" i="25"/>
  <c r="K42" i="25"/>
  <c r="J42" i="25"/>
  <c r="I42" i="25"/>
  <c r="H42" i="25"/>
  <c r="G42" i="25"/>
  <c r="F42" i="25"/>
  <c r="E42" i="25"/>
  <c r="D42" i="25"/>
  <c r="C42" i="25"/>
  <c r="B42" i="25"/>
  <c r="A42" i="25"/>
  <c r="AP41" i="25"/>
  <c r="AO41" i="25"/>
  <c r="AN41" i="25"/>
  <c r="AM41" i="25"/>
  <c r="AL41" i="25"/>
  <c r="AK41" i="25"/>
  <c r="AJ41" i="25"/>
  <c r="AI41" i="25"/>
  <c r="AH41" i="25"/>
  <c r="AG41" i="25"/>
  <c r="AF41" i="25"/>
  <c r="AE41" i="25"/>
  <c r="AD41" i="25"/>
  <c r="AC41" i="25"/>
  <c r="AB41" i="25"/>
  <c r="AA41" i="25"/>
  <c r="Z41" i="25"/>
  <c r="Y41" i="25"/>
  <c r="X41" i="25"/>
  <c r="W41" i="25"/>
  <c r="V41" i="25"/>
  <c r="U41" i="25"/>
  <c r="T41" i="25"/>
  <c r="S41" i="25"/>
  <c r="R41" i="25"/>
  <c r="Q41" i="25"/>
  <c r="P41" i="25"/>
  <c r="O41" i="25"/>
  <c r="N41" i="25"/>
  <c r="M41" i="25"/>
  <c r="L41" i="25"/>
  <c r="K41" i="25"/>
  <c r="J41" i="25"/>
  <c r="I41" i="25"/>
  <c r="H41" i="25"/>
  <c r="G41" i="25"/>
  <c r="F41" i="25"/>
  <c r="E41" i="25"/>
  <c r="D41" i="25"/>
  <c r="C41" i="25"/>
  <c r="B41" i="25"/>
  <c r="A41" i="25"/>
  <c r="AP40" i="25"/>
  <c r="AO40" i="25"/>
  <c r="AN40" i="25"/>
  <c r="AM40" i="25"/>
  <c r="AL40" i="25"/>
  <c r="AK40" i="25"/>
  <c r="AJ40" i="25"/>
  <c r="AI40" i="25"/>
  <c r="AH40" i="25"/>
  <c r="AG40" i="25"/>
  <c r="AF40" i="25"/>
  <c r="AE40" i="25"/>
  <c r="AD40" i="25"/>
  <c r="AC40" i="25"/>
  <c r="AB40" i="25"/>
  <c r="AA40" i="25"/>
  <c r="Z40" i="25"/>
  <c r="Y40" i="25"/>
  <c r="X40" i="25"/>
  <c r="W40" i="25"/>
  <c r="V40" i="25"/>
  <c r="U40" i="25"/>
  <c r="T40" i="25"/>
  <c r="S40" i="25"/>
  <c r="R40" i="25"/>
  <c r="Q40" i="25"/>
  <c r="P40" i="25"/>
  <c r="O40" i="25"/>
  <c r="N40" i="25"/>
  <c r="M40" i="25"/>
  <c r="L40" i="25"/>
  <c r="K40" i="25"/>
  <c r="J40" i="25"/>
  <c r="I40" i="25"/>
  <c r="H40" i="25"/>
  <c r="G40" i="25"/>
  <c r="F40" i="25"/>
  <c r="E40" i="25"/>
  <c r="D40" i="25"/>
  <c r="C40" i="25"/>
  <c r="B40" i="25"/>
  <c r="A40" i="25"/>
  <c r="AP39" i="25"/>
  <c r="AO39" i="25"/>
  <c r="AN39" i="25"/>
  <c r="AM39" i="25"/>
  <c r="AL39" i="25"/>
  <c r="AK39" i="25"/>
  <c r="AJ39" i="25"/>
  <c r="AI39" i="25"/>
  <c r="AH39" i="25"/>
  <c r="AG39" i="25"/>
  <c r="AF39" i="25"/>
  <c r="AE39" i="25"/>
  <c r="AD39" i="25"/>
  <c r="AC39" i="25"/>
  <c r="AB39" i="25"/>
  <c r="AA39" i="25"/>
  <c r="Z39" i="25"/>
  <c r="Y39" i="25"/>
  <c r="X39" i="25"/>
  <c r="W39" i="25"/>
  <c r="V39" i="25"/>
  <c r="U39" i="25"/>
  <c r="T39" i="25"/>
  <c r="S39" i="25"/>
  <c r="R39" i="25"/>
  <c r="Q39" i="25"/>
  <c r="P39" i="25"/>
  <c r="O39" i="25"/>
  <c r="N39" i="25"/>
  <c r="M39" i="25"/>
  <c r="L39" i="25"/>
  <c r="K39" i="25"/>
  <c r="J39" i="25"/>
  <c r="I39" i="25"/>
  <c r="H39" i="25"/>
  <c r="G39" i="25"/>
  <c r="F39" i="25"/>
  <c r="E39" i="25"/>
  <c r="D39" i="25"/>
  <c r="C39" i="25"/>
  <c r="B39" i="25"/>
  <c r="A39" i="25"/>
  <c r="AP38" i="25"/>
  <c r="AO38" i="25"/>
  <c r="AN38" i="25"/>
  <c r="AM38" i="25"/>
  <c r="AL38" i="25"/>
  <c r="AK38" i="25"/>
  <c r="AJ38" i="25"/>
  <c r="AI38" i="25"/>
  <c r="AH38" i="25"/>
  <c r="AG38" i="25"/>
  <c r="AF38" i="25"/>
  <c r="AE38" i="25"/>
  <c r="AD38" i="25"/>
  <c r="AC38" i="25"/>
  <c r="AB38" i="25"/>
  <c r="AA38" i="25"/>
  <c r="Z38" i="25"/>
  <c r="Y38" i="25"/>
  <c r="X38" i="25"/>
  <c r="W38" i="25"/>
  <c r="V38" i="25"/>
  <c r="U38" i="25"/>
  <c r="T38" i="25"/>
  <c r="S38" i="25"/>
  <c r="R38" i="25"/>
  <c r="Q38" i="25"/>
  <c r="P38" i="25"/>
  <c r="O38" i="25"/>
  <c r="N38" i="25"/>
  <c r="M38" i="25"/>
  <c r="L38" i="25"/>
  <c r="K38" i="25"/>
  <c r="J38" i="25"/>
  <c r="I38" i="25"/>
  <c r="H38" i="25"/>
  <c r="G38" i="25"/>
  <c r="F38" i="25"/>
  <c r="E38" i="25"/>
  <c r="D38" i="25"/>
  <c r="C38" i="25"/>
  <c r="B38" i="25"/>
  <c r="A38" i="25"/>
  <c r="AP37" i="25"/>
  <c r="AO37" i="25"/>
  <c r="AN37" i="25"/>
  <c r="AM37" i="25"/>
  <c r="AL37" i="25"/>
  <c r="AK37" i="25"/>
  <c r="AJ37" i="25"/>
  <c r="AI37" i="25"/>
  <c r="AH37" i="25"/>
  <c r="AG37" i="25"/>
  <c r="AF37" i="25"/>
  <c r="AE37" i="25"/>
  <c r="AD37" i="25"/>
  <c r="AC37" i="25"/>
  <c r="AB37" i="25"/>
  <c r="AA37" i="25"/>
  <c r="Z37" i="25"/>
  <c r="Y37" i="25"/>
  <c r="X37" i="25"/>
  <c r="W37" i="25"/>
  <c r="V37" i="25"/>
  <c r="U37" i="25"/>
  <c r="T37" i="25"/>
  <c r="S37" i="25"/>
  <c r="R37" i="25"/>
  <c r="Q37" i="25"/>
  <c r="P37" i="25"/>
  <c r="O37" i="25"/>
  <c r="N37" i="25"/>
  <c r="M37" i="25"/>
  <c r="L37" i="25"/>
  <c r="K37" i="25"/>
  <c r="J37" i="25"/>
  <c r="I37" i="25"/>
  <c r="H37" i="25"/>
  <c r="G37" i="25"/>
  <c r="F37" i="25"/>
  <c r="E37" i="25"/>
  <c r="D37" i="25"/>
  <c r="C37" i="25"/>
  <c r="B37" i="25"/>
  <c r="A37" i="25"/>
  <c r="AP36" i="25"/>
  <c r="AO36" i="25"/>
  <c r="AN36" i="25"/>
  <c r="AM36" i="25"/>
  <c r="AL36" i="25"/>
  <c r="AK36" i="25"/>
  <c r="AJ36" i="25"/>
  <c r="AI36" i="25"/>
  <c r="AH36" i="25"/>
  <c r="AG36" i="25"/>
  <c r="AF36" i="25"/>
  <c r="AE36" i="25"/>
  <c r="AD36" i="25"/>
  <c r="AC36" i="25"/>
  <c r="AB36" i="25"/>
  <c r="AA36" i="25"/>
  <c r="Z36" i="25"/>
  <c r="Y36" i="25"/>
  <c r="X36" i="25"/>
  <c r="W36" i="25"/>
  <c r="V36" i="25"/>
  <c r="U36" i="25"/>
  <c r="T36" i="25"/>
  <c r="S36" i="25"/>
  <c r="R36" i="25"/>
  <c r="Q36" i="25"/>
  <c r="P36" i="25"/>
  <c r="O36" i="25"/>
  <c r="N36" i="25"/>
  <c r="M36" i="25"/>
  <c r="L36" i="25"/>
  <c r="K36" i="25"/>
  <c r="J36" i="25"/>
  <c r="I36" i="25"/>
  <c r="H36" i="25"/>
  <c r="G36" i="25"/>
  <c r="F36" i="25"/>
  <c r="E36" i="25"/>
  <c r="D36" i="25"/>
  <c r="C36" i="25"/>
  <c r="B36" i="25"/>
  <c r="A36" i="25"/>
  <c r="AP35" i="25"/>
  <c r="AO35" i="25"/>
  <c r="AN35" i="25"/>
  <c r="AM35" i="25"/>
  <c r="AL35" i="25"/>
  <c r="AK35" i="25"/>
  <c r="AJ35" i="25"/>
  <c r="AI35" i="25"/>
  <c r="AH35" i="25"/>
  <c r="AG35" i="25"/>
  <c r="AF35" i="25"/>
  <c r="AE35" i="25"/>
  <c r="AD35" i="25"/>
  <c r="AC35" i="25"/>
  <c r="AB35" i="25"/>
  <c r="AA35" i="25"/>
  <c r="Z35" i="25"/>
  <c r="Y35" i="25"/>
  <c r="X35" i="25"/>
  <c r="W35" i="25"/>
  <c r="V35" i="25"/>
  <c r="U35" i="25"/>
  <c r="T35" i="25"/>
  <c r="S35" i="25"/>
  <c r="R35" i="25"/>
  <c r="Q35" i="25"/>
  <c r="P35" i="25"/>
  <c r="O35" i="25"/>
  <c r="N35" i="25"/>
  <c r="M35" i="25"/>
  <c r="L35" i="25"/>
  <c r="K35" i="25"/>
  <c r="J35" i="25"/>
  <c r="I35" i="25"/>
  <c r="H35" i="25"/>
  <c r="G35" i="25"/>
  <c r="F35" i="25"/>
  <c r="E35" i="25"/>
  <c r="D35" i="25"/>
  <c r="C35" i="25"/>
  <c r="B35" i="25"/>
  <c r="A35" i="25"/>
  <c r="AP34" i="25"/>
  <c r="AO34" i="25"/>
  <c r="AN34" i="25"/>
  <c r="AM34" i="25"/>
  <c r="AL34" i="25"/>
  <c r="AK34" i="25"/>
  <c r="AJ34" i="25"/>
  <c r="AI34" i="25"/>
  <c r="AH34" i="25"/>
  <c r="AG34" i="25"/>
  <c r="AF34" i="25"/>
  <c r="AE34" i="25"/>
  <c r="AD34" i="25"/>
  <c r="AC34" i="25"/>
  <c r="AB34" i="25"/>
  <c r="AA34" i="25"/>
  <c r="Z34" i="25"/>
  <c r="Y34" i="25"/>
  <c r="X34" i="25"/>
  <c r="W34" i="25"/>
  <c r="V34" i="25"/>
  <c r="U34" i="25"/>
  <c r="T34" i="25"/>
  <c r="S34" i="25"/>
  <c r="R34" i="25"/>
  <c r="Q34" i="25"/>
  <c r="P34" i="25"/>
  <c r="O34" i="25"/>
  <c r="N34" i="25"/>
  <c r="M34" i="25"/>
  <c r="L34" i="25"/>
  <c r="K34" i="25"/>
  <c r="J34" i="25"/>
  <c r="I34" i="25"/>
  <c r="H34" i="25"/>
  <c r="G34" i="25"/>
  <c r="F34" i="25"/>
  <c r="E34" i="25"/>
  <c r="D34" i="25"/>
  <c r="C34" i="25"/>
  <c r="B34" i="25"/>
  <c r="A34" i="25"/>
  <c r="AP33" i="25"/>
  <c r="AO33" i="25"/>
  <c r="AN33" i="25"/>
  <c r="AM33" i="25"/>
  <c r="AL33" i="25"/>
  <c r="AK33" i="25"/>
  <c r="AJ33" i="25"/>
  <c r="AI33" i="25"/>
  <c r="AH33" i="25"/>
  <c r="AG33" i="25"/>
  <c r="AF33" i="25"/>
  <c r="AE33" i="25"/>
  <c r="AD33" i="25"/>
  <c r="AC33" i="25"/>
  <c r="AB33" i="25"/>
  <c r="AA33" i="25"/>
  <c r="Z33" i="25"/>
  <c r="Y33" i="25"/>
  <c r="X33" i="25"/>
  <c r="W33" i="25"/>
  <c r="V33" i="25"/>
  <c r="U33" i="25"/>
  <c r="T33" i="25"/>
  <c r="S33" i="25"/>
  <c r="R33" i="25"/>
  <c r="Q33" i="25"/>
  <c r="P33" i="25"/>
  <c r="O33" i="25"/>
  <c r="N33" i="25"/>
  <c r="M33" i="25"/>
  <c r="L33" i="25"/>
  <c r="K33" i="25"/>
  <c r="J33" i="25"/>
  <c r="I33" i="25"/>
  <c r="H33" i="25"/>
  <c r="G33" i="25"/>
  <c r="F33" i="25"/>
  <c r="E33" i="25"/>
  <c r="D33" i="25"/>
  <c r="C33" i="25"/>
  <c r="B33" i="25"/>
  <c r="A33" i="25"/>
  <c r="AP32" i="25"/>
  <c r="AO32" i="25"/>
  <c r="AN32" i="25"/>
  <c r="AM32" i="25"/>
  <c r="AL32" i="25"/>
  <c r="AK32" i="25"/>
  <c r="AJ32" i="25"/>
  <c r="AI32" i="25"/>
  <c r="AH32" i="25"/>
  <c r="AG32" i="25"/>
  <c r="AF32" i="25"/>
  <c r="AE32" i="25"/>
  <c r="AD32" i="25"/>
  <c r="AC32" i="25"/>
  <c r="AB32" i="25"/>
  <c r="AA32" i="25"/>
  <c r="Z32" i="25"/>
  <c r="Y32" i="25"/>
  <c r="X32" i="25"/>
  <c r="W32" i="25"/>
  <c r="V32" i="25"/>
  <c r="U32" i="25"/>
  <c r="T32" i="25"/>
  <c r="S32" i="25"/>
  <c r="R32" i="25"/>
  <c r="Q32" i="25"/>
  <c r="P32" i="25"/>
  <c r="O32" i="25"/>
  <c r="N32" i="25"/>
  <c r="M32" i="25"/>
  <c r="L32" i="25"/>
  <c r="K32" i="25"/>
  <c r="J32" i="25"/>
  <c r="I32" i="25"/>
  <c r="H32" i="25"/>
  <c r="G32" i="25"/>
  <c r="F32" i="25"/>
  <c r="E32" i="25"/>
  <c r="D32" i="25"/>
  <c r="C32" i="25"/>
  <c r="B32" i="25"/>
  <c r="A32" i="25"/>
  <c r="AP31" i="25"/>
  <c r="AO31" i="25"/>
  <c r="AN31" i="25"/>
  <c r="AM31" i="25"/>
  <c r="AL31" i="25"/>
  <c r="AK31" i="25"/>
  <c r="AJ31" i="25"/>
  <c r="AI31" i="25"/>
  <c r="AH31" i="25"/>
  <c r="AG31" i="25"/>
  <c r="AF31" i="25"/>
  <c r="AE31" i="25"/>
  <c r="AD31" i="25"/>
  <c r="AC31" i="25"/>
  <c r="AB31" i="25"/>
  <c r="AA31" i="25"/>
  <c r="Z31" i="25"/>
  <c r="Y31" i="25"/>
  <c r="X31" i="25"/>
  <c r="W31" i="25"/>
  <c r="V31" i="25"/>
  <c r="U31" i="25"/>
  <c r="T31" i="25"/>
  <c r="S31" i="25"/>
  <c r="R31" i="25"/>
  <c r="Q31" i="25"/>
  <c r="P31" i="25"/>
  <c r="O31" i="25"/>
  <c r="N31" i="25"/>
  <c r="M31" i="25"/>
  <c r="L31" i="25"/>
  <c r="K31" i="25"/>
  <c r="J31" i="25"/>
  <c r="I31" i="25"/>
  <c r="H31" i="25"/>
  <c r="G31" i="25"/>
  <c r="F31" i="25"/>
  <c r="E31" i="25"/>
  <c r="D31" i="25"/>
  <c r="C31" i="25"/>
  <c r="B31" i="25"/>
  <c r="A31" i="25"/>
  <c r="AP30" i="25"/>
  <c r="AO30" i="25"/>
  <c r="AN30" i="25"/>
  <c r="AM30" i="25"/>
  <c r="AL30" i="25"/>
  <c r="AK30" i="25"/>
  <c r="AJ30" i="25"/>
  <c r="AI30" i="25"/>
  <c r="AH30" i="25"/>
  <c r="AG30" i="25"/>
  <c r="AF30" i="25"/>
  <c r="AE30" i="25"/>
  <c r="AD30" i="25"/>
  <c r="AC30" i="25"/>
  <c r="AB30" i="25"/>
  <c r="AA30" i="25"/>
  <c r="Z30" i="25"/>
  <c r="Y30" i="25"/>
  <c r="X30" i="25"/>
  <c r="W30" i="25"/>
  <c r="V30" i="25"/>
  <c r="U30" i="25"/>
  <c r="T30" i="25"/>
  <c r="S30" i="25"/>
  <c r="R30" i="25"/>
  <c r="Q30" i="25"/>
  <c r="P30" i="25"/>
  <c r="O30" i="25"/>
  <c r="N30" i="25"/>
  <c r="M30" i="25"/>
  <c r="L30" i="25"/>
  <c r="K30" i="25"/>
  <c r="J30" i="25"/>
  <c r="I30" i="25"/>
  <c r="H30" i="25"/>
  <c r="G30" i="25"/>
  <c r="F30" i="25"/>
  <c r="E30" i="25"/>
  <c r="D30" i="25"/>
  <c r="C30" i="25"/>
  <c r="B30" i="25"/>
  <c r="A30" i="25"/>
  <c r="AP29" i="25"/>
  <c r="AO29" i="25"/>
  <c r="AN29" i="25"/>
  <c r="AM29" i="25"/>
  <c r="AL29" i="25"/>
  <c r="AK29" i="25"/>
  <c r="AJ29" i="25"/>
  <c r="AI29" i="25"/>
  <c r="AH29" i="25"/>
  <c r="AG29" i="25"/>
  <c r="AF29" i="25"/>
  <c r="AE29" i="25"/>
  <c r="AD29" i="25"/>
  <c r="AC29" i="25"/>
  <c r="AB29" i="25"/>
  <c r="AA29" i="25"/>
  <c r="Z29" i="25"/>
  <c r="Y29" i="25"/>
  <c r="X29" i="25"/>
  <c r="W29" i="25"/>
  <c r="V29" i="25"/>
  <c r="U29" i="25"/>
  <c r="T29" i="25"/>
  <c r="S29" i="25"/>
  <c r="R29" i="25"/>
  <c r="Q29" i="25"/>
  <c r="P29" i="25"/>
  <c r="O29" i="25"/>
  <c r="N29" i="25"/>
  <c r="M29" i="25"/>
  <c r="L29" i="25"/>
  <c r="K29" i="25"/>
  <c r="J29" i="25"/>
  <c r="I29" i="25"/>
  <c r="H29" i="25"/>
  <c r="G29" i="25"/>
  <c r="F29" i="25"/>
  <c r="E29" i="25"/>
  <c r="D29" i="25"/>
  <c r="C29" i="25"/>
  <c r="B29" i="25"/>
  <c r="A29" i="25"/>
  <c r="AP28" i="25"/>
  <c r="AO28" i="25"/>
  <c r="AN28" i="25"/>
  <c r="AM28" i="25"/>
  <c r="AL28" i="25"/>
  <c r="AK28" i="25"/>
  <c r="AJ28" i="25"/>
  <c r="AI28" i="25"/>
  <c r="AH28" i="25"/>
  <c r="AG28" i="25"/>
  <c r="AF28" i="25"/>
  <c r="AE28" i="25"/>
  <c r="AD28" i="25"/>
  <c r="AC28" i="25"/>
  <c r="AB28" i="25"/>
  <c r="AA28" i="25"/>
  <c r="Z28" i="25"/>
  <c r="Y28" i="25"/>
  <c r="X28" i="25"/>
  <c r="W28" i="25"/>
  <c r="V28" i="25"/>
  <c r="U28" i="25"/>
  <c r="T28" i="25"/>
  <c r="S28" i="25"/>
  <c r="R28" i="25"/>
  <c r="Q28" i="25"/>
  <c r="P28" i="25"/>
  <c r="O28" i="25"/>
  <c r="N28" i="25"/>
  <c r="M28" i="25"/>
  <c r="L28" i="25"/>
  <c r="K28" i="25"/>
  <c r="J28" i="25"/>
  <c r="I28" i="25"/>
  <c r="H28" i="25"/>
  <c r="G28" i="25"/>
  <c r="F28" i="25"/>
  <c r="E28" i="25"/>
  <c r="D28" i="25"/>
  <c r="C28" i="25"/>
  <c r="B28" i="25"/>
  <c r="A28" i="25"/>
  <c r="AP27" i="25"/>
  <c r="AO27" i="25"/>
  <c r="AN27" i="25"/>
  <c r="AM27" i="25"/>
  <c r="AL27" i="25"/>
  <c r="AK27" i="25"/>
  <c r="AJ27" i="25"/>
  <c r="AI27" i="25"/>
  <c r="AH27" i="25"/>
  <c r="AG27" i="25"/>
  <c r="AF27" i="25"/>
  <c r="AE27" i="25"/>
  <c r="AD27" i="25"/>
  <c r="AC27" i="25"/>
  <c r="AB27" i="25"/>
  <c r="AA27" i="25"/>
  <c r="Z27" i="25"/>
  <c r="Y27" i="25"/>
  <c r="X27" i="25"/>
  <c r="W27" i="25"/>
  <c r="V27" i="25"/>
  <c r="U27" i="25"/>
  <c r="T27" i="25"/>
  <c r="S27" i="25"/>
  <c r="R27" i="25"/>
  <c r="Q27" i="25"/>
  <c r="P27" i="25"/>
  <c r="O27" i="25"/>
  <c r="N27" i="25"/>
  <c r="M27" i="25"/>
  <c r="L27" i="25"/>
  <c r="K27" i="25"/>
  <c r="J27" i="25"/>
  <c r="I27" i="25"/>
  <c r="H27" i="25"/>
  <c r="G27" i="25"/>
  <c r="F27" i="25"/>
  <c r="E27" i="25"/>
  <c r="D27" i="25"/>
  <c r="C27" i="25"/>
  <c r="B27" i="25"/>
  <c r="A27" i="25"/>
  <c r="AP26" i="25"/>
  <c r="AO26" i="25"/>
  <c r="AN26" i="25"/>
  <c r="AM26" i="25"/>
  <c r="AL26" i="25"/>
  <c r="AK26" i="25"/>
  <c r="AJ26" i="25"/>
  <c r="AI26" i="25"/>
  <c r="AH26" i="25"/>
  <c r="AG26" i="25"/>
  <c r="AF26" i="25"/>
  <c r="AE26" i="25"/>
  <c r="AD26" i="25"/>
  <c r="AC26" i="25"/>
  <c r="AB26" i="25"/>
  <c r="AA26" i="25"/>
  <c r="Z26" i="25"/>
  <c r="Y26" i="25"/>
  <c r="X26" i="25"/>
  <c r="W26" i="25"/>
  <c r="V26" i="25"/>
  <c r="U26" i="25"/>
  <c r="T26" i="25"/>
  <c r="S26" i="25"/>
  <c r="R26" i="25"/>
  <c r="Q26" i="25"/>
  <c r="P26" i="25"/>
  <c r="O26" i="25"/>
  <c r="N26" i="25"/>
  <c r="M26" i="25"/>
  <c r="L26" i="25"/>
  <c r="K26" i="25"/>
  <c r="J26" i="25"/>
  <c r="I26" i="25"/>
  <c r="H26" i="25"/>
  <c r="G26" i="25"/>
  <c r="F26" i="25"/>
  <c r="E26" i="25"/>
  <c r="D26" i="25"/>
  <c r="C26" i="25"/>
  <c r="B26" i="25"/>
  <c r="A26" i="25"/>
  <c r="AP25" i="25"/>
  <c r="AO25" i="25"/>
  <c r="AN25" i="25"/>
  <c r="AM25" i="25"/>
  <c r="AL25" i="25"/>
  <c r="AK25" i="25"/>
  <c r="AJ25" i="25"/>
  <c r="AI25" i="25"/>
  <c r="AH25" i="25"/>
  <c r="AG25" i="25"/>
  <c r="AF25" i="25"/>
  <c r="AE25" i="25"/>
  <c r="AD25" i="25"/>
  <c r="AC25" i="25"/>
  <c r="AB25" i="25"/>
  <c r="AA25" i="25"/>
  <c r="Z25" i="25"/>
  <c r="Y25" i="25"/>
  <c r="X25" i="25"/>
  <c r="W25" i="25"/>
  <c r="V25" i="25"/>
  <c r="U25" i="25"/>
  <c r="T25" i="25"/>
  <c r="S25" i="25"/>
  <c r="R25" i="25"/>
  <c r="Q25" i="25"/>
  <c r="P25" i="25"/>
  <c r="O25" i="25"/>
  <c r="N25" i="25"/>
  <c r="M25" i="25"/>
  <c r="L25" i="25"/>
  <c r="K25" i="25"/>
  <c r="J25" i="25"/>
  <c r="I25" i="25"/>
  <c r="H25" i="25"/>
  <c r="G25" i="25"/>
  <c r="F25" i="25"/>
  <c r="E25" i="25"/>
  <c r="D25" i="25"/>
  <c r="C25" i="25"/>
  <c r="B25" i="25"/>
  <c r="A25" i="25"/>
  <c r="AP24" i="25"/>
  <c r="AO24" i="25"/>
  <c r="AN24" i="25"/>
  <c r="AM24" i="25"/>
  <c r="AL24" i="25"/>
  <c r="AK24" i="25"/>
  <c r="AJ24" i="25"/>
  <c r="AI24" i="25"/>
  <c r="AH24" i="25"/>
  <c r="AG24" i="25"/>
  <c r="AF24" i="25"/>
  <c r="AE24" i="25"/>
  <c r="AD24" i="25"/>
  <c r="AC24" i="25"/>
  <c r="AB24" i="25"/>
  <c r="AA24" i="25"/>
  <c r="Z24" i="25"/>
  <c r="Y24" i="25"/>
  <c r="X24" i="25"/>
  <c r="W24" i="25"/>
  <c r="V24" i="25"/>
  <c r="U24" i="25"/>
  <c r="T24" i="25"/>
  <c r="S24" i="25"/>
  <c r="R24" i="25"/>
  <c r="Q24" i="25"/>
  <c r="P24" i="25"/>
  <c r="O24" i="25"/>
  <c r="N24" i="25"/>
  <c r="M24" i="25"/>
  <c r="L24" i="25"/>
  <c r="K24" i="25"/>
  <c r="J24" i="25"/>
  <c r="I24" i="25"/>
  <c r="H24" i="25"/>
  <c r="G24" i="25"/>
  <c r="F24" i="25"/>
  <c r="E24" i="25"/>
  <c r="D24" i="25"/>
  <c r="C24" i="25"/>
  <c r="B24" i="25"/>
  <c r="A24" i="25"/>
  <c r="AP23" i="25"/>
  <c r="AO23" i="25"/>
  <c r="AN23" i="25"/>
  <c r="AM23" i="25"/>
  <c r="AL23" i="25"/>
  <c r="AK23" i="25"/>
  <c r="AJ23" i="25"/>
  <c r="AI23" i="25"/>
  <c r="AH23" i="25"/>
  <c r="AG23" i="25"/>
  <c r="AF23" i="25"/>
  <c r="AE23" i="25"/>
  <c r="AD23" i="25"/>
  <c r="AC23" i="25"/>
  <c r="AB23" i="25"/>
  <c r="AA23" i="25"/>
  <c r="Z23" i="25"/>
  <c r="Y23" i="25"/>
  <c r="X23" i="25"/>
  <c r="W23" i="25"/>
  <c r="V23" i="25"/>
  <c r="U23" i="25"/>
  <c r="T23" i="25"/>
  <c r="S23" i="25"/>
  <c r="R23" i="25"/>
  <c r="Q23" i="25"/>
  <c r="P23" i="25"/>
  <c r="O23" i="25"/>
  <c r="N23" i="25"/>
  <c r="M23" i="25"/>
  <c r="L23" i="25"/>
  <c r="K23" i="25"/>
  <c r="J23" i="25"/>
  <c r="I23" i="25"/>
  <c r="H23" i="25"/>
  <c r="G23" i="25"/>
  <c r="F23" i="25"/>
  <c r="E23" i="25"/>
  <c r="D23" i="25"/>
  <c r="C23" i="25"/>
  <c r="B23" i="25"/>
  <c r="A23" i="25"/>
  <c r="AP22" i="25"/>
  <c r="AO22" i="25"/>
  <c r="AN22" i="25"/>
  <c r="AM22" i="25"/>
  <c r="AL22" i="25"/>
  <c r="AK22" i="25"/>
  <c r="AJ22" i="25"/>
  <c r="AI22" i="25"/>
  <c r="AH22" i="25"/>
  <c r="AG22" i="25"/>
  <c r="AF22" i="25"/>
  <c r="AE22" i="25"/>
  <c r="AD22" i="25"/>
  <c r="AC22" i="25"/>
  <c r="AB22" i="25"/>
  <c r="AA22" i="25"/>
  <c r="Z22" i="25"/>
  <c r="Y22" i="25"/>
  <c r="X22" i="25"/>
  <c r="W22" i="25"/>
  <c r="V22" i="25"/>
  <c r="U22" i="25"/>
  <c r="T22" i="25"/>
  <c r="S22" i="25"/>
  <c r="R22" i="25"/>
  <c r="Q22" i="25"/>
  <c r="P22" i="25"/>
  <c r="O22" i="25"/>
  <c r="N22" i="25"/>
  <c r="M22" i="25"/>
  <c r="L22" i="25"/>
  <c r="K22" i="25"/>
  <c r="J22" i="25"/>
  <c r="I22" i="25"/>
  <c r="H22" i="25"/>
  <c r="G22" i="25"/>
  <c r="F22" i="25"/>
  <c r="E22" i="25"/>
  <c r="D22" i="25"/>
  <c r="C22" i="25"/>
  <c r="B22" i="25"/>
  <c r="A22" i="25"/>
  <c r="AP21" i="25"/>
  <c r="AO21" i="25"/>
  <c r="AN21" i="25"/>
  <c r="AM21" i="25"/>
  <c r="AL21" i="25"/>
  <c r="AK21" i="25"/>
  <c r="AJ21" i="25"/>
  <c r="AI21" i="25"/>
  <c r="AH21" i="25"/>
  <c r="AG21" i="25"/>
  <c r="AF21" i="25"/>
  <c r="AE21" i="25"/>
  <c r="AD21" i="25"/>
  <c r="AC21" i="25"/>
  <c r="AB21" i="25"/>
  <c r="AA21" i="25"/>
  <c r="Z21" i="25"/>
  <c r="Y21" i="25"/>
  <c r="X21" i="25"/>
  <c r="W21" i="25"/>
  <c r="V21" i="25"/>
  <c r="U21" i="25"/>
  <c r="T21" i="25"/>
  <c r="S21" i="25"/>
  <c r="R21" i="25"/>
  <c r="Q21" i="25"/>
  <c r="P21" i="25"/>
  <c r="O21" i="25"/>
  <c r="N21" i="25"/>
  <c r="M21" i="25"/>
  <c r="L21" i="25"/>
  <c r="K21" i="25"/>
  <c r="J21" i="25"/>
  <c r="I21" i="25"/>
  <c r="H21" i="25"/>
  <c r="G21" i="25"/>
  <c r="F21" i="25"/>
  <c r="E21" i="25"/>
  <c r="D21" i="25"/>
  <c r="C21" i="25"/>
  <c r="B21" i="25"/>
  <c r="A21" i="25"/>
  <c r="AP20" i="25"/>
  <c r="AO20" i="25"/>
  <c r="AN20" i="25"/>
  <c r="AM20" i="25"/>
  <c r="AL20" i="25"/>
  <c r="AK20" i="25"/>
  <c r="AJ20" i="25"/>
  <c r="AI20" i="25"/>
  <c r="AH20" i="25"/>
  <c r="AG20" i="25"/>
  <c r="AF20" i="25"/>
  <c r="AE20" i="25"/>
  <c r="AD20" i="25"/>
  <c r="AC20" i="25"/>
  <c r="AB20" i="25"/>
  <c r="AA20" i="25"/>
  <c r="Z20" i="25"/>
  <c r="Y20" i="25"/>
  <c r="X20" i="25"/>
  <c r="W20" i="25"/>
  <c r="V20" i="25"/>
  <c r="U20" i="25"/>
  <c r="T20" i="25"/>
  <c r="S20" i="25"/>
  <c r="R20" i="25"/>
  <c r="Q20" i="25"/>
  <c r="P20" i="25"/>
  <c r="O20" i="25"/>
  <c r="N20" i="25"/>
  <c r="M20" i="25"/>
  <c r="L20" i="25"/>
  <c r="K20" i="25"/>
  <c r="J20" i="25"/>
  <c r="I20" i="25"/>
  <c r="H20" i="25"/>
  <c r="G20" i="25"/>
  <c r="F20" i="25"/>
  <c r="E20" i="25"/>
  <c r="D20" i="25"/>
  <c r="C20" i="25"/>
  <c r="B20" i="25"/>
  <c r="A20" i="25"/>
  <c r="AP19" i="25"/>
  <c r="AO19" i="25"/>
  <c r="AN19" i="25"/>
  <c r="AM19" i="25"/>
  <c r="AL19" i="25"/>
  <c r="AK19" i="25"/>
  <c r="AJ19" i="25"/>
  <c r="AI19" i="25"/>
  <c r="AH19" i="25"/>
  <c r="AG19" i="25"/>
  <c r="AF19" i="25"/>
  <c r="AE19" i="25"/>
  <c r="AD19" i="25"/>
  <c r="AC19" i="25"/>
  <c r="AB19" i="25"/>
  <c r="AA19" i="25"/>
  <c r="Z19" i="25"/>
  <c r="Y19" i="25"/>
  <c r="X19" i="25"/>
  <c r="W19" i="25"/>
  <c r="V19" i="25"/>
  <c r="U19" i="25"/>
  <c r="T19" i="25"/>
  <c r="S19" i="25"/>
  <c r="R19" i="25"/>
  <c r="Q19" i="25"/>
  <c r="P19" i="25"/>
  <c r="O19" i="25"/>
  <c r="N19" i="25"/>
  <c r="M19" i="25"/>
  <c r="L19" i="25"/>
  <c r="K19" i="25"/>
  <c r="J19" i="25"/>
  <c r="I19" i="25"/>
  <c r="H19" i="25"/>
  <c r="G19" i="25"/>
  <c r="F19" i="25"/>
  <c r="E19" i="25"/>
  <c r="D19" i="25"/>
  <c r="C19" i="25"/>
  <c r="B19" i="25"/>
  <c r="A19" i="25"/>
  <c r="AP18" i="25"/>
  <c r="AO18" i="25"/>
  <c r="AN18" i="25"/>
  <c r="AM18" i="25"/>
  <c r="AL18" i="25"/>
  <c r="AK18" i="25"/>
  <c r="AJ18" i="25"/>
  <c r="AI18" i="25"/>
  <c r="AH18" i="25"/>
  <c r="AG18" i="25"/>
  <c r="AF18" i="25"/>
  <c r="AE18" i="25"/>
  <c r="AD18" i="25"/>
  <c r="AC18" i="25"/>
  <c r="AB18" i="25"/>
  <c r="AA18" i="25"/>
  <c r="Z18" i="25"/>
  <c r="Y18" i="25"/>
  <c r="X18" i="25"/>
  <c r="W18" i="25"/>
  <c r="V18" i="25"/>
  <c r="U18" i="25"/>
  <c r="T18" i="25"/>
  <c r="S18" i="25"/>
  <c r="R18" i="25"/>
  <c r="Q18" i="25"/>
  <c r="P18" i="25"/>
  <c r="O18" i="25"/>
  <c r="N18" i="25"/>
  <c r="M18" i="25"/>
  <c r="L18" i="25"/>
  <c r="K18" i="25"/>
  <c r="J18" i="25"/>
  <c r="I18" i="25"/>
  <c r="H18" i="25"/>
  <c r="G18" i="25"/>
  <c r="F18" i="25"/>
  <c r="E18" i="25"/>
  <c r="D18" i="25"/>
  <c r="C18" i="25"/>
  <c r="B18" i="25"/>
  <c r="A18" i="25"/>
  <c r="AP17" i="25"/>
  <c r="AO17" i="25"/>
  <c r="AN17" i="25"/>
  <c r="AM17" i="25"/>
  <c r="AL17" i="25"/>
  <c r="AK17" i="25"/>
  <c r="AJ17" i="25"/>
  <c r="AI17" i="25"/>
  <c r="AH17" i="25"/>
  <c r="AG17" i="25"/>
  <c r="AF17" i="25"/>
  <c r="AE17" i="25"/>
  <c r="AD17" i="25"/>
  <c r="AC17" i="25"/>
  <c r="AB17" i="25"/>
  <c r="AA17" i="25"/>
  <c r="Z17" i="25"/>
  <c r="Y17" i="25"/>
  <c r="X17" i="25"/>
  <c r="W17" i="25"/>
  <c r="V17" i="25"/>
  <c r="U17" i="25"/>
  <c r="T17" i="25"/>
  <c r="S17" i="25"/>
  <c r="R17" i="25"/>
  <c r="Q17" i="25"/>
  <c r="P17" i="25"/>
  <c r="O17" i="25"/>
  <c r="N17" i="25"/>
  <c r="M17" i="25"/>
  <c r="L17" i="25"/>
  <c r="K17" i="25"/>
  <c r="J17" i="25"/>
  <c r="I17" i="25"/>
  <c r="H17" i="25"/>
  <c r="G17" i="25"/>
  <c r="F17" i="25"/>
  <c r="E17" i="25"/>
  <c r="D17" i="25"/>
  <c r="C17" i="25"/>
  <c r="B17" i="25"/>
  <c r="A17" i="25"/>
  <c r="AP16" i="25"/>
  <c r="AO16" i="25"/>
  <c r="AN16" i="25"/>
  <c r="AM16" i="25"/>
  <c r="AL16" i="25"/>
  <c r="AK16" i="25"/>
  <c r="AJ16" i="25"/>
  <c r="AI16" i="25"/>
  <c r="AH16" i="25"/>
  <c r="AG16" i="25"/>
  <c r="AF16" i="25"/>
  <c r="AE16" i="25"/>
  <c r="AD16" i="25"/>
  <c r="AC16" i="25"/>
  <c r="AB16" i="25"/>
  <c r="AA16" i="25"/>
  <c r="Z16" i="25"/>
  <c r="Y16" i="25"/>
  <c r="X16" i="25"/>
  <c r="W16" i="25"/>
  <c r="V16" i="25"/>
  <c r="U16" i="25"/>
  <c r="T16" i="25"/>
  <c r="S16" i="25"/>
  <c r="R16" i="25"/>
  <c r="Q16" i="25"/>
  <c r="P16" i="25"/>
  <c r="O16" i="25"/>
  <c r="N16" i="25"/>
  <c r="M16" i="25"/>
  <c r="L16" i="25"/>
  <c r="K16" i="25"/>
  <c r="J16" i="25"/>
  <c r="I16" i="25"/>
  <c r="H16" i="25"/>
  <c r="G16" i="25"/>
  <c r="F16" i="25"/>
  <c r="E16" i="25"/>
  <c r="D16" i="25"/>
  <c r="C16" i="25"/>
  <c r="B16" i="25"/>
  <c r="A16" i="25"/>
  <c r="AP15" i="25"/>
  <c r="AO15" i="25"/>
  <c r="AN15" i="25"/>
  <c r="AM15" i="25"/>
  <c r="AL15" i="25"/>
  <c r="AK15" i="25"/>
  <c r="AJ15" i="25"/>
  <c r="AI15" i="25"/>
  <c r="AH15" i="25"/>
  <c r="AG15" i="25"/>
  <c r="AF15" i="25"/>
  <c r="AE15" i="25"/>
  <c r="AD15" i="25"/>
  <c r="AC15" i="25"/>
  <c r="AB15" i="25"/>
  <c r="AA15" i="25"/>
  <c r="Z15" i="25"/>
  <c r="Y15" i="25"/>
  <c r="X15" i="25"/>
  <c r="W15" i="25"/>
  <c r="V15" i="25"/>
  <c r="U15" i="25"/>
  <c r="T15" i="25"/>
  <c r="S15" i="25"/>
  <c r="R15" i="25"/>
  <c r="Q15" i="25"/>
  <c r="P15" i="25"/>
  <c r="O15" i="25"/>
  <c r="N15" i="25"/>
  <c r="M15" i="25"/>
  <c r="L15" i="25"/>
  <c r="K15" i="25"/>
  <c r="J15" i="25"/>
  <c r="I15" i="25"/>
  <c r="H15" i="25"/>
  <c r="G15" i="25"/>
  <c r="F15" i="25"/>
  <c r="E15" i="25"/>
  <c r="D15" i="25"/>
  <c r="C15" i="25"/>
  <c r="B15" i="25"/>
  <c r="A15" i="25"/>
  <c r="AP14" i="25"/>
  <c r="AO14" i="25"/>
  <c r="AN14" i="25"/>
  <c r="AM14" i="25"/>
  <c r="AL14" i="25"/>
  <c r="AK14" i="25"/>
  <c r="AJ14" i="25"/>
  <c r="AI14" i="25"/>
  <c r="AH14" i="25"/>
  <c r="AG14" i="25"/>
  <c r="AF14" i="25"/>
  <c r="AE14" i="25"/>
  <c r="AD14" i="25"/>
  <c r="AC14" i="25"/>
  <c r="AB14" i="25"/>
  <c r="AA14" i="25"/>
  <c r="Z14" i="25"/>
  <c r="Y14" i="25"/>
  <c r="X14" i="25"/>
  <c r="W14" i="25"/>
  <c r="V14" i="25"/>
  <c r="U14" i="25"/>
  <c r="T14" i="25"/>
  <c r="S14" i="25"/>
  <c r="R14" i="25"/>
  <c r="Q14" i="25"/>
  <c r="P14" i="25"/>
  <c r="O14" i="25"/>
  <c r="N14" i="25"/>
  <c r="M14" i="25"/>
  <c r="L14" i="25"/>
  <c r="K14" i="25"/>
  <c r="J14" i="25"/>
  <c r="I14" i="25"/>
  <c r="H14" i="25"/>
  <c r="G14" i="25"/>
  <c r="F14" i="25"/>
  <c r="E14" i="25"/>
  <c r="D14" i="25"/>
  <c r="C14" i="25"/>
  <c r="B14" i="25"/>
  <c r="A14" i="25"/>
  <c r="AP13" i="25"/>
  <c r="AO13" i="25"/>
  <c r="AN13" i="25"/>
  <c r="AM13" i="25"/>
  <c r="AL13" i="25"/>
  <c r="AK13" i="25"/>
  <c r="AJ13" i="25"/>
  <c r="AI13" i="25"/>
  <c r="AH13" i="25"/>
  <c r="AG13" i="25"/>
  <c r="AF13" i="25"/>
  <c r="AE13" i="25"/>
  <c r="AD13" i="25"/>
  <c r="AC13" i="25"/>
  <c r="AB13" i="25"/>
  <c r="AA13" i="25"/>
  <c r="Z13" i="25"/>
  <c r="Y13" i="25"/>
  <c r="X13" i="25"/>
  <c r="W13" i="25"/>
  <c r="V13" i="25"/>
  <c r="U13" i="25"/>
  <c r="T13" i="25"/>
  <c r="S13" i="25"/>
  <c r="R13" i="25"/>
  <c r="Q13" i="25"/>
  <c r="P13" i="25"/>
  <c r="O13" i="25"/>
  <c r="N13" i="25"/>
  <c r="M13" i="25"/>
  <c r="L13" i="25"/>
  <c r="K13" i="25"/>
  <c r="J13" i="25"/>
  <c r="I13" i="25"/>
  <c r="H13" i="25"/>
  <c r="G13" i="25"/>
  <c r="F13" i="25"/>
  <c r="E13" i="25"/>
  <c r="D13" i="25"/>
  <c r="C13" i="25"/>
  <c r="B13" i="25"/>
  <c r="A13" i="25"/>
  <c r="AP12" i="25"/>
  <c r="AO12" i="25"/>
  <c r="AN12" i="25"/>
  <c r="AM12" i="25"/>
  <c r="AL12" i="25"/>
  <c r="AK12" i="25"/>
  <c r="AJ12" i="25"/>
  <c r="AI12" i="25"/>
  <c r="AH12" i="25"/>
  <c r="AG12" i="25"/>
  <c r="AF12" i="25"/>
  <c r="AE12" i="25"/>
  <c r="AD12" i="25"/>
  <c r="AC12" i="25"/>
  <c r="AB12" i="25"/>
  <c r="AA12" i="25"/>
  <c r="Z12" i="25"/>
  <c r="Y12" i="25"/>
  <c r="X12" i="25"/>
  <c r="W12" i="25"/>
  <c r="V12" i="25"/>
  <c r="U12" i="25"/>
  <c r="T12" i="25"/>
  <c r="S12" i="25"/>
  <c r="R12" i="25"/>
  <c r="Q12" i="25"/>
  <c r="P12" i="25"/>
  <c r="O12" i="25"/>
  <c r="N12" i="25"/>
  <c r="M12" i="25"/>
  <c r="L12" i="25"/>
  <c r="K12" i="25"/>
  <c r="J12" i="25"/>
  <c r="I12" i="25"/>
  <c r="H12" i="25"/>
  <c r="G12" i="25"/>
  <c r="F12" i="25"/>
  <c r="E12" i="25"/>
  <c r="D12" i="25"/>
  <c r="C12" i="25"/>
  <c r="B12" i="25"/>
  <c r="A12" i="25"/>
  <c r="AP11" i="25"/>
  <c r="AO11" i="25"/>
  <c r="AN11" i="25"/>
  <c r="AM11" i="25"/>
  <c r="AL11" i="25"/>
  <c r="AK11" i="25"/>
  <c r="AJ11" i="25"/>
  <c r="AI11" i="25"/>
  <c r="AH11" i="25"/>
  <c r="AG11" i="25"/>
  <c r="AF11" i="25"/>
  <c r="AE11" i="25"/>
  <c r="AD11" i="25"/>
  <c r="AC11" i="25"/>
  <c r="AB11" i="25"/>
  <c r="AA11" i="25"/>
  <c r="Z11" i="25"/>
  <c r="Y11" i="25"/>
  <c r="X11" i="25"/>
  <c r="W11" i="25"/>
  <c r="V11" i="25"/>
  <c r="U11" i="25"/>
  <c r="T11" i="25"/>
  <c r="S11" i="25"/>
  <c r="R11" i="25"/>
  <c r="Q11" i="25"/>
  <c r="P11" i="25"/>
  <c r="O11" i="25"/>
  <c r="N11" i="25"/>
  <c r="M11" i="25"/>
  <c r="L11" i="25"/>
  <c r="K11" i="25"/>
  <c r="J11" i="25"/>
  <c r="I11" i="25"/>
  <c r="H11" i="25"/>
  <c r="G11" i="25"/>
  <c r="F11" i="25"/>
  <c r="E11" i="25"/>
  <c r="D11" i="25"/>
  <c r="C11" i="25"/>
  <c r="B11" i="25"/>
  <c r="A11" i="25"/>
  <c r="AP10" i="25"/>
  <c r="AO10" i="25"/>
  <c r="AN10" i="25"/>
  <c r="AM10" i="25"/>
  <c r="AL10" i="25"/>
  <c r="AK10" i="25"/>
  <c r="AJ10" i="25"/>
  <c r="AI10" i="25"/>
  <c r="AH10" i="25"/>
  <c r="AG10" i="25"/>
  <c r="AF10" i="25"/>
  <c r="AE10" i="25"/>
  <c r="AD10" i="25"/>
  <c r="AC10" i="25"/>
  <c r="AB10" i="25"/>
  <c r="AA10" i="25"/>
  <c r="Z10" i="25"/>
  <c r="Y10" i="25"/>
  <c r="X10" i="25"/>
  <c r="W10" i="25"/>
  <c r="V10" i="25"/>
  <c r="U10" i="25"/>
  <c r="T10" i="25"/>
  <c r="S10" i="25"/>
  <c r="R10" i="25"/>
  <c r="Q10" i="25"/>
  <c r="P10" i="25"/>
  <c r="O10" i="25"/>
  <c r="N10" i="25"/>
  <c r="M10" i="25"/>
  <c r="L10" i="25"/>
  <c r="K10" i="25"/>
  <c r="J10" i="25"/>
  <c r="I10" i="25"/>
  <c r="H10" i="25"/>
  <c r="G10" i="25"/>
  <c r="F10" i="25"/>
  <c r="E10" i="25"/>
  <c r="D10" i="25"/>
  <c r="C10" i="25"/>
  <c r="B10" i="25"/>
  <c r="A10" i="25"/>
  <c r="AP9" i="25"/>
  <c r="AO9" i="25"/>
  <c r="AN9" i="25"/>
  <c r="AM9" i="25"/>
  <c r="AL9" i="25"/>
  <c r="AK9" i="25"/>
  <c r="AJ9" i="25"/>
  <c r="AI9" i="25"/>
  <c r="AH9" i="25"/>
  <c r="AG9" i="25"/>
  <c r="AF9" i="25"/>
  <c r="AE9" i="25"/>
  <c r="AD9" i="25"/>
  <c r="AC9" i="25"/>
  <c r="AB9" i="25"/>
  <c r="AA9" i="25"/>
  <c r="Z9" i="25"/>
  <c r="Y9" i="25"/>
  <c r="X9" i="25"/>
  <c r="W9" i="25"/>
  <c r="V9" i="25"/>
  <c r="U9" i="25"/>
  <c r="T9" i="25"/>
  <c r="S9" i="25"/>
  <c r="R9" i="25"/>
  <c r="Q9" i="25"/>
  <c r="P9" i="25"/>
  <c r="O9" i="25"/>
  <c r="N9" i="25"/>
  <c r="M9" i="25"/>
  <c r="L9" i="25"/>
  <c r="K9" i="25"/>
  <c r="J9" i="25"/>
  <c r="I9" i="25"/>
  <c r="H9" i="25"/>
  <c r="G9" i="25"/>
  <c r="F9" i="25"/>
  <c r="E9" i="25"/>
  <c r="D9" i="25"/>
  <c r="C9" i="25"/>
  <c r="B9" i="25"/>
  <c r="A9" i="25"/>
  <c r="AP8" i="25"/>
  <c r="AO8" i="25"/>
  <c r="AN8" i="25"/>
  <c r="AM8" i="25"/>
  <c r="AL8" i="25"/>
  <c r="AK8" i="25"/>
  <c r="AJ8" i="25"/>
  <c r="AI8" i="25"/>
  <c r="AH8" i="25"/>
  <c r="AG8" i="25"/>
  <c r="AF8" i="25"/>
  <c r="AE8" i="25"/>
  <c r="AD8" i="25"/>
  <c r="AC8" i="25"/>
  <c r="AB8" i="25"/>
  <c r="AA8" i="25"/>
  <c r="Z8" i="25"/>
  <c r="Y8" i="25"/>
  <c r="X8" i="25"/>
  <c r="W8" i="25"/>
  <c r="V8" i="25"/>
  <c r="U8" i="25"/>
  <c r="T8" i="25"/>
  <c r="S8" i="25"/>
  <c r="R8" i="25"/>
  <c r="Q8" i="25"/>
  <c r="P8" i="25"/>
  <c r="O8" i="25"/>
  <c r="N8" i="25"/>
  <c r="M8" i="25"/>
  <c r="L8" i="25"/>
  <c r="K8" i="25"/>
  <c r="J8" i="25"/>
  <c r="I8" i="25"/>
  <c r="H8" i="25"/>
  <c r="G8" i="25"/>
  <c r="F8" i="25"/>
  <c r="E8" i="25"/>
  <c r="D8" i="25"/>
  <c r="C8" i="25"/>
  <c r="B8" i="25"/>
  <c r="A8" i="25"/>
  <c r="AP7" i="25"/>
  <c r="AO7" i="25"/>
  <c r="AN7" i="25"/>
  <c r="AM7" i="25"/>
  <c r="AL7" i="25"/>
  <c r="AK7" i="25"/>
  <c r="AJ7" i="25"/>
  <c r="AI7" i="25"/>
  <c r="AH7" i="25"/>
  <c r="AG7" i="25"/>
  <c r="AF7" i="25"/>
  <c r="AE7" i="25"/>
  <c r="AD7" i="25"/>
  <c r="AC7" i="25"/>
  <c r="AB7" i="25"/>
  <c r="AA7" i="25"/>
  <c r="Z7" i="25"/>
  <c r="Y7" i="25"/>
  <c r="X7" i="25"/>
  <c r="W7" i="25"/>
  <c r="V7" i="25"/>
  <c r="U7" i="25"/>
  <c r="T7" i="25"/>
  <c r="S7" i="25"/>
  <c r="R7" i="25"/>
  <c r="Q7" i="25"/>
  <c r="P7" i="25"/>
  <c r="O7" i="25"/>
  <c r="N7" i="25"/>
  <c r="M7" i="25"/>
  <c r="L7" i="25"/>
  <c r="K7" i="25"/>
  <c r="J7" i="25"/>
  <c r="I7" i="25"/>
  <c r="H7" i="25"/>
  <c r="G7" i="25"/>
  <c r="F7" i="25"/>
  <c r="E7" i="25"/>
  <c r="D7" i="25"/>
  <c r="C7" i="25"/>
  <c r="B7" i="25"/>
  <c r="A7" i="25"/>
  <c r="AP6" i="25"/>
  <c r="AO6" i="25"/>
  <c r="AN6" i="25"/>
  <c r="AM6" i="25"/>
  <c r="AL6" i="25"/>
  <c r="AK6" i="25"/>
  <c r="AJ6" i="25"/>
  <c r="AI6" i="25"/>
  <c r="AH6" i="25"/>
  <c r="AG6" i="25"/>
  <c r="AF6" i="25"/>
  <c r="AE6" i="25"/>
  <c r="AD6" i="25"/>
  <c r="AC6" i="25"/>
  <c r="AB6" i="25"/>
  <c r="AA6" i="25"/>
  <c r="Z6" i="25"/>
  <c r="Y6" i="25"/>
  <c r="X6" i="25"/>
  <c r="W6" i="25"/>
  <c r="V6" i="25"/>
  <c r="U6" i="25"/>
  <c r="T6" i="25"/>
  <c r="S6" i="25"/>
  <c r="R6" i="25"/>
  <c r="Q6" i="25"/>
  <c r="P6" i="25"/>
  <c r="O6" i="25"/>
  <c r="N6" i="25"/>
  <c r="M6" i="25"/>
  <c r="L6" i="25"/>
  <c r="K6" i="25"/>
  <c r="J6" i="25"/>
  <c r="I6" i="25"/>
  <c r="H6" i="25"/>
  <c r="G6" i="25"/>
  <c r="F6" i="25"/>
  <c r="E6" i="25"/>
  <c r="D6" i="25"/>
  <c r="C6" i="25"/>
  <c r="B6" i="25"/>
  <c r="A6" i="25"/>
  <c r="V15" i="23"/>
  <c r="V15" i="23" a="1"/>
  <c r="R2" i="23"/>
  <c r="AE405" i="22"/>
  <c r="AD405" i="22"/>
  <c r="AB405" i="22"/>
  <c r="U405" i="22"/>
  <c r="S405" i="22"/>
  <c r="R405" i="22"/>
  <c r="Q405" i="22"/>
  <c r="P405" i="22"/>
  <c r="O405" i="22"/>
  <c r="M405" i="22"/>
  <c r="J405" i="22"/>
  <c r="H405" i="22"/>
  <c r="F405" i="22"/>
  <c r="D405" i="22"/>
  <c r="V405" i="22" s="1"/>
  <c r="C405" i="22"/>
  <c r="B405" i="22"/>
  <c r="A405" i="22"/>
  <c r="U404" i="22"/>
  <c r="R404" i="22"/>
  <c r="E404" i="22"/>
  <c r="D404" i="22"/>
  <c r="AD404" i="22" s="1"/>
  <c r="C404" i="22"/>
  <c r="B404" i="22"/>
  <c r="A404" i="22"/>
  <c r="U403" i="22"/>
  <c r="R403" i="22"/>
  <c r="Q403" i="22"/>
  <c r="F403" i="22"/>
  <c r="D403" i="22"/>
  <c r="AB403" i="22" s="1"/>
  <c r="C403" i="22"/>
  <c r="B403" i="22"/>
  <c r="A403" i="22"/>
  <c r="AE402" i="22"/>
  <c r="AD402" i="22"/>
  <c r="AB402" i="22"/>
  <c r="AA402" i="22"/>
  <c r="Z402" i="22"/>
  <c r="Y402" i="22"/>
  <c r="V402" i="22"/>
  <c r="U402" i="22"/>
  <c r="T402" i="22"/>
  <c r="S402" i="22"/>
  <c r="R402" i="22"/>
  <c r="P402" i="22"/>
  <c r="O402" i="22"/>
  <c r="N402" i="22"/>
  <c r="M402" i="22"/>
  <c r="L402" i="22"/>
  <c r="J402" i="22"/>
  <c r="I402" i="22"/>
  <c r="G402" i="22"/>
  <c r="F402" i="22"/>
  <c r="E402" i="22"/>
  <c r="D402" i="22"/>
  <c r="C402" i="22"/>
  <c r="B402" i="22"/>
  <c r="A402" i="22"/>
  <c r="U401" i="22"/>
  <c r="D401" i="22"/>
  <c r="O401" i="22" s="1"/>
  <c r="C401" i="22"/>
  <c r="B401" i="22"/>
  <c r="A401" i="22"/>
  <c r="U400" i="22"/>
  <c r="D400" i="22"/>
  <c r="AD400" i="22" s="1"/>
  <c r="C400" i="22"/>
  <c r="B400" i="22"/>
  <c r="A400" i="22"/>
  <c r="AD399" i="22"/>
  <c r="AC399" i="22"/>
  <c r="AA399" i="22"/>
  <c r="X399" i="22"/>
  <c r="W399" i="22"/>
  <c r="V399" i="22"/>
  <c r="U399" i="22"/>
  <c r="S399" i="22"/>
  <c r="Q399" i="22"/>
  <c r="O399" i="22"/>
  <c r="M399" i="22"/>
  <c r="L399" i="22"/>
  <c r="N399" i="22" s="1"/>
  <c r="K399" i="22"/>
  <c r="J399" i="22"/>
  <c r="G399" i="22"/>
  <c r="F399" i="22"/>
  <c r="D399" i="22"/>
  <c r="R399" i="22" s="1"/>
  <c r="C399" i="22"/>
  <c r="B399" i="22"/>
  <c r="A399" i="22"/>
  <c r="AE398" i="22"/>
  <c r="AD398" i="22"/>
  <c r="AC398" i="22"/>
  <c r="AB398" i="22"/>
  <c r="AA398" i="22"/>
  <c r="Z398" i="22"/>
  <c r="Y398" i="22"/>
  <c r="X398" i="22"/>
  <c r="W398" i="22"/>
  <c r="V398" i="22"/>
  <c r="U398" i="22"/>
  <c r="S398" i="22"/>
  <c r="R398" i="22"/>
  <c r="Q398" i="22"/>
  <c r="P398" i="22"/>
  <c r="O398" i="22"/>
  <c r="N398" i="22"/>
  <c r="M398" i="22"/>
  <c r="L398" i="22"/>
  <c r="K398" i="22"/>
  <c r="J398" i="22"/>
  <c r="I398" i="22"/>
  <c r="H398" i="22"/>
  <c r="G398" i="22"/>
  <c r="F398" i="22"/>
  <c r="E398" i="22"/>
  <c r="D398" i="22"/>
  <c r="T398" i="22" s="1"/>
  <c r="C398" i="22"/>
  <c r="B398" i="22"/>
  <c r="A398" i="22"/>
  <c r="AE397" i="22"/>
  <c r="AD397" i="22"/>
  <c r="AC397" i="22"/>
  <c r="AB397" i="22"/>
  <c r="AA397" i="22"/>
  <c r="Z397" i="22"/>
  <c r="Y397" i="22"/>
  <c r="X397" i="22"/>
  <c r="W397" i="22"/>
  <c r="V397" i="22"/>
  <c r="U397" i="22"/>
  <c r="T397" i="22"/>
  <c r="R397" i="22"/>
  <c r="Q397" i="22"/>
  <c r="P397" i="22"/>
  <c r="O397" i="22"/>
  <c r="N397" i="22"/>
  <c r="M397" i="22"/>
  <c r="L397" i="22"/>
  <c r="K397" i="22"/>
  <c r="J397" i="22"/>
  <c r="I397" i="22"/>
  <c r="H397" i="22"/>
  <c r="G397" i="22"/>
  <c r="F397" i="22"/>
  <c r="E397" i="22"/>
  <c r="D397" i="22"/>
  <c r="S397" i="22" s="1"/>
  <c r="C397" i="22"/>
  <c r="B397" i="22"/>
  <c r="A397" i="22"/>
  <c r="AD396" i="22"/>
  <c r="AC396" i="22"/>
  <c r="AA396" i="22"/>
  <c r="Y396" i="22"/>
  <c r="V396" i="22"/>
  <c r="U396" i="22"/>
  <c r="T396" i="22"/>
  <c r="Q396" i="22"/>
  <c r="P396" i="22"/>
  <c r="O396" i="22"/>
  <c r="M396" i="22"/>
  <c r="L396" i="22"/>
  <c r="N396" i="22" s="1"/>
  <c r="K396" i="22"/>
  <c r="H396" i="22"/>
  <c r="G396" i="22"/>
  <c r="F396" i="22"/>
  <c r="D396" i="22"/>
  <c r="X396" i="22" s="1"/>
  <c r="C396" i="22"/>
  <c r="B396" i="22"/>
  <c r="A396" i="22"/>
  <c r="AE395" i="22"/>
  <c r="AD395" i="22"/>
  <c r="AC395" i="22"/>
  <c r="AB395" i="22"/>
  <c r="AA395" i="22"/>
  <c r="Z395" i="22"/>
  <c r="Y395" i="22"/>
  <c r="X395" i="22"/>
  <c r="V395" i="22"/>
  <c r="U395" i="22"/>
  <c r="S395" i="22"/>
  <c r="R395" i="22"/>
  <c r="O395" i="22"/>
  <c r="M395" i="22"/>
  <c r="L395" i="22"/>
  <c r="N395" i="22" s="1"/>
  <c r="K395" i="22"/>
  <c r="J395" i="22"/>
  <c r="I395" i="22"/>
  <c r="H395" i="22"/>
  <c r="G395" i="22"/>
  <c r="F395" i="22"/>
  <c r="E395" i="22"/>
  <c r="D395" i="22"/>
  <c r="C395" i="22"/>
  <c r="B395" i="22"/>
  <c r="A395" i="22"/>
  <c r="AD394" i="22"/>
  <c r="X394" i="22"/>
  <c r="W394" i="22"/>
  <c r="U394" i="22"/>
  <c r="J394" i="22"/>
  <c r="H394" i="22"/>
  <c r="D394" i="22"/>
  <c r="AB394" i="22" s="1"/>
  <c r="C394" i="22"/>
  <c r="B394" i="22"/>
  <c r="A394" i="22"/>
  <c r="AD393" i="22"/>
  <c r="Z393" i="22"/>
  <c r="W393" i="22"/>
  <c r="U393" i="22"/>
  <c r="Q393" i="22"/>
  <c r="M393" i="22"/>
  <c r="L393" i="22"/>
  <c r="N393" i="22" s="1"/>
  <c r="G393" i="22"/>
  <c r="F393" i="22"/>
  <c r="E393" i="22"/>
  <c r="D393" i="22"/>
  <c r="Y393" i="22" s="1"/>
  <c r="C393" i="22"/>
  <c r="B393" i="22"/>
  <c r="A393" i="22"/>
  <c r="AE392" i="22"/>
  <c r="AC392" i="22"/>
  <c r="AB392" i="22"/>
  <c r="AA392" i="22"/>
  <c r="Z392" i="22"/>
  <c r="X392" i="22"/>
  <c r="W392" i="22"/>
  <c r="U392" i="22"/>
  <c r="T392" i="22"/>
  <c r="S392" i="22"/>
  <c r="R392" i="22"/>
  <c r="Q392" i="22"/>
  <c r="P392" i="22"/>
  <c r="O392" i="22"/>
  <c r="M392" i="22"/>
  <c r="L392" i="22"/>
  <c r="N392" i="22" s="1"/>
  <c r="K392" i="22"/>
  <c r="J392" i="22"/>
  <c r="I392" i="22"/>
  <c r="G392" i="22"/>
  <c r="F392" i="22"/>
  <c r="E392" i="22"/>
  <c r="D392" i="22"/>
  <c r="C392" i="22"/>
  <c r="B392" i="22"/>
  <c r="A392" i="22"/>
  <c r="AE391" i="22"/>
  <c r="AD391" i="22"/>
  <c r="Y391" i="22"/>
  <c r="X391" i="22"/>
  <c r="U391" i="22"/>
  <c r="O391" i="22"/>
  <c r="H391" i="22"/>
  <c r="G391" i="22"/>
  <c r="D391" i="22"/>
  <c r="AB391" i="22" s="1"/>
  <c r="C391" i="22"/>
  <c r="B391" i="22"/>
  <c r="A391" i="22"/>
  <c r="AE390" i="22"/>
  <c r="AA390" i="22"/>
  <c r="X390" i="22"/>
  <c r="V390" i="22"/>
  <c r="U390" i="22"/>
  <c r="T390" i="22"/>
  <c r="R390" i="22"/>
  <c r="Q390" i="22"/>
  <c r="P390" i="22"/>
  <c r="M390" i="22"/>
  <c r="J390" i="22"/>
  <c r="I390" i="22"/>
  <c r="H390" i="22"/>
  <c r="E390" i="22"/>
  <c r="D390" i="22"/>
  <c r="C390" i="22"/>
  <c r="B390" i="22"/>
  <c r="A390" i="22"/>
  <c r="AE389" i="22"/>
  <c r="AD389" i="22"/>
  <c r="AC389" i="22"/>
  <c r="AB389" i="22"/>
  <c r="X389" i="22"/>
  <c r="W389" i="22"/>
  <c r="V389" i="22"/>
  <c r="U389" i="22"/>
  <c r="T389" i="22"/>
  <c r="Q389" i="22"/>
  <c r="M389" i="22"/>
  <c r="L389" i="22"/>
  <c r="N389" i="22" s="1"/>
  <c r="J389" i="22"/>
  <c r="I389" i="22"/>
  <c r="H389" i="22"/>
  <c r="F389" i="22"/>
  <c r="E389" i="22"/>
  <c r="D389" i="22"/>
  <c r="R389" i="22" s="1"/>
  <c r="C389" i="22"/>
  <c r="B389" i="22"/>
  <c r="A389" i="22"/>
  <c r="AC388" i="22"/>
  <c r="AB388" i="22"/>
  <c r="AA388" i="22"/>
  <c r="Y388" i="22"/>
  <c r="W388" i="22"/>
  <c r="V388" i="22"/>
  <c r="U388" i="22"/>
  <c r="S388" i="22"/>
  <c r="R388" i="22"/>
  <c r="Q388" i="22"/>
  <c r="P388" i="22"/>
  <c r="O388" i="22"/>
  <c r="L388" i="22"/>
  <c r="N388" i="22" s="1"/>
  <c r="I388" i="22"/>
  <c r="H388" i="22"/>
  <c r="G388" i="22"/>
  <c r="F388" i="22"/>
  <c r="E388" i="22"/>
  <c r="D388" i="22"/>
  <c r="C388" i="22"/>
  <c r="B388" i="22"/>
  <c r="A388" i="22"/>
  <c r="AE387" i="22"/>
  <c r="AD387" i="22"/>
  <c r="AC387" i="22"/>
  <c r="AB387" i="22"/>
  <c r="Z387" i="22"/>
  <c r="X387" i="22"/>
  <c r="V387" i="22"/>
  <c r="U387" i="22"/>
  <c r="T387" i="22"/>
  <c r="S387" i="22"/>
  <c r="R387" i="22"/>
  <c r="Q387" i="22"/>
  <c r="P387" i="22"/>
  <c r="M387" i="22"/>
  <c r="L387" i="22"/>
  <c r="N387" i="22" s="1"/>
  <c r="K387" i="22"/>
  <c r="H387" i="22"/>
  <c r="G387" i="22"/>
  <c r="F387" i="22"/>
  <c r="E387" i="22"/>
  <c r="D387" i="22"/>
  <c r="C387" i="22"/>
  <c r="B387" i="22"/>
  <c r="A387" i="22"/>
  <c r="AE386" i="22"/>
  <c r="AD386" i="22"/>
  <c r="Z386" i="22"/>
  <c r="Y386" i="22"/>
  <c r="V386" i="22"/>
  <c r="U386" i="22"/>
  <c r="T386" i="22"/>
  <c r="S386" i="22"/>
  <c r="R386" i="22"/>
  <c r="Q386" i="22"/>
  <c r="O386" i="22"/>
  <c r="M386" i="22"/>
  <c r="L386" i="22"/>
  <c r="N386" i="22" s="1"/>
  <c r="K386" i="22"/>
  <c r="I386" i="22"/>
  <c r="G386" i="22"/>
  <c r="D386" i="22"/>
  <c r="C386" i="22"/>
  <c r="B386" i="22"/>
  <c r="A386" i="22"/>
  <c r="AE385" i="22"/>
  <c r="AD385" i="22"/>
  <c r="AC385" i="22"/>
  <c r="AB385" i="22"/>
  <c r="AA385" i="22"/>
  <c r="Z385" i="22"/>
  <c r="Y385" i="22"/>
  <c r="X385" i="22"/>
  <c r="U385" i="22"/>
  <c r="S385" i="22"/>
  <c r="R385" i="22"/>
  <c r="Q385" i="22"/>
  <c r="P385" i="22"/>
  <c r="O385" i="22"/>
  <c r="M385" i="22"/>
  <c r="L385" i="22"/>
  <c r="N385" i="22" s="1"/>
  <c r="K385" i="22"/>
  <c r="J385" i="22"/>
  <c r="I385" i="22"/>
  <c r="H385" i="22"/>
  <c r="F385" i="22"/>
  <c r="E385" i="22"/>
  <c r="D385" i="22"/>
  <c r="C385" i="22"/>
  <c r="B385" i="22"/>
  <c r="A385" i="22"/>
  <c r="U384" i="22"/>
  <c r="T384" i="22"/>
  <c r="S384" i="22"/>
  <c r="G384" i="22"/>
  <c r="D384" i="22"/>
  <c r="AD384" i="22" s="1"/>
  <c r="C384" i="22"/>
  <c r="B384" i="22"/>
  <c r="A384" i="22"/>
  <c r="X383" i="22"/>
  <c r="V383" i="22"/>
  <c r="U383" i="22"/>
  <c r="T383" i="22"/>
  <c r="R383" i="22"/>
  <c r="K383" i="22"/>
  <c r="J383" i="22"/>
  <c r="D383" i="22"/>
  <c r="AB383" i="22" s="1"/>
  <c r="C383" i="22"/>
  <c r="B383" i="22"/>
  <c r="A383" i="22"/>
  <c r="AE382" i="22"/>
  <c r="AD382" i="22"/>
  <c r="AC382" i="22"/>
  <c r="AB382" i="22"/>
  <c r="AA382" i="22"/>
  <c r="Z382" i="22"/>
  <c r="Y382" i="22"/>
  <c r="X382" i="22"/>
  <c r="W382" i="22"/>
  <c r="V382" i="22"/>
  <c r="U382" i="22"/>
  <c r="S382" i="22"/>
  <c r="R382" i="22"/>
  <c r="Q382" i="22"/>
  <c r="P382" i="22"/>
  <c r="O382" i="22"/>
  <c r="N382" i="22"/>
  <c r="M382" i="22"/>
  <c r="L382" i="22"/>
  <c r="K382" i="22"/>
  <c r="J382" i="22"/>
  <c r="I382" i="22"/>
  <c r="H382" i="22"/>
  <c r="G382" i="22"/>
  <c r="F382" i="22"/>
  <c r="E382" i="22"/>
  <c r="D382" i="22"/>
  <c r="T382" i="22" s="1"/>
  <c r="C382" i="22"/>
  <c r="B382" i="22"/>
  <c r="A382" i="22"/>
  <c r="AE381" i="22"/>
  <c r="AD381" i="22"/>
  <c r="AC381" i="22"/>
  <c r="Z381" i="22"/>
  <c r="W381" i="22"/>
  <c r="V381" i="22"/>
  <c r="U381" i="22"/>
  <c r="T381" i="22"/>
  <c r="R381" i="22"/>
  <c r="Q381" i="22"/>
  <c r="P381" i="22"/>
  <c r="O381" i="22"/>
  <c r="M381" i="22"/>
  <c r="K381" i="22"/>
  <c r="I381" i="22"/>
  <c r="H381" i="22"/>
  <c r="G381" i="22"/>
  <c r="D381" i="22"/>
  <c r="C381" i="22"/>
  <c r="B381" i="22"/>
  <c r="A381" i="22"/>
  <c r="AA380" i="22"/>
  <c r="Z380" i="22"/>
  <c r="U380" i="22"/>
  <c r="I380" i="22"/>
  <c r="G380" i="22"/>
  <c r="D380" i="22"/>
  <c r="AC380" i="22" s="1"/>
  <c r="C380" i="22"/>
  <c r="B380" i="22"/>
  <c r="A380" i="22"/>
  <c r="AD379" i="22"/>
  <c r="Z379" i="22"/>
  <c r="V379" i="22"/>
  <c r="U379" i="22"/>
  <c r="T379" i="22"/>
  <c r="S379" i="22"/>
  <c r="R379" i="22"/>
  <c r="P379" i="22"/>
  <c r="K379" i="22"/>
  <c r="J379" i="22"/>
  <c r="I379" i="22"/>
  <c r="G379" i="22"/>
  <c r="D379" i="22"/>
  <c r="AB379" i="22" s="1"/>
  <c r="C379" i="22"/>
  <c r="B379" i="22"/>
  <c r="A379" i="22"/>
  <c r="AE378" i="22"/>
  <c r="AD378" i="22"/>
  <c r="AC378" i="22"/>
  <c r="AB378" i="22"/>
  <c r="AA378" i="22"/>
  <c r="Z378" i="22"/>
  <c r="Y378" i="22"/>
  <c r="X378" i="22"/>
  <c r="W378" i="22"/>
  <c r="V378" i="22"/>
  <c r="U378" i="22"/>
  <c r="T378" i="22"/>
  <c r="S378" i="22"/>
  <c r="R378" i="22"/>
  <c r="Q378" i="22"/>
  <c r="O378" i="22"/>
  <c r="N378" i="22"/>
  <c r="M378" i="22"/>
  <c r="L378" i="22"/>
  <c r="K378" i="22"/>
  <c r="J378" i="22"/>
  <c r="I378" i="22"/>
  <c r="H378" i="22"/>
  <c r="G378" i="22"/>
  <c r="F378" i="22"/>
  <c r="E378" i="22"/>
  <c r="D378" i="22"/>
  <c r="P378" i="22" s="1"/>
  <c r="C378" i="22"/>
  <c r="B378" i="22"/>
  <c r="A378" i="22"/>
  <c r="U377" i="22"/>
  <c r="Q377" i="22"/>
  <c r="P377" i="22"/>
  <c r="E377" i="22"/>
  <c r="D377" i="22"/>
  <c r="AC377" i="22" s="1"/>
  <c r="C377" i="22"/>
  <c r="B377" i="22"/>
  <c r="A377" i="22"/>
  <c r="AE376" i="22"/>
  <c r="AC376" i="22"/>
  <c r="AB376" i="22"/>
  <c r="AA376" i="22"/>
  <c r="Z376" i="22"/>
  <c r="Y376" i="22"/>
  <c r="X376" i="22"/>
  <c r="W376" i="22"/>
  <c r="U376" i="22"/>
  <c r="T376" i="22"/>
  <c r="S376" i="22"/>
  <c r="R376" i="22"/>
  <c r="Q376" i="22"/>
  <c r="P376" i="22"/>
  <c r="M376" i="22"/>
  <c r="L376" i="22"/>
  <c r="N376" i="22" s="1"/>
  <c r="K376" i="22"/>
  <c r="J376" i="22"/>
  <c r="I376" i="22"/>
  <c r="H376" i="22"/>
  <c r="G376" i="22"/>
  <c r="F376" i="22"/>
  <c r="E376" i="22"/>
  <c r="D376" i="22"/>
  <c r="C376" i="22"/>
  <c r="B376" i="22"/>
  <c r="A376" i="22"/>
  <c r="AE375" i="22"/>
  <c r="AD375" i="22"/>
  <c r="X375" i="22"/>
  <c r="U375" i="22"/>
  <c r="R375" i="22"/>
  <c r="O375" i="22"/>
  <c r="L375" i="22"/>
  <c r="N375" i="22" s="1"/>
  <c r="J375" i="22"/>
  <c r="I375" i="22"/>
  <c r="G375" i="22"/>
  <c r="E375" i="22"/>
  <c r="D375" i="22"/>
  <c r="Y375" i="22" s="1"/>
  <c r="C375" i="22"/>
  <c r="B375" i="22"/>
  <c r="A375" i="22"/>
  <c r="U374" i="22"/>
  <c r="P374" i="22"/>
  <c r="O374" i="22"/>
  <c r="D374" i="22"/>
  <c r="AE374" i="22" s="1"/>
  <c r="C374" i="22"/>
  <c r="B374" i="22"/>
  <c r="A374" i="22"/>
  <c r="AE373" i="22"/>
  <c r="AD373" i="22"/>
  <c r="AB373" i="22"/>
  <c r="Z373" i="22"/>
  <c r="Y373" i="22"/>
  <c r="W373" i="22"/>
  <c r="U373" i="22"/>
  <c r="S373" i="22"/>
  <c r="R373" i="22"/>
  <c r="Q373" i="22"/>
  <c r="O373" i="22"/>
  <c r="L373" i="22"/>
  <c r="N373" i="22" s="1"/>
  <c r="I373" i="22"/>
  <c r="G373" i="22"/>
  <c r="D373" i="22"/>
  <c r="C373" i="22"/>
  <c r="B373" i="22"/>
  <c r="A373" i="22"/>
  <c r="AA372" i="22"/>
  <c r="W372" i="22"/>
  <c r="U372" i="22"/>
  <c r="P372" i="22"/>
  <c r="O372" i="22"/>
  <c r="L372" i="22"/>
  <c r="N372" i="22" s="1"/>
  <c r="K372" i="22"/>
  <c r="D372" i="22"/>
  <c r="AE372" i="22" s="1"/>
  <c r="C372" i="22"/>
  <c r="B372" i="22"/>
  <c r="A372" i="22"/>
  <c r="AE371" i="22"/>
  <c r="AB371" i="22"/>
  <c r="AA371" i="22"/>
  <c r="Z371" i="22"/>
  <c r="X371" i="22"/>
  <c r="U371" i="22"/>
  <c r="R371" i="22"/>
  <c r="H371" i="22"/>
  <c r="D371" i="22"/>
  <c r="C371" i="22"/>
  <c r="B371" i="22"/>
  <c r="A371" i="22"/>
  <c r="U370" i="22"/>
  <c r="D370" i="22"/>
  <c r="C370" i="22"/>
  <c r="B370" i="22"/>
  <c r="A370" i="22"/>
  <c r="AE369" i="22"/>
  <c r="AD369" i="22"/>
  <c r="AC369" i="22"/>
  <c r="AB369" i="22"/>
  <c r="Z369" i="22"/>
  <c r="Y369" i="22"/>
  <c r="X369" i="22"/>
  <c r="U369" i="22"/>
  <c r="T369" i="22"/>
  <c r="S369" i="22"/>
  <c r="R369" i="22"/>
  <c r="Q369" i="22"/>
  <c r="P369" i="22"/>
  <c r="O369" i="22"/>
  <c r="N369" i="22"/>
  <c r="M369" i="22"/>
  <c r="L369" i="22"/>
  <c r="K369" i="22"/>
  <c r="I369" i="22"/>
  <c r="H369" i="22"/>
  <c r="F369" i="22"/>
  <c r="E369" i="22"/>
  <c r="D369" i="22"/>
  <c r="C369" i="22"/>
  <c r="B369" i="22"/>
  <c r="A369" i="22"/>
  <c r="AC368" i="22"/>
  <c r="AB368" i="22"/>
  <c r="AA368" i="22"/>
  <c r="W368" i="22"/>
  <c r="U368" i="22"/>
  <c r="T368" i="22"/>
  <c r="M368" i="22"/>
  <c r="K368" i="22"/>
  <c r="H368" i="22"/>
  <c r="D368" i="22"/>
  <c r="C368" i="22"/>
  <c r="B368" i="22"/>
  <c r="A368" i="22"/>
  <c r="AE367" i="22"/>
  <c r="AD367" i="22"/>
  <c r="AC367" i="22"/>
  <c r="AB367" i="22"/>
  <c r="AA367" i="22"/>
  <c r="Z367" i="22"/>
  <c r="Y367" i="22"/>
  <c r="X367" i="22"/>
  <c r="W367" i="22"/>
  <c r="V367" i="22"/>
  <c r="U367" i="22"/>
  <c r="T367" i="22"/>
  <c r="S367" i="22"/>
  <c r="R367" i="22"/>
  <c r="Q367" i="22"/>
  <c r="P367" i="22"/>
  <c r="O367" i="22"/>
  <c r="M367" i="22"/>
  <c r="L367" i="22"/>
  <c r="N367" i="22" s="1"/>
  <c r="K367" i="22"/>
  <c r="J367" i="22"/>
  <c r="I367" i="22"/>
  <c r="H367" i="22"/>
  <c r="G367" i="22"/>
  <c r="F367" i="22"/>
  <c r="D367" i="22"/>
  <c r="E367" i="22" s="1"/>
  <c r="C367" i="22"/>
  <c r="B367" i="22"/>
  <c r="A367" i="22"/>
  <c r="AE366" i="22"/>
  <c r="AD366" i="22"/>
  <c r="AC366" i="22"/>
  <c r="AB366" i="22"/>
  <c r="AA366" i="22"/>
  <c r="Z366" i="22"/>
  <c r="Y366" i="22"/>
  <c r="X366" i="22"/>
  <c r="W366" i="22"/>
  <c r="V366" i="22"/>
  <c r="U366" i="22"/>
  <c r="S366" i="22"/>
  <c r="R366" i="22"/>
  <c r="Q366" i="22"/>
  <c r="P366" i="22"/>
  <c r="O366" i="22"/>
  <c r="M366" i="22"/>
  <c r="L366" i="22"/>
  <c r="N366" i="22" s="1"/>
  <c r="K366" i="22"/>
  <c r="J366" i="22"/>
  <c r="I366" i="22"/>
  <c r="H366" i="22"/>
  <c r="G366" i="22"/>
  <c r="F366" i="22"/>
  <c r="E366" i="22"/>
  <c r="D366" i="22"/>
  <c r="T366" i="22" s="1"/>
  <c r="C366" i="22"/>
  <c r="B366" i="22"/>
  <c r="A366" i="22"/>
  <c r="AE365" i="22"/>
  <c r="AC365" i="22"/>
  <c r="AB365" i="22"/>
  <c r="Z365" i="22"/>
  <c r="W365" i="22"/>
  <c r="V365" i="22"/>
  <c r="U365" i="22"/>
  <c r="T365" i="22"/>
  <c r="R365" i="22"/>
  <c r="Q365" i="22"/>
  <c r="O365" i="22"/>
  <c r="N365" i="22"/>
  <c r="M365" i="22"/>
  <c r="L365" i="22"/>
  <c r="K365" i="22"/>
  <c r="I365" i="22"/>
  <c r="H365" i="22"/>
  <c r="F365" i="22"/>
  <c r="D365" i="22"/>
  <c r="C365" i="22"/>
  <c r="B365" i="22"/>
  <c r="A365" i="22"/>
  <c r="AD364" i="22"/>
  <c r="AC364" i="22"/>
  <c r="AB364" i="22"/>
  <c r="AA364" i="22"/>
  <c r="Z364" i="22"/>
  <c r="Y364" i="22"/>
  <c r="W364" i="22"/>
  <c r="U364" i="22"/>
  <c r="T364" i="22"/>
  <c r="Q364" i="22"/>
  <c r="P364" i="22"/>
  <c r="M364" i="22"/>
  <c r="K364" i="22"/>
  <c r="J364" i="22"/>
  <c r="I364" i="22"/>
  <c r="H364" i="22"/>
  <c r="G364" i="22"/>
  <c r="F364" i="22"/>
  <c r="E364" i="22"/>
  <c r="D364" i="22"/>
  <c r="O364" i="22" s="1"/>
  <c r="C364" i="22"/>
  <c r="B364" i="22"/>
  <c r="A364" i="22"/>
  <c r="U363" i="22"/>
  <c r="T363" i="22"/>
  <c r="F363" i="22"/>
  <c r="D363" i="22"/>
  <c r="AD363" i="22" s="1"/>
  <c r="C363" i="22"/>
  <c r="B363" i="22"/>
  <c r="A363" i="22"/>
  <c r="AE362" i="22"/>
  <c r="W362" i="22"/>
  <c r="V362" i="22"/>
  <c r="U362" i="22"/>
  <c r="S362" i="22"/>
  <c r="Q362" i="22"/>
  <c r="I362" i="22"/>
  <c r="H362" i="22"/>
  <c r="D362" i="22"/>
  <c r="AC362" i="22" s="1"/>
  <c r="C362" i="22"/>
  <c r="B362" i="22"/>
  <c r="A362" i="22"/>
  <c r="AD361" i="22"/>
  <c r="AC361" i="22"/>
  <c r="AB361" i="22"/>
  <c r="Z361" i="22"/>
  <c r="W361" i="22"/>
  <c r="V361" i="22"/>
  <c r="U361" i="22"/>
  <c r="T361" i="22"/>
  <c r="S361" i="22"/>
  <c r="Q361" i="22"/>
  <c r="N361" i="22"/>
  <c r="M361" i="22"/>
  <c r="L361" i="22"/>
  <c r="K361" i="22"/>
  <c r="J361" i="22"/>
  <c r="I361" i="22"/>
  <c r="H361" i="22"/>
  <c r="E361" i="22"/>
  <c r="D361" i="22"/>
  <c r="C361" i="22"/>
  <c r="B361" i="22"/>
  <c r="A361" i="22"/>
  <c r="AE360" i="22"/>
  <c r="AC360" i="22"/>
  <c r="AB360" i="22"/>
  <c r="AA360" i="22"/>
  <c r="Z360" i="22"/>
  <c r="Y360" i="22"/>
  <c r="X360" i="22"/>
  <c r="W360" i="22"/>
  <c r="V360" i="22"/>
  <c r="U360" i="22"/>
  <c r="T360" i="22"/>
  <c r="S360" i="22"/>
  <c r="R360" i="22"/>
  <c r="Q360" i="22"/>
  <c r="P360" i="22"/>
  <c r="O360" i="22"/>
  <c r="M360" i="22"/>
  <c r="L360" i="22"/>
  <c r="N360" i="22" s="1"/>
  <c r="K360" i="22"/>
  <c r="J360" i="22"/>
  <c r="I360" i="22"/>
  <c r="H360" i="22"/>
  <c r="G360" i="22"/>
  <c r="F360" i="22"/>
  <c r="E360" i="22"/>
  <c r="D360" i="22"/>
  <c r="AD360" i="22" s="1"/>
  <c r="C360" i="22"/>
  <c r="B360" i="22"/>
  <c r="A360" i="22"/>
  <c r="AE359" i="22"/>
  <c r="U359" i="22"/>
  <c r="D359" i="22"/>
  <c r="C359" i="22"/>
  <c r="B359" i="22"/>
  <c r="A359" i="22"/>
  <c r="AE358" i="22"/>
  <c r="Y358" i="22"/>
  <c r="W358" i="22"/>
  <c r="U358" i="22"/>
  <c r="H358" i="22"/>
  <c r="F358" i="22"/>
  <c r="D358" i="22"/>
  <c r="AA358" i="22" s="1"/>
  <c r="C358" i="22"/>
  <c r="B358" i="22"/>
  <c r="A358" i="22"/>
  <c r="AE357" i="22"/>
  <c r="AD357" i="22"/>
  <c r="AB357" i="22"/>
  <c r="Z357" i="22"/>
  <c r="W357" i="22"/>
  <c r="V357" i="22"/>
  <c r="U357" i="22"/>
  <c r="T357" i="22"/>
  <c r="S357" i="22"/>
  <c r="R357" i="22"/>
  <c r="Q357" i="22"/>
  <c r="P357" i="22"/>
  <c r="O357" i="22"/>
  <c r="J357" i="22"/>
  <c r="I357" i="22"/>
  <c r="H357" i="22"/>
  <c r="G357" i="22"/>
  <c r="E357" i="22"/>
  <c r="D357" i="22"/>
  <c r="C357" i="22"/>
  <c r="B357" i="22"/>
  <c r="A357" i="22"/>
  <c r="AE356" i="22"/>
  <c r="AD356" i="22"/>
  <c r="AC356" i="22"/>
  <c r="AB356" i="22"/>
  <c r="AA356" i="22"/>
  <c r="X356" i="22"/>
  <c r="V356" i="22"/>
  <c r="U356" i="22"/>
  <c r="T356" i="22"/>
  <c r="R356" i="22"/>
  <c r="Q356" i="22"/>
  <c r="P356" i="22"/>
  <c r="O356" i="22"/>
  <c r="M356" i="22"/>
  <c r="L356" i="22"/>
  <c r="N356" i="22" s="1"/>
  <c r="K356" i="22"/>
  <c r="I356" i="22"/>
  <c r="G356" i="22"/>
  <c r="F356" i="22"/>
  <c r="E356" i="22"/>
  <c r="D356" i="22"/>
  <c r="C356" i="22"/>
  <c r="B356" i="22"/>
  <c r="A356" i="22"/>
  <c r="AC355" i="22"/>
  <c r="AA355" i="22"/>
  <c r="U355" i="22"/>
  <c r="O355" i="22"/>
  <c r="L355" i="22"/>
  <c r="N355" i="22" s="1"/>
  <c r="D355" i="22"/>
  <c r="AE355" i="22" s="1"/>
  <c r="C355" i="22"/>
  <c r="B355" i="22"/>
  <c r="A355" i="22"/>
  <c r="AE354" i="22"/>
  <c r="Z354" i="22"/>
  <c r="W354" i="22"/>
  <c r="U354" i="22"/>
  <c r="R354" i="22"/>
  <c r="O354" i="22"/>
  <c r="N354" i="22"/>
  <c r="M354" i="22"/>
  <c r="L354" i="22"/>
  <c r="K354" i="22"/>
  <c r="G354" i="22"/>
  <c r="D354" i="22"/>
  <c r="AD354" i="22" s="1"/>
  <c r="C354" i="22"/>
  <c r="B354" i="22"/>
  <c r="A354" i="22"/>
  <c r="AE353" i="22"/>
  <c r="AD353" i="22"/>
  <c r="AC353" i="22"/>
  <c r="AB353" i="22"/>
  <c r="AA353" i="22"/>
  <c r="Z353" i="22"/>
  <c r="Y353" i="22"/>
  <c r="X353" i="22"/>
  <c r="U353" i="22"/>
  <c r="T353" i="22"/>
  <c r="S353" i="22"/>
  <c r="R353" i="22"/>
  <c r="Q353" i="22"/>
  <c r="O353" i="22"/>
  <c r="N353" i="22"/>
  <c r="M353" i="22"/>
  <c r="L353" i="22"/>
  <c r="K353" i="22"/>
  <c r="J353" i="22"/>
  <c r="I353" i="22"/>
  <c r="H353" i="22"/>
  <c r="F353" i="22"/>
  <c r="E353" i="22"/>
  <c r="D353" i="22"/>
  <c r="C353" i="22"/>
  <c r="B353" i="22"/>
  <c r="A353" i="22"/>
  <c r="AC352" i="22"/>
  <c r="AB352" i="22"/>
  <c r="AA352" i="22"/>
  <c r="Y352" i="22"/>
  <c r="U352" i="22"/>
  <c r="S352" i="22"/>
  <c r="R352" i="22"/>
  <c r="P352" i="22"/>
  <c r="L352" i="22"/>
  <c r="N352" i="22" s="1"/>
  <c r="K352" i="22"/>
  <c r="J352" i="22"/>
  <c r="H352" i="22"/>
  <c r="G352" i="22"/>
  <c r="E352" i="22"/>
  <c r="D352" i="22"/>
  <c r="X352" i="22" s="1"/>
  <c r="C352" i="22"/>
  <c r="B352" i="22"/>
  <c r="A352" i="22"/>
  <c r="U351" i="22"/>
  <c r="R351" i="22"/>
  <c r="Q351" i="22"/>
  <c r="D351" i="22"/>
  <c r="AC351" i="22" s="1"/>
  <c r="C351" i="22"/>
  <c r="B351" i="22"/>
  <c r="A351" i="22"/>
  <c r="AE350" i="22"/>
  <c r="AD350" i="22"/>
  <c r="AC350" i="22"/>
  <c r="AB350" i="22"/>
  <c r="AA350" i="22"/>
  <c r="Z350" i="22"/>
  <c r="Y350" i="22"/>
  <c r="X350" i="22"/>
  <c r="W350" i="22"/>
  <c r="V350" i="22"/>
  <c r="U350" i="22"/>
  <c r="S350" i="22"/>
  <c r="R350" i="22"/>
  <c r="Q350" i="22"/>
  <c r="P350" i="22"/>
  <c r="O350" i="22"/>
  <c r="M350" i="22"/>
  <c r="L350" i="22"/>
  <c r="N350" i="22" s="1"/>
  <c r="K350" i="22"/>
  <c r="J350" i="22"/>
  <c r="I350" i="22"/>
  <c r="H350" i="22"/>
  <c r="G350" i="22"/>
  <c r="F350" i="22"/>
  <c r="E350" i="22"/>
  <c r="D350" i="22"/>
  <c r="T350" i="22" s="1"/>
  <c r="C350" i="22"/>
  <c r="B350" i="22"/>
  <c r="A350" i="22"/>
  <c r="AE349" i="22"/>
  <c r="AD349" i="22"/>
  <c r="AC349" i="22"/>
  <c r="AB349" i="22"/>
  <c r="AA349" i="22"/>
  <c r="Z349" i="22"/>
  <c r="X349" i="22"/>
  <c r="V349" i="22"/>
  <c r="U349" i="22"/>
  <c r="R349" i="22"/>
  <c r="Q349" i="22"/>
  <c r="P349" i="22"/>
  <c r="O349" i="22"/>
  <c r="M349" i="22"/>
  <c r="L349" i="22"/>
  <c r="N349" i="22" s="1"/>
  <c r="K349" i="22"/>
  <c r="J349" i="22"/>
  <c r="I349" i="22"/>
  <c r="G349" i="22"/>
  <c r="F349" i="22"/>
  <c r="E349" i="22"/>
  <c r="D349" i="22"/>
  <c r="C349" i="22"/>
  <c r="B349" i="22"/>
  <c r="A349" i="22"/>
  <c r="AB348" i="22"/>
  <c r="Y348" i="22"/>
  <c r="X348" i="22"/>
  <c r="U348" i="22"/>
  <c r="H348" i="22"/>
  <c r="G348" i="22"/>
  <c r="D348" i="22"/>
  <c r="AA348" i="22" s="1"/>
  <c r="C348" i="22"/>
  <c r="B348" i="22"/>
  <c r="A348" i="22"/>
  <c r="AE347" i="22"/>
  <c r="AD347" i="22"/>
  <c r="AC347" i="22"/>
  <c r="AB347" i="22"/>
  <c r="AA347" i="22"/>
  <c r="Z347" i="22"/>
  <c r="Y347" i="22"/>
  <c r="X347" i="22"/>
  <c r="W347" i="22"/>
  <c r="V347" i="22"/>
  <c r="U347" i="22"/>
  <c r="T347" i="22"/>
  <c r="S347" i="22"/>
  <c r="R347" i="22"/>
  <c r="P347" i="22"/>
  <c r="O347" i="22"/>
  <c r="N347" i="22"/>
  <c r="M347" i="22"/>
  <c r="L347" i="22"/>
  <c r="K347" i="22"/>
  <c r="J347" i="22"/>
  <c r="I347" i="22"/>
  <c r="H347" i="22"/>
  <c r="G347" i="22"/>
  <c r="F347" i="22"/>
  <c r="E347" i="22"/>
  <c r="D347" i="22"/>
  <c r="Q347" i="22" s="1"/>
  <c r="C347" i="22"/>
  <c r="B347" i="22"/>
  <c r="A347" i="22"/>
  <c r="AC346" i="22"/>
  <c r="Z346" i="22"/>
  <c r="X346" i="22"/>
  <c r="V346" i="22"/>
  <c r="U346" i="22"/>
  <c r="R346" i="22"/>
  <c r="Q346" i="22"/>
  <c r="O346" i="22"/>
  <c r="M346" i="22"/>
  <c r="L346" i="22"/>
  <c r="N346" i="22" s="1"/>
  <c r="J346" i="22"/>
  <c r="G346" i="22"/>
  <c r="F346" i="22"/>
  <c r="D346" i="22"/>
  <c r="T346" i="22" s="1"/>
  <c r="C346" i="22"/>
  <c r="B346" i="22"/>
  <c r="A346" i="22"/>
  <c r="AD345" i="22"/>
  <c r="AC345" i="22"/>
  <c r="AA345" i="22"/>
  <c r="Z345" i="22"/>
  <c r="Y345" i="22"/>
  <c r="X345" i="22"/>
  <c r="U345" i="22"/>
  <c r="T345" i="22"/>
  <c r="S345" i="22"/>
  <c r="Q345" i="22"/>
  <c r="M345" i="22"/>
  <c r="K345" i="22"/>
  <c r="J345" i="22"/>
  <c r="I345" i="22"/>
  <c r="H345" i="22"/>
  <c r="G345" i="22"/>
  <c r="F345" i="22"/>
  <c r="D345" i="22"/>
  <c r="C345" i="22"/>
  <c r="B345" i="22"/>
  <c r="A345" i="22"/>
  <c r="AE344" i="22"/>
  <c r="AB344" i="22"/>
  <c r="AA344" i="22"/>
  <c r="Y344" i="22"/>
  <c r="W344" i="22"/>
  <c r="V344" i="22"/>
  <c r="U344" i="22"/>
  <c r="T344" i="22"/>
  <c r="S344" i="22"/>
  <c r="Q344" i="22"/>
  <c r="P344" i="22"/>
  <c r="K344" i="22"/>
  <c r="J344" i="22"/>
  <c r="I344" i="22"/>
  <c r="H344" i="22"/>
  <c r="G344" i="22"/>
  <c r="E344" i="22"/>
  <c r="D344" i="22"/>
  <c r="C344" i="22"/>
  <c r="B344" i="22"/>
  <c r="A344" i="22"/>
  <c r="AD343" i="22"/>
  <c r="Y343" i="22"/>
  <c r="V343" i="22"/>
  <c r="U343" i="22"/>
  <c r="H343" i="22"/>
  <c r="G343" i="22"/>
  <c r="D343" i="22"/>
  <c r="AB343" i="22" s="1"/>
  <c r="C343" i="22"/>
  <c r="B343" i="22"/>
  <c r="A343" i="22"/>
  <c r="AE342" i="22"/>
  <c r="AC342" i="22"/>
  <c r="Z342" i="22"/>
  <c r="V342" i="22"/>
  <c r="U342" i="22"/>
  <c r="T342" i="22"/>
  <c r="S342" i="22"/>
  <c r="R342" i="22"/>
  <c r="P342" i="22"/>
  <c r="O342" i="22"/>
  <c r="M342" i="22"/>
  <c r="K342" i="22"/>
  <c r="J342" i="22"/>
  <c r="H342" i="22"/>
  <c r="D342" i="22"/>
  <c r="C342" i="22"/>
  <c r="B342" i="22"/>
  <c r="A342" i="22"/>
  <c r="AE341" i="22"/>
  <c r="AD341" i="22"/>
  <c r="AB341" i="22"/>
  <c r="Z341" i="22"/>
  <c r="Y341" i="22"/>
  <c r="W341" i="22"/>
  <c r="V341" i="22"/>
  <c r="U341" i="22"/>
  <c r="R341" i="22"/>
  <c r="Q341" i="22"/>
  <c r="O341" i="22"/>
  <c r="M341" i="22"/>
  <c r="L341" i="22"/>
  <c r="N341" i="22" s="1"/>
  <c r="J341" i="22"/>
  <c r="H341" i="22"/>
  <c r="G341" i="22"/>
  <c r="F341" i="22"/>
  <c r="E341" i="22"/>
  <c r="D341" i="22"/>
  <c r="P341" i="22" s="1"/>
  <c r="C341" i="22"/>
  <c r="B341" i="22"/>
  <c r="A341" i="22"/>
  <c r="AB340" i="22"/>
  <c r="Z340" i="22"/>
  <c r="Y340" i="22"/>
  <c r="W340" i="22"/>
  <c r="V340" i="22"/>
  <c r="U340" i="22"/>
  <c r="S340" i="22"/>
  <c r="O340" i="22"/>
  <c r="I340" i="22"/>
  <c r="D340" i="22"/>
  <c r="C340" i="22"/>
  <c r="B340" i="22"/>
  <c r="A340" i="22"/>
  <c r="AD339" i="22"/>
  <c r="AC339" i="22"/>
  <c r="AB339" i="22"/>
  <c r="AA339" i="22"/>
  <c r="Z339" i="22"/>
  <c r="Y339" i="22"/>
  <c r="X339" i="22"/>
  <c r="V339" i="22"/>
  <c r="U339" i="22"/>
  <c r="S339" i="22"/>
  <c r="R339" i="22"/>
  <c r="P339" i="22"/>
  <c r="O339" i="22"/>
  <c r="M339" i="22"/>
  <c r="L339" i="22"/>
  <c r="N339" i="22" s="1"/>
  <c r="K339" i="22"/>
  <c r="J339" i="22"/>
  <c r="I339" i="22"/>
  <c r="H339" i="22"/>
  <c r="G339" i="22"/>
  <c r="F339" i="22"/>
  <c r="E339" i="22"/>
  <c r="D339" i="22"/>
  <c r="C339" i="22"/>
  <c r="B339" i="22"/>
  <c r="A339" i="22"/>
  <c r="AA338" i="22"/>
  <c r="Z338" i="22"/>
  <c r="Y338" i="22"/>
  <c r="W338" i="22"/>
  <c r="V338" i="22"/>
  <c r="U338" i="22"/>
  <c r="Q338" i="22"/>
  <c r="M338" i="22"/>
  <c r="H338" i="22"/>
  <c r="D338" i="22"/>
  <c r="C338" i="22"/>
  <c r="B338" i="22"/>
  <c r="A338" i="22"/>
  <c r="W337" i="22"/>
  <c r="V337" i="22"/>
  <c r="U337" i="22"/>
  <c r="I337" i="22"/>
  <c r="G337" i="22"/>
  <c r="D337" i="22"/>
  <c r="Y337" i="22" s="1"/>
  <c r="C337" i="22"/>
  <c r="B337" i="22"/>
  <c r="A337" i="22"/>
  <c r="AD336" i="22"/>
  <c r="AB336" i="22"/>
  <c r="V336" i="22"/>
  <c r="U336" i="22"/>
  <c r="T336" i="22"/>
  <c r="S336" i="22"/>
  <c r="R336" i="22"/>
  <c r="Q336" i="22"/>
  <c r="P336" i="22"/>
  <c r="O336" i="22"/>
  <c r="K336" i="22"/>
  <c r="I336" i="22"/>
  <c r="F336" i="22"/>
  <c r="D336" i="22"/>
  <c r="X336" i="22" s="1"/>
  <c r="C336" i="22"/>
  <c r="B336" i="22"/>
  <c r="A336" i="22"/>
  <c r="AE335" i="22"/>
  <c r="AD335" i="22"/>
  <c r="AC335" i="22"/>
  <c r="AB335" i="22"/>
  <c r="AA335" i="22"/>
  <c r="Y335" i="22"/>
  <c r="X335" i="22"/>
  <c r="V335" i="22"/>
  <c r="U335" i="22"/>
  <c r="T335" i="22"/>
  <c r="R335" i="22"/>
  <c r="P335" i="22"/>
  <c r="O335" i="22"/>
  <c r="M335" i="22"/>
  <c r="L335" i="22"/>
  <c r="N335" i="22" s="1"/>
  <c r="K335" i="22"/>
  <c r="J335" i="22"/>
  <c r="H335" i="22"/>
  <c r="F335" i="22"/>
  <c r="E335" i="22"/>
  <c r="D335" i="22"/>
  <c r="S335" i="22" s="1"/>
  <c r="C335" i="22"/>
  <c r="B335" i="22"/>
  <c r="A335" i="22"/>
  <c r="AD334" i="22"/>
  <c r="AC334" i="22"/>
  <c r="AB334" i="22"/>
  <c r="Z334" i="22"/>
  <c r="X334" i="22"/>
  <c r="U334" i="22"/>
  <c r="T334" i="22"/>
  <c r="S334" i="22"/>
  <c r="Q334" i="22"/>
  <c r="O334" i="22"/>
  <c r="M334" i="22"/>
  <c r="L334" i="22"/>
  <c r="N334" i="22" s="1"/>
  <c r="K334" i="22"/>
  <c r="I334" i="22"/>
  <c r="H334" i="22"/>
  <c r="G334" i="22"/>
  <c r="D334" i="22"/>
  <c r="Y334" i="22" s="1"/>
  <c r="C334" i="22"/>
  <c r="B334" i="22"/>
  <c r="A334" i="22"/>
  <c r="U333" i="22"/>
  <c r="D333" i="22"/>
  <c r="M333" i="22" s="1"/>
  <c r="C333" i="22"/>
  <c r="B333" i="22"/>
  <c r="A333" i="22"/>
  <c r="AE332" i="22"/>
  <c r="AD332" i="22"/>
  <c r="AC332" i="22"/>
  <c r="AB332" i="22"/>
  <c r="AA332" i="22"/>
  <c r="Z332" i="22"/>
  <c r="Y332" i="22"/>
  <c r="X332" i="22"/>
  <c r="W332" i="22"/>
  <c r="V332" i="22"/>
  <c r="U332" i="22"/>
  <c r="S332" i="22"/>
  <c r="R332" i="22"/>
  <c r="Q332" i="22"/>
  <c r="P332" i="22"/>
  <c r="O332" i="22"/>
  <c r="M332" i="22"/>
  <c r="L332" i="22"/>
  <c r="N332" i="22" s="1"/>
  <c r="K332" i="22"/>
  <c r="J332" i="22"/>
  <c r="I332" i="22"/>
  <c r="H332" i="22"/>
  <c r="G332" i="22"/>
  <c r="F332" i="22"/>
  <c r="E332" i="22"/>
  <c r="D332" i="22"/>
  <c r="T332" i="22" s="1"/>
  <c r="C332" i="22"/>
  <c r="B332" i="22"/>
  <c r="A332" i="22"/>
  <c r="AE331" i="22"/>
  <c r="AD331" i="22"/>
  <c r="Y331" i="22"/>
  <c r="W331" i="22"/>
  <c r="U331" i="22"/>
  <c r="R331" i="22"/>
  <c r="P331" i="22"/>
  <c r="M331" i="22"/>
  <c r="L331" i="22"/>
  <c r="N331" i="22" s="1"/>
  <c r="J331" i="22"/>
  <c r="H331" i="22"/>
  <c r="F331" i="22"/>
  <c r="D331" i="22"/>
  <c r="V331" i="22" s="1"/>
  <c r="C331" i="22"/>
  <c r="B331" i="22"/>
  <c r="A331" i="22"/>
  <c r="U330" i="22"/>
  <c r="T330" i="22"/>
  <c r="Q330" i="22"/>
  <c r="P330" i="22"/>
  <c r="L330" i="22"/>
  <c r="N330" i="22" s="1"/>
  <c r="K330" i="22"/>
  <c r="D330" i="22"/>
  <c r="AA330" i="22" s="1"/>
  <c r="C330" i="22"/>
  <c r="B330" i="22"/>
  <c r="A330" i="22"/>
  <c r="AE329" i="22"/>
  <c r="AD329" i="22"/>
  <c r="Z329" i="22"/>
  <c r="U329" i="22"/>
  <c r="S329" i="22"/>
  <c r="I329" i="22"/>
  <c r="H329" i="22"/>
  <c r="D329" i="22"/>
  <c r="Y329" i="22" s="1"/>
  <c r="C329" i="22"/>
  <c r="B329" i="22"/>
  <c r="A329" i="22"/>
  <c r="AE328" i="22"/>
  <c r="AD328" i="22"/>
  <c r="AC328" i="22"/>
  <c r="AB328" i="22"/>
  <c r="Y328" i="22"/>
  <c r="W328" i="22"/>
  <c r="U328" i="22"/>
  <c r="S328" i="22"/>
  <c r="Q328" i="22"/>
  <c r="O328" i="22"/>
  <c r="M328" i="22"/>
  <c r="K328" i="22"/>
  <c r="J328" i="22"/>
  <c r="H328" i="22"/>
  <c r="G328" i="22"/>
  <c r="F328" i="22"/>
  <c r="D328" i="22"/>
  <c r="X328" i="22" s="1"/>
  <c r="C328" i="22"/>
  <c r="B328" i="22"/>
  <c r="A328" i="22"/>
  <c r="AC327" i="22"/>
  <c r="AB327" i="22"/>
  <c r="Y327" i="22"/>
  <c r="U327" i="22"/>
  <c r="T327" i="22"/>
  <c r="H327" i="22"/>
  <c r="G327" i="22"/>
  <c r="D327" i="22"/>
  <c r="X327" i="22" s="1"/>
  <c r="C327" i="22"/>
  <c r="B327" i="22"/>
  <c r="A327" i="22"/>
  <c r="AC326" i="22"/>
  <c r="AA326" i="22"/>
  <c r="W326" i="22"/>
  <c r="U326" i="22"/>
  <c r="S326" i="22"/>
  <c r="R326" i="22"/>
  <c r="Q326" i="22"/>
  <c r="O326" i="22"/>
  <c r="L326" i="22"/>
  <c r="N326" i="22" s="1"/>
  <c r="J326" i="22"/>
  <c r="G326" i="22"/>
  <c r="F326" i="22"/>
  <c r="D326" i="22"/>
  <c r="X326" i="22" s="1"/>
  <c r="C326" i="22"/>
  <c r="B326" i="22"/>
  <c r="A326" i="22"/>
  <c r="X325" i="22"/>
  <c r="U325" i="22"/>
  <c r="D325" i="22"/>
  <c r="C325" i="22"/>
  <c r="B325" i="22"/>
  <c r="A325" i="22"/>
  <c r="AD324" i="22"/>
  <c r="Y324" i="22"/>
  <c r="W324" i="22"/>
  <c r="U324" i="22"/>
  <c r="T324" i="22"/>
  <c r="R324" i="22"/>
  <c r="P324" i="22"/>
  <c r="O324" i="22"/>
  <c r="M324" i="22"/>
  <c r="L324" i="22"/>
  <c r="N324" i="22" s="1"/>
  <c r="K324" i="22"/>
  <c r="I324" i="22"/>
  <c r="G324" i="22"/>
  <c r="D324" i="22"/>
  <c r="S324" i="22" s="1"/>
  <c r="C324" i="22"/>
  <c r="B324" i="22"/>
  <c r="A324" i="22"/>
  <c r="AE323" i="22"/>
  <c r="AB323" i="22"/>
  <c r="X323" i="22"/>
  <c r="V323" i="22"/>
  <c r="U323" i="22"/>
  <c r="T323" i="22"/>
  <c r="S323" i="22"/>
  <c r="R323" i="22"/>
  <c r="O323" i="22"/>
  <c r="K323" i="22"/>
  <c r="H323" i="22"/>
  <c r="D323" i="22"/>
  <c r="C323" i="22"/>
  <c r="B323" i="22"/>
  <c r="A323" i="22"/>
  <c r="AE322" i="22"/>
  <c r="AD322" i="22"/>
  <c r="AC322" i="22"/>
  <c r="AA322" i="22"/>
  <c r="Z322" i="22"/>
  <c r="Y322" i="22"/>
  <c r="X322" i="22"/>
  <c r="W322" i="22"/>
  <c r="U322" i="22"/>
  <c r="S322" i="22"/>
  <c r="R322" i="22"/>
  <c r="Q322" i="22"/>
  <c r="P322" i="22"/>
  <c r="O322" i="22"/>
  <c r="M322" i="22"/>
  <c r="K322" i="22"/>
  <c r="J322" i="22"/>
  <c r="I322" i="22"/>
  <c r="H322" i="22"/>
  <c r="G322" i="22"/>
  <c r="E322" i="22"/>
  <c r="D322" i="22"/>
  <c r="AB322" i="22" s="1"/>
  <c r="C322" i="22"/>
  <c r="B322" i="22"/>
  <c r="A322" i="22"/>
  <c r="U321" i="22"/>
  <c r="D321" i="22"/>
  <c r="M321" i="22" s="1"/>
  <c r="C321" i="22"/>
  <c r="B321" i="22"/>
  <c r="A321" i="22"/>
  <c r="AE320" i="22"/>
  <c r="AD320" i="22"/>
  <c r="AC320" i="22"/>
  <c r="AB320" i="22"/>
  <c r="AA320" i="22"/>
  <c r="Z320" i="22"/>
  <c r="Y320" i="22"/>
  <c r="X320" i="22"/>
  <c r="W320" i="22"/>
  <c r="V320" i="22"/>
  <c r="U320" i="22"/>
  <c r="S320" i="22"/>
  <c r="R320" i="22"/>
  <c r="Q320" i="22"/>
  <c r="P320" i="22"/>
  <c r="O320" i="22"/>
  <c r="M320" i="22"/>
  <c r="L320" i="22"/>
  <c r="N320" i="22" s="1"/>
  <c r="K320" i="22"/>
  <c r="J320" i="22"/>
  <c r="I320" i="22"/>
  <c r="H320" i="22"/>
  <c r="G320" i="22"/>
  <c r="F320" i="22"/>
  <c r="E320" i="22"/>
  <c r="D320" i="22"/>
  <c r="T320" i="22" s="1"/>
  <c r="C320" i="22"/>
  <c r="B320" i="22"/>
  <c r="A320" i="22"/>
  <c r="AE319" i="22"/>
  <c r="AD319" i="22"/>
  <c r="AB319" i="22"/>
  <c r="AA319" i="22"/>
  <c r="Z319" i="22"/>
  <c r="W319" i="22"/>
  <c r="U319" i="22"/>
  <c r="R319" i="22"/>
  <c r="P319" i="22"/>
  <c r="O319" i="22"/>
  <c r="N319" i="22"/>
  <c r="M319" i="22"/>
  <c r="L319" i="22"/>
  <c r="K319" i="22"/>
  <c r="H319" i="22"/>
  <c r="G319" i="22"/>
  <c r="F319" i="22"/>
  <c r="D319" i="22"/>
  <c r="V319" i="22" s="1"/>
  <c r="C319" i="22"/>
  <c r="B319" i="22"/>
  <c r="A319" i="22"/>
  <c r="AE318" i="22"/>
  <c r="AD318" i="22"/>
  <c r="AC318" i="22"/>
  <c r="AB318" i="22"/>
  <c r="AA318" i="22"/>
  <c r="Z318" i="22"/>
  <c r="Y318" i="22"/>
  <c r="W318" i="22"/>
  <c r="V318" i="22"/>
  <c r="U318" i="22"/>
  <c r="S318" i="22"/>
  <c r="Q318" i="22"/>
  <c r="O318" i="22"/>
  <c r="M318" i="22"/>
  <c r="L318" i="22"/>
  <c r="N318" i="22" s="1"/>
  <c r="K318" i="22"/>
  <c r="J318" i="22"/>
  <c r="I318" i="22"/>
  <c r="G318" i="22"/>
  <c r="F318" i="22"/>
  <c r="E318" i="22"/>
  <c r="D318" i="22"/>
  <c r="X318" i="22" s="1"/>
  <c r="C318" i="22"/>
  <c r="B318" i="22"/>
  <c r="A318" i="22"/>
  <c r="AD317" i="22"/>
  <c r="AC317" i="22"/>
  <c r="U317" i="22"/>
  <c r="T317" i="22"/>
  <c r="R317" i="22"/>
  <c r="M317" i="22"/>
  <c r="J317" i="22"/>
  <c r="I317" i="22"/>
  <c r="D317" i="22"/>
  <c r="X317" i="22" s="1"/>
  <c r="C317" i="22"/>
  <c r="B317" i="22"/>
  <c r="A317" i="22"/>
  <c r="AE316" i="22"/>
  <c r="AC316" i="22"/>
  <c r="AB316" i="22"/>
  <c r="AA316" i="22"/>
  <c r="Z316" i="22"/>
  <c r="X316" i="22"/>
  <c r="W316" i="22"/>
  <c r="U316" i="22"/>
  <c r="T316" i="22"/>
  <c r="S316" i="22"/>
  <c r="Q316" i="22"/>
  <c r="O316" i="22"/>
  <c r="M316" i="22"/>
  <c r="L316" i="22"/>
  <c r="N316" i="22" s="1"/>
  <c r="K316" i="22"/>
  <c r="J316" i="22"/>
  <c r="I316" i="22"/>
  <c r="H316" i="22"/>
  <c r="G316" i="22"/>
  <c r="E316" i="22"/>
  <c r="D316" i="22"/>
  <c r="C316" i="22"/>
  <c r="B316" i="22"/>
  <c r="A316" i="22"/>
  <c r="AB315" i="22"/>
  <c r="Z315" i="22"/>
  <c r="W315" i="22"/>
  <c r="V315" i="22"/>
  <c r="U315" i="22"/>
  <c r="T315" i="22"/>
  <c r="S315" i="22"/>
  <c r="R315" i="22"/>
  <c r="L315" i="22"/>
  <c r="N315" i="22" s="1"/>
  <c r="K315" i="22"/>
  <c r="I315" i="22"/>
  <c r="G315" i="22"/>
  <c r="D315" i="22"/>
  <c r="C315" i="22"/>
  <c r="B315" i="22"/>
  <c r="A315" i="22"/>
  <c r="AE314" i="22"/>
  <c r="AC314" i="22"/>
  <c r="AA314" i="22"/>
  <c r="Z314" i="22"/>
  <c r="Y314" i="22"/>
  <c r="X314" i="22"/>
  <c r="W314" i="22"/>
  <c r="V314" i="22"/>
  <c r="U314" i="22"/>
  <c r="S314" i="22"/>
  <c r="R314" i="22"/>
  <c r="Q314" i="22"/>
  <c r="P314" i="22"/>
  <c r="O314" i="22"/>
  <c r="M314" i="22"/>
  <c r="K314" i="22"/>
  <c r="J314" i="22"/>
  <c r="I314" i="22"/>
  <c r="H314" i="22"/>
  <c r="G314" i="22"/>
  <c r="F314" i="22"/>
  <c r="E314" i="22"/>
  <c r="D314" i="22"/>
  <c r="T314" i="22" s="1"/>
  <c r="C314" i="22"/>
  <c r="B314" i="22"/>
  <c r="A314" i="22"/>
  <c r="W313" i="22"/>
  <c r="U313" i="22"/>
  <c r="D313" i="22"/>
  <c r="C313" i="22"/>
  <c r="B313" i="22"/>
  <c r="A313" i="22"/>
  <c r="Y312" i="22"/>
  <c r="U312" i="22"/>
  <c r="O312" i="22"/>
  <c r="M312" i="22"/>
  <c r="E312" i="22"/>
  <c r="D312" i="22"/>
  <c r="W312" i="22" s="1"/>
  <c r="C312" i="22"/>
  <c r="B312" i="22"/>
  <c r="A312" i="22"/>
  <c r="W311" i="22"/>
  <c r="U311" i="22"/>
  <c r="D311" i="22"/>
  <c r="C311" i="22"/>
  <c r="B311" i="22"/>
  <c r="A311" i="22"/>
  <c r="AA310" i="22"/>
  <c r="U310" i="22"/>
  <c r="O310" i="22"/>
  <c r="E310" i="22"/>
  <c r="D310" i="22"/>
  <c r="W310" i="22" s="1"/>
  <c r="C310" i="22"/>
  <c r="B310" i="22"/>
  <c r="A310" i="22"/>
  <c r="AD309" i="22"/>
  <c r="X309" i="22"/>
  <c r="V309" i="22"/>
  <c r="U309" i="22"/>
  <c r="T309" i="22"/>
  <c r="S309" i="22"/>
  <c r="P309" i="22"/>
  <c r="H309" i="22"/>
  <c r="D309" i="22"/>
  <c r="C309" i="22"/>
  <c r="B309" i="22"/>
  <c r="A309" i="22"/>
  <c r="AE308" i="22"/>
  <c r="AC308" i="22"/>
  <c r="Y308" i="22"/>
  <c r="W308" i="22"/>
  <c r="U308" i="22"/>
  <c r="T308" i="22"/>
  <c r="R308" i="22"/>
  <c r="P308" i="22"/>
  <c r="O308" i="22"/>
  <c r="M308" i="22"/>
  <c r="L308" i="22"/>
  <c r="N308" i="22" s="1"/>
  <c r="K308" i="22"/>
  <c r="I308" i="22"/>
  <c r="G308" i="22"/>
  <c r="D308" i="22"/>
  <c r="S308" i="22" s="1"/>
  <c r="C308" i="22"/>
  <c r="B308" i="22"/>
  <c r="A308" i="22"/>
  <c r="AB307" i="22"/>
  <c r="V307" i="22"/>
  <c r="U307" i="22"/>
  <c r="T307" i="22"/>
  <c r="S307" i="22"/>
  <c r="R307" i="22"/>
  <c r="O307" i="22"/>
  <c r="I307" i="22"/>
  <c r="D307" i="22"/>
  <c r="C307" i="22"/>
  <c r="B307" i="22"/>
  <c r="A307" i="22"/>
  <c r="AE306" i="22"/>
  <c r="AD306" i="22"/>
  <c r="AC306" i="22"/>
  <c r="AA306" i="22"/>
  <c r="Z306" i="22"/>
  <c r="Y306" i="22"/>
  <c r="X306" i="22"/>
  <c r="W306" i="22"/>
  <c r="U306" i="22"/>
  <c r="S306" i="22"/>
  <c r="R306" i="22"/>
  <c r="Q306" i="22"/>
  <c r="P306" i="22"/>
  <c r="O306" i="22"/>
  <c r="M306" i="22"/>
  <c r="K306" i="22"/>
  <c r="J306" i="22"/>
  <c r="I306" i="22"/>
  <c r="H306" i="22"/>
  <c r="G306" i="22"/>
  <c r="E306" i="22"/>
  <c r="D306" i="22"/>
  <c r="AB306" i="22" s="1"/>
  <c r="C306" i="22"/>
  <c r="B306" i="22"/>
  <c r="A306" i="22"/>
  <c r="D305" i="22"/>
  <c r="AD305" i="22" s="1"/>
  <c r="B305" i="22"/>
  <c r="A305" i="22"/>
  <c r="D304" i="22"/>
  <c r="B304" i="22"/>
  <c r="A304" i="22"/>
  <c r="D303" i="22"/>
  <c r="V303" i="22" s="1"/>
  <c r="B303" i="22"/>
  <c r="A303" i="22"/>
  <c r="D302" i="22"/>
  <c r="Q302" i="22" s="1"/>
  <c r="S302" i="22" s="1"/>
  <c r="B302" i="22"/>
  <c r="A302" i="22"/>
  <c r="D301" i="22"/>
  <c r="B301" i="22"/>
  <c r="A301" i="22"/>
  <c r="D300" i="22"/>
  <c r="E300" i="22" s="1"/>
  <c r="B300" i="22"/>
  <c r="A300" i="22"/>
  <c r="D299" i="22"/>
  <c r="Q299" i="22" s="1"/>
  <c r="S299" i="22" s="1"/>
  <c r="B299" i="22"/>
  <c r="A299" i="22"/>
  <c r="D298" i="22"/>
  <c r="O298" i="22" s="1"/>
  <c r="B298" i="22"/>
  <c r="A298" i="22"/>
  <c r="D297" i="22"/>
  <c r="B297" i="22"/>
  <c r="A297" i="22"/>
  <c r="AD296" i="22"/>
  <c r="D296" i="22"/>
  <c r="E296" i="22" s="1"/>
  <c r="B296" i="22"/>
  <c r="A296" i="22"/>
  <c r="D295" i="22"/>
  <c r="Y295" i="22" s="1"/>
  <c r="B295" i="22"/>
  <c r="A295" i="22"/>
  <c r="D294" i="22"/>
  <c r="B294" i="22"/>
  <c r="A294" i="22"/>
  <c r="D293" i="22"/>
  <c r="AD293" i="22" s="1"/>
  <c r="B293" i="22"/>
  <c r="A293" i="22"/>
  <c r="D292" i="22"/>
  <c r="AD292" i="22" s="1"/>
  <c r="B292" i="22"/>
  <c r="A292" i="22"/>
  <c r="D291" i="22"/>
  <c r="E291" i="22" s="1"/>
  <c r="B291" i="22"/>
  <c r="A291" i="22"/>
  <c r="D290" i="22"/>
  <c r="V290" i="22" s="1"/>
  <c r="B290" i="22"/>
  <c r="A290" i="22"/>
  <c r="D289" i="22"/>
  <c r="B289" i="22"/>
  <c r="A289" i="22"/>
  <c r="D288" i="22"/>
  <c r="AD288" i="22" s="1"/>
  <c r="B288" i="22"/>
  <c r="A288" i="22"/>
  <c r="D287" i="22"/>
  <c r="B287" i="22"/>
  <c r="A287" i="22"/>
  <c r="D286" i="22"/>
  <c r="B286" i="22"/>
  <c r="A286" i="22"/>
  <c r="D285" i="22"/>
  <c r="F285" i="22" s="1"/>
  <c r="B285" i="22"/>
  <c r="A285" i="22"/>
  <c r="D284" i="22"/>
  <c r="B284" i="22"/>
  <c r="A284" i="22"/>
  <c r="D283" i="22"/>
  <c r="R283" i="22" s="1"/>
  <c r="B283" i="22"/>
  <c r="A283" i="22"/>
  <c r="D282" i="22"/>
  <c r="Q282" i="22" s="1"/>
  <c r="S282" i="22" s="1"/>
  <c r="B282" i="22"/>
  <c r="A282" i="22"/>
  <c r="D281" i="22"/>
  <c r="AD281" i="22" s="1"/>
  <c r="B281" i="22"/>
  <c r="A281" i="22"/>
  <c r="D280" i="22"/>
  <c r="R280" i="22" s="1"/>
  <c r="B280" i="22"/>
  <c r="A280" i="22"/>
  <c r="D279" i="22"/>
  <c r="Q279" i="22" s="1"/>
  <c r="S279" i="22" s="1"/>
  <c r="B279" i="22"/>
  <c r="A279" i="22"/>
  <c r="D278" i="22"/>
  <c r="AD278" i="22" s="1"/>
  <c r="B278" i="22"/>
  <c r="A278" i="22"/>
  <c r="D277" i="22"/>
  <c r="AD277" i="22" s="1"/>
  <c r="B277" i="22"/>
  <c r="A277" i="22"/>
  <c r="D276" i="22"/>
  <c r="Q276" i="22" s="1"/>
  <c r="S276" i="22" s="1"/>
  <c r="B276" i="22"/>
  <c r="A276" i="22"/>
  <c r="D275" i="22"/>
  <c r="B275" i="22"/>
  <c r="A275" i="22"/>
  <c r="D274" i="22"/>
  <c r="R274" i="22" s="1"/>
  <c r="B274" i="22"/>
  <c r="A274" i="22"/>
  <c r="D273" i="22"/>
  <c r="F273" i="22" s="1"/>
  <c r="B273" i="22"/>
  <c r="A273" i="22"/>
  <c r="D272" i="22"/>
  <c r="B272" i="22"/>
  <c r="A272" i="22"/>
  <c r="E271" i="22"/>
  <c r="D271" i="22"/>
  <c r="Y271" i="22" s="1"/>
  <c r="B271" i="22"/>
  <c r="A271" i="22"/>
  <c r="D270" i="22"/>
  <c r="B270" i="22"/>
  <c r="A270" i="22"/>
  <c r="V269" i="22"/>
  <c r="D269" i="22"/>
  <c r="Y269" i="22" s="1"/>
  <c r="B269" i="22"/>
  <c r="A269" i="22"/>
  <c r="D268" i="22"/>
  <c r="B268" i="22"/>
  <c r="A268" i="22"/>
  <c r="D267" i="22"/>
  <c r="Y267" i="22" s="1"/>
  <c r="B267" i="22"/>
  <c r="A267" i="22"/>
  <c r="E266" i="22"/>
  <c r="D266" i="22"/>
  <c r="AD266" i="22" s="1"/>
  <c r="B266" i="22"/>
  <c r="A266" i="22"/>
  <c r="D265" i="22"/>
  <c r="M265" i="22" s="1"/>
  <c r="B265" i="22"/>
  <c r="A265" i="22"/>
  <c r="D264" i="22"/>
  <c r="AD264" i="22" s="1"/>
  <c r="B264" i="22"/>
  <c r="A264" i="22"/>
  <c r="D263" i="22"/>
  <c r="E263" i="22" s="1"/>
  <c r="B263" i="22"/>
  <c r="A263" i="22"/>
  <c r="D262" i="22"/>
  <c r="B262" i="22"/>
  <c r="A262" i="22"/>
  <c r="D261" i="22"/>
  <c r="Q261" i="22" s="1"/>
  <c r="B261" i="22"/>
  <c r="A261" i="22"/>
  <c r="D260" i="22"/>
  <c r="B260" i="22"/>
  <c r="A260" i="22"/>
  <c r="D259" i="22"/>
  <c r="Q259" i="22" s="1"/>
  <c r="B259" i="22"/>
  <c r="A259" i="22"/>
  <c r="D258" i="22"/>
  <c r="R258" i="22" s="1"/>
  <c r="B258" i="22"/>
  <c r="A258" i="22"/>
  <c r="D257" i="22"/>
  <c r="Y257" i="22" s="1"/>
  <c r="B257" i="22"/>
  <c r="A257" i="22"/>
  <c r="D256" i="22"/>
  <c r="AD256" i="22" s="1"/>
  <c r="B256" i="22"/>
  <c r="A256" i="22"/>
  <c r="D255" i="22"/>
  <c r="R255" i="22" s="1"/>
  <c r="B255" i="22"/>
  <c r="A255" i="22"/>
  <c r="D254" i="22"/>
  <c r="F254" i="22" s="1"/>
  <c r="B254" i="22"/>
  <c r="A254" i="22"/>
  <c r="D253" i="22"/>
  <c r="AD253" i="22" s="1"/>
  <c r="B253" i="22"/>
  <c r="A253" i="22"/>
  <c r="D252" i="22"/>
  <c r="F252" i="22" s="1"/>
  <c r="B252" i="22"/>
  <c r="A252" i="22"/>
  <c r="D251" i="22"/>
  <c r="F251" i="22" s="1"/>
  <c r="B251" i="22"/>
  <c r="A251" i="22"/>
  <c r="D250" i="22"/>
  <c r="Q250" i="22" s="1"/>
  <c r="S250" i="22" s="1"/>
  <c r="B250" i="22"/>
  <c r="A250" i="22"/>
  <c r="Y249" i="22"/>
  <c r="D249" i="22"/>
  <c r="E249" i="22" s="1"/>
  <c r="B249" i="22"/>
  <c r="A249" i="22"/>
  <c r="D248" i="22"/>
  <c r="F248" i="22" s="1"/>
  <c r="B248" i="22"/>
  <c r="A248" i="22"/>
  <c r="D247" i="22"/>
  <c r="AD247" i="22" s="1"/>
  <c r="B247" i="22"/>
  <c r="A247" i="22"/>
  <c r="D246" i="22"/>
  <c r="B246" i="22"/>
  <c r="A246" i="22"/>
  <c r="D245" i="22"/>
  <c r="AD245" i="22" s="1"/>
  <c r="B245" i="22"/>
  <c r="A245" i="22"/>
  <c r="D244" i="22"/>
  <c r="AD244" i="22" s="1"/>
  <c r="B244" i="22"/>
  <c r="A244" i="22"/>
  <c r="D243" i="22"/>
  <c r="AD243" i="22" s="1"/>
  <c r="B243" i="22"/>
  <c r="A243" i="22"/>
  <c r="D242" i="22"/>
  <c r="AD242" i="22" s="1"/>
  <c r="B242" i="22"/>
  <c r="A242" i="22"/>
  <c r="D241" i="22"/>
  <c r="B241" i="22"/>
  <c r="A241" i="22"/>
  <c r="D240" i="22"/>
  <c r="B240" i="22"/>
  <c r="A240" i="22"/>
  <c r="D239" i="22"/>
  <c r="AD239" i="22" s="1"/>
  <c r="B239" i="22"/>
  <c r="A239" i="22"/>
  <c r="D238" i="22"/>
  <c r="B238" i="22"/>
  <c r="A238" i="22"/>
  <c r="V237" i="22"/>
  <c r="R237" i="22"/>
  <c r="Q237" i="22"/>
  <c r="S237" i="22" s="1"/>
  <c r="D237" i="22"/>
  <c r="AD237" i="22" s="1"/>
  <c r="B237" i="22"/>
  <c r="A237" i="22"/>
  <c r="D236" i="22"/>
  <c r="B236" i="22"/>
  <c r="A236" i="22"/>
  <c r="D235" i="22"/>
  <c r="B235" i="22"/>
  <c r="A235" i="22"/>
  <c r="D234" i="22"/>
  <c r="Q234" i="22" s="1"/>
  <c r="B234" i="22"/>
  <c r="A234" i="22"/>
  <c r="D233" i="22"/>
  <c r="AD233" i="22" s="1"/>
  <c r="B233" i="22"/>
  <c r="A233" i="22"/>
  <c r="D232" i="22"/>
  <c r="AD232" i="22" s="1"/>
  <c r="B232" i="22"/>
  <c r="A232" i="22"/>
  <c r="D231" i="22"/>
  <c r="R231" i="22" s="1"/>
  <c r="B231" i="22"/>
  <c r="A231" i="22"/>
  <c r="D230" i="22"/>
  <c r="B230" i="22"/>
  <c r="A230" i="22"/>
  <c r="D229" i="22"/>
  <c r="B229" i="22"/>
  <c r="A229" i="22"/>
  <c r="D228" i="22"/>
  <c r="AD228" i="22" s="1"/>
  <c r="C228" i="22"/>
  <c r="B228" i="22"/>
  <c r="A228" i="22"/>
  <c r="D227" i="22"/>
  <c r="AD227" i="22" s="1"/>
  <c r="B227" i="22"/>
  <c r="A227" i="22"/>
  <c r="D226" i="22"/>
  <c r="Y226" i="22" s="1"/>
  <c r="B226" i="22"/>
  <c r="A226" i="22"/>
  <c r="D225" i="22"/>
  <c r="B225" i="22"/>
  <c r="A225" i="22"/>
  <c r="D224" i="22"/>
  <c r="R224" i="22" s="1"/>
  <c r="B224" i="22"/>
  <c r="A224" i="22"/>
  <c r="D223" i="22"/>
  <c r="F223" i="22" s="1"/>
  <c r="B223" i="22"/>
  <c r="A223" i="22"/>
  <c r="D222" i="22"/>
  <c r="B222" i="22"/>
  <c r="A222" i="22"/>
  <c r="D221" i="22"/>
  <c r="V221" i="22" s="1"/>
  <c r="C221" i="22"/>
  <c r="B221" i="22"/>
  <c r="A221" i="22"/>
  <c r="D220" i="22"/>
  <c r="C220" i="22"/>
  <c r="B220" i="22"/>
  <c r="A220" i="22"/>
  <c r="D219" i="22"/>
  <c r="C219" i="22"/>
  <c r="B219" i="22"/>
  <c r="A219" i="22"/>
  <c r="D218" i="22"/>
  <c r="O218" i="22" s="1"/>
  <c r="C218" i="22"/>
  <c r="B218" i="22"/>
  <c r="A218" i="22"/>
  <c r="D217" i="22"/>
  <c r="AD217" i="22" s="1"/>
  <c r="C217" i="22"/>
  <c r="B217" i="22"/>
  <c r="A217" i="22"/>
  <c r="D216" i="22"/>
  <c r="E216" i="22" s="1"/>
  <c r="C216" i="22"/>
  <c r="B216" i="22"/>
  <c r="A216" i="22"/>
  <c r="D215" i="22"/>
  <c r="AD215" i="22" s="1"/>
  <c r="C215" i="22"/>
  <c r="B215" i="22"/>
  <c r="A215" i="22"/>
  <c r="D214" i="22"/>
  <c r="Y214" i="22" s="1"/>
  <c r="C214" i="22"/>
  <c r="B214" i="22"/>
  <c r="A214" i="22"/>
  <c r="D213" i="22"/>
  <c r="AD213" i="22" s="1"/>
  <c r="C213" i="22"/>
  <c r="B213" i="22"/>
  <c r="A213" i="22"/>
  <c r="D212" i="22"/>
  <c r="AD212" i="22" s="1"/>
  <c r="C212" i="22"/>
  <c r="B212" i="22"/>
  <c r="A212" i="22"/>
  <c r="D211" i="22"/>
  <c r="Q211" i="22" s="1"/>
  <c r="C211" i="22"/>
  <c r="B211" i="22"/>
  <c r="A211" i="22"/>
  <c r="D210" i="22"/>
  <c r="C210" i="22"/>
  <c r="B210" i="22"/>
  <c r="A210" i="22"/>
  <c r="D209" i="22"/>
  <c r="B209" i="22"/>
  <c r="A209" i="22"/>
  <c r="D208" i="22"/>
  <c r="E208" i="22" s="1"/>
  <c r="C208" i="22"/>
  <c r="B208" i="22"/>
  <c r="A208" i="22"/>
  <c r="D207" i="22"/>
  <c r="C207" i="22"/>
  <c r="B207" i="22"/>
  <c r="A207" i="22"/>
  <c r="D206" i="22"/>
  <c r="C206" i="22"/>
  <c r="B206" i="22"/>
  <c r="A206" i="22"/>
  <c r="D205" i="22"/>
  <c r="AD205" i="22" s="1"/>
  <c r="C205" i="22"/>
  <c r="B205" i="22"/>
  <c r="A205" i="22"/>
  <c r="AD204" i="22"/>
  <c r="D204" i="22"/>
  <c r="Y204" i="22" s="1"/>
  <c r="C204" i="22"/>
  <c r="B204" i="22"/>
  <c r="A204" i="22"/>
  <c r="D203" i="22"/>
  <c r="F203" i="22" s="1"/>
  <c r="C203" i="22"/>
  <c r="B203" i="22"/>
  <c r="A203" i="22"/>
  <c r="D202" i="22"/>
  <c r="C202" i="22"/>
  <c r="B202" i="22"/>
  <c r="A202" i="22"/>
  <c r="D201" i="22"/>
  <c r="AD201" i="22" s="1"/>
  <c r="C201" i="22"/>
  <c r="B201" i="22"/>
  <c r="A201" i="22"/>
  <c r="D200" i="22"/>
  <c r="F200" i="22" s="1"/>
  <c r="C200" i="22"/>
  <c r="B200" i="22"/>
  <c r="A200" i="22"/>
  <c r="D199" i="22"/>
  <c r="C199" i="22"/>
  <c r="B199" i="22"/>
  <c r="A199" i="22"/>
  <c r="D198" i="22"/>
  <c r="V198" i="22" s="1"/>
  <c r="C198" i="22"/>
  <c r="B198" i="22"/>
  <c r="A198" i="22"/>
  <c r="D197" i="22"/>
  <c r="C197" i="22"/>
  <c r="B197" i="22"/>
  <c r="A197" i="22"/>
  <c r="D196" i="22"/>
  <c r="AD196" i="22" s="1"/>
  <c r="C196" i="22"/>
  <c r="B196" i="22"/>
  <c r="A196" i="22"/>
  <c r="D195" i="22"/>
  <c r="Y195" i="22" s="1"/>
  <c r="C195" i="22"/>
  <c r="B195" i="22"/>
  <c r="A195" i="22"/>
  <c r="D194" i="22"/>
  <c r="AD194" i="22" s="1"/>
  <c r="C194" i="22"/>
  <c r="B194" i="22"/>
  <c r="A194" i="22"/>
  <c r="D193" i="22"/>
  <c r="R193" i="22" s="1"/>
  <c r="C193" i="22"/>
  <c r="B193" i="22"/>
  <c r="A193" i="22"/>
  <c r="D192" i="22"/>
  <c r="Y192" i="22" s="1"/>
  <c r="C192" i="22"/>
  <c r="B192" i="22"/>
  <c r="A192" i="22"/>
  <c r="D191" i="22"/>
  <c r="B191" i="22"/>
  <c r="A191" i="22"/>
  <c r="D190" i="22"/>
  <c r="C190" i="22"/>
  <c r="B190" i="22"/>
  <c r="A190" i="22"/>
  <c r="D189" i="22"/>
  <c r="B189" i="22"/>
  <c r="A189" i="22"/>
  <c r="D188" i="22"/>
  <c r="R188" i="22" s="1"/>
  <c r="C188" i="22"/>
  <c r="B188" i="22"/>
  <c r="A188" i="22"/>
  <c r="D187" i="22"/>
  <c r="C187" i="22"/>
  <c r="B187" i="22"/>
  <c r="A187" i="22"/>
  <c r="D186" i="22"/>
  <c r="Y186" i="22" s="1"/>
  <c r="C186" i="22"/>
  <c r="B186" i="22"/>
  <c r="A186" i="22"/>
  <c r="D185" i="22"/>
  <c r="C185" i="22"/>
  <c r="B185" i="22"/>
  <c r="A185" i="22"/>
  <c r="D184" i="22"/>
  <c r="Y184" i="22" s="1"/>
  <c r="C184" i="22"/>
  <c r="B184" i="22"/>
  <c r="A184" i="22"/>
  <c r="D183" i="22"/>
  <c r="V183" i="22" s="1"/>
  <c r="C183" i="22"/>
  <c r="B183" i="22"/>
  <c r="A183" i="22"/>
  <c r="D182" i="22"/>
  <c r="R182" i="22" s="1"/>
  <c r="C182" i="22"/>
  <c r="B182" i="22"/>
  <c r="A182" i="22"/>
  <c r="D181" i="22"/>
  <c r="V181" i="22" s="1"/>
  <c r="C181" i="22"/>
  <c r="B181" i="22"/>
  <c r="A181" i="22"/>
  <c r="D180" i="22"/>
  <c r="C180" i="22"/>
  <c r="B180" i="22"/>
  <c r="A180" i="22"/>
  <c r="D179" i="22"/>
  <c r="V179" i="22" s="1"/>
  <c r="C179" i="22"/>
  <c r="B179" i="22"/>
  <c r="A179" i="22"/>
  <c r="D178" i="22"/>
  <c r="C178" i="22"/>
  <c r="B178" i="22"/>
  <c r="A178" i="22"/>
  <c r="D177" i="22"/>
  <c r="C177" i="22"/>
  <c r="B177" i="22"/>
  <c r="A177" i="22"/>
  <c r="D176" i="22"/>
  <c r="AD176" i="22" s="1"/>
  <c r="C176" i="22"/>
  <c r="B176" i="22"/>
  <c r="A176" i="22"/>
  <c r="D175" i="22"/>
  <c r="C175" i="22"/>
  <c r="B175" i="22"/>
  <c r="A175" i="22"/>
  <c r="D174" i="22"/>
  <c r="Y174" i="22" s="1"/>
  <c r="C174" i="22"/>
  <c r="B174" i="22"/>
  <c r="A174" i="22"/>
  <c r="D173" i="22"/>
  <c r="V173" i="22" s="1"/>
  <c r="C173" i="22"/>
  <c r="B173" i="22"/>
  <c r="A173" i="22"/>
  <c r="D172" i="22"/>
  <c r="AD172" i="22" s="1"/>
  <c r="C172" i="22"/>
  <c r="B172" i="22"/>
  <c r="A172" i="22"/>
  <c r="D171" i="22"/>
  <c r="AD171" i="22" s="1"/>
  <c r="C171" i="22"/>
  <c r="B171" i="22"/>
  <c r="A171" i="22"/>
  <c r="D170" i="22"/>
  <c r="C170" i="22"/>
  <c r="B170" i="22"/>
  <c r="A170" i="22"/>
  <c r="D169" i="22"/>
  <c r="C169" i="22"/>
  <c r="B169" i="22"/>
  <c r="A169" i="22"/>
  <c r="D168" i="22"/>
  <c r="C168" i="22"/>
  <c r="B168" i="22"/>
  <c r="A168" i="22"/>
  <c r="D167" i="22"/>
  <c r="C167" i="22"/>
  <c r="B167" i="22"/>
  <c r="A167" i="22"/>
  <c r="D166" i="22"/>
  <c r="Q166" i="22" s="1"/>
  <c r="S166" i="22" s="1"/>
  <c r="C166" i="22"/>
  <c r="B166" i="22"/>
  <c r="A166" i="22"/>
  <c r="R165" i="22"/>
  <c r="D165" i="22"/>
  <c r="E165" i="22" s="1"/>
  <c r="C165" i="22"/>
  <c r="B165" i="22"/>
  <c r="A165" i="22"/>
  <c r="D164" i="22"/>
  <c r="F164" i="22" s="1"/>
  <c r="C164" i="22"/>
  <c r="B164" i="22"/>
  <c r="A164" i="22"/>
  <c r="D163" i="22"/>
  <c r="Q163" i="22" s="1"/>
  <c r="S163" i="22" s="1"/>
  <c r="C163" i="22"/>
  <c r="B163" i="22"/>
  <c r="A163" i="22"/>
  <c r="D162" i="22"/>
  <c r="C162" i="22"/>
  <c r="B162" i="22"/>
  <c r="A162" i="22"/>
  <c r="D161" i="22"/>
  <c r="AD161" i="22" s="1"/>
  <c r="C161" i="22"/>
  <c r="B161" i="22"/>
  <c r="A161" i="22"/>
  <c r="D160" i="22"/>
  <c r="Y160" i="22" s="1"/>
  <c r="C160" i="22"/>
  <c r="B160" i="22"/>
  <c r="A160" i="22"/>
  <c r="D159" i="22"/>
  <c r="Q159" i="22" s="1"/>
  <c r="C159" i="22"/>
  <c r="B159" i="22"/>
  <c r="A159" i="22"/>
  <c r="D158" i="22"/>
  <c r="AD158" i="22" s="1"/>
  <c r="C158" i="22"/>
  <c r="B158" i="22"/>
  <c r="A158" i="22"/>
  <c r="D157" i="22"/>
  <c r="O157" i="22" s="1"/>
  <c r="C157" i="22"/>
  <c r="B157" i="22"/>
  <c r="A157" i="22"/>
  <c r="D156" i="22"/>
  <c r="AD156" i="22" s="1"/>
  <c r="C156" i="22"/>
  <c r="B156" i="22"/>
  <c r="A156" i="22"/>
  <c r="D155" i="22"/>
  <c r="C155" i="22"/>
  <c r="B155" i="22"/>
  <c r="A155" i="22"/>
  <c r="D154" i="22"/>
  <c r="C154" i="22"/>
  <c r="B154" i="22"/>
  <c r="A154" i="22"/>
  <c r="D153" i="22"/>
  <c r="C153" i="22"/>
  <c r="B153" i="22"/>
  <c r="A153" i="22"/>
  <c r="D152" i="22"/>
  <c r="C152" i="22"/>
  <c r="B152" i="22"/>
  <c r="A152" i="22"/>
  <c r="D151" i="22"/>
  <c r="AD151" i="22" s="1"/>
  <c r="C151" i="22"/>
  <c r="B151" i="22"/>
  <c r="A151" i="22"/>
  <c r="D150" i="22"/>
  <c r="V150" i="22" s="1"/>
  <c r="C150" i="22"/>
  <c r="B150" i="22"/>
  <c r="A150" i="22"/>
  <c r="D149" i="22"/>
  <c r="R149" i="22" s="1"/>
  <c r="C149" i="22"/>
  <c r="B149" i="22"/>
  <c r="A149" i="22"/>
  <c r="R148" i="22"/>
  <c r="D148" i="22"/>
  <c r="Q148" i="22" s="1"/>
  <c r="C148" i="22"/>
  <c r="B148" i="22"/>
  <c r="A148" i="22"/>
  <c r="D147" i="22"/>
  <c r="V147" i="22" s="1"/>
  <c r="C147" i="22"/>
  <c r="B147" i="22"/>
  <c r="A147" i="22"/>
  <c r="D146" i="22"/>
  <c r="O146" i="22" s="1"/>
  <c r="C146" i="22"/>
  <c r="B146" i="22"/>
  <c r="A146" i="22"/>
  <c r="D145" i="22"/>
  <c r="Q145" i="22" s="1"/>
  <c r="S145" i="22" s="1"/>
  <c r="C145" i="22"/>
  <c r="B145" i="22"/>
  <c r="A145" i="22"/>
  <c r="D144" i="22"/>
  <c r="Q144" i="22" s="1"/>
  <c r="C144" i="22"/>
  <c r="B144" i="22"/>
  <c r="A144" i="22"/>
  <c r="D143" i="22"/>
  <c r="C143" i="22"/>
  <c r="B143" i="22"/>
  <c r="A143" i="22"/>
  <c r="D142" i="22"/>
  <c r="F142" i="22" s="1"/>
  <c r="B142" i="22"/>
  <c r="A142" i="22"/>
  <c r="D141" i="22"/>
  <c r="AD141" i="22" s="1"/>
  <c r="C141" i="22"/>
  <c r="B141" i="22"/>
  <c r="A141" i="22"/>
  <c r="D140" i="22"/>
  <c r="C140" i="22"/>
  <c r="B140" i="22"/>
  <c r="A140" i="22"/>
  <c r="D139" i="22"/>
  <c r="Y139" i="22" s="1"/>
  <c r="C139" i="22"/>
  <c r="B139" i="22"/>
  <c r="A139" i="22"/>
  <c r="D138" i="22"/>
  <c r="F138" i="22" s="1"/>
  <c r="C138" i="22"/>
  <c r="B138" i="22"/>
  <c r="A138" i="22"/>
  <c r="D137" i="22"/>
  <c r="F137" i="22" s="1"/>
  <c r="C137" i="22"/>
  <c r="B137" i="22"/>
  <c r="A137" i="22"/>
  <c r="D136" i="22"/>
  <c r="V136" i="22" s="1"/>
  <c r="C136" i="22"/>
  <c r="B136" i="22"/>
  <c r="A136" i="22"/>
  <c r="D135" i="22"/>
  <c r="C135" i="22"/>
  <c r="B135" i="22"/>
  <c r="A135" i="22"/>
  <c r="R134" i="22"/>
  <c r="D134" i="22"/>
  <c r="AD134" i="22" s="1"/>
  <c r="C134" i="22"/>
  <c r="B134" i="22"/>
  <c r="A134" i="22"/>
  <c r="D133" i="22"/>
  <c r="AD133" i="22" s="1"/>
  <c r="C133" i="22"/>
  <c r="B133" i="22"/>
  <c r="A133" i="22"/>
  <c r="D132" i="22"/>
  <c r="C132" i="22"/>
  <c r="B132" i="22"/>
  <c r="A132" i="22"/>
  <c r="D131" i="22"/>
  <c r="Q131" i="22" s="1"/>
  <c r="C131" i="22"/>
  <c r="B131" i="22"/>
  <c r="A131" i="22"/>
  <c r="D130" i="22"/>
  <c r="F130" i="22" s="1"/>
  <c r="C130" i="22"/>
  <c r="B130" i="22"/>
  <c r="A130" i="22"/>
  <c r="D129" i="22"/>
  <c r="R129" i="22" s="1"/>
  <c r="C129" i="22"/>
  <c r="B129" i="22"/>
  <c r="A129" i="22"/>
  <c r="D128" i="22"/>
  <c r="AD128" i="22" s="1"/>
  <c r="C128" i="22"/>
  <c r="B128" i="22"/>
  <c r="A128" i="22"/>
  <c r="D127" i="22"/>
  <c r="Y127" i="22" s="1"/>
  <c r="C127" i="22"/>
  <c r="B127" i="22"/>
  <c r="A127" i="22"/>
  <c r="D126" i="22"/>
  <c r="Y126" i="22" s="1"/>
  <c r="C126" i="22"/>
  <c r="B126" i="22"/>
  <c r="A126" i="22"/>
  <c r="D125" i="22"/>
  <c r="E125" i="22" s="1"/>
  <c r="C125" i="22"/>
  <c r="B125" i="22"/>
  <c r="A125" i="22"/>
  <c r="D124" i="22"/>
  <c r="Q124" i="22" s="1"/>
  <c r="S124" i="22" s="1"/>
  <c r="C124" i="22"/>
  <c r="B124" i="22"/>
  <c r="A124" i="22"/>
  <c r="D123" i="22"/>
  <c r="C123" i="22"/>
  <c r="B123" i="22"/>
  <c r="A123" i="22"/>
  <c r="D122" i="22"/>
  <c r="C122" i="22"/>
  <c r="B122" i="22"/>
  <c r="A122" i="22"/>
  <c r="D121" i="22"/>
  <c r="AD121" i="22" s="1"/>
  <c r="C121" i="22"/>
  <c r="B121" i="22"/>
  <c r="A121" i="22"/>
  <c r="D120" i="22"/>
  <c r="F120" i="22" s="1"/>
  <c r="C120" i="22"/>
  <c r="B120" i="22"/>
  <c r="A120" i="22"/>
  <c r="D119" i="22"/>
  <c r="V119" i="22" s="1"/>
  <c r="C119" i="22"/>
  <c r="B119" i="22"/>
  <c r="A119" i="22"/>
  <c r="D118" i="22"/>
  <c r="R118" i="22" s="1"/>
  <c r="C118" i="22"/>
  <c r="B118" i="22"/>
  <c r="A118" i="22"/>
  <c r="D117" i="22"/>
  <c r="F117" i="22" s="1"/>
  <c r="C117" i="22"/>
  <c r="B117" i="22"/>
  <c r="A117" i="22"/>
  <c r="D116" i="22"/>
  <c r="Y116" i="22" s="1"/>
  <c r="C116" i="22"/>
  <c r="B116" i="22"/>
  <c r="A116" i="22"/>
  <c r="D115" i="22"/>
  <c r="Y115" i="22" s="1"/>
  <c r="C115" i="22"/>
  <c r="B115" i="22"/>
  <c r="A115" i="22"/>
  <c r="D114" i="22"/>
  <c r="C114" i="22"/>
  <c r="B114" i="22"/>
  <c r="A114" i="22"/>
  <c r="D113" i="22"/>
  <c r="Q113" i="22" s="1"/>
  <c r="C113" i="22"/>
  <c r="B113" i="22"/>
  <c r="A113" i="22"/>
  <c r="D112" i="22"/>
  <c r="AD112" i="22" s="1"/>
  <c r="C112" i="22"/>
  <c r="B112" i="22"/>
  <c r="A112" i="22"/>
  <c r="D111" i="22"/>
  <c r="AD111" i="22" s="1"/>
  <c r="C111" i="22"/>
  <c r="B111" i="22"/>
  <c r="A111" i="22"/>
  <c r="D110" i="22"/>
  <c r="R110" i="22" s="1"/>
  <c r="C110" i="22"/>
  <c r="B110" i="22"/>
  <c r="A110" i="22"/>
  <c r="D109" i="22"/>
  <c r="C109" i="22"/>
  <c r="B109" i="22"/>
  <c r="A109" i="22"/>
  <c r="D108" i="22"/>
  <c r="C108" i="22"/>
  <c r="B108" i="22"/>
  <c r="A108" i="22"/>
  <c r="D107" i="22"/>
  <c r="C107" i="22"/>
  <c r="B107" i="22"/>
  <c r="A107" i="22"/>
  <c r="D106" i="22"/>
  <c r="C106" i="22"/>
  <c r="B106" i="22"/>
  <c r="A106" i="22"/>
  <c r="D105" i="22"/>
  <c r="R105" i="22" s="1"/>
  <c r="C105" i="22"/>
  <c r="B105" i="22"/>
  <c r="A105" i="22"/>
  <c r="D104" i="22"/>
  <c r="C104" i="22"/>
  <c r="B104" i="22"/>
  <c r="A104" i="22"/>
  <c r="D103" i="22"/>
  <c r="Q103" i="22" s="1"/>
  <c r="C103" i="22"/>
  <c r="B103" i="22"/>
  <c r="A103" i="22"/>
  <c r="D102" i="22"/>
  <c r="Y102" i="22" s="1"/>
  <c r="C102" i="22"/>
  <c r="B102" i="22"/>
  <c r="A102" i="22"/>
  <c r="D101" i="22"/>
  <c r="F101" i="22" s="1"/>
  <c r="C101" i="22"/>
  <c r="B101" i="22"/>
  <c r="A101" i="22"/>
  <c r="D100" i="22"/>
  <c r="C100" i="22"/>
  <c r="B100" i="22"/>
  <c r="A100" i="22"/>
  <c r="D99" i="22"/>
  <c r="R99" i="22" s="1"/>
  <c r="C99" i="22"/>
  <c r="B99" i="22"/>
  <c r="A99" i="22"/>
  <c r="D98" i="22"/>
  <c r="C98" i="22"/>
  <c r="B98" i="22"/>
  <c r="A98" i="22"/>
  <c r="D97" i="22"/>
  <c r="C97" i="22"/>
  <c r="B97" i="22"/>
  <c r="A97" i="22"/>
  <c r="D96" i="22"/>
  <c r="AD96" i="22" s="1"/>
  <c r="C96" i="22"/>
  <c r="B96" i="22"/>
  <c r="A96" i="22"/>
  <c r="D95" i="22"/>
  <c r="E95" i="22" s="1"/>
  <c r="C95" i="22"/>
  <c r="B95" i="22"/>
  <c r="A95" i="22"/>
  <c r="D94" i="22"/>
  <c r="Y94" i="22" s="1"/>
  <c r="C94" i="22"/>
  <c r="B94" i="22"/>
  <c r="A94" i="22"/>
  <c r="D93" i="22"/>
  <c r="AD93" i="22" s="1"/>
  <c r="C93" i="22"/>
  <c r="B93" i="22"/>
  <c r="A93" i="22"/>
  <c r="D92" i="22"/>
  <c r="R92" i="22" s="1"/>
  <c r="C92" i="22"/>
  <c r="B92" i="22"/>
  <c r="A92" i="22"/>
  <c r="D91" i="22"/>
  <c r="AD91" i="22" s="1"/>
  <c r="C91" i="22"/>
  <c r="B91" i="22"/>
  <c r="A91" i="22"/>
  <c r="D90" i="22"/>
  <c r="R90" i="22" s="1"/>
  <c r="C90" i="22"/>
  <c r="B90" i="22"/>
  <c r="A90" i="22"/>
  <c r="D89" i="22"/>
  <c r="V89" i="22" s="1"/>
  <c r="C89" i="22"/>
  <c r="B89" i="22"/>
  <c r="A89" i="22"/>
  <c r="D88" i="22"/>
  <c r="C88" i="22"/>
  <c r="B88" i="22"/>
  <c r="A88" i="22"/>
  <c r="D87" i="22"/>
  <c r="V87" i="22" s="1"/>
  <c r="C87" i="22"/>
  <c r="B87" i="22"/>
  <c r="A87" i="22"/>
  <c r="D86" i="22"/>
  <c r="R86" i="22" s="1"/>
  <c r="C86" i="22"/>
  <c r="B86" i="22"/>
  <c r="A86" i="22"/>
  <c r="D85" i="22"/>
  <c r="C85" i="22"/>
  <c r="B85" i="22"/>
  <c r="A85" i="22"/>
  <c r="D84" i="22"/>
  <c r="Q84" i="22" s="1"/>
  <c r="C84" i="22"/>
  <c r="B84" i="22"/>
  <c r="A84" i="22"/>
  <c r="D83" i="22"/>
  <c r="C83" i="22"/>
  <c r="B83" i="22"/>
  <c r="A83" i="22"/>
  <c r="D82" i="22"/>
  <c r="Q82" i="22" s="1"/>
  <c r="C82" i="22"/>
  <c r="B82" i="22"/>
  <c r="A82" i="22"/>
  <c r="D81" i="22"/>
  <c r="R81" i="22" s="1"/>
  <c r="C81" i="22"/>
  <c r="B81" i="22"/>
  <c r="A81" i="22"/>
  <c r="D80" i="22"/>
  <c r="Y80" i="22" s="1"/>
  <c r="C80" i="22"/>
  <c r="B80" i="22"/>
  <c r="A80" i="22"/>
  <c r="D79" i="22"/>
  <c r="AD79" i="22" s="1"/>
  <c r="C79" i="22"/>
  <c r="B79" i="22"/>
  <c r="A79" i="22"/>
  <c r="D78" i="22"/>
  <c r="C78" i="22"/>
  <c r="B78" i="22"/>
  <c r="A78" i="22"/>
  <c r="D77" i="22"/>
  <c r="Y77" i="22" s="1"/>
  <c r="C77" i="22"/>
  <c r="B77" i="22"/>
  <c r="A77" i="22"/>
  <c r="D76" i="22"/>
  <c r="Q76" i="22" s="1"/>
  <c r="C76" i="22"/>
  <c r="B76" i="22"/>
  <c r="A76" i="22"/>
  <c r="D75" i="22"/>
  <c r="R75" i="22" s="1"/>
  <c r="C75" i="22"/>
  <c r="B75" i="22"/>
  <c r="A75" i="22"/>
  <c r="D74" i="22"/>
  <c r="C74" i="22"/>
  <c r="B74" i="22"/>
  <c r="A74" i="22"/>
  <c r="D73" i="22"/>
  <c r="C73" i="22"/>
  <c r="B73" i="22"/>
  <c r="A73" i="22"/>
  <c r="D72" i="22"/>
  <c r="C72" i="22"/>
  <c r="B72" i="22"/>
  <c r="A72" i="22"/>
  <c r="D71" i="22"/>
  <c r="Q71" i="22" s="1"/>
  <c r="C71" i="22"/>
  <c r="B71" i="22"/>
  <c r="A71" i="22"/>
  <c r="D70" i="22"/>
  <c r="Y70" i="22" s="1"/>
  <c r="C70" i="22"/>
  <c r="B70" i="22"/>
  <c r="A70" i="22"/>
  <c r="D69" i="22"/>
  <c r="Q69" i="22" s="1"/>
  <c r="C69" i="22"/>
  <c r="B69" i="22"/>
  <c r="A69" i="22"/>
  <c r="D68" i="22"/>
  <c r="E68" i="22" s="1"/>
  <c r="C68" i="22"/>
  <c r="B68" i="22"/>
  <c r="A68" i="22"/>
  <c r="D67" i="22"/>
  <c r="Y67" i="22" s="1"/>
  <c r="C67" i="22"/>
  <c r="B67" i="22"/>
  <c r="A67" i="22"/>
  <c r="D66" i="22"/>
  <c r="Y66" i="22" s="1"/>
  <c r="C66" i="22"/>
  <c r="B66" i="22"/>
  <c r="A66" i="22"/>
  <c r="D65" i="22"/>
  <c r="C65" i="22"/>
  <c r="B65" i="22"/>
  <c r="A65" i="22"/>
  <c r="AD64" i="22"/>
  <c r="Y64" i="22"/>
  <c r="D64" i="22"/>
  <c r="O64" i="22" s="1"/>
  <c r="C64" i="22"/>
  <c r="B64" i="22"/>
  <c r="A64" i="22"/>
  <c r="D63" i="22"/>
  <c r="R63" i="22" s="1"/>
  <c r="C63" i="22"/>
  <c r="B63" i="22"/>
  <c r="A63" i="22"/>
  <c r="D62" i="22"/>
  <c r="Y62" i="22" s="1"/>
  <c r="C62" i="22"/>
  <c r="B62" i="22"/>
  <c r="A62" i="22"/>
  <c r="D61" i="22"/>
  <c r="F61" i="22" s="1"/>
  <c r="C61" i="22"/>
  <c r="B61" i="22"/>
  <c r="A61" i="22"/>
  <c r="D60" i="22"/>
  <c r="C60" i="22"/>
  <c r="B60" i="22"/>
  <c r="A60" i="22"/>
  <c r="D59" i="22"/>
  <c r="R59" i="22" s="1"/>
  <c r="C59" i="22"/>
  <c r="B59" i="22"/>
  <c r="A59" i="22"/>
  <c r="D58" i="22"/>
  <c r="C58" i="22"/>
  <c r="B58" i="22"/>
  <c r="A58" i="22"/>
  <c r="Y57" i="22"/>
  <c r="V57" i="22"/>
  <c r="Q57" i="22"/>
  <c r="S57" i="22" s="1"/>
  <c r="D57" i="22"/>
  <c r="R57" i="22" s="1"/>
  <c r="C57" i="22"/>
  <c r="B57" i="22"/>
  <c r="A57" i="22"/>
  <c r="D56" i="22"/>
  <c r="C56" i="22"/>
  <c r="B56" i="22"/>
  <c r="A56" i="22"/>
  <c r="D55" i="22"/>
  <c r="AD55" i="22" s="1"/>
  <c r="C55" i="22"/>
  <c r="B55" i="22"/>
  <c r="A55" i="22"/>
  <c r="D54" i="22"/>
  <c r="C54" i="22"/>
  <c r="B54" i="22"/>
  <c r="A54" i="22"/>
  <c r="D53" i="22"/>
  <c r="E53" i="22" s="1"/>
  <c r="C53" i="22"/>
  <c r="B53" i="22"/>
  <c r="A53" i="22"/>
  <c r="D52" i="22"/>
  <c r="C52" i="22"/>
  <c r="B52" i="22"/>
  <c r="A52" i="22"/>
  <c r="D51" i="22"/>
  <c r="AD51" i="22" s="1"/>
  <c r="C51" i="22"/>
  <c r="B51" i="22"/>
  <c r="A51" i="22"/>
  <c r="D50" i="22"/>
  <c r="C50" i="22"/>
  <c r="B50" i="22"/>
  <c r="A50" i="22"/>
  <c r="D49" i="22"/>
  <c r="R49" i="22" s="1"/>
  <c r="C49" i="22"/>
  <c r="B49" i="22"/>
  <c r="A49" i="22"/>
  <c r="D48" i="22"/>
  <c r="O48" i="22" s="1"/>
  <c r="C48" i="22"/>
  <c r="B48" i="22"/>
  <c r="A48" i="22"/>
  <c r="D47" i="22"/>
  <c r="C47" i="22"/>
  <c r="B47" i="22"/>
  <c r="A47" i="22"/>
  <c r="D46" i="22"/>
  <c r="AD46" i="22" s="1"/>
  <c r="C46" i="22"/>
  <c r="B46" i="22"/>
  <c r="A46" i="22"/>
  <c r="D45" i="22"/>
  <c r="C45" i="22"/>
  <c r="B45" i="22"/>
  <c r="A45" i="22"/>
  <c r="D44" i="22"/>
  <c r="C44" i="22"/>
  <c r="B44" i="22"/>
  <c r="A44" i="22"/>
  <c r="D43" i="22"/>
  <c r="AD43" i="22" s="1"/>
  <c r="C43" i="22"/>
  <c r="B43" i="22"/>
  <c r="A43" i="22"/>
  <c r="D42" i="22"/>
  <c r="AD42" i="22" s="1"/>
  <c r="C42" i="22"/>
  <c r="B42" i="22"/>
  <c r="A42" i="22"/>
  <c r="D41" i="22"/>
  <c r="Y41" i="22" s="1"/>
  <c r="C41" i="22"/>
  <c r="B41" i="22"/>
  <c r="A41" i="22"/>
  <c r="D40" i="22"/>
  <c r="R40" i="22" s="1"/>
  <c r="C40" i="22"/>
  <c r="B40" i="22"/>
  <c r="A40" i="22"/>
  <c r="Q39" i="22"/>
  <c r="S39" i="22" s="1"/>
  <c r="D39" i="22"/>
  <c r="Y39" i="22" s="1"/>
  <c r="C39" i="22"/>
  <c r="B39" i="22"/>
  <c r="A39" i="22"/>
  <c r="D38" i="22"/>
  <c r="Y38" i="22" s="1"/>
  <c r="C38" i="22"/>
  <c r="B38" i="22"/>
  <c r="A38" i="22"/>
  <c r="D37" i="22"/>
  <c r="C37" i="22"/>
  <c r="B37" i="22"/>
  <c r="A37" i="22"/>
  <c r="D36" i="22"/>
  <c r="Y36" i="22" s="1"/>
  <c r="C36" i="22"/>
  <c r="B36" i="22"/>
  <c r="A36" i="22"/>
  <c r="D35" i="22"/>
  <c r="AD35" i="22" s="1"/>
  <c r="C35" i="22"/>
  <c r="B35" i="22"/>
  <c r="A35" i="22"/>
  <c r="R34" i="22"/>
  <c r="Q34" i="22"/>
  <c r="D34" i="22"/>
  <c r="C34" i="22"/>
  <c r="B34" i="22"/>
  <c r="A34" i="22"/>
  <c r="D33" i="22"/>
  <c r="Y33" i="22" s="1"/>
  <c r="C33" i="22"/>
  <c r="B33" i="22"/>
  <c r="A33" i="22"/>
  <c r="D32" i="22"/>
  <c r="AD32" i="22" s="1"/>
  <c r="C32" i="22"/>
  <c r="B32" i="22"/>
  <c r="A32" i="22"/>
  <c r="D31" i="22"/>
  <c r="C31" i="22"/>
  <c r="B31" i="22"/>
  <c r="A31" i="22"/>
  <c r="D30" i="22"/>
  <c r="E30" i="22" s="1"/>
  <c r="C30" i="22"/>
  <c r="B30" i="22"/>
  <c r="A30" i="22"/>
  <c r="D29" i="22"/>
  <c r="Y29" i="22" s="1"/>
  <c r="C29" i="22"/>
  <c r="B29" i="22"/>
  <c r="A29" i="22"/>
  <c r="D28" i="22"/>
  <c r="C28" i="22"/>
  <c r="B28" i="22"/>
  <c r="A28" i="22"/>
  <c r="D27" i="22"/>
  <c r="C27" i="22"/>
  <c r="B27" i="22"/>
  <c r="A27" i="22"/>
  <c r="D26" i="22"/>
  <c r="Q26" i="22" s="1"/>
  <c r="S26" i="22" s="1"/>
  <c r="C26" i="22"/>
  <c r="B26" i="22"/>
  <c r="A26" i="22"/>
  <c r="D25" i="22"/>
  <c r="AD25" i="22" s="1"/>
  <c r="C25" i="22"/>
  <c r="B25" i="22"/>
  <c r="A25" i="22"/>
  <c r="D24" i="22"/>
  <c r="C24" i="22"/>
  <c r="B24" i="22"/>
  <c r="A24" i="22"/>
  <c r="D23" i="22"/>
  <c r="C23" i="22"/>
  <c r="B23" i="22"/>
  <c r="A23" i="22"/>
  <c r="D22" i="22"/>
  <c r="AD22" i="22" s="1"/>
  <c r="C22" i="22"/>
  <c r="B22" i="22"/>
  <c r="A22" i="22"/>
  <c r="D21" i="22"/>
  <c r="Y21" i="22" s="1"/>
  <c r="C21" i="22"/>
  <c r="B21" i="22"/>
  <c r="A21" i="22"/>
  <c r="D20" i="22"/>
  <c r="Q20" i="22" s="1"/>
  <c r="C20" i="22"/>
  <c r="B20" i="22"/>
  <c r="A20" i="22"/>
  <c r="D19" i="22"/>
  <c r="Q19" i="22" s="1"/>
  <c r="S19" i="22" s="1"/>
  <c r="C19" i="22"/>
  <c r="B19" i="22"/>
  <c r="A19" i="22"/>
  <c r="D18" i="22"/>
  <c r="Y18" i="22" s="1"/>
  <c r="C18" i="22"/>
  <c r="B18" i="22"/>
  <c r="A18" i="22"/>
  <c r="D17" i="22"/>
  <c r="C17" i="22"/>
  <c r="B17" i="22"/>
  <c r="A17" i="22"/>
  <c r="D16" i="22"/>
  <c r="Y16" i="22" s="1"/>
  <c r="C16" i="22"/>
  <c r="B16" i="22"/>
  <c r="A16" i="22"/>
  <c r="Q15" i="22"/>
  <c r="S15" i="22" s="1"/>
  <c r="D15" i="22"/>
  <c r="C15" i="22"/>
  <c r="B15" i="22"/>
  <c r="A15" i="22"/>
  <c r="D14" i="22"/>
  <c r="R14" i="22" s="1"/>
  <c r="C14" i="22"/>
  <c r="B14" i="22"/>
  <c r="A14" i="22"/>
  <c r="D13" i="22"/>
  <c r="C13" i="22"/>
  <c r="B13" i="22"/>
  <c r="A13" i="22"/>
  <c r="D12" i="22"/>
  <c r="Y12" i="22" s="1"/>
  <c r="C12" i="22"/>
  <c r="B12" i="22"/>
  <c r="A12" i="22"/>
  <c r="D11" i="22"/>
  <c r="AD11" i="22" s="1"/>
  <c r="C11" i="22"/>
  <c r="B11" i="22"/>
  <c r="A11" i="22"/>
  <c r="D10" i="22"/>
  <c r="R10" i="22" s="1"/>
  <c r="C10" i="22"/>
  <c r="B10" i="22"/>
  <c r="A10" i="22"/>
  <c r="D9" i="22"/>
  <c r="V9" i="22" s="1"/>
  <c r="C9" i="22"/>
  <c r="B9" i="22"/>
  <c r="A9" i="22"/>
  <c r="D8" i="22"/>
  <c r="AD8" i="22" s="1"/>
  <c r="C8" i="22"/>
  <c r="B8" i="22"/>
  <c r="A8" i="22"/>
  <c r="D7" i="22"/>
  <c r="Y7" i="22" s="1"/>
  <c r="C7" i="22"/>
  <c r="B7" i="22"/>
  <c r="A7" i="22"/>
  <c r="D6" i="22"/>
  <c r="C6" i="22"/>
  <c r="B6" i="22"/>
  <c r="A6" i="22"/>
  <c r="AI461" i="16" a="1"/>
  <c r="AI461" i="16" s="1"/>
  <c r="AE461" i="16"/>
  <c r="W461" i="16"/>
  <c r="S461" i="16"/>
  <c r="Q461" i="16" a="1"/>
  <c r="Q461" i="16" s="1"/>
  <c r="P461" i="16" a="1"/>
  <c r="P461" i="16" s="1"/>
  <c r="R461" i="16" s="1"/>
  <c r="A461" i="16"/>
  <c r="AI460" i="16" a="1"/>
  <c r="AI460" i="16" s="1"/>
  <c r="AE460" i="16"/>
  <c r="W460" i="16"/>
  <c r="S460" i="16"/>
  <c r="Q460" i="16" a="1"/>
  <c r="Q460" i="16" s="1"/>
  <c r="P460" i="16" a="1"/>
  <c r="P460" i="16" s="1"/>
  <c r="R460" i="16" s="1"/>
  <c r="A460" i="16"/>
  <c r="AI459" i="16" a="1"/>
  <c r="AI459" i="16" s="1"/>
  <c r="AE459" i="16"/>
  <c r="W459" i="16"/>
  <c r="S459" i="16"/>
  <c r="Q459" i="16" a="1"/>
  <c r="Q459" i="16" s="1"/>
  <c r="P459" i="16" a="1"/>
  <c r="P459" i="16" s="1"/>
  <c r="R459" i="16" s="1"/>
  <c r="A459" i="16"/>
  <c r="AI458" i="16" a="1"/>
  <c r="AI458" i="16" s="1"/>
  <c r="AE458" i="16"/>
  <c r="W458" i="16"/>
  <c r="S458" i="16"/>
  <c r="Q458" i="16" a="1"/>
  <c r="Q458" i="16" s="1"/>
  <c r="P458" i="16" a="1"/>
  <c r="P458" i="16" s="1"/>
  <c r="R458" i="16" s="1"/>
  <c r="A458" i="16"/>
  <c r="AI457" i="16" a="1"/>
  <c r="AI457" i="16" s="1"/>
  <c r="AE457" i="16"/>
  <c r="W457" i="16"/>
  <c r="S457" i="16"/>
  <c r="Q457" i="16" a="1"/>
  <c r="Q457" i="16" s="1"/>
  <c r="P457" i="16" a="1"/>
  <c r="P457" i="16" s="1"/>
  <c r="R457" i="16" s="1"/>
  <c r="A457" i="16"/>
  <c r="AI456" i="16" a="1"/>
  <c r="AI456" i="16" s="1"/>
  <c r="AE456" i="16"/>
  <c r="W456" i="16"/>
  <c r="S456" i="16"/>
  <c r="Q456" i="16" a="1"/>
  <c r="Q456" i="16" s="1"/>
  <c r="P456" i="16" a="1"/>
  <c r="P456" i="16" s="1"/>
  <c r="R456" i="16" s="1"/>
  <c r="A456" i="16"/>
  <c r="AI455" i="16" a="1"/>
  <c r="AI455" i="16" s="1"/>
  <c r="AE455" i="16"/>
  <c r="W455" i="16"/>
  <c r="S455" i="16"/>
  <c r="Q455" i="16" a="1"/>
  <c r="Q455" i="16" s="1"/>
  <c r="P455" i="16" a="1"/>
  <c r="P455" i="16" s="1"/>
  <c r="R455" i="16" s="1"/>
  <c r="A455" i="16"/>
  <c r="AI454" i="16" a="1"/>
  <c r="AI454" i="16" s="1"/>
  <c r="AE454" i="16"/>
  <c r="W454" i="16"/>
  <c r="S454" i="16"/>
  <c r="Q454" i="16" a="1"/>
  <c r="Q454" i="16" s="1"/>
  <c r="P454" i="16" a="1"/>
  <c r="P454" i="16" s="1"/>
  <c r="R454" i="16" s="1"/>
  <c r="A454" i="16"/>
  <c r="AI453" i="16" a="1"/>
  <c r="AI453" i="16" s="1"/>
  <c r="AE453" i="16"/>
  <c r="W453" i="16"/>
  <c r="S453" i="16"/>
  <c r="Q453" i="16" a="1"/>
  <c r="Q453" i="16" s="1"/>
  <c r="P453" i="16" a="1"/>
  <c r="P453" i="16" s="1"/>
  <c r="R453" i="16" s="1"/>
  <c r="A453" i="16"/>
  <c r="AI452" i="16" a="1"/>
  <c r="AI452" i="16" s="1"/>
  <c r="AE452" i="16"/>
  <c r="W452" i="16"/>
  <c r="S452" i="16"/>
  <c r="Q452" i="16" a="1"/>
  <c r="Q452" i="16" s="1"/>
  <c r="P452" i="16" a="1"/>
  <c r="P452" i="16" s="1"/>
  <c r="R452" i="16" s="1"/>
  <c r="A452" i="16"/>
  <c r="AI451" i="16" a="1"/>
  <c r="AI451" i="16" s="1"/>
  <c r="AE451" i="16"/>
  <c r="W451" i="16"/>
  <c r="S451" i="16"/>
  <c r="Q451" i="16" a="1"/>
  <c r="Q451" i="16" s="1"/>
  <c r="P451" i="16" a="1"/>
  <c r="P451" i="16" s="1"/>
  <c r="R451" i="16" s="1"/>
  <c r="A451" i="16"/>
  <c r="AI450" i="16" a="1"/>
  <c r="AI450" i="16" s="1"/>
  <c r="AE450" i="16"/>
  <c r="W450" i="16"/>
  <c r="S450" i="16"/>
  <c r="Q450" i="16" a="1"/>
  <c r="Q450" i="16" s="1"/>
  <c r="P450" i="16" a="1"/>
  <c r="P450" i="16" s="1"/>
  <c r="R450" i="16" s="1"/>
  <c r="A450" i="16"/>
  <c r="AI449" i="16" a="1"/>
  <c r="AI449" i="16" s="1"/>
  <c r="AE449" i="16"/>
  <c r="W449" i="16"/>
  <c r="S449" i="16"/>
  <c r="Q449" i="16" a="1"/>
  <c r="Q449" i="16" s="1"/>
  <c r="P449" i="16" a="1"/>
  <c r="P449" i="16" s="1"/>
  <c r="R449" i="16" s="1"/>
  <c r="A449" i="16"/>
  <c r="AI448" i="16" a="1"/>
  <c r="AI448" i="16" s="1"/>
  <c r="AE448" i="16"/>
  <c r="W448" i="16"/>
  <c r="S448" i="16"/>
  <c r="Q448" i="16" a="1"/>
  <c r="Q448" i="16" s="1"/>
  <c r="P448" i="16" a="1"/>
  <c r="P448" i="16" s="1"/>
  <c r="R448" i="16" s="1"/>
  <c r="A448" i="16"/>
  <c r="AI447" i="16" a="1"/>
  <c r="AI447" i="16" s="1"/>
  <c r="AE447" i="16"/>
  <c r="W447" i="16"/>
  <c r="S447" i="16"/>
  <c r="Q447" i="16" a="1"/>
  <c r="Q447" i="16" s="1"/>
  <c r="P447" i="16" a="1"/>
  <c r="P447" i="16" s="1"/>
  <c r="R447" i="16" s="1"/>
  <c r="A447" i="16"/>
  <c r="AI446" i="16" a="1"/>
  <c r="AI446" i="16" s="1"/>
  <c r="AE446" i="16"/>
  <c r="W446" i="16"/>
  <c r="S446" i="16"/>
  <c r="Q446" i="16" a="1"/>
  <c r="Q446" i="16" s="1"/>
  <c r="P446" i="16" a="1"/>
  <c r="P446" i="16" s="1"/>
  <c r="R446" i="16" s="1"/>
  <c r="A446" i="16"/>
  <c r="AI445" i="16" a="1"/>
  <c r="AI445" i="16" s="1"/>
  <c r="AE445" i="16"/>
  <c r="W445" i="16"/>
  <c r="S445" i="16"/>
  <c r="Q445" i="16" a="1"/>
  <c r="Q445" i="16" s="1"/>
  <c r="P445" i="16" a="1"/>
  <c r="P445" i="16" s="1"/>
  <c r="R445" i="16" s="1"/>
  <c r="A445" i="16"/>
  <c r="AE444" i="16"/>
  <c r="AI444" i="16" s="1" a="1"/>
  <c r="AI444" i="16" s="1"/>
  <c r="W444" i="16"/>
  <c r="S444" i="16"/>
  <c r="Q444" i="16" a="1"/>
  <c r="Q444" i="16" s="1"/>
  <c r="P444" i="16" a="1"/>
  <c r="P444" i="16" s="1"/>
  <c r="R444" i="16" s="1"/>
  <c r="A444" i="16"/>
  <c r="AI443" i="16" a="1"/>
  <c r="AI443" i="16" s="1"/>
  <c r="AE443" i="16"/>
  <c r="W443" i="16"/>
  <c r="S443" i="16"/>
  <c r="Q443" i="16" a="1"/>
  <c r="Q443" i="16" s="1"/>
  <c r="P443" i="16" a="1"/>
  <c r="P443" i="16" s="1"/>
  <c r="R443" i="16" s="1"/>
  <c r="A443" i="16"/>
  <c r="AI442" i="16" a="1"/>
  <c r="AI442" i="16" s="1"/>
  <c r="AE442" i="16"/>
  <c r="W442" i="16"/>
  <c r="S442" i="16"/>
  <c r="Q442" i="16" a="1"/>
  <c r="Q442" i="16" s="1"/>
  <c r="P442" i="16" a="1"/>
  <c r="P442" i="16" s="1"/>
  <c r="R442" i="16" s="1"/>
  <c r="A442" i="16"/>
  <c r="AE441" i="16"/>
  <c r="AI441" i="16" s="1" a="1"/>
  <c r="AI441" i="16" s="1"/>
  <c r="W441" i="16"/>
  <c r="S441" i="16"/>
  <c r="Q441" i="16" a="1"/>
  <c r="Q441" i="16" s="1"/>
  <c r="P441" i="16" a="1"/>
  <c r="P441" i="16" s="1"/>
  <c r="R441" i="16" s="1"/>
  <c r="A441" i="16"/>
  <c r="AI440" i="16" a="1"/>
  <c r="AI440" i="16" s="1"/>
  <c r="AE440" i="16"/>
  <c r="W440" i="16"/>
  <c r="S440" i="16"/>
  <c r="Q440" i="16" a="1"/>
  <c r="Q440" i="16" s="1"/>
  <c r="P440" i="16" a="1"/>
  <c r="P440" i="16" s="1"/>
  <c r="R440" i="16" s="1"/>
  <c r="A440" i="16"/>
  <c r="AI439" i="16" a="1"/>
  <c r="AI439" i="16" s="1"/>
  <c r="AE439" i="16"/>
  <c r="W439" i="16"/>
  <c r="S439" i="16"/>
  <c r="Q439" i="16" a="1"/>
  <c r="Q439" i="16" s="1"/>
  <c r="P439" i="16" a="1"/>
  <c r="P439" i="16" s="1"/>
  <c r="R439" i="16" s="1"/>
  <c r="A439" i="16"/>
  <c r="AI438" i="16" a="1"/>
  <c r="AI438" i="16" s="1"/>
  <c r="AE438" i="16"/>
  <c r="W438" i="16"/>
  <c r="S438" i="16"/>
  <c r="Q438" i="16" a="1"/>
  <c r="Q438" i="16" s="1"/>
  <c r="P438" i="16" a="1"/>
  <c r="P438" i="16" s="1"/>
  <c r="R438" i="16" s="1"/>
  <c r="A438" i="16"/>
  <c r="AE437" i="16"/>
  <c r="AI437" i="16" s="1" a="1"/>
  <c r="AI437" i="16" s="1"/>
  <c r="W437" i="16"/>
  <c r="S437" i="16"/>
  <c r="Q437" i="16" a="1"/>
  <c r="Q437" i="16" s="1"/>
  <c r="P437" i="16" a="1"/>
  <c r="P437" i="16" s="1"/>
  <c r="R437" i="16" s="1"/>
  <c r="A437" i="16"/>
  <c r="AI436" i="16" a="1"/>
  <c r="AI436" i="16" s="1"/>
  <c r="AE436" i="16"/>
  <c r="W436" i="16"/>
  <c r="S436" i="16"/>
  <c r="Q436" i="16" a="1"/>
  <c r="Q436" i="16" s="1"/>
  <c r="P436" i="16" a="1"/>
  <c r="P436" i="16" s="1"/>
  <c r="R436" i="16" s="1"/>
  <c r="A436" i="16"/>
  <c r="AE435" i="16"/>
  <c r="AI435" i="16" s="1" a="1"/>
  <c r="AI435" i="16" s="1"/>
  <c r="W435" i="16"/>
  <c r="S435" i="16"/>
  <c r="Q435" i="16" a="1"/>
  <c r="Q435" i="16" s="1"/>
  <c r="P435" i="16" a="1"/>
  <c r="P435" i="16" s="1"/>
  <c r="R435" i="16" s="1"/>
  <c r="A435" i="16"/>
  <c r="AE434" i="16"/>
  <c r="AI434" i="16" s="1" a="1"/>
  <c r="AI434" i="16" s="1"/>
  <c r="W434" i="16"/>
  <c r="S434" i="16"/>
  <c r="Q434" i="16" a="1"/>
  <c r="Q434" i="16" s="1"/>
  <c r="P434" i="16" a="1"/>
  <c r="P434" i="16" s="1"/>
  <c r="R434" i="16" s="1"/>
  <c r="A434" i="16"/>
  <c r="AI433" i="16" a="1"/>
  <c r="AI433" i="16" s="1"/>
  <c r="AE433" i="16"/>
  <c r="W433" i="16"/>
  <c r="S433" i="16"/>
  <c r="Q433" i="16" a="1"/>
  <c r="Q433" i="16" s="1"/>
  <c r="P433" i="16" a="1"/>
  <c r="P433" i="16" s="1"/>
  <c r="R433" i="16" s="1"/>
  <c r="A433" i="16"/>
  <c r="AI432" i="16" a="1"/>
  <c r="AI432" i="16" s="1"/>
  <c r="AE432" i="16"/>
  <c r="W432" i="16"/>
  <c r="S432" i="16"/>
  <c r="Q432" i="16" a="1"/>
  <c r="Q432" i="16" s="1"/>
  <c r="P432" i="16" a="1"/>
  <c r="P432" i="16" s="1"/>
  <c r="R432" i="16" s="1"/>
  <c r="A432" i="16"/>
  <c r="AI431" i="16" a="1"/>
  <c r="AI431" i="16" s="1"/>
  <c r="AE431" i="16"/>
  <c r="W431" i="16"/>
  <c r="S431" i="16"/>
  <c r="Q431" i="16" a="1"/>
  <c r="Q431" i="16" s="1"/>
  <c r="P431" i="16" a="1"/>
  <c r="P431" i="16" s="1"/>
  <c r="R431" i="16" s="1"/>
  <c r="A431" i="16"/>
  <c r="AE430" i="16"/>
  <c r="AI430" i="16" s="1" a="1"/>
  <c r="AI430" i="16" s="1"/>
  <c r="W430" i="16"/>
  <c r="S430" i="16"/>
  <c r="Q430" i="16" a="1"/>
  <c r="Q430" i="16" s="1"/>
  <c r="P430" i="16" a="1"/>
  <c r="P430" i="16" s="1"/>
  <c r="R430" i="16" s="1"/>
  <c r="A430" i="16"/>
  <c r="AI429" i="16" a="1"/>
  <c r="AI429" i="16" s="1"/>
  <c r="AE429" i="16"/>
  <c r="W429" i="16"/>
  <c r="S429" i="16"/>
  <c r="Q429" i="16" a="1"/>
  <c r="Q429" i="16" s="1"/>
  <c r="P429" i="16" a="1"/>
  <c r="P429" i="16" s="1"/>
  <c r="R429" i="16" s="1"/>
  <c r="A429" i="16"/>
  <c r="AI428" i="16" a="1"/>
  <c r="AI428" i="16" s="1"/>
  <c r="AE428" i="16"/>
  <c r="W428" i="16"/>
  <c r="S428" i="16"/>
  <c r="Q428" i="16" a="1"/>
  <c r="Q428" i="16" s="1"/>
  <c r="P428" i="16" a="1"/>
  <c r="P428" i="16" s="1"/>
  <c r="R428" i="16" s="1"/>
  <c r="A428" i="16"/>
  <c r="AI427" i="16" a="1"/>
  <c r="AI427" i="16" s="1"/>
  <c r="AE427" i="16"/>
  <c r="W427" i="16"/>
  <c r="S427" i="16"/>
  <c r="Q427" i="16" a="1"/>
  <c r="Q427" i="16" s="1"/>
  <c r="P427" i="16" a="1"/>
  <c r="P427" i="16" s="1"/>
  <c r="R427" i="16" s="1"/>
  <c r="A427" i="16"/>
  <c r="AI426" i="16" a="1"/>
  <c r="AI426" i="16" s="1"/>
  <c r="AE426" i="16"/>
  <c r="W426" i="16"/>
  <c r="S426" i="16"/>
  <c r="Q426" i="16" a="1"/>
  <c r="Q426" i="16" s="1"/>
  <c r="P426" i="16" a="1"/>
  <c r="P426" i="16" s="1"/>
  <c r="R426" i="16" s="1"/>
  <c r="A426" i="16"/>
  <c r="AI425" i="16" a="1"/>
  <c r="AI425" i="16" s="1"/>
  <c r="AE425" i="16"/>
  <c r="W425" i="16"/>
  <c r="S425" i="16"/>
  <c r="Q425" i="16" a="1"/>
  <c r="Q425" i="16" s="1"/>
  <c r="P425" i="16" a="1"/>
  <c r="P425" i="16" s="1"/>
  <c r="R425" i="16" s="1"/>
  <c r="A425" i="16"/>
  <c r="AI424" i="16" a="1"/>
  <c r="AI424" i="16" s="1"/>
  <c r="AE424" i="16"/>
  <c r="W424" i="16"/>
  <c r="S424" i="16"/>
  <c r="Q424" i="16" a="1"/>
  <c r="Q424" i="16" s="1"/>
  <c r="P424" i="16" a="1"/>
  <c r="P424" i="16" s="1"/>
  <c r="R424" i="16" s="1"/>
  <c r="A424" i="16"/>
  <c r="AI423" i="16" a="1"/>
  <c r="AI423" i="16" s="1"/>
  <c r="AE423" i="16"/>
  <c r="W423" i="16"/>
  <c r="S423" i="16"/>
  <c r="Q423" i="16" a="1"/>
  <c r="Q423" i="16" s="1"/>
  <c r="P423" i="16" a="1"/>
  <c r="P423" i="16" s="1"/>
  <c r="R423" i="16" s="1"/>
  <c r="A423" i="16"/>
  <c r="AE422" i="16"/>
  <c r="AI422" i="16" s="1" a="1"/>
  <c r="AI422" i="16" s="1"/>
  <c r="W422" i="16"/>
  <c r="S422" i="16"/>
  <c r="Q422" i="16" a="1"/>
  <c r="Q422" i="16" s="1"/>
  <c r="P422" i="16" a="1"/>
  <c r="P422" i="16" s="1"/>
  <c r="R422" i="16" s="1"/>
  <c r="A422" i="16"/>
  <c r="AI421" i="16" a="1"/>
  <c r="AI421" i="16" s="1"/>
  <c r="AE421" i="16"/>
  <c r="W421" i="16"/>
  <c r="S421" i="16"/>
  <c r="Q421" i="16" a="1"/>
  <c r="Q421" i="16" s="1"/>
  <c r="P421" i="16" a="1"/>
  <c r="P421" i="16" s="1"/>
  <c r="R421" i="16" s="1"/>
  <c r="A421" i="16"/>
  <c r="AE420" i="16"/>
  <c r="AI420" i="16" s="1" a="1"/>
  <c r="AI420" i="16" s="1"/>
  <c r="W420" i="16"/>
  <c r="S420" i="16"/>
  <c r="Q420" i="16" a="1"/>
  <c r="Q420" i="16" s="1"/>
  <c r="P420" i="16" a="1"/>
  <c r="P420" i="16" s="1"/>
  <c r="R420" i="16" s="1"/>
  <c r="A420" i="16"/>
  <c r="AE419" i="16"/>
  <c r="AI419" i="16" s="1" a="1"/>
  <c r="AI419" i="16" s="1"/>
  <c r="W419" i="16"/>
  <c r="S419" i="16"/>
  <c r="Q419" i="16" a="1"/>
  <c r="Q419" i="16" s="1"/>
  <c r="P419" i="16" a="1"/>
  <c r="P419" i="16" s="1"/>
  <c r="R419" i="16" s="1"/>
  <c r="A419" i="16"/>
  <c r="AI418" i="16" a="1"/>
  <c r="AI418" i="16" s="1"/>
  <c r="AE418" i="16"/>
  <c r="W418" i="16"/>
  <c r="S418" i="16"/>
  <c r="Q418" i="16" a="1"/>
  <c r="Q418" i="16" s="1"/>
  <c r="P418" i="16" a="1"/>
  <c r="P418" i="16" s="1"/>
  <c r="R418" i="16" s="1"/>
  <c r="A418" i="16"/>
  <c r="AI417" i="16" a="1"/>
  <c r="AI417" i="16" s="1"/>
  <c r="AE417" i="16"/>
  <c r="W417" i="16"/>
  <c r="S417" i="16"/>
  <c r="Q417" i="16" a="1"/>
  <c r="Q417" i="16" s="1"/>
  <c r="P417" i="16" a="1"/>
  <c r="P417" i="16" s="1"/>
  <c r="R417" i="16" s="1"/>
  <c r="A417" i="16"/>
  <c r="AI416" i="16" a="1"/>
  <c r="AI416" i="16" s="1"/>
  <c r="AE416" i="16"/>
  <c r="W416" i="16"/>
  <c r="S416" i="16"/>
  <c r="Q416" i="16" a="1"/>
  <c r="Q416" i="16" s="1"/>
  <c r="P416" i="16" a="1"/>
  <c r="P416" i="16" s="1"/>
  <c r="R416" i="16" s="1"/>
  <c r="A416" i="16"/>
  <c r="AI415" i="16" a="1"/>
  <c r="AI415" i="16" s="1"/>
  <c r="AE415" i="16"/>
  <c r="W415" i="16"/>
  <c r="S415" i="16"/>
  <c r="Q415" i="16" a="1"/>
  <c r="Q415" i="16" s="1"/>
  <c r="P415" i="16" a="1"/>
  <c r="P415" i="16" s="1"/>
  <c r="R415" i="16" s="1"/>
  <c r="A415" i="16"/>
  <c r="AE414" i="16"/>
  <c r="AI414" i="16" s="1" a="1"/>
  <c r="AI414" i="16" s="1"/>
  <c r="W414" i="16"/>
  <c r="S414" i="16"/>
  <c r="Q414" i="16" a="1"/>
  <c r="Q414" i="16" s="1"/>
  <c r="P414" i="16" a="1"/>
  <c r="P414" i="16" s="1"/>
  <c r="R414" i="16" s="1"/>
  <c r="A414" i="16"/>
  <c r="AI413" i="16" a="1"/>
  <c r="AI413" i="16" s="1"/>
  <c r="AE413" i="16"/>
  <c r="W413" i="16"/>
  <c r="S413" i="16"/>
  <c r="Q413" i="16" a="1"/>
  <c r="Q413" i="16" s="1"/>
  <c r="P413" i="16" a="1"/>
  <c r="P413" i="16" s="1"/>
  <c r="R413" i="16" s="1"/>
  <c r="A413" i="16"/>
  <c r="AI412" i="16" a="1"/>
  <c r="AI412" i="16" s="1"/>
  <c r="AE412" i="16"/>
  <c r="W412" i="16"/>
  <c r="S412" i="16"/>
  <c r="Q412" i="16" a="1"/>
  <c r="Q412" i="16" s="1"/>
  <c r="P412" i="16" a="1"/>
  <c r="P412" i="16" s="1"/>
  <c r="R412" i="16" s="1"/>
  <c r="A412" i="16"/>
  <c r="AE411" i="16"/>
  <c r="AI411" i="16" s="1" a="1"/>
  <c r="AI411" i="16" s="1"/>
  <c r="W411" i="16"/>
  <c r="S411" i="16"/>
  <c r="Q411" i="16" a="1"/>
  <c r="Q411" i="16" s="1"/>
  <c r="P411" i="16" a="1"/>
  <c r="P411" i="16" s="1"/>
  <c r="R411" i="16" s="1"/>
  <c r="A411" i="16"/>
  <c r="AE410" i="16"/>
  <c r="AI410" i="16" s="1" a="1"/>
  <c r="AI410" i="16" s="1"/>
  <c r="W410" i="16"/>
  <c r="S410" i="16"/>
  <c r="Q410" i="16" a="1"/>
  <c r="Q410" i="16" s="1"/>
  <c r="P410" i="16" a="1"/>
  <c r="P410" i="16" s="1"/>
  <c r="R410" i="16" s="1"/>
  <c r="A410" i="16"/>
  <c r="AE409" i="16"/>
  <c r="AI409" i="16" s="1" a="1"/>
  <c r="AI409" i="16" s="1"/>
  <c r="W409" i="16"/>
  <c r="S409" i="16"/>
  <c r="Q409" i="16" a="1"/>
  <c r="Q409" i="16" s="1"/>
  <c r="P409" i="16" a="1"/>
  <c r="P409" i="16" s="1"/>
  <c r="R409" i="16" s="1"/>
  <c r="A409" i="16"/>
  <c r="AE408" i="16"/>
  <c r="AI408" i="16" s="1" a="1"/>
  <c r="AI408" i="16" s="1"/>
  <c r="W408" i="16"/>
  <c r="S408" i="16"/>
  <c r="Q408" i="16" a="1"/>
  <c r="Q408" i="16" s="1"/>
  <c r="P408" i="16" a="1"/>
  <c r="P408" i="16" s="1"/>
  <c r="R408" i="16" s="1"/>
  <c r="A408" i="16"/>
  <c r="AI407" i="16" a="1"/>
  <c r="AI407" i="16" s="1"/>
  <c r="AE407" i="16"/>
  <c r="W407" i="16"/>
  <c r="S407" i="16"/>
  <c r="Q407" i="16" a="1"/>
  <c r="Q407" i="16" s="1"/>
  <c r="P407" i="16" a="1"/>
  <c r="P407" i="16" s="1"/>
  <c r="R407" i="16" s="1"/>
  <c r="A407" i="16"/>
  <c r="AE406" i="16"/>
  <c r="AI406" i="16" s="1" a="1"/>
  <c r="AI406" i="16" s="1"/>
  <c r="W406" i="16"/>
  <c r="S406" i="16"/>
  <c r="Q406" i="16" a="1"/>
  <c r="Q406" i="16" s="1"/>
  <c r="P406" i="16" a="1"/>
  <c r="P406" i="16" s="1"/>
  <c r="R406" i="16" s="1"/>
  <c r="A406" i="16"/>
  <c r="AI405" i="16" a="1"/>
  <c r="AI405" i="16" s="1"/>
  <c r="AE405" i="16"/>
  <c r="W405" i="16"/>
  <c r="S405" i="16"/>
  <c r="Q405" i="16" a="1"/>
  <c r="Q405" i="16" s="1"/>
  <c r="P405" i="16" a="1"/>
  <c r="P405" i="16" s="1"/>
  <c r="R405" i="16" s="1"/>
  <c r="A405" i="16"/>
  <c r="AE404" i="16"/>
  <c r="AI404" i="16" s="1" a="1"/>
  <c r="AI404" i="16" s="1"/>
  <c r="W404" i="16"/>
  <c r="S404" i="16"/>
  <c r="Q404" i="16" a="1"/>
  <c r="Q404" i="16" s="1"/>
  <c r="P404" i="16" a="1"/>
  <c r="P404" i="16" s="1"/>
  <c r="R404" i="16" s="1"/>
  <c r="A404" i="16"/>
  <c r="AE403" i="16"/>
  <c r="AI403" i="16" s="1" a="1"/>
  <c r="AI403" i="16" s="1"/>
  <c r="W403" i="16"/>
  <c r="S403" i="16"/>
  <c r="Q403" i="16" a="1"/>
  <c r="Q403" i="16" s="1"/>
  <c r="P403" i="16" a="1"/>
  <c r="P403" i="16" s="1"/>
  <c r="R403" i="16" s="1"/>
  <c r="A403" i="16"/>
  <c r="AE402" i="16"/>
  <c r="AI402" i="16" s="1" a="1"/>
  <c r="AI402" i="16" s="1"/>
  <c r="W402" i="16"/>
  <c r="S402" i="16"/>
  <c r="Q402" i="16" a="1"/>
  <c r="Q402" i="16" s="1"/>
  <c r="P402" i="16" a="1"/>
  <c r="P402" i="16" s="1"/>
  <c r="R402" i="16" s="1"/>
  <c r="A402" i="16"/>
  <c r="AI401" i="16" a="1"/>
  <c r="AI401" i="16" s="1"/>
  <c r="AE401" i="16"/>
  <c r="W401" i="16"/>
  <c r="S401" i="16"/>
  <c r="Q401" i="16" a="1"/>
  <c r="Q401" i="16" s="1"/>
  <c r="P401" i="16" a="1"/>
  <c r="P401" i="16" s="1"/>
  <c r="R401" i="16" s="1"/>
  <c r="A401" i="16"/>
  <c r="AI400" i="16" a="1"/>
  <c r="AI400" i="16" s="1"/>
  <c r="AE400" i="16"/>
  <c r="W400" i="16"/>
  <c r="S400" i="16"/>
  <c r="Q400" i="16" a="1"/>
  <c r="Q400" i="16" s="1"/>
  <c r="P400" i="16" a="1"/>
  <c r="P400" i="16" s="1"/>
  <c r="R400" i="16" s="1"/>
  <c r="A400" i="16"/>
  <c r="AE399" i="16"/>
  <c r="AI399" i="16" s="1" a="1"/>
  <c r="AI399" i="16" s="1"/>
  <c r="W399" i="16"/>
  <c r="S399" i="16"/>
  <c r="Q399" i="16" a="1"/>
  <c r="Q399" i="16" s="1"/>
  <c r="P399" i="16" a="1"/>
  <c r="P399" i="16" s="1"/>
  <c r="R399" i="16" s="1"/>
  <c r="A399" i="16"/>
  <c r="AE398" i="16"/>
  <c r="AI398" i="16" s="1" a="1"/>
  <c r="AI398" i="16" s="1"/>
  <c r="W398" i="16"/>
  <c r="S398" i="16"/>
  <c r="Q398" i="16" a="1"/>
  <c r="Q398" i="16" s="1"/>
  <c r="P398" i="16" a="1"/>
  <c r="P398" i="16" s="1"/>
  <c r="R398" i="16" s="1"/>
  <c r="A398" i="16"/>
  <c r="AE397" i="16"/>
  <c r="AI397" i="16" s="1" a="1"/>
  <c r="AI397" i="16" s="1"/>
  <c r="W397" i="16"/>
  <c r="S397" i="16"/>
  <c r="Q397" i="16" a="1"/>
  <c r="Q397" i="16" s="1"/>
  <c r="P397" i="16" a="1"/>
  <c r="P397" i="16" s="1"/>
  <c r="R397" i="16" s="1"/>
  <c r="A397" i="16"/>
  <c r="AI396" i="16" a="1"/>
  <c r="AI396" i="16" s="1"/>
  <c r="AE396" i="16"/>
  <c r="W396" i="16"/>
  <c r="S396" i="16"/>
  <c r="Q396" i="16" a="1"/>
  <c r="Q396" i="16" s="1"/>
  <c r="P396" i="16" a="1"/>
  <c r="P396" i="16" s="1"/>
  <c r="R396" i="16" s="1"/>
  <c r="A396" i="16"/>
  <c r="AE395" i="16"/>
  <c r="AI395" i="16" s="1" a="1"/>
  <c r="AI395" i="16" s="1"/>
  <c r="W395" i="16"/>
  <c r="S395" i="16"/>
  <c r="Q395" i="16" a="1"/>
  <c r="Q395" i="16" s="1"/>
  <c r="P395" i="16" a="1"/>
  <c r="P395" i="16" s="1"/>
  <c r="R395" i="16" s="1"/>
  <c r="A395" i="16"/>
  <c r="AI394" i="16" a="1"/>
  <c r="AI394" i="16" s="1"/>
  <c r="AE394" i="16"/>
  <c r="W394" i="16"/>
  <c r="S394" i="16"/>
  <c r="Q394" i="16" a="1"/>
  <c r="Q394" i="16" s="1"/>
  <c r="P394" i="16" a="1"/>
  <c r="P394" i="16" s="1"/>
  <c r="R394" i="16" s="1"/>
  <c r="A394" i="16"/>
  <c r="AE393" i="16"/>
  <c r="AI393" i="16" s="1" a="1"/>
  <c r="AI393" i="16" s="1"/>
  <c r="W393" i="16"/>
  <c r="S393" i="16"/>
  <c r="Q393" i="16" a="1"/>
  <c r="Q393" i="16" s="1"/>
  <c r="P393" i="16" a="1"/>
  <c r="P393" i="16" s="1"/>
  <c r="R393" i="16" s="1"/>
  <c r="A393" i="16"/>
  <c r="AI392" i="16" a="1"/>
  <c r="AI392" i="16" s="1"/>
  <c r="AE392" i="16"/>
  <c r="W392" i="16"/>
  <c r="S392" i="16"/>
  <c r="Q392" i="16" a="1"/>
  <c r="Q392" i="16" s="1"/>
  <c r="P392" i="16" a="1"/>
  <c r="P392" i="16" s="1"/>
  <c r="R392" i="16" s="1"/>
  <c r="A392" i="16"/>
  <c r="AI391" i="16" a="1"/>
  <c r="AI391" i="16" s="1"/>
  <c r="AE391" i="16"/>
  <c r="W391" i="16"/>
  <c r="S391" i="16"/>
  <c r="Q391" i="16" a="1"/>
  <c r="Q391" i="16" s="1"/>
  <c r="P391" i="16" a="1"/>
  <c r="P391" i="16" s="1"/>
  <c r="R391" i="16" s="1"/>
  <c r="A391" i="16"/>
  <c r="AI390" i="16" a="1"/>
  <c r="AI390" i="16" s="1"/>
  <c r="AE390" i="16"/>
  <c r="W390" i="16"/>
  <c r="S390" i="16"/>
  <c r="Q390" i="16" a="1"/>
  <c r="Q390" i="16" s="1"/>
  <c r="P390" i="16" a="1"/>
  <c r="P390" i="16" s="1"/>
  <c r="R390" i="16" s="1"/>
  <c r="A390" i="16"/>
  <c r="AE389" i="16"/>
  <c r="AI389" i="16" s="1" a="1"/>
  <c r="AI389" i="16" s="1"/>
  <c r="W389" i="16"/>
  <c r="S389" i="16"/>
  <c r="Q389" i="16" a="1"/>
  <c r="Q389" i="16" s="1"/>
  <c r="P389" i="16" a="1"/>
  <c r="P389" i="16" s="1"/>
  <c r="R389" i="16" s="1"/>
  <c r="A389" i="16"/>
  <c r="AI388" i="16" a="1"/>
  <c r="AI388" i="16" s="1"/>
  <c r="AE388" i="16"/>
  <c r="W388" i="16"/>
  <c r="S388" i="16"/>
  <c r="Q388" i="16" a="1"/>
  <c r="Q388" i="16" s="1"/>
  <c r="P388" i="16" a="1"/>
  <c r="P388" i="16" s="1"/>
  <c r="R388" i="16" s="1"/>
  <c r="A388" i="16"/>
  <c r="AE387" i="16"/>
  <c r="AI387" i="16" s="1" a="1"/>
  <c r="AI387" i="16" s="1"/>
  <c r="W387" i="16"/>
  <c r="S387" i="16"/>
  <c r="Q387" i="16" a="1"/>
  <c r="Q387" i="16" s="1"/>
  <c r="P387" i="16" a="1"/>
  <c r="P387" i="16" s="1"/>
  <c r="R387" i="16" s="1"/>
  <c r="A387" i="16"/>
  <c r="AE386" i="16"/>
  <c r="AI386" i="16" s="1" a="1"/>
  <c r="AI386" i="16" s="1"/>
  <c r="W386" i="16"/>
  <c r="S386" i="16"/>
  <c r="Q386" i="16" a="1"/>
  <c r="Q386" i="16" s="1"/>
  <c r="P386" i="16" a="1"/>
  <c r="P386" i="16" s="1"/>
  <c r="R386" i="16" s="1"/>
  <c r="A386" i="16"/>
  <c r="AI385" i="16" a="1"/>
  <c r="AI385" i="16" s="1"/>
  <c r="AE385" i="16"/>
  <c r="W385" i="16"/>
  <c r="S385" i="16"/>
  <c r="Q385" i="16" a="1"/>
  <c r="Q385" i="16" s="1"/>
  <c r="P385" i="16" a="1"/>
  <c r="P385" i="16" s="1"/>
  <c r="R385" i="16" s="1"/>
  <c r="A385" i="16"/>
  <c r="AE384" i="16"/>
  <c r="AI384" i="16" s="1" a="1"/>
  <c r="AI384" i="16" s="1"/>
  <c r="W384" i="16"/>
  <c r="S384" i="16"/>
  <c r="Q384" i="16" a="1"/>
  <c r="Q384" i="16" s="1"/>
  <c r="P384" i="16" a="1"/>
  <c r="P384" i="16" s="1"/>
  <c r="R384" i="16" s="1"/>
  <c r="A384" i="16"/>
  <c r="AI383" i="16" a="1"/>
  <c r="AI383" i="16" s="1"/>
  <c r="AE383" i="16"/>
  <c r="W383" i="16"/>
  <c r="S383" i="16"/>
  <c r="Q383" i="16" a="1"/>
  <c r="Q383" i="16" s="1"/>
  <c r="P383" i="16" a="1"/>
  <c r="P383" i="16" s="1"/>
  <c r="R383" i="16" s="1"/>
  <c r="A383" i="16"/>
  <c r="AI382" i="16" a="1"/>
  <c r="AI382" i="16" s="1"/>
  <c r="AE382" i="16"/>
  <c r="W382" i="16"/>
  <c r="S382" i="16"/>
  <c r="Q382" i="16" a="1"/>
  <c r="Q382" i="16" s="1"/>
  <c r="P382" i="16" a="1"/>
  <c r="P382" i="16" s="1"/>
  <c r="R382" i="16" s="1"/>
  <c r="A382" i="16"/>
  <c r="AI381" i="16" a="1"/>
  <c r="AI381" i="16" s="1"/>
  <c r="AE381" i="16"/>
  <c r="W381" i="16"/>
  <c r="S381" i="16"/>
  <c r="Q381" i="16" a="1"/>
  <c r="Q381" i="16" s="1"/>
  <c r="P381" i="16" a="1"/>
  <c r="P381" i="16" s="1"/>
  <c r="R381" i="16" s="1"/>
  <c r="A381" i="16"/>
  <c r="AE380" i="16"/>
  <c r="AI380" i="16" s="1" a="1"/>
  <c r="AI380" i="16" s="1"/>
  <c r="W380" i="16"/>
  <c r="S380" i="16"/>
  <c r="Q380" i="16" a="1"/>
  <c r="Q380" i="16" s="1"/>
  <c r="P380" i="16" a="1"/>
  <c r="P380" i="16" s="1"/>
  <c r="R380" i="16" s="1"/>
  <c r="A380" i="16"/>
  <c r="AI379" i="16" a="1"/>
  <c r="AI379" i="16" s="1"/>
  <c r="AE379" i="16"/>
  <c r="W379" i="16"/>
  <c r="S379" i="16"/>
  <c r="Q379" i="16" a="1"/>
  <c r="Q379" i="16" s="1"/>
  <c r="P379" i="16" a="1"/>
  <c r="P379" i="16" s="1"/>
  <c r="R379" i="16" s="1"/>
  <c r="A379" i="16"/>
  <c r="AI378" i="16" a="1"/>
  <c r="AI378" i="16" s="1"/>
  <c r="AE378" i="16"/>
  <c r="W378" i="16"/>
  <c r="S378" i="16"/>
  <c r="Q378" i="16" a="1"/>
  <c r="Q378" i="16" s="1"/>
  <c r="P378" i="16" a="1"/>
  <c r="P378" i="16" s="1"/>
  <c r="R378" i="16" s="1"/>
  <c r="A378" i="16"/>
  <c r="AE377" i="16"/>
  <c r="AI377" i="16" s="1" a="1"/>
  <c r="AI377" i="16" s="1"/>
  <c r="W377" i="16"/>
  <c r="S377" i="16"/>
  <c r="Q377" i="16" a="1"/>
  <c r="Q377" i="16" s="1"/>
  <c r="P377" i="16" a="1"/>
  <c r="P377" i="16" s="1"/>
  <c r="R377" i="16" s="1"/>
  <c r="A377" i="16"/>
  <c r="AE376" i="16"/>
  <c r="AI376" i="16" s="1" a="1"/>
  <c r="AI376" i="16" s="1"/>
  <c r="W376" i="16"/>
  <c r="S376" i="16"/>
  <c r="Q376" i="16" a="1"/>
  <c r="Q376" i="16" s="1"/>
  <c r="P376" i="16" a="1"/>
  <c r="P376" i="16" s="1"/>
  <c r="R376" i="16" s="1"/>
  <c r="A376" i="16"/>
  <c r="AI375" i="16" a="1"/>
  <c r="AI375" i="16" s="1"/>
  <c r="AE375" i="16"/>
  <c r="W375" i="16"/>
  <c r="S375" i="16"/>
  <c r="Q375" i="16" a="1"/>
  <c r="Q375" i="16" s="1"/>
  <c r="P375" i="16" a="1"/>
  <c r="P375" i="16" s="1"/>
  <c r="R375" i="16" s="1"/>
  <c r="A375" i="16"/>
  <c r="AE374" i="16"/>
  <c r="AI374" i="16" s="1" a="1"/>
  <c r="AI374" i="16" s="1"/>
  <c r="W374" i="16"/>
  <c r="S374" i="16"/>
  <c r="Q374" i="16" a="1"/>
  <c r="Q374" i="16" s="1"/>
  <c r="P374" i="16" a="1"/>
  <c r="P374" i="16" s="1"/>
  <c r="R374" i="16" s="1"/>
  <c r="A374" i="16"/>
  <c r="AI373" i="16" a="1"/>
  <c r="AI373" i="16" s="1"/>
  <c r="AE373" i="16"/>
  <c r="W373" i="16"/>
  <c r="S373" i="16"/>
  <c r="Q373" i="16" a="1"/>
  <c r="Q373" i="16" s="1"/>
  <c r="P373" i="16" a="1"/>
  <c r="P373" i="16" s="1"/>
  <c r="R373" i="16" s="1"/>
  <c r="A373" i="16"/>
  <c r="AI372" i="16" a="1"/>
  <c r="AI372" i="16" s="1"/>
  <c r="AE372" i="16"/>
  <c r="W372" i="16"/>
  <c r="S372" i="16"/>
  <c r="Q372" i="16" a="1"/>
  <c r="Q372" i="16" s="1"/>
  <c r="P372" i="16" a="1"/>
  <c r="P372" i="16" s="1"/>
  <c r="R372" i="16" s="1"/>
  <c r="A372" i="16"/>
  <c r="AI371" i="16" a="1"/>
  <c r="AI371" i="16" s="1"/>
  <c r="AE371" i="16"/>
  <c r="W371" i="16"/>
  <c r="S371" i="16"/>
  <c r="Q371" i="16" a="1"/>
  <c r="Q371" i="16" s="1"/>
  <c r="P371" i="16" a="1"/>
  <c r="P371" i="16" s="1"/>
  <c r="R371" i="16" s="1"/>
  <c r="A371" i="16"/>
  <c r="AI370" i="16" a="1"/>
  <c r="AI370" i="16" s="1"/>
  <c r="AE370" i="16"/>
  <c r="W370" i="16"/>
  <c r="S370" i="16"/>
  <c r="Q370" i="16" a="1"/>
  <c r="Q370" i="16" s="1"/>
  <c r="P370" i="16" a="1"/>
  <c r="P370" i="16" s="1"/>
  <c r="R370" i="16" s="1"/>
  <c r="A370" i="16"/>
  <c r="AI369" i="16" a="1"/>
  <c r="AI369" i="16" s="1"/>
  <c r="AE369" i="16"/>
  <c r="W369" i="16"/>
  <c r="S369" i="16"/>
  <c r="Q369" i="16" a="1"/>
  <c r="Q369" i="16" s="1"/>
  <c r="P369" i="16" a="1"/>
  <c r="P369" i="16" s="1"/>
  <c r="R369" i="16" s="1"/>
  <c r="A369" i="16"/>
  <c r="AI368" i="16" a="1"/>
  <c r="AI368" i="16" s="1"/>
  <c r="AE368" i="16"/>
  <c r="W368" i="16"/>
  <c r="S368" i="16"/>
  <c r="Q368" i="16" a="1"/>
  <c r="Q368" i="16" s="1"/>
  <c r="P368" i="16" a="1"/>
  <c r="P368" i="16" s="1"/>
  <c r="R368" i="16" s="1"/>
  <c r="A368" i="16"/>
  <c r="AI367" i="16" a="1"/>
  <c r="AI367" i="16" s="1"/>
  <c r="AE367" i="16"/>
  <c r="W367" i="16"/>
  <c r="S367" i="16"/>
  <c r="Q367" i="16" a="1"/>
  <c r="Q367" i="16" s="1"/>
  <c r="P367" i="16" a="1"/>
  <c r="P367" i="16" s="1"/>
  <c r="R367" i="16" s="1"/>
  <c r="A367" i="16"/>
  <c r="AI366" i="16" a="1"/>
  <c r="AI366" i="16" s="1"/>
  <c r="AE366" i="16"/>
  <c r="W366" i="16"/>
  <c r="S366" i="16"/>
  <c r="Q366" i="16" a="1"/>
  <c r="Q366" i="16" s="1"/>
  <c r="P366" i="16" a="1"/>
  <c r="P366" i="16" s="1"/>
  <c r="R366" i="16" s="1"/>
  <c r="A366" i="16"/>
  <c r="AE365" i="16"/>
  <c r="AI365" i="16" s="1" a="1"/>
  <c r="AI365" i="16" s="1"/>
  <c r="W365" i="16"/>
  <c r="S365" i="16"/>
  <c r="Q365" i="16" a="1"/>
  <c r="Q365" i="16" s="1"/>
  <c r="P365" i="16" a="1"/>
  <c r="P365" i="16" s="1"/>
  <c r="R365" i="16" s="1"/>
  <c r="A365" i="16"/>
  <c r="AE364" i="16"/>
  <c r="AI364" i="16" s="1" a="1"/>
  <c r="AI364" i="16" s="1"/>
  <c r="W364" i="16"/>
  <c r="S364" i="16"/>
  <c r="Q364" i="16" a="1"/>
  <c r="Q364" i="16" s="1"/>
  <c r="P364" i="16" a="1"/>
  <c r="P364" i="16" s="1"/>
  <c r="R364" i="16" s="1"/>
  <c r="A364" i="16"/>
  <c r="AI363" i="16" a="1"/>
  <c r="AI363" i="16" s="1"/>
  <c r="AE363" i="16"/>
  <c r="W363" i="16"/>
  <c r="S363" i="16"/>
  <c r="Q363" i="16" a="1"/>
  <c r="Q363" i="16" s="1"/>
  <c r="P363" i="16" a="1"/>
  <c r="P363" i="16" s="1"/>
  <c r="R363" i="16" s="1"/>
  <c r="A363" i="16"/>
  <c r="AE362" i="16"/>
  <c r="AI362" i="16" s="1" a="1"/>
  <c r="AI362" i="16" s="1"/>
  <c r="W362" i="16"/>
  <c r="S362" i="16"/>
  <c r="Q362" i="16" a="1"/>
  <c r="Q362" i="16" s="1"/>
  <c r="P362" i="16" a="1"/>
  <c r="P362" i="16" s="1"/>
  <c r="R362" i="16" s="1"/>
  <c r="A362" i="16"/>
  <c r="AI361" i="16" a="1"/>
  <c r="AI361" i="16" s="1"/>
  <c r="AE361" i="16"/>
  <c r="W361" i="16"/>
  <c r="S361" i="16"/>
  <c r="Q361" i="16" a="1"/>
  <c r="Q361" i="16" s="1"/>
  <c r="P361" i="16" a="1"/>
  <c r="P361" i="16" s="1"/>
  <c r="R361" i="16" s="1"/>
  <c r="A361" i="16"/>
  <c r="AI360" i="16" a="1"/>
  <c r="AI360" i="16" s="1"/>
  <c r="AE360" i="16"/>
  <c r="W360" i="16"/>
  <c r="S360" i="16"/>
  <c r="Q360" i="16" a="1"/>
  <c r="Q360" i="16" s="1"/>
  <c r="P360" i="16" a="1"/>
  <c r="P360" i="16" s="1"/>
  <c r="R360" i="16" s="1"/>
  <c r="A360" i="16"/>
  <c r="AE359" i="16"/>
  <c r="AI359" i="16" s="1" a="1"/>
  <c r="AI359" i="16" s="1"/>
  <c r="W359" i="16"/>
  <c r="S359" i="16"/>
  <c r="Q359" i="16" a="1"/>
  <c r="Q359" i="16" s="1"/>
  <c r="P359" i="16" a="1"/>
  <c r="P359" i="16" s="1"/>
  <c r="R359" i="16" s="1"/>
  <c r="A359" i="16"/>
  <c r="AI358" i="16" a="1"/>
  <c r="AI358" i="16" s="1"/>
  <c r="AE358" i="16"/>
  <c r="W358" i="16"/>
  <c r="S358" i="16"/>
  <c r="Q358" i="16" a="1"/>
  <c r="Q358" i="16" s="1"/>
  <c r="P358" i="16" a="1"/>
  <c r="P358" i="16" s="1"/>
  <c r="R358" i="16" s="1"/>
  <c r="A358" i="16"/>
  <c r="AE357" i="16"/>
  <c r="AI357" i="16" s="1" a="1"/>
  <c r="AI357" i="16" s="1"/>
  <c r="W357" i="16"/>
  <c r="S357" i="16"/>
  <c r="Q357" i="16" a="1"/>
  <c r="Q357" i="16" s="1"/>
  <c r="P357" i="16" a="1"/>
  <c r="P357" i="16" s="1"/>
  <c r="R357" i="16" s="1"/>
  <c r="A357" i="16"/>
  <c r="AE356" i="16"/>
  <c r="AI356" i="16" s="1" a="1"/>
  <c r="AI356" i="16" s="1"/>
  <c r="W356" i="16"/>
  <c r="S356" i="16"/>
  <c r="Q356" i="16" a="1"/>
  <c r="Q356" i="16" s="1"/>
  <c r="P356" i="16" a="1"/>
  <c r="P356" i="16" s="1"/>
  <c r="R356" i="16" s="1"/>
  <c r="A356" i="16"/>
  <c r="AI355" i="16" a="1"/>
  <c r="AI355" i="16" s="1"/>
  <c r="AE355" i="16"/>
  <c r="W355" i="16"/>
  <c r="S355" i="16"/>
  <c r="Q355" i="16" a="1"/>
  <c r="Q355" i="16" s="1"/>
  <c r="P355" i="16" a="1"/>
  <c r="P355" i="16" s="1"/>
  <c r="R355" i="16" s="1"/>
  <c r="A355" i="16"/>
  <c r="AE354" i="16"/>
  <c r="AI354" i="16" s="1" a="1"/>
  <c r="AI354" i="16" s="1"/>
  <c r="W354" i="16"/>
  <c r="S354" i="16"/>
  <c r="Q354" i="16" a="1"/>
  <c r="Q354" i="16" s="1"/>
  <c r="P354" i="16" a="1"/>
  <c r="P354" i="16" s="1"/>
  <c r="R354" i="16" s="1"/>
  <c r="A354" i="16"/>
  <c r="AI353" i="16" a="1"/>
  <c r="AI353" i="16" s="1"/>
  <c r="AE353" i="16"/>
  <c r="W353" i="16"/>
  <c r="S353" i="16"/>
  <c r="Q353" i="16" a="1"/>
  <c r="Q353" i="16" s="1"/>
  <c r="P353" i="16" a="1"/>
  <c r="P353" i="16" s="1"/>
  <c r="R353" i="16" s="1"/>
  <c r="A353" i="16"/>
  <c r="AI352" i="16" a="1"/>
  <c r="AI352" i="16" s="1"/>
  <c r="AE352" i="16"/>
  <c r="W352" i="16"/>
  <c r="S352" i="16"/>
  <c r="Q352" i="16" a="1"/>
  <c r="Q352" i="16" s="1"/>
  <c r="P352" i="16" a="1"/>
  <c r="P352" i="16" s="1"/>
  <c r="R352" i="16" s="1"/>
  <c r="A352" i="16"/>
  <c r="AI351" i="16" a="1"/>
  <c r="AI351" i="16" s="1"/>
  <c r="AE351" i="16"/>
  <c r="W351" i="16"/>
  <c r="S351" i="16"/>
  <c r="Q351" i="16" a="1"/>
  <c r="Q351" i="16" s="1"/>
  <c r="P351" i="16" a="1"/>
  <c r="P351" i="16" s="1"/>
  <c r="R351" i="16" s="1"/>
  <c r="A351" i="16"/>
  <c r="AE350" i="16"/>
  <c r="AI350" i="16" s="1" a="1"/>
  <c r="AI350" i="16" s="1"/>
  <c r="W350" i="16"/>
  <c r="S350" i="16"/>
  <c r="Q350" i="16" a="1"/>
  <c r="Q350" i="16" s="1"/>
  <c r="P350" i="16" a="1"/>
  <c r="P350" i="16" s="1"/>
  <c r="R350" i="16" s="1"/>
  <c r="A350" i="16"/>
  <c r="AI349" i="16" a="1"/>
  <c r="AI349" i="16" s="1"/>
  <c r="AE349" i="16"/>
  <c r="W349" i="16"/>
  <c r="S349" i="16"/>
  <c r="Q349" i="16" a="1"/>
  <c r="Q349" i="16" s="1"/>
  <c r="P349" i="16" a="1"/>
  <c r="P349" i="16" s="1"/>
  <c r="R349" i="16" s="1"/>
  <c r="A349" i="16"/>
  <c r="AI348" i="16" a="1"/>
  <c r="AI348" i="16" s="1"/>
  <c r="AE348" i="16"/>
  <c r="W348" i="16"/>
  <c r="S348" i="16"/>
  <c r="Q348" i="16" a="1"/>
  <c r="Q348" i="16" s="1"/>
  <c r="P348" i="16" a="1"/>
  <c r="P348" i="16" s="1"/>
  <c r="R348" i="16" s="1"/>
  <c r="A348" i="16"/>
  <c r="AI347" i="16" a="1"/>
  <c r="AI347" i="16" s="1"/>
  <c r="AE347" i="16"/>
  <c r="W347" i="16"/>
  <c r="S347" i="16"/>
  <c r="Q347" i="16" a="1"/>
  <c r="Q347" i="16" s="1"/>
  <c r="P347" i="16" a="1"/>
  <c r="P347" i="16" s="1"/>
  <c r="R347" i="16" s="1"/>
  <c r="A347" i="16"/>
  <c r="AI346" i="16" a="1"/>
  <c r="AI346" i="16" s="1"/>
  <c r="AE346" i="16"/>
  <c r="W346" i="16"/>
  <c r="S346" i="16"/>
  <c r="Q346" i="16" a="1"/>
  <c r="Q346" i="16" s="1"/>
  <c r="P346" i="16" a="1"/>
  <c r="P346" i="16" s="1"/>
  <c r="R346" i="16" s="1"/>
  <c r="A346" i="16"/>
  <c r="AI345" i="16" a="1"/>
  <c r="AI345" i="16" s="1"/>
  <c r="AE345" i="16"/>
  <c r="W345" i="16"/>
  <c r="S345" i="16"/>
  <c r="Q345" i="16" a="1"/>
  <c r="Q345" i="16" s="1"/>
  <c r="P345" i="16" a="1"/>
  <c r="P345" i="16" s="1"/>
  <c r="R345" i="16" s="1"/>
  <c r="A345" i="16"/>
  <c r="AI344" i="16" a="1"/>
  <c r="AI344" i="16" s="1"/>
  <c r="AE344" i="16"/>
  <c r="W344" i="16"/>
  <c r="S344" i="16"/>
  <c r="Q344" i="16" a="1"/>
  <c r="Q344" i="16" s="1"/>
  <c r="P344" i="16" a="1"/>
  <c r="P344" i="16" s="1"/>
  <c r="R344" i="16" s="1"/>
  <c r="A344" i="16"/>
  <c r="AE343" i="16"/>
  <c r="AI343" i="16" s="1" a="1"/>
  <c r="AI343" i="16" s="1"/>
  <c r="W343" i="16"/>
  <c r="S343" i="16"/>
  <c r="Q343" i="16" a="1"/>
  <c r="Q343" i="16" s="1"/>
  <c r="P343" i="16" a="1"/>
  <c r="P343" i="16" s="1"/>
  <c r="R343" i="16" s="1"/>
  <c r="A343" i="16"/>
  <c r="AI342" i="16" a="1"/>
  <c r="AI342" i="16" s="1"/>
  <c r="AE342" i="16"/>
  <c r="W342" i="16"/>
  <c r="S342" i="16"/>
  <c r="Q342" i="16" a="1"/>
  <c r="Q342" i="16" s="1"/>
  <c r="P342" i="16" a="1"/>
  <c r="P342" i="16" s="1"/>
  <c r="R342" i="16" s="1"/>
  <c r="A342" i="16"/>
  <c r="AE341" i="16"/>
  <c r="AI341" i="16" s="1" a="1"/>
  <c r="AI341" i="16" s="1"/>
  <c r="W341" i="16"/>
  <c r="S341" i="16"/>
  <c r="Q341" i="16" a="1"/>
  <c r="Q341" i="16" s="1"/>
  <c r="P341" i="16" a="1"/>
  <c r="P341" i="16" s="1"/>
  <c r="R341" i="16" s="1"/>
  <c r="A341" i="16"/>
  <c r="AE340" i="16"/>
  <c r="AI340" i="16" s="1" a="1"/>
  <c r="AI340" i="16" s="1"/>
  <c r="W340" i="16"/>
  <c r="S340" i="16"/>
  <c r="Q340" i="16" a="1"/>
  <c r="Q340" i="16" s="1"/>
  <c r="P340" i="16" a="1"/>
  <c r="P340" i="16" s="1"/>
  <c r="R340" i="16" s="1"/>
  <c r="A340" i="16"/>
  <c r="AI339" i="16" a="1"/>
  <c r="AI339" i="16" s="1"/>
  <c r="AE339" i="16"/>
  <c r="W339" i="16"/>
  <c r="S339" i="16"/>
  <c r="Q339" i="16" a="1"/>
  <c r="Q339" i="16" s="1"/>
  <c r="P339" i="16" a="1"/>
  <c r="P339" i="16" s="1"/>
  <c r="R339" i="16" s="1"/>
  <c r="A339" i="16"/>
  <c r="AI338" i="16" a="1"/>
  <c r="AI338" i="16" s="1"/>
  <c r="AE338" i="16"/>
  <c r="W338" i="16"/>
  <c r="S338" i="16"/>
  <c r="Q338" i="16" a="1"/>
  <c r="Q338" i="16" s="1"/>
  <c r="P338" i="16" a="1"/>
  <c r="P338" i="16" s="1"/>
  <c r="R338" i="16" s="1"/>
  <c r="A338" i="16"/>
  <c r="AI337" i="16" a="1"/>
  <c r="AI337" i="16" s="1"/>
  <c r="AE337" i="16"/>
  <c r="W337" i="16"/>
  <c r="S337" i="16"/>
  <c r="Q337" i="16" a="1"/>
  <c r="Q337" i="16" s="1"/>
  <c r="P337" i="16" a="1"/>
  <c r="P337" i="16" s="1"/>
  <c r="R337" i="16" s="1"/>
  <c r="A337" i="16"/>
  <c r="AE336" i="16"/>
  <c r="AI336" i="16" s="1" a="1"/>
  <c r="AI336" i="16" s="1"/>
  <c r="W336" i="16"/>
  <c r="S336" i="16"/>
  <c r="Q336" i="16" a="1"/>
  <c r="Q336" i="16" s="1"/>
  <c r="P336" i="16" a="1"/>
  <c r="P336" i="16" s="1"/>
  <c r="R336" i="16" s="1"/>
  <c r="A336" i="16"/>
  <c r="AI335" i="16" a="1"/>
  <c r="AI335" i="16" s="1"/>
  <c r="AE335" i="16"/>
  <c r="W335" i="16"/>
  <c r="S335" i="16"/>
  <c r="Q335" i="16" a="1"/>
  <c r="Q335" i="16" s="1"/>
  <c r="P335" i="16" a="1"/>
  <c r="P335" i="16" s="1"/>
  <c r="R335" i="16" s="1"/>
  <c r="A335" i="16"/>
  <c r="AE334" i="16"/>
  <c r="AI334" i="16" s="1" a="1"/>
  <c r="AI334" i="16" s="1"/>
  <c r="W334" i="16"/>
  <c r="S334" i="16"/>
  <c r="Q334" i="16" a="1"/>
  <c r="Q334" i="16" s="1"/>
  <c r="P334" i="16" a="1"/>
  <c r="P334" i="16" s="1"/>
  <c r="R334" i="16" s="1"/>
  <c r="A334" i="16"/>
  <c r="AE333" i="16"/>
  <c r="AI333" i="16" s="1" a="1"/>
  <c r="AI333" i="16" s="1"/>
  <c r="W333" i="16"/>
  <c r="S333" i="16"/>
  <c r="Q333" i="16" a="1"/>
  <c r="Q333" i="16" s="1"/>
  <c r="P333" i="16" a="1"/>
  <c r="P333" i="16" s="1"/>
  <c r="R333" i="16" s="1"/>
  <c r="A333" i="16"/>
  <c r="AI332" i="16" a="1"/>
  <c r="AI332" i="16" s="1"/>
  <c r="AE332" i="16"/>
  <c r="W332" i="16"/>
  <c r="S332" i="16"/>
  <c r="Q332" i="16" a="1"/>
  <c r="Q332" i="16" s="1"/>
  <c r="P332" i="16" a="1"/>
  <c r="P332" i="16" s="1"/>
  <c r="R332" i="16" s="1"/>
  <c r="A332" i="16"/>
  <c r="AI331" i="16" a="1"/>
  <c r="AI331" i="16" s="1"/>
  <c r="AE331" i="16"/>
  <c r="W331" i="16"/>
  <c r="S331" i="16"/>
  <c r="Q331" i="16" a="1"/>
  <c r="Q331" i="16" s="1"/>
  <c r="P331" i="16" a="1"/>
  <c r="P331" i="16" s="1"/>
  <c r="R331" i="16" s="1"/>
  <c r="A331" i="16"/>
  <c r="AI330" i="16" a="1"/>
  <c r="AI330" i="16" s="1"/>
  <c r="AE330" i="16"/>
  <c r="W330" i="16"/>
  <c r="S330" i="16"/>
  <c r="Q330" i="16" a="1"/>
  <c r="Q330" i="16" s="1"/>
  <c r="P330" i="16" a="1"/>
  <c r="P330" i="16" s="1"/>
  <c r="R330" i="16" s="1"/>
  <c r="A330" i="16"/>
  <c r="AI329" i="16" a="1"/>
  <c r="AI329" i="16" s="1"/>
  <c r="AE329" i="16"/>
  <c r="W329" i="16"/>
  <c r="S329" i="16"/>
  <c r="Q329" i="16" a="1"/>
  <c r="Q329" i="16" s="1"/>
  <c r="P329" i="16" a="1"/>
  <c r="P329" i="16" s="1"/>
  <c r="R329" i="16" s="1"/>
  <c r="A329" i="16"/>
  <c r="AI328" i="16" a="1"/>
  <c r="AI328" i="16" s="1"/>
  <c r="AE328" i="16"/>
  <c r="W328" i="16"/>
  <c r="S328" i="16"/>
  <c r="Q328" i="16" a="1"/>
  <c r="Q328" i="16" s="1"/>
  <c r="P328" i="16" a="1"/>
  <c r="P328" i="16" s="1"/>
  <c r="R328" i="16" s="1"/>
  <c r="A328" i="16"/>
  <c r="AI327" i="16" a="1"/>
  <c r="AI327" i="16" s="1"/>
  <c r="AE327" i="16"/>
  <c r="W327" i="16"/>
  <c r="S327" i="16"/>
  <c r="Q327" i="16" a="1"/>
  <c r="Q327" i="16" s="1"/>
  <c r="P327" i="16" a="1"/>
  <c r="P327" i="16" s="1"/>
  <c r="R327" i="16" s="1"/>
  <c r="A327" i="16"/>
  <c r="AI326" i="16" a="1"/>
  <c r="AI326" i="16" s="1"/>
  <c r="AE326" i="16"/>
  <c r="W326" i="16"/>
  <c r="S326" i="16"/>
  <c r="Q326" i="16" a="1"/>
  <c r="Q326" i="16" s="1"/>
  <c r="P326" i="16" a="1"/>
  <c r="P326" i="16" s="1"/>
  <c r="R326" i="16" s="1"/>
  <c r="A326" i="16"/>
  <c r="AI325" i="16" a="1"/>
  <c r="AI325" i="16" s="1"/>
  <c r="AE325" i="16"/>
  <c r="W325" i="16"/>
  <c r="S325" i="16"/>
  <c r="Q325" i="16" a="1"/>
  <c r="Q325" i="16" s="1"/>
  <c r="P325" i="16" a="1"/>
  <c r="P325" i="16" s="1"/>
  <c r="R325" i="16" s="1"/>
  <c r="A325" i="16"/>
  <c r="AE324" i="16"/>
  <c r="AI324" i="16" s="1" a="1"/>
  <c r="AI324" i="16" s="1"/>
  <c r="W324" i="16"/>
  <c r="S324" i="16"/>
  <c r="Q324" i="16" a="1"/>
  <c r="Q324" i="16" s="1"/>
  <c r="P324" i="16" a="1"/>
  <c r="P324" i="16" s="1"/>
  <c r="R324" i="16" s="1"/>
  <c r="A324" i="16"/>
  <c r="AE323" i="16"/>
  <c r="AI323" i="16" s="1" a="1"/>
  <c r="AI323" i="16" s="1"/>
  <c r="W323" i="16"/>
  <c r="S323" i="16"/>
  <c r="Q323" i="16" a="1"/>
  <c r="Q323" i="16" s="1"/>
  <c r="P323" i="16" a="1"/>
  <c r="P323" i="16" s="1"/>
  <c r="R323" i="16" s="1"/>
  <c r="A323" i="16"/>
  <c r="AI322" i="16" a="1"/>
  <c r="AI322" i="16" s="1"/>
  <c r="AE322" i="16"/>
  <c r="W322" i="16"/>
  <c r="S322" i="16"/>
  <c r="Q322" i="16" a="1"/>
  <c r="Q322" i="16" s="1"/>
  <c r="P322" i="16" a="1"/>
  <c r="P322" i="16" s="1"/>
  <c r="R322" i="16" s="1"/>
  <c r="A322" i="16"/>
  <c r="AI321" i="16" a="1"/>
  <c r="AI321" i="16" s="1"/>
  <c r="AE321" i="16"/>
  <c r="W321" i="16"/>
  <c r="S321" i="16"/>
  <c r="Q321" i="16" a="1"/>
  <c r="Q321" i="16" s="1"/>
  <c r="P321" i="16" a="1"/>
  <c r="P321" i="16" s="1"/>
  <c r="R321" i="16" s="1"/>
  <c r="A321" i="16"/>
  <c r="AE320" i="16"/>
  <c r="AI320" i="16" s="1" a="1"/>
  <c r="AI320" i="16" s="1"/>
  <c r="W320" i="16"/>
  <c r="S320" i="16"/>
  <c r="Q320" i="16" a="1"/>
  <c r="Q320" i="16" s="1"/>
  <c r="P320" i="16" a="1"/>
  <c r="P320" i="16" s="1"/>
  <c r="R320" i="16" s="1"/>
  <c r="A320" i="16"/>
  <c r="AI319" i="16" a="1"/>
  <c r="AI319" i="16" s="1"/>
  <c r="AE319" i="16"/>
  <c r="W319" i="16"/>
  <c r="S319" i="16"/>
  <c r="Q319" i="16" a="1"/>
  <c r="Q319" i="16" s="1"/>
  <c r="P319" i="16" a="1"/>
  <c r="P319" i="16" s="1"/>
  <c r="R319" i="16" s="1"/>
  <c r="A319" i="16"/>
  <c r="AI318" i="16" a="1"/>
  <c r="AI318" i="16" s="1"/>
  <c r="AE318" i="16"/>
  <c r="W318" i="16"/>
  <c r="S318" i="16"/>
  <c r="Q318" i="16" a="1"/>
  <c r="Q318" i="16" s="1"/>
  <c r="P318" i="16" a="1"/>
  <c r="P318" i="16" s="1"/>
  <c r="R318" i="16" s="1"/>
  <c r="A318" i="16"/>
  <c r="AE317" i="16"/>
  <c r="AI317" i="16" s="1" a="1"/>
  <c r="AI317" i="16" s="1"/>
  <c r="W317" i="16"/>
  <c r="S317" i="16"/>
  <c r="Q317" i="16" a="1"/>
  <c r="Q317" i="16" s="1"/>
  <c r="P317" i="16" a="1"/>
  <c r="P317" i="16" s="1"/>
  <c r="R317" i="16" s="1"/>
  <c r="A317" i="16"/>
  <c r="AI316" i="16" a="1"/>
  <c r="AI316" i="16" s="1"/>
  <c r="AE316" i="16"/>
  <c r="W316" i="16"/>
  <c r="S316" i="16"/>
  <c r="Q316" i="16" a="1"/>
  <c r="Q316" i="16" s="1"/>
  <c r="P316" i="16" a="1"/>
  <c r="P316" i="16" s="1"/>
  <c r="R316" i="16" s="1"/>
  <c r="A316" i="16"/>
  <c r="AI315" i="16" a="1"/>
  <c r="AI315" i="16" s="1"/>
  <c r="AE315" i="16"/>
  <c r="W315" i="16"/>
  <c r="S315" i="16"/>
  <c r="Q315" i="16" a="1"/>
  <c r="Q315" i="16" s="1"/>
  <c r="P315" i="16" a="1"/>
  <c r="P315" i="16" s="1"/>
  <c r="R315" i="16" s="1"/>
  <c r="A315" i="16"/>
  <c r="AI314" i="16" a="1"/>
  <c r="AI314" i="16" s="1"/>
  <c r="AE314" i="16"/>
  <c r="W314" i="16"/>
  <c r="S314" i="16"/>
  <c r="Q314" i="16" a="1"/>
  <c r="Q314" i="16" s="1"/>
  <c r="P314" i="16" a="1"/>
  <c r="P314" i="16" s="1"/>
  <c r="R314" i="16" s="1"/>
  <c r="A314" i="16"/>
  <c r="AI313" i="16" a="1"/>
  <c r="AI313" i="16" s="1"/>
  <c r="AE313" i="16"/>
  <c r="W313" i="16"/>
  <c r="S313" i="16"/>
  <c r="Q313" i="16" a="1"/>
  <c r="Q313" i="16" s="1"/>
  <c r="P313" i="16" a="1"/>
  <c r="P313" i="16" s="1"/>
  <c r="R313" i="16" s="1"/>
  <c r="A313" i="16"/>
  <c r="AI312" i="16" a="1"/>
  <c r="AI312" i="16" s="1"/>
  <c r="AE312" i="16"/>
  <c r="W312" i="16"/>
  <c r="S312" i="16"/>
  <c r="Q312" i="16" a="1"/>
  <c r="Q312" i="16" s="1"/>
  <c r="P312" i="16" a="1"/>
  <c r="P312" i="16" s="1"/>
  <c r="R312" i="16" s="1"/>
  <c r="A312" i="16"/>
  <c r="AE311" i="16"/>
  <c r="AI311" i="16" s="1" a="1"/>
  <c r="AI311" i="16" s="1"/>
  <c r="W311" i="16"/>
  <c r="S311" i="16"/>
  <c r="Q311" i="16" a="1"/>
  <c r="Q311" i="16" s="1"/>
  <c r="P311" i="16" a="1"/>
  <c r="P311" i="16" s="1"/>
  <c r="R311" i="16" s="1"/>
  <c r="A311" i="16"/>
  <c r="AE310" i="16"/>
  <c r="AI310" i="16" s="1" a="1"/>
  <c r="AI310" i="16" s="1"/>
  <c r="W310" i="16"/>
  <c r="S310" i="16"/>
  <c r="Q310" i="16" a="1"/>
  <c r="Q310" i="16" s="1"/>
  <c r="P310" i="16" a="1"/>
  <c r="P310" i="16" s="1"/>
  <c r="R310" i="16" s="1"/>
  <c r="A310" i="16"/>
  <c r="AI309" i="16" a="1"/>
  <c r="AI309" i="16" s="1"/>
  <c r="AE309" i="16"/>
  <c r="W309" i="16"/>
  <c r="S309" i="16"/>
  <c r="Q309" i="16" a="1"/>
  <c r="Q309" i="16" s="1"/>
  <c r="P309" i="16" a="1"/>
  <c r="P309" i="16" s="1"/>
  <c r="R309" i="16" s="1"/>
  <c r="A309" i="16"/>
  <c r="AE308" i="16"/>
  <c r="AI308" i="16" s="1" a="1"/>
  <c r="AI308" i="16" s="1"/>
  <c r="W308" i="16"/>
  <c r="S308" i="16"/>
  <c r="Q308" i="16" a="1"/>
  <c r="Q308" i="16" s="1"/>
  <c r="P308" i="16" a="1"/>
  <c r="P308" i="16" s="1"/>
  <c r="R308" i="16" s="1"/>
  <c r="A308" i="16"/>
  <c r="AE307" i="16"/>
  <c r="AI307" i="16" s="1" a="1"/>
  <c r="AI307" i="16" s="1"/>
  <c r="W307" i="16"/>
  <c r="S307" i="16"/>
  <c r="Q307" i="16" a="1"/>
  <c r="Q307" i="16" s="1"/>
  <c r="P307" i="16" a="1"/>
  <c r="P307" i="16" s="1"/>
  <c r="R307" i="16" s="1"/>
  <c r="A307" i="16"/>
  <c r="AI306" i="16" a="1"/>
  <c r="AI306" i="16" s="1"/>
  <c r="AE306" i="16"/>
  <c r="W306" i="16"/>
  <c r="S306" i="16"/>
  <c r="Q306" i="16" a="1"/>
  <c r="Q306" i="16" s="1"/>
  <c r="P306" i="16" a="1"/>
  <c r="P306" i="16" s="1"/>
  <c r="R306" i="16" s="1"/>
  <c r="A306" i="16"/>
  <c r="AE305" i="16"/>
  <c r="AI305" i="16" s="1" a="1"/>
  <c r="AI305" i="16" s="1"/>
  <c r="W305" i="16"/>
  <c r="S305" i="16"/>
  <c r="Q305" i="16" a="1"/>
  <c r="Q305" i="16" s="1"/>
  <c r="P305" i="16" a="1"/>
  <c r="P305" i="16" s="1"/>
  <c r="R305" i="16" s="1"/>
  <c r="A305" i="16"/>
  <c r="AI304" i="16" a="1"/>
  <c r="AI304" i="16" s="1"/>
  <c r="AE304" i="16"/>
  <c r="W304" i="16"/>
  <c r="S304" i="16"/>
  <c r="Q304" i="16" a="1"/>
  <c r="Q304" i="16" s="1"/>
  <c r="P304" i="16" a="1"/>
  <c r="P304" i="16" s="1"/>
  <c r="R304" i="16" s="1"/>
  <c r="A304" i="16"/>
  <c r="AE303" i="16"/>
  <c r="AI303" i="16" s="1" a="1"/>
  <c r="AI303" i="16" s="1"/>
  <c r="W303" i="16"/>
  <c r="S303" i="16"/>
  <c r="Q303" i="16" a="1"/>
  <c r="Q303" i="16" s="1"/>
  <c r="P303" i="16" a="1"/>
  <c r="P303" i="16" s="1"/>
  <c r="R303" i="16" s="1"/>
  <c r="A303" i="16"/>
  <c r="AE302" i="16"/>
  <c r="AI302" i="16" s="1" a="1"/>
  <c r="AI302" i="16" s="1"/>
  <c r="W302" i="16"/>
  <c r="S302" i="16"/>
  <c r="Q302" i="16" a="1"/>
  <c r="Q302" i="16" s="1"/>
  <c r="P302" i="16" a="1"/>
  <c r="P302" i="16" s="1"/>
  <c r="R302" i="16" s="1"/>
  <c r="A302" i="16"/>
  <c r="AI301" i="16" a="1"/>
  <c r="AI301" i="16" s="1"/>
  <c r="AE301" i="16"/>
  <c r="W301" i="16"/>
  <c r="S301" i="16"/>
  <c r="Q301" i="16" a="1"/>
  <c r="Q301" i="16" s="1"/>
  <c r="P301" i="16" a="1"/>
  <c r="P301" i="16" s="1"/>
  <c r="R301" i="16" s="1"/>
  <c r="A301" i="16"/>
  <c r="AE300" i="16"/>
  <c r="AI300" i="16" s="1" a="1"/>
  <c r="AI300" i="16" s="1"/>
  <c r="W300" i="16"/>
  <c r="S300" i="16"/>
  <c r="Q300" i="16" a="1"/>
  <c r="Q300" i="16" s="1"/>
  <c r="P300" i="16" a="1"/>
  <c r="P300" i="16" s="1"/>
  <c r="R300" i="16" s="1"/>
  <c r="A300" i="16"/>
  <c r="AE299" i="16"/>
  <c r="AI299" i="16" s="1" a="1"/>
  <c r="AI299" i="16" s="1"/>
  <c r="W299" i="16"/>
  <c r="S299" i="16"/>
  <c r="Q299" i="16" a="1"/>
  <c r="Q299" i="16" s="1"/>
  <c r="P299" i="16" a="1"/>
  <c r="P299" i="16" s="1"/>
  <c r="R299" i="16" s="1"/>
  <c r="A299" i="16"/>
  <c r="AE298" i="16"/>
  <c r="AI298" i="16" s="1" a="1"/>
  <c r="AI298" i="16" s="1"/>
  <c r="W298" i="16"/>
  <c r="S298" i="16"/>
  <c r="Q298" i="16" a="1"/>
  <c r="Q298" i="16" s="1"/>
  <c r="P298" i="16" a="1"/>
  <c r="P298" i="16" s="1"/>
  <c r="R298" i="16" s="1"/>
  <c r="A298" i="16"/>
  <c r="AE297" i="16"/>
  <c r="AI297" i="16" s="1" a="1"/>
  <c r="AI297" i="16" s="1"/>
  <c r="W297" i="16"/>
  <c r="S297" i="16"/>
  <c r="Q297" i="16" a="1"/>
  <c r="Q297" i="16" s="1"/>
  <c r="P297" i="16" a="1"/>
  <c r="P297" i="16" s="1"/>
  <c r="R297" i="16" s="1"/>
  <c r="A297" i="16"/>
  <c r="AI296" i="16" a="1"/>
  <c r="AI296" i="16" s="1"/>
  <c r="AE296" i="16"/>
  <c r="W296" i="16"/>
  <c r="S296" i="16"/>
  <c r="Q296" i="16" a="1"/>
  <c r="Q296" i="16" s="1"/>
  <c r="P296" i="16" a="1"/>
  <c r="P296" i="16" s="1"/>
  <c r="R296" i="16" s="1"/>
  <c r="A296" i="16"/>
  <c r="AI295" i="16" a="1"/>
  <c r="AI295" i="16" s="1"/>
  <c r="AE295" i="16"/>
  <c r="W295" i="16"/>
  <c r="S295" i="16"/>
  <c r="Q295" i="16" a="1"/>
  <c r="Q295" i="16" s="1"/>
  <c r="P295" i="16" a="1"/>
  <c r="P295" i="16" s="1"/>
  <c r="R295" i="16" s="1"/>
  <c r="A295" i="16"/>
  <c r="AI294" i="16" a="1"/>
  <c r="AI294" i="16" s="1"/>
  <c r="AE294" i="16"/>
  <c r="W294" i="16"/>
  <c r="S294" i="16"/>
  <c r="Q294" i="16" a="1"/>
  <c r="Q294" i="16" s="1"/>
  <c r="P294" i="16" a="1"/>
  <c r="P294" i="16" s="1"/>
  <c r="R294" i="16" s="1"/>
  <c r="A294" i="16"/>
  <c r="AI293" i="16" a="1"/>
  <c r="AI293" i="16" s="1"/>
  <c r="AE293" i="16"/>
  <c r="W293" i="16"/>
  <c r="S293" i="16"/>
  <c r="Q293" i="16" a="1"/>
  <c r="Q293" i="16" s="1"/>
  <c r="P293" i="16" a="1"/>
  <c r="P293" i="16" s="1"/>
  <c r="R293" i="16" s="1"/>
  <c r="A293" i="16"/>
  <c r="AI292" i="16" a="1"/>
  <c r="AI292" i="16" s="1"/>
  <c r="AE292" i="16"/>
  <c r="W292" i="16"/>
  <c r="S292" i="16"/>
  <c r="Q292" i="16" a="1"/>
  <c r="Q292" i="16" s="1"/>
  <c r="P292" i="16" a="1"/>
  <c r="P292" i="16" s="1"/>
  <c r="R292" i="16" s="1"/>
  <c r="A292" i="16"/>
  <c r="AI291" i="16" a="1"/>
  <c r="AI291" i="16" s="1"/>
  <c r="AE291" i="16"/>
  <c r="W291" i="16"/>
  <c r="S291" i="16"/>
  <c r="Q291" i="16" a="1"/>
  <c r="Q291" i="16" s="1"/>
  <c r="P291" i="16" a="1"/>
  <c r="P291" i="16" s="1"/>
  <c r="R291" i="16" s="1"/>
  <c r="A291" i="16"/>
  <c r="AE290" i="16"/>
  <c r="AI290" i="16" s="1" a="1"/>
  <c r="AI290" i="16" s="1"/>
  <c r="W290" i="16"/>
  <c r="S290" i="16"/>
  <c r="Q290" i="16" a="1"/>
  <c r="Q290" i="16" s="1"/>
  <c r="P290" i="16" a="1"/>
  <c r="P290" i="16" s="1"/>
  <c r="R290" i="16" s="1"/>
  <c r="A290" i="16"/>
  <c r="AI289" i="16" a="1"/>
  <c r="AI289" i="16" s="1"/>
  <c r="AE289" i="16"/>
  <c r="W289" i="16"/>
  <c r="S289" i="16"/>
  <c r="Q289" i="16" a="1"/>
  <c r="Q289" i="16" s="1"/>
  <c r="P289" i="16" a="1"/>
  <c r="P289" i="16" s="1"/>
  <c r="R289" i="16" s="1"/>
  <c r="A289" i="16"/>
  <c r="AE288" i="16"/>
  <c r="AI288" i="16" s="1" a="1"/>
  <c r="AI288" i="16" s="1"/>
  <c r="W288" i="16"/>
  <c r="S288" i="16"/>
  <c r="Q288" i="16" a="1"/>
  <c r="Q288" i="16" s="1"/>
  <c r="P288" i="16" a="1"/>
  <c r="P288" i="16" s="1"/>
  <c r="R288" i="16" s="1"/>
  <c r="A288" i="16"/>
  <c r="AI287" i="16" a="1"/>
  <c r="AI287" i="16" s="1"/>
  <c r="AE287" i="16"/>
  <c r="W287" i="16"/>
  <c r="S287" i="16"/>
  <c r="Q287" i="16" a="1"/>
  <c r="Q287" i="16" s="1"/>
  <c r="P287" i="16" a="1"/>
  <c r="P287" i="16" s="1"/>
  <c r="R287" i="16" s="1"/>
  <c r="A287" i="16"/>
  <c r="AI286" i="16" a="1"/>
  <c r="AI286" i="16" s="1"/>
  <c r="AE286" i="16"/>
  <c r="W286" i="16"/>
  <c r="S286" i="16"/>
  <c r="Q286" i="16" a="1"/>
  <c r="Q286" i="16" s="1"/>
  <c r="P286" i="16" a="1"/>
  <c r="P286" i="16" s="1"/>
  <c r="R286" i="16" s="1"/>
  <c r="A286" i="16"/>
  <c r="AI285" i="16" a="1"/>
  <c r="AI285" i="16" s="1"/>
  <c r="AE285" i="16"/>
  <c r="W285" i="16"/>
  <c r="S285" i="16"/>
  <c r="Q285" i="16" a="1"/>
  <c r="Q285" i="16" s="1"/>
  <c r="P285" i="16" a="1"/>
  <c r="P285" i="16" s="1"/>
  <c r="R285" i="16" s="1"/>
  <c r="A285" i="16"/>
  <c r="AI284" i="16" a="1"/>
  <c r="AI284" i="16" s="1"/>
  <c r="AE284" i="16"/>
  <c r="W284" i="16"/>
  <c r="S284" i="16"/>
  <c r="Q284" i="16" a="1"/>
  <c r="Q284" i="16" s="1"/>
  <c r="P284" i="16" a="1"/>
  <c r="P284" i="16" s="1"/>
  <c r="R284" i="16" s="1"/>
  <c r="A284" i="16"/>
  <c r="AI283" i="16" a="1"/>
  <c r="AI283" i="16" s="1"/>
  <c r="AE283" i="16"/>
  <c r="W283" i="16"/>
  <c r="S283" i="16"/>
  <c r="Q283" i="16" a="1"/>
  <c r="Q283" i="16" s="1"/>
  <c r="P283" i="16" a="1"/>
  <c r="P283" i="16" s="1"/>
  <c r="R283" i="16" s="1"/>
  <c r="A283" i="16"/>
  <c r="AI282" i="16" a="1"/>
  <c r="AI282" i="16" s="1"/>
  <c r="AE282" i="16"/>
  <c r="W282" i="16"/>
  <c r="S282" i="16"/>
  <c r="Q282" i="16" a="1"/>
  <c r="Q282" i="16" s="1"/>
  <c r="P282" i="16" a="1"/>
  <c r="P282" i="16" s="1"/>
  <c r="R282" i="16" s="1"/>
  <c r="A282" i="16"/>
  <c r="AI281" i="16" a="1"/>
  <c r="AI281" i="16" s="1"/>
  <c r="AE281" i="16"/>
  <c r="W281" i="16"/>
  <c r="S281" i="16"/>
  <c r="Q281" i="16" a="1"/>
  <c r="Q281" i="16" s="1"/>
  <c r="P281" i="16" a="1"/>
  <c r="P281" i="16" s="1"/>
  <c r="R281" i="16" s="1"/>
  <c r="A281" i="16"/>
  <c r="AI280" i="16" a="1"/>
  <c r="AI280" i="16" s="1"/>
  <c r="AE280" i="16"/>
  <c r="W280" i="16"/>
  <c r="S280" i="16"/>
  <c r="Q280" i="16" a="1"/>
  <c r="Q280" i="16" s="1"/>
  <c r="P280" i="16" a="1"/>
  <c r="P280" i="16" s="1"/>
  <c r="R280" i="16" s="1"/>
  <c r="A280" i="16"/>
  <c r="AE279" i="16"/>
  <c r="AI279" i="16" s="1" a="1"/>
  <c r="AI279" i="16" s="1"/>
  <c r="W279" i="16"/>
  <c r="S279" i="16"/>
  <c r="Q279" i="16" a="1"/>
  <c r="Q279" i="16" s="1"/>
  <c r="P279" i="16" a="1"/>
  <c r="P279" i="16" s="1"/>
  <c r="R279" i="16" s="1"/>
  <c r="A279" i="16"/>
  <c r="AE278" i="16"/>
  <c r="AI278" i="16" s="1" a="1"/>
  <c r="AI278" i="16" s="1"/>
  <c r="W278" i="16"/>
  <c r="S278" i="16"/>
  <c r="Q278" i="16" a="1"/>
  <c r="Q278" i="16" s="1"/>
  <c r="P278" i="16" a="1"/>
  <c r="P278" i="16" s="1"/>
  <c r="R278" i="16" s="1"/>
  <c r="A278" i="16"/>
  <c r="AI277" i="16" a="1"/>
  <c r="AI277" i="16" s="1"/>
  <c r="AE277" i="16"/>
  <c r="W277" i="16"/>
  <c r="S277" i="16"/>
  <c r="Q277" i="16" a="1"/>
  <c r="Q277" i="16" s="1"/>
  <c r="P277" i="16" a="1"/>
  <c r="P277" i="16" s="1"/>
  <c r="R277" i="16" s="1"/>
  <c r="A277" i="16"/>
  <c r="AE276" i="16"/>
  <c r="AI276" i="16" s="1" a="1"/>
  <c r="AI276" i="16" s="1"/>
  <c r="W276" i="16"/>
  <c r="S276" i="16"/>
  <c r="Q276" i="16" a="1"/>
  <c r="Q276" i="16" s="1"/>
  <c r="P276" i="16" a="1"/>
  <c r="P276" i="16" s="1"/>
  <c r="R276" i="16" s="1"/>
  <c r="A276" i="16"/>
  <c r="AE275" i="16"/>
  <c r="AI275" i="16" s="1" a="1"/>
  <c r="AI275" i="16" s="1"/>
  <c r="W275" i="16"/>
  <c r="S275" i="16"/>
  <c r="Q275" i="16" a="1"/>
  <c r="Q275" i="16" s="1"/>
  <c r="P275" i="16" a="1"/>
  <c r="P275" i="16" s="1"/>
  <c r="R275" i="16" s="1"/>
  <c r="A275" i="16"/>
  <c r="AI274" i="16" a="1"/>
  <c r="AI274" i="16" s="1"/>
  <c r="AE274" i="16"/>
  <c r="W274" i="16"/>
  <c r="S274" i="16"/>
  <c r="Q274" i="16" a="1"/>
  <c r="Q274" i="16" s="1"/>
  <c r="P274" i="16" a="1"/>
  <c r="P274" i="16" s="1"/>
  <c r="R274" i="16" s="1"/>
  <c r="A274" i="16"/>
  <c r="AE273" i="16"/>
  <c r="AI273" i="16" s="1" a="1"/>
  <c r="AI273" i="16" s="1"/>
  <c r="W273" i="16"/>
  <c r="S273" i="16"/>
  <c r="Q273" i="16" a="1"/>
  <c r="Q273" i="16" s="1"/>
  <c r="P273" i="16" a="1"/>
  <c r="P273" i="16" s="1"/>
  <c r="R273" i="16" s="1"/>
  <c r="A273" i="16"/>
  <c r="AI272" i="16" a="1"/>
  <c r="AI272" i="16" s="1"/>
  <c r="AE272" i="16"/>
  <c r="W272" i="16"/>
  <c r="S272" i="16"/>
  <c r="Q272" i="16" a="1"/>
  <c r="Q272" i="16" s="1"/>
  <c r="P272" i="16" a="1"/>
  <c r="P272" i="16" s="1"/>
  <c r="R272" i="16" s="1"/>
  <c r="A272" i="16"/>
  <c r="AE271" i="16"/>
  <c r="AI271" i="16" s="1" a="1"/>
  <c r="AI271" i="16" s="1"/>
  <c r="W271" i="16"/>
  <c r="S271" i="16"/>
  <c r="Q271" i="16" a="1"/>
  <c r="Q271" i="16" s="1"/>
  <c r="P271" i="16" a="1"/>
  <c r="P271" i="16" s="1"/>
  <c r="R271" i="16" s="1"/>
  <c r="A271" i="16"/>
  <c r="AE270" i="16"/>
  <c r="AI270" i="16" s="1" a="1"/>
  <c r="AI270" i="16" s="1"/>
  <c r="W270" i="16"/>
  <c r="S270" i="16"/>
  <c r="Q270" i="16" a="1"/>
  <c r="Q270" i="16" s="1"/>
  <c r="P270" i="16" a="1"/>
  <c r="P270" i="16" s="1"/>
  <c r="R270" i="16" s="1"/>
  <c r="A270" i="16"/>
  <c r="AI269" i="16" a="1"/>
  <c r="AI269" i="16" s="1"/>
  <c r="AE269" i="16"/>
  <c r="W269" i="16"/>
  <c r="S269" i="16"/>
  <c r="Q269" i="16" a="1"/>
  <c r="Q269" i="16" s="1"/>
  <c r="P269" i="16" a="1"/>
  <c r="P269" i="16" s="1"/>
  <c r="R269" i="16" s="1"/>
  <c r="A269" i="16"/>
  <c r="AE268" i="16"/>
  <c r="AI268" i="16" s="1" a="1"/>
  <c r="AI268" i="16" s="1"/>
  <c r="W268" i="16"/>
  <c r="S268" i="16"/>
  <c r="Q268" i="16" a="1"/>
  <c r="Q268" i="16" s="1"/>
  <c r="P268" i="16" a="1"/>
  <c r="P268" i="16" s="1"/>
  <c r="R268" i="16" s="1"/>
  <c r="A268" i="16"/>
  <c r="AE267" i="16"/>
  <c r="AI267" i="16" s="1" a="1"/>
  <c r="AI267" i="16" s="1"/>
  <c r="W267" i="16"/>
  <c r="S267" i="16"/>
  <c r="Q267" i="16" a="1"/>
  <c r="Q267" i="16" s="1"/>
  <c r="P267" i="16" a="1"/>
  <c r="P267" i="16" s="1"/>
  <c r="R267" i="16" s="1"/>
  <c r="A267" i="16"/>
  <c r="AE266" i="16"/>
  <c r="AI266" i="16" s="1" a="1"/>
  <c r="AI266" i="16" s="1"/>
  <c r="W266" i="16"/>
  <c r="S266" i="16"/>
  <c r="Q266" i="16" a="1"/>
  <c r="Q266" i="16" s="1"/>
  <c r="P266" i="16" a="1"/>
  <c r="P266" i="16" s="1"/>
  <c r="R266" i="16" s="1"/>
  <c r="A266" i="16"/>
  <c r="AI265" i="16" a="1"/>
  <c r="AI265" i="16" s="1"/>
  <c r="AE265" i="16"/>
  <c r="W265" i="16"/>
  <c r="S265" i="16"/>
  <c r="Q265" i="16" a="1"/>
  <c r="Q265" i="16" s="1"/>
  <c r="P265" i="16" a="1"/>
  <c r="P265" i="16" s="1"/>
  <c r="R265" i="16" s="1"/>
  <c r="A265" i="16"/>
  <c r="AI264" i="16" a="1"/>
  <c r="AI264" i="16" s="1"/>
  <c r="AE264" i="16"/>
  <c r="W264" i="16"/>
  <c r="S264" i="16"/>
  <c r="Q264" i="16" a="1"/>
  <c r="Q264" i="16" s="1"/>
  <c r="P264" i="16" a="1"/>
  <c r="P264" i="16" s="1"/>
  <c r="R264" i="16" s="1"/>
  <c r="A264" i="16"/>
  <c r="AI263" i="16" a="1"/>
  <c r="AI263" i="16" s="1"/>
  <c r="AE263" i="16"/>
  <c r="W263" i="16"/>
  <c r="S263" i="16"/>
  <c r="Q263" i="16" a="1"/>
  <c r="Q263" i="16" s="1"/>
  <c r="P263" i="16" a="1"/>
  <c r="P263" i="16" s="1"/>
  <c r="R263" i="16" s="1"/>
  <c r="A263" i="16"/>
  <c r="AE262" i="16"/>
  <c r="AI262" i="16" s="1" a="1"/>
  <c r="AI262" i="16" s="1"/>
  <c r="W262" i="16"/>
  <c r="S262" i="16"/>
  <c r="Q262" i="16" a="1"/>
  <c r="Q262" i="16" s="1"/>
  <c r="P262" i="16" a="1"/>
  <c r="P262" i="16" s="1"/>
  <c r="R262" i="16" s="1"/>
  <c r="A262" i="16"/>
  <c r="AE261" i="16"/>
  <c r="AI261" i="16" s="1" a="1"/>
  <c r="AI261" i="16" s="1"/>
  <c r="W261" i="16"/>
  <c r="S261" i="16"/>
  <c r="Q261" i="16" a="1"/>
  <c r="Q261" i="16" s="1"/>
  <c r="P261" i="16" a="1"/>
  <c r="P261" i="16" s="1"/>
  <c r="R261" i="16" s="1"/>
  <c r="A261" i="16"/>
  <c r="AI260" i="16" a="1"/>
  <c r="AI260" i="16" s="1"/>
  <c r="AE260" i="16"/>
  <c r="W260" i="16"/>
  <c r="S260" i="16"/>
  <c r="Q260" i="16" a="1"/>
  <c r="Q260" i="16" s="1"/>
  <c r="P260" i="16" a="1"/>
  <c r="P260" i="16" s="1"/>
  <c r="R260" i="16" s="1"/>
  <c r="A260" i="16"/>
  <c r="AI259" i="16" a="1"/>
  <c r="AI259" i="16" s="1"/>
  <c r="AE259" i="16"/>
  <c r="W259" i="16"/>
  <c r="S259" i="16"/>
  <c r="Q259" i="16" a="1"/>
  <c r="Q259" i="16" s="1"/>
  <c r="P259" i="16" a="1"/>
  <c r="P259" i="16" s="1"/>
  <c r="R259" i="16" s="1"/>
  <c r="A259" i="16"/>
  <c r="AI258" i="16" a="1"/>
  <c r="AI258" i="16" s="1"/>
  <c r="AE258" i="16"/>
  <c r="W258" i="16"/>
  <c r="S258" i="16"/>
  <c r="Q258" i="16" a="1"/>
  <c r="Q258" i="16" s="1"/>
  <c r="P258" i="16" a="1"/>
  <c r="P258" i="16" s="1"/>
  <c r="R258" i="16" s="1"/>
  <c r="A258" i="16"/>
  <c r="AI257" i="16" a="1"/>
  <c r="AI257" i="16" s="1"/>
  <c r="AE257" i="16"/>
  <c r="W257" i="16"/>
  <c r="S257" i="16"/>
  <c r="Q257" i="16" a="1"/>
  <c r="Q257" i="16" s="1"/>
  <c r="P257" i="16" a="1"/>
  <c r="P257" i="16" s="1"/>
  <c r="R257" i="16" s="1"/>
  <c r="A257" i="16"/>
  <c r="AI256" i="16" a="1"/>
  <c r="AI256" i="16" s="1"/>
  <c r="AE256" i="16"/>
  <c r="W256" i="16"/>
  <c r="S256" i="16"/>
  <c r="Q256" i="16" a="1"/>
  <c r="Q256" i="16" s="1"/>
  <c r="P256" i="16" a="1"/>
  <c r="P256" i="16" s="1"/>
  <c r="R256" i="16" s="1"/>
  <c r="A256" i="16"/>
  <c r="AE255" i="16"/>
  <c r="AI255" i="16" s="1" a="1"/>
  <c r="AI255" i="16" s="1"/>
  <c r="W255" i="16"/>
  <c r="S255" i="16"/>
  <c r="Q255" i="16" a="1"/>
  <c r="Q255" i="16" s="1"/>
  <c r="P255" i="16" a="1"/>
  <c r="P255" i="16" s="1"/>
  <c r="R255" i="16" s="1"/>
  <c r="A255" i="16"/>
  <c r="AE254" i="16"/>
  <c r="AI254" i="16" s="1" a="1"/>
  <c r="AI254" i="16" s="1"/>
  <c r="W254" i="16"/>
  <c r="S254" i="16"/>
  <c r="Q254" i="16" a="1"/>
  <c r="Q254" i="16" s="1"/>
  <c r="P254" i="16" a="1"/>
  <c r="P254" i="16" s="1"/>
  <c r="R254" i="16" s="1"/>
  <c r="A254" i="16"/>
  <c r="AE253" i="16"/>
  <c r="AI253" i="16" s="1" a="1"/>
  <c r="AI253" i="16" s="1"/>
  <c r="W253" i="16"/>
  <c r="S253" i="16"/>
  <c r="Q253" i="16" a="1"/>
  <c r="Q253" i="16" s="1"/>
  <c r="P253" i="16" a="1"/>
  <c r="P253" i="16" s="1"/>
  <c r="R253" i="16" s="1"/>
  <c r="A253" i="16"/>
  <c r="AE252" i="16"/>
  <c r="AI252" i="16" s="1" a="1"/>
  <c r="AI252" i="16" s="1"/>
  <c r="W252" i="16"/>
  <c r="S252" i="16"/>
  <c r="Q252" i="16" a="1"/>
  <c r="Q252" i="16" s="1"/>
  <c r="P252" i="16" a="1"/>
  <c r="P252" i="16" s="1"/>
  <c r="R252" i="16" s="1"/>
  <c r="A252" i="16"/>
  <c r="AI251" i="16" a="1"/>
  <c r="AI251" i="16" s="1"/>
  <c r="AE251" i="16"/>
  <c r="W251" i="16"/>
  <c r="S251" i="16"/>
  <c r="Q251" i="16" a="1"/>
  <c r="Q251" i="16" s="1"/>
  <c r="P251" i="16" a="1"/>
  <c r="P251" i="16" s="1"/>
  <c r="R251" i="16" s="1"/>
  <c r="A251" i="16"/>
  <c r="AE250" i="16"/>
  <c r="AI250" i="16" s="1" a="1"/>
  <c r="AI250" i="16" s="1"/>
  <c r="W250" i="16"/>
  <c r="S250" i="16"/>
  <c r="Q250" i="16" a="1"/>
  <c r="Q250" i="16" s="1"/>
  <c r="P250" i="16" a="1"/>
  <c r="P250" i="16" s="1"/>
  <c r="R250" i="16" s="1"/>
  <c r="A250" i="16"/>
  <c r="AI249" i="16" a="1"/>
  <c r="AI249" i="16" s="1"/>
  <c r="AE249" i="16"/>
  <c r="W249" i="16"/>
  <c r="S249" i="16"/>
  <c r="Q249" i="16" a="1"/>
  <c r="Q249" i="16" s="1"/>
  <c r="P249" i="16" a="1"/>
  <c r="P249" i="16" s="1"/>
  <c r="R249" i="16" s="1"/>
  <c r="A249" i="16"/>
  <c r="AI248" i="16" a="1"/>
  <c r="AI248" i="16" s="1"/>
  <c r="AE248" i="16"/>
  <c r="W248" i="16"/>
  <c r="S248" i="16"/>
  <c r="Q248" i="16" a="1"/>
  <c r="Q248" i="16" s="1"/>
  <c r="P248" i="16" a="1"/>
  <c r="P248" i="16" s="1"/>
  <c r="R248" i="16" s="1"/>
  <c r="A248" i="16"/>
  <c r="AI247" i="16" a="1"/>
  <c r="AI247" i="16" s="1"/>
  <c r="AE247" i="16"/>
  <c r="W247" i="16"/>
  <c r="S247" i="16"/>
  <c r="Q247" i="16" a="1"/>
  <c r="Q247" i="16" s="1"/>
  <c r="P247" i="16" a="1"/>
  <c r="P247" i="16" s="1"/>
  <c r="R247" i="16" s="1"/>
  <c r="A247" i="16"/>
  <c r="AE246" i="16"/>
  <c r="AI246" i="16" s="1" a="1"/>
  <c r="AI246" i="16" s="1"/>
  <c r="W246" i="16"/>
  <c r="S246" i="16"/>
  <c r="Q246" i="16" a="1"/>
  <c r="Q246" i="16" s="1"/>
  <c r="P246" i="16" a="1"/>
  <c r="P246" i="16" s="1"/>
  <c r="R246" i="16" s="1"/>
  <c r="A246" i="16"/>
  <c r="AI245" i="16" a="1"/>
  <c r="AI245" i="16" s="1"/>
  <c r="AE245" i="16"/>
  <c r="W245" i="16"/>
  <c r="S245" i="16"/>
  <c r="Q245" i="16" a="1"/>
  <c r="Q245" i="16" s="1"/>
  <c r="P245" i="16" a="1"/>
  <c r="P245" i="16" s="1"/>
  <c r="R245" i="16" s="1"/>
  <c r="A245" i="16"/>
  <c r="AI244" i="16" a="1"/>
  <c r="AI244" i="16" s="1"/>
  <c r="AE244" i="16"/>
  <c r="W244" i="16"/>
  <c r="S244" i="16"/>
  <c r="Q244" i="16" a="1"/>
  <c r="Q244" i="16" s="1"/>
  <c r="P244" i="16" a="1"/>
  <c r="P244" i="16" s="1"/>
  <c r="R244" i="16" s="1"/>
  <c r="A244" i="16"/>
  <c r="AI243" i="16" a="1"/>
  <c r="AI243" i="16" s="1"/>
  <c r="AE243" i="16"/>
  <c r="W243" i="16"/>
  <c r="S243" i="16"/>
  <c r="Q243" i="16" a="1"/>
  <c r="Q243" i="16" s="1"/>
  <c r="P243" i="16" a="1"/>
  <c r="P243" i="16" s="1"/>
  <c r="R243" i="16" s="1"/>
  <c r="A243" i="16"/>
  <c r="AE242" i="16"/>
  <c r="AI242" i="16" s="1" a="1"/>
  <c r="AI242" i="16" s="1"/>
  <c r="W242" i="16"/>
  <c r="S242" i="16"/>
  <c r="Q242" i="16" a="1"/>
  <c r="Q242" i="16" s="1"/>
  <c r="P242" i="16" a="1"/>
  <c r="P242" i="16" s="1"/>
  <c r="R242" i="16" s="1"/>
  <c r="A242" i="16"/>
  <c r="AI241" i="16" a="1"/>
  <c r="AI241" i="16" s="1"/>
  <c r="AE241" i="16"/>
  <c r="W241" i="16"/>
  <c r="S241" i="16"/>
  <c r="Q241" i="16" a="1"/>
  <c r="Q241" i="16" s="1"/>
  <c r="P241" i="16" a="1"/>
  <c r="P241" i="16" s="1"/>
  <c r="R241" i="16" s="1"/>
  <c r="A241" i="16"/>
  <c r="AE240" i="16"/>
  <c r="AI240" i="16" s="1" a="1"/>
  <c r="AI240" i="16" s="1"/>
  <c r="W240" i="16"/>
  <c r="S240" i="16"/>
  <c r="Q240" i="16" a="1"/>
  <c r="Q240" i="16" s="1"/>
  <c r="P240" i="16" a="1"/>
  <c r="P240" i="16" s="1"/>
  <c r="R240" i="16" s="1"/>
  <c r="A240" i="16"/>
  <c r="AI239" i="16" a="1"/>
  <c r="AI239" i="16" s="1"/>
  <c r="AE239" i="16"/>
  <c r="W239" i="16"/>
  <c r="S239" i="16"/>
  <c r="Q239" i="16" a="1"/>
  <c r="Q239" i="16" s="1"/>
  <c r="P239" i="16" a="1"/>
  <c r="P239" i="16" s="1"/>
  <c r="R239" i="16" s="1"/>
  <c r="A239" i="16"/>
  <c r="AI238" i="16" a="1"/>
  <c r="AI238" i="16" s="1"/>
  <c r="AE238" i="16"/>
  <c r="W238" i="16"/>
  <c r="S238" i="16"/>
  <c r="Q238" i="16" a="1"/>
  <c r="Q238" i="16" s="1"/>
  <c r="P238" i="16" a="1"/>
  <c r="P238" i="16" s="1"/>
  <c r="R238" i="16" s="1"/>
  <c r="A238" i="16"/>
  <c r="AE237" i="16"/>
  <c r="AI237" i="16" s="1" a="1"/>
  <c r="AI237" i="16" s="1"/>
  <c r="W237" i="16"/>
  <c r="S237" i="16"/>
  <c r="Q237" i="16" a="1"/>
  <c r="Q237" i="16" s="1"/>
  <c r="P237" i="16" a="1"/>
  <c r="P237" i="16" s="1"/>
  <c r="R237" i="16" s="1"/>
  <c r="A237" i="16"/>
  <c r="AI236" i="16" a="1"/>
  <c r="AI236" i="16" s="1"/>
  <c r="AE236" i="16"/>
  <c r="W236" i="16"/>
  <c r="S236" i="16"/>
  <c r="Q236" i="16" a="1"/>
  <c r="Q236" i="16" s="1"/>
  <c r="P236" i="16" a="1"/>
  <c r="P236" i="16" s="1"/>
  <c r="R236" i="16" s="1"/>
  <c r="A236" i="16"/>
  <c r="AE235" i="16"/>
  <c r="AI235" i="16" s="1" a="1"/>
  <c r="AI235" i="16" s="1"/>
  <c r="W235" i="16"/>
  <c r="S235" i="16"/>
  <c r="Q235" i="16" a="1"/>
  <c r="Q235" i="16" s="1"/>
  <c r="P235" i="16" a="1"/>
  <c r="P235" i="16" s="1"/>
  <c r="R235" i="16" s="1"/>
  <c r="A235" i="16"/>
  <c r="AE234" i="16"/>
  <c r="AI234" i="16" s="1" a="1"/>
  <c r="AI234" i="16" s="1"/>
  <c r="W234" i="16"/>
  <c r="S234" i="16"/>
  <c r="Q234" i="16" a="1"/>
  <c r="Q234" i="16" s="1"/>
  <c r="P234" i="16" a="1"/>
  <c r="P234" i="16" s="1"/>
  <c r="R234" i="16" s="1"/>
  <c r="A234" i="16"/>
  <c r="AE233" i="16"/>
  <c r="AI233" i="16" s="1" a="1"/>
  <c r="AI233" i="16" s="1"/>
  <c r="W233" i="16"/>
  <c r="S233" i="16"/>
  <c r="Q233" i="16" a="1"/>
  <c r="Q233" i="16" s="1"/>
  <c r="P233" i="16" a="1"/>
  <c r="P233" i="16" s="1"/>
  <c r="R233" i="16" s="1"/>
  <c r="A233" i="16"/>
  <c r="AE232" i="16"/>
  <c r="AI232" i="16" s="1" a="1"/>
  <c r="AI232" i="16" s="1"/>
  <c r="W232" i="16"/>
  <c r="S232" i="16"/>
  <c r="Q232" i="16" a="1"/>
  <c r="Q232" i="16" s="1"/>
  <c r="P232" i="16" a="1"/>
  <c r="P232" i="16" s="1"/>
  <c r="R232" i="16" s="1"/>
  <c r="A232" i="16"/>
  <c r="AI231" i="16" a="1"/>
  <c r="AI231" i="16" s="1"/>
  <c r="AE231" i="16"/>
  <c r="W231" i="16"/>
  <c r="S231" i="16"/>
  <c r="Q231" i="16" a="1"/>
  <c r="Q231" i="16" s="1"/>
  <c r="P231" i="16" a="1"/>
  <c r="P231" i="16" s="1"/>
  <c r="R231" i="16" s="1"/>
  <c r="A231" i="16"/>
  <c r="AE230" i="16"/>
  <c r="AI230" i="16" s="1" a="1"/>
  <c r="AI230" i="16" s="1"/>
  <c r="W230" i="16"/>
  <c r="S230" i="16"/>
  <c r="Q230" i="16" a="1"/>
  <c r="Q230" i="16" s="1"/>
  <c r="P230" i="16" a="1"/>
  <c r="P230" i="16" s="1"/>
  <c r="R230" i="16" s="1"/>
  <c r="A230" i="16"/>
  <c r="AI229" i="16" a="1"/>
  <c r="AI229" i="16" s="1"/>
  <c r="AE229" i="16"/>
  <c r="W229" i="16"/>
  <c r="S229" i="16"/>
  <c r="Q229" i="16" a="1"/>
  <c r="Q229" i="16" s="1"/>
  <c r="P229" i="16" a="1"/>
  <c r="P229" i="16" s="1"/>
  <c r="R229" i="16" s="1"/>
  <c r="A229" i="16"/>
  <c r="AI228" i="16" a="1"/>
  <c r="AI228" i="16" s="1"/>
  <c r="AE228" i="16"/>
  <c r="W228" i="16"/>
  <c r="S228" i="16"/>
  <c r="Q228" i="16" a="1"/>
  <c r="Q228" i="16" s="1"/>
  <c r="P228" i="16" a="1"/>
  <c r="P228" i="16" s="1"/>
  <c r="R228" i="16" s="1"/>
  <c r="A228" i="16"/>
  <c r="AI227" i="16" a="1"/>
  <c r="AI227" i="16" s="1"/>
  <c r="AE227" i="16"/>
  <c r="W227" i="16"/>
  <c r="S227" i="16"/>
  <c r="Q227" i="16" a="1"/>
  <c r="Q227" i="16" s="1"/>
  <c r="P227" i="16" a="1"/>
  <c r="P227" i="16" s="1"/>
  <c r="R227" i="16" s="1"/>
  <c r="A227" i="16"/>
  <c r="AE226" i="16"/>
  <c r="AI226" i="16" s="1" a="1"/>
  <c r="AI226" i="16" s="1"/>
  <c r="W226" i="16"/>
  <c r="S226" i="16"/>
  <c r="Q226" i="16" a="1"/>
  <c r="Q226" i="16" s="1"/>
  <c r="P226" i="16" a="1"/>
  <c r="P226" i="16" s="1"/>
  <c r="R226" i="16" s="1"/>
  <c r="A226" i="16"/>
  <c r="AE225" i="16"/>
  <c r="AI225" i="16" s="1" a="1"/>
  <c r="AI225" i="16" s="1"/>
  <c r="W225" i="16"/>
  <c r="S225" i="16"/>
  <c r="Q225" i="16" a="1"/>
  <c r="Q225" i="16" s="1"/>
  <c r="P225" i="16" a="1"/>
  <c r="P225" i="16" s="1"/>
  <c r="R225" i="16" s="1"/>
  <c r="A225" i="16"/>
  <c r="AE224" i="16"/>
  <c r="AI224" i="16" s="1" a="1"/>
  <c r="AI224" i="16" s="1"/>
  <c r="W224" i="16"/>
  <c r="S224" i="16"/>
  <c r="Q224" i="16" a="1"/>
  <c r="Q224" i="16" s="1"/>
  <c r="P224" i="16" a="1"/>
  <c r="P224" i="16" s="1"/>
  <c r="R224" i="16" s="1"/>
  <c r="A224" i="16"/>
  <c r="AE223" i="16"/>
  <c r="AI223" i="16" s="1" a="1"/>
  <c r="AI223" i="16" s="1"/>
  <c r="W223" i="16"/>
  <c r="S223" i="16"/>
  <c r="Q223" i="16" a="1"/>
  <c r="Q223" i="16" s="1"/>
  <c r="P223" i="16" a="1"/>
  <c r="P223" i="16" s="1"/>
  <c r="R223" i="16" s="1"/>
  <c r="A223" i="16"/>
  <c r="AE222" i="16"/>
  <c r="AI222" i="16" s="1" a="1"/>
  <c r="AI222" i="16" s="1"/>
  <c r="W222" i="16"/>
  <c r="S222" i="16"/>
  <c r="Q222" i="16" a="1"/>
  <c r="Q222" i="16" s="1"/>
  <c r="P222" i="16" a="1"/>
  <c r="P222" i="16" s="1"/>
  <c r="R222" i="16" s="1"/>
  <c r="A222" i="16"/>
  <c r="AI221" i="16" a="1"/>
  <c r="AI221" i="16" s="1"/>
  <c r="AE221" i="16"/>
  <c r="W221" i="16"/>
  <c r="S221" i="16"/>
  <c r="Q221" i="16" a="1"/>
  <c r="Q221" i="16" s="1"/>
  <c r="P221" i="16" a="1"/>
  <c r="P221" i="16" s="1"/>
  <c r="R221" i="16" s="1"/>
  <c r="A221" i="16"/>
  <c r="AI220" i="16" a="1"/>
  <c r="AI220" i="16" s="1"/>
  <c r="AE220" i="16"/>
  <c r="W220" i="16"/>
  <c r="S220" i="16"/>
  <c r="Q220" i="16" a="1"/>
  <c r="Q220" i="16" s="1"/>
  <c r="P220" i="16" a="1"/>
  <c r="P220" i="16" s="1"/>
  <c r="R220" i="16" s="1"/>
  <c r="A220" i="16"/>
  <c r="AI219" i="16" a="1"/>
  <c r="AI219" i="16" s="1"/>
  <c r="AE219" i="16"/>
  <c r="W219" i="16"/>
  <c r="S219" i="16"/>
  <c r="Q219" i="16" a="1"/>
  <c r="Q219" i="16" s="1"/>
  <c r="P219" i="16" a="1"/>
  <c r="P219" i="16" s="1"/>
  <c r="R219" i="16" s="1"/>
  <c r="A219" i="16"/>
  <c r="AI218" i="16" a="1"/>
  <c r="AI218" i="16" s="1"/>
  <c r="AE218" i="16"/>
  <c r="W218" i="16"/>
  <c r="S218" i="16"/>
  <c r="Q218" i="16" a="1"/>
  <c r="Q218" i="16" s="1"/>
  <c r="P218" i="16" a="1"/>
  <c r="P218" i="16" s="1"/>
  <c r="R218" i="16" s="1"/>
  <c r="A218" i="16"/>
  <c r="AE217" i="16"/>
  <c r="AI217" i="16" s="1" a="1"/>
  <c r="AI217" i="16" s="1"/>
  <c r="W217" i="16"/>
  <c r="S217" i="16"/>
  <c r="Q217" i="16" a="1"/>
  <c r="Q217" i="16" s="1"/>
  <c r="P217" i="16" a="1"/>
  <c r="P217" i="16" s="1"/>
  <c r="R217" i="16" s="1"/>
  <c r="A217" i="16"/>
  <c r="AI216" i="16" a="1"/>
  <c r="AI216" i="16" s="1"/>
  <c r="AE216" i="16"/>
  <c r="W216" i="16"/>
  <c r="S216" i="16"/>
  <c r="Q216" i="16" a="1"/>
  <c r="Q216" i="16" s="1"/>
  <c r="P216" i="16" a="1"/>
  <c r="P216" i="16" s="1"/>
  <c r="R216" i="16" s="1"/>
  <c r="A216" i="16"/>
  <c r="AI215" i="16" a="1"/>
  <c r="AI215" i="16" s="1"/>
  <c r="AE215" i="16"/>
  <c r="W215" i="16"/>
  <c r="S215" i="16"/>
  <c r="Q215" i="16" a="1"/>
  <c r="Q215" i="16" s="1"/>
  <c r="P215" i="16" a="1"/>
  <c r="P215" i="16" s="1"/>
  <c r="R215" i="16" s="1"/>
  <c r="A215" i="16"/>
  <c r="AI214" i="16" a="1"/>
  <c r="AI214" i="16" s="1"/>
  <c r="AE214" i="16"/>
  <c r="W214" i="16"/>
  <c r="S214" i="16"/>
  <c r="Q214" i="16" a="1"/>
  <c r="Q214" i="16" s="1"/>
  <c r="P214" i="16" a="1"/>
  <c r="P214" i="16" s="1"/>
  <c r="R214" i="16" s="1"/>
  <c r="A214" i="16"/>
  <c r="AI213" i="16" a="1"/>
  <c r="AI213" i="16" s="1"/>
  <c r="AE213" i="16"/>
  <c r="W213" i="16"/>
  <c r="S213" i="16"/>
  <c r="Q213" i="16" a="1"/>
  <c r="Q213" i="16" s="1"/>
  <c r="P213" i="16" a="1"/>
  <c r="P213" i="16" s="1"/>
  <c r="R213" i="16" s="1"/>
  <c r="A213" i="16"/>
  <c r="AI212" i="16" a="1"/>
  <c r="AI212" i="16" s="1"/>
  <c r="AE212" i="16"/>
  <c r="W212" i="16"/>
  <c r="S212" i="16"/>
  <c r="Q212" i="16" a="1"/>
  <c r="Q212" i="16" s="1"/>
  <c r="P212" i="16" a="1"/>
  <c r="P212" i="16" s="1"/>
  <c r="R212" i="16" s="1"/>
  <c r="A212" i="16"/>
  <c r="AI211" i="16" a="1"/>
  <c r="AI211" i="16" s="1"/>
  <c r="AE211" i="16"/>
  <c r="W211" i="16"/>
  <c r="S211" i="16"/>
  <c r="Q211" i="16" a="1"/>
  <c r="Q211" i="16" s="1"/>
  <c r="P211" i="16" a="1"/>
  <c r="P211" i="16" s="1"/>
  <c r="R211" i="16" s="1"/>
  <c r="A211" i="16"/>
  <c r="AI210" i="16" a="1"/>
  <c r="AI210" i="16" s="1"/>
  <c r="AE210" i="16"/>
  <c r="W210" i="16"/>
  <c r="S210" i="16"/>
  <c r="Q210" i="16" a="1"/>
  <c r="Q210" i="16" s="1"/>
  <c r="P210" i="16" a="1"/>
  <c r="P210" i="16" s="1"/>
  <c r="R210" i="16" s="1"/>
  <c r="A210" i="16"/>
  <c r="AE209" i="16"/>
  <c r="AI209" i="16" s="1" a="1"/>
  <c r="AI209" i="16" s="1"/>
  <c r="W209" i="16"/>
  <c r="S209" i="16"/>
  <c r="Q209" i="16" a="1"/>
  <c r="Q209" i="16" s="1"/>
  <c r="P209" i="16" a="1"/>
  <c r="P209" i="16" s="1"/>
  <c r="R209" i="16" s="1"/>
  <c r="A209" i="16"/>
  <c r="AI208" i="16" a="1"/>
  <c r="AI208" i="16" s="1"/>
  <c r="AE208" i="16"/>
  <c r="W208" i="16"/>
  <c r="S208" i="16"/>
  <c r="Q208" i="16" a="1"/>
  <c r="Q208" i="16" s="1"/>
  <c r="P208" i="16" a="1"/>
  <c r="P208" i="16" s="1"/>
  <c r="R208" i="16" s="1"/>
  <c r="A208" i="16"/>
  <c r="AI207" i="16" a="1"/>
  <c r="AI207" i="16" s="1"/>
  <c r="AE207" i="16"/>
  <c r="W207" i="16"/>
  <c r="S207" i="16"/>
  <c r="Q207" i="16" a="1"/>
  <c r="Q207" i="16" s="1"/>
  <c r="P207" i="16" a="1"/>
  <c r="P207" i="16" s="1"/>
  <c r="R207" i="16" s="1"/>
  <c r="A207" i="16"/>
  <c r="AE206" i="16"/>
  <c r="AI206" i="16" s="1" a="1"/>
  <c r="AI206" i="16" s="1"/>
  <c r="W206" i="16"/>
  <c r="S206" i="16"/>
  <c r="Q206" i="16" a="1"/>
  <c r="Q206" i="16" s="1"/>
  <c r="P206" i="16" a="1"/>
  <c r="P206" i="16" s="1"/>
  <c r="R206" i="16" s="1"/>
  <c r="A206" i="16"/>
  <c r="AI205" i="16" a="1"/>
  <c r="AI205" i="16" s="1"/>
  <c r="AE205" i="16"/>
  <c r="W205" i="16"/>
  <c r="S205" i="16"/>
  <c r="Q205" i="16" a="1"/>
  <c r="Q205" i="16" s="1"/>
  <c r="P205" i="16" a="1"/>
  <c r="P205" i="16" s="1"/>
  <c r="R205" i="16" s="1"/>
  <c r="A205" i="16"/>
  <c r="AI204" i="16" a="1"/>
  <c r="AI204" i="16" s="1"/>
  <c r="AE204" i="16"/>
  <c r="W204" i="16"/>
  <c r="S204" i="16"/>
  <c r="Q204" i="16" a="1"/>
  <c r="Q204" i="16" s="1"/>
  <c r="P204" i="16" a="1"/>
  <c r="P204" i="16" s="1"/>
  <c r="R204" i="16" s="1"/>
  <c r="A204" i="16"/>
  <c r="AI203" i="16" a="1"/>
  <c r="AI203" i="16" s="1"/>
  <c r="AE203" i="16"/>
  <c r="W203" i="16"/>
  <c r="S203" i="16"/>
  <c r="Q203" i="16" a="1"/>
  <c r="Q203" i="16" s="1"/>
  <c r="P203" i="16" a="1"/>
  <c r="P203" i="16" s="1"/>
  <c r="R203" i="16" s="1"/>
  <c r="A203" i="16"/>
  <c r="AI202" i="16" a="1"/>
  <c r="AI202" i="16" s="1"/>
  <c r="AE202" i="16"/>
  <c r="W202" i="16"/>
  <c r="S202" i="16"/>
  <c r="Q202" i="16" a="1"/>
  <c r="Q202" i="16" s="1"/>
  <c r="P202" i="16" a="1"/>
  <c r="P202" i="16" s="1"/>
  <c r="R202" i="16" s="1"/>
  <c r="A202" i="16"/>
  <c r="AE201" i="16"/>
  <c r="AI201" i="16" s="1" a="1"/>
  <c r="AI201" i="16" s="1"/>
  <c r="W201" i="16"/>
  <c r="S201" i="16"/>
  <c r="Q201" i="16" a="1"/>
  <c r="Q201" i="16" s="1"/>
  <c r="P201" i="16" a="1"/>
  <c r="P201" i="16" s="1"/>
  <c r="R201" i="16" s="1"/>
  <c r="A201" i="16"/>
  <c r="AE200" i="16"/>
  <c r="AI200" i="16" s="1" a="1"/>
  <c r="AI200" i="16" s="1"/>
  <c r="W200" i="16"/>
  <c r="S200" i="16"/>
  <c r="Q200" i="16" a="1"/>
  <c r="Q200" i="16" s="1"/>
  <c r="P200" i="16" a="1"/>
  <c r="P200" i="16" s="1"/>
  <c r="R200" i="16" s="1"/>
  <c r="A200" i="16"/>
  <c r="AE199" i="16"/>
  <c r="AI199" i="16" s="1" a="1"/>
  <c r="AI199" i="16" s="1"/>
  <c r="W199" i="16"/>
  <c r="S199" i="16"/>
  <c r="Q199" i="16" a="1"/>
  <c r="Q199" i="16" s="1"/>
  <c r="P199" i="16" a="1"/>
  <c r="P199" i="16" s="1"/>
  <c r="R199" i="16" s="1"/>
  <c r="A199" i="16"/>
  <c r="AI198" i="16" a="1"/>
  <c r="AI198" i="16" s="1"/>
  <c r="AE198" i="16"/>
  <c r="W198" i="16"/>
  <c r="S198" i="16"/>
  <c r="Q198" i="16" a="1"/>
  <c r="Q198" i="16" s="1"/>
  <c r="P198" i="16" a="1"/>
  <c r="P198" i="16" s="1"/>
  <c r="R198" i="16" s="1"/>
  <c r="A198" i="16"/>
  <c r="AI197" i="16" a="1"/>
  <c r="AI197" i="16" s="1"/>
  <c r="AE197" i="16"/>
  <c r="W197" i="16"/>
  <c r="S197" i="16"/>
  <c r="Q197" i="16" a="1"/>
  <c r="Q197" i="16" s="1"/>
  <c r="P197" i="16" a="1"/>
  <c r="P197" i="16" s="1"/>
  <c r="R197" i="16" s="1"/>
  <c r="A197" i="16"/>
  <c r="AI196" i="16" a="1"/>
  <c r="AI196" i="16" s="1"/>
  <c r="AE196" i="16"/>
  <c r="W196" i="16"/>
  <c r="S196" i="16"/>
  <c r="Q196" i="16" a="1"/>
  <c r="Q196" i="16" s="1"/>
  <c r="P196" i="16" a="1"/>
  <c r="P196" i="16" s="1"/>
  <c r="R196" i="16" s="1"/>
  <c r="A196" i="16"/>
  <c r="AE195" i="16"/>
  <c r="AI195" i="16" s="1" a="1"/>
  <c r="AI195" i="16" s="1"/>
  <c r="W195" i="16"/>
  <c r="S195" i="16"/>
  <c r="Q195" i="16" a="1"/>
  <c r="Q195" i="16" s="1"/>
  <c r="P195" i="16" a="1"/>
  <c r="P195" i="16" s="1"/>
  <c r="R195" i="16" s="1"/>
  <c r="A195" i="16"/>
  <c r="AE194" i="16"/>
  <c r="AI194" i="16" s="1" a="1"/>
  <c r="AI194" i="16" s="1"/>
  <c r="W194" i="16"/>
  <c r="S194" i="16"/>
  <c r="Q194" i="16" a="1"/>
  <c r="Q194" i="16" s="1"/>
  <c r="P194" i="16" a="1"/>
  <c r="P194" i="16" s="1"/>
  <c r="R194" i="16" s="1"/>
  <c r="A194" i="16"/>
  <c r="AE193" i="16"/>
  <c r="AI193" i="16" s="1" a="1"/>
  <c r="AI193" i="16" s="1"/>
  <c r="W193" i="16"/>
  <c r="S193" i="16"/>
  <c r="Q193" i="16" a="1"/>
  <c r="Q193" i="16" s="1"/>
  <c r="P193" i="16" a="1"/>
  <c r="P193" i="16" s="1"/>
  <c r="R193" i="16" s="1"/>
  <c r="A193" i="16"/>
  <c r="AI192" i="16" a="1"/>
  <c r="AI192" i="16" s="1"/>
  <c r="AE192" i="16"/>
  <c r="W192" i="16"/>
  <c r="S192" i="16"/>
  <c r="Q192" i="16" a="1"/>
  <c r="Q192" i="16" s="1"/>
  <c r="P192" i="16" a="1"/>
  <c r="P192" i="16" s="1"/>
  <c r="R192" i="16" s="1"/>
  <c r="A192" i="16"/>
  <c r="AI191" i="16" a="1"/>
  <c r="AI191" i="16" s="1"/>
  <c r="AE191" i="16"/>
  <c r="W191" i="16"/>
  <c r="S191" i="16"/>
  <c r="Q191" i="16" a="1"/>
  <c r="Q191" i="16" s="1"/>
  <c r="P191" i="16" a="1"/>
  <c r="P191" i="16" s="1"/>
  <c r="R191" i="16" s="1"/>
  <c r="A191" i="16"/>
  <c r="AI190" i="16" a="1"/>
  <c r="AI190" i="16" s="1"/>
  <c r="AE190" i="16"/>
  <c r="W190" i="16"/>
  <c r="S190" i="16"/>
  <c r="Q190" i="16" a="1"/>
  <c r="Q190" i="16" s="1"/>
  <c r="P190" i="16" a="1"/>
  <c r="P190" i="16" s="1"/>
  <c r="R190" i="16" s="1"/>
  <c r="A190" i="16"/>
  <c r="AE189" i="16"/>
  <c r="AI189" i="16" s="1" a="1"/>
  <c r="AI189" i="16" s="1"/>
  <c r="W189" i="16"/>
  <c r="S189" i="16"/>
  <c r="Q189" i="16" a="1"/>
  <c r="Q189" i="16" s="1"/>
  <c r="P189" i="16" a="1"/>
  <c r="P189" i="16" s="1"/>
  <c r="R189" i="16" s="1"/>
  <c r="A189" i="16"/>
  <c r="AE188" i="16"/>
  <c r="AI188" i="16" s="1" a="1"/>
  <c r="AI188" i="16" s="1"/>
  <c r="W188" i="16"/>
  <c r="S188" i="16"/>
  <c r="Q188" i="16" a="1"/>
  <c r="Q188" i="16" s="1"/>
  <c r="P188" i="16" a="1"/>
  <c r="P188" i="16" s="1"/>
  <c r="R188" i="16" s="1"/>
  <c r="A188" i="16"/>
  <c r="AE187" i="16"/>
  <c r="AI187" i="16" s="1" a="1"/>
  <c r="AI187" i="16" s="1"/>
  <c r="W187" i="16"/>
  <c r="S187" i="16"/>
  <c r="Q187" i="16" a="1"/>
  <c r="Q187" i="16" s="1"/>
  <c r="P187" i="16" a="1"/>
  <c r="P187" i="16" s="1"/>
  <c r="R187" i="16" s="1"/>
  <c r="A187" i="16"/>
  <c r="AE186" i="16"/>
  <c r="AI186" i="16" s="1" a="1"/>
  <c r="AI186" i="16" s="1"/>
  <c r="W186" i="16"/>
  <c r="S186" i="16"/>
  <c r="Q186" i="16" a="1"/>
  <c r="Q186" i="16" s="1"/>
  <c r="P186" i="16" a="1"/>
  <c r="P186" i="16" s="1"/>
  <c r="R186" i="16" s="1"/>
  <c r="A186" i="16"/>
  <c r="AE185" i="16"/>
  <c r="AI185" i="16" s="1" a="1"/>
  <c r="AI185" i="16" s="1"/>
  <c r="W185" i="16"/>
  <c r="S185" i="16"/>
  <c r="Q185" i="16" a="1"/>
  <c r="Q185" i="16" s="1"/>
  <c r="P185" i="16" a="1"/>
  <c r="P185" i="16" s="1"/>
  <c r="R185" i="16" s="1"/>
  <c r="A185" i="16"/>
  <c r="AE184" i="16"/>
  <c r="AI184" i="16" s="1" a="1"/>
  <c r="AI184" i="16" s="1"/>
  <c r="W184" i="16"/>
  <c r="S184" i="16"/>
  <c r="Q184" i="16" a="1"/>
  <c r="Q184" i="16" s="1"/>
  <c r="P184" i="16" a="1"/>
  <c r="P184" i="16" s="1"/>
  <c r="R184" i="16" s="1"/>
  <c r="A184" i="16"/>
  <c r="AI183" i="16" a="1"/>
  <c r="AI183" i="16" s="1"/>
  <c r="AE183" i="16"/>
  <c r="W183" i="16"/>
  <c r="S183" i="16"/>
  <c r="Q183" i="16" a="1"/>
  <c r="Q183" i="16" s="1"/>
  <c r="P183" i="16" a="1"/>
  <c r="P183" i="16" s="1"/>
  <c r="R183" i="16" s="1"/>
  <c r="A183" i="16"/>
  <c r="AI182" i="16" a="1"/>
  <c r="AI182" i="16" s="1"/>
  <c r="AE182" i="16"/>
  <c r="W182" i="16"/>
  <c r="S182" i="16"/>
  <c r="Q182" i="16" a="1"/>
  <c r="Q182" i="16" s="1"/>
  <c r="P182" i="16" a="1"/>
  <c r="P182" i="16" s="1"/>
  <c r="R182" i="16" s="1"/>
  <c r="A182" i="16"/>
  <c r="AI181" i="16" a="1"/>
  <c r="AI181" i="16" s="1"/>
  <c r="AE181" i="16"/>
  <c r="W181" i="16"/>
  <c r="S181" i="16"/>
  <c r="Q181" i="16" a="1"/>
  <c r="Q181" i="16" s="1"/>
  <c r="P181" i="16" a="1"/>
  <c r="P181" i="16" s="1"/>
  <c r="R181" i="16" s="1"/>
  <c r="A181" i="16"/>
  <c r="AE180" i="16"/>
  <c r="AI180" i="16" s="1" a="1"/>
  <c r="AI180" i="16" s="1"/>
  <c r="W180" i="16"/>
  <c r="S180" i="16"/>
  <c r="Q180" i="16" a="1"/>
  <c r="Q180" i="16" s="1"/>
  <c r="P180" i="16" a="1"/>
  <c r="P180" i="16" s="1"/>
  <c r="R180" i="16" s="1"/>
  <c r="A180" i="16"/>
  <c r="AE179" i="16"/>
  <c r="AI179" i="16" s="1" a="1"/>
  <c r="AI179" i="16" s="1"/>
  <c r="W179" i="16"/>
  <c r="S179" i="16"/>
  <c r="Q179" i="16" a="1"/>
  <c r="Q179" i="16" s="1"/>
  <c r="P179" i="16" a="1"/>
  <c r="P179" i="16" s="1"/>
  <c r="R179" i="16" s="1"/>
  <c r="A179" i="16"/>
  <c r="AE178" i="16"/>
  <c r="AI178" i="16" s="1" a="1"/>
  <c r="AI178" i="16" s="1"/>
  <c r="W178" i="16"/>
  <c r="S178" i="16"/>
  <c r="Q178" i="16" a="1"/>
  <c r="Q178" i="16" s="1"/>
  <c r="P178" i="16" a="1"/>
  <c r="P178" i="16" s="1"/>
  <c r="R178" i="16" s="1"/>
  <c r="A178" i="16"/>
  <c r="AE177" i="16"/>
  <c r="AI177" i="16" s="1" a="1"/>
  <c r="AI177" i="16" s="1"/>
  <c r="W177" i="16"/>
  <c r="S177" i="16"/>
  <c r="Q177" i="16" a="1"/>
  <c r="Q177" i="16" s="1"/>
  <c r="P177" i="16" a="1"/>
  <c r="P177" i="16" s="1"/>
  <c r="R177" i="16" s="1"/>
  <c r="A177" i="16"/>
  <c r="AI176" i="16" a="1"/>
  <c r="AI176" i="16" s="1"/>
  <c r="AE176" i="16"/>
  <c r="W176" i="16"/>
  <c r="S176" i="16"/>
  <c r="Q176" i="16" a="1"/>
  <c r="Q176" i="16" s="1"/>
  <c r="P176" i="16" a="1"/>
  <c r="P176" i="16" s="1"/>
  <c r="R176" i="16" s="1"/>
  <c r="A176" i="16"/>
  <c r="AI175" i="16" a="1"/>
  <c r="AI175" i="16" s="1"/>
  <c r="AE175" i="16"/>
  <c r="W175" i="16"/>
  <c r="S175" i="16"/>
  <c r="Q175" i="16" a="1"/>
  <c r="Q175" i="16" s="1"/>
  <c r="P175" i="16" a="1"/>
  <c r="P175" i="16" s="1"/>
  <c r="R175" i="16" s="1"/>
  <c r="A175" i="16"/>
  <c r="AE174" i="16"/>
  <c r="AI174" i="16" s="1" a="1"/>
  <c r="AI174" i="16" s="1"/>
  <c r="W174" i="16"/>
  <c r="S174" i="16"/>
  <c r="Q174" i="16" a="1"/>
  <c r="Q174" i="16" s="1"/>
  <c r="P174" i="16" a="1"/>
  <c r="P174" i="16" s="1"/>
  <c r="R174" i="16" s="1"/>
  <c r="A174" i="16"/>
  <c r="AI173" i="16" a="1"/>
  <c r="AI173" i="16" s="1"/>
  <c r="AE173" i="16"/>
  <c r="W173" i="16"/>
  <c r="S173" i="16"/>
  <c r="Q173" i="16" a="1"/>
  <c r="Q173" i="16" s="1"/>
  <c r="P173" i="16" a="1"/>
  <c r="P173" i="16" s="1"/>
  <c r="R173" i="16" s="1"/>
  <c r="A173" i="16"/>
  <c r="AE172" i="16"/>
  <c r="AI172" i="16" s="1" a="1"/>
  <c r="AI172" i="16" s="1"/>
  <c r="W172" i="16"/>
  <c r="S172" i="16"/>
  <c r="Q172" i="16" a="1"/>
  <c r="Q172" i="16" s="1"/>
  <c r="P172" i="16" a="1"/>
  <c r="P172" i="16" s="1"/>
  <c r="R172" i="16" s="1"/>
  <c r="A172" i="16"/>
  <c r="AE171" i="16"/>
  <c r="AI171" i="16" s="1" a="1"/>
  <c r="AI171" i="16" s="1"/>
  <c r="W171" i="16"/>
  <c r="S171" i="16"/>
  <c r="Q171" i="16" a="1"/>
  <c r="Q171" i="16" s="1"/>
  <c r="P171" i="16" a="1"/>
  <c r="P171" i="16" s="1"/>
  <c r="R171" i="16" s="1"/>
  <c r="A171" i="16"/>
  <c r="AI170" i="16" a="1"/>
  <c r="AI170" i="16" s="1"/>
  <c r="AE170" i="16"/>
  <c r="W170" i="16"/>
  <c r="S170" i="16"/>
  <c r="Q170" i="16" a="1"/>
  <c r="Q170" i="16" s="1"/>
  <c r="P170" i="16" a="1"/>
  <c r="P170" i="16" s="1"/>
  <c r="R170" i="16" s="1"/>
  <c r="A170" i="16"/>
  <c r="AI169" i="16" a="1"/>
  <c r="AI169" i="16" s="1"/>
  <c r="AE169" i="16"/>
  <c r="W169" i="16"/>
  <c r="S169" i="16"/>
  <c r="Q169" i="16" a="1"/>
  <c r="Q169" i="16" s="1"/>
  <c r="P169" i="16" a="1"/>
  <c r="P169" i="16" s="1"/>
  <c r="R169" i="16" s="1"/>
  <c r="A169" i="16"/>
  <c r="AE168" i="16"/>
  <c r="AI168" i="16" s="1" a="1"/>
  <c r="AI168" i="16" s="1"/>
  <c r="W168" i="16"/>
  <c r="S168" i="16"/>
  <c r="Q168" i="16" a="1"/>
  <c r="Q168" i="16" s="1"/>
  <c r="P168" i="16" a="1"/>
  <c r="P168" i="16" s="1"/>
  <c r="R168" i="16" s="1"/>
  <c r="A168" i="16"/>
  <c r="AE167" i="16"/>
  <c r="AI167" i="16" s="1" a="1"/>
  <c r="AI167" i="16" s="1"/>
  <c r="W167" i="16"/>
  <c r="S167" i="16"/>
  <c r="Q167" i="16" a="1"/>
  <c r="Q167" i="16" s="1"/>
  <c r="P167" i="16" a="1"/>
  <c r="P167" i="16" s="1"/>
  <c r="R167" i="16" s="1"/>
  <c r="A167" i="16"/>
  <c r="AE166" i="16"/>
  <c r="AI166" i="16" s="1" a="1"/>
  <c r="AI166" i="16" s="1"/>
  <c r="W166" i="16"/>
  <c r="S166" i="16"/>
  <c r="Q166" i="16" a="1"/>
  <c r="Q166" i="16" s="1"/>
  <c r="P166" i="16" a="1"/>
  <c r="P166" i="16" s="1"/>
  <c r="R166" i="16" s="1"/>
  <c r="A166" i="16"/>
  <c r="AE165" i="16"/>
  <c r="AI165" i="16" s="1" a="1"/>
  <c r="AI165" i="16" s="1"/>
  <c r="W165" i="16"/>
  <c r="S165" i="16"/>
  <c r="Q165" i="16" a="1"/>
  <c r="Q165" i="16" s="1"/>
  <c r="P165" i="16" a="1"/>
  <c r="P165" i="16" s="1"/>
  <c r="R165" i="16" s="1"/>
  <c r="A165" i="16"/>
  <c r="AE164" i="16"/>
  <c r="AI164" i="16" s="1" a="1"/>
  <c r="AI164" i="16" s="1"/>
  <c r="W164" i="16"/>
  <c r="S164" i="16"/>
  <c r="Q164" i="16" a="1"/>
  <c r="Q164" i="16" s="1"/>
  <c r="P164" i="16" a="1"/>
  <c r="P164" i="16" s="1"/>
  <c r="R164" i="16" s="1"/>
  <c r="A164" i="16"/>
  <c r="AE163" i="16"/>
  <c r="AI163" i="16" s="1" a="1"/>
  <c r="AI163" i="16" s="1"/>
  <c r="W163" i="16"/>
  <c r="S163" i="16"/>
  <c r="Q163" i="16" a="1"/>
  <c r="Q163" i="16" s="1"/>
  <c r="P163" i="16" a="1"/>
  <c r="P163" i="16" s="1"/>
  <c r="R163" i="16" s="1"/>
  <c r="A163" i="16"/>
  <c r="AI162" i="16" a="1"/>
  <c r="AI162" i="16" s="1"/>
  <c r="AE162" i="16"/>
  <c r="W162" i="16"/>
  <c r="S162" i="16"/>
  <c r="Q162" i="16" a="1"/>
  <c r="Q162" i="16" s="1"/>
  <c r="P162" i="16" a="1"/>
  <c r="P162" i="16" s="1"/>
  <c r="R162" i="16" s="1"/>
  <c r="A162" i="16"/>
  <c r="AI161" i="16" a="1"/>
  <c r="AI161" i="16" s="1"/>
  <c r="AE161" i="16"/>
  <c r="W161" i="16"/>
  <c r="S161" i="16"/>
  <c r="Q161" i="16" a="1"/>
  <c r="Q161" i="16" s="1"/>
  <c r="P161" i="16" a="1"/>
  <c r="P161" i="16" s="1"/>
  <c r="R161" i="16" s="1"/>
  <c r="A161" i="16"/>
  <c r="AE160" i="16"/>
  <c r="AI160" i="16" s="1" a="1"/>
  <c r="AI160" i="16" s="1"/>
  <c r="W160" i="16"/>
  <c r="S160" i="16"/>
  <c r="Q160" i="16" a="1"/>
  <c r="Q160" i="16" s="1"/>
  <c r="P160" i="16" a="1"/>
  <c r="P160" i="16" s="1"/>
  <c r="R160" i="16" s="1"/>
  <c r="A160" i="16"/>
  <c r="AI159" i="16" a="1"/>
  <c r="AI159" i="16" s="1"/>
  <c r="AE159" i="16"/>
  <c r="W159" i="16"/>
  <c r="S159" i="16"/>
  <c r="Q159" i="16" a="1"/>
  <c r="Q159" i="16" s="1"/>
  <c r="P159" i="16" a="1"/>
  <c r="P159" i="16" s="1"/>
  <c r="R159" i="16" s="1"/>
  <c r="A159" i="16"/>
  <c r="AI158" i="16" a="1"/>
  <c r="AI158" i="16" s="1"/>
  <c r="AE158" i="16"/>
  <c r="W158" i="16"/>
  <c r="S158" i="16"/>
  <c r="Q158" i="16" a="1"/>
  <c r="Q158" i="16" s="1"/>
  <c r="P158" i="16" a="1"/>
  <c r="P158" i="16" s="1"/>
  <c r="R158" i="16" s="1"/>
  <c r="A158" i="16"/>
  <c r="AE157" i="16"/>
  <c r="AI157" i="16" s="1" a="1"/>
  <c r="AI157" i="16" s="1"/>
  <c r="W157" i="16"/>
  <c r="S157" i="16"/>
  <c r="Q157" i="16" a="1"/>
  <c r="Q157" i="16" s="1"/>
  <c r="P157" i="16" a="1"/>
  <c r="P157" i="16" s="1"/>
  <c r="R157" i="16" s="1"/>
  <c r="A157" i="16"/>
  <c r="AE156" i="16"/>
  <c r="AI156" i="16" s="1" a="1"/>
  <c r="AI156" i="16" s="1"/>
  <c r="W156" i="16"/>
  <c r="S156" i="16"/>
  <c r="Q156" i="16" a="1"/>
  <c r="Q156" i="16" s="1"/>
  <c r="P156" i="16" a="1"/>
  <c r="P156" i="16" s="1"/>
  <c r="R156" i="16" s="1"/>
  <c r="A156" i="16"/>
  <c r="AI155" i="16" a="1"/>
  <c r="AI155" i="16" s="1"/>
  <c r="AE155" i="16"/>
  <c r="W155" i="16"/>
  <c r="S155" i="16"/>
  <c r="Q155" i="16" a="1"/>
  <c r="Q155" i="16" s="1"/>
  <c r="P155" i="16" a="1"/>
  <c r="P155" i="16" s="1"/>
  <c r="R155" i="16" s="1"/>
  <c r="A155" i="16"/>
  <c r="AE154" i="16"/>
  <c r="AI154" i="16" s="1" a="1"/>
  <c r="AI154" i="16" s="1"/>
  <c r="W154" i="16"/>
  <c r="S154" i="16"/>
  <c r="Q154" i="16" a="1"/>
  <c r="Q154" i="16" s="1"/>
  <c r="P154" i="16" a="1"/>
  <c r="P154" i="16" s="1"/>
  <c r="R154" i="16" s="1"/>
  <c r="A154" i="16"/>
  <c r="AI153" i="16" a="1"/>
  <c r="AI153" i="16" s="1"/>
  <c r="AE153" i="16"/>
  <c r="W153" i="16"/>
  <c r="S153" i="16"/>
  <c r="Q153" i="16" a="1"/>
  <c r="Q153" i="16" s="1"/>
  <c r="P153" i="16" a="1"/>
  <c r="P153" i="16" s="1"/>
  <c r="R153" i="16" s="1"/>
  <c r="A153" i="16"/>
  <c r="AI152" i="16" a="1"/>
  <c r="AI152" i="16" s="1"/>
  <c r="AE152" i="16"/>
  <c r="W152" i="16"/>
  <c r="S152" i="16"/>
  <c r="Q152" i="16" a="1"/>
  <c r="Q152" i="16" s="1"/>
  <c r="P152" i="16" a="1"/>
  <c r="P152" i="16" s="1"/>
  <c r="R152" i="16" s="1"/>
  <c r="A152" i="16"/>
  <c r="AI151" i="16" a="1"/>
  <c r="AI151" i="16" s="1"/>
  <c r="AE151" i="16"/>
  <c r="W151" i="16"/>
  <c r="S151" i="16"/>
  <c r="Q151" i="16" a="1"/>
  <c r="Q151" i="16" s="1"/>
  <c r="P151" i="16" a="1"/>
  <c r="P151" i="16" s="1"/>
  <c r="R151" i="16" s="1"/>
  <c r="A151" i="16"/>
  <c r="AI150" i="16" a="1"/>
  <c r="AI150" i="16" s="1"/>
  <c r="AE150" i="16"/>
  <c r="W150" i="16"/>
  <c r="S150" i="16"/>
  <c r="Q150" i="16" a="1"/>
  <c r="Q150" i="16" s="1"/>
  <c r="P150" i="16" a="1"/>
  <c r="P150" i="16" s="1"/>
  <c r="R150" i="16" s="1"/>
  <c r="A150" i="16"/>
  <c r="AI149" i="16" a="1"/>
  <c r="AI149" i="16" s="1"/>
  <c r="AE149" i="16"/>
  <c r="W149" i="16"/>
  <c r="S149" i="16"/>
  <c r="Q149" i="16" a="1"/>
  <c r="Q149" i="16" s="1"/>
  <c r="P149" i="16" a="1"/>
  <c r="P149" i="16" s="1"/>
  <c r="R149" i="16" s="1"/>
  <c r="A149" i="16"/>
  <c r="AI148" i="16" a="1"/>
  <c r="AI148" i="16" s="1"/>
  <c r="AE148" i="16"/>
  <c r="W148" i="16"/>
  <c r="S148" i="16"/>
  <c r="Q148" i="16" a="1"/>
  <c r="Q148" i="16" s="1"/>
  <c r="P148" i="16" a="1"/>
  <c r="P148" i="16" s="1"/>
  <c r="R148" i="16" s="1"/>
  <c r="A148" i="16"/>
  <c r="AI147" i="16" a="1"/>
  <c r="AI147" i="16" s="1"/>
  <c r="AE147" i="16"/>
  <c r="W147" i="16"/>
  <c r="S147" i="16"/>
  <c r="Q147" i="16" a="1"/>
  <c r="Q147" i="16" s="1"/>
  <c r="P147" i="16" a="1"/>
  <c r="P147" i="16" s="1"/>
  <c r="R147" i="16" s="1"/>
  <c r="A147" i="16"/>
  <c r="AI146" i="16" a="1"/>
  <c r="AI146" i="16" s="1"/>
  <c r="AE146" i="16"/>
  <c r="W146" i="16"/>
  <c r="S146" i="16"/>
  <c r="Q146" i="16" a="1"/>
  <c r="Q146" i="16" s="1"/>
  <c r="P146" i="16" a="1"/>
  <c r="P146" i="16" s="1"/>
  <c r="R146" i="16" s="1"/>
  <c r="A146" i="16"/>
  <c r="AE145" i="16"/>
  <c r="AI145" i="16" s="1" a="1"/>
  <c r="AI145" i="16" s="1"/>
  <c r="W145" i="16"/>
  <c r="S145" i="16"/>
  <c r="Q145" i="16" a="1"/>
  <c r="Q145" i="16" s="1"/>
  <c r="P145" i="16" a="1"/>
  <c r="P145" i="16" s="1"/>
  <c r="R145" i="16" s="1"/>
  <c r="A145" i="16"/>
  <c r="AI144" i="16" a="1"/>
  <c r="AI144" i="16" s="1"/>
  <c r="AE144" i="16"/>
  <c r="W144" i="16"/>
  <c r="S144" i="16"/>
  <c r="Q144" i="16" a="1"/>
  <c r="Q144" i="16" s="1"/>
  <c r="P144" i="16" a="1"/>
  <c r="P144" i="16" s="1"/>
  <c r="R144" i="16" s="1"/>
  <c r="A144" i="16"/>
  <c r="AE143" i="16"/>
  <c r="AI143" i="16" s="1" a="1"/>
  <c r="AI143" i="16" s="1"/>
  <c r="W143" i="16"/>
  <c r="S143" i="16"/>
  <c r="Q143" i="16" a="1"/>
  <c r="Q143" i="16" s="1"/>
  <c r="P143" i="16" a="1"/>
  <c r="P143" i="16" s="1"/>
  <c r="R143" i="16" s="1"/>
  <c r="A143" i="16"/>
  <c r="AE142" i="16"/>
  <c r="AI142" i="16" s="1" a="1"/>
  <c r="AI142" i="16" s="1"/>
  <c r="W142" i="16"/>
  <c r="S142" i="16"/>
  <c r="Q142" i="16" a="1"/>
  <c r="Q142" i="16" s="1"/>
  <c r="P142" i="16" a="1"/>
  <c r="P142" i="16" s="1"/>
  <c r="R142" i="16" s="1"/>
  <c r="A142" i="16"/>
  <c r="AE141" i="16"/>
  <c r="AI141" i="16" s="1" a="1"/>
  <c r="AI141" i="16" s="1"/>
  <c r="W141" i="16"/>
  <c r="S141" i="16"/>
  <c r="Q141" i="16" a="1"/>
  <c r="Q141" i="16" s="1"/>
  <c r="P141" i="16" a="1"/>
  <c r="P141" i="16" s="1"/>
  <c r="R141" i="16" s="1"/>
  <c r="A141" i="16"/>
  <c r="AI140" i="16" a="1"/>
  <c r="AI140" i="16" s="1"/>
  <c r="AE140" i="16"/>
  <c r="W140" i="16"/>
  <c r="S140" i="16"/>
  <c r="Q140" i="16" a="1"/>
  <c r="Q140" i="16" s="1"/>
  <c r="P140" i="16" a="1"/>
  <c r="P140" i="16" s="1"/>
  <c r="R140" i="16" s="1"/>
  <c r="A140" i="16"/>
  <c r="AI139" i="16" a="1"/>
  <c r="AI139" i="16" s="1"/>
  <c r="AE139" i="16"/>
  <c r="W139" i="16"/>
  <c r="S139" i="16"/>
  <c r="Q139" i="16" a="1"/>
  <c r="Q139" i="16" s="1"/>
  <c r="P139" i="16" a="1"/>
  <c r="P139" i="16" s="1"/>
  <c r="R139" i="16" s="1"/>
  <c r="A139" i="16"/>
  <c r="AI138" i="16" a="1"/>
  <c r="AI138" i="16" s="1"/>
  <c r="AE138" i="16"/>
  <c r="W138" i="16"/>
  <c r="S138" i="16"/>
  <c r="Q138" i="16" a="1"/>
  <c r="Q138" i="16" s="1"/>
  <c r="P138" i="16" a="1"/>
  <c r="P138" i="16" s="1"/>
  <c r="R138" i="16" s="1"/>
  <c r="A138" i="16"/>
  <c r="AE137" i="16"/>
  <c r="AI137" i="16" s="1" a="1"/>
  <c r="AI137" i="16" s="1"/>
  <c r="W137" i="16"/>
  <c r="S137" i="16"/>
  <c r="Q137" i="16" a="1"/>
  <c r="Q137" i="16" s="1"/>
  <c r="P137" i="16" a="1"/>
  <c r="P137" i="16" s="1"/>
  <c r="R137" i="16" s="1"/>
  <c r="A137" i="16"/>
  <c r="AI136" i="16" a="1"/>
  <c r="AI136" i="16" s="1"/>
  <c r="AE136" i="16"/>
  <c r="W136" i="16"/>
  <c r="S136" i="16"/>
  <c r="Q136" i="16" a="1"/>
  <c r="Q136" i="16" s="1"/>
  <c r="P136" i="16" a="1"/>
  <c r="P136" i="16" s="1"/>
  <c r="R136" i="16" s="1"/>
  <c r="A136" i="16"/>
  <c r="AE135" i="16"/>
  <c r="AI135" i="16" s="1" a="1"/>
  <c r="AI135" i="16" s="1"/>
  <c r="W135" i="16"/>
  <c r="S135" i="16"/>
  <c r="Q135" i="16" a="1"/>
  <c r="Q135" i="16" s="1"/>
  <c r="P135" i="16" a="1"/>
  <c r="P135" i="16" s="1"/>
  <c r="R135" i="16" s="1"/>
  <c r="A135" i="16"/>
  <c r="AE134" i="16"/>
  <c r="AI134" i="16" s="1" a="1"/>
  <c r="AI134" i="16" s="1"/>
  <c r="W134" i="16"/>
  <c r="S134" i="16"/>
  <c r="Q134" i="16" a="1"/>
  <c r="Q134" i="16" s="1"/>
  <c r="P134" i="16" a="1"/>
  <c r="P134" i="16" s="1"/>
  <c r="R134" i="16" s="1"/>
  <c r="A134" i="16"/>
  <c r="AE133" i="16"/>
  <c r="AI133" i="16" s="1" a="1"/>
  <c r="AI133" i="16" s="1"/>
  <c r="W133" i="16"/>
  <c r="S133" i="16"/>
  <c r="Q133" i="16" a="1"/>
  <c r="Q133" i="16" s="1"/>
  <c r="P133" i="16" a="1"/>
  <c r="P133" i="16" s="1"/>
  <c r="R133" i="16" s="1"/>
  <c r="A133" i="16"/>
  <c r="AI132" i="16" a="1"/>
  <c r="AI132" i="16" s="1"/>
  <c r="AE132" i="16"/>
  <c r="W132" i="16"/>
  <c r="S132" i="16"/>
  <c r="Q132" i="16" a="1"/>
  <c r="Q132" i="16" s="1"/>
  <c r="P132" i="16" a="1"/>
  <c r="P132" i="16" s="1"/>
  <c r="R132" i="16" s="1"/>
  <c r="A132" i="16"/>
  <c r="AI131" i="16" a="1"/>
  <c r="AI131" i="16" s="1"/>
  <c r="AE131" i="16"/>
  <c r="W131" i="16"/>
  <c r="S131" i="16"/>
  <c r="Q131" i="16" a="1"/>
  <c r="Q131" i="16" s="1"/>
  <c r="P131" i="16" a="1"/>
  <c r="P131" i="16" s="1"/>
  <c r="R131" i="16" s="1"/>
  <c r="A131" i="16"/>
  <c r="AI130" i="16" a="1"/>
  <c r="AI130" i="16" s="1"/>
  <c r="AE130" i="16"/>
  <c r="W130" i="16"/>
  <c r="S130" i="16"/>
  <c r="Q130" i="16" a="1"/>
  <c r="Q130" i="16" s="1"/>
  <c r="P130" i="16" a="1"/>
  <c r="P130" i="16" s="1"/>
  <c r="R130" i="16" s="1"/>
  <c r="A130" i="16"/>
  <c r="AI129" i="16" a="1"/>
  <c r="AI129" i="16" s="1"/>
  <c r="AE129" i="16"/>
  <c r="W129" i="16"/>
  <c r="S129" i="16"/>
  <c r="Q129" i="16" a="1"/>
  <c r="Q129" i="16" s="1"/>
  <c r="P129" i="16" a="1"/>
  <c r="P129" i="16" s="1"/>
  <c r="R129" i="16" s="1"/>
  <c r="A129" i="16"/>
  <c r="AE128" i="16"/>
  <c r="AI128" i="16" s="1" a="1"/>
  <c r="AI128" i="16" s="1"/>
  <c r="W128" i="16"/>
  <c r="S128" i="16"/>
  <c r="Q128" i="16" a="1"/>
  <c r="Q128" i="16" s="1"/>
  <c r="P128" i="16" a="1"/>
  <c r="P128" i="16" s="1"/>
  <c r="R128" i="16" s="1"/>
  <c r="A128" i="16"/>
  <c r="AI127" i="16" a="1"/>
  <c r="AI127" i="16" s="1"/>
  <c r="AE127" i="16"/>
  <c r="W127" i="16"/>
  <c r="S127" i="16"/>
  <c r="Q127" i="16" a="1"/>
  <c r="Q127" i="16" s="1"/>
  <c r="P127" i="16" a="1"/>
  <c r="P127" i="16" s="1"/>
  <c r="R127" i="16" s="1"/>
  <c r="A127" i="16"/>
  <c r="AE126" i="16"/>
  <c r="AI126" i="16" s="1" a="1"/>
  <c r="AI126" i="16" s="1"/>
  <c r="W126" i="16"/>
  <c r="S126" i="16"/>
  <c r="Q126" i="16" a="1"/>
  <c r="Q126" i="16" s="1"/>
  <c r="P126" i="16" a="1"/>
  <c r="P126" i="16" s="1"/>
  <c r="R126" i="16" s="1"/>
  <c r="A126" i="16"/>
  <c r="AI125" i="16" a="1"/>
  <c r="AI125" i="16" s="1"/>
  <c r="AE125" i="16"/>
  <c r="W125" i="16"/>
  <c r="S125" i="16"/>
  <c r="Q125" i="16" a="1"/>
  <c r="Q125" i="16" s="1"/>
  <c r="P125" i="16" a="1"/>
  <c r="P125" i="16" s="1"/>
  <c r="R125" i="16" s="1"/>
  <c r="A125" i="16"/>
  <c r="AI124" i="16" a="1"/>
  <c r="AI124" i="16" s="1"/>
  <c r="AE124" i="16"/>
  <c r="W124" i="16"/>
  <c r="S124" i="16"/>
  <c r="Q124" i="16" a="1"/>
  <c r="Q124" i="16" s="1"/>
  <c r="P124" i="16" a="1"/>
  <c r="P124" i="16" s="1"/>
  <c r="R124" i="16" s="1"/>
  <c r="A124" i="16"/>
  <c r="AE123" i="16"/>
  <c r="AI123" i="16" s="1" a="1"/>
  <c r="AI123" i="16" s="1"/>
  <c r="W123" i="16"/>
  <c r="S123" i="16"/>
  <c r="Q123" i="16" a="1"/>
  <c r="Q123" i="16" s="1"/>
  <c r="P123" i="16" a="1"/>
  <c r="P123" i="16" s="1"/>
  <c r="R123" i="16" s="1"/>
  <c r="A123" i="16"/>
  <c r="AI122" i="16" a="1"/>
  <c r="AI122" i="16" s="1"/>
  <c r="AE122" i="16"/>
  <c r="W122" i="16"/>
  <c r="S122" i="16"/>
  <c r="Q122" i="16" a="1"/>
  <c r="Q122" i="16" s="1"/>
  <c r="P122" i="16" a="1"/>
  <c r="P122" i="16" s="1"/>
  <c r="R122" i="16" s="1"/>
  <c r="A122" i="16"/>
  <c r="AI121" i="16" a="1"/>
  <c r="AI121" i="16" s="1"/>
  <c r="AE121" i="16"/>
  <c r="W121" i="16"/>
  <c r="S121" i="16"/>
  <c r="Q121" i="16" a="1"/>
  <c r="Q121" i="16" s="1"/>
  <c r="P121" i="16" a="1"/>
  <c r="P121" i="16" s="1"/>
  <c r="R121" i="16" s="1"/>
  <c r="A121" i="16"/>
  <c r="BC60" i="16"/>
  <c r="BB60" i="16"/>
  <c r="BC59" i="16"/>
  <c r="BB59" i="16"/>
  <c r="BC58" i="16"/>
  <c r="BB58" i="16"/>
  <c r="BC57" i="16"/>
  <c r="BB57" i="16"/>
  <c r="BC56" i="16"/>
  <c r="BB56" i="16"/>
  <c r="BC55" i="16"/>
  <c r="BB55" i="16"/>
  <c r="BC54" i="16"/>
  <c r="BB54" i="16"/>
  <c r="BC53" i="16"/>
  <c r="BB53" i="16"/>
  <c r="BC52" i="16"/>
  <c r="BB52" i="16"/>
  <c r="BC51" i="16"/>
  <c r="BB51" i="16"/>
  <c r="BC50" i="16"/>
  <c r="BB50" i="16"/>
  <c r="BC49" i="16"/>
  <c r="BB49" i="16"/>
  <c r="BC48" i="16"/>
  <c r="BB48" i="16"/>
  <c r="BC47" i="16"/>
  <c r="BB47" i="16"/>
  <c r="BC46" i="16"/>
  <c r="BB46" i="16"/>
  <c r="BC45" i="16"/>
  <c r="BB45" i="16"/>
  <c r="BC44" i="16"/>
  <c r="BB44" i="16"/>
  <c r="BC43" i="16"/>
  <c r="BB43" i="16"/>
  <c r="BC42" i="16"/>
  <c r="BB42" i="16"/>
  <c r="BC41" i="16"/>
  <c r="BB41" i="16"/>
  <c r="BC40" i="16"/>
  <c r="BB40" i="16"/>
  <c r="BC39" i="16"/>
  <c r="BB39" i="16"/>
  <c r="BC38" i="16"/>
  <c r="BB38" i="16"/>
  <c r="BC37" i="16"/>
  <c r="BB37" i="16"/>
  <c r="BC36" i="16"/>
  <c r="BB36" i="16"/>
  <c r="BC35" i="16"/>
  <c r="BB35" i="16"/>
  <c r="BC34" i="16"/>
  <c r="BB34" i="16"/>
  <c r="BC33" i="16"/>
  <c r="BB33" i="16"/>
  <c r="AI33" i="16" a="1"/>
  <c r="AI33" i="16" s="1"/>
  <c r="AE33" i="16"/>
  <c r="Q33" i="16" a="1"/>
  <c r="Q33" i="16" s="1"/>
  <c r="P33" i="16" a="1"/>
  <c r="P33" i="16" s="1"/>
  <c r="R33" i="16" s="1"/>
  <c r="A33" i="16"/>
  <c r="BC32" i="16"/>
  <c r="BB32" i="16"/>
  <c r="AI32" i="16" a="1"/>
  <c r="AI32" i="16" s="1"/>
  <c r="AE32" i="16"/>
  <c r="Q32" i="16" a="1"/>
  <c r="Q32" i="16" s="1"/>
  <c r="P32" i="16" a="1"/>
  <c r="P32" i="16" s="1"/>
  <c r="R32" i="16" s="1"/>
  <c r="A32" i="16"/>
  <c r="BC31" i="16"/>
  <c r="BB31" i="16"/>
  <c r="AI31" i="16" a="1"/>
  <c r="AI31" i="16" s="1"/>
  <c r="AE31" i="16"/>
  <c r="Q31" i="16" a="1"/>
  <c r="Q31" i="16" s="1"/>
  <c r="P31" i="16" a="1"/>
  <c r="P31" i="16" s="1"/>
  <c r="R31" i="16" s="1"/>
  <c r="A31" i="16"/>
  <c r="BC30" i="16"/>
  <c r="BB30" i="16"/>
  <c r="AI30" i="16" a="1"/>
  <c r="AI30" i="16" s="1"/>
  <c r="AE30" i="16"/>
  <c r="Q30" i="16" a="1"/>
  <c r="Q30" i="16" s="1"/>
  <c r="P30" i="16" a="1"/>
  <c r="P30" i="16" s="1"/>
  <c r="R30" i="16" s="1"/>
  <c r="A30" i="16"/>
  <c r="BC29" i="16"/>
  <c r="BB29" i="16"/>
  <c r="AI29" i="16" a="1"/>
  <c r="AI29" i="16" s="1"/>
  <c r="AE29" i="16"/>
  <c r="Q29" i="16" a="1"/>
  <c r="Q29" i="16" s="1"/>
  <c r="P29" i="16" a="1"/>
  <c r="P29" i="16" s="1"/>
  <c r="R29" i="16" s="1"/>
  <c r="A29" i="16"/>
  <c r="BC28" i="16"/>
  <c r="BB28" i="16"/>
  <c r="AE28" i="16"/>
  <c r="AI28" i="16" s="1" a="1"/>
  <c r="AI28" i="16" s="1"/>
  <c r="Q28" i="16" a="1"/>
  <c r="Q28" i="16" s="1"/>
  <c r="P28" i="16" a="1"/>
  <c r="P28" i="16" s="1"/>
  <c r="R28" i="16" s="1"/>
  <c r="A28" i="16"/>
  <c r="BC27" i="16"/>
  <c r="BB27" i="16"/>
  <c r="AE27" i="16"/>
  <c r="AI27" i="16" s="1" a="1"/>
  <c r="AI27" i="16" s="1"/>
  <c r="Q27" i="16" a="1"/>
  <c r="Q27" i="16" s="1"/>
  <c r="P27" i="16" a="1"/>
  <c r="P27" i="16" s="1"/>
  <c r="R27" i="16" s="1"/>
  <c r="A27" i="16"/>
  <c r="BC26" i="16"/>
  <c r="BB26" i="16"/>
  <c r="AE26" i="16"/>
  <c r="AI26" i="16" s="1" a="1"/>
  <c r="AI26" i="16" s="1"/>
  <c r="Q26" i="16" a="1"/>
  <c r="Q26" i="16" s="1"/>
  <c r="P26" i="16" a="1"/>
  <c r="P26" i="16" s="1"/>
  <c r="R26" i="16" s="1"/>
  <c r="A26" i="16"/>
  <c r="BC25" i="16"/>
  <c r="BB25" i="16"/>
  <c r="AI25" i="16" a="1"/>
  <c r="AI25" i="16" s="1"/>
  <c r="AE25" i="16"/>
  <c r="Q25" i="16" a="1"/>
  <c r="Q25" i="16" s="1"/>
  <c r="P25" i="16" a="1"/>
  <c r="P25" i="16" s="1"/>
  <c r="R25" i="16" s="1"/>
  <c r="A25" i="16"/>
  <c r="BC24" i="16"/>
  <c r="BB24" i="16"/>
  <c r="AE24" i="16"/>
  <c r="AI24" i="16" s="1" a="1"/>
  <c r="AI24" i="16" s="1"/>
  <c r="Q24" i="16" a="1"/>
  <c r="Q24" i="16" s="1"/>
  <c r="P24" i="16" a="1"/>
  <c r="P24" i="16" s="1"/>
  <c r="R24" i="16" s="1"/>
  <c r="A24" i="16"/>
  <c r="BC23" i="16"/>
  <c r="BB23" i="16"/>
  <c r="AE23" i="16"/>
  <c r="AI23" i="16" s="1" a="1"/>
  <c r="AI23" i="16" s="1"/>
  <c r="Q23" i="16" a="1"/>
  <c r="Q23" i="16" s="1"/>
  <c r="P23" i="16" a="1"/>
  <c r="P23" i="16" s="1"/>
  <c r="R23" i="16" s="1"/>
  <c r="A23" i="16"/>
  <c r="BC22" i="16"/>
  <c r="BB22" i="16"/>
  <c r="AI22" i="16" a="1"/>
  <c r="AI22" i="16" s="1"/>
  <c r="AE22" i="16"/>
  <c r="Q22" i="16" a="1"/>
  <c r="Q22" i="16" s="1"/>
  <c r="P22" i="16" a="1"/>
  <c r="P22" i="16" s="1"/>
  <c r="R22" i="16" s="1"/>
  <c r="A22" i="16"/>
  <c r="BC21" i="16"/>
  <c r="BB21" i="16"/>
  <c r="AI21" i="16" a="1"/>
  <c r="AI21" i="16" s="1"/>
  <c r="AE21" i="16"/>
  <c r="Q21" i="16" a="1"/>
  <c r="Q21" i="16" s="1"/>
  <c r="P21" i="16" a="1"/>
  <c r="P21" i="16" s="1"/>
  <c r="R21" i="16" s="1"/>
  <c r="A21" i="16"/>
  <c r="BC20" i="16"/>
  <c r="BB20" i="16"/>
  <c r="AI20" i="16" a="1"/>
  <c r="AI20" i="16" s="1"/>
  <c r="AE20" i="16"/>
  <c r="Q20" i="16" a="1"/>
  <c r="Q20" i="16" s="1"/>
  <c r="P20" i="16" a="1"/>
  <c r="P20" i="16" s="1"/>
  <c r="R20" i="16" s="1"/>
  <c r="A20" i="16"/>
  <c r="BC19" i="16"/>
  <c r="BB19" i="16"/>
  <c r="AI19" i="16" a="1"/>
  <c r="AI19" i="16" s="1"/>
  <c r="AE19" i="16"/>
  <c r="Q19" i="16" a="1"/>
  <c r="Q19" i="16" s="1"/>
  <c r="P19" i="16" a="1"/>
  <c r="P19" i="16" s="1"/>
  <c r="R19" i="16" s="1"/>
  <c r="A19" i="16"/>
  <c r="BC18" i="16"/>
  <c r="BB18" i="16"/>
  <c r="AE18" i="16"/>
  <c r="AI18" i="16" s="1" a="1"/>
  <c r="AI18" i="16" s="1"/>
  <c r="Q18" i="16" a="1"/>
  <c r="Q18" i="16" s="1"/>
  <c r="P18" i="16" a="1"/>
  <c r="P18" i="16" s="1"/>
  <c r="R18" i="16" s="1"/>
  <c r="A18" i="16"/>
  <c r="BC17" i="16"/>
  <c r="BB17" i="16"/>
  <c r="AI17" i="16" a="1"/>
  <c r="AI17" i="16" s="1"/>
  <c r="AE17" i="16"/>
  <c r="Q17" i="16" a="1"/>
  <c r="Q17" i="16" s="1"/>
  <c r="P17" i="16" a="1"/>
  <c r="P17" i="16" s="1"/>
  <c r="R17" i="16" s="1"/>
  <c r="A17" i="16"/>
  <c r="BC16" i="16"/>
  <c r="BB16" i="16"/>
  <c r="AI16" i="16" a="1"/>
  <c r="AI16" i="16" s="1"/>
  <c r="AE16" i="16"/>
  <c r="Q16" i="16" a="1"/>
  <c r="Q16" i="16" s="1"/>
  <c r="P16" i="16" a="1"/>
  <c r="P16" i="16" s="1"/>
  <c r="R16" i="16" s="1"/>
  <c r="A16" i="16"/>
  <c r="BC15" i="16"/>
  <c r="BB15" i="16"/>
  <c r="AI15" i="16" a="1"/>
  <c r="AI15" i="16" s="1"/>
  <c r="AE15" i="16"/>
  <c r="Q15" i="16" a="1"/>
  <c r="Q15" i="16" s="1"/>
  <c r="P15" i="16" a="1"/>
  <c r="P15" i="16" s="1"/>
  <c r="R15" i="16" s="1"/>
  <c r="A15" i="16"/>
  <c r="BC14" i="16"/>
  <c r="BB14" i="16"/>
  <c r="AN14" i="16"/>
  <c r="AE14" i="16"/>
  <c r="AI14" i="16" s="1" a="1"/>
  <c r="AI14" i="16" s="1"/>
  <c r="Q14" i="16" a="1"/>
  <c r="Q14" i="16" s="1"/>
  <c r="P14" i="16" a="1"/>
  <c r="P14" i="16" s="1"/>
  <c r="R14" i="16" s="1"/>
  <c r="A14" i="16"/>
  <c r="BC13" i="16"/>
  <c r="BB13" i="16"/>
  <c r="AN13" i="16"/>
  <c r="AI13" i="16" a="1"/>
  <c r="AI13" i="16" s="1"/>
  <c r="AE13" i="16"/>
  <c r="Q13" i="16" a="1"/>
  <c r="Q13" i="16" s="1"/>
  <c r="P13" i="16" a="1"/>
  <c r="P13" i="16" s="1"/>
  <c r="R13" i="16" s="1"/>
  <c r="A13" i="16"/>
  <c r="BC12" i="16"/>
  <c r="BB12" i="16"/>
  <c r="AN12" i="16"/>
  <c r="AE12" i="16"/>
  <c r="AI12" i="16" s="1" a="1"/>
  <c r="AI12" i="16" s="1"/>
  <c r="Q12" i="16" a="1"/>
  <c r="Q12" i="16" s="1"/>
  <c r="P12" i="16" a="1"/>
  <c r="P12" i="16" s="1"/>
  <c r="R12" i="16" s="1"/>
  <c r="A12" i="16"/>
  <c r="BC11" i="16"/>
  <c r="BB11" i="16"/>
  <c r="AN11" i="16"/>
  <c r="AE11" i="16"/>
  <c r="AI11" i="16" s="1" a="1"/>
  <c r="AI11" i="16" s="1"/>
  <c r="Q11" i="16" a="1"/>
  <c r="Q11" i="16" s="1"/>
  <c r="P11" i="16" a="1"/>
  <c r="P11" i="16" s="1"/>
  <c r="R11" i="16" s="1"/>
  <c r="A11" i="16"/>
  <c r="BC10" i="16"/>
  <c r="BB10" i="16"/>
  <c r="AM10" i="16"/>
  <c r="AM11" i="16" s="1"/>
  <c r="AI10" i="16" a="1"/>
  <c r="AI10" i="16" s="1"/>
  <c r="AE10" i="16"/>
  <c r="Q10" i="16" a="1"/>
  <c r="Q10" i="16" s="1"/>
  <c r="P10" i="16" a="1"/>
  <c r="P10" i="16" s="1"/>
  <c r="R10" i="16" s="1"/>
  <c r="A10" i="16"/>
  <c r="BC9" i="16"/>
  <c r="BB9" i="16"/>
  <c r="AI9" i="16" a="1"/>
  <c r="AI9" i="16" s="1"/>
  <c r="AE9" i="16"/>
  <c r="Q9" i="16" a="1"/>
  <c r="Q9" i="16" s="1"/>
  <c r="P9" i="16" a="1"/>
  <c r="P9" i="16" s="1"/>
  <c r="R9" i="16" s="1"/>
  <c r="A9" i="16"/>
  <c r="BC8" i="16"/>
  <c r="BB8" i="16"/>
  <c r="AI8" i="16" a="1"/>
  <c r="AI8" i="16" s="1"/>
  <c r="AE8" i="16"/>
  <c r="Q8" i="16" a="1"/>
  <c r="Q8" i="16" s="1"/>
  <c r="P8" i="16" a="1"/>
  <c r="P8" i="16" s="1"/>
  <c r="R8" i="16" s="1"/>
  <c r="A8" i="16"/>
  <c r="BC7" i="16"/>
  <c r="BB7" i="16"/>
  <c r="AI7" i="16" a="1"/>
  <c r="AI7" i="16" s="1"/>
  <c r="AE7" i="16"/>
  <c r="Q7" i="16" a="1"/>
  <c r="Q7" i="16" s="1"/>
  <c r="P7" i="16" a="1"/>
  <c r="P7" i="16" s="1"/>
  <c r="R7" i="16" s="1"/>
  <c r="A7" i="16"/>
  <c r="BC6" i="16"/>
  <c r="BB6" i="16"/>
  <c r="AE6" i="16"/>
  <c r="AI6" i="16" s="1" a="1"/>
  <c r="AI6" i="16" s="1"/>
  <c r="Q6" i="16" a="1"/>
  <c r="Q6" i="16" s="1"/>
  <c r="P6" i="16" a="1"/>
  <c r="P6" i="16" s="1"/>
  <c r="R6" i="16" s="1"/>
  <c r="A6" i="16"/>
  <c r="BC5" i="16"/>
  <c r="BB5" i="16"/>
  <c r="AE5" i="16"/>
  <c r="AI5" i="16" s="1" a="1"/>
  <c r="AI5" i="16" s="1"/>
  <c r="Q5" i="16" a="1"/>
  <c r="Q5" i="16" s="1"/>
  <c r="P5" i="16" a="1"/>
  <c r="P5" i="16" s="1"/>
  <c r="R5" i="16" s="1"/>
  <c r="A5" i="16"/>
  <c r="BC4" i="16"/>
  <c r="BB4" i="16"/>
  <c r="AE4" i="16"/>
  <c r="AI4" i="16" s="1" a="1"/>
  <c r="AI4" i="16" s="1"/>
  <c r="Q4" i="16" a="1"/>
  <c r="Q4" i="16" s="1"/>
  <c r="P4" i="16" a="1"/>
  <c r="P4" i="16" s="1"/>
  <c r="R4" i="16" s="1"/>
  <c r="A4" i="16"/>
  <c r="E64" i="14"/>
  <c r="C55" i="14"/>
  <c r="C52" i="14"/>
  <c r="C43" i="14"/>
  <c r="C40" i="14"/>
  <c r="C39" i="14"/>
  <c r="C14" i="14"/>
  <c r="C12" i="14"/>
  <c r="C10" i="14"/>
  <c r="C38" i="14" s="1"/>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A5" i="12"/>
  <c r="A5" i="11"/>
  <c r="A5" i="10"/>
  <c r="A5" i="9"/>
  <c r="A5" i="8"/>
  <c r="C275" i="19"/>
  <c r="C275" i="19" a="1"/>
  <c r="C206" i="6"/>
  <c r="B206" i="6"/>
  <c r="A206" i="6"/>
  <c r="C205" i="6"/>
  <c r="B205" i="6"/>
  <c r="A205" i="6"/>
  <c r="C204" i="6"/>
  <c r="B204" i="6"/>
  <c r="A204" i="6"/>
  <c r="C203" i="6"/>
  <c r="B203" i="6"/>
  <c r="A203" i="6"/>
  <c r="C202" i="6"/>
  <c r="B202" i="6"/>
  <c r="A202" i="6"/>
  <c r="C201" i="6"/>
  <c r="B201" i="6"/>
  <c r="A201" i="6"/>
  <c r="C200" i="6"/>
  <c r="B200" i="6"/>
  <c r="A200" i="6"/>
  <c r="C199" i="6"/>
  <c r="B199" i="6"/>
  <c r="A199" i="6"/>
  <c r="C198" i="6"/>
  <c r="B198" i="6"/>
  <c r="A198" i="6"/>
  <c r="C197" i="6"/>
  <c r="B197" i="6"/>
  <c r="A197" i="6"/>
  <c r="C196" i="6"/>
  <c r="B196" i="6"/>
  <c r="A196" i="6"/>
  <c r="C195" i="6"/>
  <c r="B195" i="6"/>
  <c r="A195" i="6"/>
  <c r="C194" i="6"/>
  <c r="B194" i="6"/>
  <c r="A194" i="6"/>
  <c r="C193" i="6"/>
  <c r="B193" i="6"/>
  <c r="A193" i="6"/>
  <c r="C192" i="6"/>
  <c r="B192" i="6"/>
  <c r="A192" i="6"/>
  <c r="C191" i="6"/>
  <c r="B191" i="6"/>
  <c r="A191" i="6"/>
  <c r="C190" i="6"/>
  <c r="B190" i="6"/>
  <c r="A190" i="6"/>
  <c r="C189" i="6"/>
  <c r="B189" i="6"/>
  <c r="A189" i="6"/>
  <c r="C188" i="6"/>
  <c r="B188" i="6"/>
  <c r="A188" i="6"/>
  <c r="C187" i="6"/>
  <c r="B187" i="6"/>
  <c r="A187" i="6"/>
  <c r="C186" i="6"/>
  <c r="B186" i="6"/>
  <c r="A186" i="6"/>
  <c r="C185" i="6"/>
  <c r="B185" i="6"/>
  <c r="A185" i="6"/>
  <c r="C184" i="6"/>
  <c r="B184" i="6"/>
  <c r="A184" i="6"/>
  <c r="C183" i="6"/>
  <c r="B183" i="6"/>
  <c r="A183" i="6"/>
  <c r="C182" i="6"/>
  <c r="B182" i="6"/>
  <c r="A182" i="6"/>
  <c r="C181" i="6"/>
  <c r="B181" i="6"/>
  <c r="A181" i="6"/>
  <c r="C180" i="6"/>
  <c r="B180" i="6"/>
  <c r="A180" i="6"/>
  <c r="C179" i="6"/>
  <c r="B179" i="6"/>
  <c r="A179" i="6"/>
  <c r="C178" i="6"/>
  <c r="B178" i="6"/>
  <c r="A178" i="6"/>
  <c r="C177" i="6"/>
  <c r="B177" i="6"/>
  <c r="A177" i="6"/>
  <c r="C176" i="6"/>
  <c r="B176" i="6"/>
  <c r="A176" i="6"/>
  <c r="C175" i="6"/>
  <c r="B175" i="6"/>
  <c r="A175" i="6"/>
  <c r="C174" i="6"/>
  <c r="B174" i="6"/>
  <c r="A174" i="6"/>
  <c r="C173" i="6"/>
  <c r="B173" i="6"/>
  <c r="A173" i="6"/>
  <c r="C172" i="6"/>
  <c r="B172" i="6"/>
  <c r="A172" i="6"/>
  <c r="C171" i="6"/>
  <c r="B171" i="6"/>
  <c r="A171" i="6"/>
  <c r="C170" i="6"/>
  <c r="B170" i="6"/>
  <c r="A170" i="6"/>
  <c r="C169" i="6"/>
  <c r="B169" i="6"/>
  <c r="A169" i="6"/>
  <c r="C168" i="6"/>
  <c r="B168" i="6"/>
  <c r="A168" i="6"/>
  <c r="C167" i="6"/>
  <c r="B167" i="6"/>
  <c r="A167" i="6"/>
  <c r="C166" i="6"/>
  <c r="B166" i="6"/>
  <c r="A166" i="6"/>
  <c r="C165" i="6"/>
  <c r="B165" i="6"/>
  <c r="A165" i="6"/>
  <c r="C164" i="6"/>
  <c r="B164" i="6"/>
  <c r="A164" i="6"/>
  <c r="C163" i="6"/>
  <c r="B163" i="6"/>
  <c r="A163" i="6"/>
  <c r="C162" i="6"/>
  <c r="B162" i="6"/>
  <c r="A162" i="6"/>
  <c r="C161" i="6"/>
  <c r="B161" i="6"/>
  <c r="A161" i="6"/>
  <c r="C160" i="6"/>
  <c r="B160" i="6"/>
  <c r="A160" i="6"/>
  <c r="C159" i="6"/>
  <c r="B159" i="6"/>
  <c r="A159" i="6"/>
  <c r="C158" i="6"/>
  <c r="B158" i="6"/>
  <c r="A158" i="6"/>
  <c r="C157" i="6"/>
  <c r="B157" i="6"/>
  <c r="A157" i="6"/>
  <c r="C156" i="6"/>
  <c r="B156" i="6"/>
  <c r="A156" i="6"/>
  <c r="C155" i="6"/>
  <c r="B155" i="6"/>
  <c r="A155" i="6"/>
  <c r="C154" i="6"/>
  <c r="B154" i="6"/>
  <c r="A154" i="6"/>
  <c r="C153" i="6"/>
  <c r="B153" i="6"/>
  <c r="A153" i="6"/>
  <c r="C152" i="6"/>
  <c r="B152" i="6"/>
  <c r="A152" i="6"/>
  <c r="C151" i="6"/>
  <c r="B151" i="6"/>
  <c r="A151" i="6"/>
  <c r="C150" i="6"/>
  <c r="B150" i="6"/>
  <c r="A150" i="6"/>
  <c r="C149" i="6"/>
  <c r="B149" i="6"/>
  <c r="A149" i="6"/>
  <c r="C148" i="6"/>
  <c r="B148" i="6"/>
  <c r="A148" i="6"/>
  <c r="C147" i="6"/>
  <c r="B147" i="6"/>
  <c r="A147" i="6"/>
  <c r="C146" i="6"/>
  <c r="B146" i="6"/>
  <c r="A146" i="6"/>
  <c r="C145" i="6"/>
  <c r="B145" i="6"/>
  <c r="A145" i="6"/>
  <c r="C144" i="6"/>
  <c r="B144" i="6"/>
  <c r="A144" i="6"/>
  <c r="C143" i="6"/>
  <c r="B143" i="6"/>
  <c r="A143" i="6"/>
  <c r="C142" i="6"/>
  <c r="B142" i="6"/>
  <c r="A142" i="6"/>
  <c r="C141" i="6"/>
  <c r="B141" i="6"/>
  <c r="A141" i="6"/>
  <c r="C140" i="6"/>
  <c r="B140" i="6"/>
  <c r="A140" i="6"/>
  <c r="C139" i="6"/>
  <c r="B139" i="6"/>
  <c r="A139" i="6"/>
  <c r="C138" i="6"/>
  <c r="B138" i="6"/>
  <c r="A138" i="6"/>
  <c r="C137" i="6"/>
  <c r="B137" i="6"/>
  <c r="A137" i="6"/>
  <c r="C136" i="6"/>
  <c r="B136" i="6"/>
  <c r="A136" i="6"/>
  <c r="C135" i="6"/>
  <c r="B135" i="6"/>
  <c r="A135" i="6"/>
  <c r="O134" i="6"/>
  <c r="C134" i="6"/>
  <c r="B134" i="6"/>
  <c r="A134" i="6"/>
  <c r="C133" i="6"/>
  <c r="B133" i="6"/>
  <c r="A133" i="6"/>
  <c r="C132" i="6"/>
  <c r="B132" i="6"/>
  <c r="A132" i="6"/>
  <c r="C131" i="6"/>
  <c r="B131" i="6"/>
  <c r="A131" i="6"/>
  <c r="C130" i="6"/>
  <c r="B130" i="6"/>
  <c r="A130" i="6"/>
  <c r="C129" i="6"/>
  <c r="B129" i="6"/>
  <c r="A129" i="6"/>
  <c r="C128" i="6"/>
  <c r="B128" i="6"/>
  <c r="A128" i="6"/>
  <c r="C127" i="6"/>
  <c r="B127" i="6"/>
  <c r="A127" i="6"/>
  <c r="C126" i="6"/>
  <c r="B126" i="6"/>
  <c r="A126" i="6"/>
  <c r="C125" i="6"/>
  <c r="B125" i="6"/>
  <c r="A125" i="6"/>
  <c r="C124" i="6"/>
  <c r="B124" i="6"/>
  <c r="A124" i="6"/>
  <c r="C123" i="6"/>
  <c r="B123" i="6"/>
  <c r="A123" i="6"/>
  <c r="C122" i="6"/>
  <c r="B122" i="6"/>
  <c r="A122" i="6"/>
  <c r="C121" i="6"/>
  <c r="B121" i="6"/>
  <c r="A121" i="6"/>
  <c r="C120" i="6"/>
  <c r="B120" i="6"/>
  <c r="A120" i="6"/>
  <c r="C119" i="6"/>
  <c r="B119" i="6"/>
  <c r="A119" i="6"/>
  <c r="C118" i="6"/>
  <c r="B118" i="6"/>
  <c r="A118" i="6"/>
  <c r="C117" i="6"/>
  <c r="B117" i="6"/>
  <c r="A117" i="6"/>
  <c r="C116" i="6"/>
  <c r="B116" i="6"/>
  <c r="A116" i="6"/>
  <c r="C115" i="6"/>
  <c r="B115" i="6"/>
  <c r="A115" i="6"/>
  <c r="C114" i="6"/>
  <c r="B114" i="6"/>
  <c r="A114" i="6"/>
  <c r="C113" i="6"/>
  <c r="B113" i="6"/>
  <c r="A113" i="6"/>
  <c r="C112" i="6"/>
  <c r="B112" i="6"/>
  <c r="A112" i="6"/>
  <c r="C111" i="6"/>
  <c r="B111" i="6"/>
  <c r="A111" i="6"/>
  <c r="C110" i="6"/>
  <c r="B110" i="6"/>
  <c r="A110" i="6"/>
  <c r="C109" i="6"/>
  <c r="B109" i="6"/>
  <c r="A109" i="6"/>
  <c r="C108" i="6"/>
  <c r="B108" i="6"/>
  <c r="A108" i="6"/>
  <c r="C107" i="6"/>
  <c r="B107" i="6"/>
  <c r="A107" i="6"/>
  <c r="C106" i="6"/>
  <c r="B106" i="6"/>
  <c r="A106" i="6"/>
  <c r="C105" i="6"/>
  <c r="B105" i="6"/>
  <c r="A105" i="6"/>
  <c r="C104" i="6"/>
  <c r="B104" i="6"/>
  <c r="A104" i="6"/>
  <c r="C103" i="6"/>
  <c r="B103" i="6"/>
  <c r="A103" i="6"/>
  <c r="C102" i="6"/>
  <c r="B102" i="6"/>
  <c r="A102" i="6"/>
  <c r="C101" i="6"/>
  <c r="B101" i="6"/>
  <c r="A101" i="6"/>
  <c r="C100" i="6"/>
  <c r="B100" i="6"/>
  <c r="A100" i="6"/>
  <c r="C99" i="6"/>
  <c r="B99" i="6"/>
  <c r="A99" i="6"/>
  <c r="C98" i="6"/>
  <c r="B98" i="6"/>
  <c r="A98" i="6"/>
  <c r="C97" i="6"/>
  <c r="B97" i="6"/>
  <c r="A97" i="6"/>
  <c r="C96" i="6"/>
  <c r="B96" i="6"/>
  <c r="A96" i="6"/>
  <c r="C95" i="6"/>
  <c r="B95" i="6"/>
  <c r="A95" i="6"/>
  <c r="C94" i="6"/>
  <c r="B94" i="6"/>
  <c r="A94" i="6"/>
  <c r="C93" i="6"/>
  <c r="B93" i="6"/>
  <c r="A93" i="6"/>
  <c r="C92" i="6"/>
  <c r="B92" i="6"/>
  <c r="A92" i="6"/>
  <c r="C91" i="6"/>
  <c r="B91" i="6"/>
  <c r="A91" i="6"/>
  <c r="C90" i="6"/>
  <c r="B90" i="6"/>
  <c r="A90" i="6"/>
  <c r="C89" i="6"/>
  <c r="B89" i="6"/>
  <c r="A89" i="6"/>
  <c r="C88" i="6"/>
  <c r="B88" i="6"/>
  <c r="A88" i="6"/>
  <c r="C87" i="6"/>
  <c r="B87" i="6"/>
  <c r="A87" i="6"/>
  <c r="C86" i="6"/>
  <c r="B86" i="6"/>
  <c r="A86" i="6"/>
  <c r="C85" i="6"/>
  <c r="B85" i="6"/>
  <c r="A85" i="6"/>
  <c r="C84" i="6"/>
  <c r="B84" i="6"/>
  <c r="A84" i="6"/>
  <c r="C83" i="6"/>
  <c r="B83" i="6"/>
  <c r="A83" i="6"/>
  <c r="C82" i="6"/>
  <c r="B82" i="6"/>
  <c r="A82" i="6"/>
  <c r="C81" i="6"/>
  <c r="B81" i="6"/>
  <c r="A81" i="6"/>
  <c r="C80" i="6"/>
  <c r="B80" i="6"/>
  <c r="A80" i="6"/>
  <c r="C79" i="6"/>
  <c r="B79" i="6"/>
  <c r="A79" i="6"/>
  <c r="C78" i="6"/>
  <c r="B78" i="6"/>
  <c r="A78" i="6"/>
  <c r="C77" i="6"/>
  <c r="B77" i="6"/>
  <c r="A77" i="6"/>
  <c r="C76" i="6"/>
  <c r="B76" i="6"/>
  <c r="A76" i="6"/>
  <c r="C75" i="6"/>
  <c r="B75" i="6"/>
  <c r="A75" i="6"/>
  <c r="C74" i="6"/>
  <c r="B74" i="6"/>
  <c r="A74" i="6"/>
  <c r="C73" i="6"/>
  <c r="B73" i="6"/>
  <c r="A73" i="6"/>
  <c r="C72" i="6"/>
  <c r="B72" i="6"/>
  <c r="A72" i="6"/>
  <c r="C71" i="6"/>
  <c r="B71" i="6"/>
  <c r="A71" i="6"/>
  <c r="C70" i="6"/>
  <c r="B70" i="6"/>
  <c r="A70" i="6"/>
  <c r="C69" i="6"/>
  <c r="B69" i="6"/>
  <c r="A69" i="6"/>
  <c r="C68" i="6"/>
  <c r="B68" i="6"/>
  <c r="A68" i="6"/>
  <c r="C67" i="6"/>
  <c r="B67" i="6"/>
  <c r="A67" i="6"/>
  <c r="C66" i="6"/>
  <c r="B66" i="6"/>
  <c r="A66" i="6"/>
  <c r="C65" i="6"/>
  <c r="B65" i="6"/>
  <c r="A65" i="6"/>
  <c r="C64" i="6"/>
  <c r="B64" i="6"/>
  <c r="A64" i="6"/>
  <c r="C63" i="6"/>
  <c r="B63" i="6"/>
  <c r="A63" i="6"/>
  <c r="C62" i="6"/>
  <c r="B62" i="6"/>
  <c r="A62" i="6"/>
  <c r="C61" i="6"/>
  <c r="B61" i="6"/>
  <c r="A61" i="6"/>
  <c r="C60" i="6"/>
  <c r="B60" i="6"/>
  <c r="A60" i="6"/>
  <c r="C59" i="6"/>
  <c r="B59" i="6"/>
  <c r="A59" i="6"/>
  <c r="C58" i="6"/>
  <c r="B58" i="6"/>
  <c r="A58" i="6"/>
  <c r="C57" i="6"/>
  <c r="B57" i="6"/>
  <c r="A57" i="6"/>
  <c r="C56" i="6"/>
  <c r="B56" i="6"/>
  <c r="A56" i="6"/>
  <c r="C55" i="6"/>
  <c r="B55" i="6"/>
  <c r="A55" i="6"/>
  <c r="C54" i="6"/>
  <c r="B54" i="6"/>
  <c r="A54" i="6"/>
  <c r="C53" i="6"/>
  <c r="B53" i="6"/>
  <c r="A53" i="6"/>
  <c r="C52" i="6"/>
  <c r="B52" i="6"/>
  <c r="A52" i="6"/>
  <c r="C51" i="6"/>
  <c r="B51" i="6"/>
  <c r="A51" i="6"/>
  <c r="C50" i="6"/>
  <c r="B50" i="6"/>
  <c r="A50" i="6"/>
  <c r="C49" i="6"/>
  <c r="B49" i="6"/>
  <c r="A49" i="6"/>
  <c r="C48" i="6"/>
  <c r="B48" i="6"/>
  <c r="A48" i="6"/>
  <c r="C47" i="6"/>
  <c r="B47" i="6"/>
  <c r="A47" i="6"/>
  <c r="C46" i="6"/>
  <c r="B46" i="6"/>
  <c r="A46" i="6"/>
  <c r="C45" i="6"/>
  <c r="B45" i="6"/>
  <c r="A45" i="6"/>
  <c r="C44" i="6"/>
  <c r="B44" i="6"/>
  <c r="A44" i="6"/>
  <c r="C43" i="6"/>
  <c r="B43" i="6"/>
  <c r="A43" i="6"/>
  <c r="C42" i="6"/>
  <c r="B42" i="6"/>
  <c r="A42" i="6"/>
  <c r="C41" i="6"/>
  <c r="B41" i="6"/>
  <c r="A41" i="6"/>
  <c r="C40" i="6"/>
  <c r="B40" i="6"/>
  <c r="A40" i="6"/>
  <c r="C39" i="6"/>
  <c r="B39" i="6"/>
  <c r="A39" i="6"/>
  <c r="C38" i="6"/>
  <c r="B38" i="6"/>
  <c r="A38" i="6"/>
  <c r="C37" i="6"/>
  <c r="B37" i="6"/>
  <c r="A37" i="6"/>
  <c r="C36" i="6"/>
  <c r="B36" i="6"/>
  <c r="A36" i="6"/>
  <c r="C35" i="6"/>
  <c r="B35" i="6"/>
  <c r="A35" i="6"/>
  <c r="C34" i="6"/>
  <c r="B34" i="6"/>
  <c r="A34" i="6"/>
  <c r="C33" i="6"/>
  <c r="B33" i="6"/>
  <c r="A33" i="6"/>
  <c r="C32" i="6"/>
  <c r="B32" i="6"/>
  <c r="A32" i="6"/>
  <c r="C31" i="6"/>
  <c r="B31" i="6"/>
  <c r="A31" i="6"/>
  <c r="C30" i="6"/>
  <c r="B30" i="6"/>
  <c r="A30" i="6"/>
  <c r="C29" i="6"/>
  <c r="B29" i="6"/>
  <c r="A29" i="6"/>
  <c r="C28" i="6"/>
  <c r="B28" i="6"/>
  <c r="A28" i="6"/>
  <c r="C27" i="6"/>
  <c r="B27" i="6"/>
  <c r="A27" i="6"/>
  <c r="C26" i="6"/>
  <c r="B26" i="6"/>
  <c r="A26" i="6"/>
  <c r="C25" i="6"/>
  <c r="B25" i="6"/>
  <c r="A25" i="6"/>
  <c r="C24" i="6"/>
  <c r="B24" i="6"/>
  <c r="A24" i="6"/>
  <c r="C23" i="6"/>
  <c r="B23" i="6"/>
  <c r="A23" i="6"/>
  <c r="C22" i="6"/>
  <c r="B22" i="6"/>
  <c r="A22" i="6"/>
  <c r="C21" i="6"/>
  <c r="B21" i="6"/>
  <c r="A21" i="6"/>
  <c r="C20" i="6"/>
  <c r="B20" i="6"/>
  <c r="A20" i="6"/>
  <c r="C19" i="6"/>
  <c r="B19" i="6"/>
  <c r="A19" i="6"/>
  <c r="C18" i="6"/>
  <c r="B18" i="6"/>
  <c r="A18" i="6"/>
  <c r="C17" i="6"/>
  <c r="B17" i="6"/>
  <c r="A17" i="6"/>
  <c r="C16" i="6"/>
  <c r="B16" i="6"/>
  <c r="A16" i="6"/>
  <c r="C15" i="6"/>
  <c r="B15" i="6"/>
  <c r="A15" i="6"/>
  <c r="C14" i="6"/>
  <c r="B14" i="6"/>
  <c r="A14" i="6"/>
  <c r="C13" i="6"/>
  <c r="B13" i="6"/>
  <c r="A13" i="6"/>
  <c r="C12" i="6"/>
  <c r="B12" i="6"/>
  <c r="A12" i="6"/>
  <c r="C11" i="6"/>
  <c r="B11" i="6"/>
  <c r="A11" i="6"/>
  <c r="C10" i="6"/>
  <c r="B10" i="6"/>
  <c r="A10" i="6"/>
  <c r="C9" i="6"/>
  <c r="B9" i="6"/>
  <c r="A9" i="6"/>
  <c r="C8" i="6"/>
  <c r="B8" i="6"/>
  <c r="A8" i="6"/>
  <c r="C7" i="6"/>
  <c r="B7" i="6"/>
  <c r="A7" i="6"/>
  <c r="C6" i="6"/>
  <c r="B6" i="6"/>
  <c r="A6" i="6"/>
  <c r="C5" i="6"/>
  <c r="B5" i="6"/>
  <c r="A5" i="6"/>
  <c r="C4" i="6"/>
  <c r="B4" i="6"/>
  <c r="A4" i="6"/>
  <c r="C3" i="6"/>
  <c r="B3" i="6"/>
  <c r="A3" i="6"/>
  <c r="AS206" i="5"/>
  <c r="AR206" i="5"/>
  <c r="AQ206" i="5"/>
  <c r="AC206" i="5"/>
  <c r="K206" i="6" s="1"/>
  <c r="AB206" i="5"/>
  <c r="J206" i="6" s="1"/>
  <c r="X206" i="5"/>
  <c r="O206" i="6" s="1"/>
  <c r="W206" i="5" a="1"/>
  <c r="W206" i="5" s="1"/>
  <c r="V206" i="6" s="1"/>
  <c r="N206" i="5"/>
  <c r="M206" i="5"/>
  <c r="G206" i="5"/>
  <c r="C206" i="5"/>
  <c r="A206" i="5"/>
  <c r="AS205" i="5"/>
  <c r="AR205" i="5"/>
  <c r="AQ205" i="5"/>
  <c r="AC205" i="5"/>
  <c r="K205" i="6" s="1"/>
  <c r="AB205" i="5"/>
  <c r="J205" i="6" s="1"/>
  <c r="X205" i="5"/>
  <c r="O205" i="6" s="1"/>
  <c r="W205" i="5" a="1"/>
  <c r="W205" i="5" s="1"/>
  <c r="V205" i="6" s="1"/>
  <c r="N205" i="5"/>
  <c r="M205" i="5"/>
  <c r="G205" i="5"/>
  <c r="C205" i="5"/>
  <c r="A205" i="5"/>
  <c r="AS204" i="5"/>
  <c r="AR204" i="5"/>
  <c r="AQ204" i="5"/>
  <c r="AC204" i="5"/>
  <c r="K204" i="6" s="1"/>
  <c r="AB204" i="5"/>
  <c r="J204" i="6" s="1"/>
  <c r="X204" i="5"/>
  <c r="O204" i="6" s="1"/>
  <c r="W204" i="5" a="1"/>
  <c r="W204" i="5" s="1"/>
  <c r="V204" i="6" s="1"/>
  <c r="N204" i="5"/>
  <c r="M204" i="5"/>
  <c r="G204" i="5"/>
  <c r="C204" i="5"/>
  <c r="A204" i="5"/>
  <c r="AS203" i="5"/>
  <c r="AR203" i="5"/>
  <c r="AQ203" i="5"/>
  <c r="AC203" i="5"/>
  <c r="K203" i="6" s="1"/>
  <c r="AB203" i="5"/>
  <c r="J203" i="6" s="1"/>
  <c r="X203" i="5"/>
  <c r="O203" i="6" s="1"/>
  <c r="W203" i="5" a="1"/>
  <c r="W203" i="5" s="1"/>
  <c r="V203" i="6" s="1"/>
  <c r="N203" i="5"/>
  <c r="M203" i="5"/>
  <c r="G203" i="5"/>
  <c r="C203" i="5"/>
  <c r="A203" i="5"/>
  <c r="AS202" i="5"/>
  <c r="AR202" i="5"/>
  <c r="AQ202" i="5"/>
  <c r="AC202" i="5"/>
  <c r="K202" i="6" s="1"/>
  <c r="AB202" i="5"/>
  <c r="J202" i="6" s="1"/>
  <c r="X202" i="5"/>
  <c r="O202" i="6" s="1"/>
  <c r="W202" i="5" a="1"/>
  <c r="W202" i="5" s="1"/>
  <c r="V202" i="6" s="1"/>
  <c r="N202" i="5"/>
  <c r="M202" i="5"/>
  <c r="G202" i="5"/>
  <c r="C202" i="5"/>
  <c r="A202" i="5"/>
  <c r="AS201" i="5"/>
  <c r="AR201" i="5"/>
  <c r="AQ201" i="5"/>
  <c r="AC201" i="5"/>
  <c r="K201" i="6" s="1"/>
  <c r="AB201" i="5"/>
  <c r="J201" i="6" s="1"/>
  <c r="X201" i="5"/>
  <c r="O201" i="6" s="1"/>
  <c r="W201" i="5" a="1"/>
  <c r="W201" i="5" s="1"/>
  <c r="V201" i="6" s="1"/>
  <c r="N201" i="5"/>
  <c r="M201" i="5"/>
  <c r="G201" i="5"/>
  <c r="C201" i="5"/>
  <c r="A201" i="5"/>
  <c r="AS200" i="5"/>
  <c r="AR200" i="5"/>
  <c r="AQ200" i="5"/>
  <c r="AC200" i="5"/>
  <c r="K200" i="6" s="1"/>
  <c r="AB200" i="5"/>
  <c r="J200" i="6" s="1"/>
  <c r="X200" i="5"/>
  <c r="O200" i="6" s="1"/>
  <c r="W200" i="5" a="1"/>
  <c r="W200" i="5" s="1"/>
  <c r="V200" i="6" s="1"/>
  <c r="N200" i="5"/>
  <c r="M200" i="5"/>
  <c r="G200" i="5"/>
  <c r="C200" i="5"/>
  <c r="A200" i="5"/>
  <c r="AS199" i="5"/>
  <c r="AR199" i="5"/>
  <c r="AQ199" i="5"/>
  <c r="AC199" i="5"/>
  <c r="K199" i="6" s="1"/>
  <c r="AB199" i="5"/>
  <c r="J199" i="6" s="1"/>
  <c r="X199" i="5"/>
  <c r="O199" i="6" s="1"/>
  <c r="W199" i="5" a="1"/>
  <c r="W199" i="5" s="1"/>
  <c r="V199" i="6" s="1"/>
  <c r="N199" i="5"/>
  <c r="M199" i="5"/>
  <c r="G199" i="5"/>
  <c r="C199" i="5"/>
  <c r="A199" i="5"/>
  <c r="AS198" i="5"/>
  <c r="AR198" i="5"/>
  <c r="AQ198" i="5"/>
  <c r="AC198" i="5"/>
  <c r="K198" i="6" s="1"/>
  <c r="AB198" i="5"/>
  <c r="J198" i="6" s="1"/>
  <c r="X198" i="5"/>
  <c r="O198" i="6" s="1"/>
  <c r="W198" i="5" a="1"/>
  <c r="W198" i="5" s="1"/>
  <c r="V198" i="6" s="1"/>
  <c r="N198" i="5"/>
  <c r="M198" i="5"/>
  <c r="G198" i="5"/>
  <c r="C198" i="5"/>
  <c r="A198" i="5"/>
  <c r="AS197" i="5"/>
  <c r="AR197" i="5"/>
  <c r="AQ197" i="5"/>
  <c r="AC197" i="5"/>
  <c r="K197" i="6" s="1"/>
  <c r="AB197" i="5"/>
  <c r="J197" i="6" s="1"/>
  <c r="X197" i="5"/>
  <c r="O197" i="6" s="1"/>
  <c r="W197" i="5" a="1"/>
  <c r="W197" i="5" s="1"/>
  <c r="V197" i="6" s="1"/>
  <c r="N197" i="5"/>
  <c r="M197" i="5"/>
  <c r="G197" i="5"/>
  <c r="C197" i="5"/>
  <c r="A197" i="5"/>
  <c r="AS196" i="5"/>
  <c r="AR196" i="5"/>
  <c r="AQ196" i="5"/>
  <c r="AC196" i="5"/>
  <c r="K196" i="6" s="1"/>
  <c r="AB196" i="5"/>
  <c r="J196" i="6" s="1"/>
  <c r="X196" i="5"/>
  <c r="O196" i="6" s="1"/>
  <c r="W196" i="5" a="1"/>
  <c r="W196" i="5" s="1"/>
  <c r="V196" i="6" s="1"/>
  <c r="N196" i="5"/>
  <c r="M196" i="5"/>
  <c r="G196" i="5"/>
  <c r="C196" i="5"/>
  <c r="A196" i="5"/>
  <c r="AS195" i="5"/>
  <c r="AR195" i="5"/>
  <c r="AQ195" i="5"/>
  <c r="AC195" i="5"/>
  <c r="K195" i="6" s="1"/>
  <c r="AB195" i="5"/>
  <c r="J195" i="6" s="1"/>
  <c r="X195" i="5"/>
  <c r="O195" i="6" s="1"/>
  <c r="W195" i="5" a="1"/>
  <c r="W195" i="5" s="1"/>
  <c r="V195" i="6" s="1"/>
  <c r="N195" i="5"/>
  <c r="M195" i="5"/>
  <c r="G195" i="5"/>
  <c r="C195" i="5"/>
  <c r="A195" i="5"/>
  <c r="AS194" i="5"/>
  <c r="AR194" i="5"/>
  <c r="AQ194" i="5"/>
  <c r="AC194" i="5"/>
  <c r="K194" i="6" s="1"/>
  <c r="AB194" i="5"/>
  <c r="J194" i="6" s="1"/>
  <c r="X194" i="5"/>
  <c r="O194" i="6" s="1"/>
  <c r="W194" i="5" a="1"/>
  <c r="W194" i="5" s="1"/>
  <c r="V194" i="6" s="1"/>
  <c r="N194" i="5"/>
  <c r="M194" i="5"/>
  <c r="G194" i="5"/>
  <c r="C194" i="5"/>
  <c r="A194" i="5"/>
  <c r="AS193" i="5"/>
  <c r="AR193" i="5"/>
  <c r="AQ193" i="5"/>
  <c r="AC193" i="5"/>
  <c r="K193" i="6" s="1"/>
  <c r="AB193" i="5"/>
  <c r="J193" i="6" s="1"/>
  <c r="X193" i="5"/>
  <c r="O193" i="6" s="1"/>
  <c r="W193" i="5" a="1"/>
  <c r="W193" i="5" s="1"/>
  <c r="V193" i="6" s="1"/>
  <c r="N193" i="5"/>
  <c r="M193" i="5"/>
  <c r="G193" i="5"/>
  <c r="C193" i="5"/>
  <c r="A193" i="5"/>
  <c r="AS192" i="5"/>
  <c r="AR192" i="5"/>
  <c r="AQ192" i="5"/>
  <c r="AC192" i="5"/>
  <c r="K192" i="6" s="1"/>
  <c r="AB192" i="5"/>
  <c r="J192" i="6" s="1"/>
  <c r="X192" i="5"/>
  <c r="O192" i="6" s="1"/>
  <c r="W192" i="5" a="1"/>
  <c r="W192" i="5" s="1"/>
  <c r="V192" i="6" s="1"/>
  <c r="N192" i="5"/>
  <c r="M192" i="5"/>
  <c r="G192" i="5"/>
  <c r="C192" i="5"/>
  <c r="A192" i="5"/>
  <c r="AS191" i="5"/>
  <c r="AR191" i="5"/>
  <c r="AQ191" i="5"/>
  <c r="AC191" i="5"/>
  <c r="K191" i="6" s="1"/>
  <c r="AB191" i="5"/>
  <c r="J191" i="6" s="1"/>
  <c r="X191" i="5"/>
  <c r="O191" i="6" s="1"/>
  <c r="W191" i="5" a="1"/>
  <c r="W191" i="5" s="1"/>
  <c r="V191" i="6" s="1"/>
  <c r="N191" i="5"/>
  <c r="M191" i="5"/>
  <c r="G191" i="5"/>
  <c r="C191" i="5"/>
  <c r="A191" i="5"/>
  <c r="AS190" i="5"/>
  <c r="AR190" i="5"/>
  <c r="AQ190" i="5"/>
  <c r="AC190" i="5"/>
  <c r="K190" i="6" s="1"/>
  <c r="AB190" i="5"/>
  <c r="J190" i="6" s="1"/>
  <c r="X190" i="5"/>
  <c r="O190" i="6" s="1"/>
  <c r="W190" i="5" a="1"/>
  <c r="W190" i="5" s="1"/>
  <c r="V190" i="6" s="1"/>
  <c r="N190" i="5"/>
  <c r="M190" i="5"/>
  <c r="G190" i="5"/>
  <c r="C190" i="5"/>
  <c r="A190" i="5"/>
  <c r="AS189" i="5"/>
  <c r="AR189" i="5"/>
  <c r="AQ189" i="5"/>
  <c r="AC189" i="5"/>
  <c r="K189" i="6" s="1"/>
  <c r="AB189" i="5"/>
  <c r="J189" i="6" s="1"/>
  <c r="X189" i="5"/>
  <c r="O189" i="6" s="1"/>
  <c r="W189" i="5" a="1"/>
  <c r="W189" i="5" s="1"/>
  <c r="V189" i="6" s="1"/>
  <c r="N189" i="5"/>
  <c r="M189" i="5"/>
  <c r="G189" i="5"/>
  <c r="C189" i="5"/>
  <c r="A189" i="5"/>
  <c r="AS188" i="5"/>
  <c r="AR188" i="5"/>
  <c r="AQ188" i="5"/>
  <c r="AC188" i="5"/>
  <c r="K188" i="6" s="1"/>
  <c r="AB188" i="5"/>
  <c r="J188" i="6" s="1"/>
  <c r="X188" i="5"/>
  <c r="O188" i="6" s="1"/>
  <c r="W188" i="5" a="1"/>
  <c r="W188" i="5" s="1"/>
  <c r="V188" i="6" s="1"/>
  <c r="N188" i="5"/>
  <c r="M188" i="5"/>
  <c r="G188" i="5"/>
  <c r="C188" i="5"/>
  <c r="A188" i="5"/>
  <c r="AS187" i="5"/>
  <c r="AR187" i="5"/>
  <c r="AQ187" i="5"/>
  <c r="AC187" i="5"/>
  <c r="K187" i="6" s="1"/>
  <c r="AB187" i="5"/>
  <c r="J187" i="6" s="1"/>
  <c r="X187" i="5"/>
  <c r="O187" i="6" s="1"/>
  <c r="W187" i="5" a="1"/>
  <c r="W187" i="5" s="1"/>
  <c r="V187" i="6" s="1"/>
  <c r="N187" i="5"/>
  <c r="M187" i="5"/>
  <c r="G187" i="5"/>
  <c r="C187" i="5"/>
  <c r="A187" i="5"/>
  <c r="AS186" i="5"/>
  <c r="AR186" i="5"/>
  <c r="AQ186" i="5"/>
  <c r="AC186" i="5"/>
  <c r="K186" i="6" s="1"/>
  <c r="AB186" i="5"/>
  <c r="J186" i="6" s="1"/>
  <c r="X186" i="5"/>
  <c r="O186" i="6" s="1"/>
  <c r="W186" i="5" a="1"/>
  <c r="W186" i="5" s="1"/>
  <c r="V186" i="6" s="1"/>
  <c r="N186" i="5"/>
  <c r="M186" i="5"/>
  <c r="G186" i="5"/>
  <c r="C186" i="5"/>
  <c r="A186" i="5"/>
  <c r="AS185" i="5"/>
  <c r="AR185" i="5"/>
  <c r="AQ185" i="5"/>
  <c r="AC185" i="5"/>
  <c r="K185" i="6" s="1"/>
  <c r="AB185" i="5"/>
  <c r="J185" i="6" s="1"/>
  <c r="X185" i="5"/>
  <c r="O185" i="6" s="1"/>
  <c r="W185" i="5" a="1"/>
  <c r="W185" i="5" s="1"/>
  <c r="V185" i="6" s="1"/>
  <c r="N185" i="5"/>
  <c r="M185" i="5"/>
  <c r="G185" i="5"/>
  <c r="C185" i="5"/>
  <c r="A185" i="5"/>
  <c r="AS184" i="5"/>
  <c r="AR184" i="5"/>
  <c r="AQ184" i="5"/>
  <c r="AC184" i="5"/>
  <c r="K184" i="6" s="1"/>
  <c r="AB184" i="5"/>
  <c r="J184" i="6" s="1"/>
  <c r="X184" i="5"/>
  <c r="O184" i="6" s="1"/>
  <c r="W184" i="5" a="1"/>
  <c r="W184" i="5" s="1"/>
  <c r="V184" i="6" s="1"/>
  <c r="N184" i="5"/>
  <c r="M184" i="5"/>
  <c r="G184" i="5"/>
  <c r="C184" i="5"/>
  <c r="A184" i="5"/>
  <c r="AS183" i="5"/>
  <c r="AR183" i="5"/>
  <c r="AQ183" i="5"/>
  <c r="AC183" i="5"/>
  <c r="K183" i="6" s="1"/>
  <c r="AB183" i="5"/>
  <c r="J183" i="6" s="1"/>
  <c r="X183" i="5"/>
  <c r="O183" i="6" s="1"/>
  <c r="W183" i="5" a="1"/>
  <c r="W183" i="5" s="1"/>
  <c r="V183" i="6" s="1"/>
  <c r="N183" i="5"/>
  <c r="M183" i="5"/>
  <c r="G183" i="5"/>
  <c r="C183" i="5"/>
  <c r="A183" i="5"/>
  <c r="AS182" i="5"/>
  <c r="AR182" i="5"/>
  <c r="AQ182" i="5"/>
  <c r="AC182" i="5"/>
  <c r="K182" i="6" s="1"/>
  <c r="AB182" i="5"/>
  <c r="J182" i="6" s="1"/>
  <c r="X182" i="5"/>
  <c r="O182" i="6" s="1"/>
  <c r="W182" i="5" a="1"/>
  <c r="W182" i="5" s="1"/>
  <c r="V182" i="6" s="1"/>
  <c r="N182" i="5"/>
  <c r="M182" i="5"/>
  <c r="G182" i="5"/>
  <c r="C182" i="5"/>
  <c r="A182" i="5"/>
  <c r="AS181" i="5"/>
  <c r="AR181" i="5"/>
  <c r="AQ181" i="5"/>
  <c r="AC181" i="5"/>
  <c r="K181" i="6" s="1"/>
  <c r="AB181" i="5"/>
  <c r="J181" i="6" s="1"/>
  <c r="X181" i="5"/>
  <c r="O181" i="6" s="1"/>
  <c r="W181" i="5" a="1"/>
  <c r="W181" i="5" s="1"/>
  <c r="V181" i="6" s="1"/>
  <c r="N181" i="5"/>
  <c r="M181" i="5"/>
  <c r="G181" i="5"/>
  <c r="C181" i="5"/>
  <c r="A181" i="5"/>
  <c r="AS180" i="5"/>
  <c r="AR180" i="5"/>
  <c r="AQ180" i="5"/>
  <c r="AC180" i="5"/>
  <c r="K180" i="6" s="1"/>
  <c r="AB180" i="5"/>
  <c r="J180" i="6" s="1"/>
  <c r="X180" i="5"/>
  <c r="O180" i="6" s="1"/>
  <c r="W180" i="5" a="1"/>
  <c r="W180" i="5" s="1"/>
  <c r="V180" i="6" s="1"/>
  <c r="N180" i="5"/>
  <c r="M180" i="5"/>
  <c r="G180" i="5"/>
  <c r="C180" i="5"/>
  <c r="A180" i="5"/>
  <c r="AS179" i="5"/>
  <c r="AR179" i="5"/>
  <c r="AQ179" i="5"/>
  <c r="AC179" i="5"/>
  <c r="K179" i="6" s="1"/>
  <c r="AB179" i="5"/>
  <c r="J179" i="6" s="1"/>
  <c r="X179" i="5"/>
  <c r="O179" i="6" s="1"/>
  <c r="W179" i="5" a="1"/>
  <c r="W179" i="5" s="1"/>
  <c r="V179" i="6" s="1"/>
  <c r="N179" i="5"/>
  <c r="M179" i="5"/>
  <c r="G179" i="5"/>
  <c r="C179" i="5"/>
  <c r="A179" i="5"/>
  <c r="AS178" i="5"/>
  <c r="AR178" i="5"/>
  <c r="AQ178" i="5"/>
  <c r="AC178" i="5"/>
  <c r="K178" i="6" s="1"/>
  <c r="AB178" i="5"/>
  <c r="J178" i="6" s="1"/>
  <c r="X178" i="5"/>
  <c r="O178" i="6" s="1"/>
  <c r="W178" i="5" a="1"/>
  <c r="W178" i="5" s="1"/>
  <c r="V178" i="6" s="1"/>
  <c r="N178" i="5"/>
  <c r="M178" i="5"/>
  <c r="G178" i="5"/>
  <c r="C178" i="5"/>
  <c r="A178" i="5"/>
  <c r="AS177" i="5"/>
  <c r="AR177" i="5"/>
  <c r="AQ177" i="5"/>
  <c r="AC177" i="5"/>
  <c r="K177" i="6" s="1"/>
  <c r="AB177" i="5"/>
  <c r="J177" i="6" s="1"/>
  <c r="X177" i="5"/>
  <c r="O177" i="6" s="1"/>
  <c r="W177" i="5" a="1"/>
  <c r="W177" i="5" s="1"/>
  <c r="V177" i="6" s="1"/>
  <c r="N177" i="5"/>
  <c r="M177" i="5"/>
  <c r="G177" i="5"/>
  <c r="C177" i="5"/>
  <c r="A177" i="5"/>
  <c r="AS176" i="5"/>
  <c r="AR176" i="5"/>
  <c r="AQ176" i="5"/>
  <c r="AC176" i="5"/>
  <c r="K176" i="6" s="1"/>
  <c r="AB176" i="5"/>
  <c r="J176" i="6" s="1"/>
  <c r="X176" i="5"/>
  <c r="O176" i="6" s="1"/>
  <c r="W176" i="5" a="1"/>
  <c r="W176" i="5" s="1"/>
  <c r="V176" i="6" s="1"/>
  <c r="N176" i="5"/>
  <c r="M176" i="5"/>
  <c r="G176" i="5"/>
  <c r="C176" i="5"/>
  <c r="A176" i="5"/>
  <c r="AS175" i="5"/>
  <c r="AR175" i="5"/>
  <c r="AQ175" i="5"/>
  <c r="AC175" i="5"/>
  <c r="K175" i="6" s="1"/>
  <c r="AB175" i="5"/>
  <c r="J175" i="6" s="1"/>
  <c r="X175" i="5"/>
  <c r="O175" i="6" s="1"/>
  <c r="W175" i="5" a="1"/>
  <c r="W175" i="5" s="1"/>
  <c r="V175" i="6" s="1"/>
  <c r="N175" i="5"/>
  <c r="M175" i="5"/>
  <c r="G175" i="5"/>
  <c r="C175" i="5"/>
  <c r="A175" i="5"/>
  <c r="AS174" i="5"/>
  <c r="AR174" i="5"/>
  <c r="AQ174" i="5"/>
  <c r="AC174" i="5"/>
  <c r="K174" i="6" s="1"/>
  <c r="AB174" i="5"/>
  <c r="J174" i="6" s="1"/>
  <c r="X174" i="5"/>
  <c r="O174" i="6" s="1"/>
  <c r="W174" i="5" a="1"/>
  <c r="W174" i="5" s="1"/>
  <c r="V174" i="6" s="1"/>
  <c r="N174" i="5"/>
  <c r="M174" i="5"/>
  <c r="G174" i="5"/>
  <c r="C174" i="5"/>
  <c r="A174" i="5"/>
  <c r="AS173" i="5"/>
  <c r="AR173" i="5"/>
  <c r="AQ173" i="5"/>
  <c r="AC173" i="5"/>
  <c r="K173" i="6" s="1"/>
  <c r="AB173" i="5"/>
  <c r="J173" i="6" s="1"/>
  <c r="X173" i="5"/>
  <c r="O173" i="6" s="1"/>
  <c r="W173" i="5" a="1"/>
  <c r="W173" i="5" s="1"/>
  <c r="V173" i="6" s="1"/>
  <c r="N173" i="5"/>
  <c r="M173" i="5"/>
  <c r="G173" i="5"/>
  <c r="C173" i="5"/>
  <c r="A173" i="5"/>
  <c r="AS172" i="5"/>
  <c r="AR172" i="5"/>
  <c r="AQ172" i="5"/>
  <c r="AC172" i="5"/>
  <c r="K172" i="6" s="1"/>
  <c r="AB172" i="5"/>
  <c r="J172" i="6" s="1"/>
  <c r="X172" i="5"/>
  <c r="O172" i="6" s="1"/>
  <c r="W172" i="5" a="1"/>
  <c r="W172" i="5" s="1"/>
  <c r="V172" i="6" s="1"/>
  <c r="N172" i="5"/>
  <c r="M172" i="5"/>
  <c r="G172" i="5"/>
  <c r="C172" i="5"/>
  <c r="A172" i="5"/>
  <c r="AS171" i="5"/>
  <c r="AR171" i="5"/>
  <c r="AQ171" i="5"/>
  <c r="AC171" i="5"/>
  <c r="K171" i="6" s="1"/>
  <c r="AB171" i="5"/>
  <c r="J171" i="6" s="1"/>
  <c r="X171" i="5"/>
  <c r="O171" i="6" s="1"/>
  <c r="W171" i="5" a="1"/>
  <c r="W171" i="5" s="1"/>
  <c r="V171" i="6" s="1"/>
  <c r="N171" i="5"/>
  <c r="M171" i="5"/>
  <c r="G171" i="5"/>
  <c r="C171" i="5"/>
  <c r="A171" i="5"/>
  <c r="AS170" i="5"/>
  <c r="AR170" i="5"/>
  <c r="AQ170" i="5"/>
  <c r="AC170" i="5"/>
  <c r="K170" i="6" s="1"/>
  <c r="AB170" i="5"/>
  <c r="J170" i="6" s="1"/>
  <c r="X170" i="5"/>
  <c r="O170" i="6" s="1"/>
  <c r="W170" i="5" a="1"/>
  <c r="W170" i="5" s="1"/>
  <c r="V170" i="6" s="1"/>
  <c r="N170" i="5"/>
  <c r="M170" i="5"/>
  <c r="G170" i="5"/>
  <c r="C170" i="5"/>
  <c r="A170" i="5"/>
  <c r="AS169" i="5"/>
  <c r="AR169" i="5"/>
  <c r="AQ169" i="5"/>
  <c r="AC169" i="5"/>
  <c r="K169" i="6" s="1"/>
  <c r="AB169" i="5"/>
  <c r="J169" i="6" s="1"/>
  <c r="X169" i="5"/>
  <c r="O169" i="6" s="1"/>
  <c r="W169" i="5" a="1"/>
  <c r="W169" i="5" s="1"/>
  <c r="V169" i="6" s="1"/>
  <c r="N169" i="5"/>
  <c r="M169" i="5"/>
  <c r="G169" i="5"/>
  <c r="C169" i="5"/>
  <c r="A169" i="5"/>
  <c r="AS168" i="5"/>
  <c r="AR168" i="5"/>
  <c r="AQ168" i="5"/>
  <c r="AC168" i="5"/>
  <c r="K168" i="6" s="1"/>
  <c r="AB168" i="5"/>
  <c r="J168" i="6" s="1"/>
  <c r="X168" i="5"/>
  <c r="O168" i="6" s="1"/>
  <c r="W168" i="5" a="1"/>
  <c r="W168" i="5" s="1"/>
  <c r="V168" i="6" s="1"/>
  <c r="N168" i="5"/>
  <c r="M168" i="5"/>
  <c r="G168" i="5"/>
  <c r="C168" i="5"/>
  <c r="A168" i="5"/>
  <c r="AS167" i="5"/>
  <c r="AR167" i="5"/>
  <c r="AQ167" i="5"/>
  <c r="AC167" i="5"/>
  <c r="K167" i="6" s="1"/>
  <c r="AB167" i="5"/>
  <c r="J167" i="6" s="1"/>
  <c r="X167" i="5"/>
  <c r="O167" i="6" s="1"/>
  <c r="W167" i="5" a="1"/>
  <c r="W167" i="5" s="1"/>
  <c r="V167" i="6" s="1"/>
  <c r="N167" i="5"/>
  <c r="M167" i="5"/>
  <c r="G167" i="5"/>
  <c r="C167" i="5"/>
  <c r="A167" i="5"/>
  <c r="AS166" i="5"/>
  <c r="AR166" i="5"/>
  <c r="AQ166" i="5"/>
  <c r="AC166" i="5"/>
  <c r="K166" i="6" s="1"/>
  <c r="AB166" i="5"/>
  <c r="J166" i="6" s="1"/>
  <c r="X166" i="5"/>
  <c r="O166" i="6" s="1"/>
  <c r="W166" i="5" a="1"/>
  <c r="W166" i="5" s="1"/>
  <c r="V166" i="6" s="1"/>
  <c r="N166" i="5"/>
  <c r="M166" i="5"/>
  <c r="G166" i="5"/>
  <c r="C166" i="5"/>
  <c r="A166" i="5"/>
  <c r="AS165" i="5"/>
  <c r="AR165" i="5"/>
  <c r="AQ165" i="5"/>
  <c r="AC165" i="5"/>
  <c r="K165" i="6" s="1"/>
  <c r="AB165" i="5"/>
  <c r="J165" i="6" s="1"/>
  <c r="X165" i="5"/>
  <c r="O165" i="6" s="1"/>
  <c r="W165" i="5" a="1"/>
  <c r="W165" i="5" s="1"/>
  <c r="V165" i="6" s="1"/>
  <c r="N165" i="5"/>
  <c r="M165" i="5"/>
  <c r="G165" i="5"/>
  <c r="C165" i="5"/>
  <c r="A165" i="5"/>
  <c r="AS164" i="5"/>
  <c r="AR164" i="5"/>
  <c r="AQ164" i="5"/>
  <c r="AC164" i="5"/>
  <c r="K164" i="6" s="1"/>
  <c r="AB164" i="5"/>
  <c r="J164" i="6" s="1"/>
  <c r="X164" i="5"/>
  <c r="O164" i="6" s="1"/>
  <c r="W164" i="5" a="1"/>
  <c r="W164" i="5" s="1"/>
  <c r="V164" i="6" s="1"/>
  <c r="N164" i="5"/>
  <c r="M164" i="5"/>
  <c r="G164" i="5"/>
  <c r="C164" i="5"/>
  <c r="A164" i="5"/>
  <c r="AS163" i="5"/>
  <c r="AR163" i="5"/>
  <c r="AQ163" i="5"/>
  <c r="AC163" i="5"/>
  <c r="K163" i="6" s="1"/>
  <c r="AB163" i="5"/>
  <c r="J163" i="6" s="1"/>
  <c r="X163" i="5"/>
  <c r="O163" i="6" s="1"/>
  <c r="W163" i="5" a="1"/>
  <c r="W163" i="5" s="1"/>
  <c r="V163" i="6" s="1"/>
  <c r="N163" i="5"/>
  <c r="M163" i="5"/>
  <c r="G163" i="5"/>
  <c r="C163" i="5"/>
  <c r="A163" i="5"/>
  <c r="AS162" i="5"/>
  <c r="AR162" i="5"/>
  <c r="AQ162" i="5"/>
  <c r="AC162" i="5"/>
  <c r="K162" i="6" s="1"/>
  <c r="AB162" i="5"/>
  <c r="J162" i="6" s="1"/>
  <c r="X162" i="5"/>
  <c r="O162" i="6" s="1"/>
  <c r="W162" i="5" a="1"/>
  <c r="W162" i="5" s="1"/>
  <c r="V162" i="6" s="1"/>
  <c r="N162" i="5"/>
  <c r="M162" i="5"/>
  <c r="G162" i="5"/>
  <c r="C162" i="5"/>
  <c r="A162" i="5"/>
  <c r="AS161" i="5"/>
  <c r="AR161" i="5"/>
  <c r="AQ161" i="5"/>
  <c r="AC161" i="5"/>
  <c r="K161" i="6" s="1"/>
  <c r="AB161" i="5"/>
  <c r="J161" i="6" s="1"/>
  <c r="X161" i="5"/>
  <c r="O161" i="6" s="1"/>
  <c r="W161" i="5" a="1"/>
  <c r="W161" i="5" s="1"/>
  <c r="V161" i="6" s="1"/>
  <c r="N161" i="5"/>
  <c r="M161" i="5"/>
  <c r="G161" i="5"/>
  <c r="C161" i="5"/>
  <c r="A161" i="5"/>
  <c r="AS160" i="5"/>
  <c r="AR160" i="5"/>
  <c r="AQ160" i="5"/>
  <c r="AC160" i="5"/>
  <c r="K160" i="6" s="1"/>
  <c r="AB160" i="5"/>
  <c r="J160" i="6" s="1"/>
  <c r="X160" i="5"/>
  <c r="O160" i="6" s="1"/>
  <c r="W160" i="5" a="1"/>
  <c r="W160" i="5" s="1"/>
  <c r="V160" i="6" s="1"/>
  <c r="N160" i="5"/>
  <c r="M160" i="5"/>
  <c r="G160" i="5"/>
  <c r="C160" i="5"/>
  <c r="A160" i="5"/>
  <c r="AS159" i="5"/>
  <c r="AR159" i="5"/>
  <c r="AQ159" i="5"/>
  <c r="AC159" i="5"/>
  <c r="K159" i="6" s="1"/>
  <c r="AB159" i="5"/>
  <c r="J159" i="6" s="1"/>
  <c r="X159" i="5"/>
  <c r="O159" i="6" s="1"/>
  <c r="W159" i="5" a="1"/>
  <c r="W159" i="5" s="1"/>
  <c r="V159" i="6" s="1"/>
  <c r="N159" i="5"/>
  <c r="M159" i="5"/>
  <c r="G159" i="5"/>
  <c r="C159" i="5"/>
  <c r="A159" i="5"/>
  <c r="AS158" i="5"/>
  <c r="AR158" i="5"/>
  <c r="AQ158" i="5"/>
  <c r="AC158" i="5"/>
  <c r="K158" i="6" s="1"/>
  <c r="AB158" i="5"/>
  <c r="J158" i="6" s="1"/>
  <c r="X158" i="5"/>
  <c r="O158" i="6" s="1"/>
  <c r="W158" i="5" a="1"/>
  <c r="W158" i="5" s="1"/>
  <c r="V158" i="6" s="1"/>
  <c r="N158" i="5"/>
  <c r="M158" i="5"/>
  <c r="G158" i="5"/>
  <c r="C158" i="5"/>
  <c r="A158" i="5"/>
  <c r="AS157" i="5"/>
  <c r="AR157" i="5"/>
  <c r="AQ157" i="5"/>
  <c r="AC157" i="5"/>
  <c r="K157" i="6" s="1"/>
  <c r="AB157" i="5"/>
  <c r="J157" i="6" s="1"/>
  <c r="X157" i="5"/>
  <c r="O157" i="6" s="1"/>
  <c r="W157" i="5" a="1"/>
  <c r="W157" i="5" s="1"/>
  <c r="V157" i="6" s="1"/>
  <c r="N157" i="5"/>
  <c r="M157" i="5"/>
  <c r="G157" i="5"/>
  <c r="C157" i="5"/>
  <c r="A157" i="5"/>
  <c r="AS156" i="5"/>
  <c r="AR156" i="5"/>
  <c r="AQ156" i="5"/>
  <c r="AC156" i="5"/>
  <c r="K156" i="6" s="1"/>
  <c r="AB156" i="5"/>
  <c r="J156" i="6" s="1"/>
  <c r="X156" i="5"/>
  <c r="O156" i="6" s="1"/>
  <c r="W156" i="5" a="1"/>
  <c r="W156" i="5" s="1"/>
  <c r="V156" i="6" s="1"/>
  <c r="N156" i="5"/>
  <c r="M156" i="5"/>
  <c r="G156" i="5"/>
  <c r="C156" i="5"/>
  <c r="A156" i="5"/>
  <c r="AS155" i="5"/>
  <c r="AR155" i="5"/>
  <c r="AQ155" i="5"/>
  <c r="AC155" i="5"/>
  <c r="K155" i="6" s="1"/>
  <c r="AB155" i="5"/>
  <c r="J155" i="6" s="1"/>
  <c r="X155" i="5"/>
  <c r="O155" i="6" s="1"/>
  <c r="W155" i="5" a="1"/>
  <c r="W155" i="5" s="1"/>
  <c r="V155" i="6" s="1"/>
  <c r="N155" i="5"/>
  <c r="M155" i="5"/>
  <c r="G155" i="5"/>
  <c r="C155" i="5"/>
  <c r="A155" i="5"/>
  <c r="AS154" i="5"/>
  <c r="AR154" i="5"/>
  <c r="AQ154" i="5"/>
  <c r="AC154" i="5"/>
  <c r="K154" i="6" s="1"/>
  <c r="AB154" i="5"/>
  <c r="J154" i="6" s="1"/>
  <c r="X154" i="5"/>
  <c r="O154" i="6" s="1"/>
  <c r="W154" i="5" a="1"/>
  <c r="W154" i="5" s="1"/>
  <c r="V154" i="6" s="1"/>
  <c r="N154" i="5"/>
  <c r="M154" i="5"/>
  <c r="G154" i="5"/>
  <c r="C154" i="5"/>
  <c r="A154" i="5"/>
  <c r="AS153" i="5"/>
  <c r="AR153" i="5"/>
  <c r="AQ153" i="5"/>
  <c r="AC153" i="5"/>
  <c r="K153" i="6" s="1"/>
  <c r="AB153" i="5"/>
  <c r="J153" i="6" s="1"/>
  <c r="X153" i="5"/>
  <c r="O153" i="6" s="1"/>
  <c r="W153" i="5" a="1"/>
  <c r="W153" i="5" s="1"/>
  <c r="V153" i="6" s="1"/>
  <c r="N153" i="5"/>
  <c r="M153" i="5"/>
  <c r="G153" i="5"/>
  <c r="C153" i="5"/>
  <c r="A153" i="5"/>
  <c r="AS152" i="5"/>
  <c r="AR152" i="5"/>
  <c r="AQ152" i="5"/>
  <c r="AC152" i="5"/>
  <c r="K152" i="6" s="1"/>
  <c r="AB152" i="5"/>
  <c r="J152" i="6" s="1"/>
  <c r="X152" i="5"/>
  <c r="O152" i="6" s="1"/>
  <c r="W152" i="5" a="1"/>
  <c r="W152" i="5" s="1"/>
  <c r="V152" i="6" s="1"/>
  <c r="N152" i="5"/>
  <c r="M152" i="5"/>
  <c r="G152" i="5"/>
  <c r="C152" i="5"/>
  <c r="A152" i="5"/>
  <c r="AS151" i="5"/>
  <c r="AR151" i="5"/>
  <c r="AQ151" i="5"/>
  <c r="AC151" i="5"/>
  <c r="K151" i="6" s="1"/>
  <c r="AB151" i="5"/>
  <c r="J151" i="6" s="1"/>
  <c r="X151" i="5"/>
  <c r="O151" i="6" s="1"/>
  <c r="W151" i="5" a="1"/>
  <c r="W151" i="5" s="1"/>
  <c r="V151" i="6" s="1"/>
  <c r="N151" i="5"/>
  <c r="M151" i="5"/>
  <c r="G151" i="5"/>
  <c r="C151" i="5"/>
  <c r="A151" i="5"/>
  <c r="AS150" i="5"/>
  <c r="AR150" i="5"/>
  <c r="AQ150" i="5"/>
  <c r="AC150" i="5"/>
  <c r="K150" i="6" s="1"/>
  <c r="AB150" i="5"/>
  <c r="J150" i="6" s="1"/>
  <c r="X150" i="5"/>
  <c r="O150" i="6" s="1"/>
  <c r="W150" i="5" a="1"/>
  <c r="W150" i="5" s="1"/>
  <c r="V150" i="6" s="1"/>
  <c r="N150" i="5"/>
  <c r="M150" i="5"/>
  <c r="G150" i="5"/>
  <c r="C150" i="5"/>
  <c r="A150" i="5"/>
  <c r="AS149" i="5"/>
  <c r="AR149" i="5"/>
  <c r="AQ149" i="5"/>
  <c r="AC149" i="5"/>
  <c r="K149" i="6" s="1"/>
  <c r="AB149" i="5"/>
  <c r="J149" i="6" s="1"/>
  <c r="X149" i="5"/>
  <c r="O149" i="6" s="1"/>
  <c r="W149" i="5" a="1"/>
  <c r="W149" i="5" s="1"/>
  <c r="V149" i="6" s="1"/>
  <c r="N149" i="5"/>
  <c r="M149" i="5"/>
  <c r="G149" i="5"/>
  <c r="C149" i="5"/>
  <c r="A149" i="5"/>
  <c r="AS148" i="5"/>
  <c r="AR148" i="5"/>
  <c r="AQ148" i="5"/>
  <c r="AC148" i="5"/>
  <c r="K148" i="6" s="1"/>
  <c r="AB148" i="5"/>
  <c r="J148" i="6" s="1"/>
  <c r="X148" i="5"/>
  <c r="O148" i="6" s="1"/>
  <c r="W148" i="5" a="1"/>
  <c r="W148" i="5" s="1"/>
  <c r="V148" i="6" s="1"/>
  <c r="N148" i="5"/>
  <c r="M148" i="5"/>
  <c r="G148" i="5"/>
  <c r="C148" i="5"/>
  <c r="A148" i="5"/>
  <c r="AS147" i="5"/>
  <c r="AR147" i="5"/>
  <c r="AQ147" i="5"/>
  <c r="AC147" i="5"/>
  <c r="K147" i="6" s="1"/>
  <c r="AB147" i="5"/>
  <c r="J147" i="6" s="1"/>
  <c r="X147" i="5"/>
  <c r="O147" i="6" s="1"/>
  <c r="W147" i="5" a="1"/>
  <c r="W147" i="5" s="1"/>
  <c r="V147" i="6" s="1"/>
  <c r="N147" i="5"/>
  <c r="M147" i="5"/>
  <c r="G147" i="5"/>
  <c r="C147" i="5"/>
  <c r="A147" i="5"/>
  <c r="AS146" i="5"/>
  <c r="AR146" i="5"/>
  <c r="AQ146" i="5"/>
  <c r="AC146" i="5"/>
  <c r="K146" i="6" s="1"/>
  <c r="AB146" i="5"/>
  <c r="J146" i="6" s="1"/>
  <c r="X146" i="5"/>
  <c r="O146" i="6" s="1"/>
  <c r="W146" i="5" a="1"/>
  <c r="W146" i="5" s="1"/>
  <c r="V146" i="6" s="1"/>
  <c r="N146" i="5"/>
  <c r="M146" i="5"/>
  <c r="G146" i="5"/>
  <c r="C146" i="5"/>
  <c r="A146" i="5"/>
  <c r="AS145" i="5"/>
  <c r="AR145" i="5"/>
  <c r="AQ145" i="5"/>
  <c r="AC145" i="5"/>
  <c r="K145" i="6" s="1"/>
  <c r="AB145" i="5"/>
  <c r="J145" i="6" s="1"/>
  <c r="X145" i="5"/>
  <c r="O145" i="6" s="1"/>
  <c r="W145" i="5" a="1"/>
  <c r="W145" i="5" s="1"/>
  <c r="V145" i="6" s="1"/>
  <c r="N145" i="5"/>
  <c r="M145" i="5"/>
  <c r="G145" i="5"/>
  <c r="C145" i="5"/>
  <c r="A145" i="5"/>
  <c r="AS144" i="5"/>
  <c r="AR144" i="5"/>
  <c r="AQ144" i="5"/>
  <c r="AC144" i="5"/>
  <c r="K144" i="6" s="1"/>
  <c r="AB144" i="5"/>
  <c r="J144" i="6" s="1"/>
  <c r="X144" i="5"/>
  <c r="O144" i="6" s="1"/>
  <c r="W144" i="5" a="1"/>
  <c r="W144" i="5" s="1"/>
  <c r="V144" i="6" s="1"/>
  <c r="N144" i="5"/>
  <c r="M144" i="5"/>
  <c r="G144" i="5"/>
  <c r="C144" i="5"/>
  <c r="A144" i="5"/>
  <c r="AS143" i="5"/>
  <c r="AR143" i="5"/>
  <c r="AQ143" i="5"/>
  <c r="AC143" i="5"/>
  <c r="K143" i="6" s="1"/>
  <c r="AB143" i="5"/>
  <c r="J143" i="6" s="1"/>
  <c r="X143" i="5"/>
  <c r="O143" i="6" s="1"/>
  <c r="W143" i="5" a="1"/>
  <c r="W143" i="5" s="1"/>
  <c r="V143" i="6" s="1"/>
  <c r="N143" i="5"/>
  <c r="M143" i="5"/>
  <c r="G143" i="5"/>
  <c r="C143" i="5"/>
  <c r="A143" i="5"/>
  <c r="AS142" i="5"/>
  <c r="AR142" i="5"/>
  <c r="AQ142" i="5"/>
  <c r="AC142" i="5"/>
  <c r="K142" i="6" s="1"/>
  <c r="AB142" i="5"/>
  <c r="J142" i="6" s="1"/>
  <c r="X142" i="5"/>
  <c r="O142" i="6" s="1"/>
  <c r="W142" i="5" a="1"/>
  <c r="W142" i="5" s="1"/>
  <c r="V142" i="6" s="1"/>
  <c r="N142" i="5"/>
  <c r="M142" i="5"/>
  <c r="G142" i="5"/>
  <c r="C142" i="5"/>
  <c r="A142" i="5"/>
  <c r="AS141" i="5"/>
  <c r="AR141" i="5"/>
  <c r="AQ141" i="5"/>
  <c r="AC141" i="5"/>
  <c r="K141" i="6" s="1"/>
  <c r="AB141" i="5"/>
  <c r="J141" i="6" s="1"/>
  <c r="X141" i="5"/>
  <c r="O141" i="6" s="1"/>
  <c r="W141" i="5" a="1"/>
  <c r="W141" i="5" s="1"/>
  <c r="V141" i="6" s="1"/>
  <c r="N141" i="5"/>
  <c r="M141" i="5"/>
  <c r="G141" i="5"/>
  <c r="C141" i="5"/>
  <c r="A141" i="5"/>
  <c r="AS140" i="5"/>
  <c r="AR140" i="5"/>
  <c r="AQ140" i="5"/>
  <c r="AC140" i="5"/>
  <c r="K140" i="6" s="1"/>
  <c r="AB140" i="5"/>
  <c r="J140" i="6" s="1"/>
  <c r="X140" i="5"/>
  <c r="O140" i="6" s="1"/>
  <c r="W140" i="5" a="1"/>
  <c r="W140" i="5" s="1"/>
  <c r="V140" i="6" s="1"/>
  <c r="N140" i="5"/>
  <c r="M140" i="5"/>
  <c r="G140" i="5"/>
  <c r="C140" i="5"/>
  <c r="A140" i="5"/>
  <c r="AS139" i="5"/>
  <c r="AR139" i="5"/>
  <c r="AQ139" i="5"/>
  <c r="AC139" i="5"/>
  <c r="K139" i="6" s="1"/>
  <c r="AB139" i="5"/>
  <c r="J139" i="6" s="1"/>
  <c r="X139" i="5"/>
  <c r="O139" i="6" s="1"/>
  <c r="W139" i="5" a="1"/>
  <c r="W139" i="5" s="1"/>
  <c r="V139" i="6" s="1"/>
  <c r="N139" i="5"/>
  <c r="M139" i="5"/>
  <c r="G139" i="5"/>
  <c r="C139" i="5"/>
  <c r="A139" i="5"/>
  <c r="AS138" i="5"/>
  <c r="AR138" i="5"/>
  <c r="AQ138" i="5"/>
  <c r="AC138" i="5"/>
  <c r="K138" i="6" s="1"/>
  <c r="AB138" i="5"/>
  <c r="J138" i="6" s="1"/>
  <c r="X138" i="5"/>
  <c r="O138" i="6" s="1"/>
  <c r="W138" i="5" a="1"/>
  <c r="W138" i="5" s="1"/>
  <c r="V138" i="6" s="1"/>
  <c r="N138" i="5"/>
  <c r="M138" i="5"/>
  <c r="G138" i="5"/>
  <c r="C138" i="5"/>
  <c r="A138" i="5"/>
  <c r="AS137" i="5"/>
  <c r="AR137" i="5"/>
  <c r="AQ137" i="5"/>
  <c r="AC137" i="5"/>
  <c r="K137" i="6" s="1"/>
  <c r="AB137" i="5"/>
  <c r="J137" i="6" s="1"/>
  <c r="X137" i="5"/>
  <c r="O137" i="6" s="1"/>
  <c r="W137" i="5" a="1"/>
  <c r="W137" i="5" s="1"/>
  <c r="V137" i="6" s="1"/>
  <c r="N137" i="5"/>
  <c r="M137" i="5"/>
  <c r="G137" i="5"/>
  <c r="C137" i="5"/>
  <c r="A137" i="5"/>
  <c r="AS136" i="5"/>
  <c r="AR136" i="5"/>
  <c r="AQ136" i="5"/>
  <c r="AC136" i="5"/>
  <c r="K136" i="6" s="1"/>
  <c r="AB136" i="5"/>
  <c r="J136" i="6" s="1"/>
  <c r="X136" i="5"/>
  <c r="O136" i="6" s="1"/>
  <c r="W136" i="5" a="1"/>
  <c r="W136" i="5" s="1"/>
  <c r="V136" i="6" s="1"/>
  <c r="N136" i="5"/>
  <c r="M136" i="5"/>
  <c r="G136" i="5"/>
  <c r="C136" i="5"/>
  <c r="A136" i="5"/>
  <c r="AS135" i="5"/>
  <c r="AR135" i="5"/>
  <c r="AQ135" i="5"/>
  <c r="AC135" i="5"/>
  <c r="K135" i="6" s="1"/>
  <c r="AB135" i="5"/>
  <c r="J135" i="6" s="1"/>
  <c r="X135" i="5"/>
  <c r="O135" i="6" s="1"/>
  <c r="W135" i="5" a="1"/>
  <c r="W135" i="5" s="1"/>
  <c r="V135" i="6" s="1"/>
  <c r="N135" i="5"/>
  <c r="M135" i="5"/>
  <c r="G135" i="5"/>
  <c r="C135" i="5"/>
  <c r="A135" i="5"/>
  <c r="AS134" i="5"/>
  <c r="AR134" i="5"/>
  <c r="AQ134" i="5"/>
  <c r="AC134" i="5"/>
  <c r="K134" i="6" s="1"/>
  <c r="AB134" i="5"/>
  <c r="J134" i="6" s="1"/>
  <c r="X134" i="5"/>
  <c r="W134" i="5" a="1"/>
  <c r="W134" i="5" s="1"/>
  <c r="V134" i="6" s="1"/>
  <c r="N134" i="5"/>
  <c r="M134" i="5"/>
  <c r="G134" i="5"/>
  <c r="C134" i="5"/>
  <c r="A134" i="5"/>
  <c r="AS133" i="5"/>
  <c r="AR133" i="5"/>
  <c r="AQ133" i="5"/>
  <c r="AC133" i="5"/>
  <c r="K133" i="6" s="1"/>
  <c r="AB133" i="5"/>
  <c r="J133" i="6" s="1"/>
  <c r="X133" i="5"/>
  <c r="O133" i="6" s="1"/>
  <c r="W133" i="5" a="1"/>
  <c r="W133" i="5" s="1"/>
  <c r="V133" i="6" s="1"/>
  <c r="N133" i="5"/>
  <c r="M133" i="5"/>
  <c r="G133" i="5"/>
  <c r="C133" i="5"/>
  <c r="A133" i="5"/>
  <c r="AS132" i="5"/>
  <c r="AR132" i="5"/>
  <c r="AQ132" i="5"/>
  <c r="AC132" i="5"/>
  <c r="K132" i="6" s="1"/>
  <c r="AB132" i="5"/>
  <c r="J132" i="6" s="1"/>
  <c r="X132" i="5"/>
  <c r="O132" i="6" s="1"/>
  <c r="W132" i="5" a="1"/>
  <c r="W132" i="5" s="1"/>
  <c r="V132" i="6" s="1"/>
  <c r="N132" i="5"/>
  <c r="M132" i="5"/>
  <c r="G132" i="5"/>
  <c r="C132" i="5"/>
  <c r="A132" i="5"/>
  <c r="AS131" i="5"/>
  <c r="AR131" i="5"/>
  <c r="AQ131" i="5"/>
  <c r="AC131" i="5"/>
  <c r="K131" i="6" s="1"/>
  <c r="AB131" i="5"/>
  <c r="J131" i="6" s="1"/>
  <c r="X131" i="5"/>
  <c r="O131" i="6" s="1"/>
  <c r="W131" i="5" a="1"/>
  <c r="W131" i="5" s="1"/>
  <c r="V131" i="6" s="1"/>
  <c r="N131" i="5"/>
  <c r="M131" i="5"/>
  <c r="G131" i="5"/>
  <c r="C131" i="5"/>
  <c r="A131" i="5"/>
  <c r="AS130" i="5"/>
  <c r="AR130" i="5"/>
  <c r="AQ130" i="5"/>
  <c r="AC130" i="5"/>
  <c r="K130" i="6" s="1"/>
  <c r="AB130" i="5"/>
  <c r="J130" i="6" s="1"/>
  <c r="X130" i="5"/>
  <c r="O130" i="6" s="1"/>
  <c r="W130" i="5" a="1"/>
  <c r="W130" i="5" s="1"/>
  <c r="V130" i="6" s="1"/>
  <c r="N130" i="5"/>
  <c r="M130" i="5"/>
  <c r="G130" i="5"/>
  <c r="C130" i="5"/>
  <c r="A130" i="5"/>
  <c r="AS129" i="5"/>
  <c r="AR129" i="5"/>
  <c r="AQ129" i="5"/>
  <c r="AC129" i="5"/>
  <c r="K129" i="6" s="1"/>
  <c r="AB129" i="5"/>
  <c r="J129" i="6" s="1"/>
  <c r="X129" i="5"/>
  <c r="O129" i="6" s="1"/>
  <c r="W129" i="5" a="1"/>
  <c r="W129" i="5" s="1"/>
  <c r="V129" i="6" s="1"/>
  <c r="N129" i="5"/>
  <c r="M129" i="5"/>
  <c r="G129" i="5"/>
  <c r="C129" i="5"/>
  <c r="A129" i="5"/>
  <c r="AS128" i="5"/>
  <c r="AR128" i="5"/>
  <c r="AQ128" i="5"/>
  <c r="AC128" i="5"/>
  <c r="K128" i="6" s="1"/>
  <c r="AB128" i="5"/>
  <c r="J128" i="6" s="1"/>
  <c r="X128" i="5"/>
  <c r="O128" i="6" s="1"/>
  <c r="W128" i="5" a="1"/>
  <c r="W128" i="5" s="1"/>
  <c r="V128" i="6" s="1"/>
  <c r="N128" i="5"/>
  <c r="M128" i="5"/>
  <c r="G128" i="5"/>
  <c r="C128" i="5"/>
  <c r="A128" i="5"/>
  <c r="AS127" i="5"/>
  <c r="AR127" i="5"/>
  <c r="AQ127" i="5"/>
  <c r="AC127" i="5"/>
  <c r="K127" i="6" s="1"/>
  <c r="AB127" i="5"/>
  <c r="J127" i="6" s="1"/>
  <c r="X127" i="5"/>
  <c r="O127" i="6" s="1"/>
  <c r="W127" i="5" a="1"/>
  <c r="W127" i="5" s="1"/>
  <c r="V127" i="6" s="1"/>
  <c r="N127" i="5"/>
  <c r="M127" i="5"/>
  <c r="G127" i="5"/>
  <c r="C127" i="5"/>
  <c r="A127" i="5"/>
  <c r="AS126" i="5"/>
  <c r="AR126" i="5"/>
  <c r="AQ126" i="5"/>
  <c r="AC126" i="5"/>
  <c r="K126" i="6" s="1"/>
  <c r="AB126" i="5"/>
  <c r="J126" i="6" s="1"/>
  <c r="X126" i="5"/>
  <c r="O126" i="6" s="1"/>
  <c r="W126" i="5" a="1"/>
  <c r="W126" i="5" s="1"/>
  <c r="V126" i="6" s="1"/>
  <c r="N126" i="5"/>
  <c r="M126" i="5"/>
  <c r="G126" i="5"/>
  <c r="C126" i="5"/>
  <c r="A126" i="5"/>
  <c r="AS125" i="5"/>
  <c r="AR125" i="5"/>
  <c r="AQ125" i="5"/>
  <c r="AC125" i="5"/>
  <c r="K125" i="6" s="1"/>
  <c r="AB125" i="5"/>
  <c r="J125" i="6" s="1"/>
  <c r="X125" i="5"/>
  <c r="O125" i="6" s="1"/>
  <c r="W125" i="5" a="1"/>
  <c r="W125" i="5" s="1"/>
  <c r="V125" i="6" s="1"/>
  <c r="N125" i="5"/>
  <c r="M125" i="5"/>
  <c r="G125" i="5"/>
  <c r="C125" i="5"/>
  <c r="A125" i="5"/>
  <c r="AS124" i="5"/>
  <c r="AR124" i="5"/>
  <c r="AQ124" i="5"/>
  <c r="AC124" i="5"/>
  <c r="K124" i="6" s="1"/>
  <c r="AB124" i="5"/>
  <c r="J124" i="6" s="1"/>
  <c r="X124" i="5"/>
  <c r="O124" i="6" s="1"/>
  <c r="W124" i="5" a="1"/>
  <c r="W124" i="5" s="1"/>
  <c r="V124" i="6" s="1"/>
  <c r="N124" i="5"/>
  <c r="M124" i="5"/>
  <c r="G124" i="5"/>
  <c r="C124" i="5"/>
  <c r="A124" i="5"/>
  <c r="AS123" i="5"/>
  <c r="AR123" i="5"/>
  <c r="AQ123" i="5"/>
  <c r="AC123" i="5"/>
  <c r="K123" i="6" s="1"/>
  <c r="AB123" i="5"/>
  <c r="J123" i="6" s="1"/>
  <c r="X123" i="5"/>
  <c r="O123" i="6" s="1"/>
  <c r="W123" i="5" a="1"/>
  <c r="W123" i="5" s="1"/>
  <c r="V123" i="6" s="1"/>
  <c r="N123" i="5"/>
  <c r="M123" i="5"/>
  <c r="G123" i="5"/>
  <c r="C123" i="5"/>
  <c r="A123" i="5"/>
  <c r="AS122" i="5"/>
  <c r="AR122" i="5"/>
  <c r="AQ122" i="5"/>
  <c r="AC122" i="5"/>
  <c r="K122" i="6" s="1"/>
  <c r="AB122" i="5"/>
  <c r="J122" i="6" s="1"/>
  <c r="X122" i="5"/>
  <c r="O122" i="6" s="1"/>
  <c r="W122" i="5" a="1"/>
  <c r="W122" i="5" s="1"/>
  <c r="V122" i="6" s="1"/>
  <c r="N122" i="5"/>
  <c r="M122" i="5"/>
  <c r="G122" i="5"/>
  <c r="C122" i="5"/>
  <c r="A122" i="5"/>
  <c r="AS121" i="5"/>
  <c r="AR121" i="5"/>
  <c r="AQ121" i="5"/>
  <c r="AC121" i="5"/>
  <c r="K121" i="6" s="1"/>
  <c r="AB121" i="5"/>
  <c r="J121" i="6" s="1"/>
  <c r="X121" i="5"/>
  <c r="O121" i="6" s="1"/>
  <c r="W121" i="5" a="1"/>
  <c r="W121" i="5" s="1"/>
  <c r="V121" i="6" s="1"/>
  <c r="N121" i="5"/>
  <c r="M121" i="5"/>
  <c r="G121" i="5"/>
  <c r="C121" i="5"/>
  <c r="A121" i="5"/>
  <c r="AS120" i="5"/>
  <c r="AR120" i="5"/>
  <c r="AQ120" i="5"/>
  <c r="AC120" i="5"/>
  <c r="K120" i="6" s="1"/>
  <c r="AB120" i="5"/>
  <c r="J120" i="6" s="1"/>
  <c r="X120" i="5"/>
  <c r="O120" i="6" s="1"/>
  <c r="W120" i="5" a="1"/>
  <c r="W120" i="5" s="1"/>
  <c r="V120" i="6" s="1"/>
  <c r="N120" i="5"/>
  <c r="M120" i="5"/>
  <c r="G120" i="5"/>
  <c r="C120" i="5"/>
  <c r="A120" i="5"/>
  <c r="AS119" i="5"/>
  <c r="AR119" i="5"/>
  <c r="AQ119" i="5"/>
  <c r="AC119" i="5"/>
  <c r="K119" i="6" s="1"/>
  <c r="AB119" i="5"/>
  <c r="J119" i="6" s="1"/>
  <c r="X119" i="5"/>
  <c r="O119" i="6" s="1"/>
  <c r="W119" i="5" a="1"/>
  <c r="W119" i="5" s="1"/>
  <c r="V119" i="6" s="1"/>
  <c r="N119" i="5"/>
  <c r="M119" i="5"/>
  <c r="G119" i="5"/>
  <c r="C119" i="5"/>
  <c r="A119" i="5"/>
  <c r="AS118" i="5"/>
  <c r="AR118" i="5"/>
  <c r="AQ118" i="5"/>
  <c r="AC118" i="5"/>
  <c r="K118" i="6" s="1"/>
  <c r="AB118" i="5"/>
  <c r="J118" i="6" s="1"/>
  <c r="X118" i="5"/>
  <c r="O118" i="6" s="1"/>
  <c r="W118" i="5" a="1"/>
  <c r="W118" i="5" s="1"/>
  <c r="V118" i="6" s="1"/>
  <c r="N118" i="5"/>
  <c r="M118" i="5"/>
  <c r="G118" i="5"/>
  <c r="C118" i="5"/>
  <c r="A118" i="5"/>
  <c r="AS117" i="5"/>
  <c r="AR117" i="5"/>
  <c r="AQ117" i="5"/>
  <c r="AC117" i="5"/>
  <c r="K117" i="6" s="1"/>
  <c r="AB117" i="5"/>
  <c r="J117" i="6" s="1"/>
  <c r="X117" i="5"/>
  <c r="O117" i="6" s="1"/>
  <c r="W117" i="5" a="1"/>
  <c r="W117" i="5" s="1"/>
  <c r="V117" i="6" s="1"/>
  <c r="N117" i="5"/>
  <c r="M117" i="5"/>
  <c r="G117" i="5"/>
  <c r="C117" i="5"/>
  <c r="A117" i="5"/>
  <c r="AS116" i="5"/>
  <c r="AR116" i="5"/>
  <c r="AQ116" i="5"/>
  <c r="AC116" i="5"/>
  <c r="K116" i="6" s="1"/>
  <c r="AB116" i="5"/>
  <c r="J116" i="6" s="1"/>
  <c r="X116" i="5"/>
  <c r="O116" i="6" s="1"/>
  <c r="W116" i="5" a="1"/>
  <c r="W116" i="5" s="1"/>
  <c r="V116" i="6" s="1"/>
  <c r="N116" i="5"/>
  <c r="M116" i="5"/>
  <c r="G116" i="5"/>
  <c r="C116" i="5"/>
  <c r="A116" i="5"/>
  <c r="AS115" i="5"/>
  <c r="AR115" i="5"/>
  <c r="AQ115" i="5"/>
  <c r="AC115" i="5"/>
  <c r="K115" i="6" s="1"/>
  <c r="AB115" i="5"/>
  <c r="J115" i="6" s="1"/>
  <c r="X115" i="5"/>
  <c r="O115" i="6" s="1"/>
  <c r="W115" i="5" a="1"/>
  <c r="W115" i="5" s="1"/>
  <c r="V115" i="6" s="1"/>
  <c r="N115" i="5"/>
  <c r="M115" i="5"/>
  <c r="G115" i="5"/>
  <c r="C115" i="5"/>
  <c r="A115" i="5"/>
  <c r="AS114" i="5"/>
  <c r="AR114" i="5"/>
  <c r="AQ114" i="5"/>
  <c r="AC114" i="5"/>
  <c r="K114" i="6" s="1"/>
  <c r="AB114" i="5"/>
  <c r="J114" i="6" s="1"/>
  <c r="X114" i="5"/>
  <c r="O114" i="6" s="1"/>
  <c r="W114" i="5" a="1"/>
  <c r="W114" i="5" s="1"/>
  <c r="V114" i="6" s="1"/>
  <c r="N114" i="5"/>
  <c r="M114" i="5"/>
  <c r="G114" i="5"/>
  <c r="C114" i="5"/>
  <c r="A114" i="5"/>
  <c r="AS113" i="5"/>
  <c r="AR113" i="5"/>
  <c r="AQ113" i="5"/>
  <c r="AC113" i="5"/>
  <c r="K113" i="6" s="1"/>
  <c r="AB113" i="5"/>
  <c r="J113" i="6" s="1"/>
  <c r="X113" i="5"/>
  <c r="O113" i="6" s="1"/>
  <c r="W113" i="5" a="1"/>
  <c r="W113" i="5" s="1"/>
  <c r="V113" i="6" s="1"/>
  <c r="N113" i="5"/>
  <c r="M113" i="5"/>
  <c r="G113" i="5"/>
  <c r="C113" i="5"/>
  <c r="A113" i="5"/>
  <c r="AS112" i="5"/>
  <c r="AR112" i="5"/>
  <c r="AQ112" i="5"/>
  <c r="AC112" i="5"/>
  <c r="K112" i="6" s="1"/>
  <c r="AB112" i="5"/>
  <c r="J112" i="6" s="1"/>
  <c r="X112" i="5"/>
  <c r="O112" i="6" s="1"/>
  <c r="W112" i="5" a="1"/>
  <c r="W112" i="5" s="1"/>
  <c r="V112" i="6" s="1"/>
  <c r="N112" i="5"/>
  <c r="M112" i="5"/>
  <c r="G112" i="5"/>
  <c r="C112" i="5"/>
  <c r="A112" i="5"/>
  <c r="AS111" i="5"/>
  <c r="AR111" i="5"/>
  <c r="AQ111" i="5"/>
  <c r="AC111" i="5"/>
  <c r="K111" i="6" s="1"/>
  <c r="AB111" i="5"/>
  <c r="J111" i="6" s="1"/>
  <c r="X111" i="5"/>
  <c r="O111" i="6" s="1"/>
  <c r="W111" i="5" a="1"/>
  <c r="W111" i="5" s="1"/>
  <c r="V111" i="6" s="1"/>
  <c r="N111" i="5"/>
  <c r="M111" i="5"/>
  <c r="G111" i="5"/>
  <c r="C111" i="5"/>
  <c r="A111" i="5"/>
  <c r="AS110" i="5"/>
  <c r="AR110" i="5"/>
  <c r="AQ110" i="5"/>
  <c r="AC110" i="5"/>
  <c r="K110" i="6" s="1"/>
  <c r="AB110" i="5"/>
  <c r="J110" i="6" s="1"/>
  <c r="X110" i="5"/>
  <c r="O110" i="6" s="1"/>
  <c r="W110" i="5" a="1"/>
  <c r="W110" i="5" s="1"/>
  <c r="V110" i="6" s="1"/>
  <c r="N110" i="5"/>
  <c r="M110" i="5"/>
  <c r="G110" i="5"/>
  <c r="C110" i="5"/>
  <c r="A110" i="5"/>
  <c r="AS109" i="5"/>
  <c r="AR109" i="5"/>
  <c r="AQ109" i="5"/>
  <c r="AC109" i="5"/>
  <c r="K109" i="6" s="1"/>
  <c r="AB109" i="5"/>
  <c r="J109" i="6" s="1"/>
  <c r="X109" i="5"/>
  <c r="O109" i="6" s="1"/>
  <c r="W109" i="5" a="1"/>
  <c r="W109" i="5" s="1"/>
  <c r="V109" i="6" s="1"/>
  <c r="N109" i="5"/>
  <c r="M109" i="5"/>
  <c r="G109" i="5"/>
  <c r="C109" i="5"/>
  <c r="A109" i="5"/>
  <c r="AS108" i="5"/>
  <c r="AR108" i="5"/>
  <c r="AQ108" i="5"/>
  <c r="AC108" i="5"/>
  <c r="K108" i="6" s="1"/>
  <c r="AB108" i="5"/>
  <c r="J108" i="6" s="1"/>
  <c r="X108" i="5"/>
  <c r="O108" i="6" s="1"/>
  <c r="W108" i="5" a="1"/>
  <c r="W108" i="5" s="1"/>
  <c r="V108" i="6" s="1"/>
  <c r="N108" i="5"/>
  <c r="M108" i="5"/>
  <c r="G108" i="5"/>
  <c r="C108" i="5"/>
  <c r="A108" i="5"/>
  <c r="AS107" i="5"/>
  <c r="AR107" i="5"/>
  <c r="AQ107" i="5"/>
  <c r="AC107" i="5"/>
  <c r="K107" i="6" s="1"/>
  <c r="AB107" i="5"/>
  <c r="J107" i="6" s="1"/>
  <c r="X107" i="5"/>
  <c r="O107" i="6" s="1"/>
  <c r="W107" i="5" a="1"/>
  <c r="W107" i="5" s="1"/>
  <c r="V107" i="6" s="1"/>
  <c r="N107" i="5"/>
  <c r="M107" i="5"/>
  <c r="G107" i="5"/>
  <c r="C107" i="5"/>
  <c r="A107" i="5"/>
  <c r="AS106" i="5"/>
  <c r="AR106" i="5"/>
  <c r="AT106" i="5" s="1"/>
  <c r="AU106" i="5" s="1"/>
  <c r="AQ106" i="5"/>
  <c r="AC106" i="5"/>
  <c r="K106" i="6" s="1"/>
  <c r="AB106" i="5"/>
  <c r="J106" i="6" s="1"/>
  <c r="X106" i="5"/>
  <c r="O106" i="6" s="1"/>
  <c r="W106" i="5" a="1"/>
  <c r="W106" i="5" s="1"/>
  <c r="V106" i="6" s="1"/>
  <c r="N106" i="5"/>
  <c r="M106" i="5"/>
  <c r="G106" i="5"/>
  <c r="C106" i="5"/>
  <c r="A106" i="5"/>
  <c r="AS105" i="5"/>
  <c r="AR105" i="5"/>
  <c r="AQ105" i="5"/>
  <c r="AC105" i="5"/>
  <c r="K105" i="6" s="1"/>
  <c r="AB105" i="5"/>
  <c r="J105" i="6" s="1"/>
  <c r="X105" i="5"/>
  <c r="O105" i="6" s="1"/>
  <c r="W105" i="5" a="1"/>
  <c r="W105" i="5" s="1"/>
  <c r="V105" i="6" s="1"/>
  <c r="N105" i="5"/>
  <c r="M105" i="5"/>
  <c r="G105" i="5"/>
  <c r="C105" i="5"/>
  <c r="A105" i="5"/>
  <c r="AS104" i="5"/>
  <c r="AR104" i="5"/>
  <c r="AQ104" i="5"/>
  <c r="AC104" i="5"/>
  <c r="K104" i="6" s="1"/>
  <c r="AB104" i="5"/>
  <c r="J104" i="6" s="1"/>
  <c r="X104" i="5"/>
  <c r="O104" i="6" s="1"/>
  <c r="W104" i="5" a="1"/>
  <c r="W104" i="5" s="1"/>
  <c r="V104" i="6" s="1"/>
  <c r="N104" i="5"/>
  <c r="M104" i="5"/>
  <c r="G104" i="5"/>
  <c r="C104" i="5"/>
  <c r="A104" i="5"/>
  <c r="AS103" i="5"/>
  <c r="AR103" i="5"/>
  <c r="AQ103" i="5"/>
  <c r="AC103" i="5"/>
  <c r="K103" i="6" s="1"/>
  <c r="AB103" i="5"/>
  <c r="J103" i="6" s="1"/>
  <c r="X103" i="5"/>
  <c r="O103" i="6" s="1"/>
  <c r="W103" i="5" a="1"/>
  <c r="W103" i="5" s="1"/>
  <c r="V103" i="6" s="1"/>
  <c r="N103" i="5"/>
  <c r="M103" i="5"/>
  <c r="G103" i="5"/>
  <c r="C103" i="5"/>
  <c r="A103" i="5"/>
  <c r="AS102" i="5"/>
  <c r="AR102" i="5"/>
  <c r="AQ102" i="5"/>
  <c r="AC102" i="5"/>
  <c r="K102" i="6" s="1"/>
  <c r="AB102" i="5"/>
  <c r="J102" i="6" s="1"/>
  <c r="X102" i="5"/>
  <c r="O102" i="6" s="1"/>
  <c r="W102" i="5" a="1"/>
  <c r="W102" i="5" s="1"/>
  <c r="V102" i="6" s="1"/>
  <c r="N102" i="5"/>
  <c r="M102" i="5"/>
  <c r="G102" i="5"/>
  <c r="C102" i="5"/>
  <c r="A102" i="5"/>
  <c r="AS101" i="5"/>
  <c r="AR101" i="5"/>
  <c r="AQ101" i="5"/>
  <c r="AC101" i="5"/>
  <c r="K101" i="6" s="1"/>
  <c r="AB101" i="5"/>
  <c r="J101" i="6" s="1"/>
  <c r="X101" i="5"/>
  <c r="O101" i="6" s="1"/>
  <c r="W101" i="5" a="1"/>
  <c r="W101" i="5" s="1"/>
  <c r="V101" i="6" s="1"/>
  <c r="N101" i="5"/>
  <c r="M101" i="5"/>
  <c r="G101" i="5"/>
  <c r="C101" i="5"/>
  <c r="A101" i="5"/>
  <c r="AS100" i="5"/>
  <c r="AR100" i="5"/>
  <c r="AQ100" i="5"/>
  <c r="AC100" i="5"/>
  <c r="K100" i="6" s="1"/>
  <c r="AB100" i="5"/>
  <c r="J100" i="6" s="1"/>
  <c r="X100" i="5"/>
  <c r="O100" i="6" s="1"/>
  <c r="W100" i="5" a="1"/>
  <c r="W100" i="5" s="1"/>
  <c r="V100" i="6" s="1"/>
  <c r="N100" i="5"/>
  <c r="M100" i="5"/>
  <c r="G100" i="5"/>
  <c r="C100" i="5"/>
  <c r="A100" i="5"/>
  <c r="AS99" i="5"/>
  <c r="AR99" i="5"/>
  <c r="AQ99" i="5"/>
  <c r="AC99" i="5"/>
  <c r="K99" i="6" s="1"/>
  <c r="AB99" i="5"/>
  <c r="J99" i="6" s="1"/>
  <c r="X99" i="5"/>
  <c r="O99" i="6" s="1"/>
  <c r="W99" i="5" a="1"/>
  <c r="W99" i="5" s="1"/>
  <c r="V99" i="6" s="1"/>
  <c r="N99" i="5"/>
  <c r="M99" i="5"/>
  <c r="G99" i="5"/>
  <c r="C99" i="5"/>
  <c r="A99" i="5"/>
  <c r="AS98" i="5"/>
  <c r="AR98" i="5"/>
  <c r="AQ98" i="5"/>
  <c r="AC98" i="5"/>
  <c r="K98" i="6" s="1"/>
  <c r="AB98" i="5"/>
  <c r="J98" i="6" s="1"/>
  <c r="X98" i="5"/>
  <c r="O98" i="6" s="1"/>
  <c r="W98" i="5" a="1"/>
  <c r="W98" i="5" s="1"/>
  <c r="V98" i="6" s="1"/>
  <c r="N98" i="5"/>
  <c r="M98" i="5"/>
  <c r="G98" i="5"/>
  <c r="C98" i="5"/>
  <c r="A98" i="5"/>
  <c r="AS97" i="5"/>
  <c r="AR97" i="5"/>
  <c r="AQ97" i="5"/>
  <c r="AC97" i="5"/>
  <c r="K97" i="6" s="1"/>
  <c r="AB97" i="5"/>
  <c r="J97" i="6" s="1"/>
  <c r="X97" i="5"/>
  <c r="O97" i="6" s="1"/>
  <c r="W97" i="5" a="1"/>
  <c r="W97" i="5" s="1"/>
  <c r="V97" i="6" s="1"/>
  <c r="N97" i="5"/>
  <c r="M97" i="5"/>
  <c r="G97" i="5"/>
  <c r="C97" i="5"/>
  <c r="A97" i="5"/>
  <c r="AS96" i="5"/>
  <c r="AR96" i="5"/>
  <c r="AQ96" i="5"/>
  <c r="AC96" i="5"/>
  <c r="K96" i="6" s="1"/>
  <c r="AB96" i="5"/>
  <c r="J96" i="6" s="1"/>
  <c r="X96" i="5"/>
  <c r="O96" i="6" s="1"/>
  <c r="W96" i="5" a="1"/>
  <c r="W96" i="5" s="1"/>
  <c r="V96" i="6" s="1"/>
  <c r="N96" i="5"/>
  <c r="M96" i="5"/>
  <c r="G96" i="5"/>
  <c r="C96" i="5"/>
  <c r="A96" i="5"/>
  <c r="AS95" i="5"/>
  <c r="AR95" i="5"/>
  <c r="AQ95" i="5"/>
  <c r="AC95" i="5"/>
  <c r="K95" i="6" s="1"/>
  <c r="AB95" i="5"/>
  <c r="J95" i="6" s="1"/>
  <c r="X95" i="5"/>
  <c r="O95" i="6" s="1"/>
  <c r="W95" i="5" a="1"/>
  <c r="W95" i="5" s="1"/>
  <c r="V95" i="6" s="1"/>
  <c r="N95" i="5"/>
  <c r="M95" i="5"/>
  <c r="G95" i="5"/>
  <c r="C95" i="5"/>
  <c r="A95" i="5"/>
  <c r="AS94" i="5"/>
  <c r="AR94" i="5"/>
  <c r="AQ94" i="5"/>
  <c r="AC94" i="5"/>
  <c r="K94" i="6" s="1"/>
  <c r="AB94" i="5"/>
  <c r="J94" i="6" s="1"/>
  <c r="X94" i="5"/>
  <c r="O94" i="6" s="1"/>
  <c r="W94" i="5" a="1"/>
  <c r="W94" i="5" s="1"/>
  <c r="V94" i="6" s="1"/>
  <c r="N94" i="5"/>
  <c r="M94" i="5"/>
  <c r="G94" i="5"/>
  <c r="C94" i="5"/>
  <c r="A94" i="5"/>
  <c r="AS93" i="5"/>
  <c r="AR93" i="5"/>
  <c r="AQ93" i="5"/>
  <c r="AC93" i="5"/>
  <c r="K93" i="6" s="1"/>
  <c r="AB93" i="5"/>
  <c r="J93" i="6" s="1"/>
  <c r="X93" i="5"/>
  <c r="O93" i="6" s="1"/>
  <c r="W93" i="5" a="1"/>
  <c r="W93" i="5" s="1"/>
  <c r="V93" i="6" s="1"/>
  <c r="N93" i="5"/>
  <c r="M93" i="5"/>
  <c r="G93" i="5"/>
  <c r="C93" i="5"/>
  <c r="A93" i="5"/>
  <c r="AS92" i="5"/>
  <c r="AR92" i="5"/>
  <c r="AQ92" i="5"/>
  <c r="AC92" i="5"/>
  <c r="K92" i="6" s="1"/>
  <c r="AB92" i="5"/>
  <c r="J92" i="6" s="1"/>
  <c r="X92" i="5"/>
  <c r="O92" i="6" s="1"/>
  <c r="W92" i="5" a="1"/>
  <c r="W92" i="5" s="1"/>
  <c r="V92" i="6" s="1"/>
  <c r="N92" i="5"/>
  <c r="M92" i="5"/>
  <c r="G92" i="5"/>
  <c r="C92" i="5"/>
  <c r="A92" i="5"/>
  <c r="AS91" i="5"/>
  <c r="AR91" i="5"/>
  <c r="AQ91" i="5"/>
  <c r="AC91" i="5"/>
  <c r="K91" i="6" s="1"/>
  <c r="AB91" i="5"/>
  <c r="J91" i="6" s="1"/>
  <c r="X91" i="5"/>
  <c r="O91" i="6" s="1"/>
  <c r="W91" i="5" a="1"/>
  <c r="W91" i="5" s="1"/>
  <c r="V91" i="6" s="1"/>
  <c r="N91" i="5"/>
  <c r="M91" i="5"/>
  <c r="G91" i="5"/>
  <c r="C91" i="5"/>
  <c r="A91" i="5"/>
  <c r="AS90" i="5"/>
  <c r="AR90" i="5"/>
  <c r="AQ90" i="5"/>
  <c r="AC90" i="5"/>
  <c r="K90" i="6" s="1"/>
  <c r="AB90" i="5"/>
  <c r="J90" i="6" s="1"/>
  <c r="X90" i="5"/>
  <c r="O90" i="6" s="1"/>
  <c r="W90" i="5" a="1"/>
  <c r="W90" i="5" s="1"/>
  <c r="V90" i="6" s="1"/>
  <c r="N90" i="5"/>
  <c r="M90" i="5"/>
  <c r="G90" i="5"/>
  <c r="C90" i="5"/>
  <c r="A90" i="5"/>
  <c r="AS89" i="5"/>
  <c r="AR89" i="5"/>
  <c r="AQ89" i="5"/>
  <c r="AC89" i="5"/>
  <c r="K89" i="6" s="1"/>
  <c r="AB89" i="5"/>
  <c r="J89" i="6" s="1"/>
  <c r="X89" i="5"/>
  <c r="O89" i="6" s="1"/>
  <c r="W89" i="5" a="1"/>
  <c r="W89" i="5" s="1"/>
  <c r="V89" i="6" s="1"/>
  <c r="N89" i="5"/>
  <c r="M89" i="5"/>
  <c r="G89" i="5"/>
  <c r="C89" i="5"/>
  <c r="A89" i="5"/>
  <c r="AS88" i="5"/>
  <c r="AR88" i="5"/>
  <c r="AQ88" i="5"/>
  <c r="AC88" i="5"/>
  <c r="K88" i="6" s="1"/>
  <c r="AB88" i="5"/>
  <c r="J88" i="6" s="1"/>
  <c r="X88" i="5"/>
  <c r="O88" i="6" s="1"/>
  <c r="W88" i="5" a="1"/>
  <c r="W88" i="5" s="1"/>
  <c r="V88" i="6" s="1"/>
  <c r="N88" i="5"/>
  <c r="M88" i="5"/>
  <c r="G88" i="5"/>
  <c r="C88" i="5"/>
  <c r="A88" i="5"/>
  <c r="AS87" i="5"/>
  <c r="AR87" i="5"/>
  <c r="AQ87" i="5"/>
  <c r="AC87" i="5"/>
  <c r="K87" i="6" s="1"/>
  <c r="AB87" i="5"/>
  <c r="J87" i="6" s="1"/>
  <c r="X87" i="5"/>
  <c r="O87" i="6" s="1"/>
  <c r="W87" i="5" a="1"/>
  <c r="W87" i="5" s="1"/>
  <c r="V87" i="6" s="1"/>
  <c r="N87" i="5"/>
  <c r="M87" i="5"/>
  <c r="G87" i="5"/>
  <c r="C87" i="5"/>
  <c r="A87" i="5"/>
  <c r="AS86" i="5"/>
  <c r="AR86" i="5"/>
  <c r="AQ86" i="5"/>
  <c r="AC86" i="5"/>
  <c r="K86" i="6" s="1"/>
  <c r="AB86" i="5"/>
  <c r="J86" i="6" s="1"/>
  <c r="X86" i="5"/>
  <c r="O86" i="6" s="1"/>
  <c r="W86" i="5" a="1"/>
  <c r="W86" i="5" s="1"/>
  <c r="V86" i="6" s="1"/>
  <c r="N86" i="5"/>
  <c r="M86" i="5"/>
  <c r="G86" i="5"/>
  <c r="C86" i="5"/>
  <c r="A86" i="5"/>
  <c r="AS85" i="5"/>
  <c r="AR85" i="5"/>
  <c r="AQ85" i="5"/>
  <c r="AC85" i="5"/>
  <c r="K85" i="6" s="1"/>
  <c r="AB85" i="5"/>
  <c r="J85" i="6" s="1"/>
  <c r="X85" i="5"/>
  <c r="O85" i="6" s="1"/>
  <c r="W85" i="5" a="1"/>
  <c r="W85" i="5" s="1"/>
  <c r="V85" i="6" s="1"/>
  <c r="N85" i="5"/>
  <c r="M85" i="5"/>
  <c r="G85" i="5"/>
  <c r="C85" i="5"/>
  <c r="A85" i="5"/>
  <c r="AS84" i="5"/>
  <c r="AR84" i="5"/>
  <c r="AQ84" i="5"/>
  <c r="AC84" i="5"/>
  <c r="K84" i="6" s="1"/>
  <c r="AB84" i="5"/>
  <c r="J84" i="6" s="1"/>
  <c r="X84" i="5"/>
  <c r="O84" i="6" s="1"/>
  <c r="W84" i="5" a="1"/>
  <c r="W84" i="5" s="1"/>
  <c r="V84" i="6" s="1"/>
  <c r="N84" i="5"/>
  <c r="M84" i="5"/>
  <c r="G84" i="5"/>
  <c r="C84" i="5"/>
  <c r="A84" i="5"/>
  <c r="AS83" i="5"/>
  <c r="AR83" i="5"/>
  <c r="AQ83" i="5"/>
  <c r="AC83" i="5"/>
  <c r="K83" i="6" s="1"/>
  <c r="AB83" i="5"/>
  <c r="J83" i="6" s="1"/>
  <c r="X83" i="5"/>
  <c r="O83" i="6" s="1"/>
  <c r="W83" i="5" a="1"/>
  <c r="W83" i="5" s="1"/>
  <c r="V83" i="6" s="1"/>
  <c r="N83" i="5"/>
  <c r="M83" i="5"/>
  <c r="G83" i="5"/>
  <c r="C83" i="5"/>
  <c r="A83" i="5"/>
  <c r="AS82" i="5"/>
  <c r="AR82" i="5"/>
  <c r="AQ82" i="5"/>
  <c r="AC82" i="5"/>
  <c r="K82" i="6" s="1"/>
  <c r="AB82" i="5"/>
  <c r="J82" i="6" s="1"/>
  <c r="X82" i="5"/>
  <c r="O82" i="6" s="1"/>
  <c r="W82" i="5" a="1"/>
  <c r="W82" i="5" s="1"/>
  <c r="V82" i="6" s="1"/>
  <c r="N82" i="5"/>
  <c r="M82" i="5"/>
  <c r="G82" i="5"/>
  <c r="C82" i="5"/>
  <c r="A82" i="5"/>
  <c r="AS81" i="5"/>
  <c r="AR81" i="5"/>
  <c r="AQ81" i="5"/>
  <c r="AC81" i="5"/>
  <c r="K81" i="6" s="1"/>
  <c r="AB81" i="5"/>
  <c r="J81" i="6" s="1"/>
  <c r="X81" i="5"/>
  <c r="O81" i="6" s="1"/>
  <c r="W81" i="5" a="1"/>
  <c r="W81" i="5" s="1"/>
  <c r="V81" i="6" s="1"/>
  <c r="N81" i="5"/>
  <c r="M81" i="5"/>
  <c r="G81" i="5"/>
  <c r="C81" i="5"/>
  <c r="A81" i="5"/>
  <c r="AS80" i="5"/>
  <c r="AR80" i="5"/>
  <c r="AQ80" i="5"/>
  <c r="AC80" i="5"/>
  <c r="K80" i="6" s="1"/>
  <c r="AB80" i="5"/>
  <c r="J80" i="6" s="1"/>
  <c r="X80" i="5"/>
  <c r="O80" i="6" s="1"/>
  <c r="W80" i="5" a="1"/>
  <c r="W80" i="5" s="1"/>
  <c r="V80" i="6" s="1"/>
  <c r="N80" i="5"/>
  <c r="M80" i="5"/>
  <c r="G80" i="5"/>
  <c r="C80" i="5"/>
  <c r="A80" i="5"/>
  <c r="AS79" i="5"/>
  <c r="AR79" i="5"/>
  <c r="AQ79" i="5"/>
  <c r="AC79" i="5"/>
  <c r="K79" i="6" s="1"/>
  <c r="AB79" i="5"/>
  <c r="J79" i="6" s="1"/>
  <c r="X79" i="5"/>
  <c r="O79" i="6" s="1"/>
  <c r="W79" i="5" a="1"/>
  <c r="W79" i="5" s="1"/>
  <c r="V79" i="6" s="1"/>
  <c r="N79" i="5"/>
  <c r="M79" i="5"/>
  <c r="G79" i="5"/>
  <c r="C79" i="5"/>
  <c r="A79" i="5"/>
  <c r="AS78" i="5"/>
  <c r="AR78" i="5"/>
  <c r="AQ78" i="5"/>
  <c r="AC78" i="5"/>
  <c r="K78" i="6" s="1"/>
  <c r="AB78" i="5"/>
  <c r="J78" i="6" s="1"/>
  <c r="X78" i="5"/>
  <c r="O78" i="6" s="1"/>
  <c r="W78" i="5" a="1"/>
  <c r="W78" i="5" s="1"/>
  <c r="V78" i="6" s="1"/>
  <c r="N78" i="5"/>
  <c r="M78" i="5"/>
  <c r="G78" i="5"/>
  <c r="C78" i="5"/>
  <c r="A78" i="5"/>
  <c r="AS77" i="5"/>
  <c r="AR77" i="5"/>
  <c r="AQ77" i="5"/>
  <c r="AC77" i="5"/>
  <c r="K77" i="6" s="1"/>
  <c r="AB77" i="5"/>
  <c r="J77" i="6" s="1"/>
  <c r="X77" i="5"/>
  <c r="O77" i="6" s="1"/>
  <c r="W77" i="5" a="1"/>
  <c r="W77" i="5" s="1"/>
  <c r="V77" i="6" s="1"/>
  <c r="N77" i="5"/>
  <c r="M77" i="5"/>
  <c r="G77" i="5"/>
  <c r="C77" i="5"/>
  <c r="A77" i="5"/>
  <c r="AS76" i="5"/>
  <c r="AR76" i="5"/>
  <c r="AQ76" i="5"/>
  <c r="AC76" i="5"/>
  <c r="K76" i="6" s="1"/>
  <c r="AB76" i="5"/>
  <c r="J76" i="6" s="1"/>
  <c r="X76" i="5"/>
  <c r="O76" i="6" s="1"/>
  <c r="W76" i="5" a="1"/>
  <c r="W76" i="5" s="1"/>
  <c r="V76" i="6" s="1"/>
  <c r="N76" i="5"/>
  <c r="M76" i="5"/>
  <c r="G76" i="5"/>
  <c r="C76" i="5"/>
  <c r="A76" i="5"/>
  <c r="AS75" i="5"/>
  <c r="AR75" i="5"/>
  <c r="AQ75" i="5"/>
  <c r="AC75" i="5"/>
  <c r="K75" i="6" s="1"/>
  <c r="AB75" i="5"/>
  <c r="J75" i="6" s="1"/>
  <c r="X75" i="5"/>
  <c r="O75" i="6" s="1"/>
  <c r="W75" i="5" a="1"/>
  <c r="W75" i="5" s="1"/>
  <c r="V75" i="6" s="1"/>
  <c r="N75" i="5"/>
  <c r="M75" i="5"/>
  <c r="G75" i="5"/>
  <c r="C75" i="5"/>
  <c r="A75" i="5"/>
  <c r="AS74" i="5"/>
  <c r="AR74" i="5"/>
  <c r="AQ74" i="5"/>
  <c r="AC74" i="5"/>
  <c r="K74" i="6" s="1"/>
  <c r="AB74" i="5"/>
  <c r="J74" i="6" s="1"/>
  <c r="X74" i="5"/>
  <c r="O74" i="6" s="1"/>
  <c r="W74" i="5" a="1"/>
  <c r="W74" i="5" s="1"/>
  <c r="V74" i="6" s="1"/>
  <c r="N74" i="5"/>
  <c r="M74" i="5"/>
  <c r="G74" i="5"/>
  <c r="C74" i="5"/>
  <c r="A74" i="5"/>
  <c r="AS73" i="5"/>
  <c r="AR73" i="5"/>
  <c r="AQ73" i="5"/>
  <c r="AC73" i="5"/>
  <c r="K73" i="6" s="1"/>
  <c r="AB73" i="5"/>
  <c r="J73" i="6" s="1"/>
  <c r="X73" i="5"/>
  <c r="O73" i="6" s="1"/>
  <c r="W73" i="5" a="1"/>
  <c r="W73" i="5" s="1"/>
  <c r="V73" i="6" s="1"/>
  <c r="N73" i="5"/>
  <c r="M73" i="5"/>
  <c r="G73" i="5"/>
  <c r="C73" i="5"/>
  <c r="A73" i="5"/>
  <c r="AS72" i="5"/>
  <c r="AR72" i="5"/>
  <c r="AQ72" i="5"/>
  <c r="AC72" i="5"/>
  <c r="K72" i="6" s="1"/>
  <c r="AB72" i="5"/>
  <c r="J72" i="6" s="1"/>
  <c r="X72" i="5"/>
  <c r="O72" i="6" s="1"/>
  <c r="W72" i="5" a="1"/>
  <c r="W72" i="5" s="1"/>
  <c r="V72" i="6" s="1"/>
  <c r="N72" i="5"/>
  <c r="M72" i="5"/>
  <c r="G72" i="5"/>
  <c r="C72" i="5"/>
  <c r="A72" i="5"/>
  <c r="AS71" i="5"/>
  <c r="AR71" i="5"/>
  <c r="AQ71" i="5"/>
  <c r="AC71" i="5"/>
  <c r="K71" i="6" s="1"/>
  <c r="AB71" i="5"/>
  <c r="J71" i="6" s="1"/>
  <c r="X71" i="5"/>
  <c r="O71" i="6" s="1"/>
  <c r="W71" i="5" a="1"/>
  <c r="W71" i="5" s="1"/>
  <c r="V71" i="6" s="1"/>
  <c r="N71" i="5"/>
  <c r="M71" i="5"/>
  <c r="G71" i="5"/>
  <c r="C71" i="5"/>
  <c r="A71" i="5"/>
  <c r="AS70" i="5"/>
  <c r="AR70" i="5"/>
  <c r="AQ70" i="5"/>
  <c r="AC70" i="5"/>
  <c r="K70" i="6" s="1"/>
  <c r="AB70" i="5"/>
  <c r="J70" i="6" s="1"/>
  <c r="X70" i="5"/>
  <c r="O70" i="6" s="1"/>
  <c r="W70" i="5" a="1"/>
  <c r="W70" i="5" s="1"/>
  <c r="V70" i="6" s="1"/>
  <c r="N70" i="5"/>
  <c r="M70" i="5"/>
  <c r="G70" i="5"/>
  <c r="C70" i="5"/>
  <c r="A70" i="5"/>
  <c r="AS69" i="5"/>
  <c r="AR69" i="5"/>
  <c r="AQ69" i="5"/>
  <c r="AC69" i="5"/>
  <c r="K69" i="6" s="1"/>
  <c r="AB69" i="5"/>
  <c r="J69" i="6" s="1"/>
  <c r="X69" i="5"/>
  <c r="O69" i="6" s="1"/>
  <c r="W69" i="5" a="1"/>
  <c r="W69" i="5" s="1"/>
  <c r="V69" i="6" s="1"/>
  <c r="N69" i="5"/>
  <c r="M69" i="5"/>
  <c r="G69" i="5"/>
  <c r="C69" i="5"/>
  <c r="A69" i="5"/>
  <c r="AS68" i="5"/>
  <c r="AR68" i="5"/>
  <c r="AQ68" i="5"/>
  <c r="AC68" i="5"/>
  <c r="K68" i="6" s="1"/>
  <c r="AB68" i="5"/>
  <c r="J68" i="6" s="1"/>
  <c r="X68" i="5"/>
  <c r="O68" i="6" s="1"/>
  <c r="W68" i="5" a="1"/>
  <c r="W68" i="5" s="1"/>
  <c r="V68" i="6" s="1"/>
  <c r="N68" i="5"/>
  <c r="M68" i="5"/>
  <c r="G68" i="5"/>
  <c r="C68" i="5"/>
  <c r="A68" i="5"/>
  <c r="AS67" i="5"/>
  <c r="AR67" i="5"/>
  <c r="AQ67" i="5"/>
  <c r="AC67" i="5"/>
  <c r="K67" i="6" s="1"/>
  <c r="AB67" i="5"/>
  <c r="J67" i="6" s="1"/>
  <c r="X67" i="5"/>
  <c r="O67" i="6" s="1"/>
  <c r="W67" i="5" a="1"/>
  <c r="W67" i="5" s="1"/>
  <c r="V67" i="6" s="1"/>
  <c r="N67" i="5"/>
  <c r="M67" i="5"/>
  <c r="G67" i="5"/>
  <c r="C67" i="5"/>
  <c r="A67" i="5"/>
  <c r="AS66" i="5"/>
  <c r="AR66" i="5"/>
  <c r="AQ66" i="5"/>
  <c r="AC66" i="5"/>
  <c r="K66" i="6" s="1"/>
  <c r="AB66" i="5"/>
  <c r="J66" i="6" s="1"/>
  <c r="X66" i="5"/>
  <c r="O66" i="6" s="1"/>
  <c r="W66" i="5" a="1"/>
  <c r="W66" i="5" s="1"/>
  <c r="V66" i="6" s="1"/>
  <c r="N66" i="5"/>
  <c r="M66" i="5"/>
  <c r="G66" i="5"/>
  <c r="C66" i="5"/>
  <c r="A66" i="5"/>
  <c r="AS65" i="5"/>
  <c r="AR65" i="5"/>
  <c r="AQ65" i="5"/>
  <c r="AC65" i="5"/>
  <c r="K65" i="6" s="1"/>
  <c r="AB65" i="5"/>
  <c r="J65" i="6" s="1"/>
  <c r="X65" i="5"/>
  <c r="O65" i="6" s="1"/>
  <c r="W65" i="5" a="1"/>
  <c r="W65" i="5" s="1"/>
  <c r="V65" i="6" s="1"/>
  <c r="N65" i="5"/>
  <c r="M65" i="5"/>
  <c r="G65" i="5"/>
  <c r="C65" i="5"/>
  <c r="A65" i="5"/>
  <c r="AS64" i="5"/>
  <c r="AR64" i="5"/>
  <c r="AQ64" i="5"/>
  <c r="AC64" i="5"/>
  <c r="K64" i="6" s="1"/>
  <c r="AB64" i="5"/>
  <c r="J64" i="6" s="1"/>
  <c r="X64" i="5"/>
  <c r="O64" i="6" s="1"/>
  <c r="W64" i="5" a="1"/>
  <c r="W64" i="5" s="1"/>
  <c r="V64" i="6" s="1"/>
  <c r="N64" i="5"/>
  <c r="M64" i="5"/>
  <c r="G64" i="5"/>
  <c r="C64" i="5"/>
  <c r="A64" i="5"/>
  <c r="AS63" i="5"/>
  <c r="AR63" i="5"/>
  <c r="AQ63" i="5"/>
  <c r="AC63" i="5"/>
  <c r="K63" i="6" s="1"/>
  <c r="AB63" i="5"/>
  <c r="J63" i="6" s="1"/>
  <c r="X63" i="5"/>
  <c r="O63" i="6" s="1"/>
  <c r="W63" i="5" a="1"/>
  <c r="W63" i="5" s="1"/>
  <c r="V63" i="6" s="1"/>
  <c r="N63" i="5"/>
  <c r="M63" i="5"/>
  <c r="G63" i="5"/>
  <c r="C63" i="5"/>
  <c r="A63" i="5"/>
  <c r="AS62" i="5"/>
  <c r="AR62" i="5"/>
  <c r="AQ62" i="5"/>
  <c r="AC62" i="5"/>
  <c r="K62" i="6" s="1"/>
  <c r="AB62" i="5"/>
  <c r="J62" i="6" s="1"/>
  <c r="X62" i="5"/>
  <c r="O62" i="6" s="1"/>
  <c r="W62" i="5" a="1"/>
  <c r="W62" i="5" s="1"/>
  <c r="V62" i="6" s="1"/>
  <c r="N62" i="5"/>
  <c r="M62" i="5"/>
  <c r="G62" i="5"/>
  <c r="C62" i="5"/>
  <c r="A62" i="5"/>
  <c r="AS61" i="5"/>
  <c r="AR61" i="5"/>
  <c r="AQ61" i="5"/>
  <c r="AC61" i="5"/>
  <c r="K61" i="6" s="1"/>
  <c r="AB61" i="5"/>
  <c r="J61" i="6" s="1"/>
  <c r="X61" i="5"/>
  <c r="O61" i="6" s="1"/>
  <c r="W61" i="5" a="1"/>
  <c r="W61" i="5" s="1"/>
  <c r="V61" i="6" s="1"/>
  <c r="N61" i="5"/>
  <c r="M61" i="5"/>
  <c r="G61" i="5"/>
  <c r="C61" i="5"/>
  <c r="A61" i="5"/>
  <c r="AS60" i="5"/>
  <c r="AR60" i="5"/>
  <c r="AQ60" i="5"/>
  <c r="AC60" i="5"/>
  <c r="K60" i="6" s="1"/>
  <c r="AB60" i="5"/>
  <c r="J60" i="6" s="1"/>
  <c r="X60" i="5"/>
  <c r="O60" i="6" s="1"/>
  <c r="W60" i="5" a="1"/>
  <c r="W60" i="5" s="1"/>
  <c r="V60" i="6" s="1"/>
  <c r="N60" i="5"/>
  <c r="M60" i="5"/>
  <c r="G60" i="5"/>
  <c r="C60" i="5"/>
  <c r="A60" i="5"/>
  <c r="AS59" i="5"/>
  <c r="AR59" i="5"/>
  <c r="AQ59" i="5"/>
  <c r="AC59" i="5"/>
  <c r="K59" i="6" s="1"/>
  <c r="AB59" i="5"/>
  <c r="J59" i="6" s="1"/>
  <c r="X59" i="5"/>
  <c r="O59" i="6" s="1"/>
  <c r="W59" i="5" a="1"/>
  <c r="W59" i="5" s="1"/>
  <c r="V59" i="6" s="1"/>
  <c r="N59" i="5"/>
  <c r="M59" i="5"/>
  <c r="G59" i="5"/>
  <c r="C59" i="5"/>
  <c r="A59" i="5"/>
  <c r="AS58" i="5"/>
  <c r="AR58" i="5"/>
  <c r="AQ58" i="5"/>
  <c r="AC58" i="5"/>
  <c r="K58" i="6" s="1"/>
  <c r="AB58" i="5"/>
  <c r="J58" i="6" s="1"/>
  <c r="X58" i="5"/>
  <c r="O58" i="6" s="1"/>
  <c r="W58" i="5" a="1"/>
  <c r="W58" i="5" s="1"/>
  <c r="V58" i="6" s="1"/>
  <c r="N58" i="5"/>
  <c r="M58" i="5"/>
  <c r="G58" i="5"/>
  <c r="C58" i="5"/>
  <c r="A58" i="5"/>
  <c r="AS57" i="5"/>
  <c r="AR57" i="5"/>
  <c r="AQ57" i="5"/>
  <c r="AC57" i="5"/>
  <c r="K57" i="6" s="1"/>
  <c r="AB57" i="5"/>
  <c r="J57" i="6" s="1"/>
  <c r="X57" i="5"/>
  <c r="O57" i="6" s="1"/>
  <c r="W57" i="5" a="1"/>
  <c r="W57" i="5" s="1"/>
  <c r="V57" i="6" s="1"/>
  <c r="N57" i="5"/>
  <c r="M57" i="5"/>
  <c r="G57" i="5"/>
  <c r="C57" i="5"/>
  <c r="A57" i="5"/>
  <c r="AS56" i="5"/>
  <c r="AR56" i="5"/>
  <c r="AQ56" i="5"/>
  <c r="AC56" i="5"/>
  <c r="K56" i="6" s="1"/>
  <c r="AB56" i="5"/>
  <c r="J56" i="6" s="1"/>
  <c r="X56" i="5"/>
  <c r="O56" i="6" s="1"/>
  <c r="W56" i="5" a="1"/>
  <c r="W56" i="5" s="1"/>
  <c r="V56" i="6" s="1"/>
  <c r="N56" i="5"/>
  <c r="M56" i="5"/>
  <c r="G56" i="5"/>
  <c r="C56" i="5"/>
  <c r="A56" i="5"/>
  <c r="AS55" i="5"/>
  <c r="AR55" i="5"/>
  <c r="AQ55" i="5"/>
  <c r="AC55" i="5"/>
  <c r="K55" i="6" s="1"/>
  <c r="AB55" i="5"/>
  <c r="J55" i="6" s="1"/>
  <c r="X55" i="5"/>
  <c r="O55" i="6" s="1"/>
  <c r="W55" i="5" a="1"/>
  <c r="W55" i="5" s="1"/>
  <c r="V55" i="6" s="1"/>
  <c r="N55" i="5"/>
  <c r="M55" i="5"/>
  <c r="G55" i="5"/>
  <c r="C55" i="5"/>
  <c r="A55" i="5"/>
  <c r="AS54" i="5"/>
  <c r="AR54" i="5"/>
  <c r="AQ54" i="5"/>
  <c r="AC54" i="5"/>
  <c r="K54" i="6" s="1"/>
  <c r="AB54" i="5"/>
  <c r="J54" i="6" s="1"/>
  <c r="X54" i="5"/>
  <c r="O54" i="6" s="1"/>
  <c r="W54" i="5" a="1"/>
  <c r="W54" i="5" s="1"/>
  <c r="V54" i="6" s="1"/>
  <c r="N54" i="5"/>
  <c r="M54" i="5"/>
  <c r="G54" i="5"/>
  <c r="C54" i="5"/>
  <c r="A54" i="5"/>
  <c r="AS53" i="5"/>
  <c r="AR53" i="5"/>
  <c r="AQ53" i="5"/>
  <c r="AC53" i="5"/>
  <c r="K53" i="6" s="1"/>
  <c r="AB53" i="5"/>
  <c r="J53" i="6" s="1"/>
  <c r="X53" i="5"/>
  <c r="O53" i="6" s="1"/>
  <c r="W53" i="5" a="1"/>
  <c r="W53" i="5" s="1"/>
  <c r="V53" i="6" s="1"/>
  <c r="N53" i="5"/>
  <c r="M53" i="5"/>
  <c r="G53" i="5"/>
  <c r="C53" i="5"/>
  <c r="A53" i="5"/>
  <c r="AS52" i="5"/>
  <c r="AR52" i="5"/>
  <c r="AQ52" i="5"/>
  <c r="AC52" i="5"/>
  <c r="K52" i="6" s="1"/>
  <c r="AB52" i="5"/>
  <c r="J52" i="6" s="1"/>
  <c r="X52" i="5"/>
  <c r="O52" i="6" s="1"/>
  <c r="W52" i="5" a="1"/>
  <c r="W52" i="5" s="1"/>
  <c r="V52" i="6" s="1"/>
  <c r="N52" i="5"/>
  <c r="M52" i="5"/>
  <c r="G52" i="5"/>
  <c r="C52" i="5"/>
  <c r="A52" i="5"/>
  <c r="AS51" i="5"/>
  <c r="AR51" i="5"/>
  <c r="AQ51" i="5"/>
  <c r="AC51" i="5"/>
  <c r="K51" i="6" s="1"/>
  <c r="AB51" i="5"/>
  <c r="J51" i="6" s="1"/>
  <c r="X51" i="5"/>
  <c r="O51" i="6" s="1"/>
  <c r="W51" i="5" a="1"/>
  <c r="W51" i="5" s="1"/>
  <c r="V51" i="6" s="1"/>
  <c r="N51" i="5"/>
  <c r="M51" i="5"/>
  <c r="G51" i="5"/>
  <c r="C51" i="5"/>
  <c r="A51" i="5"/>
  <c r="AS50" i="5"/>
  <c r="AR50" i="5"/>
  <c r="AQ50" i="5"/>
  <c r="AC50" i="5"/>
  <c r="K50" i="6" s="1"/>
  <c r="AB50" i="5"/>
  <c r="J50" i="6" s="1"/>
  <c r="X50" i="5"/>
  <c r="O50" i="6" s="1"/>
  <c r="W50" i="5" a="1"/>
  <c r="W50" i="5" s="1"/>
  <c r="V50" i="6" s="1"/>
  <c r="N50" i="5"/>
  <c r="M50" i="5"/>
  <c r="G50" i="5"/>
  <c r="C50" i="5"/>
  <c r="A50" i="5"/>
  <c r="AS49" i="5"/>
  <c r="AR49" i="5"/>
  <c r="AQ49" i="5"/>
  <c r="AC49" i="5"/>
  <c r="K49" i="6" s="1"/>
  <c r="AB49" i="5"/>
  <c r="J49" i="6" s="1"/>
  <c r="X49" i="5"/>
  <c r="O49" i="6" s="1"/>
  <c r="W49" i="5" a="1"/>
  <c r="W49" i="5" s="1"/>
  <c r="V49" i="6" s="1"/>
  <c r="N49" i="5"/>
  <c r="M49" i="5"/>
  <c r="G49" i="5"/>
  <c r="C49" i="5"/>
  <c r="A49" i="5"/>
  <c r="AS48" i="5"/>
  <c r="AR48" i="5"/>
  <c r="AQ48" i="5"/>
  <c r="AC48" i="5"/>
  <c r="K48" i="6" s="1"/>
  <c r="AB48" i="5"/>
  <c r="J48" i="6" s="1"/>
  <c r="X48" i="5"/>
  <c r="O48" i="6" s="1"/>
  <c r="W48" i="5" a="1"/>
  <c r="W48" i="5" s="1"/>
  <c r="V48" i="6" s="1"/>
  <c r="N48" i="5"/>
  <c r="M48" i="5"/>
  <c r="G48" i="5"/>
  <c r="C48" i="5"/>
  <c r="A48" i="5"/>
  <c r="AS47" i="5"/>
  <c r="AR47" i="5"/>
  <c r="AQ47" i="5"/>
  <c r="AC47" i="5"/>
  <c r="K47" i="6" s="1"/>
  <c r="AB47" i="5"/>
  <c r="J47" i="6" s="1"/>
  <c r="X47" i="5"/>
  <c r="O47" i="6" s="1"/>
  <c r="W47" i="5" a="1"/>
  <c r="W47" i="5" s="1"/>
  <c r="V47" i="6" s="1"/>
  <c r="N47" i="5"/>
  <c r="M47" i="5"/>
  <c r="G47" i="5"/>
  <c r="C47" i="5"/>
  <c r="A47" i="5"/>
  <c r="AS46" i="5"/>
  <c r="AR46" i="5"/>
  <c r="AQ46" i="5"/>
  <c r="AC46" i="5"/>
  <c r="K46" i="6" s="1"/>
  <c r="AB46" i="5"/>
  <c r="J46" i="6" s="1"/>
  <c r="X46" i="5"/>
  <c r="O46" i="6" s="1"/>
  <c r="W46" i="5" a="1"/>
  <c r="W46" i="5" s="1"/>
  <c r="V46" i="6" s="1"/>
  <c r="N46" i="5"/>
  <c r="M46" i="5"/>
  <c r="G46" i="5"/>
  <c r="C46" i="5"/>
  <c r="A46" i="5"/>
  <c r="AS45" i="5"/>
  <c r="AR45" i="5"/>
  <c r="AQ45" i="5"/>
  <c r="AC45" i="5"/>
  <c r="K45" i="6" s="1"/>
  <c r="AB45" i="5"/>
  <c r="J45" i="6" s="1"/>
  <c r="X45" i="5"/>
  <c r="O45" i="6" s="1"/>
  <c r="W45" i="5" a="1"/>
  <c r="W45" i="5" s="1"/>
  <c r="V45" i="6" s="1"/>
  <c r="N45" i="5"/>
  <c r="M45" i="5"/>
  <c r="G45" i="5"/>
  <c r="C45" i="5"/>
  <c r="A45" i="5"/>
  <c r="AS44" i="5"/>
  <c r="AR44" i="5"/>
  <c r="AQ44" i="5"/>
  <c r="AC44" i="5"/>
  <c r="K44" i="6" s="1"/>
  <c r="AB44" i="5"/>
  <c r="J44" i="6" s="1"/>
  <c r="X44" i="5"/>
  <c r="O44" i="6" s="1"/>
  <c r="W44" i="5" a="1"/>
  <c r="W44" i="5" s="1"/>
  <c r="V44" i="6" s="1"/>
  <c r="N44" i="5"/>
  <c r="M44" i="5"/>
  <c r="G44" i="5"/>
  <c r="C44" i="5"/>
  <c r="A44" i="5"/>
  <c r="AS43" i="5"/>
  <c r="AR43" i="5"/>
  <c r="AQ43" i="5"/>
  <c r="AC43" i="5"/>
  <c r="K43" i="6" s="1"/>
  <c r="AB43" i="5"/>
  <c r="J43" i="6" s="1"/>
  <c r="X43" i="5"/>
  <c r="O43" i="6" s="1"/>
  <c r="W43" i="5" a="1"/>
  <c r="W43" i="5" s="1"/>
  <c r="V43" i="6" s="1"/>
  <c r="N43" i="5"/>
  <c r="M43" i="5"/>
  <c r="G43" i="5"/>
  <c r="C43" i="5"/>
  <c r="A43" i="5"/>
  <c r="AS42" i="5"/>
  <c r="AR42" i="5"/>
  <c r="AQ42" i="5"/>
  <c r="AC42" i="5"/>
  <c r="K42" i="6" s="1"/>
  <c r="AB42" i="5"/>
  <c r="J42" i="6" s="1"/>
  <c r="X42" i="5"/>
  <c r="O42" i="6" s="1"/>
  <c r="W42" i="5" a="1"/>
  <c r="W42" i="5" s="1"/>
  <c r="V42" i="6" s="1"/>
  <c r="N42" i="5"/>
  <c r="M42" i="5"/>
  <c r="G42" i="5"/>
  <c r="C42" i="5"/>
  <c r="A42" i="5"/>
  <c r="AS41" i="5"/>
  <c r="AR41" i="5"/>
  <c r="AQ41" i="5"/>
  <c r="AC41" i="5"/>
  <c r="K41" i="6" s="1"/>
  <c r="AB41" i="5"/>
  <c r="J41" i="6" s="1"/>
  <c r="X41" i="5"/>
  <c r="O41" i="6" s="1"/>
  <c r="W41" i="5" a="1"/>
  <c r="W41" i="5" s="1"/>
  <c r="V41" i="6" s="1"/>
  <c r="N41" i="5"/>
  <c r="M41" i="5"/>
  <c r="G41" i="5"/>
  <c r="C41" i="5"/>
  <c r="A41" i="5"/>
  <c r="AS40" i="5"/>
  <c r="AR40" i="5"/>
  <c r="AQ40" i="5"/>
  <c r="AC40" i="5"/>
  <c r="K40" i="6" s="1"/>
  <c r="AB40" i="5"/>
  <c r="J40" i="6" s="1"/>
  <c r="X40" i="5"/>
  <c r="O40" i="6" s="1"/>
  <c r="W40" i="5" a="1"/>
  <c r="W40" i="5" s="1"/>
  <c r="V40" i="6" s="1"/>
  <c r="N40" i="5"/>
  <c r="M40" i="5"/>
  <c r="G40" i="5"/>
  <c r="C40" i="5"/>
  <c r="A40" i="5"/>
  <c r="AS39" i="5"/>
  <c r="AR39" i="5"/>
  <c r="AQ39" i="5"/>
  <c r="AC39" i="5"/>
  <c r="K39" i="6" s="1"/>
  <c r="AB39" i="5"/>
  <c r="J39" i="6" s="1"/>
  <c r="X39" i="5"/>
  <c r="O39" i="6" s="1"/>
  <c r="W39" i="5" a="1"/>
  <c r="W39" i="5" s="1"/>
  <c r="V39" i="6" s="1"/>
  <c r="N39" i="5"/>
  <c r="M39" i="5"/>
  <c r="G39" i="5"/>
  <c r="C39" i="5"/>
  <c r="A39" i="5"/>
  <c r="AS38" i="5"/>
  <c r="AR38" i="5"/>
  <c r="AQ38" i="5"/>
  <c r="AC38" i="5"/>
  <c r="K38" i="6" s="1"/>
  <c r="AB38" i="5"/>
  <c r="J38" i="6" s="1"/>
  <c r="X38" i="5"/>
  <c r="O38" i="6" s="1"/>
  <c r="W38" i="5" a="1"/>
  <c r="W38" i="5" s="1"/>
  <c r="V38" i="6" s="1"/>
  <c r="N38" i="5"/>
  <c r="M38" i="5"/>
  <c r="G38" i="5"/>
  <c r="C38" i="5"/>
  <c r="A38" i="5"/>
  <c r="AS37" i="5"/>
  <c r="AR37" i="5"/>
  <c r="AQ37" i="5"/>
  <c r="AC37" i="5"/>
  <c r="K37" i="6" s="1"/>
  <c r="AB37" i="5"/>
  <c r="J37" i="6" s="1"/>
  <c r="X37" i="5"/>
  <c r="O37" i="6" s="1"/>
  <c r="W37" i="5" a="1"/>
  <c r="W37" i="5" s="1"/>
  <c r="V37" i="6" s="1"/>
  <c r="N37" i="5"/>
  <c r="M37" i="5"/>
  <c r="G37" i="5"/>
  <c r="C37" i="5"/>
  <c r="A37" i="5"/>
  <c r="AS36" i="5"/>
  <c r="AR36" i="5"/>
  <c r="AQ36" i="5"/>
  <c r="AC36" i="5"/>
  <c r="AB36" i="5"/>
  <c r="X36" i="5"/>
  <c r="O36" i="6" s="1"/>
  <c r="W36" i="5" a="1"/>
  <c r="W36" i="5" s="1"/>
  <c r="V36" i="6" s="1"/>
  <c r="N36" i="5"/>
  <c r="M36" i="5"/>
  <c r="G36" i="5"/>
  <c r="C36" i="5"/>
  <c r="A36" i="5"/>
  <c r="AS35" i="5"/>
  <c r="AR35" i="5"/>
  <c r="AQ35" i="5"/>
  <c r="AC35" i="5"/>
  <c r="K35" i="6" s="1"/>
  <c r="AB35" i="5"/>
  <c r="J35" i="6" s="1"/>
  <c r="X35" i="5"/>
  <c r="O35" i="6" s="1"/>
  <c r="W35" i="5" a="1"/>
  <c r="W35" i="5" s="1"/>
  <c r="V35" i="6" s="1"/>
  <c r="N35" i="5"/>
  <c r="M35" i="5"/>
  <c r="G35" i="5"/>
  <c r="C35" i="5"/>
  <c r="A35" i="5"/>
  <c r="AS34" i="5"/>
  <c r="AR34" i="5"/>
  <c r="AQ34" i="5"/>
  <c r="AC34" i="5"/>
  <c r="K34" i="6" s="1"/>
  <c r="AB34" i="5"/>
  <c r="J34" i="6" s="1"/>
  <c r="X34" i="5"/>
  <c r="O34" i="6" s="1"/>
  <c r="W34" i="5" a="1"/>
  <c r="W34" i="5" s="1"/>
  <c r="V34" i="6" s="1"/>
  <c r="N34" i="5"/>
  <c r="M34" i="5"/>
  <c r="G34" i="5"/>
  <c r="C34" i="5"/>
  <c r="A34" i="5"/>
  <c r="AS33" i="5"/>
  <c r="AR33" i="5"/>
  <c r="AQ33" i="5"/>
  <c r="AC33" i="5"/>
  <c r="K33" i="6" s="1"/>
  <c r="AB33" i="5"/>
  <c r="J33" i="6" s="1"/>
  <c r="X33" i="5"/>
  <c r="O33" i="6" s="1"/>
  <c r="W33" i="5" a="1"/>
  <c r="W33" i="5" s="1"/>
  <c r="V33" i="6" s="1"/>
  <c r="N33" i="5"/>
  <c r="M33" i="5"/>
  <c r="G33" i="5"/>
  <c r="C33" i="5"/>
  <c r="A33" i="5"/>
  <c r="AS32" i="5"/>
  <c r="AR32" i="5"/>
  <c r="AQ32" i="5"/>
  <c r="AC32" i="5"/>
  <c r="K32" i="6" s="1"/>
  <c r="AB32" i="5"/>
  <c r="J32" i="6" s="1"/>
  <c r="X32" i="5"/>
  <c r="O32" i="6" s="1"/>
  <c r="W32" i="5" a="1"/>
  <c r="W32" i="5" s="1"/>
  <c r="V32" i="6" s="1"/>
  <c r="N32" i="5"/>
  <c r="M32" i="5"/>
  <c r="G32" i="5"/>
  <c r="C32" i="5"/>
  <c r="A32" i="5"/>
  <c r="AS31" i="5"/>
  <c r="AR31" i="5"/>
  <c r="AQ31" i="5"/>
  <c r="AC31" i="5"/>
  <c r="K31" i="6" s="1"/>
  <c r="AB31" i="5"/>
  <c r="J31" i="6" s="1"/>
  <c r="X31" i="5"/>
  <c r="O31" i="6" s="1"/>
  <c r="W31" i="5" a="1"/>
  <c r="W31" i="5" s="1"/>
  <c r="V31" i="6" s="1"/>
  <c r="N31" i="5"/>
  <c r="M31" i="5"/>
  <c r="G31" i="5"/>
  <c r="C31" i="5"/>
  <c r="A31" i="5"/>
  <c r="AS30" i="5"/>
  <c r="AR30" i="5"/>
  <c r="AQ30" i="5"/>
  <c r="AC30" i="5"/>
  <c r="K30" i="6" s="1"/>
  <c r="AB30" i="5"/>
  <c r="J30" i="6" s="1"/>
  <c r="X30" i="5"/>
  <c r="O30" i="6" s="1"/>
  <c r="W30" i="5" a="1"/>
  <c r="W30" i="5" s="1"/>
  <c r="V30" i="6" s="1"/>
  <c r="N30" i="5"/>
  <c r="M30" i="5"/>
  <c r="G30" i="5"/>
  <c r="C30" i="5"/>
  <c r="A30" i="5"/>
  <c r="AS29" i="5"/>
  <c r="AR29" i="5"/>
  <c r="AQ29" i="5"/>
  <c r="AC29" i="5"/>
  <c r="K29" i="6" s="1"/>
  <c r="AB29" i="5"/>
  <c r="J29" i="6" s="1"/>
  <c r="X29" i="5"/>
  <c r="O29" i="6" s="1"/>
  <c r="W29" i="5" a="1"/>
  <c r="W29" i="5" s="1"/>
  <c r="V29" i="6" s="1"/>
  <c r="N29" i="5"/>
  <c r="M29" i="5"/>
  <c r="G29" i="5"/>
  <c r="C29" i="5"/>
  <c r="A29" i="5"/>
  <c r="AS28" i="5"/>
  <c r="AR28" i="5"/>
  <c r="AQ28" i="5"/>
  <c r="AC28" i="5"/>
  <c r="K28" i="6" s="1"/>
  <c r="AB28" i="5"/>
  <c r="J28" i="6" s="1"/>
  <c r="X28" i="5"/>
  <c r="O28" i="6" s="1"/>
  <c r="W28" i="5" a="1"/>
  <c r="W28" i="5" s="1"/>
  <c r="V28" i="6" s="1"/>
  <c r="N28" i="5"/>
  <c r="M28" i="5"/>
  <c r="G28" i="5"/>
  <c r="C28" i="5"/>
  <c r="A28" i="5"/>
  <c r="AS27" i="5"/>
  <c r="AR27" i="5"/>
  <c r="AQ27" i="5"/>
  <c r="AC27" i="5"/>
  <c r="K27" i="6" s="1"/>
  <c r="AB27" i="5"/>
  <c r="J27" i="6" s="1"/>
  <c r="X27" i="5"/>
  <c r="O27" i="6" s="1"/>
  <c r="W27" i="5" a="1"/>
  <c r="W27" i="5" s="1"/>
  <c r="V27" i="6" s="1"/>
  <c r="N27" i="5"/>
  <c r="M27" i="5"/>
  <c r="G27" i="5"/>
  <c r="C27" i="5"/>
  <c r="A27" i="5"/>
  <c r="AS26" i="5"/>
  <c r="AR26" i="5"/>
  <c r="AQ26" i="5"/>
  <c r="AC26" i="5"/>
  <c r="K26" i="6" s="1"/>
  <c r="AB26" i="5"/>
  <c r="J26" i="6" s="1"/>
  <c r="X26" i="5"/>
  <c r="O26" i="6" s="1"/>
  <c r="W26" i="5" a="1"/>
  <c r="W26" i="5" s="1"/>
  <c r="V26" i="6" s="1"/>
  <c r="N26" i="5"/>
  <c r="M26" i="5"/>
  <c r="G26" i="5"/>
  <c r="C26" i="5"/>
  <c r="A26" i="5"/>
  <c r="AS25" i="5"/>
  <c r="AR25" i="5"/>
  <c r="AQ25" i="5"/>
  <c r="AC25" i="5"/>
  <c r="K25" i="6" s="1"/>
  <c r="AB25" i="5"/>
  <c r="J25" i="6" s="1"/>
  <c r="X25" i="5"/>
  <c r="O25" i="6" s="1"/>
  <c r="W25" i="5" a="1"/>
  <c r="W25" i="5" s="1"/>
  <c r="V25" i="6" s="1"/>
  <c r="N25" i="5"/>
  <c r="M25" i="5"/>
  <c r="G25" i="5"/>
  <c r="C25" i="5"/>
  <c r="A25" i="5"/>
  <c r="AS24" i="5"/>
  <c r="AR24" i="5"/>
  <c r="AQ24" i="5"/>
  <c r="AC24" i="5"/>
  <c r="K24" i="6" s="1"/>
  <c r="AB24" i="5"/>
  <c r="J24" i="6" s="1"/>
  <c r="X24" i="5"/>
  <c r="O24" i="6" s="1"/>
  <c r="W24" i="5" a="1"/>
  <c r="W24" i="5" s="1"/>
  <c r="V24" i="6" s="1"/>
  <c r="N24" i="5"/>
  <c r="M24" i="5"/>
  <c r="G24" i="5"/>
  <c r="C24" i="5"/>
  <c r="A24" i="5"/>
  <c r="AS23" i="5"/>
  <c r="AR23" i="5"/>
  <c r="AQ23" i="5"/>
  <c r="AC23" i="5"/>
  <c r="K23" i="6" s="1"/>
  <c r="AB23" i="5"/>
  <c r="J23" i="6" s="1"/>
  <c r="X23" i="5"/>
  <c r="O23" i="6" s="1"/>
  <c r="W23" i="5" a="1"/>
  <c r="W23" i="5" s="1"/>
  <c r="V23" i="6" s="1"/>
  <c r="N23" i="5"/>
  <c r="M23" i="5"/>
  <c r="G23" i="5"/>
  <c r="C23" i="5"/>
  <c r="A23" i="5"/>
  <c r="AS22" i="5"/>
  <c r="AR22" i="5"/>
  <c r="AQ22" i="5"/>
  <c r="AC22" i="5"/>
  <c r="K22" i="6" s="1"/>
  <c r="AB22" i="5"/>
  <c r="J22" i="6" s="1"/>
  <c r="X22" i="5"/>
  <c r="O22" i="6" s="1"/>
  <c r="W22" i="5" a="1"/>
  <c r="W22" i="5" s="1"/>
  <c r="V22" i="6" s="1"/>
  <c r="N22" i="5"/>
  <c r="M22" i="5"/>
  <c r="G22" i="5"/>
  <c r="C22" i="5"/>
  <c r="A22" i="5"/>
  <c r="AS21" i="5"/>
  <c r="AR21" i="5"/>
  <c r="AQ21" i="5"/>
  <c r="AC21" i="5"/>
  <c r="K21" i="6" s="1"/>
  <c r="AB21" i="5"/>
  <c r="J21" i="6" s="1"/>
  <c r="X21" i="5"/>
  <c r="O21" i="6" s="1"/>
  <c r="W21" i="5" a="1"/>
  <c r="W21" i="5" s="1"/>
  <c r="V21" i="6" s="1"/>
  <c r="N21" i="5"/>
  <c r="M21" i="5"/>
  <c r="G21" i="5"/>
  <c r="C21" i="5"/>
  <c r="A21" i="5"/>
  <c r="AS20" i="5"/>
  <c r="AR20" i="5"/>
  <c r="AQ20" i="5"/>
  <c r="AC20" i="5"/>
  <c r="K20" i="6" s="1"/>
  <c r="AB20" i="5"/>
  <c r="J20" i="6" s="1"/>
  <c r="X20" i="5"/>
  <c r="O20" i="6" s="1"/>
  <c r="W20" i="5" a="1"/>
  <c r="W20" i="5" s="1"/>
  <c r="V20" i="6" s="1"/>
  <c r="N20" i="5"/>
  <c r="M20" i="5"/>
  <c r="G20" i="5"/>
  <c r="C20" i="5"/>
  <c r="A20" i="5"/>
  <c r="AS19" i="5"/>
  <c r="AR19" i="5"/>
  <c r="AQ19" i="5"/>
  <c r="AC19" i="5"/>
  <c r="K19" i="6" s="1"/>
  <c r="AB19" i="5"/>
  <c r="J19" i="6" s="1"/>
  <c r="X19" i="5"/>
  <c r="O19" i="6" s="1"/>
  <c r="W19" i="5" a="1"/>
  <c r="W19" i="5" s="1"/>
  <c r="V19" i="6" s="1"/>
  <c r="N19" i="5"/>
  <c r="M19" i="5"/>
  <c r="G19" i="5"/>
  <c r="C19" i="5"/>
  <c r="A19" i="5"/>
  <c r="AS18" i="5"/>
  <c r="AR18" i="5"/>
  <c r="AQ18" i="5"/>
  <c r="AC18" i="5"/>
  <c r="K18" i="6" s="1"/>
  <c r="AB18" i="5"/>
  <c r="J18" i="6" s="1"/>
  <c r="X18" i="5"/>
  <c r="O18" i="6" s="1"/>
  <c r="W18" i="5" a="1"/>
  <c r="W18" i="5" s="1"/>
  <c r="V18" i="6" s="1"/>
  <c r="N18" i="5"/>
  <c r="M18" i="5"/>
  <c r="G18" i="5"/>
  <c r="C18" i="5"/>
  <c r="A18" i="5"/>
  <c r="AS17" i="5"/>
  <c r="AR17" i="5"/>
  <c r="AQ17" i="5"/>
  <c r="AC17" i="5"/>
  <c r="K17" i="6" s="1"/>
  <c r="AB17" i="5"/>
  <c r="J17" i="6" s="1"/>
  <c r="X17" i="5"/>
  <c r="O17" i="6" s="1"/>
  <c r="W17" i="5" a="1"/>
  <c r="W17" i="5" s="1"/>
  <c r="V17" i="6" s="1"/>
  <c r="N17" i="5"/>
  <c r="M17" i="5"/>
  <c r="G17" i="5"/>
  <c r="C17" i="5"/>
  <c r="A17" i="5"/>
  <c r="AS16" i="5"/>
  <c r="AR16" i="5"/>
  <c r="AQ16" i="5"/>
  <c r="AC16" i="5"/>
  <c r="K16" i="6" s="1"/>
  <c r="AB16" i="5"/>
  <c r="J16" i="6" s="1"/>
  <c r="X16" i="5"/>
  <c r="O16" i="6" s="1"/>
  <c r="W16" i="5"/>
  <c r="V16" i="6" s="1"/>
  <c r="W16" i="5" a="1"/>
  <c r="N16" i="5"/>
  <c r="M16" i="5"/>
  <c r="G16" i="5"/>
  <c r="C16" i="5"/>
  <c r="A16" i="5"/>
  <c r="AS15" i="5"/>
  <c r="AR15" i="5"/>
  <c r="AQ15" i="5"/>
  <c r="AC15" i="5"/>
  <c r="K15" i="6" s="1"/>
  <c r="AB15" i="5"/>
  <c r="J15" i="6" s="1"/>
  <c r="X15" i="5"/>
  <c r="O15" i="6" s="1"/>
  <c r="W15" i="5" a="1"/>
  <c r="W15" i="5" s="1"/>
  <c r="V15" i="6" s="1"/>
  <c r="N15" i="5"/>
  <c r="M15" i="5"/>
  <c r="G15" i="5"/>
  <c r="C15" i="5"/>
  <c r="A15" i="5"/>
  <c r="AS14" i="5"/>
  <c r="AR14" i="5"/>
  <c r="AQ14" i="5"/>
  <c r="AC14" i="5"/>
  <c r="K14" i="6" s="1"/>
  <c r="AB14" i="5"/>
  <c r="J14" i="6" s="1"/>
  <c r="X14" i="5"/>
  <c r="O14" i="6" s="1"/>
  <c r="W14" i="5" a="1"/>
  <c r="W14" i="5" s="1"/>
  <c r="V14" i="6" s="1"/>
  <c r="N14" i="5"/>
  <c r="M14" i="5"/>
  <c r="G14" i="5"/>
  <c r="C14" i="5"/>
  <c r="A14" i="5"/>
  <c r="AS13" i="5"/>
  <c r="AR13" i="5"/>
  <c r="AQ13" i="5"/>
  <c r="AC13" i="5"/>
  <c r="K13" i="6" s="1"/>
  <c r="AB13" i="5"/>
  <c r="J13" i="6" s="1"/>
  <c r="X13" i="5"/>
  <c r="O13" i="6" s="1"/>
  <c r="W13" i="5" a="1"/>
  <c r="W13" i="5" s="1"/>
  <c r="V13" i="6" s="1"/>
  <c r="N13" i="5"/>
  <c r="M13" i="5"/>
  <c r="G13" i="5"/>
  <c r="C13" i="5"/>
  <c r="A13" i="5"/>
  <c r="AS12" i="5"/>
  <c r="AR12" i="5"/>
  <c r="AQ12" i="5"/>
  <c r="AC12" i="5"/>
  <c r="K12" i="6" s="1"/>
  <c r="AB12" i="5"/>
  <c r="J12" i="6" s="1"/>
  <c r="X12" i="5"/>
  <c r="O12" i="6" s="1"/>
  <c r="W12" i="5" a="1"/>
  <c r="W12" i="5" s="1"/>
  <c r="V12" i="6" s="1"/>
  <c r="N12" i="5"/>
  <c r="M12" i="5"/>
  <c r="G12" i="5"/>
  <c r="C12" i="5"/>
  <c r="A12" i="5"/>
  <c r="AS11" i="5"/>
  <c r="AR11" i="5"/>
  <c r="AQ11" i="5"/>
  <c r="AC11" i="5"/>
  <c r="K11" i="6" s="1"/>
  <c r="AB11" i="5"/>
  <c r="J11" i="6" s="1"/>
  <c r="X11" i="5"/>
  <c r="O11" i="6" s="1"/>
  <c r="W11" i="5" a="1"/>
  <c r="W11" i="5" s="1"/>
  <c r="V11" i="6" s="1"/>
  <c r="N11" i="5"/>
  <c r="M11" i="5"/>
  <c r="G11" i="5"/>
  <c r="C11" i="5"/>
  <c r="A11" i="5"/>
  <c r="AS10" i="5"/>
  <c r="AR10" i="5"/>
  <c r="AQ10" i="5"/>
  <c r="AC10" i="5"/>
  <c r="K10" i="6" s="1"/>
  <c r="AB10" i="5"/>
  <c r="J10" i="6" s="1"/>
  <c r="X10" i="5"/>
  <c r="O10" i="6" s="1"/>
  <c r="W10" i="5" a="1"/>
  <c r="W10" i="5" s="1"/>
  <c r="V10" i="6" s="1"/>
  <c r="N10" i="5"/>
  <c r="M10" i="5"/>
  <c r="G10" i="5"/>
  <c r="C10" i="5"/>
  <c r="A10" i="5"/>
  <c r="AS9" i="5"/>
  <c r="AR9" i="5"/>
  <c r="AQ9" i="5"/>
  <c r="AC9" i="5"/>
  <c r="K9" i="6" s="1"/>
  <c r="AB9" i="5"/>
  <c r="J9" i="6" s="1"/>
  <c r="X9" i="5"/>
  <c r="O9" i="6" s="1"/>
  <c r="W9" i="5" a="1"/>
  <c r="W9" i="5" s="1"/>
  <c r="V9" i="6" s="1"/>
  <c r="N9" i="5"/>
  <c r="M9" i="5"/>
  <c r="G9" i="5"/>
  <c r="C9" i="5"/>
  <c r="A9" i="5"/>
  <c r="AS8" i="5"/>
  <c r="AR8" i="5"/>
  <c r="AQ8" i="5"/>
  <c r="AC8" i="5"/>
  <c r="K8" i="6" s="1"/>
  <c r="AB8" i="5"/>
  <c r="J8" i="6" s="1"/>
  <c r="X8" i="5"/>
  <c r="O8" i="6" s="1"/>
  <c r="W8" i="5" a="1"/>
  <c r="W8" i="5" s="1"/>
  <c r="V8" i="6" s="1"/>
  <c r="N8" i="5"/>
  <c r="M8" i="5"/>
  <c r="G8" i="5"/>
  <c r="C8" i="5"/>
  <c r="A8" i="5"/>
  <c r="AS7" i="5"/>
  <c r="AR7" i="5"/>
  <c r="AQ7" i="5"/>
  <c r="AC7" i="5"/>
  <c r="K7" i="6" s="1"/>
  <c r="AB7" i="5"/>
  <c r="J7" i="6" s="1"/>
  <c r="X7" i="5"/>
  <c r="O7" i="6" s="1"/>
  <c r="W7" i="5" a="1"/>
  <c r="W7" i="5" s="1"/>
  <c r="V7" i="6" s="1"/>
  <c r="N7" i="5"/>
  <c r="M7" i="5"/>
  <c r="G7" i="5"/>
  <c r="C7" i="5"/>
  <c r="A7" i="5"/>
  <c r="AS6" i="5"/>
  <c r="AR6" i="5"/>
  <c r="AQ6" i="5"/>
  <c r="AC6" i="5"/>
  <c r="K6" i="6" s="1"/>
  <c r="AB6" i="5"/>
  <c r="J6" i="6" s="1"/>
  <c r="X6" i="5"/>
  <c r="O6" i="6" s="1"/>
  <c r="W6" i="5" a="1"/>
  <c r="W6" i="5" s="1"/>
  <c r="V6" i="6" s="1"/>
  <c r="N6" i="5"/>
  <c r="M6" i="5"/>
  <c r="G6" i="5"/>
  <c r="C6" i="5"/>
  <c r="A6" i="5"/>
  <c r="AS5" i="5"/>
  <c r="AR5" i="5"/>
  <c r="AQ5" i="5"/>
  <c r="AC5" i="5"/>
  <c r="K5" i="6" s="1"/>
  <c r="AB5" i="5"/>
  <c r="J5" i="6" s="1"/>
  <c r="X5" i="5"/>
  <c r="O5" i="6" s="1"/>
  <c r="W5" i="5" a="1"/>
  <c r="W5" i="5" s="1"/>
  <c r="V5" i="6" s="1"/>
  <c r="N5" i="5"/>
  <c r="M5" i="5"/>
  <c r="G5" i="5"/>
  <c r="C5" i="5"/>
  <c r="A5" i="5"/>
  <c r="AS4" i="5"/>
  <c r="AR4" i="5"/>
  <c r="AQ4" i="5"/>
  <c r="AC4" i="5"/>
  <c r="K4" i="6" s="1"/>
  <c r="AB4" i="5"/>
  <c r="J4" i="6" s="1"/>
  <c r="X4" i="5"/>
  <c r="O4" i="6" s="1"/>
  <c r="W4" i="5" a="1"/>
  <c r="W4" i="5" s="1"/>
  <c r="V4" i="6" s="1"/>
  <c r="N4" i="5"/>
  <c r="M4" i="5"/>
  <c r="G4" i="5"/>
  <c r="C4" i="5"/>
  <c r="A4" i="5"/>
  <c r="AS3" i="5"/>
  <c r="AR3" i="5"/>
  <c r="AQ3" i="5"/>
  <c r="AC3" i="5"/>
  <c r="K3" i="6" s="1"/>
  <c r="AB3" i="5"/>
  <c r="J3" i="6" s="1"/>
  <c r="X3" i="5"/>
  <c r="O3" i="6" s="1"/>
  <c r="W3" i="5" a="1"/>
  <c r="W3" i="5" s="1"/>
  <c r="V3" i="6" s="1"/>
  <c r="N3" i="5"/>
  <c r="M3" i="5"/>
  <c r="G3" i="5"/>
  <c r="C3" i="5"/>
  <c r="A3" i="5"/>
  <c r="AM2" i="5"/>
  <c r="AN2" i="5" s="1"/>
  <c r="AI65" i="5" s="1" a="1"/>
  <c r="AI65" i="5" s="1"/>
  <c r="AC206" i="4"/>
  <c r="K86" i="3" s="1"/>
  <c r="AB206" i="4"/>
  <c r="J86" i="3" s="1"/>
  <c r="X206" i="4"/>
  <c r="O86" i="3" s="1"/>
  <c r="W206" i="4" a="1"/>
  <c r="W206" i="4" s="1"/>
  <c r="V86" i="3" s="1"/>
  <c r="N206" i="4"/>
  <c r="M206" i="4"/>
  <c r="G206" i="4"/>
  <c r="C206" i="4"/>
  <c r="A206" i="4"/>
  <c r="AC205" i="4"/>
  <c r="AB205" i="4"/>
  <c r="J164" i="3" s="1"/>
  <c r="X205" i="4"/>
  <c r="O164" i="3" s="1"/>
  <c r="W205" i="4" a="1"/>
  <c r="W205" i="4" s="1"/>
  <c r="V164" i="3" s="1"/>
  <c r="N205" i="4"/>
  <c r="M205" i="4"/>
  <c r="G205" i="4"/>
  <c r="C205" i="4"/>
  <c r="A205" i="4"/>
  <c r="AC204" i="4"/>
  <c r="K150" i="3" s="1"/>
  <c r="AB204" i="4"/>
  <c r="J150" i="3" s="1"/>
  <c r="X204" i="4"/>
  <c r="O150" i="3" s="1"/>
  <c r="W204" i="4" a="1"/>
  <c r="W204" i="4" s="1"/>
  <c r="V150" i="3" s="1"/>
  <c r="N204" i="4"/>
  <c r="M204" i="4"/>
  <c r="G204" i="4"/>
  <c r="C204" i="4"/>
  <c r="A204" i="4"/>
  <c r="AC203" i="4"/>
  <c r="K117" i="3" s="1"/>
  <c r="AB203" i="4"/>
  <c r="J117" i="3" s="1"/>
  <c r="X203" i="4"/>
  <c r="O117" i="3" s="1"/>
  <c r="W203" i="4" a="1"/>
  <c r="W203" i="4" s="1"/>
  <c r="V117" i="3" s="1"/>
  <c r="N203" i="4"/>
  <c r="M203" i="4"/>
  <c r="G203" i="4"/>
  <c r="C203" i="4"/>
  <c r="A203" i="4"/>
  <c r="AC202" i="4"/>
  <c r="K186" i="3" s="1"/>
  <c r="AB202" i="4"/>
  <c r="J186" i="3" s="1"/>
  <c r="X202" i="4"/>
  <c r="O186" i="3" s="1"/>
  <c r="W202" i="4" a="1"/>
  <c r="W202" i="4" s="1"/>
  <c r="V186" i="3" s="1"/>
  <c r="N202" i="4"/>
  <c r="M202" i="4"/>
  <c r="G202" i="4"/>
  <c r="C202" i="4"/>
  <c r="A202" i="4"/>
  <c r="AC201" i="4"/>
  <c r="K147" i="3" s="1"/>
  <c r="AB201" i="4"/>
  <c r="J147" i="3" s="1"/>
  <c r="X201" i="4"/>
  <c r="O147" i="3" s="1"/>
  <c r="W201" i="4" a="1"/>
  <c r="W201" i="4" s="1"/>
  <c r="V147" i="3" s="1"/>
  <c r="N201" i="4"/>
  <c r="M201" i="4"/>
  <c r="G201" i="4"/>
  <c r="C201" i="4"/>
  <c r="A201" i="4"/>
  <c r="AC200" i="4"/>
  <c r="K199" i="3" s="1"/>
  <c r="AB200" i="4"/>
  <c r="J199" i="3" s="1"/>
  <c r="X200" i="4"/>
  <c r="O199" i="3" s="1"/>
  <c r="W200" i="4" a="1"/>
  <c r="W200" i="4" s="1"/>
  <c r="V199" i="3" s="1"/>
  <c r="N200" i="4"/>
  <c r="M200" i="4"/>
  <c r="G200" i="4"/>
  <c r="C200" i="4"/>
  <c r="A200" i="4"/>
  <c r="AC199" i="4"/>
  <c r="K196" i="3" s="1"/>
  <c r="AB199" i="4"/>
  <c r="J196" i="3" s="1"/>
  <c r="X199" i="4"/>
  <c r="O196" i="3" s="1"/>
  <c r="W199" i="4" a="1"/>
  <c r="W199" i="4" s="1"/>
  <c r="V196" i="3" s="1"/>
  <c r="N199" i="4"/>
  <c r="M199" i="4"/>
  <c r="G199" i="4"/>
  <c r="C199" i="4"/>
  <c r="A199" i="4"/>
  <c r="AC198" i="4"/>
  <c r="K195" i="3" s="1"/>
  <c r="AB198" i="4"/>
  <c r="J195" i="3" s="1"/>
  <c r="X198" i="4"/>
  <c r="O195" i="3" s="1"/>
  <c r="W198" i="4" a="1"/>
  <c r="W198" i="4" s="1"/>
  <c r="V195" i="3" s="1"/>
  <c r="N198" i="4"/>
  <c r="M198" i="4"/>
  <c r="G198" i="4"/>
  <c r="C198" i="4"/>
  <c r="A198" i="4"/>
  <c r="AC197" i="4"/>
  <c r="AB197" i="4"/>
  <c r="J61" i="3" s="1"/>
  <c r="X197" i="4"/>
  <c r="O61" i="3" s="1"/>
  <c r="W197" i="4" a="1"/>
  <c r="W197" i="4" s="1"/>
  <c r="V61" i="3" s="1"/>
  <c r="N197" i="4"/>
  <c r="M197" i="4"/>
  <c r="G197" i="4"/>
  <c r="C197" i="4"/>
  <c r="A197" i="4"/>
  <c r="AC196" i="4"/>
  <c r="K156" i="3" s="1"/>
  <c r="AB196" i="4"/>
  <c r="J156" i="3" s="1"/>
  <c r="X196" i="4"/>
  <c r="O156" i="3" s="1"/>
  <c r="W196" i="4" a="1"/>
  <c r="W196" i="4" s="1"/>
  <c r="V156" i="3" s="1"/>
  <c r="N196" i="4"/>
  <c r="M196" i="4"/>
  <c r="G196" i="4"/>
  <c r="C196" i="4"/>
  <c r="A196" i="4"/>
  <c r="AC195" i="4"/>
  <c r="K26" i="3" s="1"/>
  <c r="AB195" i="4"/>
  <c r="J26" i="3" s="1"/>
  <c r="X195" i="4"/>
  <c r="O26" i="3" s="1"/>
  <c r="W195" i="4" a="1"/>
  <c r="W195" i="4" s="1"/>
  <c r="V26" i="3" s="1"/>
  <c r="N195" i="4"/>
  <c r="M195" i="4"/>
  <c r="G195" i="4"/>
  <c r="C195" i="4"/>
  <c r="A195" i="4"/>
  <c r="AC194" i="4"/>
  <c r="K121" i="3" s="1"/>
  <c r="AB194" i="4"/>
  <c r="X194" i="4"/>
  <c r="O121" i="3" s="1"/>
  <c r="W194" i="4" a="1"/>
  <c r="W194" i="4" s="1"/>
  <c r="V121" i="3" s="1"/>
  <c r="N194" i="4"/>
  <c r="M194" i="4"/>
  <c r="G194" i="4"/>
  <c r="C194" i="4"/>
  <c r="A194" i="4"/>
  <c r="AC193" i="4"/>
  <c r="K77" i="3" s="1"/>
  <c r="AB193" i="4"/>
  <c r="J77" i="3" s="1"/>
  <c r="X193" i="4"/>
  <c r="O77" i="3" s="1"/>
  <c r="W193" i="4" a="1"/>
  <c r="W193" i="4" s="1"/>
  <c r="V77" i="3" s="1"/>
  <c r="N193" i="4"/>
  <c r="M193" i="4"/>
  <c r="G193" i="4"/>
  <c r="C193" i="4"/>
  <c r="A193" i="4"/>
  <c r="AC192" i="4"/>
  <c r="K20" i="3" s="1"/>
  <c r="AB192" i="4"/>
  <c r="J20" i="3" s="1"/>
  <c r="X192" i="4"/>
  <c r="O20" i="3" s="1"/>
  <c r="W192" i="4" a="1"/>
  <c r="W192" i="4" s="1"/>
  <c r="V20" i="3" s="1"/>
  <c r="N192" i="4"/>
  <c r="M192" i="4"/>
  <c r="G192" i="4"/>
  <c r="C192" i="4"/>
  <c r="A192" i="4"/>
  <c r="AC191" i="4"/>
  <c r="K68" i="3" s="1"/>
  <c r="AB191" i="4"/>
  <c r="J68" i="3" s="1"/>
  <c r="X191" i="4"/>
  <c r="O68" i="3" s="1"/>
  <c r="W191" i="4" a="1"/>
  <c r="W191" i="4" s="1"/>
  <c r="V68" i="3" s="1"/>
  <c r="N191" i="4"/>
  <c r="M191" i="4"/>
  <c r="G191" i="4"/>
  <c r="C191" i="4"/>
  <c r="A191" i="4"/>
  <c r="AC190" i="4"/>
  <c r="K132" i="3" s="1"/>
  <c r="AB190" i="4"/>
  <c r="J132" i="3" s="1"/>
  <c r="X190" i="4"/>
  <c r="O132" i="3" s="1"/>
  <c r="W190" i="4" a="1"/>
  <c r="W190" i="4" s="1"/>
  <c r="V132" i="3" s="1"/>
  <c r="N190" i="4"/>
  <c r="M190" i="4"/>
  <c r="G190" i="4"/>
  <c r="C190" i="4"/>
  <c r="A190" i="4"/>
  <c r="AC189" i="4"/>
  <c r="K52" i="3" s="1"/>
  <c r="AB189" i="4"/>
  <c r="X189" i="4"/>
  <c r="O52" i="3" s="1"/>
  <c r="W189" i="4" a="1"/>
  <c r="W189" i="4" s="1"/>
  <c r="V52" i="3" s="1"/>
  <c r="N189" i="4"/>
  <c r="M189" i="4"/>
  <c r="G189" i="4"/>
  <c r="C189" i="4"/>
  <c r="A189" i="4"/>
  <c r="AC188" i="4"/>
  <c r="K21" i="3" s="1"/>
  <c r="AB188" i="4"/>
  <c r="J21" i="3" s="1"/>
  <c r="X188" i="4"/>
  <c r="O21" i="3" s="1"/>
  <c r="W188" i="4" a="1"/>
  <c r="W188" i="4" s="1"/>
  <c r="V21" i="3" s="1"/>
  <c r="N188" i="4"/>
  <c r="M188" i="4"/>
  <c r="G188" i="4"/>
  <c r="C188" i="4"/>
  <c r="A188" i="4"/>
  <c r="AC187" i="4"/>
  <c r="K8" i="3" s="1"/>
  <c r="AB187" i="4"/>
  <c r="J8" i="3" s="1"/>
  <c r="X187" i="4"/>
  <c r="O8" i="3" s="1"/>
  <c r="W187" i="4" a="1"/>
  <c r="W187" i="4" s="1"/>
  <c r="V8" i="3" s="1"/>
  <c r="N187" i="4"/>
  <c r="M187" i="4"/>
  <c r="G187" i="4"/>
  <c r="C187" i="4"/>
  <c r="A187" i="4"/>
  <c r="AC186" i="4"/>
  <c r="K49" i="3" s="1"/>
  <c r="AB186" i="4"/>
  <c r="J49" i="3" s="1"/>
  <c r="X186" i="4"/>
  <c r="O49" i="3" s="1"/>
  <c r="W186" i="4" a="1"/>
  <c r="W186" i="4" s="1"/>
  <c r="V49" i="3" s="1"/>
  <c r="N186" i="4"/>
  <c r="M186" i="4"/>
  <c r="G186" i="4"/>
  <c r="C186" i="4"/>
  <c r="A186" i="4"/>
  <c r="AC185" i="4"/>
  <c r="K69" i="3" s="1"/>
  <c r="AB185" i="4"/>
  <c r="J69" i="3" s="1"/>
  <c r="X185" i="4"/>
  <c r="O69" i="3" s="1"/>
  <c r="W185" i="4" a="1"/>
  <c r="W185" i="4" s="1"/>
  <c r="V69" i="3" s="1"/>
  <c r="N185" i="4"/>
  <c r="M185" i="4"/>
  <c r="G185" i="4"/>
  <c r="C185" i="4"/>
  <c r="A185" i="4"/>
  <c r="AC184" i="4"/>
  <c r="K22" i="3" s="1"/>
  <c r="AB184" i="4"/>
  <c r="J22" i="3" s="1"/>
  <c r="X184" i="4"/>
  <c r="W184" i="4" a="1"/>
  <c r="W184" i="4" s="1"/>
  <c r="V22" i="3" s="1"/>
  <c r="N184" i="4"/>
  <c r="M184" i="4"/>
  <c r="G184" i="4"/>
  <c r="C184" i="4"/>
  <c r="A184" i="4"/>
  <c r="AC183" i="4"/>
  <c r="K12" i="3" s="1"/>
  <c r="AB183" i="4"/>
  <c r="J12" i="3" s="1"/>
  <c r="X183" i="4"/>
  <c r="O12" i="3" s="1"/>
  <c r="W183" i="4" a="1"/>
  <c r="W183" i="4" s="1"/>
  <c r="V12" i="3" s="1"/>
  <c r="N183" i="4"/>
  <c r="M183" i="4"/>
  <c r="G183" i="4"/>
  <c r="C183" i="4"/>
  <c r="A183" i="4"/>
  <c r="AC182" i="4"/>
  <c r="K134" i="3" s="1"/>
  <c r="AB182" i="4"/>
  <c r="X182" i="4"/>
  <c r="O134" i="3" s="1"/>
  <c r="W182" i="4" a="1"/>
  <c r="W182" i="4" s="1"/>
  <c r="V134" i="3" s="1"/>
  <c r="N182" i="4"/>
  <c r="M182" i="4"/>
  <c r="G182" i="4"/>
  <c r="C182" i="4"/>
  <c r="A182" i="4"/>
  <c r="AC181" i="4"/>
  <c r="K5" i="3" s="1"/>
  <c r="AB181" i="4"/>
  <c r="X181" i="4"/>
  <c r="O5" i="3" s="1"/>
  <c r="W181" i="4" a="1"/>
  <c r="W181" i="4" s="1"/>
  <c r="V5" i="3" s="1"/>
  <c r="N181" i="4"/>
  <c r="M181" i="4"/>
  <c r="G181" i="4"/>
  <c r="C181" i="4"/>
  <c r="A181" i="4"/>
  <c r="AC180" i="4"/>
  <c r="K4" i="3" s="1"/>
  <c r="AB180" i="4"/>
  <c r="J4" i="3" s="1"/>
  <c r="X180" i="4"/>
  <c r="O4" i="3" s="1"/>
  <c r="W180" i="4" a="1"/>
  <c r="W180" i="4" s="1"/>
  <c r="V4" i="3" s="1"/>
  <c r="N180" i="4"/>
  <c r="M180" i="4"/>
  <c r="G180" i="4"/>
  <c r="C180" i="4"/>
  <c r="A180" i="4"/>
  <c r="AC179" i="4"/>
  <c r="K191" i="3" s="1"/>
  <c r="AB179" i="4"/>
  <c r="J191" i="3" s="1"/>
  <c r="X179" i="4"/>
  <c r="W179" i="4" a="1"/>
  <c r="W179" i="4" s="1"/>
  <c r="V191" i="3" s="1"/>
  <c r="N179" i="4"/>
  <c r="M179" i="4"/>
  <c r="G179" i="4"/>
  <c r="C179" i="4"/>
  <c r="A179" i="4"/>
  <c r="AC178" i="4"/>
  <c r="K15" i="3" s="1"/>
  <c r="AB178" i="4"/>
  <c r="J15" i="3" s="1"/>
  <c r="X178" i="4"/>
  <c r="O15" i="3" s="1"/>
  <c r="W178" i="4" a="1"/>
  <c r="W178" i="4" s="1"/>
  <c r="V15" i="3" s="1"/>
  <c r="N178" i="4"/>
  <c r="M178" i="4"/>
  <c r="G178" i="4"/>
  <c r="C178" i="4"/>
  <c r="A178" i="4"/>
  <c r="AC177" i="4"/>
  <c r="K91" i="3" s="1"/>
  <c r="AB177" i="4"/>
  <c r="J91" i="3" s="1"/>
  <c r="X177" i="4"/>
  <c r="O91" i="3" s="1"/>
  <c r="W177" i="4"/>
  <c r="V91" i="3" s="1"/>
  <c r="W177" i="4" a="1"/>
  <c r="N177" i="4"/>
  <c r="M177" i="4"/>
  <c r="G177" i="4"/>
  <c r="C177" i="4"/>
  <c r="A177" i="4"/>
  <c r="AC176" i="4"/>
  <c r="K71" i="3" s="1"/>
  <c r="AB176" i="4"/>
  <c r="J71" i="3" s="1"/>
  <c r="X176" i="4"/>
  <c r="O71" i="3" s="1"/>
  <c r="W176" i="4" a="1"/>
  <c r="W176" i="4" s="1"/>
  <c r="V71" i="3" s="1"/>
  <c r="N176" i="4"/>
  <c r="M176" i="4"/>
  <c r="G176" i="4"/>
  <c r="C176" i="4"/>
  <c r="A176" i="4"/>
  <c r="AC175" i="4"/>
  <c r="K166" i="3" s="1"/>
  <c r="AB175" i="4"/>
  <c r="J166" i="3" s="1"/>
  <c r="X175" i="4"/>
  <c r="O166" i="3" s="1"/>
  <c r="W175" i="4" a="1"/>
  <c r="W175" i="4" s="1"/>
  <c r="V166" i="3" s="1"/>
  <c r="N175" i="4"/>
  <c r="M175" i="4"/>
  <c r="G175" i="4"/>
  <c r="C175" i="4"/>
  <c r="A175" i="4"/>
  <c r="AC174" i="4"/>
  <c r="K110" i="3" s="1"/>
  <c r="AB174" i="4"/>
  <c r="J110" i="3" s="1"/>
  <c r="X174" i="4"/>
  <c r="O110" i="3" s="1"/>
  <c r="W174" i="4" a="1"/>
  <c r="W174" i="4" s="1"/>
  <c r="V110" i="3" s="1"/>
  <c r="N174" i="4"/>
  <c r="M174" i="4"/>
  <c r="G174" i="4"/>
  <c r="C174" i="4"/>
  <c r="A174" i="4"/>
  <c r="AC173" i="4"/>
  <c r="K32" i="3" s="1"/>
  <c r="AB173" i="4"/>
  <c r="J32" i="3" s="1"/>
  <c r="X173" i="4"/>
  <c r="O32" i="3" s="1"/>
  <c r="W173" i="4" a="1"/>
  <c r="W173" i="4" s="1"/>
  <c r="V32" i="3" s="1"/>
  <c r="N173" i="4"/>
  <c r="M173" i="4"/>
  <c r="G173" i="4"/>
  <c r="C173" i="4"/>
  <c r="A173" i="4"/>
  <c r="AC172" i="4"/>
  <c r="K88" i="3" s="1"/>
  <c r="AB172" i="4"/>
  <c r="J88" i="3" s="1"/>
  <c r="X172" i="4"/>
  <c r="O88" i="3" s="1"/>
  <c r="W172" i="4" a="1"/>
  <c r="W172" i="4" s="1"/>
  <c r="V88" i="3" s="1"/>
  <c r="N172" i="4"/>
  <c r="M172" i="4"/>
  <c r="G172" i="4"/>
  <c r="C172" i="4"/>
  <c r="A172" i="4"/>
  <c r="AC171" i="4"/>
  <c r="K70" i="3" s="1"/>
  <c r="AB171" i="4"/>
  <c r="J70" i="3" s="1"/>
  <c r="X171" i="4"/>
  <c r="O70" i="3" s="1"/>
  <c r="W171" i="4" a="1"/>
  <c r="W171" i="4" s="1"/>
  <c r="V70" i="3" s="1"/>
  <c r="N171" i="4"/>
  <c r="M171" i="4"/>
  <c r="G171" i="4"/>
  <c r="C171" i="4"/>
  <c r="A171" i="4"/>
  <c r="AC170" i="4"/>
  <c r="K30" i="3" s="1"/>
  <c r="AB170" i="4"/>
  <c r="X170" i="4"/>
  <c r="W170" i="4" a="1"/>
  <c r="W170" i="4" s="1"/>
  <c r="V30" i="3" s="1"/>
  <c r="N170" i="4"/>
  <c r="M170" i="4"/>
  <c r="G170" i="4"/>
  <c r="C170" i="4"/>
  <c r="A170" i="4"/>
  <c r="AC169" i="4"/>
  <c r="K87" i="3" s="1"/>
  <c r="AB169" i="4"/>
  <c r="J87" i="3" s="1"/>
  <c r="X169" i="4"/>
  <c r="O87" i="3" s="1"/>
  <c r="W169" i="4" a="1"/>
  <c r="W169" i="4" s="1"/>
  <c r="V87" i="3" s="1"/>
  <c r="N169" i="4"/>
  <c r="M169" i="4"/>
  <c r="G169" i="4"/>
  <c r="C169" i="4"/>
  <c r="A169" i="4"/>
  <c r="AC168" i="4"/>
  <c r="K198" i="3" s="1"/>
  <c r="AB168" i="4"/>
  <c r="J198" i="3" s="1"/>
  <c r="X168" i="4"/>
  <c r="O198" i="3" s="1"/>
  <c r="W168" i="4" a="1"/>
  <c r="W168" i="4" s="1"/>
  <c r="V198" i="3" s="1"/>
  <c r="N168" i="4"/>
  <c r="M168" i="4"/>
  <c r="G168" i="4"/>
  <c r="C168" i="4"/>
  <c r="A168" i="4"/>
  <c r="AC167" i="4"/>
  <c r="K106" i="3" s="1"/>
  <c r="AB167" i="4"/>
  <c r="J106" i="3" s="1"/>
  <c r="X167" i="4"/>
  <c r="O106" i="3" s="1"/>
  <c r="W167" i="4" a="1"/>
  <c r="W167" i="4" s="1"/>
  <c r="V106" i="3" s="1"/>
  <c r="N167" i="4"/>
  <c r="M167" i="4"/>
  <c r="G167" i="4"/>
  <c r="C167" i="4"/>
  <c r="A167" i="4"/>
  <c r="AC166" i="4"/>
  <c r="K82" i="3" s="1"/>
  <c r="AB166" i="4"/>
  <c r="J82" i="3" s="1"/>
  <c r="X166" i="4"/>
  <c r="O82" i="3" s="1"/>
  <c r="W166" i="4" a="1"/>
  <c r="W166" i="4" s="1"/>
  <c r="V82" i="3" s="1"/>
  <c r="N166" i="4"/>
  <c r="M166" i="4"/>
  <c r="G166" i="4"/>
  <c r="C166" i="4"/>
  <c r="A166" i="4"/>
  <c r="AC165" i="4"/>
  <c r="K95" i="3" s="1"/>
  <c r="AB165" i="4"/>
  <c r="J95" i="3" s="1"/>
  <c r="X165" i="4"/>
  <c r="O95" i="3" s="1"/>
  <c r="W165" i="4" a="1"/>
  <c r="W165" i="4" s="1"/>
  <c r="V95" i="3" s="1"/>
  <c r="N165" i="4"/>
  <c r="M165" i="4"/>
  <c r="G165" i="4"/>
  <c r="C165" i="4"/>
  <c r="A165" i="4"/>
  <c r="AC164" i="4"/>
  <c r="K113" i="3" s="1"/>
  <c r="AB164" i="4"/>
  <c r="J113" i="3" s="1"/>
  <c r="X164" i="4"/>
  <c r="O113" i="3" s="1"/>
  <c r="W164" i="4" a="1"/>
  <c r="W164" i="4" s="1"/>
  <c r="V113" i="3" s="1"/>
  <c r="N164" i="4"/>
  <c r="M164" i="4"/>
  <c r="G164" i="4"/>
  <c r="C164" i="4"/>
  <c r="A164" i="4"/>
  <c r="AC163" i="4"/>
  <c r="K122" i="3" s="1"/>
  <c r="AB163" i="4"/>
  <c r="J122" i="3" s="1"/>
  <c r="X163" i="4"/>
  <c r="O122" i="3" s="1"/>
  <c r="W163" i="4" a="1"/>
  <c r="W163" i="4" s="1"/>
  <c r="V122" i="3" s="1"/>
  <c r="N163" i="4"/>
  <c r="M163" i="4"/>
  <c r="G163" i="4"/>
  <c r="C163" i="4"/>
  <c r="A163" i="4"/>
  <c r="AC162" i="4"/>
  <c r="K181" i="3" s="1"/>
  <c r="AB162" i="4"/>
  <c r="J181" i="3" s="1"/>
  <c r="X162" i="4"/>
  <c r="O181" i="3" s="1"/>
  <c r="W162" i="4" a="1"/>
  <c r="W162" i="4" s="1"/>
  <c r="V181" i="3" s="1"/>
  <c r="N162" i="4"/>
  <c r="M162" i="4"/>
  <c r="G162" i="4"/>
  <c r="C162" i="4"/>
  <c r="A162" i="4"/>
  <c r="AC161" i="4"/>
  <c r="K154" i="3" s="1"/>
  <c r="AB161" i="4"/>
  <c r="J154" i="3" s="1"/>
  <c r="X161" i="4"/>
  <c r="O154" i="3" s="1"/>
  <c r="W161" i="4" a="1"/>
  <c r="W161" i="4" s="1"/>
  <c r="V154" i="3" s="1"/>
  <c r="N161" i="4"/>
  <c r="M161" i="4"/>
  <c r="G161" i="4"/>
  <c r="C161" i="4"/>
  <c r="A161" i="4"/>
  <c r="AC160" i="4"/>
  <c r="K78" i="3" s="1"/>
  <c r="AB160" i="4"/>
  <c r="J78" i="3" s="1"/>
  <c r="X160" i="4"/>
  <c r="O78" i="3" s="1"/>
  <c r="W160" i="4" a="1"/>
  <c r="W160" i="4" s="1"/>
  <c r="V78" i="3" s="1"/>
  <c r="N160" i="4"/>
  <c r="M160" i="4"/>
  <c r="G160" i="4"/>
  <c r="C160" i="4"/>
  <c r="A160" i="4"/>
  <c r="AC159" i="4"/>
  <c r="K74" i="3" s="1"/>
  <c r="AB159" i="4"/>
  <c r="J74" i="3" s="1"/>
  <c r="X159" i="4"/>
  <c r="O74" i="3" s="1"/>
  <c r="W159" i="4" a="1"/>
  <c r="W159" i="4" s="1"/>
  <c r="V74" i="3" s="1"/>
  <c r="N159" i="4"/>
  <c r="M159" i="4"/>
  <c r="G159" i="4"/>
  <c r="C159" i="4"/>
  <c r="A159" i="4"/>
  <c r="AC158" i="4"/>
  <c r="AB158" i="4"/>
  <c r="J107" i="3" s="1"/>
  <c r="X158" i="4"/>
  <c r="O107" i="3" s="1"/>
  <c r="W158" i="4" a="1"/>
  <c r="W158" i="4" s="1"/>
  <c r="V107" i="3" s="1"/>
  <c r="N158" i="4"/>
  <c r="M158" i="4"/>
  <c r="G158" i="4"/>
  <c r="C158" i="4"/>
  <c r="A158" i="4"/>
  <c r="AC157" i="4"/>
  <c r="K76" i="3" s="1"/>
  <c r="AB157" i="4"/>
  <c r="J76" i="3" s="1"/>
  <c r="X157" i="4"/>
  <c r="O76" i="3" s="1"/>
  <c r="W157" i="4" a="1"/>
  <c r="W157" i="4" s="1"/>
  <c r="V76" i="3" s="1"/>
  <c r="N157" i="4"/>
  <c r="M157" i="4"/>
  <c r="G157" i="4"/>
  <c r="C157" i="4"/>
  <c r="A157" i="4"/>
  <c r="AC156" i="4"/>
  <c r="K34" i="3" s="1"/>
  <c r="AB156" i="4"/>
  <c r="J34" i="3" s="1"/>
  <c r="X156" i="4"/>
  <c r="O34" i="3" s="1"/>
  <c r="W156" i="4" a="1"/>
  <c r="W156" i="4" s="1"/>
  <c r="V34" i="3" s="1"/>
  <c r="N156" i="4"/>
  <c r="M156" i="4"/>
  <c r="G156" i="4"/>
  <c r="C156" i="4"/>
  <c r="A156" i="4"/>
  <c r="AC155" i="4"/>
  <c r="K102" i="3" s="1"/>
  <c r="AB155" i="4"/>
  <c r="J102" i="3" s="1"/>
  <c r="X155" i="4"/>
  <c r="O102" i="3" s="1"/>
  <c r="W155" i="4" a="1"/>
  <c r="W155" i="4" s="1"/>
  <c r="V102" i="3" s="1"/>
  <c r="N155" i="4"/>
  <c r="M155" i="4"/>
  <c r="G155" i="4"/>
  <c r="C155" i="4"/>
  <c r="A155" i="4"/>
  <c r="AC154" i="4"/>
  <c r="K9" i="3" s="1"/>
  <c r="AB154" i="4"/>
  <c r="J9" i="3" s="1"/>
  <c r="X154" i="4"/>
  <c r="W154" i="4" a="1"/>
  <c r="W154" i="4" s="1"/>
  <c r="V9" i="3" s="1"/>
  <c r="N154" i="4"/>
  <c r="M154" i="4"/>
  <c r="G154" i="4"/>
  <c r="C154" i="4"/>
  <c r="A154" i="4"/>
  <c r="AC153" i="4"/>
  <c r="AB153" i="4"/>
  <c r="J79" i="3" s="1"/>
  <c r="X153" i="4"/>
  <c r="O79" i="3" s="1"/>
  <c r="W153" i="4" a="1"/>
  <c r="W153" i="4" s="1"/>
  <c r="V79" i="3" s="1"/>
  <c r="N153" i="4"/>
  <c r="M153" i="4"/>
  <c r="G153" i="4"/>
  <c r="C153" i="4"/>
  <c r="A153" i="4"/>
  <c r="AC152" i="4"/>
  <c r="AB152" i="4"/>
  <c r="J129" i="3" s="1"/>
  <c r="X152" i="4"/>
  <c r="O129" i="3" s="1"/>
  <c r="W152" i="4" a="1"/>
  <c r="W152" i="4" s="1"/>
  <c r="V129" i="3" s="1"/>
  <c r="N152" i="4"/>
  <c r="M152" i="4"/>
  <c r="G152" i="4"/>
  <c r="C152" i="4"/>
  <c r="A152" i="4"/>
  <c r="AC151" i="4"/>
  <c r="K19" i="3" s="1"/>
  <c r="AB151" i="4"/>
  <c r="J19" i="3" s="1"/>
  <c r="X151" i="4"/>
  <c r="O19" i="3" s="1"/>
  <c r="W151" i="4" a="1"/>
  <c r="W151" i="4" s="1"/>
  <c r="V19" i="3" s="1"/>
  <c r="N151" i="4"/>
  <c r="M151" i="4"/>
  <c r="G151" i="4"/>
  <c r="C151" i="4"/>
  <c r="A151" i="4"/>
  <c r="AC150" i="4"/>
  <c r="K42" i="3" s="1"/>
  <c r="AB150" i="4"/>
  <c r="J42" i="3" s="1"/>
  <c r="X150" i="4"/>
  <c r="O42" i="3" s="1"/>
  <c r="W150" i="4" a="1"/>
  <c r="W150" i="4" s="1"/>
  <c r="V42" i="3" s="1"/>
  <c r="N150" i="4"/>
  <c r="M150" i="4"/>
  <c r="G150" i="4"/>
  <c r="C150" i="4"/>
  <c r="A150" i="4"/>
  <c r="AC149" i="4"/>
  <c r="K73" i="3" s="1"/>
  <c r="AB149" i="4"/>
  <c r="J73" i="3" s="1"/>
  <c r="X149" i="4"/>
  <c r="O73" i="3" s="1"/>
  <c r="W149" i="4" a="1"/>
  <c r="W149" i="4" s="1"/>
  <c r="V73" i="3" s="1"/>
  <c r="N149" i="4"/>
  <c r="M149" i="4"/>
  <c r="G149" i="4"/>
  <c r="C149" i="4"/>
  <c r="A149" i="4"/>
  <c r="AC148" i="4"/>
  <c r="K185" i="3" s="1"/>
  <c r="AB148" i="4"/>
  <c r="J185" i="3" s="1"/>
  <c r="X148" i="4"/>
  <c r="W148" i="4" a="1"/>
  <c r="W148" i="4" s="1"/>
  <c r="V185" i="3" s="1"/>
  <c r="N148" i="4"/>
  <c r="M148" i="4"/>
  <c r="G148" i="4"/>
  <c r="C148" i="4"/>
  <c r="A148" i="4"/>
  <c r="AC147" i="4"/>
  <c r="AB147" i="4"/>
  <c r="X147" i="4"/>
  <c r="O174" i="3" s="1"/>
  <c r="W147" i="4" a="1"/>
  <c r="W147" i="4" s="1"/>
  <c r="V174" i="3" s="1"/>
  <c r="N147" i="4"/>
  <c r="M147" i="4"/>
  <c r="G147" i="4"/>
  <c r="C147" i="4"/>
  <c r="A147" i="4"/>
  <c r="AC146" i="4"/>
  <c r="K202" i="3" s="1"/>
  <c r="AB146" i="4"/>
  <c r="J202" i="3" s="1"/>
  <c r="X146" i="4"/>
  <c r="O202" i="3" s="1"/>
  <c r="W146" i="4" a="1"/>
  <c r="W146" i="4" s="1"/>
  <c r="V202" i="3" s="1"/>
  <c r="N146" i="4"/>
  <c r="M146" i="4"/>
  <c r="G146" i="4"/>
  <c r="C146" i="4"/>
  <c r="A146" i="4"/>
  <c r="AC145" i="4"/>
  <c r="K18" i="3" s="1"/>
  <c r="AB145" i="4"/>
  <c r="X145" i="4"/>
  <c r="O18" i="3" s="1"/>
  <c r="W145" i="4" a="1"/>
  <c r="W145" i="4" s="1"/>
  <c r="V18" i="3" s="1"/>
  <c r="N145" i="4"/>
  <c r="M145" i="4"/>
  <c r="G145" i="4"/>
  <c r="C145" i="4"/>
  <c r="A145" i="4"/>
  <c r="AC144" i="4"/>
  <c r="K65" i="3" s="1"/>
  <c r="AB144" i="4"/>
  <c r="J65" i="3" s="1"/>
  <c r="X144" i="4"/>
  <c r="W144" i="4" a="1"/>
  <c r="W144" i="4" s="1"/>
  <c r="V65" i="3" s="1"/>
  <c r="N144" i="4"/>
  <c r="M144" i="4"/>
  <c r="G144" i="4"/>
  <c r="C144" i="4"/>
  <c r="A144" i="4"/>
  <c r="AC143" i="4"/>
  <c r="K157" i="3" s="1"/>
  <c r="AB143" i="4"/>
  <c r="J157" i="3" s="1"/>
  <c r="X143" i="4"/>
  <c r="O157" i="3" s="1"/>
  <c r="W143" i="4" a="1"/>
  <c r="W143" i="4" s="1"/>
  <c r="V157" i="3" s="1"/>
  <c r="N143" i="4"/>
  <c r="M143" i="4"/>
  <c r="G143" i="4"/>
  <c r="C143" i="4"/>
  <c r="A143" i="4"/>
  <c r="AC142" i="4"/>
  <c r="AB142" i="4"/>
  <c r="J14" i="3" s="1"/>
  <c r="X142" i="4"/>
  <c r="O14" i="3" s="1"/>
  <c r="W142" i="4" a="1"/>
  <c r="W142" i="4" s="1"/>
  <c r="N142" i="4"/>
  <c r="M142" i="4"/>
  <c r="G142" i="4"/>
  <c r="C142" i="4"/>
  <c r="A142" i="4"/>
  <c r="AC141" i="4"/>
  <c r="K93" i="3" s="1"/>
  <c r="AB141" i="4"/>
  <c r="J93" i="3" s="1"/>
  <c r="X141" i="4"/>
  <c r="O93" i="3" s="1"/>
  <c r="W141" i="4" a="1"/>
  <c r="W141" i="4" s="1"/>
  <c r="V93" i="3" s="1"/>
  <c r="N141" i="4"/>
  <c r="M141" i="4"/>
  <c r="G141" i="4"/>
  <c r="C141" i="4"/>
  <c r="A141" i="4"/>
  <c r="AC140" i="4"/>
  <c r="K92" i="3" s="1"/>
  <c r="AB140" i="4"/>
  <c r="J92" i="3" s="1"/>
  <c r="X140" i="4"/>
  <c r="O92" i="3" s="1"/>
  <c r="W140" i="4" a="1"/>
  <c r="W140" i="4" s="1"/>
  <c r="V92" i="3" s="1"/>
  <c r="N140" i="4"/>
  <c r="M140" i="4"/>
  <c r="G140" i="4"/>
  <c r="C140" i="4"/>
  <c r="A140" i="4"/>
  <c r="AC139" i="4"/>
  <c r="K103" i="3" s="1"/>
  <c r="AB139" i="4"/>
  <c r="X139" i="4"/>
  <c r="O103" i="3" s="1"/>
  <c r="W139" i="4" a="1"/>
  <c r="W139" i="4" s="1"/>
  <c r="V103" i="3" s="1"/>
  <c r="N139" i="4"/>
  <c r="M139" i="4"/>
  <c r="G139" i="4"/>
  <c r="C139" i="4"/>
  <c r="A139" i="4"/>
  <c r="AC138" i="4"/>
  <c r="K31" i="3" s="1"/>
  <c r="AB138" i="4"/>
  <c r="J31" i="3" s="1"/>
  <c r="X138" i="4"/>
  <c r="O31" i="3" s="1"/>
  <c r="W138" i="4" a="1"/>
  <c r="W138" i="4" s="1"/>
  <c r="V31" i="3" s="1"/>
  <c r="N138" i="4"/>
  <c r="M138" i="4"/>
  <c r="G138" i="4"/>
  <c r="C138" i="4"/>
  <c r="A138" i="4"/>
  <c r="AC137" i="4"/>
  <c r="K64" i="3" s="1"/>
  <c r="AB137" i="4"/>
  <c r="J64" i="3" s="1"/>
  <c r="X137" i="4"/>
  <c r="O64" i="3" s="1"/>
  <c r="W137" i="4" a="1"/>
  <c r="W137" i="4" s="1"/>
  <c r="V64" i="3" s="1"/>
  <c r="N137" i="4"/>
  <c r="M137" i="4"/>
  <c r="G137" i="4"/>
  <c r="C137" i="4"/>
  <c r="A137" i="4"/>
  <c r="AC136" i="4"/>
  <c r="K190" i="3" s="1"/>
  <c r="AB136" i="4"/>
  <c r="J190" i="3" s="1"/>
  <c r="X136" i="4"/>
  <c r="O190" i="3" s="1"/>
  <c r="W136" i="4" a="1"/>
  <c r="W136" i="4" s="1"/>
  <c r="V190" i="3" s="1"/>
  <c r="N136" i="4"/>
  <c r="M136" i="4"/>
  <c r="G136" i="4"/>
  <c r="C136" i="4"/>
  <c r="A136" i="4"/>
  <c r="AC135" i="4"/>
  <c r="K155" i="3" s="1"/>
  <c r="AB135" i="4"/>
  <c r="J155" i="3" s="1"/>
  <c r="X135" i="4"/>
  <c r="O155" i="3" s="1"/>
  <c r="W135" i="4" a="1"/>
  <c r="W135" i="4" s="1"/>
  <c r="V155" i="3" s="1"/>
  <c r="N135" i="4"/>
  <c r="M135" i="4"/>
  <c r="G135" i="4"/>
  <c r="C135" i="4"/>
  <c r="A135" i="4"/>
  <c r="AC134" i="4"/>
  <c r="K119" i="3" s="1"/>
  <c r="AB134" i="4"/>
  <c r="J119" i="3" s="1"/>
  <c r="X134" i="4"/>
  <c r="O119" i="3" s="1"/>
  <c r="W134" i="4" a="1"/>
  <c r="W134" i="4" s="1"/>
  <c r="V119" i="3" s="1"/>
  <c r="N134" i="4"/>
  <c r="M134" i="4"/>
  <c r="G134" i="4"/>
  <c r="C134" i="4"/>
  <c r="A134" i="4"/>
  <c r="AC133" i="4"/>
  <c r="K25" i="3" s="1"/>
  <c r="AB133" i="4"/>
  <c r="J25" i="3" s="1"/>
  <c r="X133" i="4"/>
  <c r="O25" i="3" s="1"/>
  <c r="W133" i="4" a="1"/>
  <c r="W133" i="4" s="1"/>
  <c r="V25" i="3" s="1"/>
  <c r="N133" i="4"/>
  <c r="M133" i="4"/>
  <c r="G133" i="4"/>
  <c r="C133" i="4"/>
  <c r="A133" i="4"/>
  <c r="AC132" i="4"/>
  <c r="K161" i="3" s="1"/>
  <c r="AB132" i="4"/>
  <c r="J161" i="3" s="1"/>
  <c r="X132" i="4"/>
  <c r="O161" i="3" s="1"/>
  <c r="W132" i="4" a="1"/>
  <c r="W132" i="4" s="1"/>
  <c r="V161" i="3" s="1"/>
  <c r="N132" i="4"/>
  <c r="M132" i="4"/>
  <c r="G132" i="4"/>
  <c r="C132" i="4"/>
  <c r="A132" i="4"/>
  <c r="AC131" i="4"/>
  <c r="K27" i="3" s="1"/>
  <c r="AB131" i="4"/>
  <c r="J27" i="3" s="1"/>
  <c r="X131" i="4"/>
  <c r="O27" i="3" s="1"/>
  <c r="W131" i="4" a="1"/>
  <c r="W131" i="4" s="1"/>
  <c r="V27" i="3" s="1"/>
  <c r="N131" i="4"/>
  <c r="M131" i="4"/>
  <c r="G131" i="4"/>
  <c r="C131" i="4"/>
  <c r="A131" i="4"/>
  <c r="AC130" i="4"/>
  <c r="K54" i="3" s="1"/>
  <c r="AB130" i="4"/>
  <c r="J54" i="3" s="1"/>
  <c r="X130" i="4"/>
  <c r="O54" i="3" s="1"/>
  <c r="W130" i="4" a="1"/>
  <c r="W130" i="4" s="1"/>
  <c r="V54" i="3" s="1"/>
  <c r="N130" i="4"/>
  <c r="M130" i="4"/>
  <c r="G130" i="4"/>
  <c r="C130" i="4"/>
  <c r="A130" i="4"/>
  <c r="AC129" i="4"/>
  <c r="K72" i="3" s="1"/>
  <c r="AB129" i="4"/>
  <c r="J72" i="3" s="1"/>
  <c r="X129" i="4"/>
  <c r="O72" i="3" s="1"/>
  <c r="W129" i="4" a="1"/>
  <c r="W129" i="4" s="1"/>
  <c r="V72" i="3" s="1"/>
  <c r="N129" i="4"/>
  <c r="M129" i="4"/>
  <c r="G129" i="4"/>
  <c r="C129" i="4"/>
  <c r="A129" i="4"/>
  <c r="AC128" i="4"/>
  <c r="K80" i="3" s="1"/>
  <c r="AB128" i="4"/>
  <c r="X128" i="4"/>
  <c r="O80" i="3" s="1"/>
  <c r="W128" i="4" a="1"/>
  <c r="W128" i="4" s="1"/>
  <c r="V80" i="3" s="1"/>
  <c r="N128" i="4"/>
  <c r="M128" i="4"/>
  <c r="G128" i="4"/>
  <c r="C128" i="4"/>
  <c r="A128" i="4"/>
  <c r="AC127" i="4"/>
  <c r="K127" i="3" s="1"/>
  <c r="AB127" i="4"/>
  <c r="J127" i="3" s="1"/>
  <c r="X127" i="4"/>
  <c r="O127" i="3" s="1"/>
  <c r="W127" i="4" a="1"/>
  <c r="W127" i="4" s="1"/>
  <c r="V127" i="3" s="1"/>
  <c r="N127" i="4"/>
  <c r="M127" i="4"/>
  <c r="G127" i="4"/>
  <c r="C127" i="4"/>
  <c r="A127" i="4"/>
  <c r="AC126" i="4"/>
  <c r="K176" i="3" s="1"/>
  <c r="AB126" i="4"/>
  <c r="J176" i="3" s="1"/>
  <c r="X126" i="4"/>
  <c r="O176" i="3" s="1"/>
  <c r="W126" i="4" a="1"/>
  <c r="W126" i="4" s="1"/>
  <c r="V176" i="3" s="1"/>
  <c r="N126" i="4"/>
  <c r="M126" i="4"/>
  <c r="G126" i="4"/>
  <c r="C126" i="4"/>
  <c r="A126" i="4"/>
  <c r="AC125" i="4"/>
  <c r="K136" i="3" s="1"/>
  <c r="AB125" i="4"/>
  <c r="J136" i="3" s="1"/>
  <c r="X125" i="4"/>
  <c r="O136" i="3" s="1"/>
  <c r="W125" i="4" a="1"/>
  <c r="W125" i="4" s="1"/>
  <c r="V136" i="3" s="1"/>
  <c r="N125" i="4"/>
  <c r="M125" i="4"/>
  <c r="G125" i="4"/>
  <c r="C125" i="4"/>
  <c r="A125" i="4"/>
  <c r="AC124" i="4"/>
  <c r="K23" i="3" s="1"/>
  <c r="AB124" i="4"/>
  <c r="J23" i="3" s="1"/>
  <c r="X124" i="4"/>
  <c r="O23" i="3" s="1"/>
  <c r="W124" i="4" a="1"/>
  <c r="W124" i="4" s="1"/>
  <c r="V23" i="3" s="1"/>
  <c r="N124" i="4"/>
  <c r="M124" i="4"/>
  <c r="G124" i="4"/>
  <c r="C124" i="4"/>
  <c r="A124" i="4"/>
  <c r="AC123" i="4"/>
  <c r="K89" i="3" s="1"/>
  <c r="AB123" i="4"/>
  <c r="J89" i="3" s="1"/>
  <c r="X123" i="4"/>
  <c r="O89" i="3" s="1"/>
  <c r="W123" i="4" a="1"/>
  <c r="W123" i="4" s="1"/>
  <c r="V89" i="3" s="1"/>
  <c r="N123" i="4"/>
  <c r="M123" i="4"/>
  <c r="G123" i="4"/>
  <c r="C123" i="4"/>
  <c r="A123" i="4"/>
  <c r="AC122" i="4"/>
  <c r="K3" i="3" s="1"/>
  <c r="AB122" i="4"/>
  <c r="J3" i="3" s="1"/>
  <c r="X122" i="4"/>
  <c r="O3" i="3" s="1"/>
  <c r="W122" i="4" a="1"/>
  <c r="W122" i="4" s="1"/>
  <c r="V3" i="3" s="1"/>
  <c r="N122" i="4"/>
  <c r="M122" i="4"/>
  <c r="G122" i="4"/>
  <c r="C122" i="4"/>
  <c r="A122" i="4"/>
  <c r="AC121" i="4"/>
  <c r="K83" i="3" s="1"/>
  <c r="AB121" i="4"/>
  <c r="J83" i="3" s="1"/>
  <c r="X121" i="4"/>
  <c r="O83" i="3" s="1"/>
  <c r="W121" i="4" a="1"/>
  <c r="W121" i="4" s="1"/>
  <c r="V83" i="3" s="1"/>
  <c r="N121" i="4"/>
  <c r="M121" i="4"/>
  <c r="G121" i="4"/>
  <c r="C121" i="4"/>
  <c r="A121" i="4"/>
  <c r="AC120" i="4"/>
  <c r="K44" i="3" s="1"/>
  <c r="AB120" i="4"/>
  <c r="J44" i="3" s="1"/>
  <c r="X120" i="4"/>
  <c r="O44" i="3" s="1"/>
  <c r="W120" i="4" a="1"/>
  <c r="W120" i="4" s="1"/>
  <c r="V44" i="3" s="1"/>
  <c r="N120" i="4"/>
  <c r="M120" i="4"/>
  <c r="G120" i="4"/>
  <c r="C120" i="4"/>
  <c r="A120" i="4"/>
  <c r="AC119" i="4"/>
  <c r="AB119" i="4"/>
  <c r="J81" i="3" s="1"/>
  <c r="X119" i="4"/>
  <c r="O81" i="3" s="1"/>
  <c r="W119" i="4" a="1"/>
  <c r="W119" i="4" s="1"/>
  <c r="V81" i="3" s="1"/>
  <c r="N119" i="4"/>
  <c r="M119" i="4"/>
  <c r="G119" i="4"/>
  <c r="C119" i="4"/>
  <c r="A119" i="4"/>
  <c r="AC118" i="4"/>
  <c r="K33" i="3" s="1"/>
  <c r="AB118" i="4"/>
  <c r="J33" i="3" s="1"/>
  <c r="X118" i="4"/>
  <c r="O33" i="3" s="1"/>
  <c r="W118" i="4" a="1"/>
  <c r="W118" i="4" s="1"/>
  <c r="V33" i="3" s="1"/>
  <c r="N118" i="4"/>
  <c r="M118" i="4"/>
  <c r="G118" i="4"/>
  <c r="C118" i="4"/>
  <c r="A118" i="4"/>
  <c r="AC117" i="4"/>
  <c r="K85" i="3" s="1"/>
  <c r="AB117" i="4"/>
  <c r="J85" i="3" s="1"/>
  <c r="X117" i="4"/>
  <c r="O85" i="3" s="1"/>
  <c r="W117" i="4" a="1"/>
  <c r="W117" i="4" s="1"/>
  <c r="V85" i="3" s="1"/>
  <c r="N117" i="4"/>
  <c r="M117" i="4"/>
  <c r="G117" i="4"/>
  <c r="C117" i="4"/>
  <c r="A117" i="4"/>
  <c r="AC116" i="4"/>
  <c r="K67" i="3" s="1"/>
  <c r="AB116" i="4"/>
  <c r="J67" i="3" s="1"/>
  <c r="X116" i="4"/>
  <c r="O67" i="3" s="1"/>
  <c r="W116" i="4" a="1"/>
  <c r="W116" i="4" s="1"/>
  <c r="V67" i="3" s="1"/>
  <c r="N116" i="4"/>
  <c r="M116" i="4"/>
  <c r="G116" i="4"/>
  <c r="C116" i="4"/>
  <c r="A116" i="4"/>
  <c r="AC115" i="4"/>
  <c r="K137" i="3" s="1"/>
  <c r="AB115" i="4"/>
  <c r="X115" i="4"/>
  <c r="O137" i="3" s="1"/>
  <c r="W115" i="4" a="1"/>
  <c r="W115" i="4" s="1"/>
  <c r="V137" i="3" s="1"/>
  <c r="N115" i="4"/>
  <c r="M115" i="4"/>
  <c r="G115" i="4"/>
  <c r="C115" i="4"/>
  <c r="A115" i="4"/>
  <c r="AC114" i="4"/>
  <c r="K111" i="3" s="1"/>
  <c r="AB114" i="4"/>
  <c r="X114" i="4"/>
  <c r="O111" i="3" s="1"/>
  <c r="W114" i="4" a="1"/>
  <c r="W114" i="4" s="1"/>
  <c r="V111" i="3" s="1"/>
  <c r="N114" i="4"/>
  <c r="M114" i="4"/>
  <c r="G114" i="4"/>
  <c r="C114" i="4"/>
  <c r="A114" i="4"/>
  <c r="AC113" i="4"/>
  <c r="K57" i="3" s="1"/>
  <c r="AB113" i="4"/>
  <c r="J57" i="3" s="1"/>
  <c r="X113" i="4"/>
  <c r="W113" i="4" a="1"/>
  <c r="W113" i="4" s="1"/>
  <c r="V57" i="3" s="1"/>
  <c r="N113" i="4"/>
  <c r="M113" i="4"/>
  <c r="G113" i="4"/>
  <c r="C113" i="4"/>
  <c r="A113" i="4"/>
  <c r="AC112" i="4"/>
  <c r="K163" i="3" s="1"/>
  <c r="AB112" i="4"/>
  <c r="J163" i="3" s="1"/>
  <c r="X112" i="4"/>
  <c r="O163" i="3" s="1"/>
  <c r="W112" i="4" a="1"/>
  <c r="W112" i="4" s="1"/>
  <c r="V163" i="3" s="1"/>
  <c r="N112" i="4"/>
  <c r="M112" i="4"/>
  <c r="G112" i="4"/>
  <c r="C112" i="4"/>
  <c r="A112" i="4"/>
  <c r="AC111" i="4"/>
  <c r="K51" i="3" s="1"/>
  <c r="AB111" i="4"/>
  <c r="J51" i="3" s="1"/>
  <c r="X111" i="4"/>
  <c r="O51" i="3" s="1"/>
  <c r="W111" i="4" a="1"/>
  <c r="W111" i="4" s="1"/>
  <c r="V51" i="3" s="1"/>
  <c r="N111" i="4"/>
  <c r="M111" i="4"/>
  <c r="G111" i="4"/>
  <c r="C111" i="4"/>
  <c r="A111" i="4"/>
  <c r="AC110" i="4"/>
  <c r="K120" i="3" s="1"/>
  <c r="AB110" i="4"/>
  <c r="J120" i="3" s="1"/>
  <c r="X110" i="4"/>
  <c r="O120" i="3" s="1"/>
  <c r="W110" i="4" a="1"/>
  <c r="W110" i="4" s="1"/>
  <c r="V120" i="3" s="1"/>
  <c r="N110" i="4"/>
  <c r="M110" i="4"/>
  <c r="G110" i="4"/>
  <c r="C110" i="4"/>
  <c r="A110" i="4"/>
  <c r="AC109" i="4"/>
  <c r="K159" i="3" s="1"/>
  <c r="AB109" i="4"/>
  <c r="J159" i="3" s="1"/>
  <c r="X109" i="4"/>
  <c r="O159" i="3" s="1"/>
  <c r="W109" i="4" a="1"/>
  <c r="W109" i="4" s="1"/>
  <c r="V159" i="3" s="1"/>
  <c r="N109" i="4"/>
  <c r="M109" i="4"/>
  <c r="G109" i="4"/>
  <c r="C109" i="4"/>
  <c r="A109" i="4"/>
  <c r="AC108" i="4"/>
  <c r="K101" i="3" s="1"/>
  <c r="AB108" i="4"/>
  <c r="J101" i="3" s="1"/>
  <c r="X108" i="4"/>
  <c r="W108" i="4" a="1"/>
  <c r="W108" i="4" s="1"/>
  <c r="V101" i="3" s="1"/>
  <c r="N108" i="4"/>
  <c r="M108" i="4"/>
  <c r="G108" i="4"/>
  <c r="C108" i="4"/>
  <c r="A108" i="4"/>
  <c r="AC107" i="4"/>
  <c r="K115" i="3" s="1"/>
  <c r="AB107" i="4"/>
  <c r="J115" i="3" s="1"/>
  <c r="X107" i="4"/>
  <c r="O115" i="3" s="1"/>
  <c r="W107" i="4" a="1"/>
  <c r="W107" i="4" s="1"/>
  <c r="V115" i="3" s="1"/>
  <c r="N107" i="4"/>
  <c r="M107" i="4"/>
  <c r="G107" i="4"/>
  <c r="C107" i="4"/>
  <c r="A107" i="4"/>
  <c r="AC106" i="4"/>
  <c r="K180" i="3" s="1"/>
  <c r="AB106" i="4"/>
  <c r="J180" i="3" s="1"/>
  <c r="X106" i="4"/>
  <c r="O180" i="3" s="1"/>
  <c r="W106" i="4" a="1"/>
  <c r="W106" i="4" s="1"/>
  <c r="V180" i="3" s="1"/>
  <c r="N106" i="4"/>
  <c r="M106" i="4"/>
  <c r="G106" i="4"/>
  <c r="C106" i="4"/>
  <c r="A106" i="4"/>
  <c r="AC105" i="4"/>
  <c r="K116" i="3" s="1"/>
  <c r="AB105" i="4"/>
  <c r="J116" i="3" s="1"/>
  <c r="X105" i="4"/>
  <c r="O116" i="3" s="1"/>
  <c r="W105" i="4" a="1"/>
  <c r="W105" i="4" s="1"/>
  <c r="V116" i="3" s="1"/>
  <c r="N105" i="4"/>
  <c r="M105" i="4"/>
  <c r="G105" i="4"/>
  <c r="C105" i="4"/>
  <c r="A105" i="4"/>
  <c r="AC104" i="4"/>
  <c r="K112" i="3" s="1"/>
  <c r="AB104" i="4"/>
  <c r="J112" i="3" s="1"/>
  <c r="X104" i="4"/>
  <c r="O112" i="3" s="1"/>
  <c r="W104" i="4" a="1"/>
  <c r="W104" i="4" s="1"/>
  <c r="V112" i="3" s="1"/>
  <c r="N104" i="4"/>
  <c r="M104" i="4"/>
  <c r="G104" i="4"/>
  <c r="C104" i="4"/>
  <c r="A104" i="4"/>
  <c r="AC103" i="4"/>
  <c r="K24" i="3" s="1"/>
  <c r="AB103" i="4"/>
  <c r="J24" i="3" s="1"/>
  <c r="X103" i="4"/>
  <c r="O24" i="3" s="1"/>
  <c r="W103" i="4" a="1"/>
  <c r="W103" i="4" s="1"/>
  <c r="V24" i="3" s="1"/>
  <c r="N103" i="4"/>
  <c r="M103" i="4"/>
  <c r="G103" i="4"/>
  <c r="C103" i="4"/>
  <c r="A103" i="4"/>
  <c r="AC102" i="4"/>
  <c r="K144" i="3" s="1"/>
  <c r="AB102" i="4"/>
  <c r="J144" i="3" s="1"/>
  <c r="X102" i="4"/>
  <c r="O144" i="3" s="1"/>
  <c r="W102" i="4" a="1"/>
  <c r="W102" i="4" s="1"/>
  <c r="V144" i="3" s="1"/>
  <c r="N102" i="4"/>
  <c r="M102" i="4"/>
  <c r="G102" i="4"/>
  <c r="C102" i="4"/>
  <c r="A102" i="4"/>
  <c r="AC101" i="4"/>
  <c r="K143" i="3" s="1"/>
  <c r="AB101" i="4"/>
  <c r="J143" i="3" s="1"/>
  <c r="X101" i="4"/>
  <c r="O143" i="3" s="1"/>
  <c r="W101" i="4" a="1"/>
  <c r="W101" i="4" s="1"/>
  <c r="V143" i="3" s="1"/>
  <c r="N101" i="4"/>
  <c r="M101" i="4"/>
  <c r="G101" i="4"/>
  <c r="C101" i="4"/>
  <c r="A101" i="4"/>
  <c r="AC100" i="4"/>
  <c r="K56" i="3" s="1"/>
  <c r="AB100" i="4"/>
  <c r="J56" i="3" s="1"/>
  <c r="X100" i="4"/>
  <c r="O56" i="3" s="1"/>
  <c r="W100" i="4" a="1"/>
  <c r="W100" i="4" s="1"/>
  <c r="V56" i="3" s="1"/>
  <c r="N100" i="4"/>
  <c r="M100" i="4"/>
  <c r="G100" i="4"/>
  <c r="C100" i="4"/>
  <c r="A100" i="4"/>
  <c r="AC99" i="4"/>
  <c r="K201" i="3" s="1"/>
  <c r="AB99" i="4"/>
  <c r="X99" i="4"/>
  <c r="O201" i="3" s="1"/>
  <c r="W99" i="4" a="1"/>
  <c r="W99" i="4" s="1"/>
  <c r="V201" i="3" s="1"/>
  <c r="N99" i="4"/>
  <c r="M99" i="4"/>
  <c r="G99" i="4"/>
  <c r="C99" i="4"/>
  <c r="A99" i="4"/>
  <c r="AC98" i="4"/>
  <c r="K100" i="3" s="1"/>
  <c r="AB98" i="4"/>
  <c r="J100" i="3" s="1"/>
  <c r="X98" i="4"/>
  <c r="O100" i="3" s="1"/>
  <c r="W98" i="4" a="1"/>
  <c r="W98" i="4" s="1"/>
  <c r="V100" i="3" s="1"/>
  <c r="N98" i="4"/>
  <c r="M98" i="4"/>
  <c r="G98" i="4"/>
  <c r="C98" i="4"/>
  <c r="A98" i="4"/>
  <c r="AC97" i="4"/>
  <c r="K35" i="3" s="1"/>
  <c r="AB97" i="4"/>
  <c r="J35" i="3" s="1"/>
  <c r="X97" i="4"/>
  <c r="W97" i="4" a="1"/>
  <c r="W97" i="4" s="1"/>
  <c r="V35" i="3" s="1"/>
  <c r="N97" i="4"/>
  <c r="M97" i="4"/>
  <c r="G97" i="4"/>
  <c r="C97" i="4"/>
  <c r="A97" i="4"/>
  <c r="AC96" i="4"/>
  <c r="K99" i="3" s="1"/>
  <c r="AB96" i="4"/>
  <c r="J99" i="3" s="1"/>
  <c r="X96" i="4"/>
  <c r="O99" i="3" s="1"/>
  <c r="W96" i="4" a="1"/>
  <c r="W96" i="4" s="1"/>
  <c r="V99" i="3" s="1"/>
  <c r="N96" i="4"/>
  <c r="M96" i="4"/>
  <c r="G96" i="4"/>
  <c r="C96" i="4"/>
  <c r="A96" i="4"/>
  <c r="AC95" i="4"/>
  <c r="K169" i="3" s="1"/>
  <c r="AB95" i="4"/>
  <c r="J169" i="3" s="1"/>
  <c r="X95" i="4"/>
  <c r="O169" i="3" s="1"/>
  <c r="W95" i="4" a="1"/>
  <c r="W95" i="4" s="1"/>
  <c r="V169" i="3" s="1"/>
  <c r="N95" i="4"/>
  <c r="M95" i="4"/>
  <c r="G95" i="4"/>
  <c r="C95" i="4"/>
  <c r="A95" i="4"/>
  <c r="AC94" i="4"/>
  <c r="K108" i="3" s="1"/>
  <c r="AB94" i="4"/>
  <c r="X94" i="4"/>
  <c r="O108" i="3" s="1"/>
  <c r="W94" i="4" a="1"/>
  <c r="W94" i="4" s="1"/>
  <c r="V108" i="3" s="1"/>
  <c r="N94" i="4"/>
  <c r="M94" i="4"/>
  <c r="G94" i="4"/>
  <c r="C94" i="4"/>
  <c r="A94" i="4"/>
  <c r="AC93" i="4"/>
  <c r="K41" i="3" s="1"/>
  <c r="AB93" i="4"/>
  <c r="J41" i="3" s="1"/>
  <c r="X93" i="4"/>
  <c r="O41" i="3" s="1"/>
  <c r="W93" i="4" a="1"/>
  <c r="W93" i="4" s="1"/>
  <c r="V41" i="3" s="1"/>
  <c r="N93" i="4"/>
  <c r="M93" i="4"/>
  <c r="G93" i="4"/>
  <c r="C93" i="4"/>
  <c r="A93" i="4"/>
  <c r="AC92" i="4"/>
  <c r="K192" i="3" s="1"/>
  <c r="AB92" i="4"/>
  <c r="X92" i="4"/>
  <c r="O192" i="3" s="1"/>
  <c r="W92" i="4" a="1"/>
  <c r="W92" i="4" s="1"/>
  <c r="V192" i="3" s="1"/>
  <c r="N92" i="4"/>
  <c r="M92" i="4"/>
  <c r="G92" i="4"/>
  <c r="C92" i="4"/>
  <c r="A92" i="4"/>
  <c r="AC91" i="4"/>
  <c r="K152" i="3" s="1"/>
  <c r="AB91" i="4"/>
  <c r="J152" i="3" s="1"/>
  <c r="X91" i="4"/>
  <c r="O152" i="3" s="1"/>
  <c r="W91" i="4" a="1"/>
  <c r="W91" i="4" s="1"/>
  <c r="V152" i="3" s="1"/>
  <c r="N91" i="4"/>
  <c r="M91" i="4"/>
  <c r="G91" i="4"/>
  <c r="C91" i="4"/>
  <c r="A91" i="4"/>
  <c r="AC90" i="4"/>
  <c r="K36" i="3" s="1"/>
  <c r="AB90" i="4"/>
  <c r="J36" i="3" s="1"/>
  <c r="X90" i="4"/>
  <c r="O36" i="3" s="1"/>
  <c r="W90" i="4" a="1"/>
  <c r="W90" i="4" s="1"/>
  <c r="V36" i="3" s="1"/>
  <c r="N90" i="4"/>
  <c r="M90" i="4"/>
  <c r="G90" i="4"/>
  <c r="C90" i="4"/>
  <c r="A90" i="4"/>
  <c r="AC89" i="4"/>
  <c r="K189" i="3" s="1"/>
  <c r="AB89" i="4"/>
  <c r="J189" i="3" s="1"/>
  <c r="X89" i="4"/>
  <c r="O189" i="3" s="1"/>
  <c r="W89" i="4" a="1"/>
  <c r="W89" i="4" s="1"/>
  <c r="V189" i="3" s="1"/>
  <c r="N89" i="4"/>
  <c r="M89" i="4"/>
  <c r="G89" i="4"/>
  <c r="C89" i="4"/>
  <c r="A89" i="4"/>
  <c r="AC88" i="4"/>
  <c r="K29" i="3" s="1"/>
  <c r="AB88" i="4"/>
  <c r="J29" i="3" s="1"/>
  <c r="X88" i="4"/>
  <c r="O29" i="3" s="1"/>
  <c r="W88" i="4" a="1"/>
  <c r="W88" i="4" s="1"/>
  <c r="V29" i="3" s="1"/>
  <c r="N88" i="4"/>
  <c r="M88" i="4"/>
  <c r="G88" i="4"/>
  <c r="C88" i="4"/>
  <c r="A88" i="4"/>
  <c r="AC87" i="4"/>
  <c r="K96" i="3" s="1"/>
  <c r="AB87" i="4"/>
  <c r="J96" i="3" s="1"/>
  <c r="X87" i="4"/>
  <c r="O96" i="3" s="1"/>
  <c r="W87" i="4" a="1"/>
  <c r="W87" i="4" s="1"/>
  <c r="V96" i="3" s="1"/>
  <c r="N87" i="4"/>
  <c r="M87" i="4"/>
  <c r="G87" i="4"/>
  <c r="C87" i="4"/>
  <c r="A87" i="4"/>
  <c r="AC86" i="4"/>
  <c r="K53" i="3" s="1"/>
  <c r="AB86" i="4"/>
  <c r="J53" i="3" s="1"/>
  <c r="X86" i="4"/>
  <c r="O53" i="3" s="1"/>
  <c r="W86" i="4" a="1"/>
  <c r="W86" i="4" s="1"/>
  <c r="V53" i="3" s="1"/>
  <c r="N86" i="4"/>
  <c r="M86" i="4"/>
  <c r="G86" i="4"/>
  <c r="C86" i="4"/>
  <c r="A86" i="4"/>
  <c r="AC85" i="4"/>
  <c r="K47" i="3" s="1"/>
  <c r="AB85" i="4"/>
  <c r="J47" i="3" s="1"/>
  <c r="X85" i="4"/>
  <c r="O47" i="3" s="1"/>
  <c r="W85" i="4" a="1"/>
  <c r="W85" i="4" s="1"/>
  <c r="V47" i="3" s="1"/>
  <c r="N85" i="4"/>
  <c r="M85" i="4"/>
  <c r="G85" i="4"/>
  <c r="C85" i="4"/>
  <c r="A85" i="4"/>
  <c r="AC84" i="4"/>
  <c r="K59" i="3" s="1"/>
  <c r="AB84" i="4"/>
  <c r="J59" i="3" s="1"/>
  <c r="X84" i="4"/>
  <c r="O59" i="3" s="1"/>
  <c r="W84" i="4" a="1"/>
  <c r="W84" i="4" s="1"/>
  <c r="V59" i="3" s="1"/>
  <c r="N84" i="4"/>
  <c r="M84" i="4"/>
  <c r="G84" i="4"/>
  <c r="C84" i="4"/>
  <c r="A84" i="4"/>
  <c r="AC83" i="4"/>
  <c r="AB83" i="4"/>
  <c r="J84" i="3" s="1"/>
  <c r="X83" i="4"/>
  <c r="O84" i="3" s="1"/>
  <c r="W83" i="4" a="1"/>
  <c r="W83" i="4" s="1"/>
  <c r="V84" i="3" s="1"/>
  <c r="N83" i="4"/>
  <c r="M83" i="4"/>
  <c r="G83" i="4"/>
  <c r="C83" i="4"/>
  <c r="A83" i="4"/>
  <c r="AC82" i="4"/>
  <c r="K162" i="3" s="1"/>
  <c r="AB82" i="4"/>
  <c r="J162" i="3" s="1"/>
  <c r="X82" i="4"/>
  <c r="O162" i="3" s="1"/>
  <c r="W82" i="4" a="1"/>
  <c r="W82" i="4" s="1"/>
  <c r="V162" i="3" s="1"/>
  <c r="N82" i="4"/>
  <c r="M82" i="4"/>
  <c r="G82" i="4"/>
  <c r="C82" i="4"/>
  <c r="A82" i="4"/>
  <c r="AC81" i="4"/>
  <c r="K11" i="3" s="1"/>
  <c r="AB81" i="4"/>
  <c r="J11" i="3" s="1"/>
  <c r="X81" i="4"/>
  <c r="O11" i="3" s="1"/>
  <c r="W81" i="4" a="1"/>
  <c r="W81" i="4" s="1"/>
  <c r="V11" i="3" s="1"/>
  <c r="N81" i="4"/>
  <c r="M81" i="4"/>
  <c r="G81" i="4"/>
  <c r="C81" i="4"/>
  <c r="A81" i="4"/>
  <c r="AC80" i="4"/>
  <c r="K66" i="3" s="1"/>
  <c r="AB80" i="4"/>
  <c r="J66" i="3" s="1"/>
  <c r="X80" i="4"/>
  <c r="O66" i="3" s="1"/>
  <c r="W80" i="4" a="1"/>
  <c r="W80" i="4" s="1"/>
  <c r="V66" i="3" s="1"/>
  <c r="N80" i="4"/>
  <c r="M80" i="4"/>
  <c r="G80" i="4"/>
  <c r="C80" i="4"/>
  <c r="A80" i="4"/>
  <c r="AC79" i="4"/>
  <c r="K118" i="3" s="1"/>
  <c r="AB79" i="4"/>
  <c r="J118" i="3" s="1"/>
  <c r="X79" i="4"/>
  <c r="O118" i="3" s="1"/>
  <c r="W79" i="4" a="1"/>
  <c r="W79" i="4" s="1"/>
  <c r="V118" i="3" s="1"/>
  <c r="N79" i="4"/>
  <c r="M79" i="4"/>
  <c r="G79" i="4"/>
  <c r="C79" i="4"/>
  <c r="A79" i="4"/>
  <c r="AC78" i="4"/>
  <c r="K114" i="3" s="1"/>
  <c r="AB78" i="4"/>
  <c r="J114" i="3" s="1"/>
  <c r="X78" i="4"/>
  <c r="O114" i="3" s="1"/>
  <c r="W78" i="4" a="1"/>
  <c r="W78" i="4" s="1"/>
  <c r="N78" i="4"/>
  <c r="M78" i="4"/>
  <c r="G78" i="4"/>
  <c r="C78" i="4"/>
  <c r="A78" i="4"/>
  <c r="AC77" i="4"/>
  <c r="K204" i="3" s="1"/>
  <c r="AB77" i="4"/>
  <c r="J204" i="3" s="1"/>
  <c r="X77" i="4"/>
  <c r="O204" i="3" s="1"/>
  <c r="W77" i="4" a="1"/>
  <c r="W77" i="4" s="1"/>
  <c r="V204" i="3" s="1"/>
  <c r="N77" i="4"/>
  <c r="M77" i="4"/>
  <c r="G77" i="4"/>
  <c r="C77" i="4"/>
  <c r="A77" i="4"/>
  <c r="AC76" i="4"/>
  <c r="K62" i="3" s="1"/>
  <c r="AB76" i="4"/>
  <c r="J62" i="3" s="1"/>
  <c r="X76" i="4"/>
  <c r="O62" i="3" s="1"/>
  <c r="W76" i="4" a="1"/>
  <c r="W76" i="4" s="1"/>
  <c r="V62" i="3" s="1"/>
  <c r="N76" i="4"/>
  <c r="M76" i="4"/>
  <c r="G76" i="4"/>
  <c r="C76" i="4"/>
  <c r="A76" i="4"/>
  <c r="AC75" i="4"/>
  <c r="AB75" i="4"/>
  <c r="J17" i="3" s="1"/>
  <c r="X75" i="4"/>
  <c r="O17" i="3" s="1"/>
  <c r="W75" i="4" a="1"/>
  <c r="W75" i="4" s="1"/>
  <c r="V17" i="3" s="1"/>
  <c r="N75" i="4"/>
  <c r="M75" i="4"/>
  <c r="G75" i="4"/>
  <c r="C75" i="4"/>
  <c r="A75" i="4"/>
  <c r="AC74" i="4"/>
  <c r="K39" i="3" s="1"/>
  <c r="AB74" i="4"/>
  <c r="J39" i="3" s="1"/>
  <c r="X74" i="4"/>
  <c r="W74" i="4" a="1"/>
  <c r="W74" i="4" s="1"/>
  <c r="V39" i="3" s="1"/>
  <c r="N74" i="4"/>
  <c r="M74" i="4"/>
  <c r="G74" i="4"/>
  <c r="C74" i="4"/>
  <c r="A74" i="4"/>
  <c r="AC73" i="4"/>
  <c r="K63" i="3" s="1"/>
  <c r="AB73" i="4"/>
  <c r="J63" i="3" s="1"/>
  <c r="X73" i="4"/>
  <c r="O63" i="3" s="1"/>
  <c r="W73" i="4" a="1"/>
  <c r="W73" i="4" s="1"/>
  <c r="V63" i="3" s="1"/>
  <c r="N73" i="4"/>
  <c r="M73" i="4"/>
  <c r="G73" i="4"/>
  <c r="C73" i="4"/>
  <c r="A73" i="4"/>
  <c r="AC72" i="4"/>
  <c r="K165" i="3" s="1"/>
  <c r="AB72" i="4"/>
  <c r="J165" i="3" s="1"/>
  <c r="X72" i="4"/>
  <c r="O165" i="3" s="1"/>
  <c r="W72" i="4" a="1"/>
  <c r="W72" i="4" s="1"/>
  <c r="V165" i="3" s="1"/>
  <c r="N72" i="4"/>
  <c r="M72" i="4"/>
  <c r="G72" i="4"/>
  <c r="C72" i="4"/>
  <c r="A72" i="4"/>
  <c r="AC71" i="4"/>
  <c r="K40" i="3" s="1"/>
  <c r="AB71" i="4"/>
  <c r="J40" i="3" s="1"/>
  <c r="X71" i="4"/>
  <c r="O40" i="3" s="1"/>
  <c r="W71" i="4" a="1"/>
  <c r="W71" i="4" s="1"/>
  <c r="V40" i="3" s="1"/>
  <c r="N71" i="4"/>
  <c r="M71" i="4"/>
  <c r="G71" i="4"/>
  <c r="C71" i="4"/>
  <c r="A71" i="4"/>
  <c r="AC70" i="4"/>
  <c r="K149" i="3" s="1"/>
  <c r="AB70" i="4"/>
  <c r="J149" i="3" s="1"/>
  <c r="X70" i="4"/>
  <c r="O149" i="3" s="1"/>
  <c r="W70" i="4" a="1"/>
  <c r="W70" i="4" s="1"/>
  <c r="V149" i="3" s="1"/>
  <c r="N70" i="4"/>
  <c r="M70" i="4"/>
  <c r="G70" i="4"/>
  <c r="C70" i="4"/>
  <c r="A70" i="4"/>
  <c r="AC69" i="4"/>
  <c r="K98" i="3" s="1"/>
  <c r="AB69" i="4"/>
  <c r="J98" i="3" s="1"/>
  <c r="X69" i="4"/>
  <c r="O98" i="3" s="1"/>
  <c r="W69" i="4" a="1"/>
  <c r="W69" i="4" s="1"/>
  <c r="V98" i="3" s="1"/>
  <c r="N69" i="4"/>
  <c r="M69" i="4"/>
  <c r="G69" i="4"/>
  <c r="C69" i="4"/>
  <c r="A69" i="4"/>
  <c r="AC68" i="4"/>
  <c r="K148" i="3" s="1"/>
  <c r="AB68" i="4"/>
  <c r="J148" i="3" s="1"/>
  <c r="X68" i="4"/>
  <c r="O148" i="3" s="1"/>
  <c r="W68" i="4" a="1"/>
  <c r="W68" i="4" s="1"/>
  <c r="V148" i="3" s="1"/>
  <c r="N68" i="4"/>
  <c r="M68" i="4"/>
  <c r="G68" i="4"/>
  <c r="C68" i="4"/>
  <c r="A68" i="4"/>
  <c r="AC67" i="4"/>
  <c r="K194" i="3" s="1"/>
  <c r="AB67" i="4"/>
  <c r="J194" i="3" s="1"/>
  <c r="X67" i="4"/>
  <c r="O194" i="3" s="1"/>
  <c r="W67" i="4" a="1"/>
  <c r="W67" i="4" s="1"/>
  <c r="V194" i="3" s="1"/>
  <c r="N67" i="4"/>
  <c r="M67" i="4"/>
  <c r="G67" i="4"/>
  <c r="C67" i="4"/>
  <c r="A67" i="4"/>
  <c r="AC66" i="4"/>
  <c r="K193" i="3" s="1"/>
  <c r="AB66" i="4"/>
  <c r="J193" i="3" s="1"/>
  <c r="X66" i="4"/>
  <c r="O193" i="3" s="1"/>
  <c r="W66" i="4" a="1"/>
  <c r="W66" i="4" s="1"/>
  <c r="V193" i="3" s="1"/>
  <c r="N66" i="4"/>
  <c r="M66" i="4"/>
  <c r="G66" i="4"/>
  <c r="C66" i="4"/>
  <c r="A66" i="4"/>
  <c r="AC65" i="4"/>
  <c r="AB65" i="4"/>
  <c r="J146" i="3" s="1"/>
  <c r="X65" i="4"/>
  <c r="O146" i="3" s="1"/>
  <c r="W65" i="4" a="1"/>
  <c r="W65" i="4" s="1"/>
  <c r="V146" i="3" s="1"/>
  <c r="N65" i="4"/>
  <c r="M65" i="4"/>
  <c r="G65" i="4"/>
  <c r="C65" i="4"/>
  <c r="A65" i="4"/>
  <c r="AC64" i="4"/>
  <c r="K50" i="3" s="1"/>
  <c r="AB64" i="4"/>
  <c r="J50" i="3" s="1"/>
  <c r="X64" i="4"/>
  <c r="O50" i="3" s="1"/>
  <c r="W64" i="4" a="1"/>
  <c r="W64" i="4" s="1"/>
  <c r="V50" i="3" s="1"/>
  <c r="N64" i="4"/>
  <c r="M64" i="4"/>
  <c r="G64" i="4"/>
  <c r="C64" i="4"/>
  <c r="A64" i="4"/>
  <c r="AC63" i="4"/>
  <c r="K145" i="3" s="1"/>
  <c r="AB63" i="4"/>
  <c r="J145" i="3" s="1"/>
  <c r="X63" i="4"/>
  <c r="O145" i="3" s="1"/>
  <c r="W63" i="4" a="1"/>
  <c r="W63" i="4" s="1"/>
  <c r="V145" i="3" s="1"/>
  <c r="N63" i="4"/>
  <c r="M63" i="4"/>
  <c r="G63" i="4"/>
  <c r="C63" i="4"/>
  <c r="A63" i="4"/>
  <c r="AC62" i="4"/>
  <c r="K141" i="3" s="1"/>
  <c r="AB62" i="4"/>
  <c r="J141" i="3" s="1"/>
  <c r="X62" i="4"/>
  <c r="O141" i="3" s="1"/>
  <c r="W62" i="4"/>
  <c r="V141" i="3" s="1"/>
  <c r="W62" i="4" a="1"/>
  <c r="N62" i="4"/>
  <c r="M62" i="4"/>
  <c r="G62" i="4"/>
  <c r="C62" i="4"/>
  <c r="A62" i="4"/>
  <c r="AC61" i="4"/>
  <c r="K139" i="3" s="1"/>
  <c r="AB61" i="4"/>
  <c r="J139" i="3" s="1"/>
  <c r="X61" i="4"/>
  <c r="O139" i="3" s="1"/>
  <c r="W61" i="4" a="1"/>
  <c r="W61" i="4" s="1"/>
  <c r="V139" i="3" s="1"/>
  <c r="N61" i="4"/>
  <c r="M61" i="4"/>
  <c r="G61" i="4"/>
  <c r="C61" i="4"/>
  <c r="A61" i="4"/>
  <c r="AC60" i="4"/>
  <c r="K200" i="3" s="1"/>
  <c r="AB60" i="4"/>
  <c r="X60" i="4"/>
  <c r="O200" i="3" s="1"/>
  <c r="W60" i="4" a="1"/>
  <c r="W60" i="4" s="1"/>
  <c r="V200" i="3" s="1"/>
  <c r="N60" i="4"/>
  <c r="M60" i="4"/>
  <c r="G60" i="4"/>
  <c r="C60" i="4"/>
  <c r="A60" i="4"/>
  <c r="AC59" i="4"/>
  <c r="K140" i="3" s="1"/>
  <c r="AB59" i="4"/>
  <c r="J140" i="3" s="1"/>
  <c r="X59" i="4"/>
  <c r="O140" i="3" s="1"/>
  <c r="W59" i="4" a="1"/>
  <c r="W59" i="4" s="1"/>
  <c r="V140" i="3" s="1"/>
  <c r="N59" i="4"/>
  <c r="M59" i="4"/>
  <c r="G59" i="4"/>
  <c r="C59" i="4"/>
  <c r="A59" i="4"/>
  <c r="AC58" i="4"/>
  <c r="K37" i="3" s="1"/>
  <c r="AB58" i="4"/>
  <c r="J37" i="3" s="1"/>
  <c r="X58" i="4"/>
  <c r="O37" i="3" s="1"/>
  <c r="W58" i="4" a="1"/>
  <c r="W58" i="4" s="1"/>
  <c r="V37" i="3" s="1"/>
  <c r="N58" i="4"/>
  <c r="M58" i="4"/>
  <c r="G58" i="4"/>
  <c r="C58" i="4"/>
  <c r="A58" i="4"/>
  <c r="AC57" i="4"/>
  <c r="K173" i="3" s="1"/>
  <c r="AB57" i="4"/>
  <c r="J173" i="3" s="1"/>
  <c r="X57" i="4"/>
  <c r="O173" i="3" s="1"/>
  <c r="W57" i="4" a="1"/>
  <c r="W57" i="4" s="1"/>
  <c r="V173" i="3" s="1"/>
  <c r="N57" i="4"/>
  <c r="M57" i="4"/>
  <c r="G57" i="4"/>
  <c r="C57" i="4"/>
  <c r="A57" i="4"/>
  <c r="AC56" i="4"/>
  <c r="K128" i="3" s="1"/>
  <c r="AB56" i="4"/>
  <c r="J128" i="3" s="1"/>
  <c r="X56" i="4"/>
  <c r="O128" i="3" s="1"/>
  <c r="W56" i="4" a="1"/>
  <c r="W56" i="4" s="1"/>
  <c r="V128" i="3" s="1"/>
  <c r="N56" i="4"/>
  <c r="M56" i="4"/>
  <c r="G56" i="4"/>
  <c r="C56" i="4"/>
  <c r="A56" i="4"/>
  <c r="AC55" i="4"/>
  <c r="K105" i="3" s="1"/>
  <c r="AB55" i="4"/>
  <c r="J105" i="3" s="1"/>
  <c r="X55" i="4"/>
  <c r="W55" i="4" a="1"/>
  <c r="W55" i="4" s="1"/>
  <c r="V105" i="3" s="1"/>
  <c r="N55" i="4"/>
  <c r="M55" i="4"/>
  <c r="G55" i="4"/>
  <c r="C55" i="4"/>
  <c r="A55" i="4"/>
  <c r="AC54" i="4"/>
  <c r="K125" i="3" s="1"/>
  <c r="AB54" i="4"/>
  <c r="J125" i="3" s="1"/>
  <c r="X54" i="4"/>
  <c r="O125" i="3" s="1"/>
  <c r="W54" i="4" a="1"/>
  <c r="W54" i="4" s="1"/>
  <c r="V125" i="3" s="1"/>
  <c r="N54" i="4"/>
  <c r="M54" i="4"/>
  <c r="G54" i="4"/>
  <c r="C54" i="4"/>
  <c r="A54" i="4"/>
  <c r="AC53" i="4"/>
  <c r="K133" i="3" s="1"/>
  <c r="AB53" i="4"/>
  <c r="J133" i="3" s="1"/>
  <c r="X53" i="4"/>
  <c r="O133" i="3" s="1"/>
  <c r="W53" i="4" a="1"/>
  <c r="W53" i="4" s="1"/>
  <c r="V133" i="3" s="1"/>
  <c r="N53" i="4"/>
  <c r="M53" i="4"/>
  <c r="G53" i="4"/>
  <c r="C53" i="4"/>
  <c r="A53" i="4"/>
  <c r="AC52" i="4"/>
  <c r="K38" i="3" s="1"/>
  <c r="AB52" i="4"/>
  <c r="J38" i="3" s="1"/>
  <c r="X52" i="4"/>
  <c r="O38" i="3" s="1"/>
  <c r="W52" i="4" a="1"/>
  <c r="W52" i="4" s="1"/>
  <c r="V38" i="3" s="1"/>
  <c r="N52" i="4"/>
  <c r="M52" i="4"/>
  <c r="G52" i="4"/>
  <c r="C52" i="4"/>
  <c r="A52" i="4"/>
  <c r="AC51" i="4"/>
  <c r="K7" i="3" s="1"/>
  <c r="AB51" i="4"/>
  <c r="J7" i="3" s="1"/>
  <c r="X51" i="4"/>
  <c r="O7" i="3" s="1"/>
  <c r="W51" i="4" a="1"/>
  <c r="W51" i="4" s="1"/>
  <c r="V7" i="3" s="1"/>
  <c r="N51" i="4"/>
  <c r="M51" i="4"/>
  <c r="G51" i="4"/>
  <c r="C51" i="4"/>
  <c r="A51" i="4"/>
  <c r="AC50" i="4"/>
  <c r="K45" i="3" s="1"/>
  <c r="AB50" i="4"/>
  <c r="J45" i="3" s="1"/>
  <c r="X50" i="4"/>
  <c r="O45" i="3" s="1"/>
  <c r="W50" i="4" a="1"/>
  <c r="W50" i="4" s="1"/>
  <c r="V45" i="3" s="1"/>
  <c r="N50" i="4"/>
  <c r="M50" i="4"/>
  <c r="G50" i="4"/>
  <c r="C50" i="4"/>
  <c r="A50" i="4"/>
  <c r="AC49" i="4"/>
  <c r="K188" i="3" s="1"/>
  <c r="AB49" i="4"/>
  <c r="J188" i="3" s="1"/>
  <c r="X49" i="4"/>
  <c r="O188" i="3" s="1"/>
  <c r="W49" i="4" a="1"/>
  <c r="W49" i="4" s="1"/>
  <c r="V188" i="3" s="1"/>
  <c r="N49" i="4"/>
  <c r="M49" i="4"/>
  <c r="G49" i="4"/>
  <c r="C49" i="4"/>
  <c r="A49" i="4"/>
  <c r="AC48" i="4"/>
  <c r="AB48" i="4"/>
  <c r="J170" i="3" s="1"/>
  <c r="X48" i="4"/>
  <c r="O170" i="3" s="1"/>
  <c r="W48" i="4" a="1"/>
  <c r="W48" i="4" s="1"/>
  <c r="V170" i="3" s="1"/>
  <c r="N48" i="4"/>
  <c r="M48" i="4"/>
  <c r="G48" i="4"/>
  <c r="C48" i="4"/>
  <c r="A48" i="4"/>
  <c r="AC47" i="4"/>
  <c r="K138" i="3" s="1"/>
  <c r="AB47" i="4"/>
  <c r="J138" i="3" s="1"/>
  <c r="X47" i="4"/>
  <c r="O138" i="3" s="1"/>
  <c r="W47" i="4" a="1"/>
  <c r="W47" i="4" s="1"/>
  <c r="V138" i="3" s="1"/>
  <c r="N47" i="4"/>
  <c r="M47" i="4"/>
  <c r="G47" i="4"/>
  <c r="C47" i="4"/>
  <c r="A47" i="4"/>
  <c r="AC46" i="4"/>
  <c r="K97" i="3" s="1"/>
  <c r="AB46" i="4"/>
  <c r="X46" i="4"/>
  <c r="O97" i="3" s="1"/>
  <c r="W46" i="4" a="1"/>
  <c r="W46" i="4" s="1"/>
  <c r="V97" i="3" s="1"/>
  <c r="N46" i="4"/>
  <c r="M46" i="4"/>
  <c r="G46" i="4"/>
  <c r="C46" i="4"/>
  <c r="A46" i="4"/>
  <c r="AC45" i="4"/>
  <c r="K172" i="3" s="1"/>
  <c r="AB45" i="4"/>
  <c r="J172" i="3" s="1"/>
  <c r="X45" i="4"/>
  <c r="O172" i="3" s="1"/>
  <c r="W45" i="4" a="1"/>
  <c r="W45" i="4" s="1"/>
  <c r="V172" i="3" s="1"/>
  <c r="N45" i="4"/>
  <c r="M45" i="4"/>
  <c r="G45" i="4"/>
  <c r="C45" i="4"/>
  <c r="A45" i="4"/>
  <c r="AC44" i="4"/>
  <c r="K205" i="3" s="1"/>
  <c r="AB44" i="4"/>
  <c r="J205" i="3" s="1"/>
  <c r="X44" i="4"/>
  <c r="O205" i="3" s="1"/>
  <c r="W44" i="4" a="1"/>
  <c r="W44" i="4" s="1"/>
  <c r="V205" i="3" s="1"/>
  <c r="N44" i="4"/>
  <c r="M44" i="4"/>
  <c r="G44" i="4"/>
  <c r="C44" i="4"/>
  <c r="A44" i="4"/>
  <c r="AC43" i="4"/>
  <c r="K126" i="3" s="1"/>
  <c r="AB43" i="4"/>
  <c r="J126" i="3" s="1"/>
  <c r="X43" i="4"/>
  <c r="O126" i="3" s="1"/>
  <c r="W43" i="4" a="1"/>
  <c r="W43" i="4" s="1"/>
  <c r="V126" i="3" s="1"/>
  <c r="N43" i="4"/>
  <c r="M43" i="4"/>
  <c r="G43" i="4"/>
  <c r="C43" i="4"/>
  <c r="A43" i="4"/>
  <c r="AC42" i="4"/>
  <c r="K60" i="3" s="1"/>
  <c r="AB42" i="4"/>
  <c r="J60" i="3" s="1"/>
  <c r="X42" i="4"/>
  <c r="O60" i="3" s="1"/>
  <c r="W42" i="4" a="1"/>
  <c r="W42" i="4" s="1"/>
  <c r="V60" i="3" s="1"/>
  <c r="N42" i="4"/>
  <c r="M42" i="4"/>
  <c r="G42" i="4"/>
  <c r="C42" i="4"/>
  <c r="A42" i="4"/>
  <c r="AC41" i="4"/>
  <c r="K48" i="3" s="1"/>
  <c r="AB41" i="4"/>
  <c r="J48" i="3" s="1"/>
  <c r="X41" i="4"/>
  <c r="O48" i="3" s="1"/>
  <c r="W41" i="4" a="1"/>
  <c r="W41" i="4" s="1"/>
  <c r="V48" i="3" s="1"/>
  <c r="N41" i="4"/>
  <c r="M41" i="4"/>
  <c r="G41" i="4"/>
  <c r="C41" i="4"/>
  <c r="A41" i="4"/>
  <c r="AC40" i="4"/>
  <c r="K153" i="3" s="1"/>
  <c r="AB40" i="4"/>
  <c r="J153" i="3" s="1"/>
  <c r="X40" i="4"/>
  <c r="O153" i="3" s="1"/>
  <c r="W40" i="4" a="1"/>
  <c r="W40" i="4" s="1"/>
  <c r="V153" i="3" s="1"/>
  <c r="N40" i="4"/>
  <c r="M40" i="4"/>
  <c r="G40" i="4"/>
  <c r="C40" i="4"/>
  <c r="A40" i="4"/>
  <c r="AC39" i="4"/>
  <c r="K142" i="3" s="1"/>
  <c r="AB39" i="4"/>
  <c r="J142" i="3" s="1"/>
  <c r="X39" i="4"/>
  <c r="W39" i="4" a="1"/>
  <c r="W39" i="4" s="1"/>
  <c r="V142" i="3" s="1"/>
  <c r="N39" i="4"/>
  <c r="M39" i="4"/>
  <c r="G39" i="4"/>
  <c r="C39" i="4"/>
  <c r="A39" i="4"/>
  <c r="AC38" i="4"/>
  <c r="K109" i="3" s="1"/>
  <c r="AB38" i="4"/>
  <c r="J109" i="3" s="1"/>
  <c r="X38" i="4"/>
  <c r="O109" i="3" s="1"/>
  <c r="W38" i="4" a="1"/>
  <c r="W38" i="4" s="1"/>
  <c r="V109" i="3" s="1"/>
  <c r="N38" i="4"/>
  <c r="M38" i="4"/>
  <c r="G38" i="4"/>
  <c r="C38" i="4"/>
  <c r="A38" i="4"/>
  <c r="AC37" i="4"/>
  <c r="AB37" i="4"/>
  <c r="J168" i="3" s="1"/>
  <c r="X37" i="4"/>
  <c r="O168" i="3" s="1"/>
  <c r="W37" i="4" a="1"/>
  <c r="W37" i="4" s="1"/>
  <c r="V168" i="3" s="1"/>
  <c r="N37" i="4"/>
  <c r="M37" i="4"/>
  <c r="G37" i="4"/>
  <c r="C37" i="4"/>
  <c r="A37" i="4"/>
  <c r="AC36" i="4"/>
  <c r="K206" i="3" s="1"/>
  <c r="AB36" i="4"/>
  <c r="J206" i="3" s="1"/>
  <c r="X36" i="4"/>
  <c r="O206" i="3" s="1"/>
  <c r="W36" i="4" a="1"/>
  <c r="W36" i="4" s="1"/>
  <c r="V206" i="3" s="1"/>
  <c r="N36" i="4"/>
  <c r="M36" i="4"/>
  <c r="G36" i="4"/>
  <c r="C36" i="4"/>
  <c r="A36" i="4"/>
  <c r="AC35" i="4"/>
  <c r="K187" i="3" s="1"/>
  <c r="AB35" i="4"/>
  <c r="J187" i="3" s="1"/>
  <c r="X35" i="4"/>
  <c r="O187" i="3" s="1"/>
  <c r="W35" i="4" a="1"/>
  <c r="W35" i="4" s="1"/>
  <c r="V187" i="3" s="1"/>
  <c r="N35" i="4"/>
  <c r="M35" i="4"/>
  <c r="G35" i="4"/>
  <c r="C35" i="4"/>
  <c r="A35" i="4"/>
  <c r="AC34" i="4"/>
  <c r="K28" i="3" s="1"/>
  <c r="AB34" i="4"/>
  <c r="J28" i="3" s="1"/>
  <c r="X34" i="4"/>
  <c r="O28" i="3" s="1"/>
  <c r="W34" i="4" a="1"/>
  <c r="W34" i="4" s="1"/>
  <c r="V28" i="3" s="1"/>
  <c r="N34" i="4"/>
  <c r="M34" i="4"/>
  <c r="G34" i="4"/>
  <c r="C34" i="4"/>
  <c r="A34" i="4"/>
  <c r="AC33" i="4"/>
  <c r="K58" i="3" s="1"/>
  <c r="AB33" i="4"/>
  <c r="J58" i="3" s="1"/>
  <c r="X33" i="4"/>
  <c r="O58" i="3" s="1"/>
  <c r="W33" i="4" a="1"/>
  <c r="W33" i="4" s="1"/>
  <c r="V58" i="3" s="1"/>
  <c r="N33" i="4"/>
  <c r="M33" i="4"/>
  <c r="G33" i="4"/>
  <c r="C33" i="4"/>
  <c r="A33" i="4"/>
  <c r="AC32" i="4"/>
  <c r="AB32" i="4"/>
  <c r="J6" i="3" s="1"/>
  <c r="X32" i="4"/>
  <c r="O6" i="3" s="1"/>
  <c r="W32" i="4" a="1"/>
  <c r="W32" i="4" s="1"/>
  <c r="V6" i="3" s="1"/>
  <c r="N32" i="4"/>
  <c r="M32" i="4"/>
  <c r="G32" i="4"/>
  <c r="C32" i="4"/>
  <c r="A32" i="4"/>
  <c r="AC31" i="4"/>
  <c r="K182" i="3" s="1"/>
  <c r="AB31" i="4"/>
  <c r="J182" i="3" s="1"/>
  <c r="X31" i="4"/>
  <c r="O182" i="3" s="1"/>
  <c r="W31" i="4" a="1"/>
  <c r="W31" i="4" s="1"/>
  <c r="V182" i="3" s="1"/>
  <c r="N31" i="4"/>
  <c r="M31" i="4"/>
  <c r="G31" i="4"/>
  <c r="C31" i="4"/>
  <c r="A31" i="4"/>
  <c r="AC30" i="4"/>
  <c r="K131" i="3" s="1"/>
  <c r="AB30" i="4"/>
  <c r="J131" i="3" s="1"/>
  <c r="X30" i="4"/>
  <c r="O131" i="3" s="1"/>
  <c r="W30" i="4" a="1"/>
  <c r="W30" i="4" s="1"/>
  <c r="V131" i="3" s="1"/>
  <c r="N30" i="4"/>
  <c r="M30" i="4"/>
  <c r="G30" i="4"/>
  <c r="C30" i="4"/>
  <c r="A30" i="4"/>
  <c r="AC29" i="4"/>
  <c r="K178" i="3" s="1"/>
  <c r="AB29" i="4"/>
  <c r="J178" i="3" s="1"/>
  <c r="X29" i="4"/>
  <c r="O178" i="3" s="1"/>
  <c r="W29" i="4" a="1"/>
  <c r="W29" i="4" s="1"/>
  <c r="V178" i="3" s="1"/>
  <c r="N29" i="4"/>
  <c r="M29" i="4"/>
  <c r="G29" i="4"/>
  <c r="C29" i="4"/>
  <c r="A29" i="4"/>
  <c r="AC28" i="4"/>
  <c r="K46" i="3" s="1"/>
  <c r="AB28" i="4"/>
  <c r="J46" i="3" s="1"/>
  <c r="X28" i="4"/>
  <c r="O46" i="3" s="1"/>
  <c r="W28" i="4" a="1"/>
  <c r="W28" i="4" s="1"/>
  <c r="V46" i="3" s="1"/>
  <c r="N28" i="4"/>
  <c r="M28" i="4"/>
  <c r="G28" i="4"/>
  <c r="C28" i="4"/>
  <c r="A28" i="4"/>
  <c r="AC27" i="4"/>
  <c r="K123" i="3" s="1"/>
  <c r="AB27" i="4"/>
  <c r="J123" i="3" s="1"/>
  <c r="X27" i="4"/>
  <c r="O123" i="3" s="1"/>
  <c r="W27" i="4" a="1"/>
  <c r="W27" i="4" s="1"/>
  <c r="V123" i="3" s="1"/>
  <c r="N27" i="4"/>
  <c r="M27" i="4"/>
  <c r="G27" i="4"/>
  <c r="C27" i="4"/>
  <c r="A27" i="4"/>
  <c r="AC26" i="4"/>
  <c r="K151" i="3" s="1"/>
  <c r="AB26" i="4"/>
  <c r="J151" i="3" s="1"/>
  <c r="X26" i="4"/>
  <c r="O151" i="3" s="1"/>
  <c r="W26" i="4" a="1"/>
  <c r="W26" i="4" s="1"/>
  <c r="V151" i="3" s="1"/>
  <c r="N26" i="4"/>
  <c r="M26" i="4"/>
  <c r="G26" i="4"/>
  <c r="C26" i="4"/>
  <c r="A26" i="4"/>
  <c r="AC25" i="4"/>
  <c r="K43" i="3" s="1"/>
  <c r="AB25" i="4"/>
  <c r="X25" i="4"/>
  <c r="O43" i="3" s="1"/>
  <c r="W25" i="4" a="1"/>
  <c r="W25" i="4" s="1"/>
  <c r="V43" i="3" s="1"/>
  <c r="N25" i="4"/>
  <c r="M25" i="4"/>
  <c r="G25" i="4"/>
  <c r="C25" i="4"/>
  <c r="A25" i="4"/>
  <c r="AC24" i="4"/>
  <c r="K175" i="3" s="1"/>
  <c r="AB24" i="4"/>
  <c r="J175" i="3" s="1"/>
  <c r="X24" i="4"/>
  <c r="O175" i="3" s="1"/>
  <c r="W24" i="4" a="1"/>
  <c r="W24" i="4" s="1"/>
  <c r="V175" i="3" s="1"/>
  <c r="N24" i="4"/>
  <c r="M24" i="4"/>
  <c r="G24" i="4"/>
  <c r="C24" i="4"/>
  <c r="A24" i="4"/>
  <c r="AC23" i="4"/>
  <c r="K10" i="3" s="1"/>
  <c r="AB23" i="4"/>
  <c r="J10" i="3" s="1"/>
  <c r="X23" i="4"/>
  <c r="W23" i="4" a="1"/>
  <c r="W23" i="4" s="1"/>
  <c r="V10" i="3" s="1"/>
  <c r="N23" i="4"/>
  <c r="M23" i="4"/>
  <c r="G23" i="4"/>
  <c r="C23" i="4"/>
  <c r="A23" i="4"/>
  <c r="AC22" i="4"/>
  <c r="K203" i="3" s="1"/>
  <c r="AB22" i="4"/>
  <c r="J203" i="3" s="1"/>
  <c r="X22" i="4"/>
  <c r="O203" i="3" s="1"/>
  <c r="W22" i="4" a="1"/>
  <c r="W22" i="4" s="1"/>
  <c r="V203" i="3" s="1"/>
  <c r="N22" i="4"/>
  <c r="M22" i="4"/>
  <c r="G22" i="4"/>
  <c r="C22" i="4"/>
  <c r="A22" i="4"/>
  <c r="AC21" i="4"/>
  <c r="K90" i="3" s="1"/>
  <c r="AB21" i="4"/>
  <c r="J90" i="3" s="1"/>
  <c r="X21" i="4"/>
  <c r="O90" i="3" s="1"/>
  <c r="W21" i="4" a="1"/>
  <c r="W21" i="4" s="1"/>
  <c r="V90" i="3" s="1"/>
  <c r="N21" i="4"/>
  <c r="M21" i="4"/>
  <c r="G21" i="4"/>
  <c r="C21" i="4"/>
  <c r="A21" i="4"/>
  <c r="AC20" i="4"/>
  <c r="K177" i="3" s="1"/>
  <c r="AB20" i="4"/>
  <c r="J177" i="3" s="1"/>
  <c r="X20" i="4"/>
  <c r="O177" i="3" s="1"/>
  <c r="W20" i="4" a="1"/>
  <c r="W20" i="4" s="1"/>
  <c r="V177" i="3" s="1"/>
  <c r="N20" i="4"/>
  <c r="M20" i="4"/>
  <c r="G20" i="4"/>
  <c r="C20" i="4"/>
  <c r="A20" i="4"/>
  <c r="AC19" i="4"/>
  <c r="K197" i="3" s="1"/>
  <c r="AB19" i="4"/>
  <c r="J197" i="3" s="1"/>
  <c r="X19" i="4"/>
  <c r="O197" i="3" s="1"/>
  <c r="W19" i="4" a="1"/>
  <c r="W19" i="4" s="1"/>
  <c r="V197" i="3" s="1"/>
  <c r="N19" i="4"/>
  <c r="M19" i="4"/>
  <c r="G19" i="4"/>
  <c r="C19" i="4"/>
  <c r="A19" i="4"/>
  <c r="AC18" i="4"/>
  <c r="K104" i="3" s="1"/>
  <c r="AB18" i="4"/>
  <c r="J104" i="3" s="1"/>
  <c r="X18" i="4"/>
  <c r="W18" i="4" a="1"/>
  <c r="W18" i="4" s="1"/>
  <c r="V104" i="3" s="1"/>
  <c r="N18" i="4"/>
  <c r="M18" i="4"/>
  <c r="G18" i="4"/>
  <c r="C18" i="4"/>
  <c r="A18" i="4"/>
  <c r="AC17" i="4"/>
  <c r="K135" i="3" s="1"/>
  <c r="AB17" i="4"/>
  <c r="J135" i="3" s="1"/>
  <c r="X17" i="4"/>
  <c r="O135" i="3" s="1"/>
  <c r="W17" i="4" a="1"/>
  <c r="W17" i="4" s="1"/>
  <c r="V135" i="3" s="1"/>
  <c r="N17" i="4"/>
  <c r="M17" i="4"/>
  <c r="G17" i="4"/>
  <c r="C17" i="4"/>
  <c r="A17" i="4"/>
  <c r="AC16" i="4"/>
  <c r="K184" i="3" s="1"/>
  <c r="AB16" i="4"/>
  <c r="J184" i="3" s="1"/>
  <c r="X16" i="4"/>
  <c r="O184" i="3" s="1"/>
  <c r="W16" i="4" a="1"/>
  <c r="W16" i="4" s="1"/>
  <c r="V184" i="3" s="1"/>
  <c r="N16" i="4"/>
  <c r="M16" i="4"/>
  <c r="G16" i="4"/>
  <c r="C16" i="4"/>
  <c r="A16" i="4"/>
  <c r="AC15" i="4"/>
  <c r="AB15" i="4"/>
  <c r="J75" i="3" s="1"/>
  <c r="X15" i="4"/>
  <c r="O75" i="3" s="1"/>
  <c r="W15" i="4" a="1"/>
  <c r="W15" i="4" s="1"/>
  <c r="V75" i="3" s="1"/>
  <c r="N15" i="4"/>
  <c r="M15" i="4"/>
  <c r="G15" i="4"/>
  <c r="C15" i="4"/>
  <c r="A15" i="4"/>
  <c r="AC14" i="4"/>
  <c r="K160" i="3" s="1"/>
  <c r="AB14" i="4"/>
  <c r="X14" i="4"/>
  <c r="O160" i="3" s="1"/>
  <c r="W14" i="4" a="1"/>
  <c r="W14" i="4" s="1"/>
  <c r="V160" i="3" s="1"/>
  <c r="N14" i="4"/>
  <c r="M14" i="4"/>
  <c r="G14" i="4"/>
  <c r="C14" i="4"/>
  <c r="A14" i="4"/>
  <c r="AC13" i="4"/>
  <c r="K158" i="3" s="1"/>
  <c r="AB13" i="4"/>
  <c r="J158" i="3" s="1"/>
  <c r="X13" i="4"/>
  <c r="O158" i="3" s="1"/>
  <c r="W13" i="4" a="1"/>
  <c r="W13" i="4" s="1"/>
  <c r="V158" i="3" s="1"/>
  <c r="N13" i="4"/>
  <c r="M13" i="4"/>
  <c r="G13" i="4"/>
  <c r="C13" i="4"/>
  <c r="A13" i="4"/>
  <c r="AC12" i="4"/>
  <c r="K167" i="3" s="1"/>
  <c r="AB12" i="4"/>
  <c r="J167" i="3" s="1"/>
  <c r="X12" i="4"/>
  <c r="O167" i="3" s="1"/>
  <c r="W12" i="4" a="1"/>
  <c r="W12" i="4" s="1"/>
  <c r="V167" i="3" s="1"/>
  <c r="N12" i="4"/>
  <c r="M12" i="4"/>
  <c r="G12" i="4"/>
  <c r="C12" i="4"/>
  <c r="A12" i="4"/>
  <c r="AC11" i="4"/>
  <c r="K171" i="3" s="1"/>
  <c r="AB11" i="4"/>
  <c r="J171" i="3" s="1"/>
  <c r="X11" i="4"/>
  <c r="O171" i="3" s="1"/>
  <c r="W11" i="4" a="1"/>
  <c r="W11" i="4" s="1"/>
  <c r="V171" i="3" s="1"/>
  <c r="N11" i="4"/>
  <c r="M11" i="4"/>
  <c r="G11" i="4"/>
  <c r="C11" i="4"/>
  <c r="A11" i="4"/>
  <c r="AC10" i="4"/>
  <c r="K183" i="3" s="1"/>
  <c r="AB10" i="4"/>
  <c r="J183" i="3" s="1"/>
  <c r="X10" i="4"/>
  <c r="O183" i="3" s="1"/>
  <c r="W10" i="4" a="1"/>
  <c r="W10" i="4" s="1"/>
  <c r="V183" i="3" s="1"/>
  <c r="N10" i="4"/>
  <c r="M10" i="4"/>
  <c r="G10" i="4"/>
  <c r="C10" i="4"/>
  <c r="A10" i="4"/>
  <c r="AC9" i="4"/>
  <c r="K16" i="3" s="1"/>
  <c r="AB9" i="4"/>
  <c r="J16" i="3" s="1"/>
  <c r="X9" i="4"/>
  <c r="O16" i="3" s="1"/>
  <c r="W9" i="4" a="1"/>
  <c r="W9" i="4" s="1"/>
  <c r="V16" i="3" s="1"/>
  <c r="N9" i="4"/>
  <c r="M9" i="4"/>
  <c r="G9" i="4"/>
  <c r="C9" i="4"/>
  <c r="A9" i="4"/>
  <c r="AC8" i="4"/>
  <c r="K124" i="3" s="1"/>
  <c r="AB8" i="4"/>
  <c r="J124" i="3" s="1"/>
  <c r="X8" i="4"/>
  <c r="O124" i="3" s="1"/>
  <c r="W8" i="4" a="1"/>
  <c r="W8" i="4" s="1"/>
  <c r="V124" i="3" s="1"/>
  <c r="N8" i="4"/>
  <c r="M8" i="4"/>
  <c r="G8" i="4"/>
  <c r="C8" i="4"/>
  <c r="A8" i="4"/>
  <c r="AC7" i="4"/>
  <c r="K94" i="3" s="1"/>
  <c r="AB7" i="4"/>
  <c r="X7" i="4"/>
  <c r="O94" i="3" s="1"/>
  <c r="W7" i="4" a="1"/>
  <c r="W7" i="4" s="1"/>
  <c r="V94" i="3" s="1"/>
  <c r="N7" i="4"/>
  <c r="M7" i="4"/>
  <c r="G7" i="4"/>
  <c r="C7" i="4"/>
  <c r="A7" i="4"/>
  <c r="AC6" i="4"/>
  <c r="K55" i="3" s="1"/>
  <c r="AB6" i="4"/>
  <c r="J55" i="3" s="1"/>
  <c r="X6" i="4"/>
  <c r="W6" i="4" a="1"/>
  <c r="W6" i="4" s="1"/>
  <c r="V55" i="3" s="1"/>
  <c r="N6" i="4"/>
  <c r="M6" i="4"/>
  <c r="G6" i="4"/>
  <c r="C6" i="4"/>
  <c r="A6" i="4"/>
  <c r="AC5" i="4"/>
  <c r="K130" i="3" s="1"/>
  <c r="AB5" i="4"/>
  <c r="J130" i="3" s="1"/>
  <c r="X5" i="4"/>
  <c r="O130" i="3" s="1"/>
  <c r="W5" i="4" a="1"/>
  <c r="W5" i="4" s="1"/>
  <c r="V130" i="3" s="1"/>
  <c r="N5" i="4"/>
  <c r="M5" i="4"/>
  <c r="G5" i="4"/>
  <c r="C5" i="4"/>
  <c r="A5" i="4"/>
  <c r="AC4" i="4"/>
  <c r="K13" i="3" s="1"/>
  <c r="AB4" i="4"/>
  <c r="J13" i="3" s="1"/>
  <c r="X4" i="4"/>
  <c r="O13" i="3" s="1"/>
  <c r="W4" i="4" a="1"/>
  <c r="W4" i="4" s="1"/>
  <c r="V13" i="3" s="1"/>
  <c r="N4" i="4"/>
  <c r="M4" i="4"/>
  <c r="G4" i="4"/>
  <c r="C4" i="4"/>
  <c r="A4" i="4"/>
  <c r="AC3" i="4"/>
  <c r="K179" i="3" s="1"/>
  <c r="AB3" i="4"/>
  <c r="J179" i="3" s="1"/>
  <c r="N3" i="4"/>
  <c r="M3" i="4"/>
  <c r="C3" i="4"/>
  <c r="A3" i="4"/>
  <c r="AK2" i="4"/>
  <c r="AL2" i="4" s="1"/>
  <c r="Z502" i="3"/>
  <c r="Y502" i="3"/>
  <c r="X502" i="3"/>
  <c r="W502" i="3"/>
  <c r="V502" i="3"/>
  <c r="U502" i="3"/>
  <c r="T502" i="3"/>
  <c r="S502" i="3"/>
  <c r="R502" i="3"/>
  <c r="Q502" i="3"/>
  <c r="P502" i="3"/>
  <c r="O502" i="3"/>
  <c r="N502" i="3"/>
  <c r="M502" i="3"/>
  <c r="L502" i="3"/>
  <c r="K502" i="3"/>
  <c r="J502" i="3"/>
  <c r="I502" i="3"/>
  <c r="H502" i="3"/>
  <c r="G502" i="3"/>
  <c r="F502" i="3"/>
  <c r="E502" i="3"/>
  <c r="D502" i="3"/>
  <c r="C502" i="3"/>
  <c r="B502" i="3"/>
  <c r="A502" i="3"/>
  <c r="Z501" i="3"/>
  <c r="Y501" i="3"/>
  <c r="X501" i="3"/>
  <c r="W501" i="3"/>
  <c r="V501" i="3"/>
  <c r="U501" i="3"/>
  <c r="T501" i="3"/>
  <c r="S501" i="3"/>
  <c r="R501" i="3"/>
  <c r="Q501" i="3"/>
  <c r="P501" i="3"/>
  <c r="O501" i="3"/>
  <c r="N501" i="3"/>
  <c r="M501" i="3"/>
  <c r="L501" i="3"/>
  <c r="K501" i="3"/>
  <c r="J501" i="3"/>
  <c r="I501" i="3"/>
  <c r="H501" i="3"/>
  <c r="G501" i="3"/>
  <c r="F501" i="3"/>
  <c r="E501" i="3"/>
  <c r="D501" i="3"/>
  <c r="C501" i="3"/>
  <c r="B501" i="3"/>
  <c r="A501" i="3"/>
  <c r="Z500" i="3"/>
  <c r="Y500" i="3"/>
  <c r="X500" i="3"/>
  <c r="W500" i="3"/>
  <c r="V500" i="3"/>
  <c r="U500" i="3"/>
  <c r="T500" i="3"/>
  <c r="S500" i="3"/>
  <c r="R500" i="3"/>
  <c r="Q500" i="3"/>
  <c r="P500" i="3"/>
  <c r="O500" i="3"/>
  <c r="N500" i="3"/>
  <c r="M500" i="3"/>
  <c r="L500" i="3"/>
  <c r="K500" i="3"/>
  <c r="J500" i="3"/>
  <c r="I500" i="3"/>
  <c r="H500" i="3"/>
  <c r="G500" i="3"/>
  <c r="F500" i="3"/>
  <c r="E500" i="3"/>
  <c r="D500" i="3"/>
  <c r="C500" i="3"/>
  <c r="B500" i="3"/>
  <c r="A500" i="3"/>
  <c r="Z499" i="3"/>
  <c r="Y499" i="3"/>
  <c r="X499" i="3"/>
  <c r="W499" i="3"/>
  <c r="V499" i="3"/>
  <c r="U499" i="3"/>
  <c r="T499" i="3"/>
  <c r="S499" i="3"/>
  <c r="R499" i="3"/>
  <c r="Q499" i="3"/>
  <c r="P499" i="3"/>
  <c r="O499" i="3"/>
  <c r="N499" i="3"/>
  <c r="M499" i="3"/>
  <c r="L499" i="3"/>
  <c r="K499" i="3"/>
  <c r="J499" i="3"/>
  <c r="I499" i="3"/>
  <c r="H499" i="3"/>
  <c r="G499" i="3"/>
  <c r="F499" i="3"/>
  <c r="E499" i="3"/>
  <c r="D499" i="3"/>
  <c r="C499" i="3"/>
  <c r="B499" i="3"/>
  <c r="A499" i="3"/>
  <c r="Z498" i="3"/>
  <c r="Y498" i="3"/>
  <c r="X498" i="3"/>
  <c r="W498" i="3"/>
  <c r="V498" i="3"/>
  <c r="U498" i="3"/>
  <c r="T498" i="3"/>
  <c r="S498" i="3"/>
  <c r="R498" i="3"/>
  <c r="Q498" i="3"/>
  <c r="P498" i="3"/>
  <c r="O498" i="3"/>
  <c r="N498" i="3"/>
  <c r="M498" i="3"/>
  <c r="L498" i="3"/>
  <c r="K498" i="3"/>
  <c r="J498" i="3"/>
  <c r="I498" i="3"/>
  <c r="H498" i="3"/>
  <c r="G498" i="3"/>
  <c r="F498" i="3"/>
  <c r="E498" i="3"/>
  <c r="D498" i="3"/>
  <c r="C498" i="3"/>
  <c r="B498" i="3"/>
  <c r="A498" i="3"/>
  <c r="Z497" i="3"/>
  <c r="Y497" i="3"/>
  <c r="X497" i="3"/>
  <c r="W497" i="3"/>
  <c r="V497" i="3"/>
  <c r="U497" i="3"/>
  <c r="T497" i="3"/>
  <c r="S497" i="3"/>
  <c r="R497" i="3"/>
  <c r="Q497" i="3"/>
  <c r="P497" i="3"/>
  <c r="O497" i="3"/>
  <c r="N497" i="3"/>
  <c r="M497" i="3"/>
  <c r="L497" i="3"/>
  <c r="K497" i="3"/>
  <c r="J497" i="3"/>
  <c r="I497" i="3"/>
  <c r="H497" i="3"/>
  <c r="G497" i="3"/>
  <c r="F497" i="3"/>
  <c r="E497" i="3"/>
  <c r="D497" i="3"/>
  <c r="C497" i="3"/>
  <c r="B497" i="3"/>
  <c r="A497" i="3"/>
  <c r="Z496" i="3"/>
  <c r="Y496" i="3"/>
  <c r="X496" i="3"/>
  <c r="W496" i="3"/>
  <c r="V496" i="3"/>
  <c r="U496" i="3"/>
  <c r="T496" i="3"/>
  <c r="S496" i="3"/>
  <c r="R496" i="3"/>
  <c r="Q496" i="3"/>
  <c r="P496" i="3"/>
  <c r="O496" i="3"/>
  <c r="N496" i="3"/>
  <c r="M496" i="3"/>
  <c r="L496" i="3"/>
  <c r="K496" i="3"/>
  <c r="J496" i="3"/>
  <c r="I496" i="3"/>
  <c r="H496" i="3"/>
  <c r="G496" i="3"/>
  <c r="F496" i="3"/>
  <c r="E496" i="3"/>
  <c r="D496" i="3"/>
  <c r="C496" i="3"/>
  <c r="B496" i="3"/>
  <c r="A496" i="3"/>
  <c r="Z495" i="3"/>
  <c r="Y495" i="3"/>
  <c r="X495" i="3"/>
  <c r="W495" i="3"/>
  <c r="V495" i="3"/>
  <c r="U495" i="3"/>
  <c r="T495" i="3"/>
  <c r="S495" i="3"/>
  <c r="R495" i="3"/>
  <c r="Q495" i="3"/>
  <c r="P495" i="3"/>
  <c r="O495" i="3"/>
  <c r="N495" i="3"/>
  <c r="M495" i="3"/>
  <c r="L495" i="3"/>
  <c r="K495" i="3"/>
  <c r="J495" i="3"/>
  <c r="I495" i="3"/>
  <c r="H495" i="3"/>
  <c r="G495" i="3"/>
  <c r="F495" i="3"/>
  <c r="E495" i="3"/>
  <c r="D495" i="3"/>
  <c r="C495" i="3"/>
  <c r="B495" i="3"/>
  <c r="A495" i="3"/>
  <c r="Z494" i="3"/>
  <c r="Y494" i="3"/>
  <c r="X494" i="3"/>
  <c r="W494" i="3"/>
  <c r="V494" i="3"/>
  <c r="U494" i="3"/>
  <c r="T494" i="3"/>
  <c r="S494" i="3"/>
  <c r="R494" i="3"/>
  <c r="Q494" i="3"/>
  <c r="P494" i="3"/>
  <c r="O494" i="3"/>
  <c r="N494" i="3"/>
  <c r="M494" i="3"/>
  <c r="L494" i="3"/>
  <c r="K494" i="3"/>
  <c r="J494" i="3"/>
  <c r="I494" i="3"/>
  <c r="H494" i="3"/>
  <c r="G494" i="3"/>
  <c r="F494" i="3"/>
  <c r="E494" i="3"/>
  <c r="D494" i="3"/>
  <c r="C494" i="3"/>
  <c r="B494" i="3"/>
  <c r="A494" i="3"/>
  <c r="Z493" i="3"/>
  <c r="Y493" i="3"/>
  <c r="X493" i="3"/>
  <c r="W493" i="3"/>
  <c r="V493" i="3"/>
  <c r="U493" i="3"/>
  <c r="T493" i="3"/>
  <c r="S493" i="3"/>
  <c r="R493" i="3"/>
  <c r="Q493" i="3"/>
  <c r="P493" i="3"/>
  <c r="O493" i="3"/>
  <c r="N493" i="3"/>
  <c r="M493" i="3"/>
  <c r="L493" i="3"/>
  <c r="K493" i="3"/>
  <c r="J493" i="3"/>
  <c r="I493" i="3"/>
  <c r="H493" i="3"/>
  <c r="G493" i="3"/>
  <c r="F493" i="3"/>
  <c r="E493" i="3"/>
  <c r="D493" i="3"/>
  <c r="C493" i="3"/>
  <c r="B493" i="3"/>
  <c r="A493" i="3"/>
  <c r="Z492" i="3"/>
  <c r="Y492" i="3"/>
  <c r="X492" i="3"/>
  <c r="W492" i="3"/>
  <c r="V492" i="3"/>
  <c r="U492" i="3"/>
  <c r="T492" i="3"/>
  <c r="S492" i="3"/>
  <c r="R492" i="3"/>
  <c r="Q492" i="3"/>
  <c r="P492" i="3"/>
  <c r="O492" i="3"/>
  <c r="N492" i="3"/>
  <c r="M492" i="3"/>
  <c r="L492" i="3"/>
  <c r="K492" i="3"/>
  <c r="J492" i="3"/>
  <c r="I492" i="3"/>
  <c r="H492" i="3"/>
  <c r="G492" i="3"/>
  <c r="F492" i="3"/>
  <c r="E492" i="3"/>
  <c r="D492" i="3"/>
  <c r="C492" i="3"/>
  <c r="B492" i="3"/>
  <c r="A492" i="3"/>
  <c r="Z491" i="3"/>
  <c r="Y491" i="3"/>
  <c r="X491" i="3"/>
  <c r="W491" i="3"/>
  <c r="V491" i="3"/>
  <c r="U491" i="3"/>
  <c r="T491" i="3"/>
  <c r="S491" i="3"/>
  <c r="R491" i="3"/>
  <c r="Q491" i="3"/>
  <c r="P491" i="3"/>
  <c r="O491" i="3"/>
  <c r="N491" i="3"/>
  <c r="M491" i="3"/>
  <c r="L491" i="3"/>
  <c r="K491" i="3"/>
  <c r="J491" i="3"/>
  <c r="I491" i="3"/>
  <c r="H491" i="3"/>
  <c r="G491" i="3"/>
  <c r="F491" i="3"/>
  <c r="E491" i="3"/>
  <c r="D491" i="3"/>
  <c r="C491" i="3"/>
  <c r="B491" i="3"/>
  <c r="A491" i="3"/>
  <c r="Z490" i="3"/>
  <c r="Y490" i="3"/>
  <c r="X490" i="3"/>
  <c r="W490" i="3"/>
  <c r="V490" i="3"/>
  <c r="U490" i="3"/>
  <c r="T490" i="3"/>
  <c r="S490" i="3"/>
  <c r="R490" i="3"/>
  <c r="Q490" i="3"/>
  <c r="P490" i="3"/>
  <c r="O490" i="3"/>
  <c r="N490" i="3"/>
  <c r="M490" i="3"/>
  <c r="L490" i="3"/>
  <c r="K490" i="3"/>
  <c r="J490" i="3"/>
  <c r="I490" i="3"/>
  <c r="H490" i="3"/>
  <c r="G490" i="3"/>
  <c r="F490" i="3"/>
  <c r="E490" i="3"/>
  <c r="D490" i="3"/>
  <c r="C490" i="3"/>
  <c r="B490" i="3"/>
  <c r="A490" i="3"/>
  <c r="Z489" i="3"/>
  <c r="Y489" i="3"/>
  <c r="X489" i="3"/>
  <c r="W489" i="3"/>
  <c r="V489" i="3"/>
  <c r="U489" i="3"/>
  <c r="T489" i="3"/>
  <c r="S489" i="3"/>
  <c r="R489" i="3"/>
  <c r="Q489" i="3"/>
  <c r="P489" i="3"/>
  <c r="O489" i="3"/>
  <c r="N489" i="3"/>
  <c r="M489" i="3"/>
  <c r="L489" i="3"/>
  <c r="K489" i="3"/>
  <c r="J489" i="3"/>
  <c r="I489" i="3"/>
  <c r="H489" i="3"/>
  <c r="G489" i="3"/>
  <c r="F489" i="3"/>
  <c r="E489" i="3"/>
  <c r="D489" i="3"/>
  <c r="C489" i="3"/>
  <c r="B489" i="3"/>
  <c r="A489" i="3"/>
  <c r="Z488" i="3"/>
  <c r="Y488" i="3"/>
  <c r="X488" i="3"/>
  <c r="W488" i="3"/>
  <c r="V488" i="3"/>
  <c r="U488" i="3"/>
  <c r="T488" i="3"/>
  <c r="S488" i="3"/>
  <c r="R488" i="3"/>
  <c r="Q488" i="3"/>
  <c r="P488" i="3"/>
  <c r="O488" i="3"/>
  <c r="N488" i="3"/>
  <c r="M488" i="3"/>
  <c r="L488" i="3"/>
  <c r="K488" i="3"/>
  <c r="J488" i="3"/>
  <c r="I488" i="3"/>
  <c r="H488" i="3"/>
  <c r="G488" i="3"/>
  <c r="F488" i="3"/>
  <c r="E488" i="3"/>
  <c r="D488" i="3"/>
  <c r="C488" i="3"/>
  <c r="B488" i="3"/>
  <c r="A488" i="3"/>
  <c r="Z487" i="3"/>
  <c r="Y487" i="3"/>
  <c r="X487" i="3"/>
  <c r="W487" i="3"/>
  <c r="V487" i="3"/>
  <c r="U487" i="3"/>
  <c r="T487" i="3"/>
  <c r="S487" i="3"/>
  <c r="R487" i="3"/>
  <c r="Q487" i="3"/>
  <c r="P487" i="3"/>
  <c r="O487" i="3"/>
  <c r="N487" i="3"/>
  <c r="M487" i="3"/>
  <c r="L487" i="3"/>
  <c r="K487" i="3"/>
  <c r="J487" i="3"/>
  <c r="I487" i="3"/>
  <c r="H487" i="3"/>
  <c r="G487" i="3"/>
  <c r="F487" i="3"/>
  <c r="E487" i="3"/>
  <c r="D487" i="3"/>
  <c r="C487" i="3"/>
  <c r="B487" i="3"/>
  <c r="A487" i="3"/>
  <c r="Z486" i="3"/>
  <c r="Y486" i="3"/>
  <c r="X486" i="3"/>
  <c r="W486" i="3"/>
  <c r="V486" i="3"/>
  <c r="U486" i="3"/>
  <c r="T486" i="3"/>
  <c r="S486" i="3"/>
  <c r="R486" i="3"/>
  <c r="Q486" i="3"/>
  <c r="P486" i="3"/>
  <c r="O486" i="3"/>
  <c r="N486" i="3"/>
  <c r="M486" i="3"/>
  <c r="L486" i="3"/>
  <c r="K486" i="3"/>
  <c r="J486" i="3"/>
  <c r="I486" i="3"/>
  <c r="H486" i="3"/>
  <c r="G486" i="3"/>
  <c r="F486" i="3"/>
  <c r="E486" i="3"/>
  <c r="D486" i="3"/>
  <c r="C486" i="3"/>
  <c r="B486" i="3"/>
  <c r="A486" i="3"/>
  <c r="Z485" i="3"/>
  <c r="Y485" i="3"/>
  <c r="X485" i="3"/>
  <c r="W485" i="3"/>
  <c r="V485" i="3"/>
  <c r="U485" i="3"/>
  <c r="T485" i="3"/>
  <c r="S485" i="3"/>
  <c r="R485" i="3"/>
  <c r="Q485" i="3"/>
  <c r="P485" i="3"/>
  <c r="O485" i="3"/>
  <c r="N485" i="3"/>
  <c r="M485" i="3"/>
  <c r="L485" i="3"/>
  <c r="K485" i="3"/>
  <c r="J485" i="3"/>
  <c r="I485" i="3"/>
  <c r="H485" i="3"/>
  <c r="G485" i="3"/>
  <c r="F485" i="3"/>
  <c r="E485" i="3"/>
  <c r="D485" i="3"/>
  <c r="C485" i="3"/>
  <c r="B485" i="3"/>
  <c r="A485" i="3"/>
  <c r="Z484" i="3"/>
  <c r="Y484" i="3"/>
  <c r="X484" i="3"/>
  <c r="W484" i="3"/>
  <c r="V484" i="3"/>
  <c r="U484" i="3"/>
  <c r="T484" i="3"/>
  <c r="S484" i="3"/>
  <c r="R484" i="3"/>
  <c r="Q484" i="3"/>
  <c r="P484" i="3"/>
  <c r="O484" i="3"/>
  <c r="N484" i="3"/>
  <c r="M484" i="3"/>
  <c r="L484" i="3"/>
  <c r="K484" i="3"/>
  <c r="J484" i="3"/>
  <c r="I484" i="3"/>
  <c r="H484" i="3"/>
  <c r="G484" i="3"/>
  <c r="F484" i="3"/>
  <c r="E484" i="3"/>
  <c r="D484" i="3"/>
  <c r="C484" i="3"/>
  <c r="B484" i="3"/>
  <c r="A484" i="3"/>
  <c r="Z483" i="3"/>
  <c r="Y483" i="3"/>
  <c r="X483" i="3"/>
  <c r="W483" i="3"/>
  <c r="V483" i="3"/>
  <c r="U483" i="3"/>
  <c r="T483" i="3"/>
  <c r="S483" i="3"/>
  <c r="R483" i="3"/>
  <c r="Q483" i="3"/>
  <c r="P483" i="3"/>
  <c r="O483" i="3"/>
  <c r="N483" i="3"/>
  <c r="M483" i="3"/>
  <c r="L483" i="3"/>
  <c r="K483" i="3"/>
  <c r="J483" i="3"/>
  <c r="I483" i="3"/>
  <c r="H483" i="3"/>
  <c r="G483" i="3"/>
  <c r="F483" i="3"/>
  <c r="E483" i="3"/>
  <c r="D483" i="3"/>
  <c r="C483" i="3"/>
  <c r="B483" i="3"/>
  <c r="A483" i="3"/>
  <c r="Z482" i="3"/>
  <c r="Y482" i="3"/>
  <c r="X482" i="3"/>
  <c r="W482" i="3"/>
  <c r="V482" i="3"/>
  <c r="U482" i="3"/>
  <c r="T482" i="3"/>
  <c r="S482" i="3"/>
  <c r="R482" i="3"/>
  <c r="Q482" i="3"/>
  <c r="P482" i="3"/>
  <c r="O482" i="3"/>
  <c r="N482" i="3"/>
  <c r="M482" i="3"/>
  <c r="L482" i="3"/>
  <c r="K482" i="3"/>
  <c r="J482" i="3"/>
  <c r="I482" i="3"/>
  <c r="H482" i="3"/>
  <c r="G482" i="3"/>
  <c r="F482" i="3"/>
  <c r="E482" i="3"/>
  <c r="D482" i="3"/>
  <c r="C482" i="3"/>
  <c r="B482" i="3"/>
  <c r="A482" i="3"/>
  <c r="Z481" i="3"/>
  <c r="Y481" i="3"/>
  <c r="X481" i="3"/>
  <c r="W481" i="3"/>
  <c r="V481" i="3"/>
  <c r="U481" i="3"/>
  <c r="T481" i="3"/>
  <c r="S481" i="3"/>
  <c r="R481" i="3"/>
  <c r="Q481" i="3"/>
  <c r="P481" i="3"/>
  <c r="O481" i="3"/>
  <c r="N481" i="3"/>
  <c r="M481" i="3"/>
  <c r="L481" i="3"/>
  <c r="K481" i="3"/>
  <c r="J481" i="3"/>
  <c r="I481" i="3"/>
  <c r="H481" i="3"/>
  <c r="G481" i="3"/>
  <c r="F481" i="3"/>
  <c r="E481" i="3"/>
  <c r="D481" i="3"/>
  <c r="C481" i="3"/>
  <c r="B481" i="3"/>
  <c r="A481" i="3"/>
  <c r="Z480" i="3"/>
  <c r="Y480" i="3"/>
  <c r="X480" i="3"/>
  <c r="W480" i="3"/>
  <c r="V480" i="3"/>
  <c r="U480" i="3"/>
  <c r="T480" i="3"/>
  <c r="S480" i="3"/>
  <c r="R480" i="3"/>
  <c r="Q480" i="3"/>
  <c r="P480" i="3"/>
  <c r="O480" i="3"/>
  <c r="N480" i="3"/>
  <c r="M480" i="3"/>
  <c r="L480" i="3"/>
  <c r="K480" i="3"/>
  <c r="J480" i="3"/>
  <c r="I480" i="3"/>
  <c r="H480" i="3"/>
  <c r="G480" i="3"/>
  <c r="F480" i="3"/>
  <c r="E480" i="3"/>
  <c r="D480" i="3"/>
  <c r="C480" i="3"/>
  <c r="B480" i="3"/>
  <c r="A480" i="3"/>
  <c r="Z479" i="3"/>
  <c r="Y479" i="3"/>
  <c r="X479" i="3"/>
  <c r="W479" i="3"/>
  <c r="V479" i="3"/>
  <c r="U479" i="3"/>
  <c r="T479" i="3"/>
  <c r="S479" i="3"/>
  <c r="R479" i="3"/>
  <c r="Q479" i="3"/>
  <c r="P479" i="3"/>
  <c r="O479" i="3"/>
  <c r="N479" i="3"/>
  <c r="M479" i="3"/>
  <c r="L479" i="3"/>
  <c r="K479" i="3"/>
  <c r="J479" i="3"/>
  <c r="I479" i="3"/>
  <c r="H479" i="3"/>
  <c r="G479" i="3"/>
  <c r="F479" i="3"/>
  <c r="E479" i="3"/>
  <c r="D479" i="3"/>
  <c r="C479" i="3"/>
  <c r="B479" i="3"/>
  <c r="A479" i="3"/>
  <c r="Z478" i="3"/>
  <c r="Y478" i="3"/>
  <c r="X478" i="3"/>
  <c r="W478" i="3"/>
  <c r="V478" i="3"/>
  <c r="U478" i="3"/>
  <c r="T478" i="3"/>
  <c r="S478" i="3"/>
  <c r="R478" i="3"/>
  <c r="Q478" i="3"/>
  <c r="P478" i="3"/>
  <c r="O478" i="3"/>
  <c r="N478" i="3"/>
  <c r="M478" i="3"/>
  <c r="L478" i="3"/>
  <c r="K478" i="3"/>
  <c r="J478" i="3"/>
  <c r="I478" i="3"/>
  <c r="H478" i="3"/>
  <c r="G478" i="3"/>
  <c r="F478" i="3"/>
  <c r="E478" i="3"/>
  <c r="D478" i="3"/>
  <c r="C478" i="3"/>
  <c r="B478" i="3"/>
  <c r="A478" i="3"/>
  <c r="Z477" i="3"/>
  <c r="Y477" i="3"/>
  <c r="X477" i="3"/>
  <c r="W477" i="3"/>
  <c r="V477" i="3"/>
  <c r="U477" i="3"/>
  <c r="T477" i="3"/>
  <c r="S477" i="3"/>
  <c r="R477" i="3"/>
  <c r="Q477" i="3"/>
  <c r="P477" i="3"/>
  <c r="O477" i="3"/>
  <c r="N477" i="3"/>
  <c r="M477" i="3"/>
  <c r="L477" i="3"/>
  <c r="K477" i="3"/>
  <c r="J477" i="3"/>
  <c r="I477" i="3"/>
  <c r="H477" i="3"/>
  <c r="G477" i="3"/>
  <c r="F477" i="3"/>
  <c r="E477" i="3"/>
  <c r="D477" i="3"/>
  <c r="C477" i="3"/>
  <c r="B477" i="3"/>
  <c r="A477" i="3"/>
  <c r="Z476" i="3"/>
  <c r="Y476" i="3"/>
  <c r="X476" i="3"/>
  <c r="W476" i="3"/>
  <c r="V476" i="3"/>
  <c r="U476" i="3"/>
  <c r="T476" i="3"/>
  <c r="S476" i="3"/>
  <c r="R476" i="3"/>
  <c r="Q476" i="3"/>
  <c r="P476" i="3"/>
  <c r="O476" i="3"/>
  <c r="N476" i="3"/>
  <c r="M476" i="3"/>
  <c r="L476" i="3"/>
  <c r="K476" i="3"/>
  <c r="J476" i="3"/>
  <c r="I476" i="3"/>
  <c r="H476" i="3"/>
  <c r="G476" i="3"/>
  <c r="F476" i="3"/>
  <c r="E476" i="3"/>
  <c r="D476" i="3"/>
  <c r="C476" i="3"/>
  <c r="B476" i="3"/>
  <c r="A476" i="3"/>
  <c r="Z475" i="3"/>
  <c r="Y475" i="3"/>
  <c r="X475" i="3"/>
  <c r="W475" i="3"/>
  <c r="V475" i="3"/>
  <c r="U475" i="3"/>
  <c r="T475" i="3"/>
  <c r="S475" i="3"/>
  <c r="R475" i="3"/>
  <c r="Q475" i="3"/>
  <c r="P475" i="3"/>
  <c r="O475" i="3"/>
  <c r="N475" i="3"/>
  <c r="M475" i="3"/>
  <c r="L475" i="3"/>
  <c r="K475" i="3"/>
  <c r="J475" i="3"/>
  <c r="I475" i="3"/>
  <c r="H475" i="3"/>
  <c r="G475" i="3"/>
  <c r="F475" i="3"/>
  <c r="E475" i="3"/>
  <c r="D475" i="3"/>
  <c r="C475" i="3"/>
  <c r="B475" i="3"/>
  <c r="A475" i="3"/>
  <c r="Z474" i="3"/>
  <c r="Y474" i="3"/>
  <c r="X474" i="3"/>
  <c r="W474" i="3"/>
  <c r="V474" i="3"/>
  <c r="U474" i="3"/>
  <c r="T474" i="3"/>
  <c r="S474" i="3"/>
  <c r="R474" i="3"/>
  <c r="Q474" i="3"/>
  <c r="P474" i="3"/>
  <c r="O474" i="3"/>
  <c r="N474" i="3"/>
  <c r="M474" i="3"/>
  <c r="L474" i="3"/>
  <c r="K474" i="3"/>
  <c r="J474" i="3"/>
  <c r="I474" i="3"/>
  <c r="H474" i="3"/>
  <c r="G474" i="3"/>
  <c r="F474" i="3"/>
  <c r="E474" i="3"/>
  <c r="D474" i="3"/>
  <c r="C474" i="3"/>
  <c r="B474" i="3"/>
  <c r="A474" i="3"/>
  <c r="Z473" i="3"/>
  <c r="Y473" i="3"/>
  <c r="X473" i="3"/>
  <c r="W473" i="3"/>
  <c r="V473" i="3"/>
  <c r="U473" i="3"/>
  <c r="T473" i="3"/>
  <c r="S473" i="3"/>
  <c r="R473" i="3"/>
  <c r="Q473" i="3"/>
  <c r="P473" i="3"/>
  <c r="O473" i="3"/>
  <c r="N473" i="3"/>
  <c r="M473" i="3"/>
  <c r="L473" i="3"/>
  <c r="K473" i="3"/>
  <c r="J473" i="3"/>
  <c r="I473" i="3"/>
  <c r="H473" i="3"/>
  <c r="G473" i="3"/>
  <c r="F473" i="3"/>
  <c r="E473" i="3"/>
  <c r="D473" i="3"/>
  <c r="C473" i="3"/>
  <c r="B473" i="3"/>
  <c r="A473" i="3"/>
  <c r="Z472" i="3"/>
  <c r="Y472" i="3"/>
  <c r="X472" i="3"/>
  <c r="W472" i="3"/>
  <c r="V472" i="3"/>
  <c r="U472" i="3"/>
  <c r="T472" i="3"/>
  <c r="S472" i="3"/>
  <c r="R472" i="3"/>
  <c r="Q472" i="3"/>
  <c r="P472" i="3"/>
  <c r="O472" i="3"/>
  <c r="N472" i="3"/>
  <c r="M472" i="3"/>
  <c r="L472" i="3"/>
  <c r="K472" i="3"/>
  <c r="J472" i="3"/>
  <c r="I472" i="3"/>
  <c r="H472" i="3"/>
  <c r="G472" i="3"/>
  <c r="F472" i="3"/>
  <c r="E472" i="3"/>
  <c r="D472" i="3"/>
  <c r="C472" i="3"/>
  <c r="B472" i="3"/>
  <c r="A472" i="3"/>
  <c r="Z471" i="3"/>
  <c r="Y471" i="3"/>
  <c r="X471" i="3"/>
  <c r="W471" i="3"/>
  <c r="V471" i="3"/>
  <c r="U471" i="3"/>
  <c r="T471" i="3"/>
  <c r="S471" i="3"/>
  <c r="R471" i="3"/>
  <c r="Q471" i="3"/>
  <c r="P471" i="3"/>
  <c r="O471" i="3"/>
  <c r="N471" i="3"/>
  <c r="M471" i="3"/>
  <c r="L471" i="3"/>
  <c r="K471" i="3"/>
  <c r="J471" i="3"/>
  <c r="I471" i="3"/>
  <c r="H471" i="3"/>
  <c r="G471" i="3"/>
  <c r="F471" i="3"/>
  <c r="E471" i="3"/>
  <c r="D471" i="3"/>
  <c r="C471" i="3"/>
  <c r="B471" i="3"/>
  <c r="A471" i="3"/>
  <c r="Z470" i="3"/>
  <c r="Y470" i="3"/>
  <c r="X470" i="3"/>
  <c r="W470" i="3"/>
  <c r="V470" i="3"/>
  <c r="U470" i="3"/>
  <c r="T470" i="3"/>
  <c r="S470" i="3"/>
  <c r="R470" i="3"/>
  <c r="Q470" i="3"/>
  <c r="P470" i="3"/>
  <c r="O470" i="3"/>
  <c r="N470" i="3"/>
  <c r="M470" i="3"/>
  <c r="L470" i="3"/>
  <c r="K470" i="3"/>
  <c r="J470" i="3"/>
  <c r="I470" i="3"/>
  <c r="H470" i="3"/>
  <c r="G470" i="3"/>
  <c r="F470" i="3"/>
  <c r="E470" i="3"/>
  <c r="D470" i="3"/>
  <c r="C470" i="3"/>
  <c r="B470" i="3"/>
  <c r="A470" i="3"/>
  <c r="Z469" i="3"/>
  <c r="Y469" i="3"/>
  <c r="X469" i="3"/>
  <c r="W469" i="3"/>
  <c r="V469" i="3"/>
  <c r="U469" i="3"/>
  <c r="T469" i="3"/>
  <c r="S469" i="3"/>
  <c r="R469" i="3"/>
  <c r="Q469" i="3"/>
  <c r="P469" i="3"/>
  <c r="O469" i="3"/>
  <c r="N469" i="3"/>
  <c r="M469" i="3"/>
  <c r="L469" i="3"/>
  <c r="K469" i="3"/>
  <c r="J469" i="3"/>
  <c r="I469" i="3"/>
  <c r="H469" i="3"/>
  <c r="G469" i="3"/>
  <c r="F469" i="3"/>
  <c r="E469" i="3"/>
  <c r="D469" i="3"/>
  <c r="C469" i="3"/>
  <c r="B469" i="3"/>
  <c r="A469" i="3"/>
  <c r="Z468" i="3"/>
  <c r="Y468" i="3"/>
  <c r="X468" i="3"/>
  <c r="W468" i="3"/>
  <c r="V468" i="3"/>
  <c r="U468" i="3"/>
  <c r="T468" i="3"/>
  <c r="S468" i="3"/>
  <c r="R468" i="3"/>
  <c r="Q468" i="3"/>
  <c r="P468" i="3"/>
  <c r="O468" i="3"/>
  <c r="N468" i="3"/>
  <c r="M468" i="3"/>
  <c r="L468" i="3"/>
  <c r="K468" i="3"/>
  <c r="J468" i="3"/>
  <c r="I468" i="3"/>
  <c r="H468" i="3"/>
  <c r="G468" i="3"/>
  <c r="F468" i="3"/>
  <c r="E468" i="3"/>
  <c r="D468" i="3"/>
  <c r="C468" i="3"/>
  <c r="B468" i="3"/>
  <c r="A468" i="3"/>
  <c r="Z467" i="3"/>
  <c r="Y467" i="3"/>
  <c r="X467" i="3"/>
  <c r="W467" i="3"/>
  <c r="V467" i="3"/>
  <c r="U467" i="3"/>
  <c r="T467" i="3"/>
  <c r="S467" i="3"/>
  <c r="R467" i="3"/>
  <c r="Q467" i="3"/>
  <c r="P467" i="3"/>
  <c r="O467" i="3"/>
  <c r="N467" i="3"/>
  <c r="M467" i="3"/>
  <c r="L467" i="3"/>
  <c r="K467" i="3"/>
  <c r="J467" i="3"/>
  <c r="I467" i="3"/>
  <c r="H467" i="3"/>
  <c r="G467" i="3"/>
  <c r="F467" i="3"/>
  <c r="E467" i="3"/>
  <c r="D467" i="3"/>
  <c r="C467" i="3"/>
  <c r="B467" i="3"/>
  <c r="A467" i="3"/>
  <c r="Z466" i="3"/>
  <c r="Y466" i="3"/>
  <c r="X466" i="3"/>
  <c r="W466" i="3"/>
  <c r="V466" i="3"/>
  <c r="U466" i="3"/>
  <c r="T466" i="3"/>
  <c r="S466" i="3"/>
  <c r="R466" i="3"/>
  <c r="Q466" i="3"/>
  <c r="P466" i="3"/>
  <c r="O466" i="3"/>
  <c r="N466" i="3"/>
  <c r="M466" i="3"/>
  <c r="L466" i="3"/>
  <c r="K466" i="3"/>
  <c r="J466" i="3"/>
  <c r="I466" i="3"/>
  <c r="H466" i="3"/>
  <c r="G466" i="3"/>
  <c r="F466" i="3"/>
  <c r="E466" i="3"/>
  <c r="D466" i="3"/>
  <c r="C466" i="3"/>
  <c r="B466" i="3"/>
  <c r="A466" i="3"/>
  <c r="Z465" i="3"/>
  <c r="Y465" i="3"/>
  <c r="X465" i="3"/>
  <c r="W465" i="3"/>
  <c r="V465" i="3"/>
  <c r="U465" i="3"/>
  <c r="T465" i="3"/>
  <c r="S465" i="3"/>
  <c r="R465" i="3"/>
  <c r="Q465" i="3"/>
  <c r="P465" i="3"/>
  <c r="O465" i="3"/>
  <c r="N465" i="3"/>
  <c r="M465" i="3"/>
  <c r="L465" i="3"/>
  <c r="K465" i="3"/>
  <c r="J465" i="3"/>
  <c r="I465" i="3"/>
  <c r="H465" i="3"/>
  <c r="G465" i="3"/>
  <c r="F465" i="3"/>
  <c r="E465" i="3"/>
  <c r="D465" i="3"/>
  <c r="C465" i="3"/>
  <c r="B465" i="3"/>
  <c r="A465" i="3"/>
  <c r="Z464" i="3"/>
  <c r="Y464" i="3"/>
  <c r="X464" i="3"/>
  <c r="W464" i="3"/>
  <c r="V464" i="3"/>
  <c r="U464" i="3"/>
  <c r="T464" i="3"/>
  <c r="S464" i="3"/>
  <c r="R464" i="3"/>
  <c r="Q464" i="3"/>
  <c r="P464" i="3"/>
  <c r="O464" i="3"/>
  <c r="N464" i="3"/>
  <c r="M464" i="3"/>
  <c r="L464" i="3"/>
  <c r="K464" i="3"/>
  <c r="J464" i="3"/>
  <c r="I464" i="3"/>
  <c r="H464" i="3"/>
  <c r="G464" i="3"/>
  <c r="F464" i="3"/>
  <c r="E464" i="3"/>
  <c r="D464" i="3"/>
  <c r="C464" i="3"/>
  <c r="B464" i="3"/>
  <c r="A464" i="3"/>
  <c r="Z463" i="3"/>
  <c r="Y463" i="3"/>
  <c r="X463" i="3"/>
  <c r="W463" i="3"/>
  <c r="V463" i="3"/>
  <c r="U463" i="3"/>
  <c r="T463" i="3"/>
  <c r="S463" i="3"/>
  <c r="R463" i="3"/>
  <c r="Q463" i="3"/>
  <c r="P463" i="3"/>
  <c r="O463" i="3"/>
  <c r="N463" i="3"/>
  <c r="M463" i="3"/>
  <c r="L463" i="3"/>
  <c r="K463" i="3"/>
  <c r="J463" i="3"/>
  <c r="I463" i="3"/>
  <c r="H463" i="3"/>
  <c r="G463" i="3"/>
  <c r="F463" i="3"/>
  <c r="E463" i="3"/>
  <c r="D463" i="3"/>
  <c r="C463" i="3"/>
  <c r="B463" i="3"/>
  <c r="A463" i="3"/>
  <c r="Z462" i="3"/>
  <c r="Y462" i="3"/>
  <c r="X462" i="3"/>
  <c r="W462" i="3"/>
  <c r="V462" i="3"/>
  <c r="U462" i="3"/>
  <c r="T462" i="3"/>
  <c r="S462" i="3"/>
  <c r="R462" i="3"/>
  <c r="Q462" i="3"/>
  <c r="P462" i="3"/>
  <c r="O462" i="3"/>
  <c r="N462" i="3"/>
  <c r="M462" i="3"/>
  <c r="L462" i="3"/>
  <c r="K462" i="3"/>
  <c r="J462" i="3"/>
  <c r="I462" i="3"/>
  <c r="H462" i="3"/>
  <c r="G462" i="3"/>
  <c r="F462" i="3"/>
  <c r="E462" i="3"/>
  <c r="D462" i="3"/>
  <c r="C462" i="3"/>
  <c r="B462" i="3"/>
  <c r="A462" i="3"/>
  <c r="Z461" i="3"/>
  <c r="Y461" i="3"/>
  <c r="X461" i="3"/>
  <c r="W461" i="3"/>
  <c r="V461" i="3"/>
  <c r="U461" i="3"/>
  <c r="T461" i="3"/>
  <c r="S461" i="3"/>
  <c r="R461" i="3"/>
  <c r="Q461" i="3"/>
  <c r="P461" i="3"/>
  <c r="O461" i="3"/>
  <c r="N461" i="3"/>
  <c r="M461" i="3"/>
  <c r="L461" i="3"/>
  <c r="K461" i="3"/>
  <c r="J461" i="3"/>
  <c r="I461" i="3"/>
  <c r="H461" i="3"/>
  <c r="G461" i="3"/>
  <c r="F461" i="3"/>
  <c r="E461" i="3"/>
  <c r="D461" i="3"/>
  <c r="C461" i="3"/>
  <c r="B461" i="3"/>
  <c r="A461" i="3"/>
  <c r="Z460" i="3"/>
  <c r="Y460" i="3"/>
  <c r="X460" i="3"/>
  <c r="W460" i="3"/>
  <c r="V460" i="3"/>
  <c r="U460" i="3"/>
  <c r="T460" i="3"/>
  <c r="S460" i="3"/>
  <c r="R460" i="3"/>
  <c r="Q460" i="3"/>
  <c r="P460" i="3"/>
  <c r="O460" i="3"/>
  <c r="N460" i="3"/>
  <c r="M460" i="3"/>
  <c r="L460" i="3"/>
  <c r="K460" i="3"/>
  <c r="J460" i="3"/>
  <c r="I460" i="3"/>
  <c r="H460" i="3"/>
  <c r="G460" i="3"/>
  <c r="F460" i="3"/>
  <c r="E460" i="3"/>
  <c r="D460" i="3"/>
  <c r="C460" i="3"/>
  <c r="B460" i="3"/>
  <c r="A460" i="3"/>
  <c r="Z459" i="3"/>
  <c r="Y459" i="3"/>
  <c r="X459" i="3"/>
  <c r="W459" i="3"/>
  <c r="V459" i="3"/>
  <c r="U459" i="3"/>
  <c r="T459" i="3"/>
  <c r="S459" i="3"/>
  <c r="R459" i="3"/>
  <c r="Q459" i="3"/>
  <c r="P459" i="3"/>
  <c r="O459" i="3"/>
  <c r="N459" i="3"/>
  <c r="M459" i="3"/>
  <c r="L459" i="3"/>
  <c r="K459" i="3"/>
  <c r="J459" i="3"/>
  <c r="I459" i="3"/>
  <c r="H459" i="3"/>
  <c r="G459" i="3"/>
  <c r="F459" i="3"/>
  <c r="E459" i="3"/>
  <c r="D459" i="3"/>
  <c r="C459" i="3"/>
  <c r="B459" i="3"/>
  <c r="A459" i="3"/>
  <c r="Z458" i="3"/>
  <c r="Y458" i="3"/>
  <c r="X458" i="3"/>
  <c r="W458" i="3"/>
  <c r="V458" i="3"/>
  <c r="U458" i="3"/>
  <c r="T458" i="3"/>
  <c r="S458" i="3"/>
  <c r="R458" i="3"/>
  <c r="Q458" i="3"/>
  <c r="P458" i="3"/>
  <c r="O458" i="3"/>
  <c r="N458" i="3"/>
  <c r="M458" i="3"/>
  <c r="L458" i="3"/>
  <c r="K458" i="3"/>
  <c r="J458" i="3"/>
  <c r="I458" i="3"/>
  <c r="H458" i="3"/>
  <c r="G458" i="3"/>
  <c r="F458" i="3"/>
  <c r="E458" i="3"/>
  <c r="D458" i="3"/>
  <c r="C458" i="3"/>
  <c r="B458" i="3"/>
  <c r="A458" i="3"/>
  <c r="Z457" i="3"/>
  <c r="Y457" i="3"/>
  <c r="X457" i="3"/>
  <c r="W457" i="3"/>
  <c r="V457" i="3"/>
  <c r="U457" i="3"/>
  <c r="T457" i="3"/>
  <c r="S457" i="3"/>
  <c r="R457" i="3"/>
  <c r="Q457" i="3"/>
  <c r="P457" i="3"/>
  <c r="O457" i="3"/>
  <c r="N457" i="3"/>
  <c r="M457" i="3"/>
  <c r="L457" i="3"/>
  <c r="K457" i="3"/>
  <c r="J457" i="3"/>
  <c r="I457" i="3"/>
  <c r="H457" i="3"/>
  <c r="G457" i="3"/>
  <c r="F457" i="3"/>
  <c r="E457" i="3"/>
  <c r="D457" i="3"/>
  <c r="C457" i="3"/>
  <c r="B457" i="3"/>
  <c r="A457" i="3"/>
  <c r="Z456" i="3"/>
  <c r="Y456" i="3"/>
  <c r="X456" i="3"/>
  <c r="W456" i="3"/>
  <c r="V456" i="3"/>
  <c r="U456" i="3"/>
  <c r="T456" i="3"/>
  <c r="S456" i="3"/>
  <c r="R456" i="3"/>
  <c r="Q456" i="3"/>
  <c r="P456" i="3"/>
  <c r="O456" i="3"/>
  <c r="N456" i="3"/>
  <c r="M456" i="3"/>
  <c r="L456" i="3"/>
  <c r="K456" i="3"/>
  <c r="J456" i="3"/>
  <c r="I456" i="3"/>
  <c r="H456" i="3"/>
  <c r="G456" i="3"/>
  <c r="F456" i="3"/>
  <c r="E456" i="3"/>
  <c r="D456" i="3"/>
  <c r="C456" i="3"/>
  <c r="B456" i="3"/>
  <c r="A456" i="3"/>
  <c r="Z455" i="3"/>
  <c r="Y455" i="3"/>
  <c r="X455" i="3"/>
  <c r="W455" i="3"/>
  <c r="V455" i="3"/>
  <c r="U455" i="3"/>
  <c r="T455" i="3"/>
  <c r="S455" i="3"/>
  <c r="R455" i="3"/>
  <c r="Q455" i="3"/>
  <c r="P455" i="3"/>
  <c r="O455" i="3"/>
  <c r="N455" i="3"/>
  <c r="M455" i="3"/>
  <c r="L455" i="3"/>
  <c r="K455" i="3"/>
  <c r="J455" i="3"/>
  <c r="I455" i="3"/>
  <c r="H455" i="3"/>
  <c r="G455" i="3"/>
  <c r="F455" i="3"/>
  <c r="E455" i="3"/>
  <c r="D455" i="3"/>
  <c r="C455" i="3"/>
  <c r="B455" i="3"/>
  <c r="A455" i="3"/>
  <c r="Z454" i="3"/>
  <c r="Y454" i="3"/>
  <c r="X454" i="3"/>
  <c r="W454" i="3"/>
  <c r="V454" i="3"/>
  <c r="U454" i="3"/>
  <c r="T454" i="3"/>
  <c r="S454" i="3"/>
  <c r="R454" i="3"/>
  <c r="Q454" i="3"/>
  <c r="P454" i="3"/>
  <c r="O454" i="3"/>
  <c r="N454" i="3"/>
  <c r="M454" i="3"/>
  <c r="L454" i="3"/>
  <c r="K454" i="3"/>
  <c r="J454" i="3"/>
  <c r="I454" i="3"/>
  <c r="H454" i="3"/>
  <c r="G454" i="3"/>
  <c r="F454" i="3"/>
  <c r="E454" i="3"/>
  <c r="D454" i="3"/>
  <c r="C454" i="3"/>
  <c r="B454" i="3"/>
  <c r="A454" i="3"/>
  <c r="Z453" i="3"/>
  <c r="Y453" i="3"/>
  <c r="X453" i="3"/>
  <c r="W453" i="3"/>
  <c r="V453" i="3"/>
  <c r="U453" i="3"/>
  <c r="T453" i="3"/>
  <c r="S453" i="3"/>
  <c r="R453" i="3"/>
  <c r="Q453" i="3"/>
  <c r="P453" i="3"/>
  <c r="O453" i="3"/>
  <c r="N453" i="3"/>
  <c r="M453" i="3"/>
  <c r="L453" i="3"/>
  <c r="K453" i="3"/>
  <c r="J453" i="3"/>
  <c r="I453" i="3"/>
  <c r="H453" i="3"/>
  <c r="G453" i="3"/>
  <c r="F453" i="3"/>
  <c r="E453" i="3"/>
  <c r="D453" i="3"/>
  <c r="C453" i="3"/>
  <c r="B453" i="3"/>
  <c r="A453" i="3"/>
  <c r="Z452" i="3"/>
  <c r="Y452" i="3"/>
  <c r="X452" i="3"/>
  <c r="W452" i="3"/>
  <c r="V452" i="3"/>
  <c r="U452" i="3"/>
  <c r="T452" i="3"/>
  <c r="S452" i="3"/>
  <c r="R452" i="3"/>
  <c r="Q452" i="3"/>
  <c r="P452" i="3"/>
  <c r="O452" i="3"/>
  <c r="N452" i="3"/>
  <c r="M452" i="3"/>
  <c r="L452" i="3"/>
  <c r="K452" i="3"/>
  <c r="J452" i="3"/>
  <c r="I452" i="3"/>
  <c r="H452" i="3"/>
  <c r="G452" i="3"/>
  <c r="F452" i="3"/>
  <c r="E452" i="3"/>
  <c r="D452" i="3"/>
  <c r="C452" i="3"/>
  <c r="B452" i="3"/>
  <c r="A452" i="3"/>
  <c r="Z451" i="3"/>
  <c r="Y451" i="3"/>
  <c r="X451" i="3"/>
  <c r="W451" i="3"/>
  <c r="V451" i="3"/>
  <c r="U451" i="3"/>
  <c r="T451" i="3"/>
  <c r="S451" i="3"/>
  <c r="R451" i="3"/>
  <c r="Q451" i="3"/>
  <c r="P451" i="3"/>
  <c r="O451" i="3"/>
  <c r="N451" i="3"/>
  <c r="M451" i="3"/>
  <c r="L451" i="3"/>
  <c r="K451" i="3"/>
  <c r="J451" i="3"/>
  <c r="I451" i="3"/>
  <c r="H451" i="3"/>
  <c r="G451" i="3"/>
  <c r="F451" i="3"/>
  <c r="E451" i="3"/>
  <c r="D451" i="3"/>
  <c r="C451" i="3"/>
  <c r="B451" i="3"/>
  <c r="A451" i="3"/>
  <c r="Z450" i="3"/>
  <c r="Y450" i="3"/>
  <c r="X450" i="3"/>
  <c r="W450" i="3"/>
  <c r="V450" i="3"/>
  <c r="U450" i="3"/>
  <c r="T450" i="3"/>
  <c r="S450" i="3"/>
  <c r="R450" i="3"/>
  <c r="Q450" i="3"/>
  <c r="P450" i="3"/>
  <c r="O450" i="3"/>
  <c r="N450" i="3"/>
  <c r="M450" i="3"/>
  <c r="L450" i="3"/>
  <c r="K450" i="3"/>
  <c r="J450" i="3"/>
  <c r="I450" i="3"/>
  <c r="H450" i="3"/>
  <c r="G450" i="3"/>
  <c r="F450" i="3"/>
  <c r="E450" i="3"/>
  <c r="D450" i="3"/>
  <c r="C450" i="3"/>
  <c r="B450" i="3"/>
  <c r="A450" i="3"/>
  <c r="Z449" i="3"/>
  <c r="Y449" i="3"/>
  <c r="X449" i="3"/>
  <c r="W449" i="3"/>
  <c r="V449" i="3"/>
  <c r="U449" i="3"/>
  <c r="T449" i="3"/>
  <c r="S449" i="3"/>
  <c r="R449" i="3"/>
  <c r="Q449" i="3"/>
  <c r="P449" i="3"/>
  <c r="O449" i="3"/>
  <c r="N449" i="3"/>
  <c r="M449" i="3"/>
  <c r="L449" i="3"/>
  <c r="K449" i="3"/>
  <c r="J449" i="3"/>
  <c r="I449" i="3"/>
  <c r="H449" i="3"/>
  <c r="G449" i="3"/>
  <c r="F449" i="3"/>
  <c r="E449" i="3"/>
  <c r="D449" i="3"/>
  <c r="C449" i="3"/>
  <c r="B449" i="3"/>
  <c r="A449" i="3"/>
  <c r="Z448" i="3"/>
  <c r="Y448" i="3"/>
  <c r="X448" i="3"/>
  <c r="W448" i="3"/>
  <c r="V448" i="3"/>
  <c r="U448" i="3"/>
  <c r="T448" i="3"/>
  <c r="S448" i="3"/>
  <c r="R448" i="3"/>
  <c r="Q448" i="3"/>
  <c r="P448" i="3"/>
  <c r="O448" i="3"/>
  <c r="N448" i="3"/>
  <c r="M448" i="3"/>
  <c r="L448" i="3"/>
  <c r="K448" i="3"/>
  <c r="J448" i="3"/>
  <c r="I448" i="3"/>
  <c r="H448" i="3"/>
  <c r="G448" i="3"/>
  <c r="F448" i="3"/>
  <c r="E448" i="3"/>
  <c r="D448" i="3"/>
  <c r="C448" i="3"/>
  <c r="B448" i="3"/>
  <c r="A448" i="3"/>
  <c r="Z447" i="3"/>
  <c r="Y447" i="3"/>
  <c r="X447" i="3"/>
  <c r="W447" i="3"/>
  <c r="V447" i="3"/>
  <c r="U447" i="3"/>
  <c r="T447" i="3"/>
  <c r="S447" i="3"/>
  <c r="R447" i="3"/>
  <c r="Q447" i="3"/>
  <c r="P447" i="3"/>
  <c r="O447" i="3"/>
  <c r="N447" i="3"/>
  <c r="M447" i="3"/>
  <c r="L447" i="3"/>
  <c r="K447" i="3"/>
  <c r="J447" i="3"/>
  <c r="I447" i="3"/>
  <c r="H447" i="3"/>
  <c r="G447" i="3"/>
  <c r="F447" i="3"/>
  <c r="E447" i="3"/>
  <c r="D447" i="3"/>
  <c r="C447" i="3"/>
  <c r="B447" i="3"/>
  <c r="A447" i="3"/>
  <c r="Z446" i="3"/>
  <c r="Y446" i="3"/>
  <c r="X446" i="3"/>
  <c r="W446" i="3"/>
  <c r="V446" i="3"/>
  <c r="U446" i="3"/>
  <c r="T446" i="3"/>
  <c r="S446" i="3"/>
  <c r="R446" i="3"/>
  <c r="Q446" i="3"/>
  <c r="P446" i="3"/>
  <c r="O446" i="3"/>
  <c r="N446" i="3"/>
  <c r="M446" i="3"/>
  <c r="L446" i="3"/>
  <c r="K446" i="3"/>
  <c r="J446" i="3"/>
  <c r="I446" i="3"/>
  <c r="H446" i="3"/>
  <c r="G446" i="3"/>
  <c r="F446" i="3"/>
  <c r="E446" i="3"/>
  <c r="D446" i="3"/>
  <c r="C446" i="3"/>
  <c r="B446" i="3"/>
  <c r="A446" i="3"/>
  <c r="Z445" i="3"/>
  <c r="Y445" i="3"/>
  <c r="X445" i="3"/>
  <c r="W445" i="3"/>
  <c r="V445" i="3"/>
  <c r="U445" i="3"/>
  <c r="T445" i="3"/>
  <c r="S445" i="3"/>
  <c r="R445" i="3"/>
  <c r="Q445" i="3"/>
  <c r="P445" i="3"/>
  <c r="O445" i="3"/>
  <c r="N445" i="3"/>
  <c r="M445" i="3"/>
  <c r="L445" i="3"/>
  <c r="K445" i="3"/>
  <c r="J445" i="3"/>
  <c r="I445" i="3"/>
  <c r="H445" i="3"/>
  <c r="G445" i="3"/>
  <c r="F445" i="3"/>
  <c r="E445" i="3"/>
  <c r="D445" i="3"/>
  <c r="C445" i="3"/>
  <c r="B445" i="3"/>
  <c r="A445" i="3"/>
  <c r="Z444" i="3"/>
  <c r="Y444" i="3"/>
  <c r="X444" i="3"/>
  <c r="W444" i="3"/>
  <c r="V444" i="3"/>
  <c r="U444" i="3"/>
  <c r="T444" i="3"/>
  <c r="S444" i="3"/>
  <c r="R444" i="3"/>
  <c r="Q444" i="3"/>
  <c r="P444" i="3"/>
  <c r="O444" i="3"/>
  <c r="N444" i="3"/>
  <c r="M444" i="3"/>
  <c r="L444" i="3"/>
  <c r="K444" i="3"/>
  <c r="J444" i="3"/>
  <c r="I444" i="3"/>
  <c r="H444" i="3"/>
  <c r="G444" i="3"/>
  <c r="F444" i="3"/>
  <c r="E444" i="3"/>
  <c r="D444" i="3"/>
  <c r="C444" i="3"/>
  <c r="B444" i="3"/>
  <c r="A444" i="3"/>
  <c r="Z443" i="3"/>
  <c r="Y443" i="3"/>
  <c r="X443" i="3"/>
  <c r="W443" i="3"/>
  <c r="V443" i="3"/>
  <c r="U443" i="3"/>
  <c r="T443" i="3"/>
  <c r="S443" i="3"/>
  <c r="R443" i="3"/>
  <c r="Q443" i="3"/>
  <c r="P443" i="3"/>
  <c r="O443" i="3"/>
  <c r="N443" i="3"/>
  <c r="M443" i="3"/>
  <c r="L443" i="3"/>
  <c r="K443" i="3"/>
  <c r="J443" i="3"/>
  <c r="I443" i="3"/>
  <c r="H443" i="3"/>
  <c r="G443" i="3"/>
  <c r="F443" i="3"/>
  <c r="E443" i="3"/>
  <c r="D443" i="3"/>
  <c r="C443" i="3"/>
  <c r="B443" i="3"/>
  <c r="A443" i="3"/>
  <c r="Z442" i="3"/>
  <c r="Y442" i="3"/>
  <c r="X442" i="3"/>
  <c r="W442" i="3"/>
  <c r="V442" i="3"/>
  <c r="U442" i="3"/>
  <c r="T442" i="3"/>
  <c r="S442" i="3"/>
  <c r="R442" i="3"/>
  <c r="Q442" i="3"/>
  <c r="P442" i="3"/>
  <c r="O442" i="3"/>
  <c r="N442" i="3"/>
  <c r="M442" i="3"/>
  <c r="L442" i="3"/>
  <c r="K442" i="3"/>
  <c r="J442" i="3"/>
  <c r="I442" i="3"/>
  <c r="H442" i="3"/>
  <c r="G442" i="3"/>
  <c r="F442" i="3"/>
  <c r="E442" i="3"/>
  <c r="D442" i="3"/>
  <c r="C442" i="3"/>
  <c r="B442" i="3"/>
  <c r="A442" i="3"/>
  <c r="Z441" i="3"/>
  <c r="Y441" i="3"/>
  <c r="X441" i="3"/>
  <c r="W441" i="3"/>
  <c r="V441" i="3"/>
  <c r="U441" i="3"/>
  <c r="T441" i="3"/>
  <c r="S441" i="3"/>
  <c r="R441" i="3"/>
  <c r="Q441" i="3"/>
  <c r="P441" i="3"/>
  <c r="O441" i="3"/>
  <c r="N441" i="3"/>
  <c r="M441" i="3"/>
  <c r="L441" i="3"/>
  <c r="K441" i="3"/>
  <c r="J441" i="3"/>
  <c r="I441" i="3"/>
  <c r="H441" i="3"/>
  <c r="G441" i="3"/>
  <c r="F441" i="3"/>
  <c r="E441" i="3"/>
  <c r="D441" i="3"/>
  <c r="C441" i="3"/>
  <c r="B441" i="3"/>
  <c r="A441" i="3"/>
  <c r="Z440" i="3"/>
  <c r="Y440" i="3"/>
  <c r="X440" i="3"/>
  <c r="W440" i="3"/>
  <c r="V440" i="3"/>
  <c r="U440" i="3"/>
  <c r="T440" i="3"/>
  <c r="S440" i="3"/>
  <c r="R440" i="3"/>
  <c r="Q440" i="3"/>
  <c r="P440" i="3"/>
  <c r="O440" i="3"/>
  <c r="N440" i="3"/>
  <c r="M440" i="3"/>
  <c r="L440" i="3"/>
  <c r="K440" i="3"/>
  <c r="J440" i="3"/>
  <c r="I440" i="3"/>
  <c r="H440" i="3"/>
  <c r="G440" i="3"/>
  <c r="F440" i="3"/>
  <c r="E440" i="3"/>
  <c r="D440" i="3"/>
  <c r="C440" i="3"/>
  <c r="B440" i="3"/>
  <c r="A440" i="3"/>
  <c r="Z439" i="3"/>
  <c r="Y439" i="3"/>
  <c r="X439" i="3"/>
  <c r="W439" i="3"/>
  <c r="V439" i="3"/>
  <c r="U439" i="3"/>
  <c r="T439" i="3"/>
  <c r="S439" i="3"/>
  <c r="R439" i="3"/>
  <c r="Q439" i="3"/>
  <c r="P439" i="3"/>
  <c r="O439" i="3"/>
  <c r="N439" i="3"/>
  <c r="M439" i="3"/>
  <c r="L439" i="3"/>
  <c r="K439" i="3"/>
  <c r="J439" i="3"/>
  <c r="I439" i="3"/>
  <c r="H439" i="3"/>
  <c r="G439" i="3"/>
  <c r="F439" i="3"/>
  <c r="E439" i="3"/>
  <c r="D439" i="3"/>
  <c r="C439" i="3"/>
  <c r="B439" i="3"/>
  <c r="A439" i="3"/>
  <c r="Z438" i="3"/>
  <c r="Y438" i="3"/>
  <c r="X438" i="3"/>
  <c r="W438" i="3"/>
  <c r="V438" i="3"/>
  <c r="U438" i="3"/>
  <c r="T438" i="3"/>
  <c r="S438" i="3"/>
  <c r="R438" i="3"/>
  <c r="Q438" i="3"/>
  <c r="P438" i="3"/>
  <c r="O438" i="3"/>
  <c r="N438" i="3"/>
  <c r="M438" i="3"/>
  <c r="L438" i="3"/>
  <c r="K438" i="3"/>
  <c r="J438" i="3"/>
  <c r="I438" i="3"/>
  <c r="H438" i="3"/>
  <c r="G438" i="3"/>
  <c r="F438" i="3"/>
  <c r="E438" i="3"/>
  <c r="D438" i="3"/>
  <c r="C438" i="3"/>
  <c r="B438" i="3"/>
  <c r="A438" i="3"/>
  <c r="Z437" i="3"/>
  <c r="Y437" i="3"/>
  <c r="X437" i="3"/>
  <c r="W437" i="3"/>
  <c r="V437" i="3"/>
  <c r="U437" i="3"/>
  <c r="T437" i="3"/>
  <c r="S437" i="3"/>
  <c r="R437" i="3"/>
  <c r="Q437" i="3"/>
  <c r="P437" i="3"/>
  <c r="O437" i="3"/>
  <c r="N437" i="3"/>
  <c r="M437" i="3"/>
  <c r="L437" i="3"/>
  <c r="K437" i="3"/>
  <c r="J437" i="3"/>
  <c r="I437" i="3"/>
  <c r="H437" i="3"/>
  <c r="G437" i="3"/>
  <c r="F437" i="3"/>
  <c r="E437" i="3"/>
  <c r="D437" i="3"/>
  <c r="C437" i="3"/>
  <c r="B437" i="3"/>
  <c r="A437" i="3"/>
  <c r="Z436" i="3"/>
  <c r="Y436" i="3"/>
  <c r="X436" i="3"/>
  <c r="W436" i="3"/>
  <c r="V436" i="3"/>
  <c r="U436" i="3"/>
  <c r="T436" i="3"/>
  <c r="S436" i="3"/>
  <c r="R436" i="3"/>
  <c r="Q436" i="3"/>
  <c r="P436" i="3"/>
  <c r="O436" i="3"/>
  <c r="N436" i="3"/>
  <c r="M436" i="3"/>
  <c r="L436" i="3"/>
  <c r="K436" i="3"/>
  <c r="J436" i="3"/>
  <c r="I436" i="3"/>
  <c r="H436" i="3"/>
  <c r="G436" i="3"/>
  <c r="F436" i="3"/>
  <c r="E436" i="3"/>
  <c r="D436" i="3"/>
  <c r="C436" i="3"/>
  <c r="B436" i="3"/>
  <c r="A436" i="3"/>
  <c r="Z435" i="3"/>
  <c r="Y435" i="3"/>
  <c r="X435" i="3"/>
  <c r="W435" i="3"/>
  <c r="V435" i="3"/>
  <c r="U435" i="3"/>
  <c r="T435" i="3"/>
  <c r="S435" i="3"/>
  <c r="R435" i="3"/>
  <c r="Q435" i="3"/>
  <c r="P435" i="3"/>
  <c r="O435" i="3"/>
  <c r="N435" i="3"/>
  <c r="M435" i="3"/>
  <c r="L435" i="3"/>
  <c r="K435" i="3"/>
  <c r="J435" i="3"/>
  <c r="I435" i="3"/>
  <c r="H435" i="3"/>
  <c r="G435" i="3"/>
  <c r="F435" i="3"/>
  <c r="E435" i="3"/>
  <c r="D435" i="3"/>
  <c r="C435" i="3"/>
  <c r="B435" i="3"/>
  <c r="A435" i="3"/>
  <c r="Z434" i="3"/>
  <c r="Y434" i="3"/>
  <c r="X434" i="3"/>
  <c r="W434" i="3"/>
  <c r="V434" i="3"/>
  <c r="U434" i="3"/>
  <c r="T434" i="3"/>
  <c r="S434" i="3"/>
  <c r="R434" i="3"/>
  <c r="Q434" i="3"/>
  <c r="P434" i="3"/>
  <c r="O434" i="3"/>
  <c r="N434" i="3"/>
  <c r="M434" i="3"/>
  <c r="L434" i="3"/>
  <c r="K434" i="3"/>
  <c r="J434" i="3"/>
  <c r="I434" i="3"/>
  <c r="H434" i="3"/>
  <c r="G434" i="3"/>
  <c r="F434" i="3"/>
  <c r="E434" i="3"/>
  <c r="D434" i="3"/>
  <c r="C434" i="3"/>
  <c r="B434" i="3"/>
  <c r="A434" i="3"/>
  <c r="Z433" i="3"/>
  <c r="Y433" i="3"/>
  <c r="X433" i="3"/>
  <c r="W433" i="3"/>
  <c r="V433" i="3"/>
  <c r="U433" i="3"/>
  <c r="T433" i="3"/>
  <c r="S433" i="3"/>
  <c r="R433" i="3"/>
  <c r="Q433" i="3"/>
  <c r="P433" i="3"/>
  <c r="O433" i="3"/>
  <c r="N433" i="3"/>
  <c r="M433" i="3"/>
  <c r="L433" i="3"/>
  <c r="K433" i="3"/>
  <c r="J433" i="3"/>
  <c r="I433" i="3"/>
  <c r="H433" i="3"/>
  <c r="G433" i="3"/>
  <c r="F433" i="3"/>
  <c r="E433" i="3"/>
  <c r="D433" i="3"/>
  <c r="C433" i="3"/>
  <c r="B433" i="3"/>
  <c r="A433" i="3"/>
  <c r="Z432" i="3"/>
  <c r="Y432" i="3"/>
  <c r="X432" i="3"/>
  <c r="W432" i="3"/>
  <c r="V432" i="3"/>
  <c r="U432" i="3"/>
  <c r="T432" i="3"/>
  <c r="S432" i="3"/>
  <c r="R432" i="3"/>
  <c r="Q432" i="3"/>
  <c r="P432" i="3"/>
  <c r="O432" i="3"/>
  <c r="N432" i="3"/>
  <c r="M432" i="3"/>
  <c r="L432" i="3"/>
  <c r="K432" i="3"/>
  <c r="J432" i="3"/>
  <c r="I432" i="3"/>
  <c r="H432" i="3"/>
  <c r="G432" i="3"/>
  <c r="F432" i="3"/>
  <c r="E432" i="3"/>
  <c r="D432" i="3"/>
  <c r="C432" i="3"/>
  <c r="B432" i="3"/>
  <c r="A432" i="3"/>
  <c r="Z431" i="3"/>
  <c r="Y431" i="3"/>
  <c r="X431" i="3"/>
  <c r="W431" i="3"/>
  <c r="V431" i="3"/>
  <c r="U431" i="3"/>
  <c r="T431" i="3"/>
  <c r="S431" i="3"/>
  <c r="R431" i="3"/>
  <c r="Q431" i="3"/>
  <c r="P431" i="3"/>
  <c r="O431" i="3"/>
  <c r="N431" i="3"/>
  <c r="M431" i="3"/>
  <c r="L431" i="3"/>
  <c r="K431" i="3"/>
  <c r="J431" i="3"/>
  <c r="I431" i="3"/>
  <c r="H431" i="3"/>
  <c r="G431" i="3"/>
  <c r="F431" i="3"/>
  <c r="E431" i="3"/>
  <c r="D431" i="3"/>
  <c r="C431" i="3"/>
  <c r="B431" i="3"/>
  <c r="A431" i="3"/>
  <c r="Z430" i="3"/>
  <c r="Y430" i="3"/>
  <c r="X430" i="3"/>
  <c r="W430" i="3"/>
  <c r="V430" i="3"/>
  <c r="U430" i="3"/>
  <c r="T430" i="3"/>
  <c r="S430" i="3"/>
  <c r="R430" i="3"/>
  <c r="Q430" i="3"/>
  <c r="P430" i="3"/>
  <c r="O430" i="3"/>
  <c r="N430" i="3"/>
  <c r="M430" i="3"/>
  <c r="L430" i="3"/>
  <c r="K430" i="3"/>
  <c r="J430" i="3"/>
  <c r="I430" i="3"/>
  <c r="H430" i="3"/>
  <c r="G430" i="3"/>
  <c r="F430" i="3"/>
  <c r="E430" i="3"/>
  <c r="D430" i="3"/>
  <c r="C430" i="3"/>
  <c r="B430" i="3"/>
  <c r="A430" i="3"/>
  <c r="Z429" i="3"/>
  <c r="Y429" i="3"/>
  <c r="X429" i="3"/>
  <c r="W429" i="3"/>
  <c r="V429" i="3"/>
  <c r="U429" i="3"/>
  <c r="T429" i="3"/>
  <c r="S429" i="3"/>
  <c r="R429" i="3"/>
  <c r="Q429" i="3"/>
  <c r="P429" i="3"/>
  <c r="O429" i="3"/>
  <c r="N429" i="3"/>
  <c r="M429" i="3"/>
  <c r="L429" i="3"/>
  <c r="K429" i="3"/>
  <c r="J429" i="3"/>
  <c r="I429" i="3"/>
  <c r="H429" i="3"/>
  <c r="G429" i="3"/>
  <c r="F429" i="3"/>
  <c r="E429" i="3"/>
  <c r="D429" i="3"/>
  <c r="C429" i="3"/>
  <c r="B429" i="3"/>
  <c r="A429" i="3"/>
  <c r="Z428" i="3"/>
  <c r="Y428" i="3"/>
  <c r="X428" i="3"/>
  <c r="W428" i="3"/>
  <c r="V428" i="3"/>
  <c r="U428" i="3"/>
  <c r="T428" i="3"/>
  <c r="S428" i="3"/>
  <c r="R428" i="3"/>
  <c r="Q428" i="3"/>
  <c r="P428" i="3"/>
  <c r="O428" i="3"/>
  <c r="N428" i="3"/>
  <c r="M428" i="3"/>
  <c r="L428" i="3"/>
  <c r="K428" i="3"/>
  <c r="J428" i="3"/>
  <c r="I428" i="3"/>
  <c r="H428" i="3"/>
  <c r="G428" i="3"/>
  <c r="F428" i="3"/>
  <c r="E428" i="3"/>
  <c r="D428" i="3"/>
  <c r="C428" i="3"/>
  <c r="B428" i="3"/>
  <c r="A428" i="3"/>
  <c r="Z427" i="3"/>
  <c r="Y427" i="3"/>
  <c r="X427" i="3"/>
  <c r="W427" i="3"/>
  <c r="V427" i="3"/>
  <c r="U427" i="3"/>
  <c r="T427" i="3"/>
  <c r="S427" i="3"/>
  <c r="R427" i="3"/>
  <c r="Q427" i="3"/>
  <c r="P427" i="3"/>
  <c r="O427" i="3"/>
  <c r="N427" i="3"/>
  <c r="M427" i="3"/>
  <c r="L427" i="3"/>
  <c r="K427" i="3"/>
  <c r="J427" i="3"/>
  <c r="I427" i="3"/>
  <c r="H427" i="3"/>
  <c r="G427" i="3"/>
  <c r="F427" i="3"/>
  <c r="E427" i="3"/>
  <c r="D427" i="3"/>
  <c r="C427" i="3"/>
  <c r="B427" i="3"/>
  <c r="A427" i="3"/>
  <c r="Z426" i="3"/>
  <c r="Y426" i="3"/>
  <c r="X426" i="3"/>
  <c r="W426" i="3"/>
  <c r="V426" i="3"/>
  <c r="U426" i="3"/>
  <c r="T426" i="3"/>
  <c r="S426" i="3"/>
  <c r="R426" i="3"/>
  <c r="Q426" i="3"/>
  <c r="P426" i="3"/>
  <c r="O426" i="3"/>
  <c r="N426" i="3"/>
  <c r="M426" i="3"/>
  <c r="L426" i="3"/>
  <c r="K426" i="3"/>
  <c r="J426" i="3"/>
  <c r="I426" i="3"/>
  <c r="H426" i="3"/>
  <c r="G426" i="3"/>
  <c r="F426" i="3"/>
  <c r="E426" i="3"/>
  <c r="D426" i="3"/>
  <c r="C426" i="3"/>
  <c r="B426" i="3"/>
  <c r="A426" i="3"/>
  <c r="Z425" i="3"/>
  <c r="Y425" i="3"/>
  <c r="X425" i="3"/>
  <c r="W425" i="3"/>
  <c r="V425" i="3"/>
  <c r="U425" i="3"/>
  <c r="T425" i="3"/>
  <c r="S425" i="3"/>
  <c r="R425" i="3"/>
  <c r="Q425" i="3"/>
  <c r="P425" i="3"/>
  <c r="O425" i="3"/>
  <c r="N425" i="3"/>
  <c r="M425" i="3"/>
  <c r="L425" i="3"/>
  <c r="K425" i="3"/>
  <c r="J425" i="3"/>
  <c r="I425" i="3"/>
  <c r="H425" i="3"/>
  <c r="G425" i="3"/>
  <c r="F425" i="3"/>
  <c r="E425" i="3"/>
  <c r="D425" i="3"/>
  <c r="C425" i="3"/>
  <c r="B425" i="3"/>
  <c r="A425" i="3"/>
  <c r="Z424" i="3"/>
  <c r="Y424" i="3"/>
  <c r="X424" i="3"/>
  <c r="W424" i="3"/>
  <c r="V424" i="3"/>
  <c r="U424" i="3"/>
  <c r="T424" i="3"/>
  <c r="S424" i="3"/>
  <c r="R424" i="3"/>
  <c r="Q424" i="3"/>
  <c r="P424" i="3"/>
  <c r="O424" i="3"/>
  <c r="N424" i="3"/>
  <c r="M424" i="3"/>
  <c r="L424" i="3"/>
  <c r="K424" i="3"/>
  <c r="J424" i="3"/>
  <c r="I424" i="3"/>
  <c r="H424" i="3"/>
  <c r="G424" i="3"/>
  <c r="F424" i="3"/>
  <c r="E424" i="3"/>
  <c r="D424" i="3"/>
  <c r="C424" i="3"/>
  <c r="B424" i="3"/>
  <c r="A424" i="3"/>
  <c r="Z423" i="3"/>
  <c r="Y423" i="3"/>
  <c r="X423" i="3"/>
  <c r="W423" i="3"/>
  <c r="V423" i="3"/>
  <c r="U423" i="3"/>
  <c r="T423" i="3"/>
  <c r="S423" i="3"/>
  <c r="R423" i="3"/>
  <c r="Q423" i="3"/>
  <c r="P423" i="3"/>
  <c r="O423" i="3"/>
  <c r="N423" i="3"/>
  <c r="M423" i="3"/>
  <c r="L423" i="3"/>
  <c r="K423" i="3"/>
  <c r="J423" i="3"/>
  <c r="I423" i="3"/>
  <c r="H423" i="3"/>
  <c r="G423" i="3"/>
  <c r="F423" i="3"/>
  <c r="E423" i="3"/>
  <c r="D423" i="3"/>
  <c r="C423" i="3"/>
  <c r="B423" i="3"/>
  <c r="A423" i="3"/>
  <c r="Z422" i="3"/>
  <c r="Y422" i="3"/>
  <c r="X422" i="3"/>
  <c r="W422" i="3"/>
  <c r="V422" i="3"/>
  <c r="U422" i="3"/>
  <c r="T422" i="3"/>
  <c r="S422" i="3"/>
  <c r="R422" i="3"/>
  <c r="Q422" i="3"/>
  <c r="P422" i="3"/>
  <c r="O422" i="3"/>
  <c r="N422" i="3"/>
  <c r="M422" i="3"/>
  <c r="L422" i="3"/>
  <c r="K422" i="3"/>
  <c r="J422" i="3"/>
  <c r="I422" i="3"/>
  <c r="H422" i="3"/>
  <c r="G422" i="3"/>
  <c r="F422" i="3"/>
  <c r="E422" i="3"/>
  <c r="D422" i="3"/>
  <c r="C422" i="3"/>
  <c r="B422" i="3"/>
  <c r="A422" i="3"/>
  <c r="Z421" i="3"/>
  <c r="Y421" i="3"/>
  <c r="X421" i="3"/>
  <c r="W421" i="3"/>
  <c r="V421" i="3"/>
  <c r="U421" i="3"/>
  <c r="T421" i="3"/>
  <c r="S421" i="3"/>
  <c r="R421" i="3"/>
  <c r="Q421" i="3"/>
  <c r="P421" i="3"/>
  <c r="O421" i="3"/>
  <c r="N421" i="3"/>
  <c r="M421" i="3"/>
  <c r="L421" i="3"/>
  <c r="K421" i="3"/>
  <c r="J421" i="3"/>
  <c r="I421" i="3"/>
  <c r="H421" i="3"/>
  <c r="G421" i="3"/>
  <c r="F421" i="3"/>
  <c r="E421" i="3"/>
  <c r="D421" i="3"/>
  <c r="C421" i="3"/>
  <c r="B421" i="3"/>
  <c r="A421" i="3"/>
  <c r="Z420" i="3"/>
  <c r="Y420" i="3"/>
  <c r="X420" i="3"/>
  <c r="W420" i="3"/>
  <c r="V420" i="3"/>
  <c r="U420" i="3"/>
  <c r="T420" i="3"/>
  <c r="S420" i="3"/>
  <c r="R420" i="3"/>
  <c r="Q420" i="3"/>
  <c r="P420" i="3"/>
  <c r="O420" i="3"/>
  <c r="N420" i="3"/>
  <c r="M420" i="3"/>
  <c r="L420" i="3"/>
  <c r="K420" i="3"/>
  <c r="J420" i="3"/>
  <c r="I420" i="3"/>
  <c r="H420" i="3"/>
  <c r="G420" i="3"/>
  <c r="F420" i="3"/>
  <c r="E420" i="3"/>
  <c r="D420" i="3"/>
  <c r="C420" i="3"/>
  <c r="B420" i="3"/>
  <c r="A420" i="3"/>
  <c r="Z419" i="3"/>
  <c r="Y419" i="3"/>
  <c r="X419" i="3"/>
  <c r="W419" i="3"/>
  <c r="V419" i="3"/>
  <c r="U419" i="3"/>
  <c r="T419" i="3"/>
  <c r="S419" i="3"/>
  <c r="R419" i="3"/>
  <c r="Q419" i="3"/>
  <c r="P419" i="3"/>
  <c r="O419" i="3"/>
  <c r="N419" i="3"/>
  <c r="M419" i="3"/>
  <c r="L419" i="3"/>
  <c r="K419" i="3"/>
  <c r="J419" i="3"/>
  <c r="I419" i="3"/>
  <c r="H419" i="3"/>
  <c r="G419" i="3"/>
  <c r="F419" i="3"/>
  <c r="E419" i="3"/>
  <c r="D419" i="3"/>
  <c r="C419" i="3"/>
  <c r="B419" i="3"/>
  <c r="A419" i="3"/>
  <c r="Z418" i="3"/>
  <c r="Y418" i="3"/>
  <c r="X418" i="3"/>
  <c r="W418" i="3"/>
  <c r="V418" i="3"/>
  <c r="U418" i="3"/>
  <c r="T418" i="3"/>
  <c r="S418" i="3"/>
  <c r="R418" i="3"/>
  <c r="Q418" i="3"/>
  <c r="P418" i="3"/>
  <c r="O418" i="3"/>
  <c r="N418" i="3"/>
  <c r="M418" i="3"/>
  <c r="L418" i="3"/>
  <c r="K418" i="3"/>
  <c r="J418" i="3"/>
  <c r="I418" i="3"/>
  <c r="H418" i="3"/>
  <c r="G418" i="3"/>
  <c r="F418" i="3"/>
  <c r="E418" i="3"/>
  <c r="D418" i="3"/>
  <c r="C418" i="3"/>
  <c r="B418" i="3"/>
  <c r="A418" i="3"/>
  <c r="Z417" i="3"/>
  <c r="Y417" i="3"/>
  <c r="X417" i="3"/>
  <c r="W417" i="3"/>
  <c r="V417" i="3"/>
  <c r="U417" i="3"/>
  <c r="T417" i="3"/>
  <c r="S417" i="3"/>
  <c r="R417" i="3"/>
  <c r="Q417" i="3"/>
  <c r="P417" i="3"/>
  <c r="O417" i="3"/>
  <c r="N417" i="3"/>
  <c r="M417" i="3"/>
  <c r="L417" i="3"/>
  <c r="K417" i="3"/>
  <c r="J417" i="3"/>
  <c r="I417" i="3"/>
  <c r="H417" i="3"/>
  <c r="G417" i="3"/>
  <c r="F417" i="3"/>
  <c r="E417" i="3"/>
  <c r="D417" i="3"/>
  <c r="C417" i="3"/>
  <c r="B417" i="3"/>
  <c r="A417" i="3"/>
  <c r="Z416" i="3"/>
  <c r="Y416" i="3"/>
  <c r="X416" i="3"/>
  <c r="W416" i="3"/>
  <c r="V416" i="3"/>
  <c r="U416" i="3"/>
  <c r="T416" i="3"/>
  <c r="S416" i="3"/>
  <c r="R416" i="3"/>
  <c r="Q416" i="3"/>
  <c r="P416" i="3"/>
  <c r="O416" i="3"/>
  <c r="N416" i="3"/>
  <c r="M416" i="3"/>
  <c r="L416" i="3"/>
  <c r="K416" i="3"/>
  <c r="J416" i="3"/>
  <c r="I416" i="3"/>
  <c r="H416" i="3"/>
  <c r="G416" i="3"/>
  <c r="F416" i="3"/>
  <c r="E416" i="3"/>
  <c r="D416" i="3"/>
  <c r="C416" i="3"/>
  <c r="B416" i="3"/>
  <c r="A416" i="3"/>
  <c r="Z415" i="3"/>
  <c r="Y415" i="3"/>
  <c r="X415" i="3"/>
  <c r="W415" i="3"/>
  <c r="V415" i="3"/>
  <c r="U415" i="3"/>
  <c r="T415" i="3"/>
  <c r="S415" i="3"/>
  <c r="R415" i="3"/>
  <c r="Q415" i="3"/>
  <c r="P415" i="3"/>
  <c r="O415" i="3"/>
  <c r="N415" i="3"/>
  <c r="M415" i="3"/>
  <c r="L415" i="3"/>
  <c r="K415" i="3"/>
  <c r="J415" i="3"/>
  <c r="I415" i="3"/>
  <c r="H415" i="3"/>
  <c r="G415" i="3"/>
  <c r="F415" i="3"/>
  <c r="E415" i="3"/>
  <c r="D415" i="3"/>
  <c r="C415" i="3"/>
  <c r="B415" i="3"/>
  <c r="A415" i="3"/>
  <c r="Z414" i="3"/>
  <c r="Y414" i="3"/>
  <c r="X414" i="3"/>
  <c r="W414" i="3"/>
  <c r="V414" i="3"/>
  <c r="U414" i="3"/>
  <c r="T414" i="3"/>
  <c r="S414" i="3"/>
  <c r="R414" i="3"/>
  <c r="Q414" i="3"/>
  <c r="P414" i="3"/>
  <c r="O414" i="3"/>
  <c r="N414" i="3"/>
  <c r="M414" i="3"/>
  <c r="L414" i="3"/>
  <c r="K414" i="3"/>
  <c r="J414" i="3"/>
  <c r="I414" i="3"/>
  <c r="H414" i="3"/>
  <c r="G414" i="3"/>
  <c r="F414" i="3"/>
  <c r="E414" i="3"/>
  <c r="D414" i="3"/>
  <c r="C414" i="3"/>
  <c r="B414" i="3"/>
  <c r="A414" i="3"/>
  <c r="Z413" i="3"/>
  <c r="Y413" i="3"/>
  <c r="X413" i="3"/>
  <c r="W413" i="3"/>
  <c r="V413" i="3"/>
  <c r="U413" i="3"/>
  <c r="T413" i="3"/>
  <c r="S413" i="3"/>
  <c r="R413" i="3"/>
  <c r="Q413" i="3"/>
  <c r="P413" i="3"/>
  <c r="O413" i="3"/>
  <c r="N413" i="3"/>
  <c r="M413" i="3"/>
  <c r="L413" i="3"/>
  <c r="K413" i="3"/>
  <c r="J413" i="3"/>
  <c r="I413" i="3"/>
  <c r="H413" i="3"/>
  <c r="G413" i="3"/>
  <c r="F413" i="3"/>
  <c r="E413" i="3"/>
  <c r="D413" i="3"/>
  <c r="C413" i="3"/>
  <c r="B413" i="3"/>
  <c r="A413" i="3"/>
  <c r="Z412" i="3"/>
  <c r="Y412" i="3"/>
  <c r="X412" i="3"/>
  <c r="W412" i="3"/>
  <c r="V412" i="3"/>
  <c r="U412" i="3"/>
  <c r="T412" i="3"/>
  <c r="S412" i="3"/>
  <c r="R412" i="3"/>
  <c r="Q412" i="3"/>
  <c r="P412" i="3"/>
  <c r="O412" i="3"/>
  <c r="N412" i="3"/>
  <c r="M412" i="3"/>
  <c r="L412" i="3"/>
  <c r="K412" i="3"/>
  <c r="J412" i="3"/>
  <c r="I412" i="3"/>
  <c r="H412" i="3"/>
  <c r="G412" i="3"/>
  <c r="F412" i="3"/>
  <c r="E412" i="3"/>
  <c r="D412" i="3"/>
  <c r="C412" i="3"/>
  <c r="B412" i="3"/>
  <c r="A412" i="3"/>
  <c r="Z411" i="3"/>
  <c r="Y411" i="3"/>
  <c r="X411" i="3"/>
  <c r="W411" i="3"/>
  <c r="V411" i="3"/>
  <c r="U411" i="3"/>
  <c r="T411" i="3"/>
  <c r="S411" i="3"/>
  <c r="R411" i="3"/>
  <c r="Q411" i="3"/>
  <c r="P411" i="3"/>
  <c r="O411" i="3"/>
  <c r="N411" i="3"/>
  <c r="M411" i="3"/>
  <c r="L411" i="3"/>
  <c r="K411" i="3"/>
  <c r="J411" i="3"/>
  <c r="I411" i="3"/>
  <c r="H411" i="3"/>
  <c r="G411" i="3"/>
  <c r="F411" i="3"/>
  <c r="E411" i="3"/>
  <c r="D411" i="3"/>
  <c r="C411" i="3"/>
  <c r="B411" i="3"/>
  <c r="A411" i="3"/>
  <c r="Z410" i="3"/>
  <c r="Y410" i="3"/>
  <c r="X410" i="3"/>
  <c r="W410" i="3"/>
  <c r="V410" i="3"/>
  <c r="U410" i="3"/>
  <c r="T410" i="3"/>
  <c r="S410" i="3"/>
  <c r="R410" i="3"/>
  <c r="Q410" i="3"/>
  <c r="P410" i="3"/>
  <c r="O410" i="3"/>
  <c r="N410" i="3"/>
  <c r="M410" i="3"/>
  <c r="L410" i="3"/>
  <c r="K410" i="3"/>
  <c r="J410" i="3"/>
  <c r="I410" i="3"/>
  <c r="H410" i="3"/>
  <c r="G410" i="3"/>
  <c r="F410" i="3"/>
  <c r="E410" i="3"/>
  <c r="D410" i="3"/>
  <c r="C410" i="3"/>
  <c r="B410" i="3"/>
  <c r="A410" i="3"/>
  <c r="Z409" i="3"/>
  <c r="Y409" i="3"/>
  <c r="X409" i="3"/>
  <c r="W409" i="3"/>
  <c r="V409" i="3"/>
  <c r="U409" i="3"/>
  <c r="T409" i="3"/>
  <c r="S409" i="3"/>
  <c r="R409" i="3"/>
  <c r="Q409" i="3"/>
  <c r="P409" i="3"/>
  <c r="O409" i="3"/>
  <c r="N409" i="3"/>
  <c r="M409" i="3"/>
  <c r="L409" i="3"/>
  <c r="K409" i="3"/>
  <c r="J409" i="3"/>
  <c r="I409" i="3"/>
  <c r="H409" i="3"/>
  <c r="G409" i="3"/>
  <c r="F409" i="3"/>
  <c r="E409" i="3"/>
  <c r="D409" i="3"/>
  <c r="C409" i="3"/>
  <c r="B409" i="3"/>
  <c r="A409" i="3"/>
  <c r="Z408" i="3"/>
  <c r="Y408" i="3"/>
  <c r="X408" i="3"/>
  <c r="W408" i="3"/>
  <c r="V408" i="3"/>
  <c r="U408" i="3"/>
  <c r="T408" i="3"/>
  <c r="S408" i="3"/>
  <c r="R408" i="3"/>
  <c r="Q408" i="3"/>
  <c r="P408" i="3"/>
  <c r="O408" i="3"/>
  <c r="N408" i="3"/>
  <c r="M408" i="3"/>
  <c r="L408" i="3"/>
  <c r="K408" i="3"/>
  <c r="J408" i="3"/>
  <c r="I408" i="3"/>
  <c r="H408" i="3"/>
  <c r="G408" i="3"/>
  <c r="F408" i="3"/>
  <c r="E408" i="3"/>
  <c r="D408" i="3"/>
  <c r="C408" i="3"/>
  <c r="B408" i="3"/>
  <c r="A408" i="3"/>
  <c r="Z407" i="3"/>
  <c r="Y407" i="3"/>
  <c r="X407" i="3"/>
  <c r="W407" i="3"/>
  <c r="V407" i="3"/>
  <c r="U407" i="3"/>
  <c r="T407" i="3"/>
  <c r="S407" i="3"/>
  <c r="R407" i="3"/>
  <c r="Q407" i="3"/>
  <c r="P407" i="3"/>
  <c r="O407" i="3"/>
  <c r="N407" i="3"/>
  <c r="M407" i="3"/>
  <c r="L407" i="3"/>
  <c r="K407" i="3"/>
  <c r="J407" i="3"/>
  <c r="I407" i="3"/>
  <c r="H407" i="3"/>
  <c r="G407" i="3"/>
  <c r="F407" i="3"/>
  <c r="E407" i="3"/>
  <c r="D407" i="3"/>
  <c r="C407" i="3"/>
  <c r="B407" i="3"/>
  <c r="A407" i="3"/>
  <c r="Z406" i="3"/>
  <c r="Y406" i="3"/>
  <c r="X406" i="3"/>
  <c r="W406" i="3"/>
  <c r="V406" i="3"/>
  <c r="U406" i="3"/>
  <c r="T406" i="3"/>
  <c r="S406" i="3"/>
  <c r="R406" i="3"/>
  <c r="Q406" i="3"/>
  <c r="P406" i="3"/>
  <c r="O406" i="3"/>
  <c r="N406" i="3"/>
  <c r="M406" i="3"/>
  <c r="L406" i="3"/>
  <c r="K406" i="3"/>
  <c r="J406" i="3"/>
  <c r="I406" i="3"/>
  <c r="H406" i="3"/>
  <c r="G406" i="3"/>
  <c r="F406" i="3"/>
  <c r="E406" i="3"/>
  <c r="D406" i="3"/>
  <c r="C406" i="3"/>
  <c r="B406" i="3"/>
  <c r="A406" i="3"/>
  <c r="Z405" i="3"/>
  <c r="Y405" i="3"/>
  <c r="X405" i="3"/>
  <c r="W405" i="3"/>
  <c r="V405" i="3"/>
  <c r="U405" i="3"/>
  <c r="T405" i="3"/>
  <c r="S405" i="3"/>
  <c r="R405" i="3"/>
  <c r="Q405" i="3"/>
  <c r="P405" i="3"/>
  <c r="O405" i="3"/>
  <c r="N405" i="3"/>
  <c r="M405" i="3"/>
  <c r="L405" i="3"/>
  <c r="K405" i="3"/>
  <c r="J405" i="3"/>
  <c r="I405" i="3"/>
  <c r="H405" i="3"/>
  <c r="G405" i="3"/>
  <c r="F405" i="3"/>
  <c r="E405" i="3"/>
  <c r="D405" i="3"/>
  <c r="C405" i="3"/>
  <c r="B405" i="3"/>
  <c r="A405" i="3"/>
  <c r="Z404" i="3"/>
  <c r="Y404" i="3"/>
  <c r="X404" i="3"/>
  <c r="W404" i="3"/>
  <c r="V404" i="3"/>
  <c r="U404" i="3"/>
  <c r="T404" i="3"/>
  <c r="S404" i="3"/>
  <c r="R404" i="3"/>
  <c r="Q404" i="3"/>
  <c r="P404" i="3"/>
  <c r="O404" i="3"/>
  <c r="N404" i="3"/>
  <c r="M404" i="3"/>
  <c r="L404" i="3"/>
  <c r="K404" i="3"/>
  <c r="J404" i="3"/>
  <c r="I404" i="3"/>
  <c r="H404" i="3"/>
  <c r="G404" i="3"/>
  <c r="F404" i="3"/>
  <c r="E404" i="3"/>
  <c r="D404" i="3"/>
  <c r="C404" i="3"/>
  <c r="B404" i="3"/>
  <c r="A404" i="3"/>
  <c r="Z403" i="3"/>
  <c r="Y403" i="3"/>
  <c r="X403" i="3"/>
  <c r="W403" i="3"/>
  <c r="V403" i="3"/>
  <c r="U403" i="3"/>
  <c r="T403" i="3"/>
  <c r="S403" i="3"/>
  <c r="R403" i="3"/>
  <c r="Q403" i="3"/>
  <c r="P403" i="3"/>
  <c r="O403" i="3"/>
  <c r="N403" i="3"/>
  <c r="M403" i="3"/>
  <c r="L403" i="3"/>
  <c r="K403" i="3"/>
  <c r="J403" i="3"/>
  <c r="I403" i="3"/>
  <c r="H403" i="3"/>
  <c r="G403" i="3"/>
  <c r="F403" i="3"/>
  <c r="E403" i="3"/>
  <c r="D403" i="3"/>
  <c r="C403" i="3"/>
  <c r="B403" i="3"/>
  <c r="A403" i="3"/>
  <c r="Z402" i="3"/>
  <c r="Y402" i="3"/>
  <c r="X402" i="3"/>
  <c r="W402" i="3"/>
  <c r="V402" i="3"/>
  <c r="U402" i="3"/>
  <c r="T402" i="3"/>
  <c r="S402" i="3"/>
  <c r="R402" i="3"/>
  <c r="Q402" i="3"/>
  <c r="P402" i="3"/>
  <c r="O402" i="3"/>
  <c r="N402" i="3"/>
  <c r="M402" i="3"/>
  <c r="L402" i="3"/>
  <c r="K402" i="3"/>
  <c r="J402" i="3"/>
  <c r="I402" i="3"/>
  <c r="H402" i="3"/>
  <c r="G402" i="3"/>
  <c r="F402" i="3"/>
  <c r="E402" i="3"/>
  <c r="D402" i="3"/>
  <c r="C402" i="3"/>
  <c r="B402" i="3"/>
  <c r="A402" i="3"/>
  <c r="Z401" i="3"/>
  <c r="Y401" i="3"/>
  <c r="X401" i="3"/>
  <c r="W401" i="3"/>
  <c r="V401" i="3"/>
  <c r="U401" i="3"/>
  <c r="T401" i="3"/>
  <c r="S401" i="3"/>
  <c r="R401" i="3"/>
  <c r="Q401" i="3"/>
  <c r="P401" i="3"/>
  <c r="O401" i="3"/>
  <c r="N401" i="3"/>
  <c r="M401" i="3"/>
  <c r="L401" i="3"/>
  <c r="K401" i="3"/>
  <c r="J401" i="3"/>
  <c r="I401" i="3"/>
  <c r="H401" i="3"/>
  <c r="G401" i="3"/>
  <c r="F401" i="3"/>
  <c r="E401" i="3"/>
  <c r="D401" i="3"/>
  <c r="C401" i="3"/>
  <c r="B401" i="3"/>
  <c r="A401" i="3"/>
  <c r="Z400" i="3"/>
  <c r="Y400" i="3"/>
  <c r="X400" i="3"/>
  <c r="W400" i="3"/>
  <c r="V400" i="3"/>
  <c r="U400" i="3"/>
  <c r="T400" i="3"/>
  <c r="S400" i="3"/>
  <c r="R400" i="3"/>
  <c r="Q400" i="3"/>
  <c r="P400" i="3"/>
  <c r="O400" i="3"/>
  <c r="N400" i="3"/>
  <c r="M400" i="3"/>
  <c r="L400" i="3"/>
  <c r="K400" i="3"/>
  <c r="J400" i="3"/>
  <c r="I400" i="3"/>
  <c r="H400" i="3"/>
  <c r="G400" i="3"/>
  <c r="F400" i="3"/>
  <c r="E400" i="3"/>
  <c r="D400" i="3"/>
  <c r="C400" i="3"/>
  <c r="B400" i="3"/>
  <c r="A400" i="3"/>
  <c r="Z399" i="3"/>
  <c r="Y399" i="3"/>
  <c r="X399" i="3"/>
  <c r="W399" i="3"/>
  <c r="V399" i="3"/>
  <c r="U399" i="3"/>
  <c r="T399" i="3"/>
  <c r="S399" i="3"/>
  <c r="R399" i="3"/>
  <c r="Q399" i="3"/>
  <c r="P399" i="3"/>
  <c r="O399" i="3"/>
  <c r="N399" i="3"/>
  <c r="M399" i="3"/>
  <c r="L399" i="3"/>
  <c r="K399" i="3"/>
  <c r="J399" i="3"/>
  <c r="I399" i="3"/>
  <c r="H399" i="3"/>
  <c r="G399" i="3"/>
  <c r="F399" i="3"/>
  <c r="E399" i="3"/>
  <c r="D399" i="3"/>
  <c r="C399" i="3"/>
  <c r="B399" i="3"/>
  <c r="A399" i="3"/>
  <c r="Z398" i="3"/>
  <c r="Y398" i="3"/>
  <c r="X398" i="3"/>
  <c r="W398" i="3"/>
  <c r="V398" i="3"/>
  <c r="U398" i="3"/>
  <c r="T398" i="3"/>
  <c r="S398" i="3"/>
  <c r="R398" i="3"/>
  <c r="Q398" i="3"/>
  <c r="P398" i="3"/>
  <c r="O398" i="3"/>
  <c r="N398" i="3"/>
  <c r="M398" i="3"/>
  <c r="L398" i="3"/>
  <c r="K398" i="3"/>
  <c r="J398" i="3"/>
  <c r="I398" i="3"/>
  <c r="H398" i="3"/>
  <c r="G398" i="3"/>
  <c r="F398" i="3"/>
  <c r="E398" i="3"/>
  <c r="D398" i="3"/>
  <c r="C398" i="3"/>
  <c r="B398" i="3"/>
  <c r="A398" i="3"/>
  <c r="Z397" i="3"/>
  <c r="Y397" i="3"/>
  <c r="X397" i="3"/>
  <c r="W397" i="3"/>
  <c r="V397" i="3"/>
  <c r="U397" i="3"/>
  <c r="T397" i="3"/>
  <c r="S397" i="3"/>
  <c r="R397" i="3"/>
  <c r="Q397" i="3"/>
  <c r="P397" i="3"/>
  <c r="O397" i="3"/>
  <c r="N397" i="3"/>
  <c r="M397" i="3"/>
  <c r="L397" i="3"/>
  <c r="K397" i="3"/>
  <c r="J397" i="3"/>
  <c r="I397" i="3"/>
  <c r="H397" i="3"/>
  <c r="G397" i="3"/>
  <c r="F397" i="3"/>
  <c r="E397" i="3"/>
  <c r="D397" i="3"/>
  <c r="C397" i="3"/>
  <c r="B397" i="3"/>
  <c r="A397" i="3"/>
  <c r="Z396" i="3"/>
  <c r="Y396" i="3"/>
  <c r="X396" i="3"/>
  <c r="W396" i="3"/>
  <c r="V396" i="3"/>
  <c r="U396" i="3"/>
  <c r="T396" i="3"/>
  <c r="S396" i="3"/>
  <c r="R396" i="3"/>
  <c r="Q396" i="3"/>
  <c r="P396" i="3"/>
  <c r="O396" i="3"/>
  <c r="N396" i="3"/>
  <c r="M396" i="3"/>
  <c r="L396" i="3"/>
  <c r="K396" i="3"/>
  <c r="J396" i="3"/>
  <c r="I396" i="3"/>
  <c r="H396" i="3"/>
  <c r="G396" i="3"/>
  <c r="F396" i="3"/>
  <c r="E396" i="3"/>
  <c r="D396" i="3"/>
  <c r="C396" i="3"/>
  <c r="B396" i="3"/>
  <c r="A396" i="3"/>
  <c r="Z395" i="3"/>
  <c r="Y395" i="3"/>
  <c r="X395" i="3"/>
  <c r="W395" i="3"/>
  <c r="V395" i="3"/>
  <c r="U395" i="3"/>
  <c r="T395" i="3"/>
  <c r="S395" i="3"/>
  <c r="R395" i="3"/>
  <c r="Q395" i="3"/>
  <c r="P395" i="3"/>
  <c r="O395" i="3"/>
  <c r="N395" i="3"/>
  <c r="M395" i="3"/>
  <c r="L395" i="3"/>
  <c r="K395" i="3"/>
  <c r="J395" i="3"/>
  <c r="I395" i="3"/>
  <c r="H395" i="3"/>
  <c r="G395" i="3"/>
  <c r="F395" i="3"/>
  <c r="E395" i="3"/>
  <c r="D395" i="3"/>
  <c r="C395" i="3"/>
  <c r="B395" i="3"/>
  <c r="A395" i="3"/>
  <c r="Z394" i="3"/>
  <c r="Y394" i="3"/>
  <c r="X394" i="3"/>
  <c r="W394" i="3"/>
  <c r="V394" i="3"/>
  <c r="U394" i="3"/>
  <c r="T394" i="3"/>
  <c r="S394" i="3"/>
  <c r="R394" i="3"/>
  <c r="Q394" i="3"/>
  <c r="P394" i="3"/>
  <c r="O394" i="3"/>
  <c r="N394" i="3"/>
  <c r="M394" i="3"/>
  <c r="L394" i="3"/>
  <c r="K394" i="3"/>
  <c r="J394" i="3"/>
  <c r="I394" i="3"/>
  <c r="H394" i="3"/>
  <c r="G394" i="3"/>
  <c r="F394" i="3"/>
  <c r="E394" i="3"/>
  <c r="D394" i="3"/>
  <c r="C394" i="3"/>
  <c r="B394" i="3"/>
  <c r="A394" i="3"/>
  <c r="Z393" i="3"/>
  <c r="Y393" i="3"/>
  <c r="X393" i="3"/>
  <c r="W393" i="3"/>
  <c r="V393" i="3"/>
  <c r="U393" i="3"/>
  <c r="T393" i="3"/>
  <c r="S393" i="3"/>
  <c r="R393" i="3"/>
  <c r="Q393" i="3"/>
  <c r="P393" i="3"/>
  <c r="O393" i="3"/>
  <c r="N393" i="3"/>
  <c r="M393" i="3"/>
  <c r="L393" i="3"/>
  <c r="K393" i="3"/>
  <c r="J393" i="3"/>
  <c r="I393" i="3"/>
  <c r="H393" i="3"/>
  <c r="G393" i="3"/>
  <c r="F393" i="3"/>
  <c r="E393" i="3"/>
  <c r="D393" i="3"/>
  <c r="C393" i="3"/>
  <c r="B393" i="3"/>
  <c r="A393" i="3"/>
  <c r="Z392" i="3"/>
  <c r="Y392" i="3"/>
  <c r="X392" i="3"/>
  <c r="W392" i="3"/>
  <c r="V392" i="3"/>
  <c r="U392" i="3"/>
  <c r="T392" i="3"/>
  <c r="S392" i="3"/>
  <c r="R392" i="3"/>
  <c r="Q392" i="3"/>
  <c r="P392" i="3"/>
  <c r="O392" i="3"/>
  <c r="N392" i="3"/>
  <c r="M392" i="3"/>
  <c r="L392" i="3"/>
  <c r="K392" i="3"/>
  <c r="J392" i="3"/>
  <c r="I392" i="3"/>
  <c r="H392" i="3"/>
  <c r="G392" i="3"/>
  <c r="F392" i="3"/>
  <c r="E392" i="3"/>
  <c r="D392" i="3"/>
  <c r="C392" i="3"/>
  <c r="B392" i="3"/>
  <c r="A392" i="3"/>
  <c r="Z391" i="3"/>
  <c r="Y391" i="3"/>
  <c r="X391" i="3"/>
  <c r="W391" i="3"/>
  <c r="V391" i="3"/>
  <c r="U391" i="3"/>
  <c r="T391" i="3"/>
  <c r="S391" i="3"/>
  <c r="R391" i="3"/>
  <c r="Q391" i="3"/>
  <c r="P391" i="3"/>
  <c r="O391" i="3"/>
  <c r="N391" i="3"/>
  <c r="M391" i="3"/>
  <c r="L391" i="3"/>
  <c r="K391" i="3"/>
  <c r="J391" i="3"/>
  <c r="I391" i="3"/>
  <c r="H391" i="3"/>
  <c r="G391" i="3"/>
  <c r="F391" i="3"/>
  <c r="E391" i="3"/>
  <c r="D391" i="3"/>
  <c r="C391" i="3"/>
  <c r="B391" i="3"/>
  <c r="A391" i="3"/>
  <c r="Z390" i="3"/>
  <c r="Y390" i="3"/>
  <c r="X390" i="3"/>
  <c r="W390" i="3"/>
  <c r="V390" i="3"/>
  <c r="U390" i="3"/>
  <c r="T390" i="3"/>
  <c r="S390" i="3"/>
  <c r="R390" i="3"/>
  <c r="Q390" i="3"/>
  <c r="P390" i="3"/>
  <c r="O390" i="3"/>
  <c r="N390" i="3"/>
  <c r="M390" i="3"/>
  <c r="L390" i="3"/>
  <c r="K390" i="3"/>
  <c r="J390" i="3"/>
  <c r="I390" i="3"/>
  <c r="H390" i="3"/>
  <c r="G390" i="3"/>
  <c r="F390" i="3"/>
  <c r="E390" i="3"/>
  <c r="D390" i="3"/>
  <c r="C390" i="3"/>
  <c r="B390" i="3"/>
  <c r="A390" i="3"/>
  <c r="Z389" i="3"/>
  <c r="Y389" i="3"/>
  <c r="X389" i="3"/>
  <c r="W389" i="3"/>
  <c r="V389" i="3"/>
  <c r="U389" i="3"/>
  <c r="T389" i="3"/>
  <c r="S389" i="3"/>
  <c r="R389" i="3"/>
  <c r="Q389" i="3"/>
  <c r="P389" i="3"/>
  <c r="O389" i="3"/>
  <c r="N389" i="3"/>
  <c r="M389" i="3"/>
  <c r="L389" i="3"/>
  <c r="K389" i="3"/>
  <c r="J389" i="3"/>
  <c r="I389" i="3"/>
  <c r="H389" i="3"/>
  <c r="G389" i="3"/>
  <c r="F389" i="3"/>
  <c r="E389" i="3"/>
  <c r="D389" i="3"/>
  <c r="C389" i="3"/>
  <c r="B389" i="3"/>
  <c r="A389" i="3"/>
  <c r="Z388" i="3"/>
  <c r="Y388" i="3"/>
  <c r="X388" i="3"/>
  <c r="W388" i="3"/>
  <c r="V388" i="3"/>
  <c r="U388" i="3"/>
  <c r="T388" i="3"/>
  <c r="S388" i="3"/>
  <c r="R388" i="3"/>
  <c r="Q388" i="3"/>
  <c r="P388" i="3"/>
  <c r="O388" i="3"/>
  <c r="N388" i="3"/>
  <c r="M388" i="3"/>
  <c r="L388" i="3"/>
  <c r="K388" i="3"/>
  <c r="J388" i="3"/>
  <c r="I388" i="3"/>
  <c r="H388" i="3"/>
  <c r="G388" i="3"/>
  <c r="F388" i="3"/>
  <c r="E388" i="3"/>
  <c r="D388" i="3"/>
  <c r="C388" i="3"/>
  <c r="B388" i="3"/>
  <c r="A388" i="3"/>
  <c r="Z387" i="3"/>
  <c r="Y387" i="3"/>
  <c r="X387" i="3"/>
  <c r="W387" i="3"/>
  <c r="V387" i="3"/>
  <c r="U387" i="3"/>
  <c r="T387" i="3"/>
  <c r="S387" i="3"/>
  <c r="R387" i="3"/>
  <c r="Q387" i="3"/>
  <c r="P387" i="3"/>
  <c r="O387" i="3"/>
  <c r="N387" i="3"/>
  <c r="M387" i="3"/>
  <c r="L387" i="3"/>
  <c r="K387" i="3"/>
  <c r="J387" i="3"/>
  <c r="I387" i="3"/>
  <c r="H387" i="3"/>
  <c r="G387" i="3"/>
  <c r="F387" i="3"/>
  <c r="E387" i="3"/>
  <c r="D387" i="3"/>
  <c r="C387" i="3"/>
  <c r="B387" i="3"/>
  <c r="A387" i="3"/>
  <c r="Z386" i="3"/>
  <c r="Y386" i="3"/>
  <c r="X386" i="3"/>
  <c r="W386" i="3"/>
  <c r="V386" i="3"/>
  <c r="U386" i="3"/>
  <c r="T386" i="3"/>
  <c r="S386" i="3"/>
  <c r="R386" i="3"/>
  <c r="Q386" i="3"/>
  <c r="P386" i="3"/>
  <c r="O386" i="3"/>
  <c r="N386" i="3"/>
  <c r="M386" i="3"/>
  <c r="L386" i="3"/>
  <c r="K386" i="3"/>
  <c r="J386" i="3"/>
  <c r="I386" i="3"/>
  <c r="H386" i="3"/>
  <c r="G386" i="3"/>
  <c r="F386" i="3"/>
  <c r="E386" i="3"/>
  <c r="D386" i="3"/>
  <c r="C386" i="3"/>
  <c r="B386" i="3"/>
  <c r="A386" i="3"/>
  <c r="Z385" i="3"/>
  <c r="Y385" i="3"/>
  <c r="X385" i="3"/>
  <c r="W385" i="3"/>
  <c r="V385" i="3"/>
  <c r="U385" i="3"/>
  <c r="T385" i="3"/>
  <c r="S385" i="3"/>
  <c r="R385" i="3"/>
  <c r="Q385" i="3"/>
  <c r="P385" i="3"/>
  <c r="O385" i="3"/>
  <c r="N385" i="3"/>
  <c r="M385" i="3"/>
  <c r="L385" i="3"/>
  <c r="K385" i="3"/>
  <c r="J385" i="3"/>
  <c r="I385" i="3"/>
  <c r="H385" i="3"/>
  <c r="G385" i="3"/>
  <c r="F385" i="3"/>
  <c r="E385" i="3"/>
  <c r="D385" i="3"/>
  <c r="C385" i="3"/>
  <c r="B385" i="3"/>
  <c r="A385" i="3"/>
  <c r="Z384" i="3"/>
  <c r="Y384" i="3"/>
  <c r="X384" i="3"/>
  <c r="W384" i="3"/>
  <c r="V384" i="3"/>
  <c r="U384" i="3"/>
  <c r="T384" i="3"/>
  <c r="S384" i="3"/>
  <c r="R384" i="3"/>
  <c r="Q384" i="3"/>
  <c r="P384" i="3"/>
  <c r="O384" i="3"/>
  <c r="N384" i="3"/>
  <c r="M384" i="3"/>
  <c r="L384" i="3"/>
  <c r="K384" i="3"/>
  <c r="J384" i="3"/>
  <c r="I384" i="3"/>
  <c r="H384" i="3"/>
  <c r="G384" i="3"/>
  <c r="F384" i="3"/>
  <c r="E384" i="3"/>
  <c r="D384" i="3"/>
  <c r="C384" i="3"/>
  <c r="B384" i="3"/>
  <c r="A384" i="3"/>
  <c r="Z383" i="3"/>
  <c r="Y383" i="3"/>
  <c r="X383" i="3"/>
  <c r="W383" i="3"/>
  <c r="V383" i="3"/>
  <c r="U383" i="3"/>
  <c r="T383" i="3"/>
  <c r="S383" i="3"/>
  <c r="R383" i="3"/>
  <c r="Q383" i="3"/>
  <c r="P383" i="3"/>
  <c r="O383" i="3"/>
  <c r="N383" i="3"/>
  <c r="M383" i="3"/>
  <c r="L383" i="3"/>
  <c r="K383" i="3"/>
  <c r="J383" i="3"/>
  <c r="I383" i="3"/>
  <c r="H383" i="3"/>
  <c r="G383" i="3"/>
  <c r="F383" i="3"/>
  <c r="E383" i="3"/>
  <c r="D383" i="3"/>
  <c r="C383" i="3"/>
  <c r="B383" i="3"/>
  <c r="A383" i="3"/>
  <c r="Z382" i="3"/>
  <c r="Y382" i="3"/>
  <c r="X382" i="3"/>
  <c r="W382" i="3"/>
  <c r="V382" i="3"/>
  <c r="U382" i="3"/>
  <c r="T382" i="3"/>
  <c r="S382" i="3"/>
  <c r="R382" i="3"/>
  <c r="Q382" i="3"/>
  <c r="P382" i="3"/>
  <c r="O382" i="3"/>
  <c r="N382" i="3"/>
  <c r="M382" i="3"/>
  <c r="L382" i="3"/>
  <c r="K382" i="3"/>
  <c r="J382" i="3"/>
  <c r="I382" i="3"/>
  <c r="H382" i="3"/>
  <c r="G382" i="3"/>
  <c r="F382" i="3"/>
  <c r="E382" i="3"/>
  <c r="D382" i="3"/>
  <c r="C382" i="3"/>
  <c r="B382" i="3"/>
  <c r="A382" i="3"/>
  <c r="Z381" i="3"/>
  <c r="Y381" i="3"/>
  <c r="X381" i="3"/>
  <c r="W381" i="3"/>
  <c r="V381" i="3"/>
  <c r="U381" i="3"/>
  <c r="T381" i="3"/>
  <c r="S381" i="3"/>
  <c r="R381" i="3"/>
  <c r="Q381" i="3"/>
  <c r="P381" i="3"/>
  <c r="O381" i="3"/>
  <c r="N381" i="3"/>
  <c r="M381" i="3"/>
  <c r="L381" i="3"/>
  <c r="K381" i="3"/>
  <c r="J381" i="3"/>
  <c r="I381" i="3"/>
  <c r="H381" i="3"/>
  <c r="G381" i="3"/>
  <c r="F381" i="3"/>
  <c r="E381" i="3"/>
  <c r="D381" i="3"/>
  <c r="C381" i="3"/>
  <c r="B381" i="3"/>
  <c r="A381" i="3"/>
  <c r="Z380" i="3"/>
  <c r="Y380" i="3"/>
  <c r="X380" i="3"/>
  <c r="W380" i="3"/>
  <c r="V380" i="3"/>
  <c r="U380" i="3"/>
  <c r="T380" i="3"/>
  <c r="S380" i="3"/>
  <c r="R380" i="3"/>
  <c r="Q380" i="3"/>
  <c r="P380" i="3"/>
  <c r="O380" i="3"/>
  <c r="N380" i="3"/>
  <c r="M380" i="3"/>
  <c r="L380" i="3"/>
  <c r="K380" i="3"/>
  <c r="J380" i="3"/>
  <c r="I380" i="3"/>
  <c r="H380" i="3"/>
  <c r="G380" i="3"/>
  <c r="F380" i="3"/>
  <c r="E380" i="3"/>
  <c r="D380" i="3"/>
  <c r="C380" i="3"/>
  <c r="B380" i="3"/>
  <c r="A380" i="3"/>
  <c r="Z379" i="3"/>
  <c r="Y379" i="3"/>
  <c r="X379" i="3"/>
  <c r="W379" i="3"/>
  <c r="V379" i="3"/>
  <c r="U379" i="3"/>
  <c r="T379" i="3"/>
  <c r="S379" i="3"/>
  <c r="R379" i="3"/>
  <c r="Q379" i="3"/>
  <c r="P379" i="3"/>
  <c r="O379" i="3"/>
  <c r="N379" i="3"/>
  <c r="M379" i="3"/>
  <c r="L379" i="3"/>
  <c r="K379" i="3"/>
  <c r="J379" i="3"/>
  <c r="I379" i="3"/>
  <c r="H379" i="3"/>
  <c r="G379" i="3"/>
  <c r="F379" i="3"/>
  <c r="E379" i="3"/>
  <c r="D379" i="3"/>
  <c r="C379" i="3"/>
  <c r="B379" i="3"/>
  <c r="A379" i="3"/>
  <c r="Z378" i="3"/>
  <c r="Y378" i="3"/>
  <c r="X378" i="3"/>
  <c r="W378" i="3"/>
  <c r="V378" i="3"/>
  <c r="U378" i="3"/>
  <c r="T378" i="3"/>
  <c r="S378" i="3"/>
  <c r="R378" i="3"/>
  <c r="Q378" i="3"/>
  <c r="P378" i="3"/>
  <c r="O378" i="3"/>
  <c r="N378" i="3"/>
  <c r="M378" i="3"/>
  <c r="L378" i="3"/>
  <c r="K378" i="3"/>
  <c r="J378" i="3"/>
  <c r="I378" i="3"/>
  <c r="H378" i="3"/>
  <c r="G378" i="3"/>
  <c r="F378" i="3"/>
  <c r="E378" i="3"/>
  <c r="D378" i="3"/>
  <c r="C378" i="3"/>
  <c r="B378" i="3"/>
  <c r="A378" i="3"/>
  <c r="Z377" i="3"/>
  <c r="Y377" i="3"/>
  <c r="X377" i="3"/>
  <c r="W377" i="3"/>
  <c r="V377" i="3"/>
  <c r="U377" i="3"/>
  <c r="T377" i="3"/>
  <c r="S377" i="3"/>
  <c r="R377" i="3"/>
  <c r="Q377" i="3"/>
  <c r="P377" i="3"/>
  <c r="O377" i="3"/>
  <c r="N377" i="3"/>
  <c r="M377" i="3"/>
  <c r="L377" i="3"/>
  <c r="K377" i="3"/>
  <c r="J377" i="3"/>
  <c r="I377" i="3"/>
  <c r="H377" i="3"/>
  <c r="G377" i="3"/>
  <c r="F377" i="3"/>
  <c r="E377" i="3"/>
  <c r="D377" i="3"/>
  <c r="C377" i="3"/>
  <c r="B377" i="3"/>
  <c r="A377" i="3"/>
  <c r="Z376" i="3"/>
  <c r="Y376" i="3"/>
  <c r="X376" i="3"/>
  <c r="W376" i="3"/>
  <c r="V376" i="3"/>
  <c r="U376" i="3"/>
  <c r="T376" i="3"/>
  <c r="S376" i="3"/>
  <c r="R376" i="3"/>
  <c r="Q376" i="3"/>
  <c r="P376" i="3"/>
  <c r="O376" i="3"/>
  <c r="N376" i="3"/>
  <c r="M376" i="3"/>
  <c r="L376" i="3"/>
  <c r="K376" i="3"/>
  <c r="J376" i="3"/>
  <c r="I376" i="3"/>
  <c r="H376" i="3"/>
  <c r="G376" i="3"/>
  <c r="F376" i="3"/>
  <c r="E376" i="3"/>
  <c r="D376" i="3"/>
  <c r="C376" i="3"/>
  <c r="B376" i="3"/>
  <c r="A376" i="3"/>
  <c r="Z375" i="3"/>
  <c r="Y375" i="3"/>
  <c r="X375" i="3"/>
  <c r="W375" i="3"/>
  <c r="V375" i="3"/>
  <c r="U375" i="3"/>
  <c r="T375" i="3"/>
  <c r="S375" i="3"/>
  <c r="R375" i="3"/>
  <c r="Q375" i="3"/>
  <c r="P375" i="3"/>
  <c r="O375" i="3"/>
  <c r="N375" i="3"/>
  <c r="M375" i="3"/>
  <c r="L375" i="3"/>
  <c r="K375" i="3"/>
  <c r="J375" i="3"/>
  <c r="I375" i="3"/>
  <c r="H375" i="3"/>
  <c r="G375" i="3"/>
  <c r="F375" i="3"/>
  <c r="E375" i="3"/>
  <c r="D375" i="3"/>
  <c r="C375" i="3"/>
  <c r="B375" i="3"/>
  <c r="A375" i="3"/>
  <c r="Z374" i="3"/>
  <c r="Y374" i="3"/>
  <c r="X374" i="3"/>
  <c r="W374" i="3"/>
  <c r="V374" i="3"/>
  <c r="U374" i="3"/>
  <c r="T374" i="3"/>
  <c r="S374" i="3"/>
  <c r="R374" i="3"/>
  <c r="Q374" i="3"/>
  <c r="P374" i="3"/>
  <c r="O374" i="3"/>
  <c r="N374" i="3"/>
  <c r="M374" i="3"/>
  <c r="L374" i="3"/>
  <c r="K374" i="3"/>
  <c r="J374" i="3"/>
  <c r="I374" i="3"/>
  <c r="H374" i="3"/>
  <c r="G374" i="3"/>
  <c r="F374" i="3"/>
  <c r="E374" i="3"/>
  <c r="D374" i="3"/>
  <c r="C374" i="3"/>
  <c r="B374" i="3"/>
  <c r="A374" i="3"/>
  <c r="Z373" i="3"/>
  <c r="Y373" i="3"/>
  <c r="X373" i="3"/>
  <c r="W373" i="3"/>
  <c r="V373" i="3"/>
  <c r="U373" i="3"/>
  <c r="T373" i="3"/>
  <c r="S373" i="3"/>
  <c r="R373" i="3"/>
  <c r="Q373" i="3"/>
  <c r="P373" i="3"/>
  <c r="O373" i="3"/>
  <c r="N373" i="3"/>
  <c r="M373" i="3"/>
  <c r="L373" i="3"/>
  <c r="K373" i="3"/>
  <c r="J373" i="3"/>
  <c r="I373" i="3"/>
  <c r="H373" i="3"/>
  <c r="G373" i="3"/>
  <c r="F373" i="3"/>
  <c r="E373" i="3"/>
  <c r="D373" i="3"/>
  <c r="C373" i="3"/>
  <c r="B373" i="3"/>
  <c r="A373" i="3"/>
  <c r="Z372" i="3"/>
  <c r="Y372" i="3"/>
  <c r="X372" i="3"/>
  <c r="W372" i="3"/>
  <c r="V372" i="3"/>
  <c r="U372" i="3"/>
  <c r="T372" i="3"/>
  <c r="S372" i="3"/>
  <c r="R372" i="3"/>
  <c r="Q372" i="3"/>
  <c r="P372" i="3"/>
  <c r="O372" i="3"/>
  <c r="N372" i="3"/>
  <c r="M372" i="3"/>
  <c r="L372" i="3"/>
  <c r="K372" i="3"/>
  <c r="J372" i="3"/>
  <c r="I372" i="3"/>
  <c r="H372" i="3"/>
  <c r="G372" i="3"/>
  <c r="F372" i="3"/>
  <c r="E372" i="3"/>
  <c r="D372" i="3"/>
  <c r="C372" i="3"/>
  <c r="B372" i="3"/>
  <c r="A372" i="3"/>
  <c r="Z371" i="3"/>
  <c r="Y371" i="3"/>
  <c r="X371" i="3"/>
  <c r="W371" i="3"/>
  <c r="V371" i="3"/>
  <c r="U371" i="3"/>
  <c r="T371" i="3"/>
  <c r="S371" i="3"/>
  <c r="R371" i="3"/>
  <c r="Q371" i="3"/>
  <c r="P371" i="3"/>
  <c r="O371" i="3"/>
  <c r="N371" i="3"/>
  <c r="M371" i="3"/>
  <c r="L371" i="3"/>
  <c r="K371" i="3"/>
  <c r="J371" i="3"/>
  <c r="I371" i="3"/>
  <c r="H371" i="3"/>
  <c r="G371" i="3"/>
  <c r="F371" i="3"/>
  <c r="E371" i="3"/>
  <c r="D371" i="3"/>
  <c r="C371" i="3"/>
  <c r="B371" i="3"/>
  <c r="A371" i="3"/>
  <c r="Z370" i="3"/>
  <c r="Y370" i="3"/>
  <c r="X370" i="3"/>
  <c r="W370" i="3"/>
  <c r="V370" i="3"/>
  <c r="U370" i="3"/>
  <c r="T370" i="3"/>
  <c r="S370" i="3"/>
  <c r="R370" i="3"/>
  <c r="Q370" i="3"/>
  <c r="P370" i="3"/>
  <c r="O370" i="3"/>
  <c r="N370" i="3"/>
  <c r="M370" i="3"/>
  <c r="L370" i="3"/>
  <c r="K370" i="3"/>
  <c r="J370" i="3"/>
  <c r="I370" i="3"/>
  <c r="H370" i="3"/>
  <c r="G370" i="3"/>
  <c r="F370" i="3"/>
  <c r="E370" i="3"/>
  <c r="D370" i="3"/>
  <c r="C370" i="3"/>
  <c r="B370" i="3"/>
  <c r="A370" i="3"/>
  <c r="Z369" i="3"/>
  <c r="Y369" i="3"/>
  <c r="X369" i="3"/>
  <c r="W369" i="3"/>
  <c r="V369" i="3"/>
  <c r="U369" i="3"/>
  <c r="T369" i="3"/>
  <c r="S369" i="3"/>
  <c r="R369" i="3"/>
  <c r="Q369" i="3"/>
  <c r="P369" i="3"/>
  <c r="O369" i="3"/>
  <c r="N369" i="3"/>
  <c r="M369" i="3"/>
  <c r="L369" i="3"/>
  <c r="K369" i="3"/>
  <c r="J369" i="3"/>
  <c r="I369" i="3"/>
  <c r="H369" i="3"/>
  <c r="G369" i="3"/>
  <c r="F369" i="3"/>
  <c r="E369" i="3"/>
  <c r="D369" i="3"/>
  <c r="C369" i="3"/>
  <c r="B369" i="3"/>
  <c r="A369" i="3"/>
  <c r="Z368" i="3"/>
  <c r="Y368" i="3"/>
  <c r="X368" i="3"/>
  <c r="W368" i="3"/>
  <c r="V368" i="3"/>
  <c r="U368" i="3"/>
  <c r="T368" i="3"/>
  <c r="S368" i="3"/>
  <c r="R368" i="3"/>
  <c r="Q368" i="3"/>
  <c r="P368" i="3"/>
  <c r="O368" i="3"/>
  <c r="N368" i="3"/>
  <c r="M368" i="3"/>
  <c r="L368" i="3"/>
  <c r="K368" i="3"/>
  <c r="J368" i="3"/>
  <c r="I368" i="3"/>
  <c r="H368" i="3"/>
  <c r="G368" i="3"/>
  <c r="F368" i="3"/>
  <c r="E368" i="3"/>
  <c r="D368" i="3"/>
  <c r="C368" i="3"/>
  <c r="B368" i="3"/>
  <c r="A368" i="3"/>
  <c r="Z367" i="3"/>
  <c r="Y367" i="3"/>
  <c r="X367" i="3"/>
  <c r="W367" i="3"/>
  <c r="V367" i="3"/>
  <c r="U367" i="3"/>
  <c r="T367" i="3"/>
  <c r="S367" i="3"/>
  <c r="R367" i="3"/>
  <c r="Q367" i="3"/>
  <c r="P367" i="3"/>
  <c r="O367" i="3"/>
  <c r="N367" i="3"/>
  <c r="M367" i="3"/>
  <c r="L367" i="3"/>
  <c r="K367" i="3"/>
  <c r="J367" i="3"/>
  <c r="I367" i="3"/>
  <c r="H367" i="3"/>
  <c r="G367" i="3"/>
  <c r="F367" i="3"/>
  <c r="E367" i="3"/>
  <c r="D367" i="3"/>
  <c r="C367" i="3"/>
  <c r="B367" i="3"/>
  <c r="A367" i="3"/>
  <c r="Z366" i="3"/>
  <c r="Y366" i="3"/>
  <c r="X366" i="3"/>
  <c r="W366" i="3"/>
  <c r="V366" i="3"/>
  <c r="U366" i="3"/>
  <c r="T366" i="3"/>
  <c r="S366" i="3"/>
  <c r="R366" i="3"/>
  <c r="Q366" i="3"/>
  <c r="P366" i="3"/>
  <c r="O366" i="3"/>
  <c r="N366" i="3"/>
  <c r="M366" i="3"/>
  <c r="L366" i="3"/>
  <c r="K366" i="3"/>
  <c r="J366" i="3"/>
  <c r="I366" i="3"/>
  <c r="H366" i="3"/>
  <c r="G366" i="3"/>
  <c r="F366" i="3"/>
  <c r="E366" i="3"/>
  <c r="D366" i="3"/>
  <c r="C366" i="3"/>
  <c r="B366" i="3"/>
  <c r="A366" i="3"/>
  <c r="Z365" i="3"/>
  <c r="Y365" i="3"/>
  <c r="X365" i="3"/>
  <c r="W365" i="3"/>
  <c r="V365" i="3"/>
  <c r="U365" i="3"/>
  <c r="T365" i="3"/>
  <c r="S365" i="3"/>
  <c r="R365" i="3"/>
  <c r="Q365" i="3"/>
  <c r="P365" i="3"/>
  <c r="O365" i="3"/>
  <c r="N365" i="3"/>
  <c r="M365" i="3"/>
  <c r="L365" i="3"/>
  <c r="K365" i="3"/>
  <c r="J365" i="3"/>
  <c r="I365" i="3"/>
  <c r="H365" i="3"/>
  <c r="G365" i="3"/>
  <c r="F365" i="3"/>
  <c r="E365" i="3"/>
  <c r="D365" i="3"/>
  <c r="C365" i="3"/>
  <c r="B365" i="3"/>
  <c r="A365" i="3"/>
  <c r="Z364" i="3"/>
  <c r="Y364" i="3"/>
  <c r="X364" i="3"/>
  <c r="W364" i="3"/>
  <c r="V364" i="3"/>
  <c r="U364" i="3"/>
  <c r="T364" i="3"/>
  <c r="S364" i="3"/>
  <c r="R364" i="3"/>
  <c r="Q364" i="3"/>
  <c r="P364" i="3"/>
  <c r="O364" i="3"/>
  <c r="N364" i="3"/>
  <c r="M364" i="3"/>
  <c r="L364" i="3"/>
  <c r="K364" i="3"/>
  <c r="J364" i="3"/>
  <c r="I364" i="3"/>
  <c r="H364" i="3"/>
  <c r="G364" i="3"/>
  <c r="F364" i="3"/>
  <c r="E364" i="3"/>
  <c r="D364" i="3"/>
  <c r="C364" i="3"/>
  <c r="B364" i="3"/>
  <c r="A364" i="3"/>
  <c r="Z363" i="3"/>
  <c r="Y363" i="3"/>
  <c r="X363" i="3"/>
  <c r="W363" i="3"/>
  <c r="V363" i="3"/>
  <c r="U363" i="3"/>
  <c r="T363" i="3"/>
  <c r="S363" i="3"/>
  <c r="R363" i="3"/>
  <c r="Q363" i="3"/>
  <c r="P363" i="3"/>
  <c r="O363" i="3"/>
  <c r="N363" i="3"/>
  <c r="M363" i="3"/>
  <c r="L363" i="3"/>
  <c r="K363" i="3"/>
  <c r="J363" i="3"/>
  <c r="I363" i="3"/>
  <c r="H363" i="3"/>
  <c r="G363" i="3"/>
  <c r="F363" i="3"/>
  <c r="E363" i="3"/>
  <c r="D363" i="3"/>
  <c r="C363" i="3"/>
  <c r="B363" i="3"/>
  <c r="A363" i="3"/>
  <c r="Z362" i="3"/>
  <c r="Y362" i="3"/>
  <c r="X362" i="3"/>
  <c r="W362" i="3"/>
  <c r="V362" i="3"/>
  <c r="U362" i="3"/>
  <c r="T362" i="3"/>
  <c r="S362" i="3"/>
  <c r="R362" i="3"/>
  <c r="Q362" i="3"/>
  <c r="P362" i="3"/>
  <c r="O362" i="3"/>
  <c r="N362" i="3"/>
  <c r="M362" i="3"/>
  <c r="L362" i="3"/>
  <c r="K362" i="3"/>
  <c r="J362" i="3"/>
  <c r="I362" i="3"/>
  <c r="H362" i="3"/>
  <c r="G362" i="3"/>
  <c r="F362" i="3"/>
  <c r="E362" i="3"/>
  <c r="D362" i="3"/>
  <c r="C362" i="3"/>
  <c r="B362" i="3"/>
  <c r="A362" i="3"/>
  <c r="Z361" i="3"/>
  <c r="Y361" i="3"/>
  <c r="X361" i="3"/>
  <c r="W361" i="3"/>
  <c r="V361" i="3"/>
  <c r="U361" i="3"/>
  <c r="T361" i="3"/>
  <c r="S361" i="3"/>
  <c r="R361" i="3"/>
  <c r="Q361" i="3"/>
  <c r="P361" i="3"/>
  <c r="O361" i="3"/>
  <c r="N361" i="3"/>
  <c r="M361" i="3"/>
  <c r="L361" i="3"/>
  <c r="K361" i="3"/>
  <c r="J361" i="3"/>
  <c r="I361" i="3"/>
  <c r="H361" i="3"/>
  <c r="G361" i="3"/>
  <c r="F361" i="3"/>
  <c r="E361" i="3"/>
  <c r="D361" i="3"/>
  <c r="C361" i="3"/>
  <c r="B361" i="3"/>
  <c r="A361" i="3"/>
  <c r="Z360" i="3"/>
  <c r="Y360" i="3"/>
  <c r="X360" i="3"/>
  <c r="W360" i="3"/>
  <c r="V360" i="3"/>
  <c r="U360" i="3"/>
  <c r="T360" i="3"/>
  <c r="S360" i="3"/>
  <c r="R360" i="3"/>
  <c r="Q360" i="3"/>
  <c r="P360" i="3"/>
  <c r="O360" i="3"/>
  <c r="N360" i="3"/>
  <c r="M360" i="3"/>
  <c r="L360" i="3"/>
  <c r="K360" i="3"/>
  <c r="J360" i="3"/>
  <c r="I360" i="3"/>
  <c r="H360" i="3"/>
  <c r="G360" i="3"/>
  <c r="F360" i="3"/>
  <c r="E360" i="3"/>
  <c r="D360" i="3"/>
  <c r="C360" i="3"/>
  <c r="B360" i="3"/>
  <c r="A360" i="3"/>
  <c r="Z359" i="3"/>
  <c r="Y359" i="3"/>
  <c r="X359" i="3"/>
  <c r="W359" i="3"/>
  <c r="V359" i="3"/>
  <c r="U359" i="3"/>
  <c r="T359" i="3"/>
  <c r="S359" i="3"/>
  <c r="R359" i="3"/>
  <c r="Q359" i="3"/>
  <c r="P359" i="3"/>
  <c r="O359" i="3"/>
  <c r="N359" i="3"/>
  <c r="M359" i="3"/>
  <c r="L359" i="3"/>
  <c r="K359" i="3"/>
  <c r="J359" i="3"/>
  <c r="I359" i="3"/>
  <c r="H359" i="3"/>
  <c r="G359" i="3"/>
  <c r="F359" i="3"/>
  <c r="E359" i="3"/>
  <c r="D359" i="3"/>
  <c r="C359" i="3"/>
  <c r="B359" i="3"/>
  <c r="A359" i="3"/>
  <c r="Z358" i="3"/>
  <c r="Y358" i="3"/>
  <c r="X358" i="3"/>
  <c r="W358" i="3"/>
  <c r="V358" i="3"/>
  <c r="U358" i="3"/>
  <c r="T358" i="3"/>
  <c r="S358" i="3"/>
  <c r="R358" i="3"/>
  <c r="Q358" i="3"/>
  <c r="P358" i="3"/>
  <c r="O358" i="3"/>
  <c r="N358" i="3"/>
  <c r="M358" i="3"/>
  <c r="L358" i="3"/>
  <c r="K358" i="3"/>
  <c r="J358" i="3"/>
  <c r="I358" i="3"/>
  <c r="H358" i="3"/>
  <c r="G358" i="3"/>
  <c r="F358" i="3"/>
  <c r="E358" i="3"/>
  <c r="D358" i="3"/>
  <c r="C358" i="3"/>
  <c r="B358" i="3"/>
  <c r="A358" i="3"/>
  <c r="Z357" i="3"/>
  <c r="Y357" i="3"/>
  <c r="X357" i="3"/>
  <c r="W357" i="3"/>
  <c r="V357" i="3"/>
  <c r="U357" i="3"/>
  <c r="T357" i="3"/>
  <c r="S357" i="3"/>
  <c r="R357" i="3"/>
  <c r="Q357" i="3"/>
  <c r="P357" i="3"/>
  <c r="O357" i="3"/>
  <c r="N357" i="3"/>
  <c r="M357" i="3"/>
  <c r="L357" i="3"/>
  <c r="K357" i="3"/>
  <c r="J357" i="3"/>
  <c r="I357" i="3"/>
  <c r="H357" i="3"/>
  <c r="G357" i="3"/>
  <c r="F357" i="3"/>
  <c r="E357" i="3"/>
  <c r="D357" i="3"/>
  <c r="C357" i="3"/>
  <c r="B357" i="3"/>
  <c r="A357" i="3"/>
  <c r="Z356" i="3"/>
  <c r="Y356" i="3"/>
  <c r="X356" i="3"/>
  <c r="W356" i="3"/>
  <c r="V356" i="3"/>
  <c r="U356" i="3"/>
  <c r="T356" i="3"/>
  <c r="S356" i="3"/>
  <c r="R356" i="3"/>
  <c r="Q356" i="3"/>
  <c r="P356" i="3"/>
  <c r="O356" i="3"/>
  <c r="N356" i="3"/>
  <c r="M356" i="3"/>
  <c r="L356" i="3"/>
  <c r="K356" i="3"/>
  <c r="J356" i="3"/>
  <c r="I356" i="3"/>
  <c r="H356" i="3"/>
  <c r="G356" i="3"/>
  <c r="F356" i="3"/>
  <c r="E356" i="3"/>
  <c r="D356" i="3"/>
  <c r="C356" i="3"/>
  <c r="B356" i="3"/>
  <c r="A356" i="3"/>
  <c r="Z355" i="3"/>
  <c r="Y355" i="3"/>
  <c r="X355" i="3"/>
  <c r="W355" i="3"/>
  <c r="V355" i="3"/>
  <c r="U355" i="3"/>
  <c r="T355" i="3"/>
  <c r="S355" i="3"/>
  <c r="R355" i="3"/>
  <c r="Q355" i="3"/>
  <c r="P355" i="3"/>
  <c r="O355" i="3"/>
  <c r="N355" i="3"/>
  <c r="M355" i="3"/>
  <c r="L355" i="3"/>
  <c r="K355" i="3"/>
  <c r="J355" i="3"/>
  <c r="I355" i="3"/>
  <c r="H355" i="3"/>
  <c r="G355" i="3"/>
  <c r="F355" i="3"/>
  <c r="E355" i="3"/>
  <c r="D355" i="3"/>
  <c r="C355" i="3"/>
  <c r="B355" i="3"/>
  <c r="A355" i="3"/>
  <c r="Z354" i="3"/>
  <c r="Y354" i="3"/>
  <c r="X354" i="3"/>
  <c r="W354" i="3"/>
  <c r="V354" i="3"/>
  <c r="U354" i="3"/>
  <c r="T354" i="3"/>
  <c r="S354" i="3"/>
  <c r="R354" i="3"/>
  <c r="Q354" i="3"/>
  <c r="P354" i="3"/>
  <c r="O354" i="3"/>
  <c r="N354" i="3"/>
  <c r="M354" i="3"/>
  <c r="L354" i="3"/>
  <c r="K354" i="3"/>
  <c r="J354" i="3"/>
  <c r="I354" i="3"/>
  <c r="H354" i="3"/>
  <c r="G354" i="3"/>
  <c r="F354" i="3"/>
  <c r="E354" i="3"/>
  <c r="D354" i="3"/>
  <c r="C354" i="3"/>
  <c r="B354" i="3"/>
  <c r="A354" i="3"/>
  <c r="Z353" i="3"/>
  <c r="Y353" i="3"/>
  <c r="X353" i="3"/>
  <c r="W353" i="3"/>
  <c r="V353" i="3"/>
  <c r="U353" i="3"/>
  <c r="T353" i="3"/>
  <c r="S353" i="3"/>
  <c r="R353" i="3"/>
  <c r="Q353" i="3"/>
  <c r="P353" i="3"/>
  <c r="O353" i="3"/>
  <c r="N353" i="3"/>
  <c r="M353" i="3"/>
  <c r="L353" i="3"/>
  <c r="K353" i="3"/>
  <c r="J353" i="3"/>
  <c r="I353" i="3"/>
  <c r="H353" i="3"/>
  <c r="G353" i="3"/>
  <c r="F353" i="3"/>
  <c r="E353" i="3"/>
  <c r="D353" i="3"/>
  <c r="C353" i="3"/>
  <c r="B353" i="3"/>
  <c r="A353" i="3"/>
  <c r="Z352" i="3"/>
  <c r="Y352" i="3"/>
  <c r="X352" i="3"/>
  <c r="W352" i="3"/>
  <c r="V352" i="3"/>
  <c r="U352" i="3"/>
  <c r="T352" i="3"/>
  <c r="S352" i="3"/>
  <c r="R352" i="3"/>
  <c r="Q352" i="3"/>
  <c r="P352" i="3"/>
  <c r="O352" i="3"/>
  <c r="N352" i="3"/>
  <c r="M352" i="3"/>
  <c r="L352" i="3"/>
  <c r="K352" i="3"/>
  <c r="J352" i="3"/>
  <c r="I352" i="3"/>
  <c r="H352" i="3"/>
  <c r="G352" i="3"/>
  <c r="F352" i="3"/>
  <c r="E352" i="3"/>
  <c r="D352" i="3"/>
  <c r="C352" i="3"/>
  <c r="B352" i="3"/>
  <c r="A352" i="3"/>
  <c r="Z351" i="3"/>
  <c r="Y351" i="3"/>
  <c r="X351" i="3"/>
  <c r="W351" i="3"/>
  <c r="V351" i="3"/>
  <c r="U351" i="3"/>
  <c r="T351" i="3"/>
  <c r="S351" i="3"/>
  <c r="R351" i="3"/>
  <c r="Q351" i="3"/>
  <c r="P351" i="3"/>
  <c r="O351" i="3"/>
  <c r="N351" i="3"/>
  <c r="M351" i="3"/>
  <c r="L351" i="3"/>
  <c r="K351" i="3"/>
  <c r="J351" i="3"/>
  <c r="I351" i="3"/>
  <c r="H351" i="3"/>
  <c r="G351" i="3"/>
  <c r="F351" i="3"/>
  <c r="E351" i="3"/>
  <c r="D351" i="3"/>
  <c r="C351" i="3"/>
  <c r="B351" i="3"/>
  <c r="A351" i="3"/>
  <c r="Z350" i="3"/>
  <c r="Y350" i="3"/>
  <c r="X350" i="3"/>
  <c r="W350" i="3"/>
  <c r="V350" i="3"/>
  <c r="U350" i="3"/>
  <c r="T350" i="3"/>
  <c r="S350" i="3"/>
  <c r="R350" i="3"/>
  <c r="Q350" i="3"/>
  <c r="P350" i="3"/>
  <c r="O350" i="3"/>
  <c r="N350" i="3"/>
  <c r="M350" i="3"/>
  <c r="L350" i="3"/>
  <c r="K350" i="3"/>
  <c r="J350" i="3"/>
  <c r="I350" i="3"/>
  <c r="H350" i="3"/>
  <c r="G350" i="3"/>
  <c r="F350" i="3"/>
  <c r="E350" i="3"/>
  <c r="D350" i="3"/>
  <c r="C350" i="3"/>
  <c r="B350" i="3"/>
  <c r="A350" i="3"/>
  <c r="Z349" i="3"/>
  <c r="Y349" i="3"/>
  <c r="X349" i="3"/>
  <c r="W349" i="3"/>
  <c r="V349" i="3"/>
  <c r="U349" i="3"/>
  <c r="T349" i="3"/>
  <c r="S349" i="3"/>
  <c r="R349" i="3"/>
  <c r="Q349" i="3"/>
  <c r="P349" i="3"/>
  <c r="O349" i="3"/>
  <c r="N349" i="3"/>
  <c r="M349" i="3"/>
  <c r="L349" i="3"/>
  <c r="K349" i="3"/>
  <c r="J349" i="3"/>
  <c r="I349" i="3"/>
  <c r="H349" i="3"/>
  <c r="G349" i="3"/>
  <c r="F349" i="3"/>
  <c r="E349" i="3"/>
  <c r="D349" i="3"/>
  <c r="C349" i="3"/>
  <c r="B349" i="3"/>
  <c r="A349" i="3"/>
  <c r="Z348" i="3"/>
  <c r="Y348" i="3"/>
  <c r="X348" i="3"/>
  <c r="W348" i="3"/>
  <c r="V348" i="3"/>
  <c r="U348" i="3"/>
  <c r="T348" i="3"/>
  <c r="S348" i="3"/>
  <c r="R348" i="3"/>
  <c r="Q348" i="3"/>
  <c r="P348" i="3"/>
  <c r="O348" i="3"/>
  <c r="N348" i="3"/>
  <c r="M348" i="3"/>
  <c r="L348" i="3"/>
  <c r="K348" i="3"/>
  <c r="J348" i="3"/>
  <c r="I348" i="3"/>
  <c r="H348" i="3"/>
  <c r="G348" i="3"/>
  <c r="F348" i="3"/>
  <c r="E348" i="3"/>
  <c r="D348" i="3"/>
  <c r="C348" i="3"/>
  <c r="B348" i="3"/>
  <c r="A348" i="3"/>
  <c r="Z347" i="3"/>
  <c r="Y347" i="3"/>
  <c r="X347" i="3"/>
  <c r="W347" i="3"/>
  <c r="V347" i="3"/>
  <c r="U347" i="3"/>
  <c r="T347" i="3"/>
  <c r="S347" i="3"/>
  <c r="R347" i="3"/>
  <c r="Q347" i="3"/>
  <c r="P347" i="3"/>
  <c r="O347" i="3"/>
  <c r="N347" i="3"/>
  <c r="M347" i="3"/>
  <c r="L347" i="3"/>
  <c r="K347" i="3"/>
  <c r="J347" i="3"/>
  <c r="I347" i="3"/>
  <c r="H347" i="3"/>
  <c r="G347" i="3"/>
  <c r="F347" i="3"/>
  <c r="E347" i="3"/>
  <c r="D347" i="3"/>
  <c r="C347" i="3"/>
  <c r="B347" i="3"/>
  <c r="A347" i="3"/>
  <c r="Z346" i="3"/>
  <c r="Y346" i="3"/>
  <c r="X346" i="3"/>
  <c r="W346" i="3"/>
  <c r="V346" i="3"/>
  <c r="U346" i="3"/>
  <c r="T346" i="3"/>
  <c r="S346" i="3"/>
  <c r="R346" i="3"/>
  <c r="Q346" i="3"/>
  <c r="P346" i="3"/>
  <c r="O346" i="3"/>
  <c r="N346" i="3"/>
  <c r="M346" i="3"/>
  <c r="L346" i="3"/>
  <c r="K346" i="3"/>
  <c r="J346" i="3"/>
  <c r="I346" i="3"/>
  <c r="H346" i="3"/>
  <c r="G346" i="3"/>
  <c r="F346" i="3"/>
  <c r="E346" i="3"/>
  <c r="D346" i="3"/>
  <c r="C346" i="3"/>
  <c r="B346" i="3"/>
  <c r="A346" i="3"/>
  <c r="Z345" i="3"/>
  <c r="Y345" i="3"/>
  <c r="X345" i="3"/>
  <c r="W345" i="3"/>
  <c r="V345" i="3"/>
  <c r="U345" i="3"/>
  <c r="T345" i="3"/>
  <c r="S345" i="3"/>
  <c r="R345" i="3"/>
  <c r="Q345" i="3"/>
  <c r="P345" i="3"/>
  <c r="O345" i="3"/>
  <c r="N345" i="3"/>
  <c r="M345" i="3"/>
  <c r="L345" i="3"/>
  <c r="K345" i="3"/>
  <c r="J345" i="3"/>
  <c r="I345" i="3"/>
  <c r="H345" i="3"/>
  <c r="G345" i="3"/>
  <c r="F345" i="3"/>
  <c r="E345" i="3"/>
  <c r="D345" i="3"/>
  <c r="C345" i="3"/>
  <c r="B345" i="3"/>
  <c r="A345" i="3"/>
  <c r="Z344" i="3"/>
  <c r="Y344" i="3"/>
  <c r="X344" i="3"/>
  <c r="W344" i="3"/>
  <c r="V344" i="3"/>
  <c r="U344" i="3"/>
  <c r="T344" i="3"/>
  <c r="S344" i="3"/>
  <c r="R344" i="3"/>
  <c r="Q344" i="3"/>
  <c r="P344" i="3"/>
  <c r="O344" i="3"/>
  <c r="N344" i="3"/>
  <c r="M344" i="3"/>
  <c r="L344" i="3"/>
  <c r="K344" i="3"/>
  <c r="J344" i="3"/>
  <c r="I344" i="3"/>
  <c r="H344" i="3"/>
  <c r="G344" i="3"/>
  <c r="F344" i="3"/>
  <c r="E344" i="3"/>
  <c r="D344" i="3"/>
  <c r="C344" i="3"/>
  <c r="B344" i="3"/>
  <c r="A344" i="3"/>
  <c r="Z343" i="3"/>
  <c r="Y343" i="3"/>
  <c r="X343" i="3"/>
  <c r="W343" i="3"/>
  <c r="V343" i="3"/>
  <c r="U343" i="3"/>
  <c r="T343" i="3"/>
  <c r="S343" i="3"/>
  <c r="R343" i="3"/>
  <c r="Q343" i="3"/>
  <c r="P343" i="3"/>
  <c r="O343" i="3"/>
  <c r="N343" i="3"/>
  <c r="M343" i="3"/>
  <c r="L343" i="3"/>
  <c r="K343" i="3"/>
  <c r="J343" i="3"/>
  <c r="I343" i="3"/>
  <c r="H343" i="3"/>
  <c r="G343" i="3"/>
  <c r="F343" i="3"/>
  <c r="E343" i="3"/>
  <c r="D343" i="3"/>
  <c r="C343" i="3"/>
  <c r="B343" i="3"/>
  <c r="A343" i="3"/>
  <c r="Z342" i="3"/>
  <c r="Y342" i="3"/>
  <c r="X342" i="3"/>
  <c r="W342" i="3"/>
  <c r="V342" i="3"/>
  <c r="U342" i="3"/>
  <c r="T342" i="3"/>
  <c r="S342" i="3"/>
  <c r="R342" i="3"/>
  <c r="Q342" i="3"/>
  <c r="P342" i="3"/>
  <c r="O342" i="3"/>
  <c r="N342" i="3"/>
  <c r="M342" i="3"/>
  <c r="L342" i="3"/>
  <c r="K342" i="3"/>
  <c r="J342" i="3"/>
  <c r="I342" i="3"/>
  <c r="H342" i="3"/>
  <c r="G342" i="3"/>
  <c r="F342" i="3"/>
  <c r="E342" i="3"/>
  <c r="D342" i="3"/>
  <c r="C342" i="3"/>
  <c r="B342" i="3"/>
  <c r="A342" i="3"/>
  <c r="Z341" i="3"/>
  <c r="Y341" i="3"/>
  <c r="X341" i="3"/>
  <c r="W341" i="3"/>
  <c r="V341" i="3"/>
  <c r="U341" i="3"/>
  <c r="T341" i="3"/>
  <c r="S341" i="3"/>
  <c r="R341" i="3"/>
  <c r="Q341" i="3"/>
  <c r="P341" i="3"/>
  <c r="O341" i="3"/>
  <c r="N341" i="3"/>
  <c r="M341" i="3"/>
  <c r="L341" i="3"/>
  <c r="K341" i="3"/>
  <c r="J341" i="3"/>
  <c r="I341" i="3"/>
  <c r="H341" i="3"/>
  <c r="G341" i="3"/>
  <c r="F341" i="3"/>
  <c r="E341" i="3"/>
  <c r="D341" i="3"/>
  <c r="C341" i="3"/>
  <c r="B341" i="3"/>
  <c r="A341" i="3"/>
  <c r="Z340" i="3"/>
  <c r="Y340" i="3"/>
  <c r="X340" i="3"/>
  <c r="W340" i="3"/>
  <c r="V340" i="3"/>
  <c r="U340" i="3"/>
  <c r="T340" i="3"/>
  <c r="S340" i="3"/>
  <c r="R340" i="3"/>
  <c r="Q340" i="3"/>
  <c r="P340" i="3"/>
  <c r="O340" i="3"/>
  <c r="N340" i="3"/>
  <c r="M340" i="3"/>
  <c r="L340" i="3"/>
  <c r="K340" i="3"/>
  <c r="J340" i="3"/>
  <c r="I340" i="3"/>
  <c r="H340" i="3"/>
  <c r="G340" i="3"/>
  <c r="F340" i="3"/>
  <c r="E340" i="3"/>
  <c r="D340" i="3"/>
  <c r="C340" i="3"/>
  <c r="B340" i="3"/>
  <c r="A340" i="3"/>
  <c r="Z339" i="3"/>
  <c r="Y339" i="3"/>
  <c r="X339" i="3"/>
  <c r="W339" i="3"/>
  <c r="V339" i="3"/>
  <c r="U339" i="3"/>
  <c r="T339" i="3"/>
  <c r="S339" i="3"/>
  <c r="R339" i="3"/>
  <c r="Q339" i="3"/>
  <c r="P339" i="3"/>
  <c r="O339" i="3"/>
  <c r="N339" i="3"/>
  <c r="M339" i="3"/>
  <c r="L339" i="3"/>
  <c r="K339" i="3"/>
  <c r="J339" i="3"/>
  <c r="I339" i="3"/>
  <c r="H339" i="3"/>
  <c r="G339" i="3"/>
  <c r="F339" i="3"/>
  <c r="E339" i="3"/>
  <c r="D339" i="3"/>
  <c r="C339" i="3"/>
  <c r="B339" i="3"/>
  <c r="A339" i="3"/>
  <c r="Z338" i="3"/>
  <c r="Y338" i="3"/>
  <c r="X338" i="3"/>
  <c r="W338" i="3"/>
  <c r="V338" i="3"/>
  <c r="U338" i="3"/>
  <c r="T338" i="3"/>
  <c r="S338" i="3"/>
  <c r="R338" i="3"/>
  <c r="Q338" i="3"/>
  <c r="P338" i="3"/>
  <c r="O338" i="3"/>
  <c r="N338" i="3"/>
  <c r="M338" i="3"/>
  <c r="L338" i="3"/>
  <c r="K338" i="3"/>
  <c r="J338" i="3"/>
  <c r="I338" i="3"/>
  <c r="H338" i="3"/>
  <c r="G338" i="3"/>
  <c r="F338" i="3"/>
  <c r="E338" i="3"/>
  <c r="D338" i="3"/>
  <c r="C338" i="3"/>
  <c r="B338" i="3"/>
  <c r="A338" i="3"/>
  <c r="Z337" i="3"/>
  <c r="Y337" i="3"/>
  <c r="X337" i="3"/>
  <c r="W337" i="3"/>
  <c r="V337" i="3"/>
  <c r="U337" i="3"/>
  <c r="T337" i="3"/>
  <c r="S337" i="3"/>
  <c r="R337" i="3"/>
  <c r="Q337" i="3"/>
  <c r="P337" i="3"/>
  <c r="O337" i="3"/>
  <c r="N337" i="3"/>
  <c r="M337" i="3"/>
  <c r="L337" i="3"/>
  <c r="K337" i="3"/>
  <c r="J337" i="3"/>
  <c r="I337" i="3"/>
  <c r="H337" i="3"/>
  <c r="G337" i="3"/>
  <c r="F337" i="3"/>
  <c r="E337" i="3"/>
  <c r="D337" i="3"/>
  <c r="C337" i="3"/>
  <c r="B337" i="3"/>
  <c r="A337" i="3"/>
  <c r="Z336" i="3"/>
  <c r="Y336" i="3"/>
  <c r="X336" i="3"/>
  <c r="W336" i="3"/>
  <c r="V336" i="3"/>
  <c r="U336" i="3"/>
  <c r="T336" i="3"/>
  <c r="S336" i="3"/>
  <c r="R336" i="3"/>
  <c r="Q336" i="3"/>
  <c r="P336" i="3"/>
  <c r="O336" i="3"/>
  <c r="N336" i="3"/>
  <c r="M336" i="3"/>
  <c r="L336" i="3"/>
  <c r="K336" i="3"/>
  <c r="J336" i="3"/>
  <c r="I336" i="3"/>
  <c r="H336" i="3"/>
  <c r="G336" i="3"/>
  <c r="F336" i="3"/>
  <c r="E336" i="3"/>
  <c r="D336" i="3"/>
  <c r="C336" i="3"/>
  <c r="B336" i="3"/>
  <c r="A336" i="3"/>
  <c r="Z335" i="3"/>
  <c r="Y335" i="3"/>
  <c r="X335" i="3"/>
  <c r="W335" i="3"/>
  <c r="V335" i="3"/>
  <c r="U335" i="3"/>
  <c r="T335" i="3"/>
  <c r="S335" i="3"/>
  <c r="R335" i="3"/>
  <c r="Q335" i="3"/>
  <c r="P335" i="3"/>
  <c r="O335" i="3"/>
  <c r="N335" i="3"/>
  <c r="M335" i="3"/>
  <c r="L335" i="3"/>
  <c r="K335" i="3"/>
  <c r="J335" i="3"/>
  <c r="I335" i="3"/>
  <c r="H335" i="3"/>
  <c r="G335" i="3"/>
  <c r="F335" i="3"/>
  <c r="E335" i="3"/>
  <c r="D335" i="3"/>
  <c r="C335" i="3"/>
  <c r="B335" i="3"/>
  <c r="A335" i="3"/>
  <c r="Z334" i="3"/>
  <c r="Y334" i="3"/>
  <c r="X334" i="3"/>
  <c r="W334" i="3"/>
  <c r="V334" i="3"/>
  <c r="U334" i="3"/>
  <c r="T334" i="3"/>
  <c r="S334" i="3"/>
  <c r="R334" i="3"/>
  <c r="Q334" i="3"/>
  <c r="P334" i="3"/>
  <c r="O334" i="3"/>
  <c r="N334" i="3"/>
  <c r="M334" i="3"/>
  <c r="L334" i="3"/>
  <c r="K334" i="3"/>
  <c r="J334" i="3"/>
  <c r="I334" i="3"/>
  <c r="H334" i="3"/>
  <c r="G334" i="3"/>
  <c r="F334" i="3"/>
  <c r="E334" i="3"/>
  <c r="D334" i="3"/>
  <c r="C334" i="3"/>
  <c r="B334" i="3"/>
  <c r="A334" i="3"/>
  <c r="Z333" i="3"/>
  <c r="Y333" i="3"/>
  <c r="X333" i="3"/>
  <c r="W333" i="3"/>
  <c r="V333" i="3"/>
  <c r="U333" i="3"/>
  <c r="T333" i="3"/>
  <c r="S333" i="3"/>
  <c r="R333" i="3"/>
  <c r="Q333" i="3"/>
  <c r="P333" i="3"/>
  <c r="O333" i="3"/>
  <c r="N333" i="3"/>
  <c r="M333" i="3"/>
  <c r="L333" i="3"/>
  <c r="K333" i="3"/>
  <c r="J333" i="3"/>
  <c r="I333" i="3"/>
  <c r="H333" i="3"/>
  <c r="G333" i="3"/>
  <c r="F333" i="3"/>
  <c r="E333" i="3"/>
  <c r="D333" i="3"/>
  <c r="C333" i="3"/>
  <c r="B333" i="3"/>
  <c r="A333" i="3"/>
  <c r="Z332" i="3"/>
  <c r="Y332" i="3"/>
  <c r="X332" i="3"/>
  <c r="W332" i="3"/>
  <c r="V332" i="3"/>
  <c r="U332" i="3"/>
  <c r="T332" i="3"/>
  <c r="S332" i="3"/>
  <c r="R332" i="3"/>
  <c r="Q332" i="3"/>
  <c r="P332" i="3"/>
  <c r="O332" i="3"/>
  <c r="N332" i="3"/>
  <c r="M332" i="3"/>
  <c r="L332" i="3"/>
  <c r="K332" i="3"/>
  <c r="J332" i="3"/>
  <c r="I332" i="3"/>
  <c r="H332" i="3"/>
  <c r="G332" i="3"/>
  <c r="F332" i="3"/>
  <c r="E332" i="3"/>
  <c r="D332" i="3"/>
  <c r="C332" i="3"/>
  <c r="B332" i="3"/>
  <c r="A332" i="3"/>
  <c r="Z331" i="3"/>
  <c r="Y331" i="3"/>
  <c r="X331" i="3"/>
  <c r="W331" i="3"/>
  <c r="V331" i="3"/>
  <c r="U331" i="3"/>
  <c r="T331" i="3"/>
  <c r="S331" i="3"/>
  <c r="R331" i="3"/>
  <c r="Q331" i="3"/>
  <c r="P331" i="3"/>
  <c r="O331" i="3"/>
  <c r="N331" i="3"/>
  <c r="M331" i="3"/>
  <c r="L331" i="3"/>
  <c r="K331" i="3"/>
  <c r="J331" i="3"/>
  <c r="I331" i="3"/>
  <c r="H331" i="3"/>
  <c r="G331" i="3"/>
  <c r="F331" i="3"/>
  <c r="E331" i="3"/>
  <c r="D331" i="3"/>
  <c r="C331" i="3"/>
  <c r="B331" i="3"/>
  <c r="A331" i="3"/>
  <c r="Z330" i="3"/>
  <c r="Y330" i="3"/>
  <c r="X330" i="3"/>
  <c r="W330" i="3"/>
  <c r="V330" i="3"/>
  <c r="U330" i="3"/>
  <c r="T330" i="3"/>
  <c r="S330" i="3"/>
  <c r="R330" i="3"/>
  <c r="Q330" i="3"/>
  <c r="P330" i="3"/>
  <c r="O330" i="3"/>
  <c r="N330" i="3"/>
  <c r="M330" i="3"/>
  <c r="L330" i="3"/>
  <c r="K330" i="3"/>
  <c r="J330" i="3"/>
  <c r="I330" i="3"/>
  <c r="H330" i="3"/>
  <c r="G330" i="3"/>
  <c r="F330" i="3"/>
  <c r="E330" i="3"/>
  <c r="D330" i="3"/>
  <c r="C330" i="3"/>
  <c r="B330" i="3"/>
  <c r="A330" i="3"/>
  <c r="Z329" i="3"/>
  <c r="Y329" i="3"/>
  <c r="X329" i="3"/>
  <c r="W329" i="3"/>
  <c r="V329" i="3"/>
  <c r="U329" i="3"/>
  <c r="T329" i="3"/>
  <c r="S329" i="3"/>
  <c r="R329" i="3"/>
  <c r="Q329" i="3"/>
  <c r="P329" i="3"/>
  <c r="O329" i="3"/>
  <c r="N329" i="3"/>
  <c r="M329" i="3"/>
  <c r="L329" i="3"/>
  <c r="K329" i="3"/>
  <c r="J329" i="3"/>
  <c r="I329" i="3"/>
  <c r="H329" i="3"/>
  <c r="G329" i="3"/>
  <c r="F329" i="3"/>
  <c r="E329" i="3"/>
  <c r="D329" i="3"/>
  <c r="C329" i="3"/>
  <c r="B329" i="3"/>
  <c r="A329" i="3"/>
  <c r="Z328" i="3"/>
  <c r="Y328" i="3"/>
  <c r="X328" i="3"/>
  <c r="W328" i="3"/>
  <c r="V328" i="3"/>
  <c r="U328" i="3"/>
  <c r="T328" i="3"/>
  <c r="S328" i="3"/>
  <c r="R328" i="3"/>
  <c r="Q328" i="3"/>
  <c r="P328" i="3"/>
  <c r="O328" i="3"/>
  <c r="N328" i="3"/>
  <c r="M328" i="3"/>
  <c r="L328" i="3"/>
  <c r="K328" i="3"/>
  <c r="J328" i="3"/>
  <c r="I328" i="3"/>
  <c r="H328" i="3"/>
  <c r="G328" i="3"/>
  <c r="F328" i="3"/>
  <c r="E328" i="3"/>
  <c r="D328" i="3"/>
  <c r="C328" i="3"/>
  <c r="B328" i="3"/>
  <c r="A328" i="3"/>
  <c r="Z327" i="3"/>
  <c r="Y327" i="3"/>
  <c r="X327" i="3"/>
  <c r="W327" i="3"/>
  <c r="V327" i="3"/>
  <c r="U327" i="3"/>
  <c r="T327" i="3"/>
  <c r="S327" i="3"/>
  <c r="R327" i="3"/>
  <c r="Q327" i="3"/>
  <c r="P327" i="3"/>
  <c r="O327" i="3"/>
  <c r="N327" i="3"/>
  <c r="M327" i="3"/>
  <c r="L327" i="3"/>
  <c r="K327" i="3"/>
  <c r="J327" i="3"/>
  <c r="I327" i="3"/>
  <c r="H327" i="3"/>
  <c r="G327" i="3"/>
  <c r="F327" i="3"/>
  <c r="E327" i="3"/>
  <c r="D327" i="3"/>
  <c r="C327" i="3"/>
  <c r="B327" i="3"/>
  <c r="A327" i="3"/>
  <c r="Z326" i="3"/>
  <c r="Y326" i="3"/>
  <c r="X326" i="3"/>
  <c r="W326" i="3"/>
  <c r="V326" i="3"/>
  <c r="U326" i="3"/>
  <c r="T326" i="3"/>
  <c r="S326" i="3"/>
  <c r="R326" i="3"/>
  <c r="Q326" i="3"/>
  <c r="P326" i="3"/>
  <c r="O326" i="3"/>
  <c r="N326" i="3"/>
  <c r="M326" i="3"/>
  <c r="L326" i="3"/>
  <c r="K326" i="3"/>
  <c r="J326" i="3"/>
  <c r="I326" i="3"/>
  <c r="H326" i="3"/>
  <c r="G326" i="3"/>
  <c r="F326" i="3"/>
  <c r="E326" i="3"/>
  <c r="D326" i="3"/>
  <c r="C326" i="3"/>
  <c r="B326" i="3"/>
  <c r="A326" i="3"/>
  <c r="Z325" i="3"/>
  <c r="Y325" i="3"/>
  <c r="X325" i="3"/>
  <c r="W325" i="3"/>
  <c r="V325" i="3"/>
  <c r="U325" i="3"/>
  <c r="T325" i="3"/>
  <c r="S325" i="3"/>
  <c r="R325" i="3"/>
  <c r="Q325" i="3"/>
  <c r="P325" i="3"/>
  <c r="O325" i="3"/>
  <c r="N325" i="3"/>
  <c r="M325" i="3"/>
  <c r="L325" i="3"/>
  <c r="K325" i="3"/>
  <c r="J325" i="3"/>
  <c r="I325" i="3"/>
  <c r="H325" i="3"/>
  <c r="G325" i="3"/>
  <c r="F325" i="3"/>
  <c r="E325" i="3"/>
  <c r="D325" i="3"/>
  <c r="C325" i="3"/>
  <c r="B325" i="3"/>
  <c r="A325" i="3"/>
  <c r="Z324" i="3"/>
  <c r="Y324" i="3"/>
  <c r="X324" i="3"/>
  <c r="W324" i="3"/>
  <c r="V324" i="3"/>
  <c r="U324" i="3"/>
  <c r="T324" i="3"/>
  <c r="S324" i="3"/>
  <c r="R324" i="3"/>
  <c r="Q324" i="3"/>
  <c r="P324" i="3"/>
  <c r="O324" i="3"/>
  <c r="N324" i="3"/>
  <c r="M324" i="3"/>
  <c r="L324" i="3"/>
  <c r="K324" i="3"/>
  <c r="J324" i="3"/>
  <c r="I324" i="3"/>
  <c r="H324" i="3"/>
  <c r="G324" i="3"/>
  <c r="F324" i="3"/>
  <c r="E324" i="3"/>
  <c r="D324" i="3"/>
  <c r="C324" i="3"/>
  <c r="B324" i="3"/>
  <c r="A324" i="3"/>
  <c r="Z323" i="3"/>
  <c r="Y323" i="3"/>
  <c r="X323" i="3"/>
  <c r="W323" i="3"/>
  <c r="V323" i="3"/>
  <c r="U323" i="3"/>
  <c r="T323" i="3"/>
  <c r="S323" i="3"/>
  <c r="R323" i="3"/>
  <c r="Q323" i="3"/>
  <c r="P323" i="3"/>
  <c r="O323" i="3"/>
  <c r="N323" i="3"/>
  <c r="M323" i="3"/>
  <c r="L323" i="3"/>
  <c r="K323" i="3"/>
  <c r="J323" i="3"/>
  <c r="I323" i="3"/>
  <c r="H323" i="3"/>
  <c r="G323" i="3"/>
  <c r="F323" i="3"/>
  <c r="E323" i="3"/>
  <c r="D323" i="3"/>
  <c r="C323" i="3"/>
  <c r="B323" i="3"/>
  <c r="A323" i="3"/>
  <c r="Z322" i="3"/>
  <c r="Y322" i="3"/>
  <c r="X322" i="3"/>
  <c r="W322" i="3"/>
  <c r="V322" i="3"/>
  <c r="U322" i="3"/>
  <c r="T322" i="3"/>
  <c r="S322" i="3"/>
  <c r="R322" i="3"/>
  <c r="Q322" i="3"/>
  <c r="P322" i="3"/>
  <c r="O322" i="3"/>
  <c r="N322" i="3"/>
  <c r="M322" i="3"/>
  <c r="L322" i="3"/>
  <c r="K322" i="3"/>
  <c r="J322" i="3"/>
  <c r="I322" i="3"/>
  <c r="H322" i="3"/>
  <c r="G322" i="3"/>
  <c r="F322" i="3"/>
  <c r="E322" i="3"/>
  <c r="D322" i="3"/>
  <c r="C322" i="3"/>
  <c r="B322" i="3"/>
  <c r="A322" i="3"/>
  <c r="Z321" i="3"/>
  <c r="Y321" i="3"/>
  <c r="X321" i="3"/>
  <c r="W321" i="3"/>
  <c r="V321" i="3"/>
  <c r="U321" i="3"/>
  <c r="T321" i="3"/>
  <c r="S321" i="3"/>
  <c r="R321" i="3"/>
  <c r="Q321" i="3"/>
  <c r="P321" i="3"/>
  <c r="O321" i="3"/>
  <c r="N321" i="3"/>
  <c r="M321" i="3"/>
  <c r="L321" i="3"/>
  <c r="K321" i="3"/>
  <c r="J321" i="3"/>
  <c r="I321" i="3"/>
  <c r="H321" i="3"/>
  <c r="G321" i="3"/>
  <c r="F321" i="3"/>
  <c r="E321" i="3"/>
  <c r="D321" i="3"/>
  <c r="C321" i="3"/>
  <c r="B321" i="3"/>
  <c r="A321" i="3"/>
  <c r="Z320" i="3"/>
  <c r="Y320" i="3"/>
  <c r="X320" i="3"/>
  <c r="W320" i="3"/>
  <c r="V320" i="3"/>
  <c r="U320" i="3"/>
  <c r="T320" i="3"/>
  <c r="S320" i="3"/>
  <c r="R320" i="3"/>
  <c r="Q320" i="3"/>
  <c r="P320" i="3"/>
  <c r="O320" i="3"/>
  <c r="N320" i="3"/>
  <c r="M320" i="3"/>
  <c r="L320" i="3"/>
  <c r="K320" i="3"/>
  <c r="J320" i="3"/>
  <c r="I320" i="3"/>
  <c r="H320" i="3"/>
  <c r="G320" i="3"/>
  <c r="F320" i="3"/>
  <c r="E320" i="3"/>
  <c r="D320" i="3"/>
  <c r="C320" i="3"/>
  <c r="B320" i="3"/>
  <c r="A320" i="3"/>
  <c r="Z319" i="3"/>
  <c r="Y319" i="3"/>
  <c r="X319" i="3"/>
  <c r="W319" i="3"/>
  <c r="V319" i="3"/>
  <c r="U319" i="3"/>
  <c r="T319" i="3"/>
  <c r="S319" i="3"/>
  <c r="R319" i="3"/>
  <c r="Q319" i="3"/>
  <c r="P319" i="3"/>
  <c r="O319" i="3"/>
  <c r="N319" i="3"/>
  <c r="M319" i="3"/>
  <c r="L319" i="3"/>
  <c r="K319" i="3"/>
  <c r="J319" i="3"/>
  <c r="I319" i="3"/>
  <c r="H319" i="3"/>
  <c r="G319" i="3"/>
  <c r="F319" i="3"/>
  <c r="E319" i="3"/>
  <c r="D319" i="3"/>
  <c r="C319" i="3"/>
  <c r="B319" i="3"/>
  <c r="A319" i="3"/>
  <c r="Z318" i="3"/>
  <c r="Y318" i="3"/>
  <c r="X318" i="3"/>
  <c r="W318" i="3"/>
  <c r="V318" i="3"/>
  <c r="U318" i="3"/>
  <c r="T318" i="3"/>
  <c r="S318" i="3"/>
  <c r="R318" i="3"/>
  <c r="Q318" i="3"/>
  <c r="P318" i="3"/>
  <c r="O318" i="3"/>
  <c r="N318" i="3"/>
  <c r="M318" i="3"/>
  <c r="L318" i="3"/>
  <c r="K318" i="3"/>
  <c r="J318" i="3"/>
  <c r="I318" i="3"/>
  <c r="H318" i="3"/>
  <c r="G318" i="3"/>
  <c r="F318" i="3"/>
  <c r="E318" i="3"/>
  <c r="D318" i="3"/>
  <c r="C318" i="3"/>
  <c r="B318" i="3"/>
  <c r="A318" i="3"/>
  <c r="Z317" i="3"/>
  <c r="Y317" i="3"/>
  <c r="X317" i="3"/>
  <c r="W317" i="3"/>
  <c r="V317" i="3"/>
  <c r="U317" i="3"/>
  <c r="T317" i="3"/>
  <c r="S317" i="3"/>
  <c r="R317" i="3"/>
  <c r="Q317" i="3"/>
  <c r="P317" i="3"/>
  <c r="O317" i="3"/>
  <c r="N317" i="3"/>
  <c r="M317" i="3"/>
  <c r="L317" i="3"/>
  <c r="K317" i="3"/>
  <c r="J317" i="3"/>
  <c r="I317" i="3"/>
  <c r="H317" i="3"/>
  <c r="G317" i="3"/>
  <c r="F317" i="3"/>
  <c r="E317" i="3"/>
  <c r="D317" i="3"/>
  <c r="C317" i="3"/>
  <c r="B317" i="3"/>
  <c r="A317" i="3"/>
  <c r="Z316" i="3"/>
  <c r="Y316" i="3"/>
  <c r="X316" i="3"/>
  <c r="W316" i="3"/>
  <c r="V316" i="3"/>
  <c r="U316" i="3"/>
  <c r="T316" i="3"/>
  <c r="S316" i="3"/>
  <c r="R316" i="3"/>
  <c r="Q316" i="3"/>
  <c r="P316" i="3"/>
  <c r="O316" i="3"/>
  <c r="N316" i="3"/>
  <c r="M316" i="3"/>
  <c r="L316" i="3"/>
  <c r="K316" i="3"/>
  <c r="J316" i="3"/>
  <c r="I316" i="3"/>
  <c r="H316" i="3"/>
  <c r="G316" i="3"/>
  <c r="F316" i="3"/>
  <c r="E316" i="3"/>
  <c r="D316" i="3"/>
  <c r="C316" i="3"/>
  <c r="B316" i="3"/>
  <c r="A316" i="3"/>
  <c r="Z315" i="3"/>
  <c r="Y315" i="3"/>
  <c r="X315" i="3"/>
  <c r="W315" i="3"/>
  <c r="V315" i="3"/>
  <c r="U315" i="3"/>
  <c r="T315" i="3"/>
  <c r="S315" i="3"/>
  <c r="R315" i="3"/>
  <c r="Q315" i="3"/>
  <c r="P315" i="3"/>
  <c r="O315" i="3"/>
  <c r="N315" i="3"/>
  <c r="M315" i="3"/>
  <c r="L315" i="3"/>
  <c r="K315" i="3"/>
  <c r="J315" i="3"/>
  <c r="I315" i="3"/>
  <c r="H315" i="3"/>
  <c r="G315" i="3"/>
  <c r="F315" i="3"/>
  <c r="E315" i="3"/>
  <c r="D315" i="3"/>
  <c r="C315" i="3"/>
  <c r="B315" i="3"/>
  <c r="A315" i="3"/>
  <c r="Z314" i="3"/>
  <c r="Y314" i="3"/>
  <c r="X314" i="3"/>
  <c r="W314" i="3"/>
  <c r="V314" i="3"/>
  <c r="U314" i="3"/>
  <c r="T314" i="3"/>
  <c r="S314" i="3"/>
  <c r="R314" i="3"/>
  <c r="Q314" i="3"/>
  <c r="P314" i="3"/>
  <c r="O314" i="3"/>
  <c r="N314" i="3"/>
  <c r="M314" i="3"/>
  <c r="L314" i="3"/>
  <c r="K314" i="3"/>
  <c r="J314" i="3"/>
  <c r="I314" i="3"/>
  <c r="H314" i="3"/>
  <c r="G314" i="3"/>
  <c r="F314" i="3"/>
  <c r="E314" i="3"/>
  <c r="D314" i="3"/>
  <c r="C314" i="3"/>
  <c r="B314" i="3"/>
  <c r="A314" i="3"/>
  <c r="Z313" i="3"/>
  <c r="Y313" i="3"/>
  <c r="X313" i="3"/>
  <c r="W313" i="3"/>
  <c r="V313" i="3"/>
  <c r="U313" i="3"/>
  <c r="T313" i="3"/>
  <c r="S313" i="3"/>
  <c r="R313" i="3"/>
  <c r="Q313" i="3"/>
  <c r="P313" i="3"/>
  <c r="O313" i="3"/>
  <c r="N313" i="3"/>
  <c r="M313" i="3"/>
  <c r="L313" i="3"/>
  <c r="K313" i="3"/>
  <c r="J313" i="3"/>
  <c r="I313" i="3"/>
  <c r="H313" i="3"/>
  <c r="G313" i="3"/>
  <c r="F313" i="3"/>
  <c r="E313" i="3"/>
  <c r="D313" i="3"/>
  <c r="C313" i="3"/>
  <c r="B313" i="3"/>
  <c r="A313" i="3"/>
  <c r="Z312" i="3"/>
  <c r="Y312" i="3"/>
  <c r="X312" i="3"/>
  <c r="W312" i="3"/>
  <c r="V312" i="3"/>
  <c r="U312" i="3"/>
  <c r="T312" i="3"/>
  <c r="S312" i="3"/>
  <c r="R312" i="3"/>
  <c r="Q312" i="3"/>
  <c r="P312" i="3"/>
  <c r="O312" i="3"/>
  <c r="N312" i="3"/>
  <c r="M312" i="3"/>
  <c r="L312" i="3"/>
  <c r="K312" i="3"/>
  <c r="J312" i="3"/>
  <c r="I312" i="3"/>
  <c r="H312" i="3"/>
  <c r="G312" i="3"/>
  <c r="F312" i="3"/>
  <c r="E312" i="3"/>
  <c r="D312" i="3"/>
  <c r="C312" i="3"/>
  <c r="B312" i="3"/>
  <c r="A312" i="3"/>
  <c r="Z311" i="3"/>
  <c r="Y311" i="3"/>
  <c r="X311" i="3"/>
  <c r="W311" i="3"/>
  <c r="V311" i="3"/>
  <c r="U311" i="3"/>
  <c r="T311" i="3"/>
  <c r="S311" i="3"/>
  <c r="R311" i="3"/>
  <c r="Q311" i="3"/>
  <c r="P311" i="3"/>
  <c r="O311" i="3"/>
  <c r="N311" i="3"/>
  <c r="M311" i="3"/>
  <c r="L311" i="3"/>
  <c r="K311" i="3"/>
  <c r="J311" i="3"/>
  <c r="I311" i="3"/>
  <c r="H311" i="3"/>
  <c r="G311" i="3"/>
  <c r="F311" i="3"/>
  <c r="E311" i="3"/>
  <c r="D311" i="3"/>
  <c r="C311" i="3"/>
  <c r="B311" i="3"/>
  <c r="A311" i="3"/>
  <c r="Z310" i="3"/>
  <c r="Y310" i="3"/>
  <c r="X310" i="3"/>
  <c r="W310" i="3"/>
  <c r="V310" i="3"/>
  <c r="U310" i="3"/>
  <c r="T310" i="3"/>
  <c r="S310" i="3"/>
  <c r="R310" i="3"/>
  <c r="Q310" i="3"/>
  <c r="P310" i="3"/>
  <c r="O310" i="3"/>
  <c r="N310" i="3"/>
  <c r="M310" i="3"/>
  <c r="L310" i="3"/>
  <c r="K310" i="3"/>
  <c r="J310" i="3"/>
  <c r="I310" i="3"/>
  <c r="H310" i="3"/>
  <c r="G310" i="3"/>
  <c r="F310" i="3"/>
  <c r="E310" i="3"/>
  <c r="D310" i="3"/>
  <c r="C310" i="3"/>
  <c r="B310" i="3"/>
  <c r="A310" i="3"/>
  <c r="Z309" i="3"/>
  <c r="Y309" i="3"/>
  <c r="X309" i="3"/>
  <c r="W309" i="3"/>
  <c r="V309" i="3"/>
  <c r="U309" i="3"/>
  <c r="T309" i="3"/>
  <c r="S309" i="3"/>
  <c r="R309" i="3"/>
  <c r="Q309" i="3"/>
  <c r="P309" i="3"/>
  <c r="O309" i="3"/>
  <c r="N309" i="3"/>
  <c r="M309" i="3"/>
  <c r="L309" i="3"/>
  <c r="K309" i="3"/>
  <c r="J309" i="3"/>
  <c r="I309" i="3"/>
  <c r="H309" i="3"/>
  <c r="G309" i="3"/>
  <c r="F309" i="3"/>
  <c r="E309" i="3"/>
  <c r="D309" i="3"/>
  <c r="C309" i="3"/>
  <c r="B309" i="3"/>
  <c r="A309" i="3"/>
  <c r="Z308" i="3"/>
  <c r="Y308" i="3"/>
  <c r="X308" i="3"/>
  <c r="W308" i="3"/>
  <c r="V308" i="3"/>
  <c r="U308" i="3"/>
  <c r="T308" i="3"/>
  <c r="S308" i="3"/>
  <c r="R308" i="3"/>
  <c r="Q308" i="3"/>
  <c r="P308" i="3"/>
  <c r="O308" i="3"/>
  <c r="N308" i="3"/>
  <c r="M308" i="3"/>
  <c r="L308" i="3"/>
  <c r="K308" i="3"/>
  <c r="J308" i="3"/>
  <c r="I308" i="3"/>
  <c r="H308" i="3"/>
  <c r="G308" i="3"/>
  <c r="F308" i="3"/>
  <c r="E308" i="3"/>
  <c r="D308" i="3"/>
  <c r="C308" i="3"/>
  <c r="B308" i="3"/>
  <c r="A308" i="3"/>
  <c r="Z307" i="3"/>
  <c r="Y307" i="3"/>
  <c r="X307" i="3"/>
  <c r="W307" i="3"/>
  <c r="V307" i="3"/>
  <c r="U307" i="3"/>
  <c r="T307" i="3"/>
  <c r="S307" i="3"/>
  <c r="R307" i="3"/>
  <c r="Q307" i="3"/>
  <c r="P307" i="3"/>
  <c r="O307" i="3"/>
  <c r="N307" i="3"/>
  <c r="M307" i="3"/>
  <c r="L307" i="3"/>
  <c r="K307" i="3"/>
  <c r="J307" i="3"/>
  <c r="I307" i="3"/>
  <c r="H307" i="3"/>
  <c r="G307" i="3"/>
  <c r="F307" i="3"/>
  <c r="E307" i="3"/>
  <c r="D307" i="3"/>
  <c r="C307" i="3"/>
  <c r="B307" i="3"/>
  <c r="A307" i="3"/>
  <c r="Z306" i="3"/>
  <c r="Y306" i="3"/>
  <c r="X306" i="3"/>
  <c r="W306" i="3"/>
  <c r="V306" i="3"/>
  <c r="U306" i="3"/>
  <c r="T306" i="3"/>
  <c r="S306" i="3"/>
  <c r="R306" i="3"/>
  <c r="Q306" i="3"/>
  <c r="P306" i="3"/>
  <c r="O306" i="3"/>
  <c r="N306" i="3"/>
  <c r="M306" i="3"/>
  <c r="L306" i="3"/>
  <c r="K306" i="3"/>
  <c r="J306" i="3"/>
  <c r="I306" i="3"/>
  <c r="H306" i="3"/>
  <c r="G306" i="3"/>
  <c r="F306" i="3"/>
  <c r="E306" i="3"/>
  <c r="D306" i="3"/>
  <c r="C306" i="3"/>
  <c r="B306" i="3"/>
  <c r="A306" i="3"/>
  <c r="Z305" i="3"/>
  <c r="Y305" i="3"/>
  <c r="X305" i="3"/>
  <c r="W305" i="3"/>
  <c r="V305" i="3"/>
  <c r="U305" i="3"/>
  <c r="T305" i="3"/>
  <c r="S305" i="3"/>
  <c r="R305" i="3"/>
  <c r="Q305" i="3"/>
  <c r="P305" i="3"/>
  <c r="O305" i="3"/>
  <c r="N305" i="3"/>
  <c r="M305" i="3"/>
  <c r="L305" i="3"/>
  <c r="K305" i="3"/>
  <c r="J305" i="3"/>
  <c r="I305" i="3"/>
  <c r="H305" i="3"/>
  <c r="G305" i="3"/>
  <c r="F305" i="3"/>
  <c r="E305" i="3"/>
  <c r="D305" i="3"/>
  <c r="C305" i="3"/>
  <c r="B305" i="3"/>
  <c r="A305" i="3"/>
  <c r="Z304" i="3"/>
  <c r="Y304" i="3"/>
  <c r="X304" i="3"/>
  <c r="W304" i="3"/>
  <c r="V304" i="3"/>
  <c r="U304" i="3"/>
  <c r="T304" i="3"/>
  <c r="S304" i="3"/>
  <c r="R304" i="3"/>
  <c r="Q304" i="3"/>
  <c r="P304" i="3"/>
  <c r="O304" i="3"/>
  <c r="N304" i="3"/>
  <c r="M304" i="3"/>
  <c r="L304" i="3"/>
  <c r="K304" i="3"/>
  <c r="J304" i="3"/>
  <c r="I304" i="3"/>
  <c r="H304" i="3"/>
  <c r="G304" i="3"/>
  <c r="F304" i="3"/>
  <c r="E304" i="3"/>
  <c r="D304" i="3"/>
  <c r="C304" i="3"/>
  <c r="B304" i="3"/>
  <c r="A304" i="3"/>
  <c r="Z303" i="3"/>
  <c r="Y303" i="3"/>
  <c r="X303" i="3"/>
  <c r="W303" i="3"/>
  <c r="V303" i="3"/>
  <c r="U303" i="3"/>
  <c r="T303" i="3"/>
  <c r="S303" i="3"/>
  <c r="R303" i="3"/>
  <c r="Q303" i="3"/>
  <c r="P303" i="3"/>
  <c r="O303" i="3"/>
  <c r="N303" i="3"/>
  <c r="M303" i="3"/>
  <c r="L303" i="3"/>
  <c r="K303" i="3"/>
  <c r="J303" i="3"/>
  <c r="I303" i="3"/>
  <c r="H303" i="3"/>
  <c r="G303" i="3"/>
  <c r="F303" i="3"/>
  <c r="E303" i="3"/>
  <c r="D303" i="3"/>
  <c r="C303" i="3"/>
  <c r="B303" i="3"/>
  <c r="A303" i="3"/>
  <c r="Z302" i="3"/>
  <c r="Y302" i="3"/>
  <c r="X302" i="3"/>
  <c r="W302" i="3"/>
  <c r="V302" i="3"/>
  <c r="U302" i="3"/>
  <c r="T302" i="3"/>
  <c r="S302" i="3"/>
  <c r="R302" i="3"/>
  <c r="Q302" i="3"/>
  <c r="P302" i="3"/>
  <c r="O302" i="3"/>
  <c r="N302" i="3"/>
  <c r="M302" i="3"/>
  <c r="L302" i="3"/>
  <c r="K302" i="3"/>
  <c r="J302" i="3"/>
  <c r="I302" i="3"/>
  <c r="H302" i="3"/>
  <c r="G302" i="3"/>
  <c r="F302" i="3"/>
  <c r="E302" i="3"/>
  <c r="D302" i="3"/>
  <c r="C302" i="3"/>
  <c r="B302" i="3"/>
  <c r="A302" i="3"/>
  <c r="Z301" i="3"/>
  <c r="Y301" i="3"/>
  <c r="X301" i="3"/>
  <c r="W301" i="3"/>
  <c r="V301" i="3"/>
  <c r="U301" i="3"/>
  <c r="T301" i="3"/>
  <c r="S301" i="3"/>
  <c r="R301" i="3"/>
  <c r="Q301" i="3"/>
  <c r="P301" i="3"/>
  <c r="O301" i="3"/>
  <c r="N301" i="3"/>
  <c r="M301" i="3"/>
  <c r="L301" i="3"/>
  <c r="K301" i="3"/>
  <c r="J301" i="3"/>
  <c r="I301" i="3"/>
  <c r="H301" i="3"/>
  <c r="G301" i="3"/>
  <c r="F301" i="3"/>
  <c r="E301" i="3"/>
  <c r="D301" i="3"/>
  <c r="C301" i="3"/>
  <c r="B301" i="3"/>
  <c r="A301" i="3"/>
  <c r="Z300" i="3"/>
  <c r="Y300" i="3"/>
  <c r="X300" i="3"/>
  <c r="W300" i="3"/>
  <c r="V300" i="3"/>
  <c r="U300" i="3"/>
  <c r="T300" i="3"/>
  <c r="S300" i="3"/>
  <c r="R300" i="3"/>
  <c r="Q300" i="3"/>
  <c r="P300" i="3"/>
  <c r="O300" i="3"/>
  <c r="N300" i="3"/>
  <c r="M300" i="3"/>
  <c r="L300" i="3"/>
  <c r="K300" i="3"/>
  <c r="J300" i="3"/>
  <c r="I300" i="3"/>
  <c r="H300" i="3"/>
  <c r="G300" i="3"/>
  <c r="F300" i="3"/>
  <c r="E300" i="3"/>
  <c r="D300" i="3"/>
  <c r="C300" i="3"/>
  <c r="B300" i="3"/>
  <c r="A300" i="3"/>
  <c r="Z299" i="3"/>
  <c r="Y299" i="3"/>
  <c r="X299" i="3"/>
  <c r="W299" i="3"/>
  <c r="V299" i="3"/>
  <c r="U299" i="3"/>
  <c r="T299" i="3"/>
  <c r="S299" i="3"/>
  <c r="R299" i="3"/>
  <c r="Q299" i="3"/>
  <c r="P299" i="3"/>
  <c r="O299" i="3"/>
  <c r="N299" i="3"/>
  <c r="M299" i="3"/>
  <c r="L299" i="3"/>
  <c r="K299" i="3"/>
  <c r="J299" i="3"/>
  <c r="I299" i="3"/>
  <c r="H299" i="3"/>
  <c r="G299" i="3"/>
  <c r="F299" i="3"/>
  <c r="E299" i="3"/>
  <c r="D299" i="3"/>
  <c r="C299" i="3"/>
  <c r="B299" i="3"/>
  <c r="A299" i="3"/>
  <c r="Z298" i="3"/>
  <c r="Y298" i="3"/>
  <c r="X298" i="3"/>
  <c r="W298" i="3"/>
  <c r="V298" i="3"/>
  <c r="U298" i="3"/>
  <c r="T298" i="3"/>
  <c r="S298" i="3"/>
  <c r="R298" i="3"/>
  <c r="Q298" i="3"/>
  <c r="P298" i="3"/>
  <c r="O298" i="3"/>
  <c r="N298" i="3"/>
  <c r="M298" i="3"/>
  <c r="L298" i="3"/>
  <c r="K298" i="3"/>
  <c r="J298" i="3"/>
  <c r="I298" i="3"/>
  <c r="H298" i="3"/>
  <c r="G298" i="3"/>
  <c r="F298" i="3"/>
  <c r="E298" i="3"/>
  <c r="D298" i="3"/>
  <c r="C298" i="3"/>
  <c r="B298" i="3"/>
  <c r="A298" i="3"/>
  <c r="Z297" i="3"/>
  <c r="Y297" i="3"/>
  <c r="X297" i="3"/>
  <c r="W297" i="3"/>
  <c r="V297" i="3"/>
  <c r="U297" i="3"/>
  <c r="T297" i="3"/>
  <c r="S297" i="3"/>
  <c r="R297" i="3"/>
  <c r="Q297" i="3"/>
  <c r="P297" i="3"/>
  <c r="O297" i="3"/>
  <c r="N297" i="3"/>
  <c r="M297" i="3"/>
  <c r="L297" i="3"/>
  <c r="K297" i="3"/>
  <c r="J297" i="3"/>
  <c r="I297" i="3"/>
  <c r="H297" i="3"/>
  <c r="G297" i="3"/>
  <c r="F297" i="3"/>
  <c r="E297" i="3"/>
  <c r="D297" i="3"/>
  <c r="C297" i="3"/>
  <c r="B297" i="3"/>
  <c r="A297" i="3"/>
  <c r="Z296" i="3"/>
  <c r="Y296" i="3"/>
  <c r="X296" i="3"/>
  <c r="W296" i="3"/>
  <c r="V296" i="3"/>
  <c r="U296" i="3"/>
  <c r="T296" i="3"/>
  <c r="S296" i="3"/>
  <c r="R296" i="3"/>
  <c r="Q296" i="3"/>
  <c r="P296" i="3"/>
  <c r="O296" i="3"/>
  <c r="N296" i="3"/>
  <c r="M296" i="3"/>
  <c r="L296" i="3"/>
  <c r="K296" i="3"/>
  <c r="J296" i="3"/>
  <c r="I296" i="3"/>
  <c r="H296" i="3"/>
  <c r="G296" i="3"/>
  <c r="F296" i="3"/>
  <c r="E296" i="3"/>
  <c r="D296" i="3"/>
  <c r="C296" i="3"/>
  <c r="B296" i="3"/>
  <c r="A296" i="3"/>
  <c r="Z295" i="3"/>
  <c r="Y295" i="3"/>
  <c r="X295" i="3"/>
  <c r="W295" i="3"/>
  <c r="V295" i="3"/>
  <c r="U295" i="3"/>
  <c r="T295" i="3"/>
  <c r="S295" i="3"/>
  <c r="R295" i="3"/>
  <c r="Q295" i="3"/>
  <c r="P295" i="3"/>
  <c r="O295" i="3"/>
  <c r="N295" i="3"/>
  <c r="M295" i="3"/>
  <c r="L295" i="3"/>
  <c r="K295" i="3"/>
  <c r="J295" i="3"/>
  <c r="I295" i="3"/>
  <c r="H295" i="3"/>
  <c r="G295" i="3"/>
  <c r="F295" i="3"/>
  <c r="E295" i="3"/>
  <c r="D295" i="3"/>
  <c r="C295" i="3"/>
  <c r="B295" i="3"/>
  <c r="A295" i="3"/>
  <c r="Z294" i="3"/>
  <c r="Y294" i="3"/>
  <c r="X294" i="3"/>
  <c r="W294" i="3"/>
  <c r="V294" i="3"/>
  <c r="U294" i="3"/>
  <c r="T294" i="3"/>
  <c r="S294" i="3"/>
  <c r="R294" i="3"/>
  <c r="Q294" i="3"/>
  <c r="P294" i="3"/>
  <c r="O294" i="3"/>
  <c r="N294" i="3"/>
  <c r="M294" i="3"/>
  <c r="L294" i="3"/>
  <c r="K294" i="3"/>
  <c r="J294" i="3"/>
  <c r="I294" i="3"/>
  <c r="H294" i="3"/>
  <c r="G294" i="3"/>
  <c r="F294" i="3"/>
  <c r="E294" i="3"/>
  <c r="D294" i="3"/>
  <c r="C294" i="3"/>
  <c r="B294" i="3"/>
  <c r="A294" i="3"/>
  <c r="Z293" i="3"/>
  <c r="Y293" i="3"/>
  <c r="X293" i="3"/>
  <c r="W293" i="3"/>
  <c r="V293" i="3"/>
  <c r="U293" i="3"/>
  <c r="T293" i="3"/>
  <c r="S293" i="3"/>
  <c r="R293" i="3"/>
  <c r="Q293" i="3"/>
  <c r="P293" i="3"/>
  <c r="O293" i="3"/>
  <c r="N293" i="3"/>
  <c r="M293" i="3"/>
  <c r="L293" i="3"/>
  <c r="K293" i="3"/>
  <c r="J293" i="3"/>
  <c r="I293" i="3"/>
  <c r="H293" i="3"/>
  <c r="G293" i="3"/>
  <c r="F293" i="3"/>
  <c r="E293" i="3"/>
  <c r="D293" i="3"/>
  <c r="C293" i="3"/>
  <c r="B293" i="3"/>
  <c r="A293" i="3"/>
  <c r="Z292" i="3"/>
  <c r="Y292" i="3"/>
  <c r="X292" i="3"/>
  <c r="W292" i="3"/>
  <c r="V292" i="3"/>
  <c r="U292" i="3"/>
  <c r="T292" i="3"/>
  <c r="S292" i="3"/>
  <c r="R292" i="3"/>
  <c r="Q292" i="3"/>
  <c r="P292" i="3"/>
  <c r="O292" i="3"/>
  <c r="N292" i="3"/>
  <c r="M292" i="3"/>
  <c r="L292" i="3"/>
  <c r="K292" i="3"/>
  <c r="J292" i="3"/>
  <c r="I292" i="3"/>
  <c r="H292" i="3"/>
  <c r="G292" i="3"/>
  <c r="F292" i="3"/>
  <c r="E292" i="3"/>
  <c r="D292" i="3"/>
  <c r="C292" i="3"/>
  <c r="B292" i="3"/>
  <c r="A292" i="3"/>
  <c r="Z291" i="3"/>
  <c r="Y291" i="3"/>
  <c r="X291" i="3"/>
  <c r="W291" i="3"/>
  <c r="V291" i="3"/>
  <c r="U291" i="3"/>
  <c r="T291" i="3"/>
  <c r="S291" i="3"/>
  <c r="R291" i="3"/>
  <c r="Q291" i="3"/>
  <c r="P291" i="3"/>
  <c r="O291" i="3"/>
  <c r="N291" i="3"/>
  <c r="M291" i="3"/>
  <c r="L291" i="3"/>
  <c r="K291" i="3"/>
  <c r="J291" i="3"/>
  <c r="I291" i="3"/>
  <c r="H291" i="3"/>
  <c r="G291" i="3"/>
  <c r="F291" i="3"/>
  <c r="E291" i="3"/>
  <c r="D291" i="3"/>
  <c r="C291" i="3"/>
  <c r="B291" i="3"/>
  <c r="A291" i="3"/>
  <c r="Z290" i="3"/>
  <c r="Y290" i="3"/>
  <c r="X290" i="3"/>
  <c r="W290" i="3"/>
  <c r="V290" i="3"/>
  <c r="U290" i="3"/>
  <c r="T290" i="3"/>
  <c r="S290" i="3"/>
  <c r="R290" i="3"/>
  <c r="Q290" i="3"/>
  <c r="P290" i="3"/>
  <c r="O290" i="3"/>
  <c r="N290" i="3"/>
  <c r="M290" i="3"/>
  <c r="L290" i="3"/>
  <c r="K290" i="3"/>
  <c r="J290" i="3"/>
  <c r="I290" i="3"/>
  <c r="H290" i="3"/>
  <c r="G290" i="3"/>
  <c r="F290" i="3"/>
  <c r="E290" i="3"/>
  <c r="D290" i="3"/>
  <c r="C290" i="3"/>
  <c r="B290" i="3"/>
  <c r="A290" i="3"/>
  <c r="Z289" i="3"/>
  <c r="Y289" i="3"/>
  <c r="X289" i="3"/>
  <c r="W289" i="3"/>
  <c r="V289" i="3"/>
  <c r="U289" i="3"/>
  <c r="T289" i="3"/>
  <c r="S289" i="3"/>
  <c r="R289" i="3"/>
  <c r="Q289" i="3"/>
  <c r="P289" i="3"/>
  <c r="O289" i="3"/>
  <c r="N289" i="3"/>
  <c r="M289" i="3"/>
  <c r="L289" i="3"/>
  <c r="K289" i="3"/>
  <c r="J289" i="3"/>
  <c r="I289" i="3"/>
  <c r="H289" i="3"/>
  <c r="G289" i="3"/>
  <c r="F289" i="3"/>
  <c r="E289" i="3"/>
  <c r="D289" i="3"/>
  <c r="C289" i="3"/>
  <c r="B289" i="3"/>
  <c r="A289" i="3"/>
  <c r="Z288" i="3"/>
  <c r="Y288" i="3"/>
  <c r="X288" i="3"/>
  <c r="W288" i="3"/>
  <c r="V288" i="3"/>
  <c r="U288" i="3"/>
  <c r="T288" i="3"/>
  <c r="S288" i="3"/>
  <c r="R288" i="3"/>
  <c r="Q288" i="3"/>
  <c r="P288" i="3"/>
  <c r="O288" i="3"/>
  <c r="N288" i="3"/>
  <c r="M288" i="3"/>
  <c r="L288" i="3"/>
  <c r="K288" i="3"/>
  <c r="J288" i="3"/>
  <c r="I288" i="3"/>
  <c r="H288" i="3"/>
  <c r="G288" i="3"/>
  <c r="F288" i="3"/>
  <c r="E288" i="3"/>
  <c r="D288" i="3"/>
  <c r="C288" i="3"/>
  <c r="B288" i="3"/>
  <c r="A288" i="3"/>
  <c r="Z287" i="3"/>
  <c r="Y287" i="3"/>
  <c r="X287" i="3"/>
  <c r="W287" i="3"/>
  <c r="V287" i="3"/>
  <c r="U287" i="3"/>
  <c r="T287" i="3"/>
  <c r="S287" i="3"/>
  <c r="R287" i="3"/>
  <c r="Q287" i="3"/>
  <c r="P287" i="3"/>
  <c r="O287" i="3"/>
  <c r="N287" i="3"/>
  <c r="M287" i="3"/>
  <c r="L287" i="3"/>
  <c r="K287" i="3"/>
  <c r="J287" i="3"/>
  <c r="I287" i="3"/>
  <c r="H287" i="3"/>
  <c r="G287" i="3"/>
  <c r="F287" i="3"/>
  <c r="E287" i="3"/>
  <c r="D287" i="3"/>
  <c r="C287" i="3"/>
  <c r="B287" i="3"/>
  <c r="A287" i="3"/>
  <c r="Z286" i="3"/>
  <c r="Y286" i="3"/>
  <c r="X286" i="3"/>
  <c r="W286" i="3"/>
  <c r="V286" i="3"/>
  <c r="U286" i="3"/>
  <c r="T286" i="3"/>
  <c r="S286" i="3"/>
  <c r="R286" i="3"/>
  <c r="Q286" i="3"/>
  <c r="P286" i="3"/>
  <c r="O286" i="3"/>
  <c r="N286" i="3"/>
  <c r="M286" i="3"/>
  <c r="L286" i="3"/>
  <c r="K286" i="3"/>
  <c r="J286" i="3"/>
  <c r="I286" i="3"/>
  <c r="H286" i="3"/>
  <c r="G286" i="3"/>
  <c r="F286" i="3"/>
  <c r="E286" i="3"/>
  <c r="D286" i="3"/>
  <c r="C286" i="3"/>
  <c r="B286" i="3"/>
  <c r="A286" i="3"/>
  <c r="Z285" i="3"/>
  <c r="Y285" i="3"/>
  <c r="X285" i="3"/>
  <c r="W285" i="3"/>
  <c r="V285" i="3"/>
  <c r="U285" i="3"/>
  <c r="T285" i="3"/>
  <c r="S285" i="3"/>
  <c r="R285" i="3"/>
  <c r="Q285" i="3"/>
  <c r="P285" i="3"/>
  <c r="O285" i="3"/>
  <c r="N285" i="3"/>
  <c r="M285" i="3"/>
  <c r="L285" i="3"/>
  <c r="K285" i="3"/>
  <c r="J285" i="3"/>
  <c r="I285" i="3"/>
  <c r="H285" i="3"/>
  <c r="G285" i="3"/>
  <c r="F285" i="3"/>
  <c r="E285" i="3"/>
  <c r="D285" i="3"/>
  <c r="C285" i="3"/>
  <c r="B285" i="3"/>
  <c r="A285" i="3"/>
  <c r="Z284" i="3"/>
  <c r="Y284" i="3"/>
  <c r="X284" i="3"/>
  <c r="W284" i="3"/>
  <c r="V284" i="3"/>
  <c r="U284" i="3"/>
  <c r="T284" i="3"/>
  <c r="S284" i="3"/>
  <c r="R284" i="3"/>
  <c r="Q284" i="3"/>
  <c r="P284" i="3"/>
  <c r="O284" i="3"/>
  <c r="N284" i="3"/>
  <c r="M284" i="3"/>
  <c r="L284" i="3"/>
  <c r="K284" i="3"/>
  <c r="J284" i="3"/>
  <c r="I284" i="3"/>
  <c r="H284" i="3"/>
  <c r="G284" i="3"/>
  <c r="F284" i="3"/>
  <c r="E284" i="3"/>
  <c r="D284" i="3"/>
  <c r="C284" i="3"/>
  <c r="B284" i="3"/>
  <c r="A284" i="3"/>
  <c r="Z283" i="3"/>
  <c r="Y283" i="3"/>
  <c r="X283" i="3"/>
  <c r="W283" i="3"/>
  <c r="V283" i="3"/>
  <c r="U283" i="3"/>
  <c r="T283" i="3"/>
  <c r="S283" i="3"/>
  <c r="R283" i="3"/>
  <c r="Q283" i="3"/>
  <c r="P283" i="3"/>
  <c r="O283" i="3"/>
  <c r="N283" i="3"/>
  <c r="M283" i="3"/>
  <c r="L283" i="3"/>
  <c r="K283" i="3"/>
  <c r="J283" i="3"/>
  <c r="I283" i="3"/>
  <c r="H283" i="3"/>
  <c r="G283" i="3"/>
  <c r="F283" i="3"/>
  <c r="E283" i="3"/>
  <c r="D283" i="3"/>
  <c r="C283" i="3"/>
  <c r="B283" i="3"/>
  <c r="A283" i="3"/>
  <c r="Z282" i="3"/>
  <c r="Y282" i="3"/>
  <c r="X282" i="3"/>
  <c r="W282" i="3"/>
  <c r="V282" i="3"/>
  <c r="U282" i="3"/>
  <c r="T282" i="3"/>
  <c r="S282" i="3"/>
  <c r="R282" i="3"/>
  <c r="Q282" i="3"/>
  <c r="P282" i="3"/>
  <c r="O282" i="3"/>
  <c r="N282" i="3"/>
  <c r="M282" i="3"/>
  <c r="L282" i="3"/>
  <c r="K282" i="3"/>
  <c r="J282" i="3"/>
  <c r="I282" i="3"/>
  <c r="H282" i="3"/>
  <c r="G282" i="3"/>
  <c r="F282" i="3"/>
  <c r="E282" i="3"/>
  <c r="D282" i="3"/>
  <c r="C282" i="3"/>
  <c r="B282" i="3"/>
  <c r="A282" i="3"/>
  <c r="Z281" i="3"/>
  <c r="Y281" i="3"/>
  <c r="X281" i="3"/>
  <c r="W281" i="3"/>
  <c r="V281" i="3"/>
  <c r="U281" i="3"/>
  <c r="T281" i="3"/>
  <c r="S281" i="3"/>
  <c r="R281" i="3"/>
  <c r="Q281" i="3"/>
  <c r="P281" i="3"/>
  <c r="O281" i="3"/>
  <c r="N281" i="3"/>
  <c r="M281" i="3"/>
  <c r="L281" i="3"/>
  <c r="K281" i="3"/>
  <c r="J281" i="3"/>
  <c r="I281" i="3"/>
  <c r="H281" i="3"/>
  <c r="G281" i="3"/>
  <c r="F281" i="3"/>
  <c r="E281" i="3"/>
  <c r="D281" i="3"/>
  <c r="C281" i="3"/>
  <c r="B281" i="3"/>
  <c r="A281" i="3"/>
  <c r="Z280" i="3"/>
  <c r="Y280" i="3"/>
  <c r="X280" i="3"/>
  <c r="W280" i="3"/>
  <c r="V280" i="3"/>
  <c r="U280" i="3"/>
  <c r="T280" i="3"/>
  <c r="S280" i="3"/>
  <c r="R280" i="3"/>
  <c r="Q280" i="3"/>
  <c r="P280" i="3"/>
  <c r="O280" i="3"/>
  <c r="N280" i="3"/>
  <c r="M280" i="3"/>
  <c r="L280" i="3"/>
  <c r="K280" i="3"/>
  <c r="J280" i="3"/>
  <c r="I280" i="3"/>
  <c r="H280" i="3"/>
  <c r="G280" i="3"/>
  <c r="F280" i="3"/>
  <c r="E280" i="3"/>
  <c r="D280" i="3"/>
  <c r="C280" i="3"/>
  <c r="B280" i="3"/>
  <c r="A280" i="3"/>
  <c r="Z279" i="3"/>
  <c r="Y279" i="3"/>
  <c r="X279" i="3"/>
  <c r="W279" i="3"/>
  <c r="V279" i="3"/>
  <c r="U279" i="3"/>
  <c r="T279" i="3"/>
  <c r="S279" i="3"/>
  <c r="R279" i="3"/>
  <c r="Q279" i="3"/>
  <c r="P279" i="3"/>
  <c r="O279" i="3"/>
  <c r="N279" i="3"/>
  <c r="M279" i="3"/>
  <c r="L279" i="3"/>
  <c r="K279" i="3"/>
  <c r="J279" i="3"/>
  <c r="I279" i="3"/>
  <c r="H279" i="3"/>
  <c r="G279" i="3"/>
  <c r="F279" i="3"/>
  <c r="E279" i="3"/>
  <c r="D279" i="3"/>
  <c r="C279" i="3"/>
  <c r="B279" i="3"/>
  <c r="A279" i="3"/>
  <c r="Z278" i="3"/>
  <c r="Y278" i="3"/>
  <c r="X278" i="3"/>
  <c r="W278" i="3"/>
  <c r="V278" i="3"/>
  <c r="U278" i="3"/>
  <c r="T278" i="3"/>
  <c r="S278" i="3"/>
  <c r="R278" i="3"/>
  <c r="Q278" i="3"/>
  <c r="P278" i="3"/>
  <c r="O278" i="3"/>
  <c r="N278" i="3"/>
  <c r="M278" i="3"/>
  <c r="L278" i="3"/>
  <c r="K278" i="3"/>
  <c r="J278" i="3"/>
  <c r="I278" i="3"/>
  <c r="H278" i="3"/>
  <c r="G278" i="3"/>
  <c r="F278" i="3"/>
  <c r="E278" i="3"/>
  <c r="D278" i="3"/>
  <c r="C278" i="3"/>
  <c r="B278" i="3"/>
  <c r="A278" i="3"/>
  <c r="Z277" i="3"/>
  <c r="Y277" i="3"/>
  <c r="X277" i="3"/>
  <c r="W277" i="3"/>
  <c r="V277" i="3"/>
  <c r="U277" i="3"/>
  <c r="T277" i="3"/>
  <c r="S277" i="3"/>
  <c r="R277" i="3"/>
  <c r="Q277" i="3"/>
  <c r="P277" i="3"/>
  <c r="O277" i="3"/>
  <c r="N277" i="3"/>
  <c r="M277" i="3"/>
  <c r="L277" i="3"/>
  <c r="K277" i="3"/>
  <c r="J277" i="3"/>
  <c r="I277" i="3"/>
  <c r="H277" i="3"/>
  <c r="G277" i="3"/>
  <c r="F277" i="3"/>
  <c r="E277" i="3"/>
  <c r="D277" i="3"/>
  <c r="C277" i="3"/>
  <c r="B277" i="3"/>
  <c r="A277" i="3"/>
  <c r="Z276" i="3"/>
  <c r="Y276" i="3"/>
  <c r="X276" i="3"/>
  <c r="W276" i="3"/>
  <c r="V276" i="3"/>
  <c r="U276" i="3"/>
  <c r="T276" i="3"/>
  <c r="S276" i="3"/>
  <c r="R276" i="3"/>
  <c r="Q276" i="3"/>
  <c r="P276" i="3"/>
  <c r="O276" i="3"/>
  <c r="N276" i="3"/>
  <c r="M276" i="3"/>
  <c r="L276" i="3"/>
  <c r="K276" i="3"/>
  <c r="J276" i="3"/>
  <c r="I276" i="3"/>
  <c r="H276" i="3"/>
  <c r="G276" i="3"/>
  <c r="F276" i="3"/>
  <c r="E276" i="3"/>
  <c r="D276" i="3"/>
  <c r="C276" i="3"/>
  <c r="B276" i="3"/>
  <c r="A276" i="3"/>
  <c r="Z275" i="3"/>
  <c r="Y275" i="3"/>
  <c r="X275" i="3"/>
  <c r="W275" i="3"/>
  <c r="V275" i="3"/>
  <c r="U275" i="3"/>
  <c r="T275" i="3"/>
  <c r="S275" i="3"/>
  <c r="R275" i="3"/>
  <c r="Q275" i="3"/>
  <c r="P275" i="3"/>
  <c r="O275" i="3"/>
  <c r="N275" i="3"/>
  <c r="M275" i="3"/>
  <c r="L275" i="3"/>
  <c r="K275" i="3"/>
  <c r="J275" i="3"/>
  <c r="I275" i="3"/>
  <c r="H275" i="3"/>
  <c r="G275" i="3"/>
  <c r="F275" i="3"/>
  <c r="E275" i="3"/>
  <c r="D275" i="3"/>
  <c r="C275" i="3"/>
  <c r="B275" i="3"/>
  <c r="A275" i="3"/>
  <c r="Z274" i="3"/>
  <c r="Y274" i="3"/>
  <c r="X274" i="3"/>
  <c r="W274" i="3"/>
  <c r="V274" i="3"/>
  <c r="U274" i="3"/>
  <c r="T274" i="3"/>
  <c r="S274" i="3"/>
  <c r="R274" i="3"/>
  <c r="Q274" i="3"/>
  <c r="P274" i="3"/>
  <c r="O274" i="3"/>
  <c r="N274" i="3"/>
  <c r="M274" i="3"/>
  <c r="L274" i="3"/>
  <c r="K274" i="3"/>
  <c r="J274" i="3"/>
  <c r="I274" i="3"/>
  <c r="H274" i="3"/>
  <c r="G274" i="3"/>
  <c r="F274" i="3"/>
  <c r="E274" i="3"/>
  <c r="D274" i="3"/>
  <c r="C274" i="3"/>
  <c r="B274" i="3"/>
  <c r="A274" i="3"/>
  <c r="Z273" i="3"/>
  <c r="Y273" i="3"/>
  <c r="X273" i="3"/>
  <c r="W273" i="3"/>
  <c r="V273" i="3"/>
  <c r="U273" i="3"/>
  <c r="T273" i="3"/>
  <c r="S273" i="3"/>
  <c r="R273" i="3"/>
  <c r="Q273" i="3"/>
  <c r="P273" i="3"/>
  <c r="O273" i="3"/>
  <c r="N273" i="3"/>
  <c r="M273" i="3"/>
  <c r="L273" i="3"/>
  <c r="K273" i="3"/>
  <c r="J273" i="3"/>
  <c r="I273" i="3"/>
  <c r="H273" i="3"/>
  <c r="G273" i="3"/>
  <c r="F273" i="3"/>
  <c r="E273" i="3"/>
  <c r="D273" i="3"/>
  <c r="C273" i="3"/>
  <c r="B273" i="3"/>
  <c r="A273" i="3"/>
  <c r="Z272" i="3"/>
  <c r="Y272" i="3"/>
  <c r="X272" i="3"/>
  <c r="W272" i="3"/>
  <c r="V272" i="3"/>
  <c r="U272" i="3"/>
  <c r="T272" i="3"/>
  <c r="S272" i="3"/>
  <c r="R272" i="3"/>
  <c r="Q272" i="3"/>
  <c r="P272" i="3"/>
  <c r="O272" i="3"/>
  <c r="N272" i="3"/>
  <c r="M272" i="3"/>
  <c r="L272" i="3"/>
  <c r="K272" i="3"/>
  <c r="J272" i="3"/>
  <c r="I272" i="3"/>
  <c r="H272" i="3"/>
  <c r="G272" i="3"/>
  <c r="F272" i="3"/>
  <c r="E272" i="3"/>
  <c r="D272" i="3"/>
  <c r="C272" i="3"/>
  <c r="B272" i="3"/>
  <c r="A272" i="3"/>
  <c r="Z271" i="3"/>
  <c r="Y271" i="3"/>
  <c r="X271" i="3"/>
  <c r="W271" i="3"/>
  <c r="V271" i="3"/>
  <c r="U271" i="3"/>
  <c r="T271" i="3"/>
  <c r="S271" i="3"/>
  <c r="R271" i="3"/>
  <c r="Q271" i="3"/>
  <c r="P271" i="3"/>
  <c r="O271" i="3"/>
  <c r="N271" i="3"/>
  <c r="M271" i="3"/>
  <c r="L271" i="3"/>
  <c r="K271" i="3"/>
  <c r="J271" i="3"/>
  <c r="I271" i="3"/>
  <c r="H271" i="3"/>
  <c r="G271" i="3"/>
  <c r="F271" i="3"/>
  <c r="E271" i="3"/>
  <c r="D271" i="3"/>
  <c r="C271" i="3"/>
  <c r="B271" i="3"/>
  <c r="A271" i="3"/>
  <c r="Z270" i="3"/>
  <c r="Y270" i="3"/>
  <c r="X270" i="3"/>
  <c r="W270" i="3"/>
  <c r="V270" i="3"/>
  <c r="U270" i="3"/>
  <c r="T270" i="3"/>
  <c r="S270" i="3"/>
  <c r="R270" i="3"/>
  <c r="Q270" i="3"/>
  <c r="P270" i="3"/>
  <c r="O270" i="3"/>
  <c r="N270" i="3"/>
  <c r="M270" i="3"/>
  <c r="L270" i="3"/>
  <c r="K270" i="3"/>
  <c r="J270" i="3"/>
  <c r="I270" i="3"/>
  <c r="H270" i="3"/>
  <c r="G270" i="3"/>
  <c r="F270" i="3"/>
  <c r="E270" i="3"/>
  <c r="D270" i="3"/>
  <c r="C270" i="3"/>
  <c r="B270" i="3"/>
  <c r="A270" i="3"/>
  <c r="Z269" i="3"/>
  <c r="Y269" i="3"/>
  <c r="X269" i="3"/>
  <c r="W269" i="3"/>
  <c r="V269" i="3"/>
  <c r="U269" i="3"/>
  <c r="T269" i="3"/>
  <c r="S269" i="3"/>
  <c r="R269" i="3"/>
  <c r="Q269" i="3"/>
  <c r="P269" i="3"/>
  <c r="O269" i="3"/>
  <c r="N269" i="3"/>
  <c r="M269" i="3"/>
  <c r="L269" i="3"/>
  <c r="K269" i="3"/>
  <c r="J269" i="3"/>
  <c r="I269" i="3"/>
  <c r="H269" i="3"/>
  <c r="G269" i="3"/>
  <c r="F269" i="3"/>
  <c r="E269" i="3"/>
  <c r="D269" i="3"/>
  <c r="C269" i="3"/>
  <c r="B269" i="3"/>
  <c r="A269" i="3"/>
  <c r="Z268" i="3"/>
  <c r="Y268" i="3"/>
  <c r="X268" i="3"/>
  <c r="W268" i="3"/>
  <c r="V268" i="3"/>
  <c r="U268" i="3"/>
  <c r="T268" i="3"/>
  <c r="S268" i="3"/>
  <c r="R268" i="3"/>
  <c r="Q268" i="3"/>
  <c r="P268" i="3"/>
  <c r="O268" i="3"/>
  <c r="N268" i="3"/>
  <c r="M268" i="3"/>
  <c r="L268" i="3"/>
  <c r="K268" i="3"/>
  <c r="J268" i="3"/>
  <c r="I268" i="3"/>
  <c r="H268" i="3"/>
  <c r="G268" i="3"/>
  <c r="F268" i="3"/>
  <c r="E268" i="3"/>
  <c r="D268" i="3"/>
  <c r="C268" i="3"/>
  <c r="B268" i="3"/>
  <c r="A268" i="3"/>
  <c r="Z267" i="3"/>
  <c r="Y267" i="3"/>
  <c r="X267" i="3"/>
  <c r="W267" i="3"/>
  <c r="V267" i="3"/>
  <c r="U267" i="3"/>
  <c r="T267" i="3"/>
  <c r="S267" i="3"/>
  <c r="R267" i="3"/>
  <c r="Q267" i="3"/>
  <c r="P267" i="3"/>
  <c r="O267" i="3"/>
  <c r="N267" i="3"/>
  <c r="M267" i="3"/>
  <c r="L267" i="3"/>
  <c r="K267" i="3"/>
  <c r="J267" i="3"/>
  <c r="I267" i="3"/>
  <c r="H267" i="3"/>
  <c r="G267" i="3"/>
  <c r="F267" i="3"/>
  <c r="E267" i="3"/>
  <c r="D267" i="3"/>
  <c r="C267" i="3"/>
  <c r="B267" i="3"/>
  <c r="A267" i="3"/>
  <c r="Z266" i="3"/>
  <c r="Y266" i="3"/>
  <c r="X266" i="3"/>
  <c r="W266" i="3"/>
  <c r="V266" i="3"/>
  <c r="U266" i="3"/>
  <c r="T266" i="3"/>
  <c r="S266" i="3"/>
  <c r="R266" i="3"/>
  <c r="Q266" i="3"/>
  <c r="P266" i="3"/>
  <c r="O266" i="3"/>
  <c r="N266" i="3"/>
  <c r="M266" i="3"/>
  <c r="L266" i="3"/>
  <c r="K266" i="3"/>
  <c r="J266" i="3"/>
  <c r="I266" i="3"/>
  <c r="H266" i="3"/>
  <c r="G266" i="3"/>
  <c r="F266" i="3"/>
  <c r="E266" i="3"/>
  <c r="D266" i="3"/>
  <c r="C266" i="3"/>
  <c r="B266" i="3"/>
  <c r="A266" i="3"/>
  <c r="Z265" i="3"/>
  <c r="Y265" i="3"/>
  <c r="X265" i="3"/>
  <c r="W265" i="3"/>
  <c r="V265" i="3"/>
  <c r="U265" i="3"/>
  <c r="T265" i="3"/>
  <c r="S265" i="3"/>
  <c r="R265" i="3"/>
  <c r="Q265" i="3"/>
  <c r="P265" i="3"/>
  <c r="O265" i="3"/>
  <c r="N265" i="3"/>
  <c r="M265" i="3"/>
  <c r="L265" i="3"/>
  <c r="K265" i="3"/>
  <c r="J265" i="3"/>
  <c r="I265" i="3"/>
  <c r="H265" i="3"/>
  <c r="G265" i="3"/>
  <c r="F265" i="3"/>
  <c r="E265" i="3"/>
  <c r="D265" i="3"/>
  <c r="C265" i="3"/>
  <c r="B265" i="3"/>
  <c r="A265" i="3"/>
  <c r="Z264" i="3"/>
  <c r="Y264" i="3"/>
  <c r="X264" i="3"/>
  <c r="W264" i="3"/>
  <c r="V264" i="3"/>
  <c r="U264" i="3"/>
  <c r="T264" i="3"/>
  <c r="S264" i="3"/>
  <c r="R264" i="3"/>
  <c r="Q264" i="3"/>
  <c r="P264" i="3"/>
  <c r="O264" i="3"/>
  <c r="N264" i="3"/>
  <c r="M264" i="3"/>
  <c r="L264" i="3"/>
  <c r="K264" i="3"/>
  <c r="J264" i="3"/>
  <c r="I264" i="3"/>
  <c r="H264" i="3"/>
  <c r="G264" i="3"/>
  <c r="F264" i="3"/>
  <c r="E264" i="3"/>
  <c r="D264" i="3"/>
  <c r="C264" i="3"/>
  <c r="B264" i="3"/>
  <c r="A264" i="3"/>
  <c r="Z263" i="3"/>
  <c r="Y263" i="3"/>
  <c r="X263" i="3"/>
  <c r="W263" i="3"/>
  <c r="V263" i="3"/>
  <c r="U263" i="3"/>
  <c r="T263" i="3"/>
  <c r="S263" i="3"/>
  <c r="R263" i="3"/>
  <c r="Q263" i="3"/>
  <c r="P263" i="3"/>
  <c r="O263" i="3"/>
  <c r="N263" i="3"/>
  <c r="M263" i="3"/>
  <c r="L263" i="3"/>
  <c r="K263" i="3"/>
  <c r="J263" i="3"/>
  <c r="I263" i="3"/>
  <c r="H263" i="3"/>
  <c r="G263" i="3"/>
  <c r="F263" i="3"/>
  <c r="E263" i="3"/>
  <c r="D263" i="3"/>
  <c r="C263" i="3"/>
  <c r="B263" i="3"/>
  <c r="A263" i="3"/>
  <c r="Z262" i="3"/>
  <c r="Y262" i="3"/>
  <c r="X262" i="3"/>
  <c r="W262" i="3"/>
  <c r="V262" i="3"/>
  <c r="U262" i="3"/>
  <c r="T262" i="3"/>
  <c r="S262" i="3"/>
  <c r="R262" i="3"/>
  <c r="Q262" i="3"/>
  <c r="P262" i="3"/>
  <c r="O262" i="3"/>
  <c r="N262" i="3"/>
  <c r="M262" i="3"/>
  <c r="L262" i="3"/>
  <c r="K262" i="3"/>
  <c r="J262" i="3"/>
  <c r="I262" i="3"/>
  <c r="H262" i="3"/>
  <c r="G262" i="3"/>
  <c r="F262" i="3"/>
  <c r="E262" i="3"/>
  <c r="D262" i="3"/>
  <c r="C262" i="3"/>
  <c r="B262" i="3"/>
  <c r="A262" i="3"/>
  <c r="Z261" i="3"/>
  <c r="Y261" i="3"/>
  <c r="X261" i="3"/>
  <c r="W261" i="3"/>
  <c r="V261" i="3"/>
  <c r="U261" i="3"/>
  <c r="T261" i="3"/>
  <c r="S261" i="3"/>
  <c r="R261" i="3"/>
  <c r="Q261" i="3"/>
  <c r="P261" i="3"/>
  <c r="O261" i="3"/>
  <c r="N261" i="3"/>
  <c r="M261" i="3"/>
  <c r="L261" i="3"/>
  <c r="K261" i="3"/>
  <c r="J261" i="3"/>
  <c r="I261" i="3"/>
  <c r="H261" i="3"/>
  <c r="G261" i="3"/>
  <c r="F261" i="3"/>
  <c r="E261" i="3"/>
  <c r="D261" i="3"/>
  <c r="C261" i="3"/>
  <c r="B261" i="3"/>
  <c r="A261" i="3"/>
  <c r="Z260" i="3"/>
  <c r="Y260" i="3"/>
  <c r="X260" i="3"/>
  <c r="W260" i="3"/>
  <c r="V260" i="3"/>
  <c r="U260" i="3"/>
  <c r="T260" i="3"/>
  <c r="S260" i="3"/>
  <c r="R260" i="3"/>
  <c r="Q260" i="3"/>
  <c r="P260" i="3"/>
  <c r="O260" i="3"/>
  <c r="N260" i="3"/>
  <c r="M260" i="3"/>
  <c r="L260" i="3"/>
  <c r="K260" i="3"/>
  <c r="J260" i="3"/>
  <c r="I260" i="3"/>
  <c r="H260" i="3"/>
  <c r="G260" i="3"/>
  <c r="F260" i="3"/>
  <c r="E260" i="3"/>
  <c r="D260" i="3"/>
  <c r="C260" i="3"/>
  <c r="B260" i="3"/>
  <c r="A260" i="3"/>
  <c r="Z259" i="3"/>
  <c r="Y259" i="3"/>
  <c r="X259" i="3"/>
  <c r="W259" i="3"/>
  <c r="V259" i="3"/>
  <c r="U259" i="3"/>
  <c r="T259" i="3"/>
  <c r="S259" i="3"/>
  <c r="R259" i="3"/>
  <c r="Q259" i="3"/>
  <c r="P259" i="3"/>
  <c r="O259" i="3"/>
  <c r="N259" i="3"/>
  <c r="M259" i="3"/>
  <c r="L259" i="3"/>
  <c r="K259" i="3"/>
  <c r="J259" i="3"/>
  <c r="I259" i="3"/>
  <c r="H259" i="3"/>
  <c r="G259" i="3"/>
  <c r="F259" i="3"/>
  <c r="E259" i="3"/>
  <c r="D259" i="3"/>
  <c r="C259" i="3"/>
  <c r="B259" i="3"/>
  <c r="A259" i="3"/>
  <c r="Z258" i="3"/>
  <c r="Y258" i="3"/>
  <c r="X258" i="3"/>
  <c r="W258" i="3"/>
  <c r="V258" i="3"/>
  <c r="U258" i="3"/>
  <c r="T258" i="3"/>
  <c r="S258" i="3"/>
  <c r="R258" i="3"/>
  <c r="Q258" i="3"/>
  <c r="P258" i="3"/>
  <c r="O258" i="3"/>
  <c r="N258" i="3"/>
  <c r="M258" i="3"/>
  <c r="L258" i="3"/>
  <c r="K258" i="3"/>
  <c r="J258" i="3"/>
  <c r="I258" i="3"/>
  <c r="H258" i="3"/>
  <c r="G258" i="3"/>
  <c r="F258" i="3"/>
  <c r="E258" i="3"/>
  <c r="D258" i="3"/>
  <c r="C258" i="3"/>
  <c r="B258" i="3"/>
  <c r="A258" i="3"/>
  <c r="Z257" i="3"/>
  <c r="Y257" i="3"/>
  <c r="X257" i="3"/>
  <c r="W257" i="3"/>
  <c r="V257" i="3"/>
  <c r="U257" i="3"/>
  <c r="T257" i="3"/>
  <c r="S257" i="3"/>
  <c r="R257" i="3"/>
  <c r="Q257" i="3"/>
  <c r="P257" i="3"/>
  <c r="O257" i="3"/>
  <c r="N257" i="3"/>
  <c r="M257" i="3"/>
  <c r="L257" i="3"/>
  <c r="K257" i="3"/>
  <c r="J257" i="3"/>
  <c r="I257" i="3"/>
  <c r="H257" i="3"/>
  <c r="G257" i="3"/>
  <c r="F257" i="3"/>
  <c r="E257" i="3"/>
  <c r="D257" i="3"/>
  <c r="C257" i="3"/>
  <c r="B257" i="3"/>
  <c r="A257" i="3"/>
  <c r="Z256" i="3"/>
  <c r="Y256" i="3"/>
  <c r="X256" i="3"/>
  <c r="W256" i="3"/>
  <c r="V256" i="3"/>
  <c r="U256" i="3"/>
  <c r="T256" i="3"/>
  <c r="S256" i="3"/>
  <c r="R256" i="3"/>
  <c r="Q256" i="3"/>
  <c r="P256" i="3"/>
  <c r="O256" i="3"/>
  <c r="N256" i="3"/>
  <c r="M256" i="3"/>
  <c r="L256" i="3"/>
  <c r="K256" i="3"/>
  <c r="J256" i="3"/>
  <c r="I256" i="3"/>
  <c r="H256" i="3"/>
  <c r="G256" i="3"/>
  <c r="F256" i="3"/>
  <c r="E256" i="3"/>
  <c r="D256" i="3"/>
  <c r="C256" i="3"/>
  <c r="B256" i="3"/>
  <c r="A256" i="3"/>
  <c r="Z255" i="3"/>
  <c r="Y255" i="3"/>
  <c r="X255" i="3"/>
  <c r="W255" i="3"/>
  <c r="V255" i="3"/>
  <c r="U255" i="3"/>
  <c r="T255" i="3"/>
  <c r="S255" i="3"/>
  <c r="R255" i="3"/>
  <c r="Q255" i="3"/>
  <c r="P255" i="3"/>
  <c r="O255" i="3"/>
  <c r="N255" i="3"/>
  <c r="M255" i="3"/>
  <c r="L255" i="3"/>
  <c r="K255" i="3"/>
  <c r="J255" i="3"/>
  <c r="I255" i="3"/>
  <c r="H255" i="3"/>
  <c r="G255" i="3"/>
  <c r="F255" i="3"/>
  <c r="E255" i="3"/>
  <c r="D255" i="3"/>
  <c r="C255" i="3"/>
  <c r="B255" i="3"/>
  <c r="A255" i="3"/>
  <c r="Z254" i="3"/>
  <c r="Y254" i="3"/>
  <c r="X254" i="3"/>
  <c r="W254" i="3"/>
  <c r="V254" i="3"/>
  <c r="U254" i="3"/>
  <c r="T254" i="3"/>
  <c r="S254" i="3"/>
  <c r="R254" i="3"/>
  <c r="Q254" i="3"/>
  <c r="P254" i="3"/>
  <c r="O254" i="3"/>
  <c r="N254" i="3"/>
  <c r="M254" i="3"/>
  <c r="L254" i="3"/>
  <c r="K254" i="3"/>
  <c r="J254" i="3"/>
  <c r="I254" i="3"/>
  <c r="H254" i="3"/>
  <c r="G254" i="3"/>
  <c r="F254" i="3"/>
  <c r="E254" i="3"/>
  <c r="D254" i="3"/>
  <c r="C254" i="3"/>
  <c r="B254" i="3"/>
  <c r="A254" i="3"/>
  <c r="Z253" i="3"/>
  <c r="Y253" i="3"/>
  <c r="X253" i="3"/>
  <c r="W253" i="3"/>
  <c r="V253" i="3"/>
  <c r="U253" i="3"/>
  <c r="T253" i="3"/>
  <c r="S253" i="3"/>
  <c r="R253" i="3"/>
  <c r="Q253" i="3"/>
  <c r="P253" i="3"/>
  <c r="O253" i="3"/>
  <c r="N253" i="3"/>
  <c r="M253" i="3"/>
  <c r="L253" i="3"/>
  <c r="K253" i="3"/>
  <c r="J253" i="3"/>
  <c r="I253" i="3"/>
  <c r="H253" i="3"/>
  <c r="G253" i="3"/>
  <c r="F253" i="3"/>
  <c r="E253" i="3"/>
  <c r="D253" i="3"/>
  <c r="C253" i="3"/>
  <c r="B253" i="3"/>
  <c r="A253" i="3"/>
  <c r="Z252" i="3"/>
  <c r="Y252" i="3"/>
  <c r="X252" i="3"/>
  <c r="W252" i="3"/>
  <c r="V252" i="3"/>
  <c r="U252" i="3"/>
  <c r="T252" i="3"/>
  <c r="S252" i="3"/>
  <c r="R252" i="3"/>
  <c r="Q252" i="3"/>
  <c r="P252" i="3"/>
  <c r="O252" i="3"/>
  <c r="N252" i="3"/>
  <c r="M252" i="3"/>
  <c r="L252" i="3"/>
  <c r="K252" i="3"/>
  <c r="J252" i="3"/>
  <c r="I252" i="3"/>
  <c r="H252" i="3"/>
  <c r="G252" i="3"/>
  <c r="F252" i="3"/>
  <c r="E252" i="3"/>
  <c r="D252" i="3"/>
  <c r="C252" i="3"/>
  <c r="B252" i="3"/>
  <c r="A252" i="3"/>
  <c r="Z251" i="3"/>
  <c r="Y251" i="3"/>
  <c r="X251" i="3"/>
  <c r="W251" i="3"/>
  <c r="V251" i="3"/>
  <c r="U251" i="3"/>
  <c r="T251" i="3"/>
  <c r="S251" i="3"/>
  <c r="R251" i="3"/>
  <c r="Q251" i="3"/>
  <c r="P251" i="3"/>
  <c r="O251" i="3"/>
  <c r="N251" i="3"/>
  <c r="M251" i="3"/>
  <c r="L251" i="3"/>
  <c r="K251" i="3"/>
  <c r="J251" i="3"/>
  <c r="I251" i="3"/>
  <c r="H251" i="3"/>
  <c r="G251" i="3"/>
  <c r="F251" i="3"/>
  <c r="E251" i="3"/>
  <c r="D251" i="3"/>
  <c r="C251" i="3"/>
  <c r="B251" i="3"/>
  <c r="A251" i="3"/>
  <c r="Z250" i="3"/>
  <c r="Y250" i="3"/>
  <c r="X250" i="3"/>
  <c r="W250" i="3"/>
  <c r="V250" i="3"/>
  <c r="U250" i="3"/>
  <c r="T250" i="3"/>
  <c r="S250" i="3"/>
  <c r="R250" i="3"/>
  <c r="Q250" i="3"/>
  <c r="P250" i="3"/>
  <c r="O250" i="3"/>
  <c r="N250" i="3"/>
  <c r="M250" i="3"/>
  <c r="L250" i="3"/>
  <c r="K250" i="3"/>
  <c r="J250" i="3"/>
  <c r="I250" i="3"/>
  <c r="H250" i="3"/>
  <c r="G250" i="3"/>
  <c r="F250" i="3"/>
  <c r="E250" i="3"/>
  <c r="D250" i="3"/>
  <c r="C250" i="3"/>
  <c r="B250" i="3"/>
  <c r="A250" i="3"/>
  <c r="Z249" i="3"/>
  <c r="Y249" i="3"/>
  <c r="X249" i="3"/>
  <c r="W249" i="3"/>
  <c r="V249" i="3"/>
  <c r="U249" i="3"/>
  <c r="T249" i="3"/>
  <c r="S249" i="3"/>
  <c r="R249" i="3"/>
  <c r="Q249" i="3"/>
  <c r="P249" i="3"/>
  <c r="O249" i="3"/>
  <c r="N249" i="3"/>
  <c r="M249" i="3"/>
  <c r="L249" i="3"/>
  <c r="K249" i="3"/>
  <c r="J249" i="3"/>
  <c r="I249" i="3"/>
  <c r="H249" i="3"/>
  <c r="G249" i="3"/>
  <c r="F249" i="3"/>
  <c r="E249" i="3"/>
  <c r="D249" i="3"/>
  <c r="C249" i="3"/>
  <c r="B249" i="3"/>
  <c r="A249" i="3"/>
  <c r="Z248" i="3"/>
  <c r="Y248" i="3"/>
  <c r="X248" i="3"/>
  <c r="W248" i="3"/>
  <c r="V248" i="3"/>
  <c r="U248" i="3"/>
  <c r="T248" i="3"/>
  <c r="S248" i="3"/>
  <c r="R248" i="3"/>
  <c r="Q248" i="3"/>
  <c r="P248" i="3"/>
  <c r="O248" i="3"/>
  <c r="N248" i="3"/>
  <c r="M248" i="3"/>
  <c r="L248" i="3"/>
  <c r="K248" i="3"/>
  <c r="J248" i="3"/>
  <c r="I248" i="3"/>
  <c r="H248" i="3"/>
  <c r="G248" i="3"/>
  <c r="F248" i="3"/>
  <c r="E248" i="3"/>
  <c r="D248" i="3"/>
  <c r="C248" i="3"/>
  <c r="B248" i="3"/>
  <c r="A248" i="3"/>
  <c r="Z247" i="3"/>
  <c r="Y247" i="3"/>
  <c r="X247" i="3"/>
  <c r="W247" i="3"/>
  <c r="V247" i="3"/>
  <c r="U247" i="3"/>
  <c r="T247" i="3"/>
  <c r="S247" i="3"/>
  <c r="R247" i="3"/>
  <c r="Q247" i="3"/>
  <c r="P247" i="3"/>
  <c r="O247" i="3"/>
  <c r="N247" i="3"/>
  <c r="M247" i="3"/>
  <c r="L247" i="3"/>
  <c r="K247" i="3"/>
  <c r="J247" i="3"/>
  <c r="I247" i="3"/>
  <c r="H247" i="3"/>
  <c r="G247" i="3"/>
  <c r="F247" i="3"/>
  <c r="E247" i="3"/>
  <c r="D247" i="3"/>
  <c r="C247" i="3"/>
  <c r="B247" i="3"/>
  <c r="A247" i="3"/>
  <c r="Z246" i="3"/>
  <c r="Y246" i="3"/>
  <c r="X246" i="3"/>
  <c r="W246" i="3"/>
  <c r="V246" i="3"/>
  <c r="U246" i="3"/>
  <c r="T246" i="3"/>
  <c r="S246" i="3"/>
  <c r="R246" i="3"/>
  <c r="Q246" i="3"/>
  <c r="P246" i="3"/>
  <c r="O246" i="3"/>
  <c r="N246" i="3"/>
  <c r="M246" i="3"/>
  <c r="L246" i="3"/>
  <c r="K246" i="3"/>
  <c r="J246" i="3"/>
  <c r="I246" i="3"/>
  <c r="H246" i="3"/>
  <c r="G246" i="3"/>
  <c r="F246" i="3"/>
  <c r="E246" i="3"/>
  <c r="D246" i="3"/>
  <c r="C246" i="3"/>
  <c r="B246" i="3"/>
  <c r="A246" i="3"/>
  <c r="Z245" i="3"/>
  <c r="Y245" i="3"/>
  <c r="X245" i="3"/>
  <c r="W245" i="3"/>
  <c r="V245" i="3"/>
  <c r="U245" i="3"/>
  <c r="T245" i="3"/>
  <c r="S245" i="3"/>
  <c r="R245" i="3"/>
  <c r="Q245" i="3"/>
  <c r="P245" i="3"/>
  <c r="O245" i="3"/>
  <c r="N245" i="3"/>
  <c r="M245" i="3"/>
  <c r="L245" i="3"/>
  <c r="K245" i="3"/>
  <c r="J245" i="3"/>
  <c r="I245" i="3"/>
  <c r="H245" i="3"/>
  <c r="G245" i="3"/>
  <c r="F245" i="3"/>
  <c r="E245" i="3"/>
  <c r="D245" i="3"/>
  <c r="C245" i="3"/>
  <c r="B245" i="3"/>
  <c r="A245" i="3"/>
  <c r="Z244" i="3"/>
  <c r="Y244" i="3"/>
  <c r="X244" i="3"/>
  <c r="W244" i="3"/>
  <c r="V244" i="3"/>
  <c r="U244" i="3"/>
  <c r="T244" i="3"/>
  <c r="S244" i="3"/>
  <c r="R244" i="3"/>
  <c r="Q244" i="3"/>
  <c r="P244" i="3"/>
  <c r="O244" i="3"/>
  <c r="N244" i="3"/>
  <c r="M244" i="3"/>
  <c r="L244" i="3"/>
  <c r="K244" i="3"/>
  <c r="J244" i="3"/>
  <c r="I244" i="3"/>
  <c r="H244" i="3"/>
  <c r="G244" i="3"/>
  <c r="F244" i="3"/>
  <c r="E244" i="3"/>
  <c r="D244" i="3"/>
  <c r="C244" i="3"/>
  <c r="B244" i="3"/>
  <c r="A244" i="3"/>
  <c r="Z243" i="3"/>
  <c r="Y243" i="3"/>
  <c r="X243" i="3"/>
  <c r="W243" i="3"/>
  <c r="V243" i="3"/>
  <c r="U243" i="3"/>
  <c r="T243" i="3"/>
  <c r="S243" i="3"/>
  <c r="R243" i="3"/>
  <c r="Q243" i="3"/>
  <c r="P243" i="3"/>
  <c r="O243" i="3"/>
  <c r="N243" i="3"/>
  <c r="M243" i="3"/>
  <c r="L243" i="3"/>
  <c r="K243" i="3"/>
  <c r="J243" i="3"/>
  <c r="I243" i="3"/>
  <c r="H243" i="3"/>
  <c r="G243" i="3"/>
  <c r="F243" i="3"/>
  <c r="E243" i="3"/>
  <c r="D243" i="3"/>
  <c r="C243" i="3"/>
  <c r="B243" i="3"/>
  <c r="A243" i="3"/>
  <c r="Z242" i="3"/>
  <c r="Y242" i="3"/>
  <c r="X242" i="3"/>
  <c r="W242" i="3"/>
  <c r="V242" i="3"/>
  <c r="U242" i="3"/>
  <c r="T242" i="3"/>
  <c r="S242" i="3"/>
  <c r="R242" i="3"/>
  <c r="Q242" i="3"/>
  <c r="P242" i="3"/>
  <c r="O242" i="3"/>
  <c r="N242" i="3"/>
  <c r="M242" i="3"/>
  <c r="L242" i="3"/>
  <c r="K242" i="3"/>
  <c r="J242" i="3"/>
  <c r="I242" i="3"/>
  <c r="H242" i="3"/>
  <c r="G242" i="3"/>
  <c r="F242" i="3"/>
  <c r="E242" i="3"/>
  <c r="D242" i="3"/>
  <c r="C242" i="3"/>
  <c r="B242" i="3"/>
  <c r="A242" i="3"/>
  <c r="Z241" i="3"/>
  <c r="Y241" i="3"/>
  <c r="X241" i="3"/>
  <c r="W241" i="3"/>
  <c r="V241" i="3"/>
  <c r="U241" i="3"/>
  <c r="T241" i="3"/>
  <c r="S241" i="3"/>
  <c r="R241" i="3"/>
  <c r="Q241" i="3"/>
  <c r="P241" i="3"/>
  <c r="O241" i="3"/>
  <c r="N241" i="3"/>
  <c r="M241" i="3"/>
  <c r="L241" i="3"/>
  <c r="K241" i="3"/>
  <c r="J241" i="3"/>
  <c r="I241" i="3"/>
  <c r="H241" i="3"/>
  <c r="G241" i="3"/>
  <c r="F241" i="3"/>
  <c r="E241" i="3"/>
  <c r="D241" i="3"/>
  <c r="C241" i="3"/>
  <c r="B241" i="3"/>
  <c r="A241" i="3"/>
  <c r="Z240" i="3"/>
  <c r="Y240" i="3"/>
  <c r="X240" i="3"/>
  <c r="W240" i="3"/>
  <c r="V240" i="3"/>
  <c r="U240" i="3"/>
  <c r="T240" i="3"/>
  <c r="S240" i="3"/>
  <c r="R240" i="3"/>
  <c r="Q240" i="3"/>
  <c r="P240" i="3"/>
  <c r="O240" i="3"/>
  <c r="N240" i="3"/>
  <c r="M240" i="3"/>
  <c r="L240" i="3"/>
  <c r="K240" i="3"/>
  <c r="J240" i="3"/>
  <c r="I240" i="3"/>
  <c r="H240" i="3"/>
  <c r="G240" i="3"/>
  <c r="F240" i="3"/>
  <c r="E240" i="3"/>
  <c r="D240" i="3"/>
  <c r="C240" i="3"/>
  <c r="B240" i="3"/>
  <c r="A240" i="3"/>
  <c r="Z239" i="3"/>
  <c r="Y239" i="3"/>
  <c r="X239" i="3"/>
  <c r="W239" i="3"/>
  <c r="V239" i="3"/>
  <c r="U239" i="3"/>
  <c r="T239" i="3"/>
  <c r="S239" i="3"/>
  <c r="R239" i="3"/>
  <c r="Q239" i="3"/>
  <c r="P239" i="3"/>
  <c r="O239" i="3"/>
  <c r="N239" i="3"/>
  <c r="M239" i="3"/>
  <c r="L239" i="3"/>
  <c r="K239" i="3"/>
  <c r="J239" i="3"/>
  <c r="I239" i="3"/>
  <c r="H239" i="3"/>
  <c r="G239" i="3"/>
  <c r="F239" i="3"/>
  <c r="E239" i="3"/>
  <c r="D239" i="3"/>
  <c r="C239" i="3"/>
  <c r="B239" i="3"/>
  <c r="A239" i="3"/>
  <c r="Z238" i="3"/>
  <c r="Y238" i="3"/>
  <c r="X238" i="3"/>
  <c r="W238" i="3"/>
  <c r="V238" i="3"/>
  <c r="U238" i="3"/>
  <c r="T238" i="3"/>
  <c r="S238" i="3"/>
  <c r="R238" i="3"/>
  <c r="Q238" i="3"/>
  <c r="P238" i="3"/>
  <c r="O238" i="3"/>
  <c r="N238" i="3"/>
  <c r="M238" i="3"/>
  <c r="L238" i="3"/>
  <c r="K238" i="3"/>
  <c r="J238" i="3"/>
  <c r="I238" i="3"/>
  <c r="H238" i="3"/>
  <c r="G238" i="3"/>
  <c r="F238" i="3"/>
  <c r="E238" i="3"/>
  <c r="D238" i="3"/>
  <c r="C238" i="3"/>
  <c r="B238" i="3"/>
  <c r="A238" i="3"/>
  <c r="Z237" i="3"/>
  <c r="Y237" i="3"/>
  <c r="X237" i="3"/>
  <c r="W237" i="3"/>
  <c r="V237" i="3"/>
  <c r="U237" i="3"/>
  <c r="T237" i="3"/>
  <c r="S237" i="3"/>
  <c r="R237" i="3"/>
  <c r="Q237" i="3"/>
  <c r="P237" i="3"/>
  <c r="O237" i="3"/>
  <c r="N237" i="3"/>
  <c r="M237" i="3"/>
  <c r="L237" i="3"/>
  <c r="K237" i="3"/>
  <c r="J237" i="3"/>
  <c r="I237" i="3"/>
  <c r="H237" i="3"/>
  <c r="G237" i="3"/>
  <c r="F237" i="3"/>
  <c r="E237" i="3"/>
  <c r="D237" i="3"/>
  <c r="C237" i="3"/>
  <c r="B237" i="3"/>
  <c r="A237" i="3"/>
  <c r="Z236" i="3"/>
  <c r="Y236" i="3"/>
  <c r="X236" i="3"/>
  <c r="W236" i="3"/>
  <c r="V236" i="3"/>
  <c r="U236" i="3"/>
  <c r="T236" i="3"/>
  <c r="S236" i="3"/>
  <c r="R236" i="3"/>
  <c r="Q236" i="3"/>
  <c r="P236" i="3"/>
  <c r="O236" i="3"/>
  <c r="N236" i="3"/>
  <c r="M236" i="3"/>
  <c r="L236" i="3"/>
  <c r="K236" i="3"/>
  <c r="J236" i="3"/>
  <c r="I236" i="3"/>
  <c r="H236" i="3"/>
  <c r="G236" i="3"/>
  <c r="F236" i="3"/>
  <c r="E236" i="3"/>
  <c r="D236" i="3"/>
  <c r="C236" i="3"/>
  <c r="B236" i="3"/>
  <c r="A236" i="3"/>
  <c r="Z235" i="3"/>
  <c r="Y235" i="3"/>
  <c r="X235" i="3"/>
  <c r="W235" i="3"/>
  <c r="V235" i="3"/>
  <c r="U235" i="3"/>
  <c r="T235" i="3"/>
  <c r="S235" i="3"/>
  <c r="R235" i="3"/>
  <c r="Q235" i="3"/>
  <c r="P235" i="3"/>
  <c r="O235" i="3"/>
  <c r="N235" i="3"/>
  <c r="M235" i="3"/>
  <c r="L235" i="3"/>
  <c r="K235" i="3"/>
  <c r="J235" i="3"/>
  <c r="I235" i="3"/>
  <c r="H235" i="3"/>
  <c r="G235" i="3"/>
  <c r="F235" i="3"/>
  <c r="E235" i="3"/>
  <c r="D235" i="3"/>
  <c r="C235" i="3"/>
  <c r="B235" i="3"/>
  <c r="A235" i="3"/>
  <c r="Z234" i="3"/>
  <c r="Y234" i="3"/>
  <c r="X234" i="3"/>
  <c r="W234" i="3"/>
  <c r="V234" i="3"/>
  <c r="U234" i="3"/>
  <c r="T234" i="3"/>
  <c r="S234" i="3"/>
  <c r="R234" i="3"/>
  <c r="Q234" i="3"/>
  <c r="P234" i="3"/>
  <c r="O234" i="3"/>
  <c r="N234" i="3"/>
  <c r="M234" i="3"/>
  <c r="L234" i="3"/>
  <c r="K234" i="3"/>
  <c r="J234" i="3"/>
  <c r="I234" i="3"/>
  <c r="H234" i="3"/>
  <c r="G234" i="3"/>
  <c r="F234" i="3"/>
  <c r="E234" i="3"/>
  <c r="D234" i="3"/>
  <c r="C234" i="3"/>
  <c r="B234" i="3"/>
  <c r="A234" i="3"/>
  <c r="Z233" i="3"/>
  <c r="Y233" i="3"/>
  <c r="X233" i="3"/>
  <c r="W233" i="3"/>
  <c r="V233" i="3"/>
  <c r="U233" i="3"/>
  <c r="T233" i="3"/>
  <c r="S233" i="3"/>
  <c r="R233" i="3"/>
  <c r="Q233" i="3"/>
  <c r="P233" i="3"/>
  <c r="O233" i="3"/>
  <c r="N233" i="3"/>
  <c r="M233" i="3"/>
  <c r="L233" i="3"/>
  <c r="K233" i="3"/>
  <c r="J233" i="3"/>
  <c r="I233" i="3"/>
  <c r="H233" i="3"/>
  <c r="G233" i="3"/>
  <c r="F233" i="3"/>
  <c r="E233" i="3"/>
  <c r="D233" i="3"/>
  <c r="C233" i="3"/>
  <c r="B233" i="3"/>
  <c r="A233" i="3"/>
  <c r="Z232" i="3"/>
  <c r="Y232" i="3"/>
  <c r="X232" i="3"/>
  <c r="W232" i="3"/>
  <c r="V232" i="3"/>
  <c r="U232" i="3"/>
  <c r="T232" i="3"/>
  <c r="S232" i="3"/>
  <c r="R232" i="3"/>
  <c r="Q232" i="3"/>
  <c r="P232" i="3"/>
  <c r="O232" i="3"/>
  <c r="N232" i="3"/>
  <c r="M232" i="3"/>
  <c r="L232" i="3"/>
  <c r="K232" i="3"/>
  <c r="J232" i="3"/>
  <c r="I232" i="3"/>
  <c r="H232" i="3"/>
  <c r="G232" i="3"/>
  <c r="F232" i="3"/>
  <c r="E232" i="3"/>
  <c r="D232" i="3"/>
  <c r="C232" i="3"/>
  <c r="B232" i="3"/>
  <c r="A232" i="3"/>
  <c r="Z231" i="3"/>
  <c r="Y231" i="3"/>
  <c r="X231" i="3"/>
  <c r="W231" i="3"/>
  <c r="V231" i="3"/>
  <c r="U231" i="3"/>
  <c r="T231" i="3"/>
  <c r="S231" i="3"/>
  <c r="R231" i="3"/>
  <c r="Q231" i="3"/>
  <c r="P231" i="3"/>
  <c r="O231" i="3"/>
  <c r="N231" i="3"/>
  <c r="M231" i="3"/>
  <c r="L231" i="3"/>
  <c r="K231" i="3"/>
  <c r="J231" i="3"/>
  <c r="I231" i="3"/>
  <c r="H231" i="3"/>
  <c r="G231" i="3"/>
  <c r="F231" i="3"/>
  <c r="E231" i="3"/>
  <c r="D231" i="3"/>
  <c r="C231" i="3"/>
  <c r="B231" i="3"/>
  <c r="A231" i="3"/>
  <c r="Z230" i="3"/>
  <c r="Y230" i="3"/>
  <c r="X230" i="3"/>
  <c r="W230" i="3"/>
  <c r="V230" i="3"/>
  <c r="U230" i="3"/>
  <c r="T230" i="3"/>
  <c r="S230" i="3"/>
  <c r="R230" i="3"/>
  <c r="Q230" i="3"/>
  <c r="P230" i="3"/>
  <c r="O230" i="3"/>
  <c r="N230" i="3"/>
  <c r="M230" i="3"/>
  <c r="L230" i="3"/>
  <c r="K230" i="3"/>
  <c r="J230" i="3"/>
  <c r="I230" i="3"/>
  <c r="H230" i="3"/>
  <c r="G230" i="3"/>
  <c r="F230" i="3"/>
  <c r="E230" i="3"/>
  <c r="D230" i="3"/>
  <c r="C230" i="3"/>
  <c r="B230" i="3"/>
  <c r="A230" i="3"/>
  <c r="Z229" i="3"/>
  <c r="Y229" i="3"/>
  <c r="X229" i="3"/>
  <c r="W229" i="3"/>
  <c r="V229" i="3"/>
  <c r="U229" i="3"/>
  <c r="T229" i="3"/>
  <c r="S229" i="3"/>
  <c r="R229" i="3"/>
  <c r="Q229" i="3"/>
  <c r="P229" i="3"/>
  <c r="O229" i="3"/>
  <c r="N229" i="3"/>
  <c r="M229" i="3"/>
  <c r="L229" i="3"/>
  <c r="K229" i="3"/>
  <c r="J229" i="3"/>
  <c r="I229" i="3"/>
  <c r="H229" i="3"/>
  <c r="G229" i="3"/>
  <c r="F229" i="3"/>
  <c r="E229" i="3"/>
  <c r="D229" i="3"/>
  <c r="C229" i="3"/>
  <c r="B229" i="3"/>
  <c r="A229" i="3"/>
  <c r="Z228" i="3"/>
  <c r="Y228" i="3"/>
  <c r="X228" i="3"/>
  <c r="W228" i="3"/>
  <c r="V228" i="3"/>
  <c r="U228" i="3"/>
  <c r="T228" i="3"/>
  <c r="S228" i="3"/>
  <c r="R228" i="3"/>
  <c r="Q228" i="3"/>
  <c r="P228" i="3"/>
  <c r="O228" i="3"/>
  <c r="N228" i="3"/>
  <c r="M228" i="3"/>
  <c r="L228" i="3"/>
  <c r="K228" i="3"/>
  <c r="J228" i="3"/>
  <c r="I228" i="3"/>
  <c r="H228" i="3"/>
  <c r="G228" i="3"/>
  <c r="F228" i="3"/>
  <c r="E228" i="3"/>
  <c r="D228" i="3"/>
  <c r="C228" i="3"/>
  <c r="B228" i="3"/>
  <c r="A228" i="3"/>
  <c r="Z227" i="3"/>
  <c r="Y227" i="3"/>
  <c r="X227" i="3"/>
  <c r="W227" i="3"/>
  <c r="V227" i="3"/>
  <c r="U227" i="3"/>
  <c r="T227" i="3"/>
  <c r="S227" i="3"/>
  <c r="R227" i="3"/>
  <c r="Q227" i="3"/>
  <c r="P227" i="3"/>
  <c r="O227" i="3"/>
  <c r="N227" i="3"/>
  <c r="M227" i="3"/>
  <c r="L227" i="3"/>
  <c r="K227" i="3"/>
  <c r="J227" i="3"/>
  <c r="I227" i="3"/>
  <c r="H227" i="3"/>
  <c r="G227" i="3"/>
  <c r="F227" i="3"/>
  <c r="E227" i="3"/>
  <c r="D227" i="3"/>
  <c r="C227" i="3"/>
  <c r="B227" i="3"/>
  <c r="A227" i="3"/>
  <c r="Z226" i="3"/>
  <c r="Y226" i="3"/>
  <c r="X226" i="3"/>
  <c r="W226" i="3"/>
  <c r="V226" i="3"/>
  <c r="U226" i="3"/>
  <c r="T226" i="3"/>
  <c r="S226" i="3"/>
  <c r="R226" i="3"/>
  <c r="Q226" i="3"/>
  <c r="P226" i="3"/>
  <c r="O226" i="3"/>
  <c r="N226" i="3"/>
  <c r="M226" i="3"/>
  <c r="L226" i="3"/>
  <c r="K226" i="3"/>
  <c r="J226" i="3"/>
  <c r="I226" i="3"/>
  <c r="H226" i="3"/>
  <c r="G226" i="3"/>
  <c r="F226" i="3"/>
  <c r="E226" i="3"/>
  <c r="D226" i="3"/>
  <c r="C226" i="3"/>
  <c r="B226" i="3"/>
  <c r="A226" i="3"/>
  <c r="Z225" i="3"/>
  <c r="Y225" i="3"/>
  <c r="X225" i="3"/>
  <c r="W225" i="3"/>
  <c r="V225" i="3"/>
  <c r="U225" i="3"/>
  <c r="T225" i="3"/>
  <c r="S225" i="3"/>
  <c r="R225" i="3"/>
  <c r="Q225" i="3"/>
  <c r="P225" i="3"/>
  <c r="O225" i="3"/>
  <c r="N225" i="3"/>
  <c r="M225" i="3"/>
  <c r="L225" i="3"/>
  <c r="K225" i="3"/>
  <c r="J225" i="3"/>
  <c r="I225" i="3"/>
  <c r="H225" i="3"/>
  <c r="G225" i="3"/>
  <c r="F225" i="3"/>
  <c r="E225" i="3"/>
  <c r="D225" i="3"/>
  <c r="C225" i="3"/>
  <c r="B225" i="3"/>
  <c r="A225" i="3"/>
  <c r="Z224" i="3"/>
  <c r="Y224" i="3"/>
  <c r="X224" i="3"/>
  <c r="W224" i="3"/>
  <c r="V224" i="3"/>
  <c r="U224" i="3"/>
  <c r="T224" i="3"/>
  <c r="S224" i="3"/>
  <c r="R224" i="3"/>
  <c r="Q224" i="3"/>
  <c r="P224" i="3"/>
  <c r="O224" i="3"/>
  <c r="N224" i="3"/>
  <c r="M224" i="3"/>
  <c r="L224" i="3"/>
  <c r="K224" i="3"/>
  <c r="J224" i="3"/>
  <c r="I224" i="3"/>
  <c r="H224" i="3"/>
  <c r="G224" i="3"/>
  <c r="F224" i="3"/>
  <c r="E224" i="3"/>
  <c r="D224" i="3"/>
  <c r="C224" i="3"/>
  <c r="B224" i="3"/>
  <c r="A224" i="3"/>
  <c r="Z223" i="3"/>
  <c r="Y223" i="3"/>
  <c r="X223" i="3"/>
  <c r="W223" i="3"/>
  <c r="V223" i="3"/>
  <c r="U223" i="3"/>
  <c r="T223" i="3"/>
  <c r="S223" i="3"/>
  <c r="R223" i="3"/>
  <c r="Q223" i="3"/>
  <c r="P223" i="3"/>
  <c r="O223" i="3"/>
  <c r="N223" i="3"/>
  <c r="M223" i="3"/>
  <c r="L223" i="3"/>
  <c r="K223" i="3"/>
  <c r="J223" i="3"/>
  <c r="I223" i="3"/>
  <c r="H223" i="3"/>
  <c r="G223" i="3"/>
  <c r="F223" i="3"/>
  <c r="E223" i="3"/>
  <c r="D223" i="3"/>
  <c r="C223" i="3"/>
  <c r="B223" i="3"/>
  <c r="A223" i="3"/>
  <c r="Z222" i="3"/>
  <c r="Y222" i="3"/>
  <c r="X222" i="3"/>
  <c r="W222" i="3"/>
  <c r="V222" i="3"/>
  <c r="U222" i="3"/>
  <c r="T222" i="3"/>
  <c r="S222" i="3"/>
  <c r="R222" i="3"/>
  <c r="Q222" i="3"/>
  <c r="P222" i="3"/>
  <c r="O222" i="3"/>
  <c r="N222" i="3"/>
  <c r="M222" i="3"/>
  <c r="L222" i="3"/>
  <c r="K222" i="3"/>
  <c r="J222" i="3"/>
  <c r="I222" i="3"/>
  <c r="H222" i="3"/>
  <c r="G222" i="3"/>
  <c r="F222" i="3"/>
  <c r="E222" i="3"/>
  <c r="D222" i="3"/>
  <c r="C222" i="3"/>
  <c r="B222" i="3"/>
  <c r="A222" i="3"/>
  <c r="Z221" i="3"/>
  <c r="Y221" i="3"/>
  <c r="X221" i="3"/>
  <c r="W221" i="3"/>
  <c r="V221" i="3"/>
  <c r="U221" i="3"/>
  <c r="T221" i="3"/>
  <c r="S221" i="3"/>
  <c r="R221" i="3"/>
  <c r="Q221" i="3"/>
  <c r="P221" i="3"/>
  <c r="O221" i="3"/>
  <c r="N221" i="3"/>
  <c r="M221" i="3"/>
  <c r="L221" i="3"/>
  <c r="K221" i="3"/>
  <c r="J221" i="3"/>
  <c r="I221" i="3"/>
  <c r="H221" i="3"/>
  <c r="G221" i="3"/>
  <c r="F221" i="3"/>
  <c r="E221" i="3"/>
  <c r="D221" i="3"/>
  <c r="C221" i="3"/>
  <c r="B221" i="3"/>
  <c r="A221" i="3"/>
  <c r="Z220" i="3"/>
  <c r="Y220" i="3"/>
  <c r="X220" i="3"/>
  <c r="W220" i="3"/>
  <c r="V220" i="3"/>
  <c r="U220" i="3"/>
  <c r="T220" i="3"/>
  <c r="S220" i="3"/>
  <c r="R220" i="3"/>
  <c r="Q220" i="3"/>
  <c r="P220" i="3"/>
  <c r="O220" i="3"/>
  <c r="N220" i="3"/>
  <c r="M220" i="3"/>
  <c r="L220" i="3"/>
  <c r="K220" i="3"/>
  <c r="J220" i="3"/>
  <c r="I220" i="3"/>
  <c r="H220" i="3"/>
  <c r="G220" i="3"/>
  <c r="F220" i="3"/>
  <c r="E220" i="3"/>
  <c r="D220" i="3"/>
  <c r="C220" i="3"/>
  <c r="B220" i="3"/>
  <c r="A220" i="3"/>
  <c r="Z219" i="3"/>
  <c r="Y219" i="3"/>
  <c r="X219" i="3"/>
  <c r="W219" i="3"/>
  <c r="V219" i="3"/>
  <c r="U219" i="3"/>
  <c r="T219" i="3"/>
  <c r="S219" i="3"/>
  <c r="R219" i="3"/>
  <c r="Q219" i="3"/>
  <c r="P219" i="3"/>
  <c r="O219" i="3"/>
  <c r="N219" i="3"/>
  <c r="M219" i="3"/>
  <c r="L219" i="3"/>
  <c r="K219" i="3"/>
  <c r="J219" i="3"/>
  <c r="I219" i="3"/>
  <c r="H219" i="3"/>
  <c r="G219" i="3"/>
  <c r="F219" i="3"/>
  <c r="E219" i="3"/>
  <c r="D219" i="3"/>
  <c r="C219" i="3"/>
  <c r="B219" i="3"/>
  <c r="A219" i="3"/>
  <c r="Z218" i="3"/>
  <c r="Y218" i="3"/>
  <c r="X218" i="3"/>
  <c r="W218" i="3"/>
  <c r="V218" i="3"/>
  <c r="U218" i="3"/>
  <c r="T218" i="3"/>
  <c r="S218" i="3"/>
  <c r="R218" i="3"/>
  <c r="Q218" i="3"/>
  <c r="P218" i="3"/>
  <c r="O218" i="3"/>
  <c r="N218" i="3"/>
  <c r="M218" i="3"/>
  <c r="L218" i="3"/>
  <c r="K218" i="3"/>
  <c r="J218" i="3"/>
  <c r="I218" i="3"/>
  <c r="H218" i="3"/>
  <c r="G218" i="3"/>
  <c r="F218" i="3"/>
  <c r="E218" i="3"/>
  <c r="D218" i="3"/>
  <c r="C218" i="3"/>
  <c r="B218" i="3"/>
  <c r="A218" i="3"/>
  <c r="Z217" i="3"/>
  <c r="Y217" i="3"/>
  <c r="X217" i="3"/>
  <c r="W217" i="3"/>
  <c r="V217" i="3"/>
  <c r="U217" i="3"/>
  <c r="T217" i="3"/>
  <c r="S217" i="3"/>
  <c r="R217" i="3"/>
  <c r="Q217" i="3"/>
  <c r="P217" i="3"/>
  <c r="O217" i="3"/>
  <c r="N217" i="3"/>
  <c r="M217" i="3"/>
  <c r="L217" i="3"/>
  <c r="K217" i="3"/>
  <c r="J217" i="3"/>
  <c r="I217" i="3"/>
  <c r="H217" i="3"/>
  <c r="G217" i="3"/>
  <c r="F217" i="3"/>
  <c r="E217" i="3"/>
  <c r="D217" i="3"/>
  <c r="C217" i="3"/>
  <c r="B217" i="3"/>
  <c r="A217" i="3"/>
  <c r="Z216" i="3"/>
  <c r="Y216" i="3"/>
  <c r="X216" i="3"/>
  <c r="W216" i="3"/>
  <c r="V216" i="3"/>
  <c r="U216" i="3"/>
  <c r="T216" i="3"/>
  <c r="S216" i="3"/>
  <c r="R216" i="3"/>
  <c r="Q216" i="3"/>
  <c r="P216" i="3"/>
  <c r="O216" i="3"/>
  <c r="N216" i="3"/>
  <c r="M216" i="3"/>
  <c r="L216" i="3"/>
  <c r="K216" i="3"/>
  <c r="J216" i="3"/>
  <c r="I216" i="3"/>
  <c r="H216" i="3"/>
  <c r="G216" i="3"/>
  <c r="F216" i="3"/>
  <c r="E216" i="3"/>
  <c r="D216" i="3"/>
  <c r="C216" i="3"/>
  <c r="B216" i="3"/>
  <c r="A216" i="3"/>
  <c r="Z215" i="3"/>
  <c r="Y215" i="3"/>
  <c r="X215" i="3"/>
  <c r="W215" i="3"/>
  <c r="V215" i="3"/>
  <c r="U215" i="3"/>
  <c r="T215" i="3"/>
  <c r="S215" i="3"/>
  <c r="R215" i="3"/>
  <c r="Q215" i="3"/>
  <c r="P215" i="3"/>
  <c r="O215" i="3"/>
  <c r="N215" i="3"/>
  <c r="M215" i="3"/>
  <c r="L215" i="3"/>
  <c r="K215" i="3"/>
  <c r="J215" i="3"/>
  <c r="I215" i="3"/>
  <c r="H215" i="3"/>
  <c r="G215" i="3"/>
  <c r="F215" i="3"/>
  <c r="E215" i="3"/>
  <c r="D215" i="3"/>
  <c r="C215" i="3"/>
  <c r="B215" i="3"/>
  <c r="A215" i="3"/>
  <c r="Z214" i="3"/>
  <c r="Y214" i="3"/>
  <c r="X214" i="3"/>
  <c r="W214" i="3"/>
  <c r="V214" i="3"/>
  <c r="U214" i="3"/>
  <c r="T214" i="3"/>
  <c r="S214" i="3"/>
  <c r="R214" i="3"/>
  <c r="Q214" i="3"/>
  <c r="P214" i="3"/>
  <c r="O214" i="3"/>
  <c r="N214" i="3"/>
  <c r="M214" i="3"/>
  <c r="L214" i="3"/>
  <c r="K214" i="3"/>
  <c r="J214" i="3"/>
  <c r="I214" i="3"/>
  <c r="H214" i="3"/>
  <c r="G214" i="3"/>
  <c r="F214" i="3"/>
  <c r="E214" i="3"/>
  <c r="D214" i="3"/>
  <c r="C214" i="3"/>
  <c r="B214" i="3"/>
  <c r="A214" i="3"/>
  <c r="Z213" i="3"/>
  <c r="Y213" i="3"/>
  <c r="X213" i="3"/>
  <c r="W213" i="3"/>
  <c r="V213" i="3"/>
  <c r="U213" i="3"/>
  <c r="T213" i="3"/>
  <c r="S213" i="3"/>
  <c r="R213" i="3"/>
  <c r="Q213" i="3"/>
  <c r="P213" i="3"/>
  <c r="O213" i="3"/>
  <c r="N213" i="3"/>
  <c r="M213" i="3"/>
  <c r="L213" i="3"/>
  <c r="K213" i="3"/>
  <c r="J213" i="3"/>
  <c r="I213" i="3"/>
  <c r="H213" i="3"/>
  <c r="G213" i="3"/>
  <c r="F213" i="3"/>
  <c r="E213" i="3"/>
  <c r="D213" i="3"/>
  <c r="C213" i="3"/>
  <c r="B213" i="3"/>
  <c r="A213" i="3"/>
  <c r="Z212" i="3"/>
  <c r="Y212" i="3"/>
  <c r="X212" i="3"/>
  <c r="W212" i="3"/>
  <c r="V212" i="3"/>
  <c r="U212" i="3"/>
  <c r="T212" i="3"/>
  <c r="S212" i="3"/>
  <c r="R212" i="3"/>
  <c r="Q212" i="3"/>
  <c r="P212" i="3"/>
  <c r="O212" i="3"/>
  <c r="N212" i="3"/>
  <c r="M212" i="3"/>
  <c r="L212" i="3"/>
  <c r="K212" i="3"/>
  <c r="J212" i="3"/>
  <c r="I212" i="3"/>
  <c r="H212" i="3"/>
  <c r="G212" i="3"/>
  <c r="F212" i="3"/>
  <c r="E212" i="3"/>
  <c r="D212" i="3"/>
  <c r="C212" i="3"/>
  <c r="B212" i="3"/>
  <c r="A212" i="3"/>
  <c r="Z211" i="3"/>
  <c r="Y211" i="3"/>
  <c r="X211" i="3"/>
  <c r="W211" i="3"/>
  <c r="V211" i="3"/>
  <c r="U211" i="3"/>
  <c r="T211" i="3"/>
  <c r="S211" i="3"/>
  <c r="R211" i="3"/>
  <c r="Q211" i="3"/>
  <c r="P211" i="3"/>
  <c r="O211" i="3"/>
  <c r="N211" i="3"/>
  <c r="M211" i="3"/>
  <c r="L211" i="3"/>
  <c r="K211" i="3"/>
  <c r="J211" i="3"/>
  <c r="I211" i="3"/>
  <c r="H211" i="3"/>
  <c r="G211" i="3"/>
  <c r="F211" i="3"/>
  <c r="E211" i="3"/>
  <c r="D211" i="3"/>
  <c r="C211" i="3"/>
  <c r="B211" i="3"/>
  <c r="A211" i="3"/>
  <c r="Z210" i="3"/>
  <c r="Y210" i="3"/>
  <c r="X210" i="3"/>
  <c r="W210" i="3"/>
  <c r="V210" i="3"/>
  <c r="U210" i="3"/>
  <c r="T210" i="3"/>
  <c r="S210" i="3"/>
  <c r="R210" i="3"/>
  <c r="Q210" i="3"/>
  <c r="P210" i="3"/>
  <c r="O210" i="3"/>
  <c r="N210" i="3"/>
  <c r="M210" i="3"/>
  <c r="L210" i="3"/>
  <c r="K210" i="3"/>
  <c r="J210" i="3"/>
  <c r="I210" i="3"/>
  <c r="H210" i="3"/>
  <c r="G210" i="3"/>
  <c r="F210" i="3"/>
  <c r="E210" i="3"/>
  <c r="D210" i="3"/>
  <c r="C210" i="3"/>
  <c r="B210" i="3"/>
  <c r="A210" i="3"/>
  <c r="Z209" i="3"/>
  <c r="Y209" i="3"/>
  <c r="X209" i="3"/>
  <c r="W209" i="3"/>
  <c r="V209" i="3"/>
  <c r="U209" i="3"/>
  <c r="T209" i="3"/>
  <c r="S209" i="3"/>
  <c r="R209" i="3"/>
  <c r="Q209" i="3"/>
  <c r="P209" i="3"/>
  <c r="O209" i="3"/>
  <c r="N209" i="3"/>
  <c r="M209" i="3"/>
  <c r="L209" i="3"/>
  <c r="K209" i="3"/>
  <c r="J209" i="3"/>
  <c r="I209" i="3"/>
  <c r="H209" i="3"/>
  <c r="G209" i="3"/>
  <c r="F209" i="3"/>
  <c r="E209" i="3"/>
  <c r="D209" i="3"/>
  <c r="C209" i="3"/>
  <c r="B209" i="3"/>
  <c r="A209" i="3"/>
  <c r="Z208" i="3"/>
  <c r="Y208" i="3"/>
  <c r="X208" i="3"/>
  <c r="W208" i="3"/>
  <c r="V208" i="3"/>
  <c r="U208" i="3"/>
  <c r="T208" i="3"/>
  <c r="S208" i="3"/>
  <c r="R208" i="3"/>
  <c r="Q208" i="3"/>
  <c r="P208" i="3"/>
  <c r="O208" i="3"/>
  <c r="N208" i="3"/>
  <c r="M208" i="3"/>
  <c r="L208" i="3"/>
  <c r="K208" i="3"/>
  <c r="J208" i="3"/>
  <c r="I208" i="3"/>
  <c r="H208" i="3"/>
  <c r="G208" i="3"/>
  <c r="F208" i="3"/>
  <c r="E208" i="3"/>
  <c r="D208" i="3"/>
  <c r="C208" i="3"/>
  <c r="B208" i="3"/>
  <c r="A208" i="3"/>
  <c r="Z207" i="3"/>
  <c r="Y207" i="3"/>
  <c r="X207" i="3"/>
  <c r="W207" i="3"/>
  <c r="V207" i="3"/>
  <c r="U207" i="3"/>
  <c r="T207" i="3"/>
  <c r="S207" i="3"/>
  <c r="R207" i="3"/>
  <c r="Q207" i="3"/>
  <c r="P207" i="3"/>
  <c r="O207" i="3"/>
  <c r="N207" i="3"/>
  <c r="M207" i="3"/>
  <c r="L207" i="3"/>
  <c r="K207" i="3"/>
  <c r="J207" i="3"/>
  <c r="I207" i="3"/>
  <c r="H207" i="3"/>
  <c r="G207" i="3"/>
  <c r="F207" i="3"/>
  <c r="E207" i="3"/>
  <c r="D207" i="3"/>
  <c r="C207" i="3"/>
  <c r="B207" i="3"/>
  <c r="A207" i="3"/>
  <c r="C206" i="3"/>
  <c r="B206" i="3"/>
  <c r="A206" i="3"/>
  <c r="C205" i="3"/>
  <c r="B205" i="3"/>
  <c r="A205" i="3"/>
  <c r="C204" i="3"/>
  <c r="B204" i="3"/>
  <c r="A204" i="3"/>
  <c r="C203" i="3"/>
  <c r="B203" i="3"/>
  <c r="A203" i="3"/>
  <c r="C202" i="3"/>
  <c r="B202" i="3"/>
  <c r="A202" i="3"/>
  <c r="J201" i="3"/>
  <c r="C201" i="3"/>
  <c r="B201" i="3"/>
  <c r="A201" i="3"/>
  <c r="J200" i="3"/>
  <c r="C200" i="3"/>
  <c r="B200" i="3"/>
  <c r="A200" i="3"/>
  <c r="C199" i="3"/>
  <c r="B199" i="3"/>
  <c r="A199" i="3"/>
  <c r="C198" i="3"/>
  <c r="B198" i="3"/>
  <c r="A198" i="3"/>
  <c r="C197" i="3"/>
  <c r="B197" i="3"/>
  <c r="A197" i="3"/>
  <c r="C196" i="3"/>
  <c r="B196" i="3"/>
  <c r="A196" i="3"/>
  <c r="C195" i="3"/>
  <c r="B195" i="3"/>
  <c r="A195" i="3"/>
  <c r="C194" i="3"/>
  <c r="B194" i="3"/>
  <c r="A194" i="3"/>
  <c r="C193" i="3"/>
  <c r="B193" i="3"/>
  <c r="A193" i="3"/>
  <c r="J192" i="3"/>
  <c r="C192" i="3"/>
  <c r="B192" i="3"/>
  <c r="A192" i="3"/>
  <c r="O191" i="3"/>
  <c r="C191" i="3"/>
  <c r="B191" i="3"/>
  <c r="A191" i="3"/>
  <c r="C190" i="3"/>
  <c r="B190" i="3"/>
  <c r="A190" i="3"/>
  <c r="C189" i="3"/>
  <c r="B189" i="3"/>
  <c r="A189" i="3"/>
  <c r="C188" i="3"/>
  <c r="B188" i="3"/>
  <c r="A188" i="3"/>
  <c r="C187" i="3"/>
  <c r="B187" i="3"/>
  <c r="A187" i="3"/>
  <c r="C186" i="3"/>
  <c r="B186" i="3"/>
  <c r="A186" i="3"/>
  <c r="O185" i="3"/>
  <c r="C185" i="3"/>
  <c r="B185" i="3"/>
  <c r="A185" i="3"/>
  <c r="C184" i="3"/>
  <c r="B184" i="3"/>
  <c r="A184" i="3"/>
  <c r="C183" i="3"/>
  <c r="B183" i="3"/>
  <c r="A183" i="3"/>
  <c r="C182" i="3"/>
  <c r="B182" i="3"/>
  <c r="A182" i="3"/>
  <c r="C181" i="3"/>
  <c r="B181" i="3"/>
  <c r="A181" i="3"/>
  <c r="C180" i="3"/>
  <c r="B180" i="3"/>
  <c r="A180" i="3"/>
  <c r="V179" i="3"/>
  <c r="T179" i="3"/>
  <c r="S179" i="3"/>
  <c r="O179" i="3"/>
  <c r="C179" i="3"/>
  <c r="B179" i="3"/>
  <c r="A179" i="3"/>
  <c r="C178" i="3"/>
  <c r="B178" i="3"/>
  <c r="A178" i="3"/>
  <c r="C177" i="3"/>
  <c r="B177" i="3"/>
  <c r="A177" i="3"/>
  <c r="C176" i="3"/>
  <c r="B176" i="3"/>
  <c r="A176" i="3"/>
  <c r="C175" i="3"/>
  <c r="B175" i="3"/>
  <c r="A175" i="3"/>
  <c r="K174" i="3"/>
  <c r="J174" i="3"/>
  <c r="C174" i="3"/>
  <c r="B174" i="3"/>
  <c r="A174" i="3"/>
  <c r="C173" i="3"/>
  <c r="B173" i="3"/>
  <c r="A173" i="3"/>
  <c r="C172" i="3"/>
  <c r="B172" i="3"/>
  <c r="A172" i="3"/>
  <c r="C171" i="3"/>
  <c r="B171" i="3"/>
  <c r="A171" i="3"/>
  <c r="K170" i="3"/>
  <c r="C170" i="3"/>
  <c r="B170" i="3"/>
  <c r="A170" i="3"/>
  <c r="C169" i="3"/>
  <c r="B169" i="3"/>
  <c r="A169" i="3"/>
  <c r="K168" i="3"/>
  <c r="C168" i="3"/>
  <c r="B168" i="3"/>
  <c r="A168" i="3"/>
  <c r="C167" i="3"/>
  <c r="B167" i="3"/>
  <c r="A167" i="3"/>
  <c r="C166" i="3"/>
  <c r="B166" i="3"/>
  <c r="A166" i="3"/>
  <c r="C165" i="3"/>
  <c r="B165" i="3"/>
  <c r="A165" i="3"/>
  <c r="K164" i="3"/>
  <c r="C164" i="3"/>
  <c r="B164" i="3"/>
  <c r="A164" i="3"/>
  <c r="C163" i="3"/>
  <c r="B163" i="3"/>
  <c r="A163" i="3"/>
  <c r="C162" i="3"/>
  <c r="B162" i="3"/>
  <c r="A162" i="3"/>
  <c r="C161" i="3"/>
  <c r="B161" i="3"/>
  <c r="A161" i="3"/>
  <c r="J160" i="3"/>
  <c r="C160" i="3"/>
  <c r="B160" i="3"/>
  <c r="A160" i="3"/>
  <c r="C159" i="3"/>
  <c r="B159" i="3"/>
  <c r="A159" i="3"/>
  <c r="C158" i="3"/>
  <c r="B158" i="3"/>
  <c r="A158" i="3"/>
  <c r="C157" i="3"/>
  <c r="B157" i="3"/>
  <c r="A157" i="3"/>
  <c r="C156" i="3"/>
  <c r="B156" i="3"/>
  <c r="A156" i="3"/>
  <c r="C155" i="3"/>
  <c r="B155" i="3"/>
  <c r="A155" i="3"/>
  <c r="C154" i="3"/>
  <c r="B154" i="3"/>
  <c r="A154" i="3"/>
  <c r="C153" i="3"/>
  <c r="B153" i="3"/>
  <c r="A153" i="3"/>
  <c r="C152" i="3"/>
  <c r="B152" i="3"/>
  <c r="A152" i="3"/>
  <c r="C151" i="3"/>
  <c r="B151" i="3"/>
  <c r="A151" i="3"/>
  <c r="C150" i="3"/>
  <c r="B150" i="3"/>
  <c r="A150" i="3"/>
  <c r="C149" i="3"/>
  <c r="B149" i="3"/>
  <c r="A149" i="3"/>
  <c r="C148" i="3"/>
  <c r="B148" i="3"/>
  <c r="A148" i="3"/>
  <c r="C147" i="3"/>
  <c r="B147" i="3"/>
  <c r="A147" i="3"/>
  <c r="K146" i="3"/>
  <c r="C146" i="3"/>
  <c r="B146" i="3"/>
  <c r="A146" i="3"/>
  <c r="C145" i="3"/>
  <c r="B145" i="3"/>
  <c r="A145" i="3"/>
  <c r="C144" i="3"/>
  <c r="B144" i="3"/>
  <c r="A144" i="3"/>
  <c r="C143" i="3"/>
  <c r="B143" i="3"/>
  <c r="A143" i="3"/>
  <c r="O142" i="3"/>
  <c r="C142" i="3"/>
  <c r="B142" i="3"/>
  <c r="A142" i="3"/>
  <c r="C141" i="3"/>
  <c r="B141" i="3"/>
  <c r="A141" i="3"/>
  <c r="C140" i="3"/>
  <c r="B140" i="3"/>
  <c r="A140" i="3"/>
  <c r="C139" i="3"/>
  <c r="B139" i="3"/>
  <c r="A139" i="3"/>
  <c r="C138" i="3"/>
  <c r="B138" i="3"/>
  <c r="A138" i="3"/>
  <c r="J137" i="3"/>
  <c r="C137" i="3"/>
  <c r="B137" i="3"/>
  <c r="A137" i="3"/>
  <c r="C136" i="3"/>
  <c r="B136" i="3"/>
  <c r="A136" i="3"/>
  <c r="C135" i="3"/>
  <c r="B135" i="3"/>
  <c r="A135" i="3"/>
  <c r="J134" i="3"/>
  <c r="C134" i="3"/>
  <c r="B134" i="3"/>
  <c r="A134" i="3"/>
  <c r="C133" i="3"/>
  <c r="B133" i="3"/>
  <c r="A133" i="3"/>
  <c r="C132" i="3"/>
  <c r="B132" i="3"/>
  <c r="A132" i="3"/>
  <c r="C131" i="3"/>
  <c r="B131" i="3"/>
  <c r="A131" i="3"/>
  <c r="C130" i="3"/>
  <c r="B130" i="3"/>
  <c r="A130" i="3"/>
  <c r="K129" i="3"/>
  <c r="C129" i="3"/>
  <c r="B129" i="3"/>
  <c r="A129" i="3"/>
  <c r="C128" i="3"/>
  <c r="B128" i="3"/>
  <c r="A128" i="3"/>
  <c r="C127" i="3"/>
  <c r="B127" i="3"/>
  <c r="A127" i="3"/>
  <c r="C126" i="3"/>
  <c r="B126" i="3"/>
  <c r="A126" i="3"/>
  <c r="C125" i="3"/>
  <c r="B125" i="3"/>
  <c r="A125" i="3"/>
  <c r="C124" i="3"/>
  <c r="B124" i="3"/>
  <c r="A124" i="3"/>
  <c r="C123" i="3"/>
  <c r="B123" i="3"/>
  <c r="A123" i="3"/>
  <c r="C122" i="3"/>
  <c r="B122" i="3"/>
  <c r="A122" i="3"/>
  <c r="J121" i="3"/>
  <c r="C121" i="3"/>
  <c r="B121" i="3"/>
  <c r="A121" i="3"/>
  <c r="C120" i="3"/>
  <c r="B120" i="3"/>
  <c r="A120" i="3"/>
  <c r="C119" i="3"/>
  <c r="B119" i="3"/>
  <c r="A119" i="3"/>
  <c r="C118" i="3"/>
  <c r="B118" i="3"/>
  <c r="A118" i="3"/>
  <c r="C117" i="3"/>
  <c r="B117" i="3"/>
  <c r="A117" i="3"/>
  <c r="C116" i="3"/>
  <c r="B116" i="3"/>
  <c r="A116" i="3"/>
  <c r="C115" i="3"/>
  <c r="B115" i="3"/>
  <c r="A115" i="3"/>
  <c r="V114" i="3"/>
  <c r="C114" i="3"/>
  <c r="B114" i="3"/>
  <c r="A114" i="3"/>
  <c r="C113" i="3"/>
  <c r="B113" i="3"/>
  <c r="A113" i="3"/>
  <c r="C112" i="3"/>
  <c r="B112" i="3"/>
  <c r="A112" i="3"/>
  <c r="J111" i="3"/>
  <c r="C111" i="3"/>
  <c r="B111" i="3"/>
  <c r="A111" i="3"/>
  <c r="C110" i="3"/>
  <c r="B110" i="3"/>
  <c r="A110" i="3"/>
  <c r="C109" i="3"/>
  <c r="B109" i="3"/>
  <c r="A109" i="3"/>
  <c r="J108" i="3"/>
  <c r="C108" i="3"/>
  <c r="B108" i="3"/>
  <c r="A108" i="3"/>
  <c r="K107" i="3"/>
  <c r="C107" i="3"/>
  <c r="B107" i="3"/>
  <c r="A107" i="3"/>
  <c r="C106" i="3"/>
  <c r="B106" i="3"/>
  <c r="A106" i="3"/>
  <c r="O105" i="3"/>
  <c r="C105" i="3"/>
  <c r="B105" i="3"/>
  <c r="A105" i="3"/>
  <c r="O104" i="3"/>
  <c r="C104" i="3"/>
  <c r="B104" i="3"/>
  <c r="A104" i="3"/>
  <c r="J103" i="3"/>
  <c r="C103" i="3"/>
  <c r="B103" i="3"/>
  <c r="A103" i="3"/>
  <c r="C102" i="3"/>
  <c r="B102" i="3"/>
  <c r="A102" i="3"/>
  <c r="O101" i="3"/>
  <c r="C101" i="3"/>
  <c r="B101" i="3"/>
  <c r="A101" i="3"/>
  <c r="C100" i="3"/>
  <c r="B100" i="3"/>
  <c r="A100" i="3"/>
  <c r="C99" i="3"/>
  <c r="B99" i="3"/>
  <c r="A99" i="3"/>
  <c r="C98" i="3"/>
  <c r="B98" i="3"/>
  <c r="A98" i="3"/>
  <c r="J97" i="3"/>
  <c r="C97" i="3"/>
  <c r="B97" i="3"/>
  <c r="A97" i="3"/>
  <c r="C96" i="3"/>
  <c r="B96" i="3"/>
  <c r="A96" i="3"/>
  <c r="C95" i="3"/>
  <c r="B95" i="3"/>
  <c r="A95" i="3"/>
  <c r="J94" i="3"/>
  <c r="C94" i="3"/>
  <c r="B94" i="3"/>
  <c r="A94" i="3"/>
  <c r="C93" i="3"/>
  <c r="B93" i="3"/>
  <c r="A93" i="3"/>
  <c r="C92" i="3"/>
  <c r="B92" i="3"/>
  <c r="A92" i="3"/>
  <c r="C91" i="3"/>
  <c r="B91" i="3"/>
  <c r="A91" i="3"/>
  <c r="C90" i="3"/>
  <c r="B90" i="3"/>
  <c r="A90" i="3"/>
  <c r="C89" i="3"/>
  <c r="B89" i="3"/>
  <c r="A89" i="3"/>
  <c r="C88" i="3"/>
  <c r="B88" i="3"/>
  <c r="A88" i="3"/>
  <c r="C87" i="3"/>
  <c r="B87" i="3"/>
  <c r="A87" i="3"/>
  <c r="C86" i="3"/>
  <c r="B86" i="3"/>
  <c r="A86" i="3"/>
  <c r="C85" i="3"/>
  <c r="B85" i="3"/>
  <c r="A85" i="3"/>
  <c r="K84" i="3"/>
  <c r="C84" i="3"/>
  <c r="B84" i="3"/>
  <c r="A84" i="3"/>
  <c r="C83" i="3"/>
  <c r="B83" i="3"/>
  <c r="A83" i="3"/>
  <c r="C82" i="3"/>
  <c r="B82" i="3"/>
  <c r="A82" i="3"/>
  <c r="K81" i="3"/>
  <c r="C81" i="3"/>
  <c r="B81" i="3"/>
  <c r="A81" i="3"/>
  <c r="J80" i="3"/>
  <c r="C80" i="3"/>
  <c r="B80" i="3"/>
  <c r="A80" i="3"/>
  <c r="K79" i="3"/>
  <c r="C79" i="3"/>
  <c r="B79" i="3"/>
  <c r="A79" i="3"/>
  <c r="C78" i="3"/>
  <c r="B78" i="3"/>
  <c r="A78" i="3"/>
  <c r="C77" i="3"/>
  <c r="B77" i="3"/>
  <c r="A77" i="3"/>
  <c r="C76" i="3"/>
  <c r="B76" i="3"/>
  <c r="A76" i="3"/>
  <c r="K75" i="3"/>
  <c r="C75" i="3"/>
  <c r="B75" i="3"/>
  <c r="A75" i="3"/>
  <c r="C74" i="3"/>
  <c r="B74" i="3"/>
  <c r="A74" i="3"/>
  <c r="C73" i="3"/>
  <c r="B73" i="3"/>
  <c r="A73" i="3"/>
  <c r="C72" i="3"/>
  <c r="B72" i="3"/>
  <c r="A72" i="3"/>
  <c r="C71" i="3"/>
  <c r="B71" i="3"/>
  <c r="A71" i="3"/>
  <c r="C70" i="3"/>
  <c r="B70" i="3"/>
  <c r="A70" i="3"/>
  <c r="C69" i="3"/>
  <c r="B69" i="3"/>
  <c r="A69" i="3"/>
  <c r="C68" i="3"/>
  <c r="B68" i="3"/>
  <c r="A68" i="3"/>
  <c r="C67" i="3"/>
  <c r="B67" i="3"/>
  <c r="A67" i="3"/>
  <c r="C66" i="3"/>
  <c r="B66" i="3"/>
  <c r="A66" i="3"/>
  <c r="O65" i="3"/>
  <c r="C65" i="3"/>
  <c r="B65" i="3"/>
  <c r="A65" i="3"/>
  <c r="C64" i="3"/>
  <c r="B64" i="3"/>
  <c r="A64" i="3"/>
  <c r="C63" i="3"/>
  <c r="B63" i="3"/>
  <c r="A63" i="3"/>
  <c r="C62" i="3"/>
  <c r="B62" i="3"/>
  <c r="A62" i="3"/>
  <c r="K61" i="3"/>
  <c r="C61" i="3"/>
  <c r="B61" i="3"/>
  <c r="A61" i="3"/>
  <c r="C60" i="3"/>
  <c r="B60" i="3"/>
  <c r="A60" i="3"/>
  <c r="C59" i="3"/>
  <c r="B59" i="3"/>
  <c r="A59" i="3"/>
  <c r="C58" i="3"/>
  <c r="B58" i="3"/>
  <c r="A58" i="3"/>
  <c r="O57" i="3"/>
  <c r="C57" i="3"/>
  <c r="B57" i="3"/>
  <c r="A57" i="3"/>
  <c r="C56" i="3"/>
  <c r="B56" i="3"/>
  <c r="A56" i="3"/>
  <c r="O55" i="3"/>
  <c r="C55" i="3"/>
  <c r="B55" i="3"/>
  <c r="A55" i="3"/>
  <c r="C54" i="3"/>
  <c r="B54" i="3"/>
  <c r="A54" i="3"/>
  <c r="C53" i="3"/>
  <c r="B53" i="3"/>
  <c r="A53" i="3"/>
  <c r="J52" i="3"/>
  <c r="C52" i="3"/>
  <c r="B52" i="3"/>
  <c r="A52" i="3"/>
  <c r="C51" i="3"/>
  <c r="B51" i="3"/>
  <c r="A51" i="3"/>
  <c r="C50" i="3"/>
  <c r="B50" i="3"/>
  <c r="A50" i="3"/>
  <c r="C49" i="3"/>
  <c r="B49" i="3"/>
  <c r="A49" i="3"/>
  <c r="C48" i="3"/>
  <c r="B48" i="3"/>
  <c r="A48" i="3"/>
  <c r="C47" i="3"/>
  <c r="B47" i="3"/>
  <c r="A47" i="3"/>
  <c r="C46" i="3"/>
  <c r="B46" i="3"/>
  <c r="A46" i="3"/>
  <c r="C45" i="3"/>
  <c r="B45" i="3"/>
  <c r="A45" i="3"/>
  <c r="C44" i="3"/>
  <c r="B44" i="3"/>
  <c r="A44" i="3"/>
  <c r="J43" i="3"/>
  <c r="C43" i="3"/>
  <c r="B43" i="3"/>
  <c r="A43" i="3"/>
  <c r="C42" i="3"/>
  <c r="B42" i="3"/>
  <c r="A42" i="3"/>
  <c r="C41" i="3"/>
  <c r="B41" i="3"/>
  <c r="A41" i="3"/>
  <c r="C40" i="3"/>
  <c r="B40" i="3"/>
  <c r="A40" i="3"/>
  <c r="O39" i="3"/>
  <c r="C39" i="3"/>
  <c r="B39" i="3"/>
  <c r="A39" i="3"/>
  <c r="C38" i="3"/>
  <c r="B38" i="3"/>
  <c r="A38" i="3"/>
  <c r="C37" i="3"/>
  <c r="B37" i="3"/>
  <c r="A37" i="3"/>
  <c r="C36" i="3"/>
  <c r="B36" i="3"/>
  <c r="A36" i="3"/>
  <c r="O35" i="3"/>
  <c r="C35" i="3"/>
  <c r="B35" i="3"/>
  <c r="A35" i="3"/>
  <c r="C34" i="3"/>
  <c r="B34" i="3"/>
  <c r="A34" i="3"/>
  <c r="C33" i="3"/>
  <c r="B33" i="3"/>
  <c r="A33" i="3"/>
  <c r="C32" i="3"/>
  <c r="B32" i="3"/>
  <c r="A32" i="3"/>
  <c r="C31" i="3"/>
  <c r="B31" i="3"/>
  <c r="A31" i="3"/>
  <c r="O30" i="3"/>
  <c r="J30" i="3"/>
  <c r="C30" i="3"/>
  <c r="B30" i="3"/>
  <c r="A30" i="3"/>
  <c r="C29" i="3"/>
  <c r="B29" i="3"/>
  <c r="A29" i="3"/>
  <c r="C28" i="3"/>
  <c r="B28" i="3"/>
  <c r="A28" i="3"/>
  <c r="C27" i="3"/>
  <c r="B27" i="3"/>
  <c r="A27" i="3"/>
  <c r="C26" i="3"/>
  <c r="B26" i="3"/>
  <c r="A26" i="3"/>
  <c r="C25" i="3"/>
  <c r="B25" i="3"/>
  <c r="A25" i="3"/>
  <c r="C24" i="3"/>
  <c r="B24" i="3"/>
  <c r="A24" i="3"/>
  <c r="C23" i="3"/>
  <c r="B23" i="3"/>
  <c r="A23" i="3"/>
  <c r="O22" i="3"/>
  <c r="C22" i="3"/>
  <c r="B22" i="3"/>
  <c r="A22" i="3"/>
  <c r="C21" i="3"/>
  <c r="B21" i="3"/>
  <c r="A21" i="3"/>
  <c r="C20" i="3"/>
  <c r="B20" i="3"/>
  <c r="A20" i="3"/>
  <c r="C19" i="3"/>
  <c r="B19" i="3"/>
  <c r="A19" i="3"/>
  <c r="J18" i="3"/>
  <c r="C18" i="3"/>
  <c r="B18" i="3"/>
  <c r="A18" i="3"/>
  <c r="K17" i="3"/>
  <c r="C17" i="3"/>
  <c r="B17" i="3"/>
  <c r="A17" i="3"/>
  <c r="C16" i="3"/>
  <c r="B16" i="3"/>
  <c r="A16" i="3"/>
  <c r="C15" i="3"/>
  <c r="B15" i="3"/>
  <c r="A15" i="3"/>
  <c r="V14" i="3"/>
  <c r="K14" i="3"/>
  <c r="C14" i="3"/>
  <c r="B14" i="3"/>
  <c r="A14" i="3"/>
  <c r="C13" i="3"/>
  <c r="B13" i="3"/>
  <c r="A13" i="3"/>
  <c r="C12" i="3"/>
  <c r="B12" i="3"/>
  <c r="A12" i="3"/>
  <c r="C11" i="3"/>
  <c r="B11" i="3"/>
  <c r="A11" i="3"/>
  <c r="O10" i="3"/>
  <c r="C10" i="3"/>
  <c r="B10" i="3"/>
  <c r="A10" i="3"/>
  <c r="O9" i="3"/>
  <c r="C9" i="3"/>
  <c r="B9" i="3"/>
  <c r="A9" i="3"/>
  <c r="C8" i="3"/>
  <c r="B8" i="3"/>
  <c r="A8" i="3"/>
  <c r="C7" i="3"/>
  <c r="B7" i="3"/>
  <c r="A7" i="3"/>
  <c r="K6" i="3"/>
  <c r="C6" i="3"/>
  <c r="B6" i="3"/>
  <c r="A6" i="3"/>
  <c r="J5" i="3"/>
  <c r="C5" i="3"/>
  <c r="B5" i="3"/>
  <c r="A5" i="3"/>
  <c r="C4" i="3"/>
  <c r="B4" i="3"/>
  <c r="A4" i="3"/>
  <c r="C3" i="3"/>
  <c r="B3" i="3"/>
  <c r="A3" i="3"/>
  <c r="R30" i="27"/>
  <c r="L30" i="27" s="1" a="1"/>
  <c r="L30" i="27" s="1"/>
  <c r="R29" i="27"/>
  <c r="J29" i="27" s="1" a="1"/>
  <c r="J29" i="27" s="1"/>
  <c r="R28" i="27"/>
  <c r="A28" i="27" s="1"/>
  <c r="R22" i="27"/>
  <c r="M22" i="27" s="1" a="1"/>
  <c r="M22" i="27" s="1"/>
  <c r="R21" i="27"/>
  <c r="J21" i="27" s="1" a="1"/>
  <c r="J21" i="27" s="1"/>
  <c r="R20" i="27"/>
  <c r="A20" i="27" s="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D456" i="1"/>
  <c r="A456" i="1"/>
  <c r="D455" i="1"/>
  <c r="A455" i="1"/>
  <c r="D454" i="1"/>
  <c r="A454" i="1"/>
  <c r="D453" i="1"/>
  <c r="A453" i="1"/>
  <c r="D452" i="1"/>
  <c r="A452" i="1"/>
  <c r="D451" i="1"/>
  <c r="A451" i="1"/>
  <c r="D450" i="1"/>
  <c r="A450" i="1"/>
  <c r="D449" i="1"/>
  <c r="A449" i="1"/>
  <c r="D448" i="1"/>
  <c r="A448" i="1"/>
  <c r="D447" i="1"/>
  <c r="A447" i="1"/>
  <c r="D446" i="1"/>
  <c r="A446" i="1"/>
  <c r="D445" i="1"/>
  <c r="A445" i="1"/>
  <c r="D444" i="1"/>
  <c r="A444" i="1"/>
  <c r="D443" i="1"/>
  <c r="A443" i="1"/>
  <c r="D442" i="1"/>
  <c r="A442" i="1"/>
  <c r="D441" i="1"/>
  <c r="A441" i="1"/>
  <c r="D440" i="1"/>
  <c r="A440" i="1"/>
  <c r="D439" i="1"/>
  <c r="A439" i="1"/>
  <c r="D438" i="1"/>
  <c r="A438" i="1"/>
  <c r="D437" i="1"/>
  <c r="A437" i="1"/>
  <c r="D436" i="1"/>
  <c r="A436" i="1"/>
  <c r="D435" i="1"/>
  <c r="A435" i="1"/>
  <c r="D434" i="1"/>
  <c r="A434" i="1"/>
  <c r="D433" i="1"/>
  <c r="A433" i="1"/>
  <c r="D432" i="1"/>
  <c r="A432" i="1"/>
  <c r="D431" i="1"/>
  <c r="A431" i="1"/>
  <c r="D430" i="1"/>
  <c r="A430" i="1"/>
  <c r="D429" i="1"/>
  <c r="A429" i="1"/>
  <c r="D428" i="1"/>
  <c r="A428" i="1"/>
  <c r="D427" i="1"/>
  <c r="A427" i="1"/>
  <c r="D426" i="1"/>
  <c r="A426" i="1"/>
  <c r="D425" i="1"/>
  <c r="A425" i="1"/>
  <c r="D424" i="1"/>
  <c r="A424" i="1"/>
  <c r="D423" i="1"/>
  <c r="A423" i="1"/>
  <c r="D422" i="1"/>
  <c r="A422" i="1"/>
  <c r="D421" i="1"/>
  <c r="A421" i="1"/>
  <c r="D420" i="1"/>
  <c r="A420" i="1"/>
  <c r="D419" i="1"/>
  <c r="A419" i="1"/>
  <c r="D418" i="1"/>
  <c r="A418" i="1"/>
  <c r="D417" i="1"/>
  <c r="A417" i="1"/>
  <c r="D416" i="1"/>
  <c r="A416" i="1"/>
  <c r="D415" i="1"/>
  <c r="A415" i="1"/>
  <c r="D414" i="1"/>
  <c r="A414" i="1"/>
  <c r="D413" i="1"/>
  <c r="A413" i="1"/>
  <c r="D412" i="1"/>
  <c r="A412" i="1"/>
  <c r="D411" i="1"/>
  <c r="A411" i="1"/>
  <c r="D410" i="1"/>
  <c r="A410" i="1"/>
  <c r="D409" i="1"/>
  <c r="A409" i="1"/>
  <c r="D408" i="1"/>
  <c r="A408" i="1"/>
  <c r="D407" i="1"/>
  <c r="A407" i="1"/>
  <c r="D406" i="1"/>
  <c r="A406" i="1"/>
  <c r="D405" i="1"/>
  <c r="A405" i="1"/>
  <c r="D404" i="1"/>
  <c r="A404" i="1"/>
  <c r="D403" i="1"/>
  <c r="A403" i="1"/>
  <c r="D402" i="1"/>
  <c r="A402" i="1"/>
  <c r="D401" i="1"/>
  <c r="A401" i="1"/>
  <c r="D400" i="1"/>
  <c r="A400" i="1"/>
  <c r="D399" i="1"/>
  <c r="A399" i="1"/>
  <c r="D398" i="1"/>
  <c r="A398" i="1"/>
  <c r="D397" i="1"/>
  <c r="A397" i="1"/>
  <c r="D396" i="1"/>
  <c r="A396" i="1"/>
  <c r="D395" i="1"/>
  <c r="A395" i="1"/>
  <c r="D394" i="1"/>
  <c r="A394" i="1"/>
  <c r="D393" i="1"/>
  <c r="A393" i="1"/>
  <c r="D392" i="1"/>
  <c r="A392" i="1"/>
  <c r="D391" i="1"/>
  <c r="A391" i="1"/>
  <c r="D390" i="1"/>
  <c r="A390" i="1"/>
  <c r="D389" i="1"/>
  <c r="A389" i="1"/>
  <c r="D388" i="1"/>
  <c r="A388" i="1"/>
  <c r="D387" i="1"/>
  <c r="A387" i="1"/>
  <c r="D386" i="1"/>
  <c r="A386" i="1"/>
  <c r="D385" i="1"/>
  <c r="A385" i="1"/>
  <c r="D384" i="1"/>
  <c r="A384" i="1"/>
  <c r="D383" i="1"/>
  <c r="A383" i="1"/>
  <c r="D382" i="1"/>
  <c r="A382" i="1"/>
  <c r="D381" i="1"/>
  <c r="A381" i="1"/>
  <c r="D380" i="1"/>
  <c r="A380" i="1"/>
  <c r="D379" i="1"/>
  <c r="A379" i="1"/>
  <c r="D378" i="1"/>
  <c r="A378" i="1"/>
  <c r="D377" i="1"/>
  <c r="A377" i="1"/>
  <c r="D376" i="1"/>
  <c r="A376" i="1"/>
  <c r="D375" i="1"/>
  <c r="A375" i="1"/>
  <c r="D374" i="1"/>
  <c r="A374" i="1"/>
  <c r="D373" i="1"/>
  <c r="A373" i="1"/>
  <c r="D372" i="1"/>
  <c r="A372" i="1"/>
  <c r="D371" i="1"/>
  <c r="A371" i="1"/>
  <c r="D370" i="1"/>
  <c r="A370" i="1"/>
  <c r="D369" i="1"/>
  <c r="A369" i="1"/>
  <c r="D368" i="1"/>
  <c r="A368" i="1"/>
  <c r="D367" i="1"/>
  <c r="A367" i="1"/>
  <c r="D366" i="1"/>
  <c r="A366" i="1"/>
  <c r="D365" i="1"/>
  <c r="A365" i="1"/>
  <c r="D364" i="1"/>
  <c r="A364" i="1"/>
  <c r="D363" i="1"/>
  <c r="A363" i="1"/>
  <c r="D362" i="1"/>
  <c r="A362" i="1"/>
  <c r="D361" i="1"/>
  <c r="A361" i="1"/>
  <c r="D360" i="1"/>
  <c r="A360" i="1"/>
  <c r="D359" i="1"/>
  <c r="A359" i="1"/>
  <c r="D358" i="1"/>
  <c r="A358" i="1"/>
  <c r="D357" i="1"/>
  <c r="A357" i="1"/>
  <c r="D356" i="1"/>
  <c r="A356" i="1"/>
  <c r="D355" i="1"/>
  <c r="A355" i="1"/>
  <c r="D354" i="1"/>
  <c r="A354" i="1"/>
  <c r="D353" i="1"/>
  <c r="A353" i="1"/>
  <c r="D352" i="1"/>
  <c r="A352" i="1"/>
  <c r="D351" i="1"/>
  <c r="A351" i="1"/>
  <c r="D350" i="1"/>
  <c r="A350" i="1"/>
  <c r="D349" i="1"/>
  <c r="A349" i="1"/>
  <c r="D348" i="1"/>
  <c r="A348" i="1"/>
  <c r="D347" i="1"/>
  <c r="A347" i="1"/>
  <c r="D346" i="1"/>
  <c r="A346" i="1"/>
  <c r="D345" i="1"/>
  <c r="A345" i="1"/>
  <c r="D344" i="1"/>
  <c r="A344" i="1"/>
  <c r="D343" i="1"/>
  <c r="A343" i="1"/>
  <c r="D342" i="1"/>
  <c r="A342" i="1"/>
  <c r="D341" i="1"/>
  <c r="A341" i="1"/>
  <c r="D340" i="1"/>
  <c r="A340" i="1"/>
  <c r="D339" i="1"/>
  <c r="A339" i="1"/>
  <c r="D338" i="1"/>
  <c r="A338" i="1"/>
  <c r="D337" i="1"/>
  <c r="A337" i="1"/>
  <c r="D336" i="1"/>
  <c r="A336" i="1"/>
  <c r="D335" i="1"/>
  <c r="A335" i="1"/>
  <c r="D334" i="1"/>
  <c r="A334" i="1"/>
  <c r="D333" i="1"/>
  <c r="A333" i="1"/>
  <c r="D332" i="1"/>
  <c r="A332" i="1"/>
  <c r="D331" i="1"/>
  <c r="A331" i="1"/>
  <c r="D330" i="1"/>
  <c r="A330" i="1"/>
  <c r="D329" i="1"/>
  <c r="A329" i="1"/>
  <c r="D328" i="1"/>
  <c r="A328" i="1"/>
  <c r="D327" i="1"/>
  <c r="A327" i="1"/>
  <c r="D326" i="1"/>
  <c r="A326" i="1"/>
  <c r="D325" i="1"/>
  <c r="A325" i="1"/>
  <c r="D324" i="1"/>
  <c r="A324" i="1"/>
  <c r="D323" i="1"/>
  <c r="A323" i="1"/>
  <c r="D322" i="1"/>
  <c r="A322" i="1"/>
  <c r="D321" i="1"/>
  <c r="A321" i="1"/>
  <c r="D320" i="1"/>
  <c r="A320" i="1"/>
  <c r="D319" i="1"/>
  <c r="A319" i="1"/>
  <c r="D318" i="1"/>
  <c r="A318" i="1"/>
  <c r="D317" i="1"/>
  <c r="A317" i="1"/>
  <c r="D316" i="1"/>
  <c r="A316" i="1"/>
  <c r="D315" i="1"/>
  <c r="A315" i="1"/>
  <c r="D314" i="1"/>
  <c r="A314" i="1"/>
  <c r="D313" i="1"/>
  <c r="A313" i="1"/>
  <c r="D312" i="1"/>
  <c r="A312" i="1"/>
  <c r="D311" i="1"/>
  <c r="A311" i="1"/>
  <c r="D310" i="1"/>
  <c r="A310" i="1"/>
  <c r="D309" i="1"/>
  <c r="A309" i="1"/>
  <c r="D308" i="1"/>
  <c r="A308" i="1"/>
  <c r="D307" i="1"/>
  <c r="A307" i="1"/>
  <c r="D306" i="1"/>
  <c r="A306" i="1"/>
  <c r="D305" i="1"/>
  <c r="A305" i="1"/>
  <c r="D304" i="1"/>
  <c r="A304" i="1"/>
  <c r="D303" i="1"/>
  <c r="A303" i="1"/>
  <c r="D302" i="1"/>
  <c r="A302" i="1"/>
  <c r="D301" i="1"/>
  <c r="A301" i="1"/>
  <c r="D300" i="1"/>
  <c r="A300" i="1"/>
  <c r="D299" i="1"/>
  <c r="A299" i="1"/>
  <c r="D298" i="1"/>
  <c r="A298" i="1"/>
  <c r="D297" i="1"/>
  <c r="A297" i="1"/>
  <c r="D296" i="1"/>
  <c r="A296" i="1"/>
  <c r="D295" i="1"/>
  <c r="A295" i="1"/>
  <c r="D294" i="1"/>
  <c r="A294" i="1"/>
  <c r="D293" i="1"/>
  <c r="A293" i="1"/>
  <c r="D292" i="1"/>
  <c r="A292" i="1"/>
  <c r="D291" i="1"/>
  <c r="A291" i="1"/>
  <c r="D290" i="1"/>
  <c r="A290" i="1"/>
  <c r="D289" i="1"/>
  <c r="A289" i="1"/>
  <c r="D288" i="1"/>
  <c r="A288" i="1"/>
  <c r="D287" i="1"/>
  <c r="A287" i="1"/>
  <c r="D286" i="1"/>
  <c r="A286" i="1"/>
  <c r="D285" i="1"/>
  <c r="A285" i="1"/>
  <c r="D284" i="1"/>
  <c r="A284" i="1"/>
  <c r="D283" i="1"/>
  <c r="A283" i="1"/>
  <c r="D282" i="1"/>
  <c r="A282" i="1"/>
  <c r="D281" i="1"/>
  <c r="A281" i="1"/>
  <c r="D280" i="1"/>
  <c r="A280" i="1"/>
  <c r="D279" i="1"/>
  <c r="A279" i="1"/>
  <c r="A278" i="1"/>
  <c r="D277" i="1"/>
  <c r="A277" i="1"/>
  <c r="D276" i="1"/>
  <c r="A276" i="1"/>
  <c r="D275" i="1"/>
  <c r="A275" i="1"/>
  <c r="D274" i="1"/>
  <c r="A274" i="1"/>
  <c r="D273" i="1"/>
  <c r="A273" i="1"/>
  <c r="D272" i="1"/>
  <c r="A272" i="1"/>
  <c r="D271" i="1"/>
  <c r="A271" i="1"/>
  <c r="D270" i="1"/>
  <c r="A270" i="1"/>
  <c r="D269" i="1"/>
  <c r="A269" i="1"/>
  <c r="D268" i="1"/>
  <c r="A268" i="1"/>
  <c r="D267" i="1"/>
  <c r="A267" i="1"/>
  <c r="D266" i="1"/>
  <c r="A266" i="1"/>
  <c r="D265" i="1"/>
  <c r="A265" i="1"/>
  <c r="D264" i="1"/>
  <c r="A264" i="1"/>
  <c r="D263" i="1"/>
  <c r="A263" i="1"/>
  <c r="D262" i="1"/>
  <c r="A262" i="1"/>
  <c r="D261" i="1"/>
  <c r="A261" i="1"/>
  <c r="D260" i="1"/>
  <c r="A260" i="1"/>
  <c r="D259" i="1"/>
  <c r="A259" i="1"/>
  <c r="D258" i="1"/>
  <c r="A258" i="1"/>
  <c r="D257" i="1"/>
  <c r="A257" i="1"/>
  <c r="D256" i="1"/>
  <c r="A256" i="1"/>
  <c r="D255" i="1"/>
  <c r="A255" i="1"/>
  <c r="D254" i="1"/>
  <c r="A254" i="1"/>
  <c r="D253" i="1"/>
  <c r="A253" i="1"/>
  <c r="D252" i="1"/>
  <c r="A252" i="1"/>
  <c r="D251" i="1"/>
  <c r="A251" i="1"/>
  <c r="D250" i="1"/>
  <c r="A250" i="1"/>
  <c r="D249" i="1"/>
  <c r="A249" i="1"/>
  <c r="D248" i="1"/>
  <c r="A248" i="1"/>
  <c r="D247" i="1"/>
  <c r="A247" i="1"/>
  <c r="D246" i="1"/>
  <c r="A246" i="1"/>
  <c r="D245" i="1"/>
  <c r="A245" i="1"/>
  <c r="D244" i="1"/>
  <c r="A244" i="1"/>
  <c r="D243" i="1"/>
  <c r="A243" i="1"/>
  <c r="D242" i="1"/>
  <c r="A242" i="1"/>
  <c r="D241" i="1"/>
  <c r="A241" i="1"/>
  <c r="D240" i="1"/>
  <c r="A240" i="1"/>
  <c r="D239" i="1"/>
  <c r="A239" i="1"/>
  <c r="D238" i="1"/>
  <c r="A238" i="1"/>
  <c r="D237" i="1"/>
  <c r="A237" i="1"/>
  <c r="D236" i="1"/>
  <c r="A236" i="1"/>
  <c r="D235" i="1"/>
  <c r="A235" i="1"/>
  <c r="D234" i="1"/>
  <c r="A234" i="1"/>
  <c r="D233" i="1"/>
  <c r="A233" i="1"/>
  <c r="D232" i="1"/>
  <c r="A232" i="1"/>
  <c r="D231" i="1"/>
  <c r="A231" i="1"/>
  <c r="D230" i="1"/>
  <c r="A230" i="1"/>
  <c r="D229" i="1"/>
  <c r="A229" i="1"/>
  <c r="D228" i="1"/>
  <c r="A228" i="1"/>
  <c r="D227" i="1"/>
  <c r="A227" i="1"/>
  <c r="D226" i="1"/>
  <c r="A226" i="1"/>
  <c r="D225" i="1"/>
  <c r="A225" i="1"/>
  <c r="D224" i="1"/>
  <c r="A224" i="1"/>
  <c r="D223" i="1"/>
  <c r="A223" i="1"/>
  <c r="D222" i="1"/>
  <c r="A222" i="1"/>
  <c r="D221" i="1"/>
  <c r="A221" i="1"/>
  <c r="D220" i="1"/>
  <c r="A220" i="1"/>
  <c r="D219" i="1"/>
  <c r="A219" i="1"/>
  <c r="D218" i="1"/>
  <c r="A218" i="1"/>
  <c r="D217" i="1"/>
  <c r="A217" i="1"/>
  <c r="D216" i="1"/>
  <c r="A216" i="1"/>
  <c r="D215" i="1"/>
  <c r="A215" i="1"/>
  <c r="D214" i="1"/>
  <c r="A214" i="1"/>
  <c r="D213" i="1"/>
  <c r="A213" i="1"/>
  <c r="D212" i="1"/>
  <c r="A212" i="1"/>
  <c r="D211" i="1"/>
  <c r="A211" i="1"/>
  <c r="D210" i="1"/>
  <c r="A210" i="1"/>
  <c r="D209" i="1"/>
  <c r="A209" i="1"/>
  <c r="D208" i="1"/>
  <c r="A208" i="1"/>
  <c r="D207" i="1"/>
  <c r="A207" i="1"/>
  <c r="D206" i="1"/>
  <c r="A206" i="1"/>
  <c r="D205" i="1"/>
  <c r="A205" i="1"/>
  <c r="D204" i="1"/>
  <c r="A204" i="1"/>
  <c r="D203" i="1"/>
  <c r="A203" i="1"/>
  <c r="D202" i="1"/>
  <c r="A202" i="1"/>
  <c r="D201" i="1"/>
  <c r="A201" i="1"/>
  <c r="D200" i="1"/>
  <c r="A200" i="1"/>
  <c r="D199" i="1"/>
  <c r="A199" i="1"/>
  <c r="D198" i="1"/>
  <c r="A198" i="1"/>
  <c r="D197" i="1"/>
  <c r="A197" i="1"/>
  <c r="D196" i="1"/>
  <c r="A196" i="1"/>
  <c r="D195" i="1"/>
  <c r="A195" i="1"/>
  <c r="D194" i="1"/>
  <c r="A194" i="1"/>
  <c r="D193" i="1"/>
  <c r="A193" i="1"/>
  <c r="D192" i="1"/>
  <c r="A192" i="1"/>
  <c r="D191" i="1"/>
  <c r="A191" i="1"/>
  <c r="D190" i="1"/>
  <c r="A190" i="1"/>
  <c r="D189" i="1"/>
  <c r="A189" i="1"/>
  <c r="D188" i="1"/>
  <c r="A188" i="1"/>
  <c r="D187" i="1"/>
  <c r="A187" i="1"/>
  <c r="D186" i="1"/>
  <c r="A186" i="1"/>
  <c r="D185" i="1"/>
  <c r="A185" i="1"/>
  <c r="D184" i="1"/>
  <c r="A184" i="1"/>
  <c r="D183" i="1"/>
  <c r="A183" i="1"/>
  <c r="D182" i="1"/>
  <c r="A182" i="1"/>
  <c r="D181" i="1"/>
  <c r="A181" i="1"/>
  <c r="D180" i="1"/>
  <c r="A180" i="1"/>
  <c r="D179" i="1"/>
  <c r="A179" i="1"/>
  <c r="D178" i="1"/>
  <c r="A178" i="1"/>
  <c r="D177" i="1"/>
  <c r="A177" i="1"/>
  <c r="D176" i="1"/>
  <c r="A176" i="1"/>
  <c r="D175" i="1"/>
  <c r="A175" i="1"/>
  <c r="D174" i="1"/>
  <c r="A174" i="1"/>
  <c r="D173" i="1"/>
  <c r="A173" i="1"/>
  <c r="D172" i="1"/>
  <c r="A172" i="1"/>
  <c r="D171" i="1"/>
  <c r="A171" i="1"/>
  <c r="D170" i="1"/>
  <c r="A170" i="1"/>
  <c r="D169" i="1"/>
  <c r="A169" i="1"/>
  <c r="D168" i="1"/>
  <c r="A168" i="1"/>
  <c r="D167" i="1"/>
  <c r="A167" i="1"/>
  <c r="D166" i="1"/>
  <c r="A166" i="1"/>
  <c r="D165" i="1"/>
  <c r="A165" i="1"/>
  <c r="D164" i="1"/>
  <c r="A164" i="1"/>
  <c r="D163" i="1"/>
  <c r="A163" i="1"/>
  <c r="D162" i="1"/>
  <c r="A162" i="1"/>
  <c r="D161" i="1"/>
  <c r="A161" i="1"/>
  <c r="D160" i="1"/>
  <c r="A160" i="1"/>
  <c r="D159" i="1"/>
  <c r="A159" i="1"/>
  <c r="D158" i="1"/>
  <c r="A158" i="1"/>
  <c r="D157" i="1"/>
  <c r="A157" i="1"/>
  <c r="D156" i="1"/>
  <c r="A156" i="1"/>
  <c r="D155" i="1"/>
  <c r="A155" i="1"/>
  <c r="D154" i="1"/>
  <c r="A154" i="1"/>
  <c r="D153" i="1"/>
  <c r="A153" i="1"/>
  <c r="D152" i="1"/>
  <c r="A152" i="1"/>
  <c r="D151" i="1"/>
  <c r="A151" i="1"/>
  <c r="D150" i="1"/>
  <c r="A150" i="1"/>
  <c r="D149" i="1"/>
  <c r="A149" i="1"/>
  <c r="D148" i="1"/>
  <c r="A148" i="1"/>
  <c r="D147" i="1"/>
  <c r="A147" i="1"/>
  <c r="D146" i="1"/>
  <c r="A146" i="1"/>
  <c r="D145" i="1"/>
  <c r="A145" i="1"/>
  <c r="D144" i="1"/>
  <c r="A144" i="1"/>
  <c r="D143" i="1"/>
  <c r="A143" i="1"/>
  <c r="D142" i="1"/>
  <c r="A142" i="1"/>
  <c r="D141" i="1"/>
  <c r="A141" i="1"/>
  <c r="D140" i="1"/>
  <c r="A140" i="1"/>
  <c r="D139" i="1"/>
  <c r="A139" i="1"/>
  <c r="D138" i="1"/>
  <c r="A138" i="1"/>
  <c r="D137" i="1"/>
  <c r="A137" i="1"/>
  <c r="D136" i="1"/>
  <c r="A136" i="1"/>
  <c r="D135" i="1"/>
  <c r="A135" i="1"/>
  <c r="D134" i="1"/>
  <c r="A134" i="1"/>
  <c r="D133" i="1"/>
  <c r="A133" i="1"/>
  <c r="D132" i="1"/>
  <c r="A132" i="1"/>
  <c r="D131" i="1"/>
  <c r="A131" i="1"/>
  <c r="D130" i="1"/>
  <c r="A130" i="1"/>
  <c r="D129" i="1"/>
  <c r="A129" i="1"/>
  <c r="D128" i="1"/>
  <c r="A128" i="1"/>
  <c r="D127" i="1"/>
  <c r="A127" i="1"/>
  <c r="D126" i="1"/>
  <c r="A126" i="1"/>
  <c r="D125" i="1"/>
  <c r="A125" i="1"/>
  <c r="D124" i="1"/>
  <c r="A124" i="1"/>
  <c r="D123" i="1"/>
  <c r="A123" i="1"/>
  <c r="D122" i="1"/>
  <c r="A122" i="1"/>
  <c r="D121" i="1"/>
  <c r="A121" i="1"/>
  <c r="D120" i="1"/>
  <c r="A120" i="1"/>
  <c r="D119" i="1"/>
  <c r="A119" i="1"/>
  <c r="D118" i="1"/>
  <c r="A118" i="1"/>
  <c r="D117" i="1"/>
  <c r="A117" i="1"/>
  <c r="D116" i="1"/>
  <c r="A116" i="1"/>
  <c r="D115" i="1"/>
  <c r="A115" i="1"/>
  <c r="D114" i="1"/>
  <c r="A114" i="1"/>
  <c r="D113" i="1"/>
  <c r="A113" i="1"/>
  <c r="D112" i="1"/>
  <c r="A112" i="1"/>
  <c r="D111" i="1"/>
  <c r="A111" i="1"/>
  <c r="D110" i="1"/>
  <c r="A110" i="1"/>
  <c r="D109" i="1"/>
  <c r="A109" i="1"/>
  <c r="D108" i="1"/>
  <c r="A108" i="1"/>
  <c r="D107" i="1"/>
  <c r="A107" i="1"/>
  <c r="D106" i="1"/>
  <c r="A106" i="1"/>
  <c r="D105" i="1"/>
  <c r="A105" i="1"/>
  <c r="D104" i="1"/>
  <c r="A104" i="1"/>
  <c r="D103" i="1"/>
  <c r="A103" i="1"/>
  <c r="D102" i="1"/>
  <c r="A102" i="1"/>
  <c r="D101" i="1"/>
  <c r="A101" i="1"/>
  <c r="D100" i="1"/>
  <c r="A100" i="1"/>
  <c r="D99" i="1"/>
  <c r="A99" i="1"/>
  <c r="D98" i="1"/>
  <c r="A98" i="1"/>
  <c r="D97" i="1"/>
  <c r="A97" i="1"/>
  <c r="D96" i="1"/>
  <c r="A96" i="1"/>
  <c r="D95" i="1"/>
  <c r="A95" i="1"/>
  <c r="D94" i="1"/>
  <c r="A94" i="1"/>
  <c r="D93" i="1"/>
  <c r="A93" i="1"/>
  <c r="D92" i="1"/>
  <c r="A92" i="1"/>
  <c r="D91" i="1"/>
  <c r="A91" i="1"/>
  <c r="D90" i="1"/>
  <c r="A90" i="1"/>
  <c r="D89" i="1"/>
  <c r="A89" i="1"/>
  <c r="D88" i="1"/>
  <c r="A88" i="1"/>
  <c r="D87" i="1"/>
  <c r="A87" i="1"/>
  <c r="D86" i="1"/>
  <c r="A86" i="1"/>
  <c r="D85" i="1"/>
  <c r="A85" i="1"/>
  <c r="D84" i="1"/>
  <c r="A84" i="1"/>
  <c r="D83" i="1"/>
  <c r="A83" i="1"/>
  <c r="D82" i="1"/>
  <c r="A82" i="1"/>
  <c r="D81" i="1"/>
  <c r="A81" i="1"/>
  <c r="D80" i="1"/>
  <c r="A80" i="1"/>
  <c r="D79" i="1"/>
  <c r="A79" i="1"/>
  <c r="D78" i="1"/>
  <c r="A78" i="1"/>
  <c r="D77" i="1"/>
  <c r="A77" i="1"/>
  <c r="D76" i="1"/>
  <c r="A76" i="1"/>
  <c r="D75" i="1"/>
  <c r="A75" i="1"/>
  <c r="D74" i="1"/>
  <c r="A74" i="1"/>
  <c r="D73" i="1"/>
  <c r="A73" i="1"/>
  <c r="D72" i="1"/>
  <c r="A72" i="1"/>
  <c r="D71" i="1"/>
  <c r="A71" i="1"/>
  <c r="D70" i="1"/>
  <c r="A70" i="1"/>
  <c r="D69" i="1"/>
  <c r="A69" i="1"/>
  <c r="D68" i="1"/>
  <c r="A68" i="1"/>
  <c r="D67" i="1"/>
  <c r="A67" i="1"/>
  <c r="D66" i="1"/>
  <c r="A66" i="1"/>
  <c r="D65" i="1"/>
  <c r="A65" i="1"/>
  <c r="D64" i="1"/>
  <c r="A64" i="1"/>
  <c r="D63" i="1"/>
  <c r="A63" i="1"/>
  <c r="D62" i="1"/>
  <c r="A62" i="1"/>
  <c r="D61" i="1"/>
  <c r="A61" i="1"/>
  <c r="D60" i="1"/>
  <c r="A60" i="1"/>
  <c r="D59" i="1"/>
  <c r="A59" i="1"/>
  <c r="D58" i="1"/>
  <c r="A58" i="1"/>
  <c r="D57" i="1"/>
  <c r="A57" i="1"/>
  <c r="D56" i="1"/>
  <c r="A56" i="1"/>
  <c r="D55" i="1"/>
  <c r="A55" i="1"/>
  <c r="D54" i="1"/>
  <c r="A54" i="1"/>
  <c r="D53" i="1"/>
  <c r="A53" i="1"/>
  <c r="D52" i="1"/>
  <c r="A52" i="1"/>
  <c r="D51" i="1"/>
  <c r="A51" i="1"/>
  <c r="D50" i="1"/>
  <c r="A50" i="1"/>
  <c r="D49" i="1"/>
  <c r="A49" i="1"/>
  <c r="D48" i="1"/>
  <c r="A48" i="1"/>
  <c r="D47" i="1"/>
  <c r="A47" i="1"/>
  <c r="D46" i="1"/>
  <c r="A46" i="1"/>
  <c r="D45" i="1"/>
  <c r="A45" i="1"/>
  <c r="D44" i="1"/>
  <c r="A44" i="1"/>
  <c r="D43" i="1"/>
  <c r="A43" i="1"/>
  <c r="D42" i="1"/>
  <c r="A42" i="1"/>
  <c r="D41" i="1"/>
  <c r="A41" i="1"/>
  <c r="D40" i="1"/>
  <c r="A40" i="1"/>
  <c r="D39" i="1"/>
  <c r="A39" i="1"/>
  <c r="D38" i="1"/>
  <c r="A38" i="1"/>
  <c r="D37" i="1"/>
  <c r="A37" i="1"/>
  <c r="D36" i="1"/>
  <c r="A36" i="1"/>
  <c r="D35" i="1"/>
  <c r="A35" i="1"/>
  <c r="D34" i="1"/>
  <c r="A34" i="1"/>
  <c r="D33" i="1"/>
  <c r="A33" i="1"/>
  <c r="D32" i="1"/>
  <c r="A32" i="1"/>
  <c r="D31" i="1"/>
  <c r="A31" i="1"/>
  <c r="D30" i="1"/>
  <c r="A30" i="1"/>
  <c r="D29" i="1"/>
  <c r="A29" i="1"/>
  <c r="D28" i="1"/>
  <c r="A28" i="1"/>
  <c r="D27" i="1"/>
  <c r="A27" i="1"/>
  <c r="D26" i="1"/>
  <c r="A26" i="1"/>
  <c r="D25" i="1"/>
  <c r="A25" i="1"/>
  <c r="D24" i="1"/>
  <c r="A24" i="1"/>
  <c r="D23" i="1"/>
  <c r="A23" i="1"/>
  <c r="D22" i="1"/>
  <c r="A22" i="1"/>
  <c r="D21" i="1"/>
  <c r="A21" i="1"/>
  <c r="D20" i="1"/>
  <c r="A20" i="1"/>
  <c r="D19" i="1"/>
  <c r="A19" i="1"/>
  <c r="D18" i="1"/>
  <c r="A18" i="1"/>
  <c r="D17" i="1"/>
  <c r="A17" i="1"/>
  <c r="D16" i="1"/>
  <c r="A16" i="1"/>
  <c r="D15" i="1"/>
  <c r="A15" i="1"/>
  <c r="D14" i="1"/>
  <c r="A14" i="1"/>
  <c r="D13" i="1"/>
  <c r="A13" i="1"/>
  <c r="D12" i="1"/>
  <c r="A12" i="1"/>
  <c r="D11" i="1"/>
  <c r="A11" i="1"/>
  <c r="D10" i="1"/>
  <c r="A10" i="1"/>
  <c r="D9" i="1"/>
  <c r="A9" i="1"/>
  <c r="D8" i="1"/>
  <c r="A8" i="1"/>
  <c r="D7" i="1"/>
  <c r="A7" i="1"/>
  <c r="D6" i="1"/>
  <c r="A6" i="1"/>
  <c r="C56" i="14"/>
  <c r="J41" i="16" a="1"/>
  <c r="H39" i="16" a="1"/>
  <c r="H45" i="16" a="1"/>
  <c r="J43" i="16" a="1"/>
  <c r="D46" i="16" a="1"/>
  <c r="I44" i="16" a="1"/>
  <c r="J39" i="16" a="1"/>
  <c r="H40" i="16" a="1"/>
  <c r="H35" i="16" a="1"/>
  <c r="D40" i="16" a="1"/>
  <c r="H46" i="16" a="1"/>
  <c r="I41" i="16" a="1"/>
  <c r="D43" i="16" a="1"/>
  <c r="J46" i="16" a="1"/>
  <c r="I36" i="16" a="1"/>
  <c r="J34" i="16" a="1"/>
  <c r="H34" i="16" a="1"/>
  <c r="D35" i="16" a="1"/>
  <c r="H44" i="16" a="1"/>
  <c r="D37" i="16" a="1"/>
  <c r="J35" i="16" a="1"/>
  <c r="J40" i="16" a="1"/>
  <c r="D34" i="16" a="1"/>
  <c r="D41" i="16" a="1"/>
  <c r="J37" i="16" a="1"/>
  <c r="D45" i="16" a="1"/>
  <c r="D38" i="16" a="1"/>
  <c r="H42" i="16" a="1"/>
  <c r="I38" i="16" a="1"/>
  <c r="H38" i="16" a="1"/>
  <c r="I37" i="16" a="1"/>
  <c r="D42" i="16" a="1"/>
  <c r="H43" i="16" a="1"/>
  <c r="D39" i="16" a="1"/>
  <c r="I42" i="16" a="1"/>
  <c r="J38" i="16" a="1"/>
  <c r="I40" i="16" a="1"/>
  <c r="I45" i="16" a="1"/>
  <c r="I46" i="16" a="1"/>
  <c r="J44" i="16" a="1"/>
  <c r="I34" i="16" a="1"/>
  <c r="J42" i="16" a="1"/>
  <c r="I35" i="16" a="1"/>
  <c r="J36" i="16" a="1"/>
  <c r="I43" i="16" a="1"/>
  <c r="J45" i="16" a="1"/>
  <c r="I39" i="16" a="1"/>
  <c r="H36" i="16" a="1"/>
  <c r="D44" i="16" a="1"/>
  <c r="H41" i="16" a="1"/>
  <c r="D36" i="16" a="1"/>
  <c r="H37" i="16" a="1"/>
  <c r="AD17" i="22" l="1"/>
  <c r="Q17" i="22"/>
  <c r="S17" i="22" s="1"/>
  <c r="Y120" i="22"/>
  <c r="Q311" i="22"/>
  <c r="AC311" i="22"/>
  <c r="M311" i="22"/>
  <c r="AA311" i="22"/>
  <c r="K311" i="22"/>
  <c r="Y311" i="22"/>
  <c r="I311" i="22"/>
  <c r="X311" i="22"/>
  <c r="S313" i="22"/>
  <c r="AE313" i="22"/>
  <c r="O313" i="22"/>
  <c r="AC313" i="22"/>
  <c r="M313" i="22"/>
  <c r="AA313" i="22"/>
  <c r="K313" i="22"/>
  <c r="X313" i="22"/>
  <c r="F321" i="22"/>
  <c r="Z321" i="22"/>
  <c r="AC325" i="22"/>
  <c r="M325" i="22"/>
  <c r="Q325" i="22"/>
  <c r="AD325" i="22"/>
  <c r="L325" i="22"/>
  <c r="N325" i="22" s="1"/>
  <c r="AA325" i="22"/>
  <c r="J325" i="22"/>
  <c r="Y325" i="22"/>
  <c r="H325" i="22"/>
  <c r="Z325" i="22"/>
  <c r="F333" i="22"/>
  <c r="Z333" i="22"/>
  <c r="AC359" i="22"/>
  <c r="M359" i="22"/>
  <c r="R359" i="22"/>
  <c r="P359" i="22"/>
  <c r="Z359" i="22"/>
  <c r="G359" i="22"/>
  <c r="W359" i="22"/>
  <c r="S359" i="22"/>
  <c r="L359" i="22"/>
  <c r="N359" i="22" s="1"/>
  <c r="J359" i="22"/>
  <c r="AD359" i="22"/>
  <c r="H359" i="22"/>
  <c r="X370" i="22"/>
  <c r="H370" i="22"/>
  <c r="AD370" i="22"/>
  <c r="M370" i="22"/>
  <c r="AA370" i="22"/>
  <c r="I370" i="22"/>
  <c r="AE370" i="22"/>
  <c r="K370" i="22"/>
  <c r="T370" i="22"/>
  <c r="AB370" i="22"/>
  <c r="E370" i="22"/>
  <c r="V370" i="22"/>
  <c r="S370" i="22"/>
  <c r="Q370" i="22"/>
  <c r="G400" i="22"/>
  <c r="J401" i="22"/>
  <c r="R17" i="22"/>
  <c r="R151" i="22"/>
  <c r="F166" i="22"/>
  <c r="AC307" i="22"/>
  <c r="M307" i="22"/>
  <c r="Y307" i="22"/>
  <c r="W307" i="22"/>
  <c r="G307" i="22"/>
  <c r="E307" i="22"/>
  <c r="X307" i="22"/>
  <c r="AE309" i="22"/>
  <c r="O309" i="22"/>
  <c r="AA309" i="22"/>
  <c r="K309" i="22"/>
  <c r="Y309" i="22"/>
  <c r="I309" i="22"/>
  <c r="W309" i="22"/>
  <c r="G309" i="22"/>
  <c r="Z309" i="22"/>
  <c r="Q310" i="22"/>
  <c r="E311" i="22"/>
  <c r="Z311" i="22"/>
  <c r="P312" i="22"/>
  <c r="E313" i="22"/>
  <c r="Y313" i="22"/>
  <c r="H321" i="22"/>
  <c r="AB321" i="22"/>
  <c r="E325" i="22"/>
  <c r="AB325" i="22"/>
  <c r="I327" i="22"/>
  <c r="AD327" i="22"/>
  <c r="J329" i="22"/>
  <c r="W330" i="22"/>
  <c r="G333" i="22"/>
  <c r="AA333" i="22"/>
  <c r="M337" i="22"/>
  <c r="P338" i="22"/>
  <c r="AC338" i="22"/>
  <c r="L338" i="22"/>
  <c r="N338" i="22" s="1"/>
  <c r="O338" i="22"/>
  <c r="X338" i="22"/>
  <c r="E338" i="22"/>
  <c r="T338" i="22"/>
  <c r="R338" i="22"/>
  <c r="AB338" i="22"/>
  <c r="R340" i="22"/>
  <c r="P340" i="22"/>
  <c r="X340" i="22"/>
  <c r="F340" i="22"/>
  <c r="Q340" i="22"/>
  <c r="AE340" i="22"/>
  <c r="L340" i="22"/>
  <c r="N340" i="22" s="1"/>
  <c r="AC340" i="22"/>
  <c r="J340" i="22"/>
  <c r="AA340" i="22"/>
  <c r="H340" i="22"/>
  <c r="AD340" i="22"/>
  <c r="J343" i="22"/>
  <c r="I348" i="22"/>
  <c r="S351" i="22"/>
  <c r="P355" i="22"/>
  <c r="I358" i="22"/>
  <c r="E359" i="22"/>
  <c r="V363" i="22"/>
  <c r="F370" i="22"/>
  <c r="Y371" i="22"/>
  <c r="I371" i="22"/>
  <c r="P371" i="22"/>
  <c r="S371" i="22"/>
  <c r="AD371" i="22"/>
  <c r="J371" i="22"/>
  <c r="T371" i="22"/>
  <c r="M371" i="22"/>
  <c r="K371" i="22"/>
  <c r="AC371" i="22"/>
  <c r="G371" i="22"/>
  <c r="AB372" i="22"/>
  <c r="R374" i="22"/>
  <c r="S377" i="22"/>
  <c r="J380" i="22"/>
  <c r="Y383" i="22"/>
  <c r="I391" i="22"/>
  <c r="K394" i="22"/>
  <c r="J400" i="22"/>
  <c r="K401" i="22"/>
  <c r="V404" i="22"/>
  <c r="F136" i="22"/>
  <c r="Y151" i="22"/>
  <c r="AD182" i="22"/>
  <c r="F245" i="22"/>
  <c r="F307" i="22"/>
  <c r="Z307" i="22"/>
  <c r="E309" i="22"/>
  <c r="AB309" i="22"/>
  <c r="R310" i="22"/>
  <c r="F311" i="22"/>
  <c r="AB311" i="22"/>
  <c r="Q312" i="22"/>
  <c r="F313" i="22"/>
  <c r="Z313" i="22"/>
  <c r="E315" i="22"/>
  <c r="Q315" i="22"/>
  <c r="AE315" i="22"/>
  <c r="O315" i="22"/>
  <c r="AC315" i="22"/>
  <c r="M315" i="22"/>
  <c r="X315" i="22"/>
  <c r="V317" i="22"/>
  <c r="I321" i="22"/>
  <c r="AC321" i="22"/>
  <c r="AC323" i="22"/>
  <c r="M323" i="22"/>
  <c r="Y323" i="22"/>
  <c r="I323" i="22"/>
  <c r="W323" i="22"/>
  <c r="G323" i="22"/>
  <c r="E323" i="22"/>
  <c r="Z323" i="22"/>
  <c r="F325" i="22"/>
  <c r="AE325" i="22"/>
  <c r="J327" i="22"/>
  <c r="L329" i="22"/>
  <c r="N329" i="22" s="1"/>
  <c r="Y330" i="22"/>
  <c r="H333" i="22"/>
  <c r="AC333" i="22"/>
  <c r="O337" i="22"/>
  <c r="F338" i="22"/>
  <c r="AD338" i="22"/>
  <c r="E340" i="22"/>
  <c r="K343" i="22"/>
  <c r="J348" i="22"/>
  <c r="R355" i="22"/>
  <c r="J358" i="22"/>
  <c r="F359" i="22"/>
  <c r="AB362" i="22"/>
  <c r="W363" i="22"/>
  <c r="V368" i="22"/>
  <c r="F368" i="22"/>
  <c r="X368" i="22"/>
  <c r="G368" i="22"/>
  <c r="P368" i="22"/>
  <c r="Q368" i="22"/>
  <c r="Y368" i="22"/>
  <c r="AD368" i="22"/>
  <c r="I368" i="22"/>
  <c r="Z368" i="22"/>
  <c r="S368" i="22"/>
  <c r="AE368" i="22"/>
  <c r="G370" i="22"/>
  <c r="E371" i="22"/>
  <c r="AC372" i="22"/>
  <c r="S374" i="22"/>
  <c r="K380" i="22"/>
  <c r="AA383" i="22"/>
  <c r="X384" i="22"/>
  <c r="J391" i="22"/>
  <c r="L394" i="22"/>
  <c r="N394" i="22" s="1"/>
  <c r="M400" i="22"/>
  <c r="L401" i="22"/>
  <c r="N401" i="22" s="1"/>
  <c r="W403" i="22"/>
  <c r="X404" i="22"/>
  <c r="F28" i="22"/>
  <c r="Q28" i="22"/>
  <c r="R144" i="22"/>
  <c r="AD163" i="22"/>
  <c r="V232" i="22"/>
  <c r="V274" i="22"/>
  <c r="H307" i="22"/>
  <c r="AA307" i="22"/>
  <c r="Q308" i="22"/>
  <c r="F309" i="22"/>
  <c r="AC309" i="22"/>
  <c r="S310" i="22"/>
  <c r="G311" i="22"/>
  <c r="AD311" i="22"/>
  <c r="S312" i="22"/>
  <c r="G313" i="22"/>
  <c r="AB313" i="22"/>
  <c r="F315" i="22"/>
  <c r="Y315" i="22"/>
  <c r="T319" i="22"/>
  <c r="J321" i="22"/>
  <c r="AD321" i="22"/>
  <c r="F323" i="22"/>
  <c r="AA323" i="22"/>
  <c r="Q324" i="22"/>
  <c r="G325" i="22"/>
  <c r="V326" i="22"/>
  <c r="K327" i="22"/>
  <c r="M329" i="22"/>
  <c r="Q331" i="22"/>
  <c r="I333" i="22"/>
  <c r="AE333" i="22"/>
  <c r="P337" i="22"/>
  <c r="G338" i="22"/>
  <c r="AE338" i="22"/>
  <c r="G340" i="22"/>
  <c r="L348" i="22"/>
  <c r="N348" i="22" s="1"/>
  <c r="V351" i="22"/>
  <c r="T355" i="22"/>
  <c r="M358" i="22"/>
  <c r="I359" i="22"/>
  <c r="X363" i="22"/>
  <c r="E368" i="22"/>
  <c r="J370" i="22"/>
  <c r="F371" i="22"/>
  <c r="T375" i="22"/>
  <c r="X377" i="22"/>
  <c r="M380" i="22"/>
  <c r="Y384" i="22"/>
  <c r="K391" i="22"/>
  <c r="S393" i="22"/>
  <c r="Q394" i="22"/>
  <c r="M401" i="22"/>
  <c r="AA403" i="22"/>
  <c r="Y404" i="22"/>
  <c r="T310" i="22"/>
  <c r="H311" i="22"/>
  <c r="AE311" i="22"/>
  <c r="T312" i="22"/>
  <c r="H313" i="22"/>
  <c r="AD313" i="22"/>
  <c r="W317" i="22"/>
  <c r="G317" i="22"/>
  <c r="S317" i="22"/>
  <c r="Q317" i="22"/>
  <c r="AE317" i="22"/>
  <c r="O317" i="22"/>
  <c r="Y317" i="22"/>
  <c r="L321" i="22"/>
  <c r="N321" i="22" s="1"/>
  <c r="AE321" i="22"/>
  <c r="I325" i="22"/>
  <c r="L327" i="22"/>
  <c r="N327" i="22" s="1"/>
  <c r="R330" i="22"/>
  <c r="AD330" i="22"/>
  <c r="M330" i="22"/>
  <c r="Z330" i="22"/>
  <c r="I330" i="22"/>
  <c r="X330" i="22"/>
  <c r="G330" i="22"/>
  <c r="V330" i="22"/>
  <c r="E330" i="22"/>
  <c r="AB330" i="22"/>
  <c r="J333" i="22"/>
  <c r="Q337" i="22"/>
  <c r="P343" i="22"/>
  <c r="W351" i="22"/>
  <c r="P358" i="22"/>
  <c r="K359" i="22"/>
  <c r="Y363" i="22"/>
  <c r="L370" i="22"/>
  <c r="N370" i="22" s="1"/>
  <c r="Z372" i="22"/>
  <c r="J372" i="22"/>
  <c r="S372" i="22"/>
  <c r="R372" i="22"/>
  <c r="X372" i="22"/>
  <c r="E372" i="22"/>
  <c r="Q372" i="22"/>
  <c r="AD372" i="22"/>
  <c r="H372" i="22"/>
  <c r="Y372" i="22"/>
  <c r="V372" i="22"/>
  <c r="T372" i="22"/>
  <c r="W374" i="22"/>
  <c r="Y377" i="22"/>
  <c r="O380" i="22"/>
  <c r="E383" i="22"/>
  <c r="AE383" i="22"/>
  <c r="O383" i="22"/>
  <c r="AD383" i="22"/>
  <c r="M383" i="22"/>
  <c r="P383" i="22"/>
  <c r="W383" i="22"/>
  <c r="Z383" i="22"/>
  <c r="F383" i="22"/>
  <c r="S383" i="22"/>
  <c r="Q383" i="22"/>
  <c r="AC383" i="22"/>
  <c r="Z384" i="22"/>
  <c r="S394" i="22"/>
  <c r="S400" i="22"/>
  <c r="AA404" i="22"/>
  <c r="Y333" i="22"/>
  <c r="W401" i="22"/>
  <c r="G401" i="22"/>
  <c r="AE401" i="22"/>
  <c r="X401" i="22"/>
  <c r="E401" i="22"/>
  <c r="P401" i="22"/>
  <c r="AB401" i="22"/>
  <c r="H401" i="22"/>
  <c r="AD401" i="22"/>
  <c r="I401" i="22"/>
  <c r="AC401" i="22"/>
  <c r="F401" i="22"/>
  <c r="Y401" i="22"/>
  <c r="S401" i="22"/>
  <c r="J307" i="22"/>
  <c r="AD307" i="22"/>
  <c r="J309" i="22"/>
  <c r="J311" i="22"/>
  <c r="I313" i="22"/>
  <c r="H315" i="22"/>
  <c r="AA315" i="22"/>
  <c r="E317" i="22"/>
  <c r="Z317" i="22"/>
  <c r="J323" i="22"/>
  <c r="AD323" i="22"/>
  <c r="K325" i="22"/>
  <c r="M327" i="22"/>
  <c r="P328" i="22"/>
  <c r="Z328" i="22"/>
  <c r="I328" i="22"/>
  <c r="V328" i="22"/>
  <c r="E328" i="22"/>
  <c r="T328" i="22"/>
  <c r="R328" i="22"/>
  <c r="AA328" i="22"/>
  <c r="O329" i="22"/>
  <c r="F330" i="22"/>
  <c r="AC330" i="22"/>
  <c r="T331" i="22"/>
  <c r="K333" i="22"/>
  <c r="S337" i="22"/>
  <c r="I338" i="22"/>
  <c r="K340" i="22"/>
  <c r="R343" i="22"/>
  <c r="AE345" i="22"/>
  <c r="O345" i="22"/>
  <c r="P345" i="22"/>
  <c r="W345" i="22"/>
  <c r="E345" i="22"/>
  <c r="V345" i="22"/>
  <c r="R345" i="22"/>
  <c r="L345" i="22"/>
  <c r="N345" i="22" s="1"/>
  <c r="AB345" i="22"/>
  <c r="S348" i="22"/>
  <c r="X351" i="22"/>
  <c r="Y354" i="22"/>
  <c r="W355" i="22"/>
  <c r="Q358" i="22"/>
  <c r="AA363" i="22"/>
  <c r="J368" i="22"/>
  <c r="L371" i="22"/>
  <c r="N371" i="22" s="1"/>
  <c r="F372" i="22"/>
  <c r="Z374" i="22"/>
  <c r="V375" i="22"/>
  <c r="AA377" i="22"/>
  <c r="X379" i="22"/>
  <c r="S380" i="22"/>
  <c r="G383" i="22"/>
  <c r="AB384" i="22"/>
  <c r="P391" i="22"/>
  <c r="V393" i="22"/>
  <c r="T394" i="22"/>
  <c r="T400" i="22"/>
  <c r="Q401" i="22"/>
  <c r="AB404" i="22"/>
  <c r="AA321" i="22"/>
  <c r="K321" i="22"/>
  <c r="W321" i="22"/>
  <c r="G321" i="22"/>
  <c r="E321" i="22"/>
  <c r="S321" i="22"/>
  <c r="Y223" i="22"/>
  <c r="K307" i="22"/>
  <c r="AE307" i="22"/>
  <c r="L309" i="22"/>
  <c r="N309" i="22" s="1"/>
  <c r="V310" i="22"/>
  <c r="L311" i="22"/>
  <c r="N311" i="22" s="1"/>
  <c r="V312" i="22"/>
  <c r="J313" i="22"/>
  <c r="F317" i="22"/>
  <c r="AA317" i="22"/>
  <c r="AD326" i="22"/>
  <c r="T326" i="22"/>
  <c r="P326" i="22"/>
  <c r="AE326" i="22"/>
  <c r="M326" i="22"/>
  <c r="AB326" i="22"/>
  <c r="K326" i="22"/>
  <c r="Y326" i="22"/>
  <c r="P327" i="22"/>
  <c r="P329" i="22"/>
  <c r="H330" i="22"/>
  <c r="AE330" i="22"/>
  <c r="T337" i="22"/>
  <c r="J338" i="22"/>
  <c r="M340" i="22"/>
  <c r="T343" i="22"/>
  <c r="T348" i="22"/>
  <c r="Y351" i="22"/>
  <c r="X355" i="22"/>
  <c r="R358" i="22"/>
  <c r="O359" i="22"/>
  <c r="P362" i="22"/>
  <c r="AA362" i="22"/>
  <c r="J362" i="22"/>
  <c r="AD362" i="22"/>
  <c r="L362" i="22"/>
  <c r="N362" i="22" s="1"/>
  <c r="Y362" i="22"/>
  <c r="F362" i="22"/>
  <c r="Z362" i="22"/>
  <c r="E362" i="22"/>
  <c r="X362" i="22"/>
  <c r="T362" i="22"/>
  <c r="R362" i="22"/>
  <c r="O362" i="22"/>
  <c r="O370" i="22"/>
  <c r="O371" i="22"/>
  <c r="G372" i="22"/>
  <c r="AC374" i="22"/>
  <c r="AB377" i="22"/>
  <c r="H383" i="22"/>
  <c r="S391" i="22"/>
  <c r="R401" i="22"/>
  <c r="AC404" i="22"/>
  <c r="Y321" i="22"/>
  <c r="E333" i="22"/>
  <c r="T333" i="22"/>
  <c r="P333" i="22"/>
  <c r="AD333" i="22"/>
  <c r="AB333" i="22"/>
  <c r="L333" i="22"/>
  <c r="N333" i="22" s="1"/>
  <c r="O34" i="22"/>
  <c r="R64" i="22"/>
  <c r="E183" i="22"/>
  <c r="AD203" i="22"/>
  <c r="Y237" i="22"/>
  <c r="L307" i="22"/>
  <c r="N307" i="22" s="1"/>
  <c r="M309" i="22"/>
  <c r="L313" i="22"/>
  <c r="N313" i="22" s="1"/>
  <c r="J315" i="22"/>
  <c r="AD315" i="22"/>
  <c r="H317" i="22"/>
  <c r="AB317" i="22"/>
  <c r="Y319" i="22"/>
  <c r="I319" i="22"/>
  <c r="E319" i="22"/>
  <c r="S319" i="22"/>
  <c r="Q319" i="22"/>
  <c r="X319" i="22"/>
  <c r="O321" i="22"/>
  <c r="L323" i="22"/>
  <c r="N323" i="22" s="1"/>
  <c r="O325" i="22"/>
  <c r="E326" i="22"/>
  <c r="Z326" i="22"/>
  <c r="R327" i="22"/>
  <c r="R329" i="22"/>
  <c r="J330" i="22"/>
  <c r="O333" i="22"/>
  <c r="V334" i="22"/>
  <c r="F334" i="22"/>
  <c r="W334" i="22"/>
  <c r="E334" i="22"/>
  <c r="R334" i="22"/>
  <c r="P334" i="22"/>
  <c r="AE334" i="22"/>
  <c r="AA334" i="22"/>
  <c r="Z336" i="22"/>
  <c r="J336" i="22"/>
  <c r="Y336" i="22"/>
  <c r="H336" i="22"/>
  <c r="AE336" i="22"/>
  <c r="M336" i="22"/>
  <c r="AA336" i="22"/>
  <c r="G336" i="22"/>
  <c r="W336" i="22"/>
  <c r="E336" i="22"/>
  <c r="AC336" i="22"/>
  <c r="K338" i="22"/>
  <c r="AB351" i="22"/>
  <c r="Z355" i="22"/>
  <c r="Q359" i="22"/>
  <c r="G362" i="22"/>
  <c r="L368" i="22"/>
  <c r="N368" i="22" s="1"/>
  <c r="P370" i="22"/>
  <c r="Q371" i="22"/>
  <c r="I372" i="22"/>
  <c r="AA373" i="22"/>
  <c r="K373" i="22"/>
  <c r="V373" i="22"/>
  <c r="E373" i="22"/>
  <c r="X373" i="22"/>
  <c r="F373" i="22"/>
  <c r="M373" i="22"/>
  <c r="AC373" i="22"/>
  <c r="H373" i="22"/>
  <c r="T373" i="22"/>
  <c r="P373" i="22"/>
  <c r="J373" i="22"/>
  <c r="V380" i="22"/>
  <c r="I383" i="22"/>
  <c r="V394" i="22"/>
  <c r="W400" i="22"/>
  <c r="T401" i="22"/>
  <c r="F265" i="22"/>
  <c r="V265" i="22"/>
  <c r="AT128" i="5"/>
  <c r="AU128" i="5" s="1"/>
  <c r="P310" i="22"/>
  <c r="AB310" i="22"/>
  <c r="L310" i="22"/>
  <c r="N310" i="22" s="1"/>
  <c r="Z310" i="22"/>
  <c r="J310" i="22"/>
  <c r="X310" i="22"/>
  <c r="H310" i="22"/>
  <c r="Y310" i="22"/>
  <c r="O311" i="22"/>
  <c r="R312" i="22"/>
  <c r="AD312" i="22"/>
  <c r="AB312" i="22"/>
  <c r="L312" i="22"/>
  <c r="N312" i="22" s="1"/>
  <c r="Z312" i="22"/>
  <c r="J312" i="22"/>
  <c r="X312" i="22"/>
  <c r="P321" i="22"/>
  <c r="P325" i="22"/>
  <c r="Q333" i="22"/>
  <c r="T359" i="22"/>
  <c r="Q363" i="22"/>
  <c r="AC363" i="22"/>
  <c r="L363" i="22"/>
  <c r="N363" i="22" s="1"/>
  <c r="P363" i="22"/>
  <c r="M363" i="22"/>
  <c r="O363" i="22"/>
  <c r="R363" i="22"/>
  <c r="AE363" i="22"/>
  <c r="I363" i="22"/>
  <c r="AB363" i="22"/>
  <c r="G363" i="22"/>
  <c r="Z363" i="22"/>
  <c r="E363" i="22"/>
  <c r="R370" i="22"/>
  <c r="AE377" i="22"/>
  <c r="O377" i="22"/>
  <c r="R377" i="22"/>
  <c r="Z377" i="22"/>
  <c r="H377" i="22"/>
  <c r="V377" i="22"/>
  <c r="W377" i="22"/>
  <c r="T377" i="22"/>
  <c r="L377" i="22"/>
  <c r="N377" i="22" s="1"/>
  <c r="J377" i="22"/>
  <c r="AD377" i="22"/>
  <c r="V384" i="22"/>
  <c r="F384" i="22"/>
  <c r="Q384" i="22"/>
  <c r="R384" i="22"/>
  <c r="W384" i="22"/>
  <c r="AE384" i="22"/>
  <c r="K384" i="22"/>
  <c r="O384" i="22"/>
  <c r="J384" i="22"/>
  <c r="AC384" i="22"/>
  <c r="H384" i="22"/>
  <c r="AA384" i="22"/>
  <c r="E384" i="22"/>
  <c r="X400" i="22"/>
  <c r="Y403" i="22"/>
  <c r="I403" i="22"/>
  <c r="T403" i="22"/>
  <c r="O403" i="22"/>
  <c r="AD403" i="22"/>
  <c r="K403" i="22"/>
  <c r="Z403" i="22"/>
  <c r="E403" i="22"/>
  <c r="AE403" i="22"/>
  <c r="H403" i="22"/>
  <c r="AC403" i="22"/>
  <c r="G403" i="22"/>
  <c r="X403" i="22"/>
  <c r="V403" i="22"/>
  <c r="S403" i="22"/>
  <c r="Z404" i="22"/>
  <c r="J404" i="22"/>
  <c r="W404" i="22"/>
  <c r="F404" i="22"/>
  <c r="T404" i="22"/>
  <c r="Q404" i="22"/>
  <c r="S404" i="22"/>
  <c r="O404" i="22"/>
  <c r="L404" i="22"/>
  <c r="N404" i="22" s="1"/>
  <c r="AE404" i="22"/>
  <c r="I404" i="22"/>
  <c r="O272" i="22"/>
  <c r="F272" i="22"/>
  <c r="P311" i="22"/>
  <c r="P313" i="22"/>
  <c r="Q321" i="22"/>
  <c r="R325" i="22"/>
  <c r="R333" i="22"/>
  <c r="E351" i="22"/>
  <c r="AA351" i="22"/>
  <c r="AD351" i="22"/>
  <c r="M351" i="22"/>
  <c r="Z351" i="22"/>
  <c r="I351" i="22"/>
  <c r="T351" i="22"/>
  <c r="P351" i="22"/>
  <c r="L351" i="22"/>
  <c r="N351" i="22" s="1"/>
  <c r="AE351" i="22"/>
  <c r="J351" i="22"/>
  <c r="AB374" i="22"/>
  <c r="L374" i="22"/>
  <c r="N374" i="22" s="1"/>
  <c r="Y374" i="22"/>
  <c r="H374" i="22"/>
  <c r="AD374" i="22"/>
  <c r="K374" i="22"/>
  <c r="T374" i="22"/>
  <c r="Q374" i="22"/>
  <c r="J374" i="22"/>
  <c r="AA374" i="22"/>
  <c r="E374" i="22"/>
  <c r="X374" i="22"/>
  <c r="V374" i="22"/>
  <c r="Y400" i="22"/>
  <c r="V401" i="22"/>
  <c r="Y19" i="22"/>
  <c r="O80" i="22"/>
  <c r="R91" i="22"/>
  <c r="R142" i="22"/>
  <c r="O234" i="22"/>
  <c r="Q243" i="22"/>
  <c r="V272" i="22"/>
  <c r="P307" i="22"/>
  <c r="AD308" i="22"/>
  <c r="Z308" i="22"/>
  <c r="J308" i="22"/>
  <c r="X308" i="22"/>
  <c r="H308" i="22"/>
  <c r="V308" i="22"/>
  <c r="F308" i="22"/>
  <c r="AA308" i="22"/>
  <c r="Q309" i="22"/>
  <c r="F310" i="22"/>
  <c r="AC310" i="22"/>
  <c r="R311" i="22"/>
  <c r="F312" i="22"/>
  <c r="AA312" i="22"/>
  <c r="Q313" i="22"/>
  <c r="K317" i="22"/>
  <c r="R321" i="22"/>
  <c r="P323" i="22"/>
  <c r="AB324" i="22"/>
  <c r="AE324" i="22"/>
  <c r="Z324" i="22"/>
  <c r="J324" i="22"/>
  <c r="X324" i="22"/>
  <c r="H324" i="22"/>
  <c r="V324" i="22"/>
  <c r="F324" i="22"/>
  <c r="AA324" i="22"/>
  <c r="S325" i="22"/>
  <c r="H326" i="22"/>
  <c r="V327" i="22"/>
  <c r="W329" i="22"/>
  <c r="S331" i="22"/>
  <c r="O331" i="22"/>
  <c r="AB331" i="22"/>
  <c r="K331" i="22"/>
  <c r="Z331" i="22"/>
  <c r="I331" i="22"/>
  <c r="X331" i="22"/>
  <c r="G331" i="22"/>
  <c r="AA331" i="22"/>
  <c r="S333" i="22"/>
  <c r="X337" i="22"/>
  <c r="S338" i="22"/>
  <c r="T340" i="22"/>
  <c r="AA343" i="22"/>
  <c r="Z348" i="22"/>
  <c r="F351" i="22"/>
  <c r="X354" i="22"/>
  <c r="H354" i="22"/>
  <c r="S354" i="22"/>
  <c r="AA354" i="22"/>
  <c r="I354" i="22"/>
  <c r="AC354" i="22"/>
  <c r="J354" i="22"/>
  <c r="Q354" i="22"/>
  <c r="AB354" i="22"/>
  <c r="E354" i="22"/>
  <c r="V354" i="22"/>
  <c r="T354" i="22"/>
  <c r="P354" i="22"/>
  <c r="Z358" i="22"/>
  <c r="V359" i="22"/>
  <c r="K362" i="22"/>
  <c r="H363" i="22"/>
  <c r="O368" i="22"/>
  <c r="W370" i="22"/>
  <c r="V371" i="22"/>
  <c r="M372" i="22"/>
  <c r="F374" i="22"/>
  <c r="F377" i="22"/>
  <c r="Q379" i="22"/>
  <c r="W379" i="22"/>
  <c r="F379" i="22"/>
  <c r="O379" i="22"/>
  <c r="AE379" i="22"/>
  <c r="L379" i="22"/>
  <c r="N379" i="22" s="1"/>
  <c r="M379" i="22"/>
  <c r="AC379" i="22"/>
  <c r="H379" i="22"/>
  <c r="AA379" i="22"/>
  <c r="E379" i="22"/>
  <c r="Y379" i="22"/>
  <c r="AB380" i="22"/>
  <c r="L383" i="22"/>
  <c r="N383" i="22" s="1"/>
  <c r="I384" i="22"/>
  <c r="Z391" i="22"/>
  <c r="Z394" i="22"/>
  <c r="Z400" i="22"/>
  <c r="Z401" i="22"/>
  <c r="J403" i="22"/>
  <c r="G404" i="22"/>
  <c r="AD19" i="22"/>
  <c r="E46" i="22"/>
  <c r="AA46" i="22" s="1"/>
  <c r="R80" i="22"/>
  <c r="F111" i="22"/>
  <c r="Y243" i="22"/>
  <c r="Y272" i="22"/>
  <c r="Q307" i="22"/>
  <c r="E308" i="22"/>
  <c r="AB308" i="22"/>
  <c r="R309" i="22"/>
  <c r="G310" i="22"/>
  <c r="AD310" i="22"/>
  <c r="S311" i="22"/>
  <c r="G312" i="22"/>
  <c r="AC312" i="22"/>
  <c r="R313" i="22"/>
  <c r="P315" i="22"/>
  <c r="V316" i="22"/>
  <c r="F316" i="22"/>
  <c r="R316" i="22"/>
  <c r="P316" i="22"/>
  <c r="AD316" i="22"/>
  <c r="Y316" i="22"/>
  <c r="L317" i="22"/>
  <c r="N317" i="22" s="1"/>
  <c r="J319" i="22"/>
  <c r="AC319" i="22"/>
  <c r="T321" i="22"/>
  <c r="Q323" i="22"/>
  <c r="E324" i="22"/>
  <c r="AC324" i="22"/>
  <c r="T325" i="22"/>
  <c r="I326" i="22"/>
  <c r="L328" i="22"/>
  <c r="N328" i="22" s="1"/>
  <c r="O330" i="22"/>
  <c r="E331" i="22"/>
  <c r="AC331" i="22"/>
  <c r="J334" i="22"/>
  <c r="L336" i="22"/>
  <c r="N336" i="22" s="1"/>
  <c r="AB342" i="22"/>
  <c r="L342" i="22"/>
  <c r="N342" i="22" s="1"/>
  <c r="W342" i="22"/>
  <c r="F342" i="22"/>
  <c r="Y342" i="22"/>
  <c r="G342" i="22"/>
  <c r="Q342" i="22"/>
  <c r="AD342" i="22"/>
  <c r="I342" i="22"/>
  <c r="AA342" i="22"/>
  <c r="E342" i="22"/>
  <c r="X342" i="22"/>
  <c r="P346" i="22"/>
  <c r="S346" i="22"/>
  <c r="AA346" i="22"/>
  <c r="I346" i="22"/>
  <c r="AB346" i="22"/>
  <c r="H346" i="22"/>
  <c r="AE346" i="22"/>
  <c r="K346" i="22"/>
  <c r="Y346" i="22"/>
  <c r="E346" i="22"/>
  <c r="W346" i="22"/>
  <c r="AD346" i="22"/>
  <c r="G351" i="22"/>
  <c r="F354" i="22"/>
  <c r="X359" i="22"/>
  <c r="M362" i="22"/>
  <c r="J363" i="22"/>
  <c r="R368" i="22"/>
  <c r="Y370" i="22"/>
  <c r="W371" i="22"/>
  <c r="G374" i="22"/>
  <c r="AC375" i="22"/>
  <c r="M375" i="22"/>
  <c r="AB375" i="22"/>
  <c r="K375" i="22"/>
  <c r="Q375" i="22"/>
  <c r="AA375" i="22"/>
  <c r="H375" i="22"/>
  <c r="Z375" i="22"/>
  <c r="F375" i="22"/>
  <c r="W375" i="22"/>
  <c r="S375" i="22"/>
  <c r="P375" i="22"/>
  <c r="G377" i="22"/>
  <c r="L384" i="22"/>
  <c r="N384" i="22" s="1"/>
  <c r="AE393" i="22"/>
  <c r="O393" i="22"/>
  <c r="AB393" i="22"/>
  <c r="K393" i="22"/>
  <c r="AA393" i="22"/>
  <c r="I393" i="22"/>
  <c r="AC393" i="22"/>
  <c r="H393" i="22"/>
  <c r="J393" i="22"/>
  <c r="X393" i="22"/>
  <c r="T393" i="22"/>
  <c r="R393" i="22"/>
  <c r="P393" i="22"/>
  <c r="AA401" i="22"/>
  <c r="L403" i="22"/>
  <c r="N403" i="22" s="1"/>
  <c r="H404" i="22"/>
  <c r="AD80" i="22"/>
  <c r="AD230" i="22"/>
  <c r="Y230" i="22"/>
  <c r="AD272" i="22"/>
  <c r="I310" i="22"/>
  <c r="AE310" i="22"/>
  <c r="T311" i="22"/>
  <c r="H312" i="22"/>
  <c r="AE312" i="22"/>
  <c r="T313" i="22"/>
  <c r="V333" i="22"/>
  <c r="AA337" i="22"/>
  <c r="K337" i="22"/>
  <c r="AC337" i="22"/>
  <c r="L337" i="22"/>
  <c r="N337" i="22" s="1"/>
  <c r="R337" i="22"/>
  <c r="AD337" i="22"/>
  <c r="J337" i="22"/>
  <c r="Z337" i="22"/>
  <c r="H337" i="22"/>
  <c r="AB337" i="22"/>
  <c r="H351" i="22"/>
  <c r="Y355" i="22"/>
  <c r="I355" i="22"/>
  <c r="V355" i="22"/>
  <c r="E355" i="22"/>
  <c r="Q355" i="22"/>
  <c r="AB355" i="22"/>
  <c r="G355" i="22"/>
  <c r="S355" i="22"/>
  <c r="M355" i="22"/>
  <c r="K355" i="22"/>
  <c r="AD355" i="22"/>
  <c r="H355" i="22"/>
  <c r="Y359" i="22"/>
  <c r="K363" i="22"/>
  <c r="Z370" i="22"/>
  <c r="I374" i="22"/>
  <c r="I377" i="22"/>
  <c r="R380" i="22"/>
  <c r="Y380" i="22"/>
  <c r="H380" i="22"/>
  <c r="T380" i="22"/>
  <c r="Q380" i="22"/>
  <c r="W380" i="22"/>
  <c r="X380" i="22"/>
  <c r="P380" i="22"/>
  <c r="L380" i="22"/>
  <c r="N380" i="22" s="1"/>
  <c r="AD380" i="22"/>
  <c r="M384" i="22"/>
  <c r="M403" i="22"/>
  <c r="K404" i="22"/>
  <c r="O57" i="22"/>
  <c r="E84" i="22"/>
  <c r="AD88" i="22"/>
  <c r="Q88" i="22"/>
  <c r="S88" i="22" s="1"/>
  <c r="F298" i="22"/>
  <c r="K310" i="22"/>
  <c r="I312" i="22"/>
  <c r="V321" i="22"/>
  <c r="V325" i="22"/>
  <c r="AE327" i="22"/>
  <c r="O327" i="22"/>
  <c r="W327" i="22"/>
  <c r="F327" i="22"/>
  <c r="S327" i="22"/>
  <c r="Q327" i="22"/>
  <c r="Z327" i="22"/>
  <c r="Q329" i="22"/>
  <c r="AB329" i="22"/>
  <c r="K329" i="22"/>
  <c r="X329" i="22"/>
  <c r="G329" i="22"/>
  <c r="V329" i="22"/>
  <c r="E329" i="22"/>
  <c r="T329" i="22"/>
  <c r="AA329" i="22"/>
  <c r="W333" i="22"/>
  <c r="E337" i="22"/>
  <c r="AE337" i="22"/>
  <c r="AC343" i="22"/>
  <c r="M343" i="22"/>
  <c r="Z343" i="22"/>
  <c r="I343" i="22"/>
  <c r="AE343" i="22"/>
  <c r="L343" i="22"/>
  <c r="N343" i="22" s="1"/>
  <c r="X343" i="22"/>
  <c r="E343" i="22"/>
  <c r="W343" i="22"/>
  <c r="S343" i="22"/>
  <c r="Q343" i="22"/>
  <c r="O343" i="22"/>
  <c r="R348" i="22"/>
  <c r="W348" i="22"/>
  <c r="F348" i="22"/>
  <c r="O348" i="22"/>
  <c r="Q348" i="22"/>
  <c r="V348" i="22"/>
  <c r="P348" i="22"/>
  <c r="M348" i="22"/>
  <c r="AE348" i="22"/>
  <c r="K348" i="22"/>
  <c r="AC348" i="22"/>
  <c r="K351" i="22"/>
  <c r="F355" i="22"/>
  <c r="AB358" i="22"/>
  <c r="L358" i="22"/>
  <c r="N358" i="22" s="1"/>
  <c r="O358" i="22"/>
  <c r="AD358" i="22"/>
  <c r="K358" i="22"/>
  <c r="T358" i="22"/>
  <c r="AC358" i="22"/>
  <c r="G358" i="22"/>
  <c r="X358" i="22"/>
  <c r="V358" i="22"/>
  <c r="S358" i="22"/>
  <c r="AA359" i="22"/>
  <c r="AC370" i="22"/>
  <c r="M374" i="22"/>
  <c r="K377" i="22"/>
  <c r="E380" i="22"/>
  <c r="AE380" i="22"/>
  <c r="P394" i="22"/>
  <c r="AE394" i="22"/>
  <c r="O394" i="22"/>
  <c r="R394" i="22"/>
  <c r="M394" i="22"/>
  <c r="AC394" i="22"/>
  <c r="I394" i="22"/>
  <c r="AA394" i="22"/>
  <c r="G394" i="22"/>
  <c r="Y394" i="22"/>
  <c r="E394" i="22"/>
  <c r="M404" i="22"/>
  <c r="V400" i="22"/>
  <c r="F400" i="22"/>
  <c r="AB400" i="22"/>
  <c r="K400" i="22"/>
  <c r="R400" i="22"/>
  <c r="AA400" i="22"/>
  <c r="H400" i="22"/>
  <c r="Q400" i="22"/>
  <c r="P400" i="22"/>
  <c r="O400" i="22"/>
  <c r="L400" i="22"/>
  <c r="N400" i="22" s="1"/>
  <c r="AE400" i="22"/>
  <c r="I400" i="22"/>
  <c r="AC400" i="22"/>
  <c r="E400" i="22"/>
  <c r="AD58" i="22"/>
  <c r="F58" i="22"/>
  <c r="O269" i="22"/>
  <c r="AD298" i="22"/>
  <c r="M310" i="22"/>
  <c r="V311" i="22"/>
  <c r="K312" i="22"/>
  <c r="V313" i="22"/>
  <c r="P317" i="22"/>
  <c r="X321" i="22"/>
  <c r="W325" i="22"/>
  <c r="E327" i="22"/>
  <c r="AA327" i="22"/>
  <c r="F329" i="22"/>
  <c r="AC329" i="22"/>
  <c r="S330" i="22"/>
  <c r="X333" i="22"/>
  <c r="F337" i="22"/>
  <c r="F343" i="22"/>
  <c r="E348" i="22"/>
  <c r="AD348" i="22"/>
  <c r="O351" i="22"/>
  <c r="J355" i="22"/>
  <c r="E358" i="22"/>
  <c r="AB359" i="22"/>
  <c r="S363" i="22"/>
  <c r="M377" i="22"/>
  <c r="F380" i="22"/>
  <c r="P384" i="22"/>
  <c r="AC391" i="22"/>
  <c r="M391" i="22"/>
  <c r="V391" i="22"/>
  <c r="E391" i="22"/>
  <c r="Q391" i="22"/>
  <c r="L391" i="22"/>
  <c r="N391" i="22" s="1"/>
  <c r="AA391" i="22"/>
  <c r="F391" i="22"/>
  <c r="W391" i="22"/>
  <c r="T391" i="22"/>
  <c r="R391" i="22"/>
  <c r="F394" i="22"/>
  <c r="P403" i="22"/>
  <c r="P404" i="22"/>
  <c r="T306" i="22"/>
  <c r="L314" i="22"/>
  <c r="N314" i="22" s="1"/>
  <c r="AB314" i="22"/>
  <c r="P318" i="22"/>
  <c r="T322" i="22"/>
  <c r="Q335" i="22"/>
  <c r="AD344" i="22"/>
  <c r="AC344" i="22"/>
  <c r="L344" i="22"/>
  <c r="N344" i="22" s="1"/>
  <c r="R344" i="22"/>
  <c r="M344" i="22"/>
  <c r="X344" i="22"/>
  <c r="T352" i="22"/>
  <c r="L364" i="22"/>
  <c r="N364" i="22" s="1"/>
  <c r="O389" i="22"/>
  <c r="AB390" i="22"/>
  <c r="L390" i="22"/>
  <c r="N390" i="22" s="1"/>
  <c r="S390" i="22"/>
  <c r="AD390" i="22"/>
  <c r="K390" i="22"/>
  <c r="Y390" i="22"/>
  <c r="F390" i="22"/>
  <c r="W390" i="22"/>
  <c r="Z390" i="22"/>
  <c r="P399" i="22"/>
  <c r="T405" i="22"/>
  <c r="F306" i="22"/>
  <c r="V306" i="22"/>
  <c r="AD314" i="22"/>
  <c r="R318" i="22"/>
  <c r="F322" i="22"/>
  <c r="V322" i="22"/>
  <c r="Q339" i="22"/>
  <c r="AE339" i="22"/>
  <c r="T339" i="22"/>
  <c r="W339" i="22"/>
  <c r="F344" i="22"/>
  <c r="Z344" i="22"/>
  <c r="AE361" i="22"/>
  <c r="O361" i="22"/>
  <c r="X361" i="22"/>
  <c r="G361" i="22"/>
  <c r="Y361" i="22"/>
  <c r="F361" i="22"/>
  <c r="R361" i="22"/>
  <c r="P361" i="22"/>
  <c r="AA361" i="22"/>
  <c r="S365" i="22"/>
  <c r="P365" i="22"/>
  <c r="Y365" i="22"/>
  <c r="G365" i="22"/>
  <c r="X365" i="22"/>
  <c r="E365" i="22"/>
  <c r="AD365" i="22"/>
  <c r="J365" i="22"/>
  <c r="AA365" i="22"/>
  <c r="S381" i="22"/>
  <c r="AA381" i="22"/>
  <c r="J381" i="22"/>
  <c r="X381" i="22"/>
  <c r="F381" i="22"/>
  <c r="Y381" i="22"/>
  <c r="E381" i="22"/>
  <c r="L381" i="22"/>
  <c r="N381" i="22" s="1"/>
  <c r="AB381" i="22"/>
  <c r="X386" i="22"/>
  <c r="H386" i="22"/>
  <c r="W386" i="22"/>
  <c r="F386" i="22"/>
  <c r="AB386" i="22"/>
  <c r="J386" i="22"/>
  <c r="P386" i="22"/>
  <c r="AA386" i="22"/>
  <c r="E386" i="22"/>
  <c r="AC386" i="22"/>
  <c r="G390" i="22"/>
  <c r="AC390" i="22"/>
  <c r="T318" i="22"/>
  <c r="W335" i="22"/>
  <c r="G335" i="22"/>
  <c r="V352" i="22"/>
  <c r="F352" i="22"/>
  <c r="AD352" i="22"/>
  <c r="M352" i="22"/>
  <c r="Q352" i="22"/>
  <c r="O352" i="22"/>
  <c r="W352" i="22"/>
  <c r="Z352" i="22"/>
  <c r="R396" i="22"/>
  <c r="S396" i="22"/>
  <c r="W396" i="22"/>
  <c r="E396" i="22"/>
  <c r="AB396" i="22"/>
  <c r="I396" i="22"/>
  <c r="Z396" i="22"/>
  <c r="AA405" i="22"/>
  <c r="K405" i="22"/>
  <c r="Z405" i="22"/>
  <c r="I405" i="22"/>
  <c r="Y405" i="22"/>
  <c r="G405" i="22"/>
  <c r="X405" i="22"/>
  <c r="E405" i="22"/>
  <c r="W405" i="22"/>
  <c r="AC405" i="22"/>
  <c r="L306" i="22"/>
  <c r="N306" i="22" s="1"/>
  <c r="H318" i="22"/>
  <c r="L322" i="22"/>
  <c r="N322" i="22" s="1"/>
  <c r="I335" i="22"/>
  <c r="Z335" i="22"/>
  <c r="AA341" i="22"/>
  <c r="K341" i="22"/>
  <c r="T341" i="22"/>
  <c r="S341" i="22"/>
  <c r="AC341" i="22"/>
  <c r="I341" i="22"/>
  <c r="X341" i="22"/>
  <c r="O344" i="22"/>
  <c r="I352" i="22"/>
  <c r="AE352" i="22"/>
  <c r="R364" i="22"/>
  <c r="AE364" i="22"/>
  <c r="S364" i="22"/>
  <c r="V364" i="22"/>
  <c r="X364" i="22"/>
  <c r="AA389" i="22"/>
  <c r="K389" i="22"/>
  <c r="P389" i="22"/>
  <c r="Y389" i="22"/>
  <c r="G389" i="22"/>
  <c r="S389" i="22"/>
  <c r="Z389" i="22"/>
  <c r="O390" i="22"/>
  <c r="J396" i="22"/>
  <c r="AE396" i="22"/>
  <c r="E399" i="22"/>
  <c r="Y399" i="22"/>
  <c r="I399" i="22"/>
  <c r="AE399" i="22"/>
  <c r="T399" i="22"/>
  <c r="AB399" i="22"/>
  <c r="H399" i="22"/>
  <c r="Z399" i="22"/>
  <c r="L405" i="22"/>
  <c r="N405" i="22" s="1"/>
  <c r="S349" i="22"/>
  <c r="Y349" i="22"/>
  <c r="H349" i="22"/>
  <c r="T349" i="22"/>
  <c r="W349" i="22"/>
  <c r="AA357" i="22"/>
  <c r="K357" i="22"/>
  <c r="AC357" i="22"/>
  <c r="L357" i="22"/>
  <c r="N357" i="22" s="1"/>
  <c r="X357" i="22"/>
  <c r="F357" i="22"/>
  <c r="M357" i="22"/>
  <c r="Y357" i="22"/>
  <c r="Z388" i="22"/>
  <c r="J388" i="22"/>
  <c r="AD388" i="22"/>
  <c r="M388" i="22"/>
  <c r="T388" i="22"/>
  <c r="AE388" i="22"/>
  <c r="K388" i="22"/>
  <c r="X388" i="22"/>
  <c r="BK376" i="26"/>
  <c r="BG376" i="26"/>
  <c r="Z356" i="22"/>
  <c r="J356" i="22"/>
  <c r="Y356" i="22"/>
  <c r="H356" i="22"/>
  <c r="S356" i="22"/>
  <c r="W356" i="22"/>
  <c r="W369" i="22"/>
  <c r="G369" i="22"/>
  <c r="AA369" i="22"/>
  <c r="J369" i="22"/>
  <c r="V369" i="22"/>
  <c r="Y387" i="22"/>
  <c r="I387" i="22"/>
  <c r="AA387" i="22"/>
  <c r="J387" i="22"/>
  <c r="O387" i="22"/>
  <c r="W387" i="22"/>
  <c r="Q395" i="22"/>
  <c r="P395" i="22"/>
  <c r="T395" i="22"/>
  <c r="W395" i="22"/>
  <c r="X402" i="22"/>
  <c r="H402" i="22"/>
  <c r="Q402" i="22"/>
  <c r="AC402" i="22"/>
  <c r="K402" i="22"/>
  <c r="W402" i="22"/>
  <c r="BF376" i="26"/>
  <c r="BO334" i="26"/>
  <c r="BS334" i="26"/>
  <c r="BN362" i="26"/>
  <c r="BM362" i="26"/>
  <c r="BE335" i="26"/>
  <c r="BF335" i="26"/>
  <c r="O137" i="22"/>
  <c r="BE343" i="26"/>
  <c r="BF343" i="26"/>
  <c r="BN375" i="26"/>
  <c r="BM375" i="26"/>
  <c r="BN336" i="26"/>
  <c r="BM336" i="26"/>
  <c r="BN404" i="26"/>
  <c r="BM404" i="26"/>
  <c r="BF310" i="26"/>
  <c r="BE310" i="26"/>
  <c r="BF364" i="26"/>
  <c r="BE364" i="26"/>
  <c r="BN365" i="26"/>
  <c r="BM365" i="26"/>
  <c r="BN311" i="26"/>
  <c r="BM311" i="26"/>
  <c r="BN306" i="26"/>
  <c r="BM306" i="26"/>
  <c r="BF312" i="26"/>
  <c r="BE312" i="26"/>
  <c r="BF322" i="26"/>
  <c r="BE322" i="26"/>
  <c r="BF307" i="26"/>
  <c r="BE307" i="26"/>
  <c r="BN356" i="26"/>
  <c r="BM356" i="26"/>
  <c r="BF395" i="26"/>
  <c r="BE395" i="26"/>
  <c r="BF396" i="26"/>
  <c r="BE396" i="26"/>
  <c r="BF326" i="26"/>
  <c r="BE326" i="26"/>
  <c r="BF354" i="26"/>
  <c r="BE354" i="26"/>
  <c r="BM355" i="26"/>
  <c r="BN355" i="26"/>
  <c r="BN327" i="26"/>
  <c r="BM327" i="26"/>
  <c r="BF398" i="26"/>
  <c r="BE398" i="26"/>
  <c r="W353" i="22"/>
  <c r="G353" i="22"/>
  <c r="P353" i="22"/>
  <c r="V353" i="22"/>
  <c r="AD376" i="22"/>
  <c r="O376" i="22"/>
  <c r="V376" i="22"/>
  <c r="W385" i="22"/>
  <c r="G385" i="22"/>
  <c r="T385" i="22"/>
  <c r="V385" i="22"/>
  <c r="AD392" i="22"/>
  <c r="Y392" i="22"/>
  <c r="H392" i="22"/>
  <c r="V392" i="22"/>
  <c r="BN318" i="26"/>
  <c r="BM318" i="26"/>
  <c r="BF345" i="26"/>
  <c r="BE345" i="26"/>
  <c r="BF386" i="26"/>
  <c r="BE386" i="26"/>
  <c r="BN315" i="26"/>
  <c r="BM315" i="26"/>
  <c r="BF347" i="26"/>
  <c r="BE347" i="26"/>
  <c r="BF348" i="26"/>
  <c r="BE348" i="26"/>
  <c r="BF373" i="26"/>
  <c r="BE373" i="26"/>
  <c r="BN382" i="26"/>
  <c r="BM382" i="26"/>
  <c r="BE399" i="26"/>
  <c r="BF399" i="26"/>
  <c r="BN346" i="26"/>
  <c r="BM346" i="26"/>
  <c r="BN348" i="26"/>
  <c r="BM348" i="26"/>
  <c r="BE359" i="26"/>
  <c r="BF359" i="26"/>
  <c r="BF363" i="26"/>
  <c r="BE363" i="26"/>
  <c r="BN384" i="26"/>
  <c r="BM384" i="26"/>
  <c r="BM385" i="26"/>
  <c r="BN308" i="26"/>
  <c r="BM308" i="26"/>
  <c r="BN313" i="26"/>
  <c r="BM313" i="26"/>
  <c r="BN320" i="26"/>
  <c r="BM320" i="26"/>
  <c r="BL353" i="26"/>
  <c r="BF357" i="26"/>
  <c r="BE357" i="26"/>
  <c r="BF366" i="26"/>
  <c r="BE366" i="26"/>
  <c r="BN366" i="26"/>
  <c r="BM366" i="26"/>
  <c r="BF377" i="26"/>
  <c r="BE377" i="26"/>
  <c r="BN397" i="26"/>
  <c r="BM397" i="26"/>
  <c r="BN398" i="26"/>
  <c r="BM398" i="26"/>
  <c r="BF308" i="26"/>
  <c r="BE308" i="26"/>
  <c r="BH315" i="26"/>
  <c r="BJ315" i="26"/>
  <c r="BI315" i="26"/>
  <c r="BF328" i="26"/>
  <c r="BE328" i="26"/>
  <c r="BQ334" i="26"/>
  <c r="BP334" i="26"/>
  <c r="BR334" i="26"/>
  <c r="BK350" i="26"/>
  <c r="BG350" i="26"/>
  <c r="BF361" i="26"/>
  <c r="BE361" i="26"/>
  <c r="BF362" i="26"/>
  <c r="BE362" i="26"/>
  <c r="BE367" i="26"/>
  <c r="BF367" i="26"/>
  <c r="BE375" i="26"/>
  <c r="BF375" i="26"/>
  <c r="BL378" i="26"/>
  <c r="BN380" i="26"/>
  <c r="BM380" i="26"/>
  <c r="BQ381" i="26"/>
  <c r="BR381" i="26"/>
  <c r="BP381" i="26"/>
  <c r="BN396" i="26"/>
  <c r="BM396" i="26"/>
  <c r="BN352" i="26"/>
  <c r="BM352" i="26"/>
  <c r="BF379" i="26"/>
  <c r="BE379" i="26"/>
  <c r="BF389" i="26"/>
  <c r="BE389" i="26"/>
  <c r="BM403" i="26"/>
  <c r="BN403" i="26"/>
  <c r="BF319" i="26"/>
  <c r="BE319" i="26"/>
  <c r="BF331" i="26"/>
  <c r="BE331" i="26"/>
  <c r="BL349" i="26"/>
  <c r="BR385" i="26"/>
  <c r="BQ385" i="26"/>
  <c r="BP385" i="26"/>
  <c r="BM387" i="26"/>
  <c r="BN387" i="26"/>
  <c r="BN400" i="26"/>
  <c r="BM400" i="26"/>
  <c r="BD306" i="26"/>
  <c r="BM323" i="26"/>
  <c r="BN323" i="26"/>
  <c r="BF329" i="26"/>
  <c r="BE329" i="26"/>
  <c r="BF350" i="26"/>
  <c r="BF370" i="26"/>
  <c r="BE370" i="26"/>
  <c r="BF380" i="26"/>
  <c r="BE380" i="26"/>
  <c r="BE391" i="26"/>
  <c r="BF391" i="26"/>
  <c r="BL307" i="26"/>
  <c r="BD317" i="26"/>
  <c r="BD327" i="26"/>
  <c r="BL330" i="26"/>
  <c r="BN332" i="26"/>
  <c r="BM332" i="26"/>
  <c r="BL339" i="26"/>
  <c r="BD382" i="26"/>
  <c r="BN314" i="26"/>
  <c r="BM314" i="26"/>
  <c r="BD318" i="26"/>
  <c r="BL321" i="26"/>
  <c r="BE351" i="26"/>
  <c r="BF351" i="26"/>
  <c r="BF358" i="26"/>
  <c r="BE358" i="26"/>
  <c r="BS381" i="26"/>
  <c r="BO381" i="26"/>
  <c r="BE315" i="26"/>
  <c r="BD325" i="26"/>
  <c r="BL337" i="26"/>
  <c r="BN369" i="26"/>
  <c r="BM369" i="26"/>
  <c r="BN388" i="26"/>
  <c r="BM388" i="26"/>
  <c r="BD402" i="26"/>
  <c r="BF309" i="26"/>
  <c r="BE309" i="26"/>
  <c r="BM319" i="26"/>
  <c r="BN319" i="26"/>
  <c r="BF332" i="26"/>
  <c r="BE332" i="26"/>
  <c r="BD338" i="26"/>
  <c r="BF339" i="26"/>
  <c r="BE339" i="26"/>
  <c r="BN359" i="26"/>
  <c r="BM359" i="26"/>
  <c r="BF360" i="26"/>
  <c r="BE360" i="26"/>
  <c r="BN368" i="26"/>
  <c r="BM368" i="26"/>
  <c r="BL372" i="26"/>
  <c r="BL310" i="26"/>
  <c r="BL312" i="26"/>
  <c r="BF334" i="26"/>
  <c r="BE334" i="26"/>
  <c r="BN340" i="26"/>
  <c r="BM340" i="26"/>
  <c r="BF390" i="26"/>
  <c r="BE390" i="26"/>
  <c r="BN391" i="26"/>
  <c r="BM391" i="26"/>
  <c r="BF316" i="26"/>
  <c r="BE316" i="26"/>
  <c r="BL333" i="26"/>
  <c r="BF341" i="26"/>
  <c r="BE341" i="26"/>
  <c r="BD342" i="26"/>
  <c r="BF344" i="26"/>
  <c r="BE344" i="26"/>
  <c r="BL350" i="26"/>
  <c r="BL364" i="26"/>
  <c r="BF374" i="26"/>
  <c r="BE374" i="26"/>
  <c r="BE383" i="26"/>
  <c r="BF383" i="26"/>
  <c r="BF392" i="26"/>
  <c r="BE392" i="26"/>
  <c r="BD393" i="26"/>
  <c r="BN401" i="26"/>
  <c r="BM401" i="26"/>
  <c r="BF405" i="26"/>
  <c r="BE405" i="26"/>
  <c r="BD311" i="26"/>
  <c r="BD314" i="26"/>
  <c r="BN324" i="26"/>
  <c r="BM324" i="26"/>
  <c r="BN343" i="26"/>
  <c r="BM343" i="26"/>
  <c r="BM371" i="26"/>
  <c r="BN371" i="26"/>
  <c r="BN394" i="26"/>
  <c r="BM394" i="26"/>
  <c r="BL328" i="26"/>
  <c r="BL329" i="26"/>
  <c r="BD336" i="26"/>
  <c r="BD337" i="26"/>
  <c r="BL379" i="26"/>
  <c r="BD388" i="26"/>
  <c r="BK404" i="26"/>
  <c r="BL405" i="26"/>
  <c r="BL326" i="26"/>
  <c r="BD333" i="26"/>
  <c r="BL354" i="26"/>
  <c r="BD387" i="26"/>
  <c r="BL325" i="26"/>
  <c r="BL351" i="26"/>
  <c r="BL376" i="26"/>
  <c r="BL377" i="26"/>
  <c r="BD384" i="26"/>
  <c r="BD385" i="26"/>
  <c r="BD330" i="26"/>
  <c r="BL374" i="26"/>
  <c r="BD381" i="26"/>
  <c r="BL402" i="26"/>
  <c r="BL347" i="26"/>
  <c r="BD356" i="26"/>
  <c r="BL373" i="26"/>
  <c r="BL399" i="26"/>
  <c r="BL309" i="26"/>
  <c r="BL322" i="26"/>
  <c r="BD355" i="26"/>
  <c r="BD378" i="26"/>
  <c r="BL344" i="26"/>
  <c r="BL345" i="26"/>
  <c r="BD352" i="26"/>
  <c r="BD353" i="26"/>
  <c r="BM395" i="26"/>
  <c r="BN395" i="26"/>
  <c r="BL342" i="26"/>
  <c r="BD349" i="26"/>
  <c r="BL370" i="26"/>
  <c r="BD403" i="26"/>
  <c r="BL316" i="26"/>
  <c r="BD321" i="26"/>
  <c r="BD324" i="26"/>
  <c r="BL341" i="26"/>
  <c r="BL367" i="26"/>
  <c r="BL392" i="26"/>
  <c r="BL393" i="26"/>
  <c r="BD400" i="26"/>
  <c r="BD401" i="26"/>
  <c r="BD323" i="26"/>
  <c r="BD346" i="26"/>
  <c r="BL390" i="26"/>
  <c r="BD397" i="26"/>
  <c r="BL363" i="26"/>
  <c r="BD372" i="26"/>
  <c r="BL389" i="26"/>
  <c r="BL317" i="26"/>
  <c r="BL338" i="26"/>
  <c r="BD371" i="26"/>
  <c r="BD394" i="26"/>
  <c r="BF320" i="26"/>
  <c r="BL335" i="26"/>
  <c r="BL360" i="26"/>
  <c r="BL361" i="26"/>
  <c r="BD368" i="26"/>
  <c r="BD369" i="26"/>
  <c r="BF404" i="26"/>
  <c r="BL358" i="26"/>
  <c r="BD365" i="26"/>
  <c r="BL386" i="26"/>
  <c r="BD313" i="26"/>
  <c r="BL331" i="26"/>
  <c r="BD340" i="26"/>
  <c r="BL357" i="26"/>
  <c r="BL383" i="26"/>
  <c r="AT44" i="5"/>
  <c r="AU44" i="5" s="1"/>
  <c r="F20" i="22"/>
  <c r="R48" i="22"/>
  <c r="E86" i="22"/>
  <c r="F198" i="22"/>
  <c r="F208" i="22"/>
  <c r="V212" i="22"/>
  <c r="R261" i="22"/>
  <c r="Y20" i="22"/>
  <c r="Y34" i="22"/>
  <c r="V76" i="22"/>
  <c r="F86" i="22"/>
  <c r="E89" i="22"/>
  <c r="F112" i="22"/>
  <c r="O138" i="22"/>
  <c r="O191" i="22"/>
  <c r="Y212" i="22"/>
  <c r="Y224" i="22"/>
  <c r="AD265" i="22"/>
  <c r="F277" i="22"/>
  <c r="Q38" i="22"/>
  <c r="Y59" i="22"/>
  <c r="F69" i="22"/>
  <c r="E80" i="22"/>
  <c r="AA80" i="22" s="1"/>
  <c r="O83" i="22"/>
  <c r="V86" i="22"/>
  <c r="O97" i="22"/>
  <c r="R138" i="22"/>
  <c r="O164" i="22"/>
  <c r="O277" i="22"/>
  <c r="R296" i="22"/>
  <c r="AD86" i="22"/>
  <c r="AD138" i="22"/>
  <c r="R277" i="22"/>
  <c r="O15" i="22"/>
  <c r="AD63" i="22"/>
  <c r="Q80" i="22"/>
  <c r="S80" i="22" s="1"/>
  <c r="E128" i="22"/>
  <c r="S243" i="22"/>
  <c r="V277" i="22"/>
  <c r="F282" i="22"/>
  <c r="M282" i="22"/>
  <c r="AD192" i="22"/>
  <c r="O217" i="22"/>
  <c r="M263" i="22"/>
  <c r="Y253" i="22"/>
  <c r="V12" i="22"/>
  <c r="R39" i="22"/>
  <c r="Q271" i="22"/>
  <c r="S271" i="22" s="1"/>
  <c r="Q293" i="22"/>
  <c r="F302" i="22"/>
  <c r="R19" i="22"/>
  <c r="AD39" i="22"/>
  <c r="Q64" i="22"/>
  <c r="S64" i="22" s="1"/>
  <c r="V67" i="22"/>
  <c r="E200" i="22"/>
  <c r="R271" i="22"/>
  <c r="Q200" i="22"/>
  <c r="AT82" i="5"/>
  <c r="AU82" i="5" s="1"/>
  <c r="R26" i="22"/>
  <c r="V61" i="22"/>
  <c r="E75" i="22"/>
  <c r="E193" i="22"/>
  <c r="V200" i="22"/>
  <c r="BD173" i="26"/>
  <c r="AT17" i="5"/>
  <c r="AU17" i="5" s="1"/>
  <c r="AT185" i="5"/>
  <c r="AU185" i="5" s="1"/>
  <c r="V26" i="22"/>
  <c r="AD75" i="22"/>
  <c r="Y200" i="22"/>
  <c r="F17" i="22"/>
  <c r="Y40" i="22"/>
  <c r="O100" i="22"/>
  <c r="F115" i="22"/>
  <c r="E265" i="22"/>
  <c r="J265" i="22" s="1"/>
  <c r="O290" i="22"/>
  <c r="H46" i="16"/>
  <c r="D46" i="16"/>
  <c r="I46" i="16"/>
  <c r="J46" i="16"/>
  <c r="D45" i="16"/>
  <c r="H45" i="16"/>
  <c r="I45" i="16"/>
  <c r="J45" i="16"/>
  <c r="D44" i="16"/>
  <c r="H44" i="16"/>
  <c r="I44" i="16"/>
  <c r="J44" i="16"/>
  <c r="AD49" i="22"/>
  <c r="R83" i="22"/>
  <c r="Y90" i="22"/>
  <c r="V131" i="22"/>
  <c r="AD137" i="22"/>
  <c r="E140" i="22"/>
  <c r="Q157" i="22"/>
  <c r="S157" i="22" s="1"/>
  <c r="R163" i="22"/>
  <c r="AD251" i="22"/>
  <c r="Y259" i="22"/>
  <c r="Q263" i="22"/>
  <c r="Y276" i="22"/>
  <c r="R279" i="22"/>
  <c r="Y282" i="22"/>
  <c r="V302" i="22"/>
  <c r="AT5" i="5"/>
  <c r="AU5" i="5" s="1"/>
  <c r="AJ164" i="5" a="1"/>
  <c r="AJ164" i="5" s="1"/>
  <c r="O10" i="22"/>
  <c r="V46" i="22"/>
  <c r="V83" i="22"/>
  <c r="R88" i="22"/>
  <c r="E97" i="22"/>
  <c r="F124" i="22"/>
  <c r="F140" i="22"/>
  <c r="H140" i="22" s="1"/>
  <c r="Z140" i="22" s="1"/>
  <c r="R157" i="22"/>
  <c r="Y163" i="22"/>
  <c r="V184" i="22"/>
  <c r="O192" i="22"/>
  <c r="R198" i="22"/>
  <c r="R263" i="22"/>
  <c r="Y279" i="22"/>
  <c r="AD302" i="22"/>
  <c r="AT70" i="5"/>
  <c r="AU70" i="5" s="1"/>
  <c r="AD83" i="22"/>
  <c r="Q140" i="22"/>
  <c r="S140" i="22" s="1"/>
  <c r="Q192" i="22"/>
  <c r="S192" i="22" s="1"/>
  <c r="V204" i="22"/>
  <c r="V233" i="22"/>
  <c r="E237" i="22"/>
  <c r="R244" i="22"/>
  <c r="V263" i="22"/>
  <c r="AD279" i="22"/>
  <c r="O299" i="22"/>
  <c r="V117" i="22"/>
  <c r="AD157" i="22"/>
  <c r="R192" i="22"/>
  <c r="E230" i="22"/>
  <c r="AA230" i="22" s="1"/>
  <c r="F237" i="22"/>
  <c r="Y244" i="22"/>
  <c r="O296" i="22"/>
  <c r="Y299" i="22"/>
  <c r="E17" i="22"/>
  <c r="H17" i="22" s="1"/>
  <c r="Z17" i="22" s="1"/>
  <c r="E19" i="22"/>
  <c r="I208" i="22"/>
  <c r="Q226" i="22"/>
  <c r="F230" i="22"/>
  <c r="O237" i="22"/>
  <c r="E277" i="22"/>
  <c r="G277" i="22" s="1"/>
  <c r="Q296" i="22"/>
  <c r="S296" i="22" s="1"/>
  <c r="AT77" i="5"/>
  <c r="AU77" i="5" s="1"/>
  <c r="Q25" i="22"/>
  <c r="S25" i="22" s="1"/>
  <c r="V63" i="22"/>
  <c r="E69" i="22"/>
  <c r="J69" i="22" s="1"/>
  <c r="Y125" i="22"/>
  <c r="F182" i="22"/>
  <c r="V223" i="22"/>
  <c r="E234" i="22"/>
  <c r="E264" i="22"/>
  <c r="F274" i="22"/>
  <c r="O293" i="22"/>
  <c r="Y300" i="22"/>
  <c r="AT27" i="5"/>
  <c r="AU27" i="5" s="1"/>
  <c r="AT68" i="5"/>
  <c r="AU68" i="5" s="1"/>
  <c r="AT110" i="5"/>
  <c r="AU110" i="5" s="1"/>
  <c r="R15" i="22"/>
  <c r="V17" i="22"/>
  <c r="F22" i="22"/>
  <c r="R28" i="22"/>
  <c r="R69" i="22"/>
  <c r="E79" i="22"/>
  <c r="R84" i="22"/>
  <c r="F89" i="22"/>
  <c r="Q102" i="22"/>
  <c r="S102" i="22" s="1"/>
  <c r="Y112" i="22"/>
  <c r="Q115" i="22"/>
  <c r="S115" i="22" s="1"/>
  <c r="R136" i="22"/>
  <c r="Q158" i="22"/>
  <c r="S158" i="22" s="1"/>
  <c r="Q164" i="22"/>
  <c r="Y179" i="22"/>
  <c r="R234" i="22"/>
  <c r="V242" i="22"/>
  <c r="Q245" i="22"/>
  <c r="S245" i="22" s="1"/>
  <c r="Y274" i="22"/>
  <c r="V293" i="22"/>
  <c r="V15" i="22"/>
  <c r="Y17" i="22"/>
  <c r="Q22" i="22"/>
  <c r="S22" i="22" s="1"/>
  <c r="Y28" i="22"/>
  <c r="Q41" i="22"/>
  <c r="S41" i="22" s="1"/>
  <c r="O55" i="22"/>
  <c r="S69" i="22"/>
  <c r="Y84" i="22"/>
  <c r="O89" i="22"/>
  <c r="R102" i="22"/>
  <c r="AD105" i="22"/>
  <c r="R115" i="22"/>
  <c r="R158" i="22"/>
  <c r="F231" i="22"/>
  <c r="E258" i="22"/>
  <c r="AD274" i="22"/>
  <c r="O28" i="22"/>
  <c r="O84" i="22"/>
  <c r="O244" i="22"/>
  <c r="AT60" i="5"/>
  <c r="AU60" i="5" s="1"/>
  <c r="AT146" i="5"/>
  <c r="AU146" i="5" s="1"/>
  <c r="AT189" i="5"/>
  <c r="AU189" i="5" s="1"/>
  <c r="Y15" i="22"/>
  <c r="Q55" i="22"/>
  <c r="S55" i="22" s="1"/>
  <c r="Y69" i="22"/>
  <c r="AD84" i="22"/>
  <c r="R89" i="22"/>
  <c r="V102" i="22"/>
  <c r="E145" i="22"/>
  <c r="V231" i="22"/>
  <c r="F258" i="22"/>
  <c r="O26" i="22"/>
  <c r="E45" i="22"/>
  <c r="R55" i="22"/>
  <c r="Q61" i="22"/>
  <c r="S61" i="22" s="1"/>
  <c r="AD69" i="22"/>
  <c r="AA69" i="22" s="1"/>
  <c r="O87" i="22"/>
  <c r="Q193" i="22"/>
  <c r="O200" i="22"/>
  <c r="O213" i="22"/>
  <c r="Q224" i="22"/>
  <c r="S224" i="22" s="1"/>
  <c r="O250" i="22"/>
  <c r="O258" i="22"/>
  <c r="E272" i="22"/>
  <c r="I272" i="22" s="1"/>
  <c r="AD290" i="22"/>
  <c r="R305" i="22"/>
  <c r="E20" i="22"/>
  <c r="O39" i="22"/>
  <c r="Y55" i="22"/>
  <c r="R61" i="22"/>
  <c r="E64" i="22"/>
  <c r="AA64" i="22" s="1"/>
  <c r="O96" i="22"/>
  <c r="Y142" i="22"/>
  <c r="V149" i="22"/>
  <c r="R213" i="22"/>
  <c r="V258" i="22"/>
  <c r="O38" i="22"/>
  <c r="M94" i="22"/>
  <c r="M105" i="22"/>
  <c r="M156" i="22"/>
  <c r="O214" i="22"/>
  <c r="M221" i="22"/>
  <c r="M230" i="22"/>
  <c r="O254" i="22"/>
  <c r="AI17" i="5" a="1"/>
  <c r="AI17" i="5" s="1"/>
  <c r="AT177" i="5"/>
  <c r="AU177" i="5" s="1"/>
  <c r="E18" i="22"/>
  <c r="F42" i="22"/>
  <c r="F93" i="22"/>
  <c r="E16" i="22"/>
  <c r="F18" i="22"/>
  <c r="E49" i="22"/>
  <c r="R77" i="22"/>
  <c r="V100" i="22"/>
  <c r="V137" i="22"/>
  <c r="AD200" i="22"/>
  <c r="Q247" i="22"/>
  <c r="S247" i="22" s="1"/>
  <c r="V251" i="22"/>
  <c r="E255" i="22"/>
  <c r="O263" i="22"/>
  <c r="F279" i="22"/>
  <c r="R282" i="22"/>
  <c r="R302" i="22"/>
  <c r="O43" i="22"/>
  <c r="O59" i="22"/>
  <c r="M80" i="22"/>
  <c r="I43" i="16"/>
  <c r="D43" i="16"/>
  <c r="J43" i="16"/>
  <c r="H43" i="16"/>
  <c r="I42" i="16"/>
  <c r="D42" i="16"/>
  <c r="H42" i="16"/>
  <c r="J42" i="16"/>
  <c r="D41" i="16"/>
  <c r="I41" i="16"/>
  <c r="H41" i="16"/>
  <c r="J41" i="16"/>
  <c r="H40" i="16"/>
  <c r="J40" i="16"/>
  <c r="D40" i="16"/>
  <c r="I40" i="16"/>
  <c r="H39" i="16"/>
  <c r="J39" i="16"/>
  <c r="D39" i="16"/>
  <c r="I39" i="16"/>
  <c r="D38" i="16"/>
  <c r="J38" i="16"/>
  <c r="I38" i="16"/>
  <c r="H38" i="16"/>
  <c r="D37" i="16"/>
  <c r="J37" i="16"/>
  <c r="H37" i="16"/>
  <c r="I37" i="16"/>
  <c r="AT104" i="5"/>
  <c r="AU104" i="5" s="1"/>
  <c r="AT7" i="5"/>
  <c r="AU7" i="5" s="1"/>
  <c r="AT81" i="5"/>
  <c r="AU81" i="5" s="1"/>
  <c r="AT121" i="5"/>
  <c r="AU121" i="5" s="1"/>
  <c r="AT138" i="5"/>
  <c r="AU138" i="5" s="1"/>
  <c r="AT168" i="5"/>
  <c r="AU168" i="5" s="1"/>
  <c r="V65" i="22"/>
  <c r="R65" i="22"/>
  <c r="Q65" i="22"/>
  <c r="S65" i="22" s="1"/>
  <c r="M218" i="22"/>
  <c r="AT37" i="5"/>
  <c r="AU37" i="5" s="1"/>
  <c r="AD222" i="22"/>
  <c r="Y222" i="22"/>
  <c r="V222" i="22"/>
  <c r="R222" i="22"/>
  <c r="Q222" i="22"/>
  <c r="S222" i="22" s="1"/>
  <c r="O222" i="22"/>
  <c r="M222" i="22"/>
  <c r="F222" i="22"/>
  <c r="E222" i="22"/>
  <c r="G222" i="22" s="1"/>
  <c r="M248" i="22"/>
  <c r="M288" i="22"/>
  <c r="AT94" i="5"/>
  <c r="AU94" i="5" s="1"/>
  <c r="AT167" i="5"/>
  <c r="AU167" i="5" s="1"/>
  <c r="AT202" i="5"/>
  <c r="AU202" i="5" s="1"/>
  <c r="AD108" i="22"/>
  <c r="Y108" i="22"/>
  <c r="V108" i="22"/>
  <c r="O108" i="22"/>
  <c r="E108" i="22"/>
  <c r="AD185" i="22"/>
  <c r="Y185" i="22"/>
  <c r="R185" i="22"/>
  <c r="Q185" i="22"/>
  <c r="S185" i="22" s="1"/>
  <c r="O185" i="22"/>
  <c r="F241" i="22"/>
  <c r="Y241" i="22"/>
  <c r="E241" i="22"/>
  <c r="AT102" i="5"/>
  <c r="AU102" i="5" s="1"/>
  <c r="AT124" i="5"/>
  <c r="AU124" i="5" s="1"/>
  <c r="AT152" i="5"/>
  <c r="AU152" i="5" s="1"/>
  <c r="AT154" i="5"/>
  <c r="AU154" i="5" s="1"/>
  <c r="AT158" i="5"/>
  <c r="AU158" i="5" s="1"/>
  <c r="AT162" i="5"/>
  <c r="AU162" i="5" s="1"/>
  <c r="AT175" i="5"/>
  <c r="AU175" i="5" s="1"/>
  <c r="AT206" i="5"/>
  <c r="AU206" i="5" s="1"/>
  <c r="BF173" i="26"/>
  <c r="BE173" i="26"/>
  <c r="AT20" i="5"/>
  <c r="AU20" i="5" s="1"/>
  <c r="AT32" i="5"/>
  <c r="AU32" i="5" s="1"/>
  <c r="AT40" i="5"/>
  <c r="AU40" i="5" s="1"/>
  <c r="AT55" i="5"/>
  <c r="AU55" i="5" s="1"/>
  <c r="AT62" i="5"/>
  <c r="AU62" i="5" s="1"/>
  <c r="AT98" i="5"/>
  <c r="AU98" i="5" s="1"/>
  <c r="O158" i="22"/>
  <c r="R219" i="22"/>
  <c r="Q219" i="22"/>
  <c r="S219" i="22" s="1"/>
  <c r="O219" i="22"/>
  <c r="AT18" i="5"/>
  <c r="AU18" i="5" s="1"/>
  <c r="AT14" i="5"/>
  <c r="AU14" i="5" s="1"/>
  <c r="AT66" i="5"/>
  <c r="AU66" i="5" s="1"/>
  <c r="AT141" i="5"/>
  <c r="AU141" i="5" s="1"/>
  <c r="AT171" i="5"/>
  <c r="AU171" i="5" s="1"/>
  <c r="AT28" i="5"/>
  <c r="AU28" i="5" s="1"/>
  <c r="AT101" i="5"/>
  <c r="AU101" i="5" s="1"/>
  <c r="M128" i="22"/>
  <c r="M157" i="22"/>
  <c r="M164" i="22"/>
  <c r="M180" i="22"/>
  <c r="M200" i="22"/>
  <c r="M208" i="22"/>
  <c r="M237" i="22"/>
  <c r="M242" i="22"/>
  <c r="M274" i="22"/>
  <c r="M277" i="22"/>
  <c r="M279" i="22"/>
  <c r="M290" i="22"/>
  <c r="M224" i="22"/>
  <c r="AT78" i="5"/>
  <c r="AU78" i="5" s="1"/>
  <c r="AT114" i="5"/>
  <c r="AU114" i="5" s="1"/>
  <c r="R85" i="22"/>
  <c r="E85" i="22"/>
  <c r="AD106" i="22"/>
  <c r="Y106" i="22"/>
  <c r="V106" i="22"/>
  <c r="R106" i="22"/>
  <c r="Q106" i="22"/>
  <c r="S106" i="22" s="1"/>
  <c r="O106" i="22"/>
  <c r="F106" i="22"/>
  <c r="E106" i="22"/>
  <c r="M235" i="22"/>
  <c r="O235" i="22"/>
  <c r="F235" i="22"/>
  <c r="E235" i="22"/>
  <c r="M246" i="22"/>
  <c r="AT22" i="5"/>
  <c r="AU22" i="5" s="1"/>
  <c r="AT169" i="5"/>
  <c r="AU169" i="5" s="1"/>
  <c r="AT191" i="5"/>
  <c r="AU191" i="5" s="1"/>
  <c r="M286" i="22"/>
  <c r="AD286" i="22"/>
  <c r="Y286" i="22"/>
  <c r="V286" i="22"/>
  <c r="Q286" i="22"/>
  <c r="O286" i="22"/>
  <c r="F286" i="22"/>
  <c r="E286" i="22"/>
  <c r="O166" i="22"/>
  <c r="M166" i="22"/>
  <c r="O302" i="22"/>
  <c r="M302" i="22"/>
  <c r="AD24" i="22"/>
  <c r="Y24" i="22"/>
  <c r="R24" i="22"/>
  <c r="Q24" i="22"/>
  <c r="S24" i="22" s="1"/>
  <c r="F24" i="22"/>
  <c r="E24" i="22"/>
  <c r="AT38" i="5"/>
  <c r="AU38" i="5" s="1"/>
  <c r="AD229" i="22"/>
  <c r="Y229" i="22"/>
  <c r="V229" i="22"/>
  <c r="R229" i="22"/>
  <c r="Q229" i="22"/>
  <c r="S229" i="22" s="1"/>
  <c r="I229" i="22"/>
  <c r="F229" i="22"/>
  <c r="J229" i="22" s="1"/>
  <c r="E229" i="22"/>
  <c r="AT135" i="5"/>
  <c r="AU135" i="5" s="1"/>
  <c r="AT195" i="5"/>
  <c r="AU195" i="5" s="1"/>
  <c r="AT46" i="5"/>
  <c r="AU46" i="5" s="1"/>
  <c r="AI63" i="5" a="1"/>
  <c r="AI63" i="5" s="1"/>
  <c r="AT147" i="5"/>
  <c r="AU147" i="5" s="1"/>
  <c r="AD135" i="22"/>
  <c r="F135" i="22"/>
  <c r="H208" i="22"/>
  <c r="Z208" i="22" s="1"/>
  <c r="BD43" i="26"/>
  <c r="BD295" i="26"/>
  <c r="O9" i="22"/>
  <c r="F12" i="22"/>
  <c r="AD20" i="22"/>
  <c r="S34" i="22"/>
  <c r="V36" i="22"/>
  <c r="O44" i="22"/>
  <c r="Q49" i="22"/>
  <c r="S49" i="22" s="1"/>
  <c r="Q67" i="22"/>
  <c r="M83" i="22"/>
  <c r="E91" i="22"/>
  <c r="J91" i="22" s="1"/>
  <c r="E100" i="22"/>
  <c r="F129" i="22"/>
  <c r="Y144" i="22"/>
  <c r="M147" i="22"/>
  <c r="E156" i="22"/>
  <c r="E173" i="22"/>
  <c r="O176" i="22"/>
  <c r="AD179" i="22"/>
  <c r="V195" i="22"/>
  <c r="E214" i="22"/>
  <c r="E232" i="22"/>
  <c r="F261" i="22"/>
  <c r="Y305" i="22"/>
  <c r="Q12" i="22"/>
  <c r="S12" i="22" s="1"/>
  <c r="O17" i="22"/>
  <c r="V28" i="22"/>
  <c r="E34" i="22"/>
  <c r="AA34" i="22" s="1"/>
  <c r="E61" i="22"/>
  <c r="O63" i="22"/>
  <c r="R67" i="22"/>
  <c r="V69" i="22"/>
  <c r="E83" i="22"/>
  <c r="F91" i="22"/>
  <c r="F100" i="22"/>
  <c r="AD125" i="22"/>
  <c r="AA125" i="22" s="1"/>
  <c r="AC125" i="22" s="1"/>
  <c r="Q129" i="22"/>
  <c r="S129" i="22" s="1"/>
  <c r="M139" i="22"/>
  <c r="Q147" i="22"/>
  <c r="S147" i="22" s="1"/>
  <c r="F156" i="22"/>
  <c r="G156" i="22" s="1"/>
  <c r="O159" i="22"/>
  <c r="R173" i="22"/>
  <c r="F214" i="22"/>
  <c r="H214" i="22" s="1"/>
  <c r="F232" i="22"/>
  <c r="M261" i="22"/>
  <c r="BD46" i="26"/>
  <c r="BD54" i="26"/>
  <c r="BD62" i="26"/>
  <c r="BL65" i="26"/>
  <c r="BD70" i="26"/>
  <c r="BD242" i="26"/>
  <c r="BD250" i="26"/>
  <c r="BD258" i="26"/>
  <c r="BD266" i="26"/>
  <c r="BD274" i="26"/>
  <c r="BL280" i="26"/>
  <c r="R12" i="22"/>
  <c r="S67" i="22"/>
  <c r="AA79" i="22"/>
  <c r="O91" i="22"/>
  <c r="M187" i="22"/>
  <c r="O232" i="22"/>
  <c r="BL299" i="26"/>
  <c r="AD12" i="22"/>
  <c r="F79" i="22"/>
  <c r="J79" i="22" s="1"/>
  <c r="Y87" i="22"/>
  <c r="F128" i="22"/>
  <c r="J128" i="22" s="1"/>
  <c r="O156" i="22"/>
  <c r="AD187" i="22"/>
  <c r="O193" i="22"/>
  <c r="Q198" i="22"/>
  <c r="S198" i="22" s="1"/>
  <c r="Q214" i="22"/>
  <c r="S214" i="22" s="1"/>
  <c r="O245" i="22"/>
  <c r="BD137" i="26"/>
  <c r="BE137" i="26" s="1"/>
  <c r="BL238" i="26"/>
  <c r="Q156" i="22"/>
  <c r="S156" i="22" s="1"/>
  <c r="R214" i="22"/>
  <c r="M289" i="22"/>
  <c r="M11" i="22"/>
  <c r="M24" i="22"/>
  <c r="M33" i="22"/>
  <c r="M37" i="22"/>
  <c r="M51" i="22"/>
  <c r="M65" i="22"/>
  <c r="O67" i="22"/>
  <c r="M79" i="22"/>
  <c r="M82" i="22"/>
  <c r="Q10" i="22"/>
  <c r="S10" i="22" s="1"/>
  <c r="V32" i="22"/>
  <c r="Q42" i="22"/>
  <c r="S42" i="22" s="1"/>
  <c r="F45" i="22"/>
  <c r="H45" i="22" s="1"/>
  <c r="Y61" i="22"/>
  <c r="O79" i="22"/>
  <c r="E81" i="22"/>
  <c r="AA81" i="22" s="1"/>
  <c r="M111" i="22"/>
  <c r="E116" i="22"/>
  <c r="R124" i="22"/>
  <c r="F126" i="22"/>
  <c r="O128" i="22"/>
  <c r="O145" i="22"/>
  <c r="R156" i="22"/>
  <c r="E160" i="22"/>
  <c r="F183" i="22"/>
  <c r="J183" i="22" s="1"/>
  <c r="M196" i="22"/>
  <c r="V214" i="22"/>
  <c r="Q217" i="22"/>
  <c r="S217" i="22" s="1"/>
  <c r="R226" i="22"/>
  <c r="AA237" i="22"/>
  <c r="R245" i="22"/>
  <c r="F256" i="22"/>
  <c r="F264" i="22"/>
  <c r="Y277" i="22"/>
  <c r="AD282" i="22"/>
  <c r="E292" i="22"/>
  <c r="I292" i="22" s="1"/>
  <c r="T292" i="22" s="1"/>
  <c r="O24" i="22"/>
  <c r="BD240" i="26"/>
  <c r="E29" i="22"/>
  <c r="Y32" i="22"/>
  <c r="AD34" i="22"/>
  <c r="Q45" i="22"/>
  <c r="S45" i="22" s="1"/>
  <c r="Q59" i="22"/>
  <c r="S59" i="22" s="1"/>
  <c r="AD61" i="22"/>
  <c r="Y79" i="22"/>
  <c r="V81" i="22"/>
  <c r="Q111" i="22"/>
  <c r="S111" i="22" s="1"/>
  <c r="F116" i="22"/>
  <c r="V121" i="22"/>
  <c r="Q128" i="22"/>
  <c r="S128" i="22" s="1"/>
  <c r="M148" i="22"/>
  <c r="V156" i="22"/>
  <c r="R160" i="22"/>
  <c r="M163" i="22"/>
  <c r="O174" i="22"/>
  <c r="M183" i="22"/>
  <c r="O196" i="22"/>
  <c r="O204" i="22"/>
  <c r="R217" i="22"/>
  <c r="E224" i="22"/>
  <c r="S226" i="22"/>
  <c r="E244" i="22"/>
  <c r="O256" i="22"/>
  <c r="M264" i="22"/>
  <c r="F269" i="22"/>
  <c r="M276" i="22"/>
  <c r="E280" i="22"/>
  <c r="F292" i="22"/>
  <c r="BL294" i="26"/>
  <c r="AT39" i="5"/>
  <c r="AU39" i="5" s="1"/>
  <c r="AT151" i="5"/>
  <c r="AU151" i="5" s="1"/>
  <c r="AT170" i="5"/>
  <c r="AU170" i="5" s="1"/>
  <c r="AT193" i="5"/>
  <c r="AU193" i="5" s="1"/>
  <c r="AT197" i="5"/>
  <c r="AU197" i="5" s="1"/>
  <c r="AT199" i="5"/>
  <c r="AU199" i="5" s="1"/>
  <c r="Q29" i="22"/>
  <c r="S29" i="22" s="1"/>
  <c r="Y45" i="22"/>
  <c r="AD81" i="22"/>
  <c r="Y101" i="22"/>
  <c r="R111" i="22"/>
  <c r="M116" i="22"/>
  <c r="R128" i="22"/>
  <c r="O133" i="22"/>
  <c r="O148" i="22"/>
  <c r="Y156" i="22"/>
  <c r="M158" i="22"/>
  <c r="V160" i="22"/>
  <c r="O163" i="22"/>
  <c r="Q183" i="22"/>
  <c r="S183" i="22" s="1"/>
  <c r="M192" i="22"/>
  <c r="Q196" i="22"/>
  <c r="S196" i="22" s="1"/>
  <c r="M204" i="22"/>
  <c r="E213" i="22"/>
  <c r="AA213" i="22" s="1"/>
  <c r="V217" i="22"/>
  <c r="F224" i="22"/>
  <c r="F233" i="22"/>
  <c r="F244" i="22"/>
  <c r="Y256" i="22"/>
  <c r="O264" i="22"/>
  <c r="M269" i="22"/>
  <c r="E274" i="22"/>
  <c r="F280" i="22"/>
  <c r="BL16" i="26"/>
  <c r="E88" i="22"/>
  <c r="AA88" i="22" s="1"/>
  <c r="O116" i="22"/>
  <c r="V128" i="22"/>
  <c r="V133" i="22"/>
  <c r="F151" i="22"/>
  <c r="F165" i="22"/>
  <c r="R183" i="22"/>
  <c r="E192" i="22"/>
  <c r="Y196" i="22"/>
  <c r="R204" i="22"/>
  <c r="M213" i="22"/>
  <c r="O233" i="22"/>
  <c r="F242" i="22"/>
  <c r="M244" i="22"/>
  <c r="Q264" i="22"/>
  <c r="S264" i="22" s="1"/>
  <c r="F290" i="22"/>
  <c r="O53" i="22"/>
  <c r="O61" i="22"/>
  <c r="O69" i="22"/>
  <c r="M86" i="22"/>
  <c r="M89" i="22"/>
  <c r="M91" i="22"/>
  <c r="O93" i="22"/>
  <c r="M102" i="22"/>
  <c r="M104" i="22"/>
  <c r="M108" i="22"/>
  <c r="M112" i="22"/>
  <c r="O125" i="22"/>
  <c r="M138" i="22"/>
  <c r="M161" i="22"/>
  <c r="BD10" i="26"/>
  <c r="BD18" i="26"/>
  <c r="BD42" i="26"/>
  <c r="BD82" i="26"/>
  <c r="BF82" i="26" s="1"/>
  <c r="BD90" i="26"/>
  <c r="BF90" i="26" s="1"/>
  <c r="BD106" i="26"/>
  <c r="BD114" i="26"/>
  <c r="BD122" i="26"/>
  <c r="BD130" i="26"/>
  <c r="BD138" i="26"/>
  <c r="BD154" i="26"/>
  <c r="BD162" i="26"/>
  <c r="BD170" i="26"/>
  <c r="BD174" i="26"/>
  <c r="BD182" i="26"/>
  <c r="BL188" i="26"/>
  <c r="BD190" i="26"/>
  <c r="BD198" i="26"/>
  <c r="BD214" i="26"/>
  <c r="BD222" i="26"/>
  <c r="BF222" i="26" s="1"/>
  <c r="BD230" i="26"/>
  <c r="BE230" i="26" s="1"/>
  <c r="BD238" i="26"/>
  <c r="BD286" i="26"/>
  <c r="BD294" i="26"/>
  <c r="Q116" i="22"/>
  <c r="S116" i="22" s="1"/>
  <c r="Y128" i="22"/>
  <c r="R264" i="22"/>
  <c r="Q292" i="22"/>
  <c r="BD98" i="26"/>
  <c r="Q43" i="22"/>
  <c r="S43" i="22" s="1"/>
  <c r="V51" i="22"/>
  <c r="E66" i="22"/>
  <c r="R116" i="22"/>
  <c r="Q119" i="22"/>
  <c r="F125" i="22"/>
  <c r="G125" i="22" s="1"/>
  <c r="F194" i="22"/>
  <c r="O242" i="22"/>
  <c r="Q244" i="22"/>
  <c r="S244" i="22" s="1"/>
  <c r="F263" i="22"/>
  <c r="H263" i="22" s="1"/>
  <c r="Z263" i="22" s="1"/>
  <c r="V264" i="22"/>
  <c r="F266" i="22"/>
  <c r="H266" i="22" s="1"/>
  <c r="Z266" i="22" s="1"/>
  <c r="G272" i="22"/>
  <c r="O274" i="22"/>
  <c r="M278" i="22"/>
  <c r="R292" i="22"/>
  <c r="BD133" i="26"/>
  <c r="BL168" i="26"/>
  <c r="V18" i="22"/>
  <c r="O20" i="22"/>
  <c r="R38" i="22"/>
  <c r="E62" i="22"/>
  <c r="AA62" i="22" s="1"/>
  <c r="O71" i="22"/>
  <c r="F127" i="22"/>
  <c r="M131" i="22"/>
  <c r="E144" i="22"/>
  <c r="Y264" i="22"/>
  <c r="M266" i="22"/>
  <c r="M272" i="22"/>
  <c r="Q274" i="22"/>
  <c r="S274" i="22" s="1"/>
  <c r="Q290" i="22"/>
  <c r="V292" i="22"/>
  <c r="F295" i="22"/>
  <c r="BL258" i="26"/>
  <c r="R20" i="22"/>
  <c r="AD38" i="22"/>
  <c r="Y71" i="22"/>
  <c r="Q125" i="22"/>
  <c r="S125" i="22" s="1"/>
  <c r="V127" i="22"/>
  <c r="O131" i="22"/>
  <c r="M144" i="22"/>
  <c r="Q179" i="22"/>
  <c r="S179" i="22" s="1"/>
  <c r="V186" i="22"/>
  <c r="O257" i="22"/>
  <c r="Y290" i="22"/>
  <c r="Y292" i="22"/>
  <c r="M298" i="22"/>
  <c r="BD268" i="26"/>
  <c r="S20" i="22"/>
  <c r="AD71" i="22"/>
  <c r="R125" i="22"/>
  <c r="AI25" i="5" a="1"/>
  <c r="AI25" i="5" s="1"/>
  <c r="AJ41" i="5" a="1"/>
  <c r="AJ41" i="5" s="1"/>
  <c r="AT97" i="5"/>
  <c r="AU97" i="5" s="1"/>
  <c r="AT4" i="5"/>
  <c r="AU4" i="5" s="1"/>
  <c r="AT92" i="5"/>
  <c r="AU92" i="5" s="1"/>
  <c r="AT144" i="5"/>
  <c r="AU144" i="5" s="1"/>
  <c r="AT133" i="5"/>
  <c r="AU133" i="5" s="1"/>
  <c r="AI13" i="5" a="1"/>
  <c r="AI13" i="5" s="1"/>
  <c r="AI29" i="5" a="1"/>
  <c r="AI29" i="5" s="1"/>
  <c r="AI39" i="5" a="1"/>
  <c r="AI39" i="5" s="1"/>
  <c r="AJ57" i="5" a="1"/>
  <c r="AJ57" i="5" s="1"/>
  <c r="AI191" i="5" a="1"/>
  <c r="AI191" i="5" s="1"/>
  <c r="AJ23" i="5" a="1"/>
  <c r="AJ23" i="5" s="1"/>
  <c r="AJ29" i="5" a="1"/>
  <c r="AJ29" i="5" s="1"/>
  <c r="AJ39" i="5" a="1"/>
  <c r="AJ39" i="5" s="1"/>
  <c r="AT87" i="5"/>
  <c r="AU87" i="5" s="1"/>
  <c r="AI172" i="5" a="1"/>
  <c r="AI172" i="5" s="1"/>
  <c r="AT184" i="5"/>
  <c r="AU184" i="5" s="1"/>
  <c r="AI28" i="5" a="1"/>
  <c r="AI28" i="5" s="1"/>
  <c r="AK28" i="5" s="1"/>
  <c r="AL28" i="5" s="1"/>
  <c r="AJ34" i="5" a="1"/>
  <c r="AJ34" i="5" s="1"/>
  <c r="AJ67" i="5" a="1"/>
  <c r="AJ67" i="5" s="1"/>
  <c r="AI109" i="5" a="1"/>
  <c r="AI109" i="5" s="1"/>
  <c r="AJ118" i="5" a="1"/>
  <c r="AJ118" i="5" s="1"/>
  <c r="AI127" i="5" a="1"/>
  <c r="AI127" i="5" s="1"/>
  <c r="AJ7" i="5" a="1"/>
  <c r="AJ7" i="5" s="1"/>
  <c r="AT12" i="5"/>
  <c r="AU12" i="5" s="1"/>
  <c r="AI27" i="5" a="1"/>
  <c r="AI27" i="5" s="1"/>
  <c r="AI33" i="5" a="1"/>
  <c r="AI33" i="5" s="1"/>
  <c r="AK33" i="5" s="1"/>
  <c r="AL33" i="5" s="1"/>
  <c r="AT34" i="5"/>
  <c r="AU34" i="5" s="1"/>
  <c r="AT56" i="5"/>
  <c r="AU56" i="5" s="1"/>
  <c r="AT72" i="5"/>
  <c r="AU72" i="5" s="1"/>
  <c r="AT74" i="5"/>
  <c r="AU74" i="5" s="1"/>
  <c r="AT90" i="5"/>
  <c r="AU90" i="5" s="1"/>
  <c r="AJ113" i="5" a="1"/>
  <c r="AJ113" i="5" s="1"/>
  <c r="J17" i="22"/>
  <c r="AI6" i="5" a="1"/>
  <c r="AI6" i="5" s="1"/>
  <c r="AI51" i="5" a="1"/>
  <c r="AI51" i="5" s="1"/>
  <c r="AJ71" i="5" a="1"/>
  <c r="AJ71" i="5" s="1"/>
  <c r="AJ103" i="5" a="1"/>
  <c r="AJ103" i="5" s="1"/>
  <c r="AJ33" i="5" a="1"/>
  <c r="AJ33" i="5" s="1"/>
  <c r="AI60" i="5" a="1"/>
  <c r="AI60" i="5" s="1"/>
  <c r="AT153" i="5"/>
  <c r="AU153" i="5" s="1"/>
  <c r="AJ157" i="5" a="1"/>
  <c r="AJ157" i="5" s="1"/>
  <c r="AI5" i="5" a="1"/>
  <c r="AI5" i="5" s="1"/>
  <c r="AT6" i="5"/>
  <c r="AU6" i="5" s="1"/>
  <c r="AI167" i="5" a="1"/>
  <c r="AI167" i="5" s="1"/>
  <c r="AJ69" i="5" a="1"/>
  <c r="AJ69" i="5" s="1"/>
  <c r="AJ13" i="5" a="1"/>
  <c r="AJ13" i="5" s="1"/>
  <c r="AJ12" i="5" a="1"/>
  <c r="AJ12" i="5" s="1"/>
  <c r="AI55" i="5" a="1"/>
  <c r="AI55" i="5" s="1"/>
  <c r="AI43" i="5" a="1"/>
  <c r="AI43" i="5" s="1"/>
  <c r="AJ73" i="5" a="1"/>
  <c r="AJ73" i="5" s="1"/>
  <c r="AJ66" i="5" a="1"/>
  <c r="AJ66" i="5" s="1"/>
  <c r="AI59" i="5" a="1"/>
  <c r="AI59" i="5" s="1"/>
  <c r="AI23" i="5" a="1"/>
  <c r="AI23" i="5" s="1"/>
  <c r="AJ17" i="5" a="1"/>
  <c r="AJ17" i="5" s="1"/>
  <c r="AI75" i="5" a="1"/>
  <c r="AI75" i="5" s="1"/>
  <c r="AI12" i="5" a="1"/>
  <c r="AI12" i="5" s="1"/>
  <c r="AJ197" i="5" a="1"/>
  <c r="AJ197" i="5" s="1"/>
  <c r="AJ87" i="5" a="1"/>
  <c r="AJ87" i="5" s="1"/>
  <c r="AJ65" i="5" a="1"/>
  <c r="AJ65" i="5" s="1"/>
  <c r="AJ40" i="5" a="1"/>
  <c r="AJ40" i="5" s="1"/>
  <c r="AJ93" i="5" a="1"/>
  <c r="AJ93" i="5" s="1"/>
  <c r="AJ77" i="5" a="1"/>
  <c r="AJ77" i="5" s="1"/>
  <c r="AJ28" i="5" a="1"/>
  <c r="AJ28" i="5" s="1"/>
  <c r="AI154" i="5" a="1"/>
  <c r="AI154" i="5" s="1"/>
  <c r="AI77" i="5" a="1"/>
  <c r="AI77" i="5" s="1"/>
  <c r="AJ72" i="5" a="1"/>
  <c r="AJ72" i="5" s="1"/>
  <c r="AJ35" i="5" a="1"/>
  <c r="AJ35" i="5" s="1"/>
  <c r="AI67" i="5" a="1"/>
  <c r="AI67" i="5" s="1"/>
  <c r="AI22" i="5" a="1"/>
  <c r="AI22" i="5" s="1"/>
  <c r="AI9" i="5" a="1"/>
  <c r="AI9" i="5" s="1"/>
  <c r="AJ89" i="5" a="1"/>
  <c r="AJ89" i="5" s="1"/>
  <c r="AI61" i="5" a="1"/>
  <c r="AI61" i="5" s="1"/>
  <c r="AJ55" i="5" a="1"/>
  <c r="AJ55" i="5" s="1"/>
  <c r="AJ131" i="5" a="1"/>
  <c r="AJ131" i="5" s="1"/>
  <c r="AJ50" i="5" a="1"/>
  <c r="AJ50" i="5" s="1"/>
  <c r="AI44" i="5" a="1"/>
  <c r="AI44" i="5" s="1"/>
  <c r="AJ37" i="5" a="1"/>
  <c r="AJ37" i="5" s="1"/>
  <c r="AJ11" i="5" a="1"/>
  <c r="AJ11" i="5" s="1"/>
  <c r="AJ156" i="5" a="1"/>
  <c r="AJ156" i="5" s="1"/>
  <c r="AI111" i="5" a="1"/>
  <c r="AI111" i="5" s="1"/>
  <c r="AJ56" i="5" a="1"/>
  <c r="AJ56" i="5" s="1"/>
  <c r="AJ45" i="5" a="1"/>
  <c r="AJ45" i="5" s="1"/>
  <c r="AJ132" i="5" a="1"/>
  <c r="AJ132" i="5" s="1"/>
  <c r="AJ51" i="5" a="1"/>
  <c r="AJ51" i="5" s="1"/>
  <c r="AI45" i="5" a="1"/>
  <c r="AI45" i="5" s="1"/>
  <c r="AK45" i="5" s="1"/>
  <c r="AL45" i="5" s="1"/>
  <c r="AI11" i="5" a="1"/>
  <c r="AI11" i="5" s="1"/>
  <c r="AI71" i="5" a="1"/>
  <c r="AI71" i="5" s="1"/>
  <c r="AT16" i="5"/>
  <c r="AU16" i="5" s="1"/>
  <c r="AT42" i="5"/>
  <c r="AU42" i="5" s="1"/>
  <c r="AT65" i="5"/>
  <c r="AU65" i="5" s="1"/>
  <c r="AJ15" i="5" a="1"/>
  <c r="AJ15" i="5" s="1"/>
  <c r="K36" i="6"/>
  <c r="AE36" i="5"/>
  <c r="X36" i="6" s="1"/>
  <c r="AI79" i="5" a="1"/>
  <c r="AI79" i="5" s="1"/>
  <c r="AI165" i="5" a="1"/>
  <c r="AI165" i="5" s="1"/>
  <c r="AT24" i="5"/>
  <c r="AU24" i="5" s="1"/>
  <c r="AT57" i="5"/>
  <c r="AU57" i="5" s="1"/>
  <c r="AT69" i="5"/>
  <c r="AU69" i="5" s="1"/>
  <c r="AT80" i="5"/>
  <c r="AU80" i="5" s="1"/>
  <c r="AT86" i="5"/>
  <c r="AU86" i="5" s="1"/>
  <c r="AT127" i="5"/>
  <c r="AU127" i="5" s="1"/>
  <c r="AT176" i="5"/>
  <c r="AU176" i="5" s="1"/>
  <c r="AT201" i="5"/>
  <c r="AU201" i="5" s="1"/>
  <c r="AD52" i="22"/>
  <c r="R52" i="22"/>
  <c r="Q52" i="22"/>
  <c r="S52" i="22" s="1"/>
  <c r="O52" i="22"/>
  <c r="M52" i="22"/>
  <c r="F52" i="22"/>
  <c r="AT126" i="5"/>
  <c r="AU126" i="5" s="1"/>
  <c r="AT137" i="5"/>
  <c r="AU137" i="5" s="1"/>
  <c r="AT11" i="5"/>
  <c r="AU11" i="5" s="1"/>
  <c r="AD36" i="5"/>
  <c r="W36" i="6" s="1"/>
  <c r="AT45" i="5"/>
  <c r="AU45" i="5" s="1"/>
  <c r="AT132" i="5"/>
  <c r="AU132" i="5" s="1"/>
  <c r="AT180" i="5"/>
  <c r="AU180" i="5" s="1"/>
  <c r="AT200" i="5"/>
  <c r="AU200" i="5" s="1"/>
  <c r="AT205" i="5"/>
  <c r="AU205" i="5" s="1"/>
  <c r="R294" i="22"/>
  <c r="Q294" i="22"/>
  <c r="S294" i="22" s="1"/>
  <c r="O294" i="22"/>
  <c r="E294" i="22"/>
  <c r="V294" i="22"/>
  <c r="F294" i="22"/>
  <c r="Y6" i="22"/>
  <c r="E6" i="22"/>
  <c r="V72" i="22"/>
  <c r="R72" i="22"/>
  <c r="Q72" i="22"/>
  <c r="S72" i="22" s="1"/>
  <c r="Y72" i="22"/>
  <c r="O72" i="22"/>
  <c r="M72" i="22"/>
  <c r="F72" i="22"/>
  <c r="E72" i="22"/>
  <c r="AD169" i="22"/>
  <c r="Y169" i="22"/>
  <c r="V169" i="22"/>
  <c r="R169" i="22"/>
  <c r="F169" i="22"/>
  <c r="E169" i="22"/>
  <c r="M64" i="22"/>
  <c r="AA24" i="22"/>
  <c r="H24" i="22"/>
  <c r="Z24" i="22" s="1"/>
  <c r="G24" i="22"/>
  <c r="AB24" i="22" s="1"/>
  <c r="AT23" i="5"/>
  <c r="AU23" i="5" s="1"/>
  <c r="AT50" i="5"/>
  <c r="AU50" i="5" s="1"/>
  <c r="AT79" i="5"/>
  <c r="AU79" i="5" s="1"/>
  <c r="AT116" i="5"/>
  <c r="AU116" i="5" s="1"/>
  <c r="AT120" i="5"/>
  <c r="AU120" i="5" s="1"/>
  <c r="AT131" i="5"/>
  <c r="AU131" i="5" s="1"/>
  <c r="AT160" i="5"/>
  <c r="AU160" i="5" s="1"/>
  <c r="AT58" i="5"/>
  <c r="AU58" i="5" s="1"/>
  <c r="AT61" i="5"/>
  <c r="AU61" i="5" s="1"/>
  <c r="AT89" i="5"/>
  <c r="AU89" i="5" s="1"/>
  <c r="AT155" i="5"/>
  <c r="AU155" i="5" s="1"/>
  <c r="AD47" i="22"/>
  <c r="Y47" i="22"/>
  <c r="V47" i="22"/>
  <c r="R47" i="22"/>
  <c r="Q47" i="22"/>
  <c r="S47" i="22" s="1"/>
  <c r="O47" i="22"/>
  <c r="M47" i="22"/>
  <c r="F47" i="22"/>
  <c r="E47" i="22"/>
  <c r="V304" i="22"/>
  <c r="R304" i="22"/>
  <c r="O304" i="22"/>
  <c r="F304" i="22"/>
  <c r="E304" i="22"/>
  <c r="Y50" i="22"/>
  <c r="V50" i="22"/>
  <c r="R50" i="22"/>
  <c r="Q50" i="22"/>
  <c r="S50" i="22" s="1"/>
  <c r="F50" i="22"/>
  <c r="E50" i="22"/>
  <c r="AT119" i="5"/>
  <c r="AU119" i="5" s="1"/>
  <c r="AT149" i="5"/>
  <c r="AU149" i="5" s="1"/>
  <c r="AT164" i="5"/>
  <c r="AU164" i="5" s="1"/>
  <c r="AT174" i="5"/>
  <c r="AU174" i="5" s="1"/>
  <c r="AT179" i="5"/>
  <c r="AU179" i="5" s="1"/>
  <c r="AT183" i="5"/>
  <c r="AU183" i="5" s="1"/>
  <c r="AT8" i="5"/>
  <c r="AU8" i="5" s="1"/>
  <c r="AT15" i="5"/>
  <c r="AU15" i="5" s="1"/>
  <c r="AT48" i="5"/>
  <c r="AU48" i="5" s="1"/>
  <c r="AT54" i="5"/>
  <c r="AU54" i="5" s="1"/>
  <c r="AD54" i="22"/>
  <c r="Y54" i="22"/>
  <c r="V54" i="22"/>
  <c r="R54" i="22"/>
  <c r="Q54" i="22"/>
  <c r="S54" i="22" s="1"/>
  <c r="O54" i="22"/>
  <c r="M54" i="22"/>
  <c r="F54" i="22"/>
  <c r="E54" i="22"/>
  <c r="AT148" i="5"/>
  <c r="AU148" i="5" s="1"/>
  <c r="J20" i="22"/>
  <c r="K20" i="22" s="1"/>
  <c r="I20" i="22"/>
  <c r="H20" i="22"/>
  <c r="AA20" i="22"/>
  <c r="G20" i="22"/>
  <c r="Y143" i="22"/>
  <c r="M143" i="22"/>
  <c r="AT163" i="5"/>
  <c r="AU163" i="5" s="1"/>
  <c r="AT192" i="5"/>
  <c r="AU192" i="5" s="1"/>
  <c r="AT41" i="5"/>
  <c r="AU41" i="5" s="1"/>
  <c r="AT108" i="5"/>
  <c r="AU108" i="5" s="1"/>
  <c r="AT113" i="5"/>
  <c r="AU113" i="5" s="1"/>
  <c r="AT118" i="5"/>
  <c r="AU118" i="5" s="1"/>
  <c r="AT123" i="5"/>
  <c r="AU123" i="5" s="1"/>
  <c r="AT134" i="5"/>
  <c r="AU134" i="5" s="1"/>
  <c r="AT139" i="5"/>
  <c r="AU139" i="5" s="1"/>
  <c r="AD74" i="22"/>
  <c r="Y74" i="22"/>
  <c r="Y154" i="22"/>
  <c r="R154" i="22"/>
  <c r="O154" i="22"/>
  <c r="M154" i="22"/>
  <c r="E154" i="22"/>
  <c r="Y178" i="22"/>
  <c r="V178" i="22"/>
  <c r="R178" i="22"/>
  <c r="M10" i="22"/>
  <c r="M18" i="22"/>
  <c r="M28" i="22"/>
  <c r="M39" i="22"/>
  <c r="M46" i="22"/>
  <c r="AT181" i="5"/>
  <c r="AU181" i="5" s="1"/>
  <c r="V262" i="22"/>
  <c r="O262" i="22"/>
  <c r="AD262" i="22"/>
  <c r="Y262" i="22"/>
  <c r="R262" i="22"/>
  <c r="Q262" i="22"/>
  <c r="M262" i="22"/>
  <c r="F262" i="22"/>
  <c r="E262" i="22"/>
  <c r="AT85" i="5"/>
  <c r="AU85" i="5" s="1"/>
  <c r="AT107" i="5"/>
  <c r="AU107" i="5" s="1"/>
  <c r="AT117" i="5"/>
  <c r="AU117" i="5" s="1"/>
  <c r="AT143" i="5"/>
  <c r="AU143" i="5" s="1"/>
  <c r="AT173" i="5"/>
  <c r="AU173" i="5" s="1"/>
  <c r="AT186" i="5"/>
  <c r="AU186" i="5" s="1"/>
  <c r="J24" i="22"/>
  <c r="R25" i="22"/>
  <c r="O103" i="22"/>
  <c r="AD103" i="22"/>
  <c r="O105" i="22"/>
  <c r="V167" i="22"/>
  <c r="E167" i="22"/>
  <c r="R167" i="22"/>
  <c r="Q167" i="22"/>
  <c r="S167" i="22" s="1"/>
  <c r="O167" i="22"/>
  <c r="O182" i="22"/>
  <c r="E191" i="22"/>
  <c r="I191" i="22" s="1"/>
  <c r="AD191" i="22"/>
  <c r="Q207" i="22"/>
  <c r="S207" i="22" s="1"/>
  <c r="V207" i="22"/>
  <c r="R207" i="22"/>
  <c r="O215" i="22"/>
  <c r="M252" i="22"/>
  <c r="R254" i="22"/>
  <c r="M283" i="22"/>
  <c r="E11" i="22"/>
  <c r="V25" i="22"/>
  <c r="O37" i="22"/>
  <c r="Q37" i="22"/>
  <c r="S37" i="22" s="1"/>
  <c r="M40" i="22"/>
  <c r="M42" i="22"/>
  <c r="E103" i="22"/>
  <c r="Q105" i="22"/>
  <c r="S105" i="22" s="1"/>
  <c r="Q120" i="22"/>
  <c r="S120" i="22" s="1"/>
  <c r="O120" i="22"/>
  <c r="M120" i="22"/>
  <c r="H165" i="22"/>
  <c r="F167" i="22"/>
  <c r="AD167" i="22"/>
  <c r="F176" i="22"/>
  <c r="Q182" i="22"/>
  <c r="S182" i="22" s="1"/>
  <c r="V188" i="22"/>
  <c r="F191" i="22"/>
  <c r="E207" i="22"/>
  <c r="Q215" i="22"/>
  <c r="S215" i="22" s="1"/>
  <c r="Q252" i="22"/>
  <c r="S252" i="22" s="1"/>
  <c r="Y254" i="22"/>
  <c r="E257" i="22"/>
  <c r="O283" i="22"/>
  <c r="F11" i="22"/>
  <c r="O22" i="22"/>
  <c r="F33" i="22"/>
  <c r="F37" i="22"/>
  <c r="V38" i="22"/>
  <c r="V40" i="22"/>
  <c r="O42" i="22"/>
  <c r="O77" i="22"/>
  <c r="Q79" i="22"/>
  <c r="E94" i="22"/>
  <c r="M96" i="22"/>
  <c r="R101" i="22"/>
  <c r="M103" i="22"/>
  <c r="H116" i="22"/>
  <c r="E120" i="22"/>
  <c r="H120" i="22" s="1"/>
  <c r="F139" i="22"/>
  <c r="R147" i="22"/>
  <c r="M176" i="22"/>
  <c r="O180" i="22"/>
  <c r="E180" i="22"/>
  <c r="AD180" i="22"/>
  <c r="R180" i="22"/>
  <c r="M191" i="22"/>
  <c r="V192" i="22"/>
  <c r="E194" i="22"/>
  <c r="F207" i="22"/>
  <c r="R215" i="22"/>
  <c r="Y228" i="22"/>
  <c r="O247" i="22"/>
  <c r="M250" i="22"/>
  <c r="R252" i="22"/>
  <c r="F257" i="22"/>
  <c r="O273" i="22"/>
  <c r="M281" i="22"/>
  <c r="V123" i="22"/>
  <c r="O123" i="22"/>
  <c r="Q123" i="22"/>
  <c r="F123" i="22"/>
  <c r="AD260" i="22"/>
  <c r="V260" i="22"/>
  <c r="Q260" i="22"/>
  <c r="S260" i="22" s="1"/>
  <c r="O11" i="22"/>
  <c r="R22" i="22"/>
  <c r="O29" i="22"/>
  <c r="V33" i="22"/>
  <c r="R37" i="22"/>
  <c r="R42" i="22"/>
  <c r="F44" i="22"/>
  <c r="M49" i="22"/>
  <c r="V49" i="22"/>
  <c r="O92" i="22"/>
  <c r="Q94" i="22"/>
  <c r="S94" i="22" s="1"/>
  <c r="Q96" i="22"/>
  <c r="S96" i="22" s="1"/>
  <c r="Q99" i="22"/>
  <c r="R103" i="22"/>
  <c r="F118" i="22"/>
  <c r="AD120" i="22"/>
  <c r="E123" i="22"/>
  <c r="O139" i="22"/>
  <c r="V141" i="22"/>
  <c r="Y147" i="22"/>
  <c r="Q176" i="22"/>
  <c r="S176" i="22" s="1"/>
  <c r="Q180" i="22"/>
  <c r="S180" i="22" s="1"/>
  <c r="Q191" i="22"/>
  <c r="AA192" i="22"/>
  <c r="Q199" i="22"/>
  <c r="S199" i="22" s="1"/>
  <c r="Y207" i="22"/>
  <c r="Y247" i="22"/>
  <c r="Y250" i="22"/>
  <c r="V252" i="22"/>
  <c r="E260" i="22"/>
  <c r="F267" i="22"/>
  <c r="Q273" i="22"/>
  <c r="S273" i="22" s="1"/>
  <c r="AD275" i="22"/>
  <c r="M275" i="22"/>
  <c r="F289" i="22"/>
  <c r="F291" i="22"/>
  <c r="G291" i="22" s="1"/>
  <c r="AB291" i="22" s="1"/>
  <c r="AD291" i="22"/>
  <c r="Y291" i="22"/>
  <c r="V291" i="22"/>
  <c r="Q291" i="22"/>
  <c r="S291" i="22" s="1"/>
  <c r="E295" i="22"/>
  <c r="J295" i="22" s="1"/>
  <c r="AD295" i="22"/>
  <c r="R11" i="22"/>
  <c r="V22" i="22"/>
  <c r="M32" i="22"/>
  <c r="E32" i="22"/>
  <c r="AD33" i="22"/>
  <c r="Y37" i="22"/>
  <c r="V42" i="22"/>
  <c r="R94" i="22"/>
  <c r="R96" i="22"/>
  <c r="M118" i="22"/>
  <c r="M123" i="22"/>
  <c r="Q139" i="22"/>
  <c r="S139" i="22" s="1"/>
  <c r="Y162" i="22"/>
  <c r="E162" i="22"/>
  <c r="O168" i="22"/>
  <c r="F168" i="22"/>
  <c r="E168" i="22"/>
  <c r="R176" i="22"/>
  <c r="V189" i="22"/>
  <c r="R191" i="22"/>
  <c r="R199" i="22"/>
  <c r="O201" i="22"/>
  <c r="Q201" i="22"/>
  <c r="S201" i="22" s="1"/>
  <c r="M201" i="22"/>
  <c r="F220" i="22"/>
  <c r="AD220" i="22"/>
  <c r="V220" i="22"/>
  <c r="M220" i="22"/>
  <c r="AD250" i="22"/>
  <c r="O260" i="22"/>
  <c r="O267" i="22"/>
  <c r="R284" i="22"/>
  <c r="F284" i="22"/>
  <c r="E284" i="22"/>
  <c r="O289" i="22"/>
  <c r="Y297" i="22"/>
  <c r="V297" i="22"/>
  <c r="E7" i="22"/>
  <c r="V11" i="22"/>
  <c r="O19" i="22"/>
  <c r="Y22" i="22"/>
  <c r="E26" i="22"/>
  <c r="R29" i="22"/>
  <c r="F32" i="22"/>
  <c r="E35" i="22"/>
  <c r="AD37" i="22"/>
  <c r="Y42" i="22"/>
  <c r="F46" i="22"/>
  <c r="J46" i="22" s="1"/>
  <c r="F49" i="22"/>
  <c r="J49" i="22" s="1"/>
  <c r="Y49" i="22"/>
  <c r="V58" i="22"/>
  <c r="F64" i="22"/>
  <c r="O65" i="22"/>
  <c r="E65" i="22"/>
  <c r="M81" i="22"/>
  <c r="F83" i="22"/>
  <c r="V94" i="22"/>
  <c r="F110" i="22"/>
  <c r="Q118" i="22"/>
  <c r="S118" i="22" s="1"/>
  <c r="R123" i="22"/>
  <c r="E133" i="22"/>
  <c r="AA133" i="22" s="1"/>
  <c r="M137" i="22"/>
  <c r="Y137" i="22"/>
  <c r="R137" i="22"/>
  <c r="Q137" i="22"/>
  <c r="S137" i="22" s="1"/>
  <c r="Q138" i="22"/>
  <c r="S138" i="22" s="1"/>
  <c r="Y138" i="22"/>
  <c r="V138" i="22"/>
  <c r="R139" i="22"/>
  <c r="M152" i="22"/>
  <c r="F160" i="22"/>
  <c r="H160" i="22" s="1"/>
  <c r="M162" i="22"/>
  <c r="Y166" i="22"/>
  <c r="V166" i="22"/>
  <c r="M168" i="22"/>
  <c r="E170" i="22"/>
  <c r="M172" i="22"/>
  <c r="Y176" i="22"/>
  <c r="F179" i="22"/>
  <c r="O179" i="22"/>
  <c r="M179" i="22"/>
  <c r="E189" i="22"/>
  <c r="V191" i="22"/>
  <c r="E201" i="22"/>
  <c r="R218" i="22"/>
  <c r="F218" i="22"/>
  <c r="Y218" i="22"/>
  <c r="V218" i="22"/>
  <c r="Q218" i="22"/>
  <c r="S218" i="22" s="1"/>
  <c r="E220" i="22"/>
  <c r="AA229" i="22"/>
  <c r="I244" i="22"/>
  <c r="M255" i="22"/>
  <c r="R267" i="22"/>
  <c r="O284" i="22"/>
  <c r="Q289" i="22"/>
  <c r="O291" i="22"/>
  <c r="E297" i="22"/>
  <c r="AT71" i="5"/>
  <c r="AU71" i="5" s="1"/>
  <c r="AT109" i="5"/>
  <c r="AU109" i="5" s="1"/>
  <c r="AT115" i="5"/>
  <c r="AU115" i="5" s="1"/>
  <c r="Q7" i="22"/>
  <c r="S7" i="22" s="1"/>
  <c r="M20" i="22"/>
  <c r="V24" i="22"/>
  <c r="F26" i="22"/>
  <c r="E28" i="22"/>
  <c r="O32" i="22"/>
  <c r="F65" i="22"/>
  <c r="AD102" i="22"/>
  <c r="O102" i="22"/>
  <c r="F102" i="22"/>
  <c r="E102" i="22"/>
  <c r="M106" i="22"/>
  <c r="Q108" i="22"/>
  <c r="F108" i="22"/>
  <c r="H108" i="22" s="1"/>
  <c r="Q110" i="22"/>
  <c r="S110" i="22" s="1"/>
  <c r="AD118" i="22"/>
  <c r="J125" i="22"/>
  <c r="K125" i="22" s="1"/>
  <c r="F133" i="22"/>
  <c r="E137" i="22"/>
  <c r="E138" i="22"/>
  <c r="V139" i="22"/>
  <c r="Y150" i="22"/>
  <c r="O150" i="22"/>
  <c r="Q152" i="22"/>
  <c r="S152" i="22" s="1"/>
  <c r="O162" i="22"/>
  <c r="E166" i="22"/>
  <c r="I166" i="22" s="1"/>
  <c r="Q168" i="22"/>
  <c r="S168" i="22" s="1"/>
  <c r="F170" i="22"/>
  <c r="O172" i="22"/>
  <c r="E179" i="22"/>
  <c r="O183" i="22"/>
  <c r="AD183" i="22"/>
  <c r="AA183" i="22" s="1"/>
  <c r="M189" i="22"/>
  <c r="Y191" i="22"/>
  <c r="F201" i="22"/>
  <c r="E218" i="22"/>
  <c r="J244" i="22"/>
  <c r="AD248" i="22"/>
  <c r="R248" i="22"/>
  <c r="Q248" i="22"/>
  <c r="S248" i="22" s="1"/>
  <c r="O248" i="22"/>
  <c r="Y263" i="22"/>
  <c r="S263" i="22"/>
  <c r="AD263" i="22"/>
  <c r="AA263" i="22" s="1"/>
  <c r="F276" i="22"/>
  <c r="R276" i="22"/>
  <c r="AD276" i="22"/>
  <c r="Y280" i="22"/>
  <c r="V280" i="22"/>
  <c r="Q280" i="22"/>
  <c r="S280" i="22" s="1"/>
  <c r="O280" i="22"/>
  <c r="M280" i="22"/>
  <c r="I280" i="22"/>
  <c r="G280" i="22"/>
  <c r="Q284" i="22"/>
  <c r="S284" i="22" s="1"/>
  <c r="Y289" i="22"/>
  <c r="R291" i="22"/>
  <c r="O295" i="22"/>
  <c r="F297" i="22"/>
  <c r="R7" i="22"/>
  <c r="AD29" i="22"/>
  <c r="AA29" i="22" s="1"/>
  <c r="Q32" i="22"/>
  <c r="S32" i="22" s="1"/>
  <c r="AA49" i="22"/>
  <c r="Q91" i="22"/>
  <c r="S91" i="22" s="1"/>
  <c r="AA91" i="22"/>
  <c r="Y91" i="22"/>
  <c r="AD94" i="22"/>
  <c r="J106" i="22"/>
  <c r="Q121" i="22"/>
  <c r="S121" i="22" s="1"/>
  <c r="M121" i="22"/>
  <c r="AD123" i="22"/>
  <c r="M125" i="22"/>
  <c r="V142" i="22"/>
  <c r="O142" i="22"/>
  <c r="M142" i="22"/>
  <c r="Q162" i="22"/>
  <c r="M167" i="22"/>
  <c r="R168" i="22"/>
  <c r="Q172" i="22"/>
  <c r="S172" i="22" s="1"/>
  <c r="I183" i="22"/>
  <c r="V185" i="22"/>
  <c r="E185" i="22"/>
  <c r="O189" i="22"/>
  <c r="R201" i="22"/>
  <c r="O208" i="22"/>
  <c r="Y208" i="22"/>
  <c r="G263" i="22"/>
  <c r="Q266" i="22"/>
  <c r="S266" i="22" s="1"/>
  <c r="O266" i="22"/>
  <c r="AA266" i="22"/>
  <c r="Y266" i="22"/>
  <c r="V266" i="22"/>
  <c r="AD270" i="22"/>
  <c r="V270" i="22"/>
  <c r="E270" i="22"/>
  <c r="AA270" i="22" s="1"/>
  <c r="AD289" i="22"/>
  <c r="Y293" i="22"/>
  <c r="F293" i="22"/>
  <c r="M293" i="22"/>
  <c r="E293" i="22"/>
  <c r="Q295" i="22"/>
  <c r="AT26" i="5"/>
  <c r="AU26" i="5" s="1"/>
  <c r="AT76" i="5"/>
  <c r="AU76" i="5" s="1"/>
  <c r="AT88" i="5"/>
  <c r="AU88" i="5" s="1"/>
  <c r="AT93" i="5"/>
  <c r="AU93" i="5" s="1"/>
  <c r="AT136" i="5"/>
  <c r="AU136" i="5" s="1"/>
  <c r="AT156" i="5"/>
  <c r="AU156" i="5" s="1"/>
  <c r="AT157" i="5"/>
  <c r="AU157" i="5" s="1"/>
  <c r="AT182" i="5"/>
  <c r="AU182" i="5" s="1"/>
  <c r="V7" i="22"/>
  <c r="R32" i="22"/>
  <c r="O45" i="22"/>
  <c r="V45" i="22"/>
  <c r="R53" i="22"/>
  <c r="F53" i="22"/>
  <c r="M69" i="22"/>
  <c r="E93" i="22"/>
  <c r="G93" i="22" s="1"/>
  <c r="V93" i="22"/>
  <c r="R93" i="22"/>
  <c r="Y97" i="22"/>
  <c r="M97" i="22"/>
  <c r="F97" i="22"/>
  <c r="G97" i="22" s="1"/>
  <c r="AB97" i="22" s="1"/>
  <c r="M133" i="22"/>
  <c r="V168" i="22"/>
  <c r="R170" i="22"/>
  <c r="R172" i="22"/>
  <c r="Q189" i="22"/>
  <c r="S189" i="22" s="1"/>
  <c r="V201" i="22"/>
  <c r="G266" i="22"/>
  <c r="AB266" i="22" s="1"/>
  <c r="V284" i="22"/>
  <c r="V295" i="22"/>
  <c r="M297" i="22"/>
  <c r="M61" i="22"/>
  <c r="O147" i="22"/>
  <c r="AD147" i="22"/>
  <c r="AD162" i="22"/>
  <c r="Y168" i="22"/>
  <c r="V170" i="22"/>
  <c r="V175" i="22"/>
  <c r="AD175" i="22"/>
  <c r="Y175" i="22"/>
  <c r="Y201" i="22"/>
  <c r="S211" i="22"/>
  <c r="O221" i="22"/>
  <c r="AD221" i="22"/>
  <c r="R221" i="22"/>
  <c r="E246" i="22"/>
  <c r="V246" i="22"/>
  <c r="R246" i="22"/>
  <c r="Q246" i="22"/>
  <c r="S246" i="22" s="1"/>
  <c r="Y268" i="22"/>
  <c r="V268" i="22"/>
  <c r="AD284" i="22"/>
  <c r="M12" i="22"/>
  <c r="E38" i="22"/>
  <c r="I45" i="22"/>
  <c r="F63" i="22"/>
  <c r="O76" i="22"/>
  <c r="S79" i="22"/>
  <c r="V79" i="22"/>
  <c r="R79" i="22"/>
  <c r="M93" i="22"/>
  <c r="Y111" i="22"/>
  <c r="V111" i="22"/>
  <c r="R119" i="22"/>
  <c r="O119" i="22"/>
  <c r="F119" i="22"/>
  <c r="R120" i="22"/>
  <c r="Q133" i="22"/>
  <c r="S133" i="22" s="1"/>
  <c r="E147" i="22"/>
  <c r="H156" i="22"/>
  <c r="AD168" i="22"/>
  <c r="Y170" i="22"/>
  <c r="M175" i="22"/>
  <c r="AD177" i="22"/>
  <c r="M177" i="22"/>
  <c r="R177" i="22"/>
  <c r="Q177" i="22"/>
  <c r="S177" i="22" s="1"/>
  <c r="O177" i="22"/>
  <c r="E204" i="22"/>
  <c r="AA204" i="22" s="1"/>
  <c r="G208" i="22"/>
  <c r="M211" i="22"/>
  <c r="E221" i="22"/>
  <c r="Q227" i="22"/>
  <c r="S227" i="22" s="1"/>
  <c r="O227" i="22"/>
  <c r="O231" i="22"/>
  <c r="AD231" i="22"/>
  <c r="E243" i="22"/>
  <c r="F246" i="22"/>
  <c r="J263" i="22"/>
  <c r="I266" i="22"/>
  <c r="P266" i="22" s="1"/>
  <c r="F268" i="22"/>
  <c r="E12" i="22"/>
  <c r="J12" i="22" s="1"/>
  <c r="Y14" i="22"/>
  <c r="F38" i="22"/>
  <c r="M63" i="22"/>
  <c r="Y129" i="22"/>
  <c r="V129" i="22"/>
  <c r="R133" i="22"/>
  <c r="F147" i="22"/>
  <c r="Q151" i="22"/>
  <c r="S151" i="22" s="1"/>
  <c r="M151" i="22"/>
  <c r="Y167" i="22"/>
  <c r="R175" i="22"/>
  <c r="F204" i="22"/>
  <c r="O211" i="22"/>
  <c r="F221" i="22"/>
  <c r="H221" i="22" s="1"/>
  <c r="F227" i="22"/>
  <c r="E231" i="22"/>
  <c r="G235" i="22"/>
  <c r="F243" i="22"/>
  <c r="J266" i="22"/>
  <c r="Y82" i="22"/>
  <c r="R82" i="22"/>
  <c r="V82" i="22"/>
  <c r="Y105" i="22"/>
  <c r="V105" i="22"/>
  <c r="Y113" i="22"/>
  <c r="O113" i="22"/>
  <c r="M113" i="22"/>
  <c r="AD159" i="22"/>
  <c r="S159" i="22"/>
  <c r="R159" i="22"/>
  <c r="M182" i="22"/>
  <c r="Y182" i="22"/>
  <c r="V182" i="22"/>
  <c r="Y188" i="22"/>
  <c r="AD188" i="22"/>
  <c r="O188" i="22"/>
  <c r="M188" i="22"/>
  <c r="F188" i="22"/>
  <c r="E188" i="22"/>
  <c r="V215" i="22"/>
  <c r="F215" i="22"/>
  <c r="H273" i="22"/>
  <c r="Z273" i="22" s="1"/>
  <c r="M273" i="22"/>
  <c r="AD273" i="22"/>
  <c r="AA273" i="22" s="1"/>
  <c r="Y273" i="22"/>
  <c r="V273" i="22"/>
  <c r="R273" i="22"/>
  <c r="AD283" i="22"/>
  <c r="E283" i="22"/>
  <c r="Y283" i="22"/>
  <c r="V283" i="22"/>
  <c r="Q283" i="22"/>
  <c r="M84" i="22"/>
  <c r="O12" i="22"/>
  <c r="M17" i="22"/>
  <c r="V20" i="22"/>
  <c r="E22" i="22"/>
  <c r="AA22" i="22" s="1"/>
  <c r="M25" i="22"/>
  <c r="Y26" i="22"/>
  <c r="AD28" i="22"/>
  <c r="AA28" i="22" s="1"/>
  <c r="M38" i="22"/>
  <c r="E42" i="22"/>
  <c r="R43" i="22"/>
  <c r="R45" i="22"/>
  <c r="Q48" i="22"/>
  <c r="S48" i="22" s="1"/>
  <c r="O49" i="22"/>
  <c r="V64" i="22"/>
  <c r="AD65" i="22"/>
  <c r="G79" i="22"/>
  <c r="K79" i="22" s="1"/>
  <c r="E82" i="22"/>
  <c r="Y89" i="22"/>
  <c r="V91" i="22"/>
  <c r="E105" i="22"/>
  <c r="O111" i="22"/>
  <c r="E113" i="22"/>
  <c r="V120" i="22"/>
  <c r="O129" i="22"/>
  <c r="Y133" i="22"/>
  <c r="V145" i="22"/>
  <c r="Y145" i="22"/>
  <c r="O151" i="22"/>
  <c r="J156" i="22"/>
  <c r="E159" i="22"/>
  <c r="AA167" i="22"/>
  <c r="E182" i="22"/>
  <c r="AA182" i="22" s="1"/>
  <c r="Q188" i="22"/>
  <c r="S188" i="22" s="1"/>
  <c r="F192" i="22"/>
  <c r="J192" i="22" s="1"/>
  <c r="J208" i="22"/>
  <c r="AD211" i="22"/>
  <c r="E215" i="22"/>
  <c r="AA215" i="22" s="1"/>
  <c r="Q221" i="22"/>
  <c r="S221" i="22" s="1"/>
  <c r="Q231" i="22"/>
  <c r="S231" i="22" s="1"/>
  <c r="M233" i="22"/>
  <c r="R243" i="22"/>
  <c r="AD246" i="22"/>
  <c r="E252" i="22"/>
  <c r="G252" i="22" s="1"/>
  <c r="M254" i="22"/>
  <c r="R266" i="22"/>
  <c r="AD269" i="22"/>
  <c r="E269" i="22"/>
  <c r="G269" i="22" s="1"/>
  <c r="AB269" i="22" s="1"/>
  <c r="E273" i="22"/>
  <c r="J273" i="22" s="1"/>
  <c r="AD280" i="22"/>
  <c r="F283" i="22"/>
  <c r="H292" i="22"/>
  <c r="Z292" i="22" s="1"/>
  <c r="M285" i="22"/>
  <c r="O285" i="22"/>
  <c r="M173" i="22"/>
  <c r="AA244" i="22"/>
  <c r="Q285" i="22"/>
  <c r="S285" i="22" s="1"/>
  <c r="F305" i="22"/>
  <c r="J86" i="22"/>
  <c r="J140" i="22"/>
  <c r="V193" i="22"/>
  <c r="S193" i="22"/>
  <c r="M214" i="22"/>
  <c r="E242" i="22"/>
  <c r="J242" i="22" s="1"/>
  <c r="Y242" i="22"/>
  <c r="Q277" i="22"/>
  <c r="S277" i="22" s="1"/>
  <c r="Y285" i="22"/>
  <c r="E290" i="22"/>
  <c r="G290" i="22" s="1"/>
  <c r="AA292" i="22"/>
  <c r="E305" i="22"/>
  <c r="M171" i="22"/>
  <c r="Y217" i="22"/>
  <c r="M217" i="22"/>
  <c r="AD238" i="22"/>
  <c r="V238" i="22"/>
  <c r="V244" i="22"/>
  <c r="G244" i="22"/>
  <c r="H258" i="22"/>
  <c r="Z258" i="22" s="1"/>
  <c r="J277" i="22"/>
  <c r="K277" i="22" s="1"/>
  <c r="AD285" i="22"/>
  <c r="Q303" i="22"/>
  <c r="S303" i="22" s="1"/>
  <c r="R303" i="22"/>
  <c r="E303" i="22"/>
  <c r="G116" i="22"/>
  <c r="O171" i="22"/>
  <c r="Y198" i="22"/>
  <c r="M198" i="22"/>
  <c r="O224" i="22"/>
  <c r="AD224" i="22"/>
  <c r="V224" i="22"/>
  <c r="M229" i="22"/>
  <c r="O229" i="22"/>
  <c r="Q232" i="22"/>
  <c r="S232" i="22" s="1"/>
  <c r="Y232" i="22"/>
  <c r="M256" i="22"/>
  <c r="R256" i="22"/>
  <c r="E288" i="22"/>
  <c r="AA288" i="22" s="1"/>
  <c r="M303" i="22"/>
  <c r="I224" i="22"/>
  <c r="J232" i="22"/>
  <c r="H237" i="22"/>
  <c r="Z237" i="22" s="1"/>
  <c r="G237" i="22"/>
  <c r="Y302" i="22"/>
  <c r="E302" i="22"/>
  <c r="J302" i="22" s="1"/>
  <c r="H272" i="22"/>
  <c r="O292" i="22"/>
  <c r="BF43" i="26"/>
  <c r="BE43" i="26"/>
  <c r="BF70" i="26"/>
  <c r="BE70" i="26"/>
  <c r="BN280" i="26"/>
  <c r="BM280" i="26"/>
  <c r="BN299" i="26"/>
  <c r="BM299" i="26"/>
  <c r="BN238" i="26"/>
  <c r="BM238" i="26"/>
  <c r="BD7" i="26"/>
  <c r="BD8" i="26"/>
  <c r="BD16" i="26"/>
  <c r="BD24" i="26"/>
  <c r="BF24" i="26" s="1"/>
  <c r="BD32" i="26"/>
  <c r="BF32" i="26" s="1"/>
  <c r="BL35" i="26"/>
  <c r="BD39" i="26"/>
  <c r="BD40" i="26"/>
  <c r="BD44" i="26"/>
  <c r="BD52" i="26"/>
  <c r="BD60" i="26"/>
  <c r="BD68" i="26"/>
  <c r="BD72" i="26"/>
  <c r="BD80" i="26"/>
  <c r="BD88" i="26"/>
  <c r="BD96" i="26"/>
  <c r="BD104" i="26"/>
  <c r="BD112" i="26"/>
  <c r="BD120" i="26"/>
  <c r="BD128" i="26"/>
  <c r="BF128" i="26" s="1"/>
  <c r="BD136" i="26"/>
  <c r="BF136" i="26" s="1"/>
  <c r="BD144" i="26"/>
  <c r="BD152" i="26"/>
  <c r="BD160" i="26"/>
  <c r="BD168" i="26"/>
  <c r="BD179" i="26"/>
  <c r="BD180" i="26"/>
  <c r="BD185" i="26"/>
  <c r="BD188" i="26"/>
  <c r="BD196" i="26"/>
  <c r="BD201" i="26"/>
  <c r="BD204" i="26"/>
  <c r="BD206" i="26"/>
  <c r="BL207" i="26"/>
  <c r="BD212" i="26"/>
  <c r="BD220" i="26"/>
  <c r="BF220" i="26" s="1"/>
  <c r="BD236" i="26"/>
  <c r="BF236" i="26" s="1"/>
  <c r="BD256" i="26"/>
  <c r="BL270" i="26"/>
  <c r="BD272" i="26"/>
  <c r="BD280" i="26"/>
  <c r="BD284" i="26"/>
  <c r="BD292" i="26"/>
  <c r="BD304" i="26"/>
  <c r="BL9" i="26"/>
  <c r="BN9" i="26" s="1"/>
  <c r="BL17" i="26"/>
  <c r="BL25" i="26"/>
  <c r="BL33" i="26"/>
  <c r="BL41" i="26"/>
  <c r="BL45" i="26"/>
  <c r="BL53" i="26"/>
  <c r="BL61" i="26"/>
  <c r="BM61" i="26" s="1"/>
  <c r="BL69" i="26"/>
  <c r="BN69" i="26" s="1"/>
  <c r="BL73" i="26"/>
  <c r="BL81" i="26"/>
  <c r="BL89" i="26"/>
  <c r="BL94" i="26"/>
  <c r="BL97" i="26"/>
  <c r="BL105" i="26"/>
  <c r="BL113" i="26"/>
  <c r="BL121" i="26"/>
  <c r="BL137" i="26"/>
  <c r="BL153" i="26"/>
  <c r="BL161" i="26"/>
  <c r="BL169" i="26"/>
  <c r="BL178" i="26"/>
  <c r="BL189" i="26"/>
  <c r="BL194" i="26"/>
  <c r="BL205" i="26"/>
  <c r="BM205" i="26" s="1"/>
  <c r="BL221" i="26"/>
  <c r="BL229" i="26"/>
  <c r="BL237" i="26"/>
  <c r="BL241" i="26"/>
  <c r="BD248" i="26"/>
  <c r="BL249" i="26"/>
  <c r="BL257" i="26"/>
  <c r="BL265" i="26"/>
  <c r="BM265" i="26" s="1"/>
  <c r="BL273" i="26"/>
  <c r="BL285" i="26"/>
  <c r="BL293" i="26"/>
  <c r="BL305" i="26"/>
  <c r="BD11" i="26"/>
  <c r="BD19" i="26"/>
  <c r="BD27" i="26"/>
  <c r="BE27" i="26" s="1"/>
  <c r="BD35" i="26"/>
  <c r="BF35" i="26" s="1"/>
  <c r="BD47" i="26"/>
  <c r="BD55" i="26"/>
  <c r="BD63" i="26"/>
  <c r="BD83" i="26"/>
  <c r="BD91" i="26"/>
  <c r="BD99" i="26"/>
  <c r="BD107" i="26"/>
  <c r="BD115" i="26"/>
  <c r="BD123" i="26"/>
  <c r="BL129" i="26"/>
  <c r="BD131" i="26"/>
  <c r="BD139" i="26"/>
  <c r="BD155" i="26"/>
  <c r="BD175" i="26"/>
  <c r="BD183" i="26"/>
  <c r="BE183" i="26" s="1"/>
  <c r="BD191" i="26"/>
  <c r="BF191" i="26" s="1"/>
  <c r="BD199" i="26"/>
  <c r="BD207" i="26"/>
  <c r="BL213" i="26"/>
  <c r="BD215" i="26"/>
  <c r="BD231" i="26"/>
  <c r="BD243" i="26"/>
  <c r="BD251" i="26"/>
  <c r="BD259" i="26"/>
  <c r="BF259" i="26" s="1"/>
  <c r="BD267" i="26"/>
  <c r="BD275" i="26"/>
  <c r="BD287" i="26"/>
  <c r="BL12" i="26"/>
  <c r="BL20" i="26"/>
  <c r="BL28" i="26"/>
  <c r="BL36" i="26"/>
  <c r="BM36" i="26" s="1"/>
  <c r="BL48" i="26"/>
  <c r="BM48" i="26" s="1"/>
  <c r="BL56" i="26"/>
  <c r="BL64" i="26"/>
  <c r="BD75" i="26"/>
  <c r="BL76" i="26"/>
  <c r="BL84" i="26"/>
  <c r="BL92" i="26"/>
  <c r="BL100" i="26"/>
  <c r="BL108" i="26"/>
  <c r="BN108" i="26" s="1"/>
  <c r="BL116" i="26"/>
  <c r="BL124" i="26"/>
  <c r="BL132" i="26"/>
  <c r="BL140" i="26"/>
  <c r="BL156" i="26"/>
  <c r="BL164" i="26"/>
  <c r="BD171" i="26"/>
  <c r="BF171" i="26" s="1"/>
  <c r="BL172" i="26"/>
  <c r="BN172" i="26" s="1"/>
  <c r="BL176" i="26"/>
  <c r="BL192" i="26"/>
  <c r="BL197" i="26"/>
  <c r="BL200" i="26"/>
  <c r="BL208" i="26"/>
  <c r="BL216" i="26"/>
  <c r="BL252" i="26"/>
  <c r="BL260" i="26"/>
  <c r="BL268" i="26"/>
  <c r="BL276" i="26"/>
  <c r="BL288" i="26"/>
  <c r="BL296" i="26"/>
  <c r="BL300" i="26"/>
  <c r="BD14" i="26"/>
  <c r="BD22" i="26"/>
  <c r="BF22" i="26" s="1"/>
  <c r="BD30" i="26"/>
  <c r="BE30" i="26" s="1"/>
  <c r="BD38" i="26"/>
  <c r="BD50" i="26"/>
  <c r="BD66" i="26"/>
  <c r="BD78" i="26"/>
  <c r="BD86" i="26"/>
  <c r="BD94" i="26"/>
  <c r="BD102" i="26"/>
  <c r="BD110" i="26"/>
  <c r="BD118" i="26"/>
  <c r="BD126" i="26"/>
  <c r="BD134" i="26"/>
  <c r="BD158" i="26"/>
  <c r="BD166" i="26"/>
  <c r="BD178" i="26"/>
  <c r="BL181" i="26"/>
  <c r="BN181" i="26" s="1"/>
  <c r="BL184" i="26"/>
  <c r="BN184" i="26" s="1"/>
  <c r="BD186" i="26"/>
  <c r="BD194" i="26"/>
  <c r="BD202" i="26"/>
  <c r="BD210" i="26"/>
  <c r="BD228" i="26"/>
  <c r="BL232" i="26"/>
  <c r="BD234" i="26"/>
  <c r="BL244" i="26"/>
  <c r="BN244" i="26" s="1"/>
  <c r="BD246" i="26"/>
  <c r="BD254" i="26"/>
  <c r="BD262" i="26"/>
  <c r="BD270" i="26"/>
  <c r="BD278" i="26"/>
  <c r="BD282" i="26"/>
  <c r="BD290" i="26"/>
  <c r="BF290" i="26" s="1"/>
  <c r="BD298" i="26"/>
  <c r="BE298" i="26" s="1"/>
  <c r="BD302" i="26"/>
  <c r="BL7" i="26"/>
  <c r="BL15" i="26"/>
  <c r="BL23" i="26"/>
  <c r="BL31" i="26"/>
  <c r="BL39" i="26"/>
  <c r="BL51" i="26"/>
  <c r="BL59" i="26"/>
  <c r="BL67" i="26"/>
  <c r="BL71" i="26"/>
  <c r="BL79" i="26"/>
  <c r="BL87" i="26"/>
  <c r="BL95" i="26"/>
  <c r="BL103" i="26"/>
  <c r="BL111" i="26"/>
  <c r="BN111" i="26" s="1"/>
  <c r="BL119" i="26"/>
  <c r="BM119" i="26" s="1"/>
  <c r="BL135" i="26"/>
  <c r="BL143" i="26"/>
  <c r="BL159" i="26"/>
  <c r="BL167" i="26"/>
  <c r="BL187" i="26"/>
  <c r="BL195" i="26"/>
  <c r="BL203" i="26"/>
  <c r="BL211" i="26"/>
  <c r="BL219" i="26"/>
  <c r="BL227" i="26"/>
  <c r="BL235" i="26"/>
  <c r="BL239" i="26"/>
  <c r="BL247" i="26"/>
  <c r="BL263" i="26"/>
  <c r="BL271" i="26"/>
  <c r="BM271" i="26" s="1"/>
  <c r="BL279" i="26"/>
  <c r="BN279" i="26" s="1"/>
  <c r="BL291" i="26"/>
  <c r="BD9" i="26"/>
  <c r="BD17" i="26"/>
  <c r="BD25" i="26"/>
  <c r="BD33" i="26"/>
  <c r="BD41" i="26"/>
  <c r="BD45" i="26"/>
  <c r="BD53" i="26"/>
  <c r="BE53" i="26" s="1"/>
  <c r="BD61" i="26"/>
  <c r="BD69" i="26"/>
  <c r="BD73" i="26"/>
  <c r="BD81" i="26"/>
  <c r="BD89" i="26"/>
  <c r="BD97" i="26"/>
  <c r="BD105" i="26"/>
  <c r="BE105" i="26" s="1"/>
  <c r="BD113" i="26"/>
  <c r="BE113" i="26" s="1"/>
  <c r="BD129" i="26"/>
  <c r="BD153" i="26"/>
  <c r="BD161" i="26"/>
  <c r="BD169" i="26"/>
  <c r="BD181" i="26"/>
  <c r="BD189" i="26"/>
  <c r="BD197" i="26"/>
  <c r="BD213" i="26"/>
  <c r="BD221" i="26"/>
  <c r="BD229" i="26"/>
  <c r="BD237" i="26"/>
  <c r="BD241" i="26"/>
  <c r="BD249" i="26"/>
  <c r="BD257" i="26"/>
  <c r="BD264" i="26"/>
  <c r="BE264" i="26" s="1"/>
  <c r="BD265" i="26"/>
  <c r="BF265" i="26" s="1"/>
  <c r="BD273" i="26"/>
  <c r="BD285" i="26"/>
  <c r="BD293" i="26"/>
  <c r="BD305" i="26"/>
  <c r="BL10" i="26"/>
  <c r="BL18" i="26"/>
  <c r="BL26" i="26"/>
  <c r="BL34" i="26"/>
  <c r="BL42" i="26"/>
  <c r="BL46" i="26"/>
  <c r="BL54" i="26"/>
  <c r="BL74" i="26"/>
  <c r="BL82" i="26"/>
  <c r="BL90" i="26"/>
  <c r="BL106" i="26"/>
  <c r="BN106" i="26" s="1"/>
  <c r="BL114" i="26"/>
  <c r="BM114" i="26" s="1"/>
  <c r="BL122" i="26"/>
  <c r="BL138" i="26"/>
  <c r="BL154" i="26"/>
  <c r="BL162" i="26"/>
  <c r="BD163" i="26"/>
  <c r="BL170" i="26"/>
  <c r="BL174" i="26"/>
  <c r="BL182" i="26"/>
  <c r="BL190" i="26"/>
  <c r="BD205" i="26"/>
  <c r="BL206" i="26"/>
  <c r="BL230" i="26"/>
  <c r="BL242" i="26"/>
  <c r="BL266" i="26"/>
  <c r="BL274" i="26"/>
  <c r="BN274" i="26" s="1"/>
  <c r="BD20" i="26"/>
  <c r="BE20" i="26" s="1"/>
  <c r="BD28" i="26"/>
  <c r="BD36" i="26"/>
  <c r="BD48" i="26"/>
  <c r="BD56" i="26"/>
  <c r="BD64" i="26"/>
  <c r="BD76" i="26"/>
  <c r="BD84" i="26"/>
  <c r="BD92" i="26"/>
  <c r="BF92" i="26" s="1"/>
  <c r="BD100" i="26"/>
  <c r="BD108" i="26"/>
  <c r="BD116" i="26"/>
  <c r="BD124" i="26"/>
  <c r="BL127" i="26"/>
  <c r="BL130" i="26"/>
  <c r="BD132" i="26"/>
  <c r="BL151" i="26"/>
  <c r="BN151" i="26" s="1"/>
  <c r="BD172" i="26"/>
  <c r="BD176" i="26"/>
  <c r="BL179" i="26"/>
  <c r="BD184" i="26"/>
  <c r="BD192" i="26"/>
  <c r="BD200" i="26"/>
  <c r="BD208" i="26"/>
  <c r="BD216" i="26"/>
  <c r="BD232" i="26"/>
  <c r="BD252" i="26"/>
  <c r="BL255" i="26"/>
  <c r="BD260" i="26"/>
  <c r="BD276" i="26"/>
  <c r="BL283" i="26"/>
  <c r="BD288" i="26"/>
  <c r="BF288" i="26" s="1"/>
  <c r="BD296" i="26"/>
  <c r="BE296" i="26" s="1"/>
  <c r="BD300" i="26"/>
  <c r="BL303" i="26"/>
  <c r="BD12" i="26"/>
  <c r="BL13" i="26"/>
  <c r="BL21" i="26"/>
  <c r="BL29" i="26"/>
  <c r="BL49" i="26"/>
  <c r="BL57" i="26"/>
  <c r="BL77" i="26"/>
  <c r="BL85" i="26"/>
  <c r="BL93" i="26"/>
  <c r="BL101" i="26"/>
  <c r="BL109" i="26"/>
  <c r="BL117" i="26"/>
  <c r="BD121" i="26"/>
  <c r="BE121" i="26" s="1"/>
  <c r="BL125" i="26"/>
  <c r="BM125" i="26" s="1"/>
  <c r="BL133" i="26"/>
  <c r="BL149" i="26"/>
  <c r="BL157" i="26"/>
  <c r="BL165" i="26"/>
  <c r="BL173" i="26"/>
  <c r="BL177" i="26"/>
  <c r="BL185" i="26"/>
  <c r="BL193" i="26"/>
  <c r="BL201" i="26"/>
  <c r="BL209" i="26"/>
  <c r="BL217" i="26"/>
  <c r="BL245" i="26"/>
  <c r="BL250" i="26"/>
  <c r="BL261" i="26"/>
  <c r="BL269" i="26"/>
  <c r="BN269" i="26" s="1"/>
  <c r="BL277" i="26"/>
  <c r="BM277" i="26" s="1"/>
  <c r="BL286" i="26"/>
  <c r="BL289" i="26"/>
  <c r="BL301" i="26"/>
  <c r="BD6" i="26"/>
  <c r="BD15" i="26"/>
  <c r="BD31" i="26"/>
  <c r="BL37" i="26"/>
  <c r="BD51" i="26"/>
  <c r="BF51" i="26" s="1"/>
  <c r="BD58" i="26"/>
  <c r="BD59" i="26"/>
  <c r="BL62" i="26"/>
  <c r="BD67" i="26"/>
  <c r="BD71" i="26"/>
  <c r="BD79" i="26"/>
  <c r="BD87" i="26"/>
  <c r="BF87" i="26" s="1"/>
  <c r="BD95" i="26"/>
  <c r="BF95" i="26" s="1"/>
  <c r="BL98" i="26"/>
  <c r="BD103" i="26"/>
  <c r="BD111" i="26"/>
  <c r="BD119" i="26"/>
  <c r="BD127" i="26"/>
  <c r="BD135" i="26"/>
  <c r="BL141" i="26"/>
  <c r="BD142" i="26"/>
  <c r="BF142" i="26" s="1"/>
  <c r="BD143" i="26"/>
  <c r="BD151" i="26"/>
  <c r="BD159" i="26"/>
  <c r="BD167" i="26"/>
  <c r="BD187" i="26"/>
  <c r="BD195" i="26"/>
  <c r="BL198" i="26"/>
  <c r="BM198" i="26" s="1"/>
  <c r="BD203" i="26"/>
  <c r="BF203" i="26" s="1"/>
  <c r="BL214" i="26"/>
  <c r="BD218" i="26"/>
  <c r="BD219" i="26"/>
  <c r="BL222" i="26"/>
  <c r="BD227" i="26"/>
  <c r="BD235" i="26"/>
  <c r="BD239" i="26"/>
  <c r="BD247" i="26"/>
  <c r="BD255" i="26"/>
  <c r="BD263" i="26"/>
  <c r="BD271" i="26"/>
  <c r="BD279" i="26"/>
  <c r="BL281" i="26"/>
  <c r="BD283" i="26"/>
  <c r="BD291" i="26"/>
  <c r="BE291" i="26" s="1"/>
  <c r="BL297" i="26"/>
  <c r="BN297" i="26" s="1"/>
  <c r="BD299" i="26"/>
  <c r="BD303" i="26"/>
  <c r="BL8" i="26"/>
  <c r="BL32" i="26"/>
  <c r="BL44" i="26"/>
  <c r="BL52" i="26"/>
  <c r="BL60" i="26"/>
  <c r="BL68" i="26"/>
  <c r="BL72" i="26"/>
  <c r="BL80" i="26"/>
  <c r="BL88" i="26"/>
  <c r="BL104" i="26"/>
  <c r="BL112" i="26"/>
  <c r="BL120" i="26"/>
  <c r="BL152" i="26"/>
  <c r="BM152" i="26" s="1"/>
  <c r="BL180" i="26"/>
  <c r="BM180" i="26" s="1"/>
  <c r="BL196" i="26"/>
  <c r="BL204" i="26"/>
  <c r="BD211" i="26"/>
  <c r="BL212" i="26"/>
  <c r="BL220" i="26"/>
  <c r="BL228" i="26"/>
  <c r="BL233" i="26"/>
  <c r="BL236" i="26"/>
  <c r="BN236" i="26" s="1"/>
  <c r="BL240" i="26"/>
  <c r="BL248" i="26"/>
  <c r="BL253" i="26"/>
  <c r="BL256" i="26"/>
  <c r="BL264" i="26"/>
  <c r="BL272" i="26"/>
  <c r="BL284" i="26"/>
  <c r="BL292" i="26"/>
  <c r="BN292" i="26" s="1"/>
  <c r="BL304" i="26"/>
  <c r="BL11" i="26"/>
  <c r="BL19" i="26"/>
  <c r="BD26" i="26"/>
  <c r="BD34" i="26"/>
  <c r="BL43" i="26"/>
  <c r="BL47" i="26"/>
  <c r="BL55" i="26"/>
  <c r="BL63" i="26"/>
  <c r="BD74" i="26"/>
  <c r="BL75" i="26"/>
  <c r="BL83" i="26"/>
  <c r="BL91" i="26"/>
  <c r="BL96" i="26"/>
  <c r="BL99" i="26"/>
  <c r="BM99" i="26" s="1"/>
  <c r="BL107" i="26"/>
  <c r="BM107" i="26" s="1"/>
  <c r="BL115" i="26"/>
  <c r="BL123" i="26"/>
  <c r="BL131" i="26"/>
  <c r="BL139" i="26"/>
  <c r="BD140" i="26"/>
  <c r="BL144" i="26"/>
  <c r="BL155" i="26"/>
  <c r="BL163" i="26"/>
  <c r="BL171" i="26"/>
  <c r="BL175" i="26"/>
  <c r="BL183" i="26"/>
  <c r="BL191" i="26"/>
  <c r="BL199" i="26"/>
  <c r="BL215" i="26"/>
  <c r="BL223" i="26"/>
  <c r="BL231" i="26"/>
  <c r="BN231" i="26" s="1"/>
  <c r="BL243" i="26"/>
  <c r="BL251" i="26"/>
  <c r="BL259" i="26"/>
  <c r="BL267" i="26"/>
  <c r="BL275" i="26"/>
  <c r="BL287" i="26"/>
  <c r="BL295" i="26"/>
  <c r="BD13" i="26"/>
  <c r="BE13" i="26" s="1"/>
  <c r="BD21" i="26"/>
  <c r="BD23" i="26"/>
  <c r="BL24" i="26"/>
  <c r="BL27" i="26"/>
  <c r="BD29" i="26"/>
  <c r="BD37" i="26"/>
  <c r="BL40" i="26"/>
  <c r="BM40" i="26" s="1"/>
  <c r="BD49" i="26"/>
  <c r="BF49" i="26" s="1"/>
  <c r="BD57" i="26"/>
  <c r="BD77" i="26"/>
  <c r="BD85" i="26"/>
  <c r="BD93" i="26"/>
  <c r="BD101" i="26"/>
  <c r="BD109" i="26"/>
  <c r="BD117" i="26"/>
  <c r="BD125" i="26"/>
  <c r="BL128" i="26"/>
  <c r="BL136" i="26"/>
  <c r="BD141" i="26"/>
  <c r="BD156" i="26"/>
  <c r="BD157" i="26"/>
  <c r="BL160" i="26"/>
  <c r="BD164" i="26"/>
  <c r="BE164" i="26" s="1"/>
  <c r="BD165" i="26"/>
  <c r="BF165" i="26" s="1"/>
  <c r="BD177" i="26"/>
  <c r="BD193" i="26"/>
  <c r="BD209" i="26"/>
  <c r="BD217" i="26"/>
  <c r="BD233" i="26"/>
  <c r="BD244" i="26"/>
  <c r="BD245" i="26"/>
  <c r="BD253" i="26"/>
  <c r="BD261" i="26"/>
  <c r="BD269" i="26"/>
  <c r="BD277" i="26"/>
  <c r="BD281" i="26"/>
  <c r="BD289" i="26"/>
  <c r="BD297" i="26"/>
  <c r="BD301" i="26"/>
  <c r="BF301" i="26" s="1"/>
  <c r="BL6" i="26"/>
  <c r="BN6" i="26" s="1"/>
  <c r="BL14" i="26"/>
  <c r="BL22" i="26"/>
  <c r="BL30" i="26"/>
  <c r="BL38" i="26"/>
  <c r="BL50" i="26"/>
  <c r="BL58" i="26"/>
  <c r="BD65" i="26"/>
  <c r="BL66" i="26"/>
  <c r="BL78" i="26"/>
  <c r="BL86" i="26"/>
  <c r="BL102" i="26"/>
  <c r="BL110" i="26"/>
  <c r="BL118" i="26"/>
  <c r="BL126" i="26"/>
  <c r="BL134" i="26"/>
  <c r="BN134" i="26" s="1"/>
  <c r="BL142" i="26"/>
  <c r="BN142" i="26" s="1"/>
  <c r="BL158" i="26"/>
  <c r="BL166" i="26"/>
  <c r="BL186" i="26"/>
  <c r="BL202" i="26"/>
  <c r="BL210" i="26"/>
  <c r="BL218" i="26"/>
  <c r="BL234" i="26"/>
  <c r="BL246" i="26"/>
  <c r="BN246" i="26" s="1"/>
  <c r="BL254" i="26"/>
  <c r="BL262" i="26"/>
  <c r="BL278" i="26"/>
  <c r="BL282" i="26"/>
  <c r="BL290" i="26"/>
  <c r="BL298" i="26"/>
  <c r="BL302" i="26"/>
  <c r="BM302" i="26" s="1"/>
  <c r="E18" i="29" a="1"/>
  <c r="E18" i="29" s="1"/>
  <c r="N274" i="16"/>
  <c r="AG274" i="16" s="1" a="1"/>
  <c r="AG274" i="16" s="1"/>
  <c r="M274" i="16"/>
  <c r="AH274" i="16" s="1"/>
  <c r="U274" i="16" s="1"/>
  <c r="V274" i="16" s="1"/>
  <c r="AK274" i="16" s="1"/>
  <c r="M231" i="16"/>
  <c r="AH231" i="16" s="1"/>
  <c r="U231" i="16" s="1"/>
  <c r="V231" i="16" s="1"/>
  <c r="AK231" i="16" s="1"/>
  <c r="N231" i="16"/>
  <c r="AG231" i="16" s="1" a="1"/>
  <c r="AG231" i="16" s="1"/>
  <c r="N457" i="16"/>
  <c r="AG457" i="16" s="1" a="1"/>
  <c r="AG457" i="16" s="1"/>
  <c r="M457" i="16"/>
  <c r="AH457" i="16" s="1"/>
  <c r="T457" i="16" s="1"/>
  <c r="N257" i="16"/>
  <c r="AG257" i="16" s="1" a="1"/>
  <c r="AG257" i="16" s="1"/>
  <c r="M257" i="16"/>
  <c r="AH257" i="16" s="1"/>
  <c r="X257" i="16" s="1"/>
  <c r="N145" i="16"/>
  <c r="AG145" i="16" s="1" a="1"/>
  <c r="AG145" i="16" s="1"/>
  <c r="M145" i="16"/>
  <c r="AH145" i="16" s="1"/>
  <c r="T145" i="16" s="1"/>
  <c r="N369" i="16"/>
  <c r="AG369" i="16" s="1" a="1"/>
  <c r="AG369" i="16" s="1"/>
  <c r="M369" i="16"/>
  <c r="AH369" i="16" s="1"/>
  <c r="X369" i="16" s="1"/>
  <c r="N312" i="16"/>
  <c r="AG312" i="16" s="1" a="1"/>
  <c r="AG312" i="16" s="1"/>
  <c r="M312" i="16"/>
  <c r="AF312" i="16" s="1" a="1"/>
  <c r="AF312" i="16" s="1"/>
  <c r="N225" i="16"/>
  <c r="AG225" i="16" s="1" a="1"/>
  <c r="AG225" i="16" s="1"/>
  <c r="M225" i="16"/>
  <c r="AF225" i="16" s="1" a="1"/>
  <c r="AF225" i="16" s="1"/>
  <c r="N168" i="16"/>
  <c r="AG168" i="16" s="1" a="1"/>
  <c r="AG168" i="16" s="1"/>
  <c r="M168" i="16"/>
  <c r="K53" i="16"/>
  <c r="O53" i="16"/>
  <c r="M53" i="16"/>
  <c r="AH53" i="16" s="1"/>
  <c r="N337" i="16"/>
  <c r="AG337" i="16" s="1" a="1"/>
  <c r="AG337" i="16" s="1"/>
  <c r="M337" i="16"/>
  <c r="AH337" i="16" s="1"/>
  <c r="X337" i="16" s="1"/>
  <c r="N393" i="16"/>
  <c r="AG393" i="16" s="1" a="1"/>
  <c r="AG393" i="16" s="1"/>
  <c r="M393" i="16"/>
  <c r="AF393" i="16" s="1" a="1"/>
  <c r="AF393" i="16" s="1"/>
  <c r="M222" i="16"/>
  <c r="AH222" i="16" s="1"/>
  <c r="T222" i="16" s="1"/>
  <c r="N222" i="16"/>
  <c r="AG222" i="16" s="1" a="1"/>
  <c r="AG222" i="16" s="1"/>
  <c r="M165" i="16"/>
  <c r="AF165" i="16" s="1" a="1"/>
  <c r="AF165" i="16" s="1"/>
  <c r="N165" i="16"/>
  <c r="AG165" i="16" s="1" a="1"/>
  <c r="AG165" i="16" s="1"/>
  <c r="N378" i="16"/>
  <c r="AG378" i="16" s="1" a="1"/>
  <c r="AG378" i="16" s="1"/>
  <c r="M378" i="16"/>
  <c r="N321" i="16"/>
  <c r="AG321" i="16" s="1" a="1"/>
  <c r="AG321" i="16" s="1"/>
  <c r="M321" i="16"/>
  <c r="AH321" i="16" s="1"/>
  <c r="T321" i="16" s="1"/>
  <c r="N377" i="16"/>
  <c r="AG377" i="16" s="1" a="1"/>
  <c r="AG377" i="16" s="1"/>
  <c r="M377" i="16"/>
  <c r="AH377" i="16" s="1"/>
  <c r="N306" i="16"/>
  <c r="AG306" i="16" s="1" a="1"/>
  <c r="AG306" i="16" s="1"/>
  <c r="M306" i="16"/>
  <c r="AF306" i="16" s="1" a="1"/>
  <c r="AF306" i="16" s="1"/>
  <c r="N50" i="16"/>
  <c r="AG50" i="16" s="1" a="1"/>
  <c r="AG50" i="16" s="1"/>
  <c r="O50" i="16"/>
  <c r="N247" i="16"/>
  <c r="AG247" i="16" s="1" a="1"/>
  <c r="AG247" i="16" s="1"/>
  <c r="M247" i="16"/>
  <c r="AH247" i="16" s="1"/>
  <c r="X247" i="16" s="1"/>
  <c r="M133" i="16"/>
  <c r="AF133" i="16" s="1" a="1"/>
  <c r="AF133" i="16" s="1"/>
  <c r="N133" i="16"/>
  <c r="AG133" i="16" s="1" a="1"/>
  <c r="AG133" i="16" s="1"/>
  <c r="D36" i="16"/>
  <c r="H36" i="16"/>
  <c r="I36" i="16"/>
  <c r="J36" i="16"/>
  <c r="H35" i="16"/>
  <c r="D35" i="16"/>
  <c r="I35" i="16"/>
  <c r="J35" i="16"/>
  <c r="D34" i="16"/>
  <c r="D3" i="29" s="1" a="1"/>
  <c r="D3" i="29" s="1"/>
  <c r="H34" i="16"/>
  <c r="I34" i="16"/>
  <c r="J34" i="16"/>
  <c r="E12" i="29" s="1" a="1"/>
  <c r="E12" i="29" s="1"/>
  <c r="E7" i="29" a="1"/>
  <c r="E7" i="29" s="1"/>
  <c r="E8" i="29" a="1"/>
  <c r="E8" i="29" s="1"/>
  <c r="E21" i="29" a="1"/>
  <c r="E21" i="29" s="1"/>
  <c r="E22" i="29" a="1"/>
  <c r="E22" i="29" s="1"/>
  <c r="A37" i="29" a="1"/>
  <c r="A37" i="29" s="1"/>
  <c r="B11" i="29" a="1"/>
  <c r="B11" i="29" s="1"/>
  <c r="B15" i="29" a="1"/>
  <c r="B15" i="29" s="1"/>
  <c r="B16" i="29" a="1"/>
  <c r="B16" i="29" s="1"/>
  <c r="B20" i="29"/>
  <c r="E10" i="29" a="1"/>
  <c r="E10" i="29" s="1"/>
  <c r="B8" i="29" a="1"/>
  <c r="B8" i="29" s="1"/>
  <c r="B9" i="29" a="1"/>
  <c r="B9" i="29" s="1"/>
  <c r="L115" i="16"/>
  <c r="O115" i="16"/>
  <c r="M115" i="16"/>
  <c r="N115" i="16"/>
  <c r="AG115" i="16" s="1" a="1"/>
  <c r="AG115" i="16" s="1"/>
  <c r="K115" i="16"/>
  <c r="O85" i="16"/>
  <c r="M85" i="16"/>
  <c r="K85" i="16"/>
  <c r="L85" i="16"/>
  <c r="N85" i="16"/>
  <c r="AG85" i="16" s="1" a="1"/>
  <c r="AG85" i="16" s="1"/>
  <c r="O71" i="16"/>
  <c r="M71" i="16"/>
  <c r="N71" i="16"/>
  <c r="AG71" i="16" s="1" a="1"/>
  <c r="AG71" i="16" s="1"/>
  <c r="K71" i="16"/>
  <c r="L71" i="16"/>
  <c r="K57" i="16"/>
  <c r="L57" i="16"/>
  <c r="M57" i="16"/>
  <c r="N57" i="16"/>
  <c r="AG57" i="16" s="1" a="1"/>
  <c r="AG57" i="16" s="1"/>
  <c r="O57" i="16"/>
  <c r="N114" i="16"/>
  <c r="AG114" i="16" s="1" a="1"/>
  <c r="AG114" i="16" s="1"/>
  <c r="M114" i="16"/>
  <c r="L114" i="16"/>
  <c r="O114" i="16"/>
  <c r="K114" i="16"/>
  <c r="N84" i="16"/>
  <c r="AG84" i="16" s="1" a="1"/>
  <c r="AG84" i="16" s="1"/>
  <c r="L84" i="16"/>
  <c r="K84" i="16"/>
  <c r="O84" i="16"/>
  <c r="M84" i="16"/>
  <c r="N70" i="16"/>
  <c r="AG70" i="16" s="1" a="1"/>
  <c r="AG70" i="16" s="1"/>
  <c r="L70" i="16"/>
  <c r="M70" i="16"/>
  <c r="K70" i="16"/>
  <c r="O70" i="16"/>
  <c r="O56" i="16"/>
  <c r="N56" i="16"/>
  <c r="AG56" i="16" s="1" a="1"/>
  <c r="AG56" i="16" s="1"/>
  <c r="L56" i="16"/>
  <c r="M56" i="16"/>
  <c r="K56" i="16"/>
  <c r="N113" i="16"/>
  <c r="AG113" i="16" s="1" a="1"/>
  <c r="AG113" i="16" s="1"/>
  <c r="L113" i="16"/>
  <c r="O113" i="16"/>
  <c r="K113" i="16"/>
  <c r="M113" i="16"/>
  <c r="O98" i="16"/>
  <c r="L98" i="16"/>
  <c r="M98" i="16"/>
  <c r="N98" i="16"/>
  <c r="AG98" i="16" s="1" a="1"/>
  <c r="AG98" i="16" s="1"/>
  <c r="K98" i="16"/>
  <c r="M69" i="16"/>
  <c r="N69" i="16"/>
  <c r="AG69" i="16" s="1" a="1"/>
  <c r="AG69" i="16" s="1"/>
  <c r="K69" i="16"/>
  <c r="O69" i="16"/>
  <c r="L69" i="16"/>
  <c r="L55" i="16"/>
  <c r="M55" i="16"/>
  <c r="K55" i="16"/>
  <c r="N55" i="16"/>
  <c r="AG55" i="16" s="1" a="1"/>
  <c r="AG55" i="16" s="1"/>
  <c r="O55" i="16"/>
  <c r="M112" i="16"/>
  <c r="N112" i="16"/>
  <c r="AG112" i="16" s="1" a="1"/>
  <c r="AG112" i="16" s="1"/>
  <c r="O112" i="16"/>
  <c r="K112" i="16"/>
  <c r="L112" i="16"/>
  <c r="N97" i="16"/>
  <c r="AG97" i="16" s="1" a="1"/>
  <c r="AG97" i="16" s="1"/>
  <c r="L97" i="16"/>
  <c r="M97" i="16"/>
  <c r="O97" i="16"/>
  <c r="K97" i="16"/>
  <c r="O68" i="16"/>
  <c r="M68" i="16"/>
  <c r="K68" i="16"/>
  <c r="N68" i="16"/>
  <c r="AG68" i="16" s="1" a="1"/>
  <c r="AG68" i="16" s="1"/>
  <c r="L68" i="16"/>
  <c r="O54" i="16"/>
  <c r="M54" i="16"/>
  <c r="L54" i="16"/>
  <c r="K54" i="16"/>
  <c r="N54" i="16"/>
  <c r="AG54" i="16" s="1" a="1"/>
  <c r="AG54" i="16" s="1"/>
  <c r="N111" i="16"/>
  <c r="AG111" i="16" s="1" a="1"/>
  <c r="AG111" i="16" s="1"/>
  <c r="O111" i="16"/>
  <c r="K111" i="16"/>
  <c r="M111" i="16"/>
  <c r="L111" i="16"/>
  <c r="N96" i="16"/>
  <c r="AG96" i="16" s="1" a="1"/>
  <c r="AG96" i="16" s="1"/>
  <c r="L96" i="16"/>
  <c r="M96" i="16"/>
  <c r="O96" i="16"/>
  <c r="K96" i="16"/>
  <c r="M82" i="16"/>
  <c r="L82" i="16"/>
  <c r="N82" i="16"/>
  <c r="AG82" i="16" s="1" a="1"/>
  <c r="AG82" i="16" s="1"/>
  <c r="K82" i="16"/>
  <c r="O82" i="16"/>
  <c r="AH67" i="16"/>
  <c r="AF67" i="16" a="1"/>
  <c r="AF67" i="16" s="1"/>
  <c r="L110" i="16"/>
  <c r="N110" i="16"/>
  <c r="AG110" i="16" s="1" a="1"/>
  <c r="AG110" i="16" s="1"/>
  <c r="O110" i="16"/>
  <c r="K110" i="16"/>
  <c r="M110" i="16"/>
  <c r="M95" i="16"/>
  <c r="L95" i="16"/>
  <c r="N95" i="16"/>
  <c r="AG95" i="16" s="1" a="1"/>
  <c r="AG95" i="16" s="1"/>
  <c r="O95" i="16"/>
  <c r="K95" i="16"/>
  <c r="N81" i="16"/>
  <c r="AG81" i="16" s="1" a="1"/>
  <c r="AG81" i="16" s="1"/>
  <c r="O81" i="16"/>
  <c r="L81" i="16"/>
  <c r="M81" i="16"/>
  <c r="K81" i="16"/>
  <c r="O109" i="16"/>
  <c r="K109" i="16"/>
  <c r="M109" i="16"/>
  <c r="L109" i="16"/>
  <c r="N109" i="16"/>
  <c r="AG109" i="16" s="1" a="1"/>
  <c r="AG109" i="16" s="1"/>
  <c r="L94" i="16"/>
  <c r="M94" i="16"/>
  <c r="N94" i="16"/>
  <c r="AG94" i="16" s="1" a="1"/>
  <c r="AG94" i="16" s="1"/>
  <c r="O94" i="16"/>
  <c r="K94" i="16"/>
  <c r="L80" i="16"/>
  <c r="M80" i="16"/>
  <c r="N80" i="16"/>
  <c r="AG80" i="16" s="1" a="1"/>
  <c r="AG80" i="16" s="1"/>
  <c r="K80" i="16"/>
  <c r="O80" i="16"/>
  <c r="L66" i="16"/>
  <c r="N66" i="16"/>
  <c r="AG66" i="16" s="1" a="1"/>
  <c r="AG66" i="16" s="1"/>
  <c r="K66" i="16"/>
  <c r="O66" i="16"/>
  <c r="M66" i="16"/>
  <c r="L52" i="16"/>
  <c r="M52" i="16"/>
  <c r="K52" i="16"/>
  <c r="N52" i="16"/>
  <c r="AG52" i="16" s="1" a="1"/>
  <c r="AG52" i="16" s="1"/>
  <c r="O52" i="16"/>
  <c r="K108" i="16"/>
  <c r="O108" i="16"/>
  <c r="M108" i="16"/>
  <c r="L108" i="16"/>
  <c r="N108" i="16"/>
  <c r="AG108" i="16" s="1" a="1"/>
  <c r="AG108" i="16" s="1"/>
  <c r="L93" i="16"/>
  <c r="M93" i="16"/>
  <c r="N93" i="16"/>
  <c r="AG93" i="16" s="1" a="1"/>
  <c r="AG93" i="16" s="1"/>
  <c r="O93" i="16"/>
  <c r="K93" i="16"/>
  <c r="N79" i="16"/>
  <c r="AG79" i="16" s="1" a="1"/>
  <c r="AG79" i="16" s="1"/>
  <c r="L79" i="16"/>
  <c r="M79" i="16"/>
  <c r="K79" i="16"/>
  <c r="O79" i="16"/>
  <c r="N65" i="16"/>
  <c r="AG65" i="16" s="1" a="1"/>
  <c r="AG65" i="16" s="1"/>
  <c r="M65" i="16"/>
  <c r="K65" i="16"/>
  <c r="O65" i="16"/>
  <c r="L65" i="16"/>
  <c r="N107" i="16"/>
  <c r="AG107" i="16" s="1" a="1"/>
  <c r="AG107" i="16" s="1"/>
  <c r="O107" i="16"/>
  <c r="K107" i="16"/>
  <c r="M107" i="16"/>
  <c r="L107" i="16"/>
  <c r="K92" i="16"/>
  <c r="O92" i="16"/>
  <c r="M92" i="16"/>
  <c r="N92" i="16"/>
  <c r="AG92" i="16" s="1" a="1"/>
  <c r="AG92" i="16" s="1"/>
  <c r="L92" i="16"/>
  <c r="M78" i="16"/>
  <c r="L78" i="16"/>
  <c r="N78" i="16"/>
  <c r="AG78" i="16" s="1" a="1"/>
  <c r="AG78" i="16" s="1"/>
  <c r="K78" i="16"/>
  <c r="O78" i="16"/>
  <c r="O64" i="16"/>
  <c r="N64" i="16"/>
  <c r="AG64" i="16" s="1" a="1"/>
  <c r="AG64" i="16" s="1"/>
  <c r="L64" i="16"/>
  <c r="M64" i="16"/>
  <c r="K64" i="16"/>
  <c r="M106" i="16"/>
  <c r="O106" i="16"/>
  <c r="K106" i="16"/>
  <c r="L106" i="16"/>
  <c r="N106" i="16"/>
  <c r="AG106" i="16" s="1" a="1"/>
  <c r="AG106" i="16" s="1"/>
  <c r="L77" i="16"/>
  <c r="M77" i="16"/>
  <c r="N77" i="16"/>
  <c r="AG77" i="16" s="1" a="1"/>
  <c r="AG77" i="16" s="1"/>
  <c r="K77" i="16"/>
  <c r="O77" i="16"/>
  <c r="L63" i="16"/>
  <c r="O63" i="16"/>
  <c r="M63" i="16"/>
  <c r="K63" i="16"/>
  <c r="N63" i="16"/>
  <c r="AG63" i="16" s="1" a="1"/>
  <c r="AG63" i="16" s="1"/>
  <c r="M105" i="16"/>
  <c r="K105" i="16"/>
  <c r="L105" i="16"/>
  <c r="N105" i="16"/>
  <c r="AG105" i="16" s="1" a="1"/>
  <c r="AG105" i="16" s="1"/>
  <c r="O105" i="16"/>
  <c r="K76" i="16"/>
  <c r="L76" i="16"/>
  <c r="M76" i="16"/>
  <c r="N76" i="16"/>
  <c r="AG76" i="16" s="1" a="1"/>
  <c r="AG76" i="16" s="1"/>
  <c r="O76" i="16"/>
  <c r="N62" i="16"/>
  <c r="AG62" i="16" s="1" a="1"/>
  <c r="AG62" i="16" s="1"/>
  <c r="O62" i="16"/>
  <c r="L62" i="16"/>
  <c r="M62" i="16"/>
  <c r="K62" i="16"/>
  <c r="O120" i="16"/>
  <c r="M120" i="16"/>
  <c r="L120" i="16"/>
  <c r="N120" i="16"/>
  <c r="AG120" i="16" s="1" a="1"/>
  <c r="AG120" i="16" s="1"/>
  <c r="K120" i="16"/>
  <c r="O104" i="16"/>
  <c r="N104" i="16"/>
  <c r="AG104" i="16" s="1" a="1"/>
  <c r="AG104" i="16" s="1"/>
  <c r="L104" i="16"/>
  <c r="K104" i="16"/>
  <c r="M104" i="16"/>
  <c r="M90" i="16"/>
  <c r="N90" i="16"/>
  <c r="AG90" i="16" s="1" a="1"/>
  <c r="AG90" i="16" s="1"/>
  <c r="O90" i="16"/>
  <c r="K90" i="16"/>
  <c r="L90" i="16"/>
  <c r="M61" i="16"/>
  <c r="O61" i="16"/>
  <c r="L61" i="16"/>
  <c r="K61" i="16"/>
  <c r="N61" i="16"/>
  <c r="AG61" i="16" s="1" a="1"/>
  <c r="AG61" i="16" s="1"/>
  <c r="N49" i="16"/>
  <c r="AG49" i="16" s="1" a="1"/>
  <c r="AG49" i="16" s="1"/>
  <c r="L49" i="16"/>
  <c r="M49" i="16"/>
  <c r="K49" i="16"/>
  <c r="O49" i="16"/>
  <c r="O119" i="16"/>
  <c r="M119" i="16"/>
  <c r="K119" i="16"/>
  <c r="L119" i="16"/>
  <c r="N119" i="16"/>
  <c r="AG119" i="16" s="1" a="1"/>
  <c r="AG119" i="16" s="1"/>
  <c r="M103" i="16"/>
  <c r="L103" i="16"/>
  <c r="N103" i="16"/>
  <c r="AG103" i="16" s="1" a="1"/>
  <c r="AG103" i="16" s="1"/>
  <c r="O103" i="16"/>
  <c r="K103" i="16"/>
  <c r="O89" i="16"/>
  <c r="N89" i="16"/>
  <c r="AG89" i="16" s="1" a="1"/>
  <c r="AG89" i="16" s="1"/>
  <c r="K89" i="16"/>
  <c r="L89" i="16"/>
  <c r="M89" i="16"/>
  <c r="K60" i="16"/>
  <c r="L60" i="16"/>
  <c r="M60" i="16"/>
  <c r="N60" i="16"/>
  <c r="AG60" i="16" s="1" a="1"/>
  <c r="AG60" i="16" s="1"/>
  <c r="O60" i="16"/>
  <c r="M48" i="16"/>
  <c r="K48" i="16"/>
  <c r="N48" i="16"/>
  <c r="AG48" i="16" s="1" a="1"/>
  <c r="AG48" i="16" s="1"/>
  <c r="O48" i="16"/>
  <c r="L48" i="16"/>
  <c r="N118" i="16"/>
  <c r="AG118" i="16" s="1" a="1"/>
  <c r="AG118" i="16" s="1"/>
  <c r="M118" i="16"/>
  <c r="L118" i="16"/>
  <c r="O118" i="16"/>
  <c r="K118" i="16"/>
  <c r="O102" i="16"/>
  <c r="M102" i="16"/>
  <c r="K102" i="16"/>
  <c r="L102" i="16"/>
  <c r="N102" i="16"/>
  <c r="AG102" i="16" s="1" a="1"/>
  <c r="AG102" i="16" s="1"/>
  <c r="O88" i="16"/>
  <c r="M88" i="16"/>
  <c r="N88" i="16"/>
  <c r="AG88" i="16" s="1" a="1"/>
  <c r="AG88" i="16" s="1"/>
  <c r="K88" i="16"/>
  <c r="L88" i="16"/>
  <c r="M74" i="16"/>
  <c r="K74" i="16"/>
  <c r="L74" i="16"/>
  <c r="N74" i="16"/>
  <c r="AG74" i="16" s="1" a="1"/>
  <c r="AG74" i="16" s="1"/>
  <c r="O74" i="16"/>
  <c r="O47" i="16"/>
  <c r="M47" i="16"/>
  <c r="K47" i="16"/>
  <c r="N47" i="16"/>
  <c r="AG47" i="16" s="1" a="1"/>
  <c r="AG47" i="16" s="1"/>
  <c r="L47" i="16"/>
  <c r="M117" i="16"/>
  <c r="L117" i="16"/>
  <c r="N117" i="16"/>
  <c r="AG117" i="16" s="1" a="1"/>
  <c r="AG117" i="16" s="1"/>
  <c r="O117" i="16"/>
  <c r="K117" i="16"/>
  <c r="N101" i="16"/>
  <c r="AG101" i="16" s="1" a="1"/>
  <c r="AG101" i="16" s="1"/>
  <c r="L101" i="16"/>
  <c r="M101" i="16"/>
  <c r="O101" i="16"/>
  <c r="K101" i="16"/>
  <c r="N87" i="16"/>
  <c r="AG87" i="16" s="1" a="1"/>
  <c r="AG87" i="16" s="1"/>
  <c r="L87" i="16"/>
  <c r="K87" i="16"/>
  <c r="O87" i="16"/>
  <c r="M87" i="16"/>
  <c r="N73" i="16"/>
  <c r="AG73" i="16" s="1" a="1"/>
  <c r="AG73" i="16" s="1"/>
  <c r="L73" i="16"/>
  <c r="M73" i="16"/>
  <c r="K73" i="16"/>
  <c r="O73" i="16"/>
  <c r="M116" i="16"/>
  <c r="L116" i="16"/>
  <c r="N116" i="16"/>
  <c r="AG116" i="16" s="1" a="1"/>
  <c r="AG116" i="16" s="1"/>
  <c r="O116" i="16"/>
  <c r="K116" i="16"/>
  <c r="L100" i="16"/>
  <c r="M100" i="16"/>
  <c r="N100" i="16"/>
  <c r="AG100" i="16" s="1" a="1"/>
  <c r="AG100" i="16" s="1"/>
  <c r="O100" i="16"/>
  <c r="K100" i="16"/>
  <c r="K86" i="16"/>
  <c r="O86" i="16"/>
  <c r="L86" i="16"/>
  <c r="M86" i="16"/>
  <c r="N86" i="16"/>
  <c r="AG86" i="16" s="1" a="1"/>
  <c r="AG86" i="16" s="1"/>
  <c r="O72" i="16"/>
  <c r="M72" i="16"/>
  <c r="N72" i="16"/>
  <c r="AG72" i="16" s="1" a="1"/>
  <c r="AG72" i="16" s="1"/>
  <c r="K72" i="16"/>
  <c r="L72" i="16"/>
  <c r="M58" i="16"/>
  <c r="O58" i="16"/>
  <c r="L58" i="16"/>
  <c r="K58" i="16"/>
  <c r="N58" i="16"/>
  <c r="AG58" i="16" s="1" a="1"/>
  <c r="AG58" i="16" s="1"/>
  <c r="M91" i="16"/>
  <c r="L91" i="16"/>
  <c r="O59" i="16"/>
  <c r="L99" i="16"/>
  <c r="M99" i="16"/>
  <c r="L83" i="16"/>
  <c r="O75" i="16"/>
  <c r="L67" i="16"/>
  <c r="N67" i="16"/>
  <c r="AG67" i="16" s="1" a="1"/>
  <c r="AG67" i="16" s="1"/>
  <c r="L51" i="16"/>
  <c r="O51" i="16"/>
  <c r="M51" i="16"/>
  <c r="K51" i="16"/>
  <c r="N83" i="16"/>
  <c r="AG83" i="16" s="1" a="1"/>
  <c r="AG83" i="16" s="1"/>
  <c r="K99" i="16"/>
  <c r="N59" i="16"/>
  <c r="AG59" i="16" s="1" a="1"/>
  <c r="AG59" i="16" s="1"/>
  <c r="K59" i="16"/>
  <c r="O99" i="16"/>
  <c r="M83" i="16"/>
  <c r="M59" i="16"/>
  <c r="K75" i="16"/>
  <c r="N99" i="16"/>
  <c r="AG99" i="16" s="1" a="1"/>
  <c r="AG99" i="16" s="1"/>
  <c r="N75" i="16"/>
  <c r="AG75" i="16" s="1" a="1"/>
  <c r="AG75" i="16" s="1"/>
  <c r="N51" i="16"/>
  <c r="AG51" i="16" s="1" a="1"/>
  <c r="AG51" i="16" s="1"/>
  <c r="O91" i="16"/>
  <c r="O67" i="16"/>
  <c r="K50" i="16"/>
  <c r="M75" i="16"/>
  <c r="M50" i="16"/>
  <c r="K67" i="16"/>
  <c r="L75" i="16"/>
  <c r="N91" i="16"/>
  <c r="AG91" i="16" s="1" a="1"/>
  <c r="AG91" i="16" s="1"/>
  <c r="N53" i="16"/>
  <c r="AG53" i="16" s="1" a="1"/>
  <c r="AG53" i="16" s="1"/>
  <c r="L53" i="16"/>
  <c r="L50" i="16"/>
  <c r="O83" i="16"/>
  <c r="N200" i="16"/>
  <c r="AG200" i="16" s="1" a="1"/>
  <c r="AG200" i="16" s="1"/>
  <c r="M200" i="16"/>
  <c r="N273" i="16"/>
  <c r="AG273" i="16" s="1" a="1"/>
  <c r="AG273" i="16" s="1"/>
  <c r="M273" i="16"/>
  <c r="AF273" i="16" s="1" a="1"/>
  <c r="AF273" i="16" s="1"/>
  <c r="N353" i="16"/>
  <c r="AG353" i="16" s="1" a="1"/>
  <c r="AG353" i="16" s="1"/>
  <c r="M353" i="16"/>
  <c r="AH353" i="16" s="1"/>
  <c r="X353" i="16" s="1"/>
  <c r="N149" i="16"/>
  <c r="AG149" i="16" s="1" a="1"/>
  <c r="AG149" i="16" s="1"/>
  <c r="M149" i="16"/>
  <c r="AF149" i="16" s="1" a="1"/>
  <c r="AF149" i="16" s="1"/>
  <c r="N177" i="16"/>
  <c r="AG177" i="16" s="1" a="1"/>
  <c r="AG177" i="16" s="1"/>
  <c r="M177" i="16"/>
  <c r="AH177" i="16" s="1"/>
  <c r="T177" i="16" s="1"/>
  <c r="N232" i="16"/>
  <c r="AG232" i="16" s="1" a="1"/>
  <c r="AG232" i="16" s="1"/>
  <c r="M232" i="16"/>
  <c r="N296" i="16"/>
  <c r="AG296" i="16" s="1" a="1"/>
  <c r="AG296" i="16" s="1"/>
  <c r="M296" i="16"/>
  <c r="N392" i="16"/>
  <c r="AG392" i="16" s="1" a="1"/>
  <c r="AG392" i="16" s="1"/>
  <c r="M392" i="16"/>
  <c r="AH392" i="16" s="1"/>
  <c r="T392" i="16" s="1"/>
  <c r="N8" i="16"/>
  <c r="AG8" i="16" s="1" a="1"/>
  <c r="AG8" i="16" s="1"/>
  <c r="M8" i="16"/>
  <c r="AF8" i="16" s="1" a="1"/>
  <c r="AF8" i="16" s="1"/>
  <c r="N305" i="16"/>
  <c r="AG305" i="16" s="1" a="1"/>
  <c r="AG305" i="16" s="1"/>
  <c r="M305" i="16"/>
  <c r="AH305" i="16" s="1"/>
  <c r="U305" i="16" s="1"/>
  <c r="V305" i="16" s="1"/>
  <c r="N193" i="16"/>
  <c r="AG193" i="16" s="1" a="1"/>
  <c r="AG193" i="16" s="1"/>
  <c r="M193" i="16"/>
  <c r="AH193" i="16" s="1"/>
  <c r="X193" i="16" s="1"/>
  <c r="N152" i="16"/>
  <c r="AG152" i="16" s="1" a="1"/>
  <c r="AG152" i="16" s="1"/>
  <c r="M152" i="16"/>
  <c r="M344" i="16"/>
  <c r="AF344" i="16" s="1" a="1"/>
  <c r="AF344" i="16" s="1"/>
  <c r="N344" i="16"/>
  <c r="AG344" i="16" s="1" a="1"/>
  <c r="AG344" i="16" s="1"/>
  <c r="N342" i="16"/>
  <c r="AG342" i="16" s="1" a="1"/>
  <c r="AG342" i="16" s="1"/>
  <c r="M342" i="16"/>
  <c r="AH342" i="16" s="1"/>
  <c r="U342" i="16" s="1"/>
  <c r="V342" i="16" s="1"/>
  <c r="AK342" i="16" s="1"/>
  <c r="N264" i="16"/>
  <c r="AG264" i="16" s="1" a="1"/>
  <c r="AG264" i="16" s="1"/>
  <c r="M264" i="16"/>
  <c r="N246" i="16"/>
  <c r="AG246" i="16" s="1" a="1"/>
  <c r="AG246" i="16" s="1"/>
  <c r="M246" i="16"/>
  <c r="AF246" i="16" s="1" a="1"/>
  <c r="AF246" i="16" s="1"/>
  <c r="M248" i="16"/>
  <c r="N248" i="16"/>
  <c r="AG248" i="16" s="1" a="1"/>
  <c r="AG248" i="16" s="1"/>
  <c r="N326" i="16"/>
  <c r="AG326" i="16" s="1" a="1"/>
  <c r="AG326" i="16" s="1"/>
  <c r="M326" i="16"/>
  <c r="AH326" i="16" s="1"/>
  <c r="X326" i="16" s="1"/>
  <c r="M328" i="16"/>
  <c r="AF328" i="16" s="1" a="1"/>
  <c r="AF328" i="16" s="1"/>
  <c r="N328" i="16"/>
  <c r="AG328" i="16" s="1" a="1"/>
  <c r="AG328" i="16" s="1"/>
  <c r="N181" i="16"/>
  <c r="AG181" i="16" s="1" a="1"/>
  <c r="AG181" i="16" s="1"/>
  <c r="M181" i="16"/>
  <c r="AF181" i="16" s="1" a="1"/>
  <c r="AF181" i="16" s="1"/>
  <c r="M161" i="16"/>
  <c r="AH161" i="16" s="1"/>
  <c r="X161" i="16" s="1"/>
  <c r="M184" i="16"/>
  <c r="M408" i="16"/>
  <c r="AH408" i="16" s="1"/>
  <c r="X408" i="16" s="1"/>
  <c r="M209" i="16"/>
  <c r="AH209" i="16" s="1"/>
  <c r="U209" i="16" s="1"/>
  <c r="V209" i="16" s="1"/>
  <c r="AK209" i="16" s="1"/>
  <c r="M230" i="16"/>
  <c r="AF230" i="16" s="1" a="1"/>
  <c r="AF230" i="16" s="1"/>
  <c r="M456" i="16"/>
  <c r="AF456" i="16" s="1" a="1"/>
  <c r="AF456" i="16" s="1"/>
  <c r="AM22" i="16"/>
  <c r="AP22" i="16" s="1"/>
  <c r="AH459" i="16"/>
  <c r="X459" i="16" s="1"/>
  <c r="N242" i="16"/>
  <c r="AG242" i="16" s="1" a="1"/>
  <c r="AG242" i="16" s="1"/>
  <c r="N290" i="16"/>
  <c r="AG290" i="16" s="1" a="1"/>
  <c r="AG290" i="16" s="1"/>
  <c r="M197" i="16"/>
  <c r="AF197" i="16" s="1" a="1"/>
  <c r="AF197" i="16" s="1"/>
  <c r="N227" i="16"/>
  <c r="AG227" i="16" s="1" a="1"/>
  <c r="AG227" i="16" s="1"/>
  <c r="N425" i="16"/>
  <c r="AG425" i="16" s="1" a="1"/>
  <c r="AG425" i="16" s="1"/>
  <c r="M438" i="16"/>
  <c r="AH438" i="16" s="1"/>
  <c r="M217" i="16"/>
  <c r="M376" i="16"/>
  <c r="M241" i="16"/>
  <c r="AH241" i="16" s="1"/>
  <c r="M280" i="16"/>
  <c r="M289" i="16"/>
  <c r="AH289" i="16" s="1"/>
  <c r="N411" i="16"/>
  <c r="AG411" i="16" s="1" a="1"/>
  <c r="AG411" i="16" s="1"/>
  <c r="M422" i="16"/>
  <c r="AH422" i="16" s="1"/>
  <c r="X422" i="16" s="1"/>
  <c r="M129" i="16"/>
  <c r="AH129" i="16" s="1"/>
  <c r="U129" i="16" s="1"/>
  <c r="V129" i="16" s="1"/>
  <c r="AK129" i="16" s="1"/>
  <c r="M136" i="16"/>
  <c r="M212" i="16"/>
  <c r="AF212" i="16" s="1" a="1"/>
  <c r="AF212" i="16" s="1"/>
  <c r="AM24" i="16"/>
  <c r="AO24" i="16" s="1"/>
  <c r="AM21" i="16"/>
  <c r="AM23" i="16"/>
  <c r="AG206" i="4" a="1"/>
  <c r="AG206" i="4" s="1"/>
  <c r="AG205" i="4" a="1"/>
  <c r="AG205" i="4" s="1"/>
  <c r="AG204" i="4" a="1"/>
  <c r="AG204" i="4" s="1"/>
  <c r="AG203" i="4" a="1"/>
  <c r="AG203" i="4" s="1"/>
  <c r="AG202" i="4" a="1"/>
  <c r="AG202" i="4" s="1"/>
  <c r="AG201" i="4" a="1"/>
  <c r="AG201" i="4" s="1"/>
  <c r="AG200" i="4" a="1"/>
  <c r="AG200" i="4" s="1"/>
  <c r="AG199" i="4" a="1"/>
  <c r="AG199" i="4" s="1"/>
  <c r="AG198" i="4" a="1"/>
  <c r="AG198" i="4" s="1"/>
  <c r="AG197" i="4" a="1"/>
  <c r="AG197" i="4" s="1"/>
  <c r="AG196" i="4" a="1"/>
  <c r="AG196" i="4" s="1"/>
  <c r="AG195" i="4" a="1"/>
  <c r="AG195" i="4" s="1"/>
  <c r="AG194" i="4" a="1"/>
  <c r="AG194" i="4" s="1"/>
  <c r="AG193" i="4" a="1"/>
  <c r="AG193" i="4" s="1"/>
  <c r="AG192" i="4" a="1"/>
  <c r="AG192" i="4" s="1"/>
  <c r="AG191" i="4" a="1"/>
  <c r="AG191" i="4" s="1"/>
  <c r="AG190" i="4" a="1"/>
  <c r="AG190" i="4" s="1"/>
  <c r="AG189" i="4" a="1"/>
  <c r="AG189" i="4" s="1"/>
  <c r="AG188" i="4" a="1"/>
  <c r="AG188" i="4" s="1"/>
  <c r="AG187" i="4" a="1"/>
  <c r="AG187" i="4" s="1"/>
  <c r="AG186" i="4" a="1"/>
  <c r="AG186" i="4" s="1"/>
  <c r="AG185" i="4" a="1"/>
  <c r="AG185" i="4" s="1"/>
  <c r="AG184" i="4" a="1"/>
  <c r="AG184" i="4" s="1"/>
  <c r="AG183" i="4" a="1"/>
  <c r="AG183" i="4" s="1"/>
  <c r="AG182" i="4" a="1"/>
  <c r="AG182" i="4" s="1"/>
  <c r="AG181" i="4" a="1"/>
  <c r="AG181" i="4" s="1"/>
  <c r="AG168" i="4" a="1"/>
  <c r="AG168" i="4" s="1"/>
  <c r="AG167" i="4" a="1"/>
  <c r="AG167" i="4" s="1"/>
  <c r="AG166" i="4" a="1"/>
  <c r="AG166" i="4" s="1"/>
  <c r="AG165" i="4" a="1"/>
  <c r="AG165" i="4" s="1"/>
  <c r="AG164" i="4" a="1"/>
  <c r="AG164" i="4" s="1"/>
  <c r="AG163" i="4" a="1"/>
  <c r="AG163" i="4" s="1"/>
  <c r="AG162" i="4" a="1"/>
  <c r="AG162" i="4" s="1"/>
  <c r="AG161" i="4" a="1"/>
  <c r="AG161" i="4" s="1"/>
  <c r="AG160" i="4" a="1"/>
  <c r="AG160" i="4" s="1"/>
  <c r="AG159" i="4" a="1"/>
  <c r="AG159" i="4" s="1"/>
  <c r="AG158" i="4" a="1"/>
  <c r="AG158" i="4" s="1"/>
  <c r="AG157" i="4" a="1"/>
  <c r="AG157" i="4" s="1"/>
  <c r="AG156" i="4" a="1"/>
  <c r="AG156" i="4" s="1"/>
  <c r="AG155" i="4" a="1"/>
  <c r="AG155" i="4" s="1"/>
  <c r="AG154" i="4" a="1"/>
  <c r="AG154" i="4" s="1"/>
  <c r="AG153" i="4" a="1"/>
  <c r="AG153" i="4" s="1"/>
  <c r="AG152" i="4" a="1"/>
  <c r="AG152" i="4" s="1"/>
  <c r="AG151" i="4" a="1"/>
  <c r="AG151" i="4" s="1"/>
  <c r="AG150" i="4" a="1"/>
  <c r="AG150" i="4" s="1"/>
  <c r="AG149" i="4" a="1"/>
  <c r="AG149" i="4" s="1"/>
  <c r="AG148" i="4" a="1"/>
  <c r="AG148" i="4" s="1"/>
  <c r="AG147" i="4" a="1"/>
  <c r="AG147" i="4" s="1"/>
  <c r="AG146" i="4" a="1"/>
  <c r="AG146" i="4" s="1"/>
  <c r="AG145" i="4" a="1"/>
  <c r="AG145" i="4" s="1"/>
  <c r="AG144" i="4" a="1"/>
  <c r="AG144" i="4" s="1"/>
  <c r="AG143" i="4" a="1"/>
  <c r="AG143" i="4" s="1"/>
  <c r="AG142" i="4" a="1"/>
  <c r="AG142" i="4" s="1"/>
  <c r="AG141" i="4" a="1"/>
  <c r="AG141" i="4" s="1"/>
  <c r="AG140" i="4" a="1"/>
  <c r="AG140" i="4" s="1"/>
  <c r="AG139" i="4" a="1"/>
  <c r="AG139" i="4" s="1"/>
  <c r="AG138" i="4" a="1"/>
  <c r="AG138" i="4" s="1"/>
  <c r="AG137" i="4" a="1"/>
  <c r="AG137" i="4" s="1"/>
  <c r="AG136" i="4" a="1"/>
  <c r="AG136" i="4" s="1"/>
  <c r="AG135" i="4" a="1"/>
  <c r="AG135" i="4" s="1"/>
  <c r="AG134" i="4" a="1"/>
  <c r="AG134" i="4" s="1"/>
  <c r="AG133" i="4" a="1"/>
  <c r="AG133" i="4" s="1"/>
  <c r="AG132" i="4" a="1"/>
  <c r="AG132" i="4" s="1"/>
  <c r="AG131" i="4" a="1"/>
  <c r="AG131" i="4" s="1"/>
  <c r="AG130" i="4" a="1"/>
  <c r="AG130" i="4" s="1"/>
  <c r="AG129" i="4" a="1"/>
  <c r="AG129" i="4" s="1"/>
  <c r="AG128" i="4" a="1"/>
  <c r="AG128" i="4" s="1"/>
  <c r="AG127" i="4" a="1"/>
  <c r="AG127" i="4" s="1"/>
  <c r="AG126" i="4" a="1"/>
  <c r="AG126" i="4" s="1"/>
  <c r="AG125" i="4" a="1"/>
  <c r="AG125" i="4" s="1"/>
  <c r="AG124" i="4" a="1"/>
  <c r="AG124" i="4" s="1"/>
  <c r="AG123" i="4" a="1"/>
  <c r="AG123" i="4" s="1"/>
  <c r="AG122" i="4" a="1"/>
  <c r="AG122" i="4" s="1"/>
  <c r="AG121" i="4" a="1"/>
  <c r="AG121" i="4" s="1"/>
  <c r="AG120" i="4" a="1"/>
  <c r="AG120" i="4" s="1"/>
  <c r="AG119" i="4" a="1"/>
  <c r="AG119" i="4" s="1"/>
  <c r="AG118" i="4" a="1"/>
  <c r="AG118" i="4" s="1"/>
  <c r="AG117" i="4" a="1"/>
  <c r="AG117" i="4" s="1"/>
  <c r="AG116" i="4" a="1"/>
  <c r="AG116" i="4" s="1"/>
  <c r="AG115" i="4" a="1"/>
  <c r="AG115" i="4" s="1"/>
  <c r="AG114" i="4" a="1"/>
  <c r="AG114" i="4" s="1"/>
  <c r="AG113" i="4" a="1"/>
  <c r="AG113" i="4" s="1"/>
  <c r="AG112" i="4" a="1"/>
  <c r="AG112" i="4" s="1"/>
  <c r="AG111" i="4" a="1"/>
  <c r="AG111" i="4" s="1"/>
  <c r="AG110" i="4" a="1"/>
  <c r="AG110" i="4" s="1"/>
  <c r="AG109" i="4" a="1"/>
  <c r="AG109" i="4" s="1"/>
  <c r="AG108" i="4" a="1"/>
  <c r="AG108" i="4" s="1"/>
  <c r="AG107" i="4" a="1"/>
  <c r="AG107" i="4" s="1"/>
  <c r="AG106" i="4" a="1"/>
  <c r="AG106" i="4" s="1"/>
  <c r="AG105" i="4" a="1"/>
  <c r="AG105" i="4" s="1"/>
  <c r="AG104" i="4" a="1"/>
  <c r="AG104" i="4" s="1"/>
  <c r="AG103" i="4" a="1"/>
  <c r="AG103" i="4" s="1"/>
  <c r="AG102" i="4" a="1"/>
  <c r="AG102" i="4" s="1"/>
  <c r="AG101" i="4" a="1"/>
  <c r="AG101" i="4" s="1"/>
  <c r="AG100" i="4" a="1"/>
  <c r="AG100" i="4" s="1"/>
  <c r="AG99" i="4" a="1"/>
  <c r="AG99" i="4" s="1"/>
  <c r="AG98" i="4" a="1"/>
  <c r="AG98" i="4" s="1"/>
  <c r="AG97" i="4" a="1"/>
  <c r="AG97" i="4" s="1"/>
  <c r="AG96" i="4" a="1"/>
  <c r="AG96" i="4" s="1"/>
  <c r="AG95" i="4" a="1"/>
  <c r="AG95" i="4" s="1"/>
  <c r="AG94" i="4" a="1"/>
  <c r="AG94" i="4" s="1"/>
  <c r="AG93" i="4" a="1"/>
  <c r="AG93" i="4" s="1"/>
  <c r="AG92" i="4" a="1"/>
  <c r="AG92" i="4" s="1"/>
  <c r="AG91" i="4" a="1"/>
  <c r="AG91" i="4" s="1"/>
  <c r="AG90" i="4" a="1"/>
  <c r="AG90" i="4" s="1"/>
  <c r="AG89" i="4" a="1"/>
  <c r="AG89" i="4" s="1"/>
  <c r="AG88" i="4" a="1"/>
  <c r="AG88" i="4" s="1"/>
  <c r="AG87" i="4" a="1"/>
  <c r="AG87" i="4" s="1"/>
  <c r="AG86" i="4" a="1"/>
  <c r="AG86" i="4" s="1"/>
  <c r="AG85" i="4" a="1"/>
  <c r="AG85" i="4" s="1"/>
  <c r="AG84" i="4" a="1"/>
  <c r="AG84" i="4" s="1"/>
  <c r="AG83" i="4" a="1"/>
  <c r="AG83" i="4" s="1"/>
  <c r="AG82" i="4" a="1"/>
  <c r="AG82" i="4" s="1"/>
  <c r="AG81" i="4" a="1"/>
  <c r="AG81" i="4" s="1"/>
  <c r="AG80" i="4" a="1"/>
  <c r="AG80" i="4" s="1"/>
  <c r="AG79" i="4" a="1"/>
  <c r="AG79" i="4" s="1"/>
  <c r="AG78" i="4" a="1"/>
  <c r="AG78" i="4" s="1"/>
  <c r="AG77" i="4" a="1"/>
  <c r="AG77" i="4" s="1"/>
  <c r="AG76" i="4" a="1"/>
  <c r="AG76" i="4" s="1"/>
  <c r="AG75" i="4" a="1"/>
  <c r="AG75" i="4" s="1"/>
  <c r="AG74" i="4" a="1"/>
  <c r="AG74" i="4" s="1"/>
  <c r="AG73" i="4" a="1"/>
  <c r="AG73" i="4" s="1"/>
  <c r="AG72" i="4" a="1"/>
  <c r="AG72" i="4" s="1"/>
  <c r="AG71" i="4" a="1"/>
  <c r="AG71" i="4" s="1"/>
  <c r="AG70" i="4" a="1"/>
  <c r="AG70" i="4" s="1"/>
  <c r="AG69" i="4" a="1"/>
  <c r="AG69" i="4" s="1"/>
  <c r="AG68" i="4" a="1"/>
  <c r="AG68" i="4" s="1"/>
  <c r="AG67" i="4" a="1"/>
  <c r="AG67" i="4" s="1"/>
  <c r="AF206" i="4" a="1"/>
  <c r="AF206" i="4" s="1"/>
  <c r="AH206" i="4" s="1"/>
  <c r="AI206" i="4" s="1"/>
  <c r="AF198" i="4" a="1"/>
  <c r="AF198" i="4" s="1"/>
  <c r="AF190" i="4" a="1"/>
  <c r="AF190" i="4" s="1"/>
  <c r="AF182" i="4" a="1"/>
  <c r="AF182" i="4" s="1"/>
  <c r="AG169" i="4" a="1"/>
  <c r="AG169" i="4" s="1"/>
  <c r="AG170" i="4" a="1"/>
  <c r="AG170" i="4" s="1"/>
  <c r="AF168" i="4" a="1"/>
  <c r="AF168" i="4" s="1"/>
  <c r="AF167" i="4" a="1"/>
  <c r="AF167" i="4" s="1"/>
  <c r="AF199" i="4" a="1"/>
  <c r="AF199" i="4" s="1"/>
  <c r="AF191" i="4" a="1"/>
  <c r="AF191" i="4" s="1"/>
  <c r="AF183" i="4" a="1"/>
  <c r="AF183" i="4" s="1"/>
  <c r="AG171" i="4" a="1"/>
  <c r="AG171" i="4" s="1"/>
  <c r="AF169" i="4" a="1"/>
  <c r="AF169" i="4" s="1"/>
  <c r="AF200" i="4" a="1"/>
  <c r="AF200" i="4" s="1"/>
  <c r="AF192" i="4" a="1"/>
  <c r="AF192" i="4" s="1"/>
  <c r="AH192" i="4" s="1"/>
  <c r="AI192" i="4" s="1"/>
  <c r="AF184" i="4" a="1"/>
  <c r="AF184" i="4" s="1"/>
  <c r="AG173" i="4" a="1"/>
  <c r="AG173" i="4" s="1"/>
  <c r="AF171" i="4" a="1"/>
  <c r="AF171" i="4" s="1"/>
  <c r="AG174" i="4" a="1"/>
  <c r="AG174" i="4" s="1"/>
  <c r="AF172" i="4" a="1"/>
  <c r="AF172" i="4" s="1"/>
  <c r="AG178" i="4" a="1"/>
  <c r="AG178" i="4" s="1"/>
  <c r="AF176" i="4" a="1"/>
  <c r="AF176" i="4" s="1"/>
  <c r="AF204" i="4" a="1"/>
  <c r="AF204" i="4" s="1"/>
  <c r="AF196" i="4" a="1"/>
  <c r="AF196" i="4" s="1"/>
  <c r="AF188" i="4" a="1"/>
  <c r="AF188" i="4" s="1"/>
  <c r="AF179" i="4" a="1"/>
  <c r="AF179" i="4" s="1"/>
  <c r="AF189" i="4" a="1"/>
  <c r="AF189" i="4" s="1"/>
  <c r="AH189" i="4" s="1"/>
  <c r="AI189" i="4" s="1"/>
  <c r="AF155" i="4" a="1"/>
  <c r="AF155" i="4" s="1"/>
  <c r="AF139" i="4" a="1"/>
  <c r="AF139" i="4" s="1"/>
  <c r="AF123" i="4" a="1"/>
  <c r="AF123" i="4" s="1"/>
  <c r="AF107" i="4" a="1"/>
  <c r="AF107" i="4" s="1"/>
  <c r="AH107" i="4" s="1"/>
  <c r="AI107" i="4" s="1"/>
  <c r="AF91" i="4" a="1"/>
  <c r="AF91" i="4" s="1"/>
  <c r="AF75" i="4" a="1"/>
  <c r="AF75" i="4" s="1"/>
  <c r="AF63" i="4" a="1"/>
  <c r="AF63" i="4" s="1"/>
  <c r="AF55" i="4" a="1"/>
  <c r="AF55" i="4" s="1"/>
  <c r="AG47" i="4" a="1"/>
  <c r="AG47" i="4" s="1"/>
  <c r="AG46" i="4" a="1"/>
  <c r="AG46" i="4" s="1"/>
  <c r="AG45" i="4" a="1"/>
  <c r="AG45" i="4" s="1"/>
  <c r="AG44" i="4" a="1"/>
  <c r="AG44" i="4" s="1"/>
  <c r="AG43" i="4" a="1"/>
  <c r="AG43" i="4" s="1"/>
  <c r="AG42" i="4" a="1"/>
  <c r="AG42" i="4" s="1"/>
  <c r="AG41" i="4" a="1"/>
  <c r="AG41" i="4" s="1"/>
  <c r="AG40" i="4" a="1"/>
  <c r="AG40" i="4" s="1"/>
  <c r="AG39" i="4" a="1"/>
  <c r="AG39" i="4" s="1"/>
  <c r="AG38" i="4" a="1"/>
  <c r="AG38" i="4" s="1"/>
  <c r="AG37" i="4" a="1"/>
  <c r="AG37" i="4" s="1"/>
  <c r="AG36" i="4" a="1"/>
  <c r="AG36" i="4" s="1"/>
  <c r="AG35" i="4" a="1"/>
  <c r="AG35" i="4" s="1"/>
  <c r="AG34" i="4" a="1"/>
  <c r="AG34" i="4" s="1"/>
  <c r="AG33" i="4" a="1"/>
  <c r="AG33" i="4" s="1"/>
  <c r="AG32" i="4" a="1"/>
  <c r="AG32" i="4" s="1"/>
  <c r="AG31" i="4" a="1"/>
  <c r="AG31" i="4" s="1"/>
  <c r="AG30" i="4" a="1"/>
  <c r="AG30" i="4" s="1"/>
  <c r="AG29" i="4" a="1"/>
  <c r="AG29" i="4" s="1"/>
  <c r="AG28" i="4" a="1"/>
  <c r="AG28" i="4" s="1"/>
  <c r="AG27" i="4" a="1"/>
  <c r="AG27" i="4" s="1"/>
  <c r="AG26" i="4" a="1"/>
  <c r="AG26" i="4" s="1"/>
  <c r="AG25" i="4" a="1"/>
  <c r="AG25" i="4" s="1"/>
  <c r="AG24" i="4" a="1"/>
  <c r="AG24" i="4" s="1"/>
  <c r="AG23" i="4" a="1"/>
  <c r="AG23" i="4" s="1"/>
  <c r="AG22" i="4" a="1"/>
  <c r="AG22" i="4" s="1"/>
  <c r="AG21" i="4" a="1"/>
  <c r="AG21" i="4" s="1"/>
  <c r="AG20" i="4" a="1"/>
  <c r="AG20" i="4" s="1"/>
  <c r="AG19" i="4" a="1"/>
  <c r="AG19" i="4" s="1"/>
  <c r="AG18" i="4" a="1"/>
  <c r="AG18" i="4" s="1"/>
  <c r="AG17" i="4" a="1"/>
  <c r="AG17" i="4" s="1"/>
  <c r="AG16" i="4" a="1"/>
  <c r="AG16" i="4" s="1"/>
  <c r="AG15" i="4" a="1"/>
  <c r="AG15" i="4" s="1"/>
  <c r="AG14" i="4" a="1"/>
  <c r="AG14" i="4" s="1"/>
  <c r="AG13" i="4" a="1"/>
  <c r="AG13" i="4" s="1"/>
  <c r="AG12" i="4" a="1"/>
  <c r="AG12" i="4" s="1"/>
  <c r="AG11" i="4" a="1"/>
  <c r="AG11" i="4" s="1"/>
  <c r="AG10" i="4" a="1"/>
  <c r="AG10" i="4" s="1"/>
  <c r="AG9" i="4" a="1"/>
  <c r="AG9" i="4" s="1"/>
  <c r="AG8" i="4" a="1"/>
  <c r="AG8" i="4" s="1"/>
  <c r="AG7" i="4" a="1"/>
  <c r="AG7" i="4" s="1"/>
  <c r="AG6" i="4" a="1"/>
  <c r="AG6" i="4" s="1"/>
  <c r="AG5" i="4" a="1"/>
  <c r="AG5" i="4" s="1"/>
  <c r="AG4" i="4" a="1"/>
  <c r="AG4" i="4" s="1"/>
  <c r="AG3" i="4" a="1"/>
  <c r="AG3" i="4" s="1"/>
  <c r="AF205" i="4" a="1"/>
  <c r="AF205" i="4" s="1"/>
  <c r="AF197" i="4" a="1"/>
  <c r="AF197" i="4" s="1"/>
  <c r="AH197" i="4" s="1"/>
  <c r="AI197" i="4" s="1"/>
  <c r="AF173" i="4" a="1"/>
  <c r="AF173" i="4" s="1"/>
  <c r="AF170" i="4" a="1"/>
  <c r="AF170" i="4" s="1"/>
  <c r="AF166" i="4" a="1"/>
  <c r="AF166" i="4" s="1"/>
  <c r="AF150" i="4" a="1"/>
  <c r="AF150" i="4" s="1"/>
  <c r="AF134" i="4" a="1"/>
  <c r="AF134" i="4" s="1"/>
  <c r="AF118" i="4" a="1"/>
  <c r="AF118" i="4" s="1"/>
  <c r="AH118" i="4" s="1"/>
  <c r="AI118" i="4" s="1"/>
  <c r="AF102" i="4" a="1"/>
  <c r="AF102" i="4" s="1"/>
  <c r="AH102" i="4" s="1"/>
  <c r="AI102" i="4" s="1"/>
  <c r="AF86" i="4" a="1"/>
  <c r="AF86" i="4" s="1"/>
  <c r="AH86" i="4" s="1"/>
  <c r="AI86" i="4" s="1"/>
  <c r="AF70" i="4" a="1"/>
  <c r="AF70" i="4" s="1"/>
  <c r="AH70" i="4" s="1"/>
  <c r="AI70" i="4" s="1"/>
  <c r="AG64" i="4" a="1"/>
  <c r="AG64" i="4" s="1"/>
  <c r="AG56" i="4" a="1"/>
  <c r="AG56" i="4" s="1"/>
  <c r="AG48" i="4" a="1"/>
  <c r="AG48" i="4" s="1"/>
  <c r="AF178" i="4" a="1"/>
  <c r="AF178" i="4" s="1"/>
  <c r="AF161" i="4" a="1"/>
  <c r="AF161" i="4" s="1"/>
  <c r="AF145" i="4" a="1"/>
  <c r="AF145" i="4" s="1"/>
  <c r="AF129" i="4" a="1"/>
  <c r="AF129" i="4" s="1"/>
  <c r="AH129" i="4" s="1"/>
  <c r="AI129" i="4" s="1"/>
  <c r="AF113" i="4" a="1"/>
  <c r="AF113" i="4" s="1"/>
  <c r="AH113" i="4" s="1"/>
  <c r="AI113" i="4" s="1"/>
  <c r="AF97" i="4" a="1"/>
  <c r="AF97" i="4" s="1"/>
  <c r="AH97" i="4" s="1"/>
  <c r="AI97" i="4" s="1"/>
  <c r="AF81" i="4" a="1"/>
  <c r="AF81" i="4" s="1"/>
  <c r="AH81" i="4" s="1"/>
  <c r="AI81" i="4" s="1"/>
  <c r="AF64" i="4" a="1"/>
  <c r="AF64" i="4" s="1"/>
  <c r="AF56" i="4" a="1"/>
  <c r="AF56" i="4" s="1"/>
  <c r="AF48" i="4" a="1"/>
  <c r="AF48" i="4" s="1"/>
  <c r="AF47" i="4" a="1"/>
  <c r="AF47" i="4" s="1"/>
  <c r="AF46" i="4" a="1"/>
  <c r="AF46" i="4" s="1"/>
  <c r="AF45" i="4" a="1"/>
  <c r="AF45" i="4" s="1"/>
  <c r="AF44" i="4" a="1"/>
  <c r="AF44" i="4" s="1"/>
  <c r="AF43" i="4" a="1"/>
  <c r="AF43" i="4" s="1"/>
  <c r="AF42" i="4" a="1"/>
  <c r="AF42" i="4" s="1"/>
  <c r="AF41" i="4" a="1"/>
  <c r="AF41" i="4" s="1"/>
  <c r="AF40" i="4" a="1"/>
  <c r="AF40" i="4" s="1"/>
  <c r="AF39" i="4" a="1"/>
  <c r="AF39" i="4" s="1"/>
  <c r="AF38" i="4" a="1"/>
  <c r="AF38" i="4" s="1"/>
  <c r="AH38" i="4" s="1"/>
  <c r="AI38" i="4" s="1"/>
  <c r="AF37" i="4" a="1"/>
  <c r="AF37" i="4" s="1"/>
  <c r="AF36" i="4" a="1"/>
  <c r="AF36" i="4" s="1"/>
  <c r="AF35" i="4" a="1"/>
  <c r="AF35" i="4" s="1"/>
  <c r="AF34" i="4" a="1"/>
  <c r="AF34" i="4" s="1"/>
  <c r="AH34" i="4" s="1"/>
  <c r="AI34" i="4" s="1"/>
  <c r="AF33" i="4" a="1"/>
  <c r="AF33" i="4" s="1"/>
  <c r="AF32" i="4" a="1"/>
  <c r="AF32" i="4" s="1"/>
  <c r="AF31" i="4" a="1"/>
  <c r="AF31" i="4" s="1"/>
  <c r="AF30" i="4" a="1"/>
  <c r="AF30" i="4" s="1"/>
  <c r="AF29" i="4" a="1"/>
  <c r="AF29" i="4" s="1"/>
  <c r="AH29" i="4" s="1"/>
  <c r="AI29" i="4" s="1"/>
  <c r="AF28" i="4" a="1"/>
  <c r="AF28" i="4" s="1"/>
  <c r="AF27" i="4" a="1"/>
  <c r="AF27" i="4" s="1"/>
  <c r="AF26" i="4" a="1"/>
  <c r="AF26" i="4" s="1"/>
  <c r="AF25" i="4" a="1"/>
  <c r="AF25" i="4" s="1"/>
  <c r="AF24" i="4" a="1"/>
  <c r="AF24" i="4" s="1"/>
  <c r="AF23" i="4" a="1"/>
  <c r="AF23" i="4" s="1"/>
  <c r="AF22" i="4" a="1"/>
  <c r="AF22" i="4" s="1"/>
  <c r="AH22" i="4" s="1"/>
  <c r="AI22" i="4" s="1"/>
  <c r="AF21" i="4" a="1"/>
  <c r="AF21" i="4" s="1"/>
  <c r="AF20" i="4" a="1"/>
  <c r="AF20" i="4" s="1"/>
  <c r="AF19" i="4" a="1"/>
  <c r="AF19" i="4" s="1"/>
  <c r="AF18" i="4" a="1"/>
  <c r="AF18" i="4" s="1"/>
  <c r="AH18" i="4" s="1"/>
  <c r="AI18" i="4" s="1"/>
  <c r="AF17" i="4" a="1"/>
  <c r="AF17" i="4" s="1"/>
  <c r="AH17" i="4" s="1"/>
  <c r="AI17" i="4" s="1"/>
  <c r="AF16" i="4" a="1"/>
  <c r="AF16" i="4" s="1"/>
  <c r="AF15" i="4" a="1"/>
  <c r="AF15" i="4" s="1"/>
  <c r="AF14" i="4" a="1"/>
  <c r="AF14" i="4" s="1"/>
  <c r="AF13" i="4" a="1"/>
  <c r="AF13" i="4" s="1"/>
  <c r="AH13" i="4" s="1"/>
  <c r="AI13" i="4" s="1"/>
  <c r="AF12" i="4" a="1"/>
  <c r="AF12" i="4" s="1"/>
  <c r="AF11" i="4" a="1"/>
  <c r="AF11" i="4" s="1"/>
  <c r="AF10" i="4" a="1"/>
  <c r="AF10" i="4" s="1"/>
  <c r="AH10" i="4" s="1"/>
  <c r="AI10" i="4" s="1"/>
  <c r="AF9" i="4" a="1"/>
  <c r="AF9" i="4" s="1"/>
  <c r="AH9" i="4" s="1"/>
  <c r="AI9" i="4" s="1"/>
  <c r="AF8" i="4" a="1"/>
  <c r="AF8" i="4" s="1"/>
  <c r="AF7" i="4" a="1"/>
  <c r="AF7" i="4" s="1"/>
  <c r="AF6" i="4" a="1"/>
  <c r="AF6" i="4" s="1"/>
  <c r="AH6" i="4" s="1"/>
  <c r="AI6" i="4" s="1"/>
  <c r="AF5" i="4" a="1"/>
  <c r="AF5" i="4" s="1"/>
  <c r="AF4" i="4" a="1"/>
  <c r="AF4" i="4" s="1"/>
  <c r="AF3" i="4" a="1"/>
  <c r="AF3" i="4" s="1"/>
  <c r="AF201" i="4" a="1"/>
  <c r="AF201" i="4" s="1"/>
  <c r="AH201" i="4" s="1"/>
  <c r="AI201" i="4" s="1"/>
  <c r="AF193" i="4" a="1"/>
  <c r="AF193" i="4" s="1"/>
  <c r="AG179" i="4" a="1"/>
  <c r="AG179" i="4" s="1"/>
  <c r="AF156" i="4" a="1"/>
  <c r="AF156" i="4" s="1"/>
  <c r="AH156" i="4" s="1"/>
  <c r="AI156" i="4" s="1"/>
  <c r="AF140" i="4" a="1"/>
  <c r="AF140" i="4" s="1"/>
  <c r="AH140" i="4" s="1"/>
  <c r="AI140" i="4" s="1"/>
  <c r="AF124" i="4" a="1"/>
  <c r="AF124" i="4" s="1"/>
  <c r="AH124" i="4" s="1"/>
  <c r="AI124" i="4" s="1"/>
  <c r="AF108" i="4" a="1"/>
  <c r="AF108" i="4" s="1"/>
  <c r="AH108" i="4" s="1"/>
  <c r="AI108" i="4" s="1"/>
  <c r="AF92" i="4" a="1"/>
  <c r="AF92" i="4" s="1"/>
  <c r="AH92" i="4" s="1"/>
  <c r="AI92" i="4" s="1"/>
  <c r="AF76" i="4" a="1"/>
  <c r="AF76" i="4" s="1"/>
  <c r="AH76" i="4" s="1"/>
  <c r="AI76" i="4" s="1"/>
  <c r="AG65" i="4" a="1"/>
  <c r="AG65" i="4" s="1"/>
  <c r="AG57" i="4" a="1"/>
  <c r="AG57" i="4" s="1"/>
  <c r="AG49" i="4" a="1"/>
  <c r="AG49" i="4" s="1"/>
  <c r="AF186" i="4" a="1"/>
  <c r="AF186" i="4" s="1"/>
  <c r="AF151" i="4" a="1"/>
  <c r="AF151" i="4" s="1"/>
  <c r="AF135" i="4" a="1"/>
  <c r="AF135" i="4" s="1"/>
  <c r="AF119" i="4" a="1"/>
  <c r="AF119" i="4" s="1"/>
  <c r="AF103" i="4" a="1"/>
  <c r="AF103" i="4" s="1"/>
  <c r="AF87" i="4" a="1"/>
  <c r="AF87" i="4" s="1"/>
  <c r="AF71" i="4" a="1"/>
  <c r="AF71" i="4" s="1"/>
  <c r="AF65" i="4" a="1"/>
  <c r="AF65" i="4" s="1"/>
  <c r="AF57" i="4" a="1"/>
  <c r="AF57" i="4" s="1"/>
  <c r="AF49" i="4" a="1"/>
  <c r="AF49" i="4" s="1"/>
  <c r="AH49" i="4" s="1"/>
  <c r="AI49" i="4" s="1"/>
  <c r="AF174" i="4" a="1"/>
  <c r="AF174" i="4" s="1"/>
  <c r="AF162" i="4" a="1"/>
  <c r="AF162" i="4" s="1"/>
  <c r="AH162" i="4" s="1"/>
  <c r="AI162" i="4" s="1"/>
  <c r="AF146" i="4" a="1"/>
  <c r="AF146" i="4" s="1"/>
  <c r="AH146" i="4" s="1"/>
  <c r="AI146" i="4" s="1"/>
  <c r="AF130" i="4" a="1"/>
  <c r="AF130" i="4" s="1"/>
  <c r="AH130" i="4" s="1"/>
  <c r="AI130" i="4" s="1"/>
  <c r="AF114" i="4" a="1"/>
  <c r="AF114" i="4" s="1"/>
  <c r="AH114" i="4" s="1"/>
  <c r="AI114" i="4" s="1"/>
  <c r="AF98" i="4" a="1"/>
  <c r="AF98" i="4" s="1"/>
  <c r="AH98" i="4" s="1"/>
  <c r="AI98" i="4" s="1"/>
  <c r="AF82" i="4" a="1"/>
  <c r="AF82" i="4" s="1"/>
  <c r="AH82" i="4" s="1"/>
  <c r="AI82" i="4" s="1"/>
  <c r="AG66" i="4" a="1"/>
  <c r="AG66" i="4" s="1"/>
  <c r="AG58" i="4" a="1"/>
  <c r="AG58" i="4" s="1"/>
  <c r="AG50" i="4" a="1"/>
  <c r="AG50" i="4" s="1"/>
  <c r="AF157" i="4" a="1"/>
  <c r="AF157" i="4" s="1"/>
  <c r="AH157" i="4" s="1"/>
  <c r="AI157" i="4" s="1"/>
  <c r="AF141" i="4" a="1"/>
  <c r="AF141" i="4" s="1"/>
  <c r="AH141" i="4" s="1"/>
  <c r="AI141" i="4" s="1"/>
  <c r="AF125" i="4" a="1"/>
  <c r="AF125" i="4" s="1"/>
  <c r="AH125" i="4" s="1"/>
  <c r="AI125" i="4" s="1"/>
  <c r="AF109" i="4" a="1"/>
  <c r="AF109" i="4" s="1"/>
  <c r="AH109" i="4" s="1"/>
  <c r="AI109" i="4" s="1"/>
  <c r="AF93" i="4" a="1"/>
  <c r="AF93" i="4" s="1"/>
  <c r="AH93" i="4" s="1"/>
  <c r="AI93" i="4" s="1"/>
  <c r="AF77" i="4" a="1"/>
  <c r="AF77" i="4" s="1"/>
  <c r="AH77" i="4" s="1"/>
  <c r="AI77" i="4" s="1"/>
  <c r="AF66" i="4" a="1"/>
  <c r="AF66" i="4" s="1"/>
  <c r="AF58" i="4" a="1"/>
  <c r="AF58" i="4" s="1"/>
  <c r="AF50" i="4" a="1"/>
  <c r="AF50" i="4" s="1"/>
  <c r="AF202" i="4" a="1"/>
  <c r="AF202" i="4" s="1"/>
  <c r="AF194" i="4" a="1"/>
  <c r="AF194" i="4" s="1"/>
  <c r="AH194" i="4" s="1"/>
  <c r="AI194" i="4" s="1"/>
  <c r="AF187" i="4" a="1"/>
  <c r="AF187" i="4" s="1"/>
  <c r="AG180" i="4" a="1"/>
  <c r="AG180" i="4" s="1"/>
  <c r="AG175" i="4" a="1"/>
  <c r="AG175" i="4" s="1"/>
  <c r="AF152" i="4" a="1"/>
  <c r="AF152" i="4" s="1"/>
  <c r="AH152" i="4" s="1"/>
  <c r="AI152" i="4" s="1"/>
  <c r="AF136" i="4" a="1"/>
  <c r="AF136" i="4" s="1"/>
  <c r="AH136" i="4" s="1"/>
  <c r="AI136" i="4" s="1"/>
  <c r="AF120" i="4" a="1"/>
  <c r="AF120" i="4" s="1"/>
  <c r="AH120" i="4" s="1"/>
  <c r="AI120" i="4" s="1"/>
  <c r="AF104" i="4" a="1"/>
  <c r="AF104" i="4" s="1"/>
  <c r="AH104" i="4" s="1"/>
  <c r="AI104" i="4" s="1"/>
  <c r="AF88" i="4" a="1"/>
  <c r="AF88" i="4" s="1"/>
  <c r="AH88" i="4" s="1"/>
  <c r="AI88" i="4" s="1"/>
  <c r="AF72" i="4" a="1"/>
  <c r="AF72" i="4" s="1"/>
  <c r="AH72" i="4" s="1"/>
  <c r="AI72" i="4" s="1"/>
  <c r="AG59" i="4" a="1"/>
  <c r="AG59" i="4" s="1"/>
  <c r="AG51" i="4" a="1"/>
  <c r="AG51" i="4" s="1"/>
  <c r="AF180" i="4" a="1"/>
  <c r="AF180" i="4" s="1"/>
  <c r="AF163" i="4" a="1"/>
  <c r="AF163" i="4" s="1"/>
  <c r="AH163" i="4" s="1"/>
  <c r="AI163" i="4" s="1"/>
  <c r="AF147" i="4" a="1"/>
  <c r="AF147" i="4" s="1"/>
  <c r="AH147" i="4" s="1"/>
  <c r="AI147" i="4" s="1"/>
  <c r="AF131" i="4" a="1"/>
  <c r="AF131" i="4" s="1"/>
  <c r="AH131" i="4" s="1"/>
  <c r="AI131" i="4" s="1"/>
  <c r="AF115" i="4" a="1"/>
  <c r="AF115" i="4" s="1"/>
  <c r="AH115" i="4" s="1"/>
  <c r="AI115" i="4" s="1"/>
  <c r="AF99" i="4" a="1"/>
  <c r="AF99" i="4" s="1"/>
  <c r="AH99" i="4" s="1"/>
  <c r="AI99" i="4" s="1"/>
  <c r="AF83" i="4" a="1"/>
  <c r="AF83" i="4" s="1"/>
  <c r="AH83" i="4" s="1"/>
  <c r="AI83" i="4" s="1"/>
  <c r="AF67" i="4" a="1"/>
  <c r="AF67" i="4" s="1"/>
  <c r="AH67" i="4" s="1"/>
  <c r="AI67" i="4" s="1"/>
  <c r="AF59" i="4" a="1"/>
  <c r="AF59" i="4" s="1"/>
  <c r="AF51" i="4" a="1"/>
  <c r="AF51" i="4" s="1"/>
  <c r="AF175" i="4" a="1"/>
  <c r="AF175" i="4" s="1"/>
  <c r="AF158" i="4" a="1"/>
  <c r="AF158" i="4" s="1"/>
  <c r="AF142" i="4" a="1"/>
  <c r="AF142" i="4" s="1"/>
  <c r="AF126" i="4" a="1"/>
  <c r="AF126" i="4" s="1"/>
  <c r="AF110" i="4" a="1"/>
  <c r="AF110" i="4" s="1"/>
  <c r="AF94" i="4" a="1"/>
  <c r="AF94" i="4" s="1"/>
  <c r="AF78" i="4" a="1"/>
  <c r="AF78" i="4" s="1"/>
  <c r="AG60" i="4" a="1"/>
  <c r="AG60" i="4" s="1"/>
  <c r="AG52" i="4" a="1"/>
  <c r="AG52" i="4" s="1"/>
  <c r="AF203" i="4" a="1"/>
  <c r="AF203" i="4" s="1"/>
  <c r="AF195" i="4" a="1"/>
  <c r="AF195" i="4" s="1"/>
  <c r="AF153" i="4" a="1"/>
  <c r="AF153" i="4" s="1"/>
  <c r="AH153" i="4" s="1"/>
  <c r="AI153" i="4" s="1"/>
  <c r="AF137" i="4" a="1"/>
  <c r="AF137" i="4" s="1"/>
  <c r="AH137" i="4" s="1"/>
  <c r="AI137" i="4" s="1"/>
  <c r="AF121" i="4" a="1"/>
  <c r="AF121" i="4" s="1"/>
  <c r="AH121" i="4" s="1"/>
  <c r="AI121" i="4" s="1"/>
  <c r="AF105" i="4" a="1"/>
  <c r="AF105" i="4" s="1"/>
  <c r="AH105" i="4" s="1"/>
  <c r="AI105" i="4" s="1"/>
  <c r="AF89" i="4" a="1"/>
  <c r="AF89" i="4" s="1"/>
  <c r="AH89" i="4" s="1"/>
  <c r="AI89" i="4" s="1"/>
  <c r="AF73" i="4" a="1"/>
  <c r="AF73" i="4" s="1"/>
  <c r="AH73" i="4" s="1"/>
  <c r="AI73" i="4" s="1"/>
  <c r="AF60" i="4" a="1"/>
  <c r="AF60" i="4" s="1"/>
  <c r="AH60" i="4" s="1"/>
  <c r="AI60" i="4" s="1"/>
  <c r="AF52" i="4" a="1"/>
  <c r="AF52" i="4" s="1"/>
  <c r="AG176" i="4" a="1"/>
  <c r="AG176" i="4" s="1"/>
  <c r="AF164" i="4" a="1"/>
  <c r="AF164" i="4" s="1"/>
  <c r="AF148" i="4" a="1"/>
  <c r="AF148" i="4" s="1"/>
  <c r="AF132" i="4" a="1"/>
  <c r="AF132" i="4" s="1"/>
  <c r="AF116" i="4" a="1"/>
  <c r="AF116" i="4" s="1"/>
  <c r="AF100" i="4" a="1"/>
  <c r="AF100" i="4" s="1"/>
  <c r="AF84" i="4" a="1"/>
  <c r="AF84" i="4" s="1"/>
  <c r="AH84" i="4" s="1"/>
  <c r="AI84" i="4" s="1"/>
  <c r="AF68" i="4" a="1"/>
  <c r="AF68" i="4" s="1"/>
  <c r="AG61" i="4" a="1"/>
  <c r="AG61" i="4" s="1"/>
  <c r="AG53" i="4" a="1"/>
  <c r="AG53" i="4" s="1"/>
  <c r="AF181" i="4" a="1"/>
  <c r="AF181" i="4" s="1"/>
  <c r="AH181" i="4" s="1"/>
  <c r="AI181" i="4" s="1"/>
  <c r="AG172" i="4" a="1"/>
  <c r="AG172" i="4" s="1"/>
  <c r="AF159" i="4" a="1"/>
  <c r="AF159" i="4" s="1"/>
  <c r="AH159" i="4" s="1"/>
  <c r="AI159" i="4" s="1"/>
  <c r="AF143" i="4" a="1"/>
  <c r="AF143" i="4" s="1"/>
  <c r="AF127" i="4" a="1"/>
  <c r="AF127" i="4" s="1"/>
  <c r="AF111" i="4" a="1"/>
  <c r="AF111" i="4" s="1"/>
  <c r="AF95" i="4" a="1"/>
  <c r="AF95" i="4" s="1"/>
  <c r="AF79" i="4" a="1"/>
  <c r="AF79" i="4" s="1"/>
  <c r="AF61" i="4" a="1"/>
  <c r="AF61" i="4" s="1"/>
  <c r="AH61" i="4" s="1"/>
  <c r="AI61" i="4" s="1"/>
  <c r="AF53" i="4" a="1"/>
  <c r="AF53" i="4" s="1"/>
  <c r="AF154" i="4" a="1"/>
  <c r="AF154" i="4" s="1"/>
  <c r="AH154" i="4" s="1"/>
  <c r="AI154" i="4" s="1"/>
  <c r="AF138" i="4" a="1"/>
  <c r="AF138" i="4" s="1"/>
  <c r="AH138" i="4" s="1"/>
  <c r="AI138" i="4" s="1"/>
  <c r="AF122" i="4" a="1"/>
  <c r="AF122" i="4" s="1"/>
  <c r="AH122" i="4" s="1"/>
  <c r="AI122" i="4" s="1"/>
  <c r="AF106" i="4" a="1"/>
  <c r="AF106" i="4" s="1"/>
  <c r="AH106" i="4" s="1"/>
  <c r="AI106" i="4" s="1"/>
  <c r="AF90" i="4" a="1"/>
  <c r="AF90" i="4" s="1"/>
  <c r="AH90" i="4" s="1"/>
  <c r="AI90" i="4" s="1"/>
  <c r="AF74" i="4" a="1"/>
  <c r="AF74" i="4" s="1"/>
  <c r="AH74" i="4" s="1"/>
  <c r="AI74" i="4" s="1"/>
  <c r="AG62" i="4" a="1"/>
  <c r="AG62" i="4" s="1"/>
  <c r="AG54" i="4" a="1"/>
  <c r="AG54" i="4" s="1"/>
  <c r="AG177" i="4" a="1"/>
  <c r="AG177" i="4" s="1"/>
  <c r="AF165" i="4" a="1"/>
  <c r="AF165" i="4" s="1"/>
  <c r="AF149" i="4" a="1"/>
  <c r="AF149" i="4" s="1"/>
  <c r="AF133" i="4" a="1"/>
  <c r="AF133" i="4" s="1"/>
  <c r="AF117" i="4" a="1"/>
  <c r="AF117" i="4" s="1"/>
  <c r="AF101" i="4" a="1"/>
  <c r="AF101" i="4" s="1"/>
  <c r="AF85" i="4" a="1"/>
  <c r="AF85" i="4" s="1"/>
  <c r="AF69" i="4" a="1"/>
  <c r="AF69" i="4" s="1"/>
  <c r="AH69" i="4" s="1"/>
  <c r="AI69" i="4" s="1"/>
  <c r="AF62" i="4" a="1"/>
  <c r="AF62" i="4" s="1"/>
  <c r="AF54" i="4" a="1"/>
  <c r="AF54" i="4" s="1"/>
  <c r="AF185" i="4" a="1"/>
  <c r="AF185" i="4" s="1"/>
  <c r="AH185" i="4" s="1"/>
  <c r="AI185" i="4" s="1"/>
  <c r="AF177" i="4" a="1"/>
  <c r="AF177" i="4" s="1"/>
  <c r="AF160" i="4" a="1"/>
  <c r="AF160" i="4" s="1"/>
  <c r="AH160" i="4" s="1"/>
  <c r="AI160" i="4" s="1"/>
  <c r="AF144" i="4" a="1"/>
  <c r="AF144" i="4" s="1"/>
  <c r="AH144" i="4" s="1"/>
  <c r="AI144" i="4" s="1"/>
  <c r="AF128" i="4" a="1"/>
  <c r="AF128" i="4" s="1"/>
  <c r="AH128" i="4" s="1"/>
  <c r="AI128" i="4" s="1"/>
  <c r="AF112" i="4" a="1"/>
  <c r="AF112" i="4" s="1"/>
  <c r="AH112" i="4" s="1"/>
  <c r="AI112" i="4" s="1"/>
  <c r="AF96" i="4" a="1"/>
  <c r="AF96" i="4" s="1"/>
  <c r="AH96" i="4" s="1"/>
  <c r="AI96" i="4" s="1"/>
  <c r="AF80" i="4" a="1"/>
  <c r="AF80" i="4" s="1"/>
  <c r="AH80" i="4" s="1"/>
  <c r="AI80" i="4" s="1"/>
  <c r="AG63" i="4" a="1"/>
  <c r="AG63" i="4" s="1"/>
  <c r="AG55" i="4" a="1"/>
  <c r="AG55" i="4" s="1"/>
  <c r="AK13" i="5"/>
  <c r="AL13" i="5" s="1"/>
  <c r="AT33" i="5"/>
  <c r="AU33" i="5" s="1"/>
  <c r="AT59" i="5"/>
  <c r="AU59" i="5" s="1"/>
  <c r="AK67" i="5"/>
  <c r="AL67" i="5" s="1"/>
  <c r="AT29" i="5"/>
  <c r="AU29" i="5" s="1"/>
  <c r="AK17" i="5"/>
  <c r="AL17" i="5" s="1"/>
  <c r="AT36" i="5"/>
  <c r="AU36" i="5" s="1"/>
  <c r="AT63" i="5"/>
  <c r="AU63" i="5" s="1"/>
  <c r="AK71" i="5"/>
  <c r="AL71" i="5" s="1"/>
  <c r="AI203" i="5" a="1"/>
  <c r="AI203" i="5" s="1"/>
  <c r="AJ193" i="5" a="1"/>
  <c r="AJ193" i="5" s="1"/>
  <c r="AI187" i="5" a="1"/>
  <c r="AI187" i="5" s="1"/>
  <c r="AJ177" i="5" a="1"/>
  <c r="AJ177" i="5" s="1"/>
  <c r="AI171" i="5" a="1"/>
  <c r="AI171" i="5" s="1"/>
  <c r="AJ161" i="5" a="1"/>
  <c r="AJ161" i="5" s="1"/>
  <c r="AI155" i="5" a="1"/>
  <c r="AI155" i="5" s="1"/>
  <c r="AJ145" i="5" a="1"/>
  <c r="AJ145" i="5" s="1"/>
  <c r="AI139" i="5" a="1"/>
  <c r="AI139" i="5" s="1"/>
  <c r="AJ129" i="5" a="1"/>
  <c r="AJ129" i="5" s="1"/>
  <c r="AI123" i="5" a="1"/>
  <c r="AI123" i="5" s="1"/>
  <c r="AJ199" i="5" a="1"/>
  <c r="AJ199" i="5" s="1"/>
  <c r="AI193" i="5" a="1"/>
  <c r="AI193" i="5" s="1"/>
  <c r="AJ183" i="5" a="1"/>
  <c r="AJ183" i="5" s="1"/>
  <c r="AI177" i="5" a="1"/>
  <c r="AI177" i="5" s="1"/>
  <c r="AJ167" i="5" a="1"/>
  <c r="AJ167" i="5" s="1"/>
  <c r="AI161" i="5" a="1"/>
  <c r="AI161" i="5" s="1"/>
  <c r="AJ151" i="5" a="1"/>
  <c r="AJ151" i="5" s="1"/>
  <c r="AI145" i="5" a="1"/>
  <c r="AI145" i="5" s="1"/>
  <c r="AJ135" i="5" a="1"/>
  <c r="AJ135" i="5" s="1"/>
  <c r="AI129" i="5" a="1"/>
  <c r="AI129" i="5" s="1"/>
  <c r="AK129" i="5" s="1"/>
  <c r="AL129" i="5" s="1"/>
  <c r="AJ205" i="5" a="1"/>
  <c r="AJ205" i="5" s="1"/>
  <c r="AI199" i="5" a="1"/>
  <c r="AI199" i="5" s="1"/>
  <c r="AJ189" i="5" a="1"/>
  <c r="AJ189" i="5" s="1"/>
  <c r="AI201" i="5" a="1"/>
  <c r="AI201" i="5" s="1"/>
  <c r="AJ191" i="5" a="1"/>
  <c r="AJ191" i="5" s="1"/>
  <c r="AI185" i="5" a="1"/>
  <c r="AI185" i="5" s="1"/>
  <c r="AJ206" i="5" a="1"/>
  <c r="AJ206" i="5" s="1"/>
  <c r="AI200" i="5" a="1"/>
  <c r="AI200" i="5" s="1"/>
  <c r="AJ190" i="5" a="1"/>
  <c r="AJ190" i="5" s="1"/>
  <c r="AI184" i="5" a="1"/>
  <c r="AI184" i="5" s="1"/>
  <c r="AJ174" i="5" a="1"/>
  <c r="AJ174" i="5" s="1"/>
  <c r="AI168" i="5" a="1"/>
  <c r="AI168" i="5" s="1"/>
  <c r="AJ158" i="5" a="1"/>
  <c r="AJ158" i="5" s="1"/>
  <c r="AI152" i="5" a="1"/>
  <c r="AI152" i="5" s="1"/>
  <c r="AJ198" i="5" a="1"/>
  <c r="AJ198" i="5" s="1"/>
  <c r="AI192" i="5" a="1"/>
  <c r="AI192" i="5" s="1"/>
  <c r="AI186" i="5" a="1"/>
  <c r="AI186" i="5" s="1"/>
  <c r="AJ166" i="5" a="1"/>
  <c r="AJ166" i="5" s="1"/>
  <c r="AI124" i="5" a="1"/>
  <c r="AI124" i="5" s="1"/>
  <c r="AJ116" i="5" a="1"/>
  <c r="AJ116" i="5" s="1"/>
  <c r="AI110" i="5" a="1"/>
  <c r="AI110" i="5" s="1"/>
  <c r="AJ100" i="5" a="1"/>
  <c r="AJ100" i="5" s="1"/>
  <c r="AI94" i="5" a="1"/>
  <c r="AI94" i="5" s="1"/>
  <c r="AJ84" i="5" a="1"/>
  <c r="AJ84" i="5" s="1"/>
  <c r="AI78" i="5" a="1"/>
  <c r="AI78" i="5" s="1"/>
  <c r="AJ68" i="5" a="1"/>
  <c r="AJ68" i="5" s="1"/>
  <c r="AI62" i="5" a="1"/>
  <c r="AI62" i="5" s="1"/>
  <c r="AJ52" i="5" a="1"/>
  <c r="AJ52" i="5" s="1"/>
  <c r="AI46" i="5" a="1"/>
  <c r="AI46" i="5" s="1"/>
  <c r="AJ36" i="5" a="1"/>
  <c r="AJ36" i="5" s="1"/>
  <c r="AJ30" i="5" a="1"/>
  <c r="AJ30" i="5" s="1"/>
  <c r="AI24" i="5" a="1"/>
  <c r="AI24" i="5" s="1"/>
  <c r="AJ14" i="5" a="1"/>
  <c r="AJ14" i="5" s="1"/>
  <c r="AI8" i="5" a="1"/>
  <c r="AI8" i="5" s="1"/>
  <c r="AI206" i="5" a="1"/>
  <c r="AI206" i="5" s="1"/>
  <c r="AK206" i="5" s="1"/>
  <c r="AL206" i="5" s="1"/>
  <c r="AI181" i="5" a="1"/>
  <c r="AI181" i="5" s="1"/>
  <c r="AJ180" i="5" a="1"/>
  <c r="AJ180" i="5" s="1"/>
  <c r="AI176" i="5" a="1"/>
  <c r="AI176" i="5" s="1"/>
  <c r="AI162" i="5" a="1"/>
  <c r="AI162" i="5" s="1"/>
  <c r="AI198" i="5" a="1"/>
  <c r="AI198" i="5" s="1"/>
  <c r="AJ185" i="5" a="1"/>
  <c r="AJ185" i="5" s="1"/>
  <c r="AI180" i="5" a="1"/>
  <c r="AI180" i="5" s="1"/>
  <c r="AJ171" i="5" a="1"/>
  <c r="AJ171" i="5" s="1"/>
  <c r="AI166" i="5" a="1"/>
  <c r="AI166" i="5" s="1"/>
  <c r="AJ152" i="5" a="1"/>
  <c r="AJ152" i="5" s="1"/>
  <c r="AI116" i="5" a="1"/>
  <c r="AI116" i="5" s="1"/>
  <c r="AJ106" i="5" a="1"/>
  <c r="AJ106" i="5" s="1"/>
  <c r="AI100" i="5" a="1"/>
  <c r="AI100" i="5" s="1"/>
  <c r="AJ90" i="5" a="1"/>
  <c r="AJ90" i="5" s="1"/>
  <c r="AI84" i="5" a="1"/>
  <c r="AI84" i="5" s="1"/>
  <c r="AJ74" i="5" a="1"/>
  <c r="AJ74" i="5" s="1"/>
  <c r="AI68" i="5" a="1"/>
  <c r="AI68" i="5" s="1"/>
  <c r="AJ58" i="5" a="1"/>
  <c r="AJ58" i="5" s="1"/>
  <c r="AI52" i="5" a="1"/>
  <c r="AI52" i="5" s="1"/>
  <c r="AJ42" i="5" a="1"/>
  <c r="AJ42" i="5" s="1"/>
  <c r="AI36" i="5" a="1"/>
  <c r="AI36" i="5" s="1"/>
  <c r="AI30" i="5" a="1"/>
  <c r="AI30" i="5" s="1"/>
  <c r="AJ20" i="5" a="1"/>
  <c r="AJ20" i="5" s="1"/>
  <c r="AI14" i="5" a="1"/>
  <c r="AI14" i="5" s="1"/>
  <c r="AJ4" i="5" a="1"/>
  <c r="AJ4" i="5" s="1"/>
  <c r="AI205" i="5" a="1"/>
  <c r="AI205" i="5" s="1"/>
  <c r="AJ196" i="5" a="1"/>
  <c r="AJ196" i="5" s="1"/>
  <c r="AJ179" i="5" a="1"/>
  <c r="AJ179" i="5" s="1"/>
  <c r="AJ130" i="5" a="1"/>
  <c r="AJ130" i="5" s="1"/>
  <c r="AJ112" i="5" a="1"/>
  <c r="AJ112" i="5" s="1"/>
  <c r="AI106" i="5" a="1"/>
  <c r="AI106" i="5" s="1"/>
  <c r="AK106" i="5" s="1"/>
  <c r="AL106" i="5" s="1"/>
  <c r="AJ96" i="5" a="1"/>
  <c r="AJ96" i="5" s="1"/>
  <c r="AI90" i="5" a="1"/>
  <c r="AI90" i="5" s="1"/>
  <c r="AJ80" i="5" a="1"/>
  <c r="AJ80" i="5" s="1"/>
  <c r="AI74" i="5" a="1"/>
  <c r="AI74" i="5" s="1"/>
  <c r="AJ64" i="5" a="1"/>
  <c r="AJ64" i="5" s="1"/>
  <c r="AI58" i="5" a="1"/>
  <c r="AI58" i="5" s="1"/>
  <c r="AJ48" i="5" a="1"/>
  <c r="AJ48" i="5" s="1"/>
  <c r="AI42" i="5" a="1"/>
  <c r="AI42" i="5" s="1"/>
  <c r="AJ26" i="5" a="1"/>
  <c r="AJ26" i="5" s="1"/>
  <c r="AI20" i="5" a="1"/>
  <c r="AI20" i="5" s="1"/>
  <c r="AJ10" i="5" a="1"/>
  <c r="AJ10" i="5" s="1"/>
  <c r="AI4" i="5" a="1"/>
  <c r="AI4" i="5" s="1"/>
  <c r="AK4" i="5" s="1"/>
  <c r="AL4" i="5" s="1"/>
  <c r="AJ204" i="5" a="1"/>
  <c r="AJ204" i="5" s="1"/>
  <c r="AI197" i="5" a="1"/>
  <c r="AI197" i="5" s="1"/>
  <c r="AK197" i="5" s="1"/>
  <c r="AL197" i="5" s="1"/>
  <c r="AI196" i="5" a="1"/>
  <c r="AI196" i="5" s="1"/>
  <c r="AI190" i="5" a="1"/>
  <c r="AI190" i="5" s="1"/>
  <c r="AK190" i="5" s="1"/>
  <c r="AL190" i="5" s="1"/>
  <c r="AI175" i="5" a="1"/>
  <c r="AI175" i="5" s="1"/>
  <c r="AI170" i="5" a="1"/>
  <c r="AI170" i="5" s="1"/>
  <c r="AJ165" i="5" a="1"/>
  <c r="AJ165" i="5" s="1"/>
  <c r="AJ160" i="5" a="1"/>
  <c r="AJ160" i="5" s="1"/>
  <c r="AI156" i="5" a="1"/>
  <c r="AI156" i="5" s="1"/>
  <c r="AI151" i="5" a="1"/>
  <c r="AI151" i="5" s="1"/>
  <c r="AJ142" i="5" a="1"/>
  <c r="AJ142" i="5" s="1"/>
  <c r="AI138" i="5" a="1"/>
  <c r="AI138" i="5" s="1"/>
  <c r="AI134" i="5" a="1"/>
  <c r="AI134" i="5" s="1"/>
  <c r="AJ126" i="5" a="1"/>
  <c r="AJ126" i="5" s="1"/>
  <c r="AI119" i="5" a="1"/>
  <c r="AI119" i="5" s="1"/>
  <c r="AI204" i="5" a="1"/>
  <c r="AI204" i="5" s="1"/>
  <c r="AJ195" i="5" a="1"/>
  <c r="AJ195" i="5" s="1"/>
  <c r="AJ184" i="5" a="1"/>
  <c r="AJ184" i="5" s="1"/>
  <c r="AI179" i="5" a="1"/>
  <c r="AI179" i="5" s="1"/>
  <c r="AK179" i="5" s="1"/>
  <c r="AL179" i="5" s="1"/>
  <c r="AJ150" i="5" a="1"/>
  <c r="AJ150" i="5" s="1"/>
  <c r="AJ146" i="5" a="1"/>
  <c r="AJ146" i="5" s="1"/>
  <c r="AI142" i="5" a="1"/>
  <c r="AI142" i="5" s="1"/>
  <c r="AI130" i="5" a="1"/>
  <c r="AI130" i="5" s="1"/>
  <c r="AI126" i="5" a="1"/>
  <c r="AI126" i="5" s="1"/>
  <c r="AJ122" i="5" a="1"/>
  <c r="AJ122" i="5" s="1"/>
  <c r="AI112" i="5" a="1"/>
  <c r="AI112" i="5" s="1"/>
  <c r="AJ102" i="5" a="1"/>
  <c r="AJ102" i="5" s="1"/>
  <c r="AI96" i="5" a="1"/>
  <c r="AI96" i="5" s="1"/>
  <c r="AJ86" i="5" a="1"/>
  <c r="AJ86" i="5" s="1"/>
  <c r="AI80" i="5" a="1"/>
  <c r="AI80" i="5" s="1"/>
  <c r="AK80" i="5" s="1"/>
  <c r="AL80" i="5" s="1"/>
  <c r="AJ70" i="5" a="1"/>
  <c r="AJ70" i="5" s="1"/>
  <c r="AI64" i="5" a="1"/>
  <c r="AI64" i="5" s="1"/>
  <c r="AJ54" i="5" a="1"/>
  <c r="AJ54" i="5" s="1"/>
  <c r="AI48" i="5" a="1"/>
  <c r="AI48" i="5" s="1"/>
  <c r="AJ38" i="5" a="1"/>
  <c r="AJ38" i="5" s="1"/>
  <c r="AJ32" i="5" a="1"/>
  <c r="AJ32" i="5" s="1"/>
  <c r="AI26" i="5" a="1"/>
  <c r="AI26" i="5" s="1"/>
  <c r="AJ16" i="5" a="1"/>
  <c r="AJ16" i="5" s="1"/>
  <c r="AI10" i="5" a="1"/>
  <c r="AI10" i="5" s="1"/>
  <c r="AI195" i="5" a="1"/>
  <c r="AI195" i="5" s="1"/>
  <c r="AK195" i="5" s="1"/>
  <c r="AL195" i="5" s="1"/>
  <c r="AI189" i="5" a="1"/>
  <c r="AI189" i="5" s="1"/>
  <c r="AI164" i="5" a="1"/>
  <c r="AI164" i="5" s="1"/>
  <c r="AK164" i="5" s="1"/>
  <c r="AL164" i="5" s="1"/>
  <c r="AJ155" i="5" a="1"/>
  <c r="AJ155" i="5" s="1"/>
  <c r="AI150" i="5" a="1"/>
  <c r="AI150" i="5" s="1"/>
  <c r="AI146" i="5" a="1"/>
  <c r="AI146" i="5" s="1"/>
  <c r="AJ141" i="5" a="1"/>
  <c r="AJ141" i="5" s="1"/>
  <c r="AJ133" i="5" a="1"/>
  <c r="AJ133" i="5" s="1"/>
  <c r="AI122" i="5" a="1"/>
  <c r="AI122" i="5" s="1"/>
  <c r="AJ108" i="5" a="1"/>
  <c r="AJ108" i="5" s="1"/>
  <c r="AI102" i="5" a="1"/>
  <c r="AI102" i="5" s="1"/>
  <c r="AJ92" i="5" a="1"/>
  <c r="AJ92" i="5" s="1"/>
  <c r="AI86" i="5" a="1"/>
  <c r="AI86" i="5" s="1"/>
  <c r="AJ76" i="5" a="1"/>
  <c r="AJ76" i="5" s="1"/>
  <c r="AI70" i="5" a="1"/>
  <c r="AI70" i="5" s="1"/>
  <c r="AJ60" i="5" a="1"/>
  <c r="AJ60" i="5" s="1"/>
  <c r="AI54" i="5" a="1"/>
  <c r="AI54" i="5" s="1"/>
  <c r="AK54" i="5" s="1"/>
  <c r="AL54" i="5" s="1"/>
  <c r="AJ44" i="5" a="1"/>
  <c r="AJ44" i="5" s="1"/>
  <c r="AK44" i="5" s="1"/>
  <c r="AL44" i="5" s="1"/>
  <c r="AI38" i="5" a="1"/>
  <c r="AI38" i="5" s="1"/>
  <c r="AI32" i="5" a="1"/>
  <c r="AI32" i="5" s="1"/>
  <c r="AJ22" i="5" a="1"/>
  <c r="AJ22" i="5" s="1"/>
  <c r="AK22" i="5" s="1"/>
  <c r="AL22" i="5" s="1"/>
  <c r="AI16" i="5" a="1"/>
  <c r="AI16" i="5" s="1"/>
  <c r="AJ6" i="5" a="1"/>
  <c r="AJ6" i="5" s="1"/>
  <c r="AK6" i="5" s="1"/>
  <c r="AL6" i="5" s="1"/>
  <c r="AJ203" i="5" a="1"/>
  <c r="AJ203" i="5" s="1"/>
  <c r="AJ202" i="5" a="1"/>
  <c r="AJ202" i="5" s="1"/>
  <c r="AJ194" i="5" a="1"/>
  <c r="AJ194" i="5" s="1"/>
  <c r="AJ188" i="5" a="1"/>
  <c r="AJ188" i="5" s="1"/>
  <c r="AI183" i="5" a="1"/>
  <c r="AI183" i="5" s="1"/>
  <c r="AK183" i="5" s="1"/>
  <c r="AL183" i="5" s="1"/>
  <c r="AJ178" i="5" a="1"/>
  <c r="AJ178" i="5" s="1"/>
  <c r="AJ173" i="5" a="1"/>
  <c r="AJ173" i="5" s="1"/>
  <c r="AI169" i="5" a="1"/>
  <c r="AI169" i="5" s="1"/>
  <c r="AJ159" i="5" a="1"/>
  <c r="AJ159" i="5" s="1"/>
  <c r="AJ154" i="5" a="1"/>
  <c r="AJ154" i="5" s="1"/>
  <c r="AI137" i="5" a="1"/>
  <c r="AI137" i="5" s="1"/>
  <c r="AJ125" i="5" a="1"/>
  <c r="AJ125" i="5" s="1"/>
  <c r="AI118" i="5" a="1"/>
  <c r="AI118" i="5" s="1"/>
  <c r="AK118" i="5" s="1"/>
  <c r="AL118" i="5" s="1"/>
  <c r="AJ111" i="5" a="1"/>
  <c r="AJ111" i="5" s="1"/>
  <c r="AI105" i="5" a="1"/>
  <c r="AI105" i="5" s="1"/>
  <c r="AJ95" i="5" a="1"/>
  <c r="AJ95" i="5" s="1"/>
  <c r="AI89" i="5" a="1"/>
  <c r="AI89" i="5" s="1"/>
  <c r="AK89" i="5" s="1"/>
  <c r="AL89" i="5" s="1"/>
  <c r="AJ79" i="5" a="1"/>
  <c r="AJ79" i="5" s="1"/>
  <c r="AK79" i="5" s="1"/>
  <c r="AL79" i="5" s="1"/>
  <c r="AI73" i="5" a="1"/>
  <c r="AI73" i="5" s="1"/>
  <c r="AK73" i="5" s="1"/>
  <c r="AL73" i="5" s="1"/>
  <c r="AJ63" i="5" a="1"/>
  <c r="AJ63" i="5" s="1"/>
  <c r="AI57" i="5" a="1"/>
  <c r="AI57" i="5" s="1"/>
  <c r="AK57" i="5" s="1"/>
  <c r="AL57" i="5" s="1"/>
  <c r="AJ47" i="5" a="1"/>
  <c r="AJ47" i="5" s="1"/>
  <c r="AI41" i="5" a="1"/>
  <c r="AI41" i="5" s="1"/>
  <c r="AI35" i="5" a="1"/>
  <c r="AI35" i="5" s="1"/>
  <c r="AK35" i="5" s="1"/>
  <c r="AL35" i="5" s="1"/>
  <c r="AJ25" i="5" a="1"/>
  <c r="AJ25" i="5" s="1"/>
  <c r="AK25" i="5" s="1"/>
  <c r="AL25" i="5" s="1"/>
  <c r="AI19" i="5" a="1"/>
  <c r="AI19" i="5" s="1"/>
  <c r="AJ9" i="5" a="1"/>
  <c r="AJ9" i="5" s="1"/>
  <c r="AK9" i="5" s="1"/>
  <c r="AL9" i="5" s="1"/>
  <c r="AI3" i="5" a="1"/>
  <c r="AI3" i="5" s="1"/>
  <c r="AI202" i="5" a="1"/>
  <c r="AI202" i="5" s="1"/>
  <c r="AI188" i="5" a="1"/>
  <c r="AI188" i="5" s="1"/>
  <c r="AJ182" i="5" a="1"/>
  <c r="AJ182" i="5" s="1"/>
  <c r="AJ163" i="5" a="1"/>
  <c r="AJ163" i="5" s="1"/>
  <c r="AI141" i="5" a="1"/>
  <c r="AI141" i="5" s="1"/>
  <c r="AI133" i="5" a="1"/>
  <c r="AI133" i="5" s="1"/>
  <c r="AK133" i="5" s="1"/>
  <c r="AL133" i="5" s="1"/>
  <c r="AJ121" i="5" a="1"/>
  <c r="AJ121" i="5" s="1"/>
  <c r="AJ114" i="5" a="1"/>
  <c r="AJ114" i="5" s="1"/>
  <c r="AI108" i="5" a="1"/>
  <c r="AI108" i="5" s="1"/>
  <c r="AK108" i="5" s="1"/>
  <c r="AL108" i="5" s="1"/>
  <c r="AJ98" i="5" a="1"/>
  <c r="AJ98" i="5" s="1"/>
  <c r="AI92" i="5" a="1"/>
  <c r="AI92" i="5" s="1"/>
  <c r="AK92" i="5" s="1"/>
  <c r="AL92" i="5" s="1"/>
  <c r="AJ82" i="5" a="1"/>
  <c r="AJ82" i="5" s="1"/>
  <c r="AI76" i="5" a="1"/>
  <c r="AI76" i="5" s="1"/>
  <c r="AI194" i="5" a="1"/>
  <c r="AI194" i="5" s="1"/>
  <c r="AK194" i="5" s="1"/>
  <c r="AL194" i="5" s="1"/>
  <c r="AI178" i="5" a="1"/>
  <c r="AI178" i="5" s="1"/>
  <c r="AI173" i="5" a="1"/>
  <c r="AI173" i="5" s="1"/>
  <c r="AJ201" i="5" a="1"/>
  <c r="AJ201" i="5" s="1"/>
  <c r="AI182" i="5" a="1"/>
  <c r="AI182" i="5" s="1"/>
  <c r="AJ168" i="5" a="1"/>
  <c r="AJ168" i="5" s="1"/>
  <c r="AI163" i="5" a="1"/>
  <c r="AI163" i="5" s="1"/>
  <c r="AK163" i="5" s="1"/>
  <c r="AL163" i="5" s="1"/>
  <c r="AJ140" i="5" a="1"/>
  <c r="AJ140" i="5" s="1"/>
  <c r="AJ136" i="5" a="1"/>
  <c r="AJ136" i="5" s="1"/>
  <c r="AI132" i="5" a="1"/>
  <c r="AI132" i="5" s="1"/>
  <c r="AK132" i="5" s="1"/>
  <c r="AL132" i="5" s="1"/>
  <c r="AJ128" i="5" a="1"/>
  <c r="AJ128" i="5" s="1"/>
  <c r="AI121" i="5" a="1"/>
  <c r="AI121" i="5" s="1"/>
  <c r="AK121" i="5" s="1"/>
  <c r="AL121" i="5" s="1"/>
  <c r="AJ117" i="5" a="1"/>
  <c r="AJ117" i="5" s="1"/>
  <c r="AI114" i="5" a="1"/>
  <c r="AI114" i="5" s="1"/>
  <c r="AJ104" i="5" a="1"/>
  <c r="AJ104" i="5" s="1"/>
  <c r="AI98" i="5" a="1"/>
  <c r="AI98" i="5" s="1"/>
  <c r="AJ88" i="5" a="1"/>
  <c r="AJ88" i="5" s="1"/>
  <c r="AI82" i="5" a="1"/>
  <c r="AI82" i="5" s="1"/>
  <c r="AJ187" i="5" a="1"/>
  <c r="AJ187" i="5" s="1"/>
  <c r="AJ172" i="5" a="1"/>
  <c r="AJ172" i="5" s="1"/>
  <c r="AK172" i="5" s="1"/>
  <c r="AL172" i="5" s="1"/>
  <c r="AI158" i="5" a="1"/>
  <c r="AI158" i="5" s="1"/>
  <c r="AJ153" i="5" a="1"/>
  <c r="AJ153" i="5" s="1"/>
  <c r="AI149" i="5" a="1"/>
  <c r="AI149" i="5" s="1"/>
  <c r="AJ148" i="5" a="1"/>
  <c r="AJ148" i="5" s="1"/>
  <c r="AJ144" i="5" a="1"/>
  <c r="AJ144" i="5" s="1"/>
  <c r="AJ107" i="5" a="1"/>
  <c r="AJ107" i="5" s="1"/>
  <c r="AI101" i="5" a="1"/>
  <c r="AI101" i="5" s="1"/>
  <c r="AJ91" i="5" a="1"/>
  <c r="AJ91" i="5" s="1"/>
  <c r="AI85" i="5" a="1"/>
  <c r="AI85" i="5" s="1"/>
  <c r="AK85" i="5" s="1"/>
  <c r="AL85" i="5" s="1"/>
  <c r="AJ75" i="5" a="1"/>
  <c r="AJ75" i="5" s="1"/>
  <c r="AK75" i="5" s="1"/>
  <c r="AL75" i="5" s="1"/>
  <c r="AI69" i="5" a="1"/>
  <c r="AI69" i="5" s="1"/>
  <c r="AK69" i="5" s="1"/>
  <c r="AL69" i="5" s="1"/>
  <c r="AJ59" i="5" a="1"/>
  <c r="AJ59" i="5" s="1"/>
  <c r="AK59" i="5" s="1"/>
  <c r="AL59" i="5" s="1"/>
  <c r="AI53" i="5" a="1"/>
  <c r="AI53" i="5" s="1"/>
  <c r="AJ43" i="5" a="1"/>
  <c r="AJ43" i="5" s="1"/>
  <c r="AK43" i="5" s="1"/>
  <c r="AL43" i="5" s="1"/>
  <c r="AI37" i="5" a="1"/>
  <c r="AI37" i="5" s="1"/>
  <c r="AK37" i="5" s="1"/>
  <c r="AL37" i="5" s="1"/>
  <c r="AI31" i="5" a="1"/>
  <c r="AI31" i="5" s="1"/>
  <c r="AJ21" i="5" a="1"/>
  <c r="AJ21" i="5" s="1"/>
  <c r="AI15" i="5" a="1"/>
  <c r="AI15" i="5" s="1"/>
  <c r="AK15" i="5" s="1"/>
  <c r="AL15" i="5" s="1"/>
  <c r="AJ5" i="5" a="1"/>
  <c r="AJ5" i="5" s="1"/>
  <c r="AJ192" i="5" a="1"/>
  <c r="AJ192" i="5" s="1"/>
  <c r="AJ186" i="5" a="1"/>
  <c r="AJ186" i="5" s="1"/>
  <c r="AI148" i="5" a="1"/>
  <c r="AI148" i="5" s="1"/>
  <c r="AI140" i="5" a="1"/>
  <c r="AI140" i="5" s="1"/>
  <c r="AI136" i="5" a="1"/>
  <c r="AI136" i="5" s="1"/>
  <c r="AI128" i="5" a="1"/>
  <c r="AI128" i="5" s="1"/>
  <c r="AK128" i="5" s="1"/>
  <c r="AL128" i="5" s="1"/>
  <c r="AJ124" i="5" a="1"/>
  <c r="AJ124" i="5" s="1"/>
  <c r="AI117" i="5" a="1"/>
  <c r="AI117" i="5" s="1"/>
  <c r="AJ110" i="5" a="1"/>
  <c r="AJ110" i="5" s="1"/>
  <c r="AI104" i="5" a="1"/>
  <c r="AI104" i="5" s="1"/>
  <c r="AJ94" i="5" a="1"/>
  <c r="AJ94" i="5" s="1"/>
  <c r="AI88" i="5" a="1"/>
  <c r="AI88" i="5" s="1"/>
  <c r="AJ78" i="5" a="1"/>
  <c r="AJ78" i="5" s="1"/>
  <c r="AI72" i="5" a="1"/>
  <c r="AI72" i="5" s="1"/>
  <c r="AK72" i="5" s="1"/>
  <c r="AL72" i="5" s="1"/>
  <c r="AJ62" i="5" a="1"/>
  <c r="AJ62" i="5" s="1"/>
  <c r="AI56" i="5" a="1"/>
  <c r="AI56" i="5" s="1"/>
  <c r="AK56" i="5" s="1"/>
  <c r="AL56" i="5" s="1"/>
  <c r="AJ46" i="5" a="1"/>
  <c r="AJ46" i="5" s="1"/>
  <c r="AI40" i="5" a="1"/>
  <c r="AI40" i="5" s="1"/>
  <c r="AK40" i="5" s="1"/>
  <c r="AL40" i="5" s="1"/>
  <c r="AI34" i="5" a="1"/>
  <c r="AI34" i="5" s="1"/>
  <c r="AK34" i="5" s="1"/>
  <c r="AL34" i="5" s="1"/>
  <c r="AJ24" i="5" a="1"/>
  <c r="AJ24" i="5" s="1"/>
  <c r="AI18" i="5" a="1"/>
  <c r="AI18" i="5" s="1"/>
  <c r="AJ8" i="5" a="1"/>
  <c r="AJ8" i="5" s="1"/>
  <c r="AI7" i="5" a="1"/>
  <c r="AI7" i="5" s="1"/>
  <c r="AK7" i="5" s="1"/>
  <c r="AL7" i="5" s="1"/>
  <c r="AT21" i="5"/>
  <c r="AU21" i="5" s="1"/>
  <c r="AT25" i="5"/>
  <c r="AU25" i="5" s="1"/>
  <c r="AJ27" i="5" a="1"/>
  <c r="AJ27" i="5" s="1"/>
  <c r="AK27" i="5" s="1"/>
  <c r="AL27" i="5" s="1"/>
  <c r="AJ31" i="5" a="1"/>
  <c r="AJ31" i="5" s="1"/>
  <c r="AJ61" i="5" a="1"/>
  <c r="AJ61" i="5" s="1"/>
  <c r="AK61" i="5" s="1"/>
  <c r="AL61" i="5" s="1"/>
  <c r="AI97" i="5" a="1"/>
  <c r="AI97" i="5" s="1"/>
  <c r="AJ99" i="5" a="1"/>
  <c r="AJ99" i="5" s="1"/>
  <c r="AT100" i="5"/>
  <c r="AU100" i="5" s="1"/>
  <c r="AJ119" i="5" a="1"/>
  <c r="AJ119" i="5" s="1"/>
  <c r="AJ120" i="5" a="1"/>
  <c r="AJ120" i="5" s="1"/>
  <c r="AT125" i="5"/>
  <c r="AU125" i="5" s="1"/>
  <c r="AJ134" i="5" a="1"/>
  <c r="AJ134" i="5" s="1"/>
  <c r="AT142" i="5"/>
  <c r="AU142" i="5" s="1"/>
  <c r="AI93" i="5" a="1"/>
  <c r="AI93" i="5" s="1"/>
  <c r="AK93" i="5" s="1"/>
  <c r="AL93" i="5" s="1"/>
  <c r="AI95" i="5" a="1"/>
  <c r="AI95" i="5" s="1"/>
  <c r="AK95" i="5" s="1"/>
  <c r="AL95" i="5" s="1"/>
  <c r="AJ97" i="5" a="1"/>
  <c r="AJ97" i="5" s="1"/>
  <c r="AT103" i="5"/>
  <c r="AU103" i="5" s="1"/>
  <c r="AI157" i="5" a="1"/>
  <c r="AI157" i="5" s="1"/>
  <c r="AK157" i="5" s="1"/>
  <c r="AL157" i="5" s="1"/>
  <c r="AJ175" i="5" a="1"/>
  <c r="AJ175" i="5" s="1"/>
  <c r="AJ181" i="5" a="1"/>
  <c r="AJ181" i="5" s="1"/>
  <c r="AT30" i="5"/>
  <c r="AU30" i="5" s="1"/>
  <c r="AT31" i="5"/>
  <c r="AU31" i="5" s="1"/>
  <c r="AT99" i="5"/>
  <c r="AU99" i="5" s="1"/>
  <c r="AT190" i="5"/>
  <c r="AU190" i="5" s="1"/>
  <c r="AT35" i="5"/>
  <c r="AU35" i="5" s="1"/>
  <c r="AK65" i="5"/>
  <c r="AL65" i="5" s="1"/>
  <c r="AI66" i="5" a="1"/>
  <c r="AI66" i="5" s="1"/>
  <c r="AK66" i="5" s="1"/>
  <c r="AL66" i="5" s="1"/>
  <c r="AI91" i="5" a="1"/>
  <c r="AI91" i="5" s="1"/>
  <c r="AT95" i="5"/>
  <c r="AU95" i="5" s="1"/>
  <c r="AT96" i="5"/>
  <c r="AU96" i="5" s="1"/>
  <c r="AI174" i="5" a="1"/>
  <c r="AI174" i="5" s="1"/>
  <c r="AT64" i="5"/>
  <c r="AU64" i="5" s="1"/>
  <c r="AJ85" i="5" a="1"/>
  <c r="AJ85" i="5" s="1"/>
  <c r="AI87" i="5" a="1"/>
  <c r="AI87" i="5" s="1"/>
  <c r="AK87" i="5" s="1"/>
  <c r="AL87" i="5" s="1"/>
  <c r="AI131" i="5" a="1"/>
  <c r="AI131" i="5" s="1"/>
  <c r="AJ139" i="5" a="1"/>
  <c r="AJ139" i="5" s="1"/>
  <c r="AI153" i="5" a="1"/>
  <c r="AI153" i="5" s="1"/>
  <c r="M6" i="16"/>
  <c r="AF6" i="16" s="1" a="1"/>
  <c r="AF6" i="16" s="1"/>
  <c r="N6" i="16"/>
  <c r="AG6" i="16" s="1" a="1"/>
  <c r="AG6" i="16" s="1"/>
  <c r="AT9" i="5"/>
  <c r="AU9" i="5" s="1"/>
  <c r="AT73" i="5"/>
  <c r="AU73" i="5" s="1"/>
  <c r="AI81" i="5" a="1"/>
  <c r="AI81" i="5" s="1"/>
  <c r="AI83" i="5" a="1"/>
  <c r="AI83" i="5" s="1"/>
  <c r="AT91" i="5"/>
  <c r="AU91" i="5" s="1"/>
  <c r="AI115" i="5" a="1"/>
  <c r="AI115" i="5" s="1"/>
  <c r="AK115" i="5" s="1"/>
  <c r="AL115" i="5" s="1"/>
  <c r="AT203" i="5"/>
  <c r="AU203" i="5" s="1"/>
  <c r="AT10" i="5"/>
  <c r="AU10" i="5" s="1"/>
  <c r="AJ18" i="5" a="1"/>
  <c r="AJ18" i="5" s="1"/>
  <c r="AJ19" i="5" a="1"/>
  <c r="AJ19" i="5" s="1"/>
  <c r="AI47" i="5" a="1"/>
  <c r="AI47" i="5" s="1"/>
  <c r="AT67" i="5"/>
  <c r="AU67" i="5" s="1"/>
  <c r="AJ81" i="5" a="1"/>
  <c r="AJ81" i="5" s="1"/>
  <c r="AJ83" i="5" a="1"/>
  <c r="AJ83" i="5" s="1"/>
  <c r="AT84" i="5"/>
  <c r="AU84" i="5" s="1"/>
  <c r="AI113" i="5" a="1"/>
  <c r="AI113" i="5" s="1"/>
  <c r="AJ115" i="5" a="1"/>
  <c r="AJ115" i="5" s="1"/>
  <c r="AT129" i="5"/>
  <c r="AU129" i="5" s="1"/>
  <c r="AT130" i="5"/>
  <c r="AU130" i="5" s="1"/>
  <c r="AJ138" i="5" a="1"/>
  <c r="AJ138" i="5" s="1"/>
  <c r="AJ149" i="5" a="1"/>
  <c r="AJ149" i="5" s="1"/>
  <c r="AT165" i="5"/>
  <c r="AU165" i="5" s="1"/>
  <c r="AJ3" i="5" a="1"/>
  <c r="AJ3" i="5" s="1"/>
  <c r="AT19" i="5"/>
  <c r="AU19" i="5" s="1"/>
  <c r="AI21" i="5" a="1"/>
  <c r="AI21" i="5" s="1"/>
  <c r="AI49" i="5" a="1"/>
  <c r="AI49" i="5" s="1"/>
  <c r="AI50" i="5" a="1"/>
  <c r="AI50" i="5" s="1"/>
  <c r="AK50" i="5" s="1"/>
  <c r="AL50" i="5" s="1"/>
  <c r="AT83" i="5"/>
  <c r="AU83" i="5" s="1"/>
  <c r="AJ105" i="5" a="1"/>
  <c r="AJ105" i="5" s="1"/>
  <c r="AJ109" i="5" a="1"/>
  <c r="AJ109" i="5" s="1"/>
  <c r="AK109" i="5" s="1"/>
  <c r="AL109" i="5" s="1"/>
  <c r="AJ127" i="5" a="1"/>
  <c r="AJ127" i="5" s="1"/>
  <c r="AK127" i="5" s="1"/>
  <c r="AL127" i="5" s="1"/>
  <c r="AJ170" i="5" a="1"/>
  <c r="AJ170" i="5" s="1"/>
  <c r="AT13" i="5"/>
  <c r="AU13" i="5" s="1"/>
  <c r="AT43" i="5"/>
  <c r="AU43" i="5" s="1"/>
  <c r="AT47" i="5"/>
  <c r="AU47" i="5" s="1"/>
  <c r="AJ49" i="5" a="1"/>
  <c r="AJ49" i="5" s="1"/>
  <c r="AJ53" i="5" a="1"/>
  <c r="AJ53" i="5" s="1"/>
  <c r="AT75" i="5"/>
  <c r="AU75" i="5" s="1"/>
  <c r="AI107" i="5" a="1"/>
  <c r="AI107" i="5" s="1"/>
  <c r="AK107" i="5" s="1"/>
  <c r="AL107" i="5" s="1"/>
  <c r="AT111" i="5"/>
  <c r="AU111" i="5" s="1"/>
  <c r="AT112" i="5"/>
  <c r="AU112" i="5" s="1"/>
  <c r="AJ137" i="5" a="1"/>
  <c r="AJ137" i="5" s="1"/>
  <c r="AI147" i="5" a="1"/>
  <c r="AI147" i="5" s="1"/>
  <c r="AJ162" i="5" a="1"/>
  <c r="AJ162" i="5" s="1"/>
  <c r="AT187" i="5"/>
  <c r="AU187" i="5" s="1"/>
  <c r="AT105" i="5"/>
  <c r="AU105" i="5" s="1"/>
  <c r="AI143" i="5" a="1"/>
  <c r="AI143" i="5" s="1"/>
  <c r="AI144" i="5" a="1"/>
  <c r="AI144" i="5" s="1"/>
  <c r="AJ147" i="5" a="1"/>
  <c r="AJ147" i="5" s="1"/>
  <c r="AI160" i="5" a="1"/>
  <c r="AI160" i="5" s="1"/>
  <c r="AT178" i="5"/>
  <c r="AU178" i="5" s="1"/>
  <c r="AT3" i="5"/>
  <c r="AU3" i="5" s="1"/>
  <c r="AT49" i="5"/>
  <c r="AU49" i="5" s="1"/>
  <c r="AT52" i="5"/>
  <c r="AU52" i="5" s="1"/>
  <c r="AT53" i="5"/>
  <c r="AU53" i="5" s="1"/>
  <c r="AJ101" i="5" a="1"/>
  <c r="AJ101" i="5" s="1"/>
  <c r="AI103" i="5" a="1"/>
  <c r="AI103" i="5" s="1"/>
  <c r="AK103" i="5" s="1"/>
  <c r="AL103" i="5" s="1"/>
  <c r="AJ123" i="5" a="1"/>
  <c r="AJ123" i="5" s="1"/>
  <c r="AI125" i="5" a="1"/>
  <c r="AI125" i="5" s="1"/>
  <c r="AJ143" i="5" a="1"/>
  <c r="AJ143" i="5" s="1"/>
  <c r="AT145" i="5"/>
  <c r="AU145" i="5" s="1"/>
  <c r="AI159" i="5" a="1"/>
  <c r="AI159" i="5" s="1"/>
  <c r="AK159" i="5" s="1"/>
  <c r="AL159" i="5" s="1"/>
  <c r="AJ169" i="5" a="1"/>
  <c r="AJ169" i="5" s="1"/>
  <c r="AJ200" i="5" a="1"/>
  <c r="AJ200" i="5" s="1"/>
  <c r="AT161" i="5"/>
  <c r="AU161" i="5" s="1"/>
  <c r="AK191" i="5"/>
  <c r="AL191" i="5" s="1"/>
  <c r="AT51" i="5"/>
  <c r="AU51" i="5" s="1"/>
  <c r="AK60" i="5"/>
  <c r="AL60" i="5" s="1"/>
  <c r="AI99" i="5" a="1"/>
  <c r="AI99" i="5" s="1"/>
  <c r="AI120" i="5" a="1"/>
  <c r="AI120" i="5" s="1"/>
  <c r="AT122" i="5"/>
  <c r="AU122" i="5" s="1"/>
  <c r="AI135" i="5" a="1"/>
  <c r="AI135" i="5" s="1"/>
  <c r="AK135" i="5" s="1"/>
  <c r="AL135" i="5" s="1"/>
  <c r="AT159" i="5"/>
  <c r="AU159" i="5" s="1"/>
  <c r="AJ176" i="5" a="1"/>
  <c r="AJ176" i="5" s="1"/>
  <c r="N7" i="16"/>
  <c r="AG7" i="16" s="1" a="1"/>
  <c r="AG7" i="16" s="1"/>
  <c r="M7" i="16"/>
  <c r="AF7" i="16" s="1" a="1"/>
  <c r="AF7" i="16" s="1"/>
  <c r="AT198" i="5"/>
  <c r="AU198" i="5" s="1"/>
  <c r="M5" i="16"/>
  <c r="AF5" i="16" s="1" a="1"/>
  <c r="AF5" i="16" s="1"/>
  <c r="AT166" i="5"/>
  <c r="AU166" i="5" s="1"/>
  <c r="M9" i="16"/>
  <c r="AF9" i="16" s="1" a="1"/>
  <c r="AF9" i="16" s="1"/>
  <c r="N9" i="16"/>
  <c r="AG9" i="16" s="1" a="1"/>
  <c r="AG9" i="16" s="1"/>
  <c r="M4" i="16"/>
  <c r="AF4" i="16" s="1" a="1"/>
  <c r="AF4" i="16" s="1"/>
  <c r="AT172" i="5"/>
  <c r="AU172" i="5" s="1"/>
  <c r="AT140" i="5"/>
  <c r="AU140" i="5" s="1"/>
  <c r="J36" i="6"/>
  <c r="AT194" i="5"/>
  <c r="AU194" i="5" s="1"/>
  <c r="AT188" i="5"/>
  <c r="AU188" i="5" s="1"/>
  <c r="AT150" i="5"/>
  <c r="AU150" i="5" s="1"/>
  <c r="AT196" i="5"/>
  <c r="AU196" i="5" s="1"/>
  <c r="AT204" i="5"/>
  <c r="AU204" i="5" s="1"/>
  <c r="N139" i="16"/>
  <c r="AG139" i="16" s="1" a="1"/>
  <c r="AG139" i="16" s="1"/>
  <c r="M139" i="16"/>
  <c r="N146" i="16"/>
  <c r="AG146" i="16" s="1" a="1"/>
  <c r="AG146" i="16" s="1"/>
  <c r="M146" i="16"/>
  <c r="N153" i="16"/>
  <c r="AG153" i="16" s="1" a="1"/>
  <c r="AG153" i="16" s="1"/>
  <c r="M153" i="16"/>
  <c r="N127" i="16"/>
  <c r="AG127" i="16" s="1" a="1"/>
  <c r="AG127" i="16" s="1"/>
  <c r="M127" i="16"/>
  <c r="N155" i="16"/>
  <c r="AG155" i="16" s="1" a="1"/>
  <c r="AG155" i="16" s="1"/>
  <c r="M155" i="16"/>
  <c r="N162" i="16"/>
  <c r="AG162" i="16" s="1" a="1"/>
  <c r="AG162" i="16" s="1"/>
  <c r="M162" i="16"/>
  <c r="N169" i="16"/>
  <c r="AG169" i="16" s="1" a="1"/>
  <c r="AG169" i="16" s="1"/>
  <c r="M169" i="16"/>
  <c r="N122" i="16"/>
  <c r="AG122" i="16" s="1" a="1"/>
  <c r="AG122" i="16" s="1"/>
  <c r="M122" i="16"/>
  <c r="N171" i="16"/>
  <c r="AG171" i="16" s="1" a="1"/>
  <c r="AG171" i="16" s="1"/>
  <c r="M171" i="16"/>
  <c r="N178" i="16"/>
  <c r="AG178" i="16" s="1" a="1"/>
  <c r="AG178" i="16" s="1"/>
  <c r="M178" i="16"/>
  <c r="N185" i="16"/>
  <c r="AG185" i="16" s="1" a="1"/>
  <c r="AG185" i="16" s="1"/>
  <c r="M185" i="16"/>
  <c r="N124" i="16"/>
  <c r="AG124" i="16" s="1" a="1"/>
  <c r="AG124" i="16" s="1"/>
  <c r="M124" i="16"/>
  <c r="N134" i="16"/>
  <c r="AG134" i="16" s="1" a="1"/>
  <c r="AG134" i="16" s="1"/>
  <c r="M134" i="16"/>
  <c r="N143" i="16"/>
  <c r="AG143" i="16" s="1" a="1"/>
  <c r="AG143" i="16" s="1"/>
  <c r="M143" i="16"/>
  <c r="N187" i="16"/>
  <c r="AG187" i="16" s="1" a="1"/>
  <c r="AG187" i="16" s="1"/>
  <c r="M187" i="16"/>
  <c r="N194" i="16"/>
  <c r="AG194" i="16" s="1" a="1"/>
  <c r="AG194" i="16" s="1"/>
  <c r="M194" i="16"/>
  <c r="N201" i="16"/>
  <c r="AG201" i="16" s="1" a="1"/>
  <c r="AG201" i="16" s="1"/>
  <c r="M201" i="16"/>
  <c r="N224" i="16"/>
  <c r="AG224" i="16" s="1" a="1"/>
  <c r="AG224" i="16" s="1"/>
  <c r="M224" i="16"/>
  <c r="N150" i="16"/>
  <c r="AG150" i="16" s="1" a="1"/>
  <c r="AG150" i="16" s="1"/>
  <c r="M150" i="16"/>
  <c r="N159" i="16"/>
  <c r="AG159" i="16" s="1" a="1"/>
  <c r="AG159" i="16" s="1"/>
  <c r="M159" i="16"/>
  <c r="N203" i="16"/>
  <c r="AG203" i="16" s="1" a="1"/>
  <c r="AG203" i="16" s="1"/>
  <c r="M203" i="16"/>
  <c r="N210" i="16"/>
  <c r="AG210" i="16" s="1" a="1"/>
  <c r="AG210" i="16" s="1"/>
  <c r="M210" i="16"/>
  <c r="N166" i="16"/>
  <c r="AG166" i="16" s="1" a="1"/>
  <c r="AG166" i="16" s="1"/>
  <c r="M166" i="16"/>
  <c r="N175" i="16"/>
  <c r="AG175" i="16" s="1" a="1"/>
  <c r="AG175" i="16" s="1"/>
  <c r="M175" i="16"/>
  <c r="N182" i="16"/>
  <c r="AG182" i="16" s="1" a="1"/>
  <c r="AG182" i="16" s="1"/>
  <c r="M182" i="16"/>
  <c r="N191" i="16"/>
  <c r="AG191" i="16" s="1" a="1"/>
  <c r="AG191" i="16" s="1"/>
  <c r="M191" i="16"/>
  <c r="N214" i="16"/>
  <c r="AG214" i="16" s="1" a="1"/>
  <c r="AG214" i="16" s="1"/>
  <c r="M214" i="16"/>
  <c r="N131" i="16"/>
  <c r="AG131" i="16" s="1" a="1"/>
  <c r="AG131" i="16" s="1"/>
  <c r="M131" i="16"/>
  <c r="N198" i="16"/>
  <c r="AG198" i="16" s="1" a="1"/>
  <c r="AG198" i="16" s="1"/>
  <c r="M198" i="16"/>
  <c r="N207" i="16"/>
  <c r="AG207" i="16" s="1" a="1"/>
  <c r="AG207" i="16" s="1"/>
  <c r="M207" i="16"/>
  <c r="N121" i="16"/>
  <c r="AG121" i="16" s="1" a="1"/>
  <c r="AG121" i="16" s="1"/>
  <c r="M121" i="16"/>
  <c r="M126" i="16"/>
  <c r="N126" i="16"/>
  <c r="AG126" i="16" s="1" a="1"/>
  <c r="AG126" i="16" s="1"/>
  <c r="N138" i="16"/>
  <c r="AG138" i="16" s="1" a="1"/>
  <c r="AG138" i="16" s="1"/>
  <c r="M138" i="16"/>
  <c r="N140" i="16"/>
  <c r="AG140" i="16" s="1" a="1"/>
  <c r="AG140" i="16" s="1"/>
  <c r="M140" i="16"/>
  <c r="N147" i="16"/>
  <c r="AG147" i="16" s="1" a="1"/>
  <c r="AG147" i="16" s="1"/>
  <c r="M147" i="16"/>
  <c r="N154" i="16"/>
  <c r="AG154" i="16" s="1" a="1"/>
  <c r="AG154" i="16" s="1"/>
  <c r="M154" i="16"/>
  <c r="N156" i="16"/>
  <c r="AG156" i="16" s="1" a="1"/>
  <c r="AG156" i="16" s="1"/>
  <c r="M156" i="16"/>
  <c r="N163" i="16"/>
  <c r="AG163" i="16" s="1" a="1"/>
  <c r="AG163" i="16" s="1"/>
  <c r="M163" i="16"/>
  <c r="N170" i="16"/>
  <c r="AG170" i="16" s="1" a="1"/>
  <c r="AG170" i="16" s="1"/>
  <c r="M170" i="16"/>
  <c r="N172" i="16"/>
  <c r="AG172" i="16" s="1" a="1"/>
  <c r="AG172" i="16" s="1"/>
  <c r="M172" i="16"/>
  <c r="N179" i="16"/>
  <c r="AG179" i="16" s="1" a="1"/>
  <c r="AG179" i="16" s="1"/>
  <c r="M179" i="16"/>
  <c r="N123" i="16"/>
  <c r="AG123" i="16" s="1" a="1"/>
  <c r="AG123" i="16" s="1"/>
  <c r="M123" i="16"/>
  <c r="N135" i="16"/>
  <c r="AG135" i="16" s="1" a="1"/>
  <c r="AG135" i="16" s="1"/>
  <c r="M135" i="16"/>
  <c r="M142" i="16"/>
  <c r="N142" i="16"/>
  <c r="AG142" i="16" s="1" a="1"/>
  <c r="AG142" i="16" s="1"/>
  <c r="N186" i="16"/>
  <c r="AG186" i="16" s="1" a="1"/>
  <c r="AG186" i="16" s="1"/>
  <c r="M186" i="16"/>
  <c r="N188" i="16"/>
  <c r="AG188" i="16" s="1" a="1"/>
  <c r="AG188" i="16" s="1"/>
  <c r="M188" i="16"/>
  <c r="N195" i="16"/>
  <c r="AG195" i="16" s="1" a="1"/>
  <c r="AG195" i="16" s="1"/>
  <c r="M195" i="16"/>
  <c r="N151" i="16"/>
  <c r="AG151" i="16" s="1" a="1"/>
  <c r="AG151" i="16" s="1"/>
  <c r="M151" i="16"/>
  <c r="M158" i="16"/>
  <c r="N158" i="16"/>
  <c r="AG158" i="16" s="1" a="1"/>
  <c r="AG158" i="16" s="1"/>
  <c r="N202" i="16"/>
  <c r="AG202" i="16" s="1" a="1"/>
  <c r="AG202" i="16" s="1"/>
  <c r="M202" i="16"/>
  <c r="N204" i="16"/>
  <c r="AG204" i="16" s="1" a="1"/>
  <c r="AG204" i="16" s="1"/>
  <c r="M204" i="16"/>
  <c r="N211" i="16"/>
  <c r="AG211" i="16" s="1" a="1"/>
  <c r="AG211" i="16" s="1"/>
  <c r="M211" i="16"/>
  <c r="N167" i="16"/>
  <c r="AG167" i="16" s="1" a="1"/>
  <c r="AG167" i="16" s="1"/>
  <c r="M167" i="16"/>
  <c r="M174" i="16"/>
  <c r="N174" i="16"/>
  <c r="AG174" i="16" s="1" a="1"/>
  <c r="AG174" i="16" s="1"/>
  <c r="N130" i="16"/>
  <c r="AG130" i="16" s="1" a="1"/>
  <c r="AG130" i="16" s="1"/>
  <c r="M130" i="16"/>
  <c r="N183" i="16"/>
  <c r="AG183" i="16" s="1" a="1"/>
  <c r="AG183" i="16" s="1"/>
  <c r="M183" i="16"/>
  <c r="M190" i="16"/>
  <c r="N190" i="16"/>
  <c r="AG190" i="16" s="1" a="1"/>
  <c r="AG190" i="16" s="1"/>
  <c r="M213" i="16"/>
  <c r="N213" i="16"/>
  <c r="AG213" i="16" s="1" a="1"/>
  <c r="AG213" i="16" s="1"/>
  <c r="N215" i="16"/>
  <c r="AG215" i="16" s="1" a="1"/>
  <c r="AG215" i="16" s="1"/>
  <c r="M215" i="16"/>
  <c r="N137" i="16"/>
  <c r="AG137" i="16" s="1" a="1"/>
  <c r="AG137" i="16" s="1"/>
  <c r="M137" i="16"/>
  <c r="N199" i="16"/>
  <c r="AG199" i="16" s="1" a="1"/>
  <c r="AG199" i="16" s="1"/>
  <c r="M199" i="16"/>
  <c r="M206" i="16"/>
  <c r="N206" i="16"/>
  <c r="AG206" i="16" s="1" a="1"/>
  <c r="AG206" i="16" s="1"/>
  <c r="M125" i="16"/>
  <c r="M141" i="16"/>
  <c r="M157" i="16"/>
  <c r="M173" i="16"/>
  <c r="M189" i="16"/>
  <c r="M205" i="16"/>
  <c r="M221" i="16"/>
  <c r="M226" i="16"/>
  <c r="N249" i="16"/>
  <c r="AG249" i="16" s="1" a="1"/>
  <c r="AG249" i="16" s="1"/>
  <c r="M249" i="16"/>
  <c r="N259" i="16"/>
  <c r="AG259" i="16" s="1" a="1"/>
  <c r="AG259" i="16" s="1"/>
  <c r="M259" i="16"/>
  <c r="N266" i="16"/>
  <c r="AG266" i="16" s="1" a="1"/>
  <c r="AG266" i="16" s="1"/>
  <c r="M266" i="16"/>
  <c r="N330" i="16"/>
  <c r="AG330" i="16" s="1" a="1"/>
  <c r="AG330" i="16" s="1"/>
  <c r="M330" i="16"/>
  <c r="N332" i="16"/>
  <c r="AG332" i="16" s="1" a="1"/>
  <c r="AG332" i="16" s="1"/>
  <c r="M332" i="16"/>
  <c r="N341" i="16"/>
  <c r="AG341" i="16" s="1" a="1"/>
  <c r="AG341" i="16" s="1"/>
  <c r="M341" i="16"/>
  <c r="M216" i="16"/>
  <c r="AH223" i="16"/>
  <c r="X223" i="16" s="1"/>
  <c r="N238" i="16"/>
  <c r="AG238" i="16" s="1" a="1"/>
  <c r="AG238" i="16" s="1"/>
  <c r="M238" i="16"/>
  <c r="N261" i="16"/>
  <c r="AG261" i="16" s="1" a="1"/>
  <c r="AG261" i="16" s="1"/>
  <c r="M261" i="16"/>
  <c r="N268" i="16"/>
  <c r="AG268" i="16" s="1" a="1"/>
  <c r="AG268" i="16" s="1"/>
  <c r="M268" i="16"/>
  <c r="N275" i="16"/>
  <c r="AG275" i="16" s="1" a="1"/>
  <c r="AG275" i="16" s="1"/>
  <c r="M275" i="16"/>
  <c r="N282" i="16"/>
  <c r="AG282" i="16" s="1" a="1"/>
  <c r="AG282" i="16" s="1"/>
  <c r="M282" i="16"/>
  <c r="N251" i="16"/>
  <c r="AG251" i="16" s="1" a="1"/>
  <c r="AG251" i="16" s="1"/>
  <c r="M251" i="16"/>
  <c r="N256" i="16"/>
  <c r="AG256" i="16" s="1" a="1"/>
  <c r="AG256" i="16" s="1"/>
  <c r="M256" i="16"/>
  <c r="N263" i="16"/>
  <c r="AG263" i="16" s="1" a="1"/>
  <c r="AG263" i="16" s="1"/>
  <c r="M263" i="16"/>
  <c r="N277" i="16"/>
  <c r="AG277" i="16" s="1" a="1"/>
  <c r="AG277" i="16" s="1"/>
  <c r="M277" i="16"/>
  <c r="N284" i="16"/>
  <c r="AG284" i="16" s="1" a="1"/>
  <c r="AG284" i="16" s="1"/>
  <c r="M284" i="16"/>
  <c r="N291" i="16"/>
  <c r="AG291" i="16" s="1" a="1"/>
  <c r="AG291" i="16" s="1"/>
  <c r="M291" i="16"/>
  <c r="N298" i="16"/>
  <c r="AG298" i="16" s="1" a="1"/>
  <c r="AG298" i="16" s="1"/>
  <c r="M298" i="16"/>
  <c r="N334" i="16"/>
  <c r="AG334" i="16" s="1" a="1"/>
  <c r="AG334" i="16" s="1"/>
  <c r="M334" i="16"/>
  <c r="N343" i="16"/>
  <c r="AG343" i="16" s="1" a="1"/>
  <c r="AG343" i="16" s="1"/>
  <c r="M343" i="16"/>
  <c r="N354" i="16"/>
  <c r="AG354" i="16" s="1" a="1"/>
  <c r="AG354" i="16" s="1"/>
  <c r="M354" i="16"/>
  <c r="N356" i="16"/>
  <c r="AG356" i="16" s="1" a="1"/>
  <c r="AG356" i="16" s="1"/>
  <c r="M356" i="16"/>
  <c r="N253" i="16"/>
  <c r="AG253" i="16" s="1" a="1"/>
  <c r="AG253" i="16" s="1"/>
  <c r="M253" i="16"/>
  <c r="N270" i="16"/>
  <c r="AG270" i="16" s="1" a="1"/>
  <c r="AG270" i="16" s="1"/>
  <c r="M270" i="16"/>
  <c r="N279" i="16"/>
  <c r="AG279" i="16" s="1" a="1"/>
  <c r="AG279" i="16" s="1"/>
  <c r="M279" i="16"/>
  <c r="N293" i="16"/>
  <c r="AG293" i="16" s="1" a="1"/>
  <c r="AG293" i="16" s="1"/>
  <c r="M293" i="16"/>
  <c r="N300" i="16"/>
  <c r="AG300" i="16" s="1" a="1"/>
  <c r="AG300" i="16" s="1"/>
  <c r="M300" i="16"/>
  <c r="N307" i="16"/>
  <c r="AG307" i="16" s="1" a="1"/>
  <c r="AG307" i="16" s="1"/>
  <c r="M307" i="16"/>
  <c r="N314" i="16"/>
  <c r="AG314" i="16" s="1" a="1"/>
  <c r="AG314" i="16" s="1"/>
  <c r="M314" i="16"/>
  <c r="N323" i="16"/>
  <c r="AG323" i="16" s="1" a="1"/>
  <c r="AG323" i="16" s="1"/>
  <c r="M323" i="16"/>
  <c r="AH218" i="16"/>
  <c r="U218" i="16" s="1"/>
  <c r="V218" i="16" s="1"/>
  <c r="AJ218" i="16" s="1"/>
  <c r="N220" i="16"/>
  <c r="AG220" i="16" s="1" a="1"/>
  <c r="AG220" i="16" s="1"/>
  <c r="M220" i="16"/>
  <c r="N228" i="16"/>
  <c r="AG228" i="16" s="1" a="1"/>
  <c r="AG228" i="16" s="1"/>
  <c r="M228" i="16"/>
  <c r="N235" i="16"/>
  <c r="AG235" i="16" s="1" a="1"/>
  <c r="AG235" i="16" s="1"/>
  <c r="M235" i="16"/>
  <c r="N272" i="16"/>
  <c r="AG272" i="16" s="1" a="1"/>
  <c r="AG272" i="16" s="1"/>
  <c r="M272" i="16"/>
  <c r="N286" i="16"/>
  <c r="AG286" i="16" s="1" a="1"/>
  <c r="AG286" i="16" s="1"/>
  <c r="M286" i="16"/>
  <c r="N295" i="16"/>
  <c r="AG295" i="16" s="1" a="1"/>
  <c r="AG295" i="16" s="1"/>
  <c r="M295" i="16"/>
  <c r="N309" i="16"/>
  <c r="AG309" i="16" s="1" a="1"/>
  <c r="AG309" i="16" s="1"/>
  <c r="M309" i="16"/>
  <c r="N316" i="16"/>
  <c r="AG316" i="16" s="1" a="1"/>
  <c r="AG316" i="16" s="1"/>
  <c r="M316" i="16"/>
  <c r="N325" i="16"/>
  <c r="AG325" i="16" s="1" a="1"/>
  <c r="AG325" i="16" s="1"/>
  <c r="M325" i="16"/>
  <c r="N345" i="16"/>
  <c r="AG345" i="16" s="1" a="1"/>
  <c r="AG345" i="16" s="1"/>
  <c r="M345" i="16"/>
  <c r="N347" i="16"/>
  <c r="AG347" i="16" s="1" a="1"/>
  <c r="AG347" i="16" s="1"/>
  <c r="M347" i="16"/>
  <c r="N358" i="16"/>
  <c r="AG358" i="16" s="1" a="1"/>
  <c r="AG358" i="16" s="1"/>
  <c r="M358" i="16"/>
  <c r="N243" i="16"/>
  <c r="AG243" i="16" s="1" a="1"/>
  <c r="AG243" i="16" s="1"/>
  <c r="M243" i="16"/>
  <c r="N288" i="16"/>
  <c r="AG288" i="16" s="1" a="1"/>
  <c r="AG288" i="16" s="1"/>
  <c r="M288" i="16"/>
  <c r="N302" i="16"/>
  <c r="AG302" i="16" s="1" a="1"/>
  <c r="AG302" i="16" s="1"/>
  <c r="M302" i="16"/>
  <c r="N311" i="16"/>
  <c r="AG311" i="16" s="1" a="1"/>
  <c r="AG311" i="16" s="1"/>
  <c r="M311" i="16"/>
  <c r="N349" i="16"/>
  <c r="AG349" i="16" s="1" a="1"/>
  <c r="AG349" i="16" s="1"/>
  <c r="M349" i="16"/>
  <c r="AH360" i="16"/>
  <c r="X360" i="16" s="1"/>
  <c r="AF360" i="16" a="1"/>
  <c r="AF360" i="16" s="1"/>
  <c r="N362" i="16"/>
  <c r="AG362" i="16" s="1" a="1"/>
  <c r="AG362" i="16" s="1"/>
  <c r="M362" i="16"/>
  <c r="N364" i="16"/>
  <c r="AG364" i="16" s="1" a="1"/>
  <c r="AG364" i="16" s="1"/>
  <c r="M364" i="16"/>
  <c r="N240" i="16"/>
  <c r="AG240" i="16" s="1" a="1"/>
  <c r="AG240" i="16" s="1"/>
  <c r="M240" i="16"/>
  <c r="AH258" i="16"/>
  <c r="X258" i="16" s="1"/>
  <c r="AF258" i="16" a="1"/>
  <c r="AF258" i="16" s="1"/>
  <c r="N304" i="16"/>
  <c r="AG304" i="16" s="1" a="1"/>
  <c r="AG304" i="16" s="1"/>
  <c r="M304" i="16"/>
  <c r="N318" i="16"/>
  <c r="AG318" i="16" s="1" a="1"/>
  <c r="AG318" i="16" s="1"/>
  <c r="M318" i="16"/>
  <c r="N327" i="16"/>
  <c r="AG327" i="16" s="1" a="1"/>
  <c r="AG327" i="16" s="1"/>
  <c r="M327" i="16"/>
  <c r="N338" i="16"/>
  <c r="AG338" i="16" s="1" a="1"/>
  <c r="AG338" i="16" s="1"/>
  <c r="M338" i="16"/>
  <c r="N351" i="16"/>
  <c r="AG351" i="16" s="1" a="1"/>
  <c r="AG351" i="16" s="1"/>
  <c r="M351" i="16"/>
  <c r="N237" i="16"/>
  <c r="AG237" i="16" s="1" a="1"/>
  <c r="AG237" i="16" s="1"/>
  <c r="M237" i="16"/>
  <c r="N245" i="16"/>
  <c r="AG245" i="16" s="1" a="1"/>
  <c r="AG245" i="16" s="1"/>
  <c r="M245" i="16"/>
  <c r="N255" i="16"/>
  <c r="AG255" i="16" s="1" a="1"/>
  <c r="AG255" i="16" s="1"/>
  <c r="M255" i="16"/>
  <c r="N258" i="16"/>
  <c r="AG258" i="16" s="1" a="1"/>
  <c r="AG258" i="16" s="1"/>
  <c r="N265" i="16"/>
  <c r="AG265" i="16" s="1" a="1"/>
  <c r="AG265" i="16" s="1"/>
  <c r="M265" i="16"/>
  <c r="N340" i="16"/>
  <c r="AG340" i="16" s="1" a="1"/>
  <c r="AG340" i="16" s="1"/>
  <c r="M340" i="16"/>
  <c r="N366" i="16"/>
  <c r="AG366" i="16" s="1" a="1"/>
  <c r="AG366" i="16" s="1"/>
  <c r="M366" i="16"/>
  <c r="N375" i="16"/>
  <c r="AG375" i="16" s="1" a="1"/>
  <c r="AG375" i="16" s="1"/>
  <c r="M375" i="16"/>
  <c r="N219" i="16"/>
  <c r="AG219" i="16" s="1" a="1"/>
  <c r="AG219" i="16" s="1"/>
  <c r="M219" i="16"/>
  <c r="N260" i="16"/>
  <c r="AG260" i="16" s="1" a="1"/>
  <c r="AG260" i="16" s="1"/>
  <c r="M260" i="16"/>
  <c r="N281" i="16"/>
  <c r="AG281" i="16" s="1" a="1"/>
  <c r="AG281" i="16" s="1"/>
  <c r="M281" i="16"/>
  <c r="AH290" i="16"/>
  <c r="T290" i="16" s="1"/>
  <c r="AF290" i="16" a="1"/>
  <c r="AF290" i="16" s="1"/>
  <c r="N329" i="16"/>
  <c r="AG329" i="16" s="1" a="1"/>
  <c r="AG329" i="16" s="1"/>
  <c r="M329" i="16"/>
  <c r="N331" i="16"/>
  <c r="AG331" i="16" s="1" a="1"/>
  <c r="AG331" i="16" s="1"/>
  <c r="M331" i="16"/>
  <c r="M132" i="16"/>
  <c r="M148" i="16"/>
  <c r="M164" i="16"/>
  <c r="M180" i="16"/>
  <c r="M196" i="16"/>
  <c r="N223" i="16"/>
  <c r="AG223" i="16" s="1" a="1"/>
  <c r="AG223" i="16" s="1"/>
  <c r="N250" i="16"/>
  <c r="AG250" i="16" s="1" a="1"/>
  <c r="AG250" i="16" s="1"/>
  <c r="M250" i="16"/>
  <c r="N267" i="16"/>
  <c r="AG267" i="16" s="1" a="1"/>
  <c r="AG267" i="16" s="1"/>
  <c r="M267" i="16"/>
  <c r="N276" i="16"/>
  <c r="AG276" i="16" s="1" a="1"/>
  <c r="AG276" i="16" s="1"/>
  <c r="M276" i="16"/>
  <c r="N297" i="16"/>
  <c r="AG297" i="16" s="1" a="1"/>
  <c r="AG297" i="16" s="1"/>
  <c r="M297" i="16"/>
  <c r="N333" i="16"/>
  <c r="AG333" i="16" s="1" a="1"/>
  <c r="AG333" i="16" s="1"/>
  <c r="M333" i="16"/>
  <c r="N234" i="16"/>
  <c r="AG234" i="16" s="1" a="1"/>
  <c r="AG234" i="16" s="1"/>
  <c r="M234" i="16"/>
  <c r="N252" i="16"/>
  <c r="AG252" i="16" s="1" a="1"/>
  <c r="AG252" i="16" s="1"/>
  <c r="M252" i="16"/>
  <c r="N269" i="16"/>
  <c r="AG269" i="16" s="1" a="1"/>
  <c r="AG269" i="16" s="1"/>
  <c r="M269" i="16"/>
  <c r="N283" i="16"/>
  <c r="AG283" i="16" s="1" a="1"/>
  <c r="AG283" i="16" s="1"/>
  <c r="M283" i="16"/>
  <c r="N292" i="16"/>
  <c r="AG292" i="16" s="1" a="1"/>
  <c r="AG292" i="16" s="1"/>
  <c r="M292" i="16"/>
  <c r="N313" i="16"/>
  <c r="AG313" i="16" s="1" a="1"/>
  <c r="AG313" i="16" s="1"/>
  <c r="M313" i="16"/>
  <c r="N322" i="16"/>
  <c r="AG322" i="16" s="1" a="1"/>
  <c r="AG322" i="16" s="1"/>
  <c r="M322" i="16"/>
  <c r="N335" i="16"/>
  <c r="AG335" i="16" s="1" a="1"/>
  <c r="AG335" i="16" s="1"/>
  <c r="M335" i="16"/>
  <c r="N355" i="16"/>
  <c r="AG355" i="16" s="1" a="1"/>
  <c r="AG355" i="16" s="1"/>
  <c r="M355" i="16"/>
  <c r="AH227" i="16"/>
  <c r="U227" i="16" s="1"/>
  <c r="V227" i="16" s="1"/>
  <c r="AK227" i="16" s="1"/>
  <c r="AF227" i="16" a="1"/>
  <c r="AF227" i="16" s="1"/>
  <c r="N239" i="16"/>
  <c r="AG239" i="16" s="1" a="1"/>
  <c r="AG239" i="16" s="1"/>
  <c r="M239" i="16"/>
  <c r="AH242" i="16"/>
  <c r="U242" i="16" s="1"/>
  <c r="V242" i="16" s="1"/>
  <c r="AK242" i="16" s="1"/>
  <c r="AF242" i="16" a="1"/>
  <c r="AF242" i="16" s="1"/>
  <c r="N271" i="16"/>
  <c r="AG271" i="16" s="1" a="1"/>
  <c r="AG271" i="16" s="1"/>
  <c r="M271" i="16"/>
  <c r="N285" i="16"/>
  <c r="AG285" i="16" s="1" a="1"/>
  <c r="AG285" i="16" s="1"/>
  <c r="M285" i="16"/>
  <c r="N299" i="16"/>
  <c r="AG299" i="16" s="1" a="1"/>
  <c r="AG299" i="16" s="1"/>
  <c r="M299" i="16"/>
  <c r="N308" i="16"/>
  <c r="AG308" i="16" s="1" a="1"/>
  <c r="AG308" i="16" s="1"/>
  <c r="M308" i="16"/>
  <c r="N324" i="16"/>
  <c r="AG324" i="16" s="1" a="1"/>
  <c r="AG324" i="16" s="1"/>
  <c r="M324" i="16"/>
  <c r="N287" i="16"/>
  <c r="AG287" i="16" s="1" a="1"/>
  <c r="AG287" i="16" s="1"/>
  <c r="M287" i="16"/>
  <c r="N301" i="16"/>
  <c r="AG301" i="16" s="1" a="1"/>
  <c r="AG301" i="16" s="1"/>
  <c r="M301" i="16"/>
  <c r="N315" i="16"/>
  <c r="AG315" i="16" s="1" a="1"/>
  <c r="AG315" i="16" s="1"/>
  <c r="M315" i="16"/>
  <c r="N346" i="16"/>
  <c r="AG346" i="16" s="1" a="1"/>
  <c r="AG346" i="16" s="1"/>
  <c r="M346" i="16"/>
  <c r="N348" i="16"/>
  <c r="AG348" i="16" s="1" a="1"/>
  <c r="AG348" i="16" s="1"/>
  <c r="M348" i="16"/>
  <c r="N359" i="16"/>
  <c r="AG359" i="16" s="1" a="1"/>
  <c r="AG359" i="16" s="1"/>
  <c r="M359" i="16"/>
  <c r="M128" i="16"/>
  <c r="M144" i="16"/>
  <c r="M160" i="16"/>
  <c r="M176" i="16"/>
  <c r="M192" i="16"/>
  <c r="M208" i="16"/>
  <c r="N218" i="16"/>
  <c r="AG218" i="16" s="1" a="1"/>
  <c r="AG218" i="16" s="1"/>
  <c r="N244" i="16"/>
  <c r="AG244" i="16" s="1" a="1"/>
  <c r="AG244" i="16" s="1"/>
  <c r="M244" i="16"/>
  <c r="N254" i="16"/>
  <c r="AG254" i="16" s="1" a="1"/>
  <c r="AG254" i="16" s="1"/>
  <c r="M254" i="16"/>
  <c r="N303" i="16"/>
  <c r="AG303" i="16" s="1" a="1"/>
  <c r="AG303" i="16" s="1"/>
  <c r="M303" i="16"/>
  <c r="N317" i="16"/>
  <c r="AG317" i="16" s="1" a="1"/>
  <c r="AG317" i="16" s="1"/>
  <c r="M317" i="16"/>
  <c r="N361" i="16"/>
  <c r="AG361" i="16" s="1" a="1"/>
  <c r="AG361" i="16" s="1"/>
  <c r="M361" i="16"/>
  <c r="N363" i="16"/>
  <c r="AG363" i="16" s="1" a="1"/>
  <c r="AG363" i="16" s="1"/>
  <c r="M363" i="16"/>
  <c r="N236" i="16"/>
  <c r="AG236" i="16" s="1" a="1"/>
  <c r="AG236" i="16" s="1"/>
  <c r="M236" i="16"/>
  <c r="N319" i="16"/>
  <c r="AG319" i="16" s="1" a="1"/>
  <c r="AG319" i="16" s="1"/>
  <c r="M319" i="16"/>
  <c r="N350" i="16"/>
  <c r="AG350" i="16" s="1" a="1"/>
  <c r="AG350" i="16" s="1"/>
  <c r="M350" i="16"/>
  <c r="N365" i="16"/>
  <c r="AG365" i="16" s="1" a="1"/>
  <c r="AG365" i="16" s="1"/>
  <c r="M365" i="16"/>
  <c r="N374" i="16"/>
  <c r="AG374" i="16" s="1" a="1"/>
  <c r="AG374" i="16" s="1"/>
  <c r="M374" i="16"/>
  <c r="N229" i="16"/>
  <c r="AG229" i="16" s="1" a="1"/>
  <c r="AG229" i="16" s="1"/>
  <c r="M229" i="16"/>
  <c r="N233" i="16"/>
  <c r="AG233" i="16" s="1" a="1"/>
  <c r="AG233" i="16" s="1"/>
  <c r="M233" i="16"/>
  <c r="N339" i="16"/>
  <c r="AG339" i="16" s="1" a="1"/>
  <c r="AG339" i="16" s="1"/>
  <c r="M339" i="16"/>
  <c r="N367" i="16"/>
  <c r="AG367" i="16" s="1" a="1"/>
  <c r="AG367" i="16" s="1"/>
  <c r="M367" i="16"/>
  <c r="N360" i="16"/>
  <c r="AG360" i="16" s="1" a="1"/>
  <c r="AG360" i="16" s="1"/>
  <c r="N452" i="16"/>
  <c r="AG452" i="16" s="1" a="1"/>
  <c r="AG452" i="16" s="1"/>
  <c r="M452" i="16"/>
  <c r="Y31" i="22"/>
  <c r="Q31" i="22"/>
  <c r="S31" i="22" s="1"/>
  <c r="V31" i="22"/>
  <c r="R31" i="22"/>
  <c r="O31" i="22"/>
  <c r="M31" i="22"/>
  <c r="F31" i="22"/>
  <c r="E31" i="22"/>
  <c r="AD31" i="22"/>
  <c r="M262" i="16"/>
  <c r="M278" i="16"/>
  <c r="M294" i="16"/>
  <c r="M310" i="16"/>
  <c r="N380" i="16"/>
  <c r="AG380" i="16" s="1" a="1"/>
  <c r="AG380" i="16" s="1"/>
  <c r="M380" i="16"/>
  <c r="AH391" i="16"/>
  <c r="U391" i="16" s="1"/>
  <c r="V391" i="16" s="1"/>
  <c r="AK391" i="16" s="1"/>
  <c r="AF391" i="16" a="1"/>
  <c r="AF391" i="16" s="1"/>
  <c r="N405" i="16"/>
  <c r="AG405" i="16" s="1" a="1"/>
  <c r="AG405" i="16" s="1"/>
  <c r="M405" i="16"/>
  <c r="N417" i="16"/>
  <c r="AG417" i="16" s="1" a="1"/>
  <c r="AG417" i="16" s="1"/>
  <c r="M417" i="16"/>
  <c r="N447" i="16"/>
  <c r="AG447" i="16" s="1" a="1"/>
  <c r="AG447" i="16" s="1"/>
  <c r="M447" i="16"/>
  <c r="M357" i="16"/>
  <c r="N370" i="16"/>
  <c r="AG370" i="16" s="1" a="1"/>
  <c r="AG370" i="16" s="1"/>
  <c r="N383" i="16"/>
  <c r="AG383" i="16" s="1" a="1"/>
  <c r="AG383" i="16" s="1"/>
  <c r="M383" i="16"/>
  <c r="N391" i="16"/>
  <c r="AG391" i="16" s="1" a="1"/>
  <c r="AG391" i="16" s="1"/>
  <c r="N412" i="16"/>
  <c r="AG412" i="16" s="1" a="1"/>
  <c r="AG412" i="16" s="1"/>
  <c r="M412" i="16"/>
  <c r="M424" i="16"/>
  <c r="M454" i="16"/>
  <c r="N386" i="16"/>
  <c r="AG386" i="16" s="1" a="1"/>
  <c r="AG386" i="16" s="1"/>
  <c r="M386" i="16"/>
  <c r="AH407" i="16"/>
  <c r="U407" i="16" s="1"/>
  <c r="V407" i="16" s="1"/>
  <c r="AK407" i="16" s="1"/>
  <c r="AF407" i="16" a="1"/>
  <c r="AF407" i="16" s="1"/>
  <c r="N419" i="16"/>
  <c r="AG419" i="16" s="1" a="1"/>
  <c r="AG419" i="16" s="1"/>
  <c r="M419" i="16"/>
  <c r="N426" i="16"/>
  <c r="AG426" i="16" s="1" a="1"/>
  <c r="AG426" i="16" s="1"/>
  <c r="M426" i="16"/>
  <c r="N433" i="16"/>
  <c r="AG433" i="16" s="1" a="1"/>
  <c r="AG433" i="16" s="1"/>
  <c r="M433" i="16"/>
  <c r="N461" i="16"/>
  <c r="AG461" i="16" s="1" a="1"/>
  <c r="AG461" i="16" s="1"/>
  <c r="M461" i="16"/>
  <c r="N407" i="16"/>
  <c r="AG407" i="16" s="1" a="1"/>
  <c r="AG407" i="16" s="1"/>
  <c r="N414" i="16"/>
  <c r="AG414" i="16" s="1" a="1"/>
  <c r="AG414" i="16" s="1"/>
  <c r="M414" i="16"/>
  <c r="N428" i="16"/>
  <c r="AG428" i="16" s="1" a="1"/>
  <c r="AG428" i="16" s="1"/>
  <c r="M428" i="16"/>
  <c r="M440" i="16"/>
  <c r="AA19" i="22"/>
  <c r="R78" i="22"/>
  <c r="O78" i="22"/>
  <c r="Y78" i="22"/>
  <c r="V78" i="22"/>
  <c r="Q78" i="22"/>
  <c r="S78" i="22" s="1"/>
  <c r="M78" i="22"/>
  <c r="F78" i="22"/>
  <c r="AD78" i="22"/>
  <c r="E78" i="22"/>
  <c r="N388" i="16"/>
  <c r="AG388" i="16" s="1" a="1"/>
  <c r="AG388" i="16" s="1"/>
  <c r="M388" i="16"/>
  <c r="N395" i="16"/>
  <c r="AG395" i="16" s="1" a="1"/>
  <c r="AG395" i="16" s="1"/>
  <c r="M395" i="16"/>
  <c r="N421" i="16"/>
  <c r="AG421" i="16" s="1" a="1"/>
  <c r="AG421" i="16" s="1"/>
  <c r="M421" i="16"/>
  <c r="N435" i="16"/>
  <c r="AG435" i="16" s="1" a="1"/>
  <c r="AG435" i="16" s="1"/>
  <c r="M435" i="16"/>
  <c r="N442" i="16"/>
  <c r="AG442" i="16" s="1" a="1"/>
  <c r="AG442" i="16" s="1"/>
  <c r="M442" i="16"/>
  <c r="N449" i="16"/>
  <c r="AG449" i="16" s="1" a="1"/>
  <c r="AG449" i="16" s="1"/>
  <c r="M449" i="16"/>
  <c r="N397" i="16"/>
  <c r="AG397" i="16" s="1" a="1"/>
  <c r="AG397" i="16" s="1"/>
  <c r="M397" i="16"/>
  <c r="N402" i="16"/>
  <c r="AG402" i="16" s="1" a="1"/>
  <c r="AG402" i="16" s="1"/>
  <c r="M402" i="16"/>
  <c r="AH409" i="16"/>
  <c r="X409" i="16" s="1"/>
  <c r="AF409" i="16" a="1"/>
  <c r="AF409" i="16" s="1"/>
  <c r="N430" i="16"/>
  <c r="AG430" i="16" s="1" a="1"/>
  <c r="AG430" i="16" s="1"/>
  <c r="M430" i="16"/>
  <c r="N444" i="16"/>
  <c r="AG444" i="16" s="1" a="1"/>
  <c r="AG444" i="16" s="1"/>
  <c r="M444" i="16"/>
  <c r="M320" i="16"/>
  <c r="M336" i="16"/>
  <c r="M352" i="16"/>
  <c r="M368" i="16"/>
  <c r="N382" i="16"/>
  <c r="AG382" i="16" s="1" a="1"/>
  <c r="AG382" i="16" s="1"/>
  <c r="M382" i="16"/>
  <c r="N404" i="16"/>
  <c r="AG404" i="16" s="1" a="1"/>
  <c r="AG404" i="16" s="1"/>
  <c r="M404" i="16"/>
  <c r="N409" i="16"/>
  <c r="AG409" i="16" s="1" a="1"/>
  <c r="AG409" i="16" s="1"/>
  <c r="AH423" i="16"/>
  <c r="X423" i="16" s="1"/>
  <c r="AF423" i="16" a="1"/>
  <c r="AF423" i="16" s="1"/>
  <c r="N437" i="16"/>
  <c r="AG437" i="16" s="1" a="1"/>
  <c r="AG437" i="16" s="1"/>
  <c r="M437" i="16"/>
  <c r="N451" i="16"/>
  <c r="AG451" i="16" s="1" a="1"/>
  <c r="AG451" i="16" s="1"/>
  <c r="M451" i="16"/>
  <c r="AF370" i="16" a="1"/>
  <c r="AF370" i="16" s="1"/>
  <c r="N379" i="16"/>
  <c r="AG379" i="16" s="1" a="1"/>
  <c r="AG379" i="16" s="1"/>
  <c r="M379" i="16"/>
  <c r="N385" i="16"/>
  <c r="AG385" i="16" s="1" a="1"/>
  <c r="AG385" i="16" s="1"/>
  <c r="M385" i="16"/>
  <c r="M390" i="16"/>
  <c r="N399" i="16"/>
  <c r="AG399" i="16" s="1" a="1"/>
  <c r="AG399" i="16" s="1"/>
  <c r="M399" i="16"/>
  <c r="AH411" i="16"/>
  <c r="U411" i="16" s="1"/>
  <c r="V411" i="16" s="1"/>
  <c r="AK411" i="16" s="1"/>
  <c r="AF411" i="16" a="1"/>
  <c r="AF411" i="16" s="1"/>
  <c r="N423" i="16"/>
  <c r="AG423" i="16" s="1" a="1"/>
  <c r="AG423" i="16" s="1"/>
  <c r="N446" i="16"/>
  <c r="AG446" i="16" s="1" a="1"/>
  <c r="AG446" i="16" s="1"/>
  <c r="M446" i="16"/>
  <c r="AH439" i="16"/>
  <c r="X439" i="16" s="1"/>
  <c r="AF439" i="16" a="1"/>
  <c r="AF439" i="16" s="1"/>
  <c r="N453" i="16"/>
  <c r="AG453" i="16" s="1" a="1"/>
  <c r="AG453" i="16" s="1"/>
  <c r="M453" i="16"/>
  <c r="M21" i="22"/>
  <c r="R21" i="22"/>
  <c r="V21" i="22"/>
  <c r="Q21" i="22"/>
  <c r="S21" i="22" s="1"/>
  <c r="O21" i="22"/>
  <c r="E21" i="22"/>
  <c r="O122" i="22"/>
  <c r="M122" i="22"/>
  <c r="AA122" i="22"/>
  <c r="Y122" i="22"/>
  <c r="V122" i="22"/>
  <c r="R122" i="22"/>
  <c r="Q122" i="22"/>
  <c r="S122" i="22" s="1"/>
  <c r="F122" i="22"/>
  <c r="AD122" i="22"/>
  <c r="E122" i="22"/>
  <c r="M406" i="16"/>
  <c r="AH425" i="16"/>
  <c r="X425" i="16" s="1"/>
  <c r="AF425" i="16" a="1"/>
  <c r="AF425" i="16" s="1"/>
  <c r="N439" i="16"/>
  <c r="AG439" i="16" s="1" a="1"/>
  <c r="AG439" i="16" s="1"/>
  <c r="F21" i="22"/>
  <c r="M373" i="16"/>
  <c r="N413" i="16"/>
  <c r="AG413" i="16" s="1" a="1"/>
  <c r="AG413" i="16" s="1"/>
  <c r="M413" i="16"/>
  <c r="N418" i="16"/>
  <c r="AG418" i="16" s="1" a="1"/>
  <c r="AG418" i="16" s="1"/>
  <c r="M418" i="16"/>
  <c r="AH455" i="16"/>
  <c r="X455" i="16" s="1"/>
  <c r="AF455" i="16" a="1"/>
  <c r="AF455" i="16" s="1"/>
  <c r="N460" i="16"/>
  <c r="AG460" i="16" s="1" a="1"/>
  <c r="AG460" i="16" s="1"/>
  <c r="M460" i="16"/>
  <c r="O27" i="22"/>
  <c r="M27" i="22"/>
  <c r="V27" i="22"/>
  <c r="F27" i="22"/>
  <c r="E27" i="22"/>
  <c r="Y27" i="22"/>
  <c r="R27" i="22"/>
  <c r="Q27" i="22"/>
  <c r="S27" i="22" s="1"/>
  <c r="N381" i="16"/>
  <c r="AG381" i="16" s="1" a="1"/>
  <c r="AG381" i="16" s="1"/>
  <c r="M381" i="16"/>
  <c r="N387" i="16"/>
  <c r="AG387" i="16" s="1" a="1"/>
  <c r="AG387" i="16" s="1"/>
  <c r="M387" i="16"/>
  <c r="N401" i="16"/>
  <c r="AG401" i="16" s="1" a="1"/>
  <c r="AG401" i="16" s="1"/>
  <c r="M401" i="16"/>
  <c r="N420" i="16"/>
  <c r="AG420" i="16" s="1" a="1"/>
  <c r="AG420" i="16" s="1"/>
  <c r="M420" i="16"/>
  <c r="AH441" i="16"/>
  <c r="T441" i="16" s="1"/>
  <c r="AF441" i="16" a="1"/>
  <c r="AF441" i="16" s="1"/>
  <c r="N455" i="16"/>
  <c r="AG455" i="16" s="1" a="1"/>
  <c r="AG455" i="16" s="1"/>
  <c r="AD21" i="22"/>
  <c r="M372" i="16"/>
  <c r="N394" i="16"/>
  <c r="AG394" i="16" s="1" a="1"/>
  <c r="AG394" i="16" s="1"/>
  <c r="M394" i="16"/>
  <c r="N396" i="16"/>
  <c r="AG396" i="16" s="1" a="1"/>
  <c r="AG396" i="16" s="1"/>
  <c r="M396" i="16"/>
  <c r="N415" i="16"/>
  <c r="AG415" i="16" s="1" a="1"/>
  <c r="AG415" i="16" s="1"/>
  <c r="M415" i="16"/>
  <c r="N429" i="16"/>
  <c r="AG429" i="16" s="1" a="1"/>
  <c r="AG429" i="16" s="1"/>
  <c r="M429" i="16"/>
  <c r="N434" i="16"/>
  <c r="AG434" i="16" s="1" a="1"/>
  <c r="AG434" i="16" s="1"/>
  <c r="M434" i="16"/>
  <c r="N441" i="16"/>
  <c r="AG441" i="16" s="1" a="1"/>
  <c r="AG441" i="16" s="1"/>
  <c r="AD27" i="22"/>
  <c r="Q60" i="22"/>
  <c r="S60" i="22" s="1"/>
  <c r="R60" i="22"/>
  <c r="O60" i="22"/>
  <c r="F60" i="22"/>
  <c r="Y60" i="22"/>
  <c r="E60" i="22"/>
  <c r="AD60" i="22"/>
  <c r="V60" i="22"/>
  <c r="M60" i="22"/>
  <c r="N403" i="16"/>
  <c r="AG403" i="16" s="1" a="1"/>
  <c r="AG403" i="16" s="1"/>
  <c r="M403" i="16"/>
  <c r="N436" i="16"/>
  <c r="AG436" i="16" s="1" a="1"/>
  <c r="AG436" i="16" s="1"/>
  <c r="M436" i="16"/>
  <c r="N371" i="16"/>
  <c r="AG371" i="16" s="1" a="1"/>
  <c r="AG371" i="16" s="1"/>
  <c r="M371" i="16"/>
  <c r="N389" i="16"/>
  <c r="AG389" i="16" s="1" a="1"/>
  <c r="AG389" i="16" s="1"/>
  <c r="M389" i="16"/>
  <c r="N398" i="16"/>
  <c r="AG398" i="16" s="1" a="1"/>
  <c r="AG398" i="16" s="1"/>
  <c r="M398" i="16"/>
  <c r="N410" i="16"/>
  <c r="AG410" i="16" s="1" a="1"/>
  <c r="AG410" i="16" s="1"/>
  <c r="M410" i="16"/>
  <c r="N431" i="16"/>
  <c r="AG431" i="16" s="1" a="1"/>
  <c r="AG431" i="16" s="1"/>
  <c r="M431" i="16"/>
  <c r="N445" i="16"/>
  <c r="AG445" i="16" s="1" a="1"/>
  <c r="AG445" i="16" s="1"/>
  <c r="M445" i="16"/>
  <c r="N450" i="16"/>
  <c r="AG450" i="16" s="1" a="1"/>
  <c r="AG450" i="16" s="1"/>
  <c r="M450" i="16"/>
  <c r="V6" i="22"/>
  <c r="F6" i="22"/>
  <c r="M6" i="22"/>
  <c r="G11" i="22"/>
  <c r="AB11" i="22" s="1"/>
  <c r="F16" i="22"/>
  <c r="AD16" i="22"/>
  <c r="AA35" i="22"/>
  <c r="Y35" i="22"/>
  <c r="V35" i="22"/>
  <c r="F35" i="22"/>
  <c r="J35" i="22" s="1"/>
  <c r="O35" i="22"/>
  <c r="AD6" i="22"/>
  <c r="V14" i="22"/>
  <c r="F14" i="22"/>
  <c r="E14" i="22"/>
  <c r="AA14" i="22" s="1"/>
  <c r="K24" i="22"/>
  <c r="M36" i="22"/>
  <c r="R36" i="22"/>
  <c r="AD36" i="22"/>
  <c r="R9" i="22"/>
  <c r="Q9" i="22"/>
  <c r="S9" i="22" s="1"/>
  <c r="Y9" i="22"/>
  <c r="M13" i="22"/>
  <c r="M30" i="22"/>
  <c r="E36" i="22"/>
  <c r="V44" i="22"/>
  <c r="Q56" i="22"/>
  <c r="S56" i="22" s="1"/>
  <c r="O56" i="22"/>
  <c r="M56" i="22"/>
  <c r="AD56" i="22"/>
  <c r="F56" i="22"/>
  <c r="Y56" i="22"/>
  <c r="V56" i="22"/>
  <c r="E9" i="22"/>
  <c r="AD14" i="22"/>
  <c r="Q23" i="22"/>
  <c r="S23" i="22" s="1"/>
  <c r="J28" i="22"/>
  <c r="I28" i="22"/>
  <c r="F36" i="22"/>
  <c r="E56" i="22"/>
  <c r="O8" i="22"/>
  <c r="F9" i="22"/>
  <c r="AD9" i="22"/>
  <c r="AA12" i="22"/>
  <c r="O13" i="22"/>
  <c r="M16" i="22"/>
  <c r="R23" i="22"/>
  <c r="I24" i="22"/>
  <c r="Q30" i="22"/>
  <c r="S30" i="22" s="1"/>
  <c r="M35" i="22"/>
  <c r="I54" i="22"/>
  <c r="H54" i="22"/>
  <c r="Z54" i="22" s="1"/>
  <c r="AA102" i="22"/>
  <c r="J102" i="22"/>
  <c r="G102" i="22"/>
  <c r="O7" i="22"/>
  <c r="L24" i="22"/>
  <c r="N24" i="22" s="1"/>
  <c r="Y25" i="22"/>
  <c r="F25" i="22"/>
  <c r="O25" i="22"/>
  <c r="G28" i="22"/>
  <c r="R30" i="22"/>
  <c r="O41" i="22"/>
  <c r="M41" i="22"/>
  <c r="AD41" i="22"/>
  <c r="V41" i="22"/>
  <c r="F41" i="22"/>
  <c r="E41" i="22"/>
  <c r="AA41" i="22" s="1"/>
  <c r="R56" i="22"/>
  <c r="M384" i="16"/>
  <c r="M400" i="16"/>
  <c r="M416" i="16"/>
  <c r="M432" i="16"/>
  <c r="M448" i="16"/>
  <c r="O6" i="22"/>
  <c r="Q8" i="22"/>
  <c r="S8" i="22" s="1"/>
  <c r="G12" i="22"/>
  <c r="K12" i="22" s="1"/>
  <c r="M14" i="22"/>
  <c r="Q16" i="22"/>
  <c r="S16" i="22" s="1"/>
  <c r="E25" i="22"/>
  <c r="H28" i="22"/>
  <c r="Q35" i="22"/>
  <c r="S35" i="22" s="1"/>
  <c r="AD40" i="22"/>
  <c r="Q40" i="22"/>
  <c r="S40" i="22" s="1"/>
  <c r="J54" i="22"/>
  <c r="Y73" i="22"/>
  <c r="F73" i="22"/>
  <c r="Q73" i="22"/>
  <c r="S73" i="22" s="1"/>
  <c r="M73" i="22"/>
  <c r="V73" i="22"/>
  <c r="R73" i="22"/>
  <c r="O73" i="22"/>
  <c r="E73" i="22"/>
  <c r="F7" i="22"/>
  <c r="AD7" i="22"/>
  <c r="AA7" i="22" s="1"/>
  <c r="AD15" i="22"/>
  <c r="M15" i="22"/>
  <c r="R16" i="22"/>
  <c r="R35" i="22"/>
  <c r="E40" i="22"/>
  <c r="E51" i="22"/>
  <c r="R51" i="22"/>
  <c r="Q51" i="22"/>
  <c r="S51" i="22" s="1"/>
  <c r="O51" i="22"/>
  <c r="Y51" i="22"/>
  <c r="Q6" i="22"/>
  <c r="S6" i="22" s="1"/>
  <c r="V8" i="22"/>
  <c r="Y10" i="22"/>
  <c r="F10" i="22"/>
  <c r="V10" i="22"/>
  <c r="E10" i="22"/>
  <c r="AD10" i="22"/>
  <c r="I12" i="22"/>
  <c r="O14" i="22"/>
  <c r="E15" i="22"/>
  <c r="G22" i="22"/>
  <c r="R33" i="22"/>
  <c r="Q33" i="22"/>
  <c r="S33" i="22" s="1"/>
  <c r="O33" i="22"/>
  <c r="O36" i="22"/>
  <c r="F40" i="22"/>
  <c r="R46" i="22"/>
  <c r="Q46" i="22"/>
  <c r="S46" i="22" s="1"/>
  <c r="O46" i="22"/>
  <c r="Y46" i="22"/>
  <c r="H46" i="22"/>
  <c r="G46" i="22"/>
  <c r="F51" i="22"/>
  <c r="AA65" i="22"/>
  <c r="AD73" i="22"/>
  <c r="N459" i="16"/>
  <c r="AG459" i="16" s="1" a="1"/>
  <c r="AG459" i="16" s="1"/>
  <c r="R6" i="22"/>
  <c r="Y8" i="22"/>
  <c r="M9" i="22"/>
  <c r="V13" i="22"/>
  <c r="F15" i="22"/>
  <c r="R18" i="22"/>
  <c r="Q18" i="22"/>
  <c r="S18" i="22" s="1"/>
  <c r="O18" i="22"/>
  <c r="AA18" i="22"/>
  <c r="AD18" i="22"/>
  <c r="H22" i="22"/>
  <c r="Z22" i="22" s="1"/>
  <c r="E33" i="22"/>
  <c r="AA33" i="22" s="1"/>
  <c r="J45" i="22"/>
  <c r="G45" i="22"/>
  <c r="Q14" i="22"/>
  <c r="Q36" i="22"/>
  <c r="S36" i="22" s="1"/>
  <c r="AD44" i="22"/>
  <c r="M44" i="22"/>
  <c r="Y44" i="22"/>
  <c r="E44" i="22"/>
  <c r="J44" i="22" s="1"/>
  <c r="R44" i="22"/>
  <c r="Q44" i="22"/>
  <c r="S44" i="22" s="1"/>
  <c r="AA68" i="22"/>
  <c r="R68" i="22"/>
  <c r="Q68" i="22"/>
  <c r="S68" i="22" s="1"/>
  <c r="V68" i="22"/>
  <c r="O68" i="22"/>
  <c r="AD68" i="22"/>
  <c r="F68" i="22"/>
  <c r="I68" i="22" s="1"/>
  <c r="AD107" i="22"/>
  <c r="Y107" i="22"/>
  <c r="R107" i="22"/>
  <c r="Q107" i="22"/>
  <c r="S107" i="22" s="1"/>
  <c r="O107" i="22"/>
  <c r="M107" i="22"/>
  <c r="F107" i="22"/>
  <c r="E107" i="22"/>
  <c r="V107" i="22"/>
  <c r="M427" i="16"/>
  <c r="M443" i="16"/>
  <c r="M458" i="16"/>
  <c r="M8" i="22"/>
  <c r="R8" i="22"/>
  <c r="R13" i="22"/>
  <c r="Q13" i="22"/>
  <c r="S13" i="22" s="1"/>
  <c r="Y13" i="22"/>
  <c r="V16" i="22"/>
  <c r="O23" i="22"/>
  <c r="M23" i="22"/>
  <c r="Y23" i="22"/>
  <c r="F23" i="22"/>
  <c r="V23" i="22"/>
  <c r="E23" i="22"/>
  <c r="AD23" i="22"/>
  <c r="J38" i="22"/>
  <c r="I38" i="22"/>
  <c r="J47" i="22"/>
  <c r="I47" i="22"/>
  <c r="I83" i="22"/>
  <c r="AA83" i="22"/>
  <c r="J83" i="22"/>
  <c r="G83" i="22"/>
  <c r="AB83" i="22" s="1"/>
  <c r="M7" i="22"/>
  <c r="E8" i="22"/>
  <c r="AA11" i="22"/>
  <c r="J11" i="22"/>
  <c r="Q11" i="22"/>
  <c r="S11" i="22" s="1"/>
  <c r="Y11" i="22"/>
  <c r="E13" i="22"/>
  <c r="S14" i="22"/>
  <c r="AA38" i="22"/>
  <c r="O40" i="22"/>
  <c r="R41" i="22"/>
  <c r="G47" i="22"/>
  <c r="M68" i="22"/>
  <c r="F8" i="22"/>
  <c r="F13" i="22"/>
  <c r="AD13" i="22"/>
  <c r="AA16" i="22"/>
  <c r="O16" i="22"/>
  <c r="Y30" i="22"/>
  <c r="V30" i="22"/>
  <c r="F30" i="22"/>
  <c r="I30" i="22" s="1"/>
  <c r="O30" i="22"/>
  <c r="AD30" i="22"/>
  <c r="AA30" i="22" s="1"/>
  <c r="G38" i="22"/>
  <c r="H47" i="22"/>
  <c r="Z47" i="22" s="1"/>
  <c r="Y68" i="22"/>
  <c r="M43" i="22"/>
  <c r="M48" i="22"/>
  <c r="AD48" i="22"/>
  <c r="Q53" i="22"/>
  <c r="S53" i="22" s="1"/>
  <c r="R58" i="22"/>
  <c r="Q58" i="22"/>
  <c r="S58" i="22" s="1"/>
  <c r="Y58" i="22"/>
  <c r="V66" i="22"/>
  <c r="R71" i="22"/>
  <c r="R76" i="22"/>
  <c r="Q85" i="22"/>
  <c r="S85" i="22" s="1"/>
  <c r="O85" i="22"/>
  <c r="AD85" i="22"/>
  <c r="AA85" i="22" s="1"/>
  <c r="M85" i="22"/>
  <c r="Y85" i="22"/>
  <c r="V85" i="22"/>
  <c r="F85" i="22"/>
  <c r="H85" i="22" s="1"/>
  <c r="R95" i="22"/>
  <c r="Q95" i="22"/>
  <c r="S95" i="22" s="1"/>
  <c r="O95" i="22"/>
  <c r="AD95" i="22"/>
  <c r="AA95" i="22" s="1"/>
  <c r="M95" i="22"/>
  <c r="Y95" i="22"/>
  <c r="F95" i="22"/>
  <c r="I95" i="22" s="1"/>
  <c r="M19" i="22"/>
  <c r="M29" i="22"/>
  <c r="M34" i="22"/>
  <c r="E37" i="22"/>
  <c r="V37" i="22"/>
  <c r="E58" i="22"/>
  <c r="V62" i="22"/>
  <c r="F62" i="22"/>
  <c r="O62" i="22"/>
  <c r="AD62" i="22"/>
  <c r="AD70" i="22"/>
  <c r="M70" i="22"/>
  <c r="F70" i="22"/>
  <c r="V70" i="22"/>
  <c r="E70" i="22"/>
  <c r="AA70" i="22" s="1"/>
  <c r="R70" i="22"/>
  <c r="S71" i="22"/>
  <c r="AA84" i="22"/>
  <c r="R66" i="22"/>
  <c r="M74" i="22"/>
  <c r="V74" i="22"/>
  <c r="F74" i="22"/>
  <c r="E74" i="22"/>
  <c r="R74" i="22"/>
  <c r="Y109" i="22"/>
  <c r="F109" i="22"/>
  <c r="R109" i="22"/>
  <c r="V109" i="22"/>
  <c r="Q109" i="22"/>
  <c r="S109" i="22" s="1"/>
  <c r="O109" i="22"/>
  <c r="M109" i="22"/>
  <c r="G86" i="22"/>
  <c r="AB86" i="22" s="1"/>
  <c r="E109" i="22"/>
  <c r="V53" i="22"/>
  <c r="F66" i="22"/>
  <c r="J66" i="22" s="1"/>
  <c r="AD66" i="22"/>
  <c r="AA66" i="22" s="1"/>
  <c r="Y76" i="22"/>
  <c r="I79" i="22"/>
  <c r="R98" i="22"/>
  <c r="Q98" i="22"/>
  <c r="S98" i="22" s="1"/>
  <c r="O98" i="22"/>
  <c r="M98" i="22"/>
  <c r="I98" i="22"/>
  <c r="Y98" i="22"/>
  <c r="F98" i="22"/>
  <c r="Q75" i="22"/>
  <c r="S75" i="22" s="1"/>
  <c r="O75" i="22"/>
  <c r="Y75" i="22"/>
  <c r="V75" i="22"/>
  <c r="F75" i="22"/>
  <c r="V95" i="22"/>
  <c r="E98" i="22"/>
  <c r="AB79" i="22"/>
  <c r="L79" i="22"/>
  <c r="G53" i="22"/>
  <c r="Y53" i="22"/>
  <c r="I64" i="22"/>
  <c r="F71" i="22"/>
  <c r="V71" i="22"/>
  <c r="E71" i="22"/>
  <c r="AA71" i="22" s="1"/>
  <c r="E76" i="22"/>
  <c r="S76" i="22"/>
  <c r="AD76" i="22"/>
  <c r="M76" i="22"/>
  <c r="Z108" i="22"/>
  <c r="AD109" i="22"/>
  <c r="R130" i="22"/>
  <c r="M130" i="22"/>
  <c r="E130" i="22"/>
  <c r="J130" i="22" s="1"/>
  <c r="Y130" i="22"/>
  <c r="V130" i="22"/>
  <c r="Q130" i="22"/>
  <c r="S130" i="22" s="1"/>
  <c r="O130" i="22"/>
  <c r="E155" i="22"/>
  <c r="O155" i="22"/>
  <c r="Q155" i="22"/>
  <c r="S155" i="22" s="1"/>
  <c r="M155" i="22"/>
  <c r="AD155" i="22"/>
  <c r="R155" i="22"/>
  <c r="F155" i="22"/>
  <c r="Y155" i="22"/>
  <c r="V155" i="22"/>
  <c r="E43" i="22"/>
  <c r="G43" i="22" s="1"/>
  <c r="E48" i="22"/>
  <c r="H53" i="22"/>
  <c r="E57" i="22"/>
  <c r="M57" i="22"/>
  <c r="M58" i="22"/>
  <c r="M59" i="22"/>
  <c r="V59" i="22"/>
  <c r="F59" i="22"/>
  <c r="E59" i="22"/>
  <c r="M66" i="22"/>
  <c r="E67" i="22"/>
  <c r="M67" i="22"/>
  <c r="F76" i="22"/>
  <c r="Y114" i="22"/>
  <c r="F114" i="22"/>
  <c r="O114" i="22"/>
  <c r="M114" i="22"/>
  <c r="V114" i="22"/>
  <c r="R114" i="22"/>
  <c r="Q114" i="22"/>
  <c r="S114" i="22" s="1"/>
  <c r="AD114" i="22"/>
  <c r="E114" i="22"/>
  <c r="F43" i="22"/>
  <c r="V43" i="22"/>
  <c r="AD45" i="22"/>
  <c r="AA45" i="22" s="1"/>
  <c r="F48" i="22"/>
  <c r="V48" i="22"/>
  <c r="I53" i="22"/>
  <c r="F57" i="22"/>
  <c r="M62" i="22"/>
  <c r="F67" i="22"/>
  <c r="G69" i="22"/>
  <c r="O70" i="22"/>
  <c r="O74" i="22"/>
  <c r="V98" i="22"/>
  <c r="F19" i="22"/>
  <c r="I19" i="22" s="1"/>
  <c r="V19" i="22"/>
  <c r="M22" i="22"/>
  <c r="M26" i="22"/>
  <c r="AD26" i="22"/>
  <c r="S28" i="22"/>
  <c r="F29" i="22"/>
  <c r="G29" i="22" s="1"/>
  <c r="V29" i="22"/>
  <c r="F34" i="22"/>
  <c r="G34" i="22" s="1"/>
  <c r="V34" i="22"/>
  <c r="S38" i="22"/>
  <c r="E39" i="22"/>
  <c r="V39" i="22"/>
  <c r="Y43" i="22"/>
  <c r="M45" i="22"/>
  <c r="M50" i="22"/>
  <c r="AD50" i="22"/>
  <c r="Y52" i="22"/>
  <c r="J53" i="22"/>
  <c r="O58" i="22"/>
  <c r="G61" i="22"/>
  <c r="Q63" i="22"/>
  <c r="S63" i="22" s="1"/>
  <c r="Y63" i="22"/>
  <c r="O66" i="22"/>
  <c r="AD67" i="22"/>
  <c r="H69" i="22"/>
  <c r="Z69" i="22" s="1"/>
  <c r="M75" i="22"/>
  <c r="V77" i="22"/>
  <c r="F77" i="22"/>
  <c r="Q77" i="22"/>
  <c r="S77" i="22" s="1"/>
  <c r="AD77" i="22"/>
  <c r="M77" i="22"/>
  <c r="Q90" i="22"/>
  <c r="S90" i="22" s="1"/>
  <c r="O90" i="22"/>
  <c r="M90" i="22"/>
  <c r="AD90" i="22"/>
  <c r="V90" i="22"/>
  <c r="F90" i="22"/>
  <c r="E90" i="22"/>
  <c r="AD98" i="22"/>
  <c r="AD130" i="22"/>
  <c r="F39" i="22"/>
  <c r="Y48" i="22"/>
  <c r="E52" i="22"/>
  <c r="V52" i="22"/>
  <c r="AD53" i="22"/>
  <c r="AA53" i="22" s="1"/>
  <c r="M55" i="22"/>
  <c r="F55" i="22"/>
  <c r="V55" i="22"/>
  <c r="E55" i="22"/>
  <c r="AA55" i="22" s="1"/>
  <c r="AD59" i="22"/>
  <c r="H61" i="22"/>
  <c r="Q62" i="22"/>
  <c r="S62" i="22" s="1"/>
  <c r="E63" i="22"/>
  <c r="I69" i="22"/>
  <c r="Q70" i="22"/>
  <c r="S70" i="22" s="1"/>
  <c r="J72" i="22"/>
  <c r="I72" i="22"/>
  <c r="Q74" i="22"/>
  <c r="S74" i="22" s="1"/>
  <c r="E77" i="22"/>
  <c r="I165" i="22"/>
  <c r="O50" i="22"/>
  <c r="M53" i="22"/>
  <c r="AD57" i="22"/>
  <c r="I61" i="22"/>
  <c r="R62" i="22"/>
  <c r="Q66" i="22"/>
  <c r="S66" i="22" s="1"/>
  <c r="M71" i="22"/>
  <c r="Q81" i="22"/>
  <c r="S81" i="22" s="1"/>
  <c r="O81" i="22"/>
  <c r="Y81" i="22"/>
  <c r="F81" i="22"/>
  <c r="G81" i="22" s="1"/>
  <c r="BN7" i="26"/>
  <c r="BM7" i="26"/>
  <c r="BN15" i="26"/>
  <c r="BM15" i="26"/>
  <c r="BN23" i="26"/>
  <c r="BM23" i="26"/>
  <c r="BN31" i="26"/>
  <c r="BM31" i="26"/>
  <c r="BN39" i="26"/>
  <c r="BM39" i="26"/>
  <c r="BN51" i="26"/>
  <c r="BM51" i="26"/>
  <c r="AD82" i="22"/>
  <c r="AA82" i="22" s="1"/>
  <c r="S84" i="22"/>
  <c r="H86" i="22"/>
  <c r="M92" i="22"/>
  <c r="AD92" i="22"/>
  <c r="Q97" i="22"/>
  <c r="S97" i="22" s="1"/>
  <c r="AD99" i="22"/>
  <c r="Q100" i="22"/>
  <c r="S100" i="22" s="1"/>
  <c r="O104" i="22"/>
  <c r="AA105" i="22"/>
  <c r="Q117" i="22"/>
  <c r="S117" i="22" s="1"/>
  <c r="M117" i="22"/>
  <c r="Y117" i="22"/>
  <c r="O126" i="22"/>
  <c r="AD126" i="22"/>
  <c r="Y132" i="22"/>
  <c r="V132" i="22"/>
  <c r="F132" i="22"/>
  <c r="R132" i="22"/>
  <c r="O132" i="22"/>
  <c r="M132" i="22"/>
  <c r="Q83" i="22"/>
  <c r="S83" i="22" s="1"/>
  <c r="I86" i="22"/>
  <c r="Y86" i="22"/>
  <c r="M88" i="22"/>
  <c r="Q89" i="22"/>
  <c r="S89" i="22" s="1"/>
  <c r="Q93" i="22"/>
  <c r="S93" i="22" s="1"/>
  <c r="R97" i="22"/>
  <c r="M99" i="22"/>
  <c r="R100" i="22"/>
  <c r="E101" i="22"/>
  <c r="V101" i="22"/>
  <c r="Q104" i="22"/>
  <c r="S104" i="22" s="1"/>
  <c r="O112" i="22"/>
  <c r="V112" i="22"/>
  <c r="E112" i="22"/>
  <c r="E117" i="22"/>
  <c r="H117" i="22" s="1"/>
  <c r="Z117" i="22" s="1"/>
  <c r="E126" i="22"/>
  <c r="AA126" i="22" s="1"/>
  <c r="R131" i="22"/>
  <c r="F131" i="22"/>
  <c r="Y131" i="22"/>
  <c r="E131" i="22"/>
  <c r="S131" i="22"/>
  <c r="AD131" i="22"/>
  <c r="E132" i="22"/>
  <c r="V143" i="22"/>
  <c r="F143" i="22"/>
  <c r="R143" i="22"/>
  <c r="Q143" i="22"/>
  <c r="S143" i="22" s="1"/>
  <c r="O143" i="22"/>
  <c r="AD143" i="22"/>
  <c r="E143" i="22"/>
  <c r="Y152" i="22"/>
  <c r="F152" i="22"/>
  <c r="AD152" i="22"/>
  <c r="V152" i="22"/>
  <c r="R152" i="22"/>
  <c r="O152" i="22"/>
  <c r="E152" i="22"/>
  <c r="AA152" i="22" s="1"/>
  <c r="G65" i="22"/>
  <c r="AD72" i="22"/>
  <c r="AA72" i="22" s="1"/>
  <c r="F80" i="22"/>
  <c r="V80" i="22"/>
  <c r="F84" i="22"/>
  <c r="H84" i="22" s="1"/>
  <c r="Z84" i="22" s="1"/>
  <c r="V84" i="22"/>
  <c r="K86" i="22"/>
  <c r="AA86" i="22"/>
  <c r="M87" i="22"/>
  <c r="O88" i="22"/>
  <c r="F94" i="22"/>
  <c r="O99" i="22"/>
  <c r="AD117" i="22"/>
  <c r="V124" i="22"/>
  <c r="E127" i="22"/>
  <c r="Q127" i="22"/>
  <c r="S127" i="22" s="1"/>
  <c r="O127" i="22"/>
  <c r="M127" i="22"/>
  <c r="R127" i="22"/>
  <c r="AD127" i="22"/>
  <c r="Q136" i="22"/>
  <c r="S136" i="22" s="1"/>
  <c r="O136" i="22"/>
  <c r="AD136" i="22"/>
  <c r="M136" i="22"/>
  <c r="E136" i="22"/>
  <c r="H65" i="22"/>
  <c r="Z65" i="22" s="1"/>
  <c r="Y65" i="22"/>
  <c r="O82" i="22"/>
  <c r="L86" i="22"/>
  <c r="N86" i="22" s="1"/>
  <c r="AD87" i="22"/>
  <c r="Q92" i="22"/>
  <c r="S92" i="22" s="1"/>
  <c r="V97" i="22"/>
  <c r="J100" i="22"/>
  <c r="AD110" i="22"/>
  <c r="M110" i="22"/>
  <c r="V110" i="22"/>
  <c r="E110" i="22"/>
  <c r="Y110" i="22"/>
  <c r="V115" i="22"/>
  <c r="E115" i="22"/>
  <c r="G115" i="22" s="1"/>
  <c r="O115" i="22"/>
  <c r="V134" i="22"/>
  <c r="F134" i="22"/>
  <c r="O134" i="22"/>
  <c r="M134" i="22"/>
  <c r="Y134" i="22"/>
  <c r="E134" i="22"/>
  <c r="Q134" i="22"/>
  <c r="S134" i="22" s="1"/>
  <c r="M135" i="22"/>
  <c r="Y135" i="22"/>
  <c r="V135" i="22"/>
  <c r="O135" i="22"/>
  <c r="E135" i="22"/>
  <c r="J135" i="22" s="1"/>
  <c r="R104" i="22"/>
  <c r="V104" i="22"/>
  <c r="M126" i="22"/>
  <c r="E141" i="22"/>
  <c r="AA141" i="22" s="1"/>
  <c r="R141" i="22"/>
  <c r="O141" i="22"/>
  <c r="M141" i="22"/>
  <c r="F141" i="22"/>
  <c r="Q141" i="22"/>
  <c r="S141" i="22" s="1"/>
  <c r="Q146" i="22"/>
  <c r="S146" i="22" s="1"/>
  <c r="AD146" i="22"/>
  <c r="M146" i="22"/>
  <c r="Y146" i="22"/>
  <c r="V146" i="22"/>
  <c r="E146" i="22"/>
  <c r="AA146" i="22" s="1"/>
  <c r="E104" i="22"/>
  <c r="Y104" i="22"/>
  <c r="S108" i="22"/>
  <c r="R108" i="22"/>
  <c r="AA108" i="22"/>
  <c r="V113" i="22"/>
  <c r="AD115" i="22"/>
  <c r="H123" i="22"/>
  <c r="Z123" i="22" s="1"/>
  <c r="Q132" i="22"/>
  <c r="S132" i="22" s="1"/>
  <c r="F146" i="22"/>
  <c r="O86" i="22"/>
  <c r="Q87" i="22"/>
  <c r="S87" i="22" s="1"/>
  <c r="S99" i="22"/>
  <c r="G100" i="22"/>
  <c r="Y100" i="22"/>
  <c r="S103" i="22"/>
  <c r="F104" i="22"/>
  <c r="AD124" i="22"/>
  <c r="M124" i="22"/>
  <c r="Y124" i="22"/>
  <c r="E124" i="22"/>
  <c r="H124" i="22" s="1"/>
  <c r="S82" i="22"/>
  <c r="H83" i="22"/>
  <c r="Z83" i="22" s="1"/>
  <c r="Y83" i="22"/>
  <c r="R87" i="22"/>
  <c r="E92" i="22"/>
  <c r="H93" i="22"/>
  <c r="Z93" i="22" s="1"/>
  <c r="Y93" i="22"/>
  <c r="H97" i="22"/>
  <c r="Z97" i="22" s="1"/>
  <c r="H100" i="22"/>
  <c r="Z100" i="22" s="1"/>
  <c r="M101" i="22"/>
  <c r="AD101" i="22"/>
  <c r="Q126" i="22"/>
  <c r="S126" i="22" s="1"/>
  <c r="AD202" i="22"/>
  <c r="Y202" i="22"/>
  <c r="V202" i="22"/>
  <c r="R202" i="22"/>
  <c r="Q202" i="22"/>
  <c r="S202" i="22" s="1"/>
  <c r="O202" i="22"/>
  <c r="M202" i="22"/>
  <c r="F202" i="22"/>
  <c r="E202" i="22"/>
  <c r="Q86" i="22"/>
  <c r="S86" i="22" s="1"/>
  <c r="F92" i="22"/>
  <c r="V92" i="22"/>
  <c r="I93" i="22"/>
  <c r="I97" i="22"/>
  <c r="I100" i="22"/>
  <c r="V103" i="22"/>
  <c r="AA106" i="22"/>
  <c r="G108" i="22"/>
  <c r="R113" i="22"/>
  <c r="S113" i="22"/>
  <c r="AA113" i="22"/>
  <c r="O117" i="22"/>
  <c r="R126" i="22"/>
  <c r="J138" i="22"/>
  <c r="G138" i="22"/>
  <c r="I138" i="22"/>
  <c r="AA138" i="22"/>
  <c r="R153" i="22"/>
  <c r="O153" i="22"/>
  <c r="M153" i="22"/>
  <c r="AD153" i="22"/>
  <c r="Y153" i="22"/>
  <c r="V153" i="22"/>
  <c r="Q153" i="22"/>
  <c r="S153" i="22" s="1"/>
  <c r="F153" i="22"/>
  <c r="F88" i="22"/>
  <c r="G88" i="22" s="1"/>
  <c r="V88" i="22"/>
  <c r="J93" i="22"/>
  <c r="K93" i="22" s="1"/>
  <c r="AA93" i="22"/>
  <c r="AD97" i="22"/>
  <c r="AA97" i="22" s="1"/>
  <c r="E99" i="22"/>
  <c r="V99" i="22"/>
  <c r="O101" i="22"/>
  <c r="G106" i="22"/>
  <c r="K106" i="22" s="1"/>
  <c r="R117" i="22"/>
  <c r="G128" i="22"/>
  <c r="E153" i="22"/>
  <c r="F82" i="22"/>
  <c r="E87" i="22"/>
  <c r="Y88" i="22"/>
  <c r="AD89" i="22"/>
  <c r="Y92" i="22"/>
  <c r="AB93" i="22"/>
  <c r="O94" i="22"/>
  <c r="E96" i="22"/>
  <c r="V96" i="22"/>
  <c r="F99" i="22"/>
  <c r="Y99" i="22"/>
  <c r="AD100" i="22"/>
  <c r="AA100" i="22" s="1"/>
  <c r="F103" i="22"/>
  <c r="Y103" i="22"/>
  <c r="AD104" i="22"/>
  <c r="H106" i="22"/>
  <c r="I108" i="22"/>
  <c r="T108" i="22" s="1"/>
  <c r="O110" i="22"/>
  <c r="Q112" i="22"/>
  <c r="S112" i="22" s="1"/>
  <c r="F113" i="22"/>
  <c r="J113" i="22" s="1"/>
  <c r="AD113" i="22"/>
  <c r="M115" i="22"/>
  <c r="V126" i="22"/>
  <c r="I128" i="22"/>
  <c r="Q135" i="22"/>
  <c r="S135" i="22" s="1"/>
  <c r="Y136" i="22"/>
  <c r="R146" i="22"/>
  <c r="F87" i="22"/>
  <c r="F96" i="22"/>
  <c r="Y96" i="22"/>
  <c r="M100" i="22"/>
  <c r="Q101" i="22"/>
  <c r="S101" i="22" s="1"/>
  <c r="J108" i="22"/>
  <c r="E111" i="22"/>
  <c r="R112" i="22"/>
  <c r="Y119" i="22"/>
  <c r="S119" i="22"/>
  <c r="M119" i="22"/>
  <c r="E119" i="22"/>
  <c r="G119" i="22" s="1"/>
  <c r="AD119" i="22"/>
  <c r="O121" i="22"/>
  <c r="F121" i="22"/>
  <c r="Y121" i="22"/>
  <c r="E121" i="22"/>
  <c r="AA121" i="22" s="1"/>
  <c r="R121" i="22"/>
  <c r="O124" i="22"/>
  <c r="AD129" i="22"/>
  <c r="M129" i="22"/>
  <c r="E129" i="22"/>
  <c r="AD132" i="22"/>
  <c r="R135" i="22"/>
  <c r="Y141" i="22"/>
  <c r="J200" i="22"/>
  <c r="I200" i="22"/>
  <c r="T200" i="22" s="1"/>
  <c r="AA200" i="22"/>
  <c r="H200" i="22"/>
  <c r="Z200" i="22" s="1"/>
  <c r="G200" i="22"/>
  <c r="R140" i="22"/>
  <c r="O140" i="22"/>
  <c r="AD140" i="22"/>
  <c r="AA140" i="22" s="1"/>
  <c r="I140" i="22"/>
  <c r="T140" i="22" s="1"/>
  <c r="G140" i="22"/>
  <c r="R145" i="22"/>
  <c r="M150" i="22"/>
  <c r="AA194" i="22"/>
  <c r="I194" i="22"/>
  <c r="AA147" i="22"/>
  <c r="J116" i="22"/>
  <c r="V116" i="22"/>
  <c r="O118" i="22"/>
  <c r="M140" i="22"/>
  <c r="AD144" i="22"/>
  <c r="AA144" i="22" s="1"/>
  <c r="V144" i="22"/>
  <c r="F144" i="22"/>
  <c r="G144" i="22" s="1"/>
  <c r="AB144" i="22" s="1"/>
  <c r="S144" i="22"/>
  <c r="J166" i="22"/>
  <c r="H166" i="22"/>
  <c r="Z166" i="22" s="1"/>
  <c r="G166" i="22"/>
  <c r="AD145" i="22"/>
  <c r="AA145" i="22" s="1"/>
  <c r="M145" i="22"/>
  <c r="Q149" i="22"/>
  <c r="S149" i="22" s="1"/>
  <c r="O149" i="22"/>
  <c r="M149" i="22"/>
  <c r="AD149" i="22"/>
  <c r="Y149" i="22"/>
  <c r="Y197" i="22"/>
  <c r="F197" i="22"/>
  <c r="V197" i="22"/>
  <c r="E197" i="22"/>
  <c r="R197" i="22"/>
  <c r="Q197" i="22"/>
  <c r="S197" i="22" s="1"/>
  <c r="O197" i="22"/>
  <c r="M197" i="22"/>
  <c r="AD197" i="22"/>
  <c r="Q209" i="22"/>
  <c r="S209" i="22" s="1"/>
  <c r="AD209" i="22"/>
  <c r="Y209" i="22"/>
  <c r="V209" i="22"/>
  <c r="R209" i="22"/>
  <c r="O209" i="22"/>
  <c r="F209" i="22"/>
  <c r="M209" i="22"/>
  <c r="I106" i="22"/>
  <c r="I116" i="22"/>
  <c r="AD116" i="22"/>
  <c r="V118" i="22"/>
  <c r="F145" i="22"/>
  <c r="E149" i="22"/>
  <c r="E150" i="22"/>
  <c r="R150" i="22"/>
  <c r="Q150" i="22"/>
  <c r="S150" i="22" s="1"/>
  <c r="AD150" i="22"/>
  <c r="E161" i="22"/>
  <c r="AA161" i="22" s="1"/>
  <c r="Q161" i="22"/>
  <c r="S161" i="22" s="1"/>
  <c r="O161" i="22"/>
  <c r="Y161" i="22"/>
  <c r="V161" i="22"/>
  <c r="R161" i="22"/>
  <c r="E209" i="22"/>
  <c r="AA209" i="22" s="1"/>
  <c r="Y118" i="22"/>
  <c r="AD139" i="22"/>
  <c r="E139" i="22"/>
  <c r="H139" i="22" s="1"/>
  <c r="V140" i="22"/>
  <c r="Y148" i="22"/>
  <c r="AD148" i="22"/>
  <c r="F148" i="22"/>
  <c r="V148" i="22"/>
  <c r="E148" i="22"/>
  <c r="S148" i="22"/>
  <c r="F149" i="22"/>
  <c r="F150" i="22"/>
  <c r="F161" i="22"/>
  <c r="Q165" i="22"/>
  <c r="S165" i="22" s="1"/>
  <c r="O165" i="22"/>
  <c r="AD165" i="22"/>
  <c r="M165" i="22"/>
  <c r="AA165" i="22"/>
  <c r="J165" i="22"/>
  <c r="Z165" i="22"/>
  <c r="Y165" i="22"/>
  <c r="V165" i="22"/>
  <c r="T165" i="22"/>
  <c r="G165" i="22"/>
  <c r="AB165" i="22" s="1"/>
  <c r="F105" i="22"/>
  <c r="G105" i="22" s="1"/>
  <c r="E118" i="22"/>
  <c r="G123" i="22"/>
  <c r="S123" i="22"/>
  <c r="Y123" i="22"/>
  <c r="V125" i="22"/>
  <c r="AA128" i="22"/>
  <c r="Y140" i="22"/>
  <c r="O144" i="22"/>
  <c r="R186" i="22"/>
  <c r="O186" i="22"/>
  <c r="Q186" i="22"/>
  <c r="S186" i="22" s="1"/>
  <c r="M186" i="22"/>
  <c r="AD186" i="22"/>
  <c r="I192" i="22"/>
  <c r="Y205" i="22"/>
  <c r="V205" i="22"/>
  <c r="F205" i="22"/>
  <c r="E205" i="22"/>
  <c r="R205" i="22"/>
  <c r="Q205" i="22"/>
  <c r="S205" i="22" s="1"/>
  <c r="O205" i="22"/>
  <c r="M205" i="22"/>
  <c r="AD142" i="22"/>
  <c r="R164" i="22"/>
  <c r="V174" i="22"/>
  <c r="E186" i="22"/>
  <c r="AB208" i="22"/>
  <c r="P208" i="22"/>
  <c r="V159" i="22"/>
  <c r="S164" i="22"/>
  <c r="F186" i="22"/>
  <c r="V210" i="22"/>
  <c r="F210" i="22"/>
  <c r="R210" i="22"/>
  <c r="Q210" i="22"/>
  <c r="S210" i="22" s="1"/>
  <c r="O210" i="22"/>
  <c r="Y210" i="22"/>
  <c r="M210" i="22"/>
  <c r="AD210" i="22"/>
  <c r="E210" i="22"/>
  <c r="AA210" i="22" s="1"/>
  <c r="O190" i="22"/>
  <c r="R190" i="22"/>
  <c r="Q190" i="22"/>
  <c r="S190" i="22" s="1"/>
  <c r="M190" i="22"/>
  <c r="AD190" i="22"/>
  <c r="E190" i="22"/>
  <c r="Q142" i="22"/>
  <c r="S142" i="22" s="1"/>
  <c r="Y158" i="22"/>
  <c r="F158" i="22"/>
  <c r="V158" i="22"/>
  <c r="E158" i="22"/>
  <c r="O169" i="22"/>
  <c r="M169" i="22"/>
  <c r="J169" i="22"/>
  <c r="AA169" i="22"/>
  <c r="I169" i="22"/>
  <c r="H169" i="22"/>
  <c r="G182" i="22"/>
  <c r="F190" i="22"/>
  <c r="V164" i="22"/>
  <c r="H182" i="22"/>
  <c r="Q203" i="22"/>
  <c r="S203" i="22" s="1"/>
  <c r="O203" i="22"/>
  <c r="M203" i="22"/>
  <c r="V203" i="22"/>
  <c r="R203" i="22"/>
  <c r="E203" i="22"/>
  <c r="K208" i="22"/>
  <c r="E151" i="22"/>
  <c r="V151" i="22"/>
  <c r="Q154" i="22"/>
  <c r="S154" i="22" s="1"/>
  <c r="AD154" i="22"/>
  <c r="AA154" i="22" s="1"/>
  <c r="V154" i="22"/>
  <c r="Z156" i="22"/>
  <c r="AA159" i="22"/>
  <c r="Y159" i="22"/>
  <c r="Q173" i="22"/>
  <c r="S173" i="22" s="1"/>
  <c r="O173" i="22"/>
  <c r="AD173" i="22"/>
  <c r="AA173" i="22" s="1"/>
  <c r="Y173" i="22"/>
  <c r="I182" i="22"/>
  <c r="V190" i="22"/>
  <c r="AA156" i="22"/>
  <c r="R174" i="22"/>
  <c r="Q174" i="22"/>
  <c r="S174" i="22" s="1"/>
  <c r="AD174" i="22"/>
  <c r="M174" i="22"/>
  <c r="Q178" i="22"/>
  <c r="S178" i="22" s="1"/>
  <c r="O178" i="22"/>
  <c r="M178" i="22"/>
  <c r="AD178" i="22"/>
  <c r="R181" i="22"/>
  <c r="Q181" i="22"/>
  <c r="S181" i="22" s="1"/>
  <c r="M181" i="22"/>
  <c r="AD181" i="22"/>
  <c r="F181" i="22"/>
  <c r="Y181" i="22"/>
  <c r="E181" i="22"/>
  <c r="R184" i="22"/>
  <c r="Q184" i="22"/>
  <c r="S184" i="22" s="1"/>
  <c r="O184" i="22"/>
  <c r="M184" i="22"/>
  <c r="AD184" i="22"/>
  <c r="H128" i="22"/>
  <c r="Z128" i="22" s="1"/>
  <c r="H138" i="22"/>
  <c r="Z138" i="22" s="1"/>
  <c r="E142" i="22"/>
  <c r="F154" i="22"/>
  <c r="H154" i="22" s="1"/>
  <c r="F159" i="22"/>
  <c r="G159" i="22" s="1"/>
  <c r="Q160" i="22"/>
  <c r="S160" i="22" s="1"/>
  <c r="O160" i="22"/>
  <c r="M160" i="22"/>
  <c r="AD160" i="22"/>
  <c r="J160" i="22"/>
  <c r="G170" i="22"/>
  <c r="F173" i="22"/>
  <c r="J173" i="22" s="1"/>
  <c r="E174" i="22"/>
  <c r="E178" i="22"/>
  <c r="H179" i="22"/>
  <c r="Z179" i="22" s="1"/>
  <c r="O181" i="22"/>
  <c r="E184" i="22"/>
  <c r="Y190" i="22"/>
  <c r="Y203" i="22"/>
  <c r="AD206" i="22"/>
  <c r="R206" i="22"/>
  <c r="Q206" i="22"/>
  <c r="S206" i="22" s="1"/>
  <c r="O206" i="22"/>
  <c r="M206" i="22"/>
  <c r="F206" i="22"/>
  <c r="E206" i="22"/>
  <c r="AA206" i="22" s="1"/>
  <c r="Y206" i="22"/>
  <c r="AD164" i="22"/>
  <c r="Y164" i="22"/>
  <c r="Y171" i="22"/>
  <c r="V171" i="22"/>
  <c r="F171" i="22"/>
  <c r="E171" i="22"/>
  <c r="R171" i="22"/>
  <c r="Q171" i="22"/>
  <c r="S171" i="22" s="1"/>
  <c r="F174" i="22"/>
  <c r="F178" i="22"/>
  <c r="F184" i="22"/>
  <c r="M159" i="22"/>
  <c r="E164" i="22"/>
  <c r="G164" i="22" s="1"/>
  <c r="Q169" i="22"/>
  <c r="S169" i="22" s="1"/>
  <c r="G174" i="22"/>
  <c r="AB174" i="22" s="1"/>
  <c r="H188" i="22"/>
  <c r="J188" i="22"/>
  <c r="I188" i="22"/>
  <c r="M194" i="22"/>
  <c r="Y194" i="22"/>
  <c r="V194" i="22"/>
  <c r="R194" i="22"/>
  <c r="Q194" i="22"/>
  <c r="S194" i="22" s="1"/>
  <c r="O194" i="22"/>
  <c r="V206" i="22"/>
  <c r="AD216" i="22"/>
  <c r="AA216" i="22" s="1"/>
  <c r="Q216" i="22"/>
  <c r="S216" i="22" s="1"/>
  <c r="O216" i="22"/>
  <c r="M216" i="22"/>
  <c r="Y216" i="22"/>
  <c r="V216" i="22"/>
  <c r="R216" i="22"/>
  <c r="F216" i="22"/>
  <c r="J216" i="22" s="1"/>
  <c r="H192" i="22"/>
  <c r="AA271" i="22"/>
  <c r="Q187" i="22"/>
  <c r="S187" i="22" s="1"/>
  <c r="R195" i="22"/>
  <c r="Q195" i="22"/>
  <c r="S195" i="22" s="1"/>
  <c r="O195" i="22"/>
  <c r="E225" i="22"/>
  <c r="M225" i="22"/>
  <c r="R225" i="22"/>
  <c r="Q225" i="22"/>
  <c r="S225" i="22" s="1"/>
  <c r="O225" i="22"/>
  <c r="G230" i="22"/>
  <c r="AD170" i="22"/>
  <c r="R189" i="22"/>
  <c r="E195" i="22"/>
  <c r="AA195" i="22" s="1"/>
  <c r="V199" i="22"/>
  <c r="AA224" i="22"/>
  <c r="F225" i="22"/>
  <c r="Q228" i="22"/>
  <c r="S228" i="22" s="1"/>
  <c r="O228" i="22"/>
  <c r="V228" i="22"/>
  <c r="F228" i="22"/>
  <c r="R228" i="22"/>
  <c r="M228" i="22"/>
  <c r="E228" i="22"/>
  <c r="Y236" i="22"/>
  <c r="F236" i="22"/>
  <c r="V236" i="22"/>
  <c r="E236" i="22"/>
  <c r="O236" i="22"/>
  <c r="AD236" i="22"/>
  <c r="R236" i="22"/>
  <c r="Q236" i="22"/>
  <c r="S236" i="22" s="1"/>
  <c r="M236" i="22"/>
  <c r="E157" i="22"/>
  <c r="R162" i="22"/>
  <c r="E163" i="22"/>
  <c r="AD166" i="22"/>
  <c r="M170" i="22"/>
  <c r="E172" i="22"/>
  <c r="V172" i="22"/>
  <c r="O175" i="22"/>
  <c r="E177" i="22"/>
  <c r="V177" i="22"/>
  <c r="F195" i="22"/>
  <c r="O207" i="22"/>
  <c r="M207" i="22"/>
  <c r="AD207" i="22"/>
  <c r="AA207" i="22" s="1"/>
  <c r="F157" i="22"/>
  <c r="V157" i="22"/>
  <c r="S162" i="22"/>
  <c r="F163" i="22"/>
  <c r="V163" i="22"/>
  <c r="F172" i="22"/>
  <c r="Y172" i="22"/>
  <c r="F177" i="22"/>
  <c r="I177" i="22" s="1"/>
  <c r="Y177" i="22"/>
  <c r="AD198" i="22"/>
  <c r="Y199" i="22"/>
  <c r="M212" i="22"/>
  <c r="E212" i="22"/>
  <c r="R212" i="22"/>
  <c r="O212" i="22"/>
  <c r="O170" i="22"/>
  <c r="Q175" i="22"/>
  <c r="S175" i="22" s="1"/>
  <c r="E176" i="22"/>
  <c r="V176" i="22"/>
  <c r="V180" i="22"/>
  <c r="M185" i="22"/>
  <c r="Y193" i="22"/>
  <c r="AD195" i="22"/>
  <c r="E198" i="22"/>
  <c r="F212" i="22"/>
  <c r="V225" i="22"/>
  <c r="AA185" i="22"/>
  <c r="V187" i="22"/>
  <c r="F187" i="22"/>
  <c r="E187" i="22"/>
  <c r="R187" i="22"/>
  <c r="Y187" i="22"/>
  <c r="O199" i="22"/>
  <c r="M199" i="22"/>
  <c r="AD199" i="22"/>
  <c r="Y157" i="22"/>
  <c r="F162" i="22"/>
  <c r="V162" i="22"/>
  <c r="R166" i="22"/>
  <c r="H168" i="22"/>
  <c r="Q170" i="22"/>
  <c r="S170" i="22" s="1"/>
  <c r="R179" i="22"/>
  <c r="F180" i="22"/>
  <c r="I180" i="22" s="1"/>
  <c r="Y180" i="22"/>
  <c r="F185" i="22"/>
  <c r="I185" i="22" s="1"/>
  <c r="Y189" i="22"/>
  <c r="F193" i="22"/>
  <c r="J193" i="22" s="1"/>
  <c r="AD193" i="22"/>
  <c r="AA193" i="22" s="1"/>
  <c r="E199" i="22"/>
  <c r="G204" i="22"/>
  <c r="H207" i="22"/>
  <c r="Z207" i="22" s="1"/>
  <c r="R223" i="22"/>
  <c r="O223" i="22"/>
  <c r="M223" i="22"/>
  <c r="AD223" i="22"/>
  <c r="E223" i="22"/>
  <c r="I223" i="22" s="1"/>
  <c r="Q223" i="22"/>
  <c r="S223" i="22" s="1"/>
  <c r="Y225" i="22"/>
  <c r="AB252" i="22"/>
  <c r="F199" i="22"/>
  <c r="H204" i="22"/>
  <c r="Z204" i="22" s="1"/>
  <c r="T208" i="22"/>
  <c r="I214" i="22"/>
  <c r="J214" i="22"/>
  <c r="I156" i="22"/>
  <c r="T156" i="22" s="1"/>
  <c r="E175" i="22"/>
  <c r="AA180" i="22"/>
  <c r="F189" i="22"/>
  <c r="J189" i="22" s="1"/>
  <c r="AD189" i="22"/>
  <c r="V196" i="22"/>
  <c r="F196" i="22"/>
  <c r="E196" i="22"/>
  <c r="AA196" i="22" s="1"/>
  <c r="R196" i="22"/>
  <c r="I204" i="22"/>
  <c r="J207" i="22"/>
  <c r="H222" i="22"/>
  <c r="Z222" i="22" s="1"/>
  <c r="AD225" i="22"/>
  <c r="F175" i="22"/>
  <c r="M193" i="22"/>
  <c r="M195" i="22"/>
  <c r="O198" i="22"/>
  <c r="Q212" i="22"/>
  <c r="S212" i="22" s="1"/>
  <c r="G214" i="22"/>
  <c r="Y219" i="22"/>
  <c r="AD219" i="22"/>
  <c r="M219" i="22"/>
  <c r="F219" i="22"/>
  <c r="E219" i="22"/>
  <c r="V219" i="22"/>
  <c r="J231" i="22"/>
  <c r="I231" i="22"/>
  <c r="Y220" i="22"/>
  <c r="I222" i="22"/>
  <c r="AA222" i="22"/>
  <c r="O226" i="22"/>
  <c r="J230" i="22"/>
  <c r="H230" i="22"/>
  <c r="R230" i="22"/>
  <c r="O230" i="22"/>
  <c r="R235" i="22"/>
  <c r="Q235" i="22"/>
  <c r="S235" i="22" s="1"/>
  <c r="AB235" i="22"/>
  <c r="Y235" i="22"/>
  <c r="H235" i="22"/>
  <c r="Z235" i="22" s="1"/>
  <c r="AD235" i="22"/>
  <c r="AA235" i="22" s="1"/>
  <c r="V241" i="22"/>
  <c r="I230" i="22"/>
  <c r="I235" i="22"/>
  <c r="R241" i="22"/>
  <c r="Q241" i="22"/>
  <c r="S241" i="22" s="1"/>
  <c r="AD241" i="22"/>
  <c r="AA241" i="22"/>
  <c r="H241" i="22"/>
  <c r="AB263" i="22"/>
  <c r="L263" i="22"/>
  <c r="AA264" i="22"/>
  <c r="J274" i="22"/>
  <c r="Q238" i="22"/>
  <c r="S238" i="22" s="1"/>
  <c r="O238" i="22"/>
  <c r="Y238" i="22"/>
  <c r="F238" i="22"/>
  <c r="Y239" i="22"/>
  <c r="F239" i="22"/>
  <c r="V239" i="22"/>
  <c r="E239" i="22"/>
  <c r="R239" i="22"/>
  <c r="O239" i="22"/>
  <c r="M240" i="22"/>
  <c r="AD240" i="22"/>
  <c r="Y240" i="22"/>
  <c r="F240" i="22"/>
  <c r="V240" i="22"/>
  <c r="E240" i="22"/>
  <c r="R240" i="22"/>
  <c r="H274" i="22"/>
  <c r="G274" i="22"/>
  <c r="V226" i="22"/>
  <c r="F226" i="22"/>
  <c r="M226" i="22"/>
  <c r="E238" i="22"/>
  <c r="AA238" i="22" s="1"/>
  <c r="Q204" i="22"/>
  <c r="S204" i="22" s="1"/>
  <c r="Q208" i="22"/>
  <c r="S208" i="22" s="1"/>
  <c r="E226" i="22"/>
  <c r="H226" i="22" s="1"/>
  <c r="Z226" i="22" s="1"/>
  <c r="AA232" i="22"/>
  <c r="I232" i="22"/>
  <c r="V234" i="22"/>
  <c r="G241" i="22"/>
  <c r="Q249" i="22"/>
  <c r="S249" i="22" s="1"/>
  <c r="M249" i="22"/>
  <c r="O249" i="22"/>
  <c r="AD249" i="22"/>
  <c r="AA249" i="22" s="1"/>
  <c r="F249" i="22"/>
  <c r="H249" i="22" s="1"/>
  <c r="V249" i="22"/>
  <c r="V287" i="22"/>
  <c r="F287" i="22"/>
  <c r="E287" i="22"/>
  <c r="R287" i="22"/>
  <c r="Q287" i="22"/>
  <c r="S287" i="22" s="1"/>
  <c r="O287" i="22"/>
  <c r="AD287" i="22"/>
  <c r="M287" i="22"/>
  <c r="Y287" i="22"/>
  <c r="R208" i="22"/>
  <c r="R211" i="22"/>
  <c r="V211" i="22"/>
  <c r="E217" i="22"/>
  <c r="O220" i="22"/>
  <c r="AD226" i="22"/>
  <c r="V227" i="22"/>
  <c r="Q230" i="22"/>
  <c r="S230" i="22" s="1"/>
  <c r="I241" i="22"/>
  <c r="I243" i="22"/>
  <c r="K263" i="22"/>
  <c r="R200" i="22"/>
  <c r="E211" i="22"/>
  <c r="Y211" i="22"/>
  <c r="H215" i="22"/>
  <c r="M215" i="22"/>
  <c r="Y215" i="22"/>
  <c r="F217" i="22"/>
  <c r="Q220" i="22"/>
  <c r="S220" i="22" s="1"/>
  <c r="Y227" i="22"/>
  <c r="G229" i="22"/>
  <c r="G232" i="22"/>
  <c r="K232" i="22" s="1"/>
  <c r="V235" i="22"/>
  <c r="J241" i="22"/>
  <c r="G183" i="22"/>
  <c r="Y183" i="22"/>
  <c r="G188" i="22"/>
  <c r="S191" i="22"/>
  <c r="G192" i="22"/>
  <c r="K192" i="22" s="1"/>
  <c r="S200" i="22"/>
  <c r="G201" i="22"/>
  <c r="F211" i="22"/>
  <c r="Q213" i="22"/>
  <c r="S213" i="22" s="1"/>
  <c r="V213" i="22"/>
  <c r="F213" i="22"/>
  <c r="Y213" i="22"/>
  <c r="R220" i="22"/>
  <c r="V230" i="22"/>
  <c r="H232" i="22"/>
  <c r="Y233" i="22"/>
  <c r="R233" i="22"/>
  <c r="Q233" i="22"/>
  <c r="S233" i="22" s="1"/>
  <c r="M238" i="22"/>
  <c r="M239" i="22"/>
  <c r="O240" i="22"/>
  <c r="M241" i="22"/>
  <c r="I246" i="22"/>
  <c r="H246" i="22"/>
  <c r="R253" i="22"/>
  <c r="O253" i="22"/>
  <c r="V253" i="22"/>
  <c r="Q253" i="22"/>
  <c r="S253" i="22" s="1"/>
  <c r="M253" i="22"/>
  <c r="F253" i="22"/>
  <c r="H183" i="22"/>
  <c r="AD208" i="22"/>
  <c r="AA208" i="22" s="1"/>
  <c r="L208" i="22"/>
  <c r="V208" i="22"/>
  <c r="M227" i="22"/>
  <c r="E227" i="22"/>
  <c r="AA227" i="22" s="1"/>
  <c r="R227" i="22"/>
  <c r="E233" i="22"/>
  <c r="J233" i="22" s="1"/>
  <c r="O241" i="22"/>
  <c r="K244" i="22"/>
  <c r="R249" i="22"/>
  <c r="E253" i="22"/>
  <c r="M234" i="22"/>
  <c r="AD234" i="22"/>
  <c r="Y234" i="22"/>
  <c r="F234" i="22"/>
  <c r="S234" i="22"/>
  <c r="R238" i="22"/>
  <c r="Q239" i="22"/>
  <c r="S239" i="22" s="1"/>
  <c r="Q240" i="22"/>
  <c r="S240" i="22" s="1"/>
  <c r="L244" i="22"/>
  <c r="N244" i="22" s="1"/>
  <c r="G246" i="22"/>
  <c r="AB290" i="22"/>
  <c r="Y251" i="22"/>
  <c r="AB272" i="22"/>
  <c r="V243" i="22"/>
  <c r="E251" i="22"/>
  <c r="I251" i="22" s="1"/>
  <c r="Q255" i="22"/>
  <c r="S255" i="22" s="1"/>
  <c r="Q257" i="22"/>
  <c r="S257" i="22" s="1"/>
  <c r="AD257" i="22"/>
  <c r="I258" i="22"/>
  <c r="T258" i="22" s="1"/>
  <c r="Y258" i="22"/>
  <c r="G258" i="22"/>
  <c r="Q258" i="22"/>
  <c r="S258" i="22" s="1"/>
  <c r="M258" i="22"/>
  <c r="AD258" i="22"/>
  <c r="AA258" i="22" s="1"/>
  <c r="S261" i="22"/>
  <c r="AA286" i="22"/>
  <c r="J286" i="22"/>
  <c r="I286" i="22"/>
  <c r="H286" i="22"/>
  <c r="Z286" i="22" s="1"/>
  <c r="AD214" i="22"/>
  <c r="AA214" i="22" s="1"/>
  <c r="AD218" i="22"/>
  <c r="AA218" i="22" s="1"/>
  <c r="Y221" i="22"/>
  <c r="G224" i="22"/>
  <c r="G231" i="22"/>
  <c r="Y231" i="22"/>
  <c r="Q242" i="22"/>
  <c r="S242" i="22" s="1"/>
  <c r="G243" i="22"/>
  <c r="AA243" i="22"/>
  <c r="Y245" i="22"/>
  <c r="V245" i="22"/>
  <c r="V247" i="22"/>
  <c r="E247" i="22"/>
  <c r="AA247" i="22" s="1"/>
  <c r="R247" i="22"/>
  <c r="AD259" i="22"/>
  <c r="F259" i="22"/>
  <c r="V259" i="22"/>
  <c r="E259" i="22"/>
  <c r="S259" i="22"/>
  <c r="R259" i="22"/>
  <c r="G286" i="22"/>
  <c r="H231" i="22"/>
  <c r="Z231" i="22"/>
  <c r="M232" i="22"/>
  <c r="R242" i="22"/>
  <c r="H243" i="22"/>
  <c r="E245" i="22"/>
  <c r="H245" i="22" s="1"/>
  <c r="F247" i="22"/>
  <c r="Q254" i="22"/>
  <c r="S254" i="22" s="1"/>
  <c r="V254" i="22"/>
  <c r="E254" i="22"/>
  <c r="AD254" i="22"/>
  <c r="V255" i="22"/>
  <c r="J258" i="22"/>
  <c r="AA265" i="22"/>
  <c r="I265" i="22"/>
  <c r="Y265" i="22"/>
  <c r="G265" i="22"/>
  <c r="R265" i="22"/>
  <c r="Q265" i="22"/>
  <c r="S265" i="22" s="1"/>
  <c r="O265" i="22"/>
  <c r="M251" i="22"/>
  <c r="O252" i="22"/>
  <c r="Y252" i="22"/>
  <c r="Y255" i="22"/>
  <c r="M257" i="22"/>
  <c r="L266" i="22"/>
  <c r="N266" i="22" s="1"/>
  <c r="E268" i="22"/>
  <c r="Q268" i="22"/>
  <c r="S268" i="22" s="1"/>
  <c r="O268" i="22"/>
  <c r="AD268" i="22"/>
  <c r="M268" i="22"/>
  <c r="R270" i="22"/>
  <c r="Q270" i="22"/>
  <c r="S270" i="22" s="1"/>
  <c r="J270" i="22"/>
  <c r="Y270" i="22"/>
  <c r="F270" i="22"/>
  <c r="L277" i="22"/>
  <c r="AB277" i="22"/>
  <c r="R260" i="22"/>
  <c r="AA260" i="22"/>
  <c r="Y260" i="22"/>
  <c r="F260" i="22"/>
  <c r="AA269" i="22"/>
  <c r="AC269" i="22" s="1"/>
  <c r="H269" i="22"/>
  <c r="Z269" i="22" s="1"/>
  <c r="J293" i="22"/>
  <c r="AA293" i="22"/>
  <c r="I293" i="22"/>
  <c r="G293" i="22"/>
  <c r="O251" i="22"/>
  <c r="O255" i="22"/>
  <c r="AD255" i="22"/>
  <c r="AA255" i="22" s="1"/>
  <c r="Y261" i="22"/>
  <c r="V261" i="22"/>
  <c r="E261" i="22"/>
  <c r="I261" i="22" s="1"/>
  <c r="O261" i="22"/>
  <c r="AD261" i="22"/>
  <c r="V267" i="22"/>
  <c r="E267" i="22"/>
  <c r="Q267" i="22"/>
  <c r="S267" i="22" s="1"/>
  <c r="AD267" i="22"/>
  <c r="M267" i="22"/>
  <c r="AB280" i="22"/>
  <c r="M231" i="22"/>
  <c r="R232" i="22"/>
  <c r="I237" i="22"/>
  <c r="T237" i="22" s="1"/>
  <c r="AB237" i="22"/>
  <c r="AC237" i="22" s="1"/>
  <c r="G242" i="22"/>
  <c r="AB242" i="22" s="1"/>
  <c r="M243" i="22"/>
  <c r="F250" i="22"/>
  <c r="V250" i="22"/>
  <c r="E250" i="22"/>
  <c r="AA250" i="22" s="1"/>
  <c r="R250" i="22"/>
  <c r="Q251" i="22"/>
  <c r="S251" i="22" s="1"/>
  <c r="H252" i="22"/>
  <c r="AD252" i="22"/>
  <c r="F255" i="22"/>
  <c r="J255" i="22" s="1"/>
  <c r="R257" i="22"/>
  <c r="M259" i="22"/>
  <c r="G267" i="22"/>
  <c r="AB267" i="22" s="1"/>
  <c r="I269" i="22"/>
  <c r="M270" i="22"/>
  <c r="J237" i="22"/>
  <c r="K237" i="22" s="1"/>
  <c r="H242" i="22"/>
  <c r="AA242" i="22"/>
  <c r="O243" i="22"/>
  <c r="M245" i="22"/>
  <c r="V248" i="22"/>
  <c r="R251" i="22"/>
  <c r="I252" i="22"/>
  <c r="O259" i="22"/>
  <c r="O270" i="22"/>
  <c r="I242" i="22"/>
  <c r="O246" i="22"/>
  <c r="Y246" i="22"/>
  <c r="M247" i="22"/>
  <c r="E248" i="22"/>
  <c r="H248" i="22" s="1"/>
  <c r="Y248" i="22"/>
  <c r="J252" i="22"/>
  <c r="K252" i="22" s="1"/>
  <c r="V257" i="22"/>
  <c r="M260" i="22"/>
  <c r="J261" i="22"/>
  <c r="R268" i="22"/>
  <c r="J290" i="22"/>
  <c r="K290" i="22" s="1"/>
  <c r="AA290" i="22"/>
  <c r="I290" i="22"/>
  <c r="H290" i="22"/>
  <c r="Z290" i="22" s="1"/>
  <c r="I283" i="22"/>
  <c r="G283" i="22"/>
  <c r="BN67" i="26"/>
  <c r="BM67" i="26"/>
  <c r="R300" i="22"/>
  <c r="Q300" i="22"/>
  <c r="S300" i="22" s="1"/>
  <c r="F300" i="22"/>
  <c r="H300" i="22" s="1"/>
  <c r="Z300" i="22" s="1"/>
  <c r="BF9" i="26"/>
  <c r="BE9" i="26"/>
  <c r="BF17" i="26"/>
  <c r="BE17" i="26"/>
  <c r="BF25" i="26"/>
  <c r="BE25" i="26"/>
  <c r="BE33" i="26"/>
  <c r="BF33" i="26"/>
  <c r="BF41" i="26"/>
  <c r="BE41" i="26"/>
  <c r="BF45" i="26"/>
  <c r="BE45" i="26"/>
  <c r="BF53" i="26"/>
  <c r="BF61" i="26"/>
  <c r="BE61" i="26"/>
  <c r="BF69" i="26"/>
  <c r="BE69" i="26"/>
  <c r="Y301" i="22"/>
  <c r="F301" i="22"/>
  <c r="V301" i="22"/>
  <c r="E301" i="22"/>
  <c r="R301" i="22"/>
  <c r="O301" i="22"/>
  <c r="AD301" i="22"/>
  <c r="BN10" i="26"/>
  <c r="BM10" i="26"/>
  <c r="BN18" i="26"/>
  <c r="BM18" i="26"/>
  <c r="BN26" i="26"/>
  <c r="BM26" i="26"/>
  <c r="BN42" i="26"/>
  <c r="BM42" i="26"/>
  <c r="BN46" i="26"/>
  <c r="BM46" i="26"/>
  <c r="BN54" i="26"/>
  <c r="BM54" i="26"/>
  <c r="Q256" i="22"/>
  <c r="S256" i="22" s="1"/>
  <c r="I274" i="22"/>
  <c r="AA274" i="22"/>
  <c r="I277" i="22"/>
  <c r="AA277" i="22"/>
  <c r="O281" i="22"/>
  <c r="M284" i="22"/>
  <c r="R285" i="22"/>
  <c r="O288" i="22"/>
  <c r="R289" i="22"/>
  <c r="M291" i="22"/>
  <c r="S292" i="22"/>
  <c r="H293" i="22"/>
  <c r="Z293" i="22" s="1"/>
  <c r="M294" i="22"/>
  <c r="AD294" i="22"/>
  <c r="AA294" i="22" s="1"/>
  <c r="R298" i="22"/>
  <c r="BF28" i="26"/>
  <c r="BE28" i="26"/>
  <c r="BF36" i="26"/>
  <c r="BE36" i="26"/>
  <c r="BF48" i="26"/>
  <c r="BE48" i="26"/>
  <c r="BF56" i="26"/>
  <c r="BE56" i="26"/>
  <c r="BF64" i="26"/>
  <c r="BE64" i="26"/>
  <c r="Q269" i="22"/>
  <c r="S269" i="22" s="1"/>
  <c r="M271" i="22"/>
  <c r="AD271" i="22"/>
  <c r="Q272" i="22"/>
  <c r="S272" i="22" s="1"/>
  <c r="O275" i="22"/>
  <c r="E276" i="22"/>
  <c r="V276" i="22"/>
  <c r="O278" i="22"/>
  <c r="E279" i="22"/>
  <c r="V279" i="22"/>
  <c r="E282" i="22"/>
  <c r="V282" i="22"/>
  <c r="J283" i="22"/>
  <c r="S289" i="22"/>
  <c r="R297" i="22"/>
  <c r="AD297" i="22"/>
  <c r="AA297" i="22" s="1"/>
  <c r="BF12" i="26"/>
  <c r="BE12" i="26"/>
  <c r="BN13" i="26"/>
  <c r="BM13" i="26"/>
  <c r="BN21" i="26"/>
  <c r="BM21" i="26"/>
  <c r="BM29" i="26"/>
  <c r="BN29" i="26"/>
  <c r="BN49" i="26"/>
  <c r="BM49" i="26"/>
  <c r="BM57" i="26"/>
  <c r="BN57" i="26"/>
  <c r="R269" i="22"/>
  <c r="R272" i="22"/>
  <c r="Q281" i="22"/>
  <c r="S281" i="22" s="1"/>
  <c r="Q288" i="22"/>
  <c r="S288" i="22" s="1"/>
  <c r="BF6" i="26"/>
  <c r="BE6" i="26"/>
  <c r="BF15" i="26"/>
  <c r="BE15" i="26"/>
  <c r="BF31" i="26"/>
  <c r="BE31" i="26"/>
  <c r="BN37" i="26"/>
  <c r="BM37" i="26"/>
  <c r="BE51" i="26"/>
  <c r="BF58" i="26"/>
  <c r="BE58" i="26"/>
  <c r="BF59" i="26"/>
  <c r="BE59" i="26"/>
  <c r="BN62" i="26"/>
  <c r="BM62" i="26"/>
  <c r="BF67" i="26"/>
  <c r="BE67" i="26"/>
  <c r="S262" i="22"/>
  <c r="O271" i="22"/>
  <c r="Q275" i="22"/>
  <c r="S275" i="22" s="1"/>
  <c r="Q278" i="22"/>
  <c r="S278" i="22" s="1"/>
  <c r="R281" i="22"/>
  <c r="E285" i="22"/>
  <c r="I285" i="22" s="1"/>
  <c r="V285" i="22"/>
  <c r="R288" i="22"/>
  <c r="E289" i="22"/>
  <c r="I289" i="22" s="1"/>
  <c r="V289" i="22"/>
  <c r="I295" i="22"/>
  <c r="S295" i="22"/>
  <c r="R295" i="22"/>
  <c r="V298" i="22"/>
  <c r="M301" i="22"/>
  <c r="BN8" i="26"/>
  <c r="BM8" i="26"/>
  <c r="BN16" i="26"/>
  <c r="BM16" i="26"/>
  <c r="BN32" i="26"/>
  <c r="BM32" i="26"/>
  <c r="BN44" i="26"/>
  <c r="BM44" i="26"/>
  <c r="BM52" i="26"/>
  <c r="BN52" i="26"/>
  <c r="BN60" i="26"/>
  <c r="BM60" i="26"/>
  <c r="E256" i="22"/>
  <c r="V256" i="22"/>
  <c r="R275" i="22"/>
  <c r="R278" i="22"/>
  <c r="M300" i="22"/>
  <c r="BF10" i="26"/>
  <c r="BE10" i="26"/>
  <c r="BF18" i="26"/>
  <c r="BE18" i="26"/>
  <c r="BF42" i="26"/>
  <c r="BE42" i="26"/>
  <c r="BF46" i="26"/>
  <c r="BE46" i="26"/>
  <c r="BF54" i="26"/>
  <c r="BE54" i="26"/>
  <c r="BF62" i="26"/>
  <c r="BE62" i="26"/>
  <c r="BN65" i="26"/>
  <c r="BM65" i="26"/>
  <c r="AA295" i="22"/>
  <c r="H297" i="22"/>
  <c r="Z297" i="22" s="1"/>
  <c r="Q301" i="22"/>
  <c r="S301" i="22" s="1"/>
  <c r="BN11" i="26"/>
  <c r="BM11" i="26"/>
  <c r="BN19" i="26"/>
  <c r="BM19" i="26"/>
  <c r="BF26" i="26"/>
  <c r="BE26" i="26"/>
  <c r="BF34" i="26"/>
  <c r="BE34" i="26"/>
  <c r="BN43" i="26"/>
  <c r="BM43" i="26"/>
  <c r="BN47" i="26"/>
  <c r="BM47" i="26"/>
  <c r="BN55" i="26"/>
  <c r="BM55" i="26"/>
  <c r="BN63" i="26"/>
  <c r="BM63" i="26"/>
  <c r="E281" i="22"/>
  <c r="Y298" i="22"/>
  <c r="Q298" i="22"/>
  <c r="S298" i="22" s="1"/>
  <c r="O300" i="22"/>
  <c r="BF13" i="26"/>
  <c r="BF21" i="26"/>
  <c r="BE21" i="26"/>
  <c r="BF23" i="26"/>
  <c r="BE23" i="26"/>
  <c r="BN24" i="26"/>
  <c r="BM24" i="26"/>
  <c r="BN27" i="26"/>
  <c r="BM27" i="26"/>
  <c r="BF29" i="26"/>
  <c r="BE29" i="26"/>
  <c r="BF37" i="26"/>
  <c r="BE37" i="26"/>
  <c r="BF57" i="26"/>
  <c r="BE57" i="26"/>
  <c r="E275" i="22"/>
  <c r="V275" i="22"/>
  <c r="E278" i="22"/>
  <c r="V278" i="22"/>
  <c r="F281" i="22"/>
  <c r="V281" i="22"/>
  <c r="F288" i="22"/>
  <c r="V288" i="22"/>
  <c r="H295" i="22"/>
  <c r="J297" i="22"/>
  <c r="E298" i="22"/>
  <c r="AA298" i="22" s="1"/>
  <c r="BN14" i="26"/>
  <c r="BM14" i="26"/>
  <c r="BN22" i="26"/>
  <c r="BM22" i="26"/>
  <c r="BN30" i="26"/>
  <c r="BM30" i="26"/>
  <c r="BN38" i="26"/>
  <c r="BM38" i="26"/>
  <c r="BN50" i="26"/>
  <c r="BM50" i="26"/>
  <c r="BN58" i="26"/>
  <c r="BM58" i="26"/>
  <c r="BF65" i="26"/>
  <c r="BE65" i="26"/>
  <c r="F275" i="22"/>
  <c r="Y275" i="22"/>
  <c r="F278" i="22"/>
  <c r="Y278" i="22"/>
  <c r="Y281" i="22"/>
  <c r="V300" i="22"/>
  <c r="BF7" i="26"/>
  <c r="BE7" i="26"/>
  <c r="BF8" i="26"/>
  <c r="BE8" i="26"/>
  <c r="BF16" i="26"/>
  <c r="BE16" i="26"/>
  <c r="BN35" i="26"/>
  <c r="BM35" i="26"/>
  <c r="BF39" i="26"/>
  <c r="BE39" i="26"/>
  <c r="BF40" i="26"/>
  <c r="BE40" i="26"/>
  <c r="BF44" i="26"/>
  <c r="BE44" i="26"/>
  <c r="BF52" i="26"/>
  <c r="BE52" i="26"/>
  <c r="BF60" i="26"/>
  <c r="BE60" i="26"/>
  <c r="BF68" i="26"/>
  <c r="BE68" i="26"/>
  <c r="BM9" i="26"/>
  <c r="BN17" i="26"/>
  <c r="BM17" i="26"/>
  <c r="BN25" i="26"/>
  <c r="BM25" i="26"/>
  <c r="BN33" i="26"/>
  <c r="BM33" i="26"/>
  <c r="BN41" i="26"/>
  <c r="BM41" i="26"/>
  <c r="BN45" i="26"/>
  <c r="BM45" i="26"/>
  <c r="BN53" i="26"/>
  <c r="BM53" i="26"/>
  <c r="J262" i="22"/>
  <c r="J269" i="22"/>
  <c r="F271" i="22"/>
  <c r="G271" i="22" s="1"/>
  <c r="V271" i="22"/>
  <c r="J272" i="22"/>
  <c r="L272" i="22" s="1"/>
  <c r="S283" i="22"/>
  <c r="G284" i="22"/>
  <c r="Y284" i="22"/>
  <c r="R286" i="22"/>
  <c r="Y288" i="22"/>
  <c r="R290" i="22"/>
  <c r="M292" i="22"/>
  <c r="R293" i="22"/>
  <c r="G294" i="22"/>
  <c r="O297" i="22"/>
  <c r="BF11" i="26"/>
  <c r="BE11" i="26"/>
  <c r="BF19" i="26"/>
  <c r="BE19" i="26"/>
  <c r="BF47" i="26"/>
  <c r="BE47" i="26"/>
  <c r="BF55" i="26"/>
  <c r="BE55" i="26"/>
  <c r="BF63" i="26"/>
  <c r="BE63" i="26"/>
  <c r="AA272" i="22"/>
  <c r="O276" i="22"/>
  <c r="O279" i="22"/>
  <c r="O282" i="22"/>
  <c r="H284" i="22"/>
  <c r="Z284" i="22" s="1"/>
  <c r="S286" i="22"/>
  <c r="S290" i="22"/>
  <c r="AA291" i="22"/>
  <c r="S293" i="22"/>
  <c r="H294" i="22"/>
  <c r="Z294" i="22" s="1"/>
  <c r="Y294" i="22"/>
  <c r="M295" i="22"/>
  <c r="M296" i="22"/>
  <c r="Y296" i="22"/>
  <c r="V296" i="22"/>
  <c r="F296" i="22"/>
  <c r="AA296" i="22"/>
  <c r="AD299" i="22"/>
  <c r="M299" i="22"/>
  <c r="F299" i="22"/>
  <c r="V299" i="22"/>
  <c r="E299" i="22"/>
  <c r="R299" i="22"/>
  <c r="BN12" i="26"/>
  <c r="BM12" i="26"/>
  <c r="BN20" i="26"/>
  <c r="BM20" i="26"/>
  <c r="BN28" i="26"/>
  <c r="BM28" i="26"/>
  <c r="BN56" i="26"/>
  <c r="BM56" i="26"/>
  <c r="BN64" i="26"/>
  <c r="BM64" i="26"/>
  <c r="I284" i="22"/>
  <c r="I294" i="22"/>
  <c r="Q297" i="22"/>
  <c r="S297" i="22" s="1"/>
  <c r="AD300" i="22"/>
  <c r="AA300" i="22" s="1"/>
  <c r="BF14" i="26"/>
  <c r="BE14" i="26"/>
  <c r="BF38" i="26"/>
  <c r="BE38" i="26"/>
  <c r="BF50" i="26"/>
  <c r="BE50" i="26"/>
  <c r="BE66" i="26"/>
  <c r="BF66" i="26"/>
  <c r="BN71" i="26"/>
  <c r="BM71" i="26"/>
  <c r="BN79" i="26"/>
  <c r="BM79" i="26"/>
  <c r="BN87" i="26"/>
  <c r="BM87" i="26"/>
  <c r="BN95" i="26"/>
  <c r="BM95" i="26"/>
  <c r="BN103" i="26"/>
  <c r="BM103" i="26"/>
  <c r="BM111" i="26"/>
  <c r="BN119" i="26"/>
  <c r="BN135" i="26"/>
  <c r="BM135" i="26"/>
  <c r="BM143" i="26"/>
  <c r="BN143" i="26"/>
  <c r="I304" i="22"/>
  <c r="Y304" i="22"/>
  <c r="BF73" i="26"/>
  <c r="BE73" i="26"/>
  <c r="BF81" i="26"/>
  <c r="BE81" i="26"/>
  <c r="BF89" i="26"/>
  <c r="BE89" i="26"/>
  <c r="BF97" i="26"/>
  <c r="BE97" i="26"/>
  <c r="BF105" i="26"/>
  <c r="BF129" i="26"/>
  <c r="BE129" i="26"/>
  <c r="J304" i="22"/>
  <c r="M305" i="22"/>
  <c r="BN74" i="26"/>
  <c r="BM74" i="26"/>
  <c r="BN82" i="26"/>
  <c r="BM82" i="26"/>
  <c r="BN90" i="26"/>
  <c r="BM90" i="26"/>
  <c r="BM106" i="26"/>
  <c r="BN114" i="26"/>
  <c r="BN122" i="26"/>
  <c r="BM122" i="26"/>
  <c r="BN138" i="26"/>
  <c r="BM138" i="26"/>
  <c r="BF76" i="26"/>
  <c r="BE76" i="26"/>
  <c r="BF84" i="26"/>
  <c r="BE84" i="26"/>
  <c r="BE92" i="26"/>
  <c r="BF100" i="26"/>
  <c r="BE100" i="26"/>
  <c r="BF108" i="26"/>
  <c r="BE108" i="26"/>
  <c r="BE116" i="26"/>
  <c r="BF116" i="26"/>
  <c r="BF124" i="26"/>
  <c r="BE124" i="26"/>
  <c r="BN127" i="26"/>
  <c r="BM127" i="26"/>
  <c r="BN130" i="26"/>
  <c r="BM130" i="26"/>
  <c r="BF132" i="26"/>
  <c r="BE132" i="26"/>
  <c r="F303" i="22"/>
  <c r="H303" i="22" s="1"/>
  <c r="Y303" i="22"/>
  <c r="O305" i="22"/>
  <c r="BN77" i="26"/>
  <c r="BM77" i="26"/>
  <c r="BN85" i="26"/>
  <c r="BM85" i="26"/>
  <c r="BN93" i="26"/>
  <c r="BM93" i="26"/>
  <c r="BN101" i="26"/>
  <c r="BM101" i="26"/>
  <c r="BN109" i="26"/>
  <c r="BM109" i="26"/>
  <c r="BN117" i="26"/>
  <c r="BM117" i="26"/>
  <c r="BN133" i="26"/>
  <c r="BM133" i="26"/>
  <c r="M304" i="22"/>
  <c r="BF71" i="26"/>
  <c r="BE71" i="26"/>
  <c r="BF79" i="26"/>
  <c r="BE79" i="26"/>
  <c r="BN98" i="26"/>
  <c r="BM98" i="26"/>
  <c r="BE103" i="26"/>
  <c r="BF103" i="26"/>
  <c r="BF111" i="26"/>
  <c r="BE111" i="26"/>
  <c r="BF119" i="26"/>
  <c r="BE119" i="26"/>
  <c r="BF127" i="26"/>
  <c r="BE127" i="26"/>
  <c r="BF135" i="26"/>
  <c r="BE135" i="26"/>
  <c r="BN141" i="26"/>
  <c r="BM141" i="26"/>
  <c r="BE142" i="26"/>
  <c r="BF143" i="26"/>
  <c r="BE143" i="26"/>
  <c r="AD304" i="22"/>
  <c r="AA304" i="22" s="1"/>
  <c r="Q305" i="22"/>
  <c r="S305" i="22" s="1"/>
  <c r="BN72" i="26"/>
  <c r="BM72" i="26"/>
  <c r="BN80" i="26"/>
  <c r="BM80" i="26"/>
  <c r="BN88" i="26"/>
  <c r="BM88" i="26"/>
  <c r="BN104" i="26"/>
  <c r="BM104" i="26"/>
  <c r="BN112" i="26"/>
  <c r="BM112" i="26"/>
  <c r="BN120" i="26"/>
  <c r="BM120" i="26"/>
  <c r="BF106" i="26"/>
  <c r="BE106" i="26"/>
  <c r="BF114" i="26"/>
  <c r="BE114" i="26"/>
  <c r="BF122" i="26"/>
  <c r="BE122" i="26"/>
  <c r="BF130" i="26"/>
  <c r="BE130" i="26"/>
  <c r="BF138" i="26"/>
  <c r="BE138" i="26"/>
  <c r="BF74" i="26"/>
  <c r="BE74" i="26"/>
  <c r="BN75" i="26"/>
  <c r="BM75" i="26"/>
  <c r="BN83" i="26"/>
  <c r="BM83" i="26"/>
  <c r="BN91" i="26"/>
  <c r="BM91" i="26"/>
  <c r="BN96" i="26"/>
  <c r="BM96" i="26"/>
  <c r="BF98" i="26"/>
  <c r="BE98" i="26"/>
  <c r="BN115" i="26"/>
  <c r="BM115" i="26"/>
  <c r="BN123" i="26"/>
  <c r="BM123" i="26"/>
  <c r="BN131" i="26"/>
  <c r="BM131" i="26"/>
  <c r="BN139" i="26"/>
  <c r="BM139" i="26"/>
  <c r="BF140" i="26"/>
  <c r="BE140" i="26"/>
  <c r="BN144" i="26"/>
  <c r="BM144" i="26"/>
  <c r="AD303" i="22"/>
  <c r="AA303" i="22" s="1"/>
  <c r="Q304" i="22"/>
  <c r="S304" i="22" s="1"/>
  <c r="BF77" i="26"/>
  <c r="BE77" i="26"/>
  <c r="BF85" i="26"/>
  <c r="BE85" i="26"/>
  <c r="BE93" i="26"/>
  <c r="BF93" i="26"/>
  <c r="BF101" i="26"/>
  <c r="BE101" i="26"/>
  <c r="BF109" i="26"/>
  <c r="BE109" i="26"/>
  <c r="BF117" i="26"/>
  <c r="BE117" i="26"/>
  <c r="BN128" i="26"/>
  <c r="BM128" i="26"/>
  <c r="BF133" i="26"/>
  <c r="BE133" i="26"/>
  <c r="BN136" i="26"/>
  <c r="BM136" i="26"/>
  <c r="BF141" i="26"/>
  <c r="BE141" i="26"/>
  <c r="V305" i="22"/>
  <c r="BN78" i="26"/>
  <c r="BM78" i="26"/>
  <c r="BN86" i="26"/>
  <c r="BM86" i="26"/>
  <c r="BN102" i="26"/>
  <c r="BM102" i="26"/>
  <c r="BN110" i="26"/>
  <c r="BM110" i="26"/>
  <c r="BN118" i="26"/>
  <c r="BM118" i="26"/>
  <c r="BN126" i="26"/>
  <c r="BM126" i="26"/>
  <c r="BF80" i="26"/>
  <c r="BE80" i="26"/>
  <c r="BF88" i="26"/>
  <c r="BE88" i="26"/>
  <c r="BF96" i="26"/>
  <c r="BE96" i="26"/>
  <c r="BF104" i="26"/>
  <c r="BE104" i="26"/>
  <c r="BF112" i="26"/>
  <c r="BE112" i="26"/>
  <c r="BF120" i="26"/>
  <c r="BE120" i="26"/>
  <c r="BF144" i="26"/>
  <c r="BE144" i="26"/>
  <c r="G305" i="22"/>
  <c r="AB305" i="22" s="1"/>
  <c r="BN73" i="26"/>
  <c r="BM73" i="26"/>
  <c r="BN81" i="26"/>
  <c r="BM81" i="26"/>
  <c r="BM89" i="26"/>
  <c r="BN89" i="26"/>
  <c r="BN94" i="26"/>
  <c r="BM94" i="26"/>
  <c r="BN97" i="26"/>
  <c r="BM97" i="26"/>
  <c r="BN105" i="26"/>
  <c r="BM105" i="26"/>
  <c r="BN113" i="26"/>
  <c r="BM113" i="26"/>
  <c r="BN137" i="26"/>
  <c r="BM137" i="26"/>
  <c r="O303" i="22"/>
  <c r="H305" i="22"/>
  <c r="AA305" i="22"/>
  <c r="AC305" i="22" s="1"/>
  <c r="BL70" i="26"/>
  <c r="BF83" i="26"/>
  <c r="BE83" i="26"/>
  <c r="BF91" i="26"/>
  <c r="BE91" i="26"/>
  <c r="BF99" i="26"/>
  <c r="BE99" i="26"/>
  <c r="BF107" i="26"/>
  <c r="BE107" i="26"/>
  <c r="BF123" i="26"/>
  <c r="BE123" i="26"/>
  <c r="BN129" i="26"/>
  <c r="BM129" i="26"/>
  <c r="BF131" i="26"/>
  <c r="BE131" i="26"/>
  <c r="BE139" i="26"/>
  <c r="BF139" i="26"/>
  <c r="BF75" i="26"/>
  <c r="BE75" i="26"/>
  <c r="BN76" i="26"/>
  <c r="BM76" i="26"/>
  <c r="BM84" i="26"/>
  <c r="BN84" i="26"/>
  <c r="BN92" i="26"/>
  <c r="BM92" i="26"/>
  <c r="BN100" i="26"/>
  <c r="BM100" i="26"/>
  <c r="BM108" i="26"/>
  <c r="BN116" i="26"/>
  <c r="BM116" i="26"/>
  <c r="BN124" i="26"/>
  <c r="BM124" i="26"/>
  <c r="BN132" i="26"/>
  <c r="BM132" i="26"/>
  <c r="BN140" i="26"/>
  <c r="BM140" i="26"/>
  <c r="BF78" i="26"/>
  <c r="BE78" i="26"/>
  <c r="BF86" i="26"/>
  <c r="BE86" i="26"/>
  <c r="BF94" i="26"/>
  <c r="BE94" i="26"/>
  <c r="BF102" i="26"/>
  <c r="BE102" i="26"/>
  <c r="BF110" i="26"/>
  <c r="BE110" i="26"/>
  <c r="BF118" i="26"/>
  <c r="BE118" i="26"/>
  <c r="BF126" i="26"/>
  <c r="BE126" i="26"/>
  <c r="BF134" i="26"/>
  <c r="BE134" i="26"/>
  <c r="BN159" i="26"/>
  <c r="BM159" i="26"/>
  <c r="BN167" i="26"/>
  <c r="BM167" i="26"/>
  <c r="BN187" i="26"/>
  <c r="BM187" i="26"/>
  <c r="BN195" i="26"/>
  <c r="BM195" i="26"/>
  <c r="BN203" i="26"/>
  <c r="BM203" i="26"/>
  <c r="BN211" i="26"/>
  <c r="BM211" i="26"/>
  <c r="BN219" i="26"/>
  <c r="BM219" i="26"/>
  <c r="BF153" i="26"/>
  <c r="BE153" i="26"/>
  <c r="BF161" i="26"/>
  <c r="BE161" i="26"/>
  <c r="BF169" i="26"/>
  <c r="BE169" i="26"/>
  <c r="BF181" i="26"/>
  <c r="BE181" i="26"/>
  <c r="BF189" i="26"/>
  <c r="BE189" i="26"/>
  <c r="BF197" i="26"/>
  <c r="BE197" i="26"/>
  <c r="BF213" i="26"/>
  <c r="BE213" i="26"/>
  <c r="BF221" i="26"/>
  <c r="BE221" i="26"/>
  <c r="BN154" i="26"/>
  <c r="BM154" i="26"/>
  <c r="BN162" i="26"/>
  <c r="BM162" i="26"/>
  <c r="BF163" i="26"/>
  <c r="BE163" i="26"/>
  <c r="BN170" i="26"/>
  <c r="BM170" i="26"/>
  <c r="BN174" i="26"/>
  <c r="BM174" i="26"/>
  <c r="BN182" i="26"/>
  <c r="BM182" i="26"/>
  <c r="BN190" i="26"/>
  <c r="BM190" i="26"/>
  <c r="BF205" i="26"/>
  <c r="BE205" i="26"/>
  <c r="BN206" i="26"/>
  <c r="BM206" i="26"/>
  <c r="BN149" i="26"/>
  <c r="BM149" i="26"/>
  <c r="BF172" i="26"/>
  <c r="BE172" i="26"/>
  <c r="BF176" i="26"/>
  <c r="BE176" i="26"/>
  <c r="BN179" i="26"/>
  <c r="BM179" i="26"/>
  <c r="BF184" i="26"/>
  <c r="BE184" i="26"/>
  <c r="BF192" i="26"/>
  <c r="BE192" i="26"/>
  <c r="BF200" i="26"/>
  <c r="BE200" i="26"/>
  <c r="BF208" i="26"/>
  <c r="BE208" i="26"/>
  <c r="BN157" i="26"/>
  <c r="BM157" i="26"/>
  <c r="BN165" i="26"/>
  <c r="BM165" i="26"/>
  <c r="BN173" i="26"/>
  <c r="BM173" i="26"/>
  <c r="BN177" i="26"/>
  <c r="BM177" i="26"/>
  <c r="BN185" i="26"/>
  <c r="BM185" i="26"/>
  <c r="BN201" i="26"/>
  <c r="BM201" i="26"/>
  <c r="BN209" i="26"/>
  <c r="BM209" i="26"/>
  <c r="BN217" i="26"/>
  <c r="BM217" i="26"/>
  <c r="BF151" i="26"/>
  <c r="BE151" i="26"/>
  <c r="BF159" i="26"/>
  <c r="BE159" i="26"/>
  <c r="BF167" i="26"/>
  <c r="BE167" i="26"/>
  <c r="BF187" i="26"/>
  <c r="BE187" i="26"/>
  <c r="BF195" i="26"/>
  <c r="BE195" i="26"/>
  <c r="BN198" i="26"/>
  <c r="BN214" i="26"/>
  <c r="BM214" i="26"/>
  <c r="BF218" i="26"/>
  <c r="BE218" i="26"/>
  <c r="BF219" i="26"/>
  <c r="BE219" i="26"/>
  <c r="BN222" i="26"/>
  <c r="BM222" i="26"/>
  <c r="BN196" i="26"/>
  <c r="BM196" i="26"/>
  <c r="BN204" i="26"/>
  <c r="BM204" i="26"/>
  <c r="BF211" i="26"/>
  <c r="BE211" i="26"/>
  <c r="BN212" i="26"/>
  <c r="BM212" i="26"/>
  <c r="BN220" i="26"/>
  <c r="BM220" i="26"/>
  <c r="BL145" i="26"/>
  <c r="BL148" i="26"/>
  <c r="BF154" i="26"/>
  <c r="BE154" i="26"/>
  <c r="BF162" i="26"/>
  <c r="BE162" i="26"/>
  <c r="BF170" i="26"/>
  <c r="BE170" i="26"/>
  <c r="BF174" i="26"/>
  <c r="BE174" i="26"/>
  <c r="BF182" i="26"/>
  <c r="BE182" i="26"/>
  <c r="BN188" i="26"/>
  <c r="BM188" i="26"/>
  <c r="BF190" i="26"/>
  <c r="BE190" i="26"/>
  <c r="BF198" i="26"/>
  <c r="BE198" i="26"/>
  <c r="BF214" i="26"/>
  <c r="BE214" i="26"/>
  <c r="BE222" i="26"/>
  <c r="BD149" i="26"/>
  <c r="BN155" i="26"/>
  <c r="BM155" i="26"/>
  <c r="BN171" i="26"/>
  <c r="BM171" i="26"/>
  <c r="BN175" i="26"/>
  <c r="BM175" i="26"/>
  <c r="BN183" i="26"/>
  <c r="BM183" i="26"/>
  <c r="BN191" i="26"/>
  <c r="BM191" i="26"/>
  <c r="BN199" i="26"/>
  <c r="BM199" i="26"/>
  <c r="BN215" i="26"/>
  <c r="BM215" i="26"/>
  <c r="BN223" i="26"/>
  <c r="BM223" i="26"/>
  <c r="BL146" i="26"/>
  <c r="BL147" i="26"/>
  <c r="BF156" i="26"/>
  <c r="BE156" i="26"/>
  <c r="BF157" i="26"/>
  <c r="BE157" i="26"/>
  <c r="BN160" i="26"/>
  <c r="BM160" i="26"/>
  <c r="BN168" i="26"/>
  <c r="BM168" i="26"/>
  <c r="BF177" i="26"/>
  <c r="BE177" i="26"/>
  <c r="BF193" i="26"/>
  <c r="BE193" i="26"/>
  <c r="BF209" i="26"/>
  <c r="BE209" i="26"/>
  <c r="BF217" i="26"/>
  <c r="BE217" i="26"/>
  <c r="BL150" i="26"/>
  <c r="BN158" i="26"/>
  <c r="BM158" i="26"/>
  <c r="BN166" i="26"/>
  <c r="BM166" i="26"/>
  <c r="BN186" i="26"/>
  <c r="BM186" i="26"/>
  <c r="BN202" i="26"/>
  <c r="BM202" i="26"/>
  <c r="BN210" i="26"/>
  <c r="BM210" i="26"/>
  <c r="BN218" i="26"/>
  <c r="BM218" i="26"/>
  <c r="BF152" i="26"/>
  <c r="BE152" i="26"/>
  <c r="BE160" i="26"/>
  <c r="BF160" i="26"/>
  <c r="BF168" i="26"/>
  <c r="BE168" i="26"/>
  <c r="BF179" i="26"/>
  <c r="BE179" i="26"/>
  <c r="BF180" i="26"/>
  <c r="BE180" i="26"/>
  <c r="BF185" i="26"/>
  <c r="BE185" i="26"/>
  <c r="BE196" i="26"/>
  <c r="BF196" i="26"/>
  <c r="BF201" i="26"/>
  <c r="BE201" i="26"/>
  <c r="BE204" i="26"/>
  <c r="BF204" i="26"/>
  <c r="BF206" i="26"/>
  <c r="BE206" i="26"/>
  <c r="BN207" i="26"/>
  <c r="BM207" i="26"/>
  <c r="BF212" i="26"/>
  <c r="BE212" i="26"/>
  <c r="BD145" i="26"/>
  <c r="BD148" i="26"/>
  <c r="BN153" i="26"/>
  <c r="BM153" i="26"/>
  <c r="BN161" i="26"/>
  <c r="BM161" i="26"/>
  <c r="BN169" i="26"/>
  <c r="BM169" i="26"/>
  <c r="BN178" i="26"/>
  <c r="BM178" i="26"/>
  <c r="BN189" i="26"/>
  <c r="BM189" i="26"/>
  <c r="BN194" i="26"/>
  <c r="BM194" i="26"/>
  <c r="BN221" i="26"/>
  <c r="BM221" i="26"/>
  <c r="BF155" i="26"/>
  <c r="BE155" i="26"/>
  <c r="BF175" i="26"/>
  <c r="BE175" i="26"/>
  <c r="BF199" i="26"/>
  <c r="BE199" i="26"/>
  <c r="BF207" i="26"/>
  <c r="BE207" i="26"/>
  <c r="BM213" i="26"/>
  <c r="BN213" i="26"/>
  <c r="BF215" i="26"/>
  <c r="BE215" i="26"/>
  <c r="BD146" i="26"/>
  <c r="BD147" i="26"/>
  <c r="BM156" i="26"/>
  <c r="BN156" i="26"/>
  <c r="BN164" i="26"/>
  <c r="BM164" i="26"/>
  <c r="BN176" i="26"/>
  <c r="BM176" i="26"/>
  <c r="BN192" i="26"/>
  <c r="BM192" i="26"/>
  <c r="BN197" i="26"/>
  <c r="BM197" i="26"/>
  <c r="BM200" i="26"/>
  <c r="BN200" i="26"/>
  <c r="BM208" i="26"/>
  <c r="BN208" i="26"/>
  <c r="BN216" i="26"/>
  <c r="BM216" i="26"/>
  <c r="BD150" i="26"/>
  <c r="BF158" i="26"/>
  <c r="BE158" i="26"/>
  <c r="BF166" i="26"/>
  <c r="BE166" i="26"/>
  <c r="BF178" i="26"/>
  <c r="BE178" i="26"/>
  <c r="BM184" i="26"/>
  <c r="BF186" i="26"/>
  <c r="BE186" i="26"/>
  <c r="BF194" i="26"/>
  <c r="BE194" i="26"/>
  <c r="BF202" i="26"/>
  <c r="BE202" i="26"/>
  <c r="BF210" i="26"/>
  <c r="BE210" i="26"/>
  <c r="BN227" i="26"/>
  <c r="BM227" i="26"/>
  <c r="BN235" i="26"/>
  <c r="BM235" i="26"/>
  <c r="BN239" i="26"/>
  <c r="BM239" i="26"/>
  <c r="BN247" i="26"/>
  <c r="BM247" i="26"/>
  <c r="BN263" i="26"/>
  <c r="BM263" i="26"/>
  <c r="BN291" i="26"/>
  <c r="BM291" i="26"/>
  <c r="BE229" i="26"/>
  <c r="BF229" i="26"/>
  <c r="BF237" i="26"/>
  <c r="BE237" i="26"/>
  <c r="BF241" i="26"/>
  <c r="BE241" i="26"/>
  <c r="BF249" i="26"/>
  <c r="BE249" i="26"/>
  <c r="BF257" i="26"/>
  <c r="BE257" i="26"/>
  <c r="BE273" i="26"/>
  <c r="BF273" i="26"/>
  <c r="BF285" i="26"/>
  <c r="BE285" i="26"/>
  <c r="BF293" i="26"/>
  <c r="BE293" i="26"/>
  <c r="BF305" i="26"/>
  <c r="BE305" i="26"/>
  <c r="BN230" i="26"/>
  <c r="BM230" i="26"/>
  <c r="BN242" i="26"/>
  <c r="BM242" i="26"/>
  <c r="BN258" i="26"/>
  <c r="BM258" i="26"/>
  <c r="BN266" i="26"/>
  <c r="BM266" i="26"/>
  <c r="BL225" i="26"/>
  <c r="BF232" i="26"/>
  <c r="BE232" i="26"/>
  <c r="BF252" i="26"/>
  <c r="BE252" i="26"/>
  <c r="BN255" i="26"/>
  <c r="BM255" i="26"/>
  <c r="BF260" i="26"/>
  <c r="BE260" i="26"/>
  <c r="BF268" i="26"/>
  <c r="BE268" i="26"/>
  <c r="BF276" i="26"/>
  <c r="BE276" i="26"/>
  <c r="BN283" i="26"/>
  <c r="BM283" i="26"/>
  <c r="BF300" i="26"/>
  <c r="BE300" i="26"/>
  <c r="BN303" i="26"/>
  <c r="BM303" i="26"/>
  <c r="BN245" i="26"/>
  <c r="BM245" i="26"/>
  <c r="BN250" i="26"/>
  <c r="BM250" i="26"/>
  <c r="BN261" i="26"/>
  <c r="BM261" i="26"/>
  <c r="BN286" i="26"/>
  <c r="BM286" i="26"/>
  <c r="BN289" i="26"/>
  <c r="BM289" i="26"/>
  <c r="BN301" i="26"/>
  <c r="BM301" i="26"/>
  <c r="BF227" i="26"/>
  <c r="BE227" i="26"/>
  <c r="BF235" i="26"/>
  <c r="BE235" i="26"/>
  <c r="BF239" i="26"/>
  <c r="BE239" i="26"/>
  <c r="BF247" i="26"/>
  <c r="BE247" i="26"/>
  <c r="BF255" i="26"/>
  <c r="BE255" i="26"/>
  <c r="BE263" i="26"/>
  <c r="BF263" i="26"/>
  <c r="BF271" i="26"/>
  <c r="BE271" i="26"/>
  <c r="BF279" i="26"/>
  <c r="BE279" i="26"/>
  <c r="BN281" i="26"/>
  <c r="BM281" i="26"/>
  <c r="BF283" i="26"/>
  <c r="BE283" i="26"/>
  <c r="BN294" i="26"/>
  <c r="BM294" i="26"/>
  <c r="BF299" i="26"/>
  <c r="BE299" i="26"/>
  <c r="BF303" i="26"/>
  <c r="BE303" i="26"/>
  <c r="BN228" i="26"/>
  <c r="BM228" i="26"/>
  <c r="BN233" i="26"/>
  <c r="BM233" i="26"/>
  <c r="BM236" i="26"/>
  <c r="BN240" i="26"/>
  <c r="BM240" i="26"/>
  <c r="BN248" i="26"/>
  <c r="BM248" i="26"/>
  <c r="BN253" i="26"/>
  <c r="BM253" i="26"/>
  <c r="BN256" i="26"/>
  <c r="BM256" i="26"/>
  <c r="BN264" i="26"/>
  <c r="BM264" i="26"/>
  <c r="BN272" i="26"/>
  <c r="BM272" i="26"/>
  <c r="BN284" i="26"/>
  <c r="BM284" i="26"/>
  <c r="BN304" i="26"/>
  <c r="BM304" i="26"/>
  <c r="BF238" i="26"/>
  <c r="BE238" i="26"/>
  <c r="BF242" i="26"/>
  <c r="BE242" i="26"/>
  <c r="BF250" i="26"/>
  <c r="BE250" i="26"/>
  <c r="BF258" i="26"/>
  <c r="BE258" i="26"/>
  <c r="BF266" i="26"/>
  <c r="BE266" i="26"/>
  <c r="BF274" i="26"/>
  <c r="BE274" i="26"/>
  <c r="BF286" i="26"/>
  <c r="BE286" i="26"/>
  <c r="BF294" i="26"/>
  <c r="BE294" i="26"/>
  <c r="BD225" i="26"/>
  <c r="BN243" i="26"/>
  <c r="BM243" i="26"/>
  <c r="BN251" i="26"/>
  <c r="BM251" i="26"/>
  <c r="BN259" i="26"/>
  <c r="BM259" i="26"/>
  <c r="BN267" i="26"/>
  <c r="BM267" i="26"/>
  <c r="BN275" i="26"/>
  <c r="BM275" i="26"/>
  <c r="BN287" i="26"/>
  <c r="BM287" i="26"/>
  <c r="BN295" i="26"/>
  <c r="BM295" i="26"/>
  <c r="BF233" i="26"/>
  <c r="BE233" i="26"/>
  <c r="BF244" i="26"/>
  <c r="BE244" i="26"/>
  <c r="BF245" i="26"/>
  <c r="BE245" i="26"/>
  <c r="BF261" i="26"/>
  <c r="BE261" i="26"/>
  <c r="BF269" i="26"/>
  <c r="BE269" i="26"/>
  <c r="BF277" i="26"/>
  <c r="BE277" i="26"/>
  <c r="BF281" i="26"/>
  <c r="BE281" i="26"/>
  <c r="BF289" i="26"/>
  <c r="BE289" i="26"/>
  <c r="BF297" i="26"/>
  <c r="BE297" i="26"/>
  <c r="BL226" i="26"/>
  <c r="BN234" i="26"/>
  <c r="BM234" i="26"/>
  <c r="BM246" i="26"/>
  <c r="BN254" i="26"/>
  <c r="BM254" i="26"/>
  <c r="BN262" i="26"/>
  <c r="BM262" i="26"/>
  <c r="BN278" i="26"/>
  <c r="BM278" i="26"/>
  <c r="BN282" i="26"/>
  <c r="BM282" i="26"/>
  <c r="BN290" i="26"/>
  <c r="BM290" i="26"/>
  <c r="BN298" i="26"/>
  <c r="BM298" i="26"/>
  <c r="BL224" i="26"/>
  <c r="BE236" i="26"/>
  <c r="BF256" i="26"/>
  <c r="BE256" i="26"/>
  <c r="BN270" i="26"/>
  <c r="BM270" i="26"/>
  <c r="BF272" i="26"/>
  <c r="BE272" i="26"/>
  <c r="BF280" i="26"/>
  <c r="BE280" i="26"/>
  <c r="BF284" i="26"/>
  <c r="BE284" i="26"/>
  <c r="BF292" i="26"/>
  <c r="BE292" i="26"/>
  <c r="BF304" i="26"/>
  <c r="BE304" i="26"/>
  <c r="BN229" i="26"/>
  <c r="BM229" i="26"/>
  <c r="BN237" i="26"/>
  <c r="BM237" i="26"/>
  <c r="BF240" i="26"/>
  <c r="BE240" i="26"/>
  <c r="BN241" i="26"/>
  <c r="BM241" i="26"/>
  <c r="BF248" i="26"/>
  <c r="BE248" i="26"/>
  <c r="BN249" i="26"/>
  <c r="BM249" i="26"/>
  <c r="BN257" i="26"/>
  <c r="BM257" i="26"/>
  <c r="BN265" i="26"/>
  <c r="BN273" i="26"/>
  <c r="BM273" i="26"/>
  <c r="BN285" i="26"/>
  <c r="BM285" i="26"/>
  <c r="BN293" i="26"/>
  <c r="BM293" i="26"/>
  <c r="BN305" i="26"/>
  <c r="BM305" i="26"/>
  <c r="BD223" i="26"/>
  <c r="BF231" i="26"/>
  <c r="BE231" i="26"/>
  <c r="BF243" i="26"/>
  <c r="BE243" i="26"/>
  <c r="BF251" i="26"/>
  <c r="BE251" i="26"/>
  <c r="BE259" i="26"/>
  <c r="BF267" i="26"/>
  <c r="BE267" i="26"/>
  <c r="BF275" i="26"/>
  <c r="BE275" i="26"/>
  <c r="BF287" i="26"/>
  <c r="BE287" i="26"/>
  <c r="BF295" i="26"/>
  <c r="BE295" i="26"/>
  <c r="BN252" i="26"/>
  <c r="BM252" i="26"/>
  <c r="BN268" i="26"/>
  <c r="BM268" i="26"/>
  <c r="BN276" i="26"/>
  <c r="BM276" i="26"/>
  <c r="BN288" i="26"/>
  <c r="BM288" i="26"/>
  <c r="BN296" i="26"/>
  <c r="BM296" i="26"/>
  <c r="BN300" i="26"/>
  <c r="BM300" i="26"/>
  <c r="BD224" i="26"/>
  <c r="BD226" i="26"/>
  <c r="BF228" i="26"/>
  <c r="BE228" i="26"/>
  <c r="BN232" i="26"/>
  <c r="BM232" i="26"/>
  <c r="BF234" i="26"/>
  <c r="BE234" i="26"/>
  <c r="BM244" i="26"/>
  <c r="BF246" i="26"/>
  <c r="BE246" i="26"/>
  <c r="BF254" i="26"/>
  <c r="BE254" i="26"/>
  <c r="BF262" i="26"/>
  <c r="BE262" i="26"/>
  <c r="BF270" i="26"/>
  <c r="BE270" i="26"/>
  <c r="BF278" i="26"/>
  <c r="BE278" i="26"/>
  <c r="BF282" i="26"/>
  <c r="BE282" i="26"/>
  <c r="BF302" i="26"/>
  <c r="BE302" i="26"/>
  <c r="C21" i="27" a="1"/>
  <c r="C21" i="27" s="1"/>
  <c r="D21" i="27" a="1"/>
  <c r="D21" i="27" s="1"/>
  <c r="E21" i="27" a="1"/>
  <c r="E21" i="27" s="1"/>
  <c r="F21" i="27" a="1"/>
  <c r="F21" i="27" s="1"/>
  <c r="G21" i="27" a="1"/>
  <c r="G21" i="27" s="1"/>
  <c r="I21" i="27" a="1"/>
  <c r="I21" i="27" s="1"/>
  <c r="C29" i="27" a="1"/>
  <c r="C29" i="27" s="1"/>
  <c r="K21" i="27" a="1"/>
  <c r="K21" i="27" s="1"/>
  <c r="L21" i="27" a="1"/>
  <c r="L21" i="27" s="1"/>
  <c r="B20" i="27" a="1"/>
  <c r="B20" i="27" s="1"/>
  <c r="B28" i="27" a="1"/>
  <c r="B28" i="27" s="1"/>
  <c r="C20" i="27" a="1"/>
  <c r="C20" i="27" s="1"/>
  <c r="D28" i="27" a="1"/>
  <c r="D28" i="27" s="1"/>
  <c r="K20" i="27" a="1"/>
  <c r="K20" i="27" s="1"/>
  <c r="F28" i="27" a="1"/>
  <c r="F28" i="27" s="1"/>
  <c r="L20" i="27" a="1"/>
  <c r="L20" i="27" s="1"/>
  <c r="L28" i="27" a="1"/>
  <c r="L28" i="27" s="1"/>
  <c r="M20" i="27" a="1"/>
  <c r="M20" i="27" s="1"/>
  <c r="D29" i="27" a="1"/>
  <c r="D29" i="27" s="1"/>
  <c r="F29" i="27" a="1"/>
  <c r="F29" i="27" s="1"/>
  <c r="K29" i="27" a="1"/>
  <c r="K29" i="27" s="1"/>
  <c r="L29" i="27" a="1"/>
  <c r="L29" i="27" s="1"/>
  <c r="I28" i="27" a="1"/>
  <c r="I28" i="27" s="1"/>
  <c r="J28" i="27" a="1"/>
  <c r="J28" i="27" s="1"/>
  <c r="D20" i="27" a="1"/>
  <c r="D20" i="27" s="1"/>
  <c r="E20" i="27" a="1"/>
  <c r="E20" i="27" s="1"/>
  <c r="F20" i="27" a="1"/>
  <c r="F20" i="27" s="1"/>
  <c r="M21" i="27" a="1"/>
  <c r="M21" i="27" s="1"/>
  <c r="G20" i="27" a="1"/>
  <c r="G20" i="27" s="1"/>
  <c r="E30" i="27" a="1"/>
  <c r="E30" i="27" s="1"/>
  <c r="I20" i="27" a="1"/>
  <c r="I20" i="27" s="1"/>
  <c r="F22" i="27" a="1"/>
  <c r="F22" i="27" s="1"/>
  <c r="F30" i="27" a="1"/>
  <c r="F30" i="27" s="1"/>
  <c r="J20" i="27" a="1"/>
  <c r="J20" i="27" s="1"/>
  <c r="M30" i="27" a="1"/>
  <c r="M30" i="27" s="1"/>
  <c r="C28" i="14"/>
  <c r="C36" i="14"/>
  <c r="C37" i="14"/>
  <c r="G22" i="27" a="1"/>
  <c r="G22" i="27" s="1"/>
  <c r="H22" i="27" a="1"/>
  <c r="H22" i="27" s="1"/>
  <c r="C28" i="27" a="1"/>
  <c r="C28" i="27" s="1"/>
  <c r="K28" i="27" a="1"/>
  <c r="K28" i="27" s="1"/>
  <c r="E29" i="27" a="1"/>
  <c r="E29" i="27" s="1"/>
  <c r="M29" i="27" a="1"/>
  <c r="M29" i="27" s="1"/>
  <c r="G30" i="27" a="1"/>
  <c r="G30" i="27" s="1"/>
  <c r="I22" i="27" a="1"/>
  <c r="I22" i="27" s="1"/>
  <c r="H30" i="27" a="1"/>
  <c r="H30" i="27" s="1"/>
  <c r="A22" i="27"/>
  <c r="H21" i="27" a="1"/>
  <c r="H21" i="27" s="1"/>
  <c r="B22" i="27" a="1"/>
  <c r="B22" i="27" s="1"/>
  <c r="J22" i="27" a="1"/>
  <c r="J22" i="27" s="1"/>
  <c r="E28" i="27" a="1"/>
  <c r="E28" i="27" s="1"/>
  <c r="M28" i="27" a="1"/>
  <c r="M28" i="27" s="1"/>
  <c r="G29" i="27" a="1"/>
  <c r="G29" i="27" s="1"/>
  <c r="I30" i="27" a="1"/>
  <c r="I30" i="27" s="1"/>
  <c r="A30" i="27"/>
  <c r="C22" i="27" a="1"/>
  <c r="C22" i="27" s="1"/>
  <c r="K22" i="27" a="1"/>
  <c r="K22" i="27" s="1"/>
  <c r="H29" i="27" a="1"/>
  <c r="H29" i="27" s="1"/>
  <c r="B30" i="27" a="1"/>
  <c r="B30" i="27" s="1"/>
  <c r="J30" i="27" a="1"/>
  <c r="J30" i="27" s="1"/>
  <c r="A21" i="27"/>
  <c r="H20" i="27" a="1"/>
  <c r="H20" i="27" s="1"/>
  <c r="B21" i="27" a="1"/>
  <c r="B21" i="27" s="1"/>
  <c r="D22" i="27" a="1"/>
  <c r="D22" i="27" s="1"/>
  <c r="L22" i="27" a="1"/>
  <c r="L22" i="27" s="1"/>
  <c r="G28" i="27" a="1"/>
  <c r="G28" i="27" s="1"/>
  <c r="I29" i="27" a="1"/>
  <c r="I29" i="27" s="1"/>
  <c r="C30" i="27" a="1"/>
  <c r="C30" i="27" s="1"/>
  <c r="K30" i="27" a="1"/>
  <c r="K30" i="27" s="1"/>
  <c r="A29" i="27"/>
  <c r="E22" i="27" a="1"/>
  <c r="E22" i="27" s="1"/>
  <c r="H28" i="27" a="1"/>
  <c r="H28" i="27" s="1"/>
  <c r="B29" i="27" a="1"/>
  <c r="B29" i="27" s="1"/>
  <c r="D30" i="27" a="1"/>
  <c r="D30" i="27" s="1"/>
  <c r="X370" i="16"/>
  <c r="U370" i="16"/>
  <c r="V370" i="16" s="1"/>
  <c r="T370" i="16"/>
  <c r="G50" i="22" l="1"/>
  <c r="AA160" i="22"/>
  <c r="BF369" i="26"/>
  <c r="BE369" i="26"/>
  <c r="BF323" i="26"/>
  <c r="BE323" i="26"/>
  <c r="BF353" i="26"/>
  <c r="BE353" i="26"/>
  <c r="BF385" i="26"/>
  <c r="BE385" i="26"/>
  <c r="BM329" i="26"/>
  <c r="BN329" i="26"/>
  <c r="BF393" i="26"/>
  <c r="BE393" i="26"/>
  <c r="BJ316" i="26"/>
  <c r="BI316" i="26"/>
  <c r="BH316" i="26"/>
  <c r="BS359" i="26"/>
  <c r="BO359" i="26"/>
  <c r="BN337" i="26"/>
  <c r="BM337" i="26"/>
  <c r="BQ332" i="26"/>
  <c r="BP332" i="26"/>
  <c r="BR332" i="26"/>
  <c r="BF306" i="26"/>
  <c r="BE306" i="26"/>
  <c r="BJ389" i="26"/>
  <c r="BI389" i="26"/>
  <c r="BH389" i="26"/>
  <c r="BK367" i="26"/>
  <c r="BG367" i="26"/>
  <c r="BJ308" i="26"/>
  <c r="BI308" i="26"/>
  <c r="BH308" i="26"/>
  <c r="BO313" i="26"/>
  <c r="BS313" i="26"/>
  <c r="BK399" i="26"/>
  <c r="BG399" i="26"/>
  <c r="BQ318" i="26"/>
  <c r="BP318" i="26"/>
  <c r="BR318" i="26"/>
  <c r="BK398" i="26"/>
  <c r="BG398" i="26"/>
  <c r="BK307" i="26"/>
  <c r="BG307" i="26"/>
  <c r="BS404" i="26"/>
  <c r="BO404" i="26"/>
  <c r="BF368" i="26"/>
  <c r="BE368" i="26"/>
  <c r="BE401" i="26"/>
  <c r="BF401" i="26"/>
  <c r="BF352" i="26"/>
  <c r="BE352" i="26"/>
  <c r="BF384" i="26"/>
  <c r="BE384" i="26"/>
  <c r="BN328" i="26"/>
  <c r="BM328" i="26"/>
  <c r="BK392" i="26"/>
  <c r="BG392" i="26"/>
  <c r="BS391" i="26"/>
  <c r="BO391" i="26"/>
  <c r="BR359" i="26"/>
  <c r="BQ359" i="26"/>
  <c r="BP359" i="26"/>
  <c r="BE325" i="26"/>
  <c r="BF325" i="26"/>
  <c r="BN330" i="26"/>
  <c r="BM330" i="26"/>
  <c r="BO400" i="26"/>
  <c r="BS400" i="26"/>
  <c r="BG379" i="26"/>
  <c r="BK379" i="26"/>
  <c r="BG362" i="26"/>
  <c r="BK362" i="26"/>
  <c r="BO398" i="26"/>
  <c r="BS398" i="26"/>
  <c r="BR313" i="26"/>
  <c r="BQ313" i="26"/>
  <c r="BP313" i="26"/>
  <c r="BO382" i="26"/>
  <c r="BS382" i="26"/>
  <c r="BJ398" i="26"/>
  <c r="BI398" i="26"/>
  <c r="BH398" i="26"/>
  <c r="BH307" i="26"/>
  <c r="BJ307" i="26"/>
  <c r="BI307" i="26"/>
  <c r="BR404" i="26"/>
  <c r="BQ404" i="26"/>
  <c r="BP404" i="26"/>
  <c r="H261" i="22"/>
  <c r="G257" i="22"/>
  <c r="G103" i="22"/>
  <c r="BM361" i="26"/>
  <c r="BN361" i="26"/>
  <c r="BF400" i="26"/>
  <c r="BE400" i="26"/>
  <c r="BM345" i="26"/>
  <c r="BN345" i="26"/>
  <c r="BM377" i="26"/>
  <c r="BN377" i="26"/>
  <c r="BS394" i="26"/>
  <c r="BO394" i="26"/>
  <c r="BJ392" i="26"/>
  <c r="BI392" i="26"/>
  <c r="BH392" i="26"/>
  <c r="BR391" i="26"/>
  <c r="BQ391" i="26"/>
  <c r="BP391" i="26"/>
  <c r="BG339" i="26"/>
  <c r="BK339" i="26"/>
  <c r="BK315" i="26"/>
  <c r="BG315" i="26"/>
  <c r="BE327" i="26"/>
  <c r="BF327" i="26"/>
  <c r="BR400" i="26"/>
  <c r="BQ400" i="26"/>
  <c r="BP400" i="26"/>
  <c r="BJ379" i="26"/>
  <c r="BI379" i="26"/>
  <c r="BT379" i="26" s="1"/>
  <c r="BH379" i="26"/>
  <c r="BJ362" i="26"/>
  <c r="BI362" i="26"/>
  <c r="BH362" i="26"/>
  <c r="BQ398" i="26"/>
  <c r="BP398" i="26"/>
  <c r="BR398" i="26"/>
  <c r="BS308" i="26"/>
  <c r="BO308" i="26"/>
  <c r="BQ382" i="26"/>
  <c r="BP382" i="26"/>
  <c r="BR382" i="26"/>
  <c r="BS327" i="26"/>
  <c r="BO327" i="26"/>
  <c r="BK322" i="26"/>
  <c r="BG322" i="26"/>
  <c r="BO336" i="26"/>
  <c r="BS336" i="26"/>
  <c r="AK102" i="5"/>
  <c r="AL102" i="5" s="1"/>
  <c r="AK48" i="5"/>
  <c r="AL48" i="5" s="1"/>
  <c r="T280" i="22"/>
  <c r="T116" i="22"/>
  <c r="BN360" i="26"/>
  <c r="BM360" i="26"/>
  <c r="BM393" i="26"/>
  <c r="BN393" i="26"/>
  <c r="BN344" i="26"/>
  <c r="BM344" i="26"/>
  <c r="BN376" i="26"/>
  <c r="BM376" i="26"/>
  <c r="BR394" i="26"/>
  <c r="BQ394" i="26"/>
  <c r="BP394" i="26"/>
  <c r="BJ383" i="26"/>
  <c r="BI383" i="26"/>
  <c r="BH383" i="26"/>
  <c r="BK390" i="26"/>
  <c r="BG390" i="26"/>
  <c r="BJ339" i="26"/>
  <c r="BI339" i="26"/>
  <c r="BT339" i="26" s="1"/>
  <c r="BH339" i="26"/>
  <c r="BF317" i="26"/>
  <c r="BE317" i="26"/>
  <c r="BR387" i="26"/>
  <c r="BQ387" i="26"/>
  <c r="BP387" i="26"/>
  <c r="BO352" i="26"/>
  <c r="BS352" i="26"/>
  <c r="BG361" i="26"/>
  <c r="BK361" i="26"/>
  <c r="BS397" i="26"/>
  <c r="BO397" i="26"/>
  <c r="BR308" i="26"/>
  <c r="BQ308" i="26"/>
  <c r="BP308" i="26"/>
  <c r="BK373" i="26"/>
  <c r="BG373" i="26"/>
  <c r="BR327" i="26"/>
  <c r="BQ327" i="26"/>
  <c r="BP327" i="26"/>
  <c r="BJ322" i="26"/>
  <c r="BI322" i="26"/>
  <c r="BH322" i="26"/>
  <c r="BR336" i="26"/>
  <c r="BQ336" i="26"/>
  <c r="BP336" i="26"/>
  <c r="J141" i="22"/>
  <c r="G163" i="22"/>
  <c r="AA184" i="22"/>
  <c r="AH3" i="4"/>
  <c r="AI3" i="4" s="1"/>
  <c r="AH19" i="4"/>
  <c r="AI19" i="4" s="1"/>
  <c r="AH35" i="4"/>
  <c r="AI35" i="4" s="1"/>
  <c r="AH166" i="4"/>
  <c r="AI166" i="4" s="1"/>
  <c r="I220" i="22"/>
  <c r="BN335" i="26"/>
  <c r="BM335" i="26"/>
  <c r="BN392" i="26"/>
  <c r="BM392" i="26"/>
  <c r="BF378" i="26"/>
  <c r="BE378" i="26"/>
  <c r="BN351" i="26"/>
  <c r="BM351" i="26"/>
  <c r="BR371" i="26"/>
  <c r="BQ371" i="26"/>
  <c r="BP371" i="26"/>
  <c r="BK383" i="26"/>
  <c r="BG383" i="26"/>
  <c r="BH390" i="26"/>
  <c r="BJ390" i="26"/>
  <c r="BI390" i="26"/>
  <c r="BF338" i="26"/>
  <c r="BE338" i="26"/>
  <c r="BM307" i="26"/>
  <c r="BN307" i="26"/>
  <c r="BO387" i="26"/>
  <c r="BS387" i="26"/>
  <c r="BR352" i="26"/>
  <c r="BQ352" i="26"/>
  <c r="BP352" i="26"/>
  <c r="BI361" i="26"/>
  <c r="BJ361" i="26"/>
  <c r="BH361" i="26"/>
  <c r="BQ397" i="26"/>
  <c r="BR397" i="26"/>
  <c r="BP397" i="26"/>
  <c r="BO385" i="26"/>
  <c r="BS385" i="26"/>
  <c r="BJ373" i="26"/>
  <c r="BI373" i="26"/>
  <c r="BH373" i="26"/>
  <c r="BR355" i="26"/>
  <c r="BQ355" i="26"/>
  <c r="BP355" i="26"/>
  <c r="BK312" i="26"/>
  <c r="BG312" i="26"/>
  <c r="BS375" i="26"/>
  <c r="BO375" i="26"/>
  <c r="AA23" i="22"/>
  <c r="K138" i="22"/>
  <c r="AC277" i="22"/>
  <c r="H280" i="22"/>
  <c r="Z280" i="22" s="1"/>
  <c r="BJ320" i="26"/>
  <c r="BI320" i="26"/>
  <c r="BH320" i="26"/>
  <c r="BN367" i="26"/>
  <c r="BM367" i="26"/>
  <c r="BF355" i="26"/>
  <c r="BE355" i="26"/>
  <c r="BM325" i="26"/>
  <c r="BN325" i="26"/>
  <c r="BS371" i="26"/>
  <c r="BO371" i="26"/>
  <c r="BK374" i="26"/>
  <c r="BG374" i="26"/>
  <c r="BS340" i="26"/>
  <c r="BO340" i="26"/>
  <c r="BG332" i="26"/>
  <c r="BK332" i="26"/>
  <c r="BK358" i="26"/>
  <c r="BG358" i="26"/>
  <c r="BJ391" i="26"/>
  <c r="BI391" i="26"/>
  <c r="BH391" i="26"/>
  <c r="BS396" i="26"/>
  <c r="BO396" i="26"/>
  <c r="BG377" i="26"/>
  <c r="BK377" i="26"/>
  <c r="BO384" i="26"/>
  <c r="BS384" i="26"/>
  <c r="BG348" i="26"/>
  <c r="BK348" i="26"/>
  <c r="BS355" i="26"/>
  <c r="BO355" i="26"/>
  <c r="BJ312" i="26"/>
  <c r="BI312" i="26"/>
  <c r="BH312" i="26"/>
  <c r="BR375" i="26"/>
  <c r="BQ375" i="26"/>
  <c r="BP375" i="26"/>
  <c r="AA15" i="22"/>
  <c r="T54" i="22"/>
  <c r="AH173" i="4"/>
  <c r="AI173" i="4" s="1"/>
  <c r="BF394" i="26"/>
  <c r="BE394" i="26"/>
  <c r="BM341" i="26"/>
  <c r="BN341" i="26"/>
  <c r="BN322" i="26"/>
  <c r="BM322" i="26"/>
  <c r="BF387" i="26"/>
  <c r="BE387" i="26"/>
  <c r="BS343" i="26"/>
  <c r="BO343" i="26"/>
  <c r="BH374" i="26"/>
  <c r="BJ374" i="26"/>
  <c r="BI374" i="26"/>
  <c r="BR340" i="26"/>
  <c r="BQ340" i="26"/>
  <c r="BP340" i="26"/>
  <c r="BJ332" i="26"/>
  <c r="BI332" i="26"/>
  <c r="BH332" i="26"/>
  <c r="BH358" i="26"/>
  <c r="BJ358" i="26"/>
  <c r="BI358" i="26"/>
  <c r="BT358" i="26" s="1"/>
  <c r="BG391" i="26"/>
  <c r="BK391" i="26"/>
  <c r="BR396" i="26"/>
  <c r="BQ396" i="26"/>
  <c r="BP396" i="26"/>
  <c r="BI377" i="26"/>
  <c r="BJ377" i="26"/>
  <c r="BH377" i="26"/>
  <c r="BP384" i="26"/>
  <c r="BR384" i="26"/>
  <c r="BQ384" i="26"/>
  <c r="BJ348" i="26"/>
  <c r="BI348" i="26"/>
  <c r="BH348" i="26"/>
  <c r="BK354" i="26"/>
  <c r="BG354" i="26"/>
  <c r="BO306" i="26"/>
  <c r="BS306" i="26"/>
  <c r="BJ343" i="26"/>
  <c r="BI343" i="26"/>
  <c r="BH343" i="26"/>
  <c r="J133" i="22"/>
  <c r="BN383" i="26"/>
  <c r="BM383" i="26"/>
  <c r="BF371" i="26"/>
  <c r="BE371" i="26"/>
  <c r="BE324" i="26"/>
  <c r="BF324" i="26"/>
  <c r="BN309" i="26"/>
  <c r="BM309" i="26"/>
  <c r="BN354" i="26"/>
  <c r="BM354" i="26"/>
  <c r="BR343" i="26"/>
  <c r="BQ343" i="26"/>
  <c r="BP343" i="26"/>
  <c r="BN364" i="26"/>
  <c r="BM364" i="26"/>
  <c r="BK334" i="26"/>
  <c r="BG334" i="26"/>
  <c r="BP319" i="26"/>
  <c r="BR319" i="26"/>
  <c r="BQ319" i="26"/>
  <c r="BJ351" i="26"/>
  <c r="BI351" i="26"/>
  <c r="BH351" i="26"/>
  <c r="BG380" i="26"/>
  <c r="BK380" i="26"/>
  <c r="BO366" i="26"/>
  <c r="BS366" i="26"/>
  <c r="BK363" i="26"/>
  <c r="BG363" i="26"/>
  <c r="BK347" i="26"/>
  <c r="BG347" i="26"/>
  <c r="BJ354" i="26"/>
  <c r="BI354" i="26"/>
  <c r="BH354" i="26"/>
  <c r="BR306" i="26"/>
  <c r="BQ306" i="26"/>
  <c r="BP306" i="26"/>
  <c r="BG343" i="26"/>
  <c r="BK343" i="26"/>
  <c r="G48" i="22"/>
  <c r="BM357" i="26"/>
  <c r="BN357" i="26"/>
  <c r="BN338" i="26"/>
  <c r="BM338" i="26"/>
  <c r="BE321" i="26"/>
  <c r="BF321" i="26"/>
  <c r="BN399" i="26"/>
  <c r="BM399" i="26"/>
  <c r="BE333" i="26"/>
  <c r="BF333" i="26"/>
  <c r="BS324" i="26"/>
  <c r="BO324" i="26"/>
  <c r="BN350" i="26"/>
  <c r="BM350" i="26"/>
  <c r="BJ334" i="26"/>
  <c r="BI334" i="26"/>
  <c r="BT334" i="26" s="1"/>
  <c r="BH334" i="26"/>
  <c r="BS319" i="26"/>
  <c r="BO319" i="26"/>
  <c r="BK351" i="26"/>
  <c r="BG351" i="26"/>
  <c r="BJ380" i="26"/>
  <c r="BI380" i="26"/>
  <c r="BH380" i="26"/>
  <c r="BN349" i="26"/>
  <c r="BM349" i="26"/>
  <c r="BQ366" i="26"/>
  <c r="BP366" i="26"/>
  <c r="BR366" i="26"/>
  <c r="BJ363" i="26"/>
  <c r="BI363" i="26"/>
  <c r="BH363" i="26"/>
  <c r="BJ347" i="26"/>
  <c r="BI347" i="26"/>
  <c r="BT347" i="26" s="1"/>
  <c r="BH347" i="26"/>
  <c r="BK326" i="26"/>
  <c r="BG326" i="26"/>
  <c r="BS311" i="26"/>
  <c r="BO311" i="26"/>
  <c r="J75" i="22"/>
  <c r="BE340" i="26"/>
  <c r="BF340" i="26"/>
  <c r="BN317" i="26"/>
  <c r="BM317" i="26"/>
  <c r="BM316" i="26"/>
  <c r="BN316" i="26"/>
  <c r="BM373" i="26"/>
  <c r="BN373" i="26"/>
  <c r="BM326" i="26"/>
  <c r="BN326" i="26"/>
  <c r="BR324" i="26"/>
  <c r="BQ324" i="26"/>
  <c r="BP324" i="26"/>
  <c r="BK344" i="26"/>
  <c r="BG344" i="26"/>
  <c r="BN312" i="26"/>
  <c r="BM312" i="26"/>
  <c r="BK309" i="26"/>
  <c r="BG309" i="26"/>
  <c r="BN321" i="26"/>
  <c r="BM321" i="26"/>
  <c r="BK370" i="26"/>
  <c r="BG370" i="26"/>
  <c r="BG331" i="26"/>
  <c r="BK331" i="26"/>
  <c r="BK366" i="26"/>
  <c r="BG366" i="26"/>
  <c r="BJ359" i="26"/>
  <c r="BI359" i="26"/>
  <c r="BH359" i="26"/>
  <c r="BS315" i="26"/>
  <c r="BO315" i="26"/>
  <c r="BH326" i="26"/>
  <c r="BJ326" i="26"/>
  <c r="BI326" i="26"/>
  <c r="BT326" i="26" s="1"/>
  <c r="BP311" i="26"/>
  <c r="BR311" i="26"/>
  <c r="BQ311" i="26"/>
  <c r="BJ335" i="26"/>
  <c r="BI335" i="26"/>
  <c r="BT335" i="26" s="1"/>
  <c r="BH335" i="26"/>
  <c r="T272" i="22"/>
  <c r="I263" i="22"/>
  <c r="G264" i="22"/>
  <c r="H89" i="22"/>
  <c r="Z89" i="22" s="1"/>
  <c r="BM331" i="26"/>
  <c r="BN331" i="26"/>
  <c r="BM389" i="26"/>
  <c r="BN389" i="26"/>
  <c r="BF403" i="26"/>
  <c r="BE403" i="26"/>
  <c r="BE356" i="26"/>
  <c r="BF356" i="26"/>
  <c r="BM405" i="26"/>
  <c r="BN405" i="26"/>
  <c r="BF314" i="26"/>
  <c r="BE314" i="26"/>
  <c r="BJ344" i="26"/>
  <c r="BI344" i="26"/>
  <c r="BH344" i="26"/>
  <c r="BN310" i="26"/>
  <c r="BM310" i="26"/>
  <c r="BJ309" i="26"/>
  <c r="BI309" i="26"/>
  <c r="BT309" i="26" s="1"/>
  <c r="BH309" i="26"/>
  <c r="BF318" i="26"/>
  <c r="BE318" i="26"/>
  <c r="BJ370" i="26"/>
  <c r="BI370" i="26"/>
  <c r="BH370" i="26"/>
  <c r="BI331" i="26"/>
  <c r="BH331" i="26"/>
  <c r="BJ331" i="26"/>
  <c r="BO380" i="26"/>
  <c r="BS380" i="26"/>
  <c r="BK328" i="26"/>
  <c r="BG328" i="26"/>
  <c r="BJ366" i="26"/>
  <c r="BI366" i="26"/>
  <c r="BH366" i="26"/>
  <c r="BG359" i="26"/>
  <c r="BK359" i="26"/>
  <c r="BR315" i="26"/>
  <c r="BQ315" i="26"/>
  <c r="BP315" i="26"/>
  <c r="BG396" i="26"/>
  <c r="BK396" i="26"/>
  <c r="BS365" i="26"/>
  <c r="BO365" i="26"/>
  <c r="BK335" i="26"/>
  <c r="BG335" i="26"/>
  <c r="AC242" i="22"/>
  <c r="BF313" i="26"/>
  <c r="BE313" i="26"/>
  <c r="BE372" i="26"/>
  <c r="BF372" i="26"/>
  <c r="BN370" i="26"/>
  <c r="BM370" i="26"/>
  <c r="BM347" i="26"/>
  <c r="BN347" i="26"/>
  <c r="BF311" i="26"/>
  <c r="BE311" i="26"/>
  <c r="BF342" i="26"/>
  <c r="BE342" i="26"/>
  <c r="BN372" i="26"/>
  <c r="BM372" i="26"/>
  <c r="BF402" i="26"/>
  <c r="BE402" i="26"/>
  <c r="BS314" i="26"/>
  <c r="BO314" i="26"/>
  <c r="BJ350" i="26"/>
  <c r="BI350" i="26"/>
  <c r="BT350" i="26" s="1"/>
  <c r="BH350" i="26"/>
  <c r="BK319" i="26"/>
  <c r="BG319" i="26"/>
  <c r="BR380" i="26"/>
  <c r="BQ380" i="26"/>
  <c r="BP380" i="26"/>
  <c r="BJ328" i="26"/>
  <c r="BI328" i="26"/>
  <c r="BT328" i="26" s="1"/>
  <c r="BH328" i="26"/>
  <c r="BK357" i="26"/>
  <c r="BG357" i="26"/>
  <c r="BS348" i="26"/>
  <c r="BO348" i="26"/>
  <c r="BK386" i="26"/>
  <c r="BG386" i="26"/>
  <c r="BJ396" i="26"/>
  <c r="BI396" i="26"/>
  <c r="BH396" i="26"/>
  <c r="BQ365" i="26"/>
  <c r="BR365" i="26"/>
  <c r="BP365" i="26"/>
  <c r="BS362" i="26"/>
  <c r="BO362" i="26"/>
  <c r="I18" i="22"/>
  <c r="BN386" i="26"/>
  <c r="BM386" i="26"/>
  <c r="BM363" i="26"/>
  <c r="BN363" i="26"/>
  <c r="BE349" i="26"/>
  <c r="BF349" i="26"/>
  <c r="BN402" i="26"/>
  <c r="BM402" i="26"/>
  <c r="BE388" i="26"/>
  <c r="BF388" i="26"/>
  <c r="BK405" i="26"/>
  <c r="BG405" i="26"/>
  <c r="BK341" i="26"/>
  <c r="BG341" i="26"/>
  <c r="BO368" i="26"/>
  <c r="BS368" i="26"/>
  <c r="BS388" i="26"/>
  <c r="BO388" i="26"/>
  <c r="BR314" i="26"/>
  <c r="BQ314" i="26"/>
  <c r="BP314" i="26"/>
  <c r="BG329" i="26"/>
  <c r="BK329" i="26"/>
  <c r="BJ319" i="26"/>
  <c r="BH319" i="26"/>
  <c r="BI319" i="26"/>
  <c r="BT319" i="26" s="1"/>
  <c r="BN378" i="26"/>
  <c r="BM378" i="26"/>
  <c r="BT315" i="26"/>
  <c r="BJ357" i="26"/>
  <c r="BI357" i="26"/>
  <c r="BH357" i="26"/>
  <c r="BR348" i="26"/>
  <c r="BQ348" i="26"/>
  <c r="BP348" i="26"/>
  <c r="BJ386" i="26"/>
  <c r="BI386" i="26"/>
  <c r="BT386" i="26" s="1"/>
  <c r="BH386" i="26"/>
  <c r="BK395" i="26"/>
  <c r="BG395" i="26"/>
  <c r="BG364" i="26"/>
  <c r="BK364" i="26"/>
  <c r="BR362" i="26"/>
  <c r="BQ362" i="26"/>
  <c r="BP362" i="26"/>
  <c r="I305" i="22"/>
  <c r="AA54" i="22"/>
  <c r="AC24" i="22"/>
  <c r="BE365" i="26"/>
  <c r="BF365" i="26"/>
  <c r="BE397" i="26"/>
  <c r="BF397" i="26"/>
  <c r="BN342" i="26"/>
  <c r="BM342" i="26"/>
  <c r="BE381" i="26"/>
  <c r="BF381" i="26"/>
  <c r="BM379" i="26"/>
  <c r="BN379" i="26"/>
  <c r="BJ405" i="26"/>
  <c r="BI405" i="26"/>
  <c r="BH405" i="26"/>
  <c r="BJ341" i="26"/>
  <c r="BI341" i="26"/>
  <c r="BH341" i="26"/>
  <c r="BR368" i="26"/>
  <c r="BQ368" i="26"/>
  <c r="BP368" i="26"/>
  <c r="BR388" i="26"/>
  <c r="BQ388" i="26"/>
  <c r="BP388" i="26"/>
  <c r="BF382" i="26"/>
  <c r="BE382" i="26"/>
  <c r="BI329" i="26"/>
  <c r="BJ329" i="26"/>
  <c r="BH329" i="26"/>
  <c r="BR403" i="26"/>
  <c r="BQ403" i="26"/>
  <c r="BP403" i="26"/>
  <c r="BH375" i="26"/>
  <c r="BJ375" i="26"/>
  <c r="BI375" i="26"/>
  <c r="BN353" i="26"/>
  <c r="BM353" i="26"/>
  <c r="BS346" i="26"/>
  <c r="BO346" i="26"/>
  <c r="BG345" i="26"/>
  <c r="BK345" i="26"/>
  <c r="BJ395" i="26"/>
  <c r="BI395" i="26"/>
  <c r="BH395" i="26"/>
  <c r="BJ364" i="26"/>
  <c r="BI364" i="26"/>
  <c r="BH364" i="26"/>
  <c r="H278" i="22"/>
  <c r="I168" i="22"/>
  <c r="G194" i="22"/>
  <c r="AB194" i="22" s="1"/>
  <c r="AC194" i="22" s="1"/>
  <c r="H265" i="22"/>
  <c r="Z265" i="22" s="1"/>
  <c r="BN358" i="26"/>
  <c r="BM358" i="26"/>
  <c r="BN390" i="26"/>
  <c r="BM390" i="26"/>
  <c r="BP395" i="26"/>
  <c r="BR395" i="26"/>
  <c r="BQ395" i="26"/>
  <c r="BN374" i="26"/>
  <c r="BM374" i="26"/>
  <c r="BF337" i="26"/>
  <c r="BE337" i="26"/>
  <c r="BO401" i="26"/>
  <c r="BS401" i="26"/>
  <c r="BN333" i="26"/>
  <c r="BM333" i="26"/>
  <c r="BK360" i="26"/>
  <c r="BG360" i="26"/>
  <c r="BO369" i="26"/>
  <c r="BS369" i="26"/>
  <c r="BM339" i="26"/>
  <c r="BN339" i="26"/>
  <c r="BR323" i="26"/>
  <c r="BQ323" i="26"/>
  <c r="BP323" i="26"/>
  <c r="BS403" i="26"/>
  <c r="BO403" i="26"/>
  <c r="BG375" i="26"/>
  <c r="BK375" i="26"/>
  <c r="BS320" i="26"/>
  <c r="BO320" i="26"/>
  <c r="BR346" i="26"/>
  <c r="BQ346" i="26"/>
  <c r="BP346" i="26"/>
  <c r="BI345" i="26"/>
  <c r="BJ345" i="26"/>
  <c r="BH345" i="26"/>
  <c r="BS356" i="26"/>
  <c r="BO356" i="26"/>
  <c r="BK310" i="26"/>
  <c r="BG310" i="26"/>
  <c r="T231" i="22"/>
  <c r="AK142" i="5"/>
  <c r="AL142" i="5" s="1"/>
  <c r="AK90" i="5"/>
  <c r="AL90" i="5" s="1"/>
  <c r="AK68" i="5"/>
  <c r="AL68" i="5" s="1"/>
  <c r="AH57" i="4"/>
  <c r="AI57" i="4" s="1"/>
  <c r="AH191" i="4"/>
  <c r="AI191" i="4" s="1"/>
  <c r="L125" i="22"/>
  <c r="N125" i="22" s="1"/>
  <c r="BI404" i="26"/>
  <c r="BH404" i="26"/>
  <c r="BJ404" i="26"/>
  <c r="BF346" i="26"/>
  <c r="BE346" i="26"/>
  <c r="BO395" i="26"/>
  <c r="BS395" i="26"/>
  <c r="BF330" i="26"/>
  <c r="BE330" i="26"/>
  <c r="BF336" i="26"/>
  <c r="BE336" i="26"/>
  <c r="BR401" i="26"/>
  <c r="BQ401" i="26"/>
  <c r="BP401" i="26"/>
  <c r="BK316" i="26"/>
  <c r="BG316" i="26"/>
  <c r="BJ360" i="26"/>
  <c r="BI360" i="26"/>
  <c r="BT360" i="26" s="1"/>
  <c r="BH360" i="26"/>
  <c r="BR369" i="26"/>
  <c r="BQ369" i="26"/>
  <c r="BP369" i="26"/>
  <c r="BO332" i="26"/>
  <c r="BS332" i="26"/>
  <c r="BS323" i="26"/>
  <c r="BO323" i="26"/>
  <c r="BK389" i="26"/>
  <c r="BG389" i="26"/>
  <c r="BJ367" i="26"/>
  <c r="BI367" i="26"/>
  <c r="BH367" i="26"/>
  <c r="BG308" i="26"/>
  <c r="BK308" i="26"/>
  <c r="BR320" i="26"/>
  <c r="BQ320" i="26"/>
  <c r="BP320" i="26"/>
  <c r="BJ399" i="26"/>
  <c r="BI399" i="26"/>
  <c r="BT399" i="26" s="1"/>
  <c r="BH399" i="26"/>
  <c r="BS318" i="26"/>
  <c r="BO318" i="26"/>
  <c r="BR356" i="26"/>
  <c r="BQ356" i="26"/>
  <c r="BP356" i="26"/>
  <c r="BJ310" i="26"/>
  <c r="BI310" i="26"/>
  <c r="BH310" i="26"/>
  <c r="BJ376" i="26"/>
  <c r="BI376" i="26"/>
  <c r="BH376" i="26"/>
  <c r="AB50" i="22"/>
  <c r="BN152" i="26"/>
  <c r="BN125" i="26"/>
  <c r="BF30" i="26"/>
  <c r="BN36" i="26"/>
  <c r="BM69" i="26"/>
  <c r="BF183" i="26"/>
  <c r="BF137" i="26"/>
  <c r="BF27" i="26"/>
  <c r="BF113" i="26"/>
  <c r="Z272" i="22"/>
  <c r="J285" i="22"/>
  <c r="J211" i="22"/>
  <c r="J89" i="22"/>
  <c r="H30" i="22"/>
  <c r="H50" i="22"/>
  <c r="G18" i="22"/>
  <c r="G17" i="22"/>
  <c r="G6" i="22"/>
  <c r="AK120" i="5"/>
  <c r="AL120" i="5" s="1"/>
  <c r="AK140" i="5"/>
  <c r="AL140" i="5" s="1"/>
  <c r="AK63" i="5"/>
  <c r="AL63" i="5" s="1"/>
  <c r="AH127" i="4"/>
  <c r="AI127" i="4" s="1"/>
  <c r="AH158" i="4"/>
  <c r="AI158" i="4" s="1"/>
  <c r="AH33" i="4"/>
  <c r="AI33" i="4" s="1"/>
  <c r="H11" i="22"/>
  <c r="BN302" i="26"/>
  <c r="BN205" i="26"/>
  <c r="BE165" i="26"/>
  <c r="G236" i="22"/>
  <c r="BF230" i="26"/>
  <c r="AA89" i="22"/>
  <c r="BF264" i="26"/>
  <c r="BN271" i="26"/>
  <c r="BE203" i="26"/>
  <c r="BM292" i="26"/>
  <c r="H302" i="22"/>
  <c r="Z302" i="22" s="1"/>
  <c r="BN99" i="26"/>
  <c r="G141" i="22"/>
  <c r="AB141" i="22" s="1"/>
  <c r="G131" i="22"/>
  <c r="I275" i="22"/>
  <c r="T266" i="22"/>
  <c r="G220" i="22"/>
  <c r="H133" i="22"/>
  <c r="Z133" i="22" s="1"/>
  <c r="H91" i="22"/>
  <c r="Z91" i="22" s="1"/>
  <c r="J50" i="22"/>
  <c r="L50" i="22" s="1"/>
  <c r="N50" i="22" s="1"/>
  <c r="H18" i="22"/>
  <c r="T18" i="22" s="1"/>
  <c r="T24" i="22"/>
  <c r="AH143" i="4"/>
  <c r="AI143" i="4" s="1"/>
  <c r="I120" i="22"/>
  <c r="AA17" i="22"/>
  <c r="J224" i="22"/>
  <c r="BM181" i="26"/>
  <c r="BN180" i="26"/>
  <c r="BN48" i="26"/>
  <c r="BE49" i="26"/>
  <c r="K108" i="22"/>
  <c r="J120" i="22"/>
  <c r="H264" i="22"/>
  <c r="BE220" i="26"/>
  <c r="K262" i="22"/>
  <c r="BE32" i="26"/>
  <c r="BM6" i="26"/>
  <c r="K265" i="22"/>
  <c r="I264" i="22"/>
  <c r="AB125" i="22"/>
  <c r="G89" i="22"/>
  <c r="AB89" i="22" s="1"/>
  <c r="AH186" i="4"/>
  <c r="AI186" i="4" s="1"/>
  <c r="AH198" i="4"/>
  <c r="AI198" i="4" s="1"/>
  <c r="G262" i="22"/>
  <c r="AB262" i="22" s="1"/>
  <c r="AK113" i="5"/>
  <c r="AL113" i="5" s="1"/>
  <c r="AK158" i="5"/>
  <c r="AL158" i="5" s="1"/>
  <c r="AK111" i="5"/>
  <c r="AL111" i="5" s="1"/>
  <c r="AH187" i="4"/>
  <c r="AI187" i="4" s="1"/>
  <c r="G191" i="22"/>
  <c r="BE301" i="26"/>
  <c r="BF296" i="26"/>
  <c r="BE90" i="26"/>
  <c r="BF121" i="26"/>
  <c r="BE22" i="26"/>
  <c r="BE24" i="26"/>
  <c r="BN40" i="26"/>
  <c r="Z116" i="22"/>
  <c r="G91" i="22"/>
  <c r="K83" i="22"/>
  <c r="AH177" i="4"/>
  <c r="AI177" i="4" s="1"/>
  <c r="J215" i="22"/>
  <c r="I160" i="22"/>
  <c r="I207" i="22"/>
  <c r="I167" i="22"/>
  <c r="AK151" i="5"/>
  <c r="AL151" i="5" s="1"/>
  <c r="AH203" i="4"/>
  <c r="AI203" i="4" s="1"/>
  <c r="AH202" i="4"/>
  <c r="AI202" i="4" s="1"/>
  <c r="AH178" i="4"/>
  <c r="AI178" i="4" s="1"/>
  <c r="H201" i="22"/>
  <c r="Z201" i="22" s="1"/>
  <c r="G120" i="22"/>
  <c r="AB120" i="22" s="1"/>
  <c r="AC120" i="22" s="1"/>
  <c r="I89" i="22"/>
  <c r="J78" i="22"/>
  <c r="BF298" i="26"/>
  <c r="BM231" i="26"/>
  <c r="BM297" i="26"/>
  <c r="BN277" i="26"/>
  <c r="BE288" i="26"/>
  <c r="BM172" i="26"/>
  <c r="BF164" i="26"/>
  <c r="BE136" i="26"/>
  <c r="BM142" i="26"/>
  <c r="BE82" i="26"/>
  <c r="BN61" i="26"/>
  <c r="BF20" i="26"/>
  <c r="I268" i="22"/>
  <c r="G221" i="22"/>
  <c r="H257" i="22"/>
  <c r="Z257" i="22" s="1"/>
  <c r="G253" i="22"/>
  <c r="AB253" i="22" s="1"/>
  <c r="I205" i="22"/>
  <c r="J104" i="22"/>
  <c r="I91" i="22"/>
  <c r="I75" i="22"/>
  <c r="H62" i="22"/>
  <c r="I21" i="22"/>
  <c r="AK156" i="5"/>
  <c r="AL156" i="5" s="1"/>
  <c r="J64" i="22"/>
  <c r="J18" i="22"/>
  <c r="G292" i="22"/>
  <c r="AB292" i="22" s="1"/>
  <c r="N263" i="22"/>
  <c r="I50" i="22"/>
  <c r="BE290" i="26"/>
  <c r="BM274" i="26"/>
  <c r="I110" i="22"/>
  <c r="AK104" i="5"/>
  <c r="AL104" i="5" s="1"/>
  <c r="AK154" i="5"/>
  <c r="AL154" i="5" s="1"/>
  <c r="AK126" i="5"/>
  <c r="AL126" i="5" s="1"/>
  <c r="AK52" i="5"/>
  <c r="AL52" i="5" s="1"/>
  <c r="AK185" i="5"/>
  <c r="AL185" i="5" s="1"/>
  <c r="AH62" i="4"/>
  <c r="AI62" i="4" s="1"/>
  <c r="AH169" i="4"/>
  <c r="AI169" i="4" s="1"/>
  <c r="G295" i="22"/>
  <c r="AA189" i="22"/>
  <c r="AK12" i="5"/>
  <c r="AL12" i="5" s="1"/>
  <c r="AA6" i="22"/>
  <c r="BE95" i="26"/>
  <c r="J257" i="22"/>
  <c r="I221" i="22"/>
  <c r="BM269" i="26"/>
  <c r="BE171" i="26"/>
  <c r="BE191" i="26"/>
  <c r="BM151" i="26"/>
  <c r="BE128" i="26"/>
  <c r="BM134" i="26"/>
  <c r="BE35" i="26"/>
  <c r="I302" i="22"/>
  <c r="J264" i="22"/>
  <c r="K264" i="22" s="1"/>
  <c r="AA257" i="22"/>
  <c r="AA234" i="22"/>
  <c r="L45" i="22"/>
  <c r="N45" i="22" s="1"/>
  <c r="I17" i="22"/>
  <c r="T17" i="22" s="1"/>
  <c r="AK165" i="5"/>
  <c r="AL165" i="5" s="1"/>
  <c r="AH78" i="4"/>
  <c r="AI78" i="4" s="1"/>
  <c r="AH174" i="4"/>
  <c r="AI174" i="4" s="1"/>
  <c r="H72" i="22"/>
  <c r="Z72" i="22" s="1"/>
  <c r="J194" i="22"/>
  <c r="H194" i="22"/>
  <c r="BE265" i="26"/>
  <c r="BM279" i="26"/>
  <c r="BE87" i="26"/>
  <c r="J223" i="22"/>
  <c r="AA75" i="22"/>
  <c r="K28" i="22"/>
  <c r="AK70" i="5"/>
  <c r="AL70" i="5" s="1"/>
  <c r="AH94" i="4"/>
  <c r="AI94" i="4" s="1"/>
  <c r="BF291" i="26"/>
  <c r="BN107" i="26"/>
  <c r="H291" i="22"/>
  <c r="T291" i="22" s="1"/>
  <c r="J220" i="22"/>
  <c r="J228" i="22"/>
  <c r="AA190" i="22"/>
  <c r="P24" i="22"/>
  <c r="AK41" i="5"/>
  <c r="AL41" i="5" s="1"/>
  <c r="AH79" i="4"/>
  <c r="AI79" i="4" s="1"/>
  <c r="AH110" i="4"/>
  <c r="AI110" i="4" s="1"/>
  <c r="AH14" i="4"/>
  <c r="AI14" i="4" s="1"/>
  <c r="AH30" i="4"/>
  <c r="AI30" i="4" s="1"/>
  <c r="AH46" i="4"/>
  <c r="AI46" i="4" s="1"/>
  <c r="T183" i="22"/>
  <c r="AH95" i="4"/>
  <c r="AI95" i="4" s="1"/>
  <c r="AH126" i="4"/>
  <c r="AI126" i="4" s="1"/>
  <c r="AH15" i="4"/>
  <c r="AI15" i="4" s="1"/>
  <c r="AH31" i="4"/>
  <c r="AI31" i="4" s="1"/>
  <c r="AH47" i="4"/>
  <c r="AI47" i="4" s="1"/>
  <c r="AH188" i="4"/>
  <c r="AI188" i="4" s="1"/>
  <c r="AA120" i="22"/>
  <c r="H153" i="22"/>
  <c r="P200" i="22"/>
  <c r="AA50" i="22"/>
  <c r="AC50" i="22" s="1"/>
  <c r="I155" i="22"/>
  <c r="AH111" i="4"/>
  <c r="AI111" i="4" s="1"/>
  <c r="AH142" i="4"/>
  <c r="AI142" i="4" s="1"/>
  <c r="AH16" i="4"/>
  <c r="AI16" i="4" s="1"/>
  <c r="AH32" i="4"/>
  <c r="AI32" i="4" s="1"/>
  <c r="AH196" i="4"/>
  <c r="AI196" i="4" s="1"/>
  <c r="T222" i="22"/>
  <c r="J153" i="22"/>
  <c r="H92" i="22"/>
  <c r="AK143" i="5"/>
  <c r="AL143" i="5" s="1"/>
  <c r="AH8" i="4"/>
  <c r="AI8" i="4" s="1"/>
  <c r="AH24" i="4"/>
  <c r="AI24" i="4" s="1"/>
  <c r="H244" i="22"/>
  <c r="P120" i="22"/>
  <c r="T302" i="22"/>
  <c r="P272" i="22"/>
  <c r="P258" i="22"/>
  <c r="K274" i="22"/>
  <c r="H181" i="22"/>
  <c r="Z181" i="22" s="1"/>
  <c r="G173" i="22"/>
  <c r="AB173" i="22" s="1"/>
  <c r="J246" i="22"/>
  <c r="K246" i="22" s="1"/>
  <c r="AK77" i="5"/>
  <c r="AL77" i="5" s="1"/>
  <c r="J81" i="22"/>
  <c r="H31" i="22"/>
  <c r="AK125" i="5"/>
  <c r="AL125" i="5" s="1"/>
  <c r="AC292" i="22"/>
  <c r="J222" i="22"/>
  <c r="L222" i="22" s="1"/>
  <c r="N222" i="22" s="1"/>
  <c r="AA233" i="22"/>
  <c r="J219" i="22"/>
  <c r="K166" i="22"/>
  <c r="G90" i="22"/>
  <c r="AB90" i="22" s="1"/>
  <c r="I301" i="22"/>
  <c r="K50" i="22"/>
  <c r="AK84" i="5"/>
  <c r="AL84" i="5" s="1"/>
  <c r="G64" i="22"/>
  <c r="L64" i="22" s="1"/>
  <c r="I84" i="22"/>
  <c r="G287" i="22"/>
  <c r="I9" i="22"/>
  <c r="J212" i="22"/>
  <c r="G117" i="22"/>
  <c r="AA155" i="22"/>
  <c r="H81" i="22"/>
  <c r="G122" i="22"/>
  <c r="AH56" i="4"/>
  <c r="AI56" i="4" s="1"/>
  <c r="AH134" i="4"/>
  <c r="AI134" i="4" s="1"/>
  <c r="AH204" i="4"/>
  <c r="AI204" i="4" s="1"/>
  <c r="AH168" i="4"/>
  <c r="AI168" i="4" s="1"/>
  <c r="J170" i="22"/>
  <c r="P170" i="22" s="1"/>
  <c r="I125" i="22"/>
  <c r="J235" i="22"/>
  <c r="K235" i="22" s="1"/>
  <c r="Z295" i="22"/>
  <c r="J187" i="22"/>
  <c r="I144" i="22"/>
  <c r="J8" i="22"/>
  <c r="AH150" i="4"/>
  <c r="AI150" i="4" s="1"/>
  <c r="H49" i="22"/>
  <c r="G133" i="22"/>
  <c r="AB133" i="22" s="1"/>
  <c r="AA252" i="22"/>
  <c r="I81" i="22"/>
  <c r="AC235" i="22"/>
  <c r="H217" i="22"/>
  <c r="Z183" i="22"/>
  <c r="K194" i="22"/>
  <c r="AK83" i="5"/>
  <c r="AL83" i="5" s="1"/>
  <c r="AK122" i="5"/>
  <c r="AL122" i="5" s="1"/>
  <c r="AK64" i="5"/>
  <c r="AL64" i="5" s="1"/>
  <c r="AK152" i="5"/>
  <c r="AL152" i="5" s="1"/>
  <c r="G84" i="22"/>
  <c r="AB84" i="22" s="1"/>
  <c r="T169" i="22"/>
  <c r="T93" i="22"/>
  <c r="G74" i="22"/>
  <c r="I14" i="22"/>
  <c r="K120" i="22"/>
  <c r="AA162" i="22"/>
  <c r="J167" i="22"/>
  <c r="G255" i="22"/>
  <c r="AB255" i="22" s="1"/>
  <c r="J26" i="22"/>
  <c r="H64" i="22"/>
  <c r="T166" i="22"/>
  <c r="AA221" i="22"/>
  <c r="I179" i="22"/>
  <c r="AA47" i="22"/>
  <c r="G72" i="22"/>
  <c r="AB72" i="22" s="1"/>
  <c r="AC72" i="22" s="1"/>
  <c r="AK11" i="5"/>
  <c r="AL11" i="5" s="1"/>
  <c r="H277" i="22"/>
  <c r="Z277" i="22" s="1"/>
  <c r="AH145" i="4"/>
  <c r="AI145" i="4" s="1"/>
  <c r="AH75" i="4"/>
  <c r="AI75" i="4" s="1"/>
  <c r="G167" i="22"/>
  <c r="AB167" i="22" s="1"/>
  <c r="AB156" i="22"/>
  <c r="AC156" i="22" s="1"/>
  <c r="K156" i="22"/>
  <c r="K222" i="22"/>
  <c r="AB222" i="22"/>
  <c r="AC222" i="22" s="1"/>
  <c r="Z45" i="22"/>
  <c r="T45" i="22"/>
  <c r="Z214" i="22"/>
  <c r="T214" i="22"/>
  <c r="T290" i="22"/>
  <c r="H259" i="22"/>
  <c r="H239" i="22"/>
  <c r="Z239" i="22" s="1"/>
  <c r="I159" i="22"/>
  <c r="T128" i="22"/>
  <c r="I210" i="22"/>
  <c r="AA205" i="22"/>
  <c r="H88" i="22"/>
  <c r="Z88" i="22" s="1"/>
  <c r="H152" i="22"/>
  <c r="Z152" i="22" s="1"/>
  <c r="H48" i="22"/>
  <c r="H95" i="22"/>
  <c r="T95" i="22" s="1"/>
  <c r="G23" i="22"/>
  <c r="I107" i="22"/>
  <c r="G41" i="22"/>
  <c r="AA31" i="22"/>
  <c r="AK189" i="5"/>
  <c r="AL189" i="5" s="1"/>
  <c r="AH26" i="4"/>
  <c r="AI26" i="4" s="1"/>
  <c r="AH42" i="4"/>
  <c r="AI42" i="4" s="1"/>
  <c r="AH123" i="4"/>
  <c r="AI123" i="4" s="1"/>
  <c r="AH200" i="4"/>
  <c r="AI200" i="4" s="1"/>
  <c r="AA262" i="22"/>
  <c r="AC262" i="22" s="1"/>
  <c r="G304" i="22"/>
  <c r="AB304" i="22" s="1"/>
  <c r="J294" i="22"/>
  <c r="K294" i="22" s="1"/>
  <c r="AH11" i="4"/>
  <c r="AI11" i="4" s="1"/>
  <c r="AH27" i="4"/>
  <c r="AI27" i="4" s="1"/>
  <c r="AH139" i="4"/>
  <c r="AI139" i="4" s="1"/>
  <c r="AA231" i="22"/>
  <c r="H38" i="22"/>
  <c r="AA284" i="22"/>
  <c r="I22" i="22"/>
  <c r="T22" i="22" s="1"/>
  <c r="AK167" i="5"/>
  <c r="AL167" i="5" s="1"/>
  <c r="AC290" i="22"/>
  <c r="AA254" i="22"/>
  <c r="H164" i="22"/>
  <c r="H135" i="22"/>
  <c r="Z135" i="22" s="1"/>
  <c r="K102" i="22"/>
  <c r="AK47" i="5"/>
  <c r="AL47" i="5" s="1"/>
  <c r="AK10" i="5"/>
  <c r="AL10" i="5" s="1"/>
  <c r="AH12" i="4"/>
  <c r="AI12" i="4" s="1"/>
  <c r="AH28" i="4"/>
  <c r="AI28" i="4" s="1"/>
  <c r="AH155" i="4"/>
  <c r="AI155" i="4" s="1"/>
  <c r="L156" i="22"/>
  <c r="N156" i="22" s="1"/>
  <c r="I123" i="22"/>
  <c r="T123" i="22" s="1"/>
  <c r="AA275" i="22"/>
  <c r="H275" i="22"/>
  <c r="Z275" i="22" s="1"/>
  <c r="G301" i="22"/>
  <c r="AB301" i="22" s="1"/>
  <c r="P277" i="22"/>
  <c r="AC208" i="22"/>
  <c r="L214" i="22"/>
  <c r="N214" i="22" s="1"/>
  <c r="K200" i="22"/>
  <c r="H104" i="22"/>
  <c r="K100" i="22"/>
  <c r="J84" i="22"/>
  <c r="G85" i="22"/>
  <c r="AB85" i="22" s="1"/>
  <c r="G35" i="22"/>
  <c r="AH45" i="4"/>
  <c r="AI45" i="4" s="1"/>
  <c r="AH183" i="4"/>
  <c r="AI183" i="4" s="1"/>
  <c r="AA103" i="22"/>
  <c r="AA61" i="22"/>
  <c r="J61" i="22"/>
  <c r="H255" i="22"/>
  <c r="Z255" i="22" s="1"/>
  <c r="G233" i="22"/>
  <c r="K173" i="22"/>
  <c r="T179" i="22"/>
  <c r="H205" i="22"/>
  <c r="J149" i="22"/>
  <c r="K128" i="22"/>
  <c r="AA57" i="22"/>
  <c r="AA90" i="22"/>
  <c r="AC85" i="22"/>
  <c r="H19" i="22"/>
  <c r="Z19" i="22" s="1"/>
  <c r="AK21" i="5"/>
  <c r="AL21" i="5" s="1"/>
  <c r="AK114" i="5"/>
  <c r="AL114" i="5" s="1"/>
  <c r="K141" i="22"/>
  <c r="H35" i="22"/>
  <c r="Z35" i="22" s="1"/>
  <c r="AH199" i="4"/>
  <c r="AI199" i="4" s="1"/>
  <c r="J168" i="22"/>
  <c r="J191" i="22"/>
  <c r="G54" i="22"/>
  <c r="AB54" i="22" s="1"/>
  <c r="AC54" i="22" s="1"/>
  <c r="AC79" i="22"/>
  <c r="H233" i="22"/>
  <c r="Z233" i="22" s="1"/>
  <c r="H206" i="22"/>
  <c r="I35" i="22"/>
  <c r="I255" i="22"/>
  <c r="J253" i="22"/>
  <c r="K253" i="22" s="1"/>
  <c r="G240" i="22"/>
  <c r="AB240" i="22" s="1"/>
  <c r="G126" i="22"/>
  <c r="K126" i="22" s="1"/>
  <c r="K91" i="22"/>
  <c r="I62" i="22"/>
  <c r="AK99" i="5"/>
  <c r="AL99" i="5" s="1"/>
  <c r="J280" i="22"/>
  <c r="G250" i="22"/>
  <c r="K286" i="22"/>
  <c r="H73" i="22"/>
  <c r="I226" i="22"/>
  <c r="G177" i="22"/>
  <c r="AB177" i="22" s="1"/>
  <c r="J236" i="22"/>
  <c r="J210" i="22"/>
  <c r="G99" i="22"/>
  <c r="T100" i="22"/>
  <c r="I132" i="22"/>
  <c r="T47" i="22"/>
  <c r="I60" i="22"/>
  <c r="AK204" i="5"/>
  <c r="AL204" i="5" s="1"/>
  <c r="J22" i="22"/>
  <c r="K22" i="22" s="1"/>
  <c r="K272" i="22"/>
  <c r="J275" i="22"/>
  <c r="G161" i="22"/>
  <c r="AB161" i="22" s="1"/>
  <c r="K293" i="22"/>
  <c r="I287" i="22"/>
  <c r="J124" i="22"/>
  <c r="I126" i="22"/>
  <c r="J95" i="22"/>
  <c r="J56" i="22"/>
  <c r="AH59" i="4"/>
  <c r="AI59" i="4" s="1"/>
  <c r="AH170" i="4"/>
  <c r="AI170" i="4" s="1"/>
  <c r="AH182" i="4"/>
  <c r="AI182" i="4" s="1"/>
  <c r="H170" i="22"/>
  <c r="H224" i="22"/>
  <c r="Z224" i="22" s="1"/>
  <c r="J292" i="22"/>
  <c r="J206" i="22"/>
  <c r="J158" i="22"/>
  <c r="G209" i="22"/>
  <c r="J126" i="22"/>
  <c r="AK20" i="5"/>
  <c r="AL20" i="5" s="1"/>
  <c r="AK161" i="5"/>
  <c r="AL161" i="5" s="1"/>
  <c r="AH190" i="4"/>
  <c r="AI190" i="4" s="1"/>
  <c r="AA220" i="22"/>
  <c r="K167" i="22"/>
  <c r="H262" i="22"/>
  <c r="Z262" i="22" s="1"/>
  <c r="G281" i="22"/>
  <c r="I297" i="22"/>
  <c r="T297" i="22" s="1"/>
  <c r="H220" i="22"/>
  <c r="P220" i="22" s="1"/>
  <c r="AA116" i="22"/>
  <c r="H229" i="22"/>
  <c r="BK173" i="26"/>
  <c r="BG173" i="26"/>
  <c r="AK55" i="5"/>
  <c r="AL55" i="5" s="1"/>
  <c r="BJ173" i="26"/>
  <c r="BI173" i="26"/>
  <c r="BH173" i="26"/>
  <c r="H159" i="22"/>
  <c r="AC144" i="22"/>
  <c r="G19" i="22"/>
  <c r="AB19" i="22" s="1"/>
  <c r="AC19" i="22" s="1"/>
  <c r="K11" i="22"/>
  <c r="AC167" i="22"/>
  <c r="G169" i="22"/>
  <c r="AB169" i="22" s="1"/>
  <c r="AA280" i="22"/>
  <c r="AC280" i="22" s="1"/>
  <c r="I219" i="22"/>
  <c r="I105" i="22"/>
  <c r="AA27" i="22"/>
  <c r="AK173" i="5"/>
  <c r="AL173" i="5" s="1"/>
  <c r="AK38" i="5"/>
  <c r="AL38" i="5" s="1"/>
  <c r="AK112" i="5"/>
  <c r="AL112" i="5" s="1"/>
  <c r="AH25" i="4"/>
  <c r="AI25" i="4" s="1"/>
  <c r="AH41" i="4"/>
  <c r="AI41" i="4" s="1"/>
  <c r="AA188" i="22"/>
  <c r="AA94" i="22"/>
  <c r="H125" i="22"/>
  <c r="H79" i="22"/>
  <c r="T79" i="22" s="1"/>
  <c r="J289" i="22"/>
  <c r="J198" i="22"/>
  <c r="I198" i="22"/>
  <c r="H198" i="22"/>
  <c r="Z124" i="22"/>
  <c r="AA143" i="22"/>
  <c r="I143" i="22"/>
  <c r="G143" i="22"/>
  <c r="AB143" i="22" s="1"/>
  <c r="J21" i="22"/>
  <c r="G21" i="22"/>
  <c r="H189" i="22"/>
  <c r="Z61" i="22"/>
  <c r="T61" i="22"/>
  <c r="K269" i="22"/>
  <c r="L269" i="22"/>
  <c r="N269" i="22" s="1"/>
  <c r="AA259" i="22"/>
  <c r="G27" i="22"/>
  <c r="T230" i="22"/>
  <c r="Z230" i="22"/>
  <c r="J27" i="22"/>
  <c r="H27" i="22"/>
  <c r="Z27" i="22" s="1"/>
  <c r="I27" i="22"/>
  <c r="L252" i="22"/>
  <c r="N252" i="22" s="1"/>
  <c r="J197" i="22"/>
  <c r="G197" i="22"/>
  <c r="AB197" i="22" s="1"/>
  <c r="I197" i="22"/>
  <c r="H197" i="22"/>
  <c r="J134" i="22"/>
  <c r="AC291" i="22"/>
  <c r="AA267" i="22"/>
  <c r="AC267" i="22" s="1"/>
  <c r="J267" i="22"/>
  <c r="I267" i="22"/>
  <c r="G198" i="22"/>
  <c r="AB198" i="22" s="1"/>
  <c r="L140" i="22"/>
  <c r="AB140" i="22"/>
  <c r="AB106" i="22"/>
  <c r="AC106" i="22" s="1"/>
  <c r="G42" i="22"/>
  <c r="H42" i="22"/>
  <c r="J42" i="22"/>
  <c r="AA42" i="22"/>
  <c r="I42" i="22"/>
  <c r="J202" i="22"/>
  <c r="I202" i="22"/>
  <c r="AA202" i="22"/>
  <c r="H271" i="22"/>
  <c r="Z271" i="22" s="1"/>
  <c r="P269" i="22"/>
  <c r="H260" i="22"/>
  <c r="Z260" i="22" s="1"/>
  <c r="J260" i="22"/>
  <c r="I260" i="22"/>
  <c r="G260" i="22"/>
  <c r="K242" i="22"/>
  <c r="AA127" i="22"/>
  <c r="H127" i="22"/>
  <c r="Z127" i="22" s="1"/>
  <c r="AC97" i="22"/>
  <c r="H32" i="22"/>
  <c r="I32" i="22"/>
  <c r="G32" i="22"/>
  <c r="Z305" i="22"/>
  <c r="T305" i="22"/>
  <c r="BN66" i="26"/>
  <c r="BM66" i="26"/>
  <c r="BE253" i="26"/>
  <c r="BF253" i="26"/>
  <c r="BF125" i="26"/>
  <c r="BE125" i="26"/>
  <c r="BM163" i="26"/>
  <c r="BN163" i="26"/>
  <c r="BN68" i="26"/>
  <c r="BM68" i="26"/>
  <c r="BN193" i="26"/>
  <c r="BM193" i="26"/>
  <c r="BF216" i="26"/>
  <c r="BE216" i="26"/>
  <c r="BN34" i="26"/>
  <c r="BM34" i="26"/>
  <c r="BN59" i="26"/>
  <c r="BM59" i="26"/>
  <c r="BN260" i="26"/>
  <c r="BM260" i="26"/>
  <c r="BE115" i="26"/>
  <c r="BF115" i="26"/>
  <c r="BM121" i="26"/>
  <c r="BN121" i="26"/>
  <c r="BF188" i="26"/>
  <c r="BE188" i="26"/>
  <c r="BF72" i="26"/>
  <c r="BE72" i="26"/>
  <c r="BR299" i="26"/>
  <c r="BQ299" i="26"/>
  <c r="BP299" i="26"/>
  <c r="P116" i="22"/>
  <c r="AB116" i="22"/>
  <c r="AC116" i="22" s="1"/>
  <c r="K231" i="22"/>
  <c r="H180" i="22"/>
  <c r="AA187" i="22"/>
  <c r="AC187" i="22" s="1"/>
  <c r="H187" i="22"/>
  <c r="I187" i="22"/>
  <c r="G187" i="22"/>
  <c r="AB187" i="22" s="1"/>
  <c r="J25" i="22"/>
  <c r="I25" i="22"/>
  <c r="G25" i="22"/>
  <c r="AB25" i="22" s="1"/>
  <c r="I218" i="22"/>
  <c r="J218" i="22"/>
  <c r="G218" i="22"/>
  <c r="Z160" i="22"/>
  <c r="T160" i="22"/>
  <c r="I281" i="22"/>
  <c r="AA281" i="22"/>
  <c r="L304" i="22"/>
  <c r="J281" i="22"/>
  <c r="K281" i="22" s="1"/>
  <c r="J136" i="22"/>
  <c r="I136" i="22"/>
  <c r="AA136" i="22"/>
  <c r="K72" i="22"/>
  <c r="L72" i="22"/>
  <c r="N72" i="22" s="1"/>
  <c r="G176" i="22"/>
  <c r="I176" i="22"/>
  <c r="I259" i="22"/>
  <c r="J259" i="22"/>
  <c r="G190" i="22"/>
  <c r="AB190" i="22" s="1"/>
  <c r="I190" i="22"/>
  <c r="K165" i="22"/>
  <c r="P165" i="22"/>
  <c r="H82" i="22"/>
  <c r="Z82" i="22" s="1"/>
  <c r="J82" i="22"/>
  <c r="K82" i="22" s="1"/>
  <c r="I82" i="22"/>
  <c r="T82" i="22" s="1"/>
  <c r="G82" i="22"/>
  <c r="I102" i="22"/>
  <c r="H102" i="22"/>
  <c r="Z102" i="22" s="1"/>
  <c r="J300" i="22"/>
  <c r="G300" i="22"/>
  <c r="L300" i="22" s="1"/>
  <c r="H270" i="22"/>
  <c r="I270" i="22"/>
  <c r="AA63" i="22"/>
  <c r="H63" i="22"/>
  <c r="AB74" i="22"/>
  <c r="J291" i="22"/>
  <c r="K291" i="22" s="1"/>
  <c r="I291" i="22"/>
  <c r="AA261" i="22"/>
  <c r="I300" i="22"/>
  <c r="T300" i="22" s="1"/>
  <c r="Z192" i="22"/>
  <c r="T192" i="22"/>
  <c r="G57" i="22"/>
  <c r="H57" i="22"/>
  <c r="I57" i="22"/>
  <c r="I74" i="22"/>
  <c r="BR238" i="26"/>
  <c r="BQ238" i="26"/>
  <c r="BP238" i="26"/>
  <c r="I278" i="22"/>
  <c r="K255" i="22"/>
  <c r="G261" i="22"/>
  <c r="K261" i="22" s="1"/>
  <c r="J240" i="22"/>
  <c r="AC252" i="22"/>
  <c r="H212" i="22"/>
  <c r="J96" i="22"/>
  <c r="H115" i="22"/>
  <c r="Z115" i="22" s="1"/>
  <c r="H134" i="22"/>
  <c r="G132" i="22"/>
  <c r="AB132" i="22" s="1"/>
  <c r="T84" i="22"/>
  <c r="P83" i="22"/>
  <c r="H109" i="22"/>
  <c r="I85" i="22"/>
  <c r="T85" i="22" s="1"/>
  <c r="G36" i="22"/>
  <c r="J30" i="22"/>
  <c r="AK49" i="5"/>
  <c r="AL49" i="5" s="1"/>
  <c r="BS299" i="26"/>
  <c r="BO299" i="26"/>
  <c r="J305" i="22"/>
  <c r="J204" i="22"/>
  <c r="K204" i="22" s="1"/>
  <c r="G160" i="22"/>
  <c r="J182" i="22"/>
  <c r="AK39" i="5"/>
  <c r="AL39" i="5" s="1"/>
  <c r="K283" i="22"/>
  <c r="T295" i="22"/>
  <c r="I172" i="22"/>
  <c r="I173" i="22"/>
  <c r="I104" i="22"/>
  <c r="AA59" i="22"/>
  <c r="J85" i="22"/>
  <c r="H107" i="22"/>
  <c r="I40" i="22"/>
  <c r="H78" i="22"/>
  <c r="Z78" i="22" s="1"/>
  <c r="I31" i="22"/>
  <c r="AH85" i="4"/>
  <c r="AI85" i="4" s="1"/>
  <c r="BS280" i="26"/>
  <c r="BO280" i="26"/>
  <c r="AA246" i="22"/>
  <c r="AC266" i="22"/>
  <c r="AA166" i="22"/>
  <c r="I11" i="22"/>
  <c r="P20" i="22"/>
  <c r="L20" i="22"/>
  <c r="N20" i="22" s="1"/>
  <c r="AB20" i="22"/>
  <c r="AC20" i="22" s="1"/>
  <c r="AK23" i="5"/>
  <c r="AL23" i="5" s="1"/>
  <c r="H195" i="22"/>
  <c r="Z195" i="22" s="1"/>
  <c r="T204" i="22"/>
  <c r="I209" i="22"/>
  <c r="T89" i="22"/>
  <c r="J117" i="22"/>
  <c r="K117" i="22" s="1"/>
  <c r="J31" i="22"/>
  <c r="AH101" i="4"/>
  <c r="AI101" i="4" s="1"/>
  <c r="BR280" i="26"/>
  <c r="BQ280" i="26"/>
  <c r="BP280" i="26"/>
  <c r="H218" i="22"/>
  <c r="AA26" i="22"/>
  <c r="G206" i="22"/>
  <c r="G210" i="22"/>
  <c r="AB210" i="22" s="1"/>
  <c r="I150" i="22"/>
  <c r="H99" i="22"/>
  <c r="AA135" i="22"/>
  <c r="J9" i="22"/>
  <c r="H9" i="22"/>
  <c r="AH117" i="4"/>
  <c r="AI117" i="4" s="1"/>
  <c r="BK70" i="26"/>
  <c r="BG70" i="26"/>
  <c r="T20" i="22"/>
  <c r="Z20" i="22"/>
  <c r="T269" i="22"/>
  <c r="P222" i="22"/>
  <c r="AC304" i="22"/>
  <c r="AC272" i="22"/>
  <c r="L241" i="22"/>
  <c r="G178" i="22"/>
  <c r="T97" i="22"/>
  <c r="I135" i="22"/>
  <c r="AA115" i="22"/>
  <c r="J90" i="22"/>
  <c r="J107" i="22"/>
  <c r="K54" i="22"/>
  <c r="AK91" i="5"/>
  <c r="AL91" i="5" s="1"/>
  <c r="AK100" i="5"/>
  <c r="AL100" i="5" s="1"/>
  <c r="AH133" i="4"/>
  <c r="AI133" i="4" s="1"/>
  <c r="AH52" i="4"/>
  <c r="AI52" i="4" s="1"/>
  <c r="AH71" i="4"/>
  <c r="AI71" i="4" s="1"/>
  <c r="AH48" i="4"/>
  <c r="AI48" i="4" s="1"/>
  <c r="AH167" i="4"/>
  <c r="AI167" i="4" s="1"/>
  <c r="BJ70" i="26"/>
  <c r="BI70" i="26"/>
  <c r="BH70" i="26"/>
  <c r="J243" i="22"/>
  <c r="G297" i="22"/>
  <c r="G168" i="22"/>
  <c r="J32" i="22"/>
  <c r="K32" i="22" s="1"/>
  <c r="AA32" i="22"/>
  <c r="G273" i="22"/>
  <c r="AC169" i="22"/>
  <c r="AC83" i="22"/>
  <c r="AH149" i="4"/>
  <c r="AI149" i="4" s="1"/>
  <c r="AH87" i="4"/>
  <c r="AI87" i="4" s="1"/>
  <c r="AH193" i="4"/>
  <c r="AI193" i="4" s="1"/>
  <c r="BK43" i="26"/>
  <c r="BG43" i="26"/>
  <c r="J137" i="22"/>
  <c r="I137" i="22"/>
  <c r="H137" i="22"/>
  <c r="G137" i="22"/>
  <c r="AB64" i="22"/>
  <c r="AC64" i="22" s="1"/>
  <c r="AA137" i="22"/>
  <c r="AK29" i="5"/>
  <c r="AL29" i="5" s="1"/>
  <c r="AK160" i="5"/>
  <c r="AL160" i="5" s="1"/>
  <c r="AK116" i="5"/>
  <c r="AL116" i="5" s="1"/>
  <c r="AK145" i="5"/>
  <c r="AL145" i="5" s="1"/>
  <c r="AH165" i="4"/>
  <c r="AI165" i="4" s="1"/>
  <c r="AH103" i="4"/>
  <c r="AI103" i="4" s="1"/>
  <c r="AH64" i="4"/>
  <c r="AI64" i="4" s="1"/>
  <c r="BJ43" i="26"/>
  <c r="BI43" i="26"/>
  <c r="BH43" i="26"/>
  <c r="H12" i="22"/>
  <c r="G26" i="22"/>
  <c r="K26" i="22" s="1"/>
  <c r="Z49" i="22"/>
  <c r="J65" i="22"/>
  <c r="I65" i="22"/>
  <c r="T65" i="22" s="1"/>
  <c r="I26" i="22"/>
  <c r="H167" i="22"/>
  <c r="H304" i="22"/>
  <c r="Z304" i="22" s="1"/>
  <c r="AA287" i="22"/>
  <c r="L169" i="22"/>
  <c r="N169" i="22" s="1"/>
  <c r="AA197" i="22"/>
  <c r="AC197" i="22" s="1"/>
  <c r="T83" i="22"/>
  <c r="T294" i="22"/>
  <c r="G268" i="22"/>
  <c r="AB268" i="22" s="1"/>
  <c r="K257" i="22"/>
  <c r="J226" i="22"/>
  <c r="J239" i="22"/>
  <c r="J186" i="22"/>
  <c r="L165" i="22"/>
  <c r="J97" i="22"/>
  <c r="L141" i="22"/>
  <c r="J132" i="22"/>
  <c r="H90" i="22"/>
  <c r="AA67" i="22"/>
  <c r="J67" i="22"/>
  <c r="AA76" i="22"/>
  <c r="K45" i="22"/>
  <c r="AA40" i="22"/>
  <c r="AK205" i="5"/>
  <c r="AL205" i="5" s="1"/>
  <c r="AH119" i="4"/>
  <c r="AI119" i="4" s="1"/>
  <c r="K266" i="22"/>
  <c r="I133" i="22"/>
  <c r="T133" i="22" s="1"/>
  <c r="G49" i="22"/>
  <c r="K49" i="22" s="1"/>
  <c r="I201" i="22"/>
  <c r="T201" i="22" s="1"/>
  <c r="AA168" i="22"/>
  <c r="I273" i="22"/>
  <c r="T273" i="22" s="1"/>
  <c r="AK51" i="5"/>
  <c r="AL51" i="5" s="1"/>
  <c r="P265" i="22"/>
  <c r="K169" i="22"/>
  <c r="AC140" i="22"/>
  <c r="H161" i="22"/>
  <c r="AC93" i="22"/>
  <c r="G135" i="22"/>
  <c r="H131" i="22"/>
  <c r="Z131" i="22" s="1"/>
  <c r="T72" i="22"/>
  <c r="T53" i="22"/>
  <c r="J40" i="22"/>
  <c r="AK5" i="5"/>
  <c r="AL5" i="5" s="1"/>
  <c r="AK166" i="5"/>
  <c r="AL166" i="5" s="1"/>
  <c r="AH135" i="4"/>
  <c r="AI135" i="4" s="1"/>
  <c r="AB244" i="22"/>
  <c r="AC244" i="22" s="1"/>
  <c r="P244" i="22"/>
  <c r="G215" i="22"/>
  <c r="AA179" i="22"/>
  <c r="G179" i="22"/>
  <c r="AA123" i="22"/>
  <c r="K64" i="22"/>
  <c r="J201" i="22"/>
  <c r="K201" i="22" s="1"/>
  <c r="I257" i="22"/>
  <c r="AK105" i="5"/>
  <c r="AL105" i="5" s="1"/>
  <c r="AK16" i="5"/>
  <c r="AL16" i="5" s="1"/>
  <c r="AK146" i="5"/>
  <c r="AL146" i="5" s="1"/>
  <c r="AK134" i="5"/>
  <c r="AL134" i="5" s="1"/>
  <c r="AK14" i="5"/>
  <c r="AL14" i="5" s="1"/>
  <c r="AH151" i="4"/>
  <c r="AI151" i="4" s="1"/>
  <c r="AH5" i="4"/>
  <c r="AI5" i="4" s="1"/>
  <c r="AH21" i="4"/>
  <c r="AI21" i="4" s="1"/>
  <c r="AH37" i="4"/>
  <c r="AI37" i="4" s="1"/>
  <c r="I215" i="22"/>
  <c r="I147" i="22"/>
  <c r="G147" i="22"/>
  <c r="J147" i="22"/>
  <c r="AA191" i="22"/>
  <c r="AC263" i="22"/>
  <c r="J179" i="22"/>
  <c r="AH171" i="4"/>
  <c r="AI171" i="4" s="1"/>
  <c r="I49" i="22"/>
  <c r="T49" i="22" s="1"/>
  <c r="H238" i="22"/>
  <c r="Z238" i="22" s="1"/>
  <c r="H210" i="22"/>
  <c r="Z210" i="22" s="1"/>
  <c r="G202" i="22"/>
  <c r="AA21" i="22"/>
  <c r="AK30" i="5"/>
  <c r="AL30" i="5" s="1"/>
  <c r="AH7" i="4"/>
  <c r="AI7" i="4" s="1"/>
  <c r="AH23" i="4"/>
  <c r="AI23" i="4" s="1"/>
  <c r="AH39" i="4"/>
  <c r="AI39" i="4" s="1"/>
  <c r="AH205" i="4"/>
  <c r="AI205" i="4" s="1"/>
  <c r="AA302" i="22"/>
  <c r="G302" i="22"/>
  <c r="K302" i="22" s="1"/>
  <c r="H26" i="22"/>
  <c r="J284" i="22"/>
  <c r="I262" i="22"/>
  <c r="T262" i="22" s="1"/>
  <c r="H219" i="22"/>
  <c r="T219" i="22" s="1"/>
  <c r="L194" i="22"/>
  <c r="N194" i="22" s="1"/>
  <c r="AC190" i="22"/>
  <c r="J159" i="22"/>
  <c r="L159" i="22" s="1"/>
  <c r="N159" i="22" s="1"/>
  <c r="AC165" i="22"/>
  <c r="AC161" i="22"/>
  <c r="H126" i="22"/>
  <c r="AK198" i="5"/>
  <c r="AL198" i="5" s="1"/>
  <c r="AH195" i="4"/>
  <c r="AI195" i="4" s="1"/>
  <c r="AH40" i="4"/>
  <c r="AI40" i="4" s="1"/>
  <c r="AH161" i="4"/>
  <c r="AI161" i="4" s="1"/>
  <c r="AH91" i="4"/>
  <c r="AI91" i="4" s="1"/>
  <c r="AH184" i="4"/>
  <c r="AI184" i="4" s="1"/>
  <c r="L167" i="22"/>
  <c r="N167" i="22" s="1"/>
  <c r="I170" i="22"/>
  <c r="J123" i="22"/>
  <c r="K123" i="22" s="1"/>
  <c r="G207" i="22"/>
  <c r="AB207" i="22" s="1"/>
  <c r="AC207" i="22" s="1"/>
  <c r="AC255" i="22"/>
  <c r="T207" i="22"/>
  <c r="K236" i="22"/>
  <c r="J110" i="22"/>
  <c r="AC86" i="22"/>
  <c r="K38" i="22"/>
  <c r="G9" i="22"/>
  <c r="T35" i="22"/>
  <c r="H21" i="22"/>
  <c r="Z21" i="22" s="1"/>
  <c r="AA9" i="22"/>
  <c r="AK131" i="5"/>
  <c r="AL131" i="5" s="1"/>
  <c r="AK82" i="5"/>
  <c r="AL82" i="5" s="1"/>
  <c r="AK178" i="5"/>
  <c r="AL178" i="5" s="1"/>
  <c r="BS238" i="26"/>
  <c r="BO238" i="26"/>
  <c r="H147" i="22"/>
  <c r="AA283" i="22"/>
  <c r="H283" i="22"/>
  <c r="J221" i="22"/>
  <c r="K221" i="22" s="1"/>
  <c r="AA201" i="22"/>
  <c r="AC133" i="22"/>
  <c r="T120" i="22"/>
  <c r="Z120" i="22"/>
  <c r="H191" i="22"/>
  <c r="I46" i="22"/>
  <c r="AA170" i="22"/>
  <c r="E11" i="29" a="1"/>
  <c r="E11" i="29" s="1"/>
  <c r="AF457" i="16" a="1"/>
  <c r="AF457" i="16" s="1"/>
  <c r="AF257" i="16" a="1"/>
  <c r="AF257" i="16" s="1"/>
  <c r="AH312" i="16"/>
  <c r="X312" i="16" s="1"/>
  <c r="AF274" i="16" a="1"/>
  <c r="AF274" i="16" s="1"/>
  <c r="AH165" i="16"/>
  <c r="X165" i="16" s="1"/>
  <c r="AF321" i="16" a="1"/>
  <c r="AF321" i="16" s="1"/>
  <c r="X321" i="16"/>
  <c r="AF231" i="16" a="1"/>
  <c r="AF231" i="16" s="1"/>
  <c r="AH181" i="16"/>
  <c r="U181" i="16" s="1"/>
  <c r="V181" i="16" s="1"/>
  <c r="AK181" i="16" s="1"/>
  <c r="AH225" i="16"/>
  <c r="U225" i="16" s="1"/>
  <c r="V225" i="16" s="1"/>
  <c r="AK225" i="16" s="1"/>
  <c r="AH306" i="16"/>
  <c r="T306" i="16" s="1"/>
  <c r="AF337" i="16" a="1"/>
  <c r="AF337" i="16" s="1"/>
  <c r="AF377" i="16" a="1"/>
  <c r="AF377" i="16" s="1"/>
  <c r="AF53" i="16" a="1"/>
  <c r="AF53" i="16" s="1"/>
  <c r="AF342" i="16" a="1"/>
  <c r="AF342" i="16" s="1"/>
  <c r="AH328" i="16"/>
  <c r="X328" i="16" s="1"/>
  <c r="AF353" i="16" a="1"/>
  <c r="AF353" i="16" s="1"/>
  <c r="AF247" i="16" a="1"/>
  <c r="AF247" i="16" s="1"/>
  <c r="AH393" i="16"/>
  <c r="X393" i="16" s="1"/>
  <c r="AH197" i="16"/>
  <c r="U197" i="16" s="1"/>
  <c r="V197" i="16" s="1"/>
  <c r="AK197" i="16" s="1"/>
  <c r="AH344" i="16"/>
  <c r="X344" i="16" s="1"/>
  <c r="AH212" i="16"/>
  <c r="X212" i="16" s="1"/>
  <c r="AF193" i="16" a="1"/>
  <c r="AF193" i="16" s="1"/>
  <c r="AH149" i="16"/>
  <c r="U149" i="16" s="1"/>
  <c r="V149" i="16" s="1"/>
  <c r="AJ149" i="16" s="1"/>
  <c r="AF305" i="16" a="1"/>
  <c r="AF305" i="16" s="1"/>
  <c r="AH273" i="16"/>
  <c r="U273" i="16" s="1"/>
  <c r="V273" i="16" s="1"/>
  <c r="AJ273" i="16" s="1"/>
  <c r="AF326" i="16" a="1"/>
  <c r="AF326" i="16" s="1"/>
  <c r="AF241" i="16" a="1"/>
  <c r="AF241" i="16" s="1"/>
  <c r="AF161" i="16" a="1"/>
  <c r="AF161" i="16" s="1"/>
  <c r="U321" i="16"/>
  <c r="V321" i="16" s="1"/>
  <c r="AK321" i="16" s="1"/>
  <c r="AF145" i="16" a="1"/>
  <c r="AF145" i="16" s="1"/>
  <c r="AH230" i="16"/>
  <c r="U230" i="16" s="1"/>
  <c r="V230" i="16" s="1"/>
  <c r="AK230" i="16" s="1"/>
  <c r="AF289" i="16" a="1"/>
  <c r="AF289" i="16" s="1"/>
  <c r="T337" i="16"/>
  <c r="X457" i="16"/>
  <c r="U457" i="16"/>
  <c r="V457" i="16" s="1"/>
  <c r="AJ457" i="16" s="1"/>
  <c r="U337" i="16"/>
  <c r="V337" i="16" s="1"/>
  <c r="AK337" i="16" s="1"/>
  <c r="X145" i="16"/>
  <c r="U145" i="16"/>
  <c r="V145" i="16" s="1"/>
  <c r="AK145" i="16" s="1"/>
  <c r="U369" i="16"/>
  <c r="V369" i="16" s="1"/>
  <c r="AJ369" i="16" s="1"/>
  <c r="T369" i="16"/>
  <c r="AF222" i="16" a="1"/>
  <c r="AF222" i="16" s="1"/>
  <c r="AF422" i="16" a="1"/>
  <c r="AF422" i="16" s="1"/>
  <c r="AF209" i="16" a="1"/>
  <c r="AF209" i="16" s="1"/>
  <c r="AF408" i="16" a="1"/>
  <c r="AF408" i="16" s="1"/>
  <c r="AF177" i="16" a="1"/>
  <c r="AF177" i="16" s="1"/>
  <c r="AH133" i="16"/>
  <c r="T133" i="16" s="1"/>
  <c r="AH168" i="16"/>
  <c r="AF168" i="16" a="1"/>
  <c r="AF168" i="16" s="1"/>
  <c r="X222" i="16"/>
  <c r="AF369" i="16" a="1"/>
  <c r="AF369" i="16" s="1"/>
  <c r="AH456" i="16"/>
  <c r="U456" i="16" s="1"/>
  <c r="V456" i="16" s="1"/>
  <c r="AK456" i="16" s="1"/>
  <c r="AF438" i="16" a="1"/>
  <c r="AF438" i="16" s="1"/>
  <c r="U222" i="16"/>
  <c r="V222" i="16" s="1"/>
  <c r="AK222" i="16" s="1"/>
  <c r="AF129" i="16" a="1"/>
  <c r="AF129" i="16" s="1"/>
  <c r="AH246" i="16"/>
  <c r="T246" i="16" s="1"/>
  <c r="AF378" i="16" a="1"/>
  <c r="AF378" i="16" s="1"/>
  <c r="AH378" i="16"/>
  <c r="AF392" i="16" a="1"/>
  <c r="AF392" i="16" s="1"/>
  <c r="B10" i="29" a="1"/>
  <c r="B10" i="29" s="1"/>
  <c r="B7" i="29" a="1"/>
  <c r="B7" i="29" s="1"/>
  <c r="B23" i="29" s="1"/>
  <c r="X177" i="16"/>
  <c r="AP24" i="16"/>
  <c r="T326" i="16"/>
  <c r="T231" i="16"/>
  <c r="X231" i="16"/>
  <c r="AJ231" i="16"/>
  <c r="AR22" i="16"/>
  <c r="X209" i="16"/>
  <c r="T209" i="16"/>
  <c r="U326" i="16"/>
  <c r="V326" i="16" s="1"/>
  <c r="AJ326" i="16" s="1"/>
  <c r="T353" i="16"/>
  <c r="U353" i="16"/>
  <c r="V353" i="16" s="1"/>
  <c r="AJ353" i="16" s="1"/>
  <c r="AJ342" i="16"/>
  <c r="T342" i="16"/>
  <c r="X342" i="16"/>
  <c r="X129" i="16"/>
  <c r="AH8" i="16"/>
  <c r="X8" i="16" s="1"/>
  <c r="AF50" i="16" a="1"/>
  <c r="AF50" i="16" s="1"/>
  <c r="AH50" i="16"/>
  <c r="AH99" i="16"/>
  <c r="AF99" i="16" a="1"/>
  <c r="AF99" i="16" s="1"/>
  <c r="AH47" i="16"/>
  <c r="AF47" i="16" a="1"/>
  <c r="AF47" i="16" s="1"/>
  <c r="AH103" i="16"/>
  <c r="AF103" i="16" a="1"/>
  <c r="AF103" i="16" s="1"/>
  <c r="AF59" i="16" a="1"/>
  <c r="AF59" i="16" s="1"/>
  <c r="AH59" i="16"/>
  <c r="AF76" i="16" a="1"/>
  <c r="AF76" i="16" s="1"/>
  <c r="AH76" i="16"/>
  <c r="AF106" i="16" a="1"/>
  <c r="AF106" i="16" s="1"/>
  <c r="AH106" i="16"/>
  <c r="AF98" i="16" a="1"/>
  <c r="AF98" i="16" s="1"/>
  <c r="AH98" i="16"/>
  <c r="AF56" i="16" a="1"/>
  <c r="AF56" i="16" s="1"/>
  <c r="AH56" i="16"/>
  <c r="AH71" i="16"/>
  <c r="AF71" i="16" a="1"/>
  <c r="AF71" i="16" s="1"/>
  <c r="AH75" i="16"/>
  <c r="AF75" i="16" a="1"/>
  <c r="AF75" i="16" s="1"/>
  <c r="AH102" i="16"/>
  <c r="AF102" i="16" a="1"/>
  <c r="AF102" i="16" s="1"/>
  <c r="AH60" i="16"/>
  <c r="AF60" i="16" a="1"/>
  <c r="AF60" i="16" s="1"/>
  <c r="AH63" i="16"/>
  <c r="AF63" i="16" a="1"/>
  <c r="AF63" i="16" s="1"/>
  <c r="AF68" i="16" a="1"/>
  <c r="AF68" i="16" s="1"/>
  <c r="AH68" i="16"/>
  <c r="AH83" i="16"/>
  <c r="AF83" i="16" a="1"/>
  <c r="AF83" i="16" s="1"/>
  <c r="AH101" i="16"/>
  <c r="AF101" i="16" a="1"/>
  <c r="AF101" i="16" s="1"/>
  <c r="AH61" i="16"/>
  <c r="AF61" i="16" a="1"/>
  <c r="AF61" i="16" s="1"/>
  <c r="AF120" i="16" a="1"/>
  <c r="AF120" i="16" s="1"/>
  <c r="AH120" i="16"/>
  <c r="AF78" i="16" a="1"/>
  <c r="AF78" i="16" s="1"/>
  <c r="AH78" i="16"/>
  <c r="AH81" i="16"/>
  <c r="AF81" i="16" a="1"/>
  <c r="AF81" i="16" s="1"/>
  <c r="AH111" i="16"/>
  <c r="AF111" i="16" a="1"/>
  <c r="AF111" i="16" s="1"/>
  <c r="AH80" i="16"/>
  <c r="AF80" i="16" a="1"/>
  <c r="AF80" i="16" s="1"/>
  <c r="AH113" i="16"/>
  <c r="AF113" i="16" a="1"/>
  <c r="AF113" i="16" s="1"/>
  <c r="AF58" i="16" a="1"/>
  <c r="AF58" i="16" s="1"/>
  <c r="AH58" i="16"/>
  <c r="AF100" i="16" a="1"/>
  <c r="AF100" i="16" s="1"/>
  <c r="AH100" i="16"/>
  <c r="AH119" i="16"/>
  <c r="AF119" i="16" a="1"/>
  <c r="AF119" i="16" s="1"/>
  <c r="U67" i="16"/>
  <c r="V67" i="16" s="1"/>
  <c r="T67" i="16"/>
  <c r="X67" i="16"/>
  <c r="AF55" i="16" a="1"/>
  <c r="AF55" i="16" s="1"/>
  <c r="AH55" i="16"/>
  <c r="AH51" i="16"/>
  <c r="AF51" i="16" a="1"/>
  <c r="AF51" i="16" s="1"/>
  <c r="AF89" i="16" a="1"/>
  <c r="AF89" i="16" s="1"/>
  <c r="AH89" i="16"/>
  <c r="AF92" i="16" a="1"/>
  <c r="AF92" i="16" s="1"/>
  <c r="AH92" i="16"/>
  <c r="AH93" i="16"/>
  <c r="AF93" i="16" a="1"/>
  <c r="AF93" i="16" s="1"/>
  <c r="AH114" i="16"/>
  <c r="AF114" i="16" a="1"/>
  <c r="AF114" i="16" s="1"/>
  <c r="X53" i="16"/>
  <c r="U53" i="16"/>
  <c r="V53" i="16" s="1"/>
  <c r="T53" i="16"/>
  <c r="AF73" i="16" a="1"/>
  <c r="AF73" i="16" s="1"/>
  <c r="AH73" i="16"/>
  <c r="AF74" i="16" a="1"/>
  <c r="AF74" i="16" s="1"/>
  <c r="AH74" i="16"/>
  <c r="AH97" i="16"/>
  <c r="AF97" i="16" a="1"/>
  <c r="AF97" i="16" s="1"/>
  <c r="AF91" i="16" a="1"/>
  <c r="AF91" i="16" s="1"/>
  <c r="AH91" i="16"/>
  <c r="AF118" i="16" a="1"/>
  <c r="AF118" i="16" s="1"/>
  <c r="AH118" i="16"/>
  <c r="AH52" i="16"/>
  <c r="AF52" i="16" a="1"/>
  <c r="AF52" i="16" s="1"/>
  <c r="AH85" i="16"/>
  <c r="AF85" i="16" a="1"/>
  <c r="AF85" i="16" s="1"/>
  <c r="AF90" i="16" a="1"/>
  <c r="AF90" i="16" s="1"/>
  <c r="AH90" i="16"/>
  <c r="AF62" i="16" a="1"/>
  <c r="AF62" i="16" s="1"/>
  <c r="AH62" i="16"/>
  <c r="AF105" i="16" a="1"/>
  <c r="AF105" i="16" s="1"/>
  <c r="AH105" i="16"/>
  <c r="AH77" i="16"/>
  <c r="AF77" i="16" a="1"/>
  <c r="AF77" i="16" s="1"/>
  <c r="AF64" i="16" a="1"/>
  <c r="AF64" i="16" s="1"/>
  <c r="AH64" i="16"/>
  <c r="AF94" i="16" a="1"/>
  <c r="AF94" i="16" s="1"/>
  <c r="AH94" i="16"/>
  <c r="AH70" i="16"/>
  <c r="AF70" i="16" a="1"/>
  <c r="AF70" i="16" s="1"/>
  <c r="AF72" i="16" a="1"/>
  <c r="AF72" i="16" s="1"/>
  <c r="AH72" i="16"/>
  <c r="AH87" i="16"/>
  <c r="AF87" i="16" a="1"/>
  <c r="AF87" i="16" s="1"/>
  <c r="AH117" i="16"/>
  <c r="AF117" i="16" a="1"/>
  <c r="AF117" i="16" s="1"/>
  <c r="AH49" i="16"/>
  <c r="AF49" i="16" a="1"/>
  <c r="AF49" i="16" s="1"/>
  <c r="AH65" i="16"/>
  <c r="AF65" i="16" a="1"/>
  <c r="AF65" i="16" s="1"/>
  <c r="AF108" i="16" a="1"/>
  <c r="AF108" i="16" s="1"/>
  <c r="AH108" i="16"/>
  <c r="AF66" i="16" a="1"/>
  <c r="AF66" i="16" s="1"/>
  <c r="AH66" i="16"/>
  <c r="AF57" i="16" a="1"/>
  <c r="AF57" i="16" s="1"/>
  <c r="AH57" i="16"/>
  <c r="AH104" i="16"/>
  <c r="AF104" i="16" a="1"/>
  <c r="AF104" i="16" s="1"/>
  <c r="AH82" i="16"/>
  <c r="AF82" i="16" a="1"/>
  <c r="AF82" i="16" s="1"/>
  <c r="AH88" i="16"/>
  <c r="AF88" i="16" a="1"/>
  <c r="AF88" i="16" s="1"/>
  <c r="AH107" i="16"/>
  <c r="AF107" i="16" a="1"/>
  <c r="AF107" i="16" s="1"/>
  <c r="AF54" i="16" a="1"/>
  <c r="AF54" i="16" s="1"/>
  <c r="AH54" i="16"/>
  <c r="AF84" i="16" a="1"/>
  <c r="AF84" i="16" s="1"/>
  <c r="AH84" i="16"/>
  <c r="AF86" i="16" a="1"/>
  <c r="AF86" i="16" s="1"/>
  <c r="AH86" i="16"/>
  <c r="AF116" i="16" a="1"/>
  <c r="AF116" i="16" s="1"/>
  <c r="AH116" i="16"/>
  <c r="AH95" i="16"/>
  <c r="AF95" i="16" a="1"/>
  <c r="AF95" i="16" s="1"/>
  <c r="AH69" i="16"/>
  <c r="AF69" i="16" a="1"/>
  <c r="AF69" i="16" s="1"/>
  <c r="AH115" i="16"/>
  <c r="AF115" i="16" a="1"/>
  <c r="AF115" i="16" s="1"/>
  <c r="AH79" i="16"/>
  <c r="AF79" i="16" a="1"/>
  <c r="AF79" i="16" s="1"/>
  <c r="AH109" i="16"/>
  <c r="AF109" i="16" a="1"/>
  <c r="AF109" i="16" s="1"/>
  <c r="AF110" i="16" a="1"/>
  <c r="AF110" i="16" s="1"/>
  <c r="AH110" i="16"/>
  <c r="AF96" i="16" a="1"/>
  <c r="AF96" i="16" s="1"/>
  <c r="AH96" i="16"/>
  <c r="AF48" i="16" a="1"/>
  <c r="AF48" i="16" s="1"/>
  <c r="AH48" i="16"/>
  <c r="AH112" i="16"/>
  <c r="AF112" i="16" a="1"/>
  <c r="AF112" i="16" s="1"/>
  <c r="T161" i="16"/>
  <c r="U161" i="16"/>
  <c r="V161" i="16" s="1"/>
  <c r="AJ161" i="16" s="1"/>
  <c r="AJ129" i="16"/>
  <c r="U177" i="16"/>
  <c r="V177" i="16" s="1"/>
  <c r="AK177" i="16" s="1"/>
  <c r="T129" i="16"/>
  <c r="U459" i="16"/>
  <c r="V459" i="16" s="1"/>
  <c r="AJ459" i="16" s="1"/>
  <c r="T459" i="16"/>
  <c r="U193" i="16"/>
  <c r="V193" i="16" s="1"/>
  <c r="AK193" i="16" s="1"/>
  <c r="T193" i="16"/>
  <c r="AL22" i="16"/>
  <c r="AH184" i="16"/>
  <c r="AF184" i="16" a="1"/>
  <c r="AF184" i="16" s="1"/>
  <c r="AH232" i="16"/>
  <c r="AF232" i="16" a="1"/>
  <c r="AF232" i="16" s="1"/>
  <c r="AH136" i="16"/>
  <c r="AF136" i="16" a="1"/>
  <c r="AF136" i="16" s="1"/>
  <c r="AH264" i="16"/>
  <c r="AF264" i="16" a="1"/>
  <c r="AF264" i="16" s="1"/>
  <c r="AR24" i="16"/>
  <c r="AL24" i="16"/>
  <c r="AN24" i="16"/>
  <c r="AH280" i="16"/>
  <c r="AF280" i="16" a="1"/>
  <c r="AF280" i="16" s="1"/>
  <c r="AH296" i="16"/>
  <c r="AF296" i="16" a="1"/>
  <c r="AF296" i="16" s="1"/>
  <c r="AF376" i="16" a="1"/>
  <c r="AF376" i="16" s="1"/>
  <c r="AH376" i="16"/>
  <c r="AN22" i="16"/>
  <c r="AF217" i="16" a="1"/>
  <c r="AF217" i="16" s="1"/>
  <c r="AH217" i="16"/>
  <c r="AO22" i="16"/>
  <c r="AH152" i="16"/>
  <c r="AF152" i="16" a="1"/>
  <c r="AF152" i="16" s="1"/>
  <c r="AH200" i="16"/>
  <c r="AF200" i="16" a="1"/>
  <c r="AF200" i="16" s="1"/>
  <c r="AH248" i="16"/>
  <c r="AF248" i="16" a="1"/>
  <c r="AF248" i="16" s="1"/>
  <c r="X305" i="16"/>
  <c r="U425" i="16"/>
  <c r="V425" i="16" s="1"/>
  <c r="AJ425" i="16" s="1"/>
  <c r="T305" i="16"/>
  <c r="T425" i="16"/>
  <c r="AJ242" i="16"/>
  <c r="U422" i="16"/>
  <c r="V422" i="16" s="1"/>
  <c r="AJ422" i="16" s="1"/>
  <c r="T422" i="16"/>
  <c r="X290" i="16"/>
  <c r="U290" i="16"/>
  <c r="V290" i="16" s="1"/>
  <c r="AJ290" i="16" s="1"/>
  <c r="T455" i="16"/>
  <c r="X242" i="16"/>
  <c r="T423" i="16"/>
  <c r="T257" i="16"/>
  <c r="U223" i="16"/>
  <c r="V223" i="16" s="1"/>
  <c r="AJ223" i="16" s="1"/>
  <c r="U257" i="16"/>
  <c r="V257" i="16" s="1"/>
  <c r="AK257" i="16" s="1"/>
  <c r="T223" i="16"/>
  <c r="U392" i="16"/>
  <c r="V392" i="16" s="1"/>
  <c r="AK392" i="16" s="1"/>
  <c r="X392" i="16"/>
  <c r="U360" i="16"/>
  <c r="V360" i="16" s="1"/>
  <c r="AK360" i="16" s="1"/>
  <c r="T411" i="16"/>
  <c r="AJ411" i="16"/>
  <c r="T360" i="16"/>
  <c r="X411" i="16"/>
  <c r="U423" i="16"/>
  <c r="V423" i="16" s="1"/>
  <c r="AK423" i="16" s="1"/>
  <c r="T409" i="16"/>
  <c r="T407" i="16"/>
  <c r="U409" i="16"/>
  <c r="V409" i="16" s="1"/>
  <c r="AJ409" i="16" s="1"/>
  <c r="AJ407" i="16"/>
  <c r="AH5" i="16"/>
  <c r="U5" i="16" s="1"/>
  <c r="V5" i="16" s="1"/>
  <c r="T258" i="16"/>
  <c r="U258" i="16"/>
  <c r="V258" i="16" s="1"/>
  <c r="AJ258" i="16" s="1"/>
  <c r="X227" i="16"/>
  <c r="T227" i="16"/>
  <c r="U441" i="16"/>
  <c r="V441" i="16" s="1"/>
  <c r="AK441" i="16" s="1"/>
  <c r="AJ227" i="16"/>
  <c r="AK218" i="16"/>
  <c r="AJ274" i="16"/>
  <c r="T274" i="16"/>
  <c r="T218" i="16"/>
  <c r="AJ391" i="16"/>
  <c r="AR21" i="16"/>
  <c r="AP21" i="16"/>
  <c r="AO21" i="16"/>
  <c r="AN21" i="16"/>
  <c r="AL21" i="16"/>
  <c r="AL23" i="16"/>
  <c r="AR23" i="16"/>
  <c r="AP23" i="16"/>
  <c r="AO23" i="16"/>
  <c r="AN23" i="16"/>
  <c r="X391" i="16"/>
  <c r="T391" i="16"/>
  <c r="U408" i="16"/>
  <c r="V408" i="16" s="1"/>
  <c r="AK408" i="16" s="1"/>
  <c r="X438" i="16"/>
  <c r="U438" i="16"/>
  <c r="V438" i="16" s="1"/>
  <c r="AJ438" i="16" s="1"/>
  <c r="T438" i="16"/>
  <c r="U241" i="16"/>
  <c r="V241" i="16" s="1"/>
  <c r="X241" i="16"/>
  <c r="T241" i="16"/>
  <c r="X377" i="16"/>
  <c r="T377" i="16"/>
  <c r="U377" i="16"/>
  <c r="V377" i="16" s="1"/>
  <c r="AK377" i="16" s="1"/>
  <c r="X289" i="16"/>
  <c r="U289" i="16"/>
  <c r="V289" i="16" s="1"/>
  <c r="AJ289" i="16" s="1"/>
  <c r="T289" i="16"/>
  <c r="U455" i="16"/>
  <c r="V455" i="16" s="1"/>
  <c r="AK455" i="16" s="1"/>
  <c r="X218" i="16"/>
  <c r="X274" i="16"/>
  <c r="T242" i="16"/>
  <c r="AH9" i="16"/>
  <c r="U9" i="16" s="1"/>
  <c r="V9" i="16" s="1"/>
  <c r="AK9" i="16" s="1"/>
  <c r="AH6" i="16"/>
  <c r="U6" i="16" s="1"/>
  <c r="V6" i="16" s="1"/>
  <c r="AJ6" i="16" s="1"/>
  <c r="X407" i="16"/>
  <c r="X441" i="16"/>
  <c r="AH7" i="16"/>
  <c r="X7" i="16" s="1"/>
  <c r="U247" i="16"/>
  <c r="V247" i="16" s="1"/>
  <c r="AK247" i="16" s="1"/>
  <c r="T439" i="16"/>
  <c r="U439" i="16"/>
  <c r="V439" i="16" s="1"/>
  <c r="AK439" i="16" s="1"/>
  <c r="T247" i="16"/>
  <c r="AB209" i="22"/>
  <c r="AC209" i="22" s="1"/>
  <c r="N300" i="22"/>
  <c r="Z219" i="22"/>
  <c r="Z212" i="22"/>
  <c r="Z109" i="22"/>
  <c r="AB36" i="22"/>
  <c r="AB23" i="22"/>
  <c r="N241" i="22"/>
  <c r="AB178" i="22"/>
  <c r="Z245" i="22"/>
  <c r="T408" i="16"/>
  <c r="BJ290" i="26"/>
  <c r="BI290" i="26"/>
  <c r="BH290" i="26"/>
  <c r="BK234" i="26"/>
  <c r="BG234" i="26"/>
  <c r="BS268" i="26"/>
  <c r="BO268" i="26"/>
  <c r="BK259" i="26"/>
  <c r="BG259" i="26"/>
  <c r="BR273" i="26"/>
  <c r="BQ273" i="26"/>
  <c r="BP273" i="26"/>
  <c r="BR229" i="26"/>
  <c r="BQ229" i="26"/>
  <c r="BP229" i="26"/>
  <c r="BK256" i="26"/>
  <c r="BG256" i="26"/>
  <c r="BR262" i="26"/>
  <c r="BQ262" i="26"/>
  <c r="BP262" i="26"/>
  <c r="BK277" i="26"/>
  <c r="BG277" i="26"/>
  <c r="BS295" i="26"/>
  <c r="BO295" i="26"/>
  <c r="BF225" i="26"/>
  <c r="BE225" i="26"/>
  <c r="BJ242" i="26"/>
  <c r="BI242" i="26"/>
  <c r="BH242" i="26"/>
  <c r="BP256" i="26"/>
  <c r="BR256" i="26"/>
  <c r="BQ256" i="26"/>
  <c r="BJ299" i="26"/>
  <c r="BI299" i="26"/>
  <c r="BH299" i="26"/>
  <c r="BJ263" i="26"/>
  <c r="BI263" i="26"/>
  <c r="BH263" i="26"/>
  <c r="BQ289" i="26"/>
  <c r="BP289" i="26"/>
  <c r="BR289" i="26"/>
  <c r="BK300" i="26"/>
  <c r="BG300" i="26"/>
  <c r="BS255" i="26"/>
  <c r="BO255" i="26"/>
  <c r="BR230" i="26"/>
  <c r="BQ230" i="26"/>
  <c r="BP230" i="26"/>
  <c r="BJ249" i="26"/>
  <c r="BI249" i="26"/>
  <c r="BH249" i="26"/>
  <c r="BS247" i="26"/>
  <c r="BO247" i="26"/>
  <c r="BK186" i="26"/>
  <c r="BG186" i="26"/>
  <c r="BR208" i="26"/>
  <c r="BQ208" i="26"/>
  <c r="BP208" i="26"/>
  <c r="BR156" i="26"/>
  <c r="BQ156" i="26"/>
  <c r="BP156" i="26"/>
  <c r="BG175" i="26"/>
  <c r="BK175" i="26"/>
  <c r="BO161" i="26"/>
  <c r="BS161" i="26"/>
  <c r="BG201" i="26"/>
  <c r="BK201" i="26"/>
  <c r="BK152" i="26"/>
  <c r="BG152" i="26"/>
  <c r="BJ217" i="26"/>
  <c r="BI217" i="26"/>
  <c r="BH217" i="26"/>
  <c r="BR160" i="26"/>
  <c r="BQ160" i="26"/>
  <c r="BP160" i="26"/>
  <c r="BR183" i="26"/>
  <c r="BQ183" i="26"/>
  <c r="BP183" i="26"/>
  <c r="BK190" i="26"/>
  <c r="BG190" i="26"/>
  <c r="BN148" i="26"/>
  <c r="BM148" i="26"/>
  <c r="BR152" i="26"/>
  <c r="BQ152" i="26"/>
  <c r="BP152" i="26"/>
  <c r="BK187" i="26"/>
  <c r="BG187" i="26"/>
  <c r="BS185" i="26"/>
  <c r="BO185" i="26"/>
  <c r="BK192" i="26"/>
  <c r="BG192" i="26"/>
  <c r="BK205" i="26"/>
  <c r="BG205" i="26"/>
  <c r="BR154" i="26"/>
  <c r="BQ154" i="26"/>
  <c r="BP154" i="26"/>
  <c r="BK153" i="26"/>
  <c r="BG153" i="26"/>
  <c r="BK134" i="26"/>
  <c r="BG134" i="26"/>
  <c r="BK78" i="26"/>
  <c r="BG78" i="26"/>
  <c r="BR84" i="26"/>
  <c r="BQ84" i="26"/>
  <c r="BP84" i="26"/>
  <c r="BK107" i="26"/>
  <c r="BG107" i="26"/>
  <c r="BK117" i="26"/>
  <c r="BG117" i="26"/>
  <c r="BS107" i="26"/>
  <c r="BO107" i="26"/>
  <c r="BJ138" i="26"/>
  <c r="BI138" i="26"/>
  <c r="BH138" i="26"/>
  <c r="BK142" i="26"/>
  <c r="BG142" i="26"/>
  <c r="BG95" i="26"/>
  <c r="BK95" i="26"/>
  <c r="BR125" i="26"/>
  <c r="BQ125" i="26"/>
  <c r="BP125" i="26"/>
  <c r="BJ108" i="26"/>
  <c r="BI108" i="26"/>
  <c r="BH108" i="26"/>
  <c r="BO122" i="26"/>
  <c r="BS122" i="26"/>
  <c r="BJ129" i="26"/>
  <c r="BI129" i="26"/>
  <c r="BH129" i="26"/>
  <c r="BS143" i="26"/>
  <c r="BO143" i="26"/>
  <c r="BR71" i="26"/>
  <c r="BQ71" i="26"/>
  <c r="BP71" i="26"/>
  <c r="BS28" i="26"/>
  <c r="BO28" i="26"/>
  <c r="BR45" i="26"/>
  <c r="BQ45" i="26"/>
  <c r="BP45" i="26"/>
  <c r="BJ60" i="26"/>
  <c r="BI60" i="26"/>
  <c r="BH60" i="26"/>
  <c r="BJ24" i="26"/>
  <c r="BI24" i="26"/>
  <c r="BH24" i="26"/>
  <c r="BR30" i="26"/>
  <c r="BQ30" i="26"/>
  <c r="BP30" i="26"/>
  <c r="H288" i="22"/>
  <c r="J288" i="22"/>
  <c r="BR40" i="26"/>
  <c r="BQ40" i="26"/>
  <c r="BP40" i="26"/>
  <c r="BJ34" i="26"/>
  <c r="BI34" i="26"/>
  <c r="BH34" i="26"/>
  <c r="BJ51" i="26"/>
  <c r="BI51" i="26"/>
  <c r="BH51" i="26"/>
  <c r="BK28" i="26"/>
  <c r="BG28" i="26"/>
  <c r="K258" i="22"/>
  <c r="J217" i="22"/>
  <c r="I217" i="22"/>
  <c r="T217" i="22" s="1"/>
  <c r="G217" i="22"/>
  <c r="P304" i="22"/>
  <c r="J163" i="22"/>
  <c r="K163" i="22" s="1"/>
  <c r="H163" i="22"/>
  <c r="AA163" i="22"/>
  <c r="I163" i="22"/>
  <c r="AA225" i="22"/>
  <c r="H225" i="22"/>
  <c r="J225" i="22"/>
  <c r="I225" i="22"/>
  <c r="J184" i="22"/>
  <c r="G184" i="22"/>
  <c r="J154" i="22"/>
  <c r="I154" i="22"/>
  <c r="T154" i="22" s="1"/>
  <c r="G154" i="22"/>
  <c r="I148" i="22"/>
  <c r="G148" i="22"/>
  <c r="L197" i="22"/>
  <c r="N140" i="22"/>
  <c r="H113" i="22"/>
  <c r="Z134" i="22"/>
  <c r="J59" i="22"/>
  <c r="T107" i="22"/>
  <c r="Z107" i="22"/>
  <c r="AH374" i="16"/>
  <c r="AF374" i="16" a="1"/>
  <c r="AF374" i="16" s="1"/>
  <c r="AH317" i="16"/>
  <c r="AF317" i="16" a="1"/>
  <c r="AF317" i="16" s="1"/>
  <c r="AH128" i="16"/>
  <c r="AF128" i="16" a="1"/>
  <c r="AF128" i="16" s="1"/>
  <c r="BK282" i="26"/>
  <c r="BG282" i="26"/>
  <c r="BJ234" i="26"/>
  <c r="BI234" i="26"/>
  <c r="BH234" i="26"/>
  <c r="BR268" i="26"/>
  <c r="BQ268" i="26"/>
  <c r="BP268" i="26"/>
  <c r="BJ259" i="26"/>
  <c r="BI259" i="26"/>
  <c r="BH259" i="26"/>
  <c r="BS265" i="26"/>
  <c r="BO265" i="26"/>
  <c r="BJ256" i="26"/>
  <c r="BI256" i="26"/>
  <c r="BH256" i="26"/>
  <c r="BS254" i="26"/>
  <c r="BO254" i="26"/>
  <c r="BJ277" i="26"/>
  <c r="BI277" i="26"/>
  <c r="BH277" i="26"/>
  <c r="BR295" i="26"/>
  <c r="BQ295" i="26"/>
  <c r="BP295" i="26"/>
  <c r="BK238" i="26"/>
  <c r="BG238" i="26"/>
  <c r="BO253" i="26"/>
  <c r="BS253" i="26"/>
  <c r="BS297" i="26"/>
  <c r="BO297" i="26"/>
  <c r="BK263" i="26"/>
  <c r="BG263" i="26"/>
  <c r="BS286" i="26"/>
  <c r="BO286" i="26"/>
  <c r="BJ300" i="26"/>
  <c r="BI300" i="26"/>
  <c r="BH300" i="26"/>
  <c r="BR255" i="26"/>
  <c r="BQ255" i="26"/>
  <c r="BP255" i="26"/>
  <c r="BK305" i="26"/>
  <c r="BG305" i="26"/>
  <c r="BK241" i="26"/>
  <c r="BG241" i="26"/>
  <c r="BR247" i="26"/>
  <c r="BQ247" i="26"/>
  <c r="BP247" i="26"/>
  <c r="BJ186" i="26"/>
  <c r="BI186" i="26"/>
  <c r="BH186" i="26"/>
  <c r="BS208" i="26"/>
  <c r="BO208" i="26"/>
  <c r="BS156" i="26"/>
  <c r="BO156" i="26"/>
  <c r="BH175" i="26"/>
  <c r="BJ175" i="26"/>
  <c r="BI175" i="26"/>
  <c r="BR161" i="26"/>
  <c r="BQ161" i="26"/>
  <c r="BP161" i="26"/>
  <c r="BJ201" i="26"/>
  <c r="BI201" i="26"/>
  <c r="BH201" i="26"/>
  <c r="BS113" i="26"/>
  <c r="BO113" i="26"/>
  <c r="BG144" i="26"/>
  <c r="BK144" i="26"/>
  <c r="BK80" i="26"/>
  <c r="BG80" i="26"/>
  <c r="BO86" i="26"/>
  <c r="BS86" i="26"/>
  <c r="BJ117" i="26"/>
  <c r="BI117" i="26"/>
  <c r="BH117" i="26"/>
  <c r="BO99" i="26"/>
  <c r="BS99" i="26"/>
  <c r="BK130" i="26"/>
  <c r="BG130" i="26"/>
  <c r="BS112" i="26"/>
  <c r="BO112" i="26"/>
  <c r="BJ142" i="26"/>
  <c r="BI142" i="26"/>
  <c r="BH142" i="26"/>
  <c r="BH95" i="26"/>
  <c r="BJ95" i="26"/>
  <c r="BI95" i="26"/>
  <c r="BJ121" i="26"/>
  <c r="BI121" i="26"/>
  <c r="BH121" i="26"/>
  <c r="N304" i="22"/>
  <c r="BR122" i="26"/>
  <c r="BQ122" i="26"/>
  <c r="BP122" i="26"/>
  <c r="BG113" i="26"/>
  <c r="BK113" i="26"/>
  <c r="BR28" i="26"/>
  <c r="BQ28" i="26"/>
  <c r="BP28" i="26"/>
  <c r="BO41" i="26"/>
  <c r="BS41" i="26"/>
  <c r="BK16" i="26"/>
  <c r="BG16" i="26"/>
  <c r="BG37" i="26"/>
  <c r="BK37" i="26"/>
  <c r="BK54" i="26"/>
  <c r="BG54" i="26"/>
  <c r="BO8" i="26"/>
  <c r="BS8" i="26"/>
  <c r="BO54" i="26"/>
  <c r="BS54" i="26"/>
  <c r="Z217" i="22"/>
  <c r="L163" i="22"/>
  <c r="AB163" i="22"/>
  <c r="AB206" i="22"/>
  <c r="Z153" i="22"/>
  <c r="I112" i="22"/>
  <c r="H112" i="22"/>
  <c r="G112" i="22"/>
  <c r="AA112" i="22"/>
  <c r="J112" i="22"/>
  <c r="Z53" i="22"/>
  <c r="I7" i="22"/>
  <c r="H7" i="22"/>
  <c r="AB122" i="22"/>
  <c r="AC122" i="22" s="1"/>
  <c r="AH397" i="16"/>
  <c r="AF397" i="16" a="1"/>
  <c r="AF397" i="16" s="1"/>
  <c r="AH262" i="16"/>
  <c r="AF262" i="16" a="1"/>
  <c r="AF262" i="16" s="1"/>
  <c r="BJ282" i="26"/>
  <c r="BI282" i="26"/>
  <c r="BH282" i="26"/>
  <c r="BO232" i="26"/>
  <c r="BS232" i="26"/>
  <c r="BS260" i="26"/>
  <c r="BO260" i="26"/>
  <c r="BK251" i="26"/>
  <c r="BG251" i="26"/>
  <c r="BR265" i="26"/>
  <c r="BQ265" i="26"/>
  <c r="BP265" i="26"/>
  <c r="BK304" i="26"/>
  <c r="BG304" i="26"/>
  <c r="BG236" i="26"/>
  <c r="BK236" i="26"/>
  <c r="BR254" i="26"/>
  <c r="BQ254" i="26"/>
  <c r="BP254" i="26"/>
  <c r="BK269" i="26"/>
  <c r="BG269" i="26"/>
  <c r="BO287" i="26"/>
  <c r="BS287" i="26"/>
  <c r="BK294" i="26"/>
  <c r="BG294" i="26"/>
  <c r="BJ238" i="26"/>
  <c r="BI238" i="26"/>
  <c r="BH238" i="26"/>
  <c r="BR253" i="26"/>
  <c r="BQ253" i="26"/>
  <c r="BP253" i="26"/>
  <c r="BR297" i="26"/>
  <c r="BQ297" i="26"/>
  <c r="BP297" i="26"/>
  <c r="BK255" i="26"/>
  <c r="BG255" i="26"/>
  <c r="BR286" i="26"/>
  <c r="BQ286" i="26"/>
  <c r="BP286" i="26"/>
  <c r="BJ296" i="26"/>
  <c r="BI296" i="26"/>
  <c r="BH296" i="26"/>
  <c r="BG252" i="26"/>
  <c r="BK252" i="26"/>
  <c r="BJ305" i="26"/>
  <c r="BI305" i="26"/>
  <c r="BH305" i="26"/>
  <c r="BS218" i="26"/>
  <c r="BO218" i="26"/>
  <c r="BJ209" i="26"/>
  <c r="BI209" i="26"/>
  <c r="BH209" i="26"/>
  <c r="BJ157" i="26"/>
  <c r="BI157" i="26"/>
  <c r="BH157" i="26"/>
  <c r="BR175" i="26"/>
  <c r="BQ175" i="26"/>
  <c r="BP175" i="26"/>
  <c r="BS188" i="26"/>
  <c r="BO188" i="26"/>
  <c r="BO220" i="26"/>
  <c r="BS220" i="26"/>
  <c r="BR222" i="26"/>
  <c r="BQ222" i="26"/>
  <c r="BP222" i="26"/>
  <c r="BG167" i="26"/>
  <c r="BK167" i="26"/>
  <c r="BS177" i="26"/>
  <c r="BO177" i="26"/>
  <c r="BK184" i="26"/>
  <c r="BG184" i="26"/>
  <c r="BS190" i="26"/>
  <c r="BO190" i="26"/>
  <c r="BJ221" i="26"/>
  <c r="BI221" i="26"/>
  <c r="BH221" i="26"/>
  <c r="BS219" i="26"/>
  <c r="BO219" i="26"/>
  <c r="BK126" i="26"/>
  <c r="BG126" i="26"/>
  <c r="BO140" i="26"/>
  <c r="BS140" i="26"/>
  <c r="BS76" i="26"/>
  <c r="BO76" i="26"/>
  <c r="BR113" i="26"/>
  <c r="BQ113" i="26"/>
  <c r="BP113" i="26"/>
  <c r="BJ144" i="26"/>
  <c r="BI144" i="26"/>
  <c r="BH144" i="26"/>
  <c r="BJ80" i="26"/>
  <c r="BI80" i="26"/>
  <c r="BH80" i="26"/>
  <c r="BR86" i="26"/>
  <c r="BQ86" i="26"/>
  <c r="BP86" i="26"/>
  <c r="BJ130" i="26"/>
  <c r="BI130" i="26"/>
  <c r="BH130" i="26"/>
  <c r="BR112" i="26"/>
  <c r="BQ112" i="26"/>
  <c r="BP112" i="26"/>
  <c r="BS141" i="26"/>
  <c r="BO141" i="26"/>
  <c r="BG87" i="26"/>
  <c r="BK87" i="26"/>
  <c r="BK121" i="26"/>
  <c r="BG121" i="26"/>
  <c r="BR135" i="26"/>
  <c r="BQ135" i="26"/>
  <c r="BP135" i="26"/>
  <c r="BG35" i="26"/>
  <c r="BK35" i="26"/>
  <c r="BJ26" i="26"/>
  <c r="BI26" i="26"/>
  <c r="BH26" i="26"/>
  <c r="BJ54" i="26"/>
  <c r="BI54" i="26"/>
  <c r="BH54" i="26"/>
  <c r="BQ8" i="26"/>
  <c r="BP8" i="26"/>
  <c r="BR8" i="26"/>
  <c r="BR57" i="26"/>
  <c r="BQ57" i="26"/>
  <c r="BP57" i="26"/>
  <c r="BJ53" i="26"/>
  <c r="BI53" i="26"/>
  <c r="BH53" i="26"/>
  <c r="Z248" i="22"/>
  <c r="AB258" i="22"/>
  <c r="L258" i="22"/>
  <c r="L253" i="22"/>
  <c r="AB229" i="22"/>
  <c r="AC229" i="22" s="1"/>
  <c r="P229" i="22"/>
  <c r="L229" i="22"/>
  <c r="K229" i="22"/>
  <c r="J199" i="22"/>
  <c r="I199" i="22"/>
  <c r="G199" i="22"/>
  <c r="J157" i="22"/>
  <c r="H157" i="22"/>
  <c r="G157" i="22"/>
  <c r="AA157" i="22"/>
  <c r="J171" i="22"/>
  <c r="G171" i="22"/>
  <c r="I171" i="22"/>
  <c r="AA171" i="22"/>
  <c r="J111" i="22"/>
  <c r="I111" i="22"/>
  <c r="G111" i="22"/>
  <c r="AA111" i="22"/>
  <c r="Z92" i="22"/>
  <c r="P135" i="22"/>
  <c r="L135" i="22"/>
  <c r="AB135" i="22"/>
  <c r="AC135" i="22" s="1"/>
  <c r="H80" i="22"/>
  <c r="J80" i="22"/>
  <c r="I80" i="22"/>
  <c r="G80" i="22"/>
  <c r="AB43" i="22"/>
  <c r="I76" i="22"/>
  <c r="G76" i="22"/>
  <c r="T30" i="22"/>
  <c r="Z30" i="22"/>
  <c r="T81" i="22"/>
  <c r="Z81" i="22"/>
  <c r="G16" i="22"/>
  <c r="J16" i="22"/>
  <c r="H16" i="22"/>
  <c r="I16" i="22"/>
  <c r="AH431" i="16"/>
  <c r="AF431" i="16" a="1"/>
  <c r="AF431" i="16" s="1"/>
  <c r="AH357" i="16"/>
  <c r="AF357" i="16" a="1"/>
  <c r="AF357" i="16" s="1"/>
  <c r="BG278" i="26"/>
  <c r="BK278" i="26"/>
  <c r="BR232" i="26"/>
  <c r="BQ232" i="26"/>
  <c r="BP232" i="26"/>
  <c r="BR260" i="26"/>
  <c r="BQ260" i="26"/>
  <c r="BP260" i="26"/>
  <c r="BJ251" i="26"/>
  <c r="BI251" i="26"/>
  <c r="BH251" i="26"/>
  <c r="BS257" i="26"/>
  <c r="BO257" i="26"/>
  <c r="BJ304" i="26"/>
  <c r="BI304" i="26"/>
  <c r="BH304" i="26"/>
  <c r="BJ236" i="26"/>
  <c r="BI236" i="26"/>
  <c r="BH236" i="26"/>
  <c r="BS246" i="26"/>
  <c r="BO246" i="26"/>
  <c r="BJ269" i="26"/>
  <c r="BI269" i="26"/>
  <c r="BH269" i="26"/>
  <c r="BR287" i="26"/>
  <c r="BQ287" i="26"/>
  <c r="BP287" i="26"/>
  <c r="BJ294" i="26"/>
  <c r="BI294" i="26"/>
  <c r="BH294" i="26"/>
  <c r="BK230" i="26"/>
  <c r="BG230" i="26"/>
  <c r="BO248" i="26"/>
  <c r="BS248" i="26"/>
  <c r="BS294" i="26"/>
  <c r="BO294" i="26"/>
  <c r="BJ255" i="26"/>
  <c r="BI255" i="26"/>
  <c r="BH255" i="26"/>
  <c r="BR277" i="26"/>
  <c r="BQ277" i="26"/>
  <c r="BP277" i="26"/>
  <c r="BH252" i="26"/>
  <c r="BJ252" i="26"/>
  <c r="BI252" i="26"/>
  <c r="BG293" i="26"/>
  <c r="BK293" i="26"/>
  <c r="BK237" i="26"/>
  <c r="BG237" i="26"/>
  <c r="BR239" i="26"/>
  <c r="BQ239" i="26"/>
  <c r="BP239" i="26"/>
  <c r="BP184" i="26"/>
  <c r="BR184" i="26"/>
  <c r="BQ184" i="26"/>
  <c r="BS200" i="26"/>
  <c r="BO200" i="26"/>
  <c r="BF146" i="26"/>
  <c r="BE146" i="26"/>
  <c r="BJ155" i="26"/>
  <c r="BI155" i="26"/>
  <c r="BH155" i="26"/>
  <c r="BP153" i="26"/>
  <c r="BR153" i="26"/>
  <c r="BQ153" i="26"/>
  <c r="BK196" i="26"/>
  <c r="BG196" i="26"/>
  <c r="BR218" i="26"/>
  <c r="BQ218" i="26"/>
  <c r="BP218" i="26"/>
  <c r="BK156" i="26"/>
  <c r="BG156" i="26"/>
  <c r="BO171" i="26"/>
  <c r="BS171" i="26"/>
  <c r="BR188" i="26"/>
  <c r="BQ188" i="26"/>
  <c r="BP188" i="26"/>
  <c r="BR220" i="26"/>
  <c r="BQ220" i="26"/>
  <c r="BP220" i="26"/>
  <c r="BG219" i="26"/>
  <c r="BK219" i="26"/>
  <c r="BH167" i="26"/>
  <c r="BJ167" i="26"/>
  <c r="BI167" i="26"/>
  <c r="BR177" i="26"/>
  <c r="BQ177" i="26"/>
  <c r="BP177" i="26"/>
  <c r="BJ184" i="26"/>
  <c r="BI184" i="26"/>
  <c r="BH184" i="26"/>
  <c r="BR190" i="26"/>
  <c r="BQ190" i="26"/>
  <c r="BP190" i="26"/>
  <c r="BR219" i="26"/>
  <c r="BQ219" i="26"/>
  <c r="BP219" i="26"/>
  <c r="BJ126" i="26"/>
  <c r="BI126" i="26"/>
  <c r="BH126" i="26"/>
  <c r="BR140" i="26"/>
  <c r="BQ140" i="26"/>
  <c r="BP140" i="26"/>
  <c r="BR76" i="26"/>
  <c r="BQ76" i="26"/>
  <c r="BP76" i="26"/>
  <c r="BK99" i="26"/>
  <c r="BG99" i="26"/>
  <c r="BJ109" i="26"/>
  <c r="BI109" i="26"/>
  <c r="BH109" i="26"/>
  <c r="BS144" i="26"/>
  <c r="BO144" i="26"/>
  <c r="BK98" i="26"/>
  <c r="BG98" i="26"/>
  <c r="BO104" i="26"/>
  <c r="BS104" i="26"/>
  <c r="BR141" i="26"/>
  <c r="BQ141" i="26"/>
  <c r="BP141" i="26"/>
  <c r="BI87" i="26"/>
  <c r="BH87" i="26"/>
  <c r="BJ87" i="26"/>
  <c r="BI100" i="26"/>
  <c r="BH100" i="26"/>
  <c r="BJ100" i="26"/>
  <c r="BR114" i="26"/>
  <c r="BQ114" i="26"/>
  <c r="BP114" i="26"/>
  <c r="BG105" i="26"/>
  <c r="BK105" i="26"/>
  <c r="BO119" i="26"/>
  <c r="BS119" i="26"/>
  <c r="BK66" i="26"/>
  <c r="BG66" i="26"/>
  <c r="BR20" i="26"/>
  <c r="BQ20" i="26"/>
  <c r="BP20" i="26"/>
  <c r="J296" i="22"/>
  <c r="I296" i="22"/>
  <c r="H296" i="22"/>
  <c r="G296" i="22"/>
  <c r="BH35" i="26"/>
  <c r="BJ35" i="26"/>
  <c r="BI35" i="26"/>
  <c r="P291" i="22"/>
  <c r="L291" i="22"/>
  <c r="BS14" i="26"/>
  <c r="BO14" i="26"/>
  <c r="T284" i="22"/>
  <c r="BK29" i="26"/>
  <c r="BG29" i="26"/>
  <c r="BS19" i="26"/>
  <c r="BO19" i="26"/>
  <c r="BO46" i="26"/>
  <c r="BS46" i="26"/>
  <c r="BG45" i="26"/>
  <c r="BK45" i="26"/>
  <c r="Z252" i="22"/>
  <c r="T252" i="22"/>
  <c r="P252" i="22"/>
  <c r="G259" i="22"/>
  <c r="AC258" i="22"/>
  <c r="J234" i="22"/>
  <c r="I234" i="22"/>
  <c r="K241" i="22"/>
  <c r="K230" i="22"/>
  <c r="I189" i="22"/>
  <c r="G189" i="22"/>
  <c r="AA223" i="22"/>
  <c r="H223" i="22"/>
  <c r="J178" i="22"/>
  <c r="K178" i="22" s="1"/>
  <c r="H178" i="22"/>
  <c r="I178" i="22"/>
  <c r="K210" i="22"/>
  <c r="J209" i="22"/>
  <c r="K209" i="22" s="1"/>
  <c r="K116" i="22"/>
  <c r="L116" i="22"/>
  <c r="N116" i="22" s="1"/>
  <c r="Z106" i="22"/>
  <c r="T106" i="22"/>
  <c r="G152" i="22"/>
  <c r="Z126" i="22"/>
  <c r="T126" i="22"/>
  <c r="BR51" i="26"/>
  <c r="BQ51" i="26"/>
  <c r="BP51" i="26"/>
  <c r="P53" i="22"/>
  <c r="K53" i="22"/>
  <c r="AB53" i="22"/>
  <c r="AC53" i="22" s="1"/>
  <c r="L53" i="22"/>
  <c r="I66" i="22"/>
  <c r="G66" i="22"/>
  <c r="J7" i="22"/>
  <c r="AA73" i="22"/>
  <c r="J73" i="22"/>
  <c r="G73" i="22"/>
  <c r="AA56" i="22"/>
  <c r="G56" i="22"/>
  <c r="K56" i="22" s="1"/>
  <c r="AH381" i="16"/>
  <c r="AF381" i="16" a="1"/>
  <c r="AF381" i="16" s="1"/>
  <c r="G78" i="22"/>
  <c r="AH428" i="16"/>
  <c r="AF428" i="16" a="1"/>
  <c r="AF428" i="16" s="1"/>
  <c r="AH163" i="16"/>
  <c r="AF163" i="16" a="1"/>
  <c r="AF163" i="16" s="1"/>
  <c r="AH191" i="16"/>
  <c r="AF191" i="16" a="1"/>
  <c r="AF191" i="16" s="1"/>
  <c r="AF166" i="16" a="1"/>
  <c r="AF166" i="16" s="1"/>
  <c r="AH166" i="16"/>
  <c r="AH153" i="16"/>
  <c r="AF153" i="16" a="1"/>
  <c r="AF153" i="16" s="1"/>
  <c r="BJ278" i="26"/>
  <c r="BI278" i="26"/>
  <c r="BH278" i="26"/>
  <c r="BK228" i="26"/>
  <c r="BG228" i="26"/>
  <c r="BS252" i="26"/>
  <c r="BO252" i="26"/>
  <c r="BK243" i="26"/>
  <c r="BG243" i="26"/>
  <c r="BR257" i="26"/>
  <c r="BQ257" i="26"/>
  <c r="BP257" i="26"/>
  <c r="BK292" i="26"/>
  <c r="BG292" i="26"/>
  <c r="BN224" i="26"/>
  <c r="BM224" i="26"/>
  <c r="BR246" i="26"/>
  <c r="BQ246" i="26"/>
  <c r="BP246" i="26"/>
  <c r="BK261" i="26"/>
  <c r="BG261" i="26"/>
  <c r="BS275" i="26"/>
  <c r="BO275" i="26"/>
  <c r="BJ230" i="26"/>
  <c r="BI230" i="26"/>
  <c r="BH230" i="26"/>
  <c r="BP248" i="26"/>
  <c r="BR248" i="26"/>
  <c r="BQ248" i="26"/>
  <c r="BR294" i="26"/>
  <c r="BQ294" i="26"/>
  <c r="BP294" i="26"/>
  <c r="BK247" i="26"/>
  <c r="BG247" i="26"/>
  <c r="BS277" i="26"/>
  <c r="BO277" i="26"/>
  <c r="BK296" i="26"/>
  <c r="BG296" i="26"/>
  <c r="BK232" i="26"/>
  <c r="BG232" i="26"/>
  <c r="BI293" i="26"/>
  <c r="BH293" i="26"/>
  <c r="BJ293" i="26"/>
  <c r="BJ237" i="26"/>
  <c r="BI237" i="26"/>
  <c r="BH237" i="26"/>
  <c r="BO235" i="26"/>
  <c r="BS235" i="26"/>
  <c r="BO181" i="26"/>
  <c r="BS181" i="26"/>
  <c r="BO197" i="26"/>
  <c r="BS197" i="26"/>
  <c r="BK215" i="26"/>
  <c r="BG215" i="26"/>
  <c r="BS221" i="26"/>
  <c r="BO221" i="26"/>
  <c r="BF148" i="26"/>
  <c r="BE148" i="26"/>
  <c r="BG188" i="26"/>
  <c r="BK188" i="26"/>
  <c r="BR105" i="26"/>
  <c r="BQ105" i="26"/>
  <c r="BP105" i="26"/>
  <c r="BH136" i="26"/>
  <c r="BJ136" i="26"/>
  <c r="BI136" i="26"/>
  <c r="BJ72" i="26"/>
  <c r="BI72" i="26"/>
  <c r="BH72" i="26"/>
  <c r="BR78" i="26"/>
  <c r="BQ78" i="26"/>
  <c r="BP78" i="26"/>
  <c r="BR144" i="26"/>
  <c r="BQ144" i="26"/>
  <c r="BP144" i="26"/>
  <c r="BJ98" i="26"/>
  <c r="BI98" i="26"/>
  <c r="BH98" i="26"/>
  <c r="BK122" i="26"/>
  <c r="BG122" i="26"/>
  <c r="BR104" i="26"/>
  <c r="BQ104" i="26"/>
  <c r="BP104" i="26"/>
  <c r="BR117" i="26"/>
  <c r="BQ117" i="26"/>
  <c r="BP117" i="26"/>
  <c r="BK92" i="26"/>
  <c r="BG92" i="26"/>
  <c r="BS106" i="26"/>
  <c r="BO106" i="26"/>
  <c r="BI105" i="26"/>
  <c r="BH105" i="26"/>
  <c r="BJ105" i="26"/>
  <c r="BQ119" i="26"/>
  <c r="BP119" i="26"/>
  <c r="BR119" i="26"/>
  <c r="BG50" i="26"/>
  <c r="BK50" i="26"/>
  <c r="BG27" i="26"/>
  <c r="BK27" i="26"/>
  <c r="J271" i="22"/>
  <c r="K271" i="22" s="1"/>
  <c r="I271" i="22"/>
  <c r="T271" i="22" s="1"/>
  <c r="BR33" i="26"/>
  <c r="BQ33" i="26"/>
  <c r="BP33" i="26"/>
  <c r="BJ8" i="26"/>
  <c r="BI8" i="26"/>
  <c r="BH8" i="26"/>
  <c r="BR14" i="26"/>
  <c r="BQ14" i="26"/>
  <c r="BP14" i="26"/>
  <c r="H281" i="22"/>
  <c r="P281" i="22" s="1"/>
  <c r="BJ46" i="26"/>
  <c r="BI46" i="26"/>
  <c r="BH46" i="26"/>
  <c r="AA256" i="22"/>
  <c r="J256" i="22"/>
  <c r="I256" i="22"/>
  <c r="G256" i="22"/>
  <c r="H256" i="22"/>
  <c r="BK31" i="26"/>
  <c r="BG31" i="26"/>
  <c r="BO49" i="26"/>
  <c r="BS49" i="26"/>
  <c r="BR46" i="26"/>
  <c r="BQ46" i="26"/>
  <c r="BP46" i="26"/>
  <c r="BH45" i="26"/>
  <c r="BJ45" i="26"/>
  <c r="BI45" i="26"/>
  <c r="G234" i="22"/>
  <c r="L201" i="22"/>
  <c r="AB201" i="22"/>
  <c r="P201" i="22"/>
  <c r="AB241" i="22"/>
  <c r="AC241" i="22" s="1"/>
  <c r="P241" i="22"/>
  <c r="P237" i="22"/>
  <c r="J238" i="22"/>
  <c r="G223" i="22"/>
  <c r="I174" i="22"/>
  <c r="H174" i="22"/>
  <c r="J174" i="22"/>
  <c r="K174" i="22" s="1"/>
  <c r="AA174" i="22"/>
  <c r="AC174" i="22" s="1"/>
  <c r="J181" i="22"/>
  <c r="I181" i="22"/>
  <c r="T181" i="22" s="1"/>
  <c r="AA181" i="22"/>
  <c r="G181" i="22"/>
  <c r="AA178" i="22"/>
  <c r="AC178" i="22" s="1"/>
  <c r="L210" i="22"/>
  <c r="T226" i="22"/>
  <c r="G205" i="22"/>
  <c r="J205" i="22"/>
  <c r="AA148" i="22"/>
  <c r="K135" i="22"/>
  <c r="H132" i="22"/>
  <c r="P132" i="22" s="1"/>
  <c r="Z48" i="22"/>
  <c r="H155" i="22"/>
  <c r="G155" i="22"/>
  <c r="J155" i="22"/>
  <c r="H66" i="22"/>
  <c r="P85" i="22"/>
  <c r="L85" i="22"/>
  <c r="J51" i="22"/>
  <c r="AA51" i="22"/>
  <c r="I51" i="22"/>
  <c r="H51" i="22"/>
  <c r="G51" i="22"/>
  <c r="I73" i="22"/>
  <c r="P27" i="22"/>
  <c r="AF449" i="16" a="1"/>
  <c r="AF449" i="16" s="1"/>
  <c r="AH449" i="16"/>
  <c r="I78" i="22"/>
  <c r="AH447" i="16"/>
  <c r="AF447" i="16" a="1"/>
  <c r="AF447" i="16" s="1"/>
  <c r="Z31" i="22"/>
  <c r="T31" i="22"/>
  <c r="AH132" i="16"/>
  <c r="AF132" i="16" a="1"/>
  <c r="AF132" i="16" s="1"/>
  <c r="AH338" i="16"/>
  <c r="AF338" i="16" a="1"/>
  <c r="AF338" i="16" s="1"/>
  <c r="AH345" i="16"/>
  <c r="AF345" i="16" a="1"/>
  <c r="AF345" i="16" s="1"/>
  <c r="AH228" i="16"/>
  <c r="AF228" i="16" a="1"/>
  <c r="AF228" i="16" s="1"/>
  <c r="AH343" i="16"/>
  <c r="AF343" i="16" a="1"/>
  <c r="AF343" i="16" s="1"/>
  <c r="AH251" i="16"/>
  <c r="AF251" i="16" a="1"/>
  <c r="AF251" i="16" s="1"/>
  <c r="BG270" i="26"/>
  <c r="BK270" i="26"/>
  <c r="BJ228" i="26"/>
  <c r="BI228" i="26"/>
  <c r="BH228" i="26"/>
  <c r="BR252" i="26"/>
  <c r="BQ252" i="26"/>
  <c r="BP252" i="26"/>
  <c r="BJ243" i="26"/>
  <c r="BI243" i="26"/>
  <c r="BH243" i="26"/>
  <c r="BS249" i="26"/>
  <c r="BO249" i="26"/>
  <c r="BJ292" i="26"/>
  <c r="BI292" i="26"/>
  <c r="BH292" i="26"/>
  <c r="BO302" i="26"/>
  <c r="BS302" i="26"/>
  <c r="BS234" i="26"/>
  <c r="BO234" i="26"/>
  <c r="BJ261" i="26"/>
  <c r="BI261" i="26"/>
  <c r="BH261" i="26"/>
  <c r="BR275" i="26"/>
  <c r="BQ275" i="26"/>
  <c r="BP275" i="26"/>
  <c r="BK286" i="26"/>
  <c r="BG286" i="26"/>
  <c r="BS304" i="26"/>
  <c r="BO304" i="26"/>
  <c r="BO240" i="26"/>
  <c r="BS240" i="26"/>
  <c r="BJ291" i="26"/>
  <c r="BI291" i="26"/>
  <c r="BH291" i="26"/>
  <c r="BJ247" i="26"/>
  <c r="BI247" i="26"/>
  <c r="BH247" i="26"/>
  <c r="BO269" i="26"/>
  <c r="BS269" i="26"/>
  <c r="BJ232" i="26"/>
  <c r="BI232" i="26"/>
  <c r="BH232" i="26"/>
  <c r="BK285" i="26"/>
  <c r="BG285" i="26"/>
  <c r="BQ210" i="26"/>
  <c r="BP210" i="26"/>
  <c r="BR210" i="26"/>
  <c r="BJ193" i="26"/>
  <c r="BI193" i="26"/>
  <c r="BH193" i="26"/>
  <c r="BM147" i="26"/>
  <c r="BN147" i="26"/>
  <c r="BO163" i="26"/>
  <c r="BS163" i="26"/>
  <c r="BJ182" i="26"/>
  <c r="BI182" i="26"/>
  <c r="BH182" i="26"/>
  <c r="BR212" i="26"/>
  <c r="BQ212" i="26"/>
  <c r="BP212" i="26"/>
  <c r="BK218" i="26"/>
  <c r="BG218" i="26"/>
  <c r="BJ159" i="26"/>
  <c r="BI159" i="26"/>
  <c r="BH159" i="26"/>
  <c r="BR173" i="26"/>
  <c r="BQ173" i="26"/>
  <c r="BP173" i="26"/>
  <c r="BR179" i="26"/>
  <c r="BQ179" i="26"/>
  <c r="BP179" i="26"/>
  <c r="BR182" i="26"/>
  <c r="BQ182" i="26"/>
  <c r="BP182" i="26"/>
  <c r="BJ213" i="26"/>
  <c r="BI213" i="26"/>
  <c r="BH213" i="26"/>
  <c r="BR211" i="26"/>
  <c r="BQ211" i="26"/>
  <c r="BP211" i="26"/>
  <c r="BJ118" i="26"/>
  <c r="BI118" i="26"/>
  <c r="BH118" i="26"/>
  <c r="BQ132" i="26"/>
  <c r="BP132" i="26"/>
  <c r="BR132" i="26"/>
  <c r="BJ75" i="26"/>
  <c r="BI75" i="26"/>
  <c r="BH75" i="26"/>
  <c r="BK91" i="26"/>
  <c r="BG91" i="26"/>
  <c r="BS97" i="26"/>
  <c r="BO97" i="26"/>
  <c r="BG128" i="26"/>
  <c r="BK128" i="26"/>
  <c r="BS142" i="26"/>
  <c r="BO142" i="26"/>
  <c r="BK101" i="26"/>
  <c r="BG101" i="26"/>
  <c r="BK140" i="26"/>
  <c r="BG140" i="26"/>
  <c r="BO96" i="26"/>
  <c r="BS96" i="26"/>
  <c r="BJ135" i="26"/>
  <c r="BI135" i="26"/>
  <c r="BH135" i="26"/>
  <c r="BJ79" i="26"/>
  <c r="BI79" i="26"/>
  <c r="BH79" i="26"/>
  <c r="BO109" i="26"/>
  <c r="BS109" i="26"/>
  <c r="BK132" i="26"/>
  <c r="BG132" i="26"/>
  <c r="BJ92" i="26"/>
  <c r="BI92" i="26"/>
  <c r="BH92" i="26"/>
  <c r="BR106" i="26"/>
  <c r="BQ106" i="26"/>
  <c r="BP106" i="26"/>
  <c r="BK97" i="26"/>
  <c r="BG97" i="26"/>
  <c r="BS111" i="26"/>
  <c r="BO111" i="26"/>
  <c r="BJ50" i="26"/>
  <c r="BI50" i="26"/>
  <c r="BH50" i="26"/>
  <c r="J278" i="22"/>
  <c r="BR12" i="26"/>
  <c r="BQ12" i="26"/>
  <c r="BP12" i="26"/>
  <c r="BS25" i="26"/>
  <c r="BO25" i="26"/>
  <c r="BK44" i="26"/>
  <c r="BG44" i="26"/>
  <c r="BG7" i="26"/>
  <c r="BK7" i="26"/>
  <c r="BS27" i="26"/>
  <c r="BO27" i="26"/>
  <c r="T275" i="22"/>
  <c r="BS11" i="26"/>
  <c r="BO11" i="26"/>
  <c r="BK42" i="26"/>
  <c r="BG42" i="26"/>
  <c r="BJ31" i="26"/>
  <c r="BI31" i="26"/>
  <c r="BH31" i="26"/>
  <c r="BK20" i="26"/>
  <c r="BG20" i="26"/>
  <c r="BS42" i="26"/>
  <c r="BO42" i="26"/>
  <c r="H301" i="22"/>
  <c r="J301" i="22"/>
  <c r="K301" i="22" s="1"/>
  <c r="L261" i="22"/>
  <c r="T293" i="22"/>
  <c r="Z221" i="22"/>
  <c r="T221" i="22"/>
  <c r="I240" i="22"/>
  <c r="H240" i="22"/>
  <c r="P240" i="22" s="1"/>
  <c r="I193" i="22"/>
  <c r="H193" i="22"/>
  <c r="J148" i="22"/>
  <c r="K148" i="22" s="1"/>
  <c r="AB88" i="22"/>
  <c r="AB99" i="22"/>
  <c r="G113" i="22"/>
  <c r="H202" i="22"/>
  <c r="P100" i="22"/>
  <c r="L100" i="22"/>
  <c r="N100" i="22" s="1"/>
  <c r="AB100" i="22"/>
  <c r="AC100" i="22" s="1"/>
  <c r="J152" i="22"/>
  <c r="H130" i="22"/>
  <c r="G109" i="22"/>
  <c r="AF400" i="16" a="1"/>
  <c r="AF400" i="16" s="1"/>
  <c r="AH400" i="16"/>
  <c r="L27" i="22"/>
  <c r="AB27" i="22"/>
  <c r="AF320" i="16" a="1"/>
  <c r="AF320" i="16" s="1"/>
  <c r="AH320" i="16"/>
  <c r="BI270" i="26"/>
  <c r="BH270" i="26"/>
  <c r="BJ270" i="26"/>
  <c r="BF226" i="26"/>
  <c r="BE226" i="26"/>
  <c r="BG231" i="26"/>
  <c r="BK231" i="26"/>
  <c r="BR249" i="26"/>
  <c r="BQ249" i="26"/>
  <c r="BP249" i="26"/>
  <c r="BK284" i="26"/>
  <c r="BG284" i="26"/>
  <c r="BP302" i="26"/>
  <c r="BR302" i="26"/>
  <c r="BQ302" i="26"/>
  <c r="BR234" i="26"/>
  <c r="BQ234" i="26"/>
  <c r="BP234" i="26"/>
  <c r="BK253" i="26"/>
  <c r="BG253" i="26"/>
  <c r="BS267" i="26"/>
  <c r="BO267" i="26"/>
  <c r="BJ286" i="26"/>
  <c r="BI286" i="26"/>
  <c r="BH286" i="26"/>
  <c r="BR304" i="26"/>
  <c r="BQ304" i="26"/>
  <c r="BP304" i="26"/>
  <c r="BR240" i="26"/>
  <c r="BQ240" i="26"/>
  <c r="BP240" i="26"/>
  <c r="BK291" i="26"/>
  <c r="BG291" i="26"/>
  <c r="BG239" i="26"/>
  <c r="BK239" i="26"/>
  <c r="BR269" i="26"/>
  <c r="BQ269" i="26"/>
  <c r="BP269" i="26"/>
  <c r="BG288" i="26"/>
  <c r="BK288" i="26"/>
  <c r="BO227" i="26"/>
  <c r="BS227" i="26"/>
  <c r="BO192" i="26"/>
  <c r="BS192" i="26"/>
  <c r="BR213" i="26"/>
  <c r="BQ213" i="26"/>
  <c r="BP213" i="26"/>
  <c r="BO205" i="26"/>
  <c r="BS205" i="26"/>
  <c r="BK220" i="26"/>
  <c r="BG220" i="26"/>
  <c r="BG185" i="26"/>
  <c r="BK185" i="26"/>
  <c r="BO202" i="26"/>
  <c r="BS202" i="26"/>
  <c r="BK177" i="26"/>
  <c r="BG177" i="26"/>
  <c r="BN146" i="26"/>
  <c r="BM146" i="26"/>
  <c r="BR163" i="26"/>
  <c r="BQ163" i="26"/>
  <c r="BP163" i="26"/>
  <c r="BK174" i="26"/>
  <c r="BG174" i="26"/>
  <c r="BJ218" i="26"/>
  <c r="BI218" i="26"/>
  <c r="BH218" i="26"/>
  <c r="BK151" i="26"/>
  <c r="BG151" i="26"/>
  <c r="BS165" i="26"/>
  <c r="BO165" i="26"/>
  <c r="BK176" i="26"/>
  <c r="BG176" i="26"/>
  <c r="BS174" i="26"/>
  <c r="BO174" i="26"/>
  <c r="BK197" i="26"/>
  <c r="BG197" i="26"/>
  <c r="BS203" i="26"/>
  <c r="BO203" i="26"/>
  <c r="BO124" i="26"/>
  <c r="BS124" i="26"/>
  <c r="BJ139" i="26"/>
  <c r="BI139" i="26"/>
  <c r="BH139" i="26"/>
  <c r="BJ91" i="26"/>
  <c r="BI91" i="26"/>
  <c r="BH91" i="26"/>
  <c r="BR97" i="26"/>
  <c r="BQ97" i="26"/>
  <c r="BP97" i="26"/>
  <c r="BJ128" i="26"/>
  <c r="BI128" i="26"/>
  <c r="BH128" i="26"/>
  <c r="BR142" i="26"/>
  <c r="BQ142" i="26"/>
  <c r="BP142" i="26"/>
  <c r="BG141" i="26"/>
  <c r="BK141" i="26"/>
  <c r="BJ101" i="26"/>
  <c r="BI101" i="26"/>
  <c r="BH101" i="26"/>
  <c r="BJ140" i="26"/>
  <c r="BI140" i="26"/>
  <c r="BH140" i="26"/>
  <c r="BR96" i="26"/>
  <c r="BQ96" i="26"/>
  <c r="BP96" i="26"/>
  <c r="BR88" i="26"/>
  <c r="BQ88" i="26"/>
  <c r="BP88" i="26"/>
  <c r="BK127" i="26"/>
  <c r="BG127" i="26"/>
  <c r="BK71" i="26"/>
  <c r="BG71" i="26"/>
  <c r="BQ109" i="26"/>
  <c r="BP109" i="26"/>
  <c r="BR109" i="26"/>
  <c r="BJ132" i="26"/>
  <c r="BI132" i="26"/>
  <c r="BH132" i="26"/>
  <c r="BS90" i="26"/>
  <c r="BO90" i="26"/>
  <c r="BJ97" i="26"/>
  <c r="BI97" i="26"/>
  <c r="BH97" i="26"/>
  <c r="BR111" i="26"/>
  <c r="BQ111" i="26"/>
  <c r="BP111" i="26"/>
  <c r="BK38" i="26"/>
  <c r="BG38" i="26"/>
  <c r="N272" i="22"/>
  <c r="BK19" i="26"/>
  <c r="BG19" i="26"/>
  <c r="I288" i="22"/>
  <c r="BR66" i="26"/>
  <c r="BQ66" i="26"/>
  <c r="BP66" i="26"/>
  <c r="BS6" i="26"/>
  <c r="BO6" i="26"/>
  <c r="BS63" i="26"/>
  <c r="BO63" i="26"/>
  <c r="BR11" i="26"/>
  <c r="BQ11" i="26"/>
  <c r="BP11" i="26"/>
  <c r="BJ42" i="26"/>
  <c r="BI42" i="26"/>
  <c r="BH42" i="26"/>
  <c r="BR29" i="26"/>
  <c r="BQ29" i="26"/>
  <c r="BP29" i="26"/>
  <c r="BR42" i="26"/>
  <c r="BQ42" i="26"/>
  <c r="BP42" i="26"/>
  <c r="H227" i="22"/>
  <c r="J227" i="22"/>
  <c r="I227" i="22"/>
  <c r="G227" i="22"/>
  <c r="J287" i="22"/>
  <c r="K287" i="22" s="1"/>
  <c r="AA240" i="22"/>
  <c r="AB220" i="22"/>
  <c r="AC220" i="22" s="1"/>
  <c r="L220" i="22"/>
  <c r="K220" i="22"/>
  <c r="H185" i="22"/>
  <c r="AB191" i="22"/>
  <c r="AC191" i="22" s="1"/>
  <c r="L191" i="22"/>
  <c r="N191" i="22" s="1"/>
  <c r="K191" i="22"/>
  <c r="AA164" i="22"/>
  <c r="I164" i="22"/>
  <c r="H171" i="22"/>
  <c r="Z206" i="22"/>
  <c r="AB170" i="22"/>
  <c r="AC170" i="22" s="1"/>
  <c r="AC173" i="22"/>
  <c r="L123" i="22"/>
  <c r="AB123" i="22"/>
  <c r="P123" i="22"/>
  <c r="J150" i="22"/>
  <c r="H150" i="22"/>
  <c r="AA150" i="22"/>
  <c r="I87" i="22"/>
  <c r="H87" i="22"/>
  <c r="G87" i="22"/>
  <c r="AA87" i="22"/>
  <c r="I113" i="22"/>
  <c r="L202" i="22"/>
  <c r="N202" i="22" s="1"/>
  <c r="P202" i="22"/>
  <c r="AB202" i="22"/>
  <c r="AB115" i="22"/>
  <c r="AC115" i="22" s="1"/>
  <c r="L117" i="22"/>
  <c r="BO31" i="26"/>
  <c r="BS31" i="26"/>
  <c r="AB34" i="22"/>
  <c r="AC34" i="22" s="1"/>
  <c r="Z63" i="22"/>
  <c r="AA114" i="22"/>
  <c r="H114" i="22"/>
  <c r="J114" i="22"/>
  <c r="I114" i="22"/>
  <c r="G114" i="22"/>
  <c r="H67" i="22"/>
  <c r="J43" i="22"/>
  <c r="K43" i="22" s="1"/>
  <c r="I43" i="22"/>
  <c r="H43" i="22"/>
  <c r="AA43" i="22"/>
  <c r="J76" i="22"/>
  <c r="K76" i="22" s="1"/>
  <c r="J10" i="22"/>
  <c r="I10" i="22"/>
  <c r="H10" i="22"/>
  <c r="G10" i="22"/>
  <c r="AA10" i="22"/>
  <c r="AH384" i="16"/>
  <c r="AF384" i="16" a="1"/>
  <c r="AF384" i="16" s="1"/>
  <c r="H56" i="22"/>
  <c r="AH406" i="16"/>
  <c r="AF406" i="16" a="1"/>
  <c r="AF406" i="16" s="1"/>
  <c r="K21" i="22"/>
  <c r="AH215" i="16"/>
  <c r="AF215" i="16" a="1"/>
  <c r="AF215" i="16" s="1"/>
  <c r="AH202" i="16"/>
  <c r="AF202" i="16" a="1"/>
  <c r="AF202" i="16" s="1"/>
  <c r="AH186" i="16"/>
  <c r="AF186" i="16" a="1"/>
  <c r="AF186" i="16" s="1"/>
  <c r="AF198" i="16" a="1"/>
  <c r="AF198" i="16" s="1"/>
  <c r="AH198" i="16"/>
  <c r="BF224" i="26"/>
  <c r="BE224" i="26"/>
  <c r="BK295" i="26"/>
  <c r="BG295" i="26"/>
  <c r="BH231" i="26"/>
  <c r="BJ231" i="26"/>
  <c r="BI231" i="26"/>
  <c r="BK248" i="26"/>
  <c r="BG248" i="26"/>
  <c r="BJ284" i="26"/>
  <c r="BI284" i="26"/>
  <c r="BH284" i="26"/>
  <c r="BS298" i="26"/>
  <c r="BO298" i="26"/>
  <c r="BN226" i="26"/>
  <c r="BM226" i="26"/>
  <c r="BJ253" i="26"/>
  <c r="BI253" i="26"/>
  <c r="BH253" i="26"/>
  <c r="BR267" i="26"/>
  <c r="BQ267" i="26"/>
  <c r="BP267" i="26"/>
  <c r="BK274" i="26"/>
  <c r="BG274" i="26"/>
  <c r="BO292" i="26"/>
  <c r="BS292" i="26"/>
  <c r="BS236" i="26"/>
  <c r="BO236" i="26"/>
  <c r="BG283" i="26"/>
  <c r="BK283" i="26"/>
  <c r="BH239" i="26"/>
  <c r="BJ239" i="26"/>
  <c r="BI239" i="26"/>
  <c r="BO261" i="26"/>
  <c r="BS261" i="26"/>
  <c r="BO274" i="26"/>
  <c r="BS274" i="26"/>
  <c r="BJ273" i="26"/>
  <c r="BI273" i="26"/>
  <c r="BH273" i="26"/>
  <c r="BK229" i="26"/>
  <c r="BG229" i="26"/>
  <c r="BR227" i="26"/>
  <c r="BQ227" i="26"/>
  <c r="BP227" i="26"/>
  <c r="BK178" i="26"/>
  <c r="BG178" i="26"/>
  <c r="BP192" i="26"/>
  <c r="BR192" i="26"/>
  <c r="BQ192" i="26"/>
  <c r="BS213" i="26"/>
  <c r="BO213" i="26"/>
  <c r="BR205" i="26"/>
  <c r="BQ205" i="26"/>
  <c r="BP205" i="26"/>
  <c r="BJ220" i="26"/>
  <c r="BI220" i="26"/>
  <c r="BH220" i="26"/>
  <c r="BJ185" i="26"/>
  <c r="BI185" i="26"/>
  <c r="BH185" i="26"/>
  <c r="BQ202" i="26"/>
  <c r="BP202" i="26"/>
  <c r="BR202" i="26"/>
  <c r="BJ177" i="26"/>
  <c r="BI177" i="26"/>
  <c r="BH177" i="26"/>
  <c r="BS223" i="26"/>
  <c r="BO223" i="26"/>
  <c r="BS155" i="26"/>
  <c r="BO155" i="26"/>
  <c r="BJ174" i="26"/>
  <c r="BI174" i="26"/>
  <c r="BH174" i="26"/>
  <c r="BG211" i="26"/>
  <c r="BK211" i="26"/>
  <c r="BS214" i="26"/>
  <c r="BO214" i="26"/>
  <c r="BJ151" i="26"/>
  <c r="BI151" i="26"/>
  <c r="BH151" i="26"/>
  <c r="BR165" i="26"/>
  <c r="BQ165" i="26"/>
  <c r="BP165" i="26"/>
  <c r="BJ176" i="26"/>
  <c r="BI176" i="26"/>
  <c r="BH176" i="26"/>
  <c r="BR174" i="26"/>
  <c r="BQ174" i="26"/>
  <c r="BP174" i="26"/>
  <c r="BJ197" i="26"/>
  <c r="BI197" i="26"/>
  <c r="BH197" i="26"/>
  <c r="BR203" i="26"/>
  <c r="BQ203" i="26"/>
  <c r="BP203" i="26"/>
  <c r="BK110" i="26"/>
  <c r="BG110" i="26"/>
  <c r="BR124" i="26"/>
  <c r="BQ124" i="26"/>
  <c r="BP124" i="26"/>
  <c r="BK139" i="26"/>
  <c r="BG139" i="26"/>
  <c r="BK83" i="26"/>
  <c r="BG83" i="26"/>
  <c r="BO94" i="26"/>
  <c r="BS94" i="26"/>
  <c r="BK120" i="26"/>
  <c r="BG120" i="26"/>
  <c r="BS134" i="26"/>
  <c r="BO134" i="26"/>
  <c r="BI141" i="26"/>
  <c r="BH141" i="26"/>
  <c r="BJ141" i="26"/>
  <c r="BK114" i="26"/>
  <c r="BG114" i="26"/>
  <c r="BS80" i="26"/>
  <c r="BO80" i="26"/>
  <c r="BJ127" i="26"/>
  <c r="BI127" i="26"/>
  <c r="BH127" i="26"/>
  <c r="BJ71" i="26"/>
  <c r="BI71" i="26"/>
  <c r="BH71" i="26"/>
  <c r="BO101" i="26"/>
  <c r="BS101" i="26"/>
  <c r="BS130" i="26"/>
  <c r="BO130" i="26"/>
  <c r="BK84" i="26"/>
  <c r="BG84" i="26"/>
  <c r="BR90" i="26"/>
  <c r="BQ90" i="26"/>
  <c r="BP90" i="26"/>
  <c r="BK89" i="26"/>
  <c r="BG89" i="26"/>
  <c r="BJ19" i="26"/>
  <c r="BI19" i="26"/>
  <c r="BH19" i="26"/>
  <c r="BS17" i="26"/>
  <c r="BO17" i="26"/>
  <c r="BG40" i="26"/>
  <c r="BK40" i="26"/>
  <c r="G278" i="22"/>
  <c r="AA278" i="22"/>
  <c r="BS24" i="26"/>
  <c r="BO24" i="26"/>
  <c r="BR63" i="26"/>
  <c r="BQ63" i="26"/>
  <c r="BP63" i="26"/>
  <c r="BK18" i="26"/>
  <c r="BG18" i="26"/>
  <c r="BS60" i="26"/>
  <c r="BO60" i="26"/>
  <c r="BK67" i="26"/>
  <c r="BG67" i="26"/>
  <c r="BJ15" i="26"/>
  <c r="BI15" i="26"/>
  <c r="BH15" i="26"/>
  <c r="BK64" i="26"/>
  <c r="BG64" i="26"/>
  <c r="BS67" i="26"/>
  <c r="BO67" i="26"/>
  <c r="J250" i="22"/>
  <c r="K250" i="22" s="1"/>
  <c r="I250" i="22"/>
  <c r="H250" i="22"/>
  <c r="BO59" i="26"/>
  <c r="BS59" i="26"/>
  <c r="Z168" i="22"/>
  <c r="T168" i="22"/>
  <c r="J185" i="22"/>
  <c r="L230" i="22"/>
  <c r="N230" i="22" s="1"/>
  <c r="P230" i="22"/>
  <c r="AB230" i="22"/>
  <c r="AC230" i="22" s="1"/>
  <c r="I206" i="22"/>
  <c r="P206" i="22" s="1"/>
  <c r="Z161" i="22"/>
  <c r="K97" i="22"/>
  <c r="L97" i="22"/>
  <c r="N97" i="22" s="1"/>
  <c r="AB61" i="22"/>
  <c r="AC61" i="22" s="1"/>
  <c r="L61" i="22"/>
  <c r="P61" i="22"/>
  <c r="K61" i="22"/>
  <c r="AB69" i="22"/>
  <c r="AC69" i="22" s="1"/>
  <c r="L69" i="22"/>
  <c r="P69" i="22"/>
  <c r="K69" i="22"/>
  <c r="I56" i="22"/>
  <c r="I6" i="22"/>
  <c r="H6" i="22"/>
  <c r="J6" i="22"/>
  <c r="K6" i="22" s="1"/>
  <c r="J122" i="22"/>
  <c r="K122" i="22" s="1"/>
  <c r="H122" i="22"/>
  <c r="P21" i="22"/>
  <c r="T78" i="22"/>
  <c r="AH315" i="16"/>
  <c r="AF315" i="16" a="1"/>
  <c r="AF315" i="16" s="1"/>
  <c r="AF271" i="16" a="1"/>
  <c r="AF271" i="16" s="1"/>
  <c r="AH271" i="16"/>
  <c r="AH292" i="16"/>
  <c r="AF292" i="16" a="1"/>
  <c r="AF292" i="16" s="1"/>
  <c r="AH297" i="16"/>
  <c r="AF297" i="16" a="1"/>
  <c r="AF297" i="16" s="1"/>
  <c r="AH329" i="16"/>
  <c r="AF329" i="16" a="1"/>
  <c r="AF329" i="16" s="1"/>
  <c r="AH253" i="16"/>
  <c r="AF253" i="16" a="1"/>
  <c r="AF253" i="16" s="1"/>
  <c r="AF282" i="16" a="1"/>
  <c r="AF282" i="16" s="1"/>
  <c r="AH282" i="16"/>
  <c r="AH259" i="16"/>
  <c r="AF259" i="16" a="1"/>
  <c r="AF259" i="16" s="1"/>
  <c r="AH172" i="16"/>
  <c r="AF172" i="16" a="1"/>
  <c r="AF172" i="16" s="1"/>
  <c r="AH154" i="16"/>
  <c r="AF154" i="16" a="1"/>
  <c r="AF154" i="16" s="1"/>
  <c r="AF126" i="16" a="1"/>
  <c r="AF126" i="16" s="1"/>
  <c r="AH126" i="16"/>
  <c r="AH203" i="16"/>
  <c r="AF203" i="16" a="1"/>
  <c r="AF203" i="16" s="1"/>
  <c r="AH201" i="16"/>
  <c r="AF201" i="16" a="1"/>
  <c r="AF201" i="16" s="1"/>
  <c r="AH169" i="16"/>
  <c r="AF169" i="16" a="1"/>
  <c r="AF169" i="16" s="1"/>
  <c r="AH139" i="16"/>
  <c r="AF139" i="16" a="1"/>
  <c r="AF139" i="16" s="1"/>
  <c r="BK262" i="26"/>
  <c r="BG262" i="26"/>
  <c r="BS300" i="26"/>
  <c r="BO300" i="26"/>
  <c r="BJ295" i="26"/>
  <c r="BI295" i="26"/>
  <c r="BH295" i="26"/>
  <c r="BF223" i="26"/>
  <c r="BE223" i="26"/>
  <c r="BJ248" i="26"/>
  <c r="BI248" i="26"/>
  <c r="BH248" i="26"/>
  <c r="BR298" i="26"/>
  <c r="BQ298" i="26"/>
  <c r="BP298" i="26"/>
  <c r="BK301" i="26"/>
  <c r="BG301" i="26"/>
  <c r="BS259" i="26"/>
  <c r="BO259" i="26"/>
  <c r="BJ274" i="26"/>
  <c r="BI274" i="26"/>
  <c r="BH274" i="26"/>
  <c r="BR292" i="26"/>
  <c r="BQ292" i="26"/>
  <c r="BP292" i="26"/>
  <c r="BR236" i="26"/>
  <c r="BQ236" i="26"/>
  <c r="BP236" i="26"/>
  <c r="BH283" i="26"/>
  <c r="BJ283" i="26"/>
  <c r="BI283" i="26"/>
  <c r="BK235" i="26"/>
  <c r="BG235" i="26"/>
  <c r="BR261" i="26"/>
  <c r="BQ261" i="26"/>
  <c r="BP261" i="26"/>
  <c r="BS283" i="26"/>
  <c r="BO283" i="26"/>
  <c r="BR274" i="26"/>
  <c r="BQ274" i="26"/>
  <c r="BP274" i="26"/>
  <c r="BK273" i="26"/>
  <c r="BG273" i="26"/>
  <c r="BS291" i="26"/>
  <c r="BO291" i="26"/>
  <c r="BJ178" i="26"/>
  <c r="BI178" i="26"/>
  <c r="BH178" i="26"/>
  <c r="BO176" i="26"/>
  <c r="BS176" i="26"/>
  <c r="BK207" i="26"/>
  <c r="BG207" i="26"/>
  <c r="BS194" i="26"/>
  <c r="BO194" i="26"/>
  <c r="BK212" i="26"/>
  <c r="BG212" i="26"/>
  <c r="BG180" i="26"/>
  <c r="BK180" i="26"/>
  <c r="BS186" i="26"/>
  <c r="BO186" i="26"/>
  <c r="BO168" i="26"/>
  <c r="BS168" i="26"/>
  <c r="BR223" i="26"/>
  <c r="BQ223" i="26"/>
  <c r="BP223" i="26"/>
  <c r="BR155" i="26"/>
  <c r="BQ155" i="26"/>
  <c r="BP155" i="26"/>
  <c r="BK170" i="26"/>
  <c r="BG170" i="26"/>
  <c r="BJ211" i="26"/>
  <c r="BI211" i="26"/>
  <c r="BH211" i="26"/>
  <c r="BR214" i="26"/>
  <c r="BQ214" i="26"/>
  <c r="BP214" i="26"/>
  <c r="BS217" i="26"/>
  <c r="BO217" i="26"/>
  <c r="BS157" i="26"/>
  <c r="BO157" i="26"/>
  <c r="BG172" i="26"/>
  <c r="BK172" i="26"/>
  <c r="BS170" i="26"/>
  <c r="BO170" i="26"/>
  <c r="BK189" i="26"/>
  <c r="BG189" i="26"/>
  <c r="BS195" i="26"/>
  <c r="BO195" i="26"/>
  <c r="BJ110" i="26"/>
  <c r="BI110" i="26"/>
  <c r="BH110" i="26"/>
  <c r="BS116" i="26"/>
  <c r="BO116" i="26"/>
  <c r="BG131" i="26"/>
  <c r="BK131" i="26"/>
  <c r="BJ83" i="26"/>
  <c r="BI83" i="26"/>
  <c r="BH83" i="26"/>
  <c r="BK93" i="26"/>
  <c r="BG93" i="26"/>
  <c r="BR139" i="26"/>
  <c r="BQ139" i="26"/>
  <c r="BP139" i="26"/>
  <c r="BQ91" i="26"/>
  <c r="BP91" i="26"/>
  <c r="BR91" i="26"/>
  <c r="BJ114" i="26"/>
  <c r="BI114" i="26"/>
  <c r="BH114" i="26"/>
  <c r="BR80" i="26"/>
  <c r="BQ80" i="26"/>
  <c r="BP80" i="26"/>
  <c r="BK119" i="26"/>
  <c r="BG119" i="26"/>
  <c r="BR101" i="26"/>
  <c r="BQ101" i="26"/>
  <c r="BP101" i="26"/>
  <c r="BR130" i="26"/>
  <c r="BQ130" i="26"/>
  <c r="BP130" i="26"/>
  <c r="BR103" i="26"/>
  <c r="BQ103" i="26"/>
  <c r="BP103" i="26"/>
  <c r="BG30" i="26"/>
  <c r="BK30" i="26"/>
  <c r="BO64" i="26"/>
  <c r="BS64" i="26"/>
  <c r="BK11" i="26"/>
  <c r="BG11" i="26"/>
  <c r="BJ65" i="26"/>
  <c r="BI65" i="26"/>
  <c r="BH65" i="26"/>
  <c r="I298" i="22"/>
  <c r="H298" i="22"/>
  <c r="G298" i="22"/>
  <c r="BR24" i="26"/>
  <c r="BQ24" i="26"/>
  <c r="BP24" i="26"/>
  <c r="BS55" i="26"/>
  <c r="BO55" i="26"/>
  <c r="BR60" i="26"/>
  <c r="BQ60" i="26"/>
  <c r="BP60" i="26"/>
  <c r="BS21" i="26"/>
  <c r="BO21" i="26"/>
  <c r="BJ64" i="26"/>
  <c r="BI64" i="26"/>
  <c r="BH64" i="26"/>
  <c r="AB300" i="22"/>
  <c r="AC300" i="22" s="1"/>
  <c r="BJ33" i="26"/>
  <c r="BI33" i="26"/>
  <c r="BH33" i="26"/>
  <c r="T242" i="22"/>
  <c r="Z242" i="22"/>
  <c r="Z232" i="22"/>
  <c r="T232" i="22"/>
  <c r="L240" i="22"/>
  <c r="P218" i="22"/>
  <c r="AB218" i="22"/>
  <c r="AC218" i="22" s="1"/>
  <c r="L218" i="22"/>
  <c r="N218" i="22" s="1"/>
  <c r="P207" i="22"/>
  <c r="L207" i="22"/>
  <c r="N207" i="22" s="1"/>
  <c r="I228" i="22"/>
  <c r="H228" i="22"/>
  <c r="G225" i="22"/>
  <c r="H184" i="22"/>
  <c r="Z182" i="22"/>
  <c r="T182" i="22"/>
  <c r="I158" i="22"/>
  <c r="H158" i="22"/>
  <c r="G158" i="22"/>
  <c r="AA158" i="22"/>
  <c r="H186" i="22"/>
  <c r="G186" i="22"/>
  <c r="I186" i="22"/>
  <c r="I118" i="22"/>
  <c r="H118" i="22"/>
  <c r="G118" i="22"/>
  <c r="AA118" i="22"/>
  <c r="J118" i="22"/>
  <c r="H148" i="22"/>
  <c r="AA129" i="22"/>
  <c r="H129" i="22"/>
  <c r="G129" i="22"/>
  <c r="J129" i="22"/>
  <c r="AB108" i="22"/>
  <c r="AC108" i="22" s="1"/>
  <c r="L108" i="22"/>
  <c r="P108" i="22"/>
  <c r="I134" i="22"/>
  <c r="T134" i="22" s="1"/>
  <c r="G134" i="22"/>
  <c r="AA134" i="22"/>
  <c r="AC143" i="22"/>
  <c r="I59" i="22"/>
  <c r="G67" i="22"/>
  <c r="K67" i="22" s="1"/>
  <c r="I67" i="22"/>
  <c r="AA98" i="22"/>
  <c r="H98" i="22"/>
  <c r="J98" i="22"/>
  <c r="G98" i="22"/>
  <c r="Z85" i="22"/>
  <c r="I13" i="22"/>
  <c r="AA13" i="22"/>
  <c r="H13" i="22"/>
  <c r="J13" i="22"/>
  <c r="G13" i="22"/>
  <c r="L25" i="22"/>
  <c r="AB35" i="22"/>
  <c r="AC35" i="22" s="1"/>
  <c r="L35" i="22"/>
  <c r="AH405" i="16"/>
  <c r="AF405" i="16" a="1"/>
  <c r="AF405" i="16" s="1"/>
  <c r="AH244" i="16"/>
  <c r="AF244" i="16" a="1"/>
  <c r="AF244" i="16" s="1"/>
  <c r="AH318" i="16"/>
  <c r="AF318" i="16" a="1"/>
  <c r="AF318" i="16" s="1"/>
  <c r="AH311" i="16"/>
  <c r="AF311" i="16" a="1"/>
  <c r="AF311" i="16" s="1"/>
  <c r="AH316" i="16"/>
  <c r="AF316" i="16" a="1"/>
  <c r="AF316" i="16" s="1"/>
  <c r="AF298" i="16" a="1"/>
  <c r="AF298" i="16" s="1"/>
  <c r="AH298" i="16"/>
  <c r="BJ262" i="26"/>
  <c r="BI262" i="26"/>
  <c r="BH262" i="26"/>
  <c r="BR300" i="26"/>
  <c r="BQ300" i="26"/>
  <c r="BP300" i="26"/>
  <c r="BS305" i="26"/>
  <c r="BO305" i="26"/>
  <c r="BS241" i="26"/>
  <c r="BO241" i="26"/>
  <c r="BK280" i="26"/>
  <c r="BG280" i="26"/>
  <c r="BS290" i="26"/>
  <c r="BO290" i="26"/>
  <c r="BJ301" i="26"/>
  <c r="BI301" i="26"/>
  <c r="BH301" i="26"/>
  <c r="BK245" i="26"/>
  <c r="BG245" i="26"/>
  <c r="BR259" i="26"/>
  <c r="BQ259" i="26"/>
  <c r="BP259" i="26"/>
  <c r="BK266" i="26"/>
  <c r="BG266" i="26"/>
  <c r="BO284" i="26"/>
  <c r="BS284" i="26"/>
  <c r="BS233" i="26"/>
  <c r="BO233" i="26"/>
  <c r="BS281" i="26"/>
  <c r="BO281" i="26"/>
  <c r="BJ235" i="26"/>
  <c r="BI235" i="26"/>
  <c r="BH235" i="26"/>
  <c r="BS250" i="26"/>
  <c r="BO250" i="26"/>
  <c r="BR283" i="26"/>
  <c r="BQ283" i="26"/>
  <c r="BP283" i="26"/>
  <c r="BO266" i="26"/>
  <c r="BS266" i="26"/>
  <c r="BG265" i="26"/>
  <c r="BK265" i="26"/>
  <c r="BR291" i="26"/>
  <c r="BQ291" i="26"/>
  <c r="BP291" i="26"/>
  <c r="BK210" i="26"/>
  <c r="BG210" i="26"/>
  <c r="BK166" i="26"/>
  <c r="BG166" i="26"/>
  <c r="BR176" i="26"/>
  <c r="BQ176" i="26"/>
  <c r="BP176" i="26"/>
  <c r="BJ207" i="26"/>
  <c r="BI207" i="26"/>
  <c r="BH207" i="26"/>
  <c r="BR194" i="26"/>
  <c r="BQ194" i="26"/>
  <c r="BP194" i="26"/>
  <c r="BJ212" i="26"/>
  <c r="BI212" i="26"/>
  <c r="BH212" i="26"/>
  <c r="BH180" i="26"/>
  <c r="BJ180" i="26"/>
  <c r="BI180" i="26"/>
  <c r="BN70" i="26"/>
  <c r="BM70" i="26"/>
  <c r="BR89" i="26"/>
  <c r="BQ89" i="26"/>
  <c r="BP89" i="26"/>
  <c r="BK112" i="26"/>
  <c r="BG112" i="26"/>
  <c r="BS126" i="26"/>
  <c r="BO126" i="26"/>
  <c r="BR136" i="26"/>
  <c r="BQ136" i="26"/>
  <c r="BP136" i="26"/>
  <c r="BS131" i="26"/>
  <c r="BO131" i="26"/>
  <c r="BS83" i="26"/>
  <c r="BO83" i="26"/>
  <c r="BK106" i="26"/>
  <c r="BG106" i="26"/>
  <c r="BS72" i="26"/>
  <c r="BO72" i="26"/>
  <c r="BJ119" i="26"/>
  <c r="BI119" i="26"/>
  <c r="BH119" i="26"/>
  <c r="BK76" i="26"/>
  <c r="BG76" i="26"/>
  <c r="BR82" i="26"/>
  <c r="BQ82" i="26"/>
  <c r="BP82" i="26"/>
  <c r="BK81" i="26"/>
  <c r="BG81" i="26"/>
  <c r="BQ64" i="26"/>
  <c r="BP64" i="26"/>
  <c r="BR64" i="26"/>
  <c r="G299" i="22"/>
  <c r="J299" i="22"/>
  <c r="I299" i="22"/>
  <c r="H299" i="22"/>
  <c r="AA299" i="22"/>
  <c r="BJ11" i="26"/>
  <c r="BI11" i="26"/>
  <c r="BH11" i="26"/>
  <c r="BO69" i="26"/>
  <c r="BS69" i="26"/>
  <c r="BS9" i="26"/>
  <c r="BO9" i="26"/>
  <c r="BK39" i="26"/>
  <c r="BG39" i="26"/>
  <c r="L297" i="22"/>
  <c r="K297" i="22"/>
  <c r="BS62" i="26"/>
  <c r="BO62" i="26"/>
  <c r="BJ6" i="26"/>
  <c r="BI6" i="26"/>
  <c r="BH6" i="26"/>
  <c r="BR21" i="26"/>
  <c r="BQ21" i="26"/>
  <c r="BP21" i="26"/>
  <c r="BK56" i="26"/>
  <c r="BG56" i="26"/>
  <c r="BO26" i="26"/>
  <c r="BS26" i="26"/>
  <c r="BK33" i="26"/>
  <c r="BG33" i="26"/>
  <c r="T270" i="22"/>
  <c r="Z270" i="22"/>
  <c r="L243" i="22"/>
  <c r="AB243" i="22"/>
  <c r="AC243" i="22" s="1"/>
  <c r="P188" i="22"/>
  <c r="L188" i="22"/>
  <c r="AB188" i="22"/>
  <c r="AC188" i="22" s="1"/>
  <c r="P214" i="22"/>
  <c r="AB214" i="22"/>
  <c r="AC214" i="22" s="1"/>
  <c r="K189" i="22"/>
  <c r="AB271" i="22"/>
  <c r="AC271" i="22" s="1"/>
  <c r="L271" i="22"/>
  <c r="N271" i="22" s="1"/>
  <c r="P271" i="22"/>
  <c r="T164" i="22"/>
  <c r="K206" i="22"/>
  <c r="I145" i="22"/>
  <c r="H145" i="22"/>
  <c r="G145" i="22"/>
  <c r="J94" i="22"/>
  <c r="I94" i="22"/>
  <c r="G94" i="22"/>
  <c r="H94" i="22"/>
  <c r="L132" i="22"/>
  <c r="N132" i="22" s="1"/>
  <c r="BR23" i="26"/>
  <c r="BQ23" i="26"/>
  <c r="BP23" i="26"/>
  <c r="T57" i="22"/>
  <c r="G59" i="22"/>
  <c r="H59" i="22"/>
  <c r="AA109" i="22"/>
  <c r="J109" i="22"/>
  <c r="K109" i="22" s="1"/>
  <c r="I109" i="22"/>
  <c r="T109" i="22" s="1"/>
  <c r="AC84" i="22"/>
  <c r="J58" i="22"/>
  <c r="H58" i="22"/>
  <c r="G58" i="22"/>
  <c r="AA58" i="22"/>
  <c r="I58" i="22"/>
  <c r="L46" i="22"/>
  <c r="P46" i="22"/>
  <c r="AB46" i="22"/>
  <c r="K46" i="22"/>
  <c r="Z28" i="22"/>
  <c r="T28" i="22"/>
  <c r="I36" i="22"/>
  <c r="AA36" i="22"/>
  <c r="AC36" i="22" s="1"/>
  <c r="J36" i="22"/>
  <c r="K36" i="22" s="1"/>
  <c r="AB6" i="22"/>
  <c r="AC6" i="22" s="1"/>
  <c r="AH418" i="16"/>
  <c r="AF418" i="16" a="1"/>
  <c r="AF418" i="16" s="1"/>
  <c r="AH249" i="16"/>
  <c r="AF249" i="16" a="1"/>
  <c r="AF249" i="16" s="1"/>
  <c r="AH213" i="16"/>
  <c r="AF213" i="16" a="1"/>
  <c r="AF213" i="16" s="1"/>
  <c r="AH158" i="16"/>
  <c r="AF158" i="16" a="1"/>
  <c r="AF158" i="16" s="1"/>
  <c r="AH142" i="16"/>
  <c r="AF142" i="16" a="1"/>
  <c r="AF142" i="16" s="1"/>
  <c r="AH170" i="16"/>
  <c r="AF170" i="16" a="1"/>
  <c r="AF170" i="16" s="1"/>
  <c r="AH159" i="16"/>
  <c r="AF159" i="16" a="1"/>
  <c r="AF159" i="16" s="1"/>
  <c r="AH194" i="16"/>
  <c r="AF194" i="16" a="1"/>
  <c r="AF194" i="16" s="1"/>
  <c r="AH185" i="16"/>
  <c r="AF185" i="16" a="1"/>
  <c r="AF185" i="16" s="1"/>
  <c r="AH162" i="16"/>
  <c r="AF162" i="16" a="1"/>
  <c r="AF162" i="16" s="1"/>
  <c r="BK254" i="26"/>
  <c r="BG254" i="26"/>
  <c r="BS296" i="26"/>
  <c r="BO296" i="26"/>
  <c r="BK287" i="26"/>
  <c r="BG287" i="26"/>
  <c r="BR305" i="26"/>
  <c r="BQ305" i="26"/>
  <c r="BP305" i="26"/>
  <c r="BR241" i="26"/>
  <c r="BQ241" i="26"/>
  <c r="BP241" i="26"/>
  <c r="BJ280" i="26"/>
  <c r="BI280" i="26"/>
  <c r="BH280" i="26"/>
  <c r="BR290" i="26"/>
  <c r="BQ290" i="26"/>
  <c r="BP290" i="26"/>
  <c r="BK297" i="26"/>
  <c r="BG297" i="26"/>
  <c r="BJ245" i="26"/>
  <c r="BI245" i="26"/>
  <c r="BH245" i="26"/>
  <c r="BS251" i="26"/>
  <c r="BO251" i="26"/>
  <c r="BJ266" i="26"/>
  <c r="BI266" i="26"/>
  <c r="BH266" i="26"/>
  <c r="BR284" i="26"/>
  <c r="BQ284" i="26"/>
  <c r="BP284" i="26"/>
  <c r="BR233" i="26"/>
  <c r="BQ233" i="26"/>
  <c r="BP233" i="26"/>
  <c r="BR281" i="26"/>
  <c r="BQ281" i="26"/>
  <c r="BP281" i="26"/>
  <c r="BR250" i="26"/>
  <c r="BQ250" i="26"/>
  <c r="BP250" i="26"/>
  <c r="BK276" i="26"/>
  <c r="BG276" i="26"/>
  <c r="BR266" i="26"/>
  <c r="BQ266" i="26"/>
  <c r="BP266" i="26"/>
  <c r="BH265" i="26"/>
  <c r="BJ265" i="26"/>
  <c r="BI265" i="26"/>
  <c r="BK179" i="26"/>
  <c r="BG179" i="26"/>
  <c r="BS166" i="26"/>
  <c r="BO166" i="26"/>
  <c r="BK165" i="26"/>
  <c r="BG165" i="26"/>
  <c r="BP215" i="26"/>
  <c r="BR215" i="26"/>
  <c r="BQ215" i="26"/>
  <c r="BK222" i="26"/>
  <c r="BG222" i="26"/>
  <c r="BR204" i="26"/>
  <c r="BQ204" i="26"/>
  <c r="BP204" i="26"/>
  <c r="BJ203" i="26"/>
  <c r="BI203" i="26"/>
  <c r="BH203" i="26"/>
  <c r="BS209" i="26"/>
  <c r="BO209" i="26"/>
  <c r="BG216" i="26"/>
  <c r="BK216" i="26"/>
  <c r="BS151" i="26"/>
  <c r="BO151" i="26"/>
  <c r="BK181" i="26"/>
  <c r="BG181" i="26"/>
  <c r="BS187" i="26"/>
  <c r="BO187" i="26"/>
  <c r="BJ102" i="26"/>
  <c r="BI102" i="26"/>
  <c r="BH102" i="26"/>
  <c r="BS108" i="26"/>
  <c r="BO108" i="26"/>
  <c r="BS129" i="26"/>
  <c r="BO129" i="26"/>
  <c r="BS89" i="26"/>
  <c r="BO89" i="26"/>
  <c r="BJ112" i="26"/>
  <c r="BI112" i="26"/>
  <c r="BH112" i="26"/>
  <c r="BR126" i="26"/>
  <c r="BQ126" i="26"/>
  <c r="BP126" i="26"/>
  <c r="BG133" i="26"/>
  <c r="BK133" i="26"/>
  <c r="BK85" i="26"/>
  <c r="BG85" i="26"/>
  <c r="BR131" i="26"/>
  <c r="BQ131" i="26"/>
  <c r="BP131" i="26"/>
  <c r="BR83" i="26"/>
  <c r="BQ83" i="26"/>
  <c r="BP83" i="26"/>
  <c r="BJ106" i="26"/>
  <c r="BI106" i="26"/>
  <c r="BH106" i="26"/>
  <c r="BR72" i="26"/>
  <c r="BQ72" i="26"/>
  <c r="BP72" i="26"/>
  <c r="BR93" i="26"/>
  <c r="BQ93" i="26"/>
  <c r="BP93" i="26"/>
  <c r="BP127" i="26"/>
  <c r="BR127" i="26"/>
  <c r="BQ127" i="26"/>
  <c r="BR95" i="26"/>
  <c r="BQ95" i="26"/>
  <c r="BP95" i="26"/>
  <c r="BG22" i="26"/>
  <c r="BK22" i="26"/>
  <c r="BS56" i="26"/>
  <c r="BO56" i="26"/>
  <c r="P284" i="22"/>
  <c r="L284" i="22"/>
  <c r="AB284" i="22"/>
  <c r="AC284" i="22" s="1"/>
  <c r="BR58" i="26"/>
  <c r="BQ58" i="26"/>
  <c r="BP58" i="26"/>
  <c r="BJ23" i="26"/>
  <c r="BI23" i="26"/>
  <c r="BH23" i="26"/>
  <c r="BJ10" i="26"/>
  <c r="BI10" i="26"/>
  <c r="BH10" i="26"/>
  <c r="BS52" i="26"/>
  <c r="BO52" i="26"/>
  <c r="K300" i="22"/>
  <c r="BJ56" i="26"/>
  <c r="BI56" i="26"/>
  <c r="BH56" i="26"/>
  <c r="BP26" i="26"/>
  <c r="BR26" i="26"/>
  <c r="BQ26" i="26"/>
  <c r="T257" i="22"/>
  <c r="T286" i="22"/>
  <c r="L290" i="22"/>
  <c r="K284" i="22"/>
  <c r="L237" i="22"/>
  <c r="H287" i="22"/>
  <c r="T187" i="22"/>
  <c r="Z187" i="22"/>
  <c r="J162" i="22"/>
  <c r="I162" i="22"/>
  <c r="G162" i="22"/>
  <c r="H162" i="22"/>
  <c r="Z164" i="22"/>
  <c r="L206" i="22"/>
  <c r="I184" i="22"/>
  <c r="AA151" i="22"/>
  <c r="J151" i="22"/>
  <c r="H151" i="22"/>
  <c r="I151" i="22"/>
  <c r="G151" i="22"/>
  <c r="Z104" i="22"/>
  <c r="T104" i="22"/>
  <c r="AA110" i="22"/>
  <c r="G110" i="22"/>
  <c r="H110" i="22"/>
  <c r="BS15" i="26"/>
  <c r="BO15" i="26"/>
  <c r="G77" i="22"/>
  <c r="AA77" i="22"/>
  <c r="J77" i="22"/>
  <c r="I77" i="22"/>
  <c r="H77" i="22"/>
  <c r="Z95" i="22"/>
  <c r="T50" i="22"/>
  <c r="Z50" i="22"/>
  <c r="AH371" i="16"/>
  <c r="AF371" i="16" a="1"/>
  <c r="AF371" i="16" s="1"/>
  <c r="H60" i="22"/>
  <c r="I122" i="22"/>
  <c r="AH421" i="16"/>
  <c r="AF421" i="16" a="1"/>
  <c r="AF421" i="16" s="1"/>
  <c r="AA78" i="22"/>
  <c r="AH454" i="16"/>
  <c r="AF454" i="16" a="1"/>
  <c r="AF454" i="16" s="1"/>
  <c r="AF304" i="16" a="1"/>
  <c r="AF304" i="16" s="1"/>
  <c r="AH304" i="16"/>
  <c r="AH302" i="16"/>
  <c r="AF302" i="16" a="1"/>
  <c r="AF302" i="16" s="1"/>
  <c r="AH309" i="16"/>
  <c r="AF309" i="16" a="1"/>
  <c r="AF309" i="16" s="1"/>
  <c r="AH291" i="16"/>
  <c r="AF291" i="16" a="1"/>
  <c r="AF291" i="16" s="1"/>
  <c r="BK302" i="26"/>
  <c r="BG302" i="26"/>
  <c r="BJ254" i="26"/>
  <c r="BI254" i="26"/>
  <c r="BH254" i="26"/>
  <c r="BR296" i="26"/>
  <c r="BQ296" i="26"/>
  <c r="BP296" i="26"/>
  <c r="BJ287" i="26"/>
  <c r="BI287" i="26"/>
  <c r="BH287" i="26"/>
  <c r="BS293" i="26"/>
  <c r="BO293" i="26"/>
  <c r="BK240" i="26"/>
  <c r="BG240" i="26"/>
  <c r="BS282" i="26"/>
  <c r="BO282" i="26"/>
  <c r="BJ297" i="26"/>
  <c r="BI297" i="26"/>
  <c r="BH297" i="26"/>
  <c r="BR251" i="26"/>
  <c r="BQ251" i="26"/>
  <c r="BP251" i="26"/>
  <c r="BK258" i="26"/>
  <c r="BG258" i="26"/>
  <c r="BS272" i="26"/>
  <c r="BO272" i="26"/>
  <c r="BS228" i="26"/>
  <c r="BO228" i="26"/>
  <c r="BK279" i="26"/>
  <c r="BG279" i="26"/>
  <c r="BK227" i="26"/>
  <c r="BG227" i="26"/>
  <c r="BS245" i="26"/>
  <c r="BO245" i="26"/>
  <c r="BJ276" i="26"/>
  <c r="BI276" i="26"/>
  <c r="BH276" i="26"/>
  <c r="BK264" i="26"/>
  <c r="BG264" i="26"/>
  <c r="BQ279" i="26"/>
  <c r="BP279" i="26"/>
  <c r="BR279" i="26"/>
  <c r="BK202" i="26"/>
  <c r="BG202" i="26"/>
  <c r="BK158" i="26"/>
  <c r="BG158" i="26"/>
  <c r="BR172" i="26"/>
  <c r="BQ172" i="26"/>
  <c r="BP172" i="26"/>
  <c r="BJ199" i="26"/>
  <c r="BI199" i="26"/>
  <c r="BH199" i="26"/>
  <c r="BR189" i="26"/>
  <c r="BQ189" i="26"/>
  <c r="BP189" i="26"/>
  <c r="BR207" i="26"/>
  <c r="BQ207" i="26"/>
  <c r="BP207" i="26"/>
  <c r="BJ179" i="26"/>
  <c r="BI179" i="26"/>
  <c r="BH179" i="26"/>
  <c r="BR166" i="26"/>
  <c r="BQ166" i="26"/>
  <c r="BP166" i="26"/>
  <c r="BJ165" i="26"/>
  <c r="BI165" i="26"/>
  <c r="BH165" i="26"/>
  <c r="BS199" i="26"/>
  <c r="BO199" i="26"/>
  <c r="BJ222" i="26"/>
  <c r="BI222" i="26"/>
  <c r="BH222" i="26"/>
  <c r="BG162" i="26"/>
  <c r="BK162" i="26"/>
  <c r="BS196" i="26"/>
  <c r="BO196" i="26"/>
  <c r="BS198" i="26"/>
  <c r="BO198" i="26"/>
  <c r="BR209" i="26"/>
  <c r="BQ209" i="26"/>
  <c r="BP209" i="26"/>
  <c r="BJ216" i="26"/>
  <c r="BI216" i="26"/>
  <c r="BH216" i="26"/>
  <c r="BR151" i="26"/>
  <c r="BQ151" i="26"/>
  <c r="BP151" i="26"/>
  <c r="BK163" i="26"/>
  <c r="BG163" i="26"/>
  <c r="BJ181" i="26"/>
  <c r="BI181" i="26"/>
  <c r="BH181" i="26"/>
  <c r="BR187" i="26"/>
  <c r="BQ187" i="26"/>
  <c r="BP187" i="26"/>
  <c r="BR108" i="26"/>
  <c r="BQ108" i="26"/>
  <c r="BP108" i="26"/>
  <c r="BR129" i="26"/>
  <c r="BQ129" i="26"/>
  <c r="BP129" i="26"/>
  <c r="BO81" i="26"/>
  <c r="BS81" i="26"/>
  <c r="BK104" i="26"/>
  <c r="BG104" i="26"/>
  <c r="BS118" i="26"/>
  <c r="BO118" i="26"/>
  <c r="BJ133" i="26"/>
  <c r="BI133" i="26"/>
  <c r="BH133" i="26"/>
  <c r="BJ85" i="26"/>
  <c r="BI85" i="26"/>
  <c r="BH85" i="26"/>
  <c r="BS123" i="26"/>
  <c r="BO123" i="26"/>
  <c r="BS75" i="26"/>
  <c r="BO75" i="26"/>
  <c r="BG90" i="26"/>
  <c r="BK90" i="26"/>
  <c r="BJ111" i="26"/>
  <c r="BI111" i="26"/>
  <c r="BH111" i="26"/>
  <c r="Z303" i="22"/>
  <c r="BR74" i="26"/>
  <c r="BQ74" i="26"/>
  <c r="BP74" i="26"/>
  <c r="BK73" i="26"/>
  <c r="BG73" i="26"/>
  <c r="BS87" i="26"/>
  <c r="BO87" i="26"/>
  <c r="BH22" i="26"/>
  <c r="BJ22" i="26"/>
  <c r="BI22" i="26"/>
  <c r="BR56" i="26"/>
  <c r="BQ56" i="26"/>
  <c r="BP56" i="26"/>
  <c r="J298" i="22"/>
  <c r="K298" i="22" s="1"/>
  <c r="BS61" i="26"/>
  <c r="BO61" i="26"/>
  <c r="BS35" i="26"/>
  <c r="BO35" i="26"/>
  <c r="BS50" i="26"/>
  <c r="BO50" i="26"/>
  <c r="BK57" i="26"/>
  <c r="BG57" i="26"/>
  <c r="BK21" i="26"/>
  <c r="BG21" i="26"/>
  <c r="BR47" i="26"/>
  <c r="BQ47" i="26"/>
  <c r="BP47" i="26"/>
  <c r="BK59" i="26"/>
  <c r="BG59" i="26"/>
  <c r="BQ13" i="26"/>
  <c r="BP13" i="26"/>
  <c r="BR13" i="26"/>
  <c r="AA301" i="22"/>
  <c r="AC301" i="22" s="1"/>
  <c r="BJ25" i="26"/>
  <c r="BI25" i="26"/>
  <c r="BH25" i="26"/>
  <c r="P283" i="22"/>
  <c r="L283" i="22"/>
  <c r="AB283" i="22"/>
  <c r="AC283" i="22" s="1"/>
  <c r="G270" i="22"/>
  <c r="K270" i="22" s="1"/>
  <c r="P290" i="22"/>
  <c r="T246" i="22"/>
  <c r="Z246" i="22"/>
  <c r="J249" i="22"/>
  <c r="I249" i="22"/>
  <c r="T249" i="22" s="1"/>
  <c r="G249" i="22"/>
  <c r="AA226" i="22"/>
  <c r="G226" i="22"/>
  <c r="P274" i="22"/>
  <c r="L274" i="22"/>
  <c r="AB274" i="22"/>
  <c r="AC274" i="22" s="1"/>
  <c r="L264" i="22"/>
  <c r="P264" i="22"/>
  <c r="AB264" i="22"/>
  <c r="AC264" i="22" s="1"/>
  <c r="H199" i="22"/>
  <c r="G185" i="22"/>
  <c r="T198" i="22"/>
  <c r="Z198" i="22"/>
  <c r="H234" i="22"/>
  <c r="AA186" i="22"/>
  <c r="J164" i="22"/>
  <c r="K164" i="22" s="1"/>
  <c r="H190" i="22"/>
  <c r="J190" i="22"/>
  <c r="K190" i="22" s="1"/>
  <c r="G150" i="22"/>
  <c r="AA139" i="22"/>
  <c r="I139" i="22"/>
  <c r="J139" i="22"/>
  <c r="G139" i="22"/>
  <c r="L200" i="22"/>
  <c r="AB200" i="22"/>
  <c r="AC200" i="22" s="1"/>
  <c r="I129" i="22"/>
  <c r="L93" i="22"/>
  <c r="P93" i="22"/>
  <c r="L173" i="22"/>
  <c r="G104" i="22"/>
  <c r="K104" i="22" s="1"/>
  <c r="AA104" i="22"/>
  <c r="I152" i="22"/>
  <c r="T152" i="22" s="1"/>
  <c r="AB131" i="22"/>
  <c r="AB117" i="22"/>
  <c r="J87" i="22"/>
  <c r="K87" i="22" s="1"/>
  <c r="AB57" i="22"/>
  <c r="AC57" i="22" s="1"/>
  <c r="H76" i="22"/>
  <c r="G7" i="22"/>
  <c r="T27" i="22"/>
  <c r="AH430" i="16"/>
  <c r="AF430" i="16" a="1"/>
  <c r="AF430" i="16" s="1"/>
  <c r="AF461" i="16" a="1"/>
  <c r="AF461" i="16" s="1"/>
  <c r="AH461" i="16"/>
  <c r="AH208" i="16"/>
  <c r="AF208" i="16" a="1"/>
  <c r="AF208" i="16" s="1"/>
  <c r="BJ302" i="26"/>
  <c r="BI302" i="26"/>
  <c r="BH302" i="26"/>
  <c r="BK246" i="26"/>
  <c r="BG246" i="26"/>
  <c r="BS288" i="26"/>
  <c r="BO288" i="26"/>
  <c r="BG275" i="26"/>
  <c r="BK275" i="26"/>
  <c r="BR293" i="26"/>
  <c r="BQ293" i="26"/>
  <c r="BP293" i="26"/>
  <c r="BJ240" i="26"/>
  <c r="BI240" i="26"/>
  <c r="BH240" i="26"/>
  <c r="BK272" i="26"/>
  <c r="BG272" i="26"/>
  <c r="BR282" i="26"/>
  <c r="BQ282" i="26"/>
  <c r="BP282" i="26"/>
  <c r="BK289" i="26"/>
  <c r="BG289" i="26"/>
  <c r="BG244" i="26"/>
  <c r="BK244" i="26"/>
  <c r="BO243" i="26"/>
  <c r="BS243" i="26"/>
  <c r="BJ258" i="26"/>
  <c r="BI258" i="26"/>
  <c r="BH258" i="26"/>
  <c r="BR272" i="26"/>
  <c r="BQ272" i="26"/>
  <c r="BP272" i="26"/>
  <c r="BR228" i="26"/>
  <c r="BQ228" i="26"/>
  <c r="BP228" i="26"/>
  <c r="BJ279" i="26"/>
  <c r="BI279" i="26"/>
  <c r="BH279" i="26"/>
  <c r="BJ227" i="26"/>
  <c r="BI227" i="26"/>
  <c r="BH227" i="26"/>
  <c r="BK268" i="26"/>
  <c r="BG268" i="26"/>
  <c r="BR258" i="26"/>
  <c r="BQ258" i="26"/>
  <c r="BP258" i="26"/>
  <c r="BJ264" i="26"/>
  <c r="BI264" i="26"/>
  <c r="BH264" i="26"/>
  <c r="BS271" i="26"/>
  <c r="BO271" i="26"/>
  <c r="BJ202" i="26"/>
  <c r="BI202" i="26"/>
  <c r="BH202" i="26"/>
  <c r="BJ158" i="26"/>
  <c r="BI158" i="26"/>
  <c r="BH158" i="26"/>
  <c r="BK171" i="26"/>
  <c r="BG171" i="26"/>
  <c r="BK191" i="26"/>
  <c r="BG191" i="26"/>
  <c r="BS178" i="26"/>
  <c r="BO178" i="26"/>
  <c r="BG206" i="26"/>
  <c r="BK206" i="26"/>
  <c r="BK168" i="26"/>
  <c r="BG168" i="26"/>
  <c r="BO158" i="26"/>
  <c r="BS158" i="26"/>
  <c r="BR199" i="26"/>
  <c r="BQ199" i="26"/>
  <c r="BP199" i="26"/>
  <c r="BK214" i="26"/>
  <c r="BG214" i="26"/>
  <c r="BI162" i="26"/>
  <c r="BH162" i="26"/>
  <c r="BJ162" i="26"/>
  <c r="BR196" i="26"/>
  <c r="BQ196" i="26"/>
  <c r="BP196" i="26"/>
  <c r="BR198" i="26"/>
  <c r="BQ198" i="26"/>
  <c r="BP198" i="26"/>
  <c r="BS201" i="26"/>
  <c r="BO201" i="26"/>
  <c r="BK208" i="26"/>
  <c r="BG208" i="26"/>
  <c r="BS149" i="26"/>
  <c r="BO149" i="26"/>
  <c r="BJ163" i="26"/>
  <c r="BI163" i="26"/>
  <c r="BH163" i="26"/>
  <c r="BK169" i="26"/>
  <c r="BG169" i="26"/>
  <c r="BS167" i="26"/>
  <c r="BO167" i="26"/>
  <c r="BK94" i="26"/>
  <c r="BG94" i="26"/>
  <c r="BS100" i="26"/>
  <c r="BO100" i="26"/>
  <c r="BG123" i="26"/>
  <c r="BK123" i="26"/>
  <c r="BP81" i="26"/>
  <c r="BR81" i="26"/>
  <c r="BQ81" i="26"/>
  <c r="BJ104" i="26"/>
  <c r="BI104" i="26"/>
  <c r="BH104" i="26"/>
  <c r="BR118" i="26"/>
  <c r="BQ118" i="26"/>
  <c r="BP118" i="26"/>
  <c r="BS128" i="26"/>
  <c r="BO128" i="26"/>
  <c r="BG77" i="26"/>
  <c r="BK77" i="26"/>
  <c r="BR123" i="26"/>
  <c r="BQ123" i="26"/>
  <c r="BP123" i="26"/>
  <c r="BR75" i="26"/>
  <c r="BQ75" i="26"/>
  <c r="BP75" i="26"/>
  <c r="BJ90" i="26"/>
  <c r="BI90" i="26"/>
  <c r="BH90" i="26"/>
  <c r="BR85" i="26"/>
  <c r="BQ85" i="26"/>
  <c r="BP85" i="26"/>
  <c r="BJ124" i="26"/>
  <c r="BI124" i="26"/>
  <c r="BH124" i="26"/>
  <c r="BS138" i="26"/>
  <c r="BO138" i="26"/>
  <c r="BJ73" i="26"/>
  <c r="BI73" i="26"/>
  <c r="BH73" i="26"/>
  <c r="BK14" i="26"/>
  <c r="BG14" i="26"/>
  <c r="BJ63" i="26"/>
  <c r="BI63" i="26"/>
  <c r="BH63" i="26"/>
  <c r="BR61" i="26"/>
  <c r="BQ61" i="26"/>
  <c r="BP61" i="26"/>
  <c r="BR35" i="26"/>
  <c r="BQ35" i="26"/>
  <c r="BP35" i="26"/>
  <c r="G288" i="22"/>
  <c r="BJ57" i="26"/>
  <c r="BI57" i="26"/>
  <c r="BH57" i="26"/>
  <c r="BJ21" i="26"/>
  <c r="BI21" i="26"/>
  <c r="BH21" i="26"/>
  <c r="BS43" i="26"/>
  <c r="BO43" i="26"/>
  <c r="BR44" i="26"/>
  <c r="BQ44" i="26"/>
  <c r="BP44" i="26"/>
  <c r="BJ59" i="26"/>
  <c r="BI59" i="26"/>
  <c r="BH59" i="26"/>
  <c r="BR18" i="26"/>
  <c r="BQ18" i="26"/>
  <c r="BP18" i="26"/>
  <c r="J248" i="22"/>
  <c r="I248" i="22"/>
  <c r="T248" i="22" s="1"/>
  <c r="G248" i="22"/>
  <c r="AA248" i="22"/>
  <c r="L267" i="22"/>
  <c r="K267" i="22"/>
  <c r="K259" i="22"/>
  <c r="AA253" i="22"/>
  <c r="AC253" i="22" s="1"/>
  <c r="I253" i="22"/>
  <c r="H253" i="22"/>
  <c r="Z249" i="22"/>
  <c r="Z274" i="22"/>
  <c r="T274" i="22"/>
  <c r="I157" i="22"/>
  <c r="AA236" i="22"/>
  <c r="I236" i="22"/>
  <c r="H236" i="22"/>
  <c r="AB164" i="22"/>
  <c r="G193" i="22"/>
  <c r="T139" i="22"/>
  <c r="Z139" i="22"/>
  <c r="I153" i="22"/>
  <c r="T153" i="22" s="1"/>
  <c r="AA153" i="22"/>
  <c r="G153" i="22"/>
  <c r="K153" i="22" s="1"/>
  <c r="Z86" i="22"/>
  <c r="T86" i="22"/>
  <c r="P86" i="22"/>
  <c r="BS7" i="26"/>
  <c r="BO7" i="26"/>
  <c r="G130" i="22"/>
  <c r="I130" i="22"/>
  <c r="AA130" i="22"/>
  <c r="AC23" i="22"/>
  <c r="G60" i="22"/>
  <c r="J60" i="22"/>
  <c r="T21" i="22"/>
  <c r="BG298" i="26"/>
  <c r="BK298" i="26"/>
  <c r="BJ246" i="26"/>
  <c r="BI246" i="26"/>
  <c r="BH246" i="26"/>
  <c r="BR288" i="26"/>
  <c r="BQ288" i="26"/>
  <c r="BP288" i="26"/>
  <c r="BI275" i="26"/>
  <c r="BH275" i="26"/>
  <c r="BJ275" i="26"/>
  <c r="BS285" i="26"/>
  <c r="BO285" i="26"/>
  <c r="BS237" i="26"/>
  <c r="BO237" i="26"/>
  <c r="BJ272" i="26"/>
  <c r="BI272" i="26"/>
  <c r="BH272" i="26"/>
  <c r="BS278" i="26"/>
  <c r="BO278" i="26"/>
  <c r="BJ289" i="26"/>
  <c r="BI289" i="26"/>
  <c r="BH289" i="26"/>
  <c r="BJ244" i="26"/>
  <c r="BI244" i="26"/>
  <c r="BH244" i="26"/>
  <c r="BP243" i="26"/>
  <c r="BR243" i="26"/>
  <c r="BQ243" i="26"/>
  <c r="BK250" i="26"/>
  <c r="BG250" i="26"/>
  <c r="BO264" i="26"/>
  <c r="BS264" i="26"/>
  <c r="BG303" i="26"/>
  <c r="BK303" i="26"/>
  <c r="BS301" i="26"/>
  <c r="BO301" i="26"/>
  <c r="BJ268" i="26"/>
  <c r="BI268" i="26"/>
  <c r="BH268" i="26"/>
  <c r="BS242" i="26"/>
  <c r="BO242" i="26"/>
  <c r="BG257" i="26"/>
  <c r="BK257" i="26"/>
  <c r="BR271" i="26"/>
  <c r="BQ271" i="26"/>
  <c r="BP271" i="26"/>
  <c r="BF150" i="26"/>
  <c r="BE150" i="26"/>
  <c r="BJ171" i="26"/>
  <c r="BI171" i="26"/>
  <c r="BH171" i="26"/>
  <c r="BJ191" i="26"/>
  <c r="BI191" i="26"/>
  <c r="BH191" i="26"/>
  <c r="BR178" i="26"/>
  <c r="BQ178" i="26"/>
  <c r="BP178" i="26"/>
  <c r="BI206" i="26"/>
  <c r="BH206" i="26"/>
  <c r="BJ206" i="26"/>
  <c r="BJ168" i="26"/>
  <c r="BI168" i="26"/>
  <c r="BH168" i="26"/>
  <c r="BQ158" i="26"/>
  <c r="BP158" i="26"/>
  <c r="BR158" i="26"/>
  <c r="BK164" i="26"/>
  <c r="BG164" i="26"/>
  <c r="BS191" i="26"/>
  <c r="BO191" i="26"/>
  <c r="BJ214" i="26"/>
  <c r="BI214" i="26"/>
  <c r="BH214" i="26"/>
  <c r="BS180" i="26"/>
  <c r="BO180" i="26"/>
  <c r="BR201" i="26"/>
  <c r="BQ201" i="26"/>
  <c r="BP201" i="26"/>
  <c r="BJ208" i="26"/>
  <c r="BI208" i="26"/>
  <c r="BH208" i="26"/>
  <c r="BR149" i="26"/>
  <c r="BQ149" i="26"/>
  <c r="BP149" i="26"/>
  <c r="BS162" i="26"/>
  <c r="BO162" i="26"/>
  <c r="BJ169" i="26"/>
  <c r="BI169" i="26"/>
  <c r="BH169" i="26"/>
  <c r="BR167" i="26"/>
  <c r="BQ167" i="26"/>
  <c r="BP167" i="26"/>
  <c r="BJ94" i="26"/>
  <c r="BI94" i="26"/>
  <c r="BH94" i="26"/>
  <c r="BR100" i="26"/>
  <c r="BQ100" i="26"/>
  <c r="BP100" i="26"/>
  <c r="BH123" i="26"/>
  <c r="BJ123" i="26"/>
  <c r="BI123" i="26"/>
  <c r="BO137" i="26"/>
  <c r="BS137" i="26"/>
  <c r="BO73" i="26"/>
  <c r="BS73" i="26"/>
  <c r="BK96" i="26"/>
  <c r="BG96" i="26"/>
  <c r="BS110" i="26"/>
  <c r="BO110" i="26"/>
  <c r="BR128" i="26"/>
  <c r="BQ128" i="26"/>
  <c r="BP128" i="26"/>
  <c r="BH77" i="26"/>
  <c r="BJ77" i="26"/>
  <c r="BI77" i="26"/>
  <c r="BS115" i="26"/>
  <c r="BO115" i="26"/>
  <c r="BG74" i="26"/>
  <c r="BK74" i="26"/>
  <c r="BK103" i="26"/>
  <c r="BG103" i="26"/>
  <c r="BS133" i="26"/>
  <c r="BO133" i="26"/>
  <c r="BS77" i="26"/>
  <c r="BO77" i="26"/>
  <c r="BJ116" i="26"/>
  <c r="BI116" i="26"/>
  <c r="BH116" i="26"/>
  <c r="BS79" i="26"/>
  <c r="BO79" i="26"/>
  <c r="BJ14" i="26"/>
  <c r="BI14" i="26"/>
  <c r="BH14" i="26"/>
  <c r="BR48" i="26"/>
  <c r="BQ48" i="26"/>
  <c r="BP48" i="26"/>
  <c r="BS38" i="26"/>
  <c r="BO38" i="26"/>
  <c r="BK49" i="26"/>
  <c r="BG49" i="26"/>
  <c r="BK13" i="26"/>
  <c r="BG13" i="26"/>
  <c r="BG12" i="26"/>
  <c r="BK12" i="26"/>
  <c r="BJ69" i="26"/>
  <c r="BI69" i="26"/>
  <c r="BH69" i="26"/>
  <c r="BH17" i="26"/>
  <c r="BJ17" i="26"/>
  <c r="BI17" i="26"/>
  <c r="Z261" i="22"/>
  <c r="T261" i="22"/>
  <c r="AB246" i="22"/>
  <c r="AC246" i="22" s="1"/>
  <c r="P246" i="22"/>
  <c r="L246" i="22"/>
  <c r="T215" i="22"/>
  <c r="Z215" i="22"/>
  <c r="AA239" i="22"/>
  <c r="G239" i="22"/>
  <c r="I239" i="22"/>
  <c r="T239" i="22" s="1"/>
  <c r="G219" i="22"/>
  <c r="AA219" i="22"/>
  <c r="G196" i="22"/>
  <c r="J196" i="22"/>
  <c r="I196" i="22"/>
  <c r="H196" i="22"/>
  <c r="AB176" i="22"/>
  <c r="J172" i="22"/>
  <c r="H172" i="22"/>
  <c r="AA172" i="22"/>
  <c r="G172" i="22"/>
  <c r="G203" i="22"/>
  <c r="AA203" i="22"/>
  <c r="H203" i="22"/>
  <c r="K158" i="22"/>
  <c r="N165" i="22"/>
  <c r="Z154" i="22"/>
  <c r="K113" i="22"/>
  <c r="H96" i="22"/>
  <c r="G96" i="22"/>
  <c r="AA96" i="22"/>
  <c r="I96" i="22"/>
  <c r="AB128" i="22"/>
  <c r="P128" i="22"/>
  <c r="L128" i="22"/>
  <c r="N128" i="22" s="1"/>
  <c r="P89" i="22"/>
  <c r="K89" i="22"/>
  <c r="J68" i="22"/>
  <c r="H68" i="22"/>
  <c r="G68" i="22"/>
  <c r="Z73" i="22"/>
  <c r="T73" i="22"/>
  <c r="AF401" i="16" a="1"/>
  <c r="AF401" i="16" s="1"/>
  <c r="AH401" i="16"/>
  <c r="AK62" i="5"/>
  <c r="AL62" i="5" s="1"/>
  <c r="BH298" i="26"/>
  <c r="BJ298" i="26"/>
  <c r="BI298" i="26"/>
  <c r="BS244" i="26"/>
  <c r="BO244" i="26"/>
  <c r="BS276" i="26"/>
  <c r="BO276" i="26"/>
  <c r="BK267" i="26"/>
  <c r="BG267" i="26"/>
  <c r="BR285" i="26"/>
  <c r="BQ285" i="26"/>
  <c r="BP285" i="26"/>
  <c r="BR237" i="26"/>
  <c r="BQ237" i="26"/>
  <c r="BP237" i="26"/>
  <c r="BS270" i="26"/>
  <c r="BO270" i="26"/>
  <c r="BR278" i="26"/>
  <c r="BQ278" i="26"/>
  <c r="BP278" i="26"/>
  <c r="BK281" i="26"/>
  <c r="BG281" i="26"/>
  <c r="BK233" i="26"/>
  <c r="BG233" i="26"/>
  <c r="BS231" i="26"/>
  <c r="BO231" i="26"/>
  <c r="BJ250" i="26"/>
  <c r="BI250" i="26"/>
  <c r="BH250" i="26"/>
  <c r="BR264" i="26"/>
  <c r="BQ264" i="26"/>
  <c r="BP264" i="26"/>
  <c r="BI303" i="26"/>
  <c r="BH303" i="26"/>
  <c r="BJ303" i="26"/>
  <c r="BK271" i="26"/>
  <c r="BG271" i="26"/>
  <c r="BR301" i="26"/>
  <c r="BQ301" i="26"/>
  <c r="BP301" i="26"/>
  <c r="BS303" i="26"/>
  <c r="BO303" i="26"/>
  <c r="BG260" i="26"/>
  <c r="BK260" i="26"/>
  <c r="BR242" i="26"/>
  <c r="BQ242" i="26"/>
  <c r="BP242" i="26"/>
  <c r="BJ257" i="26"/>
  <c r="BI257" i="26"/>
  <c r="BH257" i="26"/>
  <c r="BS263" i="26"/>
  <c r="BO263" i="26"/>
  <c r="BK194" i="26"/>
  <c r="BG194" i="26"/>
  <c r="BS216" i="26"/>
  <c r="BO216" i="26"/>
  <c r="BS164" i="26"/>
  <c r="BO164" i="26"/>
  <c r="BK183" i="26"/>
  <c r="BG183" i="26"/>
  <c r="BS169" i="26"/>
  <c r="BO169" i="26"/>
  <c r="BJ204" i="26"/>
  <c r="BI204" i="26"/>
  <c r="BH204" i="26"/>
  <c r="BJ160" i="26"/>
  <c r="BI160" i="26"/>
  <c r="BH160" i="26"/>
  <c r="BN150" i="26"/>
  <c r="BM150" i="26"/>
  <c r="BJ164" i="26"/>
  <c r="BI164" i="26"/>
  <c r="BH164" i="26"/>
  <c r="BR191" i="26"/>
  <c r="BQ191" i="26"/>
  <c r="BP191" i="26"/>
  <c r="BG198" i="26"/>
  <c r="BK198" i="26"/>
  <c r="BG154" i="26"/>
  <c r="BK154" i="26"/>
  <c r="BR180" i="26"/>
  <c r="BQ180" i="26"/>
  <c r="BP180" i="26"/>
  <c r="BK195" i="26"/>
  <c r="BG195" i="26"/>
  <c r="BS193" i="26"/>
  <c r="BO193" i="26"/>
  <c r="BK200" i="26"/>
  <c r="BG200" i="26"/>
  <c r="BS206" i="26"/>
  <c r="BO206" i="26"/>
  <c r="BR162" i="26"/>
  <c r="BQ162" i="26"/>
  <c r="BP162" i="26"/>
  <c r="BK161" i="26"/>
  <c r="BG161" i="26"/>
  <c r="BS159" i="26"/>
  <c r="BO159" i="26"/>
  <c r="BK86" i="26"/>
  <c r="BG86" i="26"/>
  <c r="BS92" i="26"/>
  <c r="BO92" i="26"/>
  <c r="BK115" i="26"/>
  <c r="BG115" i="26"/>
  <c r="BR137" i="26"/>
  <c r="BQ137" i="26"/>
  <c r="BP137" i="26"/>
  <c r="BP73" i="26"/>
  <c r="BR73" i="26"/>
  <c r="BQ73" i="26"/>
  <c r="BJ96" i="26"/>
  <c r="BI96" i="26"/>
  <c r="BH96" i="26"/>
  <c r="BR110" i="26"/>
  <c r="BQ110" i="26"/>
  <c r="BP110" i="26"/>
  <c r="BK125" i="26"/>
  <c r="BG125" i="26"/>
  <c r="BR115" i="26"/>
  <c r="BQ115" i="26"/>
  <c r="BP115" i="26"/>
  <c r="BJ74" i="26"/>
  <c r="BI74" i="26"/>
  <c r="BH74" i="26"/>
  <c r="BJ82" i="26"/>
  <c r="BI82" i="26"/>
  <c r="BH82" i="26"/>
  <c r="BK143" i="26"/>
  <c r="BG143" i="26"/>
  <c r="BS98" i="26"/>
  <c r="BO98" i="26"/>
  <c r="BK116" i="26"/>
  <c r="BG116" i="26"/>
  <c r="BK137" i="26"/>
  <c r="BG137" i="26"/>
  <c r="BR79" i="26"/>
  <c r="BQ79" i="26"/>
  <c r="BP79" i="26"/>
  <c r="BO36" i="26"/>
  <c r="BS36" i="26"/>
  <c r="BI55" i="26"/>
  <c r="BH55" i="26"/>
  <c r="BJ55" i="26"/>
  <c r="Z278" i="22"/>
  <c r="T278" i="22"/>
  <c r="BR53" i="26"/>
  <c r="BQ53" i="26"/>
  <c r="BP53" i="26"/>
  <c r="BJ68" i="26"/>
  <c r="BI68" i="26"/>
  <c r="BH68" i="26"/>
  <c r="BJ32" i="26"/>
  <c r="BI32" i="26"/>
  <c r="BH32" i="26"/>
  <c r="BR38" i="26"/>
  <c r="BQ38" i="26"/>
  <c r="BP38" i="26"/>
  <c r="BR65" i="26"/>
  <c r="BQ65" i="26"/>
  <c r="BP65" i="26"/>
  <c r="BR32" i="26"/>
  <c r="BQ32" i="26"/>
  <c r="BP32" i="26"/>
  <c r="BJ58" i="26"/>
  <c r="BI58" i="26"/>
  <c r="BH58" i="26"/>
  <c r="BH12" i="26"/>
  <c r="BJ12" i="26"/>
  <c r="BI12" i="26"/>
  <c r="J279" i="22"/>
  <c r="I279" i="22"/>
  <c r="AA279" i="22"/>
  <c r="H279" i="22"/>
  <c r="G279" i="22"/>
  <c r="BK36" i="26"/>
  <c r="BG36" i="26"/>
  <c r="BR10" i="26"/>
  <c r="BQ10" i="26"/>
  <c r="BP10" i="26"/>
  <c r="BK9" i="26"/>
  <c r="BG9" i="26"/>
  <c r="AB224" i="22"/>
  <c r="AC224" i="22" s="1"/>
  <c r="P224" i="22"/>
  <c r="L224" i="22"/>
  <c r="K224" i="22"/>
  <c r="P243" i="22"/>
  <c r="P156" i="22"/>
  <c r="AA198" i="22"/>
  <c r="AC198" i="22" s="1"/>
  <c r="K243" i="22"/>
  <c r="I216" i="22"/>
  <c r="H216" i="22"/>
  <c r="G216" i="22"/>
  <c r="K216" i="22" s="1"/>
  <c r="AC206" i="22"/>
  <c r="I203" i="22"/>
  <c r="K133" i="22"/>
  <c r="L133" i="22"/>
  <c r="J145" i="22"/>
  <c r="K145" i="22" s="1"/>
  <c r="AC202" i="22"/>
  <c r="J92" i="22"/>
  <c r="AA92" i="22"/>
  <c r="I92" i="22"/>
  <c r="T92" i="22" s="1"/>
  <c r="G92" i="22"/>
  <c r="I146" i="22"/>
  <c r="G146" i="22"/>
  <c r="J146" i="22"/>
  <c r="Z57" i="22"/>
  <c r="G71" i="22"/>
  <c r="J71" i="22"/>
  <c r="I71" i="22"/>
  <c r="H71" i="22"/>
  <c r="I8" i="22"/>
  <c r="G8" i="22"/>
  <c r="K8" i="22" s="1"/>
  <c r="AA8" i="22"/>
  <c r="H8" i="22"/>
  <c r="AH427" i="16"/>
  <c r="AF427" i="16" a="1"/>
  <c r="AF427" i="16" s="1"/>
  <c r="AA44" i="22"/>
  <c r="I44" i="22"/>
  <c r="G44" i="22"/>
  <c r="K44" i="22" s="1"/>
  <c r="H44" i="22"/>
  <c r="P12" i="22"/>
  <c r="L12" i="22"/>
  <c r="AB12" i="22"/>
  <c r="AC12" i="22" s="1"/>
  <c r="T9" i="22"/>
  <c r="Z9" i="22"/>
  <c r="AH396" i="16"/>
  <c r="AF396" i="16" a="1"/>
  <c r="AF396" i="16" s="1"/>
  <c r="AH404" i="16"/>
  <c r="AF404" i="16" a="1"/>
  <c r="AF404" i="16" s="1"/>
  <c r="AH388" i="16"/>
  <c r="AF388" i="16" a="1"/>
  <c r="AF388" i="16" s="1"/>
  <c r="K78" i="22"/>
  <c r="AH310" i="16"/>
  <c r="AF310" i="16" a="1"/>
  <c r="AF310" i="16" s="1"/>
  <c r="AH245" i="16"/>
  <c r="AF245" i="16" a="1"/>
  <c r="AF245" i="16" s="1"/>
  <c r="AF240" i="16" a="1"/>
  <c r="AF240" i="16" s="1"/>
  <c r="AH240" i="16"/>
  <c r="AH243" i="16"/>
  <c r="AF243" i="16" a="1"/>
  <c r="AF243" i="16" s="1"/>
  <c r="AH286" i="16"/>
  <c r="AF286" i="16" a="1"/>
  <c r="AF286" i="16" s="1"/>
  <c r="AH189" i="16"/>
  <c r="AF189" i="16" a="1"/>
  <c r="AF189" i="16" s="1"/>
  <c r="AH130" i="16"/>
  <c r="AF130" i="16" a="1"/>
  <c r="AF130" i="16" s="1"/>
  <c r="BK290" i="26"/>
  <c r="BG290" i="26"/>
  <c r="BR244" i="26"/>
  <c r="BQ244" i="26"/>
  <c r="BP244" i="26"/>
  <c r="BR276" i="26"/>
  <c r="BQ276" i="26"/>
  <c r="BP276" i="26"/>
  <c r="BJ267" i="26"/>
  <c r="BI267" i="26"/>
  <c r="BH267" i="26"/>
  <c r="BS273" i="26"/>
  <c r="BO273" i="26"/>
  <c r="BS229" i="26"/>
  <c r="BO229" i="26"/>
  <c r="BR270" i="26"/>
  <c r="BQ270" i="26"/>
  <c r="BP270" i="26"/>
  <c r="BS262" i="26"/>
  <c r="BO262" i="26"/>
  <c r="BJ281" i="26"/>
  <c r="BI281" i="26"/>
  <c r="BH281" i="26"/>
  <c r="BJ233" i="26"/>
  <c r="BI233" i="26"/>
  <c r="BH233" i="26"/>
  <c r="BR231" i="26"/>
  <c r="BQ231" i="26"/>
  <c r="BP231" i="26"/>
  <c r="BK242" i="26"/>
  <c r="BG242" i="26"/>
  <c r="BO256" i="26"/>
  <c r="BS256" i="26"/>
  <c r="BK299" i="26"/>
  <c r="BG299" i="26"/>
  <c r="BJ271" i="26"/>
  <c r="BI271" i="26"/>
  <c r="BH271" i="26"/>
  <c r="BO289" i="26"/>
  <c r="BS289" i="26"/>
  <c r="BR303" i="26"/>
  <c r="BQ303" i="26"/>
  <c r="BP303" i="26"/>
  <c r="BH260" i="26"/>
  <c r="BJ260" i="26"/>
  <c r="BI260" i="26"/>
  <c r="BS230" i="26"/>
  <c r="BO230" i="26"/>
  <c r="BG249" i="26"/>
  <c r="BK249" i="26"/>
  <c r="BR263" i="26"/>
  <c r="BQ263" i="26"/>
  <c r="BP263" i="26"/>
  <c r="BJ194" i="26"/>
  <c r="BI194" i="26"/>
  <c r="BH194" i="26"/>
  <c r="BR216" i="26"/>
  <c r="BQ216" i="26"/>
  <c r="BP216" i="26"/>
  <c r="BR164" i="26"/>
  <c r="BQ164" i="26"/>
  <c r="BP164" i="26"/>
  <c r="BJ183" i="26"/>
  <c r="BI183" i="26"/>
  <c r="BH183" i="26"/>
  <c r="BR169" i="26"/>
  <c r="BQ169" i="26"/>
  <c r="BP169" i="26"/>
  <c r="BK204" i="26"/>
  <c r="BG204" i="26"/>
  <c r="BK160" i="26"/>
  <c r="BG160" i="26"/>
  <c r="BK217" i="26"/>
  <c r="BG217" i="26"/>
  <c r="BS160" i="26"/>
  <c r="BO160" i="26"/>
  <c r="BS183" i="26"/>
  <c r="BO183" i="26"/>
  <c r="BI198" i="26"/>
  <c r="BH198" i="26"/>
  <c r="BJ198" i="26"/>
  <c r="BJ154" i="26"/>
  <c r="BI154" i="26"/>
  <c r="BH154" i="26"/>
  <c r="BS152" i="26"/>
  <c r="BO152" i="26"/>
  <c r="BJ195" i="26"/>
  <c r="BI195" i="26"/>
  <c r="BH195" i="26"/>
  <c r="BR193" i="26"/>
  <c r="BQ193" i="26"/>
  <c r="BP193" i="26"/>
  <c r="BJ200" i="26"/>
  <c r="BI200" i="26"/>
  <c r="BH200" i="26"/>
  <c r="BR206" i="26"/>
  <c r="BQ206" i="26"/>
  <c r="BP206" i="26"/>
  <c r="BS154" i="26"/>
  <c r="BO154" i="26"/>
  <c r="BJ161" i="26"/>
  <c r="BI161" i="26"/>
  <c r="BH161" i="26"/>
  <c r="BR159" i="26"/>
  <c r="BQ159" i="26"/>
  <c r="BP159" i="26"/>
  <c r="BJ86" i="26"/>
  <c r="BI86" i="26"/>
  <c r="BH86" i="26"/>
  <c r="BR92" i="26"/>
  <c r="BQ92" i="26"/>
  <c r="BP92" i="26"/>
  <c r="BJ115" i="26"/>
  <c r="BI115" i="26"/>
  <c r="BH115" i="26"/>
  <c r="BS121" i="26"/>
  <c r="BO121" i="26"/>
  <c r="BK88" i="26"/>
  <c r="BG88" i="26"/>
  <c r="BS102" i="26"/>
  <c r="BO102" i="26"/>
  <c r="BJ125" i="26"/>
  <c r="BI125" i="26"/>
  <c r="BH125" i="26"/>
  <c r="BK138" i="26"/>
  <c r="BG138" i="26"/>
  <c r="BS120" i="26"/>
  <c r="BO120" i="26"/>
  <c r="BS125" i="26"/>
  <c r="BO125" i="26"/>
  <c r="BG108" i="26"/>
  <c r="BK108" i="26"/>
  <c r="BJ137" i="26"/>
  <c r="BI137" i="26"/>
  <c r="BH137" i="26"/>
  <c r="BK129" i="26"/>
  <c r="BG129" i="26"/>
  <c r="BR143" i="26"/>
  <c r="BQ143" i="26"/>
  <c r="BP143" i="26"/>
  <c r="BS71" i="26"/>
  <c r="BO71" i="26"/>
  <c r="BQ36" i="26"/>
  <c r="BP36" i="26"/>
  <c r="BR36" i="26"/>
  <c r="BK47" i="26"/>
  <c r="BG47" i="26"/>
  <c r="BS45" i="26"/>
  <c r="BO45" i="26"/>
  <c r="BG60" i="26"/>
  <c r="BK60" i="26"/>
  <c r="BK24" i="26"/>
  <c r="BG24" i="26"/>
  <c r="L281" i="22"/>
  <c r="AB281" i="22"/>
  <c r="AC281" i="22" s="1"/>
  <c r="BS30" i="26"/>
  <c r="BO30" i="26"/>
  <c r="BK62" i="26"/>
  <c r="BG62" i="26"/>
  <c r="BS16" i="26"/>
  <c r="BO16" i="26"/>
  <c r="BK51" i="26"/>
  <c r="BG51" i="26"/>
  <c r="BJ61" i="26"/>
  <c r="BI61" i="26"/>
  <c r="BH61" i="26"/>
  <c r="BJ9" i="26"/>
  <c r="BI9" i="26"/>
  <c r="BH9" i="26"/>
  <c r="AB250" i="22"/>
  <c r="AC250" i="22" s="1"/>
  <c r="Z259" i="22"/>
  <c r="T259" i="22"/>
  <c r="I245" i="22"/>
  <c r="T245" i="22" s="1"/>
  <c r="AA245" i="22"/>
  <c r="G245" i="22"/>
  <c r="J245" i="22"/>
  <c r="H251" i="22"/>
  <c r="AA251" i="22"/>
  <c r="J251" i="22"/>
  <c r="G251" i="22"/>
  <c r="G213" i="22"/>
  <c r="J213" i="22"/>
  <c r="H213" i="22"/>
  <c r="I213" i="22"/>
  <c r="AA217" i="22"/>
  <c r="AB287" i="22"/>
  <c r="AC287" i="22" s="1"/>
  <c r="T265" i="22"/>
  <c r="AA199" i="22"/>
  <c r="AB236" i="22"/>
  <c r="P236" i="22"/>
  <c r="L236" i="22"/>
  <c r="Z188" i="22"/>
  <c r="T188" i="22"/>
  <c r="AB159" i="22"/>
  <c r="AC159" i="22" s="1"/>
  <c r="P159" i="22"/>
  <c r="J203" i="22"/>
  <c r="H111" i="22"/>
  <c r="H146" i="22"/>
  <c r="N141" i="22"/>
  <c r="Z90" i="22"/>
  <c r="AB48" i="22"/>
  <c r="AB41" i="22"/>
  <c r="AC41" i="22" s="1"/>
  <c r="H36" i="22"/>
  <c r="L9" i="22"/>
  <c r="AB9" i="22"/>
  <c r="P9" i="22"/>
  <c r="AH390" i="16"/>
  <c r="AF390" i="16" a="1"/>
  <c r="AF390" i="16" s="1"/>
  <c r="AH402" i="16"/>
  <c r="AF402" i="16" a="1"/>
  <c r="AF402" i="16" s="1"/>
  <c r="AH383" i="16"/>
  <c r="AF383" i="16" a="1"/>
  <c r="AF383" i="16" s="1"/>
  <c r="AH452" i="16"/>
  <c r="AF452" i="16" a="1"/>
  <c r="AF452" i="16" s="1"/>
  <c r="AH144" i="16"/>
  <c r="AF144" i="16" a="1"/>
  <c r="AF144" i="16" s="1"/>
  <c r="AH324" i="16"/>
  <c r="AF324" i="16" a="1"/>
  <c r="AF324" i="16" s="1"/>
  <c r="AH355" i="16"/>
  <c r="AF355" i="16" a="1"/>
  <c r="AF355" i="16" s="1"/>
  <c r="AH219" i="16"/>
  <c r="AF219" i="16" a="1"/>
  <c r="AF219" i="16" s="1"/>
  <c r="AH300" i="16"/>
  <c r="AF300" i="16" a="1"/>
  <c r="AF300" i="16" s="1"/>
  <c r="BH288" i="26"/>
  <c r="BJ288" i="26"/>
  <c r="BI288" i="26"/>
  <c r="BN225" i="26"/>
  <c r="BM225" i="26"/>
  <c r="BJ285" i="26"/>
  <c r="BI285" i="26"/>
  <c r="BH285" i="26"/>
  <c r="BJ229" i="26"/>
  <c r="BI229" i="26"/>
  <c r="BH229" i="26"/>
  <c r="BP235" i="26"/>
  <c r="BR235" i="26"/>
  <c r="BQ235" i="26"/>
  <c r="BR181" i="26"/>
  <c r="BQ181" i="26"/>
  <c r="BP181" i="26"/>
  <c r="BR197" i="26"/>
  <c r="BQ197" i="26"/>
  <c r="BP197" i="26"/>
  <c r="BJ215" i="26"/>
  <c r="BI215" i="26"/>
  <c r="BH215" i="26"/>
  <c r="BR221" i="26"/>
  <c r="BQ221" i="26"/>
  <c r="BP221" i="26"/>
  <c r="BF145" i="26"/>
  <c r="BE145" i="26"/>
  <c r="BH188" i="26"/>
  <c r="BJ188" i="26"/>
  <c r="BI188" i="26"/>
  <c r="BO210" i="26"/>
  <c r="BS210" i="26"/>
  <c r="BG193" i="26"/>
  <c r="BK193" i="26"/>
  <c r="BJ156" i="26"/>
  <c r="BI156" i="26"/>
  <c r="BH156" i="26"/>
  <c r="BP171" i="26"/>
  <c r="BR171" i="26"/>
  <c r="BQ171" i="26"/>
  <c r="BK182" i="26"/>
  <c r="BG182" i="26"/>
  <c r="BS212" i="26"/>
  <c r="BO212" i="26"/>
  <c r="BH219" i="26"/>
  <c r="BJ219" i="26"/>
  <c r="BI219" i="26"/>
  <c r="BK159" i="26"/>
  <c r="BG159" i="26"/>
  <c r="BS173" i="26"/>
  <c r="BO173" i="26"/>
  <c r="BO179" i="26"/>
  <c r="BS179" i="26"/>
  <c r="BS182" i="26"/>
  <c r="BO182" i="26"/>
  <c r="BK213" i="26"/>
  <c r="BG213" i="26"/>
  <c r="BS211" i="26"/>
  <c r="BO211" i="26"/>
  <c r="BG118" i="26"/>
  <c r="BK118" i="26"/>
  <c r="BO132" i="26"/>
  <c r="BS132" i="26"/>
  <c r="BK75" i="26"/>
  <c r="BG75" i="26"/>
  <c r="BJ99" i="26"/>
  <c r="BI99" i="26"/>
  <c r="BH99" i="26"/>
  <c r="BS105" i="26"/>
  <c r="BO105" i="26"/>
  <c r="BG136" i="26"/>
  <c r="BK136" i="26"/>
  <c r="BK72" i="26"/>
  <c r="BG72" i="26"/>
  <c r="BO78" i="26"/>
  <c r="BS78" i="26"/>
  <c r="BK109" i="26"/>
  <c r="BG109" i="26"/>
  <c r="BP99" i="26"/>
  <c r="BR99" i="26"/>
  <c r="BQ99" i="26"/>
  <c r="BR120" i="26"/>
  <c r="BQ120" i="26"/>
  <c r="BP120" i="26"/>
  <c r="BJ143" i="26"/>
  <c r="BI143" i="26"/>
  <c r="BH143" i="26"/>
  <c r="BR98" i="26"/>
  <c r="BQ98" i="26"/>
  <c r="BP98" i="26"/>
  <c r="BR133" i="26"/>
  <c r="BQ133" i="26"/>
  <c r="BP133" i="26"/>
  <c r="BR77" i="26"/>
  <c r="BQ77" i="26"/>
  <c r="BP77" i="26"/>
  <c r="BR138" i="26"/>
  <c r="BQ138" i="26"/>
  <c r="BP138" i="26"/>
  <c r="L305" i="22"/>
  <c r="BR87" i="26"/>
  <c r="BQ87" i="26"/>
  <c r="BP87" i="26"/>
  <c r="L262" i="22"/>
  <c r="N262" i="22" s="1"/>
  <c r="BJ47" i="26"/>
  <c r="BI47" i="26"/>
  <c r="BH47" i="26"/>
  <c r="P294" i="22"/>
  <c r="L294" i="22"/>
  <c r="N294" i="22" s="1"/>
  <c r="AB294" i="22"/>
  <c r="AC294" i="22" s="1"/>
  <c r="BS53" i="26"/>
  <c r="BO53" i="26"/>
  <c r="BG68" i="26"/>
  <c r="BK68" i="26"/>
  <c r="BK32" i="26"/>
  <c r="BG32" i="26"/>
  <c r="BR50" i="26"/>
  <c r="BQ50" i="26"/>
  <c r="BP50" i="26"/>
  <c r="G275" i="22"/>
  <c r="BK23" i="26"/>
  <c r="BG23" i="26"/>
  <c r="BR19" i="26"/>
  <c r="BQ19" i="26"/>
  <c r="BP19" i="26"/>
  <c r="BK46" i="26"/>
  <c r="BG46" i="26"/>
  <c r="BR16" i="26"/>
  <c r="BQ16" i="26"/>
  <c r="BP16" i="26"/>
  <c r="AA285" i="22"/>
  <c r="H285" i="22"/>
  <c r="G285" i="22"/>
  <c r="K285" i="22" s="1"/>
  <c r="BK58" i="26"/>
  <c r="BG58" i="26"/>
  <c r="BO13" i="26"/>
  <c r="BS13" i="26"/>
  <c r="BR54" i="26"/>
  <c r="BQ54" i="26"/>
  <c r="BP54" i="26"/>
  <c r="BK53" i="26"/>
  <c r="BG53" i="26"/>
  <c r="BT53" i="26" s="1"/>
  <c r="U53" i="22" s="1"/>
  <c r="N277" i="22"/>
  <c r="BP59" i="26"/>
  <c r="BR59" i="26"/>
  <c r="BQ59" i="26"/>
  <c r="K233" i="22"/>
  <c r="P192" i="22"/>
  <c r="L192" i="22"/>
  <c r="AB192" i="22"/>
  <c r="AC192" i="22" s="1"/>
  <c r="I238" i="22"/>
  <c r="T238" i="22" s="1"/>
  <c r="Z241" i="22"/>
  <c r="T241" i="22"/>
  <c r="J195" i="22"/>
  <c r="G180" i="22"/>
  <c r="J180" i="22"/>
  <c r="J177" i="22"/>
  <c r="K177" i="22" s="1"/>
  <c r="AA177" i="22"/>
  <c r="H177" i="22"/>
  <c r="G228" i="22"/>
  <c r="AC128" i="22"/>
  <c r="AA149" i="22"/>
  <c r="I149" i="22"/>
  <c r="P140" i="22"/>
  <c r="AA132" i="22"/>
  <c r="AC132" i="22" s="1"/>
  <c r="AB138" i="22"/>
  <c r="AC138" i="22" s="1"/>
  <c r="L138" i="22"/>
  <c r="P138" i="22"/>
  <c r="H136" i="22"/>
  <c r="G136" i="22"/>
  <c r="K136" i="22" s="1"/>
  <c r="I131" i="22"/>
  <c r="T131" i="22" s="1"/>
  <c r="BS51" i="26"/>
  <c r="BO51" i="26"/>
  <c r="J63" i="22"/>
  <c r="I63" i="22"/>
  <c r="T63" i="22" s="1"/>
  <c r="G63" i="22"/>
  <c r="J39" i="22"/>
  <c r="I39" i="22"/>
  <c r="H39" i="22"/>
  <c r="G39" i="22"/>
  <c r="AA39" i="22"/>
  <c r="N79" i="22"/>
  <c r="Z62" i="22"/>
  <c r="T62" i="22"/>
  <c r="AB38" i="22"/>
  <c r="AC38" i="22" s="1"/>
  <c r="P38" i="22"/>
  <c r="L38" i="22"/>
  <c r="P47" i="22"/>
  <c r="AB47" i="22"/>
  <c r="AC47" i="22" s="1"/>
  <c r="L47" i="22"/>
  <c r="N47" i="22" s="1"/>
  <c r="K47" i="22"/>
  <c r="Z46" i="22"/>
  <c r="T46" i="22"/>
  <c r="H41" i="22"/>
  <c r="AH451" i="16"/>
  <c r="AF451" i="16" a="1"/>
  <c r="AF451" i="16" s="1"/>
  <c r="AH442" i="16"/>
  <c r="AF442" i="16" a="1"/>
  <c r="AF442" i="16" s="1"/>
  <c r="AH424" i="16"/>
  <c r="AF424" i="16" a="1"/>
  <c r="AF424" i="16" s="1"/>
  <c r="AH196" i="16"/>
  <c r="AF196" i="16" a="1"/>
  <c r="AF196" i="16" s="1"/>
  <c r="AH237" i="16"/>
  <c r="AF237" i="16" a="1"/>
  <c r="AF237" i="16" s="1"/>
  <c r="AH364" i="16"/>
  <c r="AF364" i="16" a="1"/>
  <c r="AF364" i="16" s="1"/>
  <c r="AH358" i="16"/>
  <c r="AF358" i="16" a="1"/>
  <c r="AF358" i="16" s="1"/>
  <c r="AF272" i="16" a="1"/>
  <c r="AF272" i="16" s="1"/>
  <c r="AH272" i="16"/>
  <c r="AH356" i="16"/>
  <c r="AF356" i="16" a="1"/>
  <c r="AF356" i="16" s="1"/>
  <c r="AH263" i="16"/>
  <c r="AF263" i="16" a="1"/>
  <c r="AF263" i="16" s="1"/>
  <c r="AH332" i="16"/>
  <c r="AF332" i="16" a="1"/>
  <c r="AF332" i="16" s="1"/>
  <c r="AH173" i="16"/>
  <c r="AF173" i="16" a="1"/>
  <c r="AF173" i="16" s="1"/>
  <c r="AF134" i="16" a="1"/>
  <c r="AF134" i="16" s="1"/>
  <c r="AH134" i="16"/>
  <c r="AF122" i="16" a="1"/>
  <c r="AF122" i="16" s="1"/>
  <c r="AH122" i="16"/>
  <c r="AK182" i="5"/>
  <c r="AL182" i="5" s="1"/>
  <c r="AK188" i="5"/>
  <c r="AL188" i="5" s="1"/>
  <c r="AK150" i="5"/>
  <c r="AL150" i="5" s="1"/>
  <c r="AK96" i="5"/>
  <c r="AL96" i="5" s="1"/>
  <c r="AK138" i="5"/>
  <c r="AL138" i="5" s="1"/>
  <c r="AK42" i="5"/>
  <c r="AL42" i="5" s="1"/>
  <c r="AK180" i="5"/>
  <c r="AL180" i="5" s="1"/>
  <c r="AK184" i="5"/>
  <c r="AL184" i="5" s="1"/>
  <c r="AK177" i="5"/>
  <c r="AL177" i="5" s="1"/>
  <c r="AH54" i="4"/>
  <c r="AI54" i="4" s="1"/>
  <c r="AH100" i="4"/>
  <c r="AI100" i="4" s="1"/>
  <c r="AH50" i="4"/>
  <c r="AI50" i="4" s="1"/>
  <c r="G107" i="22"/>
  <c r="K107" i="22" s="1"/>
  <c r="J33" i="22"/>
  <c r="I33" i="22"/>
  <c r="AC46" i="22"/>
  <c r="G33" i="22"/>
  <c r="J15" i="22"/>
  <c r="I15" i="22"/>
  <c r="G40" i="22"/>
  <c r="P28" i="22"/>
  <c r="L28" i="22"/>
  <c r="N28" i="22" s="1"/>
  <c r="AB28" i="22"/>
  <c r="AC28" i="22" s="1"/>
  <c r="L11" i="22"/>
  <c r="AH394" i="16"/>
  <c r="AF394" i="16" a="1"/>
  <c r="AF394" i="16" s="1"/>
  <c r="AH413" i="16"/>
  <c r="AF413" i="16" a="1"/>
  <c r="AF413" i="16" s="1"/>
  <c r="AH446" i="16"/>
  <c r="AF446" i="16" a="1"/>
  <c r="AF446" i="16" s="1"/>
  <c r="AF433" i="16" a="1"/>
  <c r="AF433" i="16" s="1"/>
  <c r="AH433" i="16"/>
  <c r="AH412" i="16"/>
  <c r="AF412" i="16" a="1"/>
  <c r="AF412" i="16" s="1"/>
  <c r="AH365" i="16"/>
  <c r="AF365" i="16" a="1"/>
  <c r="AF365" i="16" s="1"/>
  <c r="AF303" i="16" a="1"/>
  <c r="AF303" i="16" s="1"/>
  <c r="AH303" i="16"/>
  <c r="AH359" i="16"/>
  <c r="AF359" i="16" a="1"/>
  <c r="AF359" i="16" s="1"/>
  <c r="AH308" i="16"/>
  <c r="AF308" i="16" a="1"/>
  <c r="AF308" i="16" s="1"/>
  <c r="AF335" i="16" a="1"/>
  <c r="AF335" i="16" s="1"/>
  <c r="AH335" i="16"/>
  <c r="AF234" i="16" a="1"/>
  <c r="AF234" i="16" s="1"/>
  <c r="AH234" i="16"/>
  <c r="AH180" i="16"/>
  <c r="AF180" i="16" a="1"/>
  <c r="AF180" i="16" s="1"/>
  <c r="AF375" i="16" a="1"/>
  <c r="AF375" i="16" s="1"/>
  <c r="AH375" i="16"/>
  <c r="AH293" i="16"/>
  <c r="AF293" i="16" a="1"/>
  <c r="AF293" i="16" s="1"/>
  <c r="AH157" i="16"/>
  <c r="AF157" i="16" a="1"/>
  <c r="AF157" i="16" s="1"/>
  <c r="AH147" i="16"/>
  <c r="AF147" i="16" a="1"/>
  <c r="AF147" i="16" s="1"/>
  <c r="AK153" i="5"/>
  <c r="AL153" i="5" s="1"/>
  <c r="AK97" i="5"/>
  <c r="AL97" i="5" s="1"/>
  <c r="AK31" i="5"/>
  <c r="AL31" i="5" s="1"/>
  <c r="AK202" i="5"/>
  <c r="AL202" i="5" s="1"/>
  <c r="AK32" i="5"/>
  <c r="AL32" i="5" s="1"/>
  <c r="AK78" i="5"/>
  <c r="AL78" i="5" s="1"/>
  <c r="AH116" i="4"/>
  <c r="AI116" i="4" s="1"/>
  <c r="AH58" i="4"/>
  <c r="AI58" i="4" s="1"/>
  <c r="AH43" i="4"/>
  <c r="AI43" i="4" s="1"/>
  <c r="T159" i="22"/>
  <c r="J121" i="22"/>
  <c r="I121" i="22"/>
  <c r="H121" i="22"/>
  <c r="AB119" i="22"/>
  <c r="AB65" i="22"/>
  <c r="AC65" i="22" s="1"/>
  <c r="P65" i="22"/>
  <c r="L65" i="22"/>
  <c r="N65" i="22" s="1"/>
  <c r="AB105" i="22"/>
  <c r="AC105" i="22" s="1"/>
  <c r="BS39" i="26"/>
  <c r="BO39" i="26"/>
  <c r="P81" i="22"/>
  <c r="L81" i="22"/>
  <c r="N81" i="22" s="1"/>
  <c r="J52" i="22"/>
  <c r="I52" i="22"/>
  <c r="H52" i="22"/>
  <c r="AA52" i="22"/>
  <c r="P91" i="22"/>
  <c r="L91" i="22"/>
  <c r="AB91" i="22"/>
  <c r="AC91" i="22" s="1"/>
  <c r="T19" i="22"/>
  <c r="H144" i="22"/>
  <c r="AA107" i="22"/>
  <c r="AA60" i="22"/>
  <c r="AH387" i="16"/>
  <c r="AF387" i="16" a="1"/>
  <c r="AF387" i="16" s="1"/>
  <c r="AH437" i="16"/>
  <c r="AF437" i="16" a="1"/>
  <c r="AF437" i="16" s="1"/>
  <c r="AH444" i="16"/>
  <c r="AF444" i="16" a="1"/>
  <c r="AF444" i="16" s="1"/>
  <c r="AH435" i="16"/>
  <c r="AF435" i="16" a="1"/>
  <c r="AF435" i="16" s="1"/>
  <c r="J19" i="22"/>
  <c r="K19" i="22" s="1"/>
  <c r="AH380" i="16"/>
  <c r="AF380" i="16" a="1"/>
  <c r="AF380" i="16" s="1"/>
  <c r="AH164" i="16"/>
  <c r="AF164" i="16" a="1"/>
  <c r="AF164" i="16" s="1"/>
  <c r="AF351" i="16" a="1"/>
  <c r="AF351" i="16" s="1"/>
  <c r="AH351" i="16"/>
  <c r="AH362" i="16"/>
  <c r="AF362" i="16" a="1"/>
  <c r="AF362" i="16" s="1"/>
  <c r="AH347" i="16"/>
  <c r="AF347" i="16" a="1"/>
  <c r="AF347" i="16" s="1"/>
  <c r="AF235" i="16" a="1"/>
  <c r="AF235" i="16" s="1"/>
  <c r="AH235" i="16"/>
  <c r="AH354" i="16"/>
  <c r="AF354" i="16" a="1"/>
  <c r="AF354" i="16" s="1"/>
  <c r="AF256" i="16" a="1"/>
  <c r="AF256" i="16" s="1"/>
  <c r="AH256" i="16"/>
  <c r="AH330" i="16"/>
  <c r="AF330" i="16" a="1"/>
  <c r="AF330" i="16" s="1"/>
  <c r="AH141" i="16"/>
  <c r="AF141" i="16" a="1"/>
  <c r="AF141" i="16" s="1"/>
  <c r="AH174" i="16"/>
  <c r="AF174" i="16" a="1"/>
  <c r="AF174" i="16" s="1"/>
  <c r="AH214" i="16"/>
  <c r="AF214" i="16" a="1"/>
  <c r="AF214" i="16" s="1"/>
  <c r="AH175" i="16"/>
  <c r="AF175" i="16" a="1"/>
  <c r="AF175" i="16" s="1"/>
  <c r="AH124" i="16"/>
  <c r="AF124" i="16" a="1"/>
  <c r="AF124" i="16" s="1"/>
  <c r="AK147" i="5"/>
  <c r="AL147" i="5" s="1"/>
  <c r="AK88" i="5"/>
  <c r="AL88" i="5" s="1"/>
  <c r="AK3" i="5"/>
  <c r="AL3" i="5" s="1"/>
  <c r="AK58" i="5"/>
  <c r="AL58" i="5" s="1"/>
  <c r="AK36" i="5"/>
  <c r="AL36" i="5" s="1"/>
  <c r="AK200" i="5"/>
  <c r="AL200" i="5" s="1"/>
  <c r="AK193" i="5"/>
  <c r="AL193" i="5" s="1"/>
  <c r="AH53" i="4"/>
  <c r="AI53" i="4" s="1"/>
  <c r="AH132" i="4"/>
  <c r="AI132" i="4" s="1"/>
  <c r="AH180" i="4"/>
  <c r="AI180" i="4" s="1"/>
  <c r="AH66" i="4"/>
  <c r="AI66" i="4" s="1"/>
  <c r="AH44" i="4"/>
  <c r="AI44" i="4" s="1"/>
  <c r="BR39" i="26"/>
  <c r="BQ39" i="26"/>
  <c r="BP39" i="26"/>
  <c r="H34" i="22"/>
  <c r="J34" i="22"/>
  <c r="K34" i="22" s="1"/>
  <c r="I34" i="22"/>
  <c r="K85" i="22"/>
  <c r="H33" i="22"/>
  <c r="H40" i="22"/>
  <c r="P17" i="22"/>
  <c r="L17" i="22"/>
  <c r="N17" i="22" s="1"/>
  <c r="AB17" i="22"/>
  <c r="AC17" i="22" s="1"/>
  <c r="AH450" i="16"/>
  <c r="AF450" i="16" a="1"/>
  <c r="AF450" i="16" s="1"/>
  <c r="AH436" i="16"/>
  <c r="AF436" i="16" a="1"/>
  <c r="AF436" i="16" s="1"/>
  <c r="AH372" i="16"/>
  <c r="AF372" i="16" a="1"/>
  <c r="AF372" i="16" s="1"/>
  <c r="AH373" i="16"/>
  <c r="AF373" i="16" a="1"/>
  <c r="AF373" i="16" s="1"/>
  <c r="AH426" i="16"/>
  <c r="AF426" i="16" a="1"/>
  <c r="AF426" i="16" s="1"/>
  <c r="AF367" i="16" a="1"/>
  <c r="AF367" i="16" s="1"/>
  <c r="AH367" i="16"/>
  <c r="AH350" i="16"/>
  <c r="AF350" i="16" a="1"/>
  <c r="AF350" i="16" s="1"/>
  <c r="AH348" i="16"/>
  <c r="AF348" i="16" a="1"/>
  <c r="AF348" i="16" s="1"/>
  <c r="AH299" i="16"/>
  <c r="AF299" i="16" a="1"/>
  <c r="AF299" i="16" s="1"/>
  <c r="AH322" i="16"/>
  <c r="AF322" i="16" a="1"/>
  <c r="AF322" i="16" s="1"/>
  <c r="AH333" i="16"/>
  <c r="AF333" i="16" a="1"/>
  <c r="AF333" i="16" s="1"/>
  <c r="AH148" i="16"/>
  <c r="AF148" i="16" a="1"/>
  <c r="AF148" i="16" s="1"/>
  <c r="AH366" i="16"/>
  <c r="AF366" i="16" a="1"/>
  <c r="AF366" i="16" s="1"/>
  <c r="AH279" i="16"/>
  <c r="AF279" i="16" a="1"/>
  <c r="AF279" i="16" s="1"/>
  <c r="AH238" i="16"/>
  <c r="AF238" i="16" a="1"/>
  <c r="AF238" i="16" s="1"/>
  <c r="AH125" i="16"/>
  <c r="AF125" i="16" a="1"/>
  <c r="AF125" i="16" s="1"/>
  <c r="AH167" i="16"/>
  <c r="AF167" i="16" a="1"/>
  <c r="AF167" i="16" s="1"/>
  <c r="AH211" i="16"/>
  <c r="AF211" i="16" a="1"/>
  <c r="AF211" i="16" s="1"/>
  <c r="AH195" i="16"/>
  <c r="AF195" i="16" a="1"/>
  <c r="AF195" i="16" s="1"/>
  <c r="AH140" i="16"/>
  <c r="AF140" i="16" a="1"/>
  <c r="AF140" i="16" s="1"/>
  <c r="AK137" i="5"/>
  <c r="AL137" i="5" s="1"/>
  <c r="AK162" i="5"/>
  <c r="AL162" i="5" s="1"/>
  <c r="AK94" i="5"/>
  <c r="AL94" i="5" s="1"/>
  <c r="AH148" i="4"/>
  <c r="AI148" i="4" s="1"/>
  <c r="AK53" i="5"/>
  <c r="AL53" i="5" s="1"/>
  <c r="AK19" i="5"/>
  <c r="AL19" i="5" s="1"/>
  <c r="AK74" i="5"/>
  <c r="AL74" i="5" s="1"/>
  <c r="AK176" i="5"/>
  <c r="AL176" i="5" s="1"/>
  <c r="AK123" i="5"/>
  <c r="AL123" i="5" s="1"/>
  <c r="AH164" i="4"/>
  <c r="AI164" i="4" s="1"/>
  <c r="AH179" i="4"/>
  <c r="AI179" i="4" s="1"/>
  <c r="BR245" i="26"/>
  <c r="BQ245" i="26"/>
  <c r="BP245" i="26"/>
  <c r="BS258" i="26"/>
  <c r="BO258" i="26"/>
  <c r="BO279" i="26"/>
  <c r="BS279" i="26"/>
  <c r="BJ210" i="26"/>
  <c r="BI210" i="26"/>
  <c r="BH210" i="26"/>
  <c r="BJ166" i="26"/>
  <c r="BI166" i="26"/>
  <c r="BH166" i="26"/>
  <c r="BS172" i="26"/>
  <c r="BO172" i="26"/>
  <c r="BK199" i="26"/>
  <c r="BG199" i="26"/>
  <c r="BO189" i="26"/>
  <c r="BS189" i="26"/>
  <c r="BS207" i="26"/>
  <c r="BO207" i="26"/>
  <c r="BR186" i="26"/>
  <c r="BQ186" i="26"/>
  <c r="BP186" i="26"/>
  <c r="BR168" i="26"/>
  <c r="BQ168" i="26"/>
  <c r="BP168" i="26"/>
  <c r="BO215" i="26"/>
  <c r="BS215" i="26"/>
  <c r="BF149" i="26"/>
  <c r="BE149" i="26"/>
  <c r="BJ170" i="26"/>
  <c r="BI170" i="26"/>
  <c r="BH170" i="26"/>
  <c r="BS204" i="26"/>
  <c r="BO204" i="26"/>
  <c r="BK203" i="26"/>
  <c r="BG203" i="26"/>
  <c r="BR217" i="26"/>
  <c r="BQ217" i="26"/>
  <c r="BP217" i="26"/>
  <c r="BR157" i="26"/>
  <c r="BQ157" i="26"/>
  <c r="BP157" i="26"/>
  <c r="BJ172" i="26"/>
  <c r="BI172" i="26"/>
  <c r="BH172" i="26"/>
  <c r="BR170" i="26"/>
  <c r="BQ170" i="26"/>
  <c r="BP170" i="26"/>
  <c r="BJ189" i="26"/>
  <c r="BI189" i="26"/>
  <c r="BH189" i="26"/>
  <c r="BR195" i="26"/>
  <c r="BQ195" i="26"/>
  <c r="BP195" i="26"/>
  <c r="BK102" i="26"/>
  <c r="BG102" i="26"/>
  <c r="BR116" i="26"/>
  <c r="BQ116" i="26"/>
  <c r="BP116" i="26"/>
  <c r="BJ131" i="26"/>
  <c r="BI131" i="26"/>
  <c r="BH131" i="26"/>
  <c r="BR94" i="26"/>
  <c r="BQ94" i="26"/>
  <c r="BP94" i="26"/>
  <c r="BJ120" i="26"/>
  <c r="BI120" i="26"/>
  <c r="BH120" i="26"/>
  <c r="BR134" i="26"/>
  <c r="BQ134" i="26"/>
  <c r="BP134" i="26"/>
  <c r="BS136" i="26"/>
  <c r="BO136" i="26"/>
  <c r="BJ93" i="26"/>
  <c r="BI93" i="26"/>
  <c r="BH93" i="26"/>
  <c r="BS139" i="26"/>
  <c r="BO139" i="26"/>
  <c r="BO91" i="26"/>
  <c r="BS91" i="26"/>
  <c r="BJ122" i="26"/>
  <c r="BI122" i="26"/>
  <c r="BH122" i="26"/>
  <c r="BS88" i="26"/>
  <c r="BO88" i="26"/>
  <c r="BK135" i="26"/>
  <c r="BG135" i="26"/>
  <c r="BK79" i="26"/>
  <c r="BG79" i="26"/>
  <c r="BS117" i="26"/>
  <c r="BO117" i="26"/>
  <c r="J303" i="22"/>
  <c r="I303" i="22"/>
  <c r="T303" i="22" s="1"/>
  <c r="BG100" i="26"/>
  <c r="BK100" i="26"/>
  <c r="BO114" i="26"/>
  <c r="BS114" i="26"/>
  <c r="BH113" i="26"/>
  <c r="BJ113" i="26"/>
  <c r="BI113" i="26"/>
  <c r="BS135" i="26"/>
  <c r="BO135" i="26"/>
  <c r="BJ66" i="26"/>
  <c r="BI66" i="26"/>
  <c r="BH66" i="26"/>
  <c r="BS48" i="26"/>
  <c r="BO48" i="26"/>
  <c r="BJ27" i="26"/>
  <c r="BI27" i="26"/>
  <c r="BH27" i="26"/>
  <c r="BR41" i="26"/>
  <c r="BQ41" i="26"/>
  <c r="BP41" i="26"/>
  <c r="BK52" i="26"/>
  <c r="BG52" i="26"/>
  <c r="BJ16" i="26"/>
  <c r="BI16" i="26"/>
  <c r="BH16" i="26"/>
  <c r="BS22" i="26"/>
  <c r="BO22" i="26"/>
  <c r="BJ49" i="26"/>
  <c r="BI49" i="26"/>
  <c r="BH49" i="26"/>
  <c r="BJ13" i="26"/>
  <c r="BI13" i="26"/>
  <c r="BH13" i="26"/>
  <c r="BR55" i="26"/>
  <c r="BQ55" i="26"/>
  <c r="BP55" i="26"/>
  <c r="BJ18" i="26"/>
  <c r="BI18" i="26"/>
  <c r="BH18" i="26"/>
  <c r="BS68" i="26"/>
  <c r="BO68" i="26"/>
  <c r="BS37" i="26"/>
  <c r="BO37" i="26"/>
  <c r="J282" i="22"/>
  <c r="AA282" i="22"/>
  <c r="I282" i="22"/>
  <c r="H282" i="22"/>
  <c r="G282" i="22"/>
  <c r="BK48" i="26"/>
  <c r="BG48" i="26"/>
  <c r="BO34" i="26"/>
  <c r="BS34" i="26"/>
  <c r="BK41" i="26"/>
  <c r="BG41" i="26"/>
  <c r="P257" i="22"/>
  <c r="AB257" i="22"/>
  <c r="AC257" i="22" s="1"/>
  <c r="AB183" i="22"/>
  <c r="AC183" i="22" s="1"/>
  <c r="L183" i="22"/>
  <c r="K183" i="22"/>
  <c r="P183" i="22"/>
  <c r="H173" i="22"/>
  <c r="Z159" i="22"/>
  <c r="T138" i="22"/>
  <c r="AC210" i="22"/>
  <c r="H209" i="22"/>
  <c r="G149" i="22"/>
  <c r="J103" i="22"/>
  <c r="K103" i="22" s="1"/>
  <c r="I103" i="22"/>
  <c r="H103" i="22"/>
  <c r="P106" i="22"/>
  <c r="L106" i="22"/>
  <c r="N106" i="22" s="1"/>
  <c r="W106" i="22" s="1"/>
  <c r="J115" i="22"/>
  <c r="I124" i="22"/>
  <c r="T124" i="22" s="1"/>
  <c r="G124" i="22"/>
  <c r="K124" i="22" s="1"/>
  <c r="AA124" i="22"/>
  <c r="H141" i="22"/>
  <c r="T135" i="22"/>
  <c r="AA131" i="22"/>
  <c r="AC131" i="22" s="1"/>
  <c r="BQ31" i="26"/>
  <c r="BP31" i="26"/>
  <c r="BR31" i="26"/>
  <c r="AB81" i="22"/>
  <c r="AC81" i="22" s="1"/>
  <c r="J29" i="22"/>
  <c r="K29" i="22" s="1"/>
  <c r="I29" i="22"/>
  <c r="H29" i="22"/>
  <c r="K140" i="22"/>
  <c r="J74" i="22"/>
  <c r="AA74" i="22"/>
  <c r="AC74" i="22" s="1"/>
  <c r="L84" i="22"/>
  <c r="N84" i="22" s="1"/>
  <c r="P84" i="22"/>
  <c r="G62" i="22"/>
  <c r="J62" i="22"/>
  <c r="G30" i="22"/>
  <c r="P72" i="22"/>
  <c r="P54" i="22"/>
  <c r="H25" i="22"/>
  <c r="P25" i="22" s="1"/>
  <c r="P102" i="22"/>
  <c r="L102" i="22"/>
  <c r="AB102" i="22"/>
  <c r="AC102" i="22" s="1"/>
  <c r="AH445" i="16"/>
  <c r="AF445" i="16" a="1"/>
  <c r="AF445" i="16" s="1"/>
  <c r="AH419" i="16"/>
  <c r="AF419" i="16" a="1"/>
  <c r="AF419" i="16" s="1"/>
  <c r="AH294" i="16"/>
  <c r="AF294" i="16" a="1"/>
  <c r="AF294" i="16" s="1"/>
  <c r="AH339" i="16"/>
  <c r="AF339" i="16" a="1"/>
  <c r="AF339" i="16" s="1"/>
  <c r="AF319" i="16" a="1"/>
  <c r="AF319" i="16" s="1"/>
  <c r="AH319" i="16"/>
  <c r="AH254" i="16"/>
  <c r="AF254" i="16" a="1"/>
  <c r="AF254" i="16" s="1"/>
  <c r="AH346" i="16"/>
  <c r="AF346" i="16" a="1"/>
  <c r="AF346" i="16" s="1"/>
  <c r="AH285" i="16"/>
  <c r="AF285" i="16" a="1"/>
  <c r="AF285" i="16" s="1"/>
  <c r="AH313" i="16"/>
  <c r="AF313" i="16" a="1"/>
  <c r="AF313" i="16" s="1"/>
  <c r="AH331" i="16"/>
  <c r="AF331" i="16" a="1"/>
  <c r="AF331" i="16" s="1"/>
  <c r="AH340" i="16"/>
  <c r="AF340" i="16" a="1"/>
  <c r="AF340" i="16" s="1"/>
  <c r="AH270" i="16"/>
  <c r="AF270" i="16" a="1"/>
  <c r="AF270" i="16" s="1"/>
  <c r="AH204" i="16"/>
  <c r="AF204" i="16" a="1"/>
  <c r="AF204" i="16" s="1"/>
  <c r="AH188" i="16"/>
  <c r="AF188" i="16" a="1"/>
  <c r="AF188" i="16" s="1"/>
  <c r="AH138" i="16"/>
  <c r="AF138" i="16" a="1"/>
  <c r="AF138" i="16" s="1"/>
  <c r="AH207" i="16"/>
  <c r="AF207" i="16" a="1"/>
  <c r="AF207" i="16" s="1"/>
  <c r="AK98" i="5"/>
  <c r="AL98" i="5" s="1"/>
  <c r="AK76" i="5"/>
  <c r="AL76" i="5" s="1"/>
  <c r="AK130" i="5"/>
  <c r="AL130" i="5" s="1"/>
  <c r="AK110" i="5"/>
  <c r="AL110" i="5" s="1"/>
  <c r="AH65" i="4"/>
  <c r="AI65" i="4" s="1"/>
  <c r="BS33" i="26"/>
  <c r="BO33" i="26"/>
  <c r="BJ52" i="26"/>
  <c r="BI52" i="26"/>
  <c r="BH52" i="26"/>
  <c r="BK8" i="26"/>
  <c r="BG8" i="26"/>
  <c r="BR22" i="26"/>
  <c r="BQ22" i="26"/>
  <c r="BP22" i="26"/>
  <c r="BS40" i="26"/>
  <c r="BO40" i="26"/>
  <c r="BS47" i="26"/>
  <c r="BO47" i="26"/>
  <c r="BK10" i="26"/>
  <c r="BG10" i="26"/>
  <c r="BR68" i="26"/>
  <c r="BQ68" i="26"/>
  <c r="BP68" i="26"/>
  <c r="BR37" i="26"/>
  <c r="BQ37" i="26"/>
  <c r="BP37" i="26"/>
  <c r="BJ48" i="26"/>
  <c r="BI48" i="26"/>
  <c r="BH48" i="26"/>
  <c r="BR34" i="26"/>
  <c r="BQ34" i="26"/>
  <c r="BP34" i="26"/>
  <c r="BJ41" i="26"/>
  <c r="BI41" i="26"/>
  <c r="BH41" i="26"/>
  <c r="P255" i="22"/>
  <c r="L255" i="22"/>
  <c r="J268" i="22"/>
  <c r="K268" i="22" s="1"/>
  <c r="H268" i="22"/>
  <c r="AA268" i="22"/>
  <c r="AC268" i="22" s="1"/>
  <c r="L257" i="22"/>
  <c r="T243" i="22"/>
  <c r="Z243" i="22"/>
  <c r="P231" i="22"/>
  <c r="L231" i="22"/>
  <c r="AB231" i="22"/>
  <c r="AC231" i="22" s="1"/>
  <c r="G238" i="22"/>
  <c r="K214" i="22"/>
  <c r="I212" i="22"/>
  <c r="T212" i="22" s="1"/>
  <c r="G212" i="22"/>
  <c r="AA212" i="22"/>
  <c r="AC177" i="22"/>
  <c r="I195" i="22"/>
  <c r="T195" i="22" s="1"/>
  <c r="G195" i="22"/>
  <c r="P169" i="22"/>
  <c r="I161" i="22"/>
  <c r="T161" i="22" s="1"/>
  <c r="J144" i="22"/>
  <c r="J161" i="22"/>
  <c r="G121" i="22"/>
  <c r="AC88" i="22"/>
  <c r="J127" i="22"/>
  <c r="I127" i="22"/>
  <c r="T127" i="22" s="1"/>
  <c r="G127" i="22"/>
  <c r="BO23" i="26"/>
  <c r="BS23" i="26"/>
  <c r="K81" i="22"/>
  <c r="I90" i="22"/>
  <c r="P90" i="22" s="1"/>
  <c r="G52" i="22"/>
  <c r="J57" i="22"/>
  <c r="K57" i="22" s="1"/>
  <c r="I23" i="22"/>
  <c r="AA25" i="22"/>
  <c r="AC25" i="22" s="1"/>
  <c r="G14" i="22"/>
  <c r="K17" i="22"/>
  <c r="AH399" i="16"/>
  <c r="AF399" i="16" a="1"/>
  <c r="AF399" i="16" s="1"/>
  <c r="AH395" i="16"/>
  <c r="AF395" i="16" a="1"/>
  <c r="AF395" i="16" s="1"/>
  <c r="AH440" i="16"/>
  <c r="AF440" i="16" a="1"/>
  <c r="AF440" i="16" s="1"/>
  <c r="AH278" i="16"/>
  <c r="AF278" i="16" a="1"/>
  <c r="AF278" i="16" s="1"/>
  <c r="AH327" i="16"/>
  <c r="AF327" i="16" a="1"/>
  <c r="AF327" i="16" s="1"/>
  <c r="AH349" i="16"/>
  <c r="AF349" i="16" a="1"/>
  <c r="AF349" i="16" s="1"/>
  <c r="AH325" i="16"/>
  <c r="AF325" i="16" a="1"/>
  <c r="AF325" i="16" s="1"/>
  <c r="AH220" i="16"/>
  <c r="AF220" i="16" a="1"/>
  <c r="AF220" i="16" s="1"/>
  <c r="AH334" i="16"/>
  <c r="AF334" i="16" a="1"/>
  <c r="AF334" i="16" s="1"/>
  <c r="AH216" i="16"/>
  <c r="AF216" i="16" a="1"/>
  <c r="AF216" i="16" s="1"/>
  <c r="AF266" i="16" a="1"/>
  <c r="AF266" i="16" s="1"/>
  <c r="AH266" i="16"/>
  <c r="AH179" i="16"/>
  <c r="AF179" i="16" a="1"/>
  <c r="AF179" i="16" s="1"/>
  <c r="AH156" i="16"/>
  <c r="AF156" i="16" a="1"/>
  <c r="AF156" i="16" s="1"/>
  <c r="AF182" i="16" a="1"/>
  <c r="AF182" i="16" s="1"/>
  <c r="AH182" i="16"/>
  <c r="AH210" i="16"/>
  <c r="AF210" i="16" a="1"/>
  <c r="AF210" i="16" s="1"/>
  <c r="AH224" i="16"/>
  <c r="AF224" i="16" a="1"/>
  <c r="AF224" i="16" s="1"/>
  <c r="AH146" i="16"/>
  <c r="AF146" i="16" a="1"/>
  <c r="AF146" i="16" s="1"/>
  <c r="AK117" i="5"/>
  <c r="AL117" i="5" s="1"/>
  <c r="AK169" i="5"/>
  <c r="AL169" i="5" s="1"/>
  <c r="AK170" i="5"/>
  <c r="AL170" i="5" s="1"/>
  <c r="AK181" i="5"/>
  <c r="AL181" i="5" s="1"/>
  <c r="AK201" i="5"/>
  <c r="AL201" i="5" s="1"/>
  <c r="AK139" i="5"/>
  <c r="AL139" i="5" s="1"/>
  <c r="AK174" i="5"/>
  <c r="AL174" i="5" s="1"/>
  <c r="AK26" i="5"/>
  <c r="AL26" i="5" s="1"/>
  <c r="AK175" i="5"/>
  <c r="AL175" i="5" s="1"/>
  <c r="AK124" i="5"/>
  <c r="AL124" i="5" s="1"/>
  <c r="AK86" i="5"/>
  <c r="AL86" i="5" s="1"/>
  <c r="AK8" i="5"/>
  <c r="AL8" i="5" s="1"/>
  <c r="AK199" i="5"/>
  <c r="AL199" i="5" s="1"/>
  <c r="AK155" i="5"/>
  <c r="AL155" i="5" s="1"/>
  <c r="AH175" i="4"/>
  <c r="AI175" i="4" s="1"/>
  <c r="AH176" i="4"/>
  <c r="AI176" i="4" s="1"/>
  <c r="BR25" i="26"/>
  <c r="BQ25" i="26"/>
  <c r="BP25" i="26"/>
  <c r="BJ44" i="26"/>
  <c r="BI44" i="26"/>
  <c r="BH44" i="26"/>
  <c r="BJ7" i="26"/>
  <c r="BI7" i="26"/>
  <c r="BH7" i="26"/>
  <c r="BS66" i="26"/>
  <c r="BO66" i="26"/>
  <c r="BR6" i="26"/>
  <c r="BQ6" i="26"/>
  <c r="BP6" i="26"/>
  <c r="BJ37" i="26"/>
  <c r="BI37" i="26"/>
  <c r="BH37" i="26"/>
  <c r="BR43" i="26"/>
  <c r="BQ43" i="26"/>
  <c r="BP43" i="26"/>
  <c r="BS65" i="26"/>
  <c r="BO65" i="26"/>
  <c r="BR52" i="26"/>
  <c r="BQ52" i="26"/>
  <c r="BP52" i="26"/>
  <c r="BK15" i="26"/>
  <c r="BG15" i="26"/>
  <c r="BS57" i="26"/>
  <c r="BO57" i="26"/>
  <c r="BJ36" i="26"/>
  <c r="BI36" i="26"/>
  <c r="BH36" i="26"/>
  <c r="BO18" i="26"/>
  <c r="BS18" i="26"/>
  <c r="BK25" i="26"/>
  <c r="BG25" i="26"/>
  <c r="P293" i="22"/>
  <c r="L293" i="22"/>
  <c r="AB293" i="22"/>
  <c r="AC293" i="22" s="1"/>
  <c r="J254" i="22"/>
  <c r="K254" i="22" s="1"/>
  <c r="G254" i="22"/>
  <c r="L233" i="22"/>
  <c r="AB233" i="22"/>
  <c r="AC233" i="22" s="1"/>
  <c r="G175" i="22"/>
  <c r="AA175" i="22"/>
  <c r="J175" i="22"/>
  <c r="I175" i="22"/>
  <c r="H175" i="22"/>
  <c r="AA176" i="22"/>
  <c r="AC176" i="22" s="1"/>
  <c r="J176" i="22"/>
  <c r="K176" i="22" s="1"/>
  <c r="H176" i="22"/>
  <c r="P182" i="22"/>
  <c r="L182" i="22"/>
  <c r="N182" i="22" s="1"/>
  <c r="AB182" i="22"/>
  <c r="AC182" i="22" s="1"/>
  <c r="J88" i="22"/>
  <c r="K88" i="22" s="1"/>
  <c r="I88" i="22"/>
  <c r="T88" i="22" s="1"/>
  <c r="I115" i="22"/>
  <c r="T115" i="22" s="1"/>
  <c r="AA101" i="22"/>
  <c r="J101" i="22"/>
  <c r="I101" i="22"/>
  <c r="H101" i="22"/>
  <c r="BR15" i="26"/>
  <c r="BQ15" i="26"/>
  <c r="BP15" i="26"/>
  <c r="G55" i="22"/>
  <c r="J55" i="22"/>
  <c r="I55" i="22"/>
  <c r="H55" i="22"/>
  <c r="AB29" i="22"/>
  <c r="AC29" i="22" s="1"/>
  <c r="L29" i="22"/>
  <c r="L83" i="22"/>
  <c r="N83" i="22" s="1"/>
  <c r="P50" i="22"/>
  <c r="AB18" i="22"/>
  <c r="AC18" i="22" s="1"/>
  <c r="P18" i="22"/>
  <c r="L18" i="22"/>
  <c r="H75" i="22"/>
  <c r="H14" i="22"/>
  <c r="AH410" i="16"/>
  <c r="AF410" i="16" a="1"/>
  <c r="AF410" i="16" s="1"/>
  <c r="AH403" i="16"/>
  <c r="AF403" i="16" a="1"/>
  <c r="AF403" i="16" s="1"/>
  <c r="AH434" i="16"/>
  <c r="AF434" i="16" a="1"/>
  <c r="AF434" i="16" s="1"/>
  <c r="AF385" i="16" a="1"/>
  <c r="AF385" i="16" s="1"/>
  <c r="AH385" i="16"/>
  <c r="AH382" i="16"/>
  <c r="AF382" i="16" a="1"/>
  <c r="AF382" i="16" s="1"/>
  <c r="AH414" i="16"/>
  <c r="AF414" i="16" a="1"/>
  <c r="AF414" i="16" s="1"/>
  <c r="AF386" i="16" a="1"/>
  <c r="AF386" i="16" s="1"/>
  <c r="AH386" i="16"/>
  <c r="AH236" i="16"/>
  <c r="AF236" i="16" a="1"/>
  <c r="AF236" i="16" s="1"/>
  <c r="AH301" i="16"/>
  <c r="AF301" i="16" a="1"/>
  <c r="AF301" i="16" s="1"/>
  <c r="AH283" i="16"/>
  <c r="AF283" i="16" a="1"/>
  <c r="AF283" i="16" s="1"/>
  <c r="AH276" i="16"/>
  <c r="AF276" i="16" a="1"/>
  <c r="AF276" i="16" s="1"/>
  <c r="AH265" i="16"/>
  <c r="AF265" i="16" a="1"/>
  <c r="AF265" i="16" s="1"/>
  <c r="AH323" i="16"/>
  <c r="AF323" i="16" a="1"/>
  <c r="AF323" i="16" s="1"/>
  <c r="AH275" i="16"/>
  <c r="AF275" i="16" a="1"/>
  <c r="AF275" i="16" s="1"/>
  <c r="AH121" i="16"/>
  <c r="AF121" i="16" a="1"/>
  <c r="AF121" i="16" s="1"/>
  <c r="AH131" i="16"/>
  <c r="AF131" i="16" a="1"/>
  <c r="AF131" i="16" s="1"/>
  <c r="AK18" i="5"/>
  <c r="AL18" i="5" s="1"/>
  <c r="AK136" i="5"/>
  <c r="AL136" i="5" s="1"/>
  <c r="AK196" i="5"/>
  <c r="AL196" i="5" s="1"/>
  <c r="AK186" i="5"/>
  <c r="AL186" i="5" s="1"/>
  <c r="AH51" i="4"/>
  <c r="AI51" i="4" s="1"/>
  <c r="AK101" i="5"/>
  <c r="AL101" i="5" s="1"/>
  <c r="AK24" i="5"/>
  <c r="AL24" i="5" s="1"/>
  <c r="AK192" i="5"/>
  <c r="AL192" i="5" s="1"/>
  <c r="AK171" i="5"/>
  <c r="AL171" i="5" s="1"/>
  <c r="AH4" i="4"/>
  <c r="AI4" i="4" s="1"/>
  <c r="AH20" i="4"/>
  <c r="AI20" i="4" s="1"/>
  <c r="AH36" i="4"/>
  <c r="AI36" i="4" s="1"/>
  <c r="AH172" i="4"/>
  <c r="AI172" i="4" s="1"/>
  <c r="BK111" i="26"/>
  <c r="BG111" i="26"/>
  <c r="BS93" i="26"/>
  <c r="BO93" i="26"/>
  <c r="BO127" i="26"/>
  <c r="BS127" i="26"/>
  <c r="BJ84" i="26"/>
  <c r="BI84" i="26"/>
  <c r="BH84" i="26"/>
  <c r="BS82" i="26"/>
  <c r="BO82" i="26"/>
  <c r="BJ89" i="26"/>
  <c r="BI89" i="26"/>
  <c r="BH89" i="26"/>
  <c r="BS103" i="26"/>
  <c r="BO103" i="26"/>
  <c r="BJ38" i="26"/>
  <c r="BI38" i="26"/>
  <c r="BH38" i="26"/>
  <c r="BS20" i="26"/>
  <c r="BO20" i="26"/>
  <c r="BG63" i="26"/>
  <c r="BK63" i="26"/>
  <c r="BR17" i="26"/>
  <c r="BQ17" i="26"/>
  <c r="BP17" i="26"/>
  <c r="BH40" i="26"/>
  <c r="BJ40" i="26"/>
  <c r="BI40" i="26"/>
  <c r="BK65" i="26"/>
  <c r="BG65" i="26"/>
  <c r="BJ29" i="26"/>
  <c r="BI29" i="26"/>
  <c r="BH29" i="26"/>
  <c r="BK34" i="26"/>
  <c r="BG34" i="26"/>
  <c r="BO44" i="26"/>
  <c r="BS44" i="26"/>
  <c r="BJ67" i="26"/>
  <c r="BI67" i="26"/>
  <c r="BH67" i="26"/>
  <c r="BK6" i="26"/>
  <c r="BG6" i="26"/>
  <c r="BP49" i="26"/>
  <c r="BR49" i="26"/>
  <c r="BQ49" i="26"/>
  <c r="J276" i="22"/>
  <c r="AA276" i="22"/>
  <c r="I276" i="22"/>
  <c r="H276" i="22"/>
  <c r="G276" i="22"/>
  <c r="BJ28" i="26"/>
  <c r="BI28" i="26"/>
  <c r="BH28" i="26"/>
  <c r="BS10" i="26"/>
  <c r="BO10" i="26"/>
  <c r="BK69" i="26"/>
  <c r="BG69" i="26"/>
  <c r="BG17" i="26"/>
  <c r="BK17" i="26"/>
  <c r="BR67" i="26"/>
  <c r="BQ67" i="26"/>
  <c r="BP67" i="26"/>
  <c r="H254" i="22"/>
  <c r="I247" i="22"/>
  <c r="H247" i="22"/>
  <c r="G247" i="22"/>
  <c r="J247" i="22"/>
  <c r="AB221" i="22"/>
  <c r="AC221" i="22" s="1"/>
  <c r="N208" i="22"/>
  <c r="T235" i="22"/>
  <c r="H142" i="22"/>
  <c r="AA142" i="22"/>
  <c r="J142" i="22"/>
  <c r="I142" i="22"/>
  <c r="K182" i="22"/>
  <c r="H149" i="22"/>
  <c r="P97" i="22"/>
  <c r="I141" i="22"/>
  <c r="BR7" i="26"/>
  <c r="BQ7" i="26"/>
  <c r="BP7" i="26"/>
  <c r="I48" i="22"/>
  <c r="T48" i="22" s="1"/>
  <c r="AA48" i="22"/>
  <c r="AC48" i="22" s="1"/>
  <c r="J48" i="22"/>
  <c r="K48" i="22" s="1"/>
  <c r="G75" i="22"/>
  <c r="K75" i="22" s="1"/>
  <c r="H74" i="22"/>
  <c r="G95" i="22"/>
  <c r="H23" i="22"/>
  <c r="AC11" i="22"/>
  <c r="AB45" i="22"/>
  <c r="AC45" i="22" s="1"/>
  <c r="P45" i="22"/>
  <c r="G15" i="22"/>
  <c r="AF448" i="16" a="1"/>
  <c r="AF448" i="16" s="1"/>
  <c r="AH448" i="16"/>
  <c r="J14" i="22"/>
  <c r="AH398" i="16"/>
  <c r="AF398" i="16" a="1"/>
  <c r="AF398" i="16" s="1"/>
  <c r="AH429" i="16"/>
  <c r="AF429" i="16" a="1"/>
  <c r="AF429" i="16" s="1"/>
  <c r="AF460" i="16" a="1"/>
  <c r="AF460" i="16" s="1"/>
  <c r="AH460" i="16"/>
  <c r="AH379" i="16"/>
  <c r="AF379" i="16" a="1"/>
  <c r="AF379" i="16" s="1"/>
  <c r="AF368" i="16" a="1"/>
  <c r="AF368" i="16" s="1"/>
  <c r="AH368" i="16"/>
  <c r="G31" i="22"/>
  <c r="K31" i="22" s="1"/>
  <c r="AH233" i="16"/>
  <c r="AF233" i="16" a="1"/>
  <c r="AF233" i="16" s="1"/>
  <c r="AH363" i="16"/>
  <c r="AF363" i="16" a="1"/>
  <c r="AF363" i="16" s="1"/>
  <c r="AH192" i="16"/>
  <c r="AF192" i="16" a="1"/>
  <c r="AF192" i="16" s="1"/>
  <c r="AF287" i="16" a="1"/>
  <c r="AF287" i="16" s="1"/>
  <c r="AH287" i="16"/>
  <c r="AF239" i="16" a="1"/>
  <c r="AF239" i="16" s="1"/>
  <c r="AH239" i="16"/>
  <c r="AH269" i="16"/>
  <c r="AF269" i="16" a="1"/>
  <c r="AF269" i="16" s="1"/>
  <c r="AH267" i="16"/>
  <c r="AF267" i="16" a="1"/>
  <c r="AF267" i="16" s="1"/>
  <c r="AH281" i="16"/>
  <c r="AF281" i="16" a="1"/>
  <c r="AF281" i="16" s="1"/>
  <c r="AF314" i="16" a="1"/>
  <c r="AF314" i="16" s="1"/>
  <c r="AH314" i="16"/>
  <c r="AH268" i="16"/>
  <c r="AF268" i="16" a="1"/>
  <c r="AF268" i="16" s="1"/>
  <c r="AH206" i="16"/>
  <c r="AF206" i="16" a="1"/>
  <c r="AF206" i="16" s="1"/>
  <c r="AH151" i="16"/>
  <c r="AF151" i="16" a="1"/>
  <c r="AF151" i="16" s="1"/>
  <c r="AH135" i="16"/>
  <c r="AF135" i="16" a="1"/>
  <c r="AF135" i="16" s="1"/>
  <c r="AK81" i="5"/>
  <c r="AL81" i="5" s="1"/>
  <c r="AK148" i="5"/>
  <c r="AL148" i="5" s="1"/>
  <c r="AH55" i="4"/>
  <c r="AI55" i="4" s="1"/>
  <c r="L242" i="22"/>
  <c r="P242" i="22"/>
  <c r="AB204" i="22"/>
  <c r="AC204" i="22" s="1"/>
  <c r="P204" i="22"/>
  <c r="L204" i="22"/>
  <c r="P187" i="22"/>
  <c r="L187" i="22"/>
  <c r="P166" i="22"/>
  <c r="L166" i="22"/>
  <c r="AB166" i="22"/>
  <c r="AC166" i="22" s="1"/>
  <c r="AA119" i="22"/>
  <c r="AC119" i="22" s="1"/>
  <c r="J119" i="22"/>
  <c r="I119" i="22"/>
  <c r="H119" i="22"/>
  <c r="P103" i="22"/>
  <c r="AB103" i="22"/>
  <c r="AC103" i="22" s="1"/>
  <c r="N64" i="22"/>
  <c r="AA99" i="22"/>
  <c r="AC99" i="22" s="1"/>
  <c r="J99" i="22"/>
  <c r="I99" i="22"/>
  <c r="J143" i="22"/>
  <c r="K143" i="22" s="1"/>
  <c r="H143" i="22"/>
  <c r="I117" i="22"/>
  <c r="P117" i="22" s="1"/>
  <c r="AA117" i="22"/>
  <c r="AC117" i="22" s="1"/>
  <c r="J70" i="22"/>
  <c r="I70" i="22"/>
  <c r="H70" i="22"/>
  <c r="G70" i="22"/>
  <c r="P11" i="22"/>
  <c r="AH458" i="16"/>
  <c r="AF458" i="16" a="1"/>
  <c r="AF458" i="16" s="1"/>
  <c r="L42" i="22"/>
  <c r="K42" i="22"/>
  <c r="AF432" i="16" a="1"/>
  <c r="AF432" i="16" s="1"/>
  <c r="AH432" i="16"/>
  <c r="AB82" i="22"/>
  <c r="AC82" i="22" s="1"/>
  <c r="P82" i="22"/>
  <c r="AH420" i="16"/>
  <c r="AF420" i="16" a="1"/>
  <c r="AF420" i="16" s="1"/>
  <c r="AH453" i="16"/>
  <c r="AF453" i="16" a="1"/>
  <c r="AF453" i="16" s="1"/>
  <c r="AF352" i="16" a="1"/>
  <c r="AF352" i="16" s="1"/>
  <c r="AH352" i="16"/>
  <c r="AF417" i="16" a="1"/>
  <c r="AF417" i="16" s="1"/>
  <c r="AH417" i="16"/>
  <c r="AH176" i="16"/>
  <c r="AF176" i="16" a="1"/>
  <c r="AF176" i="16" s="1"/>
  <c r="AF255" i="16" a="1"/>
  <c r="AF255" i="16" s="1"/>
  <c r="AH255" i="16"/>
  <c r="AF288" i="16" a="1"/>
  <c r="AF288" i="16" s="1"/>
  <c r="AH288" i="16"/>
  <c r="AH295" i="16"/>
  <c r="AF295" i="16" a="1"/>
  <c r="AF295" i="16" s="1"/>
  <c r="AH284" i="16"/>
  <c r="AF284" i="16" a="1"/>
  <c r="AF284" i="16" s="1"/>
  <c r="AF226" i="16" a="1"/>
  <c r="AF226" i="16" s="1"/>
  <c r="AH226" i="16"/>
  <c r="AH199" i="16"/>
  <c r="AF199" i="16" a="1"/>
  <c r="AF199" i="16" s="1"/>
  <c r="AH190" i="16"/>
  <c r="AF190" i="16" a="1"/>
  <c r="AF190" i="16" s="1"/>
  <c r="AF150" i="16" a="1"/>
  <c r="AF150" i="16" s="1"/>
  <c r="AH150" i="16"/>
  <c r="AH187" i="16"/>
  <c r="AF187" i="16" a="1"/>
  <c r="AF187" i="16" s="1"/>
  <c r="AH178" i="16"/>
  <c r="AF178" i="16" a="1"/>
  <c r="AF178" i="16" s="1"/>
  <c r="AH155" i="16"/>
  <c r="AF155" i="16" a="1"/>
  <c r="AF155" i="16" s="1"/>
  <c r="AK187" i="5"/>
  <c r="AL187" i="5" s="1"/>
  <c r="AH63" i="4"/>
  <c r="AI63" i="4" s="1"/>
  <c r="BJ241" i="26"/>
  <c r="BI241" i="26"/>
  <c r="BH241" i="26"/>
  <c r="BS239" i="26"/>
  <c r="BO239" i="26"/>
  <c r="BO184" i="26"/>
  <c r="BS184" i="26"/>
  <c r="BR200" i="26"/>
  <c r="BQ200" i="26"/>
  <c r="BP200" i="26"/>
  <c r="BE147" i="26"/>
  <c r="BF147" i="26"/>
  <c r="BK155" i="26"/>
  <c r="BG155" i="26"/>
  <c r="BO153" i="26"/>
  <c r="BS153" i="26"/>
  <c r="BJ196" i="26"/>
  <c r="BI196" i="26"/>
  <c r="BH196" i="26"/>
  <c r="BJ152" i="26"/>
  <c r="BI152" i="26"/>
  <c r="BH152" i="26"/>
  <c r="BG209" i="26"/>
  <c r="BK209" i="26"/>
  <c r="BG157" i="26"/>
  <c r="BK157" i="26"/>
  <c r="BS175" i="26"/>
  <c r="BO175" i="26"/>
  <c r="BJ190" i="26"/>
  <c r="BI190" i="26"/>
  <c r="BH190" i="26"/>
  <c r="BN145" i="26"/>
  <c r="BM145" i="26"/>
  <c r="BS222" i="26"/>
  <c r="BO222" i="26"/>
  <c r="BJ187" i="26"/>
  <c r="BI187" i="26"/>
  <c r="BH187" i="26"/>
  <c r="BR185" i="26"/>
  <c r="BQ185" i="26"/>
  <c r="BP185" i="26"/>
  <c r="BJ192" i="26"/>
  <c r="BI192" i="26"/>
  <c r="BH192" i="26"/>
  <c r="BJ205" i="26"/>
  <c r="BI205" i="26"/>
  <c r="BH205" i="26"/>
  <c r="BK221" i="26"/>
  <c r="BG221" i="26"/>
  <c r="BJ153" i="26"/>
  <c r="BI153" i="26"/>
  <c r="BH153" i="26"/>
  <c r="BJ134" i="26"/>
  <c r="BI134" i="26"/>
  <c r="BH134" i="26"/>
  <c r="BJ78" i="26"/>
  <c r="BI78" i="26"/>
  <c r="BH78" i="26"/>
  <c r="BS84" i="26"/>
  <c r="BO84" i="26"/>
  <c r="BJ107" i="26"/>
  <c r="BI107" i="26"/>
  <c r="BH107" i="26"/>
  <c r="BR121" i="26"/>
  <c r="BQ121" i="26"/>
  <c r="BP121" i="26"/>
  <c r="BJ88" i="26"/>
  <c r="BI88" i="26"/>
  <c r="BH88" i="26"/>
  <c r="BR102" i="26"/>
  <c r="BQ102" i="26"/>
  <c r="BP102" i="26"/>
  <c r="BR107" i="26"/>
  <c r="BQ107" i="26"/>
  <c r="BP107" i="26"/>
  <c r="BG82" i="26"/>
  <c r="BK82" i="26"/>
  <c r="BJ103" i="26"/>
  <c r="BI103" i="26"/>
  <c r="BH103" i="26"/>
  <c r="G303" i="22"/>
  <c r="BS85" i="26"/>
  <c r="BO85" i="26"/>
  <c r="BK124" i="26"/>
  <c r="BG124" i="26"/>
  <c r="BJ76" i="26"/>
  <c r="BI76" i="26"/>
  <c r="BT76" i="26" s="1"/>
  <c r="U76" i="22" s="1"/>
  <c r="BH76" i="26"/>
  <c r="BS74" i="26"/>
  <c r="BO74" i="26"/>
  <c r="BJ81" i="26"/>
  <c r="BI81" i="26"/>
  <c r="BH81" i="26"/>
  <c r="BS95" i="26"/>
  <c r="BO95" i="26"/>
  <c r="BJ30" i="26"/>
  <c r="BI30" i="26"/>
  <c r="BH30" i="26"/>
  <c r="BS12" i="26"/>
  <c r="BO12" i="26"/>
  <c r="BG55" i="26"/>
  <c r="BK55" i="26"/>
  <c r="BQ69" i="26"/>
  <c r="BT69" i="26" s="1"/>
  <c r="U69" i="22" s="1"/>
  <c r="BP69" i="26"/>
  <c r="BR69" i="26"/>
  <c r="BR9" i="26"/>
  <c r="BQ9" i="26"/>
  <c r="BP9" i="26"/>
  <c r="BJ39" i="26"/>
  <c r="BI39" i="26"/>
  <c r="BH39" i="26"/>
  <c r="BS58" i="26"/>
  <c r="BO58" i="26"/>
  <c r="BR27" i="26"/>
  <c r="BQ27" i="26"/>
  <c r="BP27" i="26"/>
  <c r="BK26" i="26"/>
  <c r="BG26" i="26"/>
  <c r="BJ62" i="26"/>
  <c r="BI62" i="26"/>
  <c r="BH62" i="26"/>
  <c r="BS32" i="26"/>
  <c r="BO32" i="26"/>
  <c r="AA289" i="22"/>
  <c r="H289" i="22"/>
  <c r="G289" i="22"/>
  <c r="K289" i="22" s="1"/>
  <c r="BR62" i="26"/>
  <c r="BQ62" i="26"/>
  <c r="BP62" i="26"/>
  <c r="BS29" i="26"/>
  <c r="BO29" i="26"/>
  <c r="BJ20" i="26"/>
  <c r="BI20" i="26"/>
  <c r="BH20" i="26"/>
  <c r="P262" i="22"/>
  <c r="BK61" i="26"/>
  <c r="BG61" i="26"/>
  <c r="H267" i="22"/>
  <c r="L265" i="22"/>
  <c r="AB265" i="22"/>
  <c r="AC265" i="22" s="1"/>
  <c r="I254" i="22"/>
  <c r="P286" i="22"/>
  <c r="L286" i="22"/>
  <c r="AB286" i="22"/>
  <c r="AC286" i="22" s="1"/>
  <c r="I233" i="22"/>
  <c r="P233" i="22" s="1"/>
  <c r="L232" i="22"/>
  <c r="AB232" i="22"/>
  <c r="AC232" i="22" s="1"/>
  <c r="P232" i="22"/>
  <c r="AA211" i="22"/>
  <c r="G211" i="22"/>
  <c r="I211" i="22"/>
  <c r="H211" i="22"/>
  <c r="AC240" i="22"/>
  <c r="AA228" i="22"/>
  <c r="K188" i="22"/>
  <c r="G142" i="22"/>
  <c r="Z169" i="22"/>
  <c r="J105" i="22"/>
  <c r="K105" i="22" s="1"/>
  <c r="H105" i="22"/>
  <c r="AC141" i="22"/>
  <c r="G101" i="22"/>
  <c r="J131" i="22"/>
  <c r="K131" i="22" s="1"/>
  <c r="AC43" i="22"/>
  <c r="J37" i="22"/>
  <c r="I37" i="22"/>
  <c r="H37" i="22"/>
  <c r="G37" i="22"/>
  <c r="AA37" i="22"/>
  <c r="K65" i="22"/>
  <c r="AH443" i="16"/>
  <c r="AF443" i="16" a="1"/>
  <c r="AF443" i="16" s="1"/>
  <c r="J41" i="22"/>
  <c r="K41" i="22" s="1"/>
  <c r="I41" i="22"/>
  <c r="L22" i="22"/>
  <c r="AB22" i="22"/>
  <c r="AC22" i="22" s="1"/>
  <c r="P22" i="22"/>
  <c r="H15" i="22"/>
  <c r="L32" i="22"/>
  <c r="P32" i="22"/>
  <c r="AB32" i="22"/>
  <c r="AC32" i="22" s="1"/>
  <c r="AF416" i="16" a="1"/>
  <c r="AF416" i="16" s="1"/>
  <c r="AH416" i="16"/>
  <c r="T69" i="22"/>
  <c r="L89" i="22"/>
  <c r="J23" i="22"/>
  <c r="K23" i="22" s="1"/>
  <c r="AH389" i="16"/>
  <c r="AF389" i="16" a="1"/>
  <c r="AF389" i="16" s="1"/>
  <c r="AH415" i="16"/>
  <c r="AF415" i="16" a="1"/>
  <c r="AF415" i="16" s="1"/>
  <c r="AF336" i="16" a="1"/>
  <c r="AF336" i="16" s="1"/>
  <c r="AH336" i="16"/>
  <c r="AH229" i="16"/>
  <c r="AF229" i="16" a="1"/>
  <c r="AF229" i="16" s="1"/>
  <c r="AH361" i="16"/>
  <c r="AF361" i="16" a="1"/>
  <c r="AF361" i="16" s="1"/>
  <c r="AH160" i="16"/>
  <c r="AF160" i="16" a="1"/>
  <c r="AF160" i="16" s="1"/>
  <c r="AH252" i="16"/>
  <c r="AF252" i="16" a="1"/>
  <c r="AF252" i="16" s="1"/>
  <c r="AF250" i="16" a="1"/>
  <c r="AF250" i="16" s="1"/>
  <c r="AH250" i="16"/>
  <c r="AH260" i="16"/>
  <c r="AF260" i="16" a="1"/>
  <c r="AF260" i="16" s="1"/>
  <c r="AH307" i="16"/>
  <c r="AF307" i="16" a="1"/>
  <c r="AF307" i="16" s="1"/>
  <c r="AH261" i="16"/>
  <c r="AF261" i="16" a="1"/>
  <c r="AF261" i="16" s="1"/>
  <c r="K18" i="22"/>
  <c r="AH221" i="16"/>
  <c r="AF221" i="16" a="1"/>
  <c r="AF221" i="16" s="1"/>
  <c r="AH183" i="16"/>
  <c r="AF183" i="16" a="1"/>
  <c r="AF183" i="16" s="1"/>
  <c r="AH123" i="16"/>
  <c r="AF123" i="16" a="1"/>
  <c r="AF123" i="16" s="1"/>
  <c r="AK144" i="5"/>
  <c r="AL144" i="5" s="1"/>
  <c r="AK141" i="5"/>
  <c r="AL141" i="5" s="1"/>
  <c r="AK119" i="5"/>
  <c r="AL119" i="5" s="1"/>
  <c r="AK46" i="5"/>
  <c r="AL46" i="5" s="1"/>
  <c r="AH277" i="16"/>
  <c r="AF277" i="16" a="1"/>
  <c r="AF277" i="16" s="1"/>
  <c r="AH341" i="16"/>
  <c r="AF341" i="16" a="1"/>
  <c r="AF341" i="16" s="1"/>
  <c r="AH205" i="16"/>
  <c r="AF205" i="16" a="1"/>
  <c r="AF205" i="16" s="1"/>
  <c r="AH137" i="16"/>
  <c r="AF137" i="16" a="1"/>
  <c r="AF137" i="16" s="1"/>
  <c r="AH143" i="16"/>
  <c r="AF143" i="16" a="1"/>
  <c r="AF143" i="16" s="1"/>
  <c r="AH171" i="16"/>
  <c r="AF171" i="16" a="1"/>
  <c r="AF171" i="16" s="1"/>
  <c r="AH127" i="16"/>
  <c r="AF127" i="16" a="1"/>
  <c r="AF127" i="16" s="1"/>
  <c r="AK149" i="5"/>
  <c r="AL149" i="5" s="1"/>
  <c r="AK168" i="5"/>
  <c r="AL168" i="5" s="1"/>
  <c r="AK203" i="5"/>
  <c r="AL203" i="5" s="1"/>
  <c r="AH68" i="4"/>
  <c r="AI68" i="4" s="1"/>
  <c r="AJ209" i="16"/>
  <c r="M19" i="16"/>
  <c r="N19" i="16"/>
  <c r="AG19" i="16" s="1" a="1"/>
  <c r="AG19" i="16" s="1"/>
  <c r="N16" i="16"/>
  <c r="AG16" i="16" s="1" a="1"/>
  <c r="AG16" i="16" s="1"/>
  <c r="M16" i="16"/>
  <c r="AJ305" i="16"/>
  <c r="AK305" i="16"/>
  <c r="M21" i="16"/>
  <c r="N21" i="16"/>
  <c r="AG21" i="16" s="1" a="1"/>
  <c r="AG21" i="16" s="1"/>
  <c r="N12" i="16"/>
  <c r="AG12" i="16" s="1" a="1"/>
  <c r="AG12" i="16" s="1"/>
  <c r="M12" i="16"/>
  <c r="M24" i="16"/>
  <c r="N24" i="16"/>
  <c r="AG24" i="16" s="1" a="1"/>
  <c r="AG24" i="16" s="1"/>
  <c r="M20" i="16"/>
  <c r="N20" i="16"/>
  <c r="AG20" i="16" s="1" a="1"/>
  <c r="AG20" i="16" s="1"/>
  <c r="N14" i="16"/>
  <c r="AG14" i="16" s="1" a="1"/>
  <c r="AG14" i="16" s="1"/>
  <c r="M14" i="16"/>
  <c r="M17" i="16"/>
  <c r="N17" i="16"/>
  <c r="AG17" i="16" s="1" a="1"/>
  <c r="AG17" i="16" s="1"/>
  <c r="N10" i="16"/>
  <c r="AG10" i="16" s="1" a="1"/>
  <c r="AG10" i="16" s="1"/>
  <c r="M10" i="16"/>
  <c r="M15" i="16"/>
  <c r="N15" i="16"/>
  <c r="AG15" i="16" s="1" a="1"/>
  <c r="AG15" i="16" s="1"/>
  <c r="M23" i="16"/>
  <c r="N23" i="16"/>
  <c r="AG23" i="16" s="1" a="1"/>
  <c r="AG23" i="16" s="1"/>
  <c r="N22" i="16"/>
  <c r="AG22" i="16" s="1" a="1"/>
  <c r="AG22" i="16" s="1"/>
  <c r="M22" i="16"/>
  <c r="M25" i="16"/>
  <c r="N25" i="16"/>
  <c r="AG25" i="16" s="1" a="1"/>
  <c r="AG25" i="16" s="1"/>
  <c r="N11" i="16"/>
  <c r="AG11" i="16" s="1" a="1"/>
  <c r="AG11" i="16" s="1"/>
  <c r="M11" i="16"/>
  <c r="AJ370" i="16"/>
  <c r="AK370" i="16"/>
  <c r="M13" i="16"/>
  <c r="N13" i="16"/>
  <c r="AG13" i="16" s="1" a="1"/>
  <c r="AG13" i="16" s="1"/>
  <c r="M18" i="16"/>
  <c r="N18" i="16"/>
  <c r="AG18" i="16" s="1" a="1"/>
  <c r="AG18" i="16" s="1"/>
  <c r="BQ358" i="26" l="1"/>
  <c r="BP358" i="26"/>
  <c r="BR358" i="26"/>
  <c r="BR353" i="26"/>
  <c r="BQ353" i="26"/>
  <c r="BP353" i="26"/>
  <c r="BH365" i="26"/>
  <c r="BJ365" i="26"/>
  <c r="BI365" i="26"/>
  <c r="BT365" i="26" s="1"/>
  <c r="BS386" i="26"/>
  <c r="BO386" i="26"/>
  <c r="BS372" i="26"/>
  <c r="BO372" i="26"/>
  <c r="BR326" i="26"/>
  <c r="BQ326" i="26"/>
  <c r="BP326" i="26"/>
  <c r="BQ357" i="26"/>
  <c r="BP357" i="26"/>
  <c r="BR357" i="26"/>
  <c r="BS354" i="26"/>
  <c r="BO354" i="26"/>
  <c r="BS322" i="26"/>
  <c r="BO322" i="26"/>
  <c r="BO360" i="26"/>
  <c r="BS360" i="26"/>
  <c r="BI400" i="26"/>
  <c r="BH400" i="26"/>
  <c r="BJ400" i="26"/>
  <c r="BI368" i="26"/>
  <c r="BH368" i="26"/>
  <c r="BJ368" i="26"/>
  <c r="BT316" i="26"/>
  <c r="BT376" i="26"/>
  <c r="BT404" i="26"/>
  <c r="BT375" i="26"/>
  <c r="BG365" i="26"/>
  <c r="BK365" i="26"/>
  <c r="BP386" i="26"/>
  <c r="BR386" i="26"/>
  <c r="BQ386" i="26"/>
  <c r="BR372" i="26"/>
  <c r="BQ372" i="26"/>
  <c r="BP372" i="26"/>
  <c r="BG314" i="26"/>
  <c r="BK314" i="26"/>
  <c r="BS326" i="26"/>
  <c r="BO326" i="26"/>
  <c r="BO357" i="26"/>
  <c r="BS357" i="26"/>
  <c r="BR354" i="26"/>
  <c r="BQ354" i="26"/>
  <c r="BP354" i="26"/>
  <c r="BR322" i="26"/>
  <c r="BQ322" i="26"/>
  <c r="BP322" i="26"/>
  <c r="BR360" i="26"/>
  <c r="BQ360" i="26"/>
  <c r="BP360" i="26"/>
  <c r="BR361" i="26"/>
  <c r="BQ361" i="26"/>
  <c r="BP361" i="26"/>
  <c r="K147" i="22"/>
  <c r="BS333" i="26"/>
  <c r="BO333" i="26"/>
  <c r="BK342" i="26"/>
  <c r="BG342" i="26"/>
  <c r="BI314" i="26"/>
  <c r="BT314" i="26" s="1"/>
  <c r="BH314" i="26"/>
  <c r="BJ314" i="26"/>
  <c r="BQ373" i="26"/>
  <c r="BP373" i="26"/>
  <c r="BR373" i="26"/>
  <c r="BS309" i="26"/>
  <c r="BO309" i="26"/>
  <c r="BQ341" i="26"/>
  <c r="BP341" i="26"/>
  <c r="BR341" i="26"/>
  <c r="BS361" i="26"/>
  <c r="BO361" i="26"/>
  <c r="BG393" i="26"/>
  <c r="BK393" i="26"/>
  <c r="BQ333" i="26"/>
  <c r="BR333" i="26"/>
  <c r="BP333" i="26"/>
  <c r="BT341" i="26"/>
  <c r="BT357" i="26"/>
  <c r="BH342" i="26"/>
  <c r="BJ342" i="26"/>
  <c r="BI342" i="26"/>
  <c r="BT342" i="26" s="1"/>
  <c r="BT331" i="26"/>
  <c r="BQ405" i="26"/>
  <c r="BP405" i="26"/>
  <c r="BR405" i="26"/>
  <c r="BO373" i="26"/>
  <c r="BS373" i="26"/>
  <c r="BT363" i="26"/>
  <c r="BR309" i="26"/>
  <c r="BQ309" i="26"/>
  <c r="BP309" i="26"/>
  <c r="BT348" i="26"/>
  <c r="BO341" i="26"/>
  <c r="BS341" i="26"/>
  <c r="BI393" i="26"/>
  <c r="BJ393" i="26"/>
  <c r="BH393" i="26"/>
  <c r="BT310" i="26"/>
  <c r="BT367" i="26"/>
  <c r="BG311" i="26"/>
  <c r="BK311" i="26"/>
  <c r="BO405" i="26"/>
  <c r="BS405" i="26"/>
  <c r="BR316" i="26"/>
  <c r="BQ316" i="26"/>
  <c r="BP316" i="26"/>
  <c r="BO350" i="26"/>
  <c r="BS350" i="26"/>
  <c r="BT351" i="26"/>
  <c r="BJ324" i="26"/>
  <c r="BI324" i="26"/>
  <c r="BH324" i="26"/>
  <c r="BT332" i="26"/>
  <c r="BG394" i="26"/>
  <c r="BK394" i="26"/>
  <c r="BT361" i="26"/>
  <c r="BT389" i="26"/>
  <c r="BR329" i="26"/>
  <c r="BQ329" i="26"/>
  <c r="BP329" i="26"/>
  <c r="BH311" i="26"/>
  <c r="BJ311" i="26"/>
  <c r="BI311" i="26"/>
  <c r="BT370" i="26"/>
  <c r="BJ356" i="26"/>
  <c r="BI356" i="26"/>
  <c r="BT356" i="26" s="1"/>
  <c r="BH356" i="26"/>
  <c r="BO321" i="26"/>
  <c r="BS321" i="26"/>
  <c r="BO316" i="26"/>
  <c r="BS316" i="26"/>
  <c r="BQ350" i="26"/>
  <c r="BP350" i="26"/>
  <c r="BR350" i="26"/>
  <c r="BG324" i="26"/>
  <c r="BK324" i="26"/>
  <c r="BJ394" i="26"/>
  <c r="BI394" i="26"/>
  <c r="BH394" i="26"/>
  <c r="BT383" i="26"/>
  <c r="BT362" i="26"/>
  <c r="BO329" i="26"/>
  <c r="BS329" i="26"/>
  <c r="BK337" i="26"/>
  <c r="BG337" i="26"/>
  <c r="BT364" i="26"/>
  <c r="BT405" i="26"/>
  <c r="BS378" i="26"/>
  <c r="BO378" i="26"/>
  <c r="BP347" i="26"/>
  <c r="BR347" i="26"/>
  <c r="BQ347" i="26"/>
  <c r="BG356" i="26"/>
  <c r="BK356" i="26"/>
  <c r="BR321" i="26"/>
  <c r="BP321" i="26"/>
  <c r="BQ321" i="26"/>
  <c r="BO317" i="26"/>
  <c r="BS317" i="26"/>
  <c r="BG371" i="26"/>
  <c r="BK371" i="26"/>
  <c r="BQ325" i="26"/>
  <c r="BP325" i="26"/>
  <c r="BR325" i="26"/>
  <c r="BO351" i="26"/>
  <c r="BS351" i="26"/>
  <c r="BK306" i="26"/>
  <c r="BG306" i="26"/>
  <c r="BK385" i="26"/>
  <c r="BG385" i="26"/>
  <c r="BK336" i="26"/>
  <c r="BG336" i="26"/>
  <c r="BI337" i="26"/>
  <c r="BJ337" i="26"/>
  <c r="BH337" i="26"/>
  <c r="BR378" i="26"/>
  <c r="BQ378" i="26"/>
  <c r="BP378" i="26"/>
  <c r="BO347" i="26"/>
  <c r="BS347" i="26"/>
  <c r="BK318" i="26"/>
  <c r="BG318" i="26"/>
  <c r="BG403" i="26"/>
  <c r="BK403" i="26"/>
  <c r="BP317" i="26"/>
  <c r="BR317" i="26"/>
  <c r="BQ317" i="26"/>
  <c r="BJ371" i="26"/>
  <c r="BI371" i="26"/>
  <c r="BH371" i="26"/>
  <c r="BO325" i="26"/>
  <c r="BS325" i="26"/>
  <c r="BR351" i="26"/>
  <c r="BQ351" i="26"/>
  <c r="BP351" i="26"/>
  <c r="BT392" i="26"/>
  <c r="BO328" i="26"/>
  <c r="BS328" i="26"/>
  <c r="BJ306" i="26"/>
  <c r="BI306" i="26"/>
  <c r="BT306" i="26" s="1"/>
  <c r="BH306" i="26"/>
  <c r="BI385" i="26"/>
  <c r="BT385" i="26" s="1"/>
  <c r="BJ385" i="26"/>
  <c r="BH385" i="26"/>
  <c r="BI336" i="26"/>
  <c r="BH336" i="26"/>
  <c r="BJ336" i="26"/>
  <c r="BS374" i="26"/>
  <c r="BO374" i="26"/>
  <c r="BP379" i="26"/>
  <c r="BR379" i="26"/>
  <c r="BQ379" i="26"/>
  <c r="BJ388" i="26"/>
  <c r="BI388" i="26"/>
  <c r="BT388" i="26" s="1"/>
  <c r="BH388" i="26"/>
  <c r="BS370" i="26"/>
  <c r="BO370" i="26"/>
  <c r="BJ318" i="26"/>
  <c r="BI318" i="26"/>
  <c r="BT318" i="26" s="1"/>
  <c r="BH318" i="26"/>
  <c r="BJ403" i="26"/>
  <c r="BI403" i="26"/>
  <c r="BT403" i="26" s="1"/>
  <c r="BH403" i="26"/>
  <c r="BJ340" i="26"/>
  <c r="BI340" i="26"/>
  <c r="BT340" i="26" s="1"/>
  <c r="BH340" i="26"/>
  <c r="BS349" i="26"/>
  <c r="BO349" i="26"/>
  <c r="BH333" i="26"/>
  <c r="BJ333" i="26"/>
  <c r="BI333" i="26"/>
  <c r="BO383" i="26"/>
  <c r="BS383" i="26"/>
  <c r="BG355" i="26"/>
  <c r="BK355" i="26"/>
  <c r="BG378" i="26"/>
  <c r="BK378" i="26"/>
  <c r="BR328" i="26"/>
  <c r="BQ328" i="26"/>
  <c r="BP328" i="26"/>
  <c r="BG353" i="26"/>
  <c r="BK353" i="26"/>
  <c r="BG330" i="26"/>
  <c r="BK330" i="26"/>
  <c r="BR374" i="26"/>
  <c r="BQ374" i="26"/>
  <c r="BP374" i="26"/>
  <c r="BT395" i="26"/>
  <c r="BT329" i="26"/>
  <c r="BO379" i="26"/>
  <c r="BS379" i="26"/>
  <c r="BG388" i="26"/>
  <c r="BK388" i="26"/>
  <c r="BT396" i="26"/>
  <c r="BR370" i="26"/>
  <c r="BQ370" i="26"/>
  <c r="BP370" i="26"/>
  <c r="BQ389" i="26"/>
  <c r="BP389" i="26"/>
  <c r="BR389" i="26"/>
  <c r="BS312" i="26"/>
  <c r="BO312" i="26"/>
  <c r="BG340" i="26"/>
  <c r="BK340" i="26"/>
  <c r="BQ349" i="26"/>
  <c r="BR349" i="26"/>
  <c r="BP349" i="26"/>
  <c r="BG333" i="26"/>
  <c r="BK333" i="26"/>
  <c r="BT354" i="26"/>
  <c r="BP383" i="26"/>
  <c r="BR383" i="26"/>
  <c r="BQ383" i="26"/>
  <c r="BT374" i="26"/>
  <c r="BJ355" i="26"/>
  <c r="BI355" i="26"/>
  <c r="BH355" i="26"/>
  <c r="BJ378" i="26"/>
  <c r="BI378" i="26"/>
  <c r="BH378" i="26"/>
  <c r="BT307" i="26"/>
  <c r="BK384" i="26"/>
  <c r="BG384" i="26"/>
  <c r="BI353" i="26"/>
  <c r="BJ353" i="26"/>
  <c r="BH353" i="26"/>
  <c r="BJ330" i="26"/>
  <c r="BI330" i="26"/>
  <c r="BH330" i="26"/>
  <c r="BK382" i="26"/>
  <c r="BG382" i="26"/>
  <c r="BH381" i="26"/>
  <c r="BJ381" i="26"/>
  <c r="BI381" i="26"/>
  <c r="BS402" i="26"/>
  <c r="BO402" i="26"/>
  <c r="BJ372" i="26"/>
  <c r="BI372" i="26"/>
  <c r="BT372" i="26" s="1"/>
  <c r="BH372" i="26"/>
  <c r="BO389" i="26"/>
  <c r="BS389" i="26"/>
  <c r="BR312" i="26"/>
  <c r="BQ312" i="26"/>
  <c r="BP312" i="26"/>
  <c r="BO399" i="26"/>
  <c r="BS399" i="26"/>
  <c r="BT377" i="26"/>
  <c r="BT391" i="26"/>
  <c r="BO367" i="26"/>
  <c r="BS367" i="26"/>
  <c r="BR307" i="26"/>
  <c r="BQ307" i="26"/>
  <c r="BP307" i="26"/>
  <c r="BO392" i="26"/>
  <c r="BS392" i="26"/>
  <c r="BT322" i="26"/>
  <c r="BO376" i="26"/>
  <c r="BS376" i="26"/>
  <c r="BI384" i="26"/>
  <c r="BH384" i="26"/>
  <c r="BJ384" i="26"/>
  <c r="BG323" i="26"/>
  <c r="BK323" i="26"/>
  <c r="K33" i="22"/>
  <c r="BI382" i="26"/>
  <c r="BT382" i="26" s="1"/>
  <c r="BH382" i="26"/>
  <c r="BJ382" i="26"/>
  <c r="BG381" i="26"/>
  <c r="BK381" i="26"/>
  <c r="BR402" i="26"/>
  <c r="BQ402" i="26"/>
  <c r="BP402" i="26"/>
  <c r="BG372" i="26"/>
  <c r="BK372" i="26"/>
  <c r="BT366" i="26"/>
  <c r="BP331" i="26"/>
  <c r="BR331" i="26"/>
  <c r="BQ331" i="26"/>
  <c r="BT380" i="26"/>
  <c r="BR399" i="26"/>
  <c r="BQ399" i="26"/>
  <c r="BP399" i="26"/>
  <c r="BS364" i="26"/>
  <c r="BO364" i="26"/>
  <c r="BR367" i="26"/>
  <c r="BQ367" i="26"/>
  <c r="BP367" i="26"/>
  <c r="BT373" i="26"/>
  <c r="BS307" i="26"/>
  <c r="BO307" i="26"/>
  <c r="BR392" i="26"/>
  <c r="BQ392" i="26"/>
  <c r="BP392" i="26"/>
  <c r="BR376" i="26"/>
  <c r="BQ376" i="26"/>
  <c r="BP376" i="26"/>
  <c r="BR377" i="26"/>
  <c r="BQ377" i="26"/>
  <c r="BP377" i="26"/>
  <c r="BK352" i="26"/>
  <c r="BG352" i="26"/>
  <c r="BO337" i="26"/>
  <c r="BS337" i="26"/>
  <c r="BJ323" i="26"/>
  <c r="BI323" i="26"/>
  <c r="BH323" i="26"/>
  <c r="K155" i="22"/>
  <c r="BR339" i="26"/>
  <c r="BQ339" i="26"/>
  <c r="BP339" i="26"/>
  <c r="BS342" i="26"/>
  <c r="BO342" i="26"/>
  <c r="BH349" i="26"/>
  <c r="BI349" i="26"/>
  <c r="BJ349" i="26"/>
  <c r="BK313" i="26"/>
  <c r="BG313" i="26"/>
  <c r="BS310" i="26"/>
  <c r="BO310" i="26"/>
  <c r="BO331" i="26"/>
  <c r="BS331" i="26"/>
  <c r="BI321" i="26"/>
  <c r="BT321" i="26" s="1"/>
  <c r="BJ321" i="26"/>
  <c r="BH321" i="26"/>
  <c r="BR364" i="26"/>
  <c r="BQ364" i="26"/>
  <c r="BP364" i="26"/>
  <c r="BT343" i="26"/>
  <c r="BK338" i="26"/>
  <c r="BG338" i="26"/>
  <c r="BO335" i="26"/>
  <c r="BS335" i="26"/>
  <c r="BO344" i="26"/>
  <c r="BS344" i="26"/>
  <c r="BS377" i="26"/>
  <c r="BO377" i="26"/>
  <c r="BS330" i="26"/>
  <c r="BO330" i="26"/>
  <c r="BI352" i="26"/>
  <c r="BH352" i="26"/>
  <c r="BJ352" i="26"/>
  <c r="BR337" i="26"/>
  <c r="BQ337" i="26"/>
  <c r="BP337" i="26"/>
  <c r="BK369" i="26"/>
  <c r="BG369" i="26"/>
  <c r="BG346" i="26"/>
  <c r="BK346" i="26"/>
  <c r="BS339" i="26"/>
  <c r="BO339" i="26"/>
  <c r="BS390" i="26"/>
  <c r="BO390" i="26"/>
  <c r="BR342" i="26"/>
  <c r="BQ342" i="26"/>
  <c r="BP342" i="26"/>
  <c r="BG349" i="26"/>
  <c r="BK349" i="26"/>
  <c r="BJ313" i="26"/>
  <c r="BI313" i="26"/>
  <c r="BH313" i="26"/>
  <c r="BR310" i="26"/>
  <c r="BQ310" i="26"/>
  <c r="BP310" i="26"/>
  <c r="BT359" i="26"/>
  <c r="BK321" i="26"/>
  <c r="BG321" i="26"/>
  <c r="BT312" i="26"/>
  <c r="BT320" i="26"/>
  <c r="BJ338" i="26"/>
  <c r="BI338" i="26"/>
  <c r="BT338" i="26" s="1"/>
  <c r="BH338" i="26"/>
  <c r="BR335" i="26"/>
  <c r="BQ335" i="26"/>
  <c r="BP335" i="26"/>
  <c r="BG317" i="26"/>
  <c r="BK317" i="26"/>
  <c r="BR344" i="26"/>
  <c r="BQ344" i="26"/>
  <c r="BP344" i="26"/>
  <c r="BJ327" i="26"/>
  <c r="BI327" i="26"/>
  <c r="BH327" i="26"/>
  <c r="BR345" i="26"/>
  <c r="BQ345" i="26"/>
  <c r="BP345" i="26"/>
  <c r="BT398" i="26"/>
  <c r="BR330" i="26"/>
  <c r="BQ330" i="26"/>
  <c r="BP330" i="26"/>
  <c r="BI401" i="26"/>
  <c r="BJ401" i="26"/>
  <c r="BH401" i="26"/>
  <c r="BI369" i="26"/>
  <c r="BT369" i="26" s="1"/>
  <c r="BJ369" i="26"/>
  <c r="BH369" i="26"/>
  <c r="BJ346" i="26"/>
  <c r="BI346" i="26"/>
  <c r="BT346" i="26" s="1"/>
  <c r="BH346" i="26"/>
  <c r="BR390" i="26"/>
  <c r="BQ390" i="26"/>
  <c r="BP390" i="26"/>
  <c r="BH397" i="26"/>
  <c r="BJ397" i="26"/>
  <c r="BI397" i="26"/>
  <c r="BP363" i="26"/>
  <c r="BR363" i="26"/>
  <c r="BQ363" i="26"/>
  <c r="BK402" i="26"/>
  <c r="BG402" i="26"/>
  <c r="BS338" i="26"/>
  <c r="BO338" i="26"/>
  <c r="BG387" i="26"/>
  <c r="BK387" i="26"/>
  <c r="BT390" i="26"/>
  <c r="BI317" i="26"/>
  <c r="BJ317" i="26"/>
  <c r="BH317" i="26"/>
  <c r="BR393" i="26"/>
  <c r="BQ393" i="26"/>
  <c r="BP393" i="26"/>
  <c r="BG327" i="26"/>
  <c r="BK327" i="26"/>
  <c r="BS345" i="26"/>
  <c r="BO345" i="26"/>
  <c r="BJ325" i="26"/>
  <c r="BI325" i="26"/>
  <c r="BH325" i="26"/>
  <c r="BK401" i="26"/>
  <c r="BG401" i="26"/>
  <c r="K240" i="22"/>
  <c r="P194" i="22"/>
  <c r="BT345" i="26"/>
  <c r="BO358" i="26"/>
  <c r="BS358" i="26"/>
  <c r="BO353" i="26"/>
  <c r="BS353" i="26"/>
  <c r="BG397" i="26"/>
  <c r="BK397" i="26"/>
  <c r="BO363" i="26"/>
  <c r="BS363" i="26"/>
  <c r="BJ402" i="26"/>
  <c r="BI402" i="26"/>
  <c r="BH402" i="26"/>
  <c r="BT344" i="26"/>
  <c r="T263" i="22"/>
  <c r="P263" i="22"/>
  <c r="BR338" i="26"/>
  <c r="BQ338" i="26"/>
  <c r="BP338" i="26"/>
  <c r="BJ387" i="26"/>
  <c r="BI387" i="26"/>
  <c r="BH387" i="26"/>
  <c r="BS393" i="26"/>
  <c r="BO393" i="26"/>
  <c r="BG400" i="26"/>
  <c r="BK400" i="26"/>
  <c r="BK325" i="26"/>
  <c r="BG325" i="26"/>
  <c r="BK368" i="26"/>
  <c r="BG368" i="26"/>
  <c r="BT308" i="26"/>
  <c r="P133" i="22"/>
  <c r="P221" i="22"/>
  <c r="L221" i="22"/>
  <c r="Z264" i="22"/>
  <c r="T264" i="22"/>
  <c r="K162" i="22"/>
  <c r="AC27" i="22"/>
  <c r="Z11" i="22"/>
  <c r="T11" i="22"/>
  <c r="P64" i="22"/>
  <c r="AB295" i="22"/>
  <c r="AC295" i="22" s="1"/>
  <c r="L295" i="22"/>
  <c r="N295" i="22" s="1"/>
  <c r="K295" i="22"/>
  <c r="L235" i="22"/>
  <c r="N235" i="22" s="1"/>
  <c r="Z18" i="22"/>
  <c r="P235" i="22"/>
  <c r="K159" i="22"/>
  <c r="P210" i="22"/>
  <c r="Z291" i="22"/>
  <c r="T255" i="22"/>
  <c r="AC90" i="22"/>
  <c r="K84" i="22"/>
  <c r="K80" i="22"/>
  <c r="Z194" i="22"/>
  <c r="T194" i="22"/>
  <c r="K58" i="22"/>
  <c r="T206" i="22"/>
  <c r="P295" i="22"/>
  <c r="K245" i="22"/>
  <c r="T91" i="22"/>
  <c r="L120" i="22"/>
  <c r="N120" i="22" s="1"/>
  <c r="AC89" i="22"/>
  <c r="L170" i="22"/>
  <c r="L198" i="22"/>
  <c r="N198" i="22" s="1"/>
  <c r="Z64" i="22"/>
  <c r="T64" i="22"/>
  <c r="K170" i="22"/>
  <c r="K304" i="22"/>
  <c r="K249" i="22"/>
  <c r="K217" i="22"/>
  <c r="L54" i="22"/>
  <c r="N54" i="22" s="1"/>
  <c r="Z244" i="22"/>
  <c r="T244" i="22"/>
  <c r="K196" i="22"/>
  <c r="P126" i="22"/>
  <c r="BT238" i="26"/>
  <c r="U238" i="22" s="1"/>
  <c r="P122" i="22"/>
  <c r="P198" i="22"/>
  <c r="P300" i="22"/>
  <c r="K199" i="22"/>
  <c r="K112" i="22"/>
  <c r="K187" i="22"/>
  <c r="K27" i="22"/>
  <c r="P99" i="22"/>
  <c r="P163" i="22"/>
  <c r="P74" i="22"/>
  <c r="K60" i="22"/>
  <c r="T277" i="22"/>
  <c r="BT161" i="26"/>
  <c r="U161" i="22" s="1"/>
  <c r="BT233" i="26"/>
  <c r="U233" i="22" s="1"/>
  <c r="P88" i="22"/>
  <c r="AC123" i="22"/>
  <c r="K181" i="22"/>
  <c r="T260" i="22"/>
  <c r="Z38" i="22"/>
  <c r="T38" i="22"/>
  <c r="P253" i="22"/>
  <c r="AC201" i="22"/>
  <c r="AC163" i="22"/>
  <c r="Z229" i="22"/>
  <c r="T229" i="22"/>
  <c r="P115" i="22"/>
  <c r="K39" i="22"/>
  <c r="K132" i="22"/>
  <c r="P35" i="22"/>
  <c r="AC164" i="22"/>
  <c r="Z220" i="22"/>
  <c r="T220" i="22"/>
  <c r="P292" i="22"/>
  <c r="K292" i="22"/>
  <c r="L292" i="22"/>
  <c r="N292" i="22" s="1"/>
  <c r="K139" i="22"/>
  <c r="K280" i="22"/>
  <c r="P280" i="22"/>
  <c r="L280" i="22"/>
  <c r="N280" i="22" s="1"/>
  <c r="K35" i="22"/>
  <c r="Z170" i="22"/>
  <c r="T170" i="22"/>
  <c r="T224" i="22"/>
  <c r="BT187" i="26"/>
  <c r="U187" i="22" s="1"/>
  <c r="Z79" i="22"/>
  <c r="P79" i="22"/>
  <c r="Z205" i="22"/>
  <c r="T205" i="22"/>
  <c r="P119" i="22"/>
  <c r="P125" i="22"/>
  <c r="T125" i="22"/>
  <c r="Z125" i="22"/>
  <c r="BT133" i="26"/>
  <c r="U133" i="22" s="1"/>
  <c r="X133" i="22" s="1"/>
  <c r="AE133" i="22" s="1"/>
  <c r="K179" i="22"/>
  <c r="AB126" i="22"/>
  <c r="AC126" i="22" s="1"/>
  <c r="L126" i="22"/>
  <c r="N126" i="22" s="1"/>
  <c r="BT241" i="26"/>
  <c r="U241" i="22" s="1"/>
  <c r="K77" i="22"/>
  <c r="AC9" i="22"/>
  <c r="K137" i="22"/>
  <c r="BT38" i="26"/>
  <c r="U38" i="22" s="1"/>
  <c r="X38" i="22" s="1"/>
  <c r="AE38" i="22" s="1"/>
  <c r="K101" i="22"/>
  <c r="BT260" i="26"/>
  <c r="U260" i="22" s="1"/>
  <c r="K73" i="22"/>
  <c r="Z180" i="22"/>
  <c r="T180" i="22"/>
  <c r="AB42" i="22"/>
  <c r="AC42" i="22" s="1"/>
  <c r="P42" i="22"/>
  <c r="T189" i="22"/>
  <c r="Z189" i="22"/>
  <c r="K276" i="22"/>
  <c r="BT166" i="26"/>
  <c r="U166" i="22" s="1"/>
  <c r="X166" i="22" s="1"/>
  <c r="AE166" i="22" s="1"/>
  <c r="BT213" i="26"/>
  <c r="U213" i="22" s="1"/>
  <c r="P41" i="22"/>
  <c r="K111" i="22"/>
  <c r="Z191" i="22"/>
  <c r="P191" i="22"/>
  <c r="T191" i="22"/>
  <c r="Z167" i="22"/>
  <c r="T167" i="22"/>
  <c r="P160" i="22"/>
  <c r="K160" i="22"/>
  <c r="AB160" i="22"/>
  <c r="AC160" i="22" s="1"/>
  <c r="AB21" i="22"/>
  <c r="L21" i="22"/>
  <c r="N21" i="22" s="1"/>
  <c r="K282" i="22"/>
  <c r="P190" i="22"/>
  <c r="P48" i="22"/>
  <c r="BT206" i="26"/>
  <c r="U206" i="22" s="1"/>
  <c r="Z26" i="22"/>
  <c r="T26" i="22"/>
  <c r="P273" i="22"/>
  <c r="K273" i="22"/>
  <c r="AB273" i="22"/>
  <c r="AC273" i="22" s="1"/>
  <c r="L273" i="22"/>
  <c r="N273" i="22" s="1"/>
  <c r="P305" i="22"/>
  <c r="K305" i="22"/>
  <c r="K207" i="22"/>
  <c r="BT143" i="26"/>
  <c r="U143" i="22" s="1"/>
  <c r="BT285" i="26"/>
  <c r="U285" i="22" s="1"/>
  <c r="K71" i="22"/>
  <c r="BT298" i="26"/>
  <c r="U298" i="22" s="1"/>
  <c r="AC236" i="22"/>
  <c r="BT140" i="26"/>
  <c r="U140" i="22" s="1"/>
  <c r="X140" i="22" s="1"/>
  <c r="AE140" i="22" s="1"/>
  <c r="K152" i="22"/>
  <c r="L302" i="22"/>
  <c r="N302" i="22" s="1"/>
  <c r="P302" i="22"/>
  <c r="AB302" i="22"/>
  <c r="AC302" i="22" s="1"/>
  <c r="L49" i="22"/>
  <c r="N49" i="22" s="1"/>
  <c r="AB49" i="22"/>
  <c r="AC49" i="22" s="1"/>
  <c r="P49" i="22"/>
  <c r="K218" i="22"/>
  <c r="BT117" i="26"/>
  <c r="U117" i="22" s="1"/>
  <c r="K90" i="22"/>
  <c r="L90" i="22"/>
  <c r="N90" i="22" s="1"/>
  <c r="P261" i="22"/>
  <c r="AB261" i="22"/>
  <c r="AC261" i="22" s="1"/>
  <c r="K37" i="22"/>
  <c r="BT119" i="26"/>
  <c r="U119" i="22" s="1"/>
  <c r="BT207" i="26"/>
  <c r="U207" i="22" s="1"/>
  <c r="BT253" i="26"/>
  <c r="U253" i="22" s="1"/>
  <c r="AB26" i="22"/>
  <c r="AC26" i="22" s="1"/>
  <c r="P26" i="22"/>
  <c r="L26" i="22"/>
  <c r="N26" i="22" s="1"/>
  <c r="AB168" i="22"/>
  <c r="AC168" i="22" s="1"/>
  <c r="P168" i="22"/>
  <c r="L168" i="22"/>
  <c r="N168" i="22" s="1"/>
  <c r="K168" i="22"/>
  <c r="Z218" i="22"/>
  <c r="T218" i="22"/>
  <c r="BT113" i="26"/>
  <c r="U113" i="22" s="1"/>
  <c r="K121" i="22"/>
  <c r="Z283" i="22"/>
  <c r="T283" i="22"/>
  <c r="Z12" i="22"/>
  <c r="T12" i="22"/>
  <c r="L137" i="22"/>
  <c r="N137" i="22" s="1"/>
  <c r="AB137" i="22"/>
  <c r="AC137" i="22" s="1"/>
  <c r="P137" i="22"/>
  <c r="AB297" i="22"/>
  <c r="AC297" i="22" s="1"/>
  <c r="P297" i="22"/>
  <c r="P167" i="22"/>
  <c r="BT88" i="26"/>
  <c r="U88" i="22" s="1"/>
  <c r="BT137" i="26"/>
  <c r="U137" i="22" s="1"/>
  <c r="BT281" i="26"/>
  <c r="U281" i="22" s="1"/>
  <c r="BT191" i="26"/>
  <c r="U191" i="22" s="1"/>
  <c r="P147" i="22"/>
  <c r="AB147" i="22"/>
  <c r="AC147" i="22" s="1"/>
  <c r="L147" i="22"/>
  <c r="N147" i="22" s="1"/>
  <c r="Z137" i="22"/>
  <c r="T137" i="22"/>
  <c r="T102" i="22"/>
  <c r="K25" i="22"/>
  <c r="Z32" i="22"/>
  <c r="T32" i="22"/>
  <c r="K202" i="22"/>
  <c r="BT189" i="26"/>
  <c r="U189" i="22" s="1"/>
  <c r="BT222" i="26"/>
  <c r="U222" i="22" s="1"/>
  <c r="W222" i="22" s="1"/>
  <c r="K94" i="22"/>
  <c r="K157" i="22"/>
  <c r="Z147" i="22"/>
  <c r="T147" i="22"/>
  <c r="AB179" i="22"/>
  <c r="AC179" i="22" s="1"/>
  <c r="P179" i="22"/>
  <c r="L179" i="22"/>
  <c r="N179" i="22" s="1"/>
  <c r="L160" i="22"/>
  <c r="N160" i="22" s="1"/>
  <c r="L82" i="22"/>
  <c r="N82" i="22" s="1"/>
  <c r="K251" i="22"/>
  <c r="BT51" i="26"/>
  <c r="U51" i="22" s="1"/>
  <c r="BT246" i="26"/>
  <c r="U246" i="22" s="1"/>
  <c r="X246" i="22" s="1"/>
  <c r="AE246" i="22" s="1"/>
  <c r="K256" i="22"/>
  <c r="BT142" i="26"/>
  <c r="U142" i="22" s="1"/>
  <c r="BT70" i="26"/>
  <c r="U70" i="22" s="1"/>
  <c r="K198" i="22"/>
  <c r="BT171" i="26"/>
  <c r="U171" i="22" s="1"/>
  <c r="BT240" i="26"/>
  <c r="U240" i="22" s="1"/>
  <c r="BT22" i="26"/>
  <c r="U22" i="22" s="1"/>
  <c r="X22" i="22" s="1"/>
  <c r="AE22" i="22" s="1"/>
  <c r="AC21" i="22"/>
  <c r="AB215" i="22"/>
  <c r="AC215" i="22" s="1"/>
  <c r="L215" i="22"/>
  <c r="N215" i="22" s="1"/>
  <c r="P215" i="22"/>
  <c r="T210" i="22"/>
  <c r="K247" i="22"/>
  <c r="L177" i="22"/>
  <c r="N177" i="22" s="1"/>
  <c r="K9" i="22"/>
  <c r="T197" i="22"/>
  <c r="Z197" i="22"/>
  <c r="K14" i="22"/>
  <c r="BT8" i="26"/>
  <c r="U8" i="22" s="1"/>
  <c r="BT33" i="26"/>
  <c r="U33" i="22" s="1"/>
  <c r="BT71" i="26"/>
  <c r="U71" i="22" s="1"/>
  <c r="BT87" i="26"/>
  <c r="U87" i="22" s="1"/>
  <c r="K215" i="22"/>
  <c r="T304" i="22"/>
  <c r="BT172" i="26"/>
  <c r="U172" i="22" s="1"/>
  <c r="BT220" i="26"/>
  <c r="U220" i="22" s="1"/>
  <c r="Z99" i="22"/>
  <c r="T99" i="22"/>
  <c r="K260" i="22"/>
  <c r="AB260" i="22"/>
  <c r="AC260" i="22" s="1"/>
  <c r="P260" i="22"/>
  <c r="L260" i="22"/>
  <c r="N260" i="22" s="1"/>
  <c r="Z42" i="22"/>
  <c r="T42" i="22"/>
  <c r="P197" i="22"/>
  <c r="K197" i="22"/>
  <c r="U165" i="16"/>
  <c r="V165" i="16" s="1"/>
  <c r="AJ165" i="16" s="1"/>
  <c r="T165" i="16"/>
  <c r="X306" i="16"/>
  <c r="U312" i="16"/>
  <c r="V312" i="16" s="1"/>
  <c r="AK312" i="16" s="1"/>
  <c r="T312" i="16"/>
  <c r="AJ225" i="16"/>
  <c r="X225" i="16"/>
  <c r="T225" i="16"/>
  <c r="AJ181" i="16"/>
  <c r="X181" i="16"/>
  <c r="T181" i="16"/>
  <c r="T328" i="16"/>
  <c r="U328" i="16"/>
  <c r="V328" i="16" s="1"/>
  <c r="AK328" i="16" s="1"/>
  <c r="U306" i="16"/>
  <c r="V306" i="16" s="1"/>
  <c r="AK306" i="16" s="1"/>
  <c r="X197" i="16"/>
  <c r="AJ197" i="16"/>
  <c r="T197" i="16"/>
  <c r="T393" i="16"/>
  <c r="U393" i="16"/>
  <c r="V393" i="16" s="1"/>
  <c r="AJ393" i="16" s="1"/>
  <c r="T344" i="16"/>
  <c r="U344" i="16"/>
  <c r="V344" i="16" s="1"/>
  <c r="AK344" i="16" s="1"/>
  <c r="U212" i="16"/>
  <c r="V212" i="16" s="1"/>
  <c r="AJ212" i="16" s="1"/>
  <c r="T212" i="16"/>
  <c r="AJ337" i="16"/>
  <c r="AK457" i="16"/>
  <c r="X149" i="16"/>
  <c r="AK273" i="16"/>
  <c r="T149" i="16"/>
  <c r="X273" i="16"/>
  <c r="AJ222" i="16"/>
  <c r="T273" i="16"/>
  <c r="AJ145" i="16"/>
  <c r="AJ321" i="16"/>
  <c r="X246" i="16"/>
  <c r="AK369" i="16"/>
  <c r="U246" i="16"/>
  <c r="V246" i="16" s="1"/>
  <c r="AK246" i="16" s="1"/>
  <c r="AJ230" i="16"/>
  <c r="T230" i="16"/>
  <c r="X230" i="16"/>
  <c r="U133" i="16"/>
  <c r="V133" i="16" s="1"/>
  <c r="AK133" i="16" s="1"/>
  <c r="B22" i="29"/>
  <c r="X133" i="16"/>
  <c r="X456" i="16"/>
  <c r="AJ456" i="16"/>
  <c r="T456" i="16"/>
  <c r="X168" i="16"/>
  <c r="U168" i="16"/>
  <c r="V168" i="16" s="1"/>
  <c r="T168" i="16"/>
  <c r="U378" i="16"/>
  <c r="V378" i="16" s="1"/>
  <c r="T378" i="16"/>
  <c r="X378" i="16"/>
  <c r="B14" i="29" a="1"/>
  <c r="B14" i="29" s="1"/>
  <c r="B13" i="29" a="1"/>
  <c r="B13" i="29" s="1"/>
  <c r="B17" i="29" a="1"/>
  <c r="B17" i="29" s="1"/>
  <c r="B18" i="29" a="1"/>
  <c r="B18" i="29" s="1"/>
  <c r="BT125" i="26"/>
  <c r="U125" i="22" s="1"/>
  <c r="X125" i="22" s="1"/>
  <c r="AE125" i="22" s="1"/>
  <c r="BT160" i="26"/>
  <c r="U160" i="22" s="1"/>
  <c r="BT237" i="26"/>
  <c r="U237" i="22" s="1"/>
  <c r="X237" i="22" s="1"/>
  <c r="AE237" i="22" s="1"/>
  <c r="BT275" i="26"/>
  <c r="U275" i="22" s="1"/>
  <c r="BT202" i="26"/>
  <c r="U202" i="22" s="1"/>
  <c r="W202" i="22" s="1"/>
  <c r="BT156" i="26"/>
  <c r="U156" i="22" s="1"/>
  <c r="X156" i="22" s="1"/>
  <c r="AE156" i="22" s="1"/>
  <c r="BT193" i="26"/>
  <c r="U193" i="22" s="1"/>
  <c r="BT264" i="26"/>
  <c r="U264" i="22" s="1"/>
  <c r="X264" i="22" s="1"/>
  <c r="AE264" i="22" s="1"/>
  <c r="BT34" i="26"/>
  <c r="U34" i="22" s="1"/>
  <c r="BT234" i="26"/>
  <c r="U234" i="22" s="1"/>
  <c r="BT296" i="26"/>
  <c r="U296" i="22" s="1"/>
  <c r="BT252" i="26"/>
  <c r="U252" i="22" s="1"/>
  <c r="BT13" i="26"/>
  <c r="U13" i="22" s="1"/>
  <c r="BT12" i="26"/>
  <c r="U12" i="22" s="1"/>
  <c r="X12" i="22" s="1"/>
  <c r="AE12" i="22" s="1"/>
  <c r="BT208" i="26"/>
  <c r="U208" i="22" s="1"/>
  <c r="X208" i="22" s="1"/>
  <c r="AE208" i="22" s="1"/>
  <c r="BT247" i="26"/>
  <c r="U247" i="22" s="1"/>
  <c r="BT250" i="26"/>
  <c r="U250" i="22" s="1"/>
  <c r="BT50" i="26"/>
  <c r="U50" i="22" s="1"/>
  <c r="X241" i="22"/>
  <c r="AE241" i="22" s="1"/>
  <c r="AK353" i="16"/>
  <c r="AK425" i="16"/>
  <c r="AK326" i="16"/>
  <c r="U8" i="16"/>
  <c r="V8" i="16" s="1"/>
  <c r="AK8" i="16" s="1"/>
  <c r="T8" i="16"/>
  <c r="W8" i="16" s="1"/>
  <c r="AK161" i="16"/>
  <c r="AJ177" i="16"/>
  <c r="AK459" i="16"/>
  <c r="AJ193" i="16"/>
  <c r="U109" i="16"/>
  <c r="V109" i="16" s="1"/>
  <c r="X109" i="16"/>
  <c r="T109" i="16"/>
  <c r="X86" i="16"/>
  <c r="U86" i="16"/>
  <c r="V86" i="16" s="1"/>
  <c r="T86" i="16"/>
  <c r="T57" i="16"/>
  <c r="X57" i="16"/>
  <c r="U57" i="16"/>
  <c r="V57" i="16" s="1"/>
  <c r="U114" i="16"/>
  <c r="V114" i="16" s="1"/>
  <c r="X114" i="16"/>
  <c r="T114" i="16"/>
  <c r="X100" i="16"/>
  <c r="T100" i="16"/>
  <c r="U100" i="16"/>
  <c r="V100" i="16" s="1"/>
  <c r="X120" i="16"/>
  <c r="T120" i="16"/>
  <c r="U120" i="16"/>
  <c r="V120" i="16" s="1"/>
  <c r="T70" i="16"/>
  <c r="U70" i="16"/>
  <c r="V70" i="16" s="1"/>
  <c r="X70" i="16"/>
  <c r="U52" i="16"/>
  <c r="V52" i="16" s="1"/>
  <c r="X52" i="16"/>
  <c r="T52" i="16"/>
  <c r="U48" i="16"/>
  <c r="V48" i="16" s="1"/>
  <c r="T48" i="16"/>
  <c r="X48" i="16"/>
  <c r="T79" i="16"/>
  <c r="U79" i="16"/>
  <c r="V79" i="16" s="1"/>
  <c r="X79" i="16"/>
  <c r="U84" i="16"/>
  <c r="V84" i="16" s="1"/>
  <c r="X84" i="16"/>
  <c r="T84" i="16"/>
  <c r="X66" i="16"/>
  <c r="U66" i="16"/>
  <c r="V66" i="16" s="1"/>
  <c r="T66" i="16"/>
  <c r="U94" i="16"/>
  <c r="V94" i="16" s="1"/>
  <c r="X94" i="16"/>
  <c r="T94" i="16"/>
  <c r="U118" i="16"/>
  <c r="V118" i="16" s="1"/>
  <c r="X118" i="16"/>
  <c r="T118" i="16"/>
  <c r="T93" i="16"/>
  <c r="U93" i="16"/>
  <c r="V93" i="16" s="1"/>
  <c r="X93" i="16"/>
  <c r="U58" i="16"/>
  <c r="V58" i="16" s="1"/>
  <c r="X58" i="16"/>
  <c r="T58" i="16"/>
  <c r="U92" i="16"/>
  <c r="V92" i="16" s="1"/>
  <c r="X92" i="16"/>
  <c r="T92" i="16"/>
  <c r="U61" i="16"/>
  <c r="V61" i="16" s="1"/>
  <c r="X61" i="16"/>
  <c r="T61" i="16"/>
  <c r="U75" i="16"/>
  <c r="V75" i="16" s="1"/>
  <c r="X75" i="16"/>
  <c r="T75" i="16"/>
  <c r="T59" i="16"/>
  <c r="U59" i="16"/>
  <c r="V59" i="16" s="1"/>
  <c r="X59" i="16"/>
  <c r="X54" i="16"/>
  <c r="T54" i="16"/>
  <c r="U54" i="16"/>
  <c r="V54" i="16" s="1"/>
  <c r="X108" i="16"/>
  <c r="U108" i="16"/>
  <c r="V108" i="16" s="1"/>
  <c r="T108" i="16"/>
  <c r="U64" i="16"/>
  <c r="V64" i="16" s="1"/>
  <c r="T64" i="16"/>
  <c r="X64" i="16"/>
  <c r="X91" i="16"/>
  <c r="U91" i="16"/>
  <c r="V91" i="16" s="1"/>
  <c r="T91" i="16"/>
  <c r="T89" i="16"/>
  <c r="U89" i="16"/>
  <c r="V89" i="16" s="1"/>
  <c r="X89" i="16"/>
  <c r="T113" i="16"/>
  <c r="U113" i="16"/>
  <c r="V113" i="16" s="1"/>
  <c r="X113" i="16"/>
  <c r="X101" i="16"/>
  <c r="U101" i="16"/>
  <c r="V101" i="16" s="1"/>
  <c r="T101" i="16"/>
  <c r="X71" i="16"/>
  <c r="T71" i="16"/>
  <c r="U71" i="16"/>
  <c r="V71" i="16" s="1"/>
  <c r="T56" i="16"/>
  <c r="U56" i="16"/>
  <c r="V56" i="16" s="1"/>
  <c r="X56" i="16"/>
  <c r="U107" i="16"/>
  <c r="V107" i="16" s="1"/>
  <c r="X107" i="16"/>
  <c r="T107" i="16"/>
  <c r="U65" i="16"/>
  <c r="V65" i="16" s="1"/>
  <c r="T65" i="16"/>
  <c r="X65" i="16"/>
  <c r="U77" i="16"/>
  <c r="V77" i="16" s="1"/>
  <c r="X77" i="16"/>
  <c r="T77" i="16"/>
  <c r="T97" i="16"/>
  <c r="U97" i="16"/>
  <c r="V97" i="16" s="1"/>
  <c r="X97" i="16"/>
  <c r="U80" i="16"/>
  <c r="V80" i="16" s="1"/>
  <c r="X80" i="16"/>
  <c r="T80" i="16"/>
  <c r="X83" i="16"/>
  <c r="U83" i="16"/>
  <c r="V83" i="16" s="1"/>
  <c r="T83" i="16"/>
  <c r="T105" i="16"/>
  <c r="X105" i="16"/>
  <c r="U105" i="16"/>
  <c r="V105" i="16" s="1"/>
  <c r="T74" i="16"/>
  <c r="X74" i="16"/>
  <c r="U74" i="16"/>
  <c r="V74" i="16" s="1"/>
  <c r="X51" i="16"/>
  <c r="U51" i="16"/>
  <c r="V51" i="16" s="1"/>
  <c r="T51" i="16"/>
  <c r="X68" i="16"/>
  <c r="U68" i="16"/>
  <c r="V68" i="16" s="1"/>
  <c r="T68" i="16"/>
  <c r="U98" i="16"/>
  <c r="V98" i="16" s="1"/>
  <c r="X98" i="16"/>
  <c r="T98" i="16"/>
  <c r="U115" i="16"/>
  <c r="V115" i="16" s="1"/>
  <c r="X115" i="16"/>
  <c r="T115" i="16"/>
  <c r="X88" i="16"/>
  <c r="T88" i="16"/>
  <c r="U88" i="16"/>
  <c r="V88" i="16" s="1"/>
  <c r="X49" i="16"/>
  <c r="T49" i="16"/>
  <c r="U49" i="16"/>
  <c r="V49" i="16" s="1"/>
  <c r="U55" i="16"/>
  <c r="V55" i="16" s="1"/>
  <c r="X55" i="16"/>
  <c r="T55" i="16"/>
  <c r="X103" i="16"/>
  <c r="T103" i="16"/>
  <c r="U103" i="16"/>
  <c r="V103" i="16" s="1"/>
  <c r="T62" i="16"/>
  <c r="U62" i="16"/>
  <c r="V62" i="16" s="1"/>
  <c r="X62" i="16"/>
  <c r="T73" i="16"/>
  <c r="U73" i="16"/>
  <c r="V73" i="16" s="1"/>
  <c r="X73" i="16"/>
  <c r="U96" i="16"/>
  <c r="V96" i="16" s="1"/>
  <c r="T96" i="16"/>
  <c r="X96" i="16"/>
  <c r="X69" i="16"/>
  <c r="U69" i="16"/>
  <c r="V69" i="16" s="1"/>
  <c r="T69" i="16"/>
  <c r="X117" i="16"/>
  <c r="U117" i="16"/>
  <c r="V117" i="16" s="1"/>
  <c r="T117" i="16"/>
  <c r="U111" i="16"/>
  <c r="V111" i="16" s="1"/>
  <c r="X111" i="16"/>
  <c r="T111" i="16"/>
  <c r="U63" i="16"/>
  <c r="V63" i="16" s="1"/>
  <c r="T63" i="16"/>
  <c r="X63" i="16"/>
  <c r="U47" i="16"/>
  <c r="V47" i="16" s="1"/>
  <c r="T47" i="16"/>
  <c r="X47" i="16"/>
  <c r="U90" i="16"/>
  <c r="V90" i="16" s="1"/>
  <c r="X90" i="16"/>
  <c r="T90" i="16"/>
  <c r="T106" i="16"/>
  <c r="U106" i="16"/>
  <c r="V106" i="16" s="1"/>
  <c r="X106" i="16"/>
  <c r="T110" i="16"/>
  <c r="U110" i="16"/>
  <c r="V110" i="16" s="1"/>
  <c r="X110" i="16"/>
  <c r="T95" i="16"/>
  <c r="U95" i="16"/>
  <c r="V95" i="16" s="1"/>
  <c r="X95" i="16"/>
  <c r="U82" i="16"/>
  <c r="V82" i="16" s="1"/>
  <c r="T82" i="16"/>
  <c r="X82" i="16"/>
  <c r="U87" i="16"/>
  <c r="V87" i="16" s="1"/>
  <c r="X87" i="16"/>
  <c r="T87" i="16"/>
  <c r="AJ53" i="16"/>
  <c r="AK53" i="16"/>
  <c r="AK67" i="16"/>
  <c r="AJ67" i="16"/>
  <c r="U81" i="16"/>
  <c r="V81" i="16" s="1"/>
  <c r="X81" i="16"/>
  <c r="T81" i="16"/>
  <c r="U60" i="16"/>
  <c r="V60" i="16" s="1"/>
  <c r="X60" i="16"/>
  <c r="T60" i="16"/>
  <c r="U99" i="16"/>
  <c r="V99" i="16" s="1"/>
  <c r="T99" i="16"/>
  <c r="X99" i="16"/>
  <c r="U116" i="16"/>
  <c r="V116" i="16" s="1"/>
  <c r="T116" i="16"/>
  <c r="X116" i="16"/>
  <c r="X72" i="16"/>
  <c r="T72" i="16"/>
  <c r="U72" i="16"/>
  <c r="V72" i="16" s="1"/>
  <c r="U78" i="16"/>
  <c r="V78" i="16" s="1"/>
  <c r="X78" i="16"/>
  <c r="T78" i="16"/>
  <c r="T76" i="16"/>
  <c r="U76" i="16"/>
  <c r="V76" i="16" s="1"/>
  <c r="X76" i="16"/>
  <c r="U50" i="16"/>
  <c r="V50" i="16" s="1"/>
  <c r="T50" i="16"/>
  <c r="X50" i="16"/>
  <c r="U112" i="16"/>
  <c r="V112" i="16" s="1"/>
  <c r="X112" i="16"/>
  <c r="T112" i="16"/>
  <c r="U104" i="16"/>
  <c r="V104" i="16" s="1"/>
  <c r="X104" i="16"/>
  <c r="T104" i="16"/>
  <c r="X85" i="16"/>
  <c r="U85" i="16"/>
  <c r="V85" i="16" s="1"/>
  <c r="T85" i="16"/>
  <c r="T119" i="16"/>
  <c r="U119" i="16"/>
  <c r="V119" i="16" s="1"/>
  <c r="X119" i="16"/>
  <c r="X102" i="16"/>
  <c r="T102" i="16"/>
  <c r="U102" i="16"/>
  <c r="V102" i="16" s="1"/>
  <c r="X152" i="16"/>
  <c r="T152" i="16"/>
  <c r="U152" i="16"/>
  <c r="V152" i="16" s="1"/>
  <c r="X217" i="16"/>
  <c r="U217" i="16"/>
  <c r="V217" i="16" s="1"/>
  <c r="T217" i="16"/>
  <c r="X264" i="16"/>
  <c r="U264" i="16"/>
  <c r="V264" i="16" s="1"/>
  <c r="T264" i="16"/>
  <c r="X376" i="16"/>
  <c r="U376" i="16"/>
  <c r="V376" i="16" s="1"/>
  <c r="T376" i="16"/>
  <c r="T136" i="16"/>
  <c r="X136" i="16"/>
  <c r="U136" i="16"/>
  <c r="V136" i="16" s="1"/>
  <c r="T296" i="16"/>
  <c r="U296" i="16"/>
  <c r="V296" i="16" s="1"/>
  <c r="X296" i="16"/>
  <c r="T232" i="16"/>
  <c r="X232" i="16"/>
  <c r="U232" i="16"/>
  <c r="V232" i="16" s="1"/>
  <c r="T248" i="16"/>
  <c r="X248" i="16"/>
  <c r="U248" i="16"/>
  <c r="V248" i="16" s="1"/>
  <c r="U280" i="16"/>
  <c r="V280" i="16" s="1"/>
  <c r="X280" i="16"/>
  <c r="T280" i="16"/>
  <c r="X200" i="16"/>
  <c r="U200" i="16"/>
  <c r="V200" i="16" s="1"/>
  <c r="T200" i="16"/>
  <c r="U184" i="16"/>
  <c r="V184" i="16" s="1"/>
  <c r="X184" i="16"/>
  <c r="T184" i="16"/>
  <c r="AK422" i="16"/>
  <c r="AK290" i="16"/>
  <c r="AK409" i="16"/>
  <c r="AK223" i="16"/>
  <c r="AJ360" i="16"/>
  <c r="AJ441" i="16"/>
  <c r="AJ377" i="16"/>
  <c r="AJ257" i="16"/>
  <c r="AK258" i="16"/>
  <c r="AK149" i="16"/>
  <c r="X5" i="16"/>
  <c r="T5" i="16"/>
  <c r="W5" i="16" s="1"/>
  <c r="AJ392" i="16"/>
  <c r="AJ423" i="16"/>
  <c r="AJ9" i="16"/>
  <c r="T9" i="16"/>
  <c r="W9" i="16" s="1"/>
  <c r="X9" i="16"/>
  <c r="AK289" i="16"/>
  <c r="AJ439" i="16"/>
  <c r="AJ247" i="16"/>
  <c r="AJ408" i="16"/>
  <c r="AK438" i="16"/>
  <c r="AJ455" i="16"/>
  <c r="U7" i="16"/>
  <c r="V7" i="16" s="1"/>
  <c r="AJ7" i="16" s="1"/>
  <c r="T7" i="16"/>
  <c r="W7" i="16" s="1"/>
  <c r="AJ241" i="16"/>
  <c r="AK241" i="16"/>
  <c r="AK6" i="16"/>
  <c r="X6" i="16"/>
  <c r="T6" i="16"/>
  <c r="S6" i="16" s="1"/>
  <c r="X415" i="16"/>
  <c r="U415" i="16"/>
  <c r="V415" i="16" s="1"/>
  <c r="T415" i="16"/>
  <c r="P303" i="22"/>
  <c r="AB303" i="22"/>
  <c r="AC303" i="22" s="1"/>
  <c r="L303" i="22"/>
  <c r="X440" i="16"/>
  <c r="T440" i="16"/>
  <c r="U440" i="16"/>
  <c r="V440" i="16" s="1"/>
  <c r="U285" i="16"/>
  <c r="V285" i="16" s="1"/>
  <c r="X285" i="16"/>
  <c r="T285" i="16"/>
  <c r="T103" i="22"/>
  <c r="Z103" i="22"/>
  <c r="N89" i="22"/>
  <c r="AB142" i="22"/>
  <c r="P142" i="22"/>
  <c r="L142" i="22"/>
  <c r="BT82" i="26"/>
  <c r="U82" i="22" s="1"/>
  <c r="W82" i="22" s="1"/>
  <c r="N166" i="22"/>
  <c r="T254" i="22"/>
  <c r="Z254" i="22"/>
  <c r="T131" i="16"/>
  <c r="U131" i="16"/>
  <c r="V131" i="16" s="1"/>
  <c r="X131" i="16"/>
  <c r="X283" i="16"/>
  <c r="T283" i="16"/>
  <c r="U283" i="16"/>
  <c r="V283" i="16" s="1"/>
  <c r="T403" i="16"/>
  <c r="U403" i="16"/>
  <c r="V403" i="16" s="1"/>
  <c r="X403" i="16"/>
  <c r="L254" i="22"/>
  <c r="P254" i="22"/>
  <c r="AB254" i="22"/>
  <c r="AC254" i="22" s="1"/>
  <c r="X224" i="16"/>
  <c r="U224" i="16"/>
  <c r="V224" i="16" s="1"/>
  <c r="T224" i="16"/>
  <c r="T334" i="16"/>
  <c r="X334" i="16"/>
  <c r="U334" i="16"/>
  <c r="V334" i="16" s="1"/>
  <c r="T399" i="16"/>
  <c r="X399" i="16"/>
  <c r="U399" i="16"/>
  <c r="V399" i="16" s="1"/>
  <c r="K161" i="22"/>
  <c r="P161" i="22"/>
  <c r="L161" i="22"/>
  <c r="N161" i="22" s="1"/>
  <c r="BT48" i="26"/>
  <c r="U48" i="22" s="1"/>
  <c r="U254" i="16"/>
  <c r="V254" i="16" s="1"/>
  <c r="X254" i="16"/>
  <c r="T254" i="16"/>
  <c r="Z209" i="22"/>
  <c r="T209" i="22"/>
  <c r="X148" i="16"/>
  <c r="U148" i="16"/>
  <c r="V148" i="16" s="1"/>
  <c r="T148" i="16"/>
  <c r="X373" i="16"/>
  <c r="T373" i="16"/>
  <c r="U373" i="16"/>
  <c r="V373" i="16" s="1"/>
  <c r="U351" i="16"/>
  <c r="V351" i="16" s="1"/>
  <c r="T351" i="16"/>
  <c r="X351" i="16"/>
  <c r="P105" i="22"/>
  <c r="X375" i="16"/>
  <c r="U375" i="16"/>
  <c r="V375" i="16" s="1"/>
  <c r="T375" i="16"/>
  <c r="T237" i="16"/>
  <c r="U237" i="16"/>
  <c r="V237" i="16" s="1"/>
  <c r="X237" i="16"/>
  <c r="N38" i="22"/>
  <c r="L228" i="22"/>
  <c r="AB228" i="22"/>
  <c r="AC228" i="22" s="1"/>
  <c r="P228" i="22"/>
  <c r="BT197" i="26"/>
  <c r="U197" i="22" s="1"/>
  <c r="X197" i="22" s="1"/>
  <c r="AE197" i="22" s="1"/>
  <c r="U383" i="16"/>
  <c r="V383" i="16" s="1"/>
  <c r="T383" i="16"/>
  <c r="X383" i="16"/>
  <c r="BT198" i="26"/>
  <c r="U198" i="22" s="1"/>
  <c r="L92" i="22"/>
  <c r="N92" i="22" s="1"/>
  <c r="AB92" i="22"/>
  <c r="AC92" i="22" s="1"/>
  <c r="P92" i="22"/>
  <c r="BT154" i="26"/>
  <c r="U154" i="22" s="1"/>
  <c r="L176" i="22"/>
  <c r="BT196" i="26"/>
  <c r="U196" i="22" s="1"/>
  <c r="X208" i="16"/>
  <c r="T208" i="16"/>
  <c r="U208" i="16"/>
  <c r="V208" i="16" s="1"/>
  <c r="BT199" i="26"/>
  <c r="U199" i="22" s="1"/>
  <c r="BT254" i="26"/>
  <c r="U254" i="22" s="1"/>
  <c r="T421" i="16"/>
  <c r="X421" i="16"/>
  <c r="U421" i="16"/>
  <c r="V421" i="16" s="1"/>
  <c r="L131" i="22"/>
  <c r="K151" i="22"/>
  <c r="T58" i="22"/>
  <c r="Z58" i="22"/>
  <c r="P299" i="22"/>
  <c r="L299" i="22"/>
  <c r="AB299" i="22"/>
  <c r="AC299" i="22" s="1"/>
  <c r="BS70" i="26"/>
  <c r="BO70" i="26"/>
  <c r="P19" i="22"/>
  <c r="Z228" i="22"/>
  <c r="T228" i="22"/>
  <c r="T298" i="22"/>
  <c r="Z298" i="22"/>
  <c r="T203" i="16"/>
  <c r="U203" i="16"/>
  <c r="V203" i="16" s="1"/>
  <c r="X203" i="16"/>
  <c r="T253" i="16"/>
  <c r="U253" i="16"/>
  <c r="V253" i="16" s="1"/>
  <c r="X253" i="16"/>
  <c r="Z56" i="22"/>
  <c r="T56" i="22"/>
  <c r="AB114" i="22"/>
  <c r="AC114" i="22" s="1"/>
  <c r="P114" i="22"/>
  <c r="L114" i="22"/>
  <c r="T185" i="22"/>
  <c r="Z185" i="22"/>
  <c r="BT288" i="26"/>
  <c r="U288" i="22" s="1"/>
  <c r="T130" i="22"/>
  <c r="Z130" i="22"/>
  <c r="BT261" i="26"/>
  <c r="U261" i="22" s="1"/>
  <c r="X261" i="22" s="1"/>
  <c r="AE261" i="22" s="1"/>
  <c r="K205" i="22"/>
  <c r="K238" i="22"/>
  <c r="U166" i="16"/>
  <c r="V166" i="16" s="1"/>
  <c r="T166" i="16"/>
  <c r="X166" i="16"/>
  <c r="L73" i="22"/>
  <c r="P73" i="22"/>
  <c r="AB73" i="22"/>
  <c r="AC73" i="22" s="1"/>
  <c r="BT221" i="26"/>
  <c r="U221" i="22" s="1"/>
  <c r="BT95" i="26"/>
  <c r="U95" i="22" s="1"/>
  <c r="BJ225" i="26"/>
  <c r="BI225" i="26"/>
  <c r="BH225" i="26"/>
  <c r="X226" i="16"/>
  <c r="U226" i="16"/>
  <c r="V226" i="16" s="1"/>
  <c r="T226" i="16"/>
  <c r="N192" i="22"/>
  <c r="N46" i="22"/>
  <c r="T143" i="16"/>
  <c r="X143" i="16"/>
  <c r="U143" i="16"/>
  <c r="V143" i="16" s="1"/>
  <c r="X277" i="16"/>
  <c r="T277" i="16"/>
  <c r="U277" i="16"/>
  <c r="V277" i="16" s="1"/>
  <c r="N265" i="22"/>
  <c r="BJ147" i="26"/>
  <c r="BI147" i="26"/>
  <c r="BH147" i="26"/>
  <c r="X155" i="16"/>
  <c r="T155" i="16"/>
  <c r="U155" i="16"/>
  <c r="V155" i="16" s="1"/>
  <c r="T295" i="16"/>
  <c r="X295" i="16"/>
  <c r="U295" i="16"/>
  <c r="V295" i="16" s="1"/>
  <c r="Z143" i="22"/>
  <c r="T143" i="22"/>
  <c r="U267" i="16"/>
  <c r="V267" i="16" s="1"/>
  <c r="X267" i="16"/>
  <c r="T267" i="16"/>
  <c r="K142" i="22"/>
  <c r="T55" i="22"/>
  <c r="Z55" i="22"/>
  <c r="K144" i="22"/>
  <c r="L144" i="22"/>
  <c r="X319" i="16"/>
  <c r="U319" i="16"/>
  <c r="V319" i="16" s="1"/>
  <c r="T319" i="16"/>
  <c r="Z34" i="22"/>
  <c r="T34" i="22"/>
  <c r="U174" i="16"/>
  <c r="V174" i="16" s="1"/>
  <c r="X174" i="16"/>
  <c r="T174" i="16"/>
  <c r="Z144" i="22"/>
  <c r="T144" i="22"/>
  <c r="U412" i="16"/>
  <c r="V412" i="16" s="1"/>
  <c r="T412" i="16"/>
  <c r="X412" i="16"/>
  <c r="K15" i="22"/>
  <c r="Z177" i="22"/>
  <c r="T177" i="22"/>
  <c r="BT68" i="26"/>
  <c r="U68" i="22" s="1"/>
  <c r="BT138" i="26"/>
  <c r="U138" i="22" s="1"/>
  <c r="X138" i="22" s="1"/>
  <c r="AE138" i="22" s="1"/>
  <c r="L279" i="22"/>
  <c r="AB279" i="22"/>
  <c r="AC279" i="22" s="1"/>
  <c r="P279" i="22"/>
  <c r="U401" i="16"/>
  <c r="V401" i="16" s="1"/>
  <c r="X401" i="16"/>
  <c r="T401" i="16"/>
  <c r="L96" i="22"/>
  <c r="P96" i="22"/>
  <c r="AB96" i="22"/>
  <c r="AC96" i="22" s="1"/>
  <c r="P176" i="22"/>
  <c r="X461" i="16"/>
  <c r="U461" i="16"/>
  <c r="V461" i="16" s="1"/>
  <c r="T461" i="16"/>
  <c r="N264" i="22"/>
  <c r="P131" i="22"/>
  <c r="BT179" i="26"/>
  <c r="U179" i="22" s="1"/>
  <c r="BR70" i="26"/>
  <c r="BQ70" i="26"/>
  <c r="BP70" i="26"/>
  <c r="N25" i="22"/>
  <c r="AB118" i="22"/>
  <c r="AC118" i="22" s="1"/>
  <c r="P118" i="22"/>
  <c r="L118" i="22"/>
  <c r="T6" i="22"/>
  <c r="Z6" i="22"/>
  <c r="BT84" i="26"/>
  <c r="U84" i="22" s="1"/>
  <c r="BT110" i="26"/>
  <c r="U110" i="22" s="1"/>
  <c r="BK224" i="26"/>
  <c r="BG224" i="26"/>
  <c r="N123" i="22"/>
  <c r="BT19" i="26"/>
  <c r="U19" i="22" s="1"/>
  <c r="BT91" i="26"/>
  <c r="U91" i="22" s="1"/>
  <c r="X91" i="22" s="1"/>
  <c r="AE91" i="22" s="1"/>
  <c r="BR147" i="26"/>
  <c r="BQ147" i="26"/>
  <c r="BP147" i="26"/>
  <c r="X132" i="16"/>
  <c r="U132" i="16"/>
  <c r="V132" i="16" s="1"/>
  <c r="T132" i="16"/>
  <c r="L205" i="22"/>
  <c r="N205" i="22" s="1"/>
  <c r="AB205" i="22"/>
  <c r="AC205" i="22" s="1"/>
  <c r="P205" i="22"/>
  <c r="P152" i="22"/>
  <c r="L152" i="22"/>
  <c r="N152" i="22" s="1"/>
  <c r="AB152" i="22"/>
  <c r="AC152" i="22" s="1"/>
  <c r="AB296" i="22"/>
  <c r="AC296" i="22" s="1"/>
  <c r="P296" i="22"/>
  <c r="L296" i="22"/>
  <c r="BT109" i="26"/>
  <c r="U109" i="22" s="1"/>
  <c r="L43" i="22"/>
  <c r="K225" i="22"/>
  <c r="K288" i="22"/>
  <c r="BT217" i="26"/>
  <c r="U217" i="22" s="1"/>
  <c r="P178" i="22"/>
  <c r="L6" i="22"/>
  <c r="X144" i="16"/>
  <c r="U144" i="16"/>
  <c r="V144" i="16" s="1"/>
  <c r="T144" i="16"/>
  <c r="Z287" i="22"/>
  <c r="T287" i="22"/>
  <c r="X252" i="16"/>
  <c r="U252" i="16"/>
  <c r="V252" i="16" s="1"/>
  <c r="T252" i="16"/>
  <c r="X416" i="16"/>
  <c r="T416" i="16"/>
  <c r="U416" i="16"/>
  <c r="V416" i="16" s="1"/>
  <c r="P37" i="22"/>
  <c r="AB37" i="22"/>
  <c r="AC37" i="22" s="1"/>
  <c r="L37" i="22"/>
  <c r="T267" i="22"/>
  <c r="Z267" i="22"/>
  <c r="BT192" i="26"/>
  <c r="U192" i="22" s="1"/>
  <c r="W192" i="22" s="1"/>
  <c r="T288" i="16"/>
  <c r="U288" i="16"/>
  <c r="V288" i="16" s="1"/>
  <c r="X288" i="16"/>
  <c r="U432" i="16"/>
  <c r="V432" i="16" s="1"/>
  <c r="T432" i="16"/>
  <c r="X432" i="16"/>
  <c r="X379" i="16"/>
  <c r="T379" i="16"/>
  <c r="U379" i="16"/>
  <c r="V379" i="16" s="1"/>
  <c r="Z23" i="22"/>
  <c r="T23" i="22"/>
  <c r="AC142" i="22"/>
  <c r="U121" i="16"/>
  <c r="V121" i="16" s="1"/>
  <c r="T121" i="16"/>
  <c r="X121" i="16"/>
  <c r="T301" i="16"/>
  <c r="X301" i="16"/>
  <c r="U301" i="16"/>
  <c r="V301" i="16" s="1"/>
  <c r="T410" i="16"/>
  <c r="X410" i="16"/>
  <c r="U410" i="16"/>
  <c r="V410" i="16" s="1"/>
  <c r="T210" i="16"/>
  <c r="U210" i="16"/>
  <c r="V210" i="16" s="1"/>
  <c r="X210" i="16"/>
  <c r="T220" i="16"/>
  <c r="X220" i="16"/>
  <c r="U220" i="16"/>
  <c r="V220" i="16" s="1"/>
  <c r="AB14" i="22"/>
  <c r="AC14" i="22" s="1"/>
  <c r="P14" i="22"/>
  <c r="L14" i="22"/>
  <c r="N257" i="22"/>
  <c r="AB30" i="22"/>
  <c r="AC30" i="22" s="1"/>
  <c r="L30" i="22"/>
  <c r="P30" i="22"/>
  <c r="BT100" i="26"/>
  <c r="U100" i="22" s="1"/>
  <c r="X100" i="22" s="1"/>
  <c r="AE100" i="22" s="1"/>
  <c r="BT170" i="26"/>
  <c r="U170" i="22" s="1"/>
  <c r="X170" i="22" s="1"/>
  <c r="AE170" i="22" s="1"/>
  <c r="X195" i="16"/>
  <c r="U195" i="16"/>
  <c r="V195" i="16" s="1"/>
  <c r="T195" i="16"/>
  <c r="T333" i="16"/>
  <c r="X333" i="16"/>
  <c r="U333" i="16"/>
  <c r="V333" i="16" s="1"/>
  <c r="X372" i="16"/>
  <c r="T372" i="16"/>
  <c r="U372" i="16"/>
  <c r="V372" i="16" s="1"/>
  <c r="X433" i="16"/>
  <c r="T433" i="16"/>
  <c r="U433" i="16"/>
  <c r="V433" i="16" s="1"/>
  <c r="AB33" i="22"/>
  <c r="AC33" i="22" s="1"/>
  <c r="L33" i="22"/>
  <c r="P33" i="22"/>
  <c r="U173" i="16"/>
  <c r="V173" i="16" s="1"/>
  <c r="T173" i="16"/>
  <c r="X173" i="16"/>
  <c r="U196" i="16"/>
  <c r="V196" i="16" s="1"/>
  <c r="X196" i="16"/>
  <c r="T196" i="16"/>
  <c r="U402" i="16"/>
  <c r="V402" i="16" s="1"/>
  <c r="T402" i="16"/>
  <c r="X402" i="16"/>
  <c r="T90" i="22"/>
  <c r="U130" i="16"/>
  <c r="V130" i="16" s="1"/>
  <c r="T130" i="16"/>
  <c r="X130" i="16"/>
  <c r="X388" i="16"/>
  <c r="T388" i="16"/>
  <c r="U388" i="16"/>
  <c r="V388" i="16" s="1"/>
  <c r="X427" i="16"/>
  <c r="U427" i="16"/>
  <c r="V427" i="16" s="1"/>
  <c r="T427" i="16"/>
  <c r="Z279" i="22"/>
  <c r="T279" i="22"/>
  <c r="BT55" i="26"/>
  <c r="U55" i="22" s="1"/>
  <c r="T96" i="22"/>
  <c r="Z96" i="22"/>
  <c r="P60" i="22"/>
  <c r="L60" i="22"/>
  <c r="N60" i="22" s="1"/>
  <c r="AB60" i="22"/>
  <c r="P193" i="22"/>
  <c r="AB193" i="22"/>
  <c r="AC193" i="22" s="1"/>
  <c r="L193" i="22"/>
  <c r="L143" i="22"/>
  <c r="N283" i="22"/>
  <c r="BT57" i="26"/>
  <c r="U57" i="22" s="1"/>
  <c r="BT165" i="26"/>
  <c r="U165" i="22" s="1"/>
  <c r="BT302" i="26"/>
  <c r="U302" i="22" s="1"/>
  <c r="Z60" i="22"/>
  <c r="T60" i="22"/>
  <c r="T110" i="22"/>
  <c r="Z110" i="22"/>
  <c r="N290" i="22"/>
  <c r="T94" i="22"/>
  <c r="Z94" i="22"/>
  <c r="N297" i="22"/>
  <c r="BT235" i="26"/>
  <c r="U235" i="22" s="1"/>
  <c r="W235" i="22" s="1"/>
  <c r="BT301" i="26"/>
  <c r="U301" i="22" s="1"/>
  <c r="U298" i="16"/>
  <c r="V298" i="16" s="1"/>
  <c r="X298" i="16"/>
  <c r="T298" i="16"/>
  <c r="P13" i="22"/>
  <c r="L13" i="22"/>
  <c r="N13" i="22" s="1"/>
  <c r="AB13" i="22"/>
  <c r="AC13" i="22" s="1"/>
  <c r="T118" i="22"/>
  <c r="Z118" i="22"/>
  <c r="BT274" i="26"/>
  <c r="U274" i="22" s="1"/>
  <c r="X274" i="22" s="1"/>
  <c r="AE274" i="22" s="1"/>
  <c r="X329" i="16"/>
  <c r="U329" i="16"/>
  <c r="V329" i="16" s="1"/>
  <c r="T329" i="16"/>
  <c r="BT239" i="26"/>
  <c r="U239" i="22" s="1"/>
  <c r="BI224" i="26"/>
  <c r="BJ224" i="26"/>
  <c r="BH224" i="26"/>
  <c r="U384" i="16"/>
  <c r="V384" i="16" s="1"/>
  <c r="X384" i="16"/>
  <c r="T384" i="16"/>
  <c r="K114" i="22"/>
  <c r="N220" i="22"/>
  <c r="T193" i="22"/>
  <c r="Z193" i="22"/>
  <c r="BT31" i="26"/>
  <c r="U31" i="22" s="1"/>
  <c r="BT92" i="26"/>
  <c r="U92" i="22" s="1"/>
  <c r="BT101" i="26"/>
  <c r="U101" i="22" s="1"/>
  <c r="BS147" i="26"/>
  <c r="BO147" i="26"/>
  <c r="T223" i="22"/>
  <c r="Z223" i="22"/>
  <c r="T296" i="22"/>
  <c r="Z296" i="22"/>
  <c r="BT155" i="26"/>
  <c r="U155" i="22" s="1"/>
  <c r="X357" i="16"/>
  <c r="T357" i="16"/>
  <c r="U357" i="16"/>
  <c r="V357" i="16" s="1"/>
  <c r="P43" i="22"/>
  <c r="N229" i="22"/>
  <c r="BT144" i="26"/>
  <c r="U144" i="22" s="1"/>
  <c r="BT294" i="26"/>
  <c r="U294" i="22" s="1"/>
  <c r="X294" i="22" s="1"/>
  <c r="AE294" i="22" s="1"/>
  <c r="T7" i="22"/>
  <c r="Z7" i="22"/>
  <c r="BT300" i="26"/>
  <c r="U300" i="22" s="1"/>
  <c r="BT277" i="26"/>
  <c r="U277" i="22" s="1"/>
  <c r="Z225" i="22"/>
  <c r="T225" i="22"/>
  <c r="L250" i="22"/>
  <c r="N250" i="22" s="1"/>
  <c r="Z288" i="22"/>
  <c r="T288" i="22"/>
  <c r="Z37" i="22"/>
  <c r="T37" i="22"/>
  <c r="BK147" i="26"/>
  <c r="BG147" i="26"/>
  <c r="U178" i="16"/>
  <c r="V178" i="16" s="1"/>
  <c r="T178" i="16"/>
  <c r="X178" i="16"/>
  <c r="N187" i="22"/>
  <c r="W187" i="22" s="1"/>
  <c r="X187" i="22"/>
  <c r="AE187" i="22" s="1"/>
  <c r="X135" i="16"/>
  <c r="U135" i="16"/>
  <c r="V135" i="16" s="1"/>
  <c r="T135" i="16"/>
  <c r="U269" i="16"/>
  <c r="V269" i="16" s="1"/>
  <c r="T269" i="16"/>
  <c r="X269" i="16"/>
  <c r="X460" i="16"/>
  <c r="U460" i="16"/>
  <c r="V460" i="16" s="1"/>
  <c r="T460" i="16"/>
  <c r="L95" i="22"/>
  <c r="P95" i="22"/>
  <c r="AB95" i="22"/>
  <c r="AC95" i="22" s="1"/>
  <c r="Z142" i="22"/>
  <c r="T142" i="22"/>
  <c r="T14" i="22"/>
  <c r="Z14" i="22"/>
  <c r="K55" i="22"/>
  <c r="N293" i="22"/>
  <c r="U182" i="16"/>
  <c r="V182" i="16" s="1"/>
  <c r="T182" i="16"/>
  <c r="X182" i="16"/>
  <c r="BT37" i="26"/>
  <c r="U37" i="22" s="1"/>
  <c r="K62" i="22"/>
  <c r="L282" i="22"/>
  <c r="N282" i="22" s="1"/>
  <c r="AB282" i="22"/>
  <c r="P282" i="22"/>
  <c r="BT27" i="26"/>
  <c r="U27" i="22" s="1"/>
  <c r="BG149" i="26"/>
  <c r="BK149" i="26"/>
  <c r="X141" i="16"/>
  <c r="U141" i="16"/>
  <c r="V141" i="16" s="1"/>
  <c r="T141" i="16"/>
  <c r="X164" i="16"/>
  <c r="U164" i="16"/>
  <c r="V164" i="16" s="1"/>
  <c r="T164" i="16"/>
  <c r="U180" i="16"/>
  <c r="V180" i="16" s="1"/>
  <c r="X180" i="16"/>
  <c r="T180" i="16"/>
  <c r="AB136" i="22"/>
  <c r="AC136" i="22" s="1"/>
  <c r="P136" i="22"/>
  <c r="L136" i="22"/>
  <c r="BT219" i="26"/>
  <c r="U219" i="22" s="1"/>
  <c r="P143" i="22"/>
  <c r="BT86" i="26"/>
  <c r="U86" i="22" s="1"/>
  <c r="T8" i="22"/>
  <c r="Z8" i="22"/>
  <c r="K92" i="22"/>
  <c r="BT258" i="26"/>
  <c r="U258" i="22" s="1"/>
  <c r="X258" i="22" s="1"/>
  <c r="AE258" i="22" s="1"/>
  <c r="AB150" i="22"/>
  <c r="P150" i="22"/>
  <c r="L150" i="22"/>
  <c r="N274" i="22"/>
  <c r="BT227" i="26"/>
  <c r="U227" i="22" s="1"/>
  <c r="L110" i="22"/>
  <c r="AB110" i="22"/>
  <c r="AC110" i="22" s="1"/>
  <c r="P110" i="22"/>
  <c r="N206" i="22"/>
  <c r="W206" i="22" s="1"/>
  <c r="X206" i="22"/>
  <c r="AE206" i="22" s="1"/>
  <c r="BT23" i="26"/>
  <c r="U23" i="22" s="1"/>
  <c r="BT203" i="26"/>
  <c r="U203" i="22" s="1"/>
  <c r="BT265" i="26"/>
  <c r="U265" i="22" s="1"/>
  <c r="X265" i="22" s="1"/>
  <c r="AE265" i="22" s="1"/>
  <c r="X170" i="16"/>
  <c r="U170" i="16"/>
  <c r="V170" i="16" s="1"/>
  <c r="T170" i="16"/>
  <c r="AB94" i="22"/>
  <c r="AC94" i="22" s="1"/>
  <c r="P94" i="22"/>
  <c r="L94" i="22"/>
  <c r="P301" i="22"/>
  <c r="BT39" i="26"/>
  <c r="U39" i="22" s="1"/>
  <c r="BT210" i="26"/>
  <c r="U210" i="22" s="1"/>
  <c r="X210" i="22" s="1"/>
  <c r="AE210" i="22" s="1"/>
  <c r="K13" i="22"/>
  <c r="BT64" i="26"/>
  <c r="U64" i="22" s="1"/>
  <c r="BT65" i="26"/>
  <c r="U65" i="22" s="1"/>
  <c r="X65" i="22" s="1"/>
  <c r="AE65" i="22" s="1"/>
  <c r="T126" i="16"/>
  <c r="X126" i="16"/>
  <c r="U126" i="16"/>
  <c r="V126" i="16" s="1"/>
  <c r="BT141" i="26"/>
  <c r="U141" i="22" s="1"/>
  <c r="W141" i="22" s="1"/>
  <c r="BT151" i="26"/>
  <c r="U151" i="22" s="1"/>
  <c r="BS226" i="26"/>
  <c r="BO226" i="26"/>
  <c r="X198" i="16"/>
  <c r="U198" i="16"/>
  <c r="V198" i="16" s="1"/>
  <c r="T198" i="16"/>
  <c r="T114" i="22"/>
  <c r="Z114" i="22"/>
  <c r="N170" i="22"/>
  <c r="BG226" i="26"/>
  <c r="BK226" i="26"/>
  <c r="BT118" i="26"/>
  <c r="U118" i="22" s="1"/>
  <c r="N85" i="22"/>
  <c r="N210" i="22"/>
  <c r="BT257" i="26"/>
  <c r="U257" i="22" s="1"/>
  <c r="X257" i="22" s="1"/>
  <c r="AE257" i="22" s="1"/>
  <c r="X191" i="16"/>
  <c r="U191" i="16"/>
  <c r="V191" i="16" s="1"/>
  <c r="T191" i="16"/>
  <c r="K7" i="22"/>
  <c r="BT99" i="26"/>
  <c r="U99" i="22" s="1"/>
  <c r="K59" i="22"/>
  <c r="P250" i="22"/>
  <c r="L178" i="22"/>
  <c r="L287" i="22"/>
  <c r="N287" i="22" s="1"/>
  <c r="L119" i="22"/>
  <c r="K119" i="22"/>
  <c r="U265" i="16"/>
  <c r="V265" i="16" s="1"/>
  <c r="T265" i="16"/>
  <c r="X265" i="16"/>
  <c r="U259" i="16"/>
  <c r="V259" i="16" s="1"/>
  <c r="T259" i="16"/>
  <c r="X259" i="16"/>
  <c r="U160" i="16"/>
  <c r="V160" i="16" s="1"/>
  <c r="X160" i="16"/>
  <c r="T160" i="16"/>
  <c r="T211" i="22"/>
  <c r="Z211" i="22"/>
  <c r="T255" i="16"/>
  <c r="X255" i="16"/>
  <c r="U255" i="16"/>
  <c r="V255" i="16" s="1"/>
  <c r="K99" i="22"/>
  <c r="L99" i="22"/>
  <c r="N99" i="22" s="1"/>
  <c r="U239" i="16"/>
  <c r="V239" i="16" s="1"/>
  <c r="X239" i="16"/>
  <c r="T239" i="16"/>
  <c r="Z74" i="22"/>
  <c r="T74" i="22"/>
  <c r="BT89" i="26"/>
  <c r="U89" i="22" s="1"/>
  <c r="X89" i="22" s="1"/>
  <c r="AE89" i="22" s="1"/>
  <c r="T236" i="16"/>
  <c r="X236" i="16"/>
  <c r="U236" i="16"/>
  <c r="V236" i="16" s="1"/>
  <c r="T75" i="22"/>
  <c r="Z75" i="22"/>
  <c r="AB55" i="22"/>
  <c r="AC55" i="22" s="1"/>
  <c r="P55" i="22"/>
  <c r="L55" i="22"/>
  <c r="Z176" i="22"/>
  <c r="T176" i="22"/>
  <c r="U325" i="16"/>
  <c r="V325" i="16" s="1"/>
  <c r="T325" i="16"/>
  <c r="X325" i="16"/>
  <c r="T268" i="22"/>
  <c r="Z268" i="22"/>
  <c r="X270" i="16"/>
  <c r="T270" i="16"/>
  <c r="U270" i="16"/>
  <c r="V270" i="16" s="1"/>
  <c r="T339" i="16"/>
  <c r="U339" i="16"/>
  <c r="V339" i="16" s="1"/>
  <c r="X339" i="16"/>
  <c r="AB62" i="22"/>
  <c r="AC62" i="22" s="1"/>
  <c r="L62" i="22"/>
  <c r="P62" i="22"/>
  <c r="Z141" i="22"/>
  <c r="T141" i="22"/>
  <c r="Z282" i="22"/>
  <c r="T282" i="22"/>
  <c r="K303" i="22"/>
  <c r="BJ149" i="26"/>
  <c r="BI149" i="26"/>
  <c r="BH149" i="26"/>
  <c r="X211" i="16"/>
  <c r="T211" i="16"/>
  <c r="U211" i="16"/>
  <c r="V211" i="16" s="1"/>
  <c r="T322" i="16"/>
  <c r="X322" i="16"/>
  <c r="U322" i="16"/>
  <c r="V322" i="16" s="1"/>
  <c r="U436" i="16"/>
  <c r="V436" i="16" s="1"/>
  <c r="T436" i="16"/>
  <c r="X436" i="16"/>
  <c r="N91" i="22"/>
  <c r="P141" i="22"/>
  <c r="X234" i="16"/>
  <c r="U234" i="16"/>
  <c r="V234" i="16" s="1"/>
  <c r="T234" i="16"/>
  <c r="X332" i="16"/>
  <c r="U332" i="16"/>
  <c r="V332" i="16" s="1"/>
  <c r="T332" i="16"/>
  <c r="U424" i="16"/>
  <c r="V424" i="16" s="1"/>
  <c r="X424" i="16"/>
  <c r="T424" i="16"/>
  <c r="T136" i="22"/>
  <c r="Z136" i="22"/>
  <c r="BT188" i="26"/>
  <c r="U188" i="22" s="1"/>
  <c r="X188" i="22" s="1"/>
  <c r="AE188" i="22" s="1"/>
  <c r="X300" i="16"/>
  <c r="T300" i="16"/>
  <c r="U300" i="16"/>
  <c r="V300" i="16" s="1"/>
  <c r="X390" i="16"/>
  <c r="T390" i="16"/>
  <c r="U390" i="16"/>
  <c r="V390" i="16" s="1"/>
  <c r="T189" i="16"/>
  <c r="X189" i="16"/>
  <c r="U189" i="16"/>
  <c r="V189" i="16" s="1"/>
  <c r="U404" i="16"/>
  <c r="V404" i="16" s="1"/>
  <c r="T404" i="16"/>
  <c r="X404" i="16"/>
  <c r="Z196" i="22"/>
  <c r="T196" i="22"/>
  <c r="N267" i="22"/>
  <c r="BT43" i="26"/>
  <c r="U43" i="22" s="1"/>
  <c r="BT63" i="26"/>
  <c r="U63" i="22" s="1"/>
  <c r="BT268" i="26"/>
  <c r="U268" i="22" s="1"/>
  <c r="X430" i="16"/>
  <c r="T430" i="16"/>
  <c r="U430" i="16"/>
  <c r="V430" i="16" s="1"/>
  <c r="BT209" i="26"/>
  <c r="U209" i="22" s="1"/>
  <c r="U371" i="16"/>
  <c r="V371" i="16" s="1"/>
  <c r="X371" i="16"/>
  <c r="T371" i="16"/>
  <c r="L301" i="22"/>
  <c r="BT81" i="26"/>
  <c r="U81" i="22" s="1"/>
  <c r="Z13" i="22"/>
  <c r="T13" i="22"/>
  <c r="T297" i="16"/>
  <c r="X297" i="16"/>
  <c r="U297" i="16"/>
  <c r="V297" i="16" s="1"/>
  <c r="L164" i="22"/>
  <c r="N164" i="22" s="1"/>
  <c r="L278" i="22"/>
  <c r="P278" i="22"/>
  <c r="AB278" i="22"/>
  <c r="AC278" i="22" s="1"/>
  <c r="BT178" i="26"/>
  <c r="U178" i="22" s="1"/>
  <c r="BR226" i="26"/>
  <c r="BQ226" i="26"/>
  <c r="BP226" i="26"/>
  <c r="AB10" i="22"/>
  <c r="AC10" i="22" s="1"/>
  <c r="P10" i="22"/>
  <c r="L10" i="22"/>
  <c r="BT139" i="26"/>
  <c r="U139" i="22" s="1"/>
  <c r="BI226" i="26"/>
  <c r="BH226" i="26"/>
  <c r="BJ226" i="26"/>
  <c r="Z240" i="22"/>
  <c r="T240" i="22"/>
  <c r="BT132" i="26"/>
  <c r="U132" i="22" s="1"/>
  <c r="BT291" i="26"/>
  <c r="U291" i="22" s="1"/>
  <c r="Z256" i="22"/>
  <c r="T256" i="22"/>
  <c r="BK148" i="26"/>
  <c r="BG148" i="26"/>
  <c r="L66" i="22"/>
  <c r="N66" i="22" s="1"/>
  <c r="AB66" i="22"/>
  <c r="AC66" i="22" s="1"/>
  <c r="P66" i="22"/>
  <c r="L189" i="22"/>
  <c r="P189" i="22"/>
  <c r="AB189" i="22"/>
  <c r="AC189" i="22" s="1"/>
  <c r="K296" i="22"/>
  <c r="BK146" i="26"/>
  <c r="BG146" i="26"/>
  <c r="X431" i="16"/>
  <c r="U431" i="16"/>
  <c r="V431" i="16" s="1"/>
  <c r="T431" i="16"/>
  <c r="L80" i="22"/>
  <c r="P80" i="22"/>
  <c r="AB80" i="22"/>
  <c r="AC80" i="22" s="1"/>
  <c r="N163" i="22"/>
  <c r="BT30" i="26"/>
  <c r="U30" i="22" s="1"/>
  <c r="BT152" i="26"/>
  <c r="U152" i="22" s="1"/>
  <c r="X152" i="22" s="1"/>
  <c r="AE152" i="22" s="1"/>
  <c r="BT263" i="26"/>
  <c r="U263" i="22" s="1"/>
  <c r="U183" i="16"/>
  <c r="V183" i="16" s="1"/>
  <c r="T183" i="16"/>
  <c r="X183" i="16"/>
  <c r="BT200" i="26"/>
  <c r="U200" i="22" s="1"/>
  <c r="X200" i="22" s="1"/>
  <c r="AE200" i="22" s="1"/>
  <c r="U187" i="16"/>
  <c r="V187" i="16" s="1"/>
  <c r="T187" i="16"/>
  <c r="X187" i="16"/>
  <c r="N42" i="22"/>
  <c r="N204" i="22"/>
  <c r="X151" i="16"/>
  <c r="U151" i="16"/>
  <c r="V151" i="16" s="1"/>
  <c r="T151" i="16"/>
  <c r="P75" i="22"/>
  <c r="AB75" i="22"/>
  <c r="AC75" i="22" s="1"/>
  <c r="L75" i="22"/>
  <c r="X386" i="16"/>
  <c r="U386" i="16"/>
  <c r="V386" i="16" s="1"/>
  <c r="T386" i="16"/>
  <c r="P195" i="22"/>
  <c r="L195" i="22"/>
  <c r="N195" i="22" s="1"/>
  <c r="AB195" i="22"/>
  <c r="AC195" i="22" s="1"/>
  <c r="T173" i="22"/>
  <c r="Z173" i="22"/>
  <c r="BT93" i="26"/>
  <c r="U93" i="22" s="1"/>
  <c r="X330" i="16"/>
  <c r="U330" i="16"/>
  <c r="V330" i="16" s="1"/>
  <c r="T330" i="16"/>
  <c r="X380" i="16"/>
  <c r="T380" i="16"/>
  <c r="U380" i="16"/>
  <c r="V380" i="16" s="1"/>
  <c r="U446" i="16"/>
  <c r="V446" i="16" s="1"/>
  <c r="T446" i="16"/>
  <c r="X446" i="16"/>
  <c r="X122" i="16"/>
  <c r="T122" i="16"/>
  <c r="U122" i="16"/>
  <c r="V122" i="16" s="1"/>
  <c r="K180" i="22"/>
  <c r="N281" i="22"/>
  <c r="W281" i="22" s="1"/>
  <c r="BT216" i="26"/>
  <c r="U216" i="22" s="1"/>
  <c r="BT267" i="26"/>
  <c r="U267" i="22" s="1"/>
  <c r="X267" i="22" s="1"/>
  <c r="AE267" i="22" s="1"/>
  <c r="L8" i="22"/>
  <c r="AB8" i="22"/>
  <c r="AC8" i="22" s="1"/>
  <c r="P8" i="22"/>
  <c r="K279" i="22"/>
  <c r="BT17" i="26"/>
  <c r="U17" i="22" s="1"/>
  <c r="X17" i="22" s="1"/>
  <c r="AE17" i="22" s="1"/>
  <c r="Z236" i="22"/>
  <c r="T236" i="22"/>
  <c r="P267" i="22"/>
  <c r="BT104" i="26"/>
  <c r="U104" i="22" s="1"/>
  <c r="L104" i="22"/>
  <c r="N104" i="22" s="1"/>
  <c r="P104" i="22"/>
  <c r="AB104" i="22"/>
  <c r="AC104" i="22" s="1"/>
  <c r="Z190" i="22"/>
  <c r="T190" i="22"/>
  <c r="AB226" i="22"/>
  <c r="AC226" i="22" s="1"/>
  <c r="L226" i="22"/>
  <c r="P226" i="22"/>
  <c r="T291" i="16"/>
  <c r="U291" i="16"/>
  <c r="V291" i="16" s="1"/>
  <c r="X291" i="16"/>
  <c r="BT85" i="26"/>
  <c r="U85" i="22" s="1"/>
  <c r="X85" i="22" s="1"/>
  <c r="AE85" i="22" s="1"/>
  <c r="U142" i="16"/>
  <c r="V142" i="16" s="1"/>
  <c r="X142" i="16"/>
  <c r="T142" i="16"/>
  <c r="X316" i="16"/>
  <c r="U316" i="16"/>
  <c r="V316" i="16" s="1"/>
  <c r="T316" i="16"/>
  <c r="P134" i="22"/>
  <c r="L134" i="22"/>
  <c r="AB134" i="22"/>
  <c r="AC134" i="22" s="1"/>
  <c r="P186" i="22"/>
  <c r="L186" i="22"/>
  <c r="N186" i="22" s="1"/>
  <c r="AB186" i="22"/>
  <c r="AC186" i="22" s="1"/>
  <c r="BT262" i="26"/>
  <c r="U262" i="22" s="1"/>
  <c r="X262" i="22" s="1"/>
  <c r="AE262" i="22" s="1"/>
  <c r="P164" i="22"/>
  <c r="Z10" i="22"/>
  <c r="T10" i="22"/>
  <c r="BT42" i="26"/>
  <c r="U42" i="22" s="1"/>
  <c r="X42" i="22" s="1"/>
  <c r="AE42" i="22" s="1"/>
  <c r="BT159" i="26"/>
  <c r="U159" i="22" s="1"/>
  <c r="W159" i="22" s="1"/>
  <c r="X447" i="16"/>
  <c r="U447" i="16"/>
  <c r="V447" i="16" s="1"/>
  <c r="T447" i="16"/>
  <c r="T66" i="22"/>
  <c r="Z66" i="22"/>
  <c r="L181" i="22"/>
  <c r="P181" i="22"/>
  <c r="AB181" i="22"/>
  <c r="AC181" i="22" s="1"/>
  <c r="AB256" i="22"/>
  <c r="AC256" i="22" s="1"/>
  <c r="P256" i="22"/>
  <c r="L256" i="22"/>
  <c r="BH148" i="26"/>
  <c r="BJ148" i="26"/>
  <c r="BI148" i="26"/>
  <c r="BT293" i="26"/>
  <c r="U293" i="22" s="1"/>
  <c r="W293" i="22" s="1"/>
  <c r="BT230" i="26"/>
  <c r="U230" i="22" s="1"/>
  <c r="X230" i="22" s="1"/>
  <c r="AE230" i="22" s="1"/>
  <c r="T163" i="16"/>
  <c r="X163" i="16"/>
  <c r="U163" i="16"/>
  <c r="V163" i="16" s="1"/>
  <c r="N253" i="22"/>
  <c r="W253" i="22" s="1"/>
  <c r="BT54" i="26"/>
  <c r="U54" i="22" s="1"/>
  <c r="X54" i="22" s="1"/>
  <c r="AE54" i="22" s="1"/>
  <c r="BT157" i="26"/>
  <c r="U157" i="22" s="1"/>
  <c r="W241" i="22"/>
  <c r="U358" i="16"/>
  <c r="V358" i="16" s="1"/>
  <c r="T358" i="16"/>
  <c r="X358" i="16"/>
  <c r="U361" i="16"/>
  <c r="V361" i="16" s="1"/>
  <c r="X361" i="16"/>
  <c r="T361" i="16"/>
  <c r="N32" i="22"/>
  <c r="P211" i="22"/>
  <c r="L211" i="22"/>
  <c r="N211" i="22" s="1"/>
  <c r="AB211" i="22"/>
  <c r="AC211" i="22" s="1"/>
  <c r="U150" i="16"/>
  <c r="V150" i="16" s="1"/>
  <c r="T150" i="16"/>
  <c r="X150" i="16"/>
  <c r="T287" i="16"/>
  <c r="X287" i="16"/>
  <c r="U287" i="16"/>
  <c r="V287" i="16" s="1"/>
  <c r="U429" i="16"/>
  <c r="V429" i="16" s="1"/>
  <c r="T429" i="16"/>
  <c r="X429" i="16"/>
  <c r="T233" i="22"/>
  <c r="N18" i="22"/>
  <c r="U156" i="16"/>
  <c r="V156" i="16" s="1"/>
  <c r="X156" i="16"/>
  <c r="T156" i="16"/>
  <c r="X349" i="16"/>
  <c r="U349" i="16"/>
  <c r="V349" i="16" s="1"/>
  <c r="T349" i="16"/>
  <c r="P52" i="22"/>
  <c r="L52" i="22"/>
  <c r="N52" i="22" s="1"/>
  <c r="AB52" i="22"/>
  <c r="AC52" i="22" s="1"/>
  <c r="N255" i="22"/>
  <c r="X207" i="16"/>
  <c r="T207" i="16"/>
  <c r="U207" i="16"/>
  <c r="V207" i="16" s="1"/>
  <c r="U340" i="16"/>
  <c r="V340" i="16" s="1"/>
  <c r="X340" i="16"/>
  <c r="T340" i="16"/>
  <c r="U294" i="16"/>
  <c r="V294" i="16" s="1"/>
  <c r="T294" i="16"/>
  <c r="X294" i="16"/>
  <c r="AB124" i="22"/>
  <c r="AC124" i="22" s="1"/>
  <c r="P124" i="22"/>
  <c r="L124" i="22"/>
  <c r="AC282" i="22"/>
  <c r="BT49" i="26"/>
  <c r="U49" i="22" s="1"/>
  <c r="U167" i="16"/>
  <c r="V167" i="16" s="1"/>
  <c r="X167" i="16"/>
  <c r="T167" i="16"/>
  <c r="U299" i="16"/>
  <c r="V299" i="16" s="1"/>
  <c r="T299" i="16"/>
  <c r="X299" i="16"/>
  <c r="U450" i="16"/>
  <c r="V450" i="16" s="1"/>
  <c r="X450" i="16"/>
  <c r="T450" i="16"/>
  <c r="U256" i="16"/>
  <c r="V256" i="16" s="1"/>
  <c r="T256" i="16"/>
  <c r="X256" i="16"/>
  <c r="U335" i="16"/>
  <c r="V335" i="16" s="1"/>
  <c r="X335" i="16"/>
  <c r="T335" i="16"/>
  <c r="P107" i="22"/>
  <c r="L107" i="22"/>
  <c r="AB107" i="22"/>
  <c r="AC107" i="22" s="1"/>
  <c r="X263" i="16"/>
  <c r="U263" i="16"/>
  <c r="V263" i="16" s="1"/>
  <c r="T263" i="16"/>
  <c r="X442" i="16"/>
  <c r="T442" i="16"/>
  <c r="U442" i="16"/>
  <c r="V442" i="16" s="1"/>
  <c r="AB180" i="22"/>
  <c r="AC180" i="22" s="1"/>
  <c r="P180" i="22"/>
  <c r="L180" i="22"/>
  <c r="N180" i="22" s="1"/>
  <c r="U219" i="16"/>
  <c r="V219" i="16" s="1"/>
  <c r="T219" i="16"/>
  <c r="X219" i="16"/>
  <c r="T146" i="22"/>
  <c r="Z146" i="22"/>
  <c r="T213" i="22"/>
  <c r="Z213" i="22"/>
  <c r="U286" i="16"/>
  <c r="V286" i="16" s="1"/>
  <c r="T286" i="16"/>
  <c r="X286" i="16"/>
  <c r="X396" i="16"/>
  <c r="T396" i="16"/>
  <c r="U396" i="16"/>
  <c r="V396" i="16" s="1"/>
  <c r="N224" i="22"/>
  <c r="BT32" i="26"/>
  <c r="U32" i="22" s="1"/>
  <c r="W32" i="22" s="1"/>
  <c r="BT303" i="26"/>
  <c r="U303" i="22" s="1"/>
  <c r="AB68" i="22"/>
  <c r="AC68" i="22" s="1"/>
  <c r="P68" i="22"/>
  <c r="L68" i="22"/>
  <c r="N68" i="22" s="1"/>
  <c r="BT169" i="26"/>
  <c r="U169" i="22" s="1"/>
  <c r="BT214" i="26"/>
  <c r="U214" i="22" s="1"/>
  <c r="P130" i="22"/>
  <c r="AB130" i="22"/>
  <c r="AC130" i="22" s="1"/>
  <c r="L130" i="22"/>
  <c r="BT14" i="26"/>
  <c r="U14" i="22" s="1"/>
  <c r="N173" i="22"/>
  <c r="BT25" i="26"/>
  <c r="U25" i="22" s="1"/>
  <c r="BT74" i="26"/>
  <c r="U74" i="22" s="1"/>
  <c r="Z162" i="22"/>
  <c r="T162" i="22"/>
  <c r="BT102" i="26"/>
  <c r="U102" i="22" s="1"/>
  <c r="X102" i="22" s="1"/>
  <c r="AE102" i="22" s="1"/>
  <c r="BT280" i="26"/>
  <c r="U280" i="22" s="1"/>
  <c r="Z186" i="22"/>
  <c r="T186" i="22"/>
  <c r="X154" i="16"/>
  <c r="T154" i="16"/>
  <c r="U154" i="16"/>
  <c r="V154" i="16" s="1"/>
  <c r="T292" i="16"/>
  <c r="X292" i="16"/>
  <c r="U292" i="16"/>
  <c r="V292" i="16" s="1"/>
  <c r="BT15" i="26"/>
  <c r="U15" i="22" s="1"/>
  <c r="BT40" i="26"/>
  <c r="U40" i="22" s="1"/>
  <c r="X186" i="16"/>
  <c r="U186" i="16"/>
  <c r="V186" i="16" s="1"/>
  <c r="T186" i="16"/>
  <c r="AB227" i="22"/>
  <c r="AC227" i="22" s="1"/>
  <c r="P227" i="22"/>
  <c r="L227" i="22"/>
  <c r="N227" i="22" s="1"/>
  <c r="K278" i="22"/>
  <c r="N201" i="22"/>
  <c r="BT78" i="26"/>
  <c r="U78" i="22" s="1"/>
  <c r="N53" i="22"/>
  <c r="W53" i="22" s="1"/>
  <c r="X53" i="22"/>
  <c r="AE53" i="22" s="1"/>
  <c r="BJ146" i="26"/>
  <c r="BI146" i="26"/>
  <c r="BH146" i="26"/>
  <c r="BT251" i="26"/>
  <c r="U251" i="22" s="1"/>
  <c r="Z16" i="22"/>
  <c r="T16" i="22"/>
  <c r="AB171" i="22"/>
  <c r="AC171" i="22" s="1"/>
  <c r="L171" i="22"/>
  <c r="P171" i="22"/>
  <c r="BT186" i="26"/>
  <c r="U186" i="22" s="1"/>
  <c r="T113" i="22"/>
  <c r="Z113" i="22"/>
  <c r="Z163" i="22"/>
  <c r="T163" i="22"/>
  <c r="BT28" i="26"/>
  <c r="U28" i="22" s="1"/>
  <c r="BS148" i="26"/>
  <c r="BO148" i="26"/>
  <c r="BT299" i="26"/>
  <c r="U299" i="22" s="1"/>
  <c r="K134" i="22"/>
  <c r="P238" i="22"/>
  <c r="L238" i="22"/>
  <c r="AB238" i="22"/>
  <c r="AC238" i="22" s="1"/>
  <c r="U437" i="16"/>
  <c r="V437" i="16" s="1"/>
  <c r="T437" i="16"/>
  <c r="X437" i="16"/>
  <c r="L288" i="22"/>
  <c r="AB288" i="22"/>
  <c r="AC288" i="22" s="1"/>
  <c r="P288" i="22"/>
  <c r="X221" i="16"/>
  <c r="T221" i="16"/>
  <c r="U221" i="16"/>
  <c r="V221" i="16" s="1"/>
  <c r="T15" i="22"/>
  <c r="Z15" i="22"/>
  <c r="BT134" i="26"/>
  <c r="U134" i="22" s="1"/>
  <c r="T176" i="16"/>
  <c r="U176" i="16"/>
  <c r="V176" i="16" s="1"/>
  <c r="X176" i="16"/>
  <c r="T458" i="16"/>
  <c r="X458" i="16"/>
  <c r="U458" i="16"/>
  <c r="V458" i="16" s="1"/>
  <c r="Z175" i="22"/>
  <c r="T175" i="22"/>
  <c r="U124" i="16"/>
  <c r="V124" i="16" s="1"/>
  <c r="T124" i="16"/>
  <c r="X124" i="16"/>
  <c r="Z52" i="22"/>
  <c r="T52" i="22"/>
  <c r="X413" i="16"/>
  <c r="U413" i="16"/>
  <c r="V413" i="16" s="1"/>
  <c r="T413" i="16"/>
  <c r="U134" i="16"/>
  <c r="V134" i="16" s="1"/>
  <c r="X134" i="16"/>
  <c r="T134" i="16"/>
  <c r="N138" i="22"/>
  <c r="K195" i="22"/>
  <c r="BK145" i="26"/>
  <c r="BG145" i="26"/>
  <c r="N9" i="22"/>
  <c r="T111" i="22"/>
  <c r="Z111" i="22"/>
  <c r="K213" i="22"/>
  <c r="K30" i="22"/>
  <c r="T71" i="22"/>
  <c r="Z71" i="22"/>
  <c r="N133" i="22"/>
  <c r="W133" i="22" s="1"/>
  <c r="Z68" i="22"/>
  <c r="T68" i="22"/>
  <c r="AB196" i="22"/>
  <c r="AC196" i="22" s="1"/>
  <c r="P196" i="22"/>
  <c r="L196" i="22"/>
  <c r="N196" i="22" s="1"/>
  <c r="W196" i="22" s="1"/>
  <c r="BT158" i="26"/>
  <c r="U158" i="22" s="1"/>
  <c r="P7" i="22"/>
  <c r="L7" i="22"/>
  <c r="N7" i="22" s="1"/>
  <c r="AB7" i="22"/>
  <c r="AC7" i="22" s="1"/>
  <c r="L249" i="22"/>
  <c r="AB249" i="22"/>
  <c r="AC249" i="22" s="1"/>
  <c r="P249" i="22"/>
  <c r="T309" i="16"/>
  <c r="X309" i="16"/>
  <c r="U309" i="16"/>
  <c r="V309" i="16" s="1"/>
  <c r="L162" i="22"/>
  <c r="N162" i="22" s="1"/>
  <c r="AB162" i="22"/>
  <c r="AC162" i="22" s="1"/>
  <c r="P162" i="22"/>
  <c r="T162" i="16"/>
  <c r="X162" i="16"/>
  <c r="U162" i="16"/>
  <c r="V162" i="16" s="1"/>
  <c r="X158" i="16"/>
  <c r="U158" i="16"/>
  <c r="V158" i="16" s="1"/>
  <c r="T158" i="16"/>
  <c r="Z59" i="22"/>
  <c r="T59" i="22"/>
  <c r="BT56" i="26"/>
  <c r="U56" i="22" s="1"/>
  <c r="BT136" i="26"/>
  <c r="U136" i="22" s="1"/>
  <c r="U311" i="16"/>
  <c r="V311" i="16" s="1"/>
  <c r="T311" i="16"/>
  <c r="X311" i="16"/>
  <c r="L190" i="22"/>
  <c r="T271" i="16"/>
  <c r="X271" i="16"/>
  <c r="U271" i="16"/>
  <c r="V271" i="16" s="1"/>
  <c r="BT185" i="26"/>
  <c r="U185" i="22" s="1"/>
  <c r="K10" i="22"/>
  <c r="BT270" i="26"/>
  <c r="U270" i="22" s="1"/>
  <c r="BT128" i="26"/>
  <c r="U128" i="22" s="1"/>
  <c r="W128" i="22" s="1"/>
  <c r="BT292" i="26"/>
  <c r="U292" i="22" s="1"/>
  <c r="X251" i="16"/>
  <c r="U251" i="16"/>
  <c r="V251" i="16" s="1"/>
  <c r="T251" i="16"/>
  <c r="X449" i="16"/>
  <c r="U449" i="16"/>
  <c r="V449" i="16" s="1"/>
  <c r="T449" i="16"/>
  <c r="AB155" i="22"/>
  <c r="AC155" i="22" s="1"/>
  <c r="P155" i="22"/>
  <c r="L155" i="22"/>
  <c r="K16" i="22"/>
  <c r="Z80" i="22"/>
  <c r="T80" i="22"/>
  <c r="K171" i="22"/>
  <c r="N258" i="22"/>
  <c r="BT256" i="26"/>
  <c r="U256" i="22" s="1"/>
  <c r="T128" i="16"/>
  <c r="U128" i="16"/>
  <c r="V128" i="16" s="1"/>
  <c r="X128" i="16"/>
  <c r="BP148" i="26"/>
  <c r="BR148" i="26"/>
  <c r="BQ148" i="26"/>
  <c r="BT290" i="26"/>
  <c r="U290" i="22" s="1"/>
  <c r="X290" i="22" s="1"/>
  <c r="AE290" i="22" s="1"/>
  <c r="K96" i="22"/>
  <c r="BS145" i="26"/>
  <c r="BO145" i="26"/>
  <c r="X314" i="16"/>
  <c r="U314" i="16"/>
  <c r="V314" i="16" s="1"/>
  <c r="T314" i="16"/>
  <c r="U146" i="16"/>
  <c r="V146" i="16" s="1"/>
  <c r="T146" i="16"/>
  <c r="X146" i="16"/>
  <c r="X188" i="16"/>
  <c r="U188" i="16"/>
  <c r="V188" i="16" s="1"/>
  <c r="T188" i="16"/>
  <c r="L172" i="22"/>
  <c r="P172" i="22"/>
  <c r="AB172" i="22"/>
  <c r="AC172" i="22" s="1"/>
  <c r="T129" i="22"/>
  <c r="Z129" i="22"/>
  <c r="U229" i="16"/>
  <c r="V229" i="16" s="1"/>
  <c r="T229" i="16"/>
  <c r="X229" i="16"/>
  <c r="L101" i="22"/>
  <c r="P101" i="22"/>
  <c r="AB101" i="22"/>
  <c r="AC101" i="22" s="1"/>
  <c r="X417" i="16"/>
  <c r="U417" i="16"/>
  <c r="V417" i="16" s="1"/>
  <c r="T417" i="16"/>
  <c r="U398" i="16"/>
  <c r="V398" i="16" s="1"/>
  <c r="T398" i="16"/>
  <c r="X398" i="16"/>
  <c r="U275" i="16"/>
  <c r="V275" i="16" s="1"/>
  <c r="T275" i="16"/>
  <c r="X275" i="16"/>
  <c r="T414" i="16"/>
  <c r="U414" i="16"/>
  <c r="V414" i="16" s="1"/>
  <c r="X414" i="16"/>
  <c r="X179" i="16"/>
  <c r="T179" i="16"/>
  <c r="U179" i="16"/>
  <c r="V179" i="16" s="1"/>
  <c r="U327" i="16"/>
  <c r="V327" i="16" s="1"/>
  <c r="X327" i="16"/>
  <c r="T327" i="16"/>
  <c r="BT10" i="26"/>
  <c r="U10" i="22" s="1"/>
  <c r="X138" i="16"/>
  <c r="U138" i="16"/>
  <c r="V138" i="16" s="1"/>
  <c r="T138" i="16"/>
  <c r="T331" i="16"/>
  <c r="U331" i="16"/>
  <c r="V331" i="16" s="1"/>
  <c r="X331" i="16"/>
  <c r="X419" i="16"/>
  <c r="T419" i="16"/>
  <c r="U419" i="16"/>
  <c r="V419" i="16" s="1"/>
  <c r="K115" i="22"/>
  <c r="L115" i="22"/>
  <c r="N183" i="22"/>
  <c r="BT168" i="26"/>
  <c r="U168" i="22" s="1"/>
  <c r="U125" i="16"/>
  <c r="V125" i="16" s="1"/>
  <c r="T125" i="16"/>
  <c r="X125" i="16"/>
  <c r="U348" i="16"/>
  <c r="V348" i="16" s="1"/>
  <c r="T348" i="16"/>
  <c r="X348" i="16"/>
  <c r="T435" i="16"/>
  <c r="X435" i="16"/>
  <c r="U435" i="16"/>
  <c r="V435" i="16" s="1"/>
  <c r="T356" i="16"/>
  <c r="U356" i="16"/>
  <c r="V356" i="16" s="1"/>
  <c r="X356" i="16"/>
  <c r="X451" i="16"/>
  <c r="U451" i="16"/>
  <c r="V451" i="16" s="1"/>
  <c r="T451" i="16"/>
  <c r="BT47" i="26"/>
  <c r="U47" i="22" s="1"/>
  <c r="X47" i="22" s="1"/>
  <c r="AE47" i="22" s="1"/>
  <c r="BJ145" i="26"/>
  <c r="BI145" i="26"/>
  <c r="BH145" i="26"/>
  <c r="T355" i="16"/>
  <c r="U355" i="16"/>
  <c r="V355" i="16" s="1"/>
  <c r="X355" i="16"/>
  <c r="T36" i="22"/>
  <c r="Z36" i="22"/>
  <c r="AB213" i="22"/>
  <c r="AC213" i="22" s="1"/>
  <c r="P213" i="22"/>
  <c r="L213" i="22"/>
  <c r="U243" i="16"/>
  <c r="V243" i="16" s="1"/>
  <c r="X243" i="16"/>
  <c r="T243" i="16"/>
  <c r="BT115" i="26"/>
  <c r="U115" i="22" s="1"/>
  <c r="K68" i="22"/>
  <c r="L248" i="22"/>
  <c r="AB248" i="22"/>
  <c r="AC248" i="22" s="1"/>
  <c r="P248" i="22"/>
  <c r="BT244" i="26"/>
  <c r="U244" i="22" s="1"/>
  <c r="P173" i="22"/>
  <c r="T234" i="22"/>
  <c r="Z234" i="22"/>
  <c r="BT266" i="26"/>
  <c r="U266" i="22" s="1"/>
  <c r="P59" i="22"/>
  <c r="L59" i="22"/>
  <c r="AB59" i="22"/>
  <c r="AC59" i="22" s="1"/>
  <c r="L145" i="22"/>
  <c r="N145" i="22" s="1"/>
  <c r="AB145" i="22"/>
  <c r="AC145" i="22" s="1"/>
  <c r="P145" i="22"/>
  <c r="P287" i="22"/>
  <c r="P98" i="22"/>
  <c r="L98" i="22"/>
  <c r="AB98" i="22"/>
  <c r="AC98" i="22" s="1"/>
  <c r="N108" i="22"/>
  <c r="N240" i="22"/>
  <c r="BT131" i="26"/>
  <c r="U131" i="22" s="1"/>
  <c r="BT283" i="26"/>
  <c r="U283" i="22" s="1"/>
  <c r="X283" i="22" s="1"/>
  <c r="AE283" i="22" s="1"/>
  <c r="U139" i="16"/>
  <c r="V139" i="16" s="1"/>
  <c r="X139" i="16"/>
  <c r="T139" i="16"/>
  <c r="U172" i="16"/>
  <c r="V172" i="16" s="1"/>
  <c r="T172" i="16"/>
  <c r="X172" i="16"/>
  <c r="X69" i="22"/>
  <c r="AE69" i="22" s="1"/>
  <c r="N69" i="22"/>
  <c r="W69" i="22" s="1"/>
  <c r="BT67" i="26"/>
  <c r="U67" i="22" s="1"/>
  <c r="BT211" i="26"/>
  <c r="U211" i="22" s="1"/>
  <c r="BT284" i="26"/>
  <c r="U284" i="22" s="1"/>
  <c r="X284" i="22" s="1"/>
  <c r="AE284" i="22" s="1"/>
  <c r="X202" i="16"/>
  <c r="U202" i="16"/>
  <c r="V202" i="16" s="1"/>
  <c r="T202" i="16"/>
  <c r="P34" i="22"/>
  <c r="AB87" i="22"/>
  <c r="AC87" i="22" s="1"/>
  <c r="P87" i="22"/>
  <c r="L87" i="22"/>
  <c r="T171" i="22"/>
  <c r="Z171" i="22"/>
  <c r="K227" i="22"/>
  <c r="X320" i="16"/>
  <c r="T320" i="16"/>
  <c r="U320" i="16"/>
  <c r="V320" i="16" s="1"/>
  <c r="Z202" i="22"/>
  <c r="T202" i="22"/>
  <c r="Z155" i="22"/>
  <c r="T155" i="22"/>
  <c r="P234" i="22"/>
  <c r="AB234" i="22"/>
  <c r="AC234" i="22" s="1"/>
  <c r="L234" i="22"/>
  <c r="N234" i="22" s="1"/>
  <c r="BT66" i="26"/>
  <c r="U66" i="22" s="1"/>
  <c r="AB16" i="22"/>
  <c r="AC16" i="22" s="1"/>
  <c r="L16" i="22"/>
  <c r="P16" i="22"/>
  <c r="BT130" i="26"/>
  <c r="U130" i="22" s="1"/>
  <c r="BT201" i="26"/>
  <c r="U201" i="22" s="1"/>
  <c r="X201" i="22" s="1"/>
  <c r="AE201" i="22" s="1"/>
  <c r="N197" i="22"/>
  <c r="BT24" i="26"/>
  <c r="U24" i="22" s="1"/>
  <c r="BT129" i="26"/>
  <c r="U129" i="22" s="1"/>
  <c r="L23" i="22"/>
  <c r="X336" i="16"/>
  <c r="U336" i="16"/>
  <c r="V336" i="16" s="1"/>
  <c r="T336" i="16"/>
  <c r="X190" i="16"/>
  <c r="T190" i="16"/>
  <c r="U190" i="16"/>
  <c r="V190" i="16" s="1"/>
  <c r="T206" i="16"/>
  <c r="X206" i="16"/>
  <c r="U206" i="16"/>
  <c r="V206" i="16" s="1"/>
  <c r="T192" i="16"/>
  <c r="U192" i="16"/>
  <c r="V192" i="16" s="1"/>
  <c r="X192" i="16"/>
  <c r="Z101" i="22"/>
  <c r="T101" i="22"/>
  <c r="K175" i="22"/>
  <c r="AB212" i="22"/>
  <c r="AC212" i="22" s="1"/>
  <c r="P212" i="22"/>
  <c r="L212" i="22"/>
  <c r="N212" i="22" s="1"/>
  <c r="L74" i="22"/>
  <c r="K74" i="22"/>
  <c r="X354" i="16"/>
  <c r="T354" i="16"/>
  <c r="U354" i="16"/>
  <c r="V354" i="16" s="1"/>
  <c r="K52" i="22"/>
  <c r="T121" i="22"/>
  <c r="Z121" i="22"/>
  <c r="U147" i="16"/>
  <c r="V147" i="16" s="1"/>
  <c r="T147" i="16"/>
  <c r="X147" i="16"/>
  <c r="X308" i="16"/>
  <c r="T308" i="16"/>
  <c r="U308" i="16"/>
  <c r="V308" i="16" s="1"/>
  <c r="X394" i="16"/>
  <c r="U394" i="16"/>
  <c r="V394" i="16" s="1"/>
  <c r="T394" i="16"/>
  <c r="T272" i="16"/>
  <c r="X272" i="16"/>
  <c r="U272" i="16"/>
  <c r="V272" i="16" s="1"/>
  <c r="Z41" i="22"/>
  <c r="T41" i="22"/>
  <c r="P39" i="22"/>
  <c r="AB39" i="22"/>
  <c r="AC39" i="22" s="1"/>
  <c r="L39" i="22"/>
  <c r="L41" i="22"/>
  <c r="K203" i="22"/>
  <c r="BT61" i="26"/>
  <c r="U61" i="22" s="1"/>
  <c r="X61" i="22" s="1"/>
  <c r="AE61" i="22" s="1"/>
  <c r="W137" i="22"/>
  <c r="X137" i="22"/>
  <c r="AE137" i="22" s="1"/>
  <c r="U240" i="16"/>
  <c r="V240" i="16" s="1"/>
  <c r="X240" i="16"/>
  <c r="T240" i="16"/>
  <c r="BO150" i="26"/>
  <c r="BS150" i="26"/>
  <c r="BT194" i="26"/>
  <c r="U194" i="22" s="1"/>
  <c r="X194" i="22" s="1"/>
  <c r="AE194" i="22" s="1"/>
  <c r="T203" i="22"/>
  <c r="Z203" i="22"/>
  <c r="L219" i="22"/>
  <c r="P219" i="22"/>
  <c r="AB219" i="22"/>
  <c r="AC219" i="22" s="1"/>
  <c r="BT123" i="26"/>
  <c r="U123" i="22" s="1"/>
  <c r="X123" i="22" s="1"/>
  <c r="AE123" i="22" s="1"/>
  <c r="BT289" i="26"/>
  <c r="U289" i="22" s="1"/>
  <c r="BT181" i="26"/>
  <c r="U181" i="22" s="1"/>
  <c r="X302" i="16"/>
  <c r="U302" i="16"/>
  <c r="V302" i="16" s="1"/>
  <c r="T302" i="16"/>
  <c r="Z77" i="22"/>
  <c r="T77" i="22"/>
  <c r="T117" i="22"/>
  <c r="N284" i="22"/>
  <c r="X185" i="16"/>
  <c r="T185" i="16"/>
  <c r="U185" i="16"/>
  <c r="V185" i="16" s="1"/>
  <c r="U213" i="16"/>
  <c r="V213" i="16" s="1"/>
  <c r="T213" i="16"/>
  <c r="X213" i="16"/>
  <c r="Z145" i="22"/>
  <c r="T145" i="22"/>
  <c r="T318" i="16"/>
  <c r="X318" i="16"/>
  <c r="U318" i="16"/>
  <c r="V318" i="16" s="1"/>
  <c r="K98" i="22"/>
  <c r="AB158" i="22"/>
  <c r="AC158" i="22" s="1"/>
  <c r="L158" i="22"/>
  <c r="P158" i="22"/>
  <c r="K185" i="22"/>
  <c r="BT229" i="26"/>
  <c r="U229" i="22" s="1"/>
  <c r="W229" i="22" s="1"/>
  <c r="L34" i="22"/>
  <c r="Z87" i="22"/>
  <c r="T87" i="22"/>
  <c r="T227" i="22"/>
  <c r="Z227" i="22"/>
  <c r="L113" i="22"/>
  <c r="N113" i="22" s="1"/>
  <c r="W113" i="22" s="1"/>
  <c r="P113" i="22"/>
  <c r="AB113" i="22"/>
  <c r="AC113" i="22" s="1"/>
  <c r="N261" i="22"/>
  <c r="BT79" i="26"/>
  <c r="U79" i="22" s="1"/>
  <c r="X79" i="22" s="1"/>
  <c r="AE79" i="22" s="1"/>
  <c r="X343" i="16"/>
  <c r="T343" i="16"/>
  <c r="U343" i="16"/>
  <c r="V343" i="16" s="1"/>
  <c r="BT72" i="26"/>
  <c r="U72" i="22" s="1"/>
  <c r="X428" i="16"/>
  <c r="U428" i="16"/>
  <c r="V428" i="16" s="1"/>
  <c r="T428" i="16"/>
  <c r="BT184" i="26"/>
  <c r="U184" i="22" s="1"/>
  <c r="BT269" i="26"/>
  <c r="U269" i="22" s="1"/>
  <c r="N135" i="22"/>
  <c r="P157" i="22"/>
  <c r="AB157" i="22"/>
  <c r="AC157" i="22" s="1"/>
  <c r="L157" i="22"/>
  <c r="BT26" i="26"/>
  <c r="U26" i="22" s="1"/>
  <c r="X26" i="22" s="1"/>
  <c r="AE26" i="22" s="1"/>
  <c r="BT282" i="26"/>
  <c r="U282" i="22" s="1"/>
  <c r="X282" i="22" s="1"/>
  <c r="AE282" i="22" s="1"/>
  <c r="X317" i="16"/>
  <c r="U317" i="16"/>
  <c r="V317" i="16" s="1"/>
  <c r="T317" i="16"/>
  <c r="P148" i="22"/>
  <c r="AB148" i="22"/>
  <c r="AC148" i="22" s="1"/>
  <c r="L148" i="22"/>
  <c r="N148" i="22" s="1"/>
  <c r="T261" i="16"/>
  <c r="X261" i="16"/>
  <c r="U261" i="16"/>
  <c r="V261" i="16" s="1"/>
  <c r="W54" i="22"/>
  <c r="N232" i="22"/>
  <c r="BT153" i="26"/>
  <c r="U153" i="22" s="1"/>
  <c r="T352" i="16"/>
  <c r="X352" i="16"/>
  <c r="U352" i="16"/>
  <c r="V352" i="16" s="1"/>
  <c r="L70" i="22"/>
  <c r="AB70" i="22"/>
  <c r="AC70" i="22" s="1"/>
  <c r="P70" i="22"/>
  <c r="T119" i="22"/>
  <c r="Z119" i="22"/>
  <c r="N242" i="22"/>
  <c r="N221" i="22"/>
  <c r="W221" i="22" s="1"/>
  <c r="X221" i="22"/>
  <c r="AE221" i="22" s="1"/>
  <c r="T323" i="16"/>
  <c r="U323" i="16"/>
  <c r="V323" i="16" s="1"/>
  <c r="X323" i="16"/>
  <c r="X382" i="16"/>
  <c r="U382" i="16"/>
  <c r="V382" i="16" s="1"/>
  <c r="T382" i="16"/>
  <c r="X278" i="16"/>
  <c r="T278" i="16"/>
  <c r="U278" i="16"/>
  <c r="V278" i="16" s="1"/>
  <c r="T313" i="16"/>
  <c r="X313" i="16"/>
  <c r="U313" i="16"/>
  <c r="V313" i="16" s="1"/>
  <c r="U445" i="16"/>
  <c r="V445" i="16" s="1"/>
  <c r="T445" i="16"/>
  <c r="X445" i="16"/>
  <c r="X238" i="16"/>
  <c r="U238" i="16"/>
  <c r="V238" i="16" s="1"/>
  <c r="T238" i="16"/>
  <c r="T350" i="16"/>
  <c r="X350" i="16"/>
  <c r="U350" i="16"/>
  <c r="V350" i="16" s="1"/>
  <c r="T40" i="22"/>
  <c r="Z40" i="22"/>
  <c r="X235" i="16"/>
  <c r="T235" i="16"/>
  <c r="U235" i="16"/>
  <c r="V235" i="16" s="1"/>
  <c r="X444" i="16"/>
  <c r="U444" i="16"/>
  <c r="V444" i="16" s="1"/>
  <c r="T444" i="16"/>
  <c r="N11" i="22"/>
  <c r="Z39" i="22"/>
  <c r="T39" i="22"/>
  <c r="L275" i="22"/>
  <c r="AB275" i="22"/>
  <c r="AC275" i="22" s="1"/>
  <c r="P275" i="22"/>
  <c r="U324" i="16"/>
  <c r="V324" i="16" s="1"/>
  <c r="T324" i="16"/>
  <c r="X324" i="16"/>
  <c r="P251" i="22"/>
  <c r="L251" i="22"/>
  <c r="AB251" i="22"/>
  <c r="AC251" i="22" s="1"/>
  <c r="AB71" i="22"/>
  <c r="AC71" i="22" s="1"/>
  <c r="P71" i="22"/>
  <c r="L71" i="22"/>
  <c r="BT9" i="26"/>
  <c r="U9" i="22" s="1"/>
  <c r="X9" i="22" s="1"/>
  <c r="AE9" i="22" s="1"/>
  <c r="BT116" i="26"/>
  <c r="U116" i="22" s="1"/>
  <c r="X116" i="22" s="1"/>
  <c r="AE116" i="22" s="1"/>
  <c r="BT195" i="26"/>
  <c r="U195" i="22" s="1"/>
  <c r="X195" i="22" s="1"/>
  <c r="AE195" i="22" s="1"/>
  <c r="BR150" i="26"/>
  <c r="BQ150" i="26"/>
  <c r="BP150" i="26"/>
  <c r="BT271" i="26"/>
  <c r="U271" i="22" s="1"/>
  <c r="BT164" i="26"/>
  <c r="U164" i="22" s="1"/>
  <c r="X164" i="22" s="1"/>
  <c r="AE164" i="22" s="1"/>
  <c r="K248" i="22"/>
  <c r="BT73" i="26"/>
  <c r="U73" i="22" s="1"/>
  <c r="K95" i="22"/>
  <c r="X93" i="22"/>
  <c r="AE93" i="22" s="1"/>
  <c r="N93" i="22"/>
  <c r="BT111" i="26"/>
  <c r="U111" i="22" s="1"/>
  <c r="BT163" i="26"/>
  <c r="U163" i="22" s="1"/>
  <c r="W163" i="22" s="1"/>
  <c r="BT162" i="26"/>
  <c r="U162" i="22" s="1"/>
  <c r="T304" i="16"/>
  <c r="U304" i="16"/>
  <c r="V304" i="16" s="1"/>
  <c r="X304" i="16"/>
  <c r="P144" i="22"/>
  <c r="BT21" i="26"/>
  <c r="U21" i="22" s="1"/>
  <c r="W21" i="22" s="1"/>
  <c r="BT11" i="26"/>
  <c r="U11" i="22" s="1"/>
  <c r="Z98" i="22"/>
  <c r="T98" i="22"/>
  <c r="K129" i="22"/>
  <c r="Z158" i="22"/>
  <c r="T158" i="22"/>
  <c r="U169" i="16"/>
  <c r="V169" i="16" s="1"/>
  <c r="T169" i="16"/>
  <c r="X169" i="16"/>
  <c r="T315" i="16"/>
  <c r="X315" i="16"/>
  <c r="U315" i="16"/>
  <c r="V315" i="16" s="1"/>
  <c r="BT83" i="26"/>
  <c r="U83" i="22" s="1"/>
  <c r="BT174" i="26"/>
  <c r="U174" i="22" s="1"/>
  <c r="U215" i="16"/>
  <c r="V215" i="16" s="1"/>
  <c r="T215" i="16"/>
  <c r="X215" i="16"/>
  <c r="L268" i="22"/>
  <c r="BT212" i="26"/>
  <c r="U212" i="22" s="1"/>
  <c r="BT286" i="26"/>
  <c r="U286" i="22" s="1"/>
  <c r="BT45" i="26"/>
  <c r="U45" i="22" s="1"/>
  <c r="BT228" i="26"/>
  <c r="U228" i="22" s="1"/>
  <c r="AB78" i="22"/>
  <c r="AC78" i="22" s="1"/>
  <c r="P78" i="22"/>
  <c r="L78" i="22"/>
  <c r="K234" i="22"/>
  <c r="BT167" i="26"/>
  <c r="U167" i="22" s="1"/>
  <c r="BT218" i="26"/>
  <c r="U218" i="22" s="1"/>
  <c r="BT255" i="26"/>
  <c r="U255" i="22" s="1"/>
  <c r="X255" i="22" s="1"/>
  <c r="AE255" i="22" s="1"/>
  <c r="Z157" i="22"/>
  <c r="T157" i="22"/>
  <c r="P112" i="22"/>
  <c r="L112" i="22"/>
  <c r="AB112" i="22"/>
  <c r="AC112" i="22" s="1"/>
  <c r="K193" i="22"/>
  <c r="P23" i="22"/>
  <c r="U137" i="16"/>
  <c r="V137" i="16" s="1"/>
  <c r="X137" i="16"/>
  <c r="T137" i="16"/>
  <c r="N22" i="22"/>
  <c r="T199" i="16"/>
  <c r="U199" i="16"/>
  <c r="V199" i="16" s="1"/>
  <c r="X199" i="16"/>
  <c r="T70" i="22"/>
  <c r="Z70" i="22"/>
  <c r="T268" i="16"/>
  <c r="X268" i="16"/>
  <c r="U268" i="16"/>
  <c r="V268" i="16" s="1"/>
  <c r="U363" i="16"/>
  <c r="V363" i="16" s="1"/>
  <c r="X363" i="16"/>
  <c r="T363" i="16"/>
  <c r="X448" i="16"/>
  <c r="T448" i="16"/>
  <c r="U448" i="16"/>
  <c r="V448" i="16" s="1"/>
  <c r="X385" i="16"/>
  <c r="U385" i="16"/>
  <c r="V385" i="16" s="1"/>
  <c r="T385" i="16"/>
  <c r="AB175" i="22"/>
  <c r="AC175" i="22" s="1"/>
  <c r="L175" i="22"/>
  <c r="P175" i="22"/>
  <c r="T266" i="16"/>
  <c r="X266" i="16"/>
  <c r="U266" i="16"/>
  <c r="V266" i="16" s="1"/>
  <c r="P127" i="22"/>
  <c r="L127" i="22"/>
  <c r="AB127" i="22"/>
  <c r="AC127" i="22" s="1"/>
  <c r="Z29" i="22"/>
  <c r="T29" i="22"/>
  <c r="BT16" i="26"/>
  <c r="U16" i="22" s="1"/>
  <c r="BT279" i="26"/>
  <c r="U279" i="22" s="1"/>
  <c r="X367" i="16"/>
  <c r="U367" i="16"/>
  <c r="V367" i="16" s="1"/>
  <c r="T367" i="16"/>
  <c r="T33" i="22"/>
  <c r="Z33" i="22"/>
  <c r="U175" i="16"/>
  <c r="V175" i="16" s="1"/>
  <c r="X175" i="16"/>
  <c r="T175" i="16"/>
  <c r="U359" i="16"/>
  <c r="V359" i="16" s="1"/>
  <c r="T359" i="16"/>
  <c r="X359" i="16"/>
  <c r="N12" i="22"/>
  <c r="BT58" i="26"/>
  <c r="U58" i="22" s="1"/>
  <c r="AB203" i="22"/>
  <c r="AC203" i="22" s="1"/>
  <c r="P203" i="22"/>
  <c r="L203" i="22"/>
  <c r="AB239" i="22"/>
  <c r="AC239" i="22" s="1"/>
  <c r="P239" i="22"/>
  <c r="L239" i="22"/>
  <c r="BT77" i="26"/>
  <c r="U77" i="22" s="1"/>
  <c r="BT149" i="26"/>
  <c r="U149" i="22" s="1"/>
  <c r="X202" i="22"/>
  <c r="AE202" i="22" s="1"/>
  <c r="Z76" i="22"/>
  <c r="T76" i="22"/>
  <c r="P177" i="22"/>
  <c r="T194" i="16"/>
  <c r="X194" i="16"/>
  <c r="U194" i="16"/>
  <c r="V194" i="16" s="1"/>
  <c r="U249" i="16"/>
  <c r="V249" i="16" s="1"/>
  <c r="T249" i="16"/>
  <c r="X249" i="16"/>
  <c r="N188" i="22"/>
  <c r="U244" i="16"/>
  <c r="V244" i="16" s="1"/>
  <c r="X244" i="16"/>
  <c r="T244" i="16"/>
  <c r="AB129" i="22"/>
  <c r="AC129" i="22" s="1"/>
  <c r="L129" i="22"/>
  <c r="N129" i="22" s="1"/>
  <c r="P129" i="22"/>
  <c r="BT127" i="26"/>
  <c r="U127" i="22" s="1"/>
  <c r="BT248" i="26"/>
  <c r="U248" i="22" s="1"/>
  <c r="L103" i="22"/>
  <c r="P268" i="22"/>
  <c r="N27" i="22"/>
  <c r="X27" i="22"/>
  <c r="AE27" i="22" s="1"/>
  <c r="X228" i="16"/>
  <c r="U228" i="16"/>
  <c r="V228" i="16" s="1"/>
  <c r="T228" i="16"/>
  <c r="AB51" i="22"/>
  <c r="AC51" i="22" s="1"/>
  <c r="L51" i="22"/>
  <c r="P51" i="22"/>
  <c r="T132" i="22"/>
  <c r="Z132" i="22"/>
  <c r="T174" i="22"/>
  <c r="Z174" i="22"/>
  <c r="K275" i="22"/>
  <c r="BT35" i="26"/>
  <c r="U35" i="22" s="1"/>
  <c r="X35" i="22" s="1"/>
  <c r="AE35" i="22" s="1"/>
  <c r="Z112" i="22"/>
  <c r="T112" i="22"/>
  <c r="X374" i="16"/>
  <c r="T374" i="16"/>
  <c r="U374" i="16"/>
  <c r="V374" i="16" s="1"/>
  <c r="AB154" i="22"/>
  <c r="AC154" i="22" s="1"/>
  <c r="P154" i="22"/>
  <c r="L154" i="22"/>
  <c r="BT60" i="26"/>
  <c r="U60" i="22" s="1"/>
  <c r="X60" i="22" s="1"/>
  <c r="AE60" i="22" s="1"/>
  <c r="L209" i="22"/>
  <c r="BT231" i="26"/>
  <c r="U231" i="22" s="1"/>
  <c r="X231" i="22" s="1"/>
  <c r="AE231" i="22" s="1"/>
  <c r="T43" i="22"/>
  <c r="Z43" i="22"/>
  <c r="AC150" i="22"/>
  <c r="BS146" i="26"/>
  <c r="BO146" i="26"/>
  <c r="T301" i="22"/>
  <c r="Z301" i="22"/>
  <c r="BT7" i="26"/>
  <c r="U7" i="22" s="1"/>
  <c r="BT97" i="26"/>
  <c r="U97" i="22" s="1"/>
  <c r="BT135" i="26"/>
  <c r="U135" i="22" s="1"/>
  <c r="X135" i="22" s="1"/>
  <c r="AE135" i="22" s="1"/>
  <c r="BT243" i="26"/>
  <c r="U243" i="22" s="1"/>
  <c r="X243" i="22" s="1"/>
  <c r="AE243" i="22" s="1"/>
  <c r="Z51" i="22"/>
  <c r="T51" i="22"/>
  <c r="Z281" i="22"/>
  <c r="T281" i="22"/>
  <c r="X281" i="22" s="1"/>
  <c r="AE281" i="22" s="1"/>
  <c r="T381" i="16"/>
  <c r="U381" i="16"/>
  <c r="V381" i="16" s="1"/>
  <c r="X381" i="16"/>
  <c r="AB259" i="22"/>
  <c r="AC259" i="22" s="1"/>
  <c r="L259" i="22"/>
  <c r="N259" i="22" s="1"/>
  <c r="P259" i="22"/>
  <c r="N291" i="22"/>
  <c r="W291" i="22" s="1"/>
  <c r="X291" i="22"/>
  <c r="AE291" i="22" s="1"/>
  <c r="BT126" i="26"/>
  <c r="U126" i="22" s="1"/>
  <c r="X126" i="22" s="1"/>
  <c r="AE126" i="22" s="1"/>
  <c r="BT232" i="26"/>
  <c r="U232" i="22" s="1"/>
  <c r="X232" i="22" s="1"/>
  <c r="AE232" i="22" s="1"/>
  <c r="AB199" i="22"/>
  <c r="AC199" i="22" s="1"/>
  <c r="P199" i="22"/>
  <c r="L199" i="22"/>
  <c r="T262" i="16"/>
  <c r="U262" i="16"/>
  <c r="V262" i="16" s="1"/>
  <c r="X262" i="16"/>
  <c r="BT259" i="26"/>
  <c r="U259" i="22" s="1"/>
  <c r="L217" i="22"/>
  <c r="P217" i="22"/>
  <c r="AB217" i="22"/>
  <c r="AC217" i="22" s="1"/>
  <c r="BT242" i="26"/>
  <c r="U242" i="22" s="1"/>
  <c r="X242" i="22" s="1"/>
  <c r="AE242" i="22" s="1"/>
  <c r="P36" i="22"/>
  <c r="K130" i="22"/>
  <c r="X279" i="16"/>
  <c r="T279" i="16"/>
  <c r="U279" i="16"/>
  <c r="V279" i="16" s="1"/>
  <c r="X303" i="16"/>
  <c r="U303" i="16"/>
  <c r="V303" i="16" s="1"/>
  <c r="T303" i="16"/>
  <c r="P216" i="22"/>
  <c r="L216" i="22"/>
  <c r="AB216" i="22"/>
  <c r="AC216" i="22" s="1"/>
  <c r="T127" i="16"/>
  <c r="X127" i="16"/>
  <c r="U127" i="16"/>
  <c r="V127" i="16" s="1"/>
  <c r="T205" i="16"/>
  <c r="X205" i="16"/>
  <c r="U205" i="16"/>
  <c r="V205" i="16" s="1"/>
  <c r="Z105" i="22"/>
  <c r="T105" i="22"/>
  <c r="N286" i="22"/>
  <c r="BR145" i="26"/>
  <c r="BQ145" i="26"/>
  <c r="BP145" i="26"/>
  <c r="X453" i="16"/>
  <c r="U453" i="16"/>
  <c r="V453" i="16" s="1"/>
  <c r="T453" i="16"/>
  <c r="K70" i="22"/>
  <c r="X233" i="16"/>
  <c r="U233" i="16"/>
  <c r="V233" i="16" s="1"/>
  <c r="T233" i="16"/>
  <c r="L15" i="22"/>
  <c r="P15" i="22"/>
  <c r="AB15" i="22"/>
  <c r="AC15" i="22" s="1"/>
  <c r="AB247" i="22"/>
  <c r="AC247" i="22" s="1"/>
  <c r="P247" i="22"/>
  <c r="L247" i="22"/>
  <c r="L276" i="22"/>
  <c r="N276" i="22" s="1"/>
  <c r="AB276" i="22"/>
  <c r="AC276" i="22" s="1"/>
  <c r="P276" i="22"/>
  <c r="K211" i="22"/>
  <c r="K127" i="22"/>
  <c r="N102" i="22"/>
  <c r="BT41" i="26"/>
  <c r="U41" i="22" s="1"/>
  <c r="BT52" i="26"/>
  <c r="U52" i="22" s="1"/>
  <c r="T214" i="16"/>
  <c r="X214" i="16"/>
  <c r="U214" i="16"/>
  <c r="V214" i="16" s="1"/>
  <c r="T347" i="16"/>
  <c r="X347" i="16"/>
  <c r="U347" i="16"/>
  <c r="V347" i="16" s="1"/>
  <c r="U157" i="16"/>
  <c r="V157" i="16" s="1"/>
  <c r="X157" i="16"/>
  <c r="T157" i="16"/>
  <c r="AB63" i="22"/>
  <c r="AC63" i="22" s="1"/>
  <c r="L63" i="22"/>
  <c r="P63" i="22"/>
  <c r="P285" i="22"/>
  <c r="L285" i="22"/>
  <c r="AB285" i="22"/>
  <c r="AC285" i="22" s="1"/>
  <c r="BT215" i="26"/>
  <c r="U215" i="22" s="1"/>
  <c r="W215" i="22" s="1"/>
  <c r="T251" i="22"/>
  <c r="Z251" i="22"/>
  <c r="T44" i="22"/>
  <c r="Z44" i="22"/>
  <c r="K146" i="22"/>
  <c r="T216" i="22"/>
  <c r="Z216" i="22"/>
  <c r="BT180" i="26"/>
  <c r="U180" i="22" s="1"/>
  <c r="X180" i="22" s="1"/>
  <c r="AE180" i="22" s="1"/>
  <c r="L153" i="22"/>
  <c r="P153" i="22"/>
  <c r="AB153" i="22"/>
  <c r="AC153" i="22" s="1"/>
  <c r="BT94" i="26"/>
  <c r="U94" i="22" s="1"/>
  <c r="L57" i="22"/>
  <c r="N200" i="22"/>
  <c r="P185" i="22"/>
  <c r="L185" i="22"/>
  <c r="AB185" i="22"/>
  <c r="AC185" i="22" s="1"/>
  <c r="L270" i="22"/>
  <c r="P270" i="22"/>
  <c r="AB270" i="22"/>
  <c r="AC270" i="22" s="1"/>
  <c r="T454" i="16"/>
  <c r="U454" i="16"/>
  <c r="V454" i="16" s="1"/>
  <c r="X454" i="16"/>
  <c r="L77" i="22"/>
  <c r="AB77" i="22"/>
  <c r="AC77" i="22" s="1"/>
  <c r="P77" i="22"/>
  <c r="P151" i="22"/>
  <c r="AB151" i="22"/>
  <c r="AC151" i="22" s="1"/>
  <c r="L151" i="22"/>
  <c r="N237" i="22"/>
  <c r="BT112" i="26"/>
  <c r="U112" i="22" s="1"/>
  <c r="BT287" i="26"/>
  <c r="U287" i="22" s="1"/>
  <c r="X287" i="22" s="1"/>
  <c r="AE287" i="22" s="1"/>
  <c r="X159" i="16"/>
  <c r="U159" i="16"/>
  <c r="V159" i="16" s="1"/>
  <c r="T159" i="16"/>
  <c r="BT6" i="26"/>
  <c r="U6" i="22" s="1"/>
  <c r="T299" i="22"/>
  <c r="Z299" i="22"/>
  <c r="X405" i="16"/>
  <c r="T405" i="16"/>
  <c r="U405" i="16"/>
  <c r="V405" i="16" s="1"/>
  <c r="P67" i="22"/>
  <c r="L67" i="22"/>
  <c r="N67" i="22" s="1"/>
  <c r="AB67" i="22"/>
  <c r="AC67" i="22" s="1"/>
  <c r="T282" i="16"/>
  <c r="U282" i="16"/>
  <c r="V282" i="16" s="1"/>
  <c r="X282" i="16"/>
  <c r="N61" i="22"/>
  <c r="BT18" i="26"/>
  <c r="U18" i="22" s="1"/>
  <c r="X18" i="22" s="1"/>
  <c r="AE18" i="22" s="1"/>
  <c r="BT176" i="26"/>
  <c r="U176" i="22" s="1"/>
  <c r="Z150" i="22"/>
  <c r="T150" i="22"/>
  <c r="BR146" i="26"/>
  <c r="BQ146" i="26"/>
  <c r="BP146" i="26"/>
  <c r="U400" i="16"/>
  <c r="V400" i="16" s="1"/>
  <c r="X400" i="16"/>
  <c r="T400" i="16"/>
  <c r="BT44" i="26"/>
  <c r="U44" i="22" s="1"/>
  <c r="BT75" i="26"/>
  <c r="U75" i="22" s="1"/>
  <c r="BT182" i="26"/>
  <c r="U182" i="22" s="1"/>
  <c r="X182" i="22" s="1"/>
  <c r="AE182" i="22" s="1"/>
  <c r="X345" i="16"/>
  <c r="U345" i="16"/>
  <c r="V345" i="16" s="1"/>
  <c r="T345" i="16"/>
  <c r="L174" i="22"/>
  <c r="BT122" i="26"/>
  <c r="U122" i="22" s="1"/>
  <c r="BT278" i="26"/>
  <c r="U278" i="22" s="1"/>
  <c r="P56" i="22"/>
  <c r="AB56" i="22"/>
  <c r="AC56" i="22" s="1"/>
  <c r="L56" i="22"/>
  <c r="T178" i="22"/>
  <c r="Z178" i="22"/>
  <c r="BT105" i="26"/>
  <c r="U105" i="22" s="1"/>
  <c r="BT98" i="26"/>
  <c r="U98" i="22" s="1"/>
  <c r="BT305" i="26"/>
  <c r="U305" i="22" s="1"/>
  <c r="X305" i="22" s="1"/>
  <c r="AE305" i="22" s="1"/>
  <c r="BT304" i="26"/>
  <c r="U304" i="22" s="1"/>
  <c r="X304" i="22" s="1"/>
  <c r="AE304" i="22" s="1"/>
  <c r="BT175" i="26"/>
  <c r="U175" i="22" s="1"/>
  <c r="K154" i="22"/>
  <c r="BT108" i="26"/>
  <c r="U108" i="22" s="1"/>
  <c r="X108" i="22" s="1"/>
  <c r="AE108" i="22" s="1"/>
  <c r="K110" i="22"/>
  <c r="K186" i="22"/>
  <c r="T260" i="16"/>
  <c r="U260" i="16"/>
  <c r="V260" i="16" s="1"/>
  <c r="X260" i="16"/>
  <c r="T389" i="16"/>
  <c r="X389" i="16"/>
  <c r="U389" i="16"/>
  <c r="V389" i="16" s="1"/>
  <c r="P289" i="22"/>
  <c r="L289" i="22"/>
  <c r="AB289" i="22"/>
  <c r="AC289" i="22" s="1"/>
  <c r="BT103" i="26"/>
  <c r="U103" i="22" s="1"/>
  <c r="AB31" i="22"/>
  <c r="AC31" i="22" s="1"/>
  <c r="L31" i="22"/>
  <c r="P31" i="22"/>
  <c r="Z149" i="22"/>
  <c r="T149" i="22"/>
  <c r="T247" i="22"/>
  <c r="Z247" i="22"/>
  <c r="Z276" i="22"/>
  <c r="T276" i="22"/>
  <c r="U276" i="16"/>
  <c r="V276" i="16" s="1"/>
  <c r="X276" i="16"/>
  <c r="T276" i="16"/>
  <c r="T434" i="16"/>
  <c r="U434" i="16"/>
  <c r="V434" i="16" s="1"/>
  <c r="X434" i="16"/>
  <c r="P29" i="22"/>
  <c r="N233" i="22"/>
  <c r="W233" i="22" s="1"/>
  <c r="X233" i="22"/>
  <c r="AE233" i="22" s="1"/>
  <c r="U216" i="16"/>
  <c r="V216" i="16" s="1"/>
  <c r="T216" i="16"/>
  <c r="X216" i="16"/>
  <c r="X395" i="16"/>
  <c r="U395" i="16"/>
  <c r="V395" i="16" s="1"/>
  <c r="T395" i="16"/>
  <c r="N231" i="22"/>
  <c r="U204" i="16"/>
  <c r="V204" i="16" s="1"/>
  <c r="T204" i="16"/>
  <c r="X204" i="16"/>
  <c r="X346" i="16"/>
  <c r="T346" i="16"/>
  <c r="U346" i="16"/>
  <c r="V346" i="16" s="1"/>
  <c r="BT120" i="26"/>
  <c r="U120" i="22" s="1"/>
  <c r="X140" i="16"/>
  <c r="U140" i="16"/>
  <c r="V140" i="16" s="1"/>
  <c r="T140" i="16"/>
  <c r="X366" i="16"/>
  <c r="T366" i="16"/>
  <c r="U366" i="16"/>
  <c r="V366" i="16" s="1"/>
  <c r="T426" i="16"/>
  <c r="X426" i="16"/>
  <c r="U426" i="16"/>
  <c r="V426" i="16" s="1"/>
  <c r="U387" i="16"/>
  <c r="V387" i="16" s="1"/>
  <c r="X387" i="16"/>
  <c r="T387" i="16"/>
  <c r="X364" i="16"/>
  <c r="U364" i="16"/>
  <c r="V364" i="16" s="1"/>
  <c r="T364" i="16"/>
  <c r="Z285" i="22"/>
  <c r="T285" i="22"/>
  <c r="N305" i="22"/>
  <c r="BO225" i="26"/>
  <c r="BS225" i="26"/>
  <c r="X452" i="16"/>
  <c r="U452" i="16"/>
  <c r="V452" i="16" s="1"/>
  <c r="T452" i="16"/>
  <c r="L48" i="22"/>
  <c r="N236" i="22"/>
  <c r="P44" i="22"/>
  <c r="L44" i="22"/>
  <c r="N44" i="22" s="1"/>
  <c r="AB44" i="22"/>
  <c r="AC44" i="22" s="1"/>
  <c r="L146" i="22"/>
  <c r="N146" i="22" s="1"/>
  <c r="AB146" i="22"/>
  <c r="AC146" i="22" s="1"/>
  <c r="P146" i="22"/>
  <c r="T172" i="22"/>
  <c r="Z172" i="22"/>
  <c r="BK150" i="26"/>
  <c r="BG150" i="26"/>
  <c r="BT124" i="26"/>
  <c r="U124" i="22" s="1"/>
  <c r="BT272" i="26"/>
  <c r="U272" i="22" s="1"/>
  <c r="X272" i="22" s="1"/>
  <c r="AE272" i="22" s="1"/>
  <c r="P57" i="22"/>
  <c r="Z199" i="22"/>
  <c r="T199" i="22"/>
  <c r="BT106" i="26"/>
  <c r="U106" i="22" s="1"/>
  <c r="X106" i="22" s="1"/>
  <c r="AE106" i="22" s="1"/>
  <c r="T418" i="16"/>
  <c r="X418" i="16"/>
  <c r="U418" i="16"/>
  <c r="V418" i="16" s="1"/>
  <c r="N243" i="22"/>
  <c r="N35" i="22"/>
  <c r="L19" i="22"/>
  <c r="T148" i="22"/>
  <c r="Z148" i="22"/>
  <c r="Z184" i="22"/>
  <c r="T184" i="22"/>
  <c r="BK223" i="26"/>
  <c r="BG223" i="26"/>
  <c r="U201" i="16"/>
  <c r="V201" i="16" s="1"/>
  <c r="X201" i="16"/>
  <c r="T201" i="16"/>
  <c r="Z122" i="22"/>
  <c r="T122" i="22"/>
  <c r="T250" i="22"/>
  <c r="Z250" i="22"/>
  <c r="N117" i="22"/>
  <c r="W117" i="22" s="1"/>
  <c r="X117" i="22"/>
  <c r="AE117" i="22" s="1"/>
  <c r="K150" i="22"/>
  <c r="W191" i="22"/>
  <c r="BT177" i="26"/>
  <c r="U177" i="22" s="1"/>
  <c r="W177" i="22" s="1"/>
  <c r="BT249" i="26"/>
  <c r="U249" i="22" s="1"/>
  <c r="L88" i="22"/>
  <c r="N88" i="22" s="1"/>
  <c r="X82" i="22"/>
  <c r="AE82" i="22" s="1"/>
  <c r="P174" i="22"/>
  <c r="BT46" i="26"/>
  <c r="U46" i="22" s="1"/>
  <c r="X46" i="22" s="1"/>
  <c r="AE46" i="22" s="1"/>
  <c r="BS224" i="26"/>
  <c r="BO224" i="26"/>
  <c r="BT236" i="26"/>
  <c r="U236" i="22" s="1"/>
  <c r="X236" i="22" s="1"/>
  <c r="AE236" i="22" s="1"/>
  <c r="K66" i="22"/>
  <c r="T397" i="16"/>
  <c r="X397" i="16"/>
  <c r="U397" i="16"/>
  <c r="V397" i="16" s="1"/>
  <c r="BT121" i="26"/>
  <c r="U121" i="22" s="1"/>
  <c r="AB184" i="22"/>
  <c r="AC184" i="22" s="1"/>
  <c r="P184" i="22"/>
  <c r="L184" i="22"/>
  <c r="N184" i="22" s="1"/>
  <c r="BT273" i="26"/>
  <c r="U273" i="22" s="1"/>
  <c r="K228" i="22"/>
  <c r="L36" i="22"/>
  <c r="K212" i="22"/>
  <c r="P209" i="22"/>
  <c r="K239" i="22"/>
  <c r="U307" i="16"/>
  <c r="V307" i="16" s="1"/>
  <c r="X307" i="16"/>
  <c r="T307" i="16"/>
  <c r="T245" i="16"/>
  <c r="X245" i="16"/>
  <c r="U245" i="16"/>
  <c r="V245" i="16" s="1"/>
  <c r="X171" i="16"/>
  <c r="T171" i="16"/>
  <c r="U171" i="16"/>
  <c r="V171" i="16" s="1"/>
  <c r="X341" i="16"/>
  <c r="T341" i="16"/>
  <c r="U341" i="16"/>
  <c r="V341" i="16" s="1"/>
  <c r="U123" i="16"/>
  <c r="V123" i="16" s="1"/>
  <c r="X123" i="16"/>
  <c r="T123" i="16"/>
  <c r="X250" i="16"/>
  <c r="U250" i="16"/>
  <c r="V250" i="16" s="1"/>
  <c r="T250" i="16"/>
  <c r="X443" i="16"/>
  <c r="T443" i="16"/>
  <c r="U443" i="16"/>
  <c r="V443" i="16" s="1"/>
  <c r="Z289" i="22"/>
  <c r="T289" i="22"/>
  <c r="BT107" i="26"/>
  <c r="U107" i="22" s="1"/>
  <c r="BT205" i="26"/>
  <c r="U205" i="22" s="1"/>
  <c r="X205" i="22" s="1"/>
  <c r="AE205" i="22" s="1"/>
  <c r="BT190" i="26"/>
  <c r="U190" i="22" s="1"/>
  <c r="T284" i="16"/>
  <c r="X284" i="16"/>
  <c r="U284" i="16"/>
  <c r="V284" i="16" s="1"/>
  <c r="X420" i="16"/>
  <c r="U420" i="16"/>
  <c r="V420" i="16" s="1"/>
  <c r="T420" i="16"/>
  <c r="T281" i="16"/>
  <c r="X281" i="16"/>
  <c r="U281" i="16"/>
  <c r="V281" i="16" s="1"/>
  <c r="T368" i="16"/>
  <c r="U368" i="16"/>
  <c r="V368" i="16" s="1"/>
  <c r="X368" i="16"/>
  <c r="BT29" i="26"/>
  <c r="U29" i="22" s="1"/>
  <c r="X29" i="22" s="1"/>
  <c r="AE29" i="22" s="1"/>
  <c r="N29" i="22"/>
  <c r="AB121" i="22"/>
  <c r="AC121" i="22" s="1"/>
  <c r="P121" i="22"/>
  <c r="L121" i="22"/>
  <c r="Z25" i="22"/>
  <c r="T25" i="22"/>
  <c r="X25" i="22" s="1"/>
  <c r="AE25" i="22" s="1"/>
  <c r="L149" i="22"/>
  <c r="AB149" i="22"/>
  <c r="AC149" i="22" s="1"/>
  <c r="K149" i="22"/>
  <c r="P149" i="22"/>
  <c r="U362" i="16"/>
  <c r="V362" i="16" s="1"/>
  <c r="X362" i="16"/>
  <c r="T362" i="16"/>
  <c r="AC60" i="22"/>
  <c r="L105" i="22"/>
  <c r="X293" i="16"/>
  <c r="U293" i="16"/>
  <c r="V293" i="16" s="1"/>
  <c r="T293" i="16"/>
  <c r="T365" i="16"/>
  <c r="X365" i="16"/>
  <c r="U365" i="16"/>
  <c r="V365" i="16" s="1"/>
  <c r="AB40" i="22"/>
  <c r="AC40" i="22" s="1"/>
  <c r="L40" i="22"/>
  <c r="P40" i="22"/>
  <c r="K63" i="22"/>
  <c r="BT173" i="26"/>
  <c r="U173" i="22" s="1"/>
  <c r="X173" i="22" s="1"/>
  <c r="AE173" i="22" s="1"/>
  <c r="BP225" i="26"/>
  <c r="BQ225" i="26"/>
  <c r="BR225" i="26"/>
  <c r="P245" i="22"/>
  <c r="L245" i="22"/>
  <c r="AB245" i="22"/>
  <c r="AC245" i="22" s="1"/>
  <c r="BT62" i="26"/>
  <c r="U62" i="22" s="1"/>
  <c r="BT183" i="26"/>
  <c r="U183" i="22" s="1"/>
  <c r="X310" i="16"/>
  <c r="U310" i="16"/>
  <c r="V310" i="16" s="1"/>
  <c r="T310" i="16"/>
  <c r="BT36" i="26"/>
  <c r="U36" i="22" s="1"/>
  <c r="BT96" i="26"/>
  <c r="U96" i="22" s="1"/>
  <c r="BT204" i="26"/>
  <c r="U204" i="22" s="1"/>
  <c r="W204" i="22" s="1"/>
  <c r="K172" i="22"/>
  <c r="N246" i="22"/>
  <c r="BJ150" i="26"/>
  <c r="BI150" i="26"/>
  <c r="BH150" i="26"/>
  <c r="Z253" i="22"/>
  <c r="T253" i="22"/>
  <c r="X253" i="22" s="1"/>
  <c r="AE253" i="22" s="1"/>
  <c r="BT59" i="26"/>
  <c r="U59" i="22" s="1"/>
  <c r="AB139" i="22"/>
  <c r="AC139" i="22" s="1"/>
  <c r="P139" i="22"/>
  <c r="L139" i="22"/>
  <c r="BT276" i="26"/>
  <c r="U276" i="22" s="1"/>
  <c r="Z151" i="22"/>
  <c r="T151" i="22"/>
  <c r="P6" i="22"/>
  <c r="L58" i="22"/>
  <c r="AB58" i="22"/>
  <c r="AC58" i="22" s="1"/>
  <c r="P58" i="22"/>
  <c r="K299" i="22"/>
  <c r="BT245" i="26"/>
  <c r="U245" i="22" s="1"/>
  <c r="K118" i="22"/>
  <c r="L225" i="22"/>
  <c r="P225" i="22"/>
  <c r="AB225" i="22"/>
  <c r="AC225" i="22" s="1"/>
  <c r="P298" i="22"/>
  <c r="L298" i="22"/>
  <c r="N298" i="22" s="1"/>
  <c r="AB298" i="22"/>
  <c r="AC298" i="22" s="1"/>
  <c r="BJ223" i="26"/>
  <c r="BI223" i="26"/>
  <c r="BH223" i="26"/>
  <c r="BT90" i="26"/>
  <c r="U90" i="22" s="1"/>
  <c r="W90" i="22" s="1"/>
  <c r="BT114" i="26"/>
  <c r="U114" i="22" s="1"/>
  <c r="BT295" i="26"/>
  <c r="U295" i="22" s="1"/>
  <c r="X406" i="16"/>
  <c r="U406" i="16"/>
  <c r="V406" i="16" s="1"/>
  <c r="T406" i="16"/>
  <c r="Z67" i="22"/>
  <c r="T67" i="22"/>
  <c r="P109" i="22"/>
  <c r="AB109" i="22"/>
  <c r="AC109" i="22" s="1"/>
  <c r="L109" i="22"/>
  <c r="N109" i="22" s="1"/>
  <c r="BT20" i="26"/>
  <c r="U20" i="22" s="1"/>
  <c r="X338" i="16"/>
  <c r="T338" i="16"/>
  <c r="U338" i="16"/>
  <c r="V338" i="16" s="1"/>
  <c r="K51" i="22"/>
  <c r="AB223" i="22"/>
  <c r="AC223" i="22" s="1"/>
  <c r="L223" i="22"/>
  <c r="N223" i="22" s="1"/>
  <c r="K223" i="22"/>
  <c r="P223" i="22"/>
  <c r="BR224" i="26"/>
  <c r="BQ224" i="26"/>
  <c r="BP224" i="26"/>
  <c r="U153" i="16"/>
  <c r="V153" i="16" s="1"/>
  <c r="X153" i="16"/>
  <c r="T153" i="16"/>
  <c r="K40" i="22"/>
  <c r="P76" i="22"/>
  <c r="L76" i="22"/>
  <c r="N76" i="22" s="1"/>
  <c r="W76" i="22" s="1"/>
  <c r="AB76" i="22"/>
  <c r="AC76" i="22" s="1"/>
  <c r="L111" i="22"/>
  <c r="N111" i="22" s="1"/>
  <c r="P111" i="22"/>
  <c r="AB111" i="22"/>
  <c r="AC111" i="22" s="1"/>
  <c r="K219" i="22"/>
  <c r="BT80" i="26"/>
  <c r="U80" i="22" s="1"/>
  <c r="L122" i="22"/>
  <c r="W125" i="22"/>
  <c r="K184" i="22"/>
  <c r="BK225" i="26"/>
  <c r="BG225" i="26"/>
  <c r="X222" i="22"/>
  <c r="AE222" i="22" s="1"/>
  <c r="K226" i="22"/>
  <c r="AF10" i="16" a="1"/>
  <c r="AF10" i="16" s="1"/>
  <c r="AF19" i="16" a="1"/>
  <c r="AF19" i="16" s="1"/>
  <c r="AF14" i="16" a="1"/>
  <c r="AF14" i="16" s="1"/>
  <c r="AH14" i="16" s="1"/>
  <c r="AF18" i="16" a="1"/>
  <c r="AF18" i="16" s="1"/>
  <c r="AF13" i="16" a="1"/>
  <c r="AF13" i="16" s="1"/>
  <c r="AH13" i="16" s="1"/>
  <c r="AF12" i="16" a="1"/>
  <c r="AF12" i="16" s="1"/>
  <c r="AH12" i="16" s="1"/>
  <c r="AF22" i="16" a="1"/>
  <c r="AF22" i="16" s="1"/>
  <c r="AF11" i="16" a="1"/>
  <c r="AF11" i="16" s="1"/>
  <c r="AH11" i="16" s="1"/>
  <c r="AK5" i="16"/>
  <c r="AJ5" i="16"/>
  <c r="AF24" i="16" a="1"/>
  <c r="AF24" i="16" s="1"/>
  <c r="AH24" i="16" s="1"/>
  <c r="AF23" i="16" a="1"/>
  <c r="AF23" i="16" s="1"/>
  <c r="AH23" i="16" s="1"/>
  <c r="AF17" i="16" a="1"/>
  <c r="AF17" i="16" s="1"/>
  <c r="AF16" i="16" a="1"/>
  <c r="AF16" i="16" s="1"/>
  <c r="AF25" i="16" a="1"/>
  <c r="AF25" i="16" s="1"/>
  <c r="AF20" i="16" a="1"/>
  <c r="AF20" i="16" s="1"/>
  <c r="AH20" i="16" s="1"/>
  <c r="AF21" i="16" a="1"/>
  <c r="AF21" i="16" s="1"/>
  <c r="AF15" i="16" a="1"/>
  <c r="AF15" i="16" s="1"/>
  <c r="W260" i="22" l="1"/>
  <c r="BT378" i="26"/>
  <c r="BT333" i="26"/>
  <c r="BT402" i="26"/>
  <c r="BT325" i="26"/>
  <c r="BT349" i="26"/>
  <c r="BT381" i="26"/>
  <c r="X161" i="22"/>
  <c r="AE161" i="22" s="1"/>
  <c r="BT368" i="26"/>
  <c r="BT355" i="26"/>
  <c r="BT313" i="26"/>
  <c r="BT401" i="26"/>
  <c r="BT400" i="26"/>
  <c r="BT397" i="26"/>
  <c r="BT330" i="26"/>
  <c r="BT387" i="26"/>
  <c r="BT352" i="26"/>
  <c r="BT384" i="26"/>
  <c r="BT324" i="26"/>
  <c r="BT393" i="26"/>
  <c r="BT323" i="26"/>
  <c r="BT336" i="26"/>
  <c r="BT371" i="26"/>
  <c r="BT337" i="26"/>
  <c r="BT353" i="26"/>
  <c r="BT317" i="26"/>
  <c r="BT311" i="26"/>
  <c r="BT394" i="26"/>
  <c r="BT327" i="26"/>
  <c r="W156" i="22"/>
  <c r="W66" i="22"/>
  <c r="W38" i="22"/>
  <c r="X165" i="22"/>
  <c r="AE165" i="22" s="1"/>
  <c r="W165" i="22"/>
  <c r="X52" i="22"/>
  <c r="AE52" i="22" s="1"/>
  <c r="W88" i="22"/>
  <c r="W161" i="22"/>
  <c r="X49" i="22"/>
  <c r="AE49" i="22" s="1"/>
  <c r="W246" i="22"/>
  <c r="W17" i="22"/>
  <c r="W237" i="22"/>
  <c r="W109" i="22"/>
  <c r="W250" i="22"/>
  <c r="W46" i="22"/>
  <c r="W180" i="22"/>
  <c r="W168" i="22"/>
  <c r="X220" i="22"/>
  <c r="AE220" i="22" s="1"/>
  <c r="W11" i="22"/>
  <c r="X13" i="22"/>
  <c r="AE13" i="22" s="1"/>
  <c r="X191" i="22"/>
  <c r="AE191" i="22" s="1"/>
  <c r="W170" i="22"/>
  <c r="W208" i="22"/>
  <c r="W200" i="22"/>
  <c r="W111" i="22"/>
  <c r="W220" i="22"/>
  <c r="W298" i="22"/>
  <c r="W140" i="22"/>
  <c r="W13" i="22"/>
  <c r="W166" i="22"/>
  <c r="X240" i="22"/>
  <c r="AE240" i="22" s="1"/>
  <c r="W294" i="22"/>
  <c r="W99" i="22"/>
  <c r="X160" i="22"/>
  <c r="AE160" i="22" s="1"/>
  <c r="W129" i="22"/>
  <c r="W184" i="22"/>
  <c r="X207" i="22"/>
  <c r="AE207" i="22" s="1"/>
  <c r="F29" i="16" a="1"/>
  <c r="F29" i="16" s="1"/>
  <c r="F32" i="16" a="1"/>
  <c r="F32" i="16" s="1"/>
  <c r="M32" i="16" s="1"/>
  <c r="AF32" i="16" s="1" a="1"/>
  <c r="AF32" i="16" s="1"/>
  <c r="F36" i="16" a="1"/>
  <c r="F36" i="16" s="1"/>
  <c r="K36" i="16" s="1"/>
  <c r="F35" i="16" a="1"/>
  <c r="F35" i="16" s="1"/>
  <c r="L35" i="16" s="1"/>
  <c r="F27" i="16" a="1"/>
  <c r="F27" i="16" s="1"/>
  <c r="N27" i="16" s="1"/>
  <c r="AG27" i="16" s="1" a="1"/>
  <c r="AG27" i="16" s="1"/>
  <c r="F34" i="16" a="1"/>
  <c r="F34" i="16" s="1"/>
  <c r="M34" i="16" s="1"/>
  <c r="F30" i="16" a="1"/>
  <c r="F30" i="16" s="1"/>
  <c r="F28" i="16" a="1"/>
  <c r="F28" i="16" s="1"/>
  <c r="F26" i="16" a="1"/>
  <c r="F26" i="16" s="1"/>
  <c r="F33" i="16" a="1"/>
  <c r="F33" i="16" s="1"/>
  <c r="F31" i="16" a="1"/>
  <c r="F31" i="16" s="1"/>
  <c r="X168" i="22"/>
  <c r="AE168" i="22" s="1"/>
  <c r="W160" i="22"/>
  <c r="X128" i="22"/>
  <c r="AE128" i="22" s="1"/>
  <c r="W243" i="22"/>
  <c r="BT297" i="26"/>
  <c r="U297" i="22" s="1"/>
  <c r="W262" i="22"/>
  <c r="W259" i="22"/>
  <c r="W138" i="22"/>
  <c r="W305" i="22"/>
  <c r="W91" i="22"/>
  <c r="W207" i="22"/>
  <c r="W22" i="22"/>
  <c r="W240" i="22"/>
  <c r="W104" i="22"/>
  <c r="W68" i="22"/>
  <c r="W27" i="22"/>
  <c r="W12" i="22"/>
  <c r="W227" i="22"/>
  <c r="W44" i="22"/>
  <c r="W102" i="22"/>
  <c r="X235" i="22"/>
  <c r="AE235" i="22" s="1"/>
  <c r="X99" i="22"/>
  <c r="AE99" i="22" s="1"/>
  <c r="W194" i="22"/>
  <c r="X162" i="22"/>
  <c r="AE162" i="22" s="1"/>
  <c r="X298" i="22"/>
  <c r="AE298" i="22" s="1"/>
  <c r="W49" i="22"/>
  <c r="W188" i="22"/>
  <c r="W234" i="22"/>
  <c r="W92" i="22"/>
  <c r="W230" i="22"/>
  <c r="W186" i="22"/>
  <c r="W108" i="22"/>
  <c r="W210" i="22"/>
  <c r="X7" i="22"/>
  <c r="AE7" i="22" s="1"/>
  <c r="W286" i="22"/>
  <c r="X129" i="22"/>
  <c r="AE129" i="22" s="1"/>
  <c r="W42" i="22"/>
  <c r="X67" i="22"/>
  <c r="AE67" i="22" s="1"/>
  <c r="X141" i="22"/>
  <c r="AE141" i="22" s="1"/>
  <c r="X260" i="22"/>
  <c r="AE260" i="22" s="1"/>
  <c r="W183" i="22"/>
  <c r="W126" i="22"/>
  <c r="W232" i="22"/>
  <c r="W264" i="22"/>
  <c r="AK165" i="16"/>
  <c r="AJ312" i="16"/>
  <c r="AJ328" i="16"/>
  <c r="AJ306" i="16"/>
  <c r="AJ344" i="16"/>
  <c r="AK393" i="16"/>
  <c r="AK212" i="16"/>
  <c r="AJ246" i="16"/>
  <c r="AJ133" i="16"/>
  <c r="AK378" i="16"/>
  <c r="AJ378" i="16"/>
  <c r="AK168" i="16"/>
  <c r="AJ168" i="16"/>
  <c r="B19" i="29" a="1"/>
  <c r="B19" i="29" s="1"/>
  <c r="W35" i="22"/>
  <c r="X293" i="22"/>
  <c r="AE293" i="22" s="1"/>
  <c r="W205" i="22"/>
  <c r="W252" i="22"/>
  <c r="X252" i="22"/>
  <c r="AE252" i="22" s="1"/>
  <c r="W52" i="22"/>
  <c r="W67" i="22"/>
  <c r="X163" i="22"/>
  <c r="AE163" i="22" s="1"/>
  <c r="W304" i="22"/>
  <c r="W195" i="22"/>
  <c r="W258" i="22"/>
  <c r="W47" i="22"/>
  <c r="X11" i="22"/>
  <c r="AE11" i="22" s="1"/>
  <c r="W276" i="22"/>
  <c r="W50" i="22"/>
  <c r="X50" i="22"/>
  <c r="AE50" i="22" s="1"/>
  <c r="W18" i="22"/>
  <c r="W29" i="22"/>
  <c r="W152" i="22"/>
  <c r="W173" i="22"/>
  <c r="W61" i="22"/>
  <c r="S8" i="16"/>
  <c r="AJ8" i="16"/>
  <c r="AJ116" i="16"/>
  <c r="AK116" i="16"/>
  <c r="AJ87" i="16"/>
  <c r="AK87" i="16"/>
  <c r="AJ105" i="16"/>
  <c r="AK105" i="16"/>
  <c r="AK77" i="16"/>
  <c r="AJ77" i="16"/>
  <c r="AK64" i="16"/>
  <c r="AJ64" i="16"/>
  <c r="AJ118" i="16"/>
  <c r="AK118" i="16"/>
  <c r="AK112" i="16"/>
  <c r="AJ112" i="16"/>
  <c r="AK96" i="16"/>
  <c r="AJ96" i="16"/>
  <c r="AK75" i="16"/>
  <c r="AJ75" i="16"/>
  <c r="AK47" i="16"/>
  <c r="AJ47" i="16"/>
  <c r="AK108" i="16"/>
  <c r="AJ108" i="16"/>
  <c r="AJ102" i="16"/>
  <c r="AK102" i="16"/>
  <c r="AK99" i="16"/>
  <c r="AJ99" i="16"/>
  <c r="AK82" i="16"/>
  <c r="AJ82" i="16"/>
  <c r="AJ55" i="16"/>
  <c r="AK55" i="16"/>
  <c r="AK98" i="16"/>
  <c r="AJ98" i="16"/>
  <c r="AK65" i="16"/>
  <c r="AJ65" i="16"/>
  <c r="AJ101" i="16"/>
  <c r="AK101" i="16"/>
  <c r="AK94" i="16"/>
  <c r="AJ94" i="16"/>
  <c r="AK114" i="16"/>
  <c r="AJ114" i="16"/>
  <c r="AK50" i="16"/>
  <c r="AJ50" i="16"/>
  <c r="AK49" i="16"/>
  <c r="AJ49" i="16"/>
  <c r="AJ54" i="16"/>
  <c r="AK54" i="16"/>
  <c r="AK61" i="16"/>
  <c r="AJ61" i="16"/>
  <c r="AJ52" i="16"/>
  <c r="AK52" i="16"/>
  <c r="AJ57" i="16"/>
  <c r="AK57" i="16"/>
  <c r="AK95" i="16"/>
  <c r="AJ95" i="16"/>
  <c r="AK63" i="16"/>
  <c r="AJ63" i="16"/>
  <c r="AJ68" i="16"/>
  <c r="AK68" i="16"/>
  <c r="AK66" i="16"/>
  <c r="AJ66" i="16"/>
  <c r="AK76" i="16"/>
  <c r="AJ76" i="16"/>
  <c r="AK60" i="16"/>
  <c r="AJ60" i="16"/>
  <c r="AJ73" i="16"/>
  <c r="AK73" i="16"/>
  <c r="AK83" i="16"/>
  <c r="AJ83" i="16"/>
  <c r="AK107" i="16"/>
  <c r="AJ107" i="16"/>
  <c r="AK113" i="16"/>
  <c r="AJ113" i="16"/>
  <c r="AJ70" i="16"/>
  <c r="AK70" i="16"/>
  <c r="AJ119" i="16"/>
  <c r="AK119" i="16"/>
  <c r="AJ88" i="16"/>
  <c r="AK88" i="16"/>
  <c r="AK92" i="16"/>
  <c r="AJ92" i="16"/>
  <c r="AK110" i="16"/>
  <c r="AJ110" i="16"/>
  <c r="AK111" i="16"/>
  <c r="AJ111" i="16"/>
  <c r="AJ86" i="16"/>
  <c r="AK86" i="16"/>
  <c r="AK81" i="16"/>
  <c r="AJ81" i="16"/>
  <c r="AK62" i="16"/>
  <c r="AJ62" i="16"/>
  <c r="AJ89" i="16"/>
  <c r="AK89" i="16"/>
  <c r="AJ84" i="16"/>
  <c r="AK84" i="16"/>
  <c r="AJ85" i="16"/>
  <c r="AK85" i="16"/>
  <c r="AK78" i="16"/>
  <c r="AJ78" i="16"/>
  <c r="AJ117" i="16"/>
  <c r="AK117" i="16"/>
  <c r="AK80" i="16"/>
  <c r="AJ80" i="16"/>
  <c r="AJ58" i="16"/>
  <c r="AK58" i="16"/>
  <c r="AJ72" i="16"/>
  <c r="AK72" i="16"/>
  <c r="AJ106" i="16"/>
  <c r="AK106" i="16"/>
  <c r="AK51" i="16"/>
  <c r="AJ51" i="16"/>
  <c r="AK79" i="16"/>
  <c r="AJ79" i="16"/>
  <c r="AJ120" i="16"/>
  <c r="AK120" i="16"/>
  <c r="AK115" i="16"/>
  <c r="AJ115" i="16"/>
  <c r="AK97" i="16"/>
  <c r="AJ97" i="16"/>
  <c r="AK91" i="16"/>
  <c r="AJ91" i="16"/>
  <c r="AK93" i="16"/>
  <c r="AJ93" i="16"/>
  <c r="AK109" i="16"/>
  <c r="AJ109" i="16"/>
  <c r="AJ69" i="16"/>
  <c r="AK69" i="16"/>
  <c r="AJ74" i="16"/>
  <c r="AK74" i="16"/>
  <c r="AJ56" i="16"/>
  <c r="AK56" i="16"/>
  <c r="AK59" i="16"/>
  <c r="AJ59" i="16"/>
  <c r="AJ104" i="16"/>
  <c r="AK104" i="16"/>
  <c r="AJ103" i="16"/>
  <c r="AK103" i="16"/>
  <c r="AJ100" i="16"/>
  <c r="AK100" i="16"/>
  <c r="AJ90" i="16"/>
  <c r="AK90" i="16"/>
  <c r="AJ71" i="16"/>
  <c r="AK71" i="16"/>
  <c r="AK48" i="16"/>
  <c r="AJ48" i="16"/>
  <c r="AJ280" i="16"/>
  <c r="AK280" i="16"/>
  <c r="AJ248" i="16"/>
  <c r="AK248" i="16"/>
  <c r="AK376" i="16"/>
  <c r="AJ376" i="16"/>
  <c r="AJ232" i="16"/>
  <c r="AK232" i="16"/>
  <c r="AK264" i="16"/>
  <c r="AJ264" i="16"/>
  <c r="AJ184" i="16"/>
  <c r="AK184" i="16"/>
  <c r="AK217" i="16"/>
  <c r="AJ217" i="16"/>
  <c r="AK296" i="16"/>
  <c r="AJ296" i="16"/>
  <c r="AJ200" i="16"/>
  <c r="AK200" i="16"/>
  <c r="AJ152" i="16"/>
  <c r="AK152" i="16"/>
  <c r="AK136" i="16"/>
  <c r="AJ136" i="16"/>
  <c r="S7" i="16"/>
  <c r="S5" i="16"/>
  <c r="S9" i="16"/>
  <c r="W6" i="16"/>
  <c r="AK7" i="16"/>
  <c r="AJ389" i="16"/>
  <c r="AK389" i="16"/>
  <c r="AK405" i="16"/>
  <c r="AJ405" i="16"/>
  <c r="AK347" i="16"/>
  <c r="AJ347" i="16"/>
  <c r="X97" i="22"/>
  <c r="AE97" i="22" s="1"/>
  <c r="W97" i="22"/>
  <c r="N154" i="22"/>
  <c r="W154" i="22" s="1"/>
  <c r="X154" i="22"/>
  <c r="AE154" i="22" s="1"/>
  <c r="AK266" i="16"/>
  <c r="AJ266" i="16"/>
  <c r="AJ268" i="16"/>
  <c r="AK268" i="16"/>
  <c r="X45" i="22"/>
  <c r="AE45" i="22" s="1"/>
  <c r="W45" i="22"/>
  <c r="AJ169" i="16"/>
  <c r="AK169" i="16"/>
  <c r="N251" i="22"/>
  <c r="W251" i="22" s="1"/>
  <c r="X251" i="22"/>
  <c r="AE251" i="22" s="1"/>
  <c r="AJ382" i="16"/>
  <c r="AK382" i="16"/>
  <c r="X72" i="22"/>
  <c r="AE72" i="22" s="1"/>
  <c r="W72" i="22"/>
  <c r="AK275" i="16"/>
  <c r="AJ275" i="16"/>
  <c r="AK314" i="16"/>
  <c r="AJ314" i="16"/>
  <c r="AK186" i="16"/>
  <c r="AJ186" i="16"/>
  <c r="AK219" i="16"/>
  <c r="AJ219" i="16"/>
  <c r="AK447" i="16"/>
  <c r="AJ447" i="16"/>
  <c r="N8" i="22"/>
  <c r="W8" i="22" s="1"/>
  <c r="X8" i="22"/>
  <c r="AE8" i="22" s="1"/>
  <c r="AK330" i="16"/>
  <c r="AJ330" i="16"/>
  <c r="N75" i="22"/>
  <c r="W75" i="22" s="1"/>
  <c r="X75" i="22"/>
  <c r="AE75" i="22" s="1"/>
  <c r="BT146" i="26"/>
  <c r="U146" i="22" s="1"/>
  <c r="X132" i="22"/>
  <c r="AE132" i="22" s="1"/>
  <c r="W132" i="22"/>
  <c r="AK332" i="16"/>
  <c r="AJ332" i="16"/>
  <c r="AJ259" i="16"/>
  <c r="AK259" i="16"/>
  <c r="AK329" i="16"/>
  <c r="AJ329" i="16"/>
  <c r="N143" i="22"/>
  <c r="W143" i="22" s="1"/>
  <c r="X143" i="22"/>
  <c r="AE143" i="22" s="1"/>
  <c r="AJ173" i="16"/>
  <c r="AK173" i="16"/>
  <c r="AK121" i="16"/>
  <c r="AJ121" i="16"/>
  <c r="N6" i="22"/>
  <c r="W6" i="22" s="1"/>
  <c r="X6" i="22"/>
  <c r="AE6" i="22" s="1"/>
  <c r="X84" i="22"/>
  <c r="AE84" i="22" s="1"/>
  <c r="W84" i="22"/>
  <c r="N279" i="22"/>
  <c r="W279" i="22" s="1"/>
  <c r="X279" i="22"/>
  <c r="AE279" i="22" s="1"/>
  <c r="AK166" i="16"/>
  <c r="AJ166" i="16"/>
  <c r="AK213" i="16"/>
  <c r="AJ213" i="16"/>
  <c r="N41" i="22"/>
  <c r="W41" i="22" s="1"/>
  <c r="X41" i="22"/>
  <c r="AE41" i="22" s="1"/>
  <c r="AK348" i="16"/>
  <c r="AJ348" i="16"/>
  <c r="AJ138" i="16"/>
  <c r="AK138" i="16"/>
  <c r="X292" i="22"/>
  <c r="AE292" i="22" s="1"/>
  <c r="W292" i="22"/>
  <c r="AJ134" i="16"/>
  <c r="AK134" i="16"/>
  <c r="X177" i="22"/>
  <c r="AE177" i="22" s="1"/>
  <c r="AK335" i="16"/>
  <c r="AJ335" i="16"/>
  <c r="N124" i="22"/>
  <c r="W124" i="22" s="1"/>
  <c r="X124" i="22"/>
  <c r="AE124" i="22" s="1"/>
  <c r="AK429" i="16"/>
  <c r="AJ429" i="16"/>
  <c r="AK361" i="16"/>
  <c r="AJ361" i="16"/>
  <c r="AK183" i="16"/>
  <c r="AJ183" i="16"/>
  <c r="AJ211" i="16"/>
  <c r="AK211" i="16"/>
  <c r="AK339" i="16"/>
  <c r="AJ339" i="16"/>
  <c r="AK170" i="16"/>
  <c r="AJ170" i="16"/>
  <c r="AK180" i="16"/>
  <c r="AJ180" i="16"/>
  <c r="AJ460" i="16"/>
  <c r="AK460" i="16"/>
  <c r="X92" i="22"/>
  <c r="AE92" i="22" s="1"/>
  <c r="N193" i="22"/>
  <c r="W193" i="22" s="1"/>
  <c r="X193" i="22"/>
  <c r="AE193" i="22" s="1"/>
  <c r="AJ388" i="16"/>
  <c r="AK388" i="16"/>
  <c r="AJ195" i="16"/>
  <c r="AK195" i="16"/>
  <c r="X113" i="22"/>
  <c r="AE113" i="22" s="1"/>
  <c r="AJ253" i="16"/>
  <c r="AK253" i="16"/>
  <c r="AK285" i="16"/>
  <c r="AJ285" i="16"/>
  <c r="X21" i="22"/>
  <c r="AE21" i="22" s="1"/>
  <c r="N225" i="22"/>
  <c r="AK310" i="16"/>
  <c r="AJ310" i="16"/>
  <c r="AK250" i="16"/>
  <c r="AJ250" i="16"/>
  <c r="AK343" i="16"/>
  <c r="AJ343" i="16"/>
  <c r="AK406" i="16"/>
  <c r="AJ406" i="16"/>
  <c r="N149" i="22"/>
  <c r="W149" i="22" s="1"/>
  <c r="X149" i="22"/>
  <c r="AE149" i="22" s="1"/>
  <c r="W236" i="22"/>
  <c r="AK140" i="16"/>
  <c r="AJ140" i="16"/>
  <c r="AJ216" i="16"/>
  <c r="AK216" i="16"/>
  <c r="N57" i="22"/>
  <c r="W57" i="22" s="1"/>
  <c r="X57" i="22"/>
  <c r="AE57" i="22" s="1"/>
  <c r="N285" i="22"/>
  <c r="W285" i="22" s="1"/>
  <c r="X285" i="22"/>
  <c r="AE285" i="22" s="1"/>
  <c r="X212" i="22"/>
  <c r="AE212" i="22" s="1"/>
  <c r="AK445" i="16"/>
  <c r="AJ445" i="16"/>
  <c r="AJ185" i="16"/>
  <c r="AK185" i="16"/>
  <c r="N219" i="22"/>
  <c r="W219" i="22" s="1"/>
  <c r="X219" i="22"/>
  <c r="AE219" i="22" s="1"/>
  <c r="AJ139" i="16"/>
  <c r="AK139" i="16"/>
  <c r="N249" i="22"/>
  <c r="W249" i="22" s="1"/>
  <c r="X249" i="22"/>
  <c r="AE249" i="22" s="1"/>
  <c r="AK458" i="16"/>
  <c r="AJ458" i="16"/>
  <c r="AK287" i="16"/>
  <c r="AJ287" i="16"/>
  <c r="AK316" i="16"/>
  <c r="AJ316" i="16"/>
  <c r="N278" i="22"/>
  <c r="W278" i="22" s="1"/>
  <c r="X278" i="22"/>
  <c r="AE278" i="22" s="1"/>
  <c r="N33" i="22"/>
  <c r="W33" i="22" s="1"/>
  <c r="X33" i="22"/>
  <c r="AE33" i="22" s="1"/>
  <c r="AJ220" i="16"/>
  <c r="AK220" i="16"/>
  <c r="N37" i="22"/>
  <c r="W37" i="22" s="1"/>
  <c r="X37" i="22"/>
  <c r="AE37" i="22" s="1"/>
  <c r="X68" i="22"/>
  <c r="AE68" i="22" s="1"/>
  <c r="AK319" i="16"/>
  <c r="AJ319" i="16"/>
  <c r="AK440" i="16"/>
  <c r="AJ440" i="16"/>
  <c r="N139" i="22"/>
  <c r="W139" i="22" s="1"/>
  <c r="X139" i="22"/>
  <c r="AE139" i="22" s="1"/>
  <c r="AK365" i="16"/>
  <c r="AJ365" i="16"/>
  <c r="AK307" i="16"/>
  <c r="AJ307" i="16"/>
  <c r="AK418" i="16"/>
  <c r="AJ418" i="16"/>
  <c r="N56" i="22"/>
  <c r="W56" i="22" s="1"/>
  <c r="X56" i="22"/>
  <c r="AE56" i="22" s="1"/>
  <c r="AJ244" i="16"/>
  <c r="AK244" i="16"/>
  <c r="N239" i="22"/>
  <c r="W239" i="22" s="1"/>
  <c r="X239" i="22"/>
  <c r="AE239" i="22" s="1"/>
  <c r="AJ317" i="16"/>
  <c r="AK317" i="16"/>
  <c r="AK420" i="16"/>
  <c r="AJ420" i="16"/>
  <c r="N77" i="22"/>
  <c r="W77" i="22" s="1"/>
  <c r="X77" i="22"/>
  <c r="AE77" i="22" s="1"/>
  <c r="AK214" i="16"/>
  <c r="AJ214" i="16"/>
  <c r="AK453" i="16"/>
  <c r="AJ453" i="16"/>
  <c r="AK374" i="16"/>
  <c r="AJ374" i="16"/>
  <c r="AK228" i="16"/>
  <c r="AJ228" i="16"/>
  <c r="AJ175" i="16"/>
  <c r="AK175" i="16"/>
  <c r="N112" i="22"/>
  <c r="W112" i="22" s="1"/>
  <c r="X112" i="22"/>
  <c r="AE112" i="22" s="1"/>
  <c r="N268" i="22"/>
  <c r="W268" i="22" s="1"/>
  <c r="X268" i="22"/>
  <c r="AE268" i="22" s="1"/>
  <c r="AK444" i="16"/>
  <c r="AJ444" i="16"/>
  <c r="AK313" i="16"/>
  <c r="AJ313" i="16"/>
  <c r="AJ323" i="16"/>
  <c r="AK323" i="16"/>
  <c r="N39" i="22"/>
  <c r="W39" i="22" s="1"/>
  <c r="X39" i="22"/>
  <c r="AE39" i="22" s="1"/>
  <c r="AJ147" i="16"/>
  <c r="AK147" i="16"/>
  <c r="W26" i="22"/>
  <c r="AK451" i="16"/>
  <c r="AJ451" i="16"/>
  <c r="AJ398" i="16"/>
  <c r="AK398" i="16"/>
  <c r="AJ158" i="16"/>
  <c r="AK158" i="16"/>
  <c r="AK413" i="16"/>
  <c r="AJ413" i="16"/>
  <c r="X28" i="22"/>
  <c r="AE28" i="22" s="1"/>
  <c r="W28" i="22"/>
  <c r="W164" i="22"/>
  <c r="AK390" i="16"/>
  <c r="AJ390" i="16"/>
  <c r="AK270" i="16"/>
  <c r="AJ270" i="16"/>
  <c r="N55" i="22"/>
  <c r="W55" i="22" s="1"/>
  <c r="X55" i="22"/>
  <c r="AE55" i="22" s="1"/>
  <c r="AK239" i="16"/>
  <c r="AJ239" i="16"/>
  <c r="AK265" i="16"/>
  <c r="AJ265" i="16"/>
  <c r="W85" i="22"/>
  <c r="AK126" i="16"/>
  <c r="AJ126" i="16"/>
  <c r="AK164" i="16"/>
  <c r="AJ164" i="16"/>
  <c r="X229" i="22"/>
  <c r="AE229" i="22" s="1"/>
  <c r="AJ277" i="16"/>
  <c r="AK277" i="16"/>
  <c r="AJ226" i="16"/>
  <c r="AK226" i="16"/>
  <c r="W261" i="22"/>
  <c r="AK237" i="16"/>
  <c r="AJ237" i="16"/>
  <c r="AK148" i="16"/>
  <c r="AJ148" i="16"/>
  <c r="N254" i="22"/>
  <c r="W254" i="22" s="1"/>
  <c r="X254" i="22"/>
  <c r="AE254" i="22" s="1"/>
  <c r="W295" i="22"/>
  <c r="X295" i="22"/>
  <c r="AE295" i="22" s="1"/>
  <c r="X120" i="22"/>
  <c r="AE120" i="22" s="1"/>
  <c r="W120" i="22"/>
  <c r="AJ260" i="16"/>
  <c r="AK260" i="16"/>
  <c r="N203" i="22"/>
  <c r="W203" i="22" s="1"/>
  <c r="X203" i="22"/>
  <c r="AE203" i="22" s="1"/>
  <c r="N23" i="22"/>
  <c r="W23" i="22" s="1"/>
  <c r="X23" i="22"/>
  <c r="AE23" i="22" s="1"/>
  <c r="N59" i="22"/>
  <c r="W59" i="22" s="1"/>
  <c r="X59" i="22"/>
  <c r="AE59" i="22" s="1"/>
  <c r="AJ243" i="16"/>
  <c r="AK243" i="16"/>
  <c r="AK125" i="16"/>
  <c r="AJ125" i="16"/>
  <c r="AK292" i="16"/>
  <c r="AJ292" i="16"/>
  <c r="AK396" i="16"/>
  <c r="AJ396" i="16"/>
  <c r="AK256" i="16"/>
  <c r="AJ256" i="16"/>
  <c r="AJ349" i="16"/>
  <c r="AK349" i="16"/>
  <c r="AJ297" i="16"/>
  <c r="AK297" i="16"/>
  <c r="AK182" i="16"/>
  <c r="AJ182" i="16"/>
  <c r="AK433" i="16"/>
  <c r="AJ433" i="16"/>
  <c r="AK379" i="16"/>
  <c r="AJ379" i="16"/>
  <c r="AJ132" i="16"/>
  <c r="AK132" i="16"/>
  <c r="N118" i="22"/>
  <c r="W118" i="22" s="1"/>
  <c r="X118" i="22"/>
  <c r="AE118" i="22" s="1"/>
  <c r="AK461" i="16"/>
  <c r="AJ461" i="16"/>
  <c r="AK295" i="16"/>
  <c r="AJ295" i="16"/>
  <c r="AJ203" i="16"/>
  <c r="AK203" i="16"/>
  <c r="N131" i="22"/>
  <c r="W131" i="22" s="1"/>
  <c r="X131" i="22"/>
  <c r="AE131" i="22" s="1"/>
  <c r="N142" i="22"/>
  <c r="W142" i="22" s="1"/>
  <c r="X142" i="22"/>
  <c r="AE142" i="22" s="1"/>
  <c r="AK293" i="16"/>
  <c r="AJ293" i="16"/>
  <c r="AJ284" i="16"/>
  <c r="AK284" i="16"/>
  <c r="AJ123" i="16"/>
  <c r="AK123" i="16"/>
  <c r="N36" i="22"/>
  <c r="W36" i="22" s="1"/>
  <c r="X36" i="22"/>
  <c r="AE36" i="22" s="1"/>
  <c r="AJ201" i="16"/>
  <c r="AK201" i="16"/>
  <c r="AK346" i="16"/>
  <c r="AJ346" i="16"/>
  <c r="N216" i="22"/>
  <c r="W216" i="22" s="1"/>
  <c r="X216" i="22"/>
  <c r="AE216" i="22" s="1"/>
  <c r="N175" i="22"/>
  <c r="W175" i="22" s="1"/>
  <c r="X175" i="22"/>
  <c r="AE175" i="22" s="1"/>
  <c r="X271" i="22"/>
  <c r="AE271" i="22" s="1"/>
  <c r="W271" i="22"/>
  <c r="AK324" i="16"/>
  <c r="AJ324" i="16"/>
  <c r="AK235" i="16"/>
  <c r="AJ235" i="16"/>
  <c r="N157" i="22"/>
  <c r="W157" i="22" s="1"/>
  <c r="X157" i="22"/>
  <c r="AE157" i="22" s="1"/>
  <c r="AK192" i="16"/>
  <c r="AJ192" i="16"/>
  <c r="AJ202" i="16"/>
  <c r="AK202" i="16"/>
  <c r="N213" i="22"/>
  <c r="W213" i="22" s="1"/>
  <c r="X213" i="22"/>
  <c r="AE213" i="22" s="1"/>
  <c r="AK417" i="16"/>
  <c r="AJ417" i="16"/>
  <c r="AJ162" i="16"/>
  <c r="AK162" i="16"/>
  <c r="W7" i="22"/>
  <c r="AJ442" i="16"/>
  <c r="AK442" i="16"/>
  <c r="AJ151" i="16"/>
  <c r="AK151" i="16"/>
  <c r="X263" i="22"/>
  <c r="AE263" i="22" s="1"/>
  <c r="W263" i="22"/>
  <c r="X119" i="22"/>
  <c r="AE119" i="22" s="1"/>
  <c r="N119" i="22"/>
  <c r="W119" i="22" s="1"/>
  <c r="AJ269" i="16"/>
  <c r="AK269" i="16"/>
  <c r="W60" i="22"/>
  <c r="AK416" i="16"/>
  <c r="AJ416" i="16"/>
  <c r="N43" i="22"/>
  <c r="W43" i="22" s="1"/>
  <c r="X43" i="22"/>
  <c r="AE43" i="22" s="1"/>
  <c r="AK421" i="16"/>
  <c r="AJ421" i="16"/>
  <c r="AJ403" i="16"/>
  <c r="AK403" i="16"/>
  <c r="N245" i="22"/>
  <c r="W245" i="22" s="1"/>
  <c r="X245" i="22"/>
  <c r="AE245" i="22" s="1"/>
  <c r="N121" i="22"/>
  <c r="W121" i="22" s="1"/>
  <c r="X121" i="22"/>
  <c r="AE121" i="22" s="1"/>
  <c r="AK341" i="16"/>
  <c r="AJ341" i="16"/>
  <c r="AK364" i="16"/>
  <c r="AJ364" i="16"/>
  <c r="N31" i="22"/>
  <c r="W31" i="22" s="1"/>
  <c r="X31" i="22"/>
  <c r="AE31" i="22" s="1"/>
  <c r="N174" i="22"/>
  <c r="W174" i="22" s="1"/>
  <c r="X174" i="22"/>
  <c r="AE174" i="22" s="1"/>
  <c r="AJ454" i="16"/>
  <c r="AK454" i="16"/>
  <c r="N247" i="22"/>
  <c r="W247" i="22" s="1"/>
  <c r="X247" i="22"/>
  <c r="AE247" i="22" s="1"/>
  <c r="N217" i="22"/>
  <c r="W217" i="22" s="1"/>
  <c r="X217" i="22"/>
  <c r="AE217" i="22" s="1"/>
  <c r="AK249" i="16"/>
  <c r="AJ249" i="16"/>
  <c r="AJ199" i="16"/>
  <c r="AK199" i="16"/>
  <c r="AK215" i="16"/>
  <c r="AJ215" i="16"/>
  <c r="AK261" i="16"/>
  <c r="AJ261" i="16"/>
  <c r="X24" i="22"/>
  <c r="AE24" i="22" s="1"/>
  <c r="W24" i="22"/>
  <c r="X266" i="22"/>
  <c r="AE266" i="22" s="1"/>
  <c r="W266" i="22"/>
  <c r="AK356" i="16"/>
  <c r="AJ356" i="16"/>
  <c r="AK176" i="16"/>
  <c r="AJ176" i="16"/>
  <c r="X288" i="22"/>
  <c r="AE288" i="22" s="1"/>
  <c r="N288" i="22"/>
  <c r="W288" i="22" s="1"/>
  <c r="N130" i="22"/>
  <c r="W130" i="22" s="1"/>
  <c r="X130" i="22"/>
  <c r="AE130" i="22" s="1"/>
  <c r="AJ294" i="16"/>
  <c r="AK294" i="16"/>
  <c r="AK142" i="16"/>
  <c r="AJ142" i="16"/>
  <c r="AJ122" i="16"/>
  <c r="AK122" i="16"/>
  <c r="N189" i="22"/>
  <c r="W189" i="22" s="1"/>
  <c r="X189" i="22"/>
  <c r="AE189" i="22" s="1"/>
  <c r="W267" i="22"/>
  <c r="AJ300" i="16"/>
  <c r="AK300" i="16"/>
  <c r="AK234" i="16"/>
  <c r="AJ234" i="16"/>
  <c r="AK255" i="16"/>
  <c r="AJ255" i="16"/>
  <c r="W287" i="22"/>
  <c r="BT226" i="26"/>
  <c r="U226" i="22" s="1"/>
  <c r="X226" i="22" s="1"/>
  <c r="AE226" i="22" s="1"/>
  <c r="AK141" i="16"/>
  <c r="AJ141" i="16"/>
  <c r="AK357" i="16"/>
  <c r="AJ357" i="16"/>
  <c r="W290" i="22"/>
  <c r="AK130" i="16"/>
  <c r="AJ130" i="16"/>
  <c r="AJ210" i="16"/>
  <c r="AK210" i="16"/>
  <c r="X109" i="22"/>
  <c r="AE109" i="22" s="1"/>
  <c r="AJ143" i="16"/>
  <c r="AK143" i="16"/>
  <c r="N303" i="22"/>
  <c r="W303" i="22" s="1"/>
  <c r="X303" i="22"/>
  <c r="AE303" i="22" s="1"/>
  <c r="AK338" i="16"/>
  <c r="AJ338" i="16"/>
  <c r="N105" i="22"/>
  <c r="W105" i="22" s="1"/>
  <c r="X105" i="22"/>
  <c r="AE105" i="22" s="1"/>
  <c r="W273" i="22"/>
  <c r="X273" i="22"/>
  <c r="AE273" i="22" s="1"/>
  <c r="AK159" i="16"/>
  <c r="AJ159" i="16"/>
  <c r="N153" i="22"/>
  <c r="W153" i="22" s="1"/>
  <c r="X153" i="22"/>
  <c r="AE153" i="22" s="1"/>
  <c r="N63" i="22"/>
  <c r="W63" i="22" s="1"/>
  <c r="X63" i="22"/>
  <c r="AE63" i="22" s="1"/>
  <c r="X259" i="22"/>
  <c r="AE259" i="22" s="1"/>
  <c r="AJ194" i="16"/>
  <c r="AK194" i="16"/>
  <c r="AK367" i="16"/>
  <c r="AJ367" i="16"/>
  <c r="N158" i="22"/>
  <c r="W158" i="22" s="1"/>
  <c r="X158" i="22"/>
  <c r="AE158" i="22" s="1"/>
  <c r="AK354" i="16"/>
  <c r="AJ354" i="16"/>
  <c r="AK206" i="16"/>
  <c r="AJ206" i="16"/>
  <c r="W284" i="22"/>
  <c r="X183" i="22"/>
  <c r="AE183" i="22" s="1"/>
  <c r="AJ327" i="16"/>
  <c r="AK327" i="16"/>
  <c r="N172" i="22"/>
  <c r="W172" i="22" s="1"/>
  <c r="X172" i="22"/>
  <c r="AE172" i="22" s="1"/>
  <c r="AK271" i="16"/>
  <c r="AJ271" i="16"/>
  <c r="W201" i="22"/>
  <c r="AK154" i="16"/>
  <c r="AJ154" i="16"/>
  <c r="AK450" i="16"/>
  <c r="AJ450" i="16"/>
  <c r="AK150" i="16"/>
  <c r="AJ150" i="16"/>
  <c r="N256" i="22"/>
  <c r="W256" i="22" s="1"/>
  <c r="X256" i="22"/>
  <c r="AE256" i="22" s="1"/>
  <c r="N178" i="22"/>
  <c r="W178" i="22" s="1"/>
  <c r="X178" i="22"/>
  <c r="AE178" i="22" s="1"/>
  <c r="W272" i="22"/>
  <c r="W64" i="22"/>
  <c r="X64" i="22"/>
  <c r="AE64" i="22" s="1"/>
  <c r="AK135" i="16"/>
  <c r="AJ135" i="16"/>
  <c r="X90" i="22"/>
  <c r="AE90" i="22" s="1"/>
  <c r="N30" i="22"/>
  <c r="W30" i="22" s="1"/>
  <c r="X30" i="22"/>
  <c r="AE30" i="22" s="1"/>
  <c r="N144" i="22"/>
  <c r="W144" i="22" s="1"/>
  <c r="X144" i="22"/>
  <c r="AE144" i="22" s="1"/>
  <c r="AK155" i="16"/>
  <c r="AJ155" i="16"/>
  <c r="X198" i="22"/>
  <c r="AE198" i="22" s="1"/>
  <c r="W198" i="22"/>
  <c r="AK399" i="16"/>
  <c r="AJ399" i="16"/>
  <c r="AJ283" i="16"/>
  <c r="AK283" i="16"/>
  <c r="BT223" i="26"/>
  <c r="U223" i="22" s="1"/>
  <c r="N58" i="22"/>
  <c r="W58" i="22" s="1"/>
  <c r="X58" i="22"/>
  <c r="AE58" i="22" s="1"/>
  <c r="BT150" i="26"/>
  <c r="U150" i="22" s="1"/>
  <c r="X150" i="22" s="1"/>
  <c r="AE150" i="22" s="1"/>
  <c r="AJ345" i="16"/>
  <c r="AK345" i="16"/>
  <c r="X286" i="22"/>
  <c r="AE286" i="22" s="1"/>
  <c r="AJ303" i="16"/>
  <c r="AK303" i="16"/>
  <c r="AK381" i="16"/>
  <c r="AJ381" i="16"/>
  <c r="X103" i="22"/>
  <c r="AE103" i="22" s="1"/>
  <c r="N103" i="22"/>
  <c r="W103" i="22" s="1"/>
  <c r="AK385" i="16"/>
  <c r="AJ385" i="16"/>
  <c r="X218" i="22"/>
  <c r="AE218" i="22" s="1"/>
  <c r="W218" i="22"/>
  <c r="W242" i="22"/>
  <c r="AJ272" i="16"/>
  <c r="AK272" i="16"/>
  <c r="X211" i="22"/>
  <c r="AE211" i="22" s="1"/>
  <c r="AK435" i="16"/>
  <c r="AJ435" i="16"/>
  <c r="N115" i="22"/>
  <c r="W115" i="22" s="1"/>
  <c r="X115" i="22"/>
  <c r="AE115" i="22" s="1"/>
  <c r="AJ179" i="16"/>
  <c r="AK179" i="16"/>
  <c r="N155" i="22"/>
  <c r="W155" i="22" s="1"/>
  <c r="X155" i="22"/>
  <c r="AE155" i="22" s="1"/>
  <c r="X186" i="22"/>
  <c r="AE186" i="22" s="1"/>
  <c r="AJ156" i="16"/>
  <c r="AK156" i="16"/>
  <c r="X76" i="22"/>
  <c r="AE76" i="22" s="1"/>
  <c r="AK358" i="16"/>
  <c r="AJ358" i="16"/>
  <c r="X104" i="22"/>
  <c r="AE104" i="22" s="1"/>
  <c r="X204" i="22"/>
  <c r="AE204" i="22" s="1"/>
  <c r="N10" i="22"/>
  <c r="W10" i="22" s="1"/>
  <c r="X10" i="22"/>
  <c r="AE10" i="22" s="1"/>
  <c r="AJ236" i="16"/>
  <c r="AK236" i="16"/>
  <c r="W86" i="22"/>
  <c r="X86" i="22"/>
  <c r="AE86" i="22" s="1"/>
  <c r="AK410" i="16"/>
  <c r="AJ410" i="16"/>
  <c r="N296" i="22"/>
  <c r="W296" i="22" s="1"/>
  <c r="X296" i="22"/>
  <c r="AE296" i="22" s="1"/>
  <c r="W25" i="22"/>
  <c r="AK412" i="16"/>
  <c r="AJ412" i="16"/>
  <c r="W89" i="22"/>
  <c r="AK171" i="16"/>
  <c r="AJ171" i="16"/>
  <c r="W167" i="22"/>
  <c r="X167" i="22"/>
  <c r="AE167" i="22" s="1"/>
  <c r="X83" i="22"/>
  <c r="AE83" i="22" s="1"/>
  <c r="W83" i="22"/>
  <c r="AK278" i="16"/>
  <c r="AJ278" i="16"/>
  <c r="AK320" i="16"/>
  <c r="AJ320" i="16"/>
  <c r="N101" i="22"/>
  <c r="W101" i="22" s="1"/>
  <c r="X101" i="22"/>
  <c r="AE101" i="22" s="1"/>
  <c r="W162" i="22"/>
  <c r="AK437" i="16"/>
  <c r="AJ437" i="16"/>
  <c r="AK286" i="16"/>
  <c r="AJ286" i="16"/>
  <c r="AK263" i="16"/>
  <c r="AJ263" i="16"/>
  <c r="AK340" i="16"/>
  <c r="AJ340" i="16"/>
  <c r="W211" i="22"/>
  <c r="X81" i="22"/>
  <c r="AE81" i="22" s="1"/>
  <c r="W81" i="22"/>
  <c r="AK432" i="16"/>
  <c r="AJ432" i="16"/>
  <c r="AJ252" i="16"/>
  <c r="AK252" i="16"/>
  <c r="N96" i="22"/>
  <c r="W96" i="22" s="1"/>
  <c r="X96" i="22"/>
  <c r="AE96" i="22" s="1"/>
  <c r="W65" i="22"/>
  <c r="AK375" i="16"/>
  <c r="AJ375" i="16"/>
  <c r="X159" i="22"/>
  <c r="AE159" i="22" s="1"/>
  <c r="X20" i="22"/>
  <c r="AE20" i="22" s="1"/>
  <c r="W20" i="22"/>
  <c r="AK387" i="16"/>
  <c r="AJ387" i="16"/>
  <c r="AK204" i="16"/>
  <c r="AJ204" i="16"/>
  <c r="AK434" i="16"/>
  <c r="AJ434" i="16"/>
  <c r="AK282" i="16"/>
  <c r="AJ282" i="16"/>
  <c r="AJ279" i="16"/>
  <c r="AK279" i="16"/>
  <c r="AK262" i="16"/>
  <c r="AJ262" i="16"/>
  <c r="AJ448" i="16"/>
  <c r="AK448" i="16"/>
  <c r="AJ304" i="16"/>
  <c r="AK304" i="16"/>
  <c r="N275" i="22"/>
  <c r="W275" i="22" s="1"/>
  <c r="X275" i="22"/>
  <c r="AE275" i="22" s="1"/>
  <c r="AK350" i="16"/>
  <c r="AJ350" i="16"/>
  <c r="AK318" i="16"/>
  <c r="AJ318" i="16"/>
  <c r="AK190" i="16"/>
  <c r="AJ190" i="16"/>
  <c r="X244" i="22"/>
  <c r="AE244" i="22" s="1"/>
  <c r="W244" i="22"/>
  <c r="AJ419" i="16"/>
  <c r="AK419" i="16"/>
  <c r="AK188" i="16"/>
  <c r="AJ188" i="16"/>
  <c r="N190" i="22"/>
  <c r="W190" i="22" s="1"/>
  <c r="X190" i="22"/>
  <c r="AE190" i="22" s="1"/>
  <c r="X234" i="22"/>
  <c r="AE234" i="22" s="1"/>
  <c r="X214" i="22"/>
  <c r="AE214" i="22" s="1"/>
  <c r="W214" i="22"/>
  <c r="AK299" i="16"/>
  <c r="AJ299" i="16"/>
  <c r="AJ207" i="16"/>
  <c r="AK207" i="16"/>
  <c r="N301" i="22"/>
  <c r="W301" i="22" s="1"/>
  <c r="X301" i="22"/>
  <c r="AE301" i="22" s="1"/>
  <c r="N110" i="22"/>
  <c r="W110" i="22" s="1"/>
  <c r="X110" i="22"/>
  <c r="AE110" i="22" s="1"/>
  <c r="AK384" i="16"/>
  <c r="AJ384" i="16"/>
  <c r="AK402" i="16"/>
  <c r="AJ402" i="16"/>
  <c r="AK372" i="16"/>
  <c r="AJ372" i="16"/>
  <c r="AK208" i="16"/>
  <c r="AJ208" i="16"/>
  <c r="AK383" i="16"/>
  <c r="AJ383" i="16"/>
  <c r="AK334" i="16"/>
  <c r="AJ334" i="16"/>
  <c r="AK415" i="16"/>
  <c r="AJ415" i="16"/>
  <c r="W182" i="22"/>
  <c r="BT225" i="26"/>
  <c r="U225" i="22" s="1"/>
  <c r="X225" i="22" s="1"/>
  <c r="AE225" i="22" s="1"/>
  <c r="AJ362" i="16"/>
  <c r="AK362" i="16"/>
  <c r="N48" i="22"/>
  <c r="W48" i="22" s="1"/>
  <c r="X48" i="22"/>
  <c r="AE48" i="22" s="1"/>
  <c r="AK426" i="16"/>
  <c r="AJ426" i="16"/>
  <c r="N270" i="22"/>
  <c r="W270" i="22" s="1"/>
  <c r="X270" i="22"/>
  <c r="AE270" i="22" s="1"/>
  <c r="N78" i="22"/>
  <c r="W78" i="22" s="1"/>
  <c r="X78" i="22"/>
  <c r="AE78" i="22" s="1"/>
  <c r="AK315" i="16"/>
  <c r="AJ315" i="16"/>
  <c r="W9" i="22"/>
  <c r="W269" i="22"/>
  <c r="X269" i="22"/>
  <c r="AE269" i="22" s="1"/>
  <c r="AK302" i="16"/>
  <c r="AJ302" i="16"/>
  <c r="AK240" i="16"/>
  <c r="AJ240" i="16"/>
  <c r="N74" i="22"/>
  <c r="W74" i="22" s="1"/>
  <c r="X74" i="22"/>
  <c r="AE74" i="22" s="1"/>
  <c r="N98" i="22"/>
  <c r="W98" i="22" s="1"/>
  <c r="X98" i="22"/>
  <c r="AE98" i="22" s="1"/>
  <c r="AK355" i="16"/>
  <c r="AJ355" i="16"/>
  <c r="AJ128" i="16"/>
  <c r="AK128" i="16"/>
  <c r="AK221" i="16"/>
  <c r="AJ221" i="16"/>
  <c r="N238" i="22"/>
  <c r="W238" i="22" s="1"/>
  <c r="X238" i="22"/>
  <c r="AE238" i="22" s="1"/>
  <c r="N171" i="22"/>
  <c r="W171" i="22" s="1"/>
  <c r="X171" i="22"/>
  <c r="AE171" i="22" s="1"/>
  <c r="W169" i="22"/>
  <c r="X169" i="22"/>
  <c r="AE169" i="22" s="1"/>
  <c r="AK446" i="16"/>
  <c r="AJ446" i="16"/>
  <c r="BT148" i="26"/>
  <c r="U148" i="22" s="1"/>
  <c r="X148" i="22" s="1"/>
  <c r="AE148" i="22" s="1"/>
  <c r="W302" i="22"/>
  <c r="X302" i="22"/>
  <c r="AE302" i="22" s="1"/>
  <c r="AK301" i="16"/>
  <c r="AJ301" i="16"/>
  <c r="AJ288" i="16"/>
  <c r="AK288" i="16"/>
  <c r="N114" i="22"/>
  <c r="W114" i="22" s="1"/>
  <c r="X114" i="22"/>
  <c r="AE114" i="22" s="1"/>
  <c r="W197" i="22"/>
  <c r="AK131" i="16"/>
  <c r="AJ131" i="16"/>
  <c r="W100" i="22"/>
  <c r="AK245" i="16"/>
  <c r="AJ245" i="16"/>
  <c r="X19" i="22"/>
  <c r="AE19" i="22" s="1"/>
  <c r="N19" i="22"/>
  <c r="W19" i="22" s="1"/>
  <c r="X44" i="22"/>
  <c r="AE44" i="22" s="1"/>
  <c r="AK205" i="16"/>
  <c r="AJ205" i="16"/>
  <c r="N199" i="22"/>
  <c r="W199" i="22" s="1"/>
  <c r="X199" i="22"/>
  <c r="AE199" i="22" s="1"/>
  <c r="W231" i="22"/>
  <c r="AK137" i="16"/>
  <c r="AJ137" i="16"/>
  <c r="N71" i="22"/>
  <c r="W71" i="22" s="1"/>
  <c r="X71" i="22"/>
  <c r="AE71" i="22" s="1"/>
  <c r="X184" i="22"/>
  <c r="AE184" i="22" s="1"/>
  <c r="AK394" i="16"/>
  <c r="AJ394" i="16"/>
  <c r="N16" i="22"/>
  <c r="W16" i="22" s="1"/>
  <c r="X16" i="22"/>
  <c r="AE16" i="22" s="1"/>
  <c r="AK414" i="16"/>
  <c r="AJ414" i="16"/>
  <c r="AK449" i="16"/>
  <c r="AJ449" i="16"/>
  <c r="AK309" i="16"/>
  <c r="AJ309" i="16"/>
  <c r="AJ124" i="16"/>
  <c r="AK124" i="16"/>
  <c r="X280" i="22"/>
  <c r="AE280" i="22" s="1"/>
  <c r="W280" i="22"/>
  <c r="N181" i="22"/>
  <c r="W181" i="22" s="1"/>
  <c r="X181" i="22"/>
  <c r="AE181" i="22" s="1"/>
  <c r="AK291" i="16"/>
  <c r="AJ291" i="16"/>
  <c r="AK380" i="16"/>
  <c r="AJ380" i="16"/>
  <c r="N80" i="22"/>
  <c r="W80" i="22" s="1"/>
  <c r="X80" i="22"/>
  <c r="AE80" i="22" s="1"/>
  <c r="N94" i="22"/>
  <c r="W94" i="22" s="1"/>
  <c r="X94" i="22"/>
  <c r="AE94" i="22" s="1"/>
  <c r="X227" i="22"/>
  <c r="AE227" i="22" s="1"/>
  <c r="N136" i="22"/>
  <c r="W136" i="22" s="1"/>
  <c r="X136" i="22"/>
  <c r="AE136" i="22" s="1"/>
  <c r="W123" i="22"/>
  <c r="AK401" i="16"/>
  <c r="AJ401" i="16"/>
  <c r="X192" i="22"/>
  <c r="AE192" i="22" s="1"/>
  <c r="AJ254" i="16"/>
  <c r="AK254" i="16"/>
  <c r="X250" i="22"/>
  <c r="AE250" i="22" s="1"/>
  <c r="AK153" i="16"/>
  <c r="AJ153" i="16"/>
  <c r="AK368" i="16"/>
  <c r="AJ368" i="16"/>
  <c r="AK443" i="16"/>
  <c r="AJ443" i="16"/>
  <c r="AK397" i="16"/>
  <c r="AJ397" i="16"/>
  <c r="AK452" i="16"/>
  <c r="AJ452" i="16"/>
  <c r="N151" i="22"/>
  <c r="W151" i="22" s="1"/>
  <c r="X151" i="22"/>
  <c r="AE151" i="22" s="1"/>
  <c r="N15" i="22"/>
  <c r="W15" i="22" s="1"/>
  <c r="X15" i="22"/>
  <c r="AE15" i="22" s="1"/>
  <c r="N209" i="22"/>
  <c r="W209" i="22" s="1"/>
  <c r="X209" i="22"/>
  <c r="AE209" i="22" s="1"/>
  <c r="AK359" i="16"/>
  <c r="AJ359" i="16"/>
  <c r="X88" i="22"/>
  <c r="AE88" i="22" s="1"/>
  <c r="AK229" i="16"/>
  <c r="AJ229" i="16"/>
  <c r="AK311" i="16"/>
  <c r="AJ311" i="16"/>
  <c r="N107" i="22"/>
  <c r="W107" i="22" s="1"/>
  <c r="X107" i="22"/>
  <c r="AE107" i="22" s="1"/>
  <c r="AJ167" i="16"/>
  <c r="AK167" i="16"/>
  <c r="X32" i="22"/>
  <c r="AE32" i="22" s="1"/>
  <c r="AJ386" i="16"/>
  <c r="AK386" i="16"/>
  <c r="AK187" i="16"/>
  <c r="AJ187" i="16"/>
  <c r="AK371" i="16"/>
  <c r="AJ371" i="16"/>
  <c r="AJ404" i="16"/>
  <c r="AK404" i="16"/>
  <c r="AK436" i="16"/>
  <c r="AJ436" i="16"/>
  <c r="N62" i="22"/>
  <c r="W62" i="22" s="1"/>
  <c r="X62" i="22"/>
  <c r="AE62" i="22" s="1"/>
  <c r="AJ325" i="16"/>
  <c r="AK325" i="16"/>
  <c r="AK160" i="16"/>
  <c r="AJ160" i="16"/>
  <c r="AK191" i="16"/>
  <c r="AJ191" i="16"/>
  <c r="AJ198" i="16"/>
  <c r="AK198" i="16"/>
  <c r="W282" i="22"/>
  <c r="AJ178" i="16"/>
  <c r="AK178" i="16"/>
  <c r="W277" i="22"/>
  <c r="X277" i="22"/>
  <c r="AE277" i="22" s="1"/>
  <c r="BT224" i="26"/>
  <c r="U224" i="22" s="1"/>
  <c r="X224" i="22" s="1"/>
  <c r="AE224" i="22" s="1"/>
  <c r="AK196" i="16"/>
  <c r="AJ196" i="16"/>
  <c r="AJ333" i="16"/>
  <c r="AK333" i="16"/>
  <c r="W257" i="22"/>
  <c r="N73" i="22"/>
  <c r="W73" i="22" s="1"/>
  <c r="X73" i="22"/>
  <c r="AE73" i="22" s="1"/>
  <c r="X196" i="22"/>
  <c r="AE196" i="22" s="1"/>
  <c r="AJ366" i="16"/>
  <c r="AK366" i="16"/>
  <c r="AJ395" i="16"/>
  <c r="AK395" i="16"/>
  <c r="AJ276" i="16"/>
  <c r="AK276" i="16"/>
  <c r="N289" i="22"/>
  <c r="W289" i="22" s="1"/>
  <c r="X289" i="22"/>
  <c r="AE289" i="22" s="1"/>
  <c r="N185" i="22"/>
  <c r="W185" i="22" s="1"/>
  <c r="X185" i="22"/>
  <c r="AE185" i="22" s="1"/>
  <c r="N127" i="22"/>
  <c r="W127" i="22" s="1"/>
  <c r="X127" i="22"/>
  <c r="AE127" i="22" s="1"/>
  <c r="X111" i="22"/>
  <c r="AE111" i="22" s="1"/>
  <c r="AK238" i="16"/>
  <c r="AJ238" i="16"/>
  <c r="N70" i="22"/>
  <c r="W70" i="22" s="1"/>
  <c r="X70" i="22"/>
  <c r="AE70" i="22" s="1"/>
  <c r="AJ428" i="16"/>
  <c r="AK428" i="16"/>
  <c r="AK308" i="16"/>
  <c r="AJ308" i="16"/>
  <c r="W212" i="22"/>
  <c r="X66" i="22"/>
  <c r="AE66" i="22" s="1"/>
  <c r="N248" i="22"/>
  <c r="W248" i="22" s="1"/>
  <c r="X248" i="22"/>
  <c r="AE248" i="22" s="1"/>
  <c r="BT145" i="26"/>
  <c r="U145" i="22" s="1"/>
  <c r="X145" i="22" s="1"/>
  <c r="AE145" i="22" s="1"/>
  <c r="AK331" i="16"/>
  <c r="AJ331" i="16"/>
  <c r="AK146" i="16"/>
  <c r="AJ146" i="16"/>
  <c r="W79" i="22"/>
  <c r="W255" i="22"/>
  <c r="AJ163" i="16"/>
  <c r="AK163" i="16"/>
  <c r="AK431" i="16"/>
  <c r="AJ431" i="16"/>
  <c r="AK189" i="16"/>
  <c r="AJ189" i="16"/>
  <c r="AK424" i="16"/>
  <c r="AJ424" i="16"/>
  <c r="AK322" i="16"/>
  <c r="AJ322" i="16"/>
  <c r="W274" i="22"/>
  <c r="BT147" i="26"/>
  <c r="U147" i="22" s="1"/>
  <c r="W300" i="22"/>
  <c r="X300" i="22"/>
  <c r="AE300" i="22" s="1"/>
  <c r="AK298" i="16"/>
  <c r="AJ298" i="16"/>
  <c r="N14" i="22"/>
  <c r="W14" i="22" s="1"/>
  <c r="X14" i="22"/>
  <c r="AE14" i="22" s="1"/>
  <c r="AJ144" i="16"/>
  <c r="AK144" i="16"/>
  <c r="AJ174" i="16"/>
  <c r="AK174" i="16"/>
  <c r="AK267" i="16"/>
  <c r="AJ267" i="16"/>
  <c r="W265" i="22"/>
  <c r="N176" i="22"/>
  <c r="W176" i="22" s="1"/>
  <c r="X176" i="22"/>
  <c r="AE176" i="22" s="1"/>
  <c r="AJ351" i="16"/>
  <c r="AK351" i="16"/>
  <c r="AJ224" i="16"/>
  <c r="AK224" i="16"/>
  <c r="N122" i="22"/>
  <c r="W122" i="22" s="1"/>
  <c r="X122" i="22"/>
  <c r="AE122" i="22" s="1"/>
  <c r="X276" i="22"/>
  <c r="AE276" i="22" s="1"/>
  <c r="N40" i="22"/>
  <c r="W40" i="22" s="1"/>
  <c r="X40" i="22"/>
  <c r="AE40" i="22" s="1"/>
  <c r="AK281" i="16"/>
  <c r="AJ281" i="16"/>
  <c r="AK400" i="16"/>
  <c r="AJ400" i="16"/>
  <c r="AJ157" i="16"/>
  <c r="AK157" i="16"/>
  <c r="AK233" i="16"/>
  <c r="AJ233" i="16"/>
  <c r="AK127" i="16"/>
  <c r="AJ127" i="16"/>
  <c r="W135" i="22"/>
  <c r="N51" i="22"/>
  <c r="W51" i="22" s="1"/>
  <c r="X51" i="22"/>
  <c r="AE51" i="22" s="1"/>
  <c r="AK363" i="16"/>
  <c r="AJ363" i="16"/>
  <c r="W93" i="22"/>
  <c r="AK352" i="16"/>
  <c r="AJ352" i="16"/>
  <c r="X34" i="22"/>
  <c r="AE34" i="22" s="1"/>
  <c r="N34" i="22"/>
  <c r="W34" i="22" s="1"/>
  <c r="AK336" i="16"/>
  <c r="AJ336" i="16"/>
  <c r="W116" i="22"/>
  <c r="N87" i="22"/>
  <c r="W87" i="22" s="1"/>
  <c r="X87" i="22"/>
  <c r="AE87" i="22" s="1"/>
  <c r="AK172" i="16"/>
  <c r="AJ172" i="16"/>
  <c r="AK251" i="16"/>
  <c r="AJ251" i="16"/>
  <c r="N134" i="22"/>
  <c r="W134" i="22" s="1"/>
  <c r="X134" i="22"/>
  <c r="AE134" i="22" s="1"/>
  <c r="N226" i="22"/>
  <c r="AJ430" i="16"/>
  <c r="AK430" i="16"/>
  <c r="N150" i="22"/>
  <c r="N95" i="22"/>
  <c r="W95" i="22" s="1"/>
  <c r="X95" i="22"/>
  <c r="AE95" i="22" s="1"/>
  <c r="W283" i="22"/>
  <c r="AJ427" i="16"/>
  <c r="AK427" i="16"/>
  <c r="X179" i="22"/>
  <c r="AE179" i="22" s="1"/>
  <c r="W179" i="22"/>
  <c r="X299" i="22"/>
  <c r="AE299" i="22" s="1"/>
  <c r="N299" i="22"/>
  <c r="W299" i="22" s="1"/>
  <c r="N228" i="22"/>
  <c r="W228" i="22" s="1"/>
  <c r="X228" i="22"/>
  <c r="AE228" i="22" s="1"/>
  <c r="AK373" i="16"/>
  <c r="AJ373" i="16"/>
  <c r="X215" i="22"/>
  <c r="AE215" i="22" s="1"/>
  <c r="U20" i="16"/>
  <c r="V20" i="16" s="1"/>
  <c r="X20" i="16"/>
  <c r="T20" i="16"/>
  <c r="X24" i="16"/>
  <c r="U24" i="16"/>
  <c r="V24" i="16" s="1"/>
  <c r="T24" i="16"/>
  <c r="X12" i="16"/>
  <c r="T12" i="16"/>
  <c r="U12" i="16"/>
  <c r="V12" i="16" s="1"/>
  <c r="T11" i="16"/>
  <c r="X11" i="16"/>
  <c r="U11" i="16"/>
  <c r="V11" i="16" s="1"/>
  <c r="T14" i="16"/>
  <c r="X14" i="16"/>
  <c r="U14" i="16"/>
  <c r="V14" i="16" s="1"/>
  <c r="U23" i="16"/>
  <c r="V23" i="16" s="1"/>
  <c r="T23" i="16"/>
  <c r="X23" i="16"/>
  <c r="U13" i="16"/>
  <c r="V13" i="16" s="1"/>
  <c r="T13" i="16"/>
  <c r="X13" i="16"/>
  <c r="W226" i="22" l="1"/>
  <c r="X297" i="22"/>
  <c r="AE297" i="22" s="1"/>
  <c r="W297" i="22"/>
  <c r="W150" i="22"/>
  <c r="AH18" i="16"/>
  <c r="T18" i="16" s="1"/>
  <c r="W18" i="16" s="1"/>
  <c r="N36" i="16"/>
  <c r="AG36" i="16" s="1" a="1"/>
  <c r="AG36" i="16" s="1"/>
  <c r="M36" i="16"/>
  <c r="AF36" i="16" s="1" a="1"/>
  <c r="AF36" i="16" s="1"/>
  <c r="N35" i="16"/>
  <c r="AG35" i="16" s="1" a="1"/>
  <c r="AG35" i="16" s="1"/>
  <c r="L36" i="16"/>
  <c r="N32" i="16"/>
  <c r="AG32" i="16" s="1" a="1"/>
  <c r="AG32" i="16" s="1"/>
  <c r="M28" i="16"/>
  <c r="AF28" i="16" s="1" a="1"/>
  <c r="AF28" i="16" s="1"/>
  <c r="N28" i="16"/>
  <c r="AG28" i="16" s="1" a="1"/>
  <c r="AG28" i="16" s="1"/>
  <c r="M27" i="16"/>
  <c r="AF27" i="16" s="1" a="1"/>
  <c r="AF27" i="16" s="1"/>
  <c r="M35" i="16"/>
  <c r="AF35" i="16" s="1" a="1"/>
  <c r="AF35" i="16" s="1"/>
  <c r="M29" i="16"/>
  <c r="AF29" i="16" s="1" a="1"/>
  <c r="AF29" i="16" s="1"/>
  <c r="N26" i="16"/>
  <c r="AG26" i="16" s="1" a="1"/>
  <c r="AG26" i="16" s="1"/>
  <c r="N31" i="16"/>
  <c r="AG31" i="16" s="1" a="1"/>
  <c r="AG31" i="16" s="1"/>
  <c r="L34" i="16"/>
  <c r="E14" i="29" s="1" a="1"/>
  <c r="E14" i="29" s="1"/>
  <c r="M30" i="16"/>
  <c r="AF30" i="16" s="1" a="1"/>
  <c r="AF30" i="16" s="1"/>
  <c r="M26" i="16"/>
  <c r="AF26" i="16" s="1" a="1"/>
  <c r="AF26" i="16" s="1"/>
  <c r="K34" i="16"/>
  <c r="E13" i="29" s="1" a="1"/>
  <c r="E13" i="29" s="1"/>
  <c r="N30" i="16"/>
  <c r="AG30" i="16" s="1" a="1"/>
  <c r="AG30" i="16" s="1"/>
  <c r="N33" i="16"/>
  <c r="AG33" i="16" s="1" a="1"/>
  <c r="AG33" i="16" s="1"/>
  <c r="N34" i="16"/>
  <c r="AG34" i="16" s="1" a="1"/>
  <c r="AG34" i="16" s="1"/>
  <c r="N29" i="16"/>
  <c r="AG29" i="16" s="1" a="1"/>
  <c r="AG29" i="16" s="1"/>
  <c r="E9" i="29" a="1"/>
  <c r="E9" i="29" s="1"/>
  <c r="K35" i="16"/>
  <c r="M33" i="16"/>
  <c r="AF33" i="16" s="1" a="1"/>
  <c r="AF33" i="16" s="1"/>
  <c r="M31" i="16"/>
  <c r="AF31" i="16" s="1" a="1"/>
  <c r="AF31" i="16" s="1"/>
  <c r="B12" i="29" a="1"/>
  <c r="B12" i="29" s="1"/>
  <c r="AH25" i="16"/>
  <c r="AH4" i="16"/>
  <c r="E15" i="29" a="1"/>
  <c r="E15" i="29" s="1"/>
  <c r="AF34" i="16" a="1"/>
  <c r="AF34" i="16" s="1"/>
  <c r="A31" i="29" a="1"/>
  <c r="A31" i="29" s="1"/>
  <c r="X146" i="22"/>
  <c r="AE146" i="22" s="1"/>
  <c r="W146" i="22"/>
  <c r="W225" i="22"/>
  <c r="W224" i="22"/>
  <c r="X223" i="22"/>
  <c r="AE223" i="22" s="1"/>
  <c r="W223" i="22"/>
  <c r="W147" i="22"/>
  <c r="X147" i="22"/>
  <c r="AE147" i="22" s="1"/>
  <c r="W145" i="22"/>
  <c r="W148" i="22"/>
  <c r="AK14" i="16"/>
  <c r="AJ14" i="16"/>
  <c r="AK23" i="16"/>
  <c r="AJ23" i="16"/>
  <c r="AK12" i="16"/>
  <c r="AJ12" i="16"/>
  <c r="W12" i="16"/>
  <c r="S12" i="16"/>
  <c r="S11" i="16"/>
  <c r="W11" i="16"/>
  <c r="AJ11" i="16"/>
  <c r="AK11" i="16"/>
  <c r="W24" i="16"/>
  <c r="S24" i="16"/>
  <c r="AJ24" i="16"/>
  <c r="AK24" i="16"/>
  <c r="S20" i="16"/>
  <c r="W20" i="16"/>
  <c r="W14" i="16"/>
  <c r="S14" i="16"/>
  <c r="S13" i="16"/>
  <c r="W13" i="16"/>
  <c r="AJ13" i="16"/>
  <c r="AK13" i="16"/>
  <c r="W23" i="16"/>
  <c r="S23" i="16"/>
  <c r="AJ20" i="16"/>
  <c r="AK20" i="16"/>
  <c r="S18" i="16" l="1"/>
  <c r="X18" i="16"/>
  <c r="U18" i="16"/>
  <c r="V18" i="16" s="1"/>
  <c r="AJ18" i="16" s="1"/>
  <c r="O36" i="16"/>
  <c r="AH36" i="16"/>
  <c r="T36" i="16" s="1"/>
  <c r="E16" i="29" a="1"/>
  <c r="E16" i="29" s="1"/>
  <c r="O34" i="16"/>
  <c r="E17" i="29" s="1" a="1"/>
  <c r="E17" i="29" s="1"/>
  <c r="AH35" i="16"/>
  <c r="T35" i="16" s="1"/>
  <c r="O35" i="16"/>
  <c r="U25" i="16"/>
  <c r="V25" i="16" s="1"/>
  <c r="T25" i="16"/>
  <c r="X25" i="16"/>
  <c r="U4" i="16"/>
  <c r="V4" i="16" s="1"/>
  <c r="X4" i="16"/>
  <c r="T4" i="16"/>
  <c r="AH34" i="16"/>
  <c r="U34" i="16" s="1"/>
  <c r="D17" i="23"/>
  <c r="D8" i="23"/>
  <c r="F22" i="23"/>
  <c r="M20" i="23"/>
  <c r="G18" i="23"/>
  <c r="B13" i="23"/>
  <c r="O13" i="23" s="1"/>
  <c r="G30" i="23"/>
  <c r="B20" i="23"/>
  <c r="O20" i="23" s="1"/>
  <c r="K14" i="23"/>
  <c r="E13" i="23"/>
  <c r="F18" i="23"/>
  <c r="N8" i="23"/>
  <c r="K27" i="23"/>
  <c r="K12" i="23"/>
  <c r="M18" i="23"/>
  <c r="I30" i="23"/>
  <c r="I15" i="23"/>
  <c r="F11" i="23"/>
  <c r="B34" i="23"/>
  <c r="O34" i="23" s="1"/>
  <c r="E27" i="23"/>
  <c r="E31" i="23"/>
  <c r="H34" i="23"/>
  <c r="J18" i="23"/>
  <c r="D14" i="23"/>
  <c r="K13" i="23"/>
  <c r="K32" i="23"/>
  <c r="M17" i="23"/>
  <c r="E14" i="23"/>
  <c r="E7" i="23"/>
  <c r="K25" i="23"/>
  <c r="H18" i="23"/>
  <c r="I32" i="23"/>
  <c r="E23" i="23"/>
  <c r="E30" i="23"/>
  <c r="G22" i="23"/>
  <c r="M23" i="23"/>
  <c r="E29" i="23"/>
  <c r="I31" i="23"/>
  <c r="K16" i="23"/>
  <c r="K22" i="23"/>
  <c r="L8" i="23"/>
  <c r="C22" i="23"/>
  <c r="J28" i="23"/>
  <c r="E32" i="23"/>
  <c r="D21" i="23"/>
  <c r="F9" i="23"/>
  <c r="N21" i="23"/>
  <c r="D26" i="23"/>
  <c r="H23" i="23"/>
  <c r="J10" i="23"/>
  <c r="J23" i="23"/>
  <c r="J14" i="23"/>
  <c r="L33" i="23"/>
  <c r="M15" i="23"/>
  <c r="J22" i="23"/>
  <c r="G25" i="23"/>
  <c r="E19" i="23"/>
  <c r="K10" i="23"/>
  <c r="K30" i="23"/>
  <c r="F28" i="23"/>
  <c r="G7" i="23"/>
  <c r="F10" i="23"/>
  <c r="M13" i="23"/>
  <c r="J27" i="23"/>
  <c r="L6" i="23"/>
  <c r="L9" i="23"/>
  <c r="H9" i="23"/>
  <c r="I11" i="23"/>
  <c r="I19" i="23"/>
  <c r="B22" i="23"/>
  <c r="O22" i="23" s="1"/>
  <c r="F16" i="23"/>
  <c r="J5" i="23"/>
  <c r="E16" i="23"/>
  <c r="H15" i="23"/>
  <c r="F33" i="23"/>
  <c r="N28" i="23"/>
  <c r="F15" i="23"/>
  <c r="D31" i="23"/>
  <c r="F23" i="23"/>
  <c r="G6" i="23"/>
  <c r="J7" i="23"/>
  <c r="E28" i="23"/>
  <c r="I24" i="23"/>
  <c r="D11" i="23"/>
  <c r="C16" i="23"/>
  <c r="E26" i="23"/>
  <c r="G12" i="23"/>
  <c r="M19" i="23"/>
  <c r="N32" i="23"/>
  <c r="J26" i="23"/>
  <c r="K28" i="23"/>
  <c r="J34" i="23"/>
  <c r="H21" i="23"/>
  <c r="M28" i="23"/>
  <c r="L19" i="23"/>
  <c r="M11" i="23"/>
  <c r="I34" i="23"/>
  <c r="J20" i="23"/>
  <c r="L22" i="23"/>
  <c r="C6" i="23"/>
  <c r="L11" i="23"/>
  <c r="M7" i="23"/>
  <c r="K18" i="23"/>
  <c r="N23" i="23"/>
  <c r="M30" i="23"/>
  <c r="G32" i="23"/>
  <c r="G19" i="23"/>
  <c r="F34" i="23"/>
  <c r="E17" i="23"/>
  <c r="G23" i="23"/>
  <c r="N30" i="23"/>
  <c r="H7" i="23"/>
  <c r="E15" i="23"/>
  <c r="F29" i="23"/>
  <c r="I25" i="23"/>
  <c r="B5" i="23"/>
  <c r="O5" i="23" s="1"/>
  <c r="B23" i="23"/>
  <c r="O23" i="23" s="1"/>
  <c r="M14" i="23"/>
  <c r="H20" i="23"/>
  <c r="N12" i="23"/>
  <c r="I5" i="23"/>
  <c r="L29" i="23"/>
  <c r="M21" i="23"/>
  <c r="I13" i="23"/>
  <c r="G17" i="23"/>
  <c r="L15" i="23"/>
  <c r="J31" i="23"/>
  <c r="H25" i="23"/>
  <c r="E22" i="23"/>
  <c r="B25" i="23"/>
  <c r="O25" i="23" s="1"/>
  <c r="I27" i="23"/>
  <c r="L31" i="23"/>
  <c r="G29" i="23"/>
  <c r="D34" i="23"/>
  <c r="G14" i="23"/>
  <c r="H8" i="23"/>
  <c r="B9" i="23"/>
  <c r="O9" i="23" s="1"/>
  <c r="N25" i="23"/>
  <c r="G33" i="23"/>
  <c r="K24" i="23"/>
  <c r="K6" i="23"/>
  <c r="E21" i="23"/>
  <c r="G13" i="23"/>
  <c r="K26" i="23"/>
  <c r="B11" i="23"/>
  <c r="O11" i="23" s="1"/>
  <c r="B12" i="23"/>
  <c r="O12" i="23" s="1"/>
  <c r="B19" i="23"/>
  <c r="O19" i="23" s="1"/>
  <c r="L30" i="23"/>
  <c r="H5" i="23"/>
  <c r="J24" i="23"/>
  <c r="B28" i="23"/>
  <c r="O28" i="23" s="1"/>
  <c r="N34" i="23"/>
  <c r="L25" i="23"/>
  <c r="J16" i="23"/>
  <c r="C24" i="23"/>
  <c r="D12" i="23"/>
  <c r="D9" i="23"/>
  <c r="D28" i="23"/>
  <c r="J13" i="23"/>
  <c r="E6" i="23"/>
  <c r="I8" i="23"/>
  <c r="N29" i="23"/>
  <c r="G5" i="23"/>
  <c r="D16" i="23"/>
  <c r="N22" i="23"/>
  <c r="B10" i="23"/>
  <c r="O10" i="23" s="1"/>
  <c r="L23" i="23"/>
  <c r="L18" i="23"/>
  <c r="H10" i="23"/>
  <c r="F12" i="23"/>
  <c r="B18" i="23"/>
  <c r="O18" i="23" s="1"/>
  <c r="N15" i="23"/>
  <c r="D15" i="23"/>
  <c r="F24" i="23"/>
  <c r="L14" i="23"/>
  <c r="I17" i="23"/>
  <c r="H26" i="23"/>
  <c r="K29" i="23"/>
  <c r="K11" i="23"/>
  <c r="F19" i="23"/>
  <c r="N31" i="23"/>
  <c r="J15" i="23"/>
  <c r="H30" i="23"/>
  <c r="H22" i="23"/>
  <c r="F13" i="23"/>
  <c r="B21" i="23"/>
  <c r="O21" i="23" s="1"/>
  <c r="L10" i="23"/>
  <c r="N27" i="23"/>
  <c r="K19" i="23"/>
  <c r="K7" i="23"/>
  <c r="B14" i="23"/>
  <c r="O14" i="23" s="1"/>
  <c r="G15" i="23"/>
  <c r="F17" i="23"/>
  <c r="J32" i="23"/>
  <c r="L7" i="23"/>
  <c r="K17" i="23"/>
  <c r="G24" i="23"/>
  <c r="I10" i="23"/>
  <c r="M31" i="23"/>
  <c r="J6" i="23"/>
  <c r="B8" i="23"/>
  <c r="O8" i="23" s="1"/>
  <c r="M29" i="23"/>
  <c r="L16" i="23"/>
  <c r="F26" i="23"/>
  <c r="L28" i="23"/>
  <c r="G34" i="23"/>
  <c r="I22" i="23"/>
  <c r="B24" i="23"/>
  <c r="O24" i="23" s="1"/>
  <c r="M26" i="23"/>
  <c r="K8" i="23"/>
  <c r="K31" i="23"/>
  <c r="D5" i="23"/>
  <c r="I21" i="23"/>
  <c r="M8" i="23"/>
  <c r="K34" i="23"/>
  <c r="J33" i="23"/>
  <c r="M32" i="23"/>
  <c r="B33" i="23"/>
  <c r="O33" i="23" s="1"/>
  <c r="B30" i="23"/>
  <c r="O30" i="23" s="1"/>
  <c r="M33" i="23"/>
  <c r="L24" i="23"/>
  <c r="M5" i="23"/>
  <c r="K9" i="23"/>
  <c r="F25" i="23"/>
  <c r="G26" i="23"/>
  <c r="F30" i="23"/>
  <c r="N9" i="23"/>
  <c r="I7" i="23"/>
  <c r="F21" i="23"/>
  <c r="J17" i="23"/>
  <c r="E24" i="23"/>
  <c r="M25" i="23"/>
  <c r="C5" i="23"/>
  <c r="F7" i="23"/>
  <c r="D33" i="23"/>
  <c r="J29" i="23"/>
  <c r="B29" i="23"/>
  <c r="O29" i="23" s="1"/>
  <c r="N14" i="23"/>
  <c r="M9" i="23"/>
  <c r="E18" i="23"/>
  <c r="B7" i="23"/>
  <c r="O7" i="23" s="1"/>
  <c r="L34" i="23"/>
  <c r="H24" i="23"/>
  <c r="D25" i="23"/>
  <c r="G9" i="23"/>
  <c r="I20" i="23"/>
  <c r="F6" i="23"/>
  <c r="J19" i="23"/>
  <c r="H33" i="23"/>
  <c r="D27" i="23"/>
  <c r="I14" i="23"/>
  <c r="M12" i="23"/>
  <c r="H28" i="23"/>
  <c r="I26" i="23"/>
  <c r="N17" i="23"/>
  <c r="L21" i="23"/>
  <c r="M24" i="23"/>
  <c r="N7" i="23"/>
  <c r="D24" i="23"/>
  <c r="H13" i="23"/>
  <c r="M22" i="23"/>
  <c r="D7" i="23"/>
  <c r="H29" i="23"/>
  <c r="K15" i="23"/>
  <c r="N6" i="23"/>
  <c r="K20" i="23"/>
  <c r="H16" i="23"/>
  <c r="I28" i="23"/>
  <c r="M34" i="23"/>
  <c r="B26" i="23"/>
  <c r="O26" i="23" s="1"/>
  <c r="J8" i="23"/>
  <c r="M6" i="23"/>
  <c r="G27" i="23"/>
  <c r="I12" i="23"/>
  <c r="M16" i="23"/>
  <c r="J9" i="23"/>
  <c r="J25" i="23"/>
  <c r="E10" i="23"/>
  <c r="K5" i="23"/>
  <c r="B27" i="23"/>
  <c r="O27" i="23" s="1"/>
  <c r="G21" i="23"/>
  <c r="L26" i="23"/>
  <c r="G31" i="23"/>
  <c r="K21" i="23"/>
  <c r="I16" i="23"/>
  <c r="I33" i="23"/>
  <c r="J11" i="23"/>
  <c r="F8" i="23"/>
  <c r="F14" i="23"/>
  <c r="D29" i="23"/>
  <c r="D10" i="23"/>
  <c r="E11" i="23"/>
  <c r="F32" i="23"/>
  <c r="D32" i="23"/>
  <c r="E34" i="23"/>
  <c r="D30" i="23"/>
  <c r="F31" i="23"/>
  <c r="M10" i="23"/>
  <c r="D6" i="23"/>
  <c r="E5" i="23"/>
  <c r="E33" i="23"/>
  <c r="E8" i="23"/>
  <c r="E12" i="23"/>
  <c r="H14" i="23"/>
  <c r="L5" i="23"/>
  <c r="N18" i="23"/>
  <c r="C10" i="23"/>
  <c r="D18" i="23"/>
  <c r="B16" i="23"/>
  <c r="O16" i="23" s="1"/>
  <c r="I9" i="23"/>
  <c r="L32" i="23"/>
  <c r="H19" i="23"/>
  <c r="N5" i="23"/>
  <c r="G16" i="23"/>
  <c r="G11" i="23"/>
  <c r="N19" i="23"/>
  <c r="G8" i="23"/>
  <c r="K23" i="23"/>
  <c r="L17" i="23"/>
  <c r="D19" i="23"/>
  <c r="K33" i="23"/>
  <c r="G10" i="23"/>
  <c r="N33" i="23"/>
  <c r="L13" i="23"/>
  <c r="N16" i="23"/>
  <c r="H6" i="23"/>
  <c r="H17" i="23"/>
  <c r="G28" i="23"/>
  <c r="I23" i="23"/>
  <c r="D20" i="23"/>
  <c r="B32" i="23"/>
  <c r="O32" i="23" s="1"/>
  <c r="J12" i="23"/>
  <c r="H27" i="23"/>
  <c r="D23" i="23"/>
  <c r="H31" i="23"/>
  <c r="N10" i="23"/>
  <c r="H12" i="23"/>
  <c r="F27" i="23"/>
  <c r="J30" i="23"/>
  <c r="G20" i="23"/>
  <c r="E9" i="23"/>
  <c r="N11" i="23"/>
  <c r="B31" i="23"/>
  <c r="O31" i="23" s="1"/>
  <c r="N13" i="23"/>
  <c r="N20" i="23"/>
  <c r="J21" i="23"/>
  <c r="H11" i="23"/>
  <c r="B6" i="23"/>
  <c r="O6" i="23" s="1"/>
  <c r="L12" i="23"/>
  <c r="N24" i="23"/>
  <c r="F5" i="23"/>
  <c r="M27" i="23"/>
  <c r="B15" i="23"/>
  <c r="O15" i="23" s="1"/>
  <c r="E20" i="23"/>
  <c r="F20" i="23"/>
  <c r="I6" i="23"/>
  <c r="N26" i="23"/>
  <c r="D22" i="23"/>
  <c r="D13" i="23"/>
  <c r="I29" i="23"/>
  <c r="H32" i="23"/>
  <c r="L20" i="23"/>
  <c r="E25" i="23"/>
  <c r="I18" i="23"/>
  <c r="L27" i="23"/>
  <c r="B17" i="23"/>
  <c r="O17" i="23" s="1"/>
  <c r="AH22" i="16" l="1"/>
  <c r="AK18" i="16"/>
  <c r="X36" i="16"/>
  <c r="U36" i="16"/>
  <c r="V36" i="16" s="1"/>
  <c r="AJ36" i="16" s="1"/>
  <c r="X35" i="16"/>
  <c r="U35" i="16"/>
  <c r="V35" i="16" s="1"/>
  <c r="AJ35" i="16" s="1"/>
  <c r="AJ4" i="16"/>
  <c r="AK4" i="16"/>
  <c r="W25" i="16"/>
  <c r="S25" i="16"/>
  <c r="AJ25" i="16"/>
  <c r="AK25" i="16"/>
  <c r="W4" i="16"/>
  <c r="S4" i="16"/>
  <c r="X34" i="16"/>
  <c r="E27" i="29" a="1"/>
  <c r="E27" i="29" s="1"/>
  <c r="T34" i="16"/>
  <c r="S34" i="16" s="1"/>
  <c r="V34" i="16"/>
  <c r="E24" i="29" a="1"/>
  <c r="E24" i="29" s="1"/>
  <c r="W36" i="16"/>
  <c r="S36" i="16"/>
  <c r="S35" i="16"/>
  <c r="W35" i="16"/>
  <c r="X22" i="16" l="1"/>
  <c r="T22" i="16"/>
  <c r="U22" i="16"/>
  <c r="V22" i="16" s="1"/>
  <c r="AK36" i="16"/>
  <c r="AK35" i="16"/>
  <c r="E23" i="29" a="1"/>
  <c r="E23" i="29" s="1"/>
  <c r="W34" i="16"/>
  <c r="E20" i="29" s="1" a="1"/>
  <c r="E20" i="29" s="1"/>
  <c r="AK34" i="16"/>
  <c r="AJ34" i="16"/>
  <c r="E26" i="29" s="1" a="1"/>
  <c r="E26" i="29" s="1"/>
  <c r="E25" i="29" a="1"/>
  <c r="E25" i="29" s="1"/>
  <c r="E19" i="29" a="1"/>
  <c r="E19" i="29" s="1"/>
  <c r="I3" i="17" a="1"/>
  <c r="I3" i="17" l="1"/>
  <c r="AH27" i="16"/>
  <c r="U27" i="16" s="1"/>
  <c r="V27" i="16" s="1"/>
  <c r="AH26" i="16"/>
  <c r="T26" i="16" s="1"/>
  <c r="AH15" i="16"/>
  <c r="AH29" i="16"/>
  <c r="X29" i="16" s="1"/>
  <c r="S22" i="16"/>
  <c r="W22" i="16"/>
  <c r="AJ22" i="16"/>
  <c r="AK22" i="16"/>
  <c r="E28" i="29" a="1"/>
  <c r="E28" i="29" s="1"/>
  <c r="F41" i="16" l="1" a="1"/>
  <c r="F41" i="16" s="1"/>
  <c r="M41" i="16" s="1"/>
  <c r="AF41" i="16" s="1" a="1"/>
  <c r="AF41" i="16" s="1"/>
  <c r="F42" i="16" a="1"/>
  <c r="F42" i="16" s="1"/>
  <c r="M42" i="16" s="1"/>
  <c r="AF42" i="16" s="1" a="1"/>
  <c r="AF42" i="16" s="1"/>
  <c r="F40" i="16" a="1"/>
  <c r="F40" i="16" s="1"/>
  <c r="M40" i="16" s="1"/>
  <c r="AF40" i="16" s="1" a="1"/>
  <c r="AF40" i="16" s="1"/>
  <c r="F37" i="16" a="1"/>
  <c r="F37" i="16" s="1"/>
  <c r="N37" i="16" s="1"/>
  <c r="AG37" i="16" s="1" a="1"/>
  <c r="AG37" i="16" s="1"/>
  <c r="F39" i="16" a="1"/>
  <c r="F39" i="16" s="1"/>
  <c r="N39" i="16" s="1"/>
  <c r="AG39" i="16" s="1" a="1"/>
  <c r="AG39" i="16" s="1"/>
  <c r="F38" i="16" a="1"/>
  <c r="F38" i="16" s="1"/>
  <c r="N38" i="16" s="1"/>
  <c r="AG38" i="16" s="1" a="1"/>
  <c r="AG38" i="16" s="1"/>
  <c r="F43" i="16" a="1"/>
  <c r="F43" i="16" s="1"/>
  <c r="L43" i="16" s="1"/>
  <c r="AH30" i="16"/>
  <c r="X30" i="16" s="1"/>
  <c r="AH21" i="16"/>
  <c r="U21" i="16" s="1"/>
  <c r="V21" i="16" s="1"/>
  <c r="AH33" i="16"/>
  <c r="X33" i="16" s="1"/>
  <c r="AH16" i="16"/>
  <c r="T16" i="16" s="1"/>
  <c r="C21" i="23"/>
  <c r="C15" i="23"/>
  <c r="X27" i="16"/>
  <c r="T27" i="16"/>
  <c r="W27" i="16" s="1"/>
  <c r="X26" i="16"/>
  <c r="U26" i="16"/>
  <c r="V26" i="16" s="1"/>
  <c r="AK26" i="16" s="1"/>
  <c r="T29" i="16"/>
  <c r="W29" i="16" s="1"/>
  <c r="U29" i="16"/>
  <c r="V29" i="16" s="1"/>
  <c r="AK29" i="16" s="1"/>
  <c r="T15" i="16"/>
  <c r="U15" i="16"/>
  <c r="V15" i="16" s="1"/>
  <c r="X15" i="16"/>
  <c r="W26" i="16"/>
  <c r="S26" i="16"/>
  <c r="AK27" i="16"/>
  <c r="AJ27" i="16"/>
  <c r="C61" i="12"/>
  <c r="H5" i="5"/>
  <c r="D258" i="16" a="1"/>
  <c r="J290" i="16" a="1"/>
  <c r="H418" i="16" a="1"/>
  <c r="C182" i="12"/>
  <c r="H13" i="16" a="1"/>
  <c r="J202" i="4"/>
  <c r="H170" i="16" a="1"/>
  <c r="C294" i="9"/>
  <c r="D447" i="16" a="1"/>
  <c r="D343" i="16" a="1"/>
  <c r="J34" i="4"/>
  <c r="J453" i="16" a="1"/>
  <c r="C230" i="9"/>
  <c r="I167" i="4"/>
  <c r="H373" i="16" a="1"/>
  <c r="D327" i="16" a="1"/>
  <c r="D270" i="16" a="1"/>
  <c r="I40" i="5"/>
  <c r="C278" i="8"/>
  <c r="I417" i="16" a="1"/>
  <c r="I449" i="16" a="1"/>
  <c r="I239" i="16" a="1"/>
  <c r="C100" i="1" a="1"/>
  <c r="C30" i="12"/>
  <c r="F185" i="5"/>
  <c r="C201" i="10"/>
  <c r="I272" i="16" a="1"/>
  <c r="C231" i="12"/>
  <c r="C52" i="12"/>
  <c r="D402" i="16" a="1"/>
  <c r="C56" i="12"/>
  <c r="E90" i="5"/>
  <c r="K141" i="4"/>
  <c r="D454" i="16" a="1"/>
  <c r="I279" i="16" a="1"/>
  <c r="C301" i="10"/>
  <c r="I299" i="16" a="1"/>
  <c r="F54" i="5"/>
  <c r="I301" i="16" a="1"/>
  <c r="C238" i="11"/>
  <c r="F187" i="5"/>
  <c r="D335" i="16" a="1"/>
  <c r="D29" i="16" a="1"/>
  <c r="I177" i="16" a="1"/>
  <c r="H328" i="16" a="1"/>
  <c r="C176" i="12"/>
  <c r="J168" i="16" a="1"/>
  <c r="C177" i="10"/>
  <c r="C125" i="8"/>
  <c r="D227" i="16" a="1"/>
  <c r="C220" i="8"/>
  <c r="I218" i="16" a="1"/>
  <c r="H327" i="16" a="1"/>
  <c r="D441" i="16" a="1"/>
  <c r="F97" i="5"/>
  <c r="K77" i="5"/>
  <c r="I228" i="16" a="1"/>
  <c r="C249" i="11"/>
  <c r="C13" i="11"/>
  <c r="J151" i="16" a="1"/>
  <c r="C211" i="8"/>
  <c r="C179" i="10"/>
  <c r="C66" i="12"/>
  <c r="I254" i="16" a="1"/>
  <c r="C149" i="12"/>
  <c r="D349" i="16" a="1"/>
  <c r="J61" i="5"/>
  <c r="I333" i="16" a="1"/>
  <c r="I45" i="5"/>
  <c r="C223" i="10"/>
  <c r="C285" i="11"/>
  <c r="H26" i="4"/>
  <c r="C235" i="11"/>
  <c r="H452" i="16" a="1"/>
  <c r="J275" i="16" a="1"/>
  <c r="C149" i="10"/>
  <c r="C91" i="10"/>
  <c r="D142" i="16" a="1"/>
  <c r="C176" i="8"/>
  <c r="C158" i="10"/>
  <c r="F153" i="5"/>
  <c r="E149" i="5"/>
  <c r="H358" i="16" a="1"/>
  <c r="D222" i="16" a="1"/>
  <c r="H439" i="16" a="1"/>
  <c r="D415" i="16" a="1"/>
  <c r="I327" i="16" a="1"/>
  <c r="C71" i="10"/>
  <c r="J218" i="16" a="1"/>
  <c r="J16" i="16" a="1"/>
  <c r="C273" i="11"/>
  <c r="I153" i="5"/>
  <c r="H262" i="16" a="1"/>
  <c r="J197" i="4"/>
  <c r="D385" i="16" a="1"/>
  <c r="C229" i="10"/>
  <c r="C162" i="12"/>
  <c r="I123" i="16" a="1"/>
  <c r="C368" i="1" a="1"/>
  <c r="C181" i="11"/>
  <c r="C289" i="8"/>
  <c r="H216" i="16" a="1"/>
  <c r="C127" i="12"/>
  <c r="C64" i="11"/>
  <c r="H248" i="16" a="1"/>
  <c r="C147" i="8"/>
  <c r="C38" i="9"/>
  <c r="H129" i="5"/>
  <c r="C257" i="10"/>
  <c r="H375" i="16" a="1"/>
  <c r="I282" i="16" a="1"/>
  <c r="D289" i="16" a="1"/>
  <c r="H166" i="5"/>
  <c r="K123" i="5"/>
  <c r="H27" i="5"/>
  <c r="I403" i="16" a="1"/>
  <c r="J170" i="16" a="1"/>
  <c r="D242" i="16" a="1"/>
  <c r="C245" i="12"/>
  <c r="F176" i="5"/>
  <c r="I43" i="5"/>
  <c r="C265" i="12"/>
  <c r="C154" i="8"/>
  <c r="D235" i="16" a="1"/>
  <c r="C73" i="10"/>
  <c r="I31" i="5"/>
  <c r="D256" i="16" a="1"/>
  <c r="H177" i="16" a="1"/>
  <c r="H303" i="16" a="1"/>
  <c r="J129" i="16" a="1"/>
  <c r="H219" i="16" a="1"/>
  <c r="J180" i="16" a="1"/>
  <c r="I4" i="16" a="1"/>
  <c r="I131" i="5"/>
  <c r="H396" i="16" a="1"/>
  <c r="I173" i="16" a="1"/>
  <c r="I262" i="16" a="1"/>
  <c r="C282" i="12"/>
  <c r="H50" i="5"/>
  <c r="H31" i="5"/>
  <c r="J249" i="16" a="1"/>
  <c r="D260" i="16" a="1"/>
  <c r="I398" i="16" a="1"/>
  <c r="C156" i="11"/>
  <c r="H160" i="16" a="1"/>
  <c r="C51" i="9"/>
  <c r="D27" i="16" a="1"/>
  <c r="J171" i="16" a="1"/>
  <c r="H297" i="16" a="1"/>
  <c r="C216" i="12"/>
  <c r="C296" i="8"/>
  <c r="I243" i="16" a="1"/>
  <c r="J257" i="16" a="1"/>
  <c r="F108" i="4"/>
  <c r="H178" i="16" a="1"/>
  <c r="C34" i="9"/>
  <c r="C141" i="8"/>
  <c r="C284" i="11"/>
  <c r="J258" i="16" a="1"/>
  <c r="I332" i="16" a="1"/>
  <c r="I129" i="4"/>
  <c r="C150" i="12"/>
  <c r="K172" i="5"/>
  <c r="I126" i="16" a="1"/>
  <c r="C204" i="8"/>
  <c r="D440" i="16" a="1"/>
  <c r="K184" i="5"/>
  <c r="C208" i="8"/>
  <c r="C234" i="8"/>
  <c r="C39" i="8"/>
  <c r="H159" i="16" a="1"/>
  <c r="I308" i="16" a="1"/>
  <c r="C129" i="10"/>
  <c r="I151" i="4"/>
  <c r="C271" i="12"/>
  <c r="E187" i="5"/>
  <c r="J189" i="5"/>
  <c r="H156" i="16" a="1"/>
  <c r="C94" i="11"/>
  <c r="I303" i="16" a="1"/>
  <c r="J198" i="16" a="1"/>
  <c r="E183" i="4"/>
  <c r="H412" i="16" a="1"/>
  <c r="H29" i="16" a="1"/>
  <c r="C288" i="12"/>
  <c r="J140" i="4"/>
  <c r="C153" i="11"/>
  <c r="J442" i="16" a="1"/>
  <c r="E170" i="5"/>
  <c r="C260" i="9"/>
  <c r="I122" i="16" a="1"/>
  <c r="J13" i="16" a="1"/>
  <c r="H9" i="16" a="1"/>
  <c r="H263" i="16" a="1"/>
  <c r="J237" i="16" a="1"/>
  <c r="H425" i="16" a="1"/>
  <c r="D175" i="16" a="1"/>
  <c r="F192" i="5"/>
  <c r="J385" i="16" a="1"/>
  <c r="C78" i="9"/>
  <c r="D233" i="16" a="1"/>
  <c r="C195" i="11"/>
  <c r="C80" i="1" a="1"/>
  <c r="C20" i="10"/>
  <c r="C221" i="11"/>
  <c r="C142" i="10"/>
  <c r="J32" i="5"/>
  <c r="I320" i="16" a="1"/>
  <c r="D325" i="16" a="1"/>
  <c r="I180" i="5"/>
  <c r="C6" i="10"/>
  <c r="E146" i="4"/>
  <c r="D225" i="16" a="1"/>
  <c r="I82" i="5"/>
  <c r="J7" i="4"/>
  <c r="C40" i="11"/>
  <c r="J123" i="5"/>
  <c r="H207" i="16" a="1"/>
  <c r="F132" i="5"/>
  <c r="C44" i="10"/>
  <c r="I137" i="16" a="1"/>
  <c r="H349" i="16" a="1"/>
  <c r="C57" i="8"/>
  <c r="C74" i="8"/>
  <c r="C49" i="11"/>
  <c r="C304" i="9"/>
  <c r="C35" i="8"/>
  <c r="C277" i="11"/>
  <c r="C45" i="11"/>
  <c r="C293" i="8"/>
  <c r="C206" i="11"/>
  <c r="C112" i="8"/>
  <c r="H403" i="16" a="1"/>
  <c r="D411" i="16" a="1"/>
  <c r="C116" i="10"/>
  <c r="I248" i="16" a="1"/>
  <c r="C141" i="9"/>
  <c r="I355" i="16" a="1"/>
  <c r="J137" i="16" a="1"/>
  <c r="I340" i="16" a="1"/>
  <c r="C150" i="9"/>
  <c r="C120" i="11"/>
  <c r="D271" i="16" a="1"/>
  <c r="D336" i="16" a="1"/>
  <c r="J433" i="16" a="1"/>
  <c r="H389" i="16" a="1"/>
  <c r="I86" i="5"/>
  <c r="C231" i="10"/>
  <c r="J184" i="5"/>
  <c r="H146" i="16" a="1"/>
  <c r="D259" i="16" a="1"/>
  <c r="C300" i="11"/>
  <c r="J278" i="16" a="1"/>
  <c r="E199" i="5"/>
  <c r="D371" i="16" a="1"/>
  <c r="C210" i="9"/>
  <c r="J156" i="16" a="1"/>
  <c r="I187" i="5"/>
  <c r="F93" i="5"/>
  <c r="J158" i="16" a="1"/>
  <c r="E147" i="4"/>
  <c r="J166" i="5"/>
  <c r="C77" i="10"/>
  <c r="H333" i="16" a="1"/>
  <c r="C273" i="1"/>
  <c r="C85" i="1" a="1"/>
  <c r="D255" i="16" a="1"/>
  <c r="H433" i="16" a="1"/>
  <c r="C284" i="8"/>
  <c r="C43" i="10"/>
  <c r="J86" i="5"/>
  <c r="C184" i="10"/>
  <c r="C223" i="9"/>
  <c r="J327" i="16" a="1"/>
  <c r="C194" i="12"/>
  <c r="J154" i="16" a="1"/>
  <c r="C63" i="10"/>
  <c r="C75" i="12"/>
  <c r="H160" i="4"/>
  <c r="C200" i="9"/>
  <c r="C286" i="11"/>
  <c r="H182" i="16" a="1"/>
  <c r="J10" i="5"/>
  <c r="D419" i="16" a="1"/>
  <c r="H390" i="16" a="1"/>
  <c r="D380" i="16" a="1"/>
  <c r="C221" i="9"/>
  <c r="J165" i="16" a="1"/>
  <c r="D232" i="16" a="1"/>
  <c r="C52" i="8"/>
  <c r="J112" i="5"/>
  <c r="C254" i="12"/>
  <c r="J154" i="4"/>
  <c r="H120" i="5"/>
  <c r="D123" i="16" a="1"/>
  <c r="H201" i="16" a="1"/>
  <c r="C52" i="11"/>
  <c r="I236" i="16" a="1"/>
  <c r="C226" i="12"/>
  <c r="K68" i="5"/>
  <c r="D186" i="16" a="1"/>
  <c r="C135" i="11"/>
  <c r="D193" i="16" a="1"/>
  <c r="I365" i="16" a="1"/>
  <c r="C27" i="11"/>
  <c r="C244" i="11"/>
  <c r="D128" i="16" a="1"/>
  <c r="H156" i="5"/>
  <c r="C254" i="11"/>
  <c r="D161" i="16" a="1"/>
  <c r="H202" i="16" a="1"/>
  <c r="J135" i="16" a="1"/>
  <c r="C30" i="1" a="1"/>
  <c r="C198" i="9"/>
  <c r="D404" i="16" a="1"/>
  <c r="J393" i="16" a="1"/>
  <c r="I281" i="16" a="1"/>
  <c r="C204" i="10"/>
  <c r="I50" i="5"/>
  <c r="J166" i="16" a="1"/>
  <c r="I70" i="5"/>
  <c r="I92" i="4"/>
  <c r="J212" i="16" a="1"/>
  <c r="C232" i="12"/>
  <c r="I121" i="16" a="1"/>
  <c r="D146" i="16" a="1"/>
  <c r="J252" i="16" a="1"/>
  <c r="H180" i="5"/>
  <c r="C258" i="12"/>
  <c r="J165" i="5"/>
  <c r="D320" i="16" a="1"/>
  <c r="C43" i="9"/>
  <c r="C129" i="12"/>
  <c r="I394" i="16" a="1"/>
  <c r="C294" i="8"/>
  <c r="I153" i="16" a="1"/>
  <c r="I198" i="4"/>
  <c r="C100" i="11"/>
  <c r="J196" i="16" a="1"/>
  <c r="I430" i="16" a="1"/>
  <c r="D250" i="16" a="1"/>
  <c r="D279" i="16" a="1"/>
  <c r="H204" i="16" a="1"/>
  <c r="C68" i="9"/>
  <c r="C247" i="10"/>
  <c r="H18" i="16" a="1"/>
  <c r="J353" i="16" a="1"/>
  <c r="C126" i="10"/>
  <c r="C264" i="10"/>
  <c r="H370" i="16" a="1"/>
  <c r="K154" i="5"/>
  <c r="H309" i="16" a="1"/>
  <c r="J210" i="16" a="1"/>
  <c r="F148" i="5"/>
  <c r="E165" i="4"/>
  <c r="C59" i="8"/>
  <c r="D153" i="16" a="1"/>
  <c r="J18" i="16" a="1"/>
  <c r="J449" i="16" a="1"/>
  <c r="C258" i="8"/>
  <c r="E167" i="4"/>
  <c r="K59" i="4"/>
  <c r="C199" i="10"/>
  <c r="C290" i="12"/>
  <c r="C279" i="9"/>
  <c r="C271" i="9"/>
  <c r="H171" i="4"/>
  <c r="J144" i="16" a="1"/>
  <c r="H172" i="16" a="1"/>
  <c r="I210" i="16" a="1"/>
  <c r="D166" i="16" a="1"/>
  <c r="C157" i="8"/>
  <c r="F21" i="4"/>
  <c r="D418" i="16" a="1"/>
  <c r="J365" i="16" a="1"/>
  <c r="J160" i="4"/>
  <c r="C51" i="11"/>
  <c r="J286" i="16" a="1"/>
  <c r="I78" i="5"/>
  <c r="I277" i="16" a="1"/>
  <c r="F205" i="5"/>
  <c r="I150" i="5"/>
  <c r="I314" i="16" a="1"/>
  <c r="F25" i="5"/>
  <c r="C93" i="9"/>
  <c r="C120" i="10"/>
  <c r="H318" i="16" a="1"/>
  <c r="C226" i="9"/>
  <c r="I81" i="5"/>
  <c r="C56" i="1" a="1"/>
  <c r="J324" i="16" a="1"/>
  <c r="I21" i="5"/>
  <c r="I362" i="16" a="1"/>
  <c r="C197" i="8"/>
  <c r="E176" i="5"/>
  <c r="C118" i="1" a="1"/>
  <c r="C259" i="12"/>
  <c r="J238" i="16" a="1"/>
  <c r="C7" i="9"/>
  <c r="D311" i="16" a="1"/>
  <c r="C223" i="8"/>
  <c r="C107" i="8"/>
  <c r="C95" i="12"/>
  <c r="I126" i="5"/>
  <c r="I114" i="5"/>
  <c r="C160" i="10"/>
  <c r="H437" i="16" a="1"/>
  <c r="C64" i="9"/>
  <c r="I448" i="16" a="1"/>
  <c r="C184" i="9"/>
  <c r="C101" i="10"/>
  <c r="C111" i="12"/>
  <c r="H312" i="16" a="1"/>
  <c r="J301" i="16" a="1"/>
  <c r="I310" i="16" a="1"/>
  <c r="C64" i="12"/>
  <c r="C195" i="9"/>
  <c r="C128" i="10"/>
  <c r="C185" i="9"/>
  <c r="H175" i="4"/>
  <c r="J281" i="16" a="1"/>
  <c r="I22" i="5"/>
  <c r="H419" i="16" a="1"/>
  <c r="C8" i="12"/>
  <c r="H222" i="16" a="1"/>
  <c r="C174" i="9"/>
  <c r="I90" i="5"/>
  <c r="H348" i="16" a="1"/>
  <c r="J430" i="16" a="1"/>
  <c r="C110" i="11"/>
  <c r="C109" i="9"/>
  <c r="H210" i="16" a="1"/>
  <c r="H152" i="5"/>
  <c r="K49" i="4"/>
  <c r="J188" i="5"/>
  <c r="C50" i="9"/>
  <c r="C94" i="9"/>
  <c r="J445" i="16" a="1"/>
  <c r="I188" i="5"/>
  <c r="C147" i="10"/>
  <c r="H165" i="16" a="1"/>
  <c r="I196" i="16" a="1"/>
  <c r="I127" i="16" a="1"/>
  <c r="C221" i="10"/>
  <c r="F136" i="5"/>
  <c r="K200" i="5"/>
  <c r="J323" i="16" a="1"/>
  <c r="H292" i="16" a="1"/>
  <c r="K100" i="5"/>
  <c r="C187" i="11"/>
  <c r="H391" i="16" a="1"/>
  <c r="H329" i="16" a="1"/>
  <c r="F20" i="5"/>
  <c r="C186" i="11"/>
  <c r="C15" i="10"/>
  <c r="D127" i="16" a="1"/>
  <c r="C96" i="1" a="1"/>
  <c r="J452" i="16" a="1"/>
  <c r="D427" i="16" a="1"/>
  <c r="H36" i="5"/>
  <c r="H340" i="16" a="1"/>
  <c r="D422" i="16" a="1"/>
  <c r="H228" i="16" a="1"/>
  <c r="C163" i="12"/>
  <c r="K14" i="5"/>
  <c r="C175" i="8"/>
  <c r="J164" i="16" a="1"/>
  <c r="I196" i="5"/>
  <c r="C203" i="12"/>
  <c r="D267" i="16" a="1"/>
  <c r="I273" i="16" a="1"/>
  <c r="D138" i="16" a="1"/>
  <c r="J280" i="16" a="1"/>
  <c r="D22" i="16" a="1"/>
  <c r="I420" i="16" a="1"/>
  <c r="K26" i="5"/>
  <c r="C193" i="9"/>
  <c r="C183" i="8"/>
  <c r="H109" i="5"/>
  <c r="H401" i="16" a="1"/>
  <c r="E53" i="4"/>
  <c r="F60" i="4"/>
  <c r="K204" i="5"/>
  <c r="D181" i="16" a="1"/>
  <c r="H142" i="4"/>
  <c r="C162" i="9"/>
  <c r="C7" i="8"/>
  <c r="C83" i="9"/>
  <c r="C269" i="9"/>
  <c r="I121" i="4"/>
  <c r="D228" i="16" a="1"/>
  <c r="C12" i="10"/>
  <c r="C304" i="11"/>
  <c r="H376" i="16" a="1"/>
  <c r="J153" i="16" a="1"/>
  <c r="H250" i="16" a="1"/>
  <c r="C118" i="12"/>
  <c r="C187" i="9"/>
  <c r="I135" i="16" a="1"/>
  <c r="I164" i="16" a="1"/>
  <c r="F141" i="4"/>
  <c r="C175" i="11"/>
  <c r="J172" i="5"/>
  <c r="I145" i="5"/>
  <c r="J174" i="5"/>
  <c r="H214" i="16" a="1"/>
  <c r="H353" i="16" a="1"/>
  <c r="J342" i="16" a="1"/>
  <c r="C91" i="8"/>
  <c r="K130" i="5"/>
  <c r="C455" i="1" a="1"/>
  <c r="C73" i="9"/>
  <c r="I373" i="16" a="1"/>
  <c r="C77" i="12"/>
  <c r="C22" i="12"/>
  <c r="F44" i="4"/>
  <c r="J162" i="16" a="1"/>
  <c r="H131" i="16" a="1"/>
  <c r="H218" i="16" a="1"/>
  <c r="C127" i="10"/>
  <c r="C258" i="9"/>
  <c r="E153" i="5"/>
  <c r="C171" i="12"/>
  <c r="D13" i="16" a="1"/>
  <c r="I408" i="16" a="1"/>
  <c r="C206" i="9"/>
  <c r="D456" i="16" a="1"/>
  <c r="C25" i="12"/>
  <c r="E127" i="5"/>
  <c r="I423" i="16" a="1"/>
  <c r="I148" i="16" a="1"/>
  <c r="I146" i="5"/>
  <c r="K86" i="5"/>
  <c r="J141" i="16" a="1"/>
  <c r="I372" i="16" a="1"/>
  <c r="H421" i="16" a="1"/>
  <c r="H169" i="16" a="1"/>
  <c r="C21" i="11"/>
  <c r="D239" i="16" a="1"/>
  <c r="I361" i="16" a="1"/>
  <c r="J282" i="16" a="1"/>
  <c r="J291" i="16" a="1"/>
  <c r="C193" i="12"/>
  <c r="C304" i="12"/>
  <c r="C63" i="11"/>
  <c r="J221" i="16" a="1"/>
  <c r="D148" i="16" a="1"/>
  <c r="H230" i="16" a="1"/>
  <c r="K85" i="5"/>
  <c r="I41" i="5"/>
  <c r="H193" i="16" a="1"/>
  <c r="H286" i="16" a="1"/>
  <c r="E77" i="5"/>
  <c r="H383" i="16" a="1"/>
  <c r="I138" i="4"/>
  <c r="C275" i="9"/>
  <c r="I24" i="16" a="1"/>
  <c r="J136" i="16" a="1"/>
  <c r="K133" i="4"/>
  <c r="C143" i="9"/>
  <c r="H420" i="16" a="1"/>
  <c r="H315" i="16" a="1"/>
  <c r="F158" i="4"/>
  <c r="C180" i="12"/>
  <c r="I376" i="16" a="1"/>
  <c r="J248" i="16" a="1"/>
  <c r="J271" i="16" a="1"/>
  <c r="J429" i="16" a="1"/>
  <c r="H80" i="4"/>
  <c r="D203" i="16" a="1"/>
  <c r="F99" i="5"/>
  <c r="C229" i="9"/>
  <c r="C192" i="11"/>
  <c r="C43" i="11"/>
  <c r="J302" i="16" a="1"/>
  <c r="C45" i="10"/>
  <c r="C69" i="11"/>
  <c r="D124" i="16" a="1"/>
  <c r="C56" i="10"/>
  <c r="C181" i="9"/>
  <c r="K148" i="5"/>
  <c r="D351" i="16" a="1"/>
  <c r="C215" i="12"/>
  <c r="J321" i="16" a="1"/>
  <c r="J357" i="16" a="1"/>
  <c r="C41" i="10"/>
  <c r="I274" i="16" a="1"/>
  <c r="C74" i="12"/>
  <c r="C219" i="9"/>
  <c r="C262" i="9"/>
  <c r="K93" i="5"/>
  <c r="I249" i="16" a="1"/>
  <c r="D291" i="16" a="1"/>
  <c r="I334" i="16" a="1"/>
  <c r="C305" i="10"/>
  <c r="I191" i="5"/>
  <c r="F166" i="4"/>
  <c r="I432" i="16" a="1"/>
  <c r="C152" i="10"/>
  <c r="F65" i="5"/>
  <c r="J177" i="16" a="1"/>
  <c r="J140" i="5"/>
  <c r="D284" i="16" a="1"/>
  <c r="C6" i="12"/>
  <c r="C95" i="8"/>
  <c r="C227" i="11"/>
  <c r="H37" i="5"/>
  <c r="H175" i="16" a="1"/>
  <c r="I434" i="16" a="1"/>
  <c r="D339" i="16" a="1"/>
  <c r="I230" i="16" a="1"/>
  <c r="I258" i="16" a="1"/>
  <c r="C145" i="12"/>
  <c r="D207" i="16" a="1"/>
  <c r="I439" i="16" a="1"/>
  <c r="D282" i="16" a="1"/>
  <c r="H237" i="16" a="1"/>
  <c r="I69" i="5"/>
  <c r="C207" i="12"/>
  <c r="K44" i="5"/>
  <c r="I172" i="16" a="1"/>
  <c r="I195" i="5"/>
  <c r="K174" i="5"/>
  <c r="F81" i="5"/>
  <c r="C11" i="8"/>
  <c r="C53" i="9"/>
  <c r="D137" i="16" a="1"/>
  <c r="C291" i="10"/>
  <c r="J204" i="16" a="1"/>
  <c r="E21" i="4"/>
  <c r="C265" i="11"/>
  <c r="C66" i="8"/>
  <c r="H276" i="16" a="1"/>
  <c r="E25" i="4"/>
  <c r="I196" i="4"/>
  <c r="J77" i="5"/>
  <c r="K202" i="4"/>
  <c r="D353" i="16" a="1"/>
  <c r="C269" i="11"/>
  <c r="E200" i="5"/>
  <c r="C200" i="8"/>
  <c r="K48" i="5"/>
  <c r="F128" i="4"/>
  <c r="C266" i="8"/>
  <c r="J180" i="5"/>
  <c r="C213" i="12"/>
  <c r="D378" i="16" a="1"/>
  <c r="C117" i="10"/>
  <c r="D321" i="16" a="1"/>
  <c r="I161" i="4"/>
  <c r="H10" i="16" a="1"/>
  <c r="C156" i="10"/>
  <c r="I338" i="16" a="1"/>
  <c r="H377" i="16" a="1"/>
  <c r="D163" i="16" a="1"/>
  <c r="J24" i="5"/>
  <c r="C147" i="11"/>
  <c r="J303" i="16" a="1"/>
  <c r="H432" i="16" a="1"/>
  <c r="J277" i="16" a="1"/>
  <c r="H142" i="5"/>
  <c r="F166" i="5"/>
  <c r="I32" i="16" a="1"/>
  <c r="C217" i="12"/>
  <c r="C56" i="8"/>
  <c r="C233" i="10"/>
  <c r="C135" i="12"/>
  <c r="C108" i="12"/>
  <c r="J206" i="16" a="1"/>
  <c r="C33" i="12"/>
  <c r="H422" i="16" a="1"/>
  <c r="H40" i="5"/>
  <c r="H183" i="16" a="1"/>
  <c r="I458" i="16" a="1"/>
  <c r="C292" i="11"/>
  <c r="C27" i="9"/>
  <c r="D382" i="16" a="1"/>
  <c r="H289" i="16" a="1"/>
  <c r="C166" i="10"/>
  <c r="C298" i="8"/>
  <c r="J176" i="16" a="1"/>
  <c r="C18" i="8"/>
  <c r="H171" i="16" a="1"/>
  <c r="F129" i="5"/>
  <c r="J50" i="4"/>
  <c r="I175" i="5"/>
  <c r="H163" i="16" a="1"/>
  <c r="D302" i="16" a="1"/>
  <c r="C165" i="9"/>
  <c r="C90" i="10"/>
  <c r="C101" i="12"/>
  <c r="I389" i="16" a="1"/>
  <c r="C143" i="8"/>
  <c r="C180" i="10"/>
  <c r="F84" i="5"/>
  <c r="K170" i="5"/>
  <c r="F112" i="5"/>
  <c r="H39" i="4"/>
  <c r="C99" i="12"/>
  <c r="C77" i="11"/>
  <c r="C173" i="8"/>
  <c r="E117" i="5"/>
  <c r="I169" i="16" a="1"/>
  <c r="I84" i="5"/>
  <c r="C116" i="12"/>
  <c r="C83" i="11"/>
  <c r="C23" i="8"/>
  <c r="J132" i="16" a="1"/>
  <c r="E181" i="5"/>
  <c r="C236" i="9"/>
  <c r="J131" i="5"/>
  <c r="I457" i="16" a="1"/>
  <c r="H449" i="16" a="1"/>
  <c r="C90" i="9"/>
  <c r="D332" i="16" a="1"/>
  <c r="C227" i="12"/>
  <c r="I166" i="5"/>
  <c r="J287" i="16" a="1"/>
  <c r="C70" i="9"/>
  <c r="C15" i="12"/>
  <c r="D266" i="16" a="1"/>
  <c r="J163" i="16" a="1"/>
  <c r="J104" i="5"/>
  <c r="C288" i="9"/>
  <c r="H443" i="16" a="1"/>
  <c r="C242" i="9"/>
  <c r="H388" i="16" a="1"/>
  <c r="D434" i="16" a="1"/>
  <c r="C295" i="9"/>
  <c r="J211" i="16" a="1"/>
  <c r="J331" i="16" a="1"/>
  <c r="C248" i="8"/>
  <c r="C226" i="11"/>
  <c r="K20" i="4"/>
  <c r="C33" i="11"/>
  <c r="C304" i="8"/>
  <c r="C175" i="9"/>
  <c r="H161" i="16" a="1"/>
  <c r="C277" i="10"/>
  <c r="J428" i="16" a="1"/>
  <c r="I418" i="16" a="1"/>
  <c r="C158" i="8"/>
  <c r="C274" i="10"/>
  <c r="J195" i="16" a="1"/>
  <c r="C31" i="8"/>
  <c r="D387" i="16" a="1"/>
  <c r="F46" i="4"/>
  <c r="D337" i="16" a="1"/>
  <c r="C256" i="9"/>
  <c r="C232" i="8"/>
  <c r="C90" i="11"/>
  <c r="K164" i="5"/>
  <c r="C84" i="12"/>
  <c r="I143" i="4"/>
  <c r="I93" i="5"/>
  <c r="D277" i="16" a="1"/>
  <c r="C211" i="11"/>
  <c r="H156" i="4"/>
  <c r="C296" i="12"/>
  <c r="H81" i="5"/>
  <c r="C74" i="11"/>
  <c r="C98" i="9"/>
  <c r="C61" i="9"/>
  <c r="C248" i="12"/>
  <c r="E112" i="5"/>
  <c r="C93" i="11"/>
  <c r="C82" i="11"/>
  <c r="D449" i="16" a="1"/>
  <c r="D354" i="16" a="1"/>
  <c r="D304" i="16" a="1"/>
  <c r="C91" i="9"/>
  <c r="C17" i="10"/>
  <c r="C44" i="12"/>
  <c r="E107" i="5"/>
  <c r="C7" i="12"/>
  <c r="J133" i="5"/>
  <c r="I438" i="16" a="1"/>
  <c r="C87" i="8"/>
  <c r="C177" i="11"/>
  <c r="H424" i="16" a="1"/>
  <c r="H205" i="5"/>
  <c r="C275" i="11"/>
  <c r="J352" i="16" a="1"/>
  <c r="C57" i="12"/>
  <c r="J186" i="16" a="1"/>
  <c r="C246" i="8"/>
  <c r="H307" i="16" a="1"/>
  <c r="H201" i="4"/>
  <c r="I152" i="5"/>
  <c r="D453" i="16" a="1"/>
  <c r="C253" i="8"/>
  <c r="J22" i="16" a="1"/>
  <c r="J174" i="16" a="1"/>
  <c r="C302" i="11"/>
  <c r="H144" i="5"/>
  <c r="C72" i="11"/>
  <c r="J410" i="16" a="1"/>
  <c r="C247" i="11"/>
  <c r="C103" i="11"/>
  <c r="E116" i="5"/>
  <c r="J20" i="16" a="1"/>
  <c r="J107" i="4"/>
  <c r="J117" i="5"/>
  <c r="F139" i="4"/>
  <c r="D314" i="16" a="1"/>
  <c r="F107" i="5"/>
  <c r="C73" i="12"/>
  <c r="C252" i="11"/>
  <c r="I399" i="16" a="1"/>
  <c r="I278" i="16" a="1"/>
  <c r="I370" i="16" a="1"/>
  <c r="H258" i="16" a="1"/>
  <c r="H97" i="5"/>
  <c r="J401" i="16" a="1"/>
  <c r="C211" i="10"/>
  <c r="C34" i="11"/>
  <c r="E135" i="4"/>
  <c r="J101" i="5"/>
  <c r="H173" i="4"/>
  <c r="C109" i="10"/>
  <c r="E134" i="5"/>
  <c r="C503" i="1" a="1"/>
  <c r="H231" i="16" a="1"/>
  <c r="H459" i="16" a="1"/>
  <c r="C107" i="11"/>
  <c r="C255" i="11"/>
  <c r="E50" i="5"/>
  <c r="I178" i="5"/>
  <c r="C236" i="11"/>
  <c r="F102" i="5"/>
  <c r="H360" i="16" a="1"/>
  <c r="C247" i="9"/>
  <c r="C399" i="1" a="1"/>
  <c r="J128" i="4"/>
  <c r="I367" i="16" a="1"/>
  <c r="C217" i="1" a="1"/>
  <c r="H337" i="16" a="1"/>
  <c r="H372" i="16" a="1"/>
  <c r="C73" i="11"/>
  <c r="C193" i="10"/>
  <c r="I136" i="16" a="1"/>
  <c r="F86" i="5"/>
  <c r="K170" i="4"/>
  <c r="I199" i="16" a="1"/>
  <c r="I206" i="16" a="1"/>
  <c r="I286" i="16" a="1"/>
  <c r="F127" i="5"/>
  <c r="J201" i="16" a="1"/>
  <c r="J419" i="16" a="1"/>
  <c r="J307" i="16" a="1"/>
  <c r="C280" i="9"/>
  <c r="C152" i="11"/>
  <c r="C163" i="10"/>
  <c r="E139" i="4"/>
  <c r="K198" i="5"/>
  <c r="J197" i="16" a="1"/>
  <c r="F95" i="4"/>
  <c r="J235" i="16" a="1"/>
  <c r="C133" i="9"/>
  <c r="I406" i="16" a="1"/>
  <c r="I166" i="16" a="1"/>
  <c r="C285" i="8"/>
  <c r="D303" i="16" a="1"/>
  <c r="C237" i="8"/>
  <c r="H173" i="5"/>
  <c r="C132" i="9"/>
  <c r="D309" i="16" a="1"/>
  <c r="D196" i="16" a="1"/>
  <c r="H112" i="5"/>
  <c r="I296" i="16" a="1"/>
  <c r="K194" i="5"/>
  <c r="C391" i="1" a="1"/>
  <c r="C257" i="12"/>
  <c r="H304" i="16" a="1"/>
  <c r="C165" i="10"/>
  <c r="H215" i="16" a="1"/>
  <c r="J30" i="16" a="1"/>
  <c r="H311" i="16" a="1"/>
  <c r="C288" i="11"/>
  <c r="C291" i="1"/>
  <c r="C214" i="8"/>
  <c r="J334" i="16" a="1"/>
  <c r="J402" i="16" a="1"/>
  <c r="I134" i="16" a="1"/>
  <c r="C240" i="8"/>
  <c r="C81" i="10"/>
  <c r="D322" i="16" a="1"/>
  <c r="J260" i="16" a="1"/>
  <c r="C205" i="9"/>
  <c r="J361" i="16" a="1"/>
  <c r="H132" i="4"/>
  <c r="I60" i="5"/>
  <c r="K185" i="5"/>
  <c r="C114" i="11"/>
  <c r="J46" i="5"/>
  <c r="I294" i="16" a="1"/>
  <c r="F113" i="4"/>
  <c r="D461" i="16" a="1"/>
  <c r="H434" i="16" a="1"/>
  <c r="I170" i="16" a="1"/>
  <c r="H91" i="5"/>
  <c r="J304" i="16" a="1"/>
  <c r="C262" i="11"/>
  <c r="H211" i="16" a="1"/>
  <c r="C149" i="9"/>
  <c r="J458" i="16" a="1"/>
  <c r="J339" i="16" a="1"/>
  <c r="H128" i="5"/>
  <c r="C57" i="10"/>
  <c r="E146" i="5"/>
  <c r="C378" i="1" a="1"/>
  <c r="D263" i="16" a="1"/>
  <c r="F9" i="5"/>
  <c r="J110" i="5"/>
  <c r="D134" i="16" a="1"/>
  <c r="C274" i="8"/>
  <c r="H150" i="16" a="1"/>
  <c r="D375" i="16" a="1"/>
  <c r="C58" i="11"/>
  <c r="C97" i="9"/>
  <c r="F139" i="5"/>
  <c r="J438" i="16" a="1"/>
  <c r="C207" i="9"/>
  <c r="H283" i="16" a="1"/>
  <c r="I174" i="5"/>
  <c r="J94" i="5"/>
  <c r="H25" i="16" a="1"/>
  <c r="C299" i="12"/>
  <c r="I130" i="5"/>
  <c r="J261" i="16" a="1"/>
  <c r="C109" i="11"/>
  <c r="J139" i="16" a="1"/>
  <c r="I346" i="16" a="1"/>
  <c r="C118" i="11"/>
  <c r="C226" i="8"/>
  <c r="F55" i="5"/>
  <c r="C254" i="10"/>
  <c r="J270" i="16" a="1"/>
  <c r="H140" i="16" a="1"/>
  <c r="D247" i="16" a="1"/>
  <c r="E204" i="4"/>
  <c r="D165" i="16" a="1"/>
  <c r="I128" i="16" a="1"/>
  <c r="I435" i="16" a="1"/>
  <c r="E97" i="5"/>
  <c r="C139" i="11"/>
  <c r="C91" i="11"/>
  <c r="C199" i="8"/>
  <c r="I283" i="16" a="1"/>
  <c r="I51" i="5"/>
  <c r="I124" i="16" a="1"/>
  <c r="C171" i="9"/>
  <c r="J256" i="16" a="1"/>
  <c r="J10" i="4"/>
  <c r="H345" i="16" a="1"/>
  <c r="H260" i="16" a="1"/>
  <c r="I223" i="16" a="1"/>
  <c r="D428" i="16" a="1"/>
  <c r="D158" i="16" a="1"/>
  <c r="I328" i="16" a="1"/>
  <c r="J145" i="16" a="1"/>
  <c r="C121" i="8"/>
  <c r="C160" i="8"/>
  <c r="J141" i="5"/>
  <c r="I194" i="16" a="1"/>
  <c r="C174" i="8"/>
  <c r="C263" i="9"/>
  <c r="K24" i="4"/>
  <c r="H251" i="16" a="1"/>
  <c r="I368" i="16" a="1"/>
  <c r="D450" i="16" a="1"/>
  <c r="K196" i="5"/>
  <c r="C147" i="9"/>
  <c r="D156" i="16" a="1"/>
  <c r="J369" i="16" a="1"/>
  <c r="E30" i="5"/>
  <c r="C36" i="12"/>
  <c r="C177" i="1" a="1"/>
  <c r="C271" i="11"/>
  <c r="H35" i="5"/>
  <c r="I188" i="4"/>
  <c r="H378" i="16" a="1"/>
  <c r="H426" i="16" a="1"/>
  <c r="H203" i="16" a="1"/>
  <c r="C50" i="8"/>
  <c r="K206" i="5"/>
  <c r="E201" i="5"/>
  <c r="C100" i="8"/>
  <c r="C74" i="9"/>
  <c r="D217" i="16" a="1"/>
  <c r="C84" i="11"/>
  <c r="C239" i="11"/>
  <c r="J173" i="16" a="1"/>
  <c r="C97" i="12"/>
  <c r="C65" i="11"/>
  <c r="K183" i="5"/>
  <c r="C114" i="10"/>
  <c r="C274" i="12"/>
  <c r="E195" i="4"/>
  <c r="J185" i="16" a="1"/>
  <c r="I405" i="16" a="1"/>
  <c r="C104" i="10"/>
  <c r="D329" i="16" a="1"/>
  <c r="D410" i="16" a="1"/>
  <c r="C143" i="10"/>
  <c r="J142" i="16" a="1"/>
  <c r="C117" i="12"/>
  <c r="E187" i="4"/>
  <c r="I307" i="16" a="1"/>
  <c r="C99" i="1" a="1"/>
  <c r="C231" i="11"/>
  <c r="C167" i="8"/>
  <c r="D436" i="16" a="1"/>
  <c r="H259" i="16" a="1"/>
  <c r="E176" i="4"/>
  <c r="J259" i="16" a="1"/>
  <c r="J137" i="4"/>
  <c r="C295" i="10"/>
  <c r="J389" i="16" a="1"/>
  <c r="C156" i="12"/>
  <c r="H381" i="16" a="1"/>
  <c r="J83" i="4"/>
  <c r="D198" i="16" a="1"/>
  <c r="H183" i="4"/>
  <c r="H407" i="16" a="1"/>
  <c r="D408" i="16" a="1"/>
  <c r="J152" i="5"/>
  <c r="C218" i="12"/>
  <c r="J216" i="16" a="1"/>
  <c r="H343" i="16" a="1"/>
  <c r="J276" i="16" a="1"/>
  <c r="D359" i="16" a="1"/>
  <c r="I348" i="16" a="1"/>
  <c r="C86" i="12"/>
  <c r="K82" i="5"/>
  <c r="H158" i="16" a="1"/>
  <c r="D398" i="16" a="1"/>
  <c r="C284" i="9"/>
  <c r="H190" i="4"/>
  <c r="C36" i="10"/>
  <c r="F94" i="5"/>
  <c r="I231" i="16" a="1"/>
  <c r="H148" i="16" a="1"/>
  <c r="C196" i="11"/>
  <c r="C212" i="10"/>
  <c r="C179" i="8"/>
  <c r="C210" i="10"/>
  <c r="C41" i="9"/>
  <c r="I363" i="16" a="1"/>
  <c r="C255" i="10"/>
  <c r="I189" i="16" a="1"/>
  <c r="J436" i="16" a="1"/>
  <c r="H302" i="16" a="1"/>
  <c r="C75" i="8"/>
  <c r="H296" i="16" a="1"/>
  <c r="D301" i="16" a="1"/>
  <c r="K5" i="5"/>
  <c r="D214" i="16" a="1"/>
  <c r="C125" i="11"/>
  <c r="J227" i="16" a="1"/>
  <c r="J317" i="16" a="1"/>
  <c r="I91" i="5"/>
  <c r="C225" i="12"/>
  <c r="C406" i="1" a="1"/>
  <c r="H352" i="16" a="1"/>
  <c r="H368" i="16" a="1"/>
  <c r="J27" i="16" a="1"/>
  <c r="C99" i="11"/>
  <c r="J103" i="5"/>
  <c r="J446" i="16" a="1"/>
  <c r="J155" i="4"/>
  <c r="I356" i="16" a="1"/>
  <c r="C213" i="10"/>
  <c r="C176" i="9"/>
  <c r="I19" i="16" a="1"/>
  <c r="H235" i="16" a="1"/>
  <c r="C234" i="10"/>
  <c r="D209" i="16" a="1"/>
  <c r="C158" i="11"/>
  <c r="J265" i="16" a="1"/>
  <c r="E154" i="4"/>
  <c r="K151" i="5"/>
  <c r="D344" i="16" a="1"/>
  <c r="D251" i="16" a="1"/>
  <c r="I192" i="16" a="1"/>
  <c r="H33" i="16" a="1"/>
  <c r="C303" i="11"/>
  <c r="H249" i="16" a="1"/>
  <c r="I259" i="16" a="1"/>
  <c r="C229" i="11"/>
  <c r="D262" i="16" a="1"/>
  <c r="H299" i="16" a="1"/>
  <c r="H386" i="16" a="1"/>
  <c r="C133" i="12"/>
  <c r="J6" i="5"/>
  <c r="C88" i="9"/>
  <c r="C29" i="8"/>
  <c r="D169" i="16" a="1"/>
  <c r="I242" i="16" a="1"/>
  <c r="C190" i="8"/>
  <c r="E14" i="5"/>
  <c r="C202" i="12"/>
  <c r="H126" i="16" a="1"/>
  <c r="I132" i="16" a="1"/>
  <c r="C166" i="8"/>
  <c r="J179" i="16" a="1"/>
  <c r="H294" i="16" a="1"/>
  <c r="E183" i="5"/>
  <c r="C278" i="10"/>
  <c r="C270" i="12"/>
  <c r="D448" i="16" a="1"/>
  <c r="C122" i="11"/>
  <c r="F112" i="4"/>
  <c r="C233" i="12"/>
  <c r="J416" i="16" a="1"/>
  <c r="C55" i="9"/>
  <c r="I226" i="16" a="1"/>
  <c r="C110" i="12"/>
  <c r="C19" i="10"/>
  <c r="C202" i="10"/>
  <c r="J373" i="16" a="1"/>
  <c r="J364" i="16" a="1"/>
  <c r="C10" i="11"/>
  <c r="C131" i="8"/>
  <c r="J434" i="16" a="1"/>
  <c r="D15" i="16" a="1"/>
  <c r="F162" i="5"/>
  <c r="D299" i="16" a="1"/>
  <c r="J200" i="4"/>
  <c r="D445" i="16" a="1"/>
  <c r="F180" i="4"/>
  <c r="F50" i="4"/>
  <c r="I193" i="5"/>
  <c r="I350" i="16" a="1"/>
  <c r="C133" i="8"/>
  <c r="I180" i="4"/>
  <c r="I22" i="16" a="1"/>
  <c r="C204" i="9"/>
  <c r="F150" i="5"/>
  <c r="H199" i="5"/>
  <c r="H331" i="16" a="1"/>
  <c r="J143" i="5"/>
  <c r="I267" i="16" a="1"/>
  <c r="D293" i="16" a="1"/>
  <c r="I344" i="16" a="1"/>
  <c r="C187" i="10"/>
  <c r="I302" i="16" a="1"/>
  <c r="H254" i="16" a="1"/>
  <c r="J415" i="16" a="1"/>
  <c r="C136" i="9"/>
  <c r="C233" i="11"/>
  <c r="J332" i="16" a="1"/>
  <c r="C194" i="10"/>
  <c r="C152" i="9"/>
  <c r="E155" i="5"/>
  <c r="H22" i="16" a="1"/>
  <c r="I144" i="16" a="1"/>
  <c r="D370" i="16" a="1"/>
  <c r="J114" i="5"/>
  <c r="J408" i="16" a="1"/>
  <c r="C107" i="10"/>
  <c r="C36" i="9"/>
  <c r="D381" i="16" a="1"/>
  <c r="D374" i="16" a="1"/>
  <c r="D455" i="16" a="1"/>
  <c r="C169" i="11"/>
  <c r="I257" i="16" a="1"/>
  <c r="D218" i="16" a="1"/>
  <c r="J232" i="16" a="1"/>
  <c r="I454" i="16" a="1"/>
  <c r="F12" i="5"/>
  <c r="C241" i="10"/>
  <c r="C75" i="9"/>
  <c r="H397" i="16" a="1"/>
  <c r="I30" i="16" a="1"/>
  <c r="E170" i="4"/>
  <c r="C191" i="12"/>
  <c r="C210" i="1" a="1"/>
  <c r="I416" i="16" a="1"/>
  <c r="C38" i="11"/>
  <c r="C10" i="12"/>
  <c r="F79" i="5"/>
  <c r="H163" i="5"/>
  <c r="I127" i="5"/>
  <c r="H12" i="5"/>
  <c r="E33" i="5"/>
  <c r="J368" i="16" a="1"/>
  <c r="D288" i="16" a="1"/>
  <c r="I203" i="5"/>
  <c r="D287" i="16" a="1"/>
  <c r="C78" i="10"/>
  <c r="H220" i="16" a="1"/>
  <c r="J129" i="4"/>
  <c r="C65" i="10"/>
  <c r="H194" i="16" a="1"/>
  <c r="C154" i="9"/>
  <c r="J9" i="5"/>
  <c r="I175" i="16" a="1"/>
  <c r="D307" i="16" a="1"/>
  <c r="I354" i="16" a="1"/>
  <c r="K18" i="5"/>
  <c r="C57" i="11"/>
  <c r="D28" i="16" a="1"/>
  <c r="J92" i="5"/>
  <c r="C80" i="9"/>
  <c r="D202" i="16" a="1"/>
  <c r="D315" i="16" a="1"/>
  <c r="I256" i="16" a="1"/>
  <c r="C201" i="9"/>
  <c r="C200" i="12"/>
  <c r="C31" i="14" a="1"/>
  <c r="I429" i="16" a="1"/>
  <c r="D167" i="16" a="1"/>
  <c r="H335" i="16" a="1"/>
  <c r="D451" i="16" a="1"/>
  <c r="F179" i="4"/>
  <c r="C244" i="9"/>
  <c r="J203" i="16" a="1"/>
  <c r="J146" i="16" a="1"/>
  <c r="I271" i="16" a="1"/>
  <c r="I213" i="16" a="1"/>
  <c r="C139" i="9"/>
  <c r="J125" i="16" a="1"/>
  <c r="H246" i="16" a="1"/>
  <c r="I225" i="16" a="1"/>
  <c r="C103" i="8"/>
  <c r="D278" i="16" a="1"/>
  <c r="E25" i="5"/>
  <c r="C42" i="11"/>
  <c r="D171" i="16" a="1"/>
  <c r="H121" i="16" a="1"/>
  <c r="C186" i="8"/>
  <c r="C267" i="9"/>
  <c r="D439" i="16" a="1"/>
  <c r="C47" i="11"/>
  <c r="H184" i="16" a="1"/>
  <c r="E142" i="5"/>
  <c r="C91" i="12"/>
  <c r="J220" i="16" a="1"/>
  <c r="C281" i="8"/>
  <c r="C140" i="8"/>
  <c r="H306" i="16" a="1"/>
  <c r="I20" i="4"/>
  <c r="C132" i="10"/>
  <c r="E106" i="4"/>
  <c r="C222" i="12"/>
  <c r="I222" i="16" a="1"/>
  <c r="C38" i="8"/>
  <c r="D12" i="16" a="1"/>
  <c r="D216" i="16" a="1"/>
  <c r="D444" i="16" a="1"/>
  <c r="E206" i="5"/>
  <c r="D426" i="16" a="1"/>
  <c r="C8" i="9"/>
  <c r="C129" i="8"/>
  <c r="J45" i="5"/>
  <c r="H143" i="5"/>
  <c r="J330" i="16" a="1"/>
  <c r="H241" i="16" a="1"/>
  <c r="D25" i="16" a="1"/>
  <c r="C166" i="12"/>
  <c r="I244" i="16" a="1"/>
  <c r="D131" i="16" a="1"/>
  <c r="I155" i="16" a="1"/>
  <c r="H173" i="16" a="1"/>
  <c r="H142" i="16" a="1"/>
  <c r="J126" i="4"/>
  <c r="C108" i="10"/>
  <c r="H118" i="5"/>
  <c r="C163" i="11"/>
  <c r="J367" i="16" a="1"/>
  <c r="C155" i="11"/>
  <c r="H394" i="16" a="1"/>
  <c r="C139" i="10"/>
  <c r="I178" i="16" a="1"/>
  <c r="C264" i="8"/>
  <c r="D219" i="16" a="1"/>
  <c r="D362" i="16" a="1"/>
  <c r="J309" i="16" a="1"/>
  <c r="C20" i="8"/>
  <c r="C299" i="10"/>
  <c r="H48" i="4"/>
  <c r="I391" i="16" a="1"/>
  <c r="C123" i="8"/>
  <c r="J74" i="4"/>
  <c r="D192" i="16" a="1"/>
  <c r="C154" i="11"/>
  <c r="C138" i="9"/>
  <c r="C299" i="11"/>
  <c r="F182" i="4"/>
  <c r="C108" i="9"/>
  <c r="C45" i="9"/>
  <c r="J161" i="5"/>
  <c r="C20" i="9"/>
  <c r="I390" i="16" a="1"/>
  <c r="C279" i="12"/>
  <c r="H293" i="16" a="1"/>
  <c r="C191" i="10"/>
  <c r="J300" i="16" a="1"/>
  <c r="H149" i="4"/>
  <c r="J242" i="16" a="1"/>
  <c r="C165" i="11"/>
  <c r="D352" i="16" a="1"/>
  <c r="I287" i="16" a="1"/>
  <c r="C272" i="9"/>
  <c r="D458" i="16" a="1"/>
  <c r="D331" i="16" a="1"/>
  <c r="I455" i="16" a="1"/>
  <c r="C146" i="10"/>
  <c r="F193" i="5"/>
  <c r="C140" i="10"/>
  <c r="H280" i="16" a="1"/>
  <c r="E148" i="4"/>
  <c r="I147" i="16" a="1"/>
  <c r="D358" i="16" a="1"/>
  <c r="D155" i="16" a="1"/>
  <c r="J264" i="16" a="1"/>
  <c r="F133" i="4"/>
  <c r="J440" i="16" a="1"/>
  <c r="I424" i="16" a="1"/>
  <c r="C47" i="8"/>
  <c r="I29" i="4"/>
  <c r="J233" i="16" a="1"/>
  <c r="C26" i="12"/>
  <c r="J134" i="16" a="1"/>
  <c r="C266" i="11"/>
  <c r="C253" i="10"/>
  <c r="C290" i="9"/>
  <c r="E57" i="5"/>
  <c r="J382" i="16" a="1"/>
  <c r="I208" i="16" a="1"/>
  <c r="D390" i="16" a="1"/>
  <c r="J163" i="4"/>
  <c r="C69" i="9"/>
  <c r="H134" i="16" a="1"/>
  <c r="C307" i="1" a="1"/>
  <c r="D364" i="16" a="1"/>
  <c r="D248" i="16" a="1"/>
  <c r="C276" i="9"/>
  <c r="J308" i="16" a="1"/>
  <c r="C113" i="10"/>
  <c r="F171" i="4"/>
  <c r="E111" i="4"/>
  <c r="C168" i="10"/>
  <c r="H208" i="16" a="1"/>
  <c r="C209" i="9"/>
  <c r="C58" i="10"/>
  <c r="C123" i="9"/>
  <c r="C394" i="1" a="1"/>
  <c r="D400" i="16" a="1"/>
  <c r="H356" i="16" a="1"/>
  <c r="C143" i="12"/>
  <c r="C148" i="10"/>
  <c r="H192" i="5"/>
  <c r="D292" i="16" a="1"/>
  <c r="J378" i="16" a="1"/>
  <c r="C303" i="10"/>
  <c r="H436" i="16" a="1"/>
  <c r="I8" i="16" a="1"/>
  <c r="J61" i="4"/>
  <c r="I198" i="16" a="1"/>
  <c r="K136" i="4"/>
  <c r="C205" i="11"/>
  <c r="C81" i="9"/>
  <c r="F126" i="4"/>
  <c r="F31" i="5"/>
  <c r="D174" i="16" a="1"/>
  <c r="D446" i="16" a="1"/>
  <c r="H431" i="16" a="1"/>
  <c r="C273" i="12"/>
  <c r="D460" i="16" a="1"/>
  <c r="C260" i="10"/>
  <c r="C50" i="11"/>
  <c r="C81" i="12"/>
  <c r="C31" i="12"/>
  <c r="C89" i="12"/>
  <c r="J17" i="16" a="1"/>
  <c r="J325" i="16" a="1"/>
  <c r="J149" i="16" a="1"/>
  <c r="H154" i="5"/>
  <c r="D395" i="16" a="1"/>
  <c r="K193" i="5"/>
  <c r="C273" i="10"/>
  <c r="C233" i="9"/>
  <c r="C135" i="8"/>
  <c r="C295" i="12"/>
  <c r="D373" i="16" a="1"/>
  <c r="D220" i="16" a="1"/>
  <c r="H11" i="5"/>
  <c r="C153" i="9"/>
  <c r="C166" i="1" a="1"/>
  <c r="J160" i="16" a="1"/>
  <c r="C68" i="10"/>
  <c r="I419" i="16" a="1"/>
  <c r="J421" i="16" a="1"/>
  <c r="C169" i="9"/>
  <c r="K83" i="4"/>
  <c r="C232" i="11"/>
  <c r="C55" i="11"/>
  <c r="C81" i="11"/>
  <c r="K203" i="5"/>
  <c r="D268" i="16" a="1"/>
  <c r="J140" i="16" a="1"/>
  <c r="F123" i="5"/>
  <c r="J326" i="16" a="1"/>
  <c r="C12" i="1" a="1"/>
  <c r="C249" i="9"/>
  <c r="H444" i="16" a="1"/>
  <c r="J154" i="5"/>
  <c r="F181" i="5"/>
  <c r="H68" i="4"/>
  <c r="C174" i="12"/>
  <c r="C269" i="10"/>
  <c r="C246" i="10"/>
  <c r="H242" i="16" a="1"/>
  <c r="J251" i="16" a="1"/>
  <c r="C114" i="12"/>
  <c r="I12" i="16" a="1"/>
  <c r="D187" i="16" a="1"/>
  <c r="J198" i="5"/>
  <c r="C164" i="12"/>
  <c r="C302" i="8"/>
  <c r="F62" i="5"/>
  <c r="H179" i="4"/>
  <c r="D397" i="16" a="1"/>
  <c r="C94" i="10"/>
  <c r="H344" i="16" a="1"/>
  <c r="I139" i="5"/>
  <c r="J128" i="5"/>
  <c r="I200" i="4"/>
  <c r="C361" i="1" a="1"/>
  <c r="H442" i="16" a="1"/>
  <c r="I216" i="16" a="1"/>
  <c r="J65" i="4"/>
  <c r="D295" i="16" a="1"/>
  <c r="K191" i="5"/>
  <c r="C37" i="12"/>
  <c r="C169" i="10"/>
  <c r="C139" i="12"/>
  <c r="H24" i="16" a="1"/>
  <c r="D180" i="16" a="1"/>
  <c r="I10" i="5"/>
  <c r="C57" i="9"/>
  <c r="C79" i="12"/>
  <c r="D437" i="16" a="1"/>
  <c r="D7" i="16" a="1"/>
  <c r="I17" i="16" a="1"/>
  <c r="D252" i="16" a="1"/>
  <c r="H243" i="16" a="1"/>
  <c r="F179" i="5"/>
  <c r="K63" i="5"/>
  <c r="D8" i="16" a="1"/>
  <c r="C138" i="11"/>
  <c r="C192" i="12"/>
  <c r="C90" i="12"/>
  <c r="E152" i="4"/>
  <c r="C144" i="12"/>
  <c r="C100" i="12"/>
  <c r="C215" i="9"/>
  <c r="C93" i="10"/>
  <c r="C185" i="12"/>
  <c r="C31" i="10"/>
  <c r="C119" i="10"/>
  <c r="F91" i="5"/>
  <c r="C264" i="12"/>
  <c r="J294" i="16" a="1"/>
  <c r="C133" i="11"/>
  <c r="J176" i="5"/>
  <c r="C243" i="12"/>
  <c r="C112" i="10"/>
  <c r="I335" i="16" a="1"/>
  <c r="C213" i="11"/>
  <c r="I197" i="4"/>
  <c r="C101" i="9"/>
  <c r="K109" i="4"/>
  <c r="C37" i="9"/>
  <c r="J231" i="16" a="1"/>
  <c r="C205" i="10"/>
  <c r="D224" i="16" a="1"/>
  <c r="H457" i="16" a="1"/>
  <c r="F206" i="4"/>
  <c r="H53" i="5"/>
  <c r="K127" i="4"/>
  <c r="C83" i="8"/>
  <c r="I392" i="16" a="1"/>
  <c r="I238" i="16" a="1"/>
  <c r="C65" i="12"/>
  <c r="C148" i="9"/>
  <c r="J431" i="16" a="1"/>
  <c r="C246" i="12"/>
  <c r="E144" i="5"/>
  <c r="H19" i="16" a="1"/>
  <c r="C199" i="11"/>
  <c r="C82" i="8"/>
  <c r="D350" i="16" a="1"/>
  <c r="C377" i="1" a="1"/>
  <c r="K138" i="5"/>
  <c r="C189" i="12"/>
  <c r="J311" i="16" a="1"/>
  <c r="H179" i="16" a="1"/>
  <c r="I241" i="16" a="1"/>
  <c r="H336" i="16" a="1"/>
  <c r="D229" i="16" a="1"/>
  <c r="C302" i="10"/>
  <c r="C6" i="9"/>
  <c r="C273" i="9"/>
  <c r="C71" i="8"/>
  <c r="C54" i="12"/>
  <c r="H162" i="16" a="1"/>
  <c r="J188" i="16" a="1"/>
  <c r="I150" i="16" a="1"/>
  <c r="K65" i="5"/>
  <c r="K187" i="4"/>
  <c r="H176" i="4"/>
  <c r="D316" i="16" a="1"/>
  <c r="J10" i="16" a="1"/>
  <c r="J459" i="16" a="1"/>
  <c r="C251" i="11"/>
  <c r="E65" i="5"/>
  <c r="H124" i="16" a="1"/>
  <c r="I201" i="4"/>
  <c r="C350" i="1" a="1"/>
  <c r="J143" i="16" a="1"/>
  <c r="J295" i="16" a="1"/>
  <c r="F169" i="5"/>
  <c r="C254" i="1"/>
  <c r="F134" i="4"/>
  <c r="C243" i="9"/>
  <c r="I24" i="5"/>
  <c r="C190" i="11"/>
  <c r="C5" i="10" a="1"/>
  <c r="H34" i="5"/>
  <c r="J215" i="16" a="1"/>
  <c r="H18" i="4"/>
  <c r="D276" i="16" a="1"/>
  <c r="E173" i="5"/>
  <c r="F72" i="4"/>
  <c r="C278" i="12"/>
  <c r="D369" i="16" a="1"/>
  <c r="C52" i="10"/>
  <c r="I402" i="16" a="1"/>
  <c r="C70" i="12"/>
  <c r="J111" i="5"/>
  <c r="E159" i="5"/>
  <c r="I98" i="5"/>
  <c r="F143" i="4"/>
  <c r="H272" i="16" a="1"/>
  <c r="E45" i="4"/>
  <c r="J152" i="16" a="1"/>
  <c r="H382" i="16" a="1"/>
  <c r="C89" i="10"/>
  <c r="F59" i="4"/>
  <c r="C77" i="8"/>
  <c r="D357" i="16" a="1"/>
  <c r="I147" i="5"/>
  <c r="F102" i="4"/>
  <c r="J383" i="16" a="1"/>
  <c r="C95" i="9"/>
  <c r="C49" i="12"/>
  <c r="H334" i="16" a="1"/>
  <c r="C259" i="10"/>
  <c r="J247" i="16" a="1"/>
  <c r="F160" i="4"/>
  <c r="C227" i="9"/>
  <c r="F108" i="5"/>
  <c r="C228" i="12"/>
  <c r="K50" i="4"/>
  <c r="H108" i="5"/>
  <c r="C76" i="12"/>
  <c r="E198" i="4"/>
  <c r="C270" i="8"/>
  <c r="J181" i="16" a="1"/>
  <c r="C240" i="9"/>
  <c r="H209" i="16" a="1"/>
  <c r="F202" i="5"/>
  <c r="I114" i="4"/>
  <c r="E80" i="5"/>
  <c r="D164" i="16" a="1"/>
  <c r="J375" i="16" a="1"/>
  <c r="J263" i="16" a="1"/>
  <c r="C110" i="10"/>
  <c r="J350" i="16" a="1"/>
  <c r="C283" i="11"/>
  <c r="C228" i="10"/>
  <c r="C222" i="11"/>
  <c r="H448" i="16" a="1"/>
  <c r="C286" i="9"/>
  <c r="I65" i="5"/>
  <c r="C43" i="1" a="1"/>
  <c r="I73" i="4"/>
  <c r="J425" i="16" a="1"/>
  <c r="J155" i="16" a="1"/>
  <c r="J289" i="16" a="1"/>
  <c r="C51" i="8"/>
  <c r="C302" i="1"/>
  <c r="I386" i="16" a="1"/>
  <c r="J157" i="5"/>
  <c r="J53" i="5"/>
  <c r="I57" i="4"/>
  <c r="K149" i="5"/>
  <c r="E71" i="4"/>
  <c r="C68" i="12"/>
  <c r="E87" i="5"/>
  <c r="H6" i="5"/>
  <c r="E152" i="5"/>
  <c r="E133" i="4"/>
  <c r="H158" i="4"/>
  <c r="F47" i="4"/>
  <c r="I62" i="4"/>
  <c r="C159" i="12"/>
  <c r="C32" i="8"/>
  <c r="C265" i="8"/>
  <c r="E197" i="5"/>
  <c r="C204" i="12"/>
  <c r="D396" i="16" a="1"/>
  <c r="I284" i="16" a="1"/>
  <c r="J366" i="16" a="1"/>
  <c r="E198" i="5"/>
  <c r="D389" i="16" a="1"/>
  <c r="C137" i="11"/>
  <c r="H410" i="16" a="1"/>
  <c r="K31" i="5"/>
  <c r="D206" i="16" a="1"/>
  <c r="F67" i="5"/>
  <c r="I352" i="16" a="1"/>
  <c r="C47" i="10"/>
  <c r="C199" i="1" a="1"/>
  <c r="H453" i="16" a="1"/>
  <c r="J360" i="16" a="1"/>
  <c r="C173" i="9"/>
  <c r="D23" i="16" a="1"/>
  <c r="C114" i="8"/>
  <c r="C110" i="8"/>
  <c r="H415" i="16" a="1"/>
  <c r="C48" i="1" a="1"/>
  <c r="J255" i="16" a="1"/>
  <c r="J5" i="16" a="1"/>
  <c r="I425" i="16" a="1"/>
  <c r="E94" i="5"/>
  <c r="I190" i="16" a="1"/>
  <c r="J182" i="5"/>
  <c r="C90" i="8"/>
  <c r="C297" i="8"/>
  <c r="J386" i="16" a="1"/>
  <c r="F48" i="5"/>
  <c r="I446" i="16" a="1"/>
  <c r="J122" i="4"/>
  <c r="I158" i="16" a="1"/>
  <c r="C261" i="11"/>
  <c r="C67" i="11"/>
  <c r="H192" i="16" a="1"/>
  <c r="J18" i="5"/>
  <c r="H154" i="16" a="1"/>
  <c r="C155" i="10"/>
  <c r="C151" i="12"/>
  <c r="I140" i="16" a="1"/>
  <c r="C125" i="10"/>
  <c r="C119" i="11"/>
  <c r="F13" i="4"/>
  <c r="C135" i="10"/>
  <c r="E7" i="4"/>
  <c r="C274" i="9"/>
  <c r="C499" i="1" a="1"/>
  <c r="J156" i="4"/>
  <c r="C300" i="12"/>
  <c r="C274" i="11"/>
  <c r="J191" i="5"/>
  <c r="F201" i="5"/>
  <c r="C34" i="12"/>
  <c r="J54" i="5"/>
  <c r="C256" i="1"/>
  <c r="D342" i="16" a="1"/>
  <c r="J253" i="16" a="1"/>
  <c r="H23" i="16" a="1"/>
  <c r="H22" i="4"/>
  <c r="H325" i="16" a="1"/>
  <c r="D318" i="16" a="1"/>
  <c r="C26" i="10"/>
  <c r="I383" i="16" a="1"/>
  <c r="F137" i="5"/>
  <c r="C224" i="11"/>
  <c r="I37" i="5"/>
  <c r="I100" i="4"/>
  <c r="C62" i="12"/>
  <c r="J396" i="16" a="1"/>
  <c r="H429" i="16" a="1"/>
  <c r="H138" i="16" a="1"/>
  <c r="I106" i="4"/>
  <c r="I25" i="16" a="1"/>
  <c r="I441" i="16" a="1"/>
  <c r="C472" i="1" a="1"/>
  <c r="I48" i="5"/>
  <c r="I50" i="4"/>
  <c r="H9" i="5"/>
  <c r="D183" i="16" a="1"/>
  <c r="H288" i="16" a="1"/>
  <c r="J427" i="16" a="1"/>
  <c r="F69" i="5"/>
  <c r="C59" i="10"/>
  <c r="D347" i="16" a="1"/>
  <c r="H438" i="16" a="1"/>
  <c r="C65" i="1" a="1"/>
  <c r="D213" i="16" a="1"/>
  <c r="H239" i="16" a="1"/>
  <c r="C180" i="9"/>
  <c r="C209" i="1"/>
  <c r="D391" i="16" a="1"/>
  <c r="D341" i="16" a="1"/>
  <c r="I138" i="5"/>
  <c r="I265" i="16" a="1"/>
  <c r="I219" i="16" a="1"/>
  <c r="I304" i="16" a="1"/>
  <c r="C112" i="9"/>
  <c r="C103" i="9"/>
  <c r="C137" i="8"/>
  <c r="J404" i="16" a="1"/>
  <c r="C48" i="11"/>
  <c r="F83" i="5"/>
  <c r="I80" i="5"/>
  <c r="C8" i="10"/>
  <c r="D125" i="16" a="1"/>
  <c r="J177" i="4"/>
  <c r="I413" i="16" a="1"/>
  <c r="J374" i="16" a="1"/>
  <c r="C143" i="11"/>
  <c r="K71" i="5"/>
  <c r="J316" i="16" a="1"/>
  <c r="D238" i="16" a="1"/>
  <c r="H460" i="16" a="1"/>
  <c r="C291" i="12"/>
  <c r="H409" i="16" a="1"/>
  <c r="H141" i="16" a="1"/>
  <c r="C295" i="8"/>
  <c r="I189" i="4"/>
  <c r="C72" i="10"/>
  <c r="H321" i="16" a="1"/>
  <c r="C28" i="11"/>
  <c r="K165" i="5"/>
  <c r="J240" i="16" a="1"/>
  <c r="H53" i="4"/>
  <c r="J59" i="5"/>
  <c r="J126" i="16" a="1"/>
  <c r="I17" i="5"/>
  <c r="I269" i="16" a="1"/>
  <c r="E5" i="4"/>
  <c r="I312" i="16" a="1"/>
  <c r="F103" i="4"/>
  <c r="E192" i="4"/>
  <c r="J362" i="16" a="1"/>
  <c r="C304" i="10"/>
  <c r="C270" i="9"/>
  <c r="E16" i="5"/>
  <c r="C176" i="11"/>
  <c r="F136" i="4"/>
  <c r="C116" i="1" a="1"/>
  <c r="E109" i="5"/>
  <c r="F95" i="5"/>
  <c r="D283" i="16" a="1"/>
  <c r="C112" i="12"/>
  <c r="C224" i="9"/>
  <c r="I19" i="5"/>
  <c r="C130" i="1" a="1"/>
  <c r="H440" i="16" a="1"/>
  <c r="C149" i="8"/>
  <c r="C118" i="8"/>
  <c r="H21" i="4"/>
  <c r="J148" i="16" a="1"/>
  <c r="C35" i="12"/>
  <c r="K155" i="5"/>
  <c r="F188" i="5"/>
  <c r="F156" i="4"/>
  <c r="I315" i="16" a="1"/>
  <c r="K104" i="4"/>
  <c r="H175" i="5"/>
  <c r="J272" i="16" a="1"/>
  <c r="C398" i="1" a="1"/>
  <c r="K3" i="5"/>
  <c r="I20" i="5"/>
  <c r="J31" i="4"/>
  <c r="C252" i="12"/>
  <c r="H167" i="4"/>
  <c r="J193" i="16" a="1"/>
  <c r="H90" i="5"/>
  <c r="D257" i="16" a="1"/>
  <c r="C151" i="9"/>
  <c r="C462" i="1" a="1"/>
  <c r="D14" i="16" a="1"/>
  <c r="C38" i="10"/>
  <c r="C290" i="11"/>
  <c r="C87" i="10"/>
  <c r="D33" i="16" a="1"/>
  <c r="I23" i="16" a="1"/>
  <c r="H113" i="5"/>
  <c r="J78" i="4"/>
  <c r="K175" i="4"/>
  <c r="E137" i="5"/>
  <c r="C242" i="11"/>
  <c r="D273" i="16" a="1"/>
  <c r="J347" i="16" a="1"/>
  <c r="F170" i="5"/>
  <c r="J122" i="16" a="1"/>
  <c r="C153" i="12"/>
  <c r="J398" i="16" a="1"/>
  <c r="D17" i="16" a="1"/>
  <c r="C33" i="9"/>
  <c r="J23" i="16" a="1"/>
  <c r="I20" i="16" a="1"/>
  <c r="H300" i="16" a="1"/>
  <c r="I412" i="16" a="1"/>
  <c r="E193" i="5"/>
  <c r="C96" i="10"/>
  <c r="I174" i="16" a="1"/>
  <c r="I326" i="16" a="1"/>
  <c r="I19" i="4"/>
  <c r="K124" i="5"/>
  <c r="J388" i="16" a="1"/>
  <c r="C83" i="10"/>
  <c r="C272" i="8"/>
  <c r="J243" i="16" a="1"/>
  <c r="D384" i="16" a="1"/>
  <c r="H117" i="4"/>
  <c r="C285" i="10"/>
  <c r="C50" i="12"/>
  <c r="E53" i="5"/>
  <c r="E74" i="5"/>
  <c r="C125" i="1" a="1"/>
  <c r="H8" i="16" a="1"/>
  <c r="C141" i="11"/>
  <c r="H71" i="5"/>
  <c r="C233" i="8"/>
  <c r="C78" i="12"/>
  <c r="J133" i="4"/>
  <c r="C240" i="10"/>
  <c r="E157" i="4"/>
  <c r="H252" i="16" a="1"/>
  <c r="I330" i="16" a="1"/>
  <c r="C275" i="8"/>
  <c r="J228" i="16" a="1"/>
  <c r="K94" i="5"/>
  <c r="D356" i="16" a="1"/>
  <c r="D326" i="16" a="1"/>
  <c r="C131" i="9"/>
  <c r="J267" i="16" a="1"/>
  <c r="D246" i="16" a="1"/>
  <c r="C140" i="9"/>
  <c r="K117" i="4"/>
  <c r="I200" i="16" a="1"/>
  <c r="I169" i="5"/>
  <c r="I99" i="4"/>
  <c r="J116" i="5"/>
  <c r="H72" i="4"/>
  <c r="H3" i="5"/>
  <c r="C110" i="9"/>
  <c r="I112" i="5"/>
  <c r="I129" i="16" a="1"/>
  <c r="C285" i="12"/>
  <c r="H363" i="16" a="1"/>
  <c r="I158" i="4"/>
  <c r="I71" i="5"/>
  <c r="H135" i="5"/>
  <c r="J418" i="16" a="1"/>
  <c r="C287" i="8"/>
  <c r="I375" i="16" a="1"/>
  <c r="H392" i="16" a="1"/>
  <c r="K25" i="5"/>
  <c r="H15" i="16" a="1"/>
  <c r="H118" i="4"/>
  <c r="D297" i="16" a="1"/>
  <c r="I360" i="16" a="1"/>
  <c r="H12" i="16" a="1"/>
  <c r="H305" i="16" a="1"/>
  <c r="C161" i="11"/>
  <c r="D204" i="16" a="1"/>
  <c r="C93" i="8"/>
  <c r="E47" i="5"/>
  <c r="J131" i="16" a="1"/>
  <c r="H398" i="16" a="1"/>
  <c r="C211" i="9"/>
  <c r="I431" i="16" a="1"/>
  <c r="D407" i="16" a="1"/>
  <c r="C194" i="9"/>
  <c r="E132" i="4"/>
  <c r="C245" i="10"/>
  <c r="H357" i="16" a="1"/>
  <c r="F68" i="5"/>
  <c r="D185" i="16" a="1"/>
  <c r="C21" i="8"/>
  <c r="I443" i="16" a="1"/>
  <c r="F106" i="5"/>
  <c r="J344" i="16" a="1"/>
  <c r="C136" i="12"/>
  <c r="H7" i="16" a="1"/>
  <c r="F152" i="4"/>
  <c r="J161" i="16" a="1"/>
  <c r="C79" i="8"/>
  <c r="C185" i="8"/>
  <c r="I159" i="16" a="1"/>
  <c r="I436" i="16" a="1"/>
  <c r="J395" i="16" a="1"/>
  <c r="C237" i="10"/>
  <c r="C161" i="9"/>
  <c r="I95" i="4"/>
  <c r="C96" i="8"/>
  <c r="J104" i="4"/>
  <c r="H281" i="16" a="1"/>
  <c r="C45" i="8"/>
  <c r="E76" i="4"/>
  <c r="I15" i="16" a="1"/>
  <c r="I131" i="16" a="1"/>
  <c r="I275" i="16" a="1"/>
  <c r="C433" i="1" a="1"/>
  <c r="F24" i="5"/>
  <c r="H154" i="4"/>
  <c r="D334" i="16" a="1"/>
  <c r="I316" i="16" a="1"/>
  <c r="C128" i="11"/>
  <c r="H164" i="16" a="1"/>
  <c r="D236" i="16" a="1"/>
  <c r="H416" i="16" a="1"/>
  <c r="H20" i="16" a="1"/>
  <c r="C121" i="11"/>
  <c r="I276" i="16" a="1"/>
  <c r="C244" i="1"/>
  <c r="J193" i="5"/>
  <c r="H96" i="4"/>
  <c r="I205" i="4"/>
  <c r="C302" i="12"/>
  <c r="I453" i="16" a="1"/>
  <c r="C140" i="1" a="1"/>
  <c r="C385" i="1" a="1"/>
  <c r="I400" i="16" a="1"/>
  <c r="H277" i="16" a="1"/>
  <c r="C42" i="9"/>
  <c r="J422" i="16" a="1"/>
  <c r="I188" i="16" a="1"/>
  <c r="K34" i="5"/>
  <c r="C438" i="1" a="1"/>
  <c r="C260" i="8"/>
  <c r="E88" i="4"/>
  <c r="C289" i="12"/>
  <c r="J314" i="16" a="1"/>
  <c r="C17" i="11"/>
  <c r="J21" i="16" a="1"/>
  <c r="C108" i="11"/>
  <c r="J447" i="16" a="1"/>
  <c r="J183" i="16" a="1"/>
  <c r="C70" i="11"/>
  <c r="C241" i="1"/>
  <c r="C219" i="10"/>
  <c r="H194" i="5"/>
  <c r="I185" i="16" a="1"/>
  <c r="E35" i="5"/>
  <c r="D323" i="16" a="1"/>
  <c r="H31" i="16" a="1"/>
  <c r="C210" i="12"/>
  <c r="C239" i="9"/>
  <c r="E124" i="5"/>
  <c r="E103" i="5"/>
  <c r="K160" i="4"/>
  <c r="J173" i="5"/>
  <c r="E162" i="5"/>
  <c r="C291" i="8"/>
  <c r="I192" i="5"/>
  <c r="K59" i="5"/>
  <c r="C24" i="10"/>
  <c r="F195" i="5"/>
  <c r="C20" i="11"/>
  <c r="K160" i="5"/>
  <c r="C253" i="12"/>
  <c r="F165" i="5"/>
  <c r="I325" i="16" a="1"/>
  <c r="C212" i="8"/>
  <c r="H447" i="16" a="1"/>
  <c r="C128" i="8"/>
  <c r="D281" i="16" a="1"/>
  <c r="C7" i="11"/>
  <c r="J40" i="4"/>
  <c r="C225" i="11"/>
  <c r="C178" i="12"/>
  <c r="H417" i="16" a="1"/>
  <c r="C157" i="12"/>
  <c r="J455" i="16" a="1"/>
  <c r="C129" i="9"/>
  <c r="E140" i="5"/>
  <c r="C24" i="11"/>
  <c r="I176" i="16" a="1"/>
  <c r="J182" i="4"/>
  <c r="I5" i="5"/>
  <c r="I247" i="16" a="1"/>
  <c r="J206" i="4"/>
  <c r="C131" i="12"/>
  <c r="J28" i="16" a="1"/>
  <c r="C136" i="11"/>
  <c r="H168" i="16" a="1"/>
  <c r="I421" i="16" a="1"/>
  <c r="F101" i="5"/>
  <c r="I379" i="16" a="1"/>
  <c r="C213" i="9"/>
  <c r="H267" i="16" a="1"/>
  <c r="C238" i="8"/>
  <c r="C228" i="1"/>
  <c r="I295" i="16" a="1"/>
  <c r="D363" i="16" a="1"/>
  <c r="J298" i="16" a="1"/>
  <c r="H28" i="16" a="1"/>
  <c r="C117" i="11"/>
  <c r="C108" i="8"/>
  <c r="C117" i="9"/>
  <c r="C206" i="10"/>
  <c r="C186" i="9"/>
  <c r="C282" i="10"/>
  <c r="C224" i="10"/>
  <c r="C128" i="1" a="1"/>
  <c r="J42" i="4"/>
  <c r="C161" i="1" a="1"/>
  <c r="F113" i="5"/>
  <c r="I396" i="16" a="1"/>
  <c r="C251" i="8"/>
  <c r="J159" i="4"/>
  <c r="H204" i="4"/>
  <c r="J113" i="5"/>
  <c r="I461" i="16" a="1"/>
  <c r="D243" i="16" a="1"/>
  <c r="C198" i="11"/>
  <c r="D152" i="16" a="1"/>
  <c r="C116" i="9"/>
  <c r="C63" i="9"/>
  <c r="C32" i="12"/>
  <c r="C26" i="14" a="1"/>
  <c r="C12" i="12"/>
  <c r="E205" i="5"/>
  <c r="C111" i="11"/>
  <c r="D188" i="16" a="1"/>
  <c r="C262" i="8"/>
  <c r="D296" i="16" a="1"/>
  <c r="J136" i="5"/>
  <c r="J187" i="5"/>
  <c r="E34" i="4"/>
  <c r="H177" i="5"/>
  <c r="H147" i="4"/>
  <c r="H147" i="5"/>
  <c r="D223" i="16" a="1"/>
  <c r="H96" i="5"/>
  <c r="C253" i="9"/>
  <c r="C397" i="1" a="1"/>
  <c r="K13" i="4"/>
  <c r="J93" i="4"/>
  <c r="K76" i="5"/>
  <c r="C16" i="9"/>
  <c r="H190" i="16" a="1"/>
  <c r="F19" i="4"/>
  <c r="C213" i="8"/>
  <c r="C114" i="9"/>
  <c r="E184" i="5"/>
  <c r="C158" i="12"/>
  <c r="H167" i="16" a="1"/>
  <c r="I322" i="16" a="1"/>
  <c r="J358" i="16" a="1"/>
  <c r="K128" i="5"/>
  <c r="C227" i="8"/>
  <c r="F39" i="5"/>
  <c r="C49" i="9"/>
  <c r="C290" i="1"/>
  <c r="J196" i="5"/>
  <c r="C289" i="11"/>
  <c r="D313" i="16" a="1"/>
  <c r="C102" i="8"/>
  <c r="E167" i="5"/>
  <c r="C88" i="1" a="1"/>
  <c r="C106" i="11"/>
  <c r="H204" i="5"/>
  <c r="C297" i="10"/>
  <c r="H83" i="5"/>
  <c r="C104" i="12"/>
  <c r="C5" i="12" a="1"/>
  <c r="I366" i="16" a="1"/>
  <c r="H284" i="16" a="1"/>
  <c r="C87" i="11"/>
  <c r="E10" i="5"/>
  <c r="C102" i="9"/>
  <c r="C230" i="8"/>
  <c r="C258" i="10"/>
  <c r="C171" i="1" a="1"/>
  <c r="I170" i="5"/>
  <c r="C58" i="9"/>
  <c r="E54" i="4"/>
  <c r="F154" i="4"/>
  <c r="C172" i="12"/>
  <c r="D133" i="16" a="1"/>
  <c r="J162" i="5"/>
  <c r="I201" i="5"/>
  <c r="H213" i="16" a="1"/>
  <c r="E9" i="5"/>
  <c r="H14" i="4"/>
  <c r="C215" i="11"/>
  <c r="C245" i="8"/>
  <c r="C11" i="10"/>
  <c r="C85" i="12"/>
  <c r="E166" i="4"/>
  <c r="J170" i="5"/>
  <c r="D151" i="16" a="1"/>
  <c r="C287" i="11"/>
  <c r="E99" i="5"/>
  <c r="C130" i="10"/>
  <c r="H11" i="16" a="1"/>
  <c r="I211" i="16" a="1"/>
  <c r="J457" i="16" a="1"/>
  <c r="H23" i="5"/>
  <c r="E175" i="5"/>
  <c r="J191" i="16" a="1"/>
  <c r="C186" i="10"/>
  <c r="J413" i="16" a="1"/>
  <c r="I234" i="16" a="1"/>
  <c r="D379" i="16" a="1"/>
  <c r="J213" i="16" a="1"/>
  <c r="I157" i="16" a="1"/>
  <c r="J403" i="16" a="1"/>
  <c r="C161" i="12"/>
  <c r="H322" i="16" a="1"/>
  <c r="J387" i="16" a="1"/>
  <c r="C11" i="11"/>
  <c r="D452" i="16" a="1"/>
  <c r="I161" i="5"/>
  <c r="K176" i="4"/>
  <c r="C298" i="10"/>
  <c r="H34" i="4"/>
  <c r="J31" i="16" a="1"/>
  <c r="C266" i="1"/>
  <c r="C84" i="9"/>
  <c r="H400" i="16" a="1"/>
  <c r="I331" i="16" a="1"/>
  <c r="I67" i="4"/>
  <c r="I21" i="4"/>
  <c r="E48" i="5"/>
  <c r="D241" i="16" a="1"/>
  <c r="E83" i="5"/>
  <c r="C181" i="12"/>
  <c r="K167" i="5"/>
  <c r="I70" i="4"/>
  <c r="E32" i="4"/>
  <c r="F16" i="5"/>
  <c r="H435" i="16" a="1"/>
  <c r="C37" i="10"/>
  <c r="D294" i="16" a="1"/>
  <c r="F54" i="4"/>
  <c r="C83" i="12"/>
  <c r="I68" i="5"/>
  <c r="F163" i="5"/>
  <c r="J250" i="16" a="1"/>
  <c r="I42" i="4"/>
  <c r="I58" i="4"/>
  <c r="C164" i="9"/>
  <c r="I132" i="5"/>
  <c r="J322" i="16" a="1"/>
  <c r="D130" i="16" a="1"/>
  <c r="F170" i="4"/>
  <c r="K109" i="5"/>
  <c r="C16" i="8"/>
  <c r="I433" i="16" a="1"/>
  <c r="I163" i="16" a="1"/>
  <c r="I319" i="16" a="1"/>
  <c r="C178" i="10"/>
  <c r="C225" i="8"/>
  <c r="F9" i="4"/>
  <c r="J52" i="4"/>
  <c r="E135" i="5"/>
  <c r="C251" i="10"/>
  <c r="F8" i="4"/>
  <c r="J146" i="5"/>
  <c r="H384" i="16" a="1"/>
  <c r="H8" i="5"/>
  <c r="J236" i="16" a="1"/>
  <c r="C288" i="10"/>
  <c r="I237" i="16" a="1"/>
  <c r="C130" i="8"/>
  <c r="C49" i="10"/>
  <c r="J12" i="5"/>
  <c r="H366" i="16" a="1"/>
  <c r="H155" i="4"/>
  <c r="I134" i="4"/>
  <c r="C160" i="11"/>
  <c r="I411" i="16" a="1"/>
  <c r="J40" i="5"/>
  <c r="E86" i="5"/>
  <c r="I80" i="4"/>
  <c r="J4" i="5"/>
  <c r="K64" i="5"/>
  <c r="I381" i="16" a="1"/>
  <c r="D5" i="16" a="1"/>
  <c r="K201" i="4"/>
  <c r="J6" i="16" a="1"/>
  <c r="I40" i="4"/>
  <c r="I76" i="5"/>
  <c r="J262" i="16" a="1"/>
  <c r="C196" i="12"/>
  <c r="K143" i="5"/>
  <c r="H245" i="16" a="1"/>
  <c r="C16" i="10"/>
  <c r="D140" i="16" a="1"/>
  <c r="C46" i="11"/>
  <c r="J80" i="5"/>
  <c r="J329" i="16" a="1"/>
  <c r="H135" i="16" a="1"/>
  <c r="C257" i="11"/>
  <c r="D184" i="16" a="1"/>
  <c r="E158" i="5"/>
  <c r="J207" i="16" a="1"/>
  <c r="E136" i="5"/>
  <c r="D338" i="16" a="1"/>
  <c r="D32" i="16" a="1"/>
  <c r="C63" i="8"/>
  <c r="C3" i="17" a="1"/>
  <c r="J133" i="16" a="1"/>
  <c r="C297" i="9"/>
  <c r="E133" i="5"/>
  <c r="C94" i="12"/>
  <c r="C140" i="11"/>
  <c r="C138" i="1" a="1"/>
  <c r="C97" i="8"/>
  <c r="J405" i="16" a="1"/>
  <c r="C54" i="10"/>
  <c r="C237" i="12"/>
  <c r="C92" i="12"/>
  <c r="I162" i="5"/>
  <c r="C217" i="9"/>
  <c r="J292" i="16" a="1"/>
  <c r="D19" i="16" a="1"/>
  <c r="K38" i="5"/>
  <c r="J33" i="5"/>
  <c r="D423" i="16" a="1"/>
  <c r="F171" i="5"/>
  <c r="C51" i="12"/>
  <c r="C247" i="12"/>
  <c r="C80" i="10"/>
  <c r="H72" i="5"/>
  <c r="C62" i="9"/>
  <c r="C168" i="11"/>
  <c r="C161" i="10"/>
  <c r="H145" i="16" a="1"/>
  <c r="I94" i="4"/>
  <c r="C28" i="9"/>
  <c r="C139" i="8"/>
  <c r="I144" i="5"/>
  <c r="J64" i="5"/>
  <c r="F55" i="4"/>
  <c r="I353" i="16" a="1"/>
  <c r="D132" i="16" a="1"/>
  <c r="J148" i="5"/>
  <c r="C157" i="1" a="1"/>
  <c r="C46" i="12"/>
  <c r="F61" i="5"/>
  <c r="C14" i="8"/>
  <c r="J176" i="4"/>
  <c r="D333" i="16" a="1"/>
  <c r="I116" i="5"/>
  <c r="C280" i="12"/>
  <c r="J121" i="16" a="1"/>
  <c r="C481" i="1" a="1"/>
  <c r="J426" i="16" a="1"/>
  <c r="J377" i="16" a="1"/>
  <c r="E118" i="5"/>
  <c r="I148" i="4"/>
  <c r="F90" i="5"/>
  <c r="C69" i="12"/>
  <c r="J441" i="16" a="1"/>
  <c r="D21" i="16" a="1"/>
  <c r="J86" i="4"/>
  <c r="H198" i="5"/>
  <c r="H6" i="16" a="1"/>
  <c r="K206" i="4"/>
  <c r="C241" i="8"/>
  <c r="C70" i="10"/>
  <c r="D129" i="16" a="1"/>
  <c r="C61" i="11"/>
  <c r="C135" i="9"/>
  <c r="J451" i="16" a="1"/>
  <c r="C28" i="10"/>
  <c r="C125" i="12"/>
  <c r="C303" i="9"/>
  <c r="C260" i="12"/>
  <c r="I377" i="16" a="1"/>
  <c r="C121" i="12"/>
  <c r="H240" i="16" a="1"/>
  <c r="C305" i="11"/>
  <c r="C19" i="11"/>
  <c r="C66" i="11"/>
  <c r="C131" i="10"/>
  <c r="D154" i="16" a="1"/>
  <c r="C123" i="11"/>
  <c r="C29" i="12"/>
  <c r="K103" i="5"/>
  <c r="J7" i="16" a="1"/>
  <c r="J206" i="5"/>
  <c r="J147" i="16" a="1"/>
  <c r="H138" i="4"/>
  <c r="D200" i="16" a="1"/>
  <c r="H26" i="16" a="1"/>
  <c r="I173" i="5"/>
  <c r="H127" i="4"/>
  <c r="I209" i="16" a="1"/>
  <c r="H233" i="16" a="1"/>
  <c r="K131" i="5"/>
  <c r="J444" i="16" a="1"/>
  <c r="C290" i="8"/>
  <c r="K188" i="5"/>
  <c r="H150" i="5"/>
  <c r="C35" i="1" a="1"/>
  <c r="J175" i="5"/>
  <c r="K80" i="5"/>
  <c r="J399" i="16" a="1"/>
  <c r="H202" i="5"/>
  <c r="D16" i="16" a="1"/>
  <c r="C182" i="11"/>
  <c r="C245" i="11"/>
  <c r="I102" i="5"/>
  <c r="C222" i="1"/>
  <c r="E76" i="5"/>
  <c r="D433" i="16" a="1"/>
  <c r="C87" i="1" a="1"/>
  <c r="C191" i="11"/>
  <c r="K118" i="5"/>
  <c r="J193" i="4"/>
  <c r="C183" i="10"/>
  <c r="D6" i="16" a="1"/>
  <c r="J14" i="16" a="1"/>
  <c r="C214" i="12"/>
  <c r="I252" i="16" a="1"/>
  <c r="H164" i="5"/>
  <c r="J128" i="16" a="1"/>
  <c r="K99" i="4"/>
  <c r="C172" i="9"/>
  <c r="H385" i="16" a="1"/>
  <c r="C170" i="8"/>
  <c r="C356" i="1" a="1"/>
  <c r="C291" i="11"/>
  <c r="C105" i="12"/>
  <c r="H456" i="16" a="1"/>
  <c r="C210" i="8"/>
  <c r="C208" i="9"/>
  <c r="D230" i="16" a="1"/>
  <c r="C14" i="1" a="1"/>
  <c r="H151" i="16" a="1"/>
  <c r="C23" i="9"/>
  <c r="J409" i="16" a="1"/>
  <c r="K100" i="4"/>
  <c r="E203" i="4"/>
  <c r="F111" i="5"/>
  <c r="C41" i="12"/>
  <c r="D135" i="16" a="1"/>
  <c r="C40" i="1" a="1"/>
  <c r="C124" i="11"/>
  <c r="C201" i="12"/>
  <c r="C483" i="1" a="1"/>
  <c r="C134" i="8"/>
  <c r="I313" i="16" a="1"/>
  <c r="C142" i="11"/>
  <c r="E13" i="5"/>
  <c r="H139" i="16" a="1"/>
  <c r="D420" i="16" a="1"/>
  <c r="I229" i="16" a="1"/>
  <c r="I195" i="16" a="1"/>
  <c r="D231" i="16" a="1"/>
  <c r="C98" i="12"/>
  <c r="K47" i="5"/>
  <c r="C289" i="9"/>
  <c r="H359" i="16" a="1"/>
  <c r="I203" i="16" a="1"/>
  <c r="J412" i="16" a="1"/>
  <c r="E55" i="4"/>
  <c r="C150" i="8"/>
  <c r="F122" i="5"/>
  <c r="C248" i="10"/>
  <c r="C221" i="12"/>
  <c r="F182" i="5"/>
  <c r="F114" i="5"/>
  <c r="C193" i="11"/>
  <c r="J79" i="5"/>
  <c r="F134" i="5"/>
  <c r="H32" i="16" a="1"/>
  <c r="F85" i="5"/>
  <c r="D191" i="16" a="1"/>
  <c r="I167" i="16" a="1"/>
  <c r="C292" i="9"/>
  <c r="I270" i="16" a="1"/>
  <c r="E70" i="5"/>
  <c r="F202" i="4"/>
  <c r="C141" i="10"/>
  <c r="H320" i="16" a="1"/>
  <c r="C116" i="11"/>
  <c r="C57" i="1" a="1"/>
  <c r="H225" i="16" a="1"/>
  <c r="C109" i="12"/>
  <c r="J346" i="16" a="1"/>
  <c r="K102" i="5"/>
  <c r="C196" i="9"/>
  <c r="C212" i="12"/>
  <c r="E138" i="4"/>
  <c r="C235" i="9"/>
  <c r="J384" i="16" a="1"/>
  <c r="C60" i="10"/>
  <c r="H168" i="4"/>
  <c r="K94" i="4"/>
  <c r="D9" i="16" a="1"/>
  <c r="I288" i="16" a="1"/>
  <c r="H136" i="4"/>
  <c r="H131" i="5"/>
  <c r="J34" i="5"/>
  <c r="J149" i="5"/>
  <c r="C95" i="11"/>
  <c r="C177" i="8"/>
  <c r="C287" i="9"/>
  <c r="J182" i="16" a="1"/>
  <c r="J417" i="16" a="1"/>
  <c r="I264" i="16" a="1"/>
  <c r="C136" i="8"/>
  <c r="I181" i="5"/>
  <c r="C56" i="11"/>
  <c r="J336" i="16" a="1"/>
  <c r="C188" i="12"/>
  <c r="I33" i="5"/>
  <c r="C159" i="11"/>
  <c r="C294" i="10"/>
  <c r="I123" i="5"/>
  <c r="H161" i="4"/>
  <c r="C38" i="1" a="1"/>
  <c r="C14" i="9"/>
  <c r="C116" i="8"/>
  <c r="I31" i="4"/>
  <c r="J222" i="16" a="1"/>
  <c r="J371" i="16" a="1"/>
  <c r="C147" i="12"/>
  <c r="F63" i="5"/>
  <c r="H186" i="16" a="1"/>
  <c r="C276" i="12"/>
  <c r="J394" i="16" a="1"/>
  <c r="C16" i="11"/>
  <c r="J149" i="4"/>
  <c r="J343" i="16" a="1"/>
  <c r="I148" i="5"/>
  <c r="C92" i="11"/>
  <c r="H149" i="16" a="1"/>
  <c r="C277" i="9"/>
  <c r="H88" i="4"/>
  <c r="C71" i="11"/>
  <c r="H87" i="4"/>
  <c r="I442" i="16" a="1"/>
  <c r="J27" i="4"/>
  <c r="J299" i="16" a="1"/>
  <c r="C103" i="12"/>
  <c r="J39" i="4"/>
  <c r="C234" i="9"/>
  <c r="C71" i="12"/>
  <c r="C88" i="10"/>
  <c r="C22" i="9"/>
  <c r="I345" i="16" a="1"/>
  <c r="J296" i="16" a="1"/>
  <c r="C261" i="8"/>
  <c r="H308" i="16" a="1"/>
  <c r="D308" i="16" a="1"/>
  <c r="J345" i="16" a="1"/>
  <c r="I385" i="16" a="1"/>
  <c r="D394" i="16" a="1"/>
  <c r="H5" i="16" a="1"/>
  <c r="C305" i="12"/>
  <c r="I25" i="4"/>
  <c r="E155" i="4"/>
  <c r="I187" i="4"/>
  <c r="C155" i="12"/>
  <c r="C263" i="11"/>
  <c r="C272" i="11"/>
  <c r="C157" i="10"/>
  <c r="I156" i="5"/>
  <c r="C124" i="10"/>
  <c r="C184" i="8"/>
  <c r="J335" i="16" a="1"/>
  <c r="C169" i="8"/>
  <c r="C133" i="10"/>
  <c r="J244" i="16" a="1"/>
  <c r="C14" i="10"/>
  <c r="J124" i="16" a="1"/>
  <c r="C276" i="11"/>
  <c r="C249" i="12"/>
  <c r="I18" i="16" a="1"/>
  <c r="I52" i="4"/>
  <c r="C87" i="9"/>
  <c r="H141" i="5"/>
  <c r="H184" i="5"/>
  <c r="C185" i="1" a="1"/>
  <c r="F75" i="5"/>
  <c r="D173" i="16" a="1"/>
  <c r="C31" i="9"/>
  <c r="C205" i="1" a="1"/>
  <c r="C132" i="11"/>
  <c r="J189" i="16" a="1"/>
  <c r="C88" i="12"/>
  <c r="C25" i="8"/>
  <c r="F41" i="5"/>
  <c r="E171" i="5"/>
  <c r="I404" i="16" a="1"/>
  <c r="C270" i="11"/>
  <c r="H195" i="5"/>
  <c r="E61" i="5"/>
  <c r="E99" i="4"/>
  <c r="C48" i="9"/>
  <c r="J333" i="16" a="1"/>
  <c r="J328" i="16" a="1"/>
  <c r="I174" i="4"/>
  <c r="D264" i="16" a="1"/>
  <c r="F18" i="5"/>
  <c r="K72" i="4"/>
  <c r="C319" i="1" a="1"/>
  <c r="H290" i="16" a="1"/>
  <c r="F156" i="5"/>
  <c r="F11" i="5"/>
  <c r="C15" i="11"/>
  <c r="H341" i="16" a="1"/>
  <c r="I17" i="4"/>
  <c r="J58" i="5"/>
  <c r="J123" i="16" a="1"/>
  <c r="I115" i="5"/>
  <c r="C243" i="8"/>
  <c r="C220" i="1" a="1"/>
  <c r="J44" i="5"/>
  <c r="D208" i="16" a="1"/>
  <c r="C275" i="10"/>
  <c r="J169" i="16" a="1"/>
  <c r="C8" i="11"/>
  <c r="C250" i="12"/>
  <c r="E98" i="5"/>
  <c r="H148" i="4"/>
  <c r="H115" i="5"/>
  <c r="I44" i="4"/>
  <c r="H15" i="5"/>
  <c r="E165" i="5"/>
  <c r="E175" i="4"/>
  <c r="J376" i="16" a="1"/>
  <c r="J223" i="16" a="1"/>
  <c r="E26" i="5"/>
  <c r="C153" i="8"/>
  <c r="I235" i="16" a="1"/>
  <c r="J246" i="16" a="1"/>
  <c r="C130" i="11"/>
  <c r="I52" i="5"/>
  <c r="J189" i="4"/>
  <c r="C175" i="12"/>
  <c r="C111" i="9"/>
  <c r="C18" i="10"/>
  <c r="C190" i="10"/>
  <c r="C276" i="8"/>
  <c r="C5" i="9" a="1"/>
  <c r="H298" i="16" a="1"/>
  <c r="H273" i="16" a="1"/>
  <c r="C178" i="9"/>
  <c r="H110" i="4"/>
  <c r="I342" i="16" a="1"/>
  <c r="C162" i="11"/>
  <c r="D122" i="16" a="1"/>
  <c r="E10" i="4"/>
  <c r="C197" i="12"/>
  <c r="C258" i="11"/>
  <c r="C295" i="11"/>
  <c r="C284" i="12"/>
  <c r="C22" i="11"/>
  <c r="E151" i="5"/>
  <c r="D249" i="16" a="1"/>
  <c r="E120" i="4"/>
  <c r="E118" i="4"/>
  <c r="J205" i="4"/>
  <c r="C65" i="9"/>
  <c r="C237" i="1"/>
  <c r="F45" i="5"/>
  <c r="F39" i="4"/>
  <c r="D11" i="16" a="1"/>
  <c r="H143" i="4"/>
  <c r="E11" i="5"/>
  <c r="K68" i="4"/>
  <c r="C119" i="12"/>
  <c r="D312" i="16" a="1"/>
  <c r="C53" i="8"/>
  <c r="K32" i="5"/>
  <c r="K16" i="5"/>
  <c r="J97" i="4"/>
  <c r="H379" i="16" a="1"/>
  <c r="H52" i="4"/>
  <c r="C33" i="10"/>
  <c r="H316" i="16" a="1"/>
  <c r="K72" i="5"/>
  <c r="H99" i="4"/>
  <c r="C195" i="10"/>
  <c r="F5" i="4"/>
  <c r="C199" i="12"/>
  <c r="H166" i="16" a="1"/>
  <c r="H121" i="4"/>
  <c r="C283" i="12"/>
  <c r="H188" i="16" a="1"/>
  <c r="F174" i="4"/>
  <c r="K168" i="4"/>
  <c r="D324" i="16" a="1"/>
  <c r="F62" i="4"/>
  <c r="E56" i="4"/>
  <c r="K110" i="4"/>
  <c r="C202" i="9"/>
  <c r="J170" i="4"/>
  <c r="H238" i="16" a="1"/>
  <c r="H16" i="16" a="1"/>
  <c r="J310" i="16" a="1"/>
  <c r="D10" i="16" a="1"/>
  <c r="H150" i="4"/>
  <c r="J460" i="16" a="1"/>
  <c r="I347" i="16" a="1"/>
  <c r="C13" i="1" a="1"/>
  <c r="C206" i="12"/>
  <c r="F59" i="5"/>
  <c r="F74" i="4"/>
  <c r="I437" i="16" a="1"/>
  <c r="J203" i="4"/>
  <c r="J41" i="5"/>
  <c r="D376" i="16" a="1"/>
  <c r="E161" i="4"/>
  <c r="D157" i="16" a="1"/>
  <c r="J134" i="5"/>
  <c r="C15" i="8"/>
  <c r="C80" i="12"/>
  <c r="C159" i="9"/>
  <c r="F160" i="5"/>
  <c r="D194" i="16" a="1"/>
  <c r="C199" i="9"/>
  <c r="J397" i="16" a="1"/>
  <c r="C53" i="12"/>
  <c r="J108" i="4"/>
  <c r="C137" i="10"/>
  <c r="C303" i="12"/>
  <c r="J68" i="5"/>
  <c r="H123" i="16" a="1"/>
  <c r="C130" i="9"/>
  <c r="C207" i="11"/>
  <c r="C170" i="10"/>
  <c r="J379" i="16" a="1"/>
  <c r="H236" i="16" a="1"/>
  <c r="C194" i="8"/>
  <c r="C123" i="10"/>
  <c r="D141" i="16" a="1"/>
  <c r="I66" i="5"/>
  <c r="F149" i="5"/>
  <c r="I204" i="4"/>
  <c r="E30" i="4"/>
  <c r="I183" i="16" a="1"/>
  <c r="H256" i="16" a="1"/>
  <c r="I83" i="5"/>
  <c r="C46" i="8"/>
  <c r="H100" i="4"/>
  <c r="C132" i="8"/>
  <c r="J159" i="16" a="1"/>
  <c r="K10" i="5"/>
  <c r="I6" i="16" a="1"/>
  <c r="F197" i="5"/>
  <c r="C69" i="8"/>
  <c r="C13" i="12"/>
  <c r="C189" i="9"/>
  <c r="C198" i="8"/>
  <c r="C269" i="8"/>
  <c r="D26" i="16" a="1"/>
  <c r="D319" i="16" a="1"/>
  <c r="H451" i="16" a="1"/>
  <c r="K39" i="4"/>
  <c r="F175" i="4"/>
  <c r="C30" i="11"/>
  <c r="C169" i="12"/>
  <c r="C114" i="1" a="1"/>
  <c r="C231" i="9"/>
  <c r="C203" i="10"/>
  <c r="I214" i="16" a="1"/>
  <c r="C13" i="9"/>
  <c r="H187" i="16" a="1"/>
  <c r="J33" i="16" a="1"/>
  <c r="D237" i="16" a="1"/>
  <c r="D435" i="16" a="1"/>
  <c r="I142" i="5"/>
  <c r="C192" i="9"/>
  <c r="C198" i="12"/>
  <c r="I207" i="16" a="1"/>
  <c r="C201" i="11"/>
  <c r="I135" i="4"/>
  <c r="H217" i="16" a="1"/>
  <c r="I23" i="5"/>
  <c r="E186" i="5"/>
  <c r="H189" i="16" a="1"/>
  <c r="D367" i="16" a="1"/>
  <c r="H137" i="5"/>
  <c r="C43" i="12"/>
  <c r="K126" i="5"/>
  <c r="C62" i="11"/>
  <c r="J11" i="16" a="1"/>
  <c r="F38" i="5"/>
  <c r="C65" i="8"/>
  <c r="K193" i="4"/>
  <c r="C259" i="9"/>
  <c r="C302" i="9"/>
  <c r="I460" i="16" a="1"/>
  <c r="F43" i="4"/>
  <c r="H455" i="16" a="1"/>
  <c r="E185" i="4"/>
  <c r="H198" i="16" a="1"/>
  <c r="H146" i="5"/>
  <c r="I309" i="16" a="1"/>
  <c r="I157" i="5"/>
  <c r="F159" i="5"/>
  <c r="H117" i="5"/>
  <c r="I201" i="16" a="1"/>
  <c r="J89" i="5"/>
  <c r="K87" i="5"/>
  <c r="C144" i="10"/>
  <c r="C293" i="10"/>
  <c r="C60" i="8"/>
  <c r="C266" i="12"/>
  <c r="C473" i="1" a="1"/>
  <c r="I14" i="16" a="1"/>
  <c r="F21" i="5"/>
  <c r="C92" i="9"/>
  <c r="C26" i="9"/>
  <c r="I426" i="16" a="1"/>
  <c r="H180" i="16" a="1"/>
  <c r="K110" i="5"/>
  <c r="C227" i="10"/>
  <c r="K22" i="5"/>
  <c r="D189" i="16" a="1"/>
  <c r="F86" i="4"/>
  <c r="I409" i="16" a="1"/>
  <c r="E182" i="4"/>
  <c r="H157" i="16" a="1"/>
  <c r="J66" i="5"/>
  <c r="E111" i="5"/>
  <c r="H395" i="16" a="1"/>
  <c r="H323" i="16" a="1"/>
  <c r="H143" i="16" a="1"/>
  <c r="J25" i="16" a="1"/>
  <c r="C59" i="12"/>
  <c r="H153" i="16" a="1"/>
  <c r="J319" i="16" a="1"/>
  <c r="C125" i="9"/>
  <c r="J205" i="5"/>
  <c r="C184" i="11"/>
  <c r="C222" i="8"/>
  <c r="C180" i="8"/>
  <c r="E75" i="5"/>
  <c r="I146" i="16" a="1"/>
  <c r="J167" i="16" a="1"/>
  <c r="J284" i="16" a="1"/>
  <c r="I168" i="5"/>
  <c r="I54" i="5"/>
  <c r="H180" i="4"/>
  <c r="E22" i="5"/>
  <c r="D346" i="16" a="1"/>
  <c r="C207" i="8"/>
  <c r="E151" i="4"/>
  <c r="D195" i="16" a="1"/>
  <c r="C239" i="12"/>
  <c r="I75" i="4"/>
  <c r="I456" i="16" a="1"/>
  <c r="K89" i="5"/>
  <c r="F74" i="5"/>
  <c r="E80" i="4"/>
  <c r="F204" i="5"/>
  <c r="K54" i="4"/>
  <c r="J435" i="16" a="1"/>
  <c r="H176" i="5"/>
  <c r="D31" i="16" a="1"/>
  <c r="H80" i="5"/>
  <c r="J183" i="4"/>
  <c r="I94" i="5"/>
  <c r="J166" i="4"/>
  <c r="K150" i="4"/>
  <c r="C315" i="1" a="1"/>
  <c r="C19" i="8"/>
  <c r="I374" i="16" a="1"/>
  <c r="H195" i="4"/>
  <c r="J71" i="4"/>
  <c r="I447" i="16" a="1"/>
  <c r="C145" i="9"/>
  <c r="F114" i="4"/>
  <c r="K152" i="5"/>
  <c r="I452" i="16" a="1"/>
  <c r="H73" i="5"/>
  <c r="K33" i="5"/>
  <c r="F75" i="4"/>
  <c r="C148" i="12"/>
  <c r="J150" i="5"/>
  <c r="C29" i="1" a="1"/>
  <c r="H79" i="4"/>
  <c r="F40" i="4"/>
  <c r="C138" i="8"/>
  <c r="J5" i="4"/>
  <c r="H406" i="16" a="1"/>
  <c r="K43" i="5"/>
  <c r="I197" i="5"/>
  <c r="F66" i="5"/>
  <c r="F10" i="5"/>
  <c r="C373" i="1" a="1"/>
  <c r="E168" i="5"/>
  <c r="C450" i="1" a="1"/>
  <c r="K137" i="4"/>
  <c r="I5" i="4"/>
  <c r="I89" i="4"/>
  <c r="H136" i="16" a="1"/>
  <c r="C235" i="10"/>
  <c r="C211" i="12"/>
  <c r="H182" i="4"/>
  <c r="K153" i="5"/>
  <c r="C324" i="1" a="1"/>
  <c r="J20" i="4"/>
  <c r="I323" i="16" a="1"/>
  <c r="J380" i="16" a="1"/>
  <c r="C157" i="11"/>
  <c r="I358" i="16" a="1"/>
  <c r="C200" i="1" a="1"/>
  <c r="C243" i="10"/>
  <c r="I120" i="4"/>
  <c r="E66" i="5"/>
  <c r="C206" i="8"/>
  <c r="I117" i="5"/>
  <c r="I25" i="5"/>
  <c r="K171" i="4"/>
  <c r="I157" i="4"/>
  <c r="J381" i="16" a="1"/>
  <c r="C106" i="9"/>
  <c r="K64" i="4"/>
  <c r="C209" i="12"/>
  <c r="C413" i="1" a="1"/>
  <c r="D221" i="16" a="1"/>
  <c r="J28" i="5"/>
  <c r="E158" i="4"/>
  <c r="I246" i="16" a="1"/>
  <c r="I99" i="5"/>
  <c r="H59" i="4"/>
  <c r="H106" i="4"/>
  <c r="C52" i="1" a="1"/>
  <c r="E125" i="5"/>
  <c r="C239" i="10"/>
  <c r="C27" i="8"/>
  <c r="C230" i="11"/>
  <c r="I93" i="4"/>
  <c r="C263" i="1"/>
  <c r="K145" i="5"/>
  <c r="J268" i="16" a="1"/>
  <c r="C292" i="8"/>
  <c r="C270" i="10"/>
  <c r="H44" i="4"/>
  <c r="E196" i="4"/>
  <c r="E107" i="4"/>
  <c r="E125" i="4"/>
  <c r="C61" i="1" a="1"/>
  <c r="I193" i="4"/>
  <c r="E189" i="4"/>
  <c r="J420" i="16" a="1"/>
  <c r="I268" i="16" a="1"/>
  <c r="C123" i="12"/>
  <c r="H39" i="5"/>
  <c r="C10" i="9"/>
  <c r="D443" i="16" a="1"/>
  <c r="E68" i="5"/>
  <c r="H326" i="16" a="1"/>
  <c r="D328" i="16" a="1"/>
  <c r="H411" i="16" a="1"/>
  <c r="J72" i="4"/>
  <c r="F78" i="5"/>
  <c r="C205" i="8"/>
  <c r="J320" i="16" a="1"/>
  <c r="C465" i="1" a="1"/>
  <c r="C81" i="8"/>
  <c r="C282" i="8"/>
  <c r="C72" i="12"/>
  <c r="K117" i="5"/>
  <c r="C55" i="12"/>
  <c r="C297" i="12"/>
  <c r="I202" i="5"/>
  <c r="H200" i="16" a="1"/>
  <c r="I35" i="4"/>
  <c r="K99" i="5"/>
  <c r="I159" i="4"/>
  <c r="H157" i="4"/>
  <c r="K83" i="5"/>
  <c r="K124" i="4"/>
  <c r="K115" i="5"/>
  <c r="C232" i="1"/>
  <c r="C90" i="1" a="1"/>
  <c r="I144" i="4"/>
  <c r="K199" i="5"/>
  <c r="F64" i="4"/>
  <c r="C98" i="10"/>
  <c r="C402" i="1" a="1"/>
  <c r="J132" i="5"/>
  <c r="C280" i="10"/>
  <c r="H60" i="5"/>
  <c r="H291" i="16" a="1"/>
  <c r="H57" i="5"/>
  <c r="J102" i="4"/>
  <c r="K118" i="4"/>
  <c r="C92" i="1" a="1"/>
  <c r="C79" i="10"/>
  <c r="I18" i="4"/>
  <c r="I12" i="4"/>
  <c r="I35" i="5"/>
  <c r="E197" i="4"/>
  <c r="H58" i="4"/>
  <c r="H122" i="16" a="1"/>
  <c r="C23" i="11"/>
  <c r="C185" i="11"/>
  <c r="H133" i="5"/>
  <c r="I118" i="5"/>
  <c r="C461" i="1" a="1"/>
  <c r="C470" i="1" a="1"/>
  <c r="H196" i="4"/>
  <c r="E63" i="5"/>
  <c r="E177" i="4"/>
  <c r="H62" i="4"/>
  <c r="J456" i="16" a="1"/>
  <c r="C195" i="12"/>
  <c r="K164" i="4"/>
  <c r="C245" i="1"/>
  <c r="I107" i="4"/>
  <c r="C457" i="1" a="1"/>
  <c r="K7" i="5"/>
  <c r="C126" i="8"/>
  <c r="E140" i="4"/>
  <c r="E200" i="4"/>
  <c r="C280" i="8"/>
  <c r="J119" i="4"/>
  <c r="C150" i="10"/>
  <c r="C86" i="10"/>
  <c r="C150" i="11"/>
  <c r="C122" i="1" a="1"/>
  <c r="C298" i="9"/>
  <c r="H160" i="5"/>
  <c r="C127" i="9"/>
  <c r="C20" i="12"/>
  <c r="E124" i="4"/>
  <c r="K101" i="4"/>
  <c r="H25" i="5"/>
  <c r="J111" i="4"/>
  <c r="K178" i="4"/>
  <c r="C174" i="10"/>
  <c r="C218" i="10"/>
  <c r="C252" i="10"/>
  <c r="F181" i="4"/>
  <c r="F36" i="4"/>
  <c r="F81" i="4"/>
  <c r="K165" i="4"/>
  <c r="H196" i="16" a="1"/>
  <c r="H176" i="16" a="1"/>
  <c r="H51" i="4"/>
  <c r="C22" i="1" a="1"/>
  <c r="H266" i="16" a="1"/>
  <c r="C157" i="9"/>
  <c r="C62" i="10"/>
  <c r="E28" i="5"/>
  <c r="H101" i="4"/>
  <c r="C491" i="1" a="1"/>
  <c r="H191" i="5"/>
  <c r="K136" i="5"/>
  <c r="H55" i="5"/>
  <c r="I46" i="4"/>
  <c r="J161" i="4"/>
  <c r="C268" i="10"/>
  <c r="H428" i="16" a="1"/>
  <c r="H362" i="16" a="1"/>
  <c r="H64" i="5"/>
  <c r="I202" i="16" a="1"/>
  <c r="C129" i="1" a="1"/>
  <c r="C50" i="10"/>
  <c r="C111" i="8"/>
  <c r="C215" i="10"/>
  <c r="E5" i="5"/>
  <c r="H423" i="16" a="1"/>
  <c r="D20" i="16" a="1"/>
  <c r="C12" i="9"/>
  <c r="I369" i="16" a="1"/>
  <c r="C163" i="9"/>
  <c r="I324" i="16" a="1"/>
  <c r="I133" i="16" a="1"/>
  <c r="D245" i="16" a="1"/>
  <c r="F184" i="5"/>
  <c r="K171" i="5"/>
  <c r="C292" i="12"/>
  <c r="I444" i="16" a="1"/>
  <c r="H199" i="4"/>
  <c r="C165" i="1" a="1"/>
  <c r="F189" i="5"/>
  <c r="C106" i="12"/>
  <c r="D386" i="16" a="1"/>
  <c r="J208" i="16" a="1"/>
  <c r="I142" i="4"/>
  <c r="H32" i="5"/>
  <c r="H59" i="5"/>
  <c r="K156" i="5"/>
  <c r="C207" i="10"/>
  <c r="E26" i="4"/>
  <c r="K78" i="4"/>
  <c r="J121" i="5"/>
  <c r="C5" i="11" a="1"/>
  <c r="I172" i="5"/>
  <c r="H224" i="16" a="1"/>
  <c r="C267" i="11"/>
  <c r="C107" i="12"/>
  <c r="F42" i="4"/>
  <c r="F189" i="4"/>
  <c r="F199" i="4"/>
  <c r="F165" i="4"/>
  <c r="F163" i="4"/>
  <c r="C192" i="8"/>
  <c r="D348" i="16" a="1"/>
  <c r="C500" i="1" a="1"/>
  <c r="J194" i="16" a="1"/>
  <c r="J153" i="4"/>
  <c r="J155" i="5"/>
  <c r="C278" i="11"/>
  <c r="I89" i="5"/>
  <c r="I199" i="5"/>
  <c r="K157" i="5"/>
  <c r="F65" i="4"/>
  <c r="C480" i="1" a="1"/>
  <c r="J158" i="4"/>
  <c r="H274" i="16" a="1"/>
  <c r="I146" i="4"/>
  <c r="C441" i="1" a="1"/>
  <c r="C299" i="1"/>
  <c r="H162" i="4"/>
  <c r="K139" i="4"/>
  <c r="I165" i="16" a="1"/>
  <c r="C218" i="1" a="1"/>
  <c r="C146" i="11"/>
  <c r="C78" i="1" a="1"/>
  <c r="C67" i="9"/>
  <c r="F190" i="4"/>
  <c r="C155" i="1" a="1"/>
  <c r="C243" i="1"/>
  <c r="H361" i="16" a="1"/>
  <c r="C99" i="8"/>
  <c r="H137" i="16" a="1"/>
  <c r="J266" i="16" a="1"/>
  <c r="C242" i="12"/>
  <c r="E168" i="4"/>
  <c r="E24" i="4"/>
  <c r="H4" i="16" a="1"/>
  <c r="F146" i="5"/>
  <c r="I387" i="16" a="1"/>
  <c r="I190" i="5"/>
  <c r="C178" i="1" a="1"/>
  <c r="C76" i="11"/>
  <c r="E202" i="4"/>
  <c r="H365" i="16" a="1"/>
  <c r="I154" i="4"/>
  <c r="C214" i="1" a="1"/>
  <c r="C238" i="10"/>
  <c r="H107" i="5"/>
  <c r="C220" i="12"/>
  <c r="J18" i="4"/>
  <c r="F50" i="5"/>
  <c r="C352" i="1" a="1"/>
  <c r="I55" i="5"/>
  <c r="K51" i="5"/>
  <c r="D406" i="16" a="1"/>
  <c r="C128" i="12"/>
  <c r="K143" i="4"/>
  <c r="H75" i="5"/>
  <c r="E93" i="5"/>
  <c r="H414" i="16" a="1"/>
  <c r="H279" i="16" a="1"/>
  <c r="I154" i="16" a="1"/>
  <c r="E82" i="4"/>
  <c r="C22" i="8"/>
  <c r="H454" i="16" a="1"/>
  <c r="F22" i="4"/>
  <c r="C19" i="12"/>
  <c r="C134" i="11"/>
  <c r="C134" i="9"/>
  <c r="C124" i="9"/>
  <c r="F29" i="5"/>
  <c r="H151" i="4"/>
  <c r="K92" i="5"/>
  <c r="I205" i="16" a="1"/>
  <c r="F97" i="4"/>
  <c r="C248" i="1"/>
  <c r="J202" i="5"/>
  <c r="I142" i="16" a="1"/>
  <c r="C145" i="8"/>
  <c r="F196" i="4"/>
  <c r="C139" i="1" a="1"/>
  <c r="J359" i="16" a="1"/>
  <c r="C103" i="1" a="1"/>
  <c r="H122" i="5"/>
  <c r="C250" i="8"/>
  <c r="K73" i="4"/>
  <c r="C184" i="1" a="1"/>
  <c r="K52" i="5"/>
  <c r="C89" i="1" a="1"/>
  <c r="I154" i="5"/>
  <c r="H282" i="16" a="1"/>
  <c r="K144" i="5"/>
  <c r="C280" i="1"/>
  <c r="H16" i="5"/>
  <c r="J432" i="16" a="1"/>
  <c r="D286" i="16" a="1"/>
  <c r="C458" i="1" a="1"/>
  <c r="J56" i="4"/>
  <c r="C18" i="11"/>
  <c r="C30" i="8"/>
  <c r="I401" i="16" a="1"/>
  <c r="K58" i="4"/>
  <c r="F167" i="4"/>
  <c r="C32" i="10"/>
  <c r="J158" i="5"/>
  <c r="C264" i="1"/>
  <c r="C127" i="11"/>
  <c r="I160" i="5"/>
  <c r="J225" i="16" a="1"/>
  <c r="E144" i="4"/>
  <c r="C416" i="1" a="1"/>
  <c r="F3" i="5"/>
  <c r="K16" i="4"/>
  <c r="I153" i="4"/>
  <c r="C70" i="1" a="1"/>
  <c r="C294" i="12"/>
  <c r="I13" i="4"/>
  <c r="J26" i="4"/>
  <c r="C192" i="1" a="1"/>
  <c r="C41" i="11"/>
  <c r="D425" i="16" a="1"/>
  <c r="C274" i="1"/>
  <c r="B3" i="17" a="1"/>
  <c r="E164" i="4"/>
  <c r="C294" i="1"/>
  <c r="F35" i="5"/>
  <c r="C136" i="10"/>
  <c r="H163" i="4"/>
  <c r="C223" i="11"/>
  <c r="E163" i="4"/>
  <c r="H257" i="16" a="1"/>
  <c r="C353" i="1" a="1"/>
  <c r="C282" i="1"/>
  <c r="C295" i="1"/>
  <c r="I160" i="4"/>
  <c r="C169" i="1" a="1"/>
  <c r="C226" i="10"/>
  <c r="C115" i="12"/>
  <c r="E12" i="4"/>
  <c r="H153" i="4"/>
  <c r="I101" i="5"/>
  <c r="E58" i="4"/>
  <c r="H339" i="16" a="1"/>
  <c r="J150" i="16" a="1"/>
  <c r="J85" i="4"/>
  <c r="H30" i="5"/>
  <c r="H135" i="4"/>
  <c r="I18" i="5"/>
  <c r="J59" i="4"/>
  <c r="C58" i="1" a="1"/>
  <c r="J100" i="5"/>
  <c r="C337" i="1" a="1"/>
  <c r="K62" i="4"/>
  <c r="C59" i="11"/>
  <c r="I232" i="16" a="1"/>
  <c r="D269" i="16" a="1"/>
  <c r="E37" i="5"/>
  <c r="F203" i="4"/>
  <c r="J87" i="4"/>
  <c r="C54" i="11"/>
  <c r="C293" i="9"/>
  <c r="K116" i="4"/>
  <c r="J124" i="5"/>
  <c r="J24" i="16" a="1"/>
  <c r="H285" i="16" a="1"/>
  <c r="C281" i="12"/>
  <c r="C60" i="12"/>
  <c r="C265" i="1"/>
  <c r="H174" i="4"/>
  <c r="C252" i="1"/>
  <c r="C286" i="12"/>
  <c r="C112" i="11"/>
  <c r="C17" i="12"/>
  <c r="H255" i="16" a="1"/>
  <c r="J79" i="4"/>
  <c r="H27" i="16" a="1"/>
  <c r="D160" i="16" a="1"/>
  <c r="C35" i="10"/>
  <c r="F7" i="5"/>
  <c r="C44" i="9"/>
  <c r="C241" i="9"/>
  <c r="C272" i="12"/>
  <c r="J148" i="4"/>
  <c r="J118" i="4"/>
  <c r="E112" i="4"/>
  <c r="K197" i="4"/>
  <c r="H202" i="4"/>
  <c r="C173" i="11"/>
  <c r="H97" i="4"/>
  <c r="I305" i="16" a="1"/>
  <c r="C46" i="1" a="1"/>
  <c r="H131" i="4"/>
  <c r="C105" i="8"/>
  <c r="J171" i="5"/>
  <c r="F161" i="5"/>
  <c r="I166" i="4"/>
  <c r="D172" i="16" a="1"/>
  <c r="J26" i="16" a="1"/>
  <c r="J234" i="16" a="1"/>
  <c r="F49" i="4"/>
  <c r="C134" i="12"/>
  <c r="E97" i="4"/>
  <c r="K196" i="4"/>
  <c r="I169" i="4"/>
  <c r="H192" i="4"/>
  <c r="I171" i="16" a="1"/>
  <c r="C279" i="1"/>
  <c r="C164" i="1" a="1"/>
  <c r="D275" i="16" a="1"/>
  <c r="F168" i="4"/>
  <c r="C288" i="8"/>
  <c r="K134" i="5"/>
  <c r="K70" i="4"/>
  <c r="C48" i="12"/>
  <c r="J50" i="5"/>
  <c r="C23" i="10"/>
  <c r="J341" i="16" a="1"/>
  <c r="D121" i="16" a="1"/>
  <c r="C162" i="1" a="1"/>
  <c r="C89" i="9"/>
  <c r="F70" i="5"/>
  <c r="J35" i="5"/>
  <c r="C411" i="1" a="1"/>
  <c r="H103" i="5"/>
  <c r="C39" i="11"/>
  <c r="F80" i="4"/>
  <c r="I87" i="5"/>
  <c r="C228" i="9"/>
  <c r="C212" i="1" a="1"/>
  <c r="K96" i="4"/>
  <c r="H133" i="4"/>
  <c r="J139" i="5"/>
  <c r="C265" i="10"/>
  <c r="C161" i="8"/>
  <c r="C305" i="9"/>
  <c r="E50" i="4"/>
  <c r="D226" i="16" a="1"/>
  <c r="K130" i="4"/>
  <c r="J152" i="4"/>
  <c r="C257" i="8"/>
  <c r="J90" i="4"/>
  <c r="C178" i="8"/>
  <c r="C39" i="1" a="1"/>
  <c r="J24" i="4"/>
  <c r="K60" i="5"/>
  <c r="C115" i="10"/>
  <c r="H330" i="16" a="1"/>
  <c r="C112" i="1" a="1"/>
  <c r="C271" i="1"/>
  <c r="H183" i="5"/>
  <c r="C103" i="10"/>
  <c r="C392" i="1" a="1"/>
  <c r="J390" i="16" a="1"/>
  <c r="C424" i="1" a="1"/>
  <c r="E38" i="4"/>
  <c r="K134" i="4"/>
  <c r="D178" i="16" a="1"/>
  <c r="H380" i="16" a="1"/>
  <c r="J91" i="5"/>
  <c r="C284" i="1"/>
  <c r="C54" i="9"/>
  <c r="J157" i="4"/>
  <c r="C92" i="8"/>
  <c r="F92" i="5"/>
  <c r="C93" i="12"/>
  <c r="C318" i="1" a="1"/>
  <c r="F26" i="5"/>
  <c r="K53" i="5"/>
  <c r="H78" i="5"/>
  <c r="C170" i="1" a="1"/>
  <c r="E73" i="5"/>
  <c r="H427" i="16" a="1"/>
  <c r="K180" i="4"/>
  <c r="C501" i="1" a="1"/>
  <c r="H16" i="4"/>
  <c r="D179" i="16" a="1"/>
  <c r="I105" i="4"/>
  <c r="H61" i="5"/>
  <c r="J37" i="4"/>
  <c r="C283" i="9"/>
  <c r="C145" i="11"/>
  <c r="H21" i="5"/>
  <c r="C208" i="11"/>
  <c r="C264" i="9"/>
  <c r="C32" i="9"/>
  <c r="C218" i="11"/>
  <c r="F191" i="5"/>
  <c r="H223" i="16" a="1"/>
  <c r="J119" i="5"/>
  <c r="C131" i="11"/>
  <c r="D412" i="16" a="1"/>
  <c r="C34" i="10"/>
  <c r="H141" i="4"/>
  <c r="J11" i="5"/>
  <c r="J181" i="4"/>
  <c r="H253" i="16" a="1"/>
  <c r="K6" i="4"/>
  <c r="I27" i="16" a="1"/>
  <c r="C216" i="10"/>
  <c r="C106" i="8"/>
  <c r="C179" i="12"/>
  <c r="C67" i="8"/>
  <c r="H195" i="16" a="1"/>
  <c r="H98" i="4"/>
  <c r="C238" i="1"/>
  <c r="C209" i="11"/>
  <c r="H271" i="16" a="1"/>
  <c r="H108" i="4"/>
  <c r="H393" i="16" a="1"/>
  <c r="H114" i="5"/>
  <c r="I440" i="16" a="1"/>
  <c r="C94" i="1" a="1"/>
  <c r="C182" i="10"/>
  <c r="C203" i="9"/>
  <c r="I5" i="16" a="1"/>
  <c r="C309" i="1" a="1"/>
  <c r="C44" i="8"/>
  <c r="F63" i="4"/>
  <c r="H5" i="4"/>
  <c r="K177" i="4"/>
  <c r="D139" i="16" a="1"/>
  <c r="E3" i="5"/>
  <c r="C64" i="1" a="1"/>
  <c r="C162" i="8"/>
  <c r="C97" i="10"/>
  <c r="E141" i="5"/>
  <c r="E110" i="4"/>
  <c r="H206" i="4"/>
  <c r="E202" i="5"/>
  <c r="C18" i="9"/>
  <c r="H244" i="16" a="1"/>
  <c r="F46" i="5"/>
  <c r="C359" i="1" a="1"/>
  <c r="I36" i="4"/>
  <c r="I339" i="16" a="1"/>
  <c r="C137" i="9"/>
  <c r="C466" i="1" a="1"/>
  <c r="K163" i="4"/>
  <c r="I220" i="16" a="1"/>
  <c r="I103" i="4"/>
  <c r="C136" i="1" a="1"/>
  <c r="J138" i="16" a="1"/>
  <c r="C439" i="1" a="1"/>
  <c r="C323" i="1" a="1"/>
  <c r="J172" i="4"/>
  <c r="F164" i="5"/>
  <c r="C236" i="10"/>
  <c r="J130" i="16" a="1"/>
  <c r="C215" i="8"/>
  <c r="C251" i="9"/>
  <c r="C180" i="11"/>
  <c r="H106" i="5"/>
  <c r="D145" i="16" a="1"/>
  <c r="I79" i="5"/>
  <c r="F116" i="5"/>
  <c r="I445" i="16" a="1"/>
  <c r="E40" i="5"/>
  <c r="C111" i="10"/>
  <c r="K79" i="4"/>
  <c r="K133" i="5"/>
  <c r="C349" i="1" a="1"/>
  <c r="H68" i="5"/>
  <c r="E45" i="5"/>
  <c r="I266" i="16" a="1"/>
  <c r="C206" i="1" a="1"/>
  <c r="C238" i="9"/>
  <c r="C179" i="11"/>
  <c r="C289" i="10"/>
  <c r="D300" i="16" a="1"/>
  <c r="J97" i="5"/>
  <c r="E148" i="5"/>
  <c r="J163" i="5"/>
  <c r="C271" i="8"/>
  <c r="F58" i="4"/>
  <c r="I292" i="16" a="1"/>
  <c r="C278" i="9"/>
  <c r="E96" i="4"/>
  <c r="H27" i="4"/>
  <c r="C336" i="1" a="1"/>
  <c r="H188" i="5"/>
  <c r="E89" i="4"/>
  <c r="I62" i="5"/>
  <c r="C17" i="8"/>
  <c r="J454" i="16" a="1"/>
  <c r="I104" i="4"/>
  <c r="J62" i="5"/>
  <c r="C333" i="1" a="1"/>
  <c r="C176" i="10"/>
  <c r="H313" i="16" a="1"/>
  <c r="F150" i="4"/>
  <c r="E131" i="4"/>
  <c r="C118" i="10"/>
  <c r="K10" i="4"/>
  <c r="F121" i="4"/>
  <c r="K20" i="5"/>
  <c r="C26" i="11"/>
  <c r="I176" i="4"/>
  <c r="J37" i="5"/>
  <c r="C183" i="9"/>
  <c r="J245" i="16" a="1"/>
  <c r="D285" i="16" a="1"/>
  <c r="H21" i="16" a="1"/>
  <c r="D215" i="16" a="1"/>
  <c r="E32" i="5"/>
  <c r="C208" i="12"/>
  <c r="F34" i="5"/>
  <c r="C35" i="11"/>
  <c r="C160" i="9"/>
  <c r="E24" i="5"/>
  <c r="E75" i="4"/>
  <c r="I30" i="4"/>
  <c r="C36" i="8"/>
  <c r="D177" i="16" a="1"/>
  <c r="K121" i="4"/>
  <c r="C9" i="11"/>
  <c r="H364" i="16" a="1"/>
  <c r="I26" i="16" a="1"/>
  <c r="C160" i="12"/>
  <c r="H268" i="16" a="1"/>
  <c r="C247" i="8"/>
  <c r="J172" i="16" a="1"/>
  <c r="C301" i="8"/>
  <c r="J8" i="16" a="1"/>
  <c r="C129" i="11"/>
  <c r="H32" i="4"/>
  <c r="F51" i="4"/>
  <c r="H102" i="5"/>
  <c r="C176" i="1" a="1"/>
  <c r="H17" i="5"/>
  <c r="J88" i="4"/>
  <c r="I28" i="4"/>
  <c r="C126" i="9"/>
  <c r="J56" i="5"/>
  <c r="F194" i="4"/>
  <c r="E130" i="5"/>
  <c r="F71" i="4"/>
  <c r="H171" i="5"/>
  <c r="I33" i="16" a="1"/>
  <c r="E71" i="5"/>
  <c r="J100" i="4"/>
  <c r="D457" i="16" a="1"/>
  <c r="I364" i="16" a="1"/>
  <c r="J98" i="5"/>
  <c r="J200" i="16" a="1"/>
  <c r="F6" i="5"/>
  <c r="C28" i="8"/>
  <c r="C242" i="1"/>
  <c r="H287" i="16" a="1"/>
  <c r="K9" i="4"/>
  <c r="H234" i="16" a="1"/>
  <c r="J273" i="16" a="1"/>
  <c r="C284" i="10"/>
  <c r="K82" i="4"/>
  <c r="J30" i="5"/>
  <c r="D438" i="16" a="1"/>
  <c r="C105" i="1" a="1"/>
  <c r="C33" i="1" a="1"/>
  <c r="H197" i="4"/>
  <c r="C34" i="8"/>
  <c r="K108" i="5"/>
  <c r="C18" i="1" a="1"/>
  <c r="J19" i="5"/>
  <c r="H45" i="4"/>
  <c r="E96" i="5"/>
  <c r="C256" i="11"/>
  <c r="J217" i="16" a="1"/>
  <c r="C181" i="1" a="1"/>
  <c r="E130" i="4"/>
  <c r="C286" i="8"/>
  <c r="K19" i="5"/>
  <c r="E114" i="4"/>
  <c r="K87" i="4"/>
  <c r="C89" i="11"/>
  <c r="I395" i="16" a="1"/>
  <c r="C240" i="11"/>
  <c r="C166" i="9"/>
  <c r="H450" i="16" a="1"/>
  <c r="K146" i="5"/>
  <c r="J145" i="4"/>
  <c r="C257" i="1"/>
  <c r="I58" i="5"/>
  <c r="H197" i="16" a="1"/>
  <c r="C300" i="10"/>
  <c r="F104" i="4"/>
  <c r="C219" i="8"/>
  <c r="C107" i="1" a="1"/>
  <c r="H446" i="16" a="1"/>
  <c r="C154" i="10"/>
  <c r="I110" i="5"/>
  <c r="H351" i="16" a="1"/>
  <c r="H132" i="5"/>
  <c r="F41" i="4"/>
  <c r="C205" i="12"/>
  <c r="C210" i="11"/>
  <c r="H405" i="16" a="1"/>
  <c r="H295" i="16" a="1"/>
  <c r="F200" i="5"/>
  <c r="E62" i="5"/>
  <c r="I380" i="16" a="1"/>
  <c r="K181" i="5"/>
  <c r="I197" i="16" a="1"/>
  <c r="J98" i="4"/>
  <c r="C122" i="12"/>
  <c r="C76" i="10"/>
  <c r="H63" i="4"/>
  <c r="C105" i="9"/>
  <c r="H46" i="5"/>
  <c r="J179" i="5"/>
  <c r="K126" i="4"/>
  <c r="C37" i="1" a="1"/>
  <c r="D24" i="16" a="1"/>
  <c r="E160" i="5"/>
  <c r="K51" i="4"/>
  <c r="I24" i="4"/>
  <c r="K190" i="4"/>
  <c r="J47" i="5"/>
  <c r="C252" i="9"/>
  <c r="H177" i="4"/>
  <c r="H369" i="16" a="1"/>
  <c r="E95" i="5"/>
  <c r="C371" i="1" a="1"/>
  <c r="C348" i="1" a="1"/>
  <c r="C142" i="8"/>
  <c r="C149" i="1" a="1"/>
  <c r="J102" i="5"/>
  <c r="I108" i="5"/>
  <c r="C148" i="11"/>
  <c r="C281" i="9"/>
  <c r="I160" i="16" a="1"/>
  <c r="C234" i="11"/>
  <c r="K161" i="5"/>
  <c r="C257" i="9"/>
  <c r="K95" i="4"/>
  <c r="C386" i="1" a="1"/>
  <c r="H85" i="4"/>
  <c r="J144" i="5"/>
  <c r="D424" i="16" a="1"/>
  <c r="C121" i="9"/>
  <c r="H19" i="4"/>
  <c r="C75" i="10"/>
  <c r="F206" i="5"/>
  <c r="C211" i="1" a="1"/>
  <c r="H278" i="16" a="1"/>
  <c r="I149" i="4"/>
  <c r="C186" i="12"/>
  <c r="C15" i="9"/>
  <c r="J229" i="16" a="1"/>
  <c r="J356" i="16" a="1"/>
  <c r="H445" i="16" a="1"/>
  <c r="C79" i="9"/>
  <c r="E61" i="4"/>
  <c r="C130" i="12"/>
  <c r="F64" i="5"/>
  <c r="I198" i="5"/>
  <c r="C223" i="12"/>
  <c r="H187" i="5"/>
  <c r="C298" i="12"/>
  <c r="I217" i="16" a="1"/>
  <c r="D190" i="16" a="1"/>
  <c r="E188" i="5"/>
  <c r="C21" i="1" a="1"/>
  <c r="K138" i="4"/>
  <c r="C104" i="1" a="1"/>
  <c r="C135" i="1" a="1"/>
  <c r="F188" i="4"/>
  <c r="F152" i="5"/>
  <c r="I13" i="5"/>
  <c r="C214" i="9"/>
  <c r="C104" i="11"/>
  <c r="J14" i="5"/>
  <c r="F157" i="5"/>
  <c r="J94" i="4"/>
  <c r="C123" i="1" a="1"/>
  <c r="C244" i="10"/>
  <c r="J179" i="4"/>
  <c r="I162" i="4"/>
  <c r="F167" i="5"/>
  <c r="C127" i="1" a="1"/>
  <c r="H399" i="16" a="1"/>
  <c r="I82" i="4"/>
  <c r="C172" i="8"/>
  <c r="I6" i="4"/>
  <c r="C9" i="9"/>
  <c r="C321" i="1" a="1"/>
  <c r="I422" i="16" a="1"/>
  <c r="C131" i="1" a="1"/>
  <c r="I164" i="5"/>
  <c r="I95" i="5"/>
  <c r="K174" i="4"/>
  <c r="F31" i="4"/>
  <c r="H30" i="16" a="1"/>
  <c r="F28" i="5"/>
  <c r="J77" i="4"/>
  <c r="E188" i="4"/>
  <c r="H20" i="4"/>
  <c r="F26" i="4"/>
  <c r="E180" i="5"/>
  <c r="C163" i="8"/>
  <c r="K140" i="5"/>
  <c r="C153" i="10"/>
  <c r="I161" i="16" a="1"/>
  <c r="H123" i="4"/>
  <c r="E33" i="4"/>
  <c r="J49" i="5"/>
  <c r="C188" i="1" a="1"/>
  <c r="C305" i="1"/>
  <c r="C203" i="1" a="1"/>
  <c r="H155" i="5"/>
  <c r="D388" i="16" a="1"/>
  <c r="I119" i="5"/>
  <c r="F198" i="5"/>
  <c r="C362" i="1" a="1"/>
  <c r="I204" i="5"/>
  <c r="J88" i="5"/>
  <c r="K32" i="4"/>
  <c r="E93" i="4"/>
  <c r="K80" i="4"/>
  <c r="K84" i="5"/>
  <c r="H182" i="5"/>
  <c r="C297" i="11"/>
  <c r="C460" i="1" a="1"/>
  <c r="D274" i="16" a="1"/>
  <c r="C388" i="1" a="1"/>
  <c r="C85" i="8"/>
  <c r="E120" i="5"/>
  <c r="F47" i="5"/>
  <c r="K186" i="5"/>
  <c r="J190" i="4"/>
  <c r="F106" i="4"/>
  <c r="C102" i="10"/>
  <c r="J174" i="4"/>
  <c r="C106" i="10"/>
  <c r="K34" i="4"/>
  <c r="E86" i="4"/>
  <c r="I32" i="4"/>
  <c r="H178" i="4"/>
  <c r="E31" i="4"/>
  <c r="I343" i="16" a="1"/>
  <c r="C108" i="1" a="1"/>
  <c r="F154" i="5"/>
  <c r="F140" i="5"/>
  <c r="C119" i="9"/>
  <c r="H12" i="4"/>
  <c r="F145" i="4"/>
  <c r="C297" i="1"/>
  <c r="I245" i="16" a="1"/>
  <c r="J9" i="16" a="1"/>
  <c r="C183" i="1" a="1"/>
  <c r="C146" i="12"/>
  <c r="C214" i="11"/>
  <c r="H10" i="5"/>
  <c r="C49" i="8"/>
  <c r="C154" i="12"/>
  <c r="H187" i="4"/>
  <c r="C164" i="8"/>
  <c r="H155" i="16" a="1"/>
  <c r="I261" i="16" a="1"/>
  <c r="H185" i="16" a="1"/>
  <c r="J16" i="4"/>
  <c r="K74" i="5"/>
  <c r="J16" i="5"/>
  <c r="J57" i="5"/>
  <c r="D261" i="16" a="1"/>
  <c r="D432" i="16" a="1"/>
  <c r="C44" i="11"/>
  <c r="J219" i="16" a="1"/>
  <c r="H17" i="16" a="1"/>
  <c r="C89" i="8"/>
  <c r="J306" i="16" a="1"/>
  <c r="I300" i="16" a="1"/>
  <c r="J370" i="16" a="1"/>
  <c r="C36" i="1" a="1"/>
  <c r="C12" i="11"/>
  <c r="E28" i="4"/>
  <c r="C58" i="12"/>
  <c r="I185" i="4"/>
  <c r="H5" i="1" a="1"/>
  <c r="F185" i="4"/>
  <c r="E81" i="5"/>
  <c r="I60" i="4"/>
  <c r="J203" i="5"/>
  <c r="H128" i="16" a="1"/>
  <c r="I450" i="16" a="1"/>
  <c r="J107" i="5"/>
  <c r="H129" i="16" a="1"/>
  <c r="I285" i="16" a="1"/>
  <c r="H342" i="16" a="1"/>
  <c r="H111" i="4"/>
  <c r="C268" i="1"/>
  <c r="H145" i="4"/>
  <c r="K111" i="5"/>
  <c r="E129" i="4"/>
  <c r="F173" i="4"/>
  <c r="J90" i="5"/>
  <c r="C381" i="1" a="1"/>
  <c r="I337" i="16" a="1"/>
  <c r="D205" i="16" a="1"/>
  <c r="K119" i="5"/>
  <c r="I168" i="16" a="1"/>
  <c r="I459" i="16" a="1"/>
  <c r="C283" i="8"/>
  <c r="C306" i="1" a="1"/>
  <c r="F119" i="4"/>
  <c r="C203" i="8"/>
  <c r="I378" i="16" a="1"/>
  <c r="C152" i="8"/>
  <c r="H130" i="5"/>
  <c r="K30" i="5"/>
  <c r="K135" i="4"/>
  <c r="C224" i="8"/>
  <c r="J293" i="16" a="1"/>
  <c r="H197" i="5"/>
  <c r="E31" i="5"/>
  <c r="F132" i="4"/>
  <c r="I87" i="4"/>
  <c r="I321" i="16" a="1"/>
  <c r="C191" i="8"/>
  <c r="J305" i="16" a="1"/>
  <c r="I16" i="4"/>
  <c r="H165" i="5"/>
  <c r="E131" i="5"/>
  <c r="C301" i="11"/>
  <c r="C246" i="11"/>
  <c r="K181" i="4"/>
  <c r="J70" i="5"/>
  <c r="C220" i="10"/>
  <c r="E55" i="5"/>
  <c r="C426" i="1" a="1"/>
  <c r="E193" i="4"/>
  <c r="J178" i="4"/>
  <c r="K12" i="4"/>
  <c r="J201" i="5"/>
  <c r="J60" i="4"/>
  <c r="C44" i="1" a="1"/>
  <c r="I9" i="4"/>
  <c r="E83" i="4"/>
  <c r="C435" i="1" a="1"/>
  <c r="H139" i="4"/>
  <c r="K116" i="5"/>
  <c r="C167" i="12"/>
  <c r="F192" i="4"/>
  <c r="C474" i="1" a="1"/>
  <c r="C33" i="14" a="1"/>
  <c r="C171" i="11"/>
  <c r="J205" i="16" a="1"/>
  <c r="I165" i="5"/>
  <c r="C232" i="10"/>
  <c r="C276" i="10"/>
  <c r="C60" i="1" a="1"/>
  <c r="H226" i="16" a="1"/>
  <c r="C222" i="10"/>
  <c r="C456" i="1" a="1"/>
  <c r="K161" i="4"/>
  <c r="H44" i="5"/>
  <c r="F12" i="4"/>
  <c r="J95" i="5"/>
  <c r="C279" i="10"/>
  <c r="H14" i="16" a="1"/>
  <c r="E178" i="4"/>
  <c r="K17" i="5"/>
  <c r="I407" i="16" a="1"/>
  <c r="J340" i="16" a="1"/>
  <c r="D355" i="16" a="1"/>
  <c r="C212" i="9"/>
  <c r="F84" i="4"/>
  <c r="H18" i="5"/>
  <c r="H63" i="5"/>
  <c r="H86" i="4"/>
  <c r="C142" i="12"/>
  <c r="C28" i="12"/>
  <c r="C342" i="1" a="1"/>
  <c r="J33" i="4"/>
  <c r="D431" i="16" a="1"/>
  <c r="C11" i="12"/>
  <c r="C96" i="12"/>
  <c r="F105" i="4"/>
  <c r="K81" i="5"/>
  <c r="J241" i="16" a="1"/>
  <c r="E129" i="5"/>
  <c r="C42" i="8"/>
  <c r="J96" i="5"/>
  <c r="J178" i="5"/>
  <c r="C287" i="10"/>
  <c r="H371" i="16" a="1"/>
  <c r="C167" i="10"/>
  <c r="F142" i="4"/>
  <c r="E84" i="5"/>
  <c r="J164" i="4"/>
  <c r="E157" i="5"/>
  <c r="C185" i="10"/>
  <c r="C335" i="1" a="1"/>
  <c r="I124" i="5"/>
  <c r="C59" i="9"/>
  <c r="I141" i="16" a="1"/>
  <c r="I410" i="16" a="1"/>
  <c r="C208" i="1" a="1"/>
  <c r="J230" i="16" a="1"/>
  <c r="J196" i="4"/>
  <c r="C299" i="8"/>
  <c r="F199" i="5"/>
  <c r="H128" i="4"/>
  <c r="C67" i="1" a="1"/>
  <c r="H33" i="4"/>
  <c r="C303" i="8"/>
  <c r="I290" i="16" a="1"/>
  <c r="C492" i="1" a="1"/>
  <c r="H26" i="5"/>
  <c r="C223" i="1"/>
  <c r="H29" i="5"/>
  <c r="C168" i="8"/>
  <c r="E15" i="4"/>
  <c r="I16" i="16" a="1"/>
  <c r="H7" i="4"/>
  <c r="C255" i="9"/>
  <c r="D429" i="16" a="1"/>
  <c r="C346" i="1" a="1"/>
  <c r="H66" i="4"/>
  <c r="E54" i="5"/>
  <c r="J106" i="5"/>
  <c r="C331" i="1" a="1"/>
  <c r="E199" i="4"/>
  <c r="K119" i="4"/>
  <c r="H65" i="5"/>
  <c r="J192" i="16" a="1"/>
  <c r="C423" i="1" a="1"/>
  <c r="F42" i="5"/>
  <c r="I84" i="4"/>
  <c r="C134" i="1" a="1"/>
  <c r="C496" i="1" a="1"/>
  <c r="I110" i="4"/>
  <c r="C54" i="8"/>
  <c r="J112" i="4"/>
  <c r="C262" i="12"/>
  <c r="H167" i="5"/>
  <c r="K67" i="4"/>
  <c r="K46" i="4"/>
  <c r="I49" i="4"/>
  <c r="I27" i="4"/>
  <c r="C72" i="8"/>
  <c r="K61" i="5"/>
  <c r="J129" i="5"/>
  <c r="F128" i="5"/>
  <c r="J20" i="5"/>
  <c r="C82" i="9"/>
  <c r="C78" i="11"/>
  <c r="I255" i="16" a="1"/>
  <c r="K11" i="5"/>
  <c r="H193" i="5"/>
  <c r="K21" i="4"/>
  <c r="J136" i="4"/>
  <c r="H153" i="5"/>
  <c r="J181" i="5"/>
  <c r="F56" i="5"/>
  <c r="C36" i="11"/>
  <c r="J51" i="5"/>
  <c r="C428" i="1" a="1"/>
  <c r="J101" i="4"/>
  <c r="K182" i="5"/>
  <c r="E128" i="4"/>
  <c r="F58" i="5"/>
  <c r="K74" i="4"/>
  <c r="I130" i="16" a="1"/>
  <c r="D377" i="16" a="1"/>
  <c r="I190" i="4"/>
  <c r="C236" i="8"/>
  <c r="I11" i="4"/>
  <c r="C238" i="12"/>
  <c r="F89" i="4"/>
  <c r="C138" i="12"/>
  <c r="D290" i="16" a="1"/>
  <c r="C53" i="1" a="1"/>
  <c r="C101" i="11"/>
  <c r="D298" i="16" a="1"/>
  <c r="H354" i="16" a="1"/>
  <c r="H152" i="4"/>
  <c r="D421" i="16" a="1"/>
  <c r="I151" i="16" a="1"/>
  <c r="E58" i="5"/>
  <c r="C56" i="9"/>
  <c r="D182" i="16" a="1"/>
  <c r="I371" i="16" a="1"/>
  <c r="F30" i="5"/>
  <c r="C6" i="8"/>
  <c r="C144" i="8"/>
  <c r="I145" i="16" a="1"/>
  <c r="J423" i="16" a="1"/>
  <c r="C21" i="10"/>
  <c r="I152" i="16" a="1"/>
  <c r="D399" i="16" a="1"/>
  <c r="C71" i="1" a="1"/>
  <c r="I56" i="4"/>
  <c r="K4" i="5"/>
  <c r="C179" i="9"/>
  <c r="I414" i="16" a="1"/>
  <c r="I427" i="16" a="1"/>
  <c r="D136" i="16" a="1"/>
  <c r="C340" i="1" a="1"/>
  <c r="I291" i="16" a="1"/>
  <c r="E122" i="5"/>
  <c r="J21" i="4"/>
  <c r="F204" i="4"/>
  <c r="H95" i="5"/>
  <c r="E13" i="4"/>
  <c r="F17" i="5"/>
  <c r="I46" i="5"/>
  <c r="C4" i="14" a="1"/>
  <c r="I171" i="5"/>
  <c r="E91" i="4"/>
  <c r="C327" i="1" a="1"/>
  <c r="I125" i="16" a="1"/>
  <c r="C448" i="1" a="1"/>
  <c r="C198" i="1" a="1"/>
  <c r="I105" i="5"/>
  <c r="C290" i="10"/>
  <c r="C358" i="1" a="1"/>
  <c r="C220" i="9"/>
  <c r="I127" i="4"/>
  <c r="K35" i="4"/>
  <c r="H227" i="16" a="1"/>
  <c r="C272" i="10"/>
  <c r="C144" i="9"/>
  <c r="C341" i="1" a="1"/>
  <c r="E79" i="4"/>
  <c r="E203" i="5"/>
  <c r="C146" i="8"/>
  <c r="C230" i="1"/>
  <c r="H37" i="4"/>
  <c r="C285" i="1"/>
  <c r="I195" i="4"/>
  <c r="J318" i="16" a="1"/>
  <c r="I138" i="16" a="1"/>
  <c r="F15" i="5"/>
  <c r="J406" i="16" a="1"/>
  <c r="H212" i="16" a="1"/>
  <c r="C422" i="1" a="1"/>
  <c r="K132" i="5"/>
  <c r="I140" i="4"/>
  <c r="D372" i="16" a="1"/>
  <c r="E11" i="4"/>
  <c r="D459" i="16" a="1"/>
  <c r="I189" i="5"/>
  <c r="K77" i="4"/>
  <c r="I21" i="16" a="1"/>
  <c r="E41" i="5"/>
  <c r="H199" i="16" a="1"/>
  <c r="C76" i="9"/>
  <c r="C229" i="12"/>
  <c r="H102" i="4"/>
  <c r="J424" i="16" a="1"/>
  <c r="E49" i="5"/>
  <c r="H69" i="4"/>
  <c r="H221" i="16" a="1"/>
  <c r="F34" i="4"/>
  <c r="C182" i="9"/>
  <c r="C121" i="10"/>
  <c r="J32" i="16" a="1"/>
  <c r="H130" i="16" a="1"/>
  <c r="D416" i="16" a="1"/>
  <c r="C203" i="11"/>
  <c r="F90" i="4"/>
  <c r="C270" i="1"/>
  <c r="C201" i="8"/>
  <c r="J74" i="5"/>
  <c r="H76" i="5"/>
  <c r="C99" i="9"/>
  <c r="D212" i="16" a="1"/>
  <c r="E164" i="5"/>
  <c r="K205" i="5"/>
  <c r="F27" i="5"/>
  <c r="D159" i="16" a="1"/>
  <c r="C165" i="12"/>
  <c r="D265" i="16" a="1"/>
  <c r="C190" i="9"/>
  <c r="C120" i="12"/>
  <c r="J142" i="5"/>
  <c r="C430" i="1" a="1"/>
  <c r="I13" i="16" a="1"/>
  <c r="C235" i="12"/>
  <c r="K168" i="5"/>
  <c r="C339" i="1" a="1"/>
  <c r="C374" i="1" a="1"/>
  <c r="C42" i="12"/>
  <c r="C478" i="1" a="1"/>
  <c r="J313" i="16" a="1"/>
  <c r="E15" i="5"/>
  <c r="I158" i="5"/>
  <c r="H178" i="5"/>
  <c r="K179" i="5"/>
  <c r="C436" i="1" a="1"/>
  <c r="D306" i="16" a="1"/>
  <c r="E169" i="5"/>
  <c r="E110" i="5"/>
  <c r="C106" i="1" a="1"/>
  <c r="C86" i="11"/>
  <c r="C261" i="12"/>
  <c r="F186" i="5"/>
  <c r="J48" i="4"/>
  <c r="E42" i="4"/>
  <c r="D383" i="16" a="1"/>
  <c r="H169" i="5"/>
  <c r="I205" i="5"/>
  <c r="H148" i="5"/>
  <c r="K40" i="4"/>
  <c r="J188" i="4"/>
  <c r="I311" i="16" a="1"/>
  <c r="F35" i="4"/>
  <c r="I180" i="16" a="1"/>
  <c r="E12" i="5"/>
  <c r="K56" i="4"/>
  <c r="D393" i="16" a="1"/>
  <c r="C144" i="11"/>
  <c r="C440" i="1" a="1"/>
  <c r="F196" i="5"/>
  <c r="J198" i="4"/>
  <c r="I184" i="16" a="1"/>
  <c r="C100" i="10"/>
  <c r="D4" i="16" a="1"/>
  <c r="C197" i="10"/>
  <c r="C263" i="10"/>
  <c r="C47" i="9"/>
  <c r="D361" i="16" a="1"/>
  <c r="D149" i="16" a="1"/>
  <c r="C82" i="10"/>
  <c r="F190" i="5"/>
  <c r="J391" i="16" a="1"/>
  <c r="J349" i="16" a="1"/>
  <c r="E105" i="5"/>
  <c r="C236" i="1"/>
  <c r="H170" i="4"/>
  <c r="H149" i="5"/>
  <c r="J197" i="5"/>
  <c r="D409" i="16" a="1"/>
  <c r="C194" i="11"/>
  <c r="C84" i="1" a="1"/>
  <c r="C275" i="12"/>
  <c r="H402" i="16" a="1"/>
  <c r="C151" i="1" a="1"/>
  <c r="C66" i="9"/>
  <c r="C47" i="1" a="1"/>
  <c r="H65" i="4"/>
  <c r="F88" i="5"/>
  <c r="J29" i="5"/>
  <c r="C110" i="1" a="1"/>
  <c r="C68" i="1" a="1"/>
  <c r="H194" i="4"/>
  <c r="C167" i="11"/>
  <c r="J29" i="16" a="1"/>
  <c r="I164" i="4"/>
  <c r="C25" i="10"/>
  <c r="K203" i="4"/>
  <c r="J279" i="16" a="1"/>
  <c r="C80" i="8"/>
  <c r="I75" i="5"/>
  <c r="C225" i="9"/>
  <c r="F146" i="4"/>
  <c r="C29" i="9"/>
  <c r="K147" i="5"/>
  <c r="H310" i="16" a="1"/>
  <c r="H264" i="16" a="1"/>
  <c r="C16" i="12"/>
  <c r="H119" i="5"/>
  <c r="I122" i="4"/>
  <c r="I194" i="5"/>
  <c r="I135" i="5"/>
  <c r="E109" i="4"/>
  <c r="C152" i="1" a="1"/>
  <c r="C58" i="8"/>
  <c r="H25" i="4"/>
  <c r="H193" i="4"/>
  <c r="J363" i="16" a="1"/>
  <c r="C118" i="9"/>
  <c r="C51" i="1" a="1"/>
  <c r="C505" i="1" a="1"/>
  <c r="D30" i="16" a="1"/>
  <c r="C101" i="1" a="1"/>
  <c r="H62" i="5"/>
  <c r="F121" i="5"/>
  <c r="H48" i="5"/>
  <c r="J63" i="5"/>
  <c r="C267" i="10"/>
  <c r="J178" i="16" a="1"/>
  <c r="H146" i="4"/>
  <c r="K45" i="5"/>
  <c r="K58" i="5"/>
  <c r="J52" i="5"/>
  <c r="C418" i="1" a="1"/>
  <c r="C303" i="1"/>
  <c r="J414" i="16" a="1"/>
  <c r="C325" i="1" a="1"/>
  <c r="C299" i="9"/>
  <c r="H92" i="4"/>
  <c r="C249" i="10"/>
  <c r="C252" i="8"/>
  <c r="C429" i="1" a="1"/>
  <c r="C220" i="11"/>
  <c r="C10" i="8"/>
  <c r="F172" i="4"/>
  <c r="C214" i="10"/>
  <c r="C477" i="1" a="1"/>
  <c r="K146" i="4"/>
  <c r="C277" i="8"/>
  <c r="F48" i="4"/>
  <c r="K105" i="4"/>
  <c r="D360" i="16" a="1"/>
  <c r="J190" i="16" a="1"/>
  <c r="C98" i="8"/>
  <c r="E56" i="5"/>
  <c r="I100" i="5"/>
  <c r="C102" i="11"/>
  <c r="E178" i="5"/>
  <c r="J192" i="5"/>
  <c r="C266" i="10"/>
  <c r="J187" i="4"/>
  <c r="C253" i="11"/>
  <c r="C95" i="10"/>
  <c r="C334" i="1" a="1"/>
  <c r="C151" i="10"/>
  <c r="J12" i="16" a="1"/>
  <c r="H52" i="5"/>
  <c r="I253" i="16" a="1"/>
  <c r="J69" i="5"/>
  <c r="C250" i="9"/>
  <c r="I101" i="4"/>
  <c r="H461" i="16" a="1"/>
  <c r="C449" i="1" a="1"/>
  <c r="I11" i="5"/>
  <c r="C64" i="10"/>
  <c r="F109" i="5"/>
  <c r="F98" i="5"/>
  <c r="C9" i="10"/>
  <c r="J195" i="4"/>
  <c r="C32" i="11"/>
  <c r="K84" i="4"/>
  <c r="C407" i="1" a="1"/>
  <c r="F79" i="4"/>
  <c r="H74" i="4"/>
  <c r="K159" i="4"/>
  <c r="C47" i="12"/>
  <c r="C249" i="1"/>
  <c r="H269" i="16" a="1"/>
  <c r="C170" i="9"/>
  <c r="I7" i="16" a="1"/>
  <c r="F53" i="5"/>
  <c r="C151" i="8"/>
  <c r="K29" i="5"/>
  <c r="K205" i="4"/>
  <c r="E92" i="4"/>
  <c r="K98" i="4"/>
  <c r="C94" i="8"/>
  <c r="C280" i="11"/>
  <c r="C244" i="8"/>
  <c r="I159" i="5"/>
  <c r="H261" i="16" a="1"/>
  <c r="E126" i="4"/>
  <c r="H99" i="5"/>
  <c r="K23" i="5"/>
  <c r="J29" i="4"/>
  <c r="H113" i="4"/>
  <c r="J183" i="5"/>
  <c r="K189" i="4"/>
  <c r="J348" i="16" a="1"/>
  <c r="C225" i="1"/>
  <c r="I184" i="5"/>
  <c r="D280" i="16" a="1"/>
  <c r="H116" i="4"/>
  <c r="E66" i="4"/>
  <c r="K8" i="4"/>
  <c r="K145" i="4"/>
  <c r="F194" i="5"/>
  <c r="C115" i="11"/>
  <c r="F98" i="4"/>
  <c r="J7" i="5"/>
  <c r="K42" i="4"/>
  <c r="I3" i="5"/>
  <c r="C229" i="8"/>
  <c r="I65" i="4"/>
  <c r="K31" i="4"/>
  <c r="C242" i="8"/>
  <c r="J407" i="16" a="1"/>
  <c r="H136" i="5"/>
  <c r="F104" i="5"/>
  <c r="C60" i="11"/>
  <c r="C119" i="8"/>
  <c r="J130" i="5"/>
  <c r="D240" i="16" a="1"/>
  <c r="F172" i="5"/>
  <c r="H200" i="4"/>
  <c r="C311" i="1" a="1"/>
  <c r="D310" i="16" a="1"/>
  <c r="K92" i="4"/>
  <c r="F118" i="5"/>
  <c r="C145" i="10"/>
  <c r="J113" i="4"/>
  <c r="I191" i="16" a="1"/>
  <c r="J11" i="4"/>
  <c r="I92" i="5"/>
  <c r="H133" i="16" a="1"/>
  <c r="J269" i="16" a="1"/>
  <c r="K178" i="5"/>
  <c r="C25" i="11"/>
  <c r="K177" i="5"/>
  <c r="F120" i="4"/>
  <c r="K63" i="4"/>
  <c r="C375" i="1" a="1"/>
  <c r="H127" i="5"/>
  <c r="C410" i="1" a="1"/>
  <c r="J68" i="4"/>
  <c r="I186" i="16" a="1"/>
  <c r="C175" i="1" a="1"/>
  <c r="I7" i="4"/>
  <c r="C414" i="1" a="1"/>
  <c r="I54" i="4"/>
  <c r="J141" i="4"/>
  <c r="C31" i="1" a="1"/>
  <c r="C269" i="12"/>
  <c r="F14" i="5"/>
  <c r="C170" i="11"/>
  <c r="K55" i="5"/>
  <c r="K69" i="4"/>
  <c r="C149" i="11"/>
  <c r="H125" i="4"/>
  <c r="H387" i="16" a="1"/>
  <c r="H174" i="5"/>
  <c r="H347" i="16" a="1"/>
  <c r="J288" i="16" a="1"/>
  <c r="J337" i="16" a="1"/>
  <c r="C166" i="11"/>
  <c r="C64" i="8"/>
  <c r="C172" i="1" a="1"/>
  <c r="I55" i="4"/>
  <c r="K42" i="5"/>
  <c r="K135" i="5"/>
  <c r="C216" i="11"/>
  <c r="C35" i="9"/>
  <c r="I224" i="16" a="1"/>
  <c r="I168" i="4"/>
  <c r="H144" i="16" a="1"/>
  <c r="C92" i="10"/>
  <c r="H147" i="16" a="1"/>
  <c r="E190" i="5"/>
  <c r="J54" i="4"/>
  <c r="I240" i="16" a="1"/>
  <c r="C267" i="12"/>
  <c r="F140" i="4"/>
  <c r="J83" i="5"/>
  <c r="H23" i="4"/>
  <c r="C241" i="11"/>
  <c r="E126" i="5"/>
  <c r="J137" i="5"/>
  <c r="C475" i="1" a="1"/>
  <c r="C234" i="12"/>
  <c r="C268" i="8"/>
  <c r="J153" i="5"/>
  <c r="C467" i="1" a="1"/>
  <c r="C32" i="1" a="1"/>
  <c r="C225" i="10"/>
  <c r="H61" i="4"/>
  <c r="C262" i="1"/>
  <c r="J239" i="16" a="1"/>
  <c r="K153" i="4"/>
  <c r="D368" i="16" a="1"/>
  <c r="C132" i="12"/>
  <c r="C75" i="11"/>
  <c r="J120" i="5"/>
  <c r="E160" i="4"/>
  <c r="C171" i="8"/>
  <c r="F17" i="4"/>
  <c r="H58" i="5"/>
  <c r="C196" i="8"/>
  <c r="J184" i="16" a="1"/>
  <c r="C468" i="1" a="1"/>
  <c r="K53" i="4"/>
  <c r="I42" i="5"/>
  <c r="J91" i="4"/>
  <c r="K44" i="4"/>
  <c r="E18" i="5"/>
  <c r="K114" i="4"/>
  <c r="C122" i="10"/>
  <c r="C93" i="1" a="1"/>
  <c r="C17" i="9"/>
  <c r="C142" i="9"/>
  <c r="C272" i="1"/>
  <c r="C292" i="1"/>
  <c r="E52" i="5"/>
  <c r="I388" i="16" a="1"/>
  <c r="I39" i="4"/>
  <c r="F149" i="4"/>
  <c r="H73" i="4"/>
  <c r="C113" i="12"/>
  <c r="J81" i="5"/>
  <c r="C237" i="9"/>
  <c r="I359" i="16" a="1"/>
  <c r="C183" i="12"/>
  <c r="E79" i="5"/>
  <c r="I336" i="16" a="1"/>
  <c r="K106" i="4"/>
  <c r="C344" i="1" a="1"/>
  <c r="C41" i="8"/>
  <c r="C155" i="9"/>
  <c r="D392" i="16" a="1"/>
  <c r="H265" i="16" a="1"/>
  <c r="E73" i="4"/>
  <c r="J85" i="5"/>
  <c r="E84" i="4"/>
  <c r="C300" i="1"/>
  <c r="C6" i="11"/>
  <c r="C445" i="1" a="1"/>
  <c r="E101" i="5"/>
  <c r="C265" i="9"/>
  <c r="J274" i="16" a="1"/>
  <c r="C172" i="11"/>
  <c r="C100" i="9"/>
  <c r="C60" i="9"/>
  <c r="I132" i="4"/>
  <c r="H85" i="5"/>
  <c r="K105" i="5"/>
  <c r="D403" i="16" a="1"/>
  <c r="H169" i="4"/>
  <c r="F151" i="4"/>
  <c r="C256" i="8"/>
  <c r="K184" i="4"/>
  <c r="E180" i="4"/>
  <c r="K22" i="4"/>
  <c r="I250" i="16" a="1"/>
  <c r="F88" i="4"/>
  <c r="I63" i="5"/>
  <c r="H14" i="5"/>
  <c r="E123" i="5"/>
  <c r="K128" i="4"/>
  <c r="C85" i="9"/>
  <c r="C30" i="10"/>
  <c r="C61" i="8"/>
  <c r="K37" i="4"/>
  <c r="K151" i="4"/>
  <c r="H75" i="4"/>
  <c r="E102" i="4"/>
  <c r="E67" i="5"/>
  <c r="E18" i="4"/>
  <c r="C70" i="8"/>
  <c r="H164" i="4"/>
  <c r="F32" i="4"/>
  <c r="C267" i="8"/>
  <c r="J118" i="5"/>
  <c r="J70" i="4"/>
  <c r="C444" i="1" a="1"/>
  <c r="E179" i="4"/>
  <c r="J76" i="5"/>
  <c r="H185" i="4"/>
  <c r="C48" i="10"/>
  <c r="E98" i="4"/>
  <c r="J109" i="5"/>
  <c r="I47" i="4"/>
  <c r="K120" i="5"/>
  <c r="I47" i="5"/>
  <c r="E177" i="5"/>
  <c r="H94" i="5"/>
  <c r="E201" i="4"/>
  <c r="K96" i="5"/>
  <c r="I260" i="16" a="1"/>
  <c r="C181" i="8"/>
  <c r="H51" i="5"/>
  <c r="K111" i="4"/>
  <c r="C345" i="1" a="1"/>
  <c r="I341" i="16" a="1"/>
  <c r="I192" i="4"/>
  <c r="F164" i="4"/>
  <c r="F148" i="4"/>
  <c r="C486" i="1" a="1"/>
  <c r="F193" i="4"/>
  <c r="C49" i="1" a="1"/>
  <c r="I72" i="5"/>
  <c r="C259" i="8"/>
  <c r="I10" i="16" a="1"/>
  <c r="C164" i="11"/>
  <c r="C115" i="1" a="1"/>
  <c r="E88" i="5"/>
  <c r="F85" i="4"/>
  <c r="J15" i="5"/>
  <c r="J144" i="4"/>
  <c r="E22" i="4"/>
  <c r="C308" i="1" a="1"/>
  <c r="C132" i="1" a="1"/>
  <c r="H35" i="4"/>
  <c r="H3" i="4"/>
  <c r="E64" i="5"/>
  <c r="E60" i="4"/>
  <c r="I185" i="5"/>
  <c r="C255" i="8"/>
  <c r="F124" i="4"/>
  <c r="F123" i="4"/>
  <c r="E108" i="4"/>
  <c r="C216" i="1" a="1"/>
  <c r="C188" i="10"/>
  <c r="C171" i="10"/>
  <c r="E35" i="4"/>
  <c r="F16" i="4"/>
  <c r="C113" i="11"/>
  <c r="J38" i="5"/>
  <c r="J392" i="16" a="1"/>
  <c r="F37" i="5"/>
  <c r="C182" i="8"/>
  <c r="K66" i="4"/>
  <c r="C23" i="12"/>
  <c r="C115" i="9"/>
  <c r="C237" i="11"/>
  <c r="C167" i="9"/>
  <c r="C247" i="1"/>
  <c r="H13" i="5"/>
  <c r="C277" i="12"/>
  <c r="C19" i="9"/>
  <c r="J195" i="5"/>
  <c r="I162" i="16" a="1"/>
  <c r="H332" i="16" a="1"/>
  <c r="C193" i="1" a="1"/>
  <c r="C1" i="13" a="1"/>
  <c r="J147" i="5"/>
  <c r="J169" i="4"/>
  <c r="E9" i="4"/>
  <c r="I140" i="5"/>
  <c r="C126" i="1" a="1"/>
  <c r="E174" i="5"/>
  <c r="D305" i="16" a="1"/>
  <c r="H50" i="4"/>
  <c r="F76" i="4"/>
  <c r="I74" i="5"/>
  <c r="I107" i="5"/>
  <c r="C241" i="12"/>
  <c r="I117" i="4"/>
  <c r="J6" i="4"/>
  <c r="F57" i="5"/>
  <c r="E184" i="4"/>
  <c r="K103" i="4"/>
  <c r="C9" i="8"/>
  <c r="C248" i="9"/>
  <c r="E19" i="5"/>
  <c r="F52" i="4"/>
  <c r="H78" i="4"/>
  <c r="H45" i="5"/>
  <c r="K102" i="4"/>
  <c r="C379" i="1" a="1"/>
  <c r="E36" i="4"/>
  <c r="E159" i="4"/>
  <c r="J120" i="4"/>
  <c r="H67" i="4"/>
  <c r="I181" i="4"/>
  <c r="J12" i="4"/>
  <c r="C248" i="11"/>
  <c r="H172" i="5"/>
  <c r="J80" i="4"/>
  <c r="I10" i="4"/>
  <c r="C120" i="1" a="1"/>
  <c r="I108" i="4"/>
  <c r="I173" i="4"/>
  <c r="C221" i="8"/>
  <c r="J186" i="5"/>
  <c r="C490" i="1" a="1"/>
  <c r="F23" i="5"/>
  <c r="K142" i="5"/>
  <c r="J351" i="16" a="1"/>
  <c r="I130" i="4"/>
  <c r="H184" i="4"/>
  <c r="F120" i="5"/>
  <c r="F38" i="4"/>
  <c r="J28" i="4"/>
  <c r="K3" i="4"/>
  <c r="E81" i="4"/>
  <c r="F49" i="5"/>
  <c r="K90" i="5"/>
  <c r="J150" i="4"/>
  <c r="E87" i="4"/>
  <c r="H201" i="5"/>
  <c r="F105" i="5"/>
  <c r="H79" i="5"/>
  <c r="K204" i="4"/>
  <c r="J194" i="5"/>
  <c r="E48" i="4"/>
  <c r="H33" i="5"/>
  <c r="F52" i="5"/>
  <c r="C183" i="11"/>
  <c r="I15" i="4"/>
  <c r="K169" i="4"/>
  <c r="C40" i="9"/>
  <c r="H134" i="4"/>
  <c r="C296" i="9"/>
  <c r="K180" i="5"/>
  <c r="I204" i="16" a="1"/>
  <c r="I16" i="5"/>
  <c r="F3" i="4"/>
  <c r="H43" i="5"/>
  <c r="J127" i="4"/>
  <c r="C147" i="1" a="1"/>
  <c r="C215" i="1" a="1"/>
  <c r="I8" i="4"/>
  <c r="C72" i="9"/>
  <c r="C16" i="1" a="1"/>
  <c r="F73" i="5"/>
  <c r="I393" i="16" a="1"/>
  <c r="K38" i="4"/>
  <c r="I76" i="4"/>
  <c r="F200" i="4"/>
  <c r="J214" i="16" a="1"/>
  <c r="C296" i="10"/>
  <c r="I124" i="4"/>
  <c r="K113" i="5"/>
  <c r="H205" i="4"/>
  <c r="D150" i="16" a="1"/>
  <c r="E44" i="4"/>
  <c r="H55" i="4"/>
  <c r="K57" i="4"/>
  <c r="H105" i="4"/>
  <c r="J159" i="5"/>
  <c r="C322" i="1" a="1"/>
  <c r="C7" i="1" a="1"/>
  <c r="C212" i="11"/>
  <c r="I36" i="5"/>
  <c r="C305" i="8"/>
  <c r="C191" i="9"/>
  <c r="C383" i="1" a="1"/>
  <c r="D244" i="16" a="1"/>
  <c r="J450" i="16" a="1"/>
  <c r="D413" i="16" a="1"/>
  <c r="C382" i="1" a="1"/>
  <c r="K199" i="4"/>
  <c r="C446" i="1" a="1"/>
  <c r="C168" i="1" a="1"/>
  <c r="K147" i="4"/>
  <c r="H174" i="16" a="1"/>
  <c r="F176" i="4"/>
  <c r="H181" i="16" a="1"/>
  <c r="H301" i="16" a="1"/>
  <c r="F87" i="5"/>
  <c r="E100" i="4"/>
  <c r="J99" i="4"/>
  <c r="K198" i="4"/>
  <c r="F10" i="4"/>
  <c r="C62" i="8"/>
  <c r="C30" i="9"/>
  <c r="J81" i="4"/>
  <c r="C255" i="1"/>
  <c r="I155" i="5"/>
  <c r="C489" i="1" a="1"/>
  <c r="C493" i="1" a="1"/>
  <c r="F45" i="4"/>
  <c r="I96" i="5"/>
  <c r="C287" i="1"/>
  <c r="J75" i="4"/>
  <c r="C61" i="10"/>
  <c r="F141" i="5"/>
  <c r="I172" i="4"/>
  <c r="F168" i="5"/>
  <c r="C412" i="1" a="1"/>
  <c r="C281" i="10"/>
  <c r="C298" i="1"/>
  <c r="F131" i="5"/>
  <c r="C97" i="11"/>
  <c r="C281" i="11"/>
  <c r="I113" i="4"/>
  <c r="C255" i="12"/>
  <c r="K108" i="4"/>
  <c r="E63" i="4"/>
  <c r="C13" i="8"/>
  <c r="J125" i="5"/>
  <c r="E145" i="5"/>
  <c r="J130" i="4"/>
  <c r="I53" i="5"/>
  <c r="C82" i="12"/>
  <c r="C289" i="1"/>
  <c r="F155" i="5"/>
  <c r="J115" i="4"/>
  <c r="J92" i="4"/>
  <c r="I66" i="4"/>
  <c r="K173" i="5"/>
  <c r="C294" i="11"/>
  <c r="C26" i="1" a="1"/>
  <c r="C419" i="1" a="1"/>
  <c r="J32" i="4"/>
  <c r="E68" i="4"/>
  <c r="H6" i="4"/>
  <c r="J13" i="4"/>
  <c r="C156" i="8"/>
  <c r="C242" i="10"/>
  <c r="I115" i="4"/>
  <c r="C282" i="11"/>
  <c r="D340" i="16" a="1"/>
  <c r="K202" i="5"/>
  <c r="I212" i="16" a="1"/>
  <c r="J122" i="5"/>
  <c r="C273" i="8"/>
  <c r="H83" i="4"/>
  <c r="E174" i="4"/>
  <c r="E16" i="4"/>
  <c r="J125" i="4"/>
  <c r="C142" i="1"/>
  <c r="C21" i="12"/>
  <c r="E191" i="5"/>
  <c r="C224" i="1"/>
  <c r="J191" i="4"/>
  <c r="C174" i="11"/>
  <c r="H30" i="4"/>
  <c r="H13" i="4"/>
  <c r="F92" i="4"/>
  <c r="E44" i="5"/>
  <c r="E21" i="5"/>
  <c r="E82" i="5"/>
  <c r="F99" i="4"/>
  <c r="I63" i="4"/>
  <c r="C219" i="11"/>
  <c r="K132" i="4"/>
  <c r="E149" i="4"/>
  <c r="C256" i="10"/>
  <c r="E7" i="5"/>
  <c r="E67" i="4"/>
  <c r="H98" i="5"/>
  <c r="J45" i="4"/>
  <c r="I183" i="5"/>
  <c r="J204" i="4"/>
  <c r="F131" i="4"/>
  <c r="J134" i="4"/>
  <c r="H374" i="16" a="1"/>
  <c r="H138" i="5"/>
  <c r="C301" i="1"/>
  <c r="C22" i="10"/>
  <c r="I38" i="4"/>
  <c r="K23" i="4"/>
  <c r="F183" i="5"/>
  <c r="K107" i="4"/>
  <c r="J372" i="16" a="1"/>
  <c r="C431" i="1" a="1"/>
  <c r="H114" i="4"/>
  <c r="H132" i="16" a="1"/>
  <c r="C173" i="10"/>
  <c r="H90" i="4"/>
  <c r="K13" i="5"/>
  <c r="E3" i="4"/>
  <c r="C266" i="9"/>
  <c r="E36" i="5"/>
  <c r="I8" i="5"/>
  <c r="J185" i="5"/>
  <c r="E4" i="4"/>
  <c r="E128" i="5"/>
  <c r="I116" i="4"/>
  <c r="J55" i="5"/>
  <c r="J194" i="4"/>
  <c r="C54" i="1" a="1"/>
  <c r="C326" i="1" a="1"/>
  <c r="F147" i="5"/>
  <c r="I136" i="4"/>
  <c r="J8" i="5"/>
  <c r="H189" i="4"/>
  <c r="F100" i="5"/>
  <c r="E166" i="5"/>
  <c r="C281" i="1"/>
  <c r="F110" i="5"/>
  <c r="H179" i="5"/>
  <c r="I163" i="4"/>
  <c r="E162" i="4"/>
  <c r="E69" i="4"/>
  <c r="H314" i="16" a="1"/>
  <c r="E137" i="4"/>
  <c r="K43" i="4"/>
  <c r="K120" i="4"/>
  <c r="C24" i="12"/>
  <c r="K75" i="5"/>
  <c r="I91" i="4"/>
  <c r="H74" i="5"/>
  <c r="J109" i="4"/>
  <c r="K125" i="4"/>
  <c r="H107" i="4"/>
  <c r="J64" i="4"/>
  <c r="H42" i="4"/>
  <c r="F32" i="5"/>
  <c r="H324" i="16" a="1"/>
  <c r="H70" i="4"/>
  <c r="C396" i="1" a="1"/>
  <c r="I134" i="5"/>
  <c r="C351" i="1" a="1"/>
  <c r="D401" i="16" a="1"/>
  <c r="I151" i="5"/>
  <c r="K157" i="4"/>
  <c r="C17" i="1" a="1"/>
  <c r="E19" i="4"/>
  <c r="I11" i="16" a="1"/>
  <c r="J167" i="4"/>
  <c r="J51" i="4"/>
  <c r="C316" i="1" a="1"/>
  <c r="F184" i="4"/>
  <c r="C452" i="1" a="1"/>
  <c r="C104" i="8"/>
  <c r="C55" i="10"/>
  <c r="H88" i="5"/>
  <c r="C14" i="11"/>
  <c r="C39" i="9"/>
  <c r="C276" i="1"/>
  <c r="I4" i="4"/>
  <c r="C400" i="1" a="1"/>
  <c r="D272" i="16" a="1"/>
  <c r="C408" i="1" a="1"/>
  <c r="C471" i="1" a="1"/>
  <c r="J48" i="5"/>
  <c r="D366" i="16" a="1"/>
  <c r="C117" i="8"/>
  <c r="H19" i="5"/>
  <c r="J126" i="5"/>
  <c r="C188" i="9"/>
  <c r="K88" i="5"/>
  <c r="C224" i="12"/>
  <c r="I155" i="4"/>
  <c r="D18" i="16" a="1"/>
  <c r="K183" i="4"/>
  <c r="E72" i="4"/>
  <c r="H11" i="4"/>
  <c r="C33" i="8"/>
  <c r="I43" i="4"/>
  <c r="I48" i="4"/>
  <c r="I227" i="16" a="1"/>
  <c r="F5" i="5"/>
  <c r="I73" i="5"/>
  <c r="F126" i="5"/>
  <c r="C111" i="1" a="1"/>
  <c r="F107" i="4"/>
  <c r="I119" i="4"/>
  <c r="J38" i="4"/>
  <c r="C479" i="1" a="1"/>
  <c r="F73" i="4"/>
  <c r="C260" i="1"/>
  <c r="C239" i="1"/>
  <c r="C173" i="1" a="1"/>
  <c r="E38" i="5"/>
  <c r="C159" i="1" a="1"/>
  <c r="C29" i="11"/>
  <c r="F115" i="4"/>
  <c r="D253" i="16" a="1"/>
  <c r="K70" i="5"/>
  <c r="J180" i="4"/>
  <c r="H157" i="5"/>
  <c r="K113" i="4"/>
  <c r="I111" i="4"/>
  <c r="I97" i="4"/>
  <c r="C102" i="1" a="1"/>
  <c r="J36" i="5"/>
  <c r="C261" i="1"/>
  <c r="F22" i="5"/>
  <c r="J49" i="4"/>
  <c r="J139" i="4"/>
  <c r="C376" i="1" a="1"/>
  <c r="F25" i="4"/>
  <c r="J132" i="4"/>
  <c r="F93" i="4"/>
  <c r="J89" i="4"/>
  <c r="F67" i="4"/>
  <c r="C10" i="1" a="1"/>
  <c r="I53" i="4"/>
  <c r="E139" i="5"/>
  <c r="C304" i="1"/>
  <c r="C219" i="12"/>
  <c r="H170" i="5"/>
  <c r="C72" i="1" a="1"/>
  <c r="I149" i="5"/>
  <c r="K29" i="4"/>
  <c r="C124" i="12"/>
  <c r="K5" i="4"/>
  <c r="I179" i="5"/>
  <c r="I317" i="16" a="1"/>
  <c r="I111" i="5"/>
  <c r="K144" i="4"/>
  <c r="I71" i="4"/>
  <c r="E173" i="4"/>
  <c r="C365" i="1" a="1"/>
  <c r="I81" i="4"/>
  <c r="C12" i="8"/>
  <c r="E127" i="4"/>
  <c r="H159" i="5"/>
  <c r="K45" i="4"/>
  <c r="J114" i="4"/>
  <c r="E40" i="4"/>
  <c r="E172" i="5"/>
  <c r="F127" i="4"/>
  <c r="F161" i="4"/>
  <c r="I187" i="16" a="1"/>
  <c r="H270" i="16" a="1"/>
  <c r="C38" i="12"/>
  <c r="H105" i="5"/>
  <c r="E91" i="5"/>
  <c r="J187" i="16" a="1"/>
  <c r="C24" i="8"/>
  <c r="K142" i="4"/>
  <c r="C181" i="10"/>
  <c r="C52" i="9"/>
  <c r="F44" i="5"/>
  <c r="E136" i="4"/>
  <c r="C190" i="12"/>
  <c r="C7" i="10"/>
  <c r="K27" i="5"/>
  <c r="K91" i="5"/>
  <c r="I156" i="16" a="1"/>
  <c r="K162" i="4"/>
  <c r="H355" i="16" a="1"/>
  <c r="J78" i="5"/>
  <c r="C102" i="12"/>
  <c r="E52" i="4"/>
  <c r="C39" i="10"/>
  <c r="J147" i="4"/>
  <c r="J72" i="5"/>
  <c r="I6" i="5"/>
  <c r="C104" i="9"/>
  <c r="C98" i="1" a="1"/>
  <c r="C275" i="1"/>
  <c r="H54" i="4"/>
  <c r="H86" i="5"/>
  <c r="C159" i="10"/>
  <c r="I136" i="5"/>
  <c r="H71" i="4"/>
  <c r="J145" i="5"/>
  <c r="K95" i="5"/>
  <c r="C162" i="10"/>
  <c r="C68" i="8"/>
  <c r="I103" i="5"/>
  <c r="C463" i="1" a="1"/>
  <c r="H104" i="4"/>
  <c r="C187" i="8"/>
  <c r="C230" i="10"/>
  <c r="C310" i="1" a="1"/>
  <c r="K155" i="4"/>
  <c r="D143" i="16" a="1"/>
  <c r="I122" i="5"/>
  <c r="J199" i="5"/>
  <c r="H203" i="5"/>
  <c r="F36" i="5"/>
  <c r="C296" i="1"/>
  <c r="J121" i="4"/>
  <c r="C268" i="12"/>
  <c r="C43" i="8"/>
  <c r="C37" i="8"/>
  <c r="K55" i="4"/>
  <c r="K65" i="4"/>
  <c r="C79" i="11"/>
  <c r="C268" i="9"/>
  <c r="K17" i="4"/>
  <c r="H77" i="4"/>
  <c r="C177" i="12"/>
  <c r="J135" i="4"/>
  <c r="I318" i="16" a="1"/>
  <c r="H413" i="16" a="1"/>
  <c r="F118" i="4"/>
  <c r="E77" i="4"/>
  <c r="J131" i="4"/>
  <c r="J25" i="5"/>
  <c r="J186" i="4"/>
  <c r="K167" i="4"/>
  <c r="K166" i="5"/>
  <c r="J15" i="4"/>
  <c r="E47" i="4"/>
  <c r="C82" i="1" a="1"/>
  <c r="C369" i="1" a="1"/>
  <c r="E117" i="4"/>
  <c r="F191" i="4"/>
  <c r="K185" i="4"/>
  <c r="K37" i="5"/>
  <c r="F18" i="4"/>
  <c r="C25" i="9"/>
  <c r="C222" i="9"/>
  <c r="K7" i="4"/>
  <c r="F61" i="4"/>
  <c r="C84" i="10"/>
  <c r="I12" i="5"/>
  <c r="K50" i="5"/>
  <c r="K89" i="4"/>
  <c r="J117" i="4"/>
  <c r="K187" i="5"/>
  <c r="J160" i="5"/>
  <c r="E74" i="4"/>
  <c r="C96" i="9"/>
  <c r="H189" i="5"/>
  <c r="J42" i="5"/>
  <c r="J31" i="5"/>
  <c r="H104" i="5"/>
  <c r="K162" i="5"/>
  <c r="C83" i="1" a="1"/>
  <c r="C84" i="8"/>
  <c r="I61" i="5"/>
  <c r="C51" i="10"/>
  <c r="C184" i="12"/>
  <c r="I102" i="4"/>
  <c r="H124" i="5"/>
  <c r="C15" i="1" a="1"/>
  <c r="C109" i="8"/>
  <c r="C246" i="9"/>
  <c r="H91" i="4"/>
  <c r="C21" i="9"/>
  <c r="H126" i="4"/>
  <c r="J43" i="4"/>
  <c r="E29" i="5"/>
  <c r="J99" i="5"/>
  <c r="E143" i="4"/>
  <c r="C216" i="9"/>
  <c r="F11" i="4"/>
  <c r="C86" i="9"/>
  <c r="D147" i="16" a="1"/>
  <c r="H346" i="16" a="1"/>
  <c r="H28" i="5"/>
  <c r="H24" i="5"/>
  <c r="C42" i="1" a="1"/>
  <c r="C293" i="12"/>
  <c r="I64" i="5"/>
  <c r="I4" i="5"/>
  <c r="E194" i="5"/>
  <c r="E78" i="4"/>
  <c r="C196" i="1" a="1"/>
  <c r="F60" i="5"/>
  <c r="J43" i="5"/>
  <c r="C98" i="11"/>
  <c r="C409" i="1" a="1"/>
  <c r="J82" i="4"/>
  <c r="H206" i="5"/>
  <c r="K21" i="5"/>
  <c r="I206" i="4"/>
  <c r="J169" i="5"/>
  <c r="C5" i="1" a="1"/>
  <c r="C195" i="1" a="1"/>
  <c r="K66" i="5"/>
  <c r="F89" i="5"/>
  <c r="C246" i="1"/>
  <c r="F115" i="5"/>
  <c r="C115" i="8"/>
  <c r="E196" i="5"/>
  <c r="J142" i="4"/>
  <c r="C482" i="1" a="1"/>
  <c r="C498" i="1" a="1"/>
  <c r="C85" i="10"/>
  <c r="K33" i="4"/>
  <c r="I137" i="4"/>
  <c r="C188" i="11"/>
  <c r="C113" i="8"/>
  <c r="F144" i="4"/>
  <c r="F153" i="4"/>
  <c r="I33" i="4"/>
  <c r="D417" i="16" a="1"/>
  <c r="E186" i="4"/>
  <c r="C9" i="1" a="1"/>
  <c r="H100" i="5"/>
  <c r="F135" i="4"/>
  <c r="K30" i="4"/>
  <c r="C264" i="11"/>
  <c r="C24" i="9"/>
  <c r="H40" i="4"/>
  <c r="E115" i="4"/>
  <c r="H87" i="5"/>
  <c r="C156" i="1" a="1"/>
  <c r="E161" i="5"/>
  <c r="J190" i="5"/>
  <c r="J44" i="4"/>
  <c r="E14" i="4"/>
  <c r="K173" i="4"/>
  <c r="C97" i="1" a="1"/>
  <c r="E181" i="4"/>
  <c r="H84" i="5"/>
  <c r="E20" i="5"/>
  <c r="C288" i="1"/>
  <c r="H41" i="4"/>
  <c r="J62" i="4"/>
  <c r="C87" i="12"/>
  <c r="C10" i="10"/>
  <c r="C120" i="8"/>
  <c r="C204" i="1" a="1"/>
  <c r="F4" i="4"/>
  <c r="I44" i="5"/>
  <c r="F40" i="5"/>
  <c r="J200" i="5"/>
  <c r="H47" i="4"/>
  <c r="D430" i="16" a="1"/>
  <c r="I39" i="5"/>
  <c r="C40" i="8"/>
  <c r="I193" i="16" a="1"/>
  <c r="F70" i="4"/>
  <c r="J285" i="16" a="1"/>
  <c r="C343" i="1" a="1"/>
  <c r="K166" i="4"/>
  <c r="E189" i="5"/>
  <c r="H229" i="16" a="1"/>
  <c r="K186" i="4"/>
  <c r="E171" i="4"/>
  <c r="E41" i="4"/>
  <c r="C99" i="10"/>
  <c r="I68" i="4"/>
  <c r="J14" i="4"/>
  <c r="H8" i="4"/>
  <c r="C81" i="1" a="1"/>
  <c r="C245" i="9"/>
  <c r="D254" i="16" a="1"/>
  <c r="C197" i="11"/>
  <c r="C301" i="9"/>
  <c r="C168" i="12"/>
  <c r="K11" i="4"/>
  <c r="C74" i="1" a="1"/>
  <c r="C13" i="10"/>
  <c r="C158" i="9"/>
  <c r="F143" i="5"/>
  <c r="C170" i="12"/>
  <c r="H247" i="16" a="1"/>
  <c r="C182" i="1" a="1"/>
  <c r="H191" i="4"/>
  <c r="K191" i="4"/>
  <c r="H112" i="4"/>
  <c r="J199" i="16" a="1"/>
  <c r="D365" i="16" a="1"/>
  <c r="J25" i="4"/>
  <c r="E115" i="5"/>
  <c r="C119" i="1" a="1"/>
  <c r="E104" i="5"/>
  <c r="J5" i="5"/>
  <c r="J22" i="4"/>
  <c r="F20" i="4"/>
  <c r="K194" i="4"/>
  <c r="C27" i="1" a="1"/>
  <c r="C488" i="1" a="1"/>
  <c r="J63" i="4"/>
  <c r="H130" i="4"/>
  <c r="K12" i="5"/>
  <c r="I150" i="4"/>
  <c r="I69" i="4"/>
  <c r="I128" i="5"/>
  <c r="H110" i="5"/>
  <c r="J202" i="16" a="1"/>
  <c r="H186" i="5"/>
  <c r="C197" i="9"/>
  <c r="E85" i="4"/>
  <c r="K158" i="4"/>
  <c r="H188" i="4"/>
  <c r="C141" i="1" a="1"/>
  <c r="C152" i="12"/>
  <c r="C86" i="8"/>
  <c r="E17" i="4"/>
  <c r="H200" i="5"/>
  <c r="J82" i="5"/>
  <c r="H196" i="5"/>
  <c r="C404" i="1" a="1"/>
  <c r="C229" i="1"/>
  <c r="C221" i="1" a="1"/>
  <c r="I9" i="5"/>
  <c r="C226" i="1"/>
  <c r="J93" i="5"/>
  <c r="H165" i="4"/>
  <c r="I7" i="5"/>
  <c r="J35" i="4"/>
  <c r="F124" i="5"/>
  <c r="F144" i="5"/>
  <c r="H159" i="4"/>
  <c r="J156" i="5"/>
  <c r="C328" i="1" a="1"/>
  <c r="K19" i="4"/>
  <c r="E57" i="4"/>
  <c r="K61" i="4"/>
  <c r="E132" i="5"/>
  <c r="K71" i="4"/>
  <c r="I415" i="16" a="1"/>
  <c r="K190" i="5"/>
  <c r="C296" i="11"/>
  <c r="I351" i="16" a="1"/>
  <c r="C8" i="1" a="1"/>
  <c r="I113" i="5"/>
  <c r="I67" i="5"/>
  <c r="I145" i="4"/>
  <c r="C55" i="8"/>
  <c r="H120" i="4"/>
  <c r="F6" i="4"/>
  <c r="C189" i="8"/>
  <c r="I104" i="5"/>
  <c r="K129" i="5"/>
  <c r="C180" i="1" a="1"/>
  <c r="F80" i="5"/>
  <c r="I61" i="4"/>
  <c r="E43" i="5"/>
  <c r="C75" i="1" a="1"/>
  <c r="J124" i="4"/>
  <c r="H92" i="5"/>
  <c r="F177" i="5"/>
  <c r="C79" i="1" a="1"/>
  <c r="D199" i="16" a="1"/>
  <c r="C218" i="9"/>
  <c r="H152" i="16" a="1"/>
  <c r="H60" i="4"/>
  <c r="K41" i="5"/>
  <c r="C364" i="1" a="1"/>
  <c r="H122" i="4"/>
  <c r="C300" i="8"/>
  <c r="F205" i="4"/>
  <c r="C267" i="1"/>
  <c r="E154" i="5"/>
  <c r="C50" i="1" a="1"/>
  <c r="H95" i="4"/>
  <c r="I177" i="5"/>
  <c r="K86" i="4"/>
  <c r="I171" i="4"/>
  <c r="H24" i="4"/>
  <c r="I118" i="4"/>
  <c r="I14" i="4"/>
  <c r="C163" i="1" a="1"/>
  <c r="C278" i="1"/>
  <c r="K172" i="4"/>
  <c r="C66" i="10"/>
  <c r="C74" i="10"/>
  <c r="K159" i="5"/>
  <c r="I167" i="5"/>
  <c r="I22" i="4"/>
  <c r="J15" i="16" a="1"/>
  <c r="E142" i="4"/>
  <c r="C291" i="9"/>
  <c r="F7" i="4"/>
  <c r="I199" i="4"/>
  <c r="E39" i="4"/>
  <c r="H127" i="16" a="1"/>
  <c r="J173" i="4"/>
  <c r="H67" i="5"/>
  <c r="C5" i="14" a="1"/>
  <c r="C240" i="12"/>
  <c r="H17" i="4"/>
  <c r="E206" i="4"/>
  <c r="C258" i="1"/>
  <c r="K189" i="5"/>
  <c r="J26" i="5"/>
  <c r="K201" i="5"/>
  <c r="I72" i="4"/>
  <c r="C164" i="10"/>
  <c r="I29" i="5"/>
  <c r="H458" i="16" a="1"/>
  <c r="I139" i="16" a="1"/>
  <c r="J151" i="5"/>
  <c r="F198" i="4"/>
  <c r="H162" i="5"/>
  <c r="K121" i="5"/>
  <c r="C148" i="8"/>
  <c r="K188" i="4"/>
  <c r="J3" i="4"/>
  <c r="K195" i="4"/>
  <c r="F145" i="5"/>
  <c r="C86" i="1" a="1"/>
  <c r="C197" i="1" a="1"/>
  <c r="F78" i="4"/>
  <c r="E119" i="5"/>
  <c r="K154" i="4"/>
  <c r="I85" i="4"/>
  <c r="J17" i="4"/>
  <c r="K115" i="4"/>
  <c r="K139" i="5"/>
  <c r="E85" i="5"/>
  <c r="K122" i="4"/>
  <c r="H151" i="5"/>
  <c r="F195" i="4"/>
  <c r="H20" i="5"/>
  <c r="J41" i="4"/>
  <c r="C40" i="10"/>
  <c r="J151" i="4"/>
  <c r="C487" i="1" a="1"/>
  <c r="C156" i="9"/>
  <c r="F137" i="4"/>
  <c r="E150" i="5"/>
  <c r="D168" i="16" a="1"/>
  <c r="H121" i="5"/>
  <c r="C228" i="8"/>
  <c r="C141" i="12"/>
  <c r="K28" i="4"/>
  <c r="F177" i="4"/>
  <c r="C235" i="1"/>
  <c r="H116" i="5"/>
  <c r="I182" i="4"/>
  <c r="F169" i="4"/>
  <c r="C207" i="1" a="1"/>
  <c r="C443" i="1" a="1"/>
  <c r="C172" i="10"/>
  <c r="F14" i="4"/>
  <c r="E114" i="5"/>
  <c r="I186" i="5"/>
  <c r="C177" i="9"/>
  <c r="E27" i="4"/>
  <c r="E23" i="5"/>
  <c r="E64" i="4"/>
  <c r="C370" i="1" a="1"/>
  <c r="C59" i="1" a="1"/>
  <c r="H77" i="5"/>
  <c r="I384" i="16" a="1"/>
  <c r="H69" i="5"/>
  <c r="J96" i="4"/>
  <c r="H66" i="5"/>
  <c r="H125" i="5"/>
  <c r="E72" i="5"/>
  <c r="E121" i="5"/>
  <c r="C189" i="11"/>
  <c r="E51" i="5"/>
  <c r="K57" i="5"/>
  <c r="C254" i="9"/>
  <c r="I349" i="16" a="1"/>
  <c r="H81" i="4"/>
  <c r="C145" i="1" a="1"/>
  <c r="C195" i="8"/>
  <c r="H70" i="5"/>
  <c r="I251" i="16" a="1"/>
  <c r="C401" i="1" a="1"/>
  <c r="F186" i="4"/>
  <c r="C88" i="8"/>
  <c r="I182" i="16" a="1"/>
  <c r="I221" i="16" a="1"/>
  <c r="F130" i="5"/>
  <c r="J411" i="16" a="1"/>
  <c r="E105" i="4"/>
  <c r="C63" i="1" a="1"/>
  <c r="J76" i="4"/>
  <c r="E190" i="4"/>
  <c r="K125" i="5"/>
  <c r="J226" i="16" a="1"/>
  <c r="I88" i="5"/>
  <c r="I183" i="4"/>
  <c r="C168" i="9"/>
  <c r="I109" i="4"/>
  <c r="C259" i="11"/>
  <c r="C40" i="12"/>
  <c r="C167" i="1" a="1"/>
  <c r="J60" i="5"/>
  <c r="C217" i="10"/>
  <c r="F203" i="5"/>
  <c r="C312" i="1" a="1"/>
  <c r="I3" i="4"/>
  <c r="C124" i="8"/>
  <c r="C143" i="1" a="1"/>
  <c r="C357" i="1" a="1"/>
  <c r="C279" i="11"/>
  <c r="J30" i="4"/>
  <c r="E106" i="5"/>
  <c r="K97" i="5"/>
  <c r="I26" i="4"/>
  <c r="C91" i="1" a="1"/>
  <c r="F142" i="5"/>
  <c r="K48" i="4"/>
  <c r="J13" i="5"/>
  <c r="F158" i="5"/>
  <c r="C113" i="9"/>
  <c r="C403" i="1" a="1"/>
  <c r="J46" i="4"/>
  <c r="F72" i="5"/>
  <c r="J105" i="5"/>
  <c r="I59" i="4"/>
  <c r="C190" i="1" a="1"/>
  <c r="H198" i="4"/>
  <c r="C442" i="1" a="1"/>
  <c r="F178" i="5"/>
  <c r="C262" i="10"/>
  <c r="K26" i="4"/>
  <c r="F117" i="4"/>
  <c r="J162" i="4"/>
  <c r="I181" i="16" a="1"/>
  <c r="F103" i="5"/>
  <c r="C187" i="1" a="1"/>
  <c r="E104" i="4"/>
  <c r="E92" i="5"/>
  <c r="C154" i="1" a="1"/>
  <c r="C192" i="10"/>
  <c r="C253" i="1"/>
  <c r="J66" i="4"/>
  <c r="I106" i="5"/>
  <c r="D234" i="16" a="1"/>
  <c r="E59" i="4"/>
  <c r="F82" i="4"/>
  <c r="C259" i="1"/>
  <c r="K141" i="5"/>
  <c r="H82" i="4"/>
  <c r="J36" i="4"/>
  <c r="D210" i="16" a="1"/>
  <c r="J439" i="16" a="1"/>
  <c r="F125" i="4"/>
  <c r="I143" i="16" a="1"/>
  <c r="F173" i="5"/>
  <c r="J315" i="16" a="1"/>
  <c r="I215" i="16" a="1"/>
  <c r="C37" i="11"/>
  <c r="D330" i="16" a="1"/>
  <c r="H205" i="16" a="1"/>
  <c r="K39" i="5"/>
  <c r="E27" i="5"/>
  <c r="E78" i="5"/>
  <c r="C179" i="1" a="1"/>
  <c r="K90" i="4"/>
  <c r="C231" i="1"/>
  <c r="J184" i="4"/>
  <c r="I179" i="16" a="1"/>
  <c r="H82" i="5"/>
  <c r="C11" i="9"/>
  <c r="J201" i="4"/>
  <c r="H232" i="16" a="1"/>
  <c r="H76" i="4"/>
  <c r="C256" i="12"/>
  <c r="I329" i="16" a="1"/>
  <c r="F77" i="4"/>
  <c r="H430" i="16" a="1"/>
  <c r="I15" i="5"/>
  <c r="I156" i="4"/>
  <c r="E90" i="4"/>
  <c r="E204" i="5"/>
  <c r="H126" i="5"/>
  <c r="K54" i="5"/>
  <c r="F4" i="5"/>
  <c r="K93" i="4"/>
  <c r="E122" i="4"/>
  <c r="E4" i="5"/>
  <c r="C8" i="8"/>
  <c r="J75" i="5"/>
  <c r="E205" i="4"/>
  <c r="F91" i="4"/>
  <c r="H139" i="5"/>
  <c r="C230" i="12"/>
  <c r="C453" i="1" a="1"/>
  <c r="I9" i="16" a="1"/>
  <c r="F162" i="4"/>
  <c r="J71" i="5"/>
  <c r="C367" i="1" a="1"/>
  <c r="H38" i="4"/>
  <c r="E46" i="4"/>
  <c r="E34" i="5"/>
  <c r="I74" i="4"/>
  <c r="I109" i="5"/>
  <c r="J167" i="5"/>
  <c r="J312" i="16" a="1"/>
  <c r="J23" i="5"/>
  <c r="C113" i="1" a="1"/>
  <c r="C494" i="1" a="1"/>
  <c r="J110" i="4"/>
  <c r="J105" i="4"/>
  <c r="I176" i="5"/>
  <c r="I233" i="16" a="1"/>
  <c r="H367" i="16" a="1"/>
  <c r="I126" i="4"/>
  <c r="E65" i="4"/>
  <c r="I182" i="5"/>
  <c r="C495" i="1" a="1"/>
  <c r="C63" i="12"/>
  <c r="C31" i="11"/>
  <c r="I177" i="4"/>
  <c r="I165" i="4"/>
  <c r="C62" i="1" a="1"/>
  <c r="I163" i="5"/>
  <c r="H42" i="5"/>
  <c r="I41" i="4"/>
  <c r="F178" i="4"/>
  <c r="E150" i="4"/>
  <c r="J437" i="16" a="1"/>
  <c r="C101" i="8"/>
  <c r="E17" i="5"/>
  <c r="I98" i="4"/>
  <c r="H186" i="4"/>
  <c r="F53" i="4"/>
  <c r="J168" i="5"/>
  <c r="F119" i="5"/>
  <c r="C363" i="1" a="1"/>
  <c r="K127" i="5"/>
  <c r="C23" i="1" a="1"/>
  <c r="J84" i="5"/>
  <c r="K158" i="5"/>
  <c r="F33" i="4"/>
  <c r="J138" i="5"/>
  <c r="F174" i="5"/>
  <c r="C250" i="11"/>
  <c r="K49" i="5"/>
  <c r="C251" i="1"/>
  <c r="F96" i="5"/>
  <c r="H7" i="5"/>
  <c r="J168" i="4"/>
  <c r="J297" i="16" a="1"/>
  <c r="E59" i="5"/>
  <c r="C218" i="8"/>
  <c r="J224" i="16" a="1"/>
  <c r="C380" i="1" a="1"/>
  <c r="F138" i="5"/>
  <c r="H203" i="4"/>
  <c r="J21" i="5"/>
  <c r="H190" i="5"/>
  <c r="K27" i="4"/>
  <c r="C216" i="8"/>
  <c r="F33" i="5"/>
  <c r="J443" i="16" a="1"/>
  <c r="C250" i="10"/>
  <c r="C29" i="10"/>
  <c r="C187" i="12"/>
  <c r="J47" i="4"/>
  <c r="C261" i="10"/>
  <c r="C298" i="11"/>
  <c r="C159" i="8"/>
  <c r="C27" i="12"/>
  <c r="C243" i="11"/>
  <c r="H441" i="16" a="1"/>
  <c r="C45" i="12"/>
  <c r="J115" i="5"/>
  <c r="E182" i="5"/>
  <c r="E179" i="5"/>
  <c r="E169" i="4"/>
  <c r="J17" i="5"/>
  <c r="C282" i="9"/>
  <c r="K152" i="4"/>
  <c r="K176" i="5"/>
  <c r="I200" i="5"/>
  <c r="I147" i="4"/>
  <c r="H28" i="4"/>
  <c r="C200" i="10"/>
  <c r="H124" i="4"/>
  <c r="H319" i="16" a="1"/>
  <c r="K192" i="4"/>
  <c r="C26" i="8"/>
  <c r="F130" i="4"/>
  <c r="I141" i="4"/>
  <c r="E116" i="4"/>
  <c r="K91" i="4"/>
  <c r="F15" i="4"/>
  <c r="F19" i="5"/>
  <c r="H119" i="4"/>
  <c r="I85" i="5"/>
  <c r="F82" i="5"/>
  <c r="K98" i="5"/>
  <c r="I202" i="4"/>
  <c r="H93" i="5"/>
  <c r="C389" i="1" a="1"/>
  <c r="F24" i="4"/>
  <c r="J254" i="16" a="1"/>
  <c r="C372" i="1" a="1"/>
  <c r="I191" i="4"/>
  <c r="E62" i="4"/>
  <c r="C228" i="11"/>
  <c r="H41" i="5"/>
  <c r="J355" i="16" a="1"/>
  <c r="C5" i="8" a="1"/>
  <c r="E95" i="4"/>
  <c r="C128" i="9"/>
  <c r="K60" i="4"/>
  <c r="K4" i="4"/>
  <c r="I123" i="4"/>
  <c r="K106" i="5"/>
  <c r="C286" i="10"/>
  <c r="C193" i="8"/>
  <c r="C126" i="11"/>
  <c r="C80" i="11"/>
  <c r="C77" i="9"/>
  <c r="K182" i="4"/>
  <c r="C293" i="1"/>
  <c r="F122" i="4"/>
  <c r="E192" i="5"/>
  <c r="C134" i="10"/>
  <c r="C432" i="1" a="1"/>
  <c r="J22" i="5"/>
  <c r="C263" i="8"/>
  <c r="H181" i="5"/>
  <c r="I298" i="16" a="1"/>
  <c r="C235" i="8"/>
  <c r="H350" i="16" a="1"/>
  <c r="C300" i="9"/>
  <c r="C451" i="1" a="1"/>
  <c r="H43" i="4"/>
  <c r="C69" i="10"/>
  <c r="C271" i="10"/>
  <c r="J65" i="5"/>
  <c r="F187" i="4"/>
  <c r="C292" i="10"/>
  <c r="E100" i="5"/>
  <c r="C393" i="1" a="1"/>
  <c r="D126" i="16" a="1"/>
  <c r="F27" i="4"/>
  <c r="J4" i="16" a="1"/>
  <c r="E163" i="5"/>
  <c r="D317" i="16" a="1"/>
  <c r="J4" i="4"/>
  <c r="J53" i="4"/>
  <c r="H134" i="5"/>
  <c r="J185" i="4"/>
  <c r="K137" i="5"/>
  <c r="I90" i="4"/>
  <c r="K79" i="5"/>
  <c r="K107" i="5"/>
  <c r="C96" i="11"/>
  <c r="F180" i="5"/>
  <c r="H129" i="4"/>
  <c r="C227" i="1"/>
  <c r="C200" i="11"/>
  <c r="C360" i="1" a="1"/>
  <c r="C204" i="11"/>
  <c r="C202" i="11"/>
  <c r="I297" i="16" a="1"/>
  <c r="H103" i="4"/>
  <c r="C78" i="8"/>
  <c r="I206" i="5"/>
  <c r="E49" i="4"/>
  <c r="D405" i="16" a="1"/>
  <c r="C45" i="1" a="1"/>
  <c r="J209" i="16" a="1"/>
  <c r="F13" i="5"/>
  <c r="K81" i="4"/>
  <c r="D211" i="16" a="1"/>
  <c r="C120" i="9"/>
  <c r="C85" i="11"/>
  <c r="K104" i="5"/>
  <c r="F151" i="5"/>
  <c r="C117" i="1" a="1"/>
  <c r="C178" i="11"/>
  <c r="F76" i="5"/>
  <c r="C239" i="8"/>
  <c r="C469" i="1" a="1"/>
  <c r="H168" i="5"/>
  <c r="H144" i="4"/>
  <c r="I34" i="4"/>
  <c r="C196" i="10"/>
  <c r="C425" i="1" a="1"/>
  <c r="C76" i="1" a="1"/>
  <c r="H46" i="4"/>
  <c r="K28" i="5"/>
  <c r="J27" i="5"/>
  <c r="K123" i="4"/>
  <c r="F56" i="4"/>
  <c r="H49" i="5"/>
  <c r="C151" i="11"/>
  <c r="J39" i="5"/>
  <c r="K15" i="4"/>
  <c r="C11" i="1" a="1"/>
  <c r="C261" i="9"/>
  <c r="I152" i="4"/>
  <c r="C73" i="1" a="1"/>
  <c r="I280" i="16" a="1"/>
  <c r="E156" i="5"/>
  <c r="K131" i="4"/>
  <c r="H123" i="5"/>
  <c r="C189" i="10"/>
  <c r="K8" i="5"/>
  <c r="F155" i="4"/>
  <c r="C219" i="1" a="1"/>
  <c r="C173" i="12"/>
  <c r="I77" i="4"/>
  <c r="C20" i="1" a="1"/>
  <c r="J67" i="5"/>
  <c r="C107" i="9"/>
  <c r="C155" i="8"/>
  <c r="H206" i="16" a="1"/>
  <c r="C160" i="1" a="1"/>
  <c r="C234" i="1"/>
  <c r="C217" i="8"/>
  <c r="C313" i="1" a="1"/>
  <c r="J354" i="16" a="1"/>
  <c r="C19" i="1" a="1"/>
  <c r="F23" i="4"/>
  <c r="C122" i="9"/>
  <c r="H140" i="5"/>
  <c r="E89" i="5"/>
  <c r="J146" i="4"/>
  <c r="K78" i="5"/>
  <c r="C395" i="1" a="1"/>
  <c r="F157" i="4"/>
  <c r="C217" i="11"/>
  <c r="C209" i="8"/>
  <c r="K76" i="4"/>
  <c r="I51" i="4"/>
  <c r="C109" i="1" a="1"/>
  <c r="K101" i="5"/>
  <c r="C153" i="1" a="1"/>
  <c r="K149" i="4"/>
  <c r="H275" i="16" a="1"/>
  <c r="F159" i="4"/>
  <c r="J123" i="4"/>
  <c r="K14" i="4"/>
  <c r="J57" i="4"/>
  <c r="E103" i="4"/>
  <c r="C504" i="1" a="1"/>
  <c r="H115" i="4"/>
  <c r="I137" i="5"/>
  <c r="C55" i="1" a="1"/>
  <c r="C355" i="1" a="1"/>
  <c r="D176" i="16" a="1"/>
  <c r="C249" i="8"/>
  <c r="E172" i="4"/>
  <c r="F183" i="4"/>
  <c r="K75" i="4"/>
  <c r="J106" i="4"/>
  <c r="I14" i="5"/>
  <c r="J164" i="5"/>
  <c r="H10" i="4"/>
  <c r="C236" i="12"/>
  <c r="C188" i="8"/>
  <c r="I139" i="4"/>
  <c r="K169" i="5"/>
  <c r="H317" i="16" a="1"/>
  <c r="C338" i="1" a="1"/>
  <c r="I382" i="16" a="1"/>
  <c r="J127" i="5"/>
  <c r="C437" i="1" a="1"/>
  <c r="J204" i="5"/>
  <c r="J127" i="16" a="1"/>
  <c r="C268" i="11"/>
  <c r="H158" i="5"/>
  <c r="K36" i="5"/>
  <c r="H89" i="5"/>
  <c r="C76" i="8"/>
  <c r="C105" i="11"/>
  <c r="C198" i="10"/>
  <c r="C283" i="10"/>
  <c r="J171" i="4"/>
  <c r="H140" i="4"/>
  <c r="C6" i="1" a="1"/>
  <c r="J175" i="16" a="1"/>
  <c r="D197" i="16" a="1"/>
  <c r="J116" i="4"/>
  <c r="C77" i="1" a="1"/>
  <c r="H54" i="5"/>
  <c r="C105" i="10"/>
  <c r="I133" i="4"/>
  <c r="F37" i="4"/>
  <c r="I83" i="4"/>
  <c r="K163" i="5"/>
  <c r="J23" i="4"/>
  <c r="J157" i="16" a="1"/>
  <c r="I178" i="4"/>
  <c r="I428" i="16" a="1"/>
  <c r="J143" i="4"/>
  <c r="K18" i="4"/>
  <c r="H93" i="4"/>
  <c r="C497" i="1" a="1"/>
  <c r="F29" i="4"/>
  <c r="I88" i="4"/>
  <c r="C347" i="1" a="1"/>
  <c r="K200" i="4"/>
  <c r="C14" i="12"/>
  <c r="C285" i="9"/>
  <c r="I30" i="5"/>
  <c r="E70" i="4"/>
  <c r="H185" i="5"/>
  <c r="K88" i="4"/>
  <c r="C269" i="1"/>
  <c r="E121" i="4"/>
  <c r="H181" i="4"/>
  <c r="J95" i="4"/>
  <c r="C140" i="12"/>
  <c r="E6" i="5"/>
  <c r="I293" i="16" a="1"/>
  <c r="H137" i="4"/>
  <c r="J135" i="5"/>
  <c r="E101" i="4"/>
  <c r="C366" i="1" a="1"/>
  <c r="H36" i="4"/>
  <c r="J73" i="5"/>
  <c r="E42" i="5"/>
  <c r="J69" i="4"/>
  <c r="H29" i="4"/>
  <c r="K36" i="4"/>
  <c r="K112" i="4"/>
  <c r="C88" i="11"/>
  <c r="I121" i="5"/>
  <c r="F51" i="5"/>
  <c r="J177" i="5"/>
  <c r="F116" i="4"/>
  <c r="C194" i="1" a="1"/>
  <c r="C209" i="10"/>
  <c r="J55" i="4"/>
  <c r="C232" i="9"/>
  <c r="C464" i="1" a="1"/>
  <c r="I120" i="5"/>
  <c r="I37" i="4"/>
  <c r="C46" i="10"/>
  <c r="F201" i="4"/>
  <c r="E195" i="5"/>
  <c r="J73" i="4"/>
  <c r="I29" i="16" a="1"/>
  <c r="F30" i="4"/>
  <c r="I86" i="4"/>
  <c r="F138" i="4"/>
  <c r="K47" i="4"/>
  <c r="F125" i="5"/>
  <c r="F28" i="4"/>
  <c r="C95" i="1" a="1"/>
  <c r="H31" i="4"/>
  <c r="C189" i="1"/>
  <c r="E94" i="4"/>
  <c r="F117" i="5"/>
  <c r="C384" i="1" a="1"/>
  <c r="I357" i="16" a="1"/>
  <c r="H145" i="5"/>
  <c r="F96" i="4"/>
  <c r="I133" i="5"/>
  <c r="C27" i="10"/>
  <c r="E191" i="4"/>
  <c r="C279" i="8"/>
  <c r="I184" i="4"/>
  <c r="H9" i="4"/>
  <c r="J192" i="4"/>
  <c r="C251" i="12"/>
  <c r="J448" i="16" a="1"/>
  <c r="K46" i="5"/>
  <c r="C146" i="9"/>
  <c r="C244" i="12"/>
  <c r="E123" i="4"/>
  <c r="D442" i="16" a="1"/>
  <c r="H125" i="16" a="1"/>
  <c r="C68" i="11"/>
  <c r="I186" i="4"/>
  <c r="F8" i="5"/>
  <c r="C201" i="1" a="1"/>
  <c r="I28" i="5"/>
  <c r="C122" i="8"/>
  <c r="C354" i="1" a="1"/>
  <c r="C69" i="1" a="1"/>
  <c r="I57" i="5"/>
  <c r="K156" i="4"/>
  <c r="C165" i="8"/>
  <c r="D170" i="16" a="1"/>
  <c r="I263" i="16" a="1"/>
  <c r="C263" i="12"/>
  <c r="C25" i="1" a="1"/>
  <c r="F69" i="4"/>
  <c r="I451" i="16" a="1"/>
  <c r="C240" i="1"/>
  <c r="C174" i="1" a="1"/>
  <c r="H47" i="5"/>
  <c r="I32" i="5"/>
  <c r="C283" i="1"/>
  <c r="E20" i="4"/>
  <c r="F133" i="5"/>
  <c r="C421" i="1" a="1"/>
  <c r="I175" i="4"/>
  <c r="J108" i="5"/>
  <c r="E143" i="5"/>
  <c r="D162" i="16" a="1"/>
  <c r="H56" i="5"/>
  <c r="K73" i="5"/>
  <c r="D345" i="16" a="1"/>
  <c r="K122" i="5"/>
  <c r="J199" i="4"/>
  <c r="C254" i="8"/>
  <c r="E8" i="5"/>
  <c r="I56" i="5"/>
  <c r="I397" i="16" a="1"/>
  <c r="C9" i="12"/>
  <c r="C73" i="8"/>
  <c r="C150" i="1" a="1"/>
  <c r="I289" i="16" a="1"/>
  <c r="K112" i="5"/>
  <c r="C277" i="1"/>
  <c r="C317" i="1" a="1"/>
  <c r="C332" i="1" a="1"/>
  <c r="C213" i="1" a="1"/>
  <c r="F175" i="5"/>
  <c r="C137" i="1" a="1"/>
  <c r="K129" i="4"/>
  <c r="C459" i="1" a="1"/>
  <c r="I45" i="4"/>
  <c r="J19" i="4"/>
  <c r="C434" i="1" a="1"/>
  <c r="C484" i="1" a="1"/>
  <c r="C48" i="8"/>
  <c r="J8" i="4"/>
  <c r="I38" i="5"/>
  <c r="C191" i="1"/>
  <c r="E153" i="4"/>
  <c r="D144" i="16" a="1"/>
  <c r="I143" i="5"/>
  <c r="K114" i="5"/>
  <c r="J67" i="4"/>
  <c r="E5" i="1" a="1"/>
  <c r="J338" i="16" a="1"/>
  <c r="E8" i="4"/>
  <c r="I129" i="5"/>
  <c r="H111" i="5"/>
  <c r="C286" i="1"/>
  <c r="J84" i="4"/>
  <c r="C405" i="1" a="1"/>
  <c r="I112" i="4"/>
  <c r="C53" i="11"/>
  <c r="E134" i="4"/>
  <c r="H109" i="4"/>
  <c r="J9" i="4"/>
  <c r="C329" i="1" a="1"/>
  <c r="K24" i="5"/>
  <c r="E60" i="5"/>
  <c r="H166" i="4"/>
  <c r="K179" i="4"/>
  <c r="K69" i="5"/>
  <c r="E141" i="4"/>
  <c r="F100" i="4"/>
  <c r="D414" i="16" a="1"/>
  <c r="H22" i="5"/>
  <c r="E37" i="4"/>
  <c r="I26" i="5"/>
  <c r="C415" i="1" a="1"/>
  <c r="C121" i="1" a="1"/>
  <c r="I23" i="4"/>
  <c r="C476" i="1" a="1"/>
  <c r="I306" i="16" a="1"/>
  <c r="E29" i="4"/>
  <c r="E51" i="4"/>
  <c r="K35" i="5"/>
  <c r="K41" i="4"/>
  <c r="F135" i="5"/>
  <c r="I27" i="5"/>
  <c r="E46" i="5"/>
  <c r="H408" i="16" a="1"/>
  <c r="J103" i="4"/>
  <c r="H161" i="5"/>
  <c r="J461" i="16" a="1"/>
  <c r="I59" i="5"/>
  <c r="E194" i="4"/>
  <c r="F101" i="4"/>
  <c r="F57" i="4"/>
  <c r="I97" i="5"/>
  <c r="C34" i="1" a="1"/>
  <c r="K62" i="5"/>
  <c r="E138" i="5"/>
  <c r="C42" i="10"/>
  <c r="C231" i="8"/>
  <c r="H94" i="4"/>
  <c r="K9" i="5"/>
  <c r="H49" i="4"/>
  <c r="H84" i="4"/>
  <c r="C67" i="12"/>
  <c r="J58" i="4"/>
  <c r="J3" i="5"/>
  <c r="C330" i="1" a="1"/>
  <c r="E108" i="5"/>
  <c r="F66" i="4"/>
  <c r="E113" i="4"/>
  <c r="C420" i="1" a="1"/>
  <c r="C66" i="1" a="1"/>
  <c r="C126" i="12"/>
  <c r="I77" i="5"/>
  <c r="I125" i="4"/>
  <c r="H38" i="5"/>
  <c r="C320" i="1" a="1"/>
  <c r="D201" i="16" a="1"/>
  <c r="C28" i="1" a="1"/>
  <c r="I141" i="5"/>
  <c r="K192" i="5"/>
  <c r="K85" i="4"/>
  <c r="I128" i="4"/>
  <c r="C46" i="9"/>
  <c r="E23" i="4"/>
  <c r="H89" i="4"/>
  <c r="I125" i="5"/>
  <c r="J19" i="16" a="1"/>
  <c r="C146" i="1" a="1"/>
  <c r="C137" i="12"/>
  <c r="I49" i="5"/>
  <c r="H4" i="4"/>
  <c r="I194" i="4"/>
  <c r="F68" i="4"/>
  <c r="C250" i="1"/>
  <c r="H57" i="4"/>
  <c r="F77" i="5"/>
  <c r="I28" i="16" a="1"/>
  <c r="C260" i="11"/>
  <c r="I96" i="4"/>
  <c r="H4" i="5"/>
  <c r="I149" i="16" a="1"/>
  <c r="C454" i="1" a="1"/>
  <c r="F71" i="5"/>
  <c r="K148" i="4"/>
  <c r="C148" i="1" a="1"/>
  <c r="E119" i="4"/>
  <c r="K67" i="5"/>
  <c r="F111" i="4"/>
  <c r="C390" i="1" a="1"/>
  <c r="E147" i="5"/>
  <c r="C71" i="9"/>
  <c r="E39" i="5"/>
  <c r="E69" i="5"/>
  <c r="I131" i="4"/>
  <c r="C314" i="1" a="1"/>
  <c r="H15" i="4"/>
  <c r="C417" i="1" a="1"/>
  <c r="F109" i="4"/>
  <c r="J175" i="4"/>
  <c r="I170" i="4"/>
  <c r="J87" i="5"/>
  <c r="K15" i="5"/>
  <c r="C447" i="1" a="1"/>
  <c r="C387" i="1" a="1"/>
  <c r="C24" i="1" a="1"/>
  <c r="K97" i="4"/>
  <c r="C124" i="1" a="1"/>
  <c r="C53" i="10"/>
  <c r="C41" i="1" a="1"/>
  <c r="K40" i="5"/>
  <c r="C485" i="1" a="1"/>
  <c r="K25" i="4"/>
  <c r="I34" i="5"/>
  <c r="F43" i="5"/>
  <c r="E102" i="5"/>
  <c r="C186" i="1" a="1"/>
  <c r="E6" i="4"/>
  <c r="J138" i="4"/>
  <c r="C133" i="1" a="1"/>
  <c r="C202" i="1" a="1"/>
  <c r="H338" i="16" a="1"/>
  <c r="E43" i="4"/>
  <c r="E145" i="4"/>
  <c r="K197" i="5"/>
  <c r="C301" i="12"/>
  <c r="K150" i="5"/>
  <c r="K140" i="4"/>
  <c r="C175" i="10"/>
  <c r="C39" i="12"/>
  <c r="I79" i="4"/>
  <c r="K6" i="5"/>
  <c r="I78" i="4"/>
  <c r="I203" i="4"/>
  <c r="C158" i="1" a="1"/>
  <c r="K175" i="5"/>
  <c r="H404" i="16" a="1"/>
  <c r="C293" i="11"/>
  <c r="J400" i="16" a="1"/>
  <c r="C427" i="1" a="1"/>
  <c r="F83" i="4"/>
  <c r="F110" i="4"/>
  <c r="F94" i="4"/>
  <c r="H172" i="4"/>
  <c r="C67" i="10"/>
  <c r="F129" i="4"/>
  <c r="K195" i="5"/>
  <c r="J165" i="4"/>
  <c r="H101" i="5"/>
  <c r="H56" i="4"/>
  <c r="H64" i="4"/>
  <c r="C202" i="8"/>
  <c r="H191" i="16" a="1"/>
  <c r="F197" i="4"/>
  <c r="C208" i="10"/>
  <c r="E185" i="5"/>
  <c r="C127" i="8"/>
  <c r="I31" i="16" a="1"/>
  <c r="F87" i="4"/>
  <c r="J283" i="16" a="1"/>
  <c r="C144" i="1" a="1"/>
  <c r="K56" i="5"/>
  <c r="F147" i="4"/>
  <c r="E156" i="4"/>
  <c r="K52" i="4"/>
  <c r="I64" i="4"/>
  <c r="C287" i="12"/>
  <c r="E113" i="5"/>
  <c r="C502" i="1" a="1"/>
  <c r="C138" i="10"/>
  <c r="I179" i="4"/>
  <c r="C233" i="1"/>
  <c r="C18" i="12"/>
  <c r="D18" i="12" l="1"/>
  <c r="B233" i="9"/>
  <c r="B233" i="11"/>
  <c r="C233" i="22" s="1"/>
  <c r="B233" i="10"/>
  <c r="B233" i="12"/>
  <c r="B233" i="8"/>
  <c r="H191" i="3"/>
  <c r="D138" i="10"/>
  <c r="C502" i="1"/>
  <c r="AO113" i="5"/>
  <c r="AP113" i="5" s="1"/>
  <c r="AA113" i="5"/>
  <c r="S113" i="6" s="1"/>
  <c r="E113" i="6"/>
  <c r="L113" i="5"/>
  <c r="P113" i="6" s="1"/>
  <c r="Z113" i="5"/>
  <c r="T113" i="6" s="1"/>
  <c r="S113" i="5"/>
  <c r="Q113" i="6" s="1"/>
  <c r="AD113" i="5"/>
  <c r="W113" i="6" s="1"/>
  <c r="AE113" i="5"/>
  <c r="X113" i="6" s="1"/>
  <c r="R113" i="5"/>
  <c r="R113" i="6" s="1"/>
  <c r="D287" i="12"/>
  <c r="H50" i="3"/>
  <c r="L38" i="3"/>
  <c r="E34" i="3"/>
  <c r="AE156" i="4"/>
  <c r="X34" i="3" s="1"/>
  <c r="L156" i="4"/>
  <c r="P34" i="3" s="1"/>
  <c r="S156" i="4"/>
  <c r="Q34" i="3" s="1"/>
  <c r="AA156" i="4"/>
  <c r="S34" i="3" s="1"/>
  <c r="R156" i="4"/>
  <c r="R34" i="3" s="1"/>
  <c r="AD156" i="4"/>
  <c r="W34" i="3" s="1"/>
  <c r="Z156" i="4"/>
  <c r="T34" i="3" s="1"/>
  <c r="F174" i="3"/>
  <c r="L56" i="6"/>
  <c r="C144" i="1"/>
  <c r="J283" i="16"/>
  <c r="F96" i="3"/>
  <c r="I31" i="16"/>
  <c r="D127" i="8"/>
  <c r="E185" i="6"/>
  <c r="Z185" i="5"/>
  <c r="T185" i="6" s="1"/>
  <c r="AE185" i="5"/>
  <c r="X185" i="6" s="1"/>
  <c r="AA185" i="5"/>
  <c r="S185" i="6" s="1"/>
  <c r="L185" i="5"/>
  <c r="P185" i="6" s="1"/>
  <c r="S185" i="5"/>
  <c r="Q185" i="6" s="1"/>
  <c r="AO185" i="5"/>
  <c r="AP185" i="5" s="1"/>
  <c r="R185" i="5"/>
  <c r="R185" i="6" s="1"/>
  <c r="AD185" i="5"/>
  <c r="W185" i="6" s="1"/>
  <c r="D208" i="10"/>
  <c r="F61" i="3"/>
  <c r="H191" i="16"/>
  <c r="D202" i="8"/>
  <c r="V64" i="4"/>
  <c r="U50" i="3" s="1"/>
  <c r="G50" i="3"/>
  <c r="V56" i="4"/>
  <c r="U128" i="3" s="1"/>
  <c r="G128" i="3"/>
  <c r="G101" i="6"/>
  <c r="I95" i="3"/>
  <c r="O165" i="4"/>
  <c r="L195" i="6"/>
  <c r="F72" i="3"/>
  <c r="D67" i="10"/>
  <c r="G88" i="3"/>
  <c r="V172" i="4"/>
  <c r="U88" i="3" s="1"/>
  <c r="F108" i="3"/>
  <c r="F120" i="3"/>
  <c r="F84" i="3"/>
  <c r="C427" i="1"/>
  <c r="J400" i="16"/>
  <c r="D293" i="11"/>
  <c r="H404" i="16"/>
  <c r="L175" i="6"/>
  <c r="C158" i="1"/>
  <c r="H117" i="3"/>
  <c r="H114" i="3"/>
  <c r="L6" i="6"/>
  <c r="H118" i="3"/>
  <c r="D39" i="12"/>
  <c r="D175" i="10"/>
  <c r="L92" i="3"/>
  <c r="L150" i="6"/>
  <c r="D301" i="12"/>
  <c r="L197" i="6"/>
  <c r="E18" i="3"/>
  <c r="AD145" i="4"/>
  <c r="W18" i="3" s="1"/>
  <c r="AA145" i="4"/>
  <c r="S18" i="3" s="1"/>
  <c r="L145" i="4"/>
  <c r="P18" i="3" s="1"/>
  <c r="AE145" i="4"/>
  <c r="X18" i="3" s="1"/>
  <c r="S145" i="4"/>
  <c r="Q18" i="3" s="1"/>
  <c r="Z145" i="4"/>
  <c r="T18" i="3" s="1"/>
  <c r="R145" i="4"/>
  <c r="R18" i="3" s="1"/>
  <c r="AE43" i="4"/>
  <c r="X126" i="3" s="1"/>
  <c r="Z43" i="4"/>
  <c r="T126" i="3" s="1"/>
  <c r="S43" i="4"/>
  <c r="Q126" i="3" s="1"/>
  <c r="L43" i="4"/>
  <c r="P126" i="3" s="1"/>
  <c r="AA43" i="4"/>
  <c r="S126" i="3" s="1"/>
  <c r="AD43" i="4"/>
  <c r="W126" i="3" s="1"/>
  <c r="E126" i="3"/>
  <c r="R43" i="4"/>
  <c r="R126" i="3" s="1"/>
  <c r="H338" i="16"/>
  <c r="C202" i="1"/>
  <c r="C133" i="1"/>
  <c r="O138" i="4"/>
  <c r="I31" i="3"/>
  <c r="AD6" i="4"/>
  <c r="W55" i="3" s="1"/>
  <c r="R6" i="4"/>
  <c r="R55" i="3" s="1"/>
  <c r="AA6" i="4"/>
  <c r="S55" i="3" s="1"/>
  <c r="Z6" i="4"/>
  <c r="T55" i="3" s="1"/>
  <c r="S6" i="4"/>
  <c r="Q55" i="3" s="1"/>
  <c r="AE6" i="4"/>
  <c r="X55" i="3" s="1"/>
  <c r="E55" i="3"/>
  <c r="L6" i="4"/>
  <c r="P55" i="3" s="1"/>
  <c r="C186" i="1"/>
  <c r="R102" i="5"/>
  <c r="R102" i="6" s="1"/>
  <c r="AO102" i="5"/>
  <c r="AP102" i="5" s="1"/>
  <c r="AE102" i="5"/>
  <c r="X102" i="6" s="1"/>
  <c r="S102" i="5"/>
  <c r="Q102" i="6" s="1"/>
  <c r="AA102" i="5"/>
  <c r="S102" i="6" s="1"/>
  <c r="Z102" i="5"/>
  <c r="T102" i="6" s="1"/>
  <c r="L102" i="5"/>
  <c r="P102" i="6" s="1"/>
  <c r="E102" i="6"/>
  <c r="AD102" i="5"/>
  <c r="W102" i="6" s="1"/>
  <c r="F43" i="6"/>
  <c r="H34" i="6"/>
  <c r="V34" i="5"/>
  <c r="U34" i="6" s="1"/>
  <c r="L43" i="3"/>
  <c r="C485" i="1"/>
  <c r="L40" i="6"/>
  <c r="C41" i="1"/>
  <c r="D53" i="10"/>
  <c r="C124" i="1"/>
  <c r="L35" i="3"/>
  <c r="C24" i="1"/>
  <c r="C387" i="1"/>
  <c r="C447" i="1"/>
  <c r="L15" i="6"/>
  <c r="O87" i="5"/>
  <c r="I87" i="6"/>
  <c r="H30" i="3"/>
  <c r="O175" i="4"/>
  <c r="I166" i="3"/>
  <c r="F159" i="3"/>
  <c r="C417" i="1"/>
  <c r="V15" i="4"/>
  <c r="U75" i="3" s="1"/>
  <c r="G75" i="3"/>
  <c r="C314" i="1"/>
  <c r="H27" i="3"/>
  <c r="L69" i="5"/>
  <c r="P69" i="6" s="1"/>
  <c r="R69" i="5"/>
  <c r="R69" i="6" s="1"/>
  <c r="Z69" i="5"/>
  <c r="T69" i="6" s="1"/>
  <c r="S69" i="5"/>
  <c r="Q69" i="6" s="1"/>
  <c r="AO69" i="5"/>
  <c r="AP69" i="5" s="1"/>
  <c r="AA69" i="5"/>
  <c r="S69" i="6" s="1"/>
  <c r="E69" i="6"/>
  <c r="AE69" i="5"/>
  <c r="X69" i="6" s="1"/>
  <c r="AD69" i="5"/>
  <c r="W69" i="6" s="1"/>
  <c r="E39" i="6"/>
  <c r="AO39" i="5"/>
  <c r="AP39" i="5" s="1"/>
  <c r="Z39" i="5"/>
  <c r="T39" i="6" s="1"/>
  <c r="AD39" i="5"/>
  <c r="W39" i="6" s="1"/>
  <c r="R39" i="5"/>
  <c r="R39" i="6" s="1"/>
  <c r="L39" i="5"/>
  <c r="P39" i="6" s="1"/>
  <c r="S39" i="5"/>
  <c r="Q39" i="6" s="1"/>
  <c r="AE39" i="5"/>
  <c r="X39" i="6" s="1"/>
  <c r="AA39" i="5"/>
  <c r="S39" i="6" s="1"/>
  <c r="D71" i="9"/>
  <c r="AA147" i="5"/>
  <c r="S147" i="6" s="1"/>
  <c r="AD147" i="5"/>
  <c r="W147" i="6" s="1"/>
  <c r="L147" i="5"/>
  <c r="P147" i="6" s="1"/>
  <c r="AE147" i="5"/>
  <c r="X147" i="6" s="1"/>
  <c r="R147" i="5"/>
  <c r="R147" i="6" s="1"/>
  <c r="E147" i="6"/>
  <c r="AO147" i="5"/>
  <c r="AP147" i="5" s="1"/>
  <c r="S147" i="5"/>
  <c r="Q147" i="6" s="1"/>
  <c r="Z147" i="5"/>
  <c r="T147" i="6" s="1"/>
  <c r="C390" i="1"/>
  <c r="F51" i="3"/>
  <c r="L67" i="6"/>
  <c r="L119" i="4"/>
  <c r="P81" i="3" s="1"/>
  <c r="R119" i="4"/>
  <c r="R81" i="3" s="1"/>
  <c r="Z119" i="4"/>
  <c r="T81" i="3" s="1"/>
  <c r="AD119" i="4"/>
  <c r="W81" i="3" s="1"/>
  <c r="AA119" i="4"/>
  <c r="S81" i="3" s="1"/>
  <c r="E81" i="3"/>
  <c r="S119" i="4"/>
  <c r="Q81" i="3" s="1"/>
  <c r="AE119" i="4"/>
  <c r="X81" i="3" s="1"/>
  <c r="C148" i="1"/>
  <c r="L185" i="3"/>
  <c r="F71" i="6"/>
  <c r="C454" i="1"/>
  <c r="I149" i="16"/>
  <c r="G4" i="6"/>
  <c r="H99" i="3"/>
  <c r="D260" i="11"/>
  <c r="I28" i="16"/>
  <c r="F77" i="6"/>
  <c r="V57" i="4"/>
  <c r="U173" i="3" s="1"/>
  <c r="G173" i="3"/>
  <c r="B250" i="12"/>
  <c r="B250" i="8"/>
  <c r="B250" i="11"/>
  <c r="C250" i="22" s="1"/>
  <c r="B250" i="9"/>
  <c r="B250" i="10"/>
  <c r="F148" i="3"/>
  <c r="H121" i="3"/>
  <c r="G13" i="3"/>
  <c r="V4" i="4"/>
  <c r="U13" i="3" s="1"/>
  <c r="H49" i="6"/>
  <c r="V49" i="5"/>
  <c r="U49" i="6" s="1"/>
  <c r="D137" i="12"/>
  <c r="C146" i="1"/>
  <c r="J19" i="16"/>
  <c r="V125" i="5"/>
  <c r="U125" i="6" s="1"/>
  <c r="H125" i="6"/>
  <c r="G189" i="3"/>
  <c r="V89" i="4"/>
  <c r="U189" i="3" s="1"/>
  <c r="S23" i="4"/>
  <c r="Q10" i="3" s="1"/>
  <c r="AA23" i="4"/>
  <c r="S10" i="3" s="1"/>
  <c r="AE23" i="4"/>
  <c r="X10" i="3" s="1"/>
  <c r="L23" i="4"/>
  <c r="P10" i="3" s="1"/>
  <c r="E10" i="3"/>
  <c r="AD23" i="4"/>
  <c r="W10" i="3" s="1"/>
  <c r="R23" i="4"/>
  <c r="R10" i="3" s="1"/>
  <c r="Z23" i="4"/>
  <c r="T10" i="3" s="1"/>
  <c r="D46" i="9"/>
  <c r="H80" i="3"/>
  <c r="L47" i="3"/>
  <c r="L192" i="6"/>
  <c r="H141" i="6"/>
  <c r="V141" i="5"/>
  <c r="U141" i="6" s="1"/>
  <c r="C28" i="1"/>
  <c r="D201" i="16"/>
  <c r="C320" i="1"/>
  <c r="G38" i="6"/>
  <c r="H136" i="3"/>
  <c r="V77" i="5"/>
  <c r="U77" i="6" s="1"/>
  <c r="H77" i="6"/>
  <c r="D126" i="12"/>
  <c r="C66" i="1"/>
  <c r="C420" i="1"/>
  <c r="AA113" i="4"/>
  <c r="S57" i="3" s="1"/>
  <c r="AD113" i="4"/>
  <c r="W57" i="3" s="1"/>
  <c r="L113" i="4"/>
  <c r="P57" i="3" s="1"/>
  <c r="Z113" i="4"/>
  <c r="T57" i="3" s="1"/>
  <c r="S113" i="4"/>
  <c r="Q57" i="3" s="1"/>
  <c r="R113" i="4"/>
  <c r="R57" i="3" s="1"/>
  <c r="AE113" i="4"/>
  <c r="X57" i="3" s="1"/>
  <c r="E57" i="3"/>
  <c r="F193" i="3"/>
  <c r="AO108" i="5"/>
  <c r="AP108" i="5" s="1"/>
  <c r="E108" i="6"/>
  <c r="AA108" i="5"/>
  <c r="S108" i="6" s="1"/>
  <c r="AE108" i="5"/>
  <c r="X108" i="6" s="1"/>
  <c r="L108" i="5"/>
  <c r="P108" i="6" s="1"/>
  <c r="AD108" i="5"/>
  <c r="W108" i="6" s="1"/>
  <c r="Z108" i="5"/>
  <c r="T108" i="6" s="1"/>
  <c r="S108" i="5"/>
  <c r="Q108" i="6" s="1"/>
  <c r="R108" i="5"/>
  <c r="R108" i="6" s="1"/>
  <c r="C330" i="1"/>
  <c r="I3" i="6"/>
  <c r="O3" i="5"/>
  <c r="Q3" i="5" s="1"/>
  <c r="I37" i="3"/>
  <c r="O58" i="4"/>
  <c r="D67" i="12"/>
  <c r="G59" i="3"/>
  <c r="V84" i="4"/>
  <c r="U59" i="3" s="1"/>
  <c r="G188" i="3"/>
  <c r="V49" i="4"/>
  <c r="U188" i="3" s="1"/>
  <c r="L9" i="6"/>
  <c r="V94" i="4"/>
  <c r="U108" i="3" s="1"/>
  <c r="G108" i="3"/>
  <c r="D42" i="10"/>
  <c r="AD138" i="5"/>
  <c r="W138" i="6" s="1"/>
  <c r="S138" i="5"/>
  <c r="Q138" i="6" s="1"/>
  <c r="L138" i="5"/>
  <c r="P138" i="6" s="1"/>
  <c r="AE138" i="5"/>
  <c r="X138" i="6" s="1"/>
  <c r="R138" i="5"/>
  <c r="R138" i="6" s="1"/>
  <c r="Z138" i="5"/>
  <c r="T138" i="6" s="1"/>
  <c r="AO138" i="5"/>
  <c r="AP138" i="5" s="1"/>
  <c r="AA138" i="5"/>
  <c r="S138" i="6" s="1"/>
  <c r="E138" i="6"/>
  <c r="L62" i="6"/>
  <c r="C34" i="1"/>
  <c r="H97" i="6"/>
  <c r="V97" i="5"/>
  <c r="U97" i="6" s="1"/>
  <c r="F173" i="3"/>
  <c r="F143" i="3"/>
  <c r="Z194" i="4"/>
  <c r="T121" i="3" s="1"/>
  <c r="R194" i="4"/>
  <c r="R121" i="3" s="1"/>
  <c r="S194" i="4"/>
  <c r="Q121" i="3" s="1"/>
  <c r="AD194" i="4"/>
  <c r="W121" i="3" s="1"/>
  <c r="AE194" i="4"/>
  <c r="X121" i="3" s="1"/>
  <c r="L194" i="4"/>
  <c r="P121" i="3" s="1"/>
  <c r="E121" i="3"/>
  <c r="AA194" i="4"/>
  <c r="S121" i="3" s="1"/>
  <c r="V59" i="5"/>
  <c r="U59" i="6" s="1"/>
  <c r="H59" i="6"/>
  <c r="J461" i="16"/>
  <c r="G161" i="6"/>
  <c r="O103" i="4"/>
  <c r="I24" i="3"/>
  <c r="H408" i="16"/>
  <c r="R46" i="5"/>
  <c r="R46" i="6" s="1"/>
  <c r="AE46" i="5"/>
  <c r="X46" i="6" s="1"/>
  <c r="Z46" i="5"/>
  <c r="T46" i="6" s="1"/>
  <c r="L46" i="5"/>
  <c r="P46" i="6" s="1"/>
  <c r="E46" i="6"/>
  <c r="AA46" i="5"/>
  <c r="S46" i="6" s="1"/>
  <c r="AO46" i="5"/>
  <c r="AP46" i="5" s="1"/>
  <c r="AD46" i="5"/>
  <c r="W46" i="6" s="1"/>
  <c r="S46" i="5"/>
  <c r="Q46" i="6" s="1"/>
  <c r="V27" i="5"/>
  <c r="U27" i="6" s="1"/>
  <c r="H27" i="6"/>
  <c r="F135" i="6"/>
  <c r="L48" i="3"/>
  <c r="L35" i="6"/>
  <c r="AA51" i="4"/>
  <c r="S7" i="3" s="1"/>
  <c r="E7" i="3"/>
  <c r="AE51" i="4"/>
  <c r="X7" i="3" s="1"/>
  <c r="S51" i="4"/>
  <c r="Q7" i="3" s="1"/>
  <c r="R51" i="4"/>
  <c r="R7" i="3" s="1"/>
  <c r="AD51" i="4"/>
  <c r="W7" i="3" s="1"/>
  <c r="L51" i="4"/>
  <c r="P7" i="3" s="1"/>
  <c r="Z51" i="4"/>
  <c r="T7" i="3" s="1"/>
  <c r="S29" i="4"/>
  <c r="Q178" i="3" s="1"/>
  <c r="E178" i="3"/>
  <c r="AA29" i="4"/>
  <c r="S178" i="3" s="1"/>
  <c r="L29" i="4"/>
  <c r="P178" i="3" s="1"/>
  <c r="R29" i="4"/>
  <c r="R178" i="3" s="1"/>
  <c r="AD29" i="4"/>
  <c r="W178" i="3" s="1"/>
  <c r="Z29" i="4"/>
  <c r="T178" i="3" s="1"/>
  <c r="AE29" i="4"/>
  <c r="X178" i="3" s="1"/>
  <c r="I306" i="16"/>
  <c r="C476" i="1"/>
  <c r="H10" i="3"/>
  <c r="C121" i="1"/>
  <c r="C415" i="1"/>
  <c r="V26" i="5"/>
  <c r="U26" i="6" s="1"/>
  <c r="H26" i="6"/>
  <c r="S37" i="4"/>
  <c r="Q168" i="3" s="1"/>
  <c r="AA37" i="4"/>
  <c r="S168" i="3" s="1"/>
  <c r="L37" i="4"/>
  <c r="P168" i="3" s="1"/>
  <c r="AD37" i="4"/>
  <c r="W168" i="3" s="1"/>
  <c r="E168" i="3"/>
  <c r="AE37" i="4"/>
  <c r="X168" i="3" s="1"/>
  <c r="Z37" i="4"/>
  <c r="T168" i="3" s="1"/>
  <c r="R37" i="4"/>
  <c r="R168" i="3" s="1"/>
  <c r="G22" i="6"/>
  <c r="D414" i="16"/>
  <c r="F56" i="3"/>
  <c r="AA141" i="4"/>
  <c r="S93" i="3" s="1"/>
  <c r="Z141" i="4"/>
  <c r="T93" i="3" s="1"/>
  <c r="L141" i="4"/>
  <c r="P93" i="3" s="1"/>
  <c r="R141" i="4"/>
  <c r="R93" i="3" s="1"/>
  <c r="S141" i="4"/>
  <c r="Q93" i="3" s="1"/>
  <c r="AE141" i="4"/>
  <c r="X93" i="3" s="1"/>
  <c r="E93" i="3"/>
  <c r="AD141" i="4"/>
  <c r="W93" i="3" s="1"/>
  <c r="L69" i="6"/>
  <c r="L191" i="3"/>
  <c r="V166" i="4"/>
  <c r="U82" i="3" s="1"/>
  <c r="G82" i="3"/>
  <c r="R60" i="5"/>
  <c r="R60" i="6" s="1"/>
  <c r="E60" i="6"/>
  <c r="AD60" i="5"/>
  <c r="W60" i="6" s="1"/>
  <c r="AE60" i="5"/>
  <c r="X60" i="6" s="1"/>
  <c r="Z60" i="5"/>
  <c r="T60" i="6" s="1"/>
  <c r="L60" i="5"/>
  <c r="P60" i="6" s="1"/>
  <c r="AA60" i="5"/>
  <c r="S60" i="6" s="1"/>
  <c r="S60" i="5"/>
  <c r="Q60" i="6" s="1"/>
  <c r="AO60" i="5"/>
  <c r="AP60" i="5" s="1"/>
  <c r="L24" i="6"/>
  <c r="C329" i="1"/>
  <c r="O9" i="4"/>
  <c r="I16" i="3"/>
  <c r="V109" i="4"/>
  <c r="U159" i="3" s="1"/>
  <c r="G159" i="3"/>
  <c r="L134" i="4"/>
  <c r="P119" i="3" s="1"/>
  <c r="AE134" i="4"/>
  <c r="X119" i="3" s="1"/>
  <c r="S134" i="4"/>
  <c r="Q119" i="3" s="1"/>
  <c r="AD134" i="4"/>
  <c r="W119" i="3" s="1"/>
  <c r="Z134" i="4"/>
  <c r="T119" i="3" s="1"/>
  <c r="R134" i="4"/>
  <c r="R119" i="3" s="1"/>
  <c r="AA134" i="4"/>
  <c r="S119" i="3" s="1"/>
  <c r="E119" i="3"/>
  <c r="D53" i="11"/>
  <c r="H163" i="3"/>
  <c r="C405" i="1"/>
  <c r="I59" i="3"/>
  <c r="O84" i="4"/>
  <c r="B286" i="10"/>
  <c r="B286" i="9"/>
  <c r="B286" i="8"/>
  <c r="B286" i="12"/>
  <c r="B286" i="11"/>
  <c r="C286" i="22" s="1"/>
  <c r="G111" i="6"/>
  <c r="V129" i="5"/>
  <c r="U129" i="6" s="1"/>
  <c r="H129" i="6"/>
  <c r="S8" i="4"/>
  <c r="Q124" i="3" s="1"/>
  <c r="AA8" i="4"/>
  <c r="S124" i="3" s="1"/>
  <c r="AD8" i="4"/>
  <c r="W124" i="3" s="1"/>
  <c r="L8" i="4"/>
  <c r="P124" i="3" s="1"/>
  <c r="Z8" i="4"/>
  <c r="T124" i="3" s="1"/>
  <c r="R8" i="4"/>
  <c r="R124" i="3" s="1"/>
  <c r="AE8" i="4"/>
  <c r="X124" i="3" s="1"/>
  <c r="E124" i="3"/>
  <c r="J338" i="16"/>
  <c r="E5" i="1"/>
  <c r="O67" i="4"/>
  <c r="I194" i="3"/>
  <c r="L114" i="6"/>
  <c r="V143" i="5"/>
  <c r="U143" i="6" s="1"/>
  <c r="H143" i="6"/>
  <c r="D144" i="16"/>
  <c r="E79" i="3"/>
  <c r="Z153" i="4"/>
  <c r="T79" i="3" s="1"/>
  <c r="AD153" i="4"/>
  <c r="W79" i="3" s="1"/>
  <c r="R153" i="4"/>
  <c r="R79" i="3" s="1"/>
  <c r="S153" i="4"/>
  <c r="Q79" i="3" s="1"/>
  <c r="AE153" i="4"/>
  <c r="X79" i="3" s="1"/>
  <c r="AA153" i="4"/>
  <c r="S79" i="3" s="1"/>
  <c r="L153" i="4"/>
  <c r="P79" i="3" s="1"/>
  <c r="B191" i="9"/>
  <c r="B191" i="10"/>
  <c r="B191" i="8"/>
  <c r="B191" i="11"/>
  <c r="C191" i="22" s="1"/>
  <c r="C17" i="23" s="1"/>
  <c r="D6" i="4"/>
  <c r="D55" i="3" s="1"/>
  <c r="B191" i="12"/>
  <c r="D194" i="5"/>
  <c r="D194" i="6" s="1"/>
  <c r="H38" i="6"/>
  <c r="V38" i="5"/>
  <c r="U38" i="6" s="1"/>
  <c r="I124" i="3"/>
  <c r="O8" i="4"/>
  <c r="Q8" i="4" s="1"/>
  <c r="D48" i="8"/>
  <c r="C484" i="1"/>
  <c r="C434" i="1"/>
  <c r="I197" i="3"/>
  <c r="O19" i="4"/>
  <c r="H172" i="3"/>
  <c r="C459" i="1"/>
  <c r="L72" i="3"/>
  <c r="C137" i="1"/>
  <c r="F175" i="6"/>
  <c r="C213" i="1"/>
  <c r="C332" i="1"/>
  <c r="C317" i="1"/>
  <c r="B277" i="11"/>
  <c r="C277" i="22" s="1"/>
  <c r="B277" i="8"/>
  <c r="B277" i="12"/>
  <c r="B277" i="9"/>
  <c r="B277" i="10"/>
  <c r="L112" i="6"/>
  <c r="I289" i="16"/>
  <c r="C150" i="1"/>
  <c r="D73" i="8"/>
  <c r="D9" i="12"/>
  <c r="I397" i="16"/>
  <c r="V56" i="5"/>
  <c r="U56" i="6" s="1"/>
  <c r="H56" i="6"/>
  <c r="R8" i="5"/>
  <c r="R8" i="6" s="1"/>
  <c r="Z8" i="5"/>
  <c r="T8" i="6" s="1"/>
  <c r="AO8" i="5"/>
  <c r="AP8" i="5" s="1"/>
  <c r="E8" i="6"/>
  <c r="AD8" i="5"/>
  <c r="W8" i="6" s="1"/>
  <c r="AA8" i="5"/>
  <c r="S8" i="6" s="1"/>
  <c r="L8" i="5"/>
  <c r="P8" i="6" s="1"/>
  <c r="S8" i="5"/>
  <c r="Q8" i="6" s="1"/>
  <c r="AE8" i="5"/>
  <c r="X8" i="6" s="1"/>
  <c r="O199" i="4"/>
  <c r="I196" i="3"/>
  <c r="L122" i="6"/>
  <c r="D345" i="16"/>
  <c r="L73" i="6"/>
  <c r="G56" i="6"/>
  <c r="D162" i="16"/>
  <c r="S143" i="5"/>
  <c r="Q143" i="6" s="1"/>
  <c r="E143" i="6"/>
  <c r="AO143" i="5"/>
  <c r="AP143" i="5" s="1"/>
  <c r="AD143" i="5"/>
  <c r="W143" i="6" s="1"/>
  <c r="AA143" i="5"/>
  <c r="S143" i="6" s="1"/>
  <c r="AE143" i="5"/>
  <c r="X143" i="6" s="1"/>
  <c r="Z143" i="5"/>
  <c r="T143" i="6" s="1"/>
  <c r="R143" i="5"/>
  <c r="R143" i="6" s="1"/>
  <c r="L143" i="5"/>
  <c r="P143" i="6" s="1"/>
  <c r="I108" i="6"/>
  <c r="O108" i="5"/>
  <c r="H166" i="3"/>
  <c r="C421" i="1"/>
  <c r="F133" i="6"/>
  <c r="AE20" i="4"/>
  <c r="X177" i="3" s="1"/>
  <c r="AD20" i="4"/>
  <c r="W177" i="3" s="1"/>
  <c r="R20" i="4"/>
  <c r="R177" i="3" s="1"/>
  <c r="AA20" i="4"/>
  <c r="S177" i="3" s="1"/>
  <c r="L20" i="4"/>
  <c r="P177" i="3" s="1"/>
  <c r="Z20" i="4"/>
  <c r="T177" i="3" s="1"/>
  <c r="E177" i="3"/>
  <c r="S20" i="4"/>
  <c r="Q177" i="3" s="1"/>
  <c r="B283" i="9"/>
  <c r="B283" i="11"/>
  <c r="C283" i="22" s="1"/>
  <c r="B283" i="10"/>
  <c r="B283" i="8"/>
  <c r="B283" i="12"/>
  <c r="V32" i="5"/>
  <c r="U32" i="6" s="1"/>
  <c r="H32" i="6"/>
  <c r="G47" i="6"/>
  <c r="C174" i="1"/>
  <c r="B240" i="11"/>
  <c r="C240" i="22" s="1"/>
  <c r="C18" i="23" s="1"/>
  <c r="B240" i="10"/>
  <c r="B240" i="12"/>
  <c r="B240" i="9"/>
  <c r="B240" i="8"/>
  <c r="I451" i="16"/>
  <c r="F98" i="3"/>
  <c r="C25" i="1"/>
  <c r="D263" i="12"/>
  <c r="I263" i="16"/>
  <c r="D170" i="16"/>
  <c r="D165" i="8"/>
  <c r="L34" i="3"/>
  <c r="H57" i="6"/>
  <c r="V57" i="5"/>
  <c r="U57" i="6" s="1"/>
  <c r="C69" i="1"/>
  <c r="C354" i="1"/>
  <c r="D122" i="8"/>
  <c r="H28" i="6"/>
  <c r="V28" i="5"/>
  <c r="U28" i="6" s="1"/>
  <c r="C201" i="1"/>
  <c r="F8" i="6"/>
  <c r="H49" i="3"/>
  <c r="D68" i="11"/>
  <c r="H125" i="16"/>
  <c r="D442" i="16"/>
  <c r="Z123" i="4"/>
  <c r="T89" i="3" s="1"/>
  <c r="E89" i="3"/>
  <c r="S123" i="4"/>
  <c r="Q89" i="3" s="1"/>
  <c r="L123" i="4"/>
  <c r="P89" i="3" s="1"/>
  <c r="AE123" i="4"/>
  <c r="X89" i="3" s="1"/>
  <c r="AA123" i="4"/>
  <c r="S89" i="3" s="1"/>
  <c r="AD123" i="4"/>
  <c r="W89" i="3" s="1"/>
  <c r="R123" i="4"/>
  <c r="R89" i="3" s="1"/>
  <c r="D244" i="12"/>
  <c r="D146" i="9"/>
  <c r="L46" i="6"/>
  <c r="J448" i="16"/>
  <c r="D251" i="12"/>
  <c r="I20" i="3"/>
  <c r="O192" i="4"/>
  <c r="P192" i="4" s="1"/>
  <c r="M20" i="3" s="1"/>
  <c r="V9" i="4"/>
  <c r="U16" i="3" s="1"/>
  <c r="G16" i="3"/>
  <c r="H22" i="3"/>
  <c r="AD191" i="4"/>
  <c r="W68" i="3" s="1"/>
  <c r="S191" i="4"/>
  <c r="Q68" i="3" s="1"/>
  <c r="R191" i="4"/>
  <c r="R68" i="3" s="1"/>
  <c r="L191" i="4"/>
  <c r="P68" i="3" s="1"/>
  <c r="AA191" i="4"/>
  <c r="S68" i="3" s="1"/>
  <c r="Z191" i="4"/>
  <c r="T68" i="3" s="1"/>
  <c r="E68" i="3"/>
  <c r="AE191" i="4"/>
  <c r="X68" i="3" s="1"/>
  <c r="D27" i="10"/>
  <c r="V133" i="5"/>
  <c r="U133" i="6" s="1"/>
  <c r="H133" i="6"/>
  <c r="F99" i="3"/>
  <c r="G145" i="6"/>
  <c r="I357" i="16"/>
  <c r="C384" i="1"/>
  <c r="F117" i="6"/>
  <c r="Z94" i="4"/>
  <c r="T108" i="3" s="1"/>
  <c r="AE94" i="4"/>
  <c r="X108" i="3" s="1"/>
  <c r="E108" i="3"/>
  <c r="R94" i="4"/>
  <c r="R108" i="3" s="1"/>
  <c r="S94" i="4"/>
  <c r="Q108" i="3" s="1"/>
  <c r="AA94" i="4"/>
  <c r="S108" i="3" s="1"/>
  <c r="L94" i="4"/>
  <c r="P108" i="3" s="1"/>
  <c r="AD94" i="4"/>
  <c r="W108" i="3" s="1"/>
  <c r="D163" i="5"/>
  <c r="D163" i="6" s="1"/>
  <c r="D4" i="4"/>
  <c r="D13" i="3" s="1"/>
  <c r="B189" i="10"/>
  <c r="B189" i="8"/>
  <c r="B189" i="11"/>
  <c r="C189" i="22" s="1"/>
  <c r="B189" i="9"/>
  <c r="B189" i="12"/>
  <c r="G182" i="3"/>
  <c r="V31" i="4"/>
  <c r="U182" i="3" s="1"/>
  <c r="C95" i="1"/>
  <c r="F46" i="3"/>
  <c r="F125" i="6"/>
  <c r="L138" i="3"/>
  <c r="F31" i="3"/>
  <c r="H53" i="3"/>
  <c r="F131" i="3"/>
  <c r="I29" i="16"/>
  <c r="I63" i="3"/>
  <c r="O73" i="4"/>
  <c r="L195" i="5"/>
  <c r="P195" i="6" s="1"/>
  <c r="AA195" i="5"/>
  <c r="S195" i="6" s="1"/>
  <c r="AE195" i="5"/>
  <c r="X195" i="6" s="1"/>
  <c r="R195" i="5"/>
  <c r="R195" i="6" s="1"/>
  <c r="AO195" i="5"/>
  <c r="AP195" i="5" s="1"/>
  <c r="AD195" i="5"/>
  <c r="W195" i="6" s="1"/>
  <c r="Z195" i="5"/>
  <c r="T195" i="6" s="1"/>
  <c r="S195" i="5"/>
  <c r="Q195" i="6" s="1"/>
  <c r="E195" i="6"/>
  <c r="F147" i="3"/>
  <c r="D46" i="10"/>
  <c r="H168" i="3"/>
  <c r="H120" i="6"/>
  <c r="V120" i="5"/>
  <c r="U120" i="6" s="1"/>
  <c r="C464" i="1"/>
  <c r="O55" i="4"/>
  <c r="I105" i="3"/>
  <c r="C194" i="1"/>
  <c r="F67" i="3"/>
  <c r="I177" i="6"/>
  <c r="O177" i="5"/>
  <c r="F51" i="6"/>
  <c r="V121" i="5"/>
  <c r="U121" i="6" s="1"/>
  <c r="H121" i="6"/>
  <c r="D88" i="11"/>
  <c r="L163" i="3"/>
  <c r="L206" i="3"/>
  <c r="V29" i="4"/>
  <c r="U178" i="3" s="1"/>
  <c r="G178" i="3"/>
  <c r="I98" i="3"/>
  <c r="O69" i="4"/>
  <c r="AO42" i="5"/>
  <c r="AP42" i="5" s="1"/>
  <c r="Z42" i="5"/>
  <c r="T42" i="6" s="1"/>
  <c r="R42" i="5"/>
  <c r="R42" i="6" s="1"/>
  <c r="AA42" i="5"/>
  <c r="S42" i="6" s="1"/>
  <c r="S42" i="5"/>
  <c r="Q42" i="6" s="1"/>
  <c r="E42" i="6"/>
  <c r="L42" i="5"/>
  <c r="P42" i="6" s="1"/>
  <c r="AD42" i="5"/>
  <c r="W42" i="6" s="1"/>
  <c r="AE42" i="5"/>
  <c r="X42" i="6" s="1"/>
  <c r="O73" i="5"/>
  <c r="I73" i="6"/>
  <c r="V36" i="4"/>
  <c r="U206" i="3" s="1"/>
  <c r="G206" i="3"/>
  <c r="C366" i="1"/>
  <c r="AD101" i="4"/>
  <c r="W143" i="3" s="1"/>
  <c r="S101" i="4"/>
  <c r="Q143" i="3" s="1"/>
  <c r="AA101" i="4"/>
  <c r="S143" i="3" s="1"/>
  <c r="R101" i="4"/>
  <c r="R143" i="3" s="1"/>
  <c r="L101" i="4"/>
  <c r="P143" i="3" s="1"/>
  <c r="Z101" i="4"/>
  <c r="T143" i="3" s="1"/>
  <c r="E143" i="3"/>
  <c r="AE101" i="4"/>
  <c r="X143" i="3" s="1"/>
  <c r="I135" i="6"/>
  <c r="O135" i="5"/>
  <c r="V137" i="4"/>
  <c r="U64" i="3" s="1"/>
  <c r="G64" i="3"/>
  <c r="I293" i="16"/>
  <c r="AE6" i="5"/>
  <c r="X6" i="6" s="1"/>
  <c r="S6" i="5"/>
  <c r="Q6" i="6" s="1"/>
  <c r="AO6" i="5"/>
  <c r="AP6" i="5" s="1"/>
  <c r="AD6" i="5"/>
  <c r="W6" i="6" s="1"/>
  <c r="Z6" i="5"/>
  <c r="T6" i="6" s="1"/>
  <c r="AA6" i="5"/>
  <c r="S6" i="6" s="1"/>
  <c r="L6" i="5"/>
  <c r="P6" i="6" s="1"/>
  <c r="E6" i="6"/>
  <c r="R6" i="5"/>
  <c r="R6" i="6" s="1"/>
  <c r="D140" i="12"/>
  <c r="O95" i="4"/>
  <c r="Q95" i="4" s="1"/>
  <c r="I169" i="3"/>
  <c r="G5" i="3"/>
  <c r="V181" i="4"/>
  <c r="U5" i="3" s="1"/>
  <c r="Z121" i="4"/>
  <c r="T83" i="3" s="1"/>
  <c r="AE121" i="4"/>
  <c r="X83" i="3" s="1"/>
  <c r="E83" i="3"/>
  <c r="AD121" i="4"/>
  <c r="W83" i="3" s="1"/>
  <c r="L121" i="4"/>
  <c r="P83" i="3" s="1"/>
  <c r="S121" i="4"/>
  <c r="Q83" i="3" s="1"/>
  <c r="R121" i="4"/>
  <c r="R83" i="3" s="1"/>
  <c r="AA121" i="4"/>
  <c r="S83" i="3" s="1"/>
  <c r="B269" i="12"/>
  <c r="B269" i="11"/>
  <c r="C269" i="22" s="1"/>
  <c r="C7" i="23" s="1"/>
  <c r="B269" i="10"/>
  <c r="B269" i="9"/>
  <c r="B269" i="8"/>
  <c r="L29" i="3"/>
  <c r="G185" i="6"/>
  <c r="Z70" i="4"/>
  <c r="T149" i="3" s="1"/>
  <c r="AE70" i="4"/>
  <c r="X149" i="3" s="1"/>
  <c r="E149" i="3"/>
  <c r="S70" i="4"/>
  <c r="Q149" i="3" s="1"/>
  <c r="L70" i="4"/>
  <c r="P149" i="3" s="1"/>
  <c r="AD70" i="4"/>
  <c r="W149" i="3" s="1"/>
  <c r="AA70" i="4"/>
  <c r="S149" i="3" s="1"/>
  <c r="R70" i="4"/>
  <c r="R149" i="3" s="1"/>
  <c r="V30" i="5"/>
  <c r="U30" i="6" s="1"/>
  <c r="H30" i="6"/>
  <c r="D14" i="12"/>
  <c r="L199" i="3"/>
  <c r="C347" i="1"/>
  <c r="H29" i="3"/>
  <c r="F178" i="3"/>
  <c r="C497" i="1"/>
  <c r="V93" i="4"/>
  <c r="U41" i="3" s="1"/>
  <c r="G41" i="3"/>
  <c r="L104" i="3"/>
  <c r="I157" i="3"/>
  <c r="O143" i="4"/>
  <c r="I428" i="16"/>
  <c r="H15" i="3"/>
  <c r="J157" i="16"/>
  <c r="O23" i="4"/>
  <c r="I10" i="3"/>
  <c r="L163" i="6"/>
  <c r="H84" i="3"/>
  <c r="F168" i="3"/>
  <c r="H25" i="3"/>
  <c r="D105" i="10"/>
  <c r="G54" i="6"/>
  <c r="C77" i="1"/>
  <c r="I67" i="3"/>
  <c r="O116" i="4"/>
  <c r="Q116" i="4" s="1"/>
  <c r="D197" i="16"/>
  <c r="J175" i="16"/>
  <c r="C6" i="1"/>
  <c r="V140" i="4"/>
  <c r="U92" i="3" s="1"/>
  <c r="G92" i="3"/>
  <c r="O171" i="4"/>
  <c r="I70" i="3"/>
  <c r="D198" i="10"/>
  <c r="D105" i="11"/>
  <c r="D76" i="8"/>
  <c r="G89" i="6"/>
  <c r="L36" i="6"/>
  <c r="G158" i="6"/>
  <c r="D268" i="11"/>
  <c r="J127" i="16"/>
  <c r="O204" i="5"/>
  <c r="I204" i="6"/>
  <c r="C437" i="1"/>
  <c r="O127" i="5"/>
  <c r="I127" i="6"/>
  <c r="I382" i="16"/>
  <c r="C338" i="1"/>
  <c r="H317" i="16"/>
  <c r="L169" i="6"/>
  <c r="H103" i="3"/>
  <c r="D188" i="8"/>
  <c r="D236" i="12"/>
  <c r="V10" i="4"/>
  <c r="U183" i="3" s="1"/>
  <c r="G183" i="3"/>
  <c r="I164" i="6"/>
  <c r="O164" i="5"/>
  <c r="Q164" i="5" s="1"/>
  <c r="V14" i="5"/>
  <c r="U14" i="6" s="1"/>
  <c r="H14" i="6"/>
  <c r="O106" i="4"/>
  <c r="I180" i="3"/>
  <c r="L17" i="3"/>
  <c r="F12" i="3"/>
  <c r="L172" i="4"/>
  <c r="P88" i="3" s="1"/>
  <c r="R172" i="4"/>
  <c r="R88" i="3" s="1"/>
  <c r="Z172" i="4"/>
  <c r="T88" i="3" s="1"/>
  <c r="S172" i="4"/>
  <c r="Q88" i="3" s="1"/>
  <c r="E88" i="3"/>
  <c r="AA172" i="4"/>
  <c r="S88" i="3" s="1"/>
  <c r="AD172" i="4"/>
  <c r="W88" i="3" s="1"/>
  <c r="AE172" i="4"/>
  <c r="X88" i="3" s="1"/>
  <c r="D176" i="16"/>
  <c r="C355" i="1"/>
  <c r="C55" i="1"/>
  <c r="H137" i="6"/>
  <c r="V137" i="5"/>
  <c r="U137" i="6" s="1"/>
  <c r="V115" i="4"/>
  <c r="U137" i="3" s="1"/>
  <c r="G137" i="3"/>
  <c r="C504" i="1"/>
  <c r="R103" i="4"/>
  <c r="R24" i="3" s="1"/>
  <c r="AE103" i="4"/>
  <c r="X24" i="3" s="1"/>
  <c r="E24" i="3"/>
  <c r="L103" i="4"/>
  <c r="P24" i="3" s="1"/>
  <c r="AD103" i="4"/>
  <c r="W24" i="3" s="1"/>
  <c r="S103" i="4"/>
  <c r="Q24" i="3" s="1"/>
  <c r="AA103" i="4"/>
  <c r="S24" i="3" s="1"/>
  <c r="Z103" i="4"/>
  <c r="T24" i="3" s="1"/>
  <c r="I173" i="3"/>
  <c r="O57" i="4"/>
  <c r="L160" i="3"/>
  <c r="O123" i="4"/>
  <c r="Q123" i="4" s="1"/>
  <c r="I89" i="3"/>
  <c r="F74" i="3"/>
  <c r="H275" i="16"/>
  <c r="L73" i="3"/>
  <c r="C153" i="1"/>
  <c r="L101" i="6"/>
  <c r="C109" i="1"/>
  <c r="H7" i="3"/>
  <c r="L62" i="3"/>
  <c r="D217" i="11"/>
  <c r="F76" i="3"/>
  <c r="C395" i="1"/>
  <c r="L78" i="6"/>
  <c r="I202" i="3"/>
  <c r="O146" i="4"/>
  <c r="L89" i="5"/>
  <c r="P89" i="6" s="1"/>
  <c r="Z89" i="5"/>
  <c r="T89" i="6" s="1"/>
  <c r="AO89" i="5"/>
  <c r="AP89" i="5" s="1"/>
  <c r="AD89" i="5"/>
  <c r="W89" i="6" s="1"/>
  <c r="AE89" i="5"/>
  <c r="X89" i="6" s="1"/>
  <c r="S89" i="5"/>
  <c r="Q89" i="6" s="1"/>
  <c r="AA89" i="5"/>
  <c r="S89" i="6" s="1"/>
  <c r="R89" i="5"/>
  <c r="R89" i="6" s="1"/>
  <c r="E89" i="6"/>
  <c r="G140" i="6"/>
  <c r="D122" i="9"/>
  <c r="F10" i="3"/>
  <c r="C19" i="1"/>
  <c r="J354" i="16"/>
  <c r="C313" i="1"/>
  <c r="D217" i="8"/>
  <c r="B234" i="9"/>
  <c r="B234" i="10"/>
  <c r="B234" i="12"/>
  <c r="B234" i="11"/>
  <c r="C234" i="22" s="1"/>
  <c r="B234" i="8"/>
  <c r="C160" i="1"/>
  <c r="H206" i="16"/>
  <c r="D155" i="8"/>
  <c r="D107" i="9"/>
  <c r="O67" i="5"/>
  <c r="I67" i="6"/>
  <c r="C20" i="1"/>
  <c r="H204" i="3"/>
  <c r="D173" i="12"/>
  <c r="C219" i="1"/>
  <c r="F102" i="3"/>
  <c r="L8" i="6"/>
  <c r="G123" i="6"/>
  <c r="L27" i="3"/>
  <c r="L156" i="5"/>
  <c r="P156" i="6" s="1"/>
  <c r="Z156" i="5"/>
  <c r="T156" i="6" s="1"/>
  <c r="R156" i="5"/>
  <c r="R156" i="6" s="1"/>
  <c r="AD156" i="5"/>
  <c r="W156" i="6" s="1"/>
  <c r="AO156" i="5"/>
  <c r="AP156" i="5" s="1"/>
  <c r="E156" i="6"/>
  <c r="S156" i="5"/>
  <c r="Q156" i="6" s="1"/>
  <c r="AA156" i="5"/>
  <c r="S156" i="6" s="1"/>
  <c r="AE156" i="5"/>
  <c r="X156" i="6" s="1"/>
  <c r="I280" i="16"/>
  <c r="C73" i="1"/>
  <c r="H129" i="3"/>
  <c r="C11" i="1"/>
  <c r="L75" i="3"/>
  <c r="O39" i="5"/>
  <c r="Q39" i="5" s="1"/>
  <c r="I39" i="6"/>
  <c r="D151" i="11"/>
  <c r="G49" i="6"/>
  <c r="F128" i="3"/>
  <c r="L89" i="3"/>
  <c r="I27" i="6"/>
  <c r="O27" i="5"/>
  <c r="L28" i="6"/>
  <c r="V46" i="4"/>
  <c r="U97" i="3" s="1"/>
  <c r="G97" i="3"/>
  <c r="C76" i="1"/>
  <c r="C425" i="1"/>
  <c r="D196" i="10"/>
  <c r="H28" i="3"/>
  <c r="V144" i="4"/>
  <c r="U65" i="3" s="1"/>
  <c r="G65" i="3"/>
  <c r="G168" i="6"/>
  <c r="C469" i="1"/>
  <c r="F76" i="6"/>
  <c r="D178" i="11"/>
  <c r="C117" i="1"/>
  <c r="F151" i="6"/>
  <c r="L104" i="6"/>
  <c r="D85" i="11"/>
  <c r="D120" i="9"/>
  <c r="D211" i="16"/>
  <c r="L11" i="3"/>
  <c r="F13" i="6"/>
  <c r="J209" i="16"/>
  <c r="C45" i="1"/>
  <c r="D405" i="16"/>
  <c r="AE49" i="4"/>
  <c r="X188" i="3" s="1"/>
  <c r="AD49" i="4"/>
  <c r="W188" i="3" s="1"/>
  <c r="S49" i="4"/>
  <c r="Q188" i="3" s="1"/>
  <c r="E188" i="3"/>
  <c r="Z49" i="4"/>
  <c r="T188" i="3" s="1"/>
  <c r="R49" i="4"/>
  <c r="R188" i="3" s="1"/>
  <c r="L49" i="4"/>
  <c r="P188" i="3" s="1"/>
  <c r="AA49" i="4"/>
  <c r="S188" i="3" s="1"/>
  <c r="H206" i="6"/>
  <c r="V206" i="5"/>
  <c r="U206" i="6" s="1"/>
  <c r="F46" i="16" a="1"/>
  <c r="F46" i="16" s="1"/>
  <c r="D78" i="8"/>
  <c r="G24" i="3"/>
  <c r="V103" i="4"/>
  <c r="U24" i="3" s="1"/>
  <c r="I297" i="16"/>
  <c r="D202" i="11"/>
  <c r="D204" i="11"/>
  <c r="C360" i="1"/>
  <c r="D200" i="11"/>
  <c r="B227" i="9"/>
  <c r="B227" i="10"/>
  <c r="B227" i="8"/>
  <c r="B227" i="11"/>
  <c r="C227" i="22" s="1"/>
  <c r="B227" i="12"/>
  <c r="G72" i="3"/>
  <c r="V129" i="4"/>
  <c r="U72" i="3" s="1"/>
  <c r="F180" i="6"/>
  <c r="D96" i="11"/>
  <c r="L107" i="6"/>
  <c r="L79" i="6"/>
  <c r="H36" i="3"/>
  <c r="L137" i="6"/>
  <c r="I69" i="3"/>
  <c r="O185" i="4"/>
  <c r="G134" i="6"/>
  <c r="I133" i="3"/>
  <c r="O53" i="4"/>
  <c r="O4" i="4"/>
  <c r="I13" i="3"/>
  <c r="D317" i="16"/>
  <c r="AD163" i="5"/>
  <c r="W163" i="6" s="1"/>
  <c r="S163" i="5"/>
  <c r="Q163" i="6" s="1"/>
  <c r="L163" i="5"/>
  <c r="P163" i="6" s="1"/>
  <c r="Z163" i="5"/>
  <c r="T163" i="6" s="1"/>
  <c r="R163" i="5"/>
  <c r="R163" i="6" s="1"/>
  <c r="AE163" i="5"/>
  <c r="X163" i="6" s="1"/>
  <c r="E163" i="6"/>
  <c r="AA163" i="5"/>
  <c r="S163" i="6" s="1"/>
  <c r="AO163" i="5"/>
  <c r="AP163" i="5" s="1"/>
  <c r="J4" i="16"/>
  <c r="F123" i="3"/>
  <c r="D126" i="16"/>
  <c r="C393" i="1"/>
  <c r="AA100" i="5"/>
  <c r="S100" i="6" s="1"/>
  <c r="E100" i="6"/>
  <c r="Z100" i="5"/>
  <c r="T100" i="6" s="1"/>
  <c r="AO100" i="5"/>
  <c r="AP100" i="5" s="1"/>
  <c r="S100" i="5"/>
  <c r="Q100" i="6" s="1"/>
  <c r="L100" i="5"/>
  <c r="P100" i="6" s="1"/>
  <c r="AD100" i="5"/>
  <c r="W100" i="6" s="1"/>
  <c r="AE100" i="5"/>
  <c r="X100" i="6" s="1"/>
  <c r="R100" i="5"/>
  <c r="R100" i="6" s="1"/>
  <c r="F8" i="3"/>
  <c r="I65" i="6"/>
  <c r="O65" i="5"/>
  <c r="Q65" i="5" s="1"/>
  <c r="D69" i="10"/>
  <c r="G126" i="3"/>
  <c r="V43" i="4"/>
  <c r="U126" i="3" s="1"/>
  <c r="C451" i="1"/>
  <c r="H350" i="16"/>
  <c r="I298" i="16"/>
  <c r="G181" i="6"/>
  <c r="O22" i="5"/>
  <c r="I22" i="6"/>
  <c r="C432" i="1"/>
  <c r="D134" i="10"/>
  <c r="AA192" i="5"/>
  <c r="S192" i="6" s="1"/>
  <c r="AD192" i="5"/>
  <c r="W192" i="6" s="1"/>
  <c r="R192" i="5"/>
  <c r="R192" i="6" s="1"/>
  <c r="L192" i="5"/>
  <c r="P192" i="6" s="1"/>
  <c r="AO192" i="5"/>
  <c r="AP192" i="5" s="1"/>
  <c r="S192" i="5"/>
  <c r="Q192" i="6" s="1"/>
  <c r="Z192" i="5"/>
  <c r="T192" i="6" s="1"/>
  <c r="E192" i="6"/>
  <c r="AE192" i="5"/>
  <c r="X192" i="6" s="1"/>
  <c r="F3" i="3"/>
  <c r="B293" i="12"/>
  <c r="B293" i="10"/>
  <c r="B293" i="9"/>
  <c r="B293" i="11"/>
  <c r="C293" i="22" s="1"/>
  <c r="B293" i="8"/>
  <c r="L134" i="3"/>
  <c r="D77" i="9"/>
  <c r="D80" i="11"/>
  <c r="D126" i="11"/>
  <c r="D193" i="8"/>
  <c r="L106" i="6"/>
  <c r="H89" i="3"/>
  <c r="L13" i="3"/>
  <c r="L200" i="3"/>
  <c r="D128" i="9"/>
  <c r="R95" i="4"/>
  <c r="R169" i="3" s="1"/>
  <c r="L95" i="4"/>
  <c r="P169" i="3" s="1"/>
  <c r="AD95" i="4"/>
  <c r="W169" i="3" s="1"/>
  <c r="E169" i="3"/>
  <c r="Z95" i="4"/>
  <c r="T169" i="3" s="1"/>
  <c r="AE95" i="4"/>
  <c r="X169" i="3" s="1"/>
  <c r="AA95" i="4"/>
  <c r="S169" i="3" s="1"/>
  <c r="S95" i="4"/>
  <c r="Q169" i="3" s="1"/>
  <c r="C5" i="8"/>
  <c r="D5" i="8" s="1"/>
  <c r="J355" i="16"/>
  <c r="G41" i="6"/>
  <c r="D228" i="11"/>
  <c r="AD62" i="4"/>
  <c r="W141" i="3" s="1"/>
  <c r="S62" i="4"/>
  <c r="Q141" i="3" s="1"/>
  <c r="Z62" i="4"/>
  <c r="T141" i="3" s="1"/>
  <c r="R62" i="4"/>
  <c r="R141" i="3" s="1"/>
  <c r="AA62" i="4"/>
  <c r="S141" i="3" s="1"/>
  <c r="L62" i="4"/>
  <c r="P141" i="3" s="1"/>
  <c r="E141" i="3"/>
  <c r="AE62" i="4"/>
  <c r="X141" i="3" s="1"/>
  <c r="H68" i="3"/>
  <c r="C372" i="1"/>
  <c r="J254" i="16"/>
  <c r="F175" i="3"/>
  <c r="C389" i="1"/>
  <c r="G93" i="6"/>
  <c r="H186" i="3"/>
  <c r="L98" i="6"/>
  <c r="F82" i="6"/>
  <c r="H85" i="6"/>
  <c r="V85" i="5"/>
  <c r="U85" i="6" s="1"/>
  <c r="V119" i="4"/>
  <c r="U81" i="3" s="1"/>
  <c r="G81" i="3"/>
  <c r="F19" i="6"/>
  <c r="F75" i="3"/>
  <c r="L152" i="3"/>
  <c r="L116" i="4"/>
  <c r="P67" i="3" s="1"/>
  <c r="Z116" i="4"/>
  <c r="T67" i="3" s="1"/>
  <c r="AA116" i="4"/>
  <c r="S67" i="3" s="1"/>
  <c r="R116" i="4"/>
  <c r="R67" i="3" s="1"/>
  <c r="S116" i="4"/>
  <c r="Q67" i="3" s="1"/>
  <c r="E67" i="3"/>
  <c r="AE116" i="4"/>
  <c r="X67" i="3" s="1"/>
  <c r="AD116" i="4"/>
  <c r="W67" i="3" s="1"/>
  <c r="H93" i="3"/>
  <c r="F54" i="3"/>
  <c r="D26" i="8"/>
  <c r="L20" i="3"/>
  <c r="H319" i="16"/>
  <c r="V124" i="4"/>
  <c r="U23" i="3" s="1"/>
  <c r="G23" i="3"/>
  <c r="D200" i="10"/>
  <c r="V28" i="4"/>
  <c r="U46" i="3" s="1"/>
  <c r="G46" i="3"/>
  <c r="H174" i="3"/>
  <c r="H200" i="6"/>
  <c r="V200" i="5"/>
  <c r="U200" i="6" s="1"/>
  <c r="L176" i="6"/>
  <c r="L129" i="3"/>
  <c r="O17" i="5"/>
  <c r="I17" i="6"/>
  <c r="AD169" i="4"/>
  <c r="W87" i="3" s="1"/>
  <c r="L169" i="4"/>
  <c r="P87" i="3" s="1"/>
  <c r="AA169" i="4"/>
  <c r="S87" i="3" s="1"/>
  <c r="E87" i="3"/>
  <c r="Z169" i="4"/>
  <c r="T87" i="3" s="1"/>
  <c r="AE169" i="4"/>
  <c r="X87" i="3" s="1"/>
  <c r="R169" i="4"/>
  <c r="R87" i="3" s="1"/>
  <c r="S169" i="4"/>
  <c r="Q87" i="3" s="1"/>
  <c r="E179" i="6"/>
  <c r="AO179" i="5"/>
  <c r="AP179" i="5" s="1"/>
  <c r="AD179" i="5"/>
  <c r="W179" i="6" s="1"/>
  <c r="L179" i="5"/>
  <c r="P179" i="6" s="1"/>
  <c r="Z179" i="5"/>
  <c r="T179" i="6" s="1"/>
  <c r="AA179" i="5"/>
  <c r="S179" i="6" s="1"/>
  <c r="R179" i="5"/>
  <c r="R179" i="6" s="1"/>
  <c r="AE179" i="5"/>
  <c r="X179" i="6" s="1"/>
  <c r="S179" i="5"/>
  <c r="Q179" i="6" s="1"/>
  <c r="L182" i="5"/>
  <c r="P182" i="6" s="1"/>
  <c r="AA182" i="5"/>
  <c r="S182" i="6" s="1"/>
  <c r="R182" i="5"/>
  <c r="R182" i="6" s="1"/>
  <c r="S182" i="5"/>
  <c r="Q182" i="6" s="1"/>
  <c r="E182" i="6"/>
  <c r="AE182" i="5"/>
  <c r="X182" i="6" s="1"/>
  <c r="Z182" i="5"/>
  <c r="T182" i="6" s="1"/>
  <c r="AO182" i="5"/>
  <c r="AP182" i="5" s="1"/>
  <c r="AD182" i="5"/>
  <c r="W182" i="6" s="1"/>
  <c r="I115" i="6"/>
  <c r="O115" i="5"/>
  <c r="D45" i="12"/>
  <c r="H441" i="16"/>
  <c r="D243" i="11"/>
  <c r="D27" i="12"/>
  <c r="D159" i="8"/>
  <c r="D298" i="11"/>
  <c r="O47" i="4"/>
  <c r="I138" i="3"/>
  <c r="D187" i="12"/>
  <c r="D29" i="10"/>
  <c r="J443" i="16"/>
  <c r="F33" i="6"/>
  <c r="D216" i="8"/>
  <c r="L123" i="3"/>
  <c r="G190" i="6"/>
  <c r="I21" i="6"/>
  <c r="O21" i="5"/>
  <c r="G117" i="3"/>
  <c r="V203" i="4"/>
  <c r="U117" i="3" s="1"/>
  <c r="F138" i="6"/>
  <c r="C380" i="1"/>
  <c r="J224" i="16"/>
  <c r="D218" i="8"/>
  <c r="AA59" i="5"/>
  <c r="S59" i="6" s="1"/>
  <c r="L59" i="5"/>
  <c r="P59" i="6" s="1"/>
  <c r="S59" i="5"/>
  <c r="Q59" i="6" s="1"/>
  <c r="R59" i="5"/>
  <c r="R59" i="6" s="1"/>
  <c r="AE59" i="5"/>
  <c r="X59" i="6" s="1"/>
  <c r="AO59" i="5"/>
  <c r="AP59" i="5" s="1"/>
  <c r="AD59" i="5"/>
  <c r="W59" i="6" s="1"/>
  <c r="E59" i="6"/>
  <c r="Z59" i="5"/>
  <c r="T59" i="6" s="1"/>
  <c r="J297" i="16"/>
  <c r="O168" i="4"/>
  <c r="I198" i="3"/>
  <c r="G7" i="6"/>
  <c r="F96" i="6"/>
  <c r="B251" i="9"/>
  <c r="B251" i="11"/>
  <c r="C251" i="22" s="1"/>
  <c r="B251" i="10"/>
  <c r="B251" i="12"/>
  <c r="B251" i="8"/>
  <c r="L49" i="6"/>
  <c r="D250" i="11"/>
  <c r="F174" i="6"/>
  <c r="O138" i="5"/>
  <c r="I138" i="6"/>
  <c r="F58" i="3"/>
  <c r="L158" i="6"/>
  <c r="O84" i="5"/>
  <c r="I84" i="6"/>
  <c r="C23" i="1"/>
  <c r="L127" i="6"/>
  <c r="C363" i="1"/>
  <c r="F119" i="6"/>
  <c r="O168" i="5"/>
  <c r="I168" i="6"/>
  <c r="F133" i="3"/>
  <c r="V186" i="4"/>
  <c r="U49" i="3" s="1"/>
  <c r="G49" i="3"/>
  <c r="H100" i="3"/>
  <c r="Z17" i="5"/>
  <c r="T17" i="6" s="1"/>
  <c r="L17" i="5"/>
  <c r="P17" i="6" s="1"/>
  <c r="AD17" i="5"/>
  <c r="W17" i="6" s="1"/>
  <c r="AA17" i="5"/>
  <c r="S17" i="6" s="1"/>
  <c r="S17" i="5"/>
  <c r="Q17" i="6" s="1"/>
  <c r="R17" i="5"/>
  <c r="R17" i="6" s="1"/>
  <c r="AE17" i="5"/>
  <c r="X17" i="6" s="1"/>
  <c r="E17" i="6"/>
  <c r="AO17" i="5"/>
  <c r="AP17" i="5" s="1"/>
  <c r="D101" i="8"/>
  <c r="J437" i="16"/>
  <c r="R150" i="4"/>
  <c r="R42" i="3" s="1"/>
  <c r="S150" i="4"/>
  <c r="Q42" i="3" s="1"/>
  <c r="AE150" i="4"/>
  <c r="X42" i="3" s="1"/>
  <c r="Z150" i="4"/>
  <c r="T42" i="3" s="1"/>
  <c r="AA150" i="4"/>
  <c r="S42" i="3" s="1"/>
  <c r="E42" i="3"/>
  <c r="L150" i="4"/>
  <c r="P42" i="3" s="1"/>
  <c r="AD150" i="4"/>
  <c r="W42" i="3" s="1"/>
  <c r="F15" i="3"/>
  <c r="H48" i="3"/>
  <c r="G42" i="6"/>
  <c r="H163" i="6"/>
  <c r="V163" i="5"/>
  <c r="U163" i="6" s="1"/>
  <c r="C62" i="1"/>
  <c r="H95" i="3"/>
  <c r="H91" i="3"/>
  <c r="D31" i="11"/>
  <c r="D63" i="12"/>
  <c r="C495" i="1"/>
  <c r="V182" i="5"/>
  <c r="U182" i="6" s="1"/>
  <c r="H182" i="6"/>
  <c r="AE65" i="4"/>
  <c r="X146" i="3" s="1"/>
  <c r="E146" i="3"/>
  <c r="AD65" i="4"/>
  <c r="W146" i="3" s="1"/>
  <c r="R65" i="4"/>
  <c r="R146" i="3" s="1"/>
  <c r="Z65" i="4"/>
  <c r="T146" i="3" s="1"/>
  <c r="S65" i="4"/>
  <c r="Q146" i="3" s="1"/>
  <c r="AA65" i="4"/>
  <c r="S146" i="3" s="1"/>
  <c r="L65" i="4"/>
  <c r="P146" i="3" s="1"/>
  <c r="H176" i="3"/>
  <c r="H367" i="16"/>
  <c r="I233" i="16"/>
  <c r="V176" i="5"/>
  <c r="U176" i="6" s="1"/>
  <c r="H176" i="6"/>
  <c r="O105" i="4"/>
  <c r="I116" i="3"/>
  <c r="O110" i="4"/>
  <c r="I120" i="3"/>
  <c r="C494" i="1"/>
  <c r="C113" i="1"/>
  <c r="O23" i="5"/>
  <c r="Q23" i="5" s="1"/>
  <c r="I23" i="6"/>
  <c r="J312" i="16"/>
  <c r="O167" i="5"/>
  <c r="Q167" i="5" s="1"/>
  <c r="I167" i="6"/>
  <c r="H109" i="6"/>
  <c r="V109" i="5"/>
  <c r="U109" i="6" s="1"/>
  <c r="H39" i="3"/>
  <c r="S34" i="5"/>
  <c r="Q34" i="6" s="1"/>
  <c r="L34" i="5"/>
  <c r="P34" i="6" s="1"/>
  <c r="E34" i="6"/>
  <c r="AO34" i="5"/>
  <c r="AP34" i="5" s="1"/>
  <c r="R34" i="5"/>
  <c r="R34" i="6" s="1"/>
  <c r="AE34" i="5"/>
  <c r="X34" i="6" s="1"/>
  <c r="AD34" i="5"/>
  <c r="W34" i="6" s="1"/>
  <c r="Z34" i="5"/>
  <c r="T34" i="6" s="1"/>
  <c r="AA34" i="5"/>
  <c r="S34" i="6" s="1"/>
  <c r="Z46" i="4"/>
  <c r="T97" i="3" s="1"/>
  <c r="AD46" i="4"/>
  <c r="W97" i="3" s="1"/>
  <c r="E97" i="3"/>
  <c r="AE46" i="4"/>
  <c r="X97" i="3" s="1"/>
  <c r="AA46" i="4"/>
  <c r="S97" i="3" s="1"/>
  <c r="S46" i="4"/>
  <c r="Q97" i="3" s="1"/>
  <c r="R46" i="4"/>
  <c r="R97" i="3" s="1"/>
  <c r="L46" i="4"/>
  <c r="P97" i="3" s="1"/>
  <c r="V38" i="4"/>
  <c r="U109" i="3" s="1"/>
  <c r="G109" i="3"/>
  <c r="C367" i="1"/>
  <c r="I71" i="6"/>
  <c r="O71" i="5"/>
  <c r="F181" i="3"/>
  <c r="I9" i="16"/>
  <c r="C453" i="1"/>
  <c r="D230" i="12"/>
  <c r="G139" i="6"/>
  <c r="F152" i="3"/>
  <c r="AD205" i="4"/>
  <c r="W164" i="3" s="1"/>
  <c r="E164" i="3"/>
  <c r="S205" i="4"/>
  <c r="Q164" i="3" s="1"/>
  <c r="AE205" i="4"/>
  <c r="X164" i="3" s="1"/>
  <c r="AA205" i="4"/>
  <c r="S164" i="3" s="1"/>
  <c r="Z205" i="4"/>
  <c r="T164" i="3" s="1"/>
  <c r="L205" i="4"/>
  <c r="P164" i="3" s="1"/>
  <c r="R205" i="4"/>
  <c r="R164" i="3" s="1"/>
  <c r="I75" i="6"/>
  <c r="O75" i="5"/>
  <c r="Q75" i="5" s="1"/>
  <c r="D8" i="8"/>
  <c r="R4" i="5"/>
  <c r="R4" i="6" s="1"/>
  <c r="AE4" i="5"/>
  <c r="X4" i="6" s="1"/>
  <c r="L4" i="5"/>
  <c r="P4" i="6" s="1"/>
  <c r="S4" i="5"/>
  <c r="Q4" i="6" s="1"/>
  <c r="AD4" i="5"/>
  <c r="W4" i="6" s="1"/>
  <c r="AO4" i="5"/>
  <c r="AP4" i="5" s="1"/>
  <c r="AA4" i="5"/>
  <c r="S4" i="6" s="1"/>
  <c r="E4" i="6"/>
  <c r="Z4" i="5"/>
  <c r="T4" i="6" s="1"/>
  <c r="Z122" i="4"/>
  <c r="T3" i="3" s="1"/>
  <c r="AA122" i="4"/>
  <c r="S3" i="3" s="1"/>
  <c r="R122" i="4"/>
  <c r="R3" i="3" s="1"/>
  <c r="AE122" i="4"/>
  <c r="X3" i="3" s="1"/>
  <c r="S122" i="4"/>
  <c r="Q3" i="3" s="1"/>
  <c r="E3" i="3"/>
  <c r="AD122" i="4"/>
  <c r="W3" i="3" s="1"/>
  <c r="L122" i="4"/>
  <c r="P3" i="3" s="1"/>
  <c r="L41" i="3"/>
  <c r="F4" i="6"/>
  <c r="L54" i="6"/>
  <c r="G126" i="6"/>
  <c r="L204" i="5"/>
  <c r="P204" i="6" s="1"/>
  <c r="AA204" i="5"/>
  <c r="S204" i="6" s="1"/>
  <c r="E204" i="6"/>
  <c r="AO204" i="5"/>
  <c r="AP204" i="5" s="1"/>
  <c r="AD204" i="5"/>
  <c r="W204" i="6" s="1"/>
  <c r="S204" i="5"/>
  <c r="Q204" i="6" s="1"/>
  <c r="Z204" i="5"/>
  <c r="T204" i="6" s="1"/>
  <c r="R204" i="5"/>
  <c r="R204" i="6" s="1"/>
  <c r="AE204" i="5"/>
  <c r="X204" i="6" s="1"/>
  <c r="Z90" i="4"/>
  <c r="T36" i="3" s="1"/>
  <c r="AD90" i="4"/>
  <c r="W36" i="3" s="1"/>
  <c r="R90" i="4"/>
  <c r="R36" i="3" s="1"/>
  <c r="S90" i="4"/>
  <c r="Q36" i="3" s="1"/>
  <c r="L90" i="4"/>
  <c r="P36" i="3" s="1"/>
  <c r="AE90" i="4"/>
  <c r="X36" i="3" s="1"/>
  <c r="AA90" i="4"/>
  <c r="S36" i="3" s="1"/>
  <c r="E36" i="3"/>
  <c r="H34" i="3"/>
  <c r="H15" i="6"/>
  <c r="V15" i="5"/>
  <c r="U15" i="6" s="1"/>
  <c r="H430" i="16"/>
  <c r="F204" i="3"/>
  <c r="I329" i="16"/>
  <c r="D256" i="12"/>
  <c r="V76" i="4"/>
  <c r="U62" i="3" s="1"/>
  <c r="G62" i="3"/>
  <c r="H232" i="16"/>
  <c r="O201" i="4"/>
  <c r="I147" i="3"/>
  <c r="D11" i="9"/>
  <c r="G82" i="6"/>
  <c r="I179" i="16"/>
  <c r="O184" i="4"/>
  <c r="Q184" i="4" s="1"/>
  <c r="I22" i="3"/>
  <c r="B231" i="9"/>
  <c r="B231" i="10"/>
  <c r="B231" i="8"/>
  <c r="B231" i="12"/>
  <c r="B231" i="11"/>
  <c r="C231" i="22" s="1"/>
  <c r="C14" i="23" s="1"/>
  <c r="L36" i="3"/>
  <c r="C179" i="1"/>
  <c r="AD78" i="5"/>
  <c r="W78" i="6" s="1"/>
  <c r="Z78" i="5"/>
  <c r="T78" i="6" s="1"/>
  <c r="E78" i="6"/>
  <c r="AO78" i="5"/>
  <c r="AP78" i="5" s="1"/>
  <c r="R78" i="5"/>
  <c r="R78" i="6" s="1"/>
  <c r="S78" i="5"/>
  <c r="Q78" i="6" s="1"/>
  <c r="L78" i="5"/>
  <c r="P78" i="6" s="1"/>
  <c r="AA78" i="5"/>
  <c r="S78" i="6" s="1"/>
  <c r="AE78" i="5"/>
  <c r="X78" i="6" s="1"/>
  <c r="AD27" i="5"/>
  <c r="W27" i="6" s="1"/>
  <c r="R27" i="5"/>
  <c r="R27" i="6" s="1"/>
  <c r="AO27" i="5"/>
  <c r="AP27" i="5" s="1"/>
  <c r="S27" i="5"/>
  <c r="Q27" i="6" s="1"/>
  <c r="L27" i="5"/>
  <c r="P27" i="6" s="1"/>
  <c r="Z27" i="5"/>
  <c r="T27" i="6" s="1"/>
  <c r="AA27" i="5"/>
  <c r="S27" i="6" s="1"/>
  <c r="E27" i="6"/>
  <c r="AE27" i="5"/>
  <c r="X27" i="6" s="1"/>
  <c r="L39" i="6"/>
  <c r="H205" i="16"/>
  <c r="D330" i="16"/>
  <c r="D37" i="11"/>
  <c r="I215" i="16"/>
  <c r="J315" i="16"/>
  <c r="F173" i="6"/>
  <c r="I143" i="16"/>
  <c r="F136" i="3"/>
  <c r="J439" i="16"/>
  <c r="D210" i="16"/>
  <c r="O36" i="4"/>
  <c r="I206" i="3"/>
  <c r="G162" i="3"/>
  <c r="V82" i="4"/>
  <c r="U162" i="3" s="1"/>
  <c r="L141" i="6"/>
  <c r="B259" i="11"/>
  <c r="C259" i="22" s="1"/>
  <c r="B259" i="8"/>
  <c r="B259" i="9"/>
  <c r="B259" i="10"/>
  <c r="B259" i="12"/>
  <c r="F162" i="3"/>
  <c r="AD59" i="4"/>
  <c r="W140" i="3" s="1"/>
  <c r="R59" i="4"/>
  <c r="R140" i="3" s="1"/>
  <c r="AA59" i="4"/>
  <c r="S140" i="3" s="1"/>
  <c r="AE59" i="4"/>
  <c r="X140" i="3" s="1"/>
  <c r="E140" i="3"/>
  <c r="L59" i="4"/>
  <c r="P140" i="3" s="1"/>
  <c r="S59" i="4"/>
  <c r="Q140" i="3" s="1"/>
  <c r="Z59" i="4"/>
  <c r="T140" i="3" s="1"/>
  <c r="D234" i="16"/>
  <c r="H106" i="6"/>
  <c r="V106" i="5"/>
  <c r="U106" i="6" s="1"/>
  <c r="I193" i="3"/>
  <c r="O66" i="4"/>
  <c r="B253" i="12"/>
  <c r="B253" i="8"/>
  <c r="B253" i="9"/>
  <c r="B253" i="10"/>
  <c r="B253" i="11"/>
  <c r="C253" i="22" s="1"/>
  <c r="D192" i="10"/>
  <c r="C154" i="1"/>
  <c r="AE92" i="5"/>
  <c r="X92" i="6" s="1"/>
  <c r="AO92" i="5"/>
  <c r="AP92" i="5" s="1"/>
  <c r="AA92" i="5"/>
  <c r="S92" i="6" s="1"/>
  <c r="R92" i="5"/>
  <c r="R92" i="6" s="1"/>
  <c r="E92" i="6"/>
  <c r="L92" i="5"/>
  <c r="P92" i="6" s="1"/>
  <c r="AD92" i="5"/>
  <c r="W92" i="6" s="1"/>
  <c r="Z92" i="5"/>
  <c r="T92" i="6" s="1"/>
  <c r="S92" i="5"/>
  <c r="Q92" i="6" s="1"/>
  <c r="AA104" i="4"/>
  <c r="S112" i="3" s="1"/>
  <c r="AE104" i="4"/>
  <c r="X112" i="3" s="1"/>
  <c r="E112" i="3"/>
  <c r="S104" i="4"/>
  <c r="Q112" i="3" s="1"/>
  <c r="L104" i="4"/>
  <c r="P112" i="3" s="1"/>
  <c r="R104" i="4"/>
  <c r="R112" i="3" s="1"/>
  <c r="AD104" i="4"/>
  <c r="W112" i="3" s="1"/>
  <c r="Z104" i="4"/>
  <c r="T112" i="3" s="1"/>
  <c r="C187" i="1"/>
  <c r="F103" i="6"/>
  <c r="I181" i="16"/>
  <c r="I181" i="3"/>
  <c r="O162" i="4"/>
  <c r="F85" i="3"/>
  <c r="L151" i="3"/>
  <c r="F178" i="6"/>
  <c r="C442" i="1"/>
  <c r="V198" i="4"/>
  <c r="U195" i="3" s="1"/>
  <c r="G195" i="3"/>
  <c r="C190" i="1"/>
  <c r="H140" i="3"/>
  <c r="O105" i="5"/>
  <c r="I105" i="6"/>
  <c r="F72" i="6"/>
  <c r="O46" i="4"/>
  <c r="Q46" i="4" s="1"/>
  <c r="I97" i="3"/>
  <c r="C403" i="1"/>
  <c r="D113" i="9"/>
  <c r="F158" i="6"/>
  <c r="I13" i="6"/>
  <c r="O13" i="5"/>
  <c r="L170" i="3"/>
  <c r="F142" i="6"/>
  <c r="C91" i="1"/>
  <c r="H151" i="3"/>
  <c r="L97" i="6"/>
  <c r="L106" i="5"/>
  <c r="P106" i="6" s="1"/>
  <c r="S106" i="5"/>
  <c r="Q106" i="6" s="1"/>
  <c r="AO106" i="5"/>
  <c r="AP106" i="5" s="1"/>
  <c r="Z106" i="5"/>
  <c r="T106" i="6" s="1"/>
  <c r="AE106" i="5"/>
  <c r="X106" i="6" s="1"/>
  <c r="AD106" i="5"/>
  <c r="W106" i="6" s="1"/>
  <c r="AA106" i="5"/>
  <c r="S106" i="6" s="1"/>
  <c r="E106" i="6"/>
  <c r="R106" i="5"/>
  <c r="R106" i="6" s="1"/>
  <c r="I131" i="3"/>
  <c r="O30" i="4"/>
  <c r="D279" i="11"/>
  <c r="C357" i="1"/>
  <c r="C143" i="1"/>
  <c r="D124" i="8"/>
  <c r="H179" i="3"/>
  <c r="C312" i="1"/>
  <c r="F203" i="6"/>
  <c r="D217" i="10"/>
  <c r="O60" i="5"/>
  <c r="I60" i="6"/>
  <c r="C167" i="1"/>
  <c r="D40" i="12"/>
  <c r="D259" i="11"/>
  <c r="H159" i="3"/>
  <c r="D168" i="9"/>
  <c r="H12" i="3"/>
  <c r="V88" i="5"/>
  <c r="U88" i="6" s="1"/>
  <c r="H88" i="6"/>
  <c r="J226" i="16"/>
  <c r="L125" i="6"/>
  <c r="L190" i="4"/>
  <c r="P132" i="3" s="1"/>
  <c r="AA190" i="4"/>
  <c r="S132" i="3" s="1"/>
  <c r="AE190" i="4"/>
  <c r="X132" i="3" s="1"/>
  <c r="E132" i="3"/>
  <c r="Z190" i="4"/>
  <c r="T132" i="3" s="1"/>
  <c r="R190" i="4"/>
  <c r="R132" i="3" s="1"/>
  <c r="AD190" i="4"/>
  <c r="W132" i="3" s="1"/>
  <c r="S190" i="4"/>
  <c r="Q132" i="3" s="1"/>
  <c r="O76" i="4"/>
  <c r="I62" i="3"/>
  <c r="C63" i="1"/>
  <c r="R105" i="4"/>
  <c r="R116" i="3" s="1"/>
  <c r="AE105" i="4"/>
  <c r="X116" i="3" s="1"/>
  <c r="AD105" i="4"/>
  <c r="W116" i="3" s="1"/>
  <c r="L105" i="4"/>
  <c r="P116" i="3" s="1"/>
  <c r="Z105" i="4"/>
  <c r="T116" i="3" s="1"/>
  <c r="S105" i="4"/>
  <c r="Q116" i="3" s="1"/>
  <c r="AA105" i="4"/>
  <c r="S116" i="3" s="1"/>
  <c r="E116" i="3"/>
  <c r="J411" i="16"/>
  <c r="F130" i="6"/>
  <c r="I221" i="16"/>
  <c r="I182" i="16"/>
  <c r="D88" i="8"/>
  <c r="F49" i="3"/>
  <c r="C401" i="1"/>
  <c r="I251" i="16"/>
  <c r="G70" i="6"/>
  <c r="D195" i="8"/>
  <c r="C145" i="1"/>
  <c r="G11" i="3"/>
  <c r="V81" i="4"/>
  <c r="U11" i="3" s="1"/>
  <c r="I349" i="16"/>
  <c r="L57" i="6"/>
  <c r="AD51" i="5"/>
  <c r="W51" i="6" s="1"/>
  <c r="E51" i="6"/>
  <c r="Z51" i="5"/>
  <c r="T51" i="6" s="1"/>
  <c r="AO51" i="5"/>
  <c r="AP51" i="5" s="1"/>
  <c r="R51" i="5"/>
  <c r="R51" i="6" s="1"/>
  <c r="AE51" i="5"/>
  <c r="X51" i="6" s="1"/>
  <c r="AA51" i="5"/>
  <c r="S51" i="6" s="1"/>
  <c r="L51" i="5"/>
  <c r="P51" i="6" s="1"/>
  <c r="S51" i="5"/>
  <c r="Q51" i="6" s="1"/>
  <c r="L121" i="5"/>
  <c r="P121" i="6" s="1"/>
  <c r="AE121" i="5"/>
  <c r="X121" i="6" s="1"/>
  <c r="E121" i="6"/>
  <c r="AO121" i="5"/>
  <c r="AP121" i="5" s="1"/>
  <c r="AD121" i="5"/>
  <c r="W121" i="6" s="1"/>
  <c r="R121" i="5"/>
  <c r="R121" i="6" s="1"/>
  <c r="S121" i="5"/>
  <c r="Q121" i="6" s="1"/>
  <c r="Z121" i="5"/>
  <c r="T121" i="6" s="1"/>
  <c r="AA121" i="5"/>
  <c r="S121" i="6" s="1"/>
  <c r="Z72" i="5"/>
  <c r="T72" i="6" s="1"/>
  <c r="AA72" i="5"/>
  <c r="S72" i="6" s="1"/>
  <c r="R72" i="5"/>
  <c r="R72" i="6" s="1"/>
  <c r="L72" i="5"/>
  <c r="P72" i="6" s="1"/>
  <c r="AD72" i="5"/>
  <c r="W72" i="6" s="1"/>
  <c r="AO72" i="5"/>
  <c r="AP72" i="5" s="1"/>
  <c r="E72" i="6"/>
  <c r="AE72" i="5"/>
  <c r="X72" i="6" s="1"/>
  <c r="S72" i="5"/>
  <c r="Q72" i="6" s="1"/>
  <c r="G125" i="6"/>
  <c r="G66" i="6"/>
  <c r="I99" i="3"/>
  <c r="O96" i="4"/>
  <c r="G69" i="6"/>
  <c r="I384" i="16"/>
  <c r="G77" i="6"/>
  <c r="C59" i="1"/>
  <c r="C370" i="1"/>
  <c r="Z64" i="4"/>
  <c r="T50" i="3" s="1"/>
  <c r="AA64" i="4"/>
  <c r="S50" i="3" s="1"/>
  <c r="S64" i="4"/>
  <c r="Q50" i="3" s="1"/>
  <c r="R64" i="4"/>
  <c r="R50" i="3" s="1"/>
  <c r="L64" i="4"/>
  <c r="P50" i="3" s="1"/>
  <c r="AE64" i="4"/>
  <c r="X50" i="3" s="1"/>
  <c r="E50" i="3"/>
  <c r="AD64" i="4"/>
  <c r="W50" i="3" s="1"/>
  <c r="Z23" i="5"/>
  <c r="T23" i="6" s="1"/>
  <c r="AE23" i="5"/>
  <c r="X23" i="6" s="1"/>
  <c r="S23" i="5"/>
  <c r="Q23" i="6" s="1"/>
  <c r="AO23" i="5"/>
  <c r="AP23" i="5" s="1"/>
  <c r="E23" i="6"/>
  <c r="R23" i="5"/>
  <c r="R23" i="6" s="1"/>
  <c r="AA23" i="5"/>
  <c r="S23" i="6" s="1"/>
  <c r="L23" i="5"/>
  <c r="P23" i="6" s="1"/>
  <c r="AD23" i="5"/>
  <c r="W23" i="6" s="1"/>
  <c r="S27" i="4"/>
  <c r="Q123" i="3" s="1"/>
  <c r="R27" i="4"/>
  <c r="R123" i="3" s="1"/>
  <c r="AA27" i="4"/>
  <c r="S123" i="3" s="1"/>
  <c r="E123" i="3"/>
  <c r="AE27" i="4"/>
  <c r="X123" i="3" s="1"/>
  <c r="Z27" i="4"/>
  <c r="T123" i="3" s="1"/>
  <c r="AD27" i="4"/>
  <c r="W123" i="3" s="1"/>
  <c r="L27" i="4"/>
  <c r="P123" i="3" s="1"/>
  <c r="D177" i="9"/>
  <c r="V186" i="5"/>
  <c r="U186" i="6" s="1"/>
  <c r="H186" i="6"/>
  <c r="AD114" i="5"/>
  <c r="W114" i="6" s="1"/>
  <c r="AA114" i="5"/>
  <c r="S114" i="6" s="1"/>
  <c r="S114" i="5"/>
  <c r="Q114" i="6" s="1"/>
  <c r="Z114" i="5"/>
  <c r="T114" i="6" s="1"/>
  <c r="AO114" i="5"/>
  <c r="AP114" i="5" s="1"/>
  <c r="L114" i="5"/>
  <c r="P114" i="6" s="1"/>
  <c r="E114" i="6"/>
  <c r="AE114" i="5"/>
  <c r="X114" i="6" s="1"/>
  <c r="R114" i="5"/>
  <c r="R114" i="6" s="1"/>
  <c r="F160" i="3"/>
  <c r="D172" i="10"/>
  <c r="C443" i="1"/>
  <c r="C207" i="1"/>
  <c r="F87" i="3"/>
  <c r="H134" i="3"/>
  <c r="G116" i="6"/>
  <c r="B235" i="12"/>
  <c r="B235" i="10"/>
  <c r="B235" i="11"/>
  <c r="C235" i="22" s="1"/>
  <c r="B235" i="8"/>
  <c r="B235" i="9"/>
  <c r="F91" i="3"/>
  <c r="L46" i="3"/>
  <c r="D141" i="12"/>
  <c r="G121" i="6"/>
  <c r="D168" i="16"/>
  <c r="AA150" i="5"/>
  <c r="S150" i="6" s="1"/>
  <c r="AO150" i="5"/>
  <c r="AP150" i="5" s="1"/>
  <c r="AD150" i="5"/>
  <c r="W150" i="6" s="1"/>
  <c r="R150" i="5"/>
  <c r="R150" i="6" s="1"/>
  <c r="Z150" i="5"/>
  <c r="T150" i="6" s="1"/>
  <c r="AE150" i="5"/>
  <c r="X150" i="6" s="1"/>
  <c r="E150" i="6"/>
  <c r="L150" i="5"/>
  <c r="P150" i="6" s="1"/>
  <c r="S150" i="5"/>
  <c r="Q150" i="6" s="1"/>
  <c r="F64" i="3"/>
  <c r="D156" i="9"/>
  <c r="C487" i="1"/>
  <c r="O151" i="4"/>
  <c r="I19" i="3"/>
  <c r="D40" i="10"/>
  <c r="I48" i="3"/>
  <c r="O41" i="4"/>
  <c r="Q41" i="4" s="1"/>
  <c r="G20" i="6"/>
  <c r="F26" i="3"/>
  <c r="G151" i="6"/>
  <c r="L3" i="3"/>
  <c r="AE85" i="5"/>
  <c r="X85" i="6" s="1"/>
  <c r="Z85" i="5"/>
  <c r="T85" i="6" s="1"/>
  <c r="AA85" i="5"/>
  <c r="S85" i="6" s="1"/>
  <c r="S85" i="5"/>
  <c r="Q85" i="6" s="1"/>
  <c r="AO85" i="5"/>
  <c r="AP85" i="5" s="1"/>
  <c r="R85" i="5"/>
  <c r="R85" i="6" s="1"/>
  <c r="AD85" i="5"/>
  <c r="W85" i="6" s="1"/>
  <c r="E85" i="6"/>
  <c r="L85" i="5"/>
  <c r="P85" i="6" s="1"/>
  <c r="L139" i="6"/>
  <c r="L137" i="3"/>
  <c r="I135" i="3"/>
  <c r="O17" i="4"/>
  <c r="Q17" i="4" s="1"/>
  <c r="H47" i="3"/>
  <c r="L9" i="3"/>
  <c r="AO119" i="5"/>
  <c r="AP119" i="5" s="1"/>
  <c r="R119" i="5"/>
  <c r="R119" i="6" s="1"/>
  <c r="Z119" i="5"/>
  <c r="T119" i="6" s="1"/>
  <c r="AA119" i="5"/>
  <c r="S119" i="6" s="1"/>
  <c r="S119" i="5"/>
  <c r="Q119" i="6" s="1"/>
  <c r="E119" i="6"/>
  <c r="L119" i="5"/>
  <c r="P119" i="6" s="1"/>
  <c r="AE119" i="5"/>
  <c r="X119" i="6" s="1"/>
  <c r="AD119" i="5"/>
  <c r="W119" i="6" s="1"/>
  <c r="F114" i="3"/>
  <c r="C197" i="1"/>
  <c r="C86" i="1"/>
  <c r="F145" i="6"/>
  <c r="L26" i="3"/>
  <c r="O3" i="4"/>
  <c r="I179" i="3"/>
  <c r="L21" i="3"/>
  <c r="D148" i="8"/>
  <c r="L121" i="6"/>
  <c r="G162" i="6"/>
  <c r="F195" i="3"/>
  <c r="I151" i="6"/>
  <c r="O151" i="5"/>
  <c r="I139" i="16"/>
  <c r="H458" i="16"/>
  <c r="V29" i="5"/>
  <c r="U29" i="6" s="1"/>
  <c r="H29" i="6"/>
  <c r="D164" i="10"/>
  <c r="H165" i="3"/>
  <c r="L201" i="6"/>
  <c r="I26" i="6"/>
  <c r="O26" i="5"/>
  <c r="L189" i="6"/>
  <c r="B258" i="11"/>
  <c r="C258" i="22" s="1"/>
  <c r="B258" i="12"/>
  <c r="B258" i="8"/>
  <c r="B258" i="9"/>
  <c r="B258" i="10"/>
  <c r="E86" i="3"/>
  <c r="AD206" i="4"/>
  <c r="W86" i="3" s="1"/>
  <c r="L206" i="4"/>
  <c r="P86" i="3" s="1"/>
  <c r="AA206" i="4"/>
  <c r="S86" i="3" s="1"/>
  <c r="Z206" i="4"/>
  <c r="T86" i="3" s="1"/>
  <c r="R206" i="4"/>
  <c r="R86" i="3" s="1"/>
  <c r="S206" i="4"/>
  <c r="Q86" i="3" s="1"/>
  <c r="AE206" i="4"/>
  <c r="X86" i="3" s="1"/>
  <c r="G135" i="3"/>
  <c r="V17" i="4"/>
  <c r="U135" i="3" s="1"/>
  <c r="D240" i="12"/>
  <c r="C5" i="14"/>
  <c r="C13" i="14" s="1"/>
  <c r="C48" i="14" s="1"/>
  <c r="G67" i="6"/>
  <c r="I32" i="3"/>
  <c r="O173" i="4"/>
  <c r="H127" i="16"/>
  <c r="Z39" i="4"/>
  <c r="T142" i="3" s="1"/>
  <c r="AD39" i="4"/>
  <c r="W142" i="3" s="1"/>
  <c r="AA39" i="4"/>
  <c r="S142" i="3" s="1"/>
  <c r="S39" i="4"/>
  <c r="Q142" i="3" s="1"/>
  <c r="L39" i="4"/>
  <c r="P142" i="3" s="1"/>
  <c r="E142" i="3"/>
  <c r="R39" i="4"/>
  <c r="R142" i="3" s="1"/>
  <c r="AE39" i="4"/>
  <c r="X142" i="3" s="1"/>
  <c r="H196" i="3"/>
  <c r="F94" i="3"/>
  <c r="Z142" i="4"/>
  <c r="T14" i="3" s="1"/>
  <c r="L142" i="4"/>
  <c r="P14" i="3" s="1"/>
  <c r="AD142" i="4"/>
  <c r="W14" i="3" s="1"/>
  <c r="AE142" i="4"/>
  <c r="X14" i="3" s="1"/>
  <c r="E14" i="3"/>
  <c r="AA142" i="4"/>
  <c r="S14" i="3" s="1"/>
  <c r="R142" i="4"/>
  <c r="R14" i="3" s="1"/>
  <c r="S142" i="4"/>
  <c r="Q14" i="3" s="1"/>
  <c r="J15" i="16"/>
  <c r="H203" i="3"/>
  <c r="V167" i="5"/>
  <c r="U167" i="6" s="1"/>
  <c r="H167" i="6"/>
  <c r="L159" i="6"/>
  <c r="D74" i="10"/>
  <c r="D66" i="10"/>
  <c r="L88" i="3"/>
  <c r="B278" i="8"/>
  <c r="B278" i="9"/>
  <c r="B278" i="10"/>
  <c r="B278" i="12"/>
  <c r="B278" i="11"/>
  <c r="C278" i="22" s="1"/>
  <c r="C163" i="1"/>
  <c r="H160" i="3"/>
  <c r="H33" i="3"/>
  <c r="G175" i="3"/>
  <c r="V24" i="4"/>
  <c r="U175" i="3" s="1"/>
  <c r="H70" i="3"/>
  <c r="L53" i="3"/>
  <c r="V177" i="5"/>
  <c r="U177" i="6" s="1"/>
  <c r="H177" i="6"/>
  <c r="V95" i="4"/>
  <c r="U169" i="3" s="1"/>
  <c r="G169" i="3"/>
  <c r="C50" i="1"/>
  <c r="S154" i="5"/>
  <c r="Q154" i="6" s="1"/>
  <c r="AO154" i="5"/>
  <c r="AP154" i="5" s="1"/>
  <c r="Z154" i="5"/>
  <c r="T154" i="6" s="1"/>
  <c r="E154" i="6"/>
  <c r="L154" i="5"/>
  <c r="P154" i="6" s="1"/>
  <c r="AD154" i="5"/>
  <c r="W154" i="6" s="1"/>
  <c r="AA154" i="5"/>
  <c r="S154" i="6" s="1"/>
  <c r="R154" i="5"/>
  <c r="R154" i="6" s="1"/>
  <c r="AE154" i="5"/>
  <c r="X154" i="6" s="1"/>
  <c r="B267" i="8"/>
  <c r="B267" i="11"/>
  <c r="C267" i="22" s="1"/>
  <c r="B267" i="12"/>
  <c r="B267" i="10"/>
  <c r="B267" i="9"/>
  <c r="F164" i="3"/>
  <c r="V122" i="4"/>
  <c r="U3" i="3" s="1"/>
  <c r="G3" i="3"/>
  <c r="C364" i="1"/>
  <c r="L41" i="6"/>
  <c r="V60" i="4"/>
  <c r="U200" i="3" s="1"/>
  <c r="G200" i="3"/>
  <c r="H152" i="16"/>
  <c r="D218" i="9"/>
  <c r="D199" i="16"/>
  <c r="C79" i="1"/>
  <c r="F177" i="6"/>
  <c r="G92" i="6"/>
  <c r="O124" i="4"/>
  <c r="Q124" i="4" s="1"/>
  <c r="I23" i="3"/>
  <c r="C75" i="1"/>
  <c r="L43" i="5"/>
  <c r="P43" i="6" s="1"/>
  <c r="AE43" i="5"/>
  <c r="X43" i="6" s="1"/>
  <c r="AO43" i="5"/>
  <c r="AP43" i="5" s="1"/>
  <c r="AD43" i="5"/>
  <c r="W43" i="6" s="1"/>
  <c r="AA43" i="5"/>
  <c r="S43" i="6" s="1"/>
  <c r="E43" i="6"/>
  <c r="Z43" i="5"/>
  <c r="T43" i="6" s="1"/>
  <c r="S43" i="5"/>
  <c r="Q43" i="6" s="1"/>
  <c r="R43" i="5"/>
  <c r="R43" i="6" s="1"/>
  <c r="H139" i="3"/>
  <c r="F80" i="6"/>
  <c r="C180" i="1"/>
  <c r="L129" i="6"/>
  <c r="V104" i="5"/>
  <c r="U104" i="6" s="1"/>
  <c r="H104" i="6"/>
  <c r="F55" i="3"/>
  <c r="V120" i="4"/>
  <c r="U44" i="3" s="1"/>
  <c r="G44" i="3"/>
  <c r="D55" i="8"/>
  <c r="H18" i="3"/>
  <c r="V67" i="5"/>
  <c r="U67" i="6" s="1"/>
  <c r="H67" i="6"/>
  <c r="H113" i="6"/>
  <c r="V113" i="5"/>
  <c r="U113" i="6" s="1"/>
  <c r="C8" i="1"/>
  <c r="I351" i="16"/>
  <c r="D296" i="11"/>
  <c r="L190" i="6"/>
  <c r="I415" i="16"/>
  <c r="L40" i="3"/>
  <c r="E132" i="6"/>
  <c r="AD132" i="5"/>
  <c r="W132" i="6" s="1"/>
  <c r="S132" i="5"/>
  <c r="Q132" i="6" s="1"/>
  <c r="R132" i="5"/>
  <c r="R132" i="6" s="1"/>
  <c r="AE132" i="5"/>
  <c r="X132" i="6" s="1"/>
  <c r="L132" i="5"/>
  <c r="P132" i="6" s="1"/>
  <c r="AO132" i="5"/>
  <c r="AP132" i="5" s="1"/>
  <c r="Z132" i="5"/>
  <c r="T132" i="6" s="1"/>
  <c r="AA132" i="5"/>
  <c r="S132" i="6" s="1"/>
  <c r="L139" i="3"/>
  <c r="AE57" i="4"/>
  <c r="X173" i="3" s="1"/>
  <c r="R57" i="4"/>
  <c r="R173" i="3" s="1"/>
  <c r="AD57" i="4"/>
  <c r="W173" i="3" s="1"/>
  <c r="Z57" i="4"/>
  <c r="T173" i="3" s="1"/>
  <c r="L57" i="4"/>
  <c r="P173" i="3" s="1"/>
  <c r="S57" i="4"/>
  <c r="Q173" i="3" s="1"/>
  <c r="E173" i="3"/>
  <c r="AA57" i="4"/>
  <c r="S173" i="3" s="1"/>
  <c r="Q57" i="4"/>
  <c r="L197" i="3"/>
  <c r="C328" i="1"/>
  <c r="O156" i="5"/>
  <c r="Q156" i="5" s="1"/>
  <c r="I156" i="6"/>
  <c r="G74" i="3"/>
  <c r="V159" i="4"/>
  <c r="U74" i="3" s="1"/>
  <c r="F144" i="6"/>
  <c r="F124" i="6"/>
  <c r="O35" i="4"/>
  <c r="Q35" i="4" s="1"/>
  <c r="I187" i="3"/>
  <c r="V7" i="5"/>
  <c r="U7" i="6" s="1"/>
  <c r="H7" i="6"/>
  <c r="V165" i="4"/>
  <c r="U95" i="3" s="1"/>
  <c r="G95" i="3"/>
  <c r="O93" i="5"/>
  <c r="I93" i="6"/>
  <c r="B226" i="8"/>
  <c r="B226" i="12"/>
  <c r="B226" i="9"/>
  <c r="B226" i="10"/>
  <c r="B226" i="11"/>
  <c r="C226" i="22" s="1"/>
  <c r="V9" i="5"/>
  <c r="U9" i="6" s="1"/>
  <c r="H9" i="6"/>
  <c r="C221" i="1"/>
  <c r="B229" i="10"/>
  <c r="B229" i="12"/>
  <c r="B229" i="9"/>
  <c r="B229" i="11"/>
  <c r="C229" i="22" s="1"/>
  <c r="B229" i="8"/>
  <c r="C404" i="1"/>
  <c r="G196" i="6"/>
  <c r="I82" i="6"/>
  <c r="O82" i="5"/>
  <c r="Q82" i="5" s="1"/>
  <c r="G200" i="6"/>
  <c r="AE17" i="4"/>
  <c r="X135" i="3" s="1"/>
  <c r="Z17" i="4"/>
  <c r="T135" i="3" s="1"/>
  <c r="S17" i="4"/>
  <c r="Q135" i="3" s="1"/>
  <c r="AA17" i="4"/>
  <c r="S135" i="3" s="1"/>
  <c r="E135" i="3"/>
  <c r="L17" i="4"/>
  <c r="P135" i="3" s="1"/>
  <c r="AD17" i="4"/>
  <c r="W135" i="3" s="1"/>
  <c r="R17" i="4"/>
  <c r="R135" i="3" s="1"/>
  <c r="D86" i="8"/>
  <c r="D152" i="12"/>
  <c r="C141" i="1"/>
  <c r="G21" i="3"/>
  <c r="V188" i="4"/>
  <c r="U21" i="3" s="1"/>
  <c r="L107" i="3"/>
  <c r="Z85" i="4"/>
  <c r="T47" i="3" s="1"/>
  <c r="AA85" i="4"/>
  <c r="S47" i="3" s="1"/>
  <c r="L85" i="4"/>
  <c r="P47" i="3" s="1"/>
  <c r="AE85" i="4"/>
  <c r="X47" i="3" s="1"/>
  <c r="E47" i="3"/>
  <c r="S85" i="4"/>
  <c r="Q47" i="3" s="1"/>
  <c r="AD85" i="4"/>
  <c r="W47" i="3" s="1"/>
  <c r="R85" i="4"/>
  <c r="R47" i="3" s="1"/>
  <c r="D197" i="9"/>
  <c r="G186" i="6"/>
  <c r="J202" i="16"/>
  <c r="G110" i="6"/>
  <c r="V128" i="5"/>
  <c r="U128" i="6" s="1"/>
  <c r="H128" i="6"/>
  <c r="H98" i="3"/>
  <c r="H42" i="3"/>
  <c r="L12" i="6"/>
  <c r="V130" i="4"/>
  <c r="U54" i="3" s="1"/>
  <c r="G54" i="3"/>
  <c r="O63" i="4"/>
  <c r="Q63" i="4" s="1"/>
  <c r="I145" i="3"/>
  <c r="C488" i="1"/>
  <c r="C27" i="1"/>
  <c r="L121" i="3"/>
  <c r="F177" i="3"/>
  <c r="O22" i="4"/>
  <c r="I203" i="3"/>
  <c r="O5" i="5"/>
  <c r="I5" i="6"/>
  <c r="L104" i="5"/>
  <c r="P104" i="6" s="1"/>
  <c r="AO104" i="5"/>
  <c r="AP104" i="5" s="1"/>
  <c r="S104" i="5"/>
  <c r="Q104" i="6" s="1"/>
  <c r="Z104" i="5"/>
  <c r="T104" i="6" s="1"/>
  <c r="E104" i="6"/>
  <c r="R104" i="5"/>
  <c r="R104" i="6" s="1"/>
  <c r="AA104" i="5"/>
  <c r="S104" i="6" s="1"/>
  <c r="AD104" i="5"/>
  <c r="W104" i="6" s="1"/>
  <c r="AE104" i="5"/>
  <c r="X104" i="6" s="1"/>
  <c r="C119" i="1"/>
  <c r="S115" i="5"/>
  <c r="Q115" i="6" s="1"/>
  <c r="AD115" i="5"/>
  <c r="W115" i="6" s="1"/>
  <c r="L115" i="5"/>
  <c r="P115" i="6" s="1"/>
  <c r="AO115" i="5"/>
  <c r="AP115" i="5" s="1"/>
  <c r="AE115" i="5"/>
  <c r="X115" i="6" s="1"/>
  <c r="E115" i="6"/>
  <c r="R115" i="5"/>
  <c r="R115" i="6" s="1"/>
  <c r="AA115" i="5"/>
  <c r="S115" i="6" s="1"/>
  <c r="Z115" i="5"/>
  <c r="T115" i="6" s="1"/>
  <c r="I43" i="3"/>
  <c r="O25" i="4"/>
  <c r="D365" i="16"/>
  <c r="J199" i="16"/>
  <c r="G163" i="3"/>
  <c r="V112" i="4"/>
  <c r="U163" i="3" s="1"/>
  <c r="L68" i="3"/>
  <c r="V191" i="4"/>
  <c r="U68" i="3" s="1"/>
  <c r="G68" i="3"/>
  <c r="C182" i="1"/>
  <c r="H247" i="16"/>
  <c r="D170" i="12"/>
  <c r="F143" i="6"/>
  <c r="D158" i="9"/>
  <c r="D13" i="10"/>
  <c r="C74" i="1"/>
  <c r="L171" i="3"/>
  <c r="D168" i="12"/>
  <c r="D197" i="11"/>
  <c r="D254" i="16"/>
  <c r="C81" i="1"/>
  <c r="V8" i="4"/>
  <c r="U124" i="3" s="1"/>
  <c r="G124" i="3"/>
  <c r="I160" i="3"/>
  <c r="O14" i="4"/>
  <c r="Q14" i="4" s="1"/>
  <c r="H148" i="3"/>
  <c r="D99" i="10"/>
  <c r="S41" i="4"/>
  <c r="Q48" i="3" s="1"/>
  <c r="R41" i="4"/>
  <c r="R48" i="3" s="1"/>
  <c r="Z41" i="4"/>
  <c r="T48" i="3" s="1"/>
  <c r="E48" i="3"/>
  <c r="AA41" i="4"/>
  <c r="S48" i="3" s="1"/>
  <c r="AE41" i="4"/>
  <c r="X48" i="3" s="1"/>
  <c r="AD41" i="4"/>
  <c r="W48" i="3" s="1"/>
  <c r="L41" i="4"/>
  <c r="P48" i="3" s="1"/>
  <c r="L171" i="4"/>
  <c r="P70" i="3" s="1"/>
  <c r="R171" i="4"/>
  <c r="R70" i="3" s="1"/>
  <c r="E70" i="3"/>
  <c r="Z171" i="4"/>
  <c r="T70" i="3" s="1"/>
  <c r="AD171" i="4"/>
  <c r="W70" i="3" s="1"/>
  <c r="AE171" i="4"/>
  <c r="X70" i="3" s="1"/>
  <c r="S171" i="4"/>
  <c r="Q70" i="3" s="1"/>
  <c r="AA171" i="4"/>
  <c r="S70" i="3" s="1"/>
  <c r="L49" i="3"/>
  <c r="H229" i="16"/>
  <c r="AD189" i="5"/>
  <c r="W189" i="6" s="1"/>
  <c r="R189" i="5"/>
  <c r="R189" i="6" s="1"/>
  <c r="AO189" i="5"/>
  <c r="AP189" i="5" s="1"/>
  <c r="L189" i="5"/>
  <c r="P189" i="6" s="1"/>
  <c r="AA189" i="5"/>
  <c r="S189" i="6" s="1"/>
  <c r="Z189" i="5"/>
  <c r="T189" i="6" s="1"/>
  <c r="E189" i="6"/>
  <c r="S189" i="5"/>
  <c r="Q189" i="6" s="1"/>
  <c r="AE189" i="5"/>
  <c r="X189" i="6" s="1"/>
  <c r="L82" i="3"/>
  <c r="C343" i="1"/>
  <c r="J285" i="16"/>
  <c r="F149" i="3"/>
  <c r="I193" i="16"/>
  <c r="D40" i="8"/>
  <c r="V39" i="5"/>
  <c r="U39" i="6" s="1"/>
  <c r="H39" i="6"/>
  <c r="D430" i="16"/>
  <c r="V47" i="4"/>
  <c r="U138" i="3" s="1"/>
  <c r="G138" i="3"/>
  <c r="O200" i="5"/>
  <c r="I200" i="6"/>
  <c r="F40" i="6"/>
  <c r="V44" i="5"/>
  <c r="U44" i="6" s="1"/>
  <c r="H44" i="6"/>
  <c r="F13" i="3"/>
  <c r="C204" i="1"/>
  <c r="D120" i="8"/>
  <c r="D10" i="10"/>
  <c r="D87" i="12"/>
  <c r="I141" i="3"/>
  <c r="O62" i="4"/>
  <c r="V41" i="4"/>
  <c r="U48" i="3" s="1"/>
  <c r="G48" i="3"/>
  <c r="B288" i="8"/>
  <c r="B288" i="10"/>
  <c r="B288" i="9"/>
  <c r="B288" i="11"/>
  <c r="C288" i="22" s="1"/>
  <c r="B288" i="12"/>
  <c r="S20" i="5"/>
  <c r="Q20" i="6" s="1"/>
  <c r="AD20" i="5"/>
  <c r="W20" i="6" s="1"/>
  <c r="L20" i="5"/>
  <c r="P20" i="6" s="1"/>
  <c r="AA20" i="5"/>
  <c r="S20" i="6" s="1"/>
  <c r="R20" i="5"/>
  <c r="R20" i="6" s="1"/>
  <c r="E20" i="6"/>
  <c r="AO20" i="5"/>
  <c r="AP20" i="5" s="1"/>
  <c r="AE20" i="5"/>
  <c r="X20" i="6" s="1"/>
  <c r="Z20" i="5"/>
  <c r="T20" i="6" s="1"/>
  <c r="G84" i="6"/>
  <c r="S181" i="4"/>
  <c r="Q5" i="3" s="1"/>
  <c r="L181" i="4"/>
  <c r="P5" i="3" s="1"/>
  <c r="AD181" i="4"/>
  <c r="W5" i="3" s="1"/>
  <c r="E5" i="3"/>
  <c r="R181" i="4"/>
  <c r="R5" i="3" s="1"/>
  <c r="Z181" i="4"/>
  <c r="T5" i="3" s="1"/>
  <c r="AE181" i="4"/>
  <c r="X5" i="3" s="1"/>
  <c r="AA181" i="4"/>
  <c r="S5" i="3" s="1"/>
  <c r="C97" i="1"/>
  <c r="L32" i="3"/>
  <c r="AE14" i="4"/>
  <c r="X160" i="3" s="1"/>
  <c r="L14" i="4"/>
  <c r="P160" i="3" s="1"/>
  <c r="R14" i="4"/>
  <c r="R160" i="3" s="1"/>
  <c r="Z14" i="4"/>
  <c r="T160" i="3" s="1"/>
  <c r="AD14" i="4"/>
  <c r="W160" i="3" s="1"/>
  <c r="S14" i="4"/>
  <c r="Q160" i="3" s="1"/>
  <c r="E160" i="3"/>
  <c r="AA14" i="4"/>
  <c r="S160" i="3" s="1"/>
  <c r="O44" i="4"/>
  <c r="I205" i="3"/>
  <c r="O190" i="5"/>
  <c r="I190" i="6"/>
  <c r="AD161" i="5"/>
  <c r="W161" i="6" s="1"/>
  <c r="AO161" i="5"/>
  <c r="AP161" i="5" s="1"/>
  <c r="Z161" i="5"/>
  <c r="T161" i="6" s="1"/>
  <c r="E161" i="6"/>
  <c r="AA161" i="5"/>
  <c r="S161" i="6" s="1"/>
  <c r="S161" i="5"/>
  <c r="Q161" i="6" s="1"/>
  <c r="L161" i="5"/>
  <c r="P161" i="6" s="1"/>
  <c r="R161" i="5"/>
  <c r="R161" i="6" s="1"/>
  <c r="AE161" i="5"/>
  <c r="X161" i="6" s="1"/>
  <c r="C156" i="1"/>
  <c r="G87" i="6"/>
  <c r="AE115" i="4"/>
  <c r="X137" i="3" s="1"/>
  <c r="S115" i="4"/>
  <c r="Q137" i="3" s="1"/>
  <c r="L115" i="4"/>
  <c r="P137" i="3" s="1"/>
  <c r="E137" i="3"/>
  <c r="AA115" i="4"/>
  <c r="S137" i="3" s="1"/>
  <c r="AD115" i="4"/>
  <c r="W137" i="3" s="1"/>
  <c r="Z115" i="4"/>
  <c r="T137" i="3" s="1"/>
  <c r="R115" i="4"/>
  <c r="R137" i="3" s="1"/>
  <c r="G153" i="3"/>
  <c r="V40" i="4"/>
  <c r="U153" i="3" s="1"/>
  <c r="D24" i="9"/>
  <c r="D264" i="11"/>
  <c r="L131" i="3"/>
  <c r="F155" i="3"/>
  <c r="G100" i="6"/>
  <c r="C9" i="1"/>
  <c r="AE186" i="4"/>
  <c r="X49" i="3" s="1"/>
  <c r="Z186" i="4"/>
  <c r="T49" i="3" s="1"/>
  <c r="L186" i="4"/>
  <c r="P49" i="3" s="1"/>
  <c r="AD186" i="4"/>
  <c r="W49" i="3" s="1"/>
  <c r="S186" i="4"/>
  <c r="Q49" i="3" s="1"/>
  <c r="AA186" i="4"/>
  <c r="S49" i="3" s="1"/>
  <c r="E49" i="3"/>
  <c r="R186" i="4"/>
  <c r="R49" i="3" s="1"/>
  <c r="D417" i="16"/>
  <c r="H58" i="3"/>
  <c r="F79" i="3"/>
  <c r="F65" i="3"/>
  <c r="D113" i="8"/>
  <c r="D188" i="11"/>
  <c r="H64" i="3"/>
  <c r="L58" i="3"/>
  <c r="D85" i="10"/>
  <c r="C498" i="1"/>
  <c r="C482" i="1"/>
  <c r="O142" i="4"/>
  <c r="I14" i="3"/>
  <c r="Z196" i="5"/>
  <c r="T196" i="6" s="1"/>
  <c r="AO196" i="5"/>
  <c r="AP196" i="5" s="1"/>
  <c r="E196" i="6"/>
  <c r="AA196" i="5"/>
  <c r="S196" i="6" s="1"/>
  <c r="S196" i="5"/>
  <c r="Q196" i="6" s="1"/>
  <c r="AE196" i="5"/>
  <c r="X196" i="6" s="1"/>
  <c r="AD196" i="5"/>
  <c r="W196" i="6" s="1"/>
  <c r="L196" i="5"/>
  <c r="P196" i="6" s="1"/>
  <c r="R196" i="5"/>
  <c r="R196" i="6" s="1"/>
  <c r="D115" i="8"/>
  <c r="F115" i="6"/>
  <c r="B246" i="11"/>
  <c r="C246" i="22" s="1"/>
  <c r="B246" i="8"/>
  <c r="B246" i="9"/>
  <c r="B246" i="10"/>
  <c r="B246" i="12"/>
  <c r="F89" i="6"/>
  <c r="L66" i="6"/>
  <c r="C195" i="1"/>
  <c r="C5" i="1"/>
  <c r="I169" i="6"/>
  <c r="O169" i="5"/>
  <c r="H86" i="3"/>
  <c r="L21" i="6"/>
  <c r="G206" i="6"/>
  <c r="I162" i="3"/>
  <c r="O82" i="4"/>
  <c r="C409" i="1"/>
  <c r="D98" i="11"/>
  <c r="O43" i="5"/>
  <c r="I43" i="6"/>
  <c r="F60" i="6"/>
  <c r="C196" i="1"/>
  <c r="E114" i="3"/>
  <c r="Z78" i="4"/>
  <c r="T114" i="3" s="1"/>
  <c r="AE78" i="4"/>
  <c r="X114" i="3" s="1"/>
  <c r="AD78" i="4"/>
  <c r="W114" i="3" s="1"/>
  <c r="L78" i="4"/>
  <c r="P114" i="3" s="1"/>
  <c r="AA78" i="4"/>
  <c r="S114" i="3" s="1"/>
  <c r="S78" i="4"/>
  <c r="Q114" i="3" s="1"/>
  <c r="R78" i="4"/>
  <c r="R114" i="3" s="1"/>
  <c r="AA194" i="5"/>
  <c r="S194" i="6" s="1"/>
  <c r="S194" i="5"/>
  <c r="Q194" i="6" s="1"/>
  <c r="AD194" i="5"/>
  <c r="W194" i="6" s="1"/>
  <c r="AO194" i="5"/>
  <c r="AP194" i="5" s="1"/>
  <c r="AE194" i="5"/>
  <c r="X194" i="6" s="1"/>
  <c r="R194" i="5"/>
  <c r="R194" i="6" s="1"/>
  <c r="Z194" i="5"/>
  <c r="T194" i="6" s="1"/>
  <c r="E194" i="6"/>
  <c r="L194" i="5"/>
  <c r="P194" i="6" s="1"/>
  <c r="V4" i="5"/>
  <c r="U4" i="6" s="1"/>
  <c r="H4" i="6"/>
  <c r="V64" i="5"/>
  <c r="U64" i="6" s="1"/>
  <c r="H64" i="6"/>
  <c r="D293" i="12"/>
  <c r="C42" i="1"/>
  <c r="G24" i="6"/>
  <c r="G28" i="6"/>
  <c r="H346" i="16"/>
  <c r="D147" i="16"/>
  <c r="D86" i="9"/>
  <c r="F171" i="3"/>
  <c r="D216" i="9"/>
  <c r="L143" i="4"/>
  <c r="P157" i="3" s="1"/>
  <c r="R143" i="4"/>
  <c r="R157" i="3" s="1"/>
  <c r="E157" i="3"/>
  <c r="Z143" i="4"/>
  <c r="T157" i="3" s="1"/>
  <c r="S143" i="4"/>
  <c r="Q157" i="3" s="1"/>
  <c r="AD143" i="4"/>
  <c r="W157" i="3" s="1"/>
  <c r="AA143" i="4"/>
  <c r="S157" i="3" s="1"/>
  <c r="AE143" i="4"/>
  <c r="X157" i="3" s="1"/>
  <c r="I99" i="6"/>
  <c r="O99" i="5"/>
  <c r="AD29" i="5"/>
  <c r="W29" i="6" s="1"/>
  <c r="Z29" i="5"/>
  <c r="T29" i="6" s="1"/>
  <c r="S29" i="5"/>
  <c r="Q29" i="6" s="1"/>
  <c r="AA29" i="5"/>
  <c r="S29" i="6" s="1"/>
  <c r="E29" i="6"/>
  <c r="L29" i="5"/>
  <c r="P29" i="6" s="1"/>
  <c r="AO29" i="5"/>
  <c r="AP29" i="5" s="1"/>
  <c r="R29" i="5"/>
  <c r="R29" i="6" s="1"/>
  <c r="AE29" i="5"/>
  <c r="X29" i="6" s="1"/>
  <c r="O43" i="4"/>
  <c r="Q43" i="4" s="1"/>
  <c r="I126" i="3"/>
  <c r="G176" i="3"/>
  <c r="V126" i="4"/>
  <c r="U176" i="3" s="1"/>
  <c r="D21" i="9"/>
  <c r="G152" i="3"/>
  <c r="V91" i="4"/>
  <c r="U152" i="3" s="1"/>
  <c r="D109" i="8"/>
  <c r="C15" i="1"/>
  <c r="G124" i="6"/>
  <c r="H144" i="3"/>
  <c r="D184" i="12"/>
  <c r="D51" i="10"/>
  <c r="V61" i="5"/>
  <c r="U61" i="6" s="1"/>
  <c r="H61" i="6"/>
  <c r="D84" i="8"/>
  <c r="C83" i="1"/>
  <c r="L162" i="6"/>
  <c r="G104" i="6"/>
  <c r="O31" i="5"/>
  <c r="I31" i="6"/>
  <c r="I42" i="6"/>
  <c r="O42" i="5"/>
  <c r="G189" i="6"/>
  <c r="D96" i="9"/>
  <c r="R74" i="4"/>
  <c r="R39" i="3" s="1"/>
  <c r="AE74" i="4"/>
  <c r="X39" i="3" s="1"/>
  <c r="L74" i="4"/>
  <c r="P39" i="3" s="1"/>
  <c r="Z74" i="4"/>
  <c r="T39" i="3" s="1"/>
  <c r="AD74" i="4"/>
  <c r="W39" i="3" s="1"/>
  <c r="AA74" i="4"/>
  <c r="S39" i="3" s="1"/>
  <c r="S74" i="4"/>
  <c r="Q39" i="3" s="1"/>
  <c r="E39" i="3"/>
  <c r="O160" i="5"/>
  <c r="I160" i="6"/>
  <c r="L187" i="6"/>
  <c r="O117" i="4"/>
  <c r="I85" i="3"/>
  <c r="L189" i="3"/>
  <c r="L50" i="6"/>
  <c r="V12" i="5"/>
  <c r="U12" i="6" s="1"/>
  <c r="H12" i="6"/>
  <c r="D84" i="10"/>
  <c r="F139" i="3"/>
  <c r="L94" i="3"/>
  <c r="D25" i="9"/>
  <c r="F104" i="3"/>
  <c r="L37" i="6"/>
  <c r="L69" i="3"/>
  <c r="F68" i="3"/>
  <c r="AA117" i="4"/>
  <c r="S85" i="3" s="1"/>
  <c r="AD117" i="4"/>
  <c r="W85" i="3" s="1"/>
  <c r="R117" i="4"/>
  <c r="R85" i="3" s="1"/>
  <c r="S117" i="4"/>
  <c r="Q85" i="3" s="1"/>
  <c r="AE117" i="4"/>
  <c r="X85" i="3" s="1"/>
  <c r="Z117" i="4"/>
  <c r="T85" i="3" s="1"/>
  <c r="L117" i="4"/>
  <c r="P85" i="3" s="1"/>
  <c r="E85" i="3"/>
  <c r="C369" i="1"/>
  <c r="C82" i="1"/>
  <c r="R47" i="4"/>
  <c r="R138" i="3" s="1"/>
  <c r="AE47" i="4"/>
  <c r="X138" i="3" s="1"/>
  <c r="L47" i="4"/>
  <c r="P138" i="3" s="1"/>
  <c r="AD47" i="4"/>
  <c r="W138" i="3" s="1"/>
  <c r="E138" i="3"/>
  <c r="Z47" i="4"/>
  <c r="T138" i="3" s="1"/>
  <c r="AA47" i="4"/>
  <c r="S138" i="3" s="1"/>
  <c r="S47" i="4"/>
  <c r="Q138" i="3" s="1"/>
  <c r="I75" i="3"/>
  <c r="O15" i="4"/>
  <c r="L166" i="6"/>
  <c r="L106" i="3"/>
  <c r="O186" i="4"/>
  <c r="I49" i="3"/>
  <c r="O25" i="5"/>
  <c r="I25" i="6"/>
  <c r="I27" i="3"/>
  <c r="O131" i="4"/>
  <c r="L77" i="4"/>
  <c r="P204" i="3" s="1"/>
  <c r="E204" i="3"/>
  <c r="AD77" i="4"/>
  <c r="W204" i="3" s="1"/>
  <c r="AE77" i="4"/>
  <c r="X204" i="3" s="1"/>
  <c r="AA77" i="4"/>
  <c r="S204" i="3" s="1"/>
  <c r="S77" i="4"/>
  <c r="Q204" i="3" s="1"/>
  <c r="Z77" i="4"/>
  <c r="T204" i="3" s="1"/>
  <c r="R77" i="4"/>
  <c r="R204" i="3" s="1"/>
  <c r="F33" i="3"/>
  <c r="H413" i="16"/>
  <c r="I318" i="16"/>
  <c r="I155" i="3"/>
  <c r="O135" i="4"/>
  <c r="N155" i="3" s="1"/>
  <c r="D177" i="12"/>
  <c r="V77" i="4"/>
  <c r="U204" i="3" s="1"/>
  <c r="G204" i="3"/>
  <c r="L135" i="3"/>
  <c r="D79" i="11"/>
  <c r="L146" i="3"/>
  <c r="L105" i="3"/>
  <c r="D37" i="8"/>
  <c r="D43" i="8"/>
  <c r="D268" i="12"/>
  <c r="I83" i="3"/>
  <c r="O121" i="4"/>
  <c r="B296" i="10"/>
  <c r="B296" i="12"/>
  <c r="B296" i="8"/>
  <c r="B296" i="11"/>
  <c r="C296" i="22" s="1"/>
  <c r="B296" i="9"/>
  <c r="F36" i="6"/>
  <c r="G203" i="6"/>
  <c r="I199" i="6"/>
  <c r="O199" i="5"/>
  <c r="H122" i="6"/>
  <c r="V122" i="5"/>
  <c r="U122" i="6" s="1"/>
  <c r="D143" i="16"/>
  <c r="L102" i="3"/>
  <c r="C310" i="1"/>
  <c r="D187" i="8"/>
  <c r="G112" i="3"/>
  <c r="V104" i="4"/>
  <c r="U112" i="3" s="1"/>
  <c r="C463" i="1"/>
  <c r="V103" i="5"/>
  <c r="U103" i="6" s="1"/>
  <c r="H103" i="6"/>
  <c r="D68" i="8"/>
  <c r="D162" i="10"/>
  <c r="L95" i="6"/>
  <c r="I145" i="6"/>
  <c r="O145" i="5"/>
  <c r="G40" i="3"/>
  <c r="V71" i="4"/>
  <c r="U40" i="3" s="1"/>
  <c r="V136" i="5"/>
  <c r="U136" i="6" s="1"/>
  <c r="H136" i="6"/>
  <c r="D159" i="10"/>
  <c r="G86" i="6"/>
  <c r="V54" i="4"/>
  <c r="U125" i="3" s="1"/>
  <c r="G125" i="3"/>
  <c r="B275" i="10"/>
  <c r="B275" i="12"/>
  <c r="B275" i="8"/>
  <c r="B275" i="9"/>
  <c r="B275" i="11"/>
  <c r="C275" i="22" s="1"/>
  <c r="C9" i="23" s="1"/>
  <c r="C98" i="1"/>
  <c r="D104" i="9"/>
  <c r="H6" i="6"/>
  <c r="V6" i="5"/>
  <c r="U6" i="6" s="1"/>
  <c r="O72" i="5"/>
  <c r="I72" i="6"/>
  <c r="I174" i="3"/>
  <c r="O147" i="4"/>
  <c r="D39" i="10"/>
  <c r="S52" i="4"/>
  <c r="Q38" i="3" s="1"/>
  <c r="Z52" i="4"/>
  <c r="T38" i="3" s="1"/>
  <c r="L52" i="4"/>
  <c r="P38" i="3" s="1"/>
  <c r="AD52" i="4"/>
  <c r="W38" i="3" s="1"/>
  <c r="R52" i="4"/>
  <c r="R38" i="3" s="1"/>
  <c r="E38" i="3"/>
  <c r="AE52" i="4"/>
  <c r="X38" i="3" s="1"/>
  <c r="AA52" i="4"/>
  <c r="S38" i="3" s="1"/>
  <c r="D102" i="12"/>
  <c r="I78" i="6"/>
  <c r="O78" i="5"/>
  <c r="H355" i="16"/>
  <c r="L181" i="3"/>
  <c r="I156" i="16"/>
  <c r="L91" i="6"/>
  <c r="L27" i="6"/>
  <c r="D7" i="10"/>
  <c r="D190" i="12"/>
  <c r="E190" i="3"/>
  <c r="S136" i="4"/>
  <c r="Q190" i="3" s="1"/>
  <c r="R136" i="4"/>
  <c r="R190" i="3" s="1"/>
  <c r="AE136" i="4"/>
  <c r="X190" i="3" s="1"/>
  <c r="AA136" i="4"/>
  <c r="S190" i="3" s="1"/>
  <c r="AD136" i="4"/>
  <c r="W190" i="3" s="1"/>
  <c r="L136" i="4"/>
  <c r="P190" i="3" s="1"/>
  <c r="Z136" i="4"/>
  <c r="T190" i="3" s="1"/>
  <c r="F44" i="6"/>
  <c r="D52" i="9"/>
  <c r="D181" i="10"/>
  <c r="L14" i="3"/>
  <c r="D24" i="8"/>
  <c r="J187" i="16"/>
  <c r="AD91" i="5"/>
  <c r="W91" i="6" s="1"/>
  <c r="S91" i="5"/>
  <c r="Q91" i="6" s="1"/>
  <c r="AA91" i="5"/>
  <c r="S91" i="6" s="1"/>
  <c r="E91" i="6"/>
  <c r="R91" i="5"/>
  <c r="R91" i="6" s="1"/>
  <c r="Z91" i="5"/>
  <c r="T91" i="6" s="1"/>
  <c r="L91" i="5"/>
  <c r="P91" i="6" s="1"/>
  <c r="AE91" i="5"/>
  <c r="X91" i="6" s="1"/>
  <c r="AO91" i="5"/>
  <c r="AP91" i="5" s="1"/>
  <c r="G105" i="6"/>
  <c r="D38" i="12"/>
  <c r="H270" i="16"/>
  <c r="I187" i="16"/>
  <c r="F154" i="3"/>
  <c r="F127" i="3"/>
  <c r="AO172" i="5"/>
  <c r="AP172" i="5" s="1"/>
  <c r="L172" i="5"/>
  <c r="P172" i="6" s="1"/>
  <c r="E172" i="6"/>
  <c r="S172" i="5"/>
  <c r="Q172" i="6" s="1"/>
  <c r="R172" i="5"/>
  <c r="R172" i="6" s="1"/>
  <c r="AA172" i="5"/>
  <c r="S172" i="6" s="1"/>
  <c r="AE172" i="5"/>
  <c r="X172" i="6" s="1"/>
  <c r="Z172" i="5"/>
  <c r="T172" i="6" s="1"/>
  <c r="AD172" i="5"/>
  <c r="W172" i="6" s="1"/>
  <c r="AD40" i="4"/>
  <c r="W153" i="3" s="1"/>
  <c r="AE40" i="4"/>
  <c r="X153" i="3" s="1"/>
  <c r="AA40" i="4"/>
  <c r="S153" i="3" s="1"/>
  <c r="Z40" i="4"/>
  <c r="T153" i="3" s="1"/>
  <c r="E153" i="3"/>
  <c r="R40" i="4"/>
  <c r="R153" i="3" s="1"/>
  <c r="L40" i="4"/>
  <c r="P153" i="3" s="1"/>
  <c r="S40" i="4"/>
  <c r="Q153" i="3" s="1"/>
  <c r="O114" i="4"/>
  <c r="I111" i="3"/>
  <c r="L172" i="3"/>
  <c r="G159" i="6"/>
  <c r="AA127" i="4"/>
  <c r="S127" i="3" s="1"/>
  <c r="E127" i="3"/>
  <c r="AD127" i="4"/>
  <c r="W127" i="3" s="1"/>
  <c r="Z127" i="4"/>
  <c r="T127" i="3" s="1"/>
  <c r="L127" i="4"/>
  <c r="P127" i="3" s="1"/>
  <c r="S127" i="4"/>
  <c r="Q127" i="3" s="1"/>
  <c r="R127" i="4"/>
  <c r="R127" i="3" s="1"/>
  <c r="AE127" i="4"/>
  <c r="X127" i="3" s="1"/>
  <c r="D12" i="8"/>
  <c r="H11" i="3"/>
  <c r="C365" i="1"/>
  <c r="AD173" i="4"/>
  <c r="W32" i="3" s="1"/>
  <c r="R173" i="4"/>
  <c r="R32" i="3" s="1"/>
  <c r="L173" i="4"/>
  <c r="P32" i="3" s="1"/>
  <c r="S173" i="4"/>
  <c r="Q32" i="3" s="1"/>
  <c r="Z173" i="4"/>
  <c r="T32" i="3" s="1"/>
  <c r="AE173" i="4"/>
  <c r="X32" i="3" s="1"/>
  <c r="E32" i="3"/>
  <c r="AA173" i="4"/>
  <c r="S32" i="3" s="1"/>
  <c r="H40" i="3"/>
  <c r="L65" i="3"/>
  <c r="V111" i="5"/>
  <c r="U111" i="6" s="1"/>
  <c r="H111" i="6"/>
  <c r="I317" i="16"/>
  <c r="V179" i="5"/>
  <c r="U179" i="6" s="1"/>
  <c r="H179" i="6"/>
  <c r="L130" i="3"/>
  <c r="D124" i="12"/>
  <c r="L178" i="3"/>
  <c r="V149" i="5"/>
  <c r="U149" i="6" s="1"/>
  <c r="H149" i="6"/>
  <c r="C72" i="1"/>
  <c r="G170" i="6"/>
  <c r="D219" i="12"/>
  <c r="B304" i="10"/>
  <c r="B304" i="11"/>
  <c r="C304" i="22" s="1"/>
  <c r="B304" i="9"/>
  <c r="B304" i="8"/>
  <c r="B304" i="12"/>
  <c r="AE139" i="5"/>
  <c r="X139" i="6" s="1"/>
  <c r="AO139" i="5"/>
  <c r="AP139" i="5" s="1"/>
  <c r="L139" i="5"/>
  <c r="P139" i="6" s="1"/>
  <c r="Z139" i="5"/>
  <c r="T139" i="6" s="1"/>
  <c r="R139" i="5"/>
  <c r="R139" i="6" s="1"/>
  <c r="AA139" i="5"/>
  <c r="S139" i="6" s="1"/>
  <c r="S139" i="5"/>
  <c r="Q139" i="6" s="1"/>
  <c r="AD139" i="5"/>
  <c r="W139" i="6" s="1"/>
  <c r="E139" i="6"/>
  <c r="H133" i="3"/>
  <c r="C10" i="1"/>
  <c r="F194" i="3"/>
  <c r="I189" i="3"/>
  <c r="O89" i="4"/>
  <c r="F41" i="3"/>
  <c r="O132" i="4"/>
  <c r="I161" i="3"/>
  <c r="F43" i="3"/>
  <c r="C376" i="1"/>
  <c r="O139" i="4"/>
  <c r="I103" i="3"/>
  <c r="O49" i="4"/>
  <c r="I188" i="3"/>
  <c r="F22" i="6"/>
  <c r="B261" i="10"/>
  <c r="B261" i="8"/>
  <c r="B261" i="12"/>
  <c r="B261" i="9"/>
  <c r="B261" i="11"/>
  <c r="C261" i="22" s="1"/>
  <c r="O36" i="5"/>
  <c r="I36" i="6"/>
  <c r="C102" i="1"/>
  <c r="H35" i="3"/>
  <c r="H51" i="3"/>
  <c r="L57" i="3"/>
  <c r="G157" i="6"/>
  <c r="I4" i="3"/>
  <c r="O180" i="4"/>
  <c r="L70" i="6"/>
  <c r="D253" i="16"/>
  <c r="F137" i="3"/>
  <c r="D29" i="11"/>
  <c r="C159" i="1"/>
  <c r="S38" i="5"/>
  <c r="Q38" i="6" s="1"/>
  <c r="AD38" i="5"/>
  <c r="W38" i="6" s="1"/>
  <c r="AO38" i="5"/>
  <c r="AP38" i="5" s="1"/>
  <c r="R38" i="5"/>
  <c r="R38" i="6" s="1"/>
  <c r="E38" i="6"/>
  <c r="L38" i="5"/>
  <c r="P38" i="6" s="1"/>
  <c r="Z38" i="5"/>
  <c r="T38" i="6" s="1"/>
  <c r="AE38" i="5"/>
  <c r="X38" i="6" s="1"/>
  <c r="AA38" i="5"/>
  <c r="S38" i="6" s="1"/>
  <c r="C173" i="1"/>
  <c r="B239" i="10"/>
  <c r="B239" i="8"/>
  <c r="B239" i="12"/>
  <c r="B239" i="11"/>
  <c r="C239" i="22" s="1"/>
  <c r="B239" i="9"/>
  <c r="B260" i="11"/>
  <c r="C260" i="22" s="1"/>
  <c r="B260" i="9"/>
  <c r="B260" i="10"/>
  <c r="B260" i="8"/>
  <c r="B260" i="12"/>
  <c r="F63" i="3"/>
  <c r="C479" i="1"/>
  <c r="I109" i="3"/>
  <c r="O38" i="4"/>
  <c r="H81" i="3"/>
  <c r="F115" i="3"/>
  <c r="C111" i="1"/>
  <c r="F126" i="6"/>
  <c r="H73" i="6"/>
  <c r="V73" i="5"/>
  <c r="U73" i="6" s="1"/>
  <c r="F5" i="6"/>
  <c r="I227" i="16"/>
  <c r="H170" i="3"/>
  <c r="H126" i="3"/>
  <c r="D33" i="8"/>
  <c r="G171" i="3"/>
  <c r="V11" i="4"/>
  <c r="U171" i="3" s="1"/>
  <c r="R72" i="4"/>
  <c r="R165" i="3" s="1"/>
  <c r="Z72" i="4"/>
  <c r="T165" i="3" s="1"/>
  <c r="S72" i="4"/>
  <c r="Q165" i="3" s="1"/>
  <c r="AD72" i="4"/>
  <c r="W165" i="3" s="1"/>
  <c r="E165" i="3"/>
  <c r="AE72" i="4"/>
  <c r="X165" i="3" s="1"/>
  <c r="L72" i="4"/>
  <c r="P165" i="3" s="1"/>
  <c r="AA72" i="4"/>
  <c r="S165" i="3" s="1"/>
  <c r="L12" i="3"/>
  <c r="D18" i="16"/>
  <c r="H102" i="3"/>
  <c r="D224" i="12"/>
  <c r="L88" i="6"/>
  <c r="D188" i="9"/>
  <c r="O126" i="5"/>
  <c r="I126" i="6"/>
  <c r="G19" i="6"/>
  <c r="D117" i="8"/>
  <c r="D366" i="16"/>
  <c r="O48" i="5"/>
  <c r="I48" i="6"/>
  <c r="C471" i="1"/>
  <c r="C408" i="1"/>
  <c r="D272" i="16"/>
  <c r="C400" i="1"/>
  <c r="H13" i="3"/>
  <c r="B276" i="10"/>
  <c r="B276" i="9"/>
  <c r="B276" i="11"/>
  <c r="C276" i="22" s="1"/>
  <c r="C23" i="23" s="1"/>
  <c r="B276" i="8"/>
  <c r="B276" i="12"/>
  <c r="D39" i="9"/>
  <c r="D14" i="11"/>
  <c r="G88" i="6"/>
  <c r="D55" i="10"/>
  <c r="D104" i="8"/>
  <c r="C452" i="1"/>
  <c r="F22" i="3"/>
  <c r="C316" i="1"/>
  <c r="I7" i="3"/>
  <c r="O51" i="4"/>
  <c r="Q51" i="4" s="1"/>
  <c r="O167" i="4"/>
  <c r="I106" i="3"/>
  <c r="I11" i="16"/>
  <c r="AA19" i="4"/>
  <c r="S197" i="3" s="1"/>
  <c r="Z19" i="4"/>
  <c r="T197" i="3" s="1"/>
  <c r="AD19" i="4"/>
  <c r="W197" i="3" s="1"/>
  <c r="AE19" i="4"/>
  <c r="X197" i="3" s="1"/>
  <c r="L19" i="4"/>
  <c r="P197" i="3" s="1"/>
  <c r="R19" i="4"/>
  <c r="R197" i="3" s="1"/>
  <c r="E197" i="3"/>
  <c r="S19" i="4"/>
  <c r="Q197" i="3" s="1"/>
  <c r="C17" i="1"/>
  <c r="L76" i="3"/>
  <c r="V151" i="5"/>
  <c r="U151" i="6" s="1"/>
  <c r="H151" i="6"/>
  <c r="D401" i="16"/>
  <c r="C351" i="1"/>
  <c r="H134" i="6"/>
  <c r="V134" i="5"/>
  <c r="U134" i="6" s="1"/>
  <c r="C396" i="1"/>
  <c r="V70" i="4"/>
  <c r="U149" i="3" s="1"/>
  <c r="G149" i="3"/>
  <c r="H324" i="16"/>
  <c r="F32" i="6"/>
  <c r="G60" i="3"/>
  <c r="V42" i="4"/>
  <c r="U60" i="3" s="1"/>
  <c r="O64" i="4"/>
  <c r="Q64" i="4" s="1"/>
  <c r="I50" i="3"/>
  <c r="V107" i="4"/>
  <c r="U115" i="3" s="1"/>
  <c r="G115" i="3"/>
  <c r="L136" i="3"/>
  <c r="O109" i="4"/>
  <c r="I159" i="3"/>
  <c r="G74" i="6"/>
  <c r="H152" i="3"/>
  <c r="L75" i="6"/>
  <c r="D24" i="12"/>
  <c r="L44" i="3"/>
  <c r="L126" i="3"/>
  <c r="L137" i="4"/>
  <c r="P64" i="3" s="1"/>
  <c r="AA137" i="4"/>
  <c r="S64" i="3" s="1"/>
  <c r="R137" i="4"/>
  <c r="R64" i="3" s="1"/>
  <c r="Z137" i="4"/>
  <c r="T64" i="3" s="1"/>
  <c r="S137" i="4"/>
  <c r="Q64" i="3" s="1"/>
  <c r="AE137" i="4"/>
  <c r="X64" i="3" s="1"/>
  <c r="E64" i="3"/>
  <c r="AD137" i="4"/>
  <c r="W64" i="3" s="1"/>
  <c r="H314" i="16"/>
  <c r="E98" i="3"/>
  <c r="R69" i="4"/>
  <c r="R98" i="3" s="1"/>
  <c r="Z69" i="4"/>
  <c r="T98" i="3" s="1"/>
  <c r="AA69" i="4"/>
  <c r="S98" i="3" s="1"/>
  <c r="S69" i="4"/>
  <c r="Q98" i="3" s="1"/>
  <c r="L69" i="4"/>
  <c r="P98" i="3" s="1"/>
  <c r="AE69" i="4"/>
  <c r="X98" i="3" s="1"/>
  <c r="AD69" i="4"/>
  <c r="W98" i="3" s="1"/>
  <c r="Z162" i="4"/>
  <c r="T181" i="3" s="1"/>
  <c r="R162" i="4"/>
  <c r="R181" i="3" s="1"/>
  <c r="L162" i="4"/>
  <c r="P181" i="3" s="1"/>
  <c r="AD162" i="4"/>
  <c r="W181" i="3" s="1"/>
  <c r="S162" i="4"/>
  <c r="Q181" i="3" s="1"/>
  <c r="AA162" i="4"/>
  <c r="S181" i="3" s="1"/>
  <c r="AE162" i="4"/>
  <c r="X181" i="3" s="1"/>
  <c r="E181" i="3"/>
  <c r="H122" i="3"/>
  <c r="G179" i="6"/>
  <c r="F110" i="6"/>
  <c r="B281" i="8"/>
  <c r="B281" i="9"/>
  <c r="B281" i="12"/>
  <c r="B281" i="11"/>
  <c r="C281" i="22" s="1"/>
  <c r="B281" i="10"/>
  <c r="L166" i="5"/>
  <c r="P166" i="6" s="1"/>
  <c r="AA166" i="5"/>
  <c r="S166" i="6" s="1"/>
  <c r="AO166" i="5"/>
  <c r="AP166" i="5" s="1"/>
  <c r="R166" i="5"/>
  <c r="R166" i="6" s="1"/>
  <c r="AD166" i="5"/>
  <c r="W166" i="6" s="1"/>
  <c r="Z166" i="5"/>
  <c r="T166" i="6" s="1"/>
  <c r="S166" i="5"/>
  <c r="Q166" i="6" s="1"/>
  <c r="AE166" i="5"/>
  <c r="X166" i="6" s="1"/>
  <c r="E166" i="6"/>
  <c r="F100" i="6"/>
  <c r="V189" i="4"/>
  <c r="U52" i="3" s="1"/>
  <c r="G52" i="3"/>
  <c r="I8" i="6"/>
  <c r="O8" i="5"/>
  <c r="H190" i="3"/>
  <c r="F147" i="6"/>
  <c r="C326" i="1"/>
  <c r="C54" i="1"/>
  <c r="O194" i="4"/>
  <c r="I121" i="3"/>
  <c r="I55" i="6"/>
  <c r="O55" i="5"/>
  <c r="H67" i="3"/>
  <c r="AO128" i="5"/>
  <c r="AP128" i="5" s="1"/>
  <c r="Z128" i="5"/>
  <c r="T128" i="6" s="1"/>
  <c r="AE128" i="5"/>
  <c r="X128" i="6" s="1"/>
  <c r="AD128" i="5"/>
  <c r="W128" i="6" s="1"/>
  <c r="R128" i="5"/>
  <c r="R128" i="6" s="1"/>
  <c r="AA128" i="5"/>
  <c r="S128" i="6" s="1"/>
  <c r="E128" i="6"/>
  <c r="S128" i="5"/>
  <c r="Q128" i="6" s="1"/>
  <c r="L128" i="5"/>
  <c r="P128" i="6" s="1"/>
  <c r="S4" i="4"/>
  <c r="Q13" i="3" s="1"/>
  <c r="R4" i="4"/>
  <c r="R13" i="3" s="1"/>
  <c r="AE4" i="4"/>
  <c r="X13" i="3" s="1"/>
  <c r="E13" i="3"/>
  <c r="Z4" i="4"/>
  <c r="T13" i="3" s="1"/>
  <c r="L4" i="4"/>
  <c r="P13" i="3" s="1"/>
  <c r="AA4" i="4"/>
  <c r="S13" i="3" s="1"/>
  <c r="AD4" i="4"/>
  <c r="W13" i="3" s="1"/>
  <c r="I185" i="6"/>
  <c r="O185" i="5"/>
  <c r="Q185" i="5" s="1"/>
  <c r="V8" i="5"/>
  <c r="U8" i="6" s="1"/>
  <c r="H8" i="6"/>
  <c r="E36" i="6"/>
  <c r="S36" i="5"/>
  <c r="Q36" i="6" s="1"/>
  <c r="AO36" i="5"/>
  <c r="AP36" i="5" s="1"/>
  <c r="R36" i="5"/>
  <c r="R36" i="6" s="1"/>
  <c r="L36" i="5"/>
  <c r="P36" i="6" s="1"/>
  <c r="AA36" i="5"/>
  <c r="S36" i="6" s="1"/>
  <c r="Q36" i="5"/>
  <c r="Z36" i="5"/>
  <c r="T36" i="6" s="1"/>
  <c r="S3" i="4"/>
  <c r="Q179" i="3" s="1"/>
  <c r="AD3" i="4"/>
  <c r="W179" i="3" s="1"/>
  <c r="L3" i="4"/>
  <c r="P179" i="3" s="1"/>
  <c r="AE3" i="4"/>
  <c r="X179" i="3" s="1"/>
  <c r="Q3" i="4"/>
  <c r="R3" i="4"/>
  <c r="R179" i="3" s="1"/>
  <c r="E179" i="3"/>
  <c r="L13" i="6"/>
  <c r="V90" i="4"/>
  <c r="U36" i="3" s="1"/>
  <c r="G36" i="3"/>
  <c r="D173" i="10"/>
  <c r="H132" i="16"/>
  <c r="G111" i="3"/>
  <c r="V114" i="4"/>
  <c r="U111" i="3" s="1"/>
  <c r="C431" i="1"/>
  <c r="J372" i="16"/>
  <c r="L115" i="3"/>
  <c r="F183" i="6"/>
  <c r="L10" i="3"/>
  <c r="H109" i="3"/>
  <c r="D22" i="10"/>
  <c r="B301" i="12"/>
  <c r="B301" i="11"/>
  <c r="C301" i="22" s="1"/>
  <c r="B301" i="10"/>
  <c r="B301" i="9"/>
  <c r="B301" i="8"/>
  <c r="G138" i="6"/>
  <c r="H374" i="16"/>
  <c r="O134" i="4"/>
  <c r="I119" i="3"/>
  <c r="F27" i="3"/>
  <c r="I150" i="3"/>
  <c r="O204" i="4"/>
  <c r="V183" i="5"/>
  <c r="U183" i="6" s="1"/>
  <c r="H183" i="6"/>
  <c r="I172" i="3"/>
  <c r="O45" i="4"/>
  <c r="G98" i="6"/>
  <c r="R67" i="4"/>
  <c r="R194" i="3" s="1"/>
  <c r="Z67" i="4"/>
  <c r="T194" i="3" s="1"/>
  <c r="AA67" i="4"/>
  <c r="S194" i="3" s="1"/>
  <c r="AE67" i="4"/>
  <c r="X194" i="3" s="1"/>
  <c r="E194" i="3"/>
  <c r="S67" i="4"/>
  <c r="Q194" i="3" s="1"/>
  <c r="AD67" i="4"/>
  <c r="W194" i="3" s="1"/>
  <c r="L67" i="4"/>
  <c r="P194" i="3" s="1"/>
  <c r="AA7" i="5"/>
  <c r="S7" i="6" s="1"/>
  <c r="Z7" i="5"/>
  <c r="T7" i="6" s="1"/>
  <c r="AE7" i="5"/>
  <c r="X7" i="6" s="1"/>
  <c r="L7" i="5"/>
  <c r="P7" i="6" s="1"/>
  <c r="AO7" i="5"/>
  <c r="AP7" i="5" s="1"/>
  <c r="R7" i="5"/>
  <c r="R7" i="6" s="1"/>
  <c r="AD7" i="5"/>
  <c r="W7" i="6" s="1"/>
  <c r="S7" i="5"/>
  <c r="Q7" i="6" s="1"/>
  <c r="E7" i="6"/>
  <c r="AA149" i="4"/>
  <c r="S73" i="3" s="1"/>
  <c r="AE149" i="4"/>
  <c r="X73" i="3" s="1"/>
  <c r="Z149" i="4"/>
  <c r="T73" i="3" s="1"/>
  <c r="E73" i="3"/>
  <c r="S149" i="4"/>
  <c r="Q73" i="3" s="1"/>
  <c r="AD149" i="4"/>
  <c r="W73" i="3" s="1"/>
  <c r="R149" i="4"/>
  <c r="R73" i="3" s="1"/>
  <c r="L149" i="4"/>
  <c r="P73" i="3" s="1"/>
  <c r="L161" i="3"/>
  <c r="D219" i="11"/>
  <c r="H145" i="3"/>
  <c r="F201" i="3"/>
  <c r="AE82" i="5"/>
  <c r="X82" i="6" s="1"/>
  <c r="L82" i="5"/>
  <c r="P82" i="6" s="1"/>
  <c r="AA82" i="5"/>
  <c r="S82" i="6" s="1"/>
  <c r="AO82" i="5"/>
  <c r="AP82" i="5" s="1"/>
  <c r="AD82" i="5"/>
  <c r="W82" i="6" s="1"/>
  <c r="S82" i="5"/>
  <c r="Q82" i="6" s="1"/>
  <c r="R82" i="5"/>
  <c r="R82" i="6" s="1"/>
  <c r="E82" i="6"/>
  <c r="Z82" i="5"/>
  <c r="T82" i="6" s="1"/>
  <c r="AA21" i="5"/>
  <c r="S21" i="6" s="1"/>
  <c r="E21" i="6"/>
  <c r="AE21" i="5"/>
  <c r="X21" i="6" s="1"/>
  <c r="R21" i="5"/>
  <c r="R21" i="6" s="1"/>
  <c r="S21" i="5"/>
  <c r="Q21" i="6" s="1"/>
  <c r="L21" i="5"/>
  <c r="P21" i="6" s="1"/>
  <c r="Z21" i="5"/>
  <c r="T21" i="6" s="1"/>
  <c r="AD21" i="5"/>
  <c r="W21" i="6" s="1"/>
  <c r="AO21" i="5"/>
  <c r="AP21" i="5" s="1"/>
  <c r="E44" i="6"/>
  <c r="Z44" i="5"/>
  <c r="T44" i="6" s="1"/>
  <c r="AA44" i="5"/>
  <c r="S44" i="6" s="1"/>
  <c r="S44" i="5"/>
  <c r="Q44" i="6" s="1"/>
  <c r="AD44" i="5"/>
  <c r="W44" i="6" s="1"/>
  <c r="AE44" i="5"/>
  <c r="X44" i="6" s="1"/>
  <c r="L44" i="5"/>
  <c r="P44" i="6" s="1"/>
  <c r="R44" i="5"/>
  <c r="R44" i="6" s="1"/>
  <c r="AO44" i="5"/>
  <c r="AP44" i="5" s="1"/>
  <c r="F192" i="3"/>
  <c r="V13" i="4"/>
  <c r="U158" i="3" s="1"/>
  <c r="G158" i="3"/>
  <c r="V30" i="4"/>
  <c r="U131" i="3" s="1"/>
  <c r="G131" i="3"/>
  <c r="D174" i="11"/>
  <c r="I68" i="3"/>
  <c r="O191" i="4"/>
  <c r="B224" i="8"/>
  <c r="B224" i="12"/>
  <c r="B224" i="9"/>
  <c r="B224" i="10"/>
  <c r="B224" i="11"/>
  <c r="C224" i="22" s="1"/>
  <c r="AA191" i="5"/>
  <c r="S191" i="6" s="1"/>
  <c r="Z191" i="5"/>
  <c r="T191" i="6" s="1"/>
  <c r="AO191" i="5"/>
  <c r="AP191" i="5" s="1"/>
  <c r="AD191" i="5"/>
  <c r="W191" i="6" s="1"/>
  <c r="S191" i="5"/>
  <c r="Q191" i="6" s="1"/>
  <c r="L191" i="5"/>
  <c r="P191" i="6" s="1"/>
  <c r="E191" i="6"/>
  <c r="AE191" i="5"/>
  <c r="X191" i="6" s="1"/>
  <c r="R191" i="5"/>
  <c r="R191" i="6" s="1"/>
  <c r="D21" i="12"/>
  <c r="B142" i="8"/>
  <c r="B142" i="10"/>
  <c r="D110" i="5"/>
  <c r="D110" i="6" s="1"/>
  <c r="D7" i="4"/>
  <c r="D94" i="3" s="1"/>
  <c r="B142" i="12"/>
  <c r="B142" i="9"/>
  <c r="B142" i="11"/>
  <c r="C142" i="22" s="1"/>
  <c r="I136" i="3"/>
  <c r="O125" i="4"/>
  <c r="Q125" i="4" s="1"/>
  <c r="S16" i="4"/>
  <c r="Q184" i="3" s="1"/>
  <c r="E184" i="3"/>
  <c r="AE16" i="4"/>
  <c r="X184" i="3" s="1"/>
  <c r="R16" i="4"/>
  <c r="R184" i="3" s="1"/>
  <c r="L16" i="4"/>
  <c r="P184" i="3" s="1"/>
  <c r="AA16" i="4"/>
  <c r="S184" i="3" s="1"/>
  <c r="AD16" i="4"/>
  <c r="W184" i="3" s="1"/>
  <c r="Z16" i="4"/>
  <c r="T184" i="3" s="1"/>
  <c r="Z174" i="4"/>
  <c r="T110" i="3" s="1"/>
  <c r="E110" i="3"/>
  <c r="AE174" i="4"/>
  <c r="X110" i="3" s="1"/>
  <c r="R174" i="4"/>
  <c r="R110" i="3" s="1"/>
  <c r="S174" i="4"/>
  <c r="Q110" i="3" s="1"/>
  <c r="L174" i="4"/>
  <c r="P110" i="3" s="1"/>
  <c r="AA174" i="4"/>
  <c r="S110" i="3" s="1"/>
  <c r="AD174" i="4"/>
  <c r="W110" i="3" s="1"/>
  <c r="G84" i="3"/>
  <c r="V83" i="4"/>
  <c r="U84" i="3" s="1"/>
  <c r="O122" i="5"/>
  <c r="I122" i="6"/>
  <c r="I212" i="16"/>
  <c r="L202" i="6"/>
  <c r="D340" i="16"/>
  <c r="D282" i="11"/>
  <c r="H137" i="3"/>
  <c r="D156" i="8"/>
  <c r="I158" i="3"/>
  <c r="O13" i="4"/>
  <c r="G55" i="3"/>
  <c r="V6" i="4"/>
  <c r="U55" i="3" s="1"/>
  <c r="R68" i="4"/>
  <c r="R148" i="3" s="1"/>
  <c r="L68" i="4"/>
  <c r="P148" i="3" s="1"/>
  <c r="AD68" i="4"/>
  <c r="W148" i="3" s="1"/>
  <c r="Z68" i="4"/>
  <c r="T148" i="3" s="1"/>
  <c r="AA68" i="4"/>
  <c r="S148" i="3" s="1"/>
  <c r="AE68" i="4"/>
  <c r="X148" i="3" s="1"/>
  <c r="E148" i="3"/>
  <c r="S68" i="4"/>
  <c r="Q148" i="3" s="1"/>
  <c r="O32" i="4"/>
  <c r="Q32" i="4" s="1"/>
  <c r="I6" i="3"/>
  <c r="C419" i="1"/>
  <c r="C26" i="1"/>
  <c r="D294" i="11"/>
  <c r="L173" i="6"/>
  <c r="H193" i="3"/>
  <c r="O92" i="4"/>
  <c r="I192" i="3"/>
  <c r="O115" i="4"/>
  <c r="Q115" i="4" s="1"/>
  <c r="I137" i="3"/>
  <c r="F155" i="6"/>
  <c r="B289" i="11"/>
  <c r="C289" i="22" s="1"/>
  <c r="B289" i="9"/>
  <c r="B289" i="8"/>
  <c r="B289" i="10"/>
  <c r="B289" i="12"/>
  <c r="D82" i="12"/>
  <c r="V53" i="5"/>
  <c r="U53" i="6" s="1"/>
  <c r="H53" i="6"/>
  <c r="O130" i="4"/>
  <c r="I54" i="3"/>
  <c r="S145" i="5"/>
  <c r="Q145" i="6" s="1"/>
  <c r="Z145" i="5"/>
  <c r="T145" i="6" s="1"/>
  <c r="AO145" i="5"/>
  <c r="AP145" i="5" s="1"/>
  <c r="E145" i="6"/>
  <c r="AD145" i="5"/>
  <c r="W145" i="6" s="1"/>
  <c r="R145" i="5"/>
  <c r="R145" i="6" s="1"/>
  <c r="AA145" i="5"/>
  <c r="S145" i="6" s="1"/>
  <c r="L145" i="5"/>
  <c r="P145" i="6" s="1"/>
  <c r="AE145" i="5"/>
  <c r="X145" i="6" s="1"/>
  <c r="O125" i="5"/>
  <c r="Q125" i="5" s="1"/>
  <c r="I125" i="6"/>
  <c r="D13" i="8"/>
  <c r="S63" i="4"/>
  <c r="Q145" i="3" s="1"/>
  <c r="E145" i="3"/>
  <c r="AE63" i="4"/>
  <c r="X145" i="3" s="1"/>
  <c r="R63" i="4"/>
  <c r="R145" i="3" s="1"/>
  <c r="AD63" i="4"/>
  <c r="W145" i="3" s="1"/>
  <c r="AA63" i="4"/>
  <c r="S145" i="3" s="1"/>
  <c r="Z63" i="4"/>
  <c r="T145" i="3" s="1"/>
  <c r="L63" i="4"/>
  <c r="P145" i="3" s="1"/>
  <c r="L101" i="3"/>
  <c r="D255" i="12"/>
  <c r="H57" i="3"/>
  <c r="D281" i="11"/>
  <c r="D97" i="11"/>
  <c r="F131" i="6"/>
  <c r="B298" i="12"/>
  <c r="B298" i="10"/>
  <c r="B298" i="8"/>
  <c r="B298" i="11"/>
  <c r="C298" i="22" s="1"/>
  <c r="B298" i="9"/>
  <c r="C412" i="1"/>
  <c r="F168" i="6"/>
  <c r="H88" i="3"/>
  <c r="F141" i="6"/>
  <c r="D61" i="10"/>
  <c r="I17" i="3"/>
  <c r="O75" i="4"/>
  <c r="B287" i="9"/>
  <c r="B287" i="10"/>
  <c r="B287" i="12"/>
  <c r="B287" i="11"/>
  <c r="C287" i="22" s="1"/>
  <c r="B287" i="8"/>
  <c r="H96" i="6"/>
  <c r="V96" i="5"/>
  <c r="U96" i="6" s="1"/>
  <c r="F172" i="3"/>
  <c r="C493" i="1"/>
  <c r="C489" i="1"/>
  <c r="V155" i="5"/>
  <c r="U155" i="6" s="1"/>
  <c r="H155" i="6"/>
  <c r="B255" i="9"/>
  <c r="B255" i="11"/>
  <c r="C255" i="22" s="1"/>
  <c r="B255" i="12"/>
  <c r="B255" i="8"/>
  <c r="B255" i="10"/>
  <c r="O81" i="4"/>
  <c r="I11" i="3"/>
  <c r="D30" i="9"/>
  <c r="D62" i="8"/>
  <c r="F183" i="3"/>
  <c r="L195" i="3"/>
  <c r="I201" i="3"/>
  <c r="O99" i="4"/>
  <c r="E56" i="3"/>
  <c r="R100" i="4"/>
  <c r="R56" i="3" s="1"/>
  <c r="Z100" i="4"/>
  <c r="T56" i="3" s="1"/>
  <c r="AD100" i="4"/>
  <c r="W56" i="3" s="1"/>
  <c r="AA100" i="4"/>
  <c r="S56" i="3" s="1"/>
  <c r="L100" i="4"/>
  <c r="P56" i="3" s="1"/>
  <c r="S100" i="4"/>
  <c r="Q56" i="3" s="1"/>
  <c r="AE100" i="4"/>
  <c r="X56" i="3" s="1"/>
  <c r="F87" i="6"/>
  <c r="H301" i="16"/>
  <c r="H181" i="16"/>
  <c r="F71" i="3"/>
  <c r="H174" i="16"/>
  <c r="L174" i="3"/>
  <c r="C168" i="1"/>
  <c r="C446" i="1"/>
  <c r="L196" i="3"/>
  <c r="C382" i="1"/>
  <c r="D413" i="16"/>
  <c r="J450" i="16"/>
  <c r="D244" i="16"/>
  <c r="C383" i="1"/>
  <c r="H36" i="6"/>
  <c r="V36" i="5"/>
  <c r="U36" i="6" s="1"/>
  <c r="D212" i="11"/>
  <c r="C7" i="1"/>
  <c r="C322" i="1"/>
  <c r="O159" i="5"/>
  <c r="I159" i="6"/>
  <c r="V105" i="4"/>
  <c r="U116" i="3" s="1"/>
  <c r="G116" i="3"/>
  <c r="L173" i="3"/>
  <c r="G105" i="3"/>
  <c r="V55" i="4"/>
  <c r="U105" i="3" s="1"/>
  <c r="L44" i="4"/>
  <c r="P205" i="3" s="1"/>
  <c r="AD44" i="4"/>
  <c r="W205" i="3" s="1"/>
  <c r="E205" i="3"/>
  <c r="R44" i="4"/>
  <c r="R205" i="3" s="1"/>
  <c r="S44" i="4"/>
  <c r="Q205" i="3" s="1"/>
  <c r="AE44" i="4"/>
  <c r="X205" i="3" s="1"/>
  <c r="Z44" i="4"/>
  <c r="T205" i="3" s="1"/>
  <c r="AA44" i="4"/>
  <c r="S205" i="3" s="1"/>
  <c r="D150" i="16"/>
  <c r="G164" i="3"/>
  <c r="V205" i="4"/>
  <c r="U164" i="3" s="1"/>
  <c r="L113" i="6"/>
  <c r="H23" i="3"/>
  <c r="J214" i="16"/>
  <c r="F199" i="3"/>
  <c r="H62" i="3"/>
  <c r="L109" i="3"/>
  <c r="I393" i="16"/>
  <c r="F73" i="6"/>
  <c r="C16" i="1"/>
  <c r="D72" i="9"/>
  <c r="H124" i="3"/>
  <c r="C215" i="1"/>
  <c r="C147" i="1"/>
  <c r="I127" i="3"/>
  <c r="O127" i="4"/>
  <c r="G43" i="6"/>
  <c r="F179" i="3"/>
  <c r="V16" i="5"/>
  <c r="U16" i="6" s="1"/>
  <c r="H16" i="6"/>
  <c r="I204" i="16"/>
  <c r="L180" i="6"/>
  <c r="V134" i="4"/>
  <c r="U119" i="3" s="1"/>
  <c r="G119" i="3"/>
  <c r="D40" i="9"/>
  <c r="L87" i="3"/>
  <c r="H75" i="3"/>
  <c r="D183" i="11"/>
  <c r="F52" i="6"/>
  <c r="G33" i="6"/>
  <c r="AE48" i="4"/>
  <c r="X170" i="3" s="1"/>
  <c r="Z48" i="4"/>
  <c r="T170" i="3" s="1"/>
  <c r="S48" i="4"/>
  <c r="Q170" i="3" s="1"/>
  <c r="E170" i="3"/>
  <c r="AA48" i="4"/>
  <c r="S170" i="3" s="1"/>
  <c r="L48" i="4"/>
  <c r="P170" i="3" s="1"/>
  <c r="R48" i="4"/>
  <c r="R170" i="3" s="1"/>
  <c r="AD48" i="4"/>
  <c r="W170" i="3" s="1"/>
  <c r="I194" i="6"/>
  <c r="O194" i="5"/>
  <c r="Q194" i="5" s="1"/>
  <c r="L150" i="3"/>
  <c r="G79" i="6"/>
  <c r="F105" i="6"/>
  <c r="G201" i="6"/>
  <c r="S87" i="4"/>
  <c r="Q96" i="3" s="1"/>
  <c r="L87" i="4"/>
  <c r="P96" i="3" s="1"/>
  <c r="E96" i="3"/>
  <c r="AD87" i="4"/>
  <c r="W96" i="3" s="1"/>
  <c r="Z87" i="4"/>
  <c r="T96" i="3" s="1"/>
  <c r="R87" i="4"/>
  <c r="R96" i="3" s="1"/>
  <c r="AA87" i="4"/>
  <c r="S96" i="3" s="1"/>
  <c r="AE87" i="4"/>
  <c r="X96" i="3" s="1"/>
  <c r="I42" i="3"/>
  <c r="O150" i="4"/>
  <c r="L90" i="6"/>
  <c r="F49" i="6"/>
  <c r="S81" i="4"/>
  <c r="Q11" i="3" s="1"/>
  <c r="L81" i="4"/>
  <c r="P11" i="3" s="1"/>
  <c r="AD81" i="4"/>
  <c r="W11" i="3" s="1"/>
  <c r="Z81" i="4"/>
  <c r="T11" i="3" s="1"/>
  <c r="AE81" i="4"/>
  <c r="X11" i="3" s="1"/>
  <c r="R81" i="4"/>
  <c r="R11" i="3" s="1"/>
  <c r="AA81" i="4"/>
  <c r="S11" i="3" s="1"/>
  <c r="E11" i="3"/>
  <c r="L179" i="3"/>
  <c r="O28" i="4"/>
  <c r="I46" i="3"/>
  <c r="F109" i="3"/>
  <c r="F120" i="6"/>
  <c r="G22" i="3"/>
  <c r="V184" i="4"/>
  <c r="U22" i="3" s="1"/>
  <c r="H54" i="3"/>
  <c r="J351" i="16"/>
  <c r="L142" i="6"/>
  <c r="F23" i="6"/>
  <c r="C490" i="1"/>
  <c r="I186" i="6"/>
  <c r="O186" i="5"/>
  <c r="D221" i="8"/>
  <c r="H32" i="3"/>
  <c r="H101" i="3"/>
  <c r="C120" i="1"/>
  <c r="H183" i="3"/>
  <c r="I66" i="3"/>
  <c r="O80" i="4"/>
  <c r="G172" i="6"/>
  <c r="D248" i="11"/>
  <c r="I167" i="3"/>
  <c r="O12" i="4"/>
  <c r="H5" i="3"/>
  <c r="V67" i="4"/>
  <c r="U194" i="3" s="1"/>
  <c r="G194" i="3"/>
  <c r="O120" i="4"/>
  <c r="I44" i="3"/>
  <c r="AA159" i="4"/>
  <c r="S74" i="3" s="1"/>
  <c r="R159" i="4"/>
  <c r="R74" i="3" s="1"/>
  <c r="AE159" i="4"/>
  <c r="X74" i="3" s="1"/>
  <c r="S159" i="4"/>
  <c r="Q74" i="3" s="1"/>
  <c r="L159" i="4"/>
  <c r="P74" i="3" s="1"/>
  <c r="E74" i="3"/>
  <c r="Z159" i="4"/>
  <c r="T74" i="3" s="1"/>
  <c r="AD159" i="4"/>
  <c r="W74" i="3" s="1"/>
  <c r="R36" i="4"/>
  <c r="R206" i="3" s="1"/>
  <c r="AD36" i="4"/>
  <c r="W206" i="3" s="1"/>
  <c r="AA36" i="4"/>
  <c r="S206" i="3" s="1"/>
  <c r="AE36" i="4"/>
  <c r="X206" i="3" s="1"/>
  <c r="E206" i="3"/>
  <c r="L36" i="4"/>
  <c r="P206" i="3" s="1"/>
  <c r="S36" i="4"/>
  <c r="Q206" i="3" s="1"/>
  <c r="Z36" i="4"/>
  <c r="T206" i="3" s="1"/>
  <c r="C379" i="1"/>
  <c r="L144" i="3"/>
  <c r="G45" i="6"/>
  <c r="G114" i="3"/>
  <c r="V78" i="4"/>
  <c r="U114" i="3" s="1"/>
  <c r="F38" i="3"/>
  <c r="Z19" i="5"/>
  <c r="T19" i="6" s="1"/>
  <c r="AE19" i="5"/>
  <c r="X19" i="6" s="1"/>
  <c r="R19" i="5"/>
  <c r="R19" i="6" s="1"/>
  <c r="S19" i="5"/>
  <c r="Q19" i="6" s="1"/>
  <c r="AA19" i="5"/>
  <c r="S19" i="6" s="1"/>
  <c r="L19" i="5"/>
  <c r="P19" i="6" s="1"/>
  <c r="E19" i="6"/>
  <c r="AD19" i="5"/>
  <c r="W19" i="6" s="1"/>
  <c r="AO19" i="5"/>
  <c r="AP19" i="5" s="1"/>
  <c r="D9" i="8"/>
  <c r="L24" i="3"/>
  <c r="R184" i="4"/>
  <c r="R22" i="3" s="1"/>
  <c r="AA184" i="4"/>
  <c r="S22" i="3" s="1"/>
  <c r="L184" i="4"/>
  <c r="P22" i="3" s="1"/>
  <c r="S184" i="4"/>
  <c r="Q22" i="3" s="1"/>
  <c r="E22" i="3"/>
  <c r="AE184" i="4"/>
  <c r="X22" i="3" s="1"/>
  <c r="AD184" i="4"/>
  <c r="W22" i="3" s="1"/>
  <c r="Z184" i="4"/>
  <c r="T22" i="3" s="1"/>
  <c r="F57" i="6"/>
  <c r="I55" i="3"/>
  <c r="O6" i="4"/>
  <c r="H85" i="3"/>
  <c r="D241" i="12"/>
  <c r="H107" i="6"/>
  <c r="V107" i="5"/>
  <c r="U107" i="6" s="1"/>
  <c r="V74" i="5"/>
  <c r="U74" i="6" s="1"/>
  <c r="H74" i="6"/>
  <c r="F62" i="3"/>
  <c r="V50" i="4"/>
  <c r="U45" i="3" s="1"/>
  <c r="G45" i="3"/>
  <c r="D305" i="16"/>
  <c r="AD174" i="5"/>
  <c r="W174" i="6" s="1"/>
  <c r="AE174" i="5"/>
  <c r="X174" i="6" s="1"/>
  <c r="E174" i="6"/>
  <c r="AA174" i="5"/>
  <c r="S174" i="6" s="1"/>
  <c r="R174" i="5"/>
  <c r="R174" i="6" s="1"/>
  <c r="AO174" i="5"/>
  <c r="AP174" i="5" s="1"/>
  <c r="L174" i="5"/>
  <c r="P174" i="6" s="1"/>
  <c r="S174" i="5"/>
  <c r="Q174" i="6" s="1"/>
  <c r="Z174" i="5"/>
  <c r="T174" i="6" s="1"/>
  <c r="C126" i="1"/>
  <c r="V140" i="5"/>
  <c r="U140" i="6" s="1"/>
  <c r="H140" i="6"/>
  <c r="L9" i="4"/>
  <c r="P16" i="3" s="1"/>
  <c r="R9" i="4"/>
  <c r="R16" i="3" s="1"/>
  <c r="S9" i="4"/>
  <c r="Q16" i="3" s="1"/>
  <c r="Z9" i="4"/>
  <c r="T16" i="3" s="1"/>
  <c r="E16" i="3"/>
  <c r="AA9" i="4"/>
  <c r="S16" i="3" s="1"/>
  <c r="AD9" i="4"/>
  <c r="W16" i="3" s="1"/>
  <c r="AE9" i="4"/>
  <c r="X16" i="3" s="1"/>
  <c r="I87" i="3"/>
  <c r="O169" i="4"/>
  <c r="P169" i="4" s="1"/>
  <c r="M87" i="3" s="1"/>
  <c r="I147" i="6"/>
  <c r="O147" i="5"/>
  <c r="C1" i="13"/>
  <c r="C193" i="1"/>
  <c r="H332" i="16"/>
  <c r="I162" i="16"/>
  <c r="I195" i="6"/>
  <c r="O195" i="5"/>
  <c r="Q195" i="5" s="1"/>
  <c r="D19" i="9"/>
  <c r="D277" i="12"/>
  <c r="G13" i="6"/>
  <c r="B247" i="9"/>
  <c r="B247" i="8"/>
  <c r="B247" i="12"/>
  <c r="B247" i="11"/>
  <c r="C247" i="22" s="1"/>
  <c r="B247" i="10"/>
  <c r="D167" i="9"/>
  <c r="D237" i="11"/>
  <c r="D115" i="9"/>
  <c r="D23" i="12"/>
  <c r="L193" i="3"/>
  <c r="D182" i="8"/>
  <c r="F37" i="6"/>
  <c r="J392" i="16"/>
  <c r="O38" i="5"/>
  <c r="I38" i="6"/>
  <c r="D113" i="11"/>
  <c r="F184" i="3"/>
  <c r="AE35" i="4"/>
  <c r="X187" i="3" s="1"/>
  <c r="S35" i="4"/>
  <c r="Q187" i="3" s="1"/>
  <c r="AA35" i="4"/>
  <c r="S187" i="3" s="1"/>
  <c r="E187" i="3"/>
  <c r="Z35" i="4"/>
  <c r="T187" i="3" s="1"/>
  <c r="R35" i="4"/>
  <c r="R187" i="3" s="1"/>
  <c r="AD35" i="4"/>
  <c r="W187" i="3" s="1"/>
  <c r="L35" i="4"/>
  <c r="P187" i="3" s="1"/>
  <c r="D171" i="10"/>
  <c r="D188" i="10"/>
  <c r="C216" i="1"/>
  <c r="AA108" i="4"/>
  <c r="S101" i="3" s="1"/>
  <c r="E101" i="3"/>
  <c r="AE108" i="4"/>
  <c r="X101" i="3" s="1"/>
  <c r="S108" i="4"/>
  <c r="Q101" i="3" s="1"/>
  <c r="AD108" i="4"/>
  <c r="W101" i="3" s="1"/>
  <c r="L108" i="4"/>
  <c r="P101" i="3" s="1"/>
  <c r="Z108" i="4"/>
  <c r="T101" i="3" s="1"/>
  <c r="R108" i="4"/>
  <c r="R101" i="3" s="1"/>
  <c r="F89" i="3"/>
  <c r="F23" i="3"/>
  <c r="V185" i="5"/>
  <c r="U185" i="6" s="1"/>
  <c r="H185" i="6"/>
  <c r="AA60" i="4"/>
  <c r="S200" i="3" s="1"/>
  <c r="L60" i="4"/>
  <c r="P200" i="3" s="1"/>
  <c r="R60" i="4"/>
  <c r="R200" i="3" s="1"/>
  <c r="S60" i="4"/>
  <c r="Q200" i="3" s="1"/>
  <c r="Z60" i="4"/>
  <c r="T200" i="3" s="1"/>
  <c r="E200" i="3"/>
  <c r="AE60" i="4"/>
  <c r="X200" i="3" s="1"/>
  <c r="AD60" i="4"/>
  <c r="W200" i="3" s="1"/>
  <c r="AA64" i="5"/>
  <c r="S64" i="6" s="1"/>
  <c r="AO64" i="5"/>
  <c r="AP64" i="5" s="1"/>
  <c r="S64" i="5"/>
  <c r="Q64" i="6" s="1"/>
  <c r="Z64" i="5"/>
  <c r="T64" i="6" s="1"/>
  <c r="R64" i="5"/>
  <c r="R64" i="6" s="1"/>
  <c r="AE64" i="5"/>
  <c r="X64" i="6" s="1"/>
  <c r="L64" i="5"/>
  <c r="P64" i="6" s="1"/>
  <c r="AD64" i="5"/>
  <c r="W64" i="6" s="1"/>
  <c r="E64" i="6"/>
  <c r="G179" i="3"/>
  <c r="V3" i="4"/>
  <c r="U179" i="3" s="1"/>
  <c r="V35" i="4"/>
  <c r="U187" i="3" s="1"/>
  <c r="G187" i="3"/>
  <c r="C132" i="1"/>
  <c r="C308" i="1"/>
  <c r="R22" i="4"/>
  <c r="R203" i="3" s="1"/>
  <c r="L22" i="4"/>
  <c r="P203" i="3" s="1"/>
  <c r="S22" i="4"/>
  <c r="Q203" i="3" s="1"/>
  <c r="AE22" i="4"/>
  <c r="X203" i="3" s="1"/>
  <c r="AD22" i="4"/>
  <c r="W203" i="3" s="1"/>
  <c r="AA22" i="4"/>
  <c r="S203" i="3" s="1"/>
  <c r="Z22" i="4"/>
  <c r="T203" i="3" s="1"/>
  <c r="E203" i="3"/>
  <c r="O144" i="4"/>
  <c r="I65" i="3"/>
  <c r="O15" i="5"/>
  <c r="I15" i="6"/>
  <c r="F47" i="3"/>
  <c r="AE88" i="5"/>
  <c r="X88" i="6" s="1"/>
  <c r="Z88" i="5"/>
  <c r="T88" i="6" s="1"/>
  <c r="AA88" i="5"/>
  <c r="S88" i="6" s="1"/>
  <c r="E88" i="6"/>
  <c r="L88" i="5"/>
  <c r="P88" i="6" s="1"/>
  <c r="AO88" i="5"/>
  <c r="AP88" i="5" s="1"/>
  <c r="AD88" i="5"/>
  <c r="W88" i="6" s="1"/>
  <c r="R88" i="5"/>
  <c r="R88" i="6" s="1"/>
  <c r="S88" i="5"/>
  <c r="Q88" i="6" s="1"/>
  <c r="C115" i="1"/>
  <c r="D164" i="11"/>
  <c r="I10" i="16"/>
  <c r="H72" i="6"/>
  <c r="V72" i="5"/>
  <c r="U72" i="6" s="1"/>
  <c r="C49" i="1"/>
  <c r="F77" i="3"/>
  <c r="C486" i="1"/>
  <c r="F185" i="3"/>
  <c r="F113" i="3"/>
  <c r="H20" i="3"/>
  <c r="I341" i="16"/>
  <c r="C345" i="1"/>
  <c r="L51" i="3"/>
  <c r="G51" i="6"/>
  <c r="D181" i="8"/>
  <c r="I260" i="16"/>
  <c r="L96" i="6"/>
  <c r="R201" i="4"/>
  <c r="R147" i="3" s="1"/>
  <c r="S201" i="4"/>
  <c r="Q147" i="3" s="1"/>
  <c r="Z201" i="4"/>
  <c r="T147" i="3" s="1"/>
  <c r="L201" i="4"/>
  <c r="P147" i="3" s="1"/>
  <c r="AD201" i="4"/>
  <c r="W147" i="3" s="1"/>
  <c r="E147" i="3"/>
  <c r="AA201" i="4"/>
  <c r="S147" i="3" s="1"/>
  <c r="AE201" i="4"/>
  <c r="X147" i="3" s="1"/>
  <c r="Q201" i="4"/>
  <c r="G94" i="6"/>
  <c r="Z177" i="5"/>
  <c r="T177" i="6" s="1"/>
  <c r="L177" i="5"/>
  <c r="P177" i="6" s="1"/>
  <c r="AO177" i="5"/>
  <c r="AP177" i="5" s="1"/>
  <c r="AA177" i="5"/>
  <c r="S177" i="6" s="1"/>
  <c r="AD177" i="5"/>
  <c r="W177" i="6" s="1"/>
  <c r="AE177" i="5"/>
  <c r="X177" i="6" s="1"/>
  <c r="E177" i="6"/>
  <c r="R177" i="5"/>
  <c r="R177" i="6" s="1"/>
  <c r="S177" i="5"/>
  <c r="Q177" i="6" s="1"/>
  <c r="H47" i="6"/>
  <c r="V47" i="5"/>
  <c r="U47" i="6" s="1"/>
  <c r="L120" i="6"/>
  <c r="H138" i="3"/>
  <c r="O109" i="5"/>
  <c r="I109" i="6"/>
  <c r="AD98" i="4"/>
  <c r="W100" i="3" s="1"/>
  <c r="Z98" i="4"/>
  <c r="T100" i="3" s="1"/>
  <c r="E100" i="3"/>
  <c r="AE98" i="4"/>
  <c r="X100" i="3" s="1"/>
  <c r="S98" i="4"/>
  <c r="Q100" i="3" s="1"/>
  <c r="L98" i="4"/>
  <c r="P100" i="3" s="1"/>
  <c r="R98" i="4"/>
  <c r="R100" i="3" s="1"/>
  <c r="AA98" i="4"/>
  <c r="S100" i="3" s="1"/>
  <c r="D48" i="10"/>
  <c r="G69" i="3"/>
  <c r="V185" i="4"/>
  <c r="U69" i="3" s="1"/>
  <c r="I76" i="6"/>
  <c r="O76" i="5"/>
  <c r="AA179" i="4"/>
  <c r="S191" i="3" s="1"/>
  <c r="L179" i="4"/>
  <c r="P191" i="3" s="1"/>
  <c r="AD179" i="4"/>
  <c r="W191" i="3" s="1"/>
  <c r="S179" i="4"/>
  <c r="Q191" i="3" s="1"/>
  <c r="AE179" i="4"/>
  <c r="X191" i="3" s="1"/>
  <c r="E191" i="3"/>
  <c r="Z179" i="4"/>
  <c r="T191" i="3" s="1"/>
  <c r="R179" i="4"/>
  <c r="R191" i="3" s="1"/>
  <c r="C444" i="1"/>
  <c r="I149" i="3"/>
  <c r="O70" i="4"/>
  <c r="I118" i="6"/>
  <c r="O118" i="5"/>
  <c r="F6" i="3"/>
  <c r="V164" i="4"/>
  <c r="U113" i="3" s="1"/>
  <c r="G113" i="3"/>
  <c r="D70" i="8"/>
  <c r="Z18" i="4"/>
  <c r="T104" i="3" s="1"/>
  <c r="AA18" i="4"/>
  <c r="S104" i="3" s="1"/>
  <c r="S18" i="4"/>
  <c r="Q104" i="3" s="1"/>
  <c r="E104" i="3"/>
  <c r="R18" i="4"/>
  <c r="R104" i="3" s="1"/>
  <c r="AD18" i="4"/>
  <c r="W104" i="3" s="1"/>
  <c r="L18" i="4"/>
  <c r="P104" i="3" s="1"/>
  <c r="AE18" i="4"/>
  <c r="X104" i="3" s="1"/>
  <c r="R67" i="5"/>
  <c r="R67" i="6" s="1"/>
  <c r="L67" i="5"/>
  <c r="P67" i="6" s="1"/>
  <c r="AD67" i="5"/>
  <c r="W67" i="6" s="1"/>
  <c r="S67" i="5"/>
  <c r="Q67" i="6" s="1"/>
  <c r="Z67" i="5"/>
  <c r="T67" i="6" s="1"/>
  <c r="AE67" i="5"/>
  <c r="X67" i="6" s="1"/>
  <c r="E67" i="6"/>
  <c r="AO67" i="5"/>
  <c r="AP67" i="5" s="1"/>
  <c r="AA67" i="5"/>
  <c r="S67" i="6" s="1"/>
  <c r="R102" i="4"/>
  <c r="R144" i="3" s="1"/>
  <c r="L102" i="4"/>
  <c r="P144" i="3" s="1"/>
  <c r="AD102" i="4"/>
  <c r="W144" i="3" s="1"/>
  <c r="S102" i="4"/>
  <c r="Q144" i="3" s="1"/>
  <c r="AE102" i="4"/>
  <c r="X144" i="3" s="1"/>
  <c r="Z102" i="4"/>
  <c r="T144" i="3" s="1"/>
  <c r="E144" i="3"/>
  <c r="AA102" i="4"/>
  <c r="S144" i="3" s="1"/>
  <c r="V75" i="4"/>
  <c r="U17" i="3" s="1"/>
  <c r="G17" i="3"/>
  <c r="L19" i="3"/>
  <c r="L168" i="3"/>
  <c r="D61" i="8"/>
  <c r="D30" i="10"/>
  <c r="D85" i="9"/>
  <c r="L80" i="3"/>
  <c r="E123" i="6"/>
  <c r="R123" i="5"/>
  <c r="R123" i="6" s="1"/>
  <c r="AD123" i="5"/>
  <c r="W123" i="6" s="1"/>
  <c r="AA123" i="5"/>
  <c r="S123" i="6" s="1"/>
  <c r="AO123" i="5"/>
  <c r="AP123" i="5" s="1"/>
  <c r="Z123" i="5"/>
  <c r="T123" i="6" s="1"/>
  <c r="S123" i="5"/>
  <c r="Q123" i="6" s="1"/>
  <c r="L123" i="5"/>
  <c r="P123" i="6" s="1"/>
  <c r="AE123" i="5"/>
  <c r="X123" i="6" s="1"/>
  <c r="G14" i="6"/>
  <c r="H63" i="6"/>
  <c r="V63" i="5"/>
  <c r="U63" i="6" s="1"/>
  <c r="F29" i="3"/>
  <c r="I250" i="16"/>
  <c r="L203" i="3"/>
  <c r="S180" i="4"/>
  <c r="Q4" i="3" s="1"/>
  <c r="AE180" i="4"/>
  <c r="X4" i="3" s="1"/>
  <c r="L180" i="4"/>
  <c r="P4" i="3" s="1"/>
  <c r="AA180" i="4"/>
  <c r="S4" i="3" s="1"/>
  <c r="Z180" i="4"/>
  <c r="T4" i="3" s="1"/>
  <c r="AD180" i="4"/>
  <c r="W4" i="3" s="1"/>
  <c r="R180" i="4"/>
  <c r="R4" i="3" s="1"/>
  <c r="E4" i="3"/>
  <c r="L22" i="3"/>
  <c r="F19" i="3"/>
  <c r="G87" i="3"/>
  <c r="V169" i="4"/>
  <c r="U87" i="3" s="1"/>
  <c r="D403" i="16"/>
  <c r="L105" i="6"/>
  <c r="G85" i="6"/>
  <c r="H161" i="3"/>
  <c r="D60" i="9"/>
  <c r="D100" i="9"/>
  <c r="D172" i="11"/>
  <c r="J274" i="16"/>
  <c r="AA101" i="5"/>
  <c r="S101" i="6" s="1"/>
  <c r="S101" i="5"/>
  <c r="Q101" i="6" s="1"/>
  <c r="R101" i="5"/>
  <c r="R101" i="6" s="1"/>
  <c r="Z101" i="5"/>
  <c r="T101" i="6" s="1"/>
  <c r="AE101" i="5"/>
  <c r="X101" i="6" s="1"/>
  <c r="L101" i="5"/>
  <c r="P101" i="6" s="1"/>
  <c r="E101" i="6"/>
  <c r="AD101" i="5"/>
  <c r="W101" i="6" s="1"/>
  <c r="AO101" i="5"/>
  <c r="AP101" i="5" s="1"/>
  <c r="C445" i="1"/>
  <c r="D6" i="11"/>
  <c r="B300" i="12"/>
  <c r="B300" i="10"/>
  <c r="B300" i="8"/>
  <c r="B300" i="11"/>
  <c r="C300" i="22" s="1"/>
  <c r="B300" i="9"/>
  <c r="AE84" i="4"/>
  <c r="X59" i="3" s="1"/>
  <c r="S84" i="4"/>
  <c r="Q59" i="3" s="1"/>
  <c r="R84" i="4"/>
  <c r="R59" i="3" s="1"/>
  <c r="E59" i="3"/>
  <c r="AA84" i="4"/>
  <c r="S59" i="3" s="1"/>
  <c r="Z84" i="4"/>
  <c r="T59" i="3" s="1"/>
  <c r="L84" i="4"/>
  <c r="P59" i="3" s="1"/>
  <c r="AD84" i="4"/>
  <c r="W59" i="3" s="1"/>
  <c r="O85" i="5"/>
  <c r="I85" i="6"/>
  <c r="AA73" i="4"/>
  <c r="S63" i="3" s="1"/>
  <c r="AE73" i="4"/>
  <c r="X63" i="3" s="1"/>
  <c r="S73" i="4"/>
  <c r="Q63" i="3" s="1"/>
  <c r="AD73" i="4"/>
  <c r="W63" i="3" s="1"/>
  <c r="R73" i="4"/>
  <c r="R63" i="3" s="1"/>
  <c r="L73" i="4"/>
  <c r="P63" i="3" s="1"/>
  <c r="Z73" i="4"/>
  <c r="T63" i="3" s="1"/>
  <c r="E63" i="3"/>
  <c r="H265" i="16"/>
  <c r="D392" i="16"/>
  <c r="D155" i="9"/>
  <c r="D41" i="8"/>
  <c r="C344" i="1"/>
  <c r="L180" i="3"/>
  <c r="I336" i="16"/>
  <c r="S79" i="5"/>
  <c r="Q79" i="6" s="1"/>
  <c r="E79" i="6"/>
  <c r="AD79" i="5"/>
  <c r="W79" i="6" s="1"/>
  <c r="AA79" i="5"/>
  <c r="S79" i="6" s="1"/>
  <c r="L79" i="5"/>
  <c r="P79" i="6" s="1"/>
  <c r="R79" i="5"/>
  <c r="R79" i="6" s="1"/>
  <c r="AE79" i="5"/>
  <c r="X79" i="6" s="1"/>
  <c r="Z79" i="5"/>
  <c r="T79" i="6" s="1"/>
  <c r="AO79" i="5"/>
  <c r="AP79" i="5" s="1"/>
  <c r="D183" i="12"/>
  <c r="I359" i="16"/>
  <c r="O81" i="5"/>
  <c r="I81" i="6"/>
  <c r="D113" i="12"/>
  <c r="G63" i="3"/>
  <c r="V73" i="4"/>
  <c r="U63" i="3" s="1"/>
  <c r="F73" i="3"/>
  <c r="H142" i="3"/>
  <c r="I388" i="16"/>
  <c r="R52" i="5"/>
  <c r="R52" i="6" s="1"/>
  <c r="E52" i="6"/>
  <c r="AO52" i="5"/>
  <c r="AP52" i="5" s="1"/>
  <c r="S52" i="5"/>
  <c r="Q52" i="6" s="1"/>
  <c r="AD52" i="5"/>
  <c r="W52" i="6" s="1"/>
  <c r="AA52" i="5"/>
  <c r="S52" i="6" s="1"/>
  <c r="L52" i="5"/>
  <c r="P52" i="6" s="1"/>
  <c r="Z52" i="5"/>
  <c r="T52" i="6" s="1"/>
  <c r="AE52" i="5"/>
  <c r="X52" i="6" s="1"/>
  <c r="B292" i="9"/>
  <c r="B292" i="8"/>
  <c r="B292" i="11"/>
  <c r="C292" i="22" s="1"/>
  <c r="B292" i="12"/>
  <c r="B292" i="10"/>
  <c r="B272" i="8"/>
  <c r="B272" i="11"/>
  <c r="C272" i="22" s="1"/>
  <c r="B272" i="9"/>
  <c r="B272" i="10"/>
  <c r="B272" i="12"/>
  <c r="D17" i="9"/>
  <c r="C93" i="1"/>
  <c r="D122" i="10"/>
  <c r="L111" i="3"/>
  <c r="L18" i="5"/>
  <c r="P18" i="6" s="1"/>
  <c r="AE18" i="5"/>
  <c r="X18" i="6" s="1"/>
  <c r="Z18" i="5"/>
  <c r="T18" i="6" s="1"/>
  <c r="AD18" i="5"/>
  <c r="W18" i="6" s="1"/>
  <c r="R18" i="5"/>
  <c r="R18" i="6" s="1"/>
  <c r="S18" i="5"/>
  <c r="Q18" i="6" s="1"/>
  <c r="E18" i="6"/>
  <c r="AA18" i="5"/>
  <c r="S18" i="6" s="1"/>
  <c r="AO18" i="5"/>
  <c r="AP18" i="5" s="1"/>
  <c r="L205" i="3"/>
  <c r="I152" i="3"/>
  <c r="O91" i="4"/>
  <c r="V42" i="5"/>
  <c r="U42" i="6" s="1"/>
  <c r="H42" i="6"/>
  <c r="L133" i="3"/>
  <c r="C468" i="1"/>
  <c r="J184" i="16"/>
  <c r="D196" i="8"/>
  <c r="G58" i="6"/>
  <c r="F135" i="3"/>
  <c r="D171" i="8"/>
  <c r="R160" i="4"/>
  <c r="R78" i="3" s="1"/>
  <c r="AD160" i="4"/>
  <c r="W78" i="3" s="1"/>
  <c r="AA160" i="4"/>
  <c r="S78" i="3" s="1"/>
  <c r="E78" i="3"/>
  <c r="S160" i="4"/>
  <c r="Q78" i="3" s="1"/>
  <c r="L160" i="4"/>
  <c r="P78" i="3" s="1"/>
  <c r="AE160" i="4"/>
  <c r="X78" i="3" s="1"/>
  <c r="Z160" i="4"/>
  <c r="T78" i="3" s="1"/>
  <c r="I120" i="6"/>
  <c r="O120" i="5"/>
  <c r="D75" i="11"/>
  <c r="D132" i="12"/>
  <c r="D368" i="16"/>
  <c r="L79" i="3"/>
  <c r="J239" i="16"/>
  <c r="B262" i="12"/>
  <c r="B262" i="9"/>
  <c r="B262" i="10"/>
  <c r="B262" i="8"/>
  <c r="B262" i="11"/>
  <c r="C262" i="22" s="1"/>
  <c r="V61" i="4"/>
  <c r="U139" i="3" s="1"/>
  <c r="G139" i="3"/>
  <c r="C32" i="1"/>
  <c r="C467" i="1"/>
  <c r="I153" i="6"/>
  <c r="O153" i="5"/>
  <c r="D234" i="12"/>
  <c r="C475" i="1"/>
  <c r="I137" i="6"/>
  <c r="O137" i="5"/>
  <c r="E126" i="6"/>
  <c r="AA126" i="5"/>
  <c r="S126" i="6" s="1"/>
  <c r="S126" i="5"/>
  <c r="Q126" i="6" s="1"/>
  <c r="AD126" i="5"/>
  <c r="W126" i="6" s="1"/>
  <c r="L126" i="5"/>
  <c r="P126" i="6" s="1"/>
  <c r="AO126" i="5"/>
  <c r="AP126" i="5" s="1"/>
  <c r="Z126" i="5"/>
  <c r="T126" i="6" s="1"/>
  <c r="R126" i="5"/>
  <c r="R126" i="6" s="1"/>
  <c r="AE126" i="5"/>
  <c r="X126" i="6" s="1"/>
  <c r="D241" i="11"/>
  <c r="G10" i="3"/>
  <c r="V23" i="4"/>
  <c r="U10" i="3" s="1"/>
  <c r="O83" i="5"/>
  <c r="I83" i="6"/>
  <c r="F92" i="3"/>
  <c r="D267" i="12"/>
  <c r="I240" i="16"/>
  <c r="I125" i="3"/>
  <c r="O54" i="4"/>
  <c r="Q54" i="4" s="1"/>
  <c r="E190" i="6"/>
  <c r="AE190" i="5"/>
  <c r="X190" i="6" s="1"/>
  <c r="AD190" i="5"/>
  <c r="W190" i="6" s="1"/>
  <c r="Z190" i="5"/>
  <c r="T190" i="6" s="1"/>
  <c r="AO190" i="5"/>
  <c r="AP190" i="5" s="1"/>
  <c r="AA190" i="5"/>
  <c r="S190" i="6" s="1"/>
  <c r="S190" i="5"/>
  <c r="Q190" i="6" s="1"/>
  <c r="L190" i="5"/>
  <c r="P190" i="6" s="1"/>
  <c r="R190" i="5"/>
  <c r="R190" i="6" s="1"/>
  <c r="H147" i="16"/>
  <c r="D92" i="10"/>
  <c r="H144" i="16"/>
  <c r="H198" i="3"/>
  <c r="I224" i="16"/>
  <c r="D35" i="9"/>
  <c r="D216" i="11"/>
  <c r="L135" i="6"/>
  <c r="L42" i="6"/>
  <c r="H105" i="3"/>
  <c r="C172" i="1"/>
  <c r="D64" i="8"/>
  <c r="D166" i="11"/>
  <c r="J337" i="16"/>
  <c r="J288" i="16"/>
  <c r="H347" i="16"/>
  <c r="G174" i="6"/>
  <c r="H387" i="16"/>
  <c r="G136" i="3"/>
  <c r="V125" i="4"/>
  <c r="U136" i="3" s="1"/>
  <c r="D149" i="11"/>
  <c r="L98" i="3"/>
  <c r="L55" i="6"/>
  <c r="D170" i="11"/>
  <c r="F14" i="6"/>
  <c r="D269" i="12"/>
  <c r="C31" i="1"/>
  <c r="O141" i="4"/>
  <c r="I93" i="3"/>
  <c r="H125" i="3"/>
  <c r="C414" i="1"/>
  <c r="H94" i="3"/>
  <c r="C175" i="1"/>
  <c r="I186" i="16"/>
  <c r="O68" i="4"/>
  <c r="I148" i="3"/>
  <c r="C410" i="1"/>
  <c r="G127" i="6"/>
  <c r="C375" i="1"/>
  <c r="L145" i="3"/>
  <c r="F44" i="3"/>
  <c r="L177" i="6"/>
  <c r="D25" i="11"/>
  <c r="L178" i="6"/>
  <c r="J269" i="16"/>
  <c r="H133" i="16"/>
  <c r="H92" i="6"/>
  <c r="V92" i="5"/>
  <c r="U92" i="6" s="1"/>
  <c r="I171" i="3"/>
  <c r="O11" i="4"/>
  <c r="I191" i="16"/>
  <c r="I57" i="3"/>
  <c r="O113" i="4"/>
  <c r="D145" i="10"/>
  <c r="F118" i="6"/>
  <c r="L192" i="3"/>
  <c r="D310" i="16"/>
  <c r="C311" i="1"/>
  <c r="V200" i="4"/>
  <c r="U199" i="3" s="1"/>
  <c r="G199" i="3"/>
  <c r="F172" i="6"/>
  <c r="D240" i="16"/>
  <c r="I130" i="6"/>
  <c r="O130" i="5"/>
  <c r="D119" i="8"/>
  <c r="D60" i="11"/>
  <c r="F104" i="6"/>
  <c r="G136" i="6"/>
  <c r="J407" i="16"/>
  <c r="L182" i="3"/>
  <c r="H146" i="3"/>
  <c r="H3" i="6"/>
  <c r="V3" i="5"/>
  <c r="U3" i="6" s="1"/>
  <c r="L60" i="3"/>
  <c r="O7" i="5"/>
  <c r="Q7" i="5" s="1"/>
  <c r="I7" i="6"/>
  <c r="F100" i="3"/>
  <c r="D115" i="11"/>
  <c r="F194" i="6"/>
  <c r="L18" i="3"/>
  <c r="L124" i="3"/>
  <c r="R66" i="4"/>
  <c r="R193" i="3" s="1"/>
  <c r="S66" i="4"/>
  <c r="Q193" i="3" s="1"/>
  <c r="AD66" i="4"/>
  <c r="W193" i="3" s="1"/>
  <c r="AA66" i="4"/>
  <c r="S193" i="3" s="1"/>
  <c r="Z66" i="4"/>
  <c r="T193" i="3" s="1"/>
  <c r="AE66" i="4"/>
  <c r="X193" i="3" s="1"/>
  <c r="E193" i="3"/>
  <c r="L66" i="4"/>
  <c r="P193" i="3" s="1"/>
  <c r="V116" i="4"/>
  <c r="U67" i="3" s="1"/>
  <c r="G67" i="3"/>
  <c r="D280" i="16"/>
  <c r="V184" i="5"/>
  <c r="U184" i="6" s="1"/>
  <c r="H184" i="6"/>
  <c r="B225" i="11"/>
  <c r="C225" i="22" s="1"/>
  <c r="C25" i="23" s="1"/>
  <c r="B225" i="10"/>
  <c r="B225" i="8"/>
  <c r="B225" i="9"/>
  <c r="B225" i="12"/>
  <c r="J348" i="16"/>
  <c r="L52" i="3"/>
  <c r="O183" i="5"/>
  <c r="I183" i="6"/>
  <c r="V113" i="4"/>
  <c r="U57" i="3" s="1"/>
  <c r="G57" i="3"/>
  <c r="O29" i="4"/>
  <c r="Q29" i="4" s="1"/>
  <c r="I178" i="3"/>
  <c r="L23" i="6"/>
  <c r="G99" i="6"/>
  <c r="AD126" i="4"/>
  <c r="W176" i="3" s="1"/>
  <c r="R126" i="4"/>
  <c r="R176" i="3" s="1"/>
  <c r="AE126" i="4"/>
  <c r="X176" i="3" s="1"/>
  <c r="E176" i="3"/>
  <c r="AA126" i="4"/>
  <c r="S176" i="3" s="1"/>
  <c r="S126" i="4"/>
  <c r="Q176" i="3" s="1"/>
  <c r="L126" i="4"/>
  <c r="P176" i="3" s="1"/>
  <c r="Z126" i="4"/>
  <c r="T176" i="3" s="1"/>
  <c r="H261" i="16"/>
  <c r="V159" i="5"/>
  <c r="U159" i="6" s="1"/>
  <c r="H159" i="6"/>
  <c r="D280" i="11"/>
  <c r="D94" i="8"/>
  <c r="L100" i="3"/>
  <c r="R92" i="4"/>
  <c r="R192" i="3" s="1"/>
  <c r="S92" i="4"/>
  <c r="Q192" i="3" s="1"/>
  <c r="AE92" i="4"/>
  <c r="X192" i="3" s="1"/>
  <c r="Z92" i="4"/>
  <c r="T192" i="3" s="1"/>
  <c r="L92" i="4"/>
  <c r="P192" i="3" s="1"/>
  <c r="E192" i="3"/>
  <c r="AD92" i="4"/>
  <c r="W192" i="3" s="1"/>
  <c r="AA92" i="4"/>
  <c r="S192" i="3" s="1"/>
  <c r="L164" i="3"/>
  <c r="L29" i="6"/>
  <c r="D151" i="8"/>
  <c r="F53" i="6"/>
  <c r="I7" i="16"/>
  <c r="D170" i="9"/>
  <c r="H269" i="16"/>
  <c r="B249" i="10"/>
  <c r="B249" i="9"/>
  <c r="B249" i="8"/>
  <c r="B249" i="12"/>
  <c r="B249" i="11"/>
  <c r="C249" i="22" s="1"/>
  <c r="D47" i="12"/>
  <c r="L74" i="3"/>
  <c r="V74" i="4"/>
  <c r="U39" i="3" s="1"/>
  <c r="G39" i="3"/>
  <c r="F118" i="3"/>
  <c r="C407" i="1"/>
  <c r="L59" i="3"/>
  <c r="D32" i="11"/>
  <c r="O195" i="4"/>
  <c r="Q195" i="4" s="1"/>
  <c r="I26" i="3"/>
  <c r="D9" i="10"/>
  <c r="F98" i="6"/>
  <c r="F109" i="6"/>
  <c r="D64" i="10"/>
  <c r="H11" i="6"/>
  <c r="V11" i="5"/>
  <c r="U11" i="6" s="1"/>
  <c r="C449" i="1"/>
  <c r="H461" i="16"/>
  <c r="H143" i="3"/>
  <c r="I69" i="6"/>
  <c r="O69" i="5"/>
  <c r="Q69" i="5" s="1"/>
  <c r="I253" i="16"/>
  <c r="G52" i="6"/>
  <c r="J12" i="16"/>
  <c r="D151" i="10"/>
  <c r="C334" i="1"/>
  <c r="D95" i="10"/>
  <c r="D253" i="11"/>
  <c r="I8" i="3"/>
  <c r="O187" i="4"/>
  <c r="I192" i="6"/>
  <c r="O192" i="5"/>
  <c r="AO178" i="5"/>
  <c r="AP178" i="5" s="1"/>
  <c r="S178" i="5"/>
  <c r="Q178" i="6" s="1"/>
  <c r="AA178" i="5"/>
  <c r="S178" i="6" s="1"/>
  <c r="E178" i="6"/>
  <c r="AE178" i="5"/>
  <c r="X178" i="6" s="1"/>
  <c r="L178" i="5"/>
  <c r="P178" i="6" s="1"/>
  <c r="Z178" i="5"/>
  <c r="T178" i="6" s="1"/>
  <c r="AD178" i="5"/>
  <c r="W178" i="6" s="1"/>
  <c r="R178" i="5"/>
  <c r="R178" i="6" s="1"/>
  <c r="D102" i="11"/>
  <c r="H100" i="6"/>
  <c r="V100" i="5"/>
  <c r="U100" i="6" s="1"/>
  <c r="R56" i="5"/>
  <c r="R56" i="6" s="1"/>
  <c r="AE56" i="5"/>
  <c r="X56" i="6" s="1"/>
  <c r="AD56" i="5"/>
  <c r="W56" i="6" s="1"/>
  <c r="L56" i="5"/>
  <c r="P56" i="6" s="1"/>
  <c r="S56" i="5"/>
  <c r="Q56" i="6" s="1"/>
  <c r="Z56" i="5"/>
  <c r="T56" i="6" s="1"/>
  <c r="AO56" i="5"/>
  <c r="AP56" i="5" s="1"/>
  <c r="AA56" i="5"/>
  <c r="S56" i="6" s="1"/>
  <c r="E56" i="6"/>
  <c r="D98" i="8"/>
  <c r="J190" i="16"/>
  <c r="D360" i="16"/>
  <c r="L116" i="3"/>
  <c r="F170" i="3"/>
  <c r="L202" i="3"/>
  <c r="C477" i="1"/>
  <c r="D214" i="10"/>
  <c r="F88" i="3"/>
  <c r="D10" i="8"/>
  <c r="D220" i="11"/>
  <c r="C429" i="1"/>
  <c r="G192" i="3"/>
  <c r="V92" i="4"/>
  <c r="U192" i="3" s="1"/>
  <c r="C325" i="1"/>
  <c r="J414" i="16"/>
  <c r="B303" i="10"/>
  <c r="B303" i="11"/>
  <c r="C303" i="22" s="1"/>
  <c r="B303" i="12"/>
  <c r="B303" i="8"/>
  <c r="B303" i="9"/>
  <c r="C418" i="1"/>
  <c r="O52" i="5"/>
  <c r="I52" i="6"/>
  <c r="L58" i="6"/>
  <c r="L45" i="6"/>
  <c r="V146" i="4"/>
  <c r="U202" i="3" s="1"/>
  <c r="G202" i="3"/>
  <c r="J178" i="16"/>
  <c r="O63" i="5"/>
  <c r="I63" i="6"/>
  <c r="G48" i="6"/>
  <c r="F121" i="6"/>
  <c r="G62" i="6"/>
  <c r="C101" i="1"/>
  <c r="D30" i="16"/>
  <c r="C505" i="1"/>
  <c r="C51" i="1"/>
  <c r="D118" i="9"/>
  <c r="J363" i="16"/>
  <c r="V193" i="4"/>
  <c r="U77" i="3" s="1"/>
  <c r="G77" i="3"/>
  <c r="G43" i="3"/>
  <c r="V25" i="4"/>
  <c r="U43" i="3" s="1"/>
  <c r="D58" i="8"/>
  <c r="C152" i="1"/>
  <c r="AE109" i="4"/>
  <c r="X159" i="3" s="1"/>
  <c r="S109" i="4"/>
  <c r="Q159" i="3" s="1"/>
  <c r="AD109" i="4"/>
  <c r="W159" i="3" s="1"/>
  <c r="L109" i="4"/>
  <c r="P159" i="3" s="1"/>
  <c r="Z109" i="4"/>
  <c r="T159" i="3" s="1"/>
  <c r="R109" i="4"/>
  <c r="R159" i="3" s="1"/>
  <c r="AA109" i="4"/>
  <c r="S159" i="3" s="1"/>
  <c r="E159" i="3"/>
  <c r="H135" i="6"/>
  <c r="V135" i="5"/>
  <c r="U135" i="6" s="1"/>
  <c r="H194" i="6"/>
  <c r="V194" i="5"/>
  <c r="U194" i="6" s="1"/>
  <c r="H3" i="3"/>
  <c r="G119" i="6"/>
  <c r="D16" i="12"/>
  <c r="H264" i="16"/>
  <c r="H310" i="16"/>
  <c r="L147" i="6"/>
  <c r="D29" i="9"/>
  <c r="F202" i="3"/>
  <c r="V75" i="5"/>
  <c r="U75" i="6" s="1"/>
  <c r="H75" i="6"/>
  <c r="D80" i="8"/>
  <c r="J279" i="16"/>
  <c r="L117" i="3"/>
  <c r="D25" i="10"/>
  <c r="H113" i="3"/>
  <c r="J29" i="16"/>
  <c r="D167" i="11"/>
  <c r="V194" i="4"/>
  <c r="U121" i="3" s="1"/>
  <c r="G121" i="3"/>
  <c r="C68" i="1"/>
  <c r="C110" i="1"/>
  <c r="O29" i="5"/>
  <c r="I29" i="6"/>
  <c r="F88" i="6"/>
  <c r="V65" i="4"/>
  <c r="U146" i="3" s="1"/>
  <c r="G146" i="3"/>
  <c r="C47" i="1"/>
  <c r="D66" i="9"/>
  <c r="C151" i="1"/>
  <c r="D96" i="4" s="1"/>
  <c r="D99" i="3" s="1"/>
  <c r="H402" i="16"/>
  <c r="D275" i="12"/>
  <c r="C84" i="1"/>
  <c r="D194" i="11"/>
  <c r="D409" i="16"/>
  <c r="O197" i="5"/>
  <c r="I197" i="6"/>
  <c r="G149" i="6"/>
  <c r="V170" i="4"/>
  <c r="U30" i="3" s="1"/>
  <c r="G30" i="3"/>
  <c r="B236" i="10"/>
  <c r="B236" i="9"/>
  <c r="B236" i="12"/>
  <c r="B236" i="11"/>
  <c r="C236" i="22" s="1"/>
  <c r="B236" i="8"/>
  <c r="AA105" i="5"/>
  <c r="S105" i="6" s="1"/>
  <c r="Z105" i="5"/>
  <c r="T105" i="6" s="1"/>
  <c r="AD105" i="5"/>
  <c r="W105" i="6" s="1"/>
  <c r="AO105" i="5"/>
  <c r="AP105" i="5" s="1"/>
  <c r="AE105" i="5"/>
  <c r="X105" i="6" s="1"/>
  <c r="E105" i="6"/>
  <c r="L105" i="5"/>
  <c r="P105" i="6" s="1"/>
  <c r="S105" i="5"/>
  <c r="Q105" i="6" s="1"/>
  <c r="R105" i="5"/>
  <c r="R105" i="6" s="1"/>
  <c r="J349" i="16"/>
  <c r="J391" i="16"/>
  <c r="F190" i="6"/>
  <c r="D82" i="10"/>
  <c r="D149" i="16"/>
  <c r="D361" i="16"/>
  <c r="D47" i="9"/>
  <c r="D197" i="10"/>
  <c r="D4" i="16"/>
  <c r="D100" i="10"/>
  <c r="I184" i="16"/>
  <c r="I195" i="3"/>
  <c r="O198" i="4"/>
  <c r="F196" i="6"/>
  <c r="C440" i="1"/>
  <c r="D144" i="11"/>
  <c r="D393" i="16"/>
  <c r="L128" i="3"/>
  <c r="L12" i="5"/>
  <c r="P12" i="6" s="1"/>
  <c r="AA12" i="5"/>
  <c r="S12" i="6" s="1"/>
  <c r="AE12" i="5"/>
  <c r="X12" i="6" s="1"/>
  <c r="R12" i="5"/>
  <c r="R12" i="6" s="1"/>
  <c r="E12" i="6"/>
  <c r="AO12" i="5"/>
  <c r="AP12" i="5" s="1"/>
  <c r="Z12" i="5"/>
  <c r="T12" i="6" s="1"/>
  <c r="AD12" i="5"/>
  <c r="W12" i="6" s="1"/>
  <c r="S12" i="5"/>
  <c r="Q12" i="6" s="1"/>
  <c r="I180" i="16"/>
  <c r="F187" i="3"/>
  <c r="I311" i="16"/>
  <c r="O188" i="4"/>
  <c r="Q188" i="4" s="1"/>
  <c r="I21" i="3"/>
  <c r="L153" i="3"/>
  <c r="G148" i="6"/>
  <c r="V205" i="5"/>
  <c r="U205" i="6" s="1"/>
  <c r="H205" i="6"/>
  <c r="G169" i="6"/>
  <c r="D383" i="16"/>
  <c r="L42" i="4"/>
  <c r="P60" i="3" s="1"/>
  <c r="AA42" i="4"/>
  <c r="S60" i="3" s="1"/>
  <c r="E60" i="3"/>
  <c r="R42" i="4"/>
  <c r="R60" i="3" s="1"/>
  <c r="Z42" i="4"/>
  <c r="T60" i="3" s="1"/>
  <c r="S42" i="4"/>
  <c r="Q60" i="3" s="1"/>
  <c r="AE42" i="4"/>
  <c r="X60" i="3" s="1"/>
  <c r="AD42" i="4"/>
  <c r="W60" i="3" s="1"/>
  <c r="O48" i="4"/>
  <c r="I170" i="3"/>
  <c r="F186" i="6"/>
  <c r="D261" i="12"/>
  <c r="D86" i="11"/>
  <c r="C106" i="1"/>
  <c r="E110" i="6"/>
  <c r="R110" i="5"/>
  <c r="R110" i="6" s="1"/>
  <c r="AA110" i="5"/>
  <c r="S110" i="6" s="1"/>
  <c r="L110" i="5"/>
  <c r="P110" i="6" s="1"/>
  <c r="AD110" i="5"/>
  <c r="W110" i="6" s="1"/>
  <c r="Z110" i="5"/>
  <c r="T110" i="6" s="1"/>
  <c r="S110" i="5"/>
  <c r="Q110" i="6" s="1"/>
  <c r="AO110" i="5"/>
  <c r="AP110" i="5" s="1"/>
  <c r="AE110" i="5"/>
  <c r="X110" i="6" s="1"/>
  <c r="R169" i="5"/>
  <c r="R169" i="6" s="1"/>
  <c r="AO169" i="5"/>
  <c r="AP169" i="5" s="1"/>
  <c r="AD169" i="5"/>
  <c r="W169" i="6" s="1"/>
  <c r="AA169" i="5"/>
  <c r="S169" i="6" s="1"/>
  <c r="AE169" i="5"/>
  <c r="X169" i="6" s="1"/>
  <c r="S169" i="5"/>
  <c r="Q169" i="6" s="1"/>
  <c r="E169" i="6"/>
  <c r="Z169" i="5"/>
  <c r="T169" i="6" s="1"/>
  <c r="L169" i="5"/>
  <c r="P169" i="6" s="1"/>
  <c r="D306" i="16"/>
  <c r="C436" i="1"/>
  <c r="L179" i="6"/>
  <c r="G178" i="6"/>
  <c r="V158" i="5"/>
  <c r="U158" i="6" s="1"/>
  <c r="H158" i="6"/>
  <c r="E15" i="6"/>
  <c r="AE15" i="5"/>
  <c r="X15" i="6" s="1"/>
  <c r="L15" i="5"/>
  <c r="P15" i="6" s="1"/>
  <c r="AO15" i="5"/>
  <c r="AP15" i="5" s="1"/>
  <c r="AD15" i="5"/>
  <c r="W15" i="6" s="1"/>
  <c r="R15" i="5"/>
  <c r="R15" i="6" s="1"/>
  <c r="AA15" i="5"/>
  <c r="S15" i="6" s="1"/>
  <c r="S15" i="5"/>
  <c r="Q15" i="6" s="1"/>
  <c r="Z15" i="5"/>
  <c r="T15" i="6" s="1"/>
  <c r="J313" i="16"/>
  <c r="C478" i="1"/>
  <c r="D42" i="12"/>
  <c r="C374" i="1"/>
  <c r="C339" i="1"/>
  <c r="L168" i="6"/>
  <c r="D235" i="12"/>
  <c r="I13" i="16"/>
  <c r="C430" i="1"/>
  <c r="I142" i="6"/>
  <c r="O142" i="5"/>
  <c r="D120" i="12"/>
  <c r="D190" i="9"/>
  <c r="D265" i="16"/>
  <c r="D165" i="12"/>
  <c r="D159" i="16"/>
  <c r="F27" i="6"/>
  <c r="L205" i="6"/>
  <c r="AO164" i="5"/>
  <c r="AP164" i="5" s="1"/>
  <c r="R164" i="5"/>
  <c r="R164" i="6" s="1"/>
  <c r="E164" i="6"/>
  <c r="S164" i="5"/>
  <c r="Q164" i="6" s="1"/>
  <c r="AE164" i="5"/>
  <c r="X164" i="6" s="1"/>
  <c r="Z164" i="5"/>
  <c r="T164" i="6" s="1"/>
  <c r="AD164" i="5"/>
  <c r="AA164" i="5"/>
  <c r="S164" i="6" s="1"/>
  <c r="L164" i="5"/>
  <c r="P164" i="6" s="1"/>
  <c r="D212" i="16"/>
  <c r="D99" i="9"/>
  <c r="G76" i="6"/>
  <c r="O74" i="5"/>
  <c r="Q74" i="5" s="1"/>
  <c r="I74" i="6"/>
  <c r="D201" i="8"/>
  <c r="B270" i="9"/>
  <c r="B270" i="8"/>
  <c r="B270" i="10"/>
  <c r="B270" i="11"/>
  <c r="C270" i="22" s="1"/>
  <c r="B270" i="12"/>
  <c r="F36" i="3"/>
  <c r="D203" i="11"/>
  <c r="D416" i="16"/>
  <c r="H130" i="16"/>
  <c r="J32" i="16"/>
  <c r="D121" i="10"/>
  <c r="D182" i="9"/>
  <c r="F28" i="3"/>
  <c r="H221" i="16"/>
  <c r="G98" i="3"/>
  <c r="V69" i="4"/>
  <c r="U98" i="3" s="1"/>
  <c r="AE49" i="5"/>
  <c r="X49" i="6" s="1"/>
  <c r="E49" i="6"/>
  <c r="AA49" i="5"/>
  <c r="S49" i="6" s="1"/>
  <c r="S49" i="5"/>
  <c r="Q49" i="6" s="1"/>
  <c r="R49" i="5"/>
  <c r="R49" i="6" s="1"/>
  <c r="L49" i="5"/>
  <c r="P49" i="6" s="1"/>
  <c r="AD49" i="5"/>
  <c r="W49" i="6" s="1"/>
  <c r="AO49" i="5"/>
  <c r="AP49" i="5" s="1"/>
  <c r="Z49" i="5"/>
  <c r="T49" i="6" s="1"/>
  <c r="J424" i="16"/>
  <c r="V102" i="4"/>
  <c r="U144" i="3" s="1"/>
  <c r="G144" i="3"/>
  <c r="D229" i="12"/>
  <c r="D76" i="9"/>
  <c r="H199" i="16"/>
  <c r="AE41" i="5"/>
  <c r="X41" i="6" s="1"/>
  <c r="AA41" i="5"/>
  <c r="S41" i="6" s="1"/>
  <c r="R41" i="5"/>
  <c r="R41" i="6" s="1"/>
  <c r="L41" i="5"/>
  <c r="P41" i="6" s="1"/>
  <c r="E41" i="6"/>
  <c r="Z41" i="5"/>
  <c r="T41" i="6" s="1"/>
  <c r="AD41" i="5"/>
  <c r="W41" i="6" s="1"/>
  <c r="S41" i="5"/>
  <c r="Q41" i="6" s="1"/>
  <c r="AO41" i="5"/>
  <c r="AP41" i="5" s="1"/>
  <c r="I21" i="16"/>
  <c r="L204" i="3"/>
  <c r="H189" i="6"/>
  <c r="V189" i="5"/>
  <c r="U189" i="6" s="1"/>
  <c r="D459" i="16"/>
  <c r="AD11" i="4"/>
  <c r="W171" i="3" s="1"/>
  <c r="AE11" i="4"/>
  <c r="X171" i="3" s="1"/>
  <c r="L11" i="4"/>
  <c r="P171" i="3" s="1"/>
  <c r="AA11" i="4"/>
  <c r="S171" i="3" s="1"/>
  <c r="E171" i="3"/>
  <c r="Z11" i="4"/>
  <c r="T171" i="3" s="1"/>
  <c r="R11" i="4"/>
  <c r="R171" i="3" s="1"/>
  <c r="S11" i="4"/>
  <c r="Q171" i="3" s="1"/>
  <c r="D372" i="16"/>
  <c r="H92" i="3"/>
  <c r="L132" i="6"/>
  <c r="C422" i="1"/>
  <c r="H212" i="16"/>
  <c r="J406" i="16"/>
  <c r="F15" i="6"/>
  <c r="I138" i="16"/>
  <c r="J318" i="16"/>
  <c r="H26" i="3"/>
  <c r="B285" i="12"/>
  <c r="B285" i="10"/>
  <c r="B285" i="9"/>
  <c r="B285" i="11"/>
  <c r="C285" i="22" s="1"/>
  <c r="B285" i="8"/>
  <c r="V37" i="4"/>
  <c r="U168" i="3" s="1"/>
  <c r="G168" i="3"/>
  <c r="B230" i="10"/>
  <c r="B230" i="8"/>
  <c r="B230" i="12"/>
  <c r="B230" i="11"/>
  <c r="C230" i="22" s="1"/>
  <c r="B230" i="9"/>
  <c r="D146" i="8"/>
  <c r="L203" i="5"/>
  <c r="P203" i="6" s="1"/>
  <c r="S203" i="5"/>
  <c r="Q203" i="6" s="1"/>
  <c r="R203" i="5"/>
  <c r="R203" i="6" s="1"/>
  <c r="AD203" i="5"/>
  <c r="W203" i="6" s="1"/>
  <c r="AO203" i="5"/>
  <c r="AP203" i="5" s="1"/>
  <c r="AA203" i="5"/>
  <c r="S203" i="6" s="1"/>
  <c r="AE203" i="5"/>
  <c r="X203" i="6" s="1"/>
  <c r="E203" i="6"/>
  <c r="Z203" i="5"/>
  <c r="T203" i="6" s="1"/>
  <c r="AA79" i="4"/>
  <c r="S118" i="3" s="1"/>
  <c r="E118" i="3"/>
  <c r="L79" i="4"/>
  <c r="P118" i="3" s="1"/>
  <c r="R79" i="4"/>
  <c r="R118" i="3" s="1"/>
  <c r="S79" i="4"/>
  <c r="Q118" i="3" s="1"/>
  <c r="AE79" i="4"/>
  <c r="X118" i="3" s="1"/>
  <c r="Z79" i="4"/>
  <c r="T118" i="3" s="1"/>
  <c r="AD79" i="4"/>
  <c r="W118" i="3" s="1"/>
  <c r="C341" i="1"/>
  <c r="D144" i="9"/>
  <c r="H227" i="16"/>
  <c r="L187" i="3"/>
  <c r="H127" i="3"/>
  <c r="D220" i="9"/>
  <c r="C358" i="1"/>
  <c r="H105" i="6"/>
  <c r="V105" i="5"/>
  <c r="U105" i="6" s="1"/>
  <c r="C198" i="1"/>
  <c r="C448" i="1"/>
  <c r="I125" i="16"/>
  <c r="C327" i="1"/>
  <c r="Z91" i="4"/>
  <c r="T152" i="3" s="1"/>
  <c r="AE91" i="4"/>
  <c r="X152" i="3" s="1"/>
  <c r="L91" i="4"/>
  <c r="P152" i="3" s="1"/>
  <c r="E152" i="3"/>
  <c r="S91" i="4"/>
  <c r="Q152" i="3" s="1"/>
  <c r="AA91" i="4"/>
  <c r="S152" i="3" s="1"/>
  <c r="AD91" i="4"/>
  <c r="W152" i="3" s="1"/>
  <c r="R91" i="4"/>
  <c r="R152" i="3" s="1"/>
  <c r="V171" i="5"/>
  <c r="U171" i="6" s="1"/>
  <c r="H171" i="6"/>
  <c r="C4" i="14"/>
  <c r="V46" i="5"/>
  <c r="U46" i="6" s="1"/>
  <c r="H46" i="6"/>
  <c r="F17" i="6"/>
  <c r="AD13" i="4"/>
  <c r="W158" i="3" s="1"/>
  <c r="S13" i="4"/>
  <c r="Q158" i="3" s="1"/>
  <c r="Z13" i="4"/>
  <c r="T158" i="3" s="1"/>
  <c r="L13" i="4"/>
  <c r="P158" i="3" s="1"/>
  <c r="AA13" i="4"/>
  <c r="S158" i="3" s="1"/>
  <c r="E158" i="3"/>
  <c r="R13" i="4"/>
  <c r="R158" i="3" s="1"/>
  <c r="AE13" i="4"/>
  <c r="X158" i="3" s="1"/>
  <c r="G95" i="6"/>
  <c r="F150" i="3"/>
  <c r="I90" i="3"/>
  <c r="O21" i="4"/>
  <c r="L122" i="5"/>
  <c r="P122" i="6" s="1"/>
  <c r="E122" i="6"/>
  <c r="AO122" i="5"/>
  <c r="AP122" i="5" s="1"/>
  <c r="AA122" i="5"/>
  <c r="S122" i="6" s="1"/>
  <c r="R122" i="5"/>
  <c r="R122" i="6" s="1"/>
  <c r="AD122" i="5"/>
  <c r="W122" i="6" s="1"/>
  <c r="AE122" i="5"/>
  <c r="X122" i="6" s="1"/>
  <c r="S122" i="5"/>
  <c r="Q122" i="6" s="1"/>
  <c r="Z122" i="5"/>
  <c r="T122" i="6" s="1"/>
  <c r="I291" i="16"/>
  <c r="C340" i="1"/>
  <c r="D136" i="16"/>
  <c r="I427" i="16"/>
  <c r="I414" i="16"/>
  <c r="D179" i="9"/>
  <c r="L4" i="6"/>
  <c r="H128" i="3"/>
  <c r="C71" i="1"/>
  <c r="D399" i="16"/>
  <c r="I152" i="16"/>
  <c r="D21" i="10"/>
  <c r="J423" i="16"/>
  <c r="I145" i="16"/>
  <c r="D144" i="8"/>
  <c r="D6" i="8"/>
  <c r="F30" i="6"/>
  <c r="I371" i="16"/>
  <c r="D182" i="16"/>
  <c r="D56" i="9"/>
  <c r="AE58" i="5"/>
  <c r="X58" i="6" s="1"/>
  <c r="R58" i="5"/>
  <c r="R58" i="6" s="1"/>
  <c r="Z58" i="5"/>
  <c r="T58" i="6" s="1"/>
  <c r="S58" i="5"/>
  <c r="Q58" i="6" s="1"/>
  <c r="L58" i="5"/>
  <c r="P58" i="6" s="1"/>
  <c r="AD58" i="5"/>
  <c r="W58" i="6" s="1"/>
  <c r="AA58" i="5"/>
  <c r="S58" i="6" s="1"/>
  <c r="E58" i="6"/>
  <c r="AO58" i="5"/>
  <c r="AP58" i="5" s="1"/>
  <c r="I151" i="16"/>
  <c r="D421" i="16"/>
  <c r="V152" i="4"/>
  <c r="U129" i="3" s="1"/>
  <c r="G129" i="3"/>
  <c r="H354" i="16"/>
  <c r="D298" i="16"/>
  <c r="D101" i="11"/>
  <c r="C53" i="1"/>
  <c r="D290" i="16"/>
  <c r="D138" i="12"/>
  <c r="F189" i="3"/>
  <c r="D238" i="12"/>
  <c r="H171" i="3"/>
  <c r="H132" i="3"/>
  <c r="D377" i="16"/>
  <c r="I130" i="16"/>
  <c r="L39" i="3"/>
  <c r="F58" i="6"/>
  <c r="L128" i="4"/>
  <c r="P80" i="3" s="1"/>
  <c r="Z128" i="4"/>
  <c r="T80" i="3" s="1"/>
  <c r="AE128" i="4"/>
  <c r="X80" i="3" s="1"/>
  <c r="S128" i="4"/>
  <c r="Q80" i="3" s="1"/>
  <c r="R128" i="4"/>
  <c r="R80" i="3" s="1"/>
  <c r="AA128" i="4"/>
  <c r="S80" i="3" s="1"/>
  <c r="AD128" i="4"/>
  <c r="W80" i="3" s="1"/>
  <c r="E80" i="3"/>
  <c r="L182" i="6"/>
  <c r="I143" i="3"/>
  <c r="O101" i="4"/>
  <c r="C428" i="1"/>
  <c r="I51" i="6"/>
  <c r="O51" i="5"/>
  <c r="D36" i="11"/>
  <c r="F56" i="6"/>
  <c r="O181" i="5"/>
  <c r="Q181" i="5" s="1"/>
  <c r="I181" i="6"/>
  <c r="G153" i="6"/>
  <c r="O136" i="4"/>
  <c r="I190" i="3"/>
  <c r="L90" i="3"/>
  <c r="G193" i="6"/>
  <c r="L11" i="6"/>
  <c r="I255" i="16"/>
  <c r="D78" i="11"/>
  <c r="D82" i="9"/>
  <c r="I20" i="6"/>
  <c r="O20" i="5"/>
  <c r="Q20" i="5" s="1"/>
  <c r="F128" i="6"/>
  <c r="O129" i="5"/>
  <c r="I129" i="6"/>
  <c r="L61" i="6"/>
  <c r="F45" i="16" a="1"/>
  <c r="F45" i="16" s="1"/>
  <c r="D72" i="8"/>
  <c r="H123" i="3"/>
  <c r="H188" i="3"/>
  <c r="L97" i="3"/>
  <c r="L194" i="3"/>
  <c r="G167" i="6"/>
  <c r="D262" i="12"/>
  <c r="I163" i="3"/>
  <c r="O112" i="4"/>
  <c r="Q112" i="4" s="1"/>
  <c r="D54" i="8"/>
  <c r="H120" i="3"/>
  <c r="C496" i="1"/>
  <c r="C134" i="1"/>
  <c r="H59" i="3"/>
  <c r="F42" i="6"/>
  <c r="C423" i="1"/>
  <c r="J192" i="16"/>
  <c r="G65" i="6"/>
  <c r="L81" i="3"/>
  <c r="AE199" i="4"/>
  <c r="X196" i="3" s="1"/>
  <c r="AA199" i="4"/>
  <c r="S196" i="3" s="1"/>
  <c r="Z199" i="4"/>
  <c r="T196" i="3" s="1"/>
  <c r="L199" i="4"/>
  <c r="P196" i="3" s="1"/>
  <c r="AD199" i="4"/>
  <c r="W196" i="3" s="1"/>
  <c r="S199" i="4"/>
  <c r="Q196" i="3" s="1"/>
  <c r="R199" i="4"/>
  <c r="R196" i="3" s="1"/>
  <c r="E196" i="3"/>
  <c r="C331" i="1"/>
  <c r="O106" i="5"/>
  <c r="I106" i="6"/>
  <c r="AO54" i="5"/>
  <c r="AP54" i="5" s="1"/>
  <c r="E54" i="6"/>
  <c r="L54" i="5"/>
  <c r="P54" i="6" s="1"/>
  <c r="AA54" i="5"/>
  <c r="S54" i="6" s="1"/>
  <c r="R54" i="5"/>
  <c r="R54" i="6" s="1"/>
  <c r="AD54" i="5"/>
  <c r="W54" i="6" s="1"/>
  <c r="S54" i="5"/>
  <c r="Q54" i="6" s="1"/>
  <c r="AE54" i="5"/>
  <c r="X54" i="6" s="1"/>
  <c r="Z54" i="5"/>
  <c r="T54" i="6" s="1"/>
  <c r="V66" i="4"/>
  <c r="U193" i="3" s="1"/>
  <c r="G193" i="3"/>
  <c r="C346" i="1"/>
  <c r="D429" i="16"/>
  <c r="G94" i="3"/>
  <c r="V7" i="4"/>
  <c r="U94" i="3" s="1"/>
  <c r="I16" i="16"/>
  <c r="Z15" i="4"/>
  <c r="T75" i="3" s="1"/>
  <c r="AE15" i="4"/>
  <c r="X75" i="3" s="1"/>
  <c r="S15" i="4"/>
  <c r="Q75" i="3" s="1"/>
  <c r="AD15" i="4"/>
  <c r="W75" i="3" s="1"/>
  <c r="L15" i="4"/>
  <c r="P75" i="3" s="1"/>
  <c r="AA15" i="4"/>
  <c r="S75" i="3" s="1"/>
  <c r="E75" i="3"/>
  <c r="R15" i="4"/>
  <c r="R75" i="3" s="1"/>
  <c r="D168" i="8"/>
  <c r="G29" i="6"/>
  <c r="B223" i="9"/>
  <c r="B223" i="12"/>
  <c r="B223" i="8"/>
  <c r="B223" i="10"/>
  <c r="B223" i="11"/>
  <c r="C223" i="22" s="1"/>
  <c r="G26" i="6"/>
  <c r="C492" i="1"/>
  <c r="I290" i="16"/>
  <c r="V33" i="4"/>
  <c r="U58" i="3" s="1"/>
  <c r="G58" i="3"/>
  <c r="C67" i="1"/>
  <c r="V128" i="4"/>
  <c r="U80" i="3" s="1"/>
  <c r="G80" i="3"/>
  <c r="F199" i="6"/>
  <c r="I156" i="3"/>
  <c r="O196" i="4"/>
  <c r="J230" i="16"/>
  <c r="C208" i="1"/>
  <c r="I410" i="16"/>
  <c r="I141" i="16"/>
  <c r="D59" i="9"/>
  <c r="H124" i="6"/>
  <c r="V124" i="5"/>
  <c r="U124" i="6" s="1"/>
  <c r="C335" i="1"/>
  <c r="D185" i="10"/>
  <c r="AO157" i="5"/>
  <c r="AP157" i="5" s="1"/>
  <c r="AD157" i="5"/>
  <c r="W157" i="6" s="1"/>
  <c r="L157" i="5"/>
  <c r="P157" i="6" s="1"/>
  <c r="Z157" i="5"/>
  <c r="T157" i="6" s="1"/>
  <c r="S157" i="5"/>
  <c r="Q157" i="6" s="1"/>
  <c r="AA157" i="5"/>
  <c r="S157" i="6" s="1"/>
  <c r="E157" i="6"/>
  <c r="AE157" i="5"/>
  <c r="X157" i="6" s="1"/>
  <c r="R157" i="5"/>
  <c r="R157" i="6" s="1"/>
  <c r="O164" i="4"/>
  <c r="I113" i="3"/>
  <c r="L84" i="5"/>
  <c r="P84" i="6" s="1"/>
  <c r="AO84" i="5"/>
  <c r="AP84" i="5" s="1"/>
  <c r="Z84" i="5"/>
  <c r="T84" i="6" s="1"/>
  <c r="AA84" i="5"/>
  <c r="S84" i="6" s="1"/>
  <c r="E84" i="6"/>
  <c r="AD84" i="5"/>
  <c r="W84" i="6" s="1"/>
  <c r="R84" i="5"/>
  <c r="R84" i="6" s="1"/>
  <c r="S84" i="5"/>
  <c r="Q84" i="6" s="1"/>
  <c r="AE84" i="5"/>
  <c r="X84" i="6" s="1"/>
  <c r="F14" i="3"/>
  <c r="D167" i="10"/>
  <c r="H371" i="16"/>
  <c r="O178" i="5"/>
  <c r="Q178" i="5" s="1"/>
  <c r="I178" i="6"/>
  <c r="I96" i="6"/>
  <c r="O96" i="5"/>
  <c r="D42" i="8"/>
  <c r="Z129" i="5"/>
  <c r="T129" i="6" s="1"/>
  <c r="AE129" i="5"/>
  <c r="X129" i="6" s="1"/>
  <c r="S129" i="5"/>
  <c r="Q129" i="6" s="1"/>
  <c r="AD129" i="5"/>
  <c r="W129" i="6" s="1"/>
  <c r="AA129" i="5"/>
  <c r="S129" i="6" s="1"/>
  <c r="R129" i="5"/>
  <c r="R129" i="6" s="1"/>
  <c r="E129" i="6"/>
  <c r="L129" i="5"/>
  <c r="P129" i="6" s="1"/>
  <c r="AO129" i="5"/>
  <c r="AP129" i="5" s="1"/>
  <c r="J241" i="16"/>
  <c r="L81" i="6"/>
  <c r="F116" i="3"/>
  <c r="D96" i="12"/>
  <c r="D11" i="12"/>
  <c r="D431" i="16"/>
  <c r="I58" i="3"/>
  <c r="O33" i="4"/>
  <c r="C342" i="1"/>
  <c r="D28" i="12"/>
  <c r="D142" i="12"/>
  <c r="V86" i="4"/>
  <c r="U53" i="3" s="1"/>
  <c r="G53" i="3"/>
  <c r="G63" i="6"/>
  <c r="G18" i="6"/>
  <c r="F59" i="3"/>
  <c r="D212" i="9"/>
  <c r="D355" i="16"/>
  <c r="J340" i="16"/>
  <c r="I407" i="16"/>
  <c r="L17" i="6"/>
  <c r="R178" i="4"/>
  <c r="R15" i="3" s="1"/>
  <c r="AE178" i="4"/>
  <c r="X15" i="3" s="1"/>
  <c r="Z178" i="4"/>
  <c r="T15" i="3" s="1"/>
  <c r="S178" i="4"/>
  <c r="Q15" i="3" s="1"/>
  <c r="AD178" i="4"/>
  <c r="W15" i="3" s="1"/>
  <c r="L178" i="4"/>
  <c r="P15" i="3" s="1"/>
  <c r="E15" i="3"/>
  <c r="AA178" i="4"/>
  <c r="S15" i="3" s="1"/>
  <c r="H14" i="16"/>
  <c r="L14" i="16" s="1"/>
  <c r="I95" i="6"/>
  <c r="O95" i="5"/>
  <c r="F167" i="3"/>
  <c r="G44" i="6"/>
  <c r="L154" i="3"/>
  <c r="C456" i="1"/>
  <c r="H226" i="16"/>
  <c r="C60" i="1"/>
  <c r="V165" i="5"/>
  <c r="U165" i="6" s="1"/>
  <c r="H165" i="6"/>
  <c r="J205" i="16"/>
  <c r="D171" i="11"/>
  <c r="C33" i="14"/>
  <c r="C474" i="1"/>
  <c r="F20" i="3"/>
  <c r="D167" i="12"/>
  <c r="L116" i="6"/>
  <c r="V139" i="4"/>
  <c r="U103" i="3" s="1"/>
  <c r="G103" i="3"/>
  <c r="C435" i="1"/>
  <c r="Z83" i="4"/>
  <c r="T84" i="3" s="1"/>
  <c r="AA83" i="4"/>
  <c r="S84" i="3" s="1"/>
  <c r="R83" i="4"/>
  <c r="R84" i="3" s="1"/>
  <c r="S83" i="4"/>
  <c r="Q84" i="3" s="1"/>
  <c r="AE83" i="4"/>
  <c r="X84" i="3" s="1"/>
  <c r="E84" i="3"/>
  <c r="AD83" i="4"/>
  <c r="W84" i="3" s="1"/>
  <c r="L83" i="4"/>
  <c r="P84" i="3" s="1"/>
  <c r="H16" i="3"/>
  <c r="C44" i="1"/>
  <c r="I200" i="3"/>
  <c r="O60" i="4"/>
  <c r="I201" i="6"/>
  <c r="O201" i="5"/>
  <c r="L167" i="3"/>
  <c r="I15" i="3"/>
  <c r="O178" i="4"/>
  <c r="Q178" i="4" s="1"/>
  <c r="AE193" i="4"/>
  <c r="X77" i="3" s="1"/>
  <c r="AD193" i="4"/>
  <c r="W77" i="3" s="1"/>
  <c r="E77" i="3"/>
  <c r="R193" i="4"/>
  <c r="R77" i="3" s="1"/>
  <c r="Z193" i="4"/>
  <c r="T77" i="3" s="1"/>
  <c r="L193" i="4"/>
  <c r="P77" i="3" s="1"/>
  <c r="S193" i="4"/>
  <c r="Q77" i="3" s="1"/>
  <c r="AA193" i="4"/>
  <c r="S77" i="3" s="1"/>
  <c r="C426" i="1"/>
  <c r="AE55" i="5"/>
  <c r="X55" i="6" s="1"/>
  <c r="AO55" i="5"/>
  <c r="AP55" i="5" s="1"/>
  <c r="E55" i="6"/>
  <c r="R55" i="5"/>
  <c r="R55" i="6" s="1"/>
  <c r="L55" i="5"/>
  <c r="P55" i="6" s="1"/>
  <c r="AD55" i="5"/>
  <c r="W55" i="6" s="1"/>
  <c r="AA55" i="5"/>
  <c r="S55" i="6" s="1"/>
  <c r="Z55" i="5"/>
  <c r="T55" i="6" s="1"/>
  <c r="S55" i="5"/>
  <c r="Q55" i="6" s="1"/>
  <c r="D220" i="10"/>
  <c r="O70" i="5"/>
  <c r="I70" i="6"/>
  <c r="L5" i="3"/>
  <c r="D246" i="11"/>
  <c r="D301" i="11"/>
  <c r="AE131" i="5"/>
  <c r="X131" i="6" s="1"/>
  <c r="AO131" i="5"/>
  <c r="AP131" i="5" s="1"/>
  <c r="AD131" i="5"/>
  <c r="W131" i="6" s="1"/>
  <c r="AA131" i="5"/>
  <c r="S131" i="6" s="1"/>
  <c r="L131" i="5"/>
  <c r="P131" i="6" s="1"/>
  <c r="R131" i="5"/>
  <c r="R131" i="6" s="1"/>
  <c r="E131" i="6"/>
  <c r="Z131" i="5"/>
  <c r="T131" i="6" s="1"/>
  <c r="S131" i="5"/>
  <c r="Q131" i="6" s="1"/>
  <c r="G165" i="6"/>
  <c r="H184" i="3"/>
  <c r="J305" i="16"/>
  <c r="I321" i="16"/>
  <c r="H96" i="3"/>
  <c r="F161" i="3"/>
  <c r="AE31" i="5"/>
  <c r="X31" i="6" s="1"/>
  <c r="AD31" i="5"/>
  <c r="W31" i="6" s="1"/>
  <c r="AO31" i="5"/>
  <c r="AP31" i="5" s="1"/>
  <c r="S31" i="5"/>
  <c r="Q31" i="6" s="1"/>
  <c r="R31" i="5"/>
  <c r="R31" i="6" s="1"/>
  <c r="L31" i="5"/>
  <c r="P31" i="6" s="1"/>
  <c r="E31" i="6"/>
  <c r="AA31" i="5"/>
  <c r="S31" i="6" s="1"/>
  <c r="Z31" i="5"/>
  <c r="T31" i="6" s="1"/>
  <c r="G197" i="6"/>
  <c r="J293" i="16"/>
  <c r="L155" i="3"/>
  <c r="L30" i="6"/>
  <c r="G130" i="6"/>
  <c r="D152" i="8"/>
  <c r="I378" i="16"/>
  <c r="D203" i="8"/>
  <c r="F81" i="3"/>
  <c r="C306" i="1"/>
  <c r="I459" i="16"/>
  <c r="I168" i="16"/>
  <c r="L119" i="6"/>
  <c r="D205" i="16"/>
  <c r="I337" i="16"/>
  <c r="C381" i="1"/>
  <c r="O90" i="5"/>
  <c r="I90" i="6"/>
  <c r="F32" i="3"/>
  <c r="S129" i="4"/>
  <c r="Q72" i="3" s="1"/>
  <c r="R129" i="4"/>
  <c r="R72" i="3" s="1"/>
  <c r="E72" i="3"/>
  <c r="L129" i="4"/>
  <c r="P72" i="3" s="1"/>
  <c r="Z129" i="4"/>
  <c r="T72" i="3" s="1"/>
  <c r="AA129" i="4"/>
  <c r="S72" i="3" s="1"/>
  <c r="AD129" i="4"/>
  <c r="W72" i="3" s="1"/>
  <c r="AE129" i="4"/>
  <c r="X72" i="3" s="1"/>
  <c r="L111" i="6"/>
  <c r="V145" i="4"/>
  <c r="U18" i="3" s="1"/>
  <c r="G18" i="3"/>
  <c r="B268" i="10"/>
  <c r="B268" i="9"/>
  <c r="B268" i="12"/>
  <c r="B268" i="11"/>
  <c r="C268" i="22" s="1"/>
  <c r="B268" i="8"/>
  <c r="V111" i="4"/>
  <c r="U51" i="3" s="1"/>
  <c r="G51" i="3"/>
  <c r="H342" i="16"/>
  <c r="I285" i="16"/>
  <c r="H129" i="16"/>
  <c r="I107" i="6"/>
  <c r="O107" i="5"/>
  <c r="I450" i="16"/>
  <c r="H128" i="16"/>
  <c r="O203" i="5"/>
  <c r="I203" i="6"/>
  <c r="H200" i="3"/>
  <c r="Z81" i="5"/>
  <c r="T81" i="6" s="1"/>
  <c r="AO81" i="5"/>
  <c r="AP81" i="5" s="1"/>
  <c r="L81" i="5"/>
  <c r="P81" i="6" s="1"/>
  <c r="R81" i="5"/>
  <c r="R81" i="6" s="1"/>
  <c r="S81" i="5"/>
  <c r="Q81" i="6" s="1"/>
  <c r="E81" i="6"/>
  <c r="AD81" i="5"/>
  <c r="W81" i="6" s="1"/>
  <c r="AA81" i="5"/>
  <c r="S81" i="6" s="1"/>
  <c r="AE81" i="5"/>
  <c r="X81" i="6" s="1"/>
  <c r="F69" i="3"/>
  <c r="H5" i="1"/>
  <c r="H69" i="3"/>
  <c r="D58" i="12"/>
  <c r="AE28" i="4"/>
  <c r="X46" i="3" s="1"/>
  <c r="L28" i="4"/>
  <c r="AA28" i="4"/>
  <c r="S46" i="3" s="1"/>
  <c r="AD28" i="4"/>
  <c r="W46" i="3" s="1"/>
  <c r="R28" i="4"/>
  <c r="R46" i="3" s="1"/>
  <c r="S28" i="4"/>
  <c r="Q46" i="3" s="1"/>
  <c r="E46" i="3"/>
  <c r="Z28" i="4"/>
  <c r="T46" i="3" s="1"/>
  <c r="D12" i="11"/>
  <c r="C36" i="1"/>
  <c r="J370" i="16"/>
  <c r="I300" i="16"/>
  <c r="J306" i="16"/>
  <c r="D89" i="8"/>
  <c r="H17" i="16"/>
  <c r="K17" i="16" s="1"/>
  <c r="J219" i="16"/>
  <c r="D44" i="11"/>
  <c r="D432" i="16"/>
  <c r="D261" i="16"/>
  <c r="O57" i="5"/>
  <c r="I57" i="6"/>
  <c r="I16" i="6"/>
  <c r="O16" i="5"/>
  <c r="L74" i="6"/>
  <c r="O16" i="4"/>
  <c r="I184" i="3"/>
  <c r="H185" i="16"/>
  <c r="I261" i="16"/>
  <c r="H155" i="16"/>
  <c r="D164" i="8"/>
  <c r="G8" i="3"/>
  <c r="V187" i="4"/>
  <c r="U8" i="3" s="1"/>
  <c r="D154" i="12"/>
  <c r="D49" i="8"/>
  <c r="G10" i="6"/>
  <c r="D214" i="11"/>
  <c r="D146" i="12"/>
  <c r="C183" i="1"/>
  <c r="J9" i="16"/>
  <c r="I245" i="16"/>
  <c r="B297" i="10"/>
  <c r="B297" i="12"/>
  <c r="B297" i="8"/>
  <c r="B297" i="11"/>
  <c r="C297" i="22" s="1"/>
  <c r="B297" i="9"/>
  <c r="F18" i="3"/>
  <c r="G167" i="3"/>
  <c r="V12" i="4"/>
  <c r="U167" i="3" s="1"/>
  <c r="D119" i="9"/>
  <c r="F140" i="6"/>
  <c r="F154" i="6"/>
  <c r="C108" i="1"/>
  <c r="I343" i="16"/>
  <c r="L31" i="4"/>
  <c r="P182" i="3" s="1"/>
  <c r="E182" i="3"/>
  <c r="AD31" i="4"/>
  <c r="W182" i="3" s="1"/>
  <c r="S31" i="4"/>
  <c r="Q182" i="3" s="1"/>
  <c r="AA31" i="4"/>
  <c r="S182" i="3" s="1"/>
  <c r="AE31" i="4"/>
  <c r="X182" i="3" s="1"/>
  <c r="R31" i="4"/>
  <c r="R182" i="3" s="1"/>
  <c r="Z31" i="4"/>
  <c r="T182" i="3" s="1"/>
  <c r="G15" i="3"/>
  <c r="V178" i="4"/>
  <c r="U15" i="3" s="1"/>
  <c r="H6" i="3"/>
  <c r="E53" i="3"/>
  <c r="R86" i="4"/>
  <c r="R53" i="3" s="1"/>
  <c r="S86" i="4"/>
  <c r="Q53" i="3" s="1"/>
  <c r="AE86" i="4"/>
  <c r="X53" i="3" s="1"/>
  <c r="L86" i="4"/>
  <c r="P53" i="3" s="1"/>
  <c r="AD86" i="4"/>
  <c r="W53" i="3" s="1"/>
  <c r="AA86" i="4"/>
  <c r="S53" i="3" s="1"/>
  <c r="Z86" i="4"/>
  <c r="T53" i="3" s="1"/>
  <c r="L28" i="3"/>
  <c r="D106" i="10"/>
  <c r="O174" i="4"/>
  <c r="I110" i="3"/>
  <c r="D102" i="10"/>
  <c r="F180" i="3"/>
  <c r="O190" i="4"/>
  <c r="I132" i="3"/>
  <c r="L186" i="6"/>
  <c r="F47" i="6"/>
  <c r="E120" i="6"/>
  <c r="AE120" i="5"/>
  <c r="X120" i="6" s="1"/>
  <c r="Z120" i="5"/>
  <c r="T120" i="6" s="1"/>
  <c r="S120" i="5"/>
  <c r="Q120" i="6" s="1"/>
  <c r="AA120" i="5"/>
  <c r="S120" i="6" s="1"/>
  <c r="R120" i="5"/>
  <c r="R120" i="6" s="1"/>
  <c r="AO120" i="5"/>
  <c r="AP120" i="5" s="1"/>
  <c r="L120" i="5"/>
  <c r="P120" i="6" s="1"/>
  <c r="AD120" i="5"/>
  <c r="W120" i="6" s="1"/>
  <c r="D85" i="8"/>
  <c r="C388" i="1"/>
  <c r="D274" i="16"/>
  <c r="C460" i="1"/>
  <c r="D297" i="11"/>
  <c r="G182" i="6"/>
  <c r="L84" i="6"/>
  <c r="L66" i="3"/>
  <c r="AE93" i="4"/>
  <c r="X41" i="3" s="1"/>
  <c r="L93" i="4"/>
  <c r="P41" i="3" s="1"/>
  <c r="S93" i="4"/>
  <c r="Q41" i="3" s="1"/>
  <c r="E41" i="3"/>
  <c r="R93" i="4"/>
  <c r="R41" i="3" s="1"/>
  <c r="AA93" i="4"/>
  <c r="S41" i="3" s="1"/>
  <c r="Z93" i="4"/>
  <c r="T41" i="3" s="1"/>
  <c r="AD93" i="4"/>
  <c r="W41" i="3" s="1"/>
  <c r="L6" i="3"/>
  <c r="O88" i="5"/>
  <c r="Q88" i="5" s="1"/>
  <c r="I88" i="6"/>
  <c r="H204" i="6"/>
  <c r="V204" i="5"/>
  <c r="U204" i="6" s="1"/>
  <c r="C362" i="1"/>
  <c r="F198" i="6"/>
  <c r="V119" i="5"/>
  <c r="U119" i="6" s="1"/>
  <c r="H119" i="6"/>
  <c r="D388" i="16"/>
  <c r="G155" i="6"/>
  <c r="C203" i="1"/>
  <c r="B305" i="9"/>
  <c r="B305" i="8"/>
  <c r="B305" i="10"/>
  <c r="B305" i="12"/>
  <c r="B305" i="11"/>
  <c r="C305" i="22" s="1"/>
  <c r="C188" i="1"/>
  <c r="I49" i="6"/>
  <c r="O49" i="5"/>
  <c r="S33" i="4"/>
  <c r="Q58" i="3" s="1"/>
  <c r="AA33" i="4"/>
  <c r="S58" i="3" s="1"/>
  <c r="R33" i="4"/>
  <c r="R58" i="3" s="1"/>
  <c r="Z33" i="4"/>
  <c r="T58" i="3" s="1"/>
  <c r="L33" i="4"/>
  <c r="P58" i="3" s="1"/>
  <c r="AE33" i="4"/>
  <c r="X58" i="3" s="1"/>
  <c r="E58" i="3"/>
  <c r="AD33" i="4"/>
  <c r="W58" i="3" s="1"/>
  <c r="G89" i="3"/>
  <c r="V123" i="4"/>
  <c r="U89" i="3" s="1"/>
  <c r="I161" i="16"/>
  <c r="D153" i="10"/>
  <c r="L140" i="6"/>
  <c r="D163" i="8"/>
  <c r="AE180" i="5"/>
  <c r="X180" i="6" s="1"/>
  <c r="AO180" i="5"/>
  <c r="AP180" i="5" s="1"/>
  <c r="E180" i="6"/>
  <c r="Z180" i="5"/>
  <c r="T180" i="6" s="1"/>
  <c r="AA180" i="5"/>
  <c r="S180" i="6" s="1"/>
  <c r="S180" i="5"/>
  <c r="Q180" i="6" s="1"/>
  <c r="AD180" i="5"/>
  <c r="W180" i="6" s="1"/>
  <c r="L180" i="5"/>
  <c r="P180" i="6" s="1"/>
  <c r="R180" i="5"/>
  <c r="R180" i="6" s="1"/>
  <c r="F151" i="3"/>
  <c r="V20" i="4"/>
  <c r="U177" i="3" s="1"/>
  <c r="G177" i="3"/>
  <c r="AA188" i="4"/>
  <c r="S21" i="3" s="1"/>
  <c r="S188" i="4"/>
  <c r="Q21" i="3" s="1"/>
  <c r="AE188" i="4"/>
  <c r="X21" i="3" s="1"/>
  <c r="Z188" i="4"/>
  <c r="T21" i="3" s="1"/>
  <c r="AD188" i="4"/>
  <c r="W21" i="3" s="1"/>
  <c r="L188" i="4"/>
  <c r="P21" i="3" s="1"/>
  <c r="R188" i="4"/>
  <c r="R21" i="3" s="1"/>
  <c r="E21" i="3"/>
  <c r="I204" i="3"/>
  <c r="O77" i="4"/>
  <c r="F28" i="6"/>
  <c r="H30" i="16"/>
  <c r="F182" i="3"/>
  <c r="L110" i="3"/>
  <c r="H95" i="6"/>
  <c r="V95" i="5"/>
  <c r="U95" i="6" s="1"/>
  <c r="V164" i="5"/>
  <c r="U164" i="6" s="1"/>
  <c r="H164" i="6"/>
  <c r="C131" i="1"/>
  <c r="I422" i="16"/>
  <c r="C321" i="1"/>
  <c r="D9" i="9"/>
  <c r="H55" i="3"/>
  <c r="D172" i="8"/>
  <c r="H162" i="3"/>
  <c r="H399" i="16"/>
  <c r="C127" i="1"/>
  <c r="F167" i="6"/>
  <c r="H181" i="3"/>
  <c r="O179" i="4"/>
  <c r="Q179" i="4" s="1"/>
  <c r="I191" i="3"/>
  <c r="C123" i="1"/>
  <c r="I108" i="3"/>
  <c r="O94" i="4"/>
  <c r="Q94" i="4" s="1"/>
  <c r="F157" i="6"/>
  <c r="I14" i="6"/>
  <c r="O14" i="5"/>
  <c r="Q14" i="5" s="1"/>
  <c r="D104" i="11"/>
  <c r="D214" i="9"/>
  <c r="H13" i="6"/>
  <c r="V13" i="5"/>
  <c r="U13" i="6" s="1"/>
  <c r="F152" i="6"/>
  <c r="F21" i="3"/>
  <c r="C135" i="1"/>
  <c r="C104" i="1"/>
  <c r="L31" i="3"/>
  <c r="C21" i="1"/>
  <c r="S188" i="5"/>
  <c r="Q188" i="6" s="1"/>
  <c r="R188" i="5"/>
  <c r="R188" i="6" s="1"/>
  <c r="AA188" i="5"/>
  <c r="S188" i="6" s="1"/>
  <c r="AE188" i="5"/>
  <c r="X188" i="6" s="1"/>
  <c r="Z188" i="5"/>
  <c r="T188" i="6" s="1"/>
  <c r="AD188" i="5"/>
  <c r="W188" i="6" s="1"/>
  <c r="L188" i="5"/>
  <c r="P188" i="6" s="1"/>
  <c r="AO188" i="5"/>
  <c r="AP188" i="5" s="1"/>
  <c r="E188" i="6"/>
  <c r="D190" i="16"/>
  <c r="I217" i="16"/>
  <c r="D298" i="12"/>
  <c r="G187" i="6"/>
  <c r="D223" i="12"/>
  <c r="V198" i="5"/>
  <c r="U198" i="6" s="1"/>
  <c r="H198" i="6"/>
  <c r="F64" i="6"/>
  <c r="D130" i="12"/>
  <c r="AA61" i="4"/>
  <c r="S139" i="3" s="1"/>
  <c r="AE61" i="4"/>
  <c r="X139" i="3" s="1"/>
  <c r="R61" i="4"/>
  <c r="R139" i="3" s="1"/>
  <c r="AD61" i="4"/>
  <c r="W139" i="3" s="1"/>
  <c r="S61" i="4"/>
  <c r="Q139" i="3" s="1"/>
  <c r="Z61" i="4"/>
  <c r="T139" i="3" s="1"/>
  <c r="E139" i="3"/>
  <c r="L61" i="4"/>
  <c r="P139" i="3" s="1"/>
  <c r="D79" i="9"/>
  <c r="H445" i="16"/>
  <c r="J356" i="16"/>
  <c r="J229" i="16"/>
  <c r="D15" i="9"/>
  <c r="D186" i="12"/>
  <c r="H73" i="3"/>
  <c r="H278" i="16"/>
  <c r="C211" i="1"/>
  <c r="F206" i="6"/>
  <c r="D75" i="10"/>
  <c r="G197" i="3"/>
  <c r="V19" i="4"/>
  <c r="U197" i="3" s="1"/>
  <c r="D121" i="9"/>
  <c r="D424" i="16"/>
  <c r="O144" i="5"/>
  <c r="I144" i="6"/>
  <c r="V85" i="4"/>
  <c r="U47" i="3" s="1"/>
  <c r="G47" i="3"/>
  <c r="C386" i="1"/>
  <c r="L169" i="3"/>
  <c r="L161" i="6"/>
  <c r="D234" i="11"/>
  <c r="I160" i="16"/>
  <c r="D148" i="11"/>
  <c r="V108" i="5"/>
  <c r="U108" i="6" s="1"/>
  <c r="H108" i="6"/>
  <c r="O102" i="5"/>
  <c r="I102" i="6"/>
  <c r="C149" i="1"/>
  <c r="C348" i="1"/>
  <c r="C371" i="1"/>
  <c r="AO95" i="5"/>
  <c r="AP95" i="5" s="1"/>
  <c r="Z95" i="5"/>
  <c r="T95" i="6" s="1"/>
  <c r="AE95" i="5"/>
  <c r="X95" i="6" s="1"/>
  <c r="L95" i="5"/>
  <c r="P95" i="6" s="1"/>
  <c r="E95" i="6"/>
  <c r="S95" i="5"/>
  <c r="Q95" i="6" s="1"/>
  <c r="AD95" i="5"/>
  <c r="W95" i="6" s="1"/>
  <c r="R95" i="5"/>
  <c r="R95" i="6" s="1"/>
  <c r="AA95" i="5"/>
  <c r="S95" i="6" s="1"/>
  <c r="H369" i="16"/>
  <c r="G91" i="3"/>
  <c r="V177" i="4"/>
  <c r="U91" i="3" s="1"/>
  <c r="O47" i="5"/>
  <c r="Q47" i="5" s="1"/>
  <c r="I47" i="6"/>
  <c r="L132" i="3"/>
  <c r="H175" i="3"/>
  <c r="L7" i="3"/>
  <c r="AA160" i="5"/>
  <c r="S160" i="6" s="1"/>
  <c r="R160" i="5"/>
  <c r="R160" i="6" s="1"/>
  <c r="AD160" i="5"/>
  <c r="Z160" i="5"/>
  <c r="T160" i="6" s="1"/>
  <c r="E160" i="6"/>
  <c r="L160" i="5"/>
  <c r="P160" i="6" s="1"/>
  <c r="AO160" i="5"/>
  <c r="AP160" i="5" s="1"/>
  <c r="AE160" i="5"/>
  <c r="X160" i="6" s="1"/>
  <c r="S160" i="5"/>
  <c r="Q160" i="6" s="1"/>
  <c r="D24" i="16"/>
  <c r="C37" i="1"/>
  <c r="L176" i="3"/>
  <c r="O179" i="5"/>
  <c r="I179" i="6"/>
  <c r="G46" i="6"/>
  <c r="D105" i="9"/>
  <c r="G145" i="3"/>
  <c r="V63" i="4"/>
  <c r="U145" i="3" s="1"/>
  <c r="D76" i="10"/>
  <c r="D122" i="12"/>
  <c r="O98" i="4"/>
  <c r="I100" i="3"/>
  <c r="I197" i="16"/>
  <c r="L181" i="6"/>
  <c r="I380" i="16"/>
  <c r="AA62" i="5"/>
  <c r="S62" i="6" s="1"/>
  <c r="AD62" i="5"/>
  <c r="W62" i="6" s="1"/>
  <c r="R62" i="5"/>
  <c r="R62" i="6" s="1"/>
  <c r="Z62" i="5"/>
  <c r="T62" i="6" s="1"/>
  <c r="S62" i="5"/>
  <c r="Q62" i="6" s="1"/>
  <c r="E62" i="6"/>
  <c r="L62" i="5"/>
  <c r="P62" i="6" s="1"/>
  <c r="AO62" i="5"/>
  <c r="AP62" i="5" s="1"/>
  <c r="AE62" i="5"/>
  <c r="X62" i="6" s="1"/>
  <c r="F200" i="6"/>
  <c r="H295" i="16"/>
  <c r="H405" i="16"/>
  <c r="D210" i="11"/>
  <c r="D205" i="12"/>
  <c r="F48" i="3"/>
  <c r="G132" i="6"/>
  <c r="H351" i="16"/>
  <c r="V110" i="5"/>
  <c r="U110" i="6" s="1"/>
  <c r="H110" i="6"/>
  <c r="D154" i="10"/>
  <c r="H446" i="16"/>
  <c r="C107" i="1"/>
  <c r="D219" i="8"/>
  <c r="F112" i="3"/>
  <c r="H197" i="16"/>
  <c r="V58" i="5"/>
  <c r="U58" i="6" s="1"/>
  <c r="H58" i="6"/>
  <c r="B257" i="10"/>
  <c r="B257" i="9"/>
  <c r="B257" i="8"/>
  <c r="B257" i="11"/>
  <c r="C257" i="22" s="1"/>
  <c r="B257" i="12"/>
  <c r="I18" i="3"/>
  <c r="O145" i="4"/>
  <c r="L146" i="6"/>
  <c r="H450" i="16"/>
  <c r="O450" i="16" s="1"/>
  <c r="D166" i="9"/>
  <c r="D240" i="11"/>
  <c r="I395" i="16"/>
  <c r="D89" i="11"/>
  <c r="L96" i="3"/>
  <c r="Z114" i="4"/>
  <c r="T111" i="3" s="1"/>
  <c r="R114" i="4"/>
  <c r="R111" i="3" s="1"/>
  <c r="E111" i="3"/>
  <c r="AE114" i="4"/>
  <c r="X111" i="3" s="1"/>
  <c r="AD114" i="4"/>
  <c r="W111" i="3" s="1"/>
  <c r="S114" i="4"/>
  <c r="Q111" i="3" s="1"/>
  <c r="L114" i="4"/>
  <c r="P111" i="3" s="1"/>
  <c r="AA114" i="4"/>
  <c r="S111" i="3" s="1"/>
  <c r="L19" i="6"/>
  <c r="AA130" i="4"/>
  <c r="S54" i="3" s="1"/>
  <c r="Z130" i="4"/>
  <c r="T54" i="3" s="1"/>
  <c r="AE130" i="4"/>
  <c r="X54" i="3" s="1"/>
  <c r="E54" i="3"/>
  <c r="L130" i="4"/>
  <c r="P54" i="3" s="1"/>
  <c r="AD130" i="4"/>
  <c r="W54" i="3" s="1"/>
  <c r="S130" i="4"/>
  <c r="Q54" i="3" s="1"/>
  <c r="R130" i="4"/>
  <c r="R54" i="3" s="1"/>
  <c r="C181" i="1"/>
  <c r="J217" i="16"/>
  <c r="D256" i="11"/>
  <c r="R96" i="5"/>
  <c r="R96" i="6" s="1"/>
  <c r="S96" i="5"/>
  <c r="Q96" i="6" s="1"/>
  <c r="AO96" i="5"/>
  <c r="AP96" i="5" s="1"/>
  <c r="L96" i="5"/>
  <c r="P96" i="6" s="1"/>
  <c r="AD96" i="5"/>
  <c r="W96" i="6" s="1"/>
  <c r="AE96" i="5"/>
  <c r="X96" i="6" s="1"/>
  <c r="E96" i="6"/>
  <c r="AA96" i="5"/>
  <c r="S96" i="6" s="1"/>
  <c r="Z96" i="5"/>
  <c r="T96" i="6" s="1"/>
  <c r="V45" i="4"/>
  <c r="U172" i="3" s="1"/>
  <c r="G172" i="3"/>
  <c r="O19" i="5"/>
  <c r="I19" i="6"/>
  <c r="C18" i="1"/>
  <c r="L108" i="6"/>
  <c r="D34" i="8"/>
  <c r="V197" i="4"/>
  <c r="U61" i="3" s="1"/>
  <c r="G61" i="3"/>
  <c r="C33" i="1"/>
  <c r="C105" i="1"/>
  <c r="D438" i="16"/>
  <c r="I30" i="6"/>
  <c r="O30" i="5"/>
  <c r="P30" i="5" s="1"/>
  <c r="M30" i="6" s="1"/>
  <c r="L162" i="3"/>
  <c r="J273" i="16"/>
  <c r="H234" i="16"/>
  <c r="L16" i="3"/>
  <c r="H287" i="16"/>
  <c r="B242" i="9"/>
  <c r="B242" i="11"/>
  <c r="C242" i="22" s="1"/>
  <c r="B242" i="8"/>
  <c r="B242" i="12"/>
  <c r="B242" i="10"/>
  <c r="D28" i="8"/>
  <c r="F6" i="6"/>
  <c r="J200" i="16"/>
  <c r="I98" i="6"/>
  <c r="O98" i="5"/>
  <c r="I364" i="16"/>
  <c r="D457" i="16"/>
  <c r="O100" i="4"/>
  <c r="Q100" i="4" s="1"/>
  <c r="I56" i="3"/>
  <c r="R71" i="5"/>
  <c r="R71" i="6" s="1"/>
  <c r="E71" i="6"/>
  <c r="L71" i="5"/>
  <c r="P71" i="6" s="1"/>
  <c r="AO71" i="5"/>
  <c r="AP71" i="5" s="1"/>
  <c r="S71" i="5"/>
  <c r="Q71" i="6" s="1"/>
  <c r="AD71" i="5"/>
  <c r="W71" i="6" s="1"/>
  <c r="AE71" i="5"/>
  <c r="X71" i="6" s="1"/>
  <c r="AA71" i="5"/>
  <c r="S71" i="6" s="1"/>
  <c r="Z71" i="5"/>
  <c r="T71" i="6" s="1"/>
  <c r="I33" i="16"/>
  <c r="G171" i="6"/>
  <c r="F40" i="3"/>
  <c r="AO130" i="5"/>
  <c r="AP130" i="5" s="1"/>
  <c r="S130" i="5"/>
  <c r="Q130" i="6" s="1"/>
  <c r="R130" i="5"/>
  <c r="R130" i="6" s="1"/>
  <c r="L130" i="5"/>
  <c r="P130" i="6" s="1"/>
  <c r="Z130" i="5"/>
  <c r="T130" i="6" s="1"/>
  <c r="AD130" i="5"/>
  <c r="W130" i="6" s="1"/>
  <c r="E130" i="6"/>
  <c r="AA130" i="5"/>
  <c r="S130" i="6" s="1"/>
  <c r="AE130" i="5"/>
  <c r="X130" i="6" s="1"/>
  <c r="F121" i="3"/>
  <c r="O56" i="5"/>
  <c r="I56" i="6"/>
  <c r="D126" i="9"/>
  <c r="H46" i="3"/>
  <c r="O88" i="4"/>
  <c r="I29" i="3"/>
  <c r="G17" i="6"/>
  <c r="C176" i="1"/>
  <c r="G102" i="6"/>
  <c r="F7" i="3"/>
  <c r="V32" i="4"/>
  <c r="U6" i="3" s="1"/>
  <c r="G6" i="3"/>
  <c r="D129" i="11"/>
  <c r="J8" i="16"/>
  <c r="J172" i="16"/>
  <c r="H268" i="16"/>
  <c r="D160" i="12"/>
  <c r="I26" i="16"/>
  <c r="H364" i="16"/>
  <c r="D9" i="11"/>
  <c r="L83" i="3"/>
  <c r="D177" i="16"/>
  <c r="D36" i="8"/>
  <c r="H131" i="3"/>
  <c r="R75" i="4"/>
  <c r="R17" i="3" s="1"/>
  <c r="AD75" i="4"/>
  <c r="W17" i="3" s="1"/>
  <c r="E17" i="3"/>
  <c r="S75" i="4"/>
  <c r="Q17" i="3" s="1"/>
  <c r="L75" i="4"/>
  <c r="P17" i="3" s="1"/>
  <c r="Z75" i="4"/>
  <c r="T17" i="3" s="1"/>
  <c r="AA75" i="4"/>
  <c r="S17" i="3" s="1"/>
  <c r="AE75" i="4"/>
  <c r="X17" i="3" s="1"/>
  <c r="AD24" i="5"/>
  <c r="W24" i="6" s="1"/>
  <c r="S24" i="5"/>
  <c r="Q24" i="6" s="1"/>
  <c r="L24" i="5"/>
  <c r="P24" i="6" s="1"/>
  <c r="AO24" i="5"/>
  <c r="AP24" i="5" s="1"/>
  <c r="E24" i="6"/>
  <c r="AA24" i="5"/>
  <c r="S24" i="6" s="1"/>
  <c r="AE24" i="5"/>
  <c r="X24" i="6" s="1"/>
  <c r="Z24" i="5"/>
  <c r="T24" i="6" s="1"/>
  <c r="R24" i="5"/>
  <c r="R24" i="6" s="1"/>
  <c r="D160" i="9"/>
  <c r="D35" i="11"/>
  <c r="F34" i="6"/>
  <c r="D208" i="12"/>
  <c r="AA32" i="5"/>
  <c r="S32" i="6" s="1"/>
  <c r="AO32" i="5"/>
  <c r="AP32" i="5" s="1"/>
  <c r="L32" i="5"/>
  <c r="P32" i="6" s="1"/>
  <c r="R32" i="5"/>
  <c r="R32" i="6" s="1"/>
  <c r="Z32" i="5"/>
  <c r="T32" i="6" s="1"/>
  <c r="S32" i="5"/>
  <c r="Q32" i="6" s="1"/>
  <c r="AD32" i="5"/>
  <c r="W32" i="6" s="1"/>
  <c r="E32" i="6"/>
  <c r="AE32" i="5"/>
  <c r="X32" i="6" s="1"/>
  <c r="D215" i="16"/>
  <c r="H21" i="16"/>
  <c r="D285" i="16"/>
  <c r="J245" i="16"/>
  <c r="D183" i="9"/>
  <c r="I37" i="6"/>
  <c r="O37" i="5"/>
  <c r="H71" i="3"/>
  <c r="D26" i="11"/>
  <c r="L20" i="6"/>
  <c r="F83" i="3"/>
  <c r="L183" i="3"/>
  <c r="D118" i="10"/>
  <c r="AD131" i="4"/>
  <c r="W27" i="3" s="1"/>
  <c r="S131" i="4"/>
  <c r="Q27" i="3" s="1"/>
  <c r="Z131" i="4"/>
  <c r="T27" i="3" s="1"/>
  <c r="E27" i="3"/>
  <c r="L131" i="4"/>
  <c r="P27" i="3" s="1"/>
  <c r="R131" i="4"/>
  <c r="R27" i="3" s="1"/>
  <c r="AA131" i="4"/>
  <c r="S27" i="3" s="1"/>
  <c r="AE131" i="4"/>
  <c r="X27" i="3" s="1"/>
  <c r="F42" i="3"/>
  <c r="H313" i="16"/>
  <c r="D176" i="10"/>
  <c r="C333" i="1"/>
  <c r="O62" i="5"/>
  <c r="I62" i="6"/>
  <c r="H112" i="3"/>
  <c r="J454" i="16"/>
  <c r="D17" i="8"/>
  <c r="H62" i="6"/>
  <c r="V62" i="5"/>
  <c r="U62" i="6" s="1"/>
  <c r="Z89" i="4"/>
  <c r="T189" i="3" s="1"/>
  <c r="R89" i="4"/>
  <c r="R189" i="3" s="1"/>
  <c r="S89" i="4"/>
  <c r="Q189" i="3" s="1"/>
  <c r="L89" i="4"/>
  <c r="P189" i="3" s="1"/>
  <c r="AD89" i="4"/>
  <c r="W189" i="3" s="1"/>
  <c r="E189" i="3"/>
  <c r="AE89" i="4"/>
  <c r="X189" i="3" s="1"/>
  <c r="AA89" i="4"/>
  <c r="S189" i="3" s="1"/>
  <c r="G188" i="6"/>
  <c r="C336" i="1"/>
  <c r="V27" i="4"/>
  <c r="U123" i="3" s="1"/>
  <c r="G123" i="3"/>
  <c r="Z96" i="4"/>
  <c r="T99" i="3" s="1"/>
  <c r="S96" i="4"/>
  <c r="Q99" i="3" s="1"/>
  <c r="AD96" i="4"/>
  <c r="W99" i="3" s="1"/>
  <c r="AE96" i="4"/>
  <c r="X99" i="3" s="1"/>
  <c r="E99" i="3"/>
  <c r="L96" i="4"/>
  <c r="P99" i="3" s="1"/>
  <c r="AA96" i="4"/>
  <c r="S99" i="3" s="1"/>
  <c r="R96" i="4"/>
  <c r="R99" i="3" s="1"/>
  <c r="I292" i="16"/>
  <c r="F37" i="3"/>
  <c r="O163" i="5"/>
  <c r="Q163" i="5" s="1"/>
  <c r="I163" i="6"/>
  <c r="AA148" i="5"/>
  <c r="S148" i="6" s="1"/>
  <c r="E148" i="6"/>
  <c r="L148" i="5"/>
  <c r="P148" i="6" s="1"/>
  <c r="S148" i="5"/>
  <c r="Q148" i="6" s="1"/>
  <c r="AD148" i="5"/>
  <c r="W148" i="6" s="1"/>
  <c r="Z148" i="5"/>
  <c r="T148" i="6" s="1"/>
  <c r="AO148" i="5"/>
  <c r="AP148" i="5" s="1"/>
  <c r="R148" i="5"/>
  <c r="R148" i="6" s="1"/>
  <c r="AE148" i="5"/>
  <c r="X148" i="6" s="1"/>
  <c r="I97" i="6"/>
  <c r="O97" i="5"/>
  <c r="N97" i="6" s="1"/>
  <c r="D300" i="16"/>
  <c r="D179" i="11"/>
  <c r="C206" i="1"/>
  <c r="I266" i="16"/>
  <c r="AE45" i="5"/>
  <c r="X45" i="6" s="1"/>
  <c r="S45" i="5"/>
  <c r="Q45" i="6" s="1"/>
  <c r="AD45" i="5"/>
  <c r="W45" i="6" s="1"/>
  <c r="L45" i="5"/>
  <c r="P45" i="6" s="1"/>
  <c r="R45" i="5"/>
  <c r="R45" i="6" s="1"/>
  <c r="AA45" i="5"/>
  <c r="S45" i="6" s="1"/>
  <c r="E45" i="6"/>
  <c r="Z45" i="5"/>
  <c r="T45" i="6" s="1"/>
  <c r="AO45" i="5"/>
  <c r="AP45" i="5" s="1"/>
  <c r="G68" i="6"/>
  <c r="C349" i="1"/>
  <c r="L133" i="6"/>
  <c r="L118" i="3"/>
  <c r="D111" i="10"/>
  <c r="R40" i="5"/>
  <c r="R40" i="6" s="1"/>
  <c r="L40" i="5"/>
  <c r="P40" i="6" s="1"/>
  <c r="AO40" i="5"/>
  <c r="AP40" i="5" s="1"/>
  <c r="Z40" i="5"/>
  <c r="T40" i="6" s="1"/>
  <c r="AD40" i="5"/>
  <c r="W40" i="6" s="1"/>
  <c r="E40" i="6"/>
  <c r="S40" i="5"/>
  <c r="Q40" i="6" s="1"/>
  <c r="AA40" i="5"/>
  <c r="S40" i="6" s="1"/>
  <c r="AE40" i="5"/>
  <c r="X40" i="6" s="1"/>
  <c r="I445" i="16"/>
  <c r="F116" i="6"/>
  <c r="V79" i="5"/>
  <c r="U79" i="6" s="1"/>
  <c r="H79" i="6"/>
  <c r="D145" i="16"/>
  <c r="G106" i="6"/>
  <c r="D180" i="11"/>
  <c r="D215" i="8"/>
  <c r="J130" i="16"/>
  <c r="F164" i="6"/>
  <c r="I88" i="3"/>
  <c r="O172" i="4"/>
  <c r="Q172" i="4" s="1"/>
  <c r="C323" i="1"/>
  <c r="C439" i="1"/>
  <c r="J138" i="16"/>
  <c r="C136" i="1"/>
  <c r="H24" i="3"/>
  <c r="I220" i="16"/>
  <c r="L122" i="3"/>
  <c r="C466" i="1"/>
  <c r="D137" i="9"/>
  <c r="I339" i="16"/>
  <c r="H206" i="3"/>
  <c r="C359" i="1"/>
  <c r="F46" i="6"/>
  <c r="H244" i="16"/>
  <c r="D18" i="9"/>
  <c r="R202" i="5"/>
  <c r="R202" i="6" s="1"/>
  <c r="AE202" i="5"/>
  <c r="X202" i="6" s="1"/>
  <c r="AA202" i="5"/>
  <c r="S202" i="6" s="1"/>
  <c r="L202" i="5"/>
  <c r="P202" i="6" s="1"/>
  <c r="AO202" i="5"/>
  <c r="AP202" i="5" s="1"/>
  <c r="E202" i="6"/>
  <c r="AD202" i="5"/>
  <c r="W202" i="6" s="1"/>
  <c r="S202" i="5"/>
  <c r="Q202" i="6" s="1"/>
  <c r="Z202" i="5"/>
  <c r="T202" i="6" s="1"/>
  <c r="G86" i="3"/>
  <c r="V206" i="4"/>
  <c r="U86" i="3" s="1"/>
  <c r="AA110" i="4"/>
  <c r="S120" i="3" s="1"/>
  <c r="AD110" i="4"/>
  <c r="W120" i="3" s="1"/>
  <c r="Z110" i="4"/>
  <c r="T120" i="3" s="1"/>
  <c r="S110" i="4"/>
  <c r="Q120" i="3" s="1"/>
  <c r="R110" i="4"/>
  <c r="R120" i="3" s="1"/>
  <c r="L110" i="4"/>
  <c r="P120" i="3" s="1"/>
  <c r="E120" i="3"/>
  <c r="AE110" i="4"/>
  <c r="X120" i="3" s="1"/>
  <c r="AO141" i="5"/>
  <c r="AP141" i="5" s="1"/>
  <c r="Z141" i="5"/>
  <c r="T141" i="6" s="1"/>
  <c r="AE141" i="5"/>
  <c r="X141" i="6" s="1"/>
  <c r="E141" i="6"/>
  <c r="AA141" i="5"/>
  <c r="S141" i="6" s="1"/>
  <c r="S141" i="5"/>
  <c r="Q141" i="6" s="1"/>
  <c r="L141" i="5"/>
  <c r="P141" i="6" s="1"/>
  <c r="AD141" i="5"/>
  <c r="W141" i="6" s="1"/>
  <c r="R141" i="5"/>
  <c r="R141" i="6" s="1"/>
  <c r="D97" i="10"/>
  <c r="D162" i="8"/>
  <c r="C64" i="1"/>
  <c r="R3" i="5"/>
  <c r="R3" i="6" s="1"/>
  <c r="AA3" i="5"/>
  <c r="S3" i="6" s="1"/>
  <c r="Z3" i="5"/>
  <c r="T3" i="6" s="1"/>
  <c r="AE3" i="5"/>
  <c r="X3" i="6" s="1"/>
  <c r="AO3" i="5"/>
  <c r="AP3" i="5" s="1"/>
  <c r="S3" i="5"/>
  <c r="Q3" i="6" s="1"/>
  <c r="AD3" i="5"/>
  <c r="W3" i="6" s="1"/>
  <c r="E3" i="6"/>
  <c r="L3" i="5"/>
  <c r="P3" i="6" s="1"/>
  <c r="D139" i="16"/>
  <c r="L91" i="3"/>
  <c r="G130" i="3"/>
  <c r="V5" i="4"/>
  <c r="U130" i="3" s="1"/>
  <c r="F145" i="3"/>
  <c r="D44" i="8"/>
  <c r="C309" i="1"/>
  <c r="I5" i="16"/>
  <c r="D203" i="9"/>
  <c r="D182" i="10"/>
  <c r="C94" i="1"/>
  <c r="I440" i="16"/>
  <c r="G114" i="6"/>
  <c r="H393" i="16"/>
  <c r="V108" i="4"/>
  <c r="U101" i="3" s="1"/>
  <c r="G101" i="3"/>
  <c r="H271" i="16"/>
  <c r="L271" i="16" s="1"/>
  <c r="B238" i="9"/>
  <c r="B238" i="8"/>
  <c r="B238" i="11"/>
  <c r="C238" i="22" s="1"/>
  <c r="B238" i="10"/>
  <c r="B238" i="12"/>
  <c r="V98" i="4"/>
  <c r="U100" i="3" s="1"/>
  <c r="G100" i="3"/>
  <c r="H195" i="16"/>
  <c r="D67" i="8"/>
  <c r="D179" i="12"/>
  <c r="D106" i="8"/>
  <c r="D216" i="10"/>
  <c r="I27" i="16"/>
  <c r="L55" i="3"/>
  <c r="H253" i="16"/>
  <c r="O181" i="4"/>
  <c r="I5" i="3"/>
  <c r="I11" i="6"/>
  <c r="O11" i="5"/>
  <c r="V141" i="4"/>
  <c r="U93" i="3" s="1"/>
  <c r="G93" i="3"/>
  <c r="D34" i="10"/>
  <c r="D412" i="16"/>
  <c r="D131" i="11"/>
  <c r="I119" i="6"/>
  <c r="O119" i="5"/>
  <c r="Q119" i="5" s="1"/>
  <c r="H223" i="16"/>
  <c r="F191" i="6"/>
  <c r="D218" i="11"/>
  <c r="D32" i="9"/>
  <c r="D208" i="11"/>
  <c r="G21" i="6"/>
  <c r="D145" i="11"/>
  <c r="O37" i="4"/>
  <c r="I168" i="3"/>
  <c r="G61" i="6"/>
  <c r="H116" i="3"/>
  <c r="D179" i="16"/>
  <c r="V16" i="4"/>
  <c r="U184" i="3" s="1"/>
  <c r="G184" i="3"/>
  <c r="C501" i="1"/>
  <c r="L4" i="3"/>
  <c r="H427" i="16"/>
  <c r="R73" i="5"/>
  <c r="R73" i="6" s="1"/>
  <c r="Z73" i="5"/>
  <c r="T73" i="6" s="1"/>
  <c r="E73" i="6"/>
  <c r="S73" i="5"/>
  <c r="Q73" i="6" s="1"/>
  <c r="L73" i="5"/>
  <c r="P73" i="6" s="1"/>
  <c r="AD73" i="5"/>
  <c r="W73" i="6" s="1"/>
  <c r="AA73" i="5"/>
  <c r="S73" i="6" s="1"/>
  <c r="AO73" i="5"/>
  <c r="AP73" i="5" s="1"/>
  <c r="AE73" i="5"/>
  <c r="X73" i="6" s="1"/>
  <c r="C170" i="1"/>
  <c r="G78" i="6"/>
  <c r="L53" i="6"/>
  <c r="F26" i="6"/>
  <c r="C318" i="1"/>
  <c r="D93" i="12"/>
  <c r="F92" i="6"/>
  <c r="D92" i="8"/>
  <c r="I76" i="3"/>
  <c r="O157" i="4"/>
  <c r="D54" i="9"/>
  <c r="B284" i="9"/>
  <c r="B284" i="12"/>
  <c r="B284" i="10"/>
  <c r="B284" i="8"/>
  <c r="B284" i="11"/>
  <c r="C284" i="22" s="1"/>
  <c r="O91" i="5"/>
  <c r="I91" i="6"/>
  <c r="H380" i="16"/>
  <c r="D178" i="16"/>
  <c r="L119" i="3"/>
  <c r="AD38" i="4"/>
  <c r="W109" i="3" s="1"/>
  <c r="R38" i="4"/>
  <c r="R109" i="3" s="1"/>
  <c r="S38" i="4"/>
  <c r="Q109" i="3" s="1"/>
  <c r="Z38" i="4"/>
  <c r="T109" i="3" s="1"/>
  <c r="AA38" i="4"/>
  <c r="S109" i="3" s="1"/>
  <c r="E109" i="3"/>
  <c r="AE38" i="4"/>
  <c r="X109" i="3" s="1"/>
  <c r="L38" i="4"/>
  <c r="P109" i="3" s="1"/>
  <c r="C424" i="1"/>
  <c r="J390" i="16"/>
  <c r="C392" i="1"/>
  <c r="D103" i="10"/>
  <c r="G183" i="6"/>
  <c r="B271" i="11"/>
  <c r="C271" i="22" s="1"/>
  <c r="B271" i="9"/>
  <c r="B271" i="10"/>
  <c r="B271" i="8"/>
  <c r="B271" i="12"/>
  <c r="C112" i="1"/>
  <c r="H330" i="16"/>
  <c r="D115" i="10"/>
  <c r="L60" i="6"/>
  <c r="I175" i="3"/>
  <c r="O24" i="4"/>
  <c r="C39" i="1"/>
  <c r="F44" i="16" a="1"/>
  <c r="F44" i="16" s="1"/>
  <c r="D178" i="8"/>
  <c r="I36" i="3"/>
  <c r="O90" i="4"/>
  <c r="Q90" i="4" s="1"/>
  <c r="O152" i="4"/>
  <c r="I129" i="3"/>
  <c r="L54" i="3"/>
  <c r="D226" i="16"/>
  <c r="AA50" i="4"/>
  <c r="S45" i="3" s="1"/>
  <c r="Z50" i="4"/>
  <c r="T45" i="3" s="1"/>
  <c r="R50" i="4"/>
  <c r="R45" i="3" s="1"/>
  <c r="L50" i="4"/>
  <c r="P45" i="3" s="1"/>
  <c r="S50" i="4"/>
  <c r="Q45" i="3" s="1"/>
  <c r="AE50" i="4"/>
  <c r="X45" i="3" s="1"/>
  <c r="AD50" i="4"/>
  <c r="W45" i="3" s="1"/>
  <c r="E45" i="3"/>
  <c r="D161" i="8"/>
  <c r="O139" i="5"/>
  <c r="I139" i="6"/>
  <c r="V133" i="4"/>
  <c r="U25" i="3" s="1"/>
  <c r="G25" i="3"/>
  <c r="L99" i="3"/>
  <c r="C212" i="1"/>
  <c r="H87" i="6"/>
  <c r="V87" i="5"/>
  <c r="U87" i="6" s="1"/>
  <c r="F66" i="3"/>
  <c r="D39" i="11"/>
  <c r="G103" i="6"/>
  <c r="C411" i="1"/>
  <c r="O35" i="5"/>
  <c r="Q35" i="5" s="1"/>
  <c r="I35" i="6"/>
  <c r="F70" i="6"/>
  <c r="D89" i="9"/>
  <c r="C162" i="1"/>
  <c r="D121" i="16"/>
  <c r="J341" i="16"/>
  <c r="D23" i="10"/>
  <c r="O50" i="5"/>
  <c r="I50" i="6"/>
  <c r="D48" i="12"/>
  <c r="L149" i="3"/>
  <c r="L134" i="6"/>
  <c r="F198" i="3"/>
  <c r="D275" i="16"/>
  <c r="C164" i="1"/>
  <c r="B279" i="10"/>
  <c r="B279" i="8"/>
  <c r="B279" i="12"/>
  <c r="B279" i="9"/>
  <c r="B279" i="11"/>
  <c r="C279" i="22" s="1"/>
  <c r="I171" i="16"/>
  <c r="V192" i="4"/>
  <c r="U20" i="3" s="1"/>
  <c r="G20" i="3"/>
  <c r="H87" i="3"/>
  <c r="L156" i="3"/>
  <c r="S97" i="4"/>
  <c r="Q35" i="3" s="1"/>
  <c r="E35" i="3"/>
  <c r="AA97" i="4"/>
  <c r="S35" i="3" s="1"/>
  <c r="L97" i="4"/>
  <c r="P35" i="3" s="1"/>
  <c r="R97" i="4"/>
  <c r="R35" i="3" s="1"/>
  <c r="AD97" i="4"/>
  <c r="W35" i="3" s="1"/>
  <c r="Z97" i="4"/>
  <c r="T35" i="3" s="1"/>
  <c r="AE97" i="4"/>
  <c r="X35" i="3" s="1"/>
  <c r="D134" i="12"/>
  <c r="F188" i="3"/>
  <c r="J234" i="16"/>
  <c r="J26" i="16"/>
  <c r="D172" i="16"/>
  <c r="H82" i="3"/>
  <c r="F161" i="6"/>
  <c r="O171" i="5"/>
  <c r="I171" i="6"/>
  <c r="D105" i="8"/>
  <c r="G27" i="3"/>
  <c r="V131" i="4"/>
  <c r="U27" i="3" s="1"/>
  <c r="C46" i="1"/>
  <c r="I305" i="16"/>
  <c r="V97" i="4"/>
  <c r="U35" i="3" s="1"/>
  <c r="G35" i="3"/>
  <c r="D173" i="11"/>
  <c r="G186" i="3"/>
  <c r="V202" i="4"/>
  <c r="U186" i="3" s="1"/>
  <c r="L61" i="3"/>
  <c r="E163" i="3"/>
  <c r="AE112" i="4"/>
  <c r="X163" i="3" s="1"/>
  <c r="Z112" i="4"/>
  <c r="T163" i="3" s="1"/>
  <c r="AD112" i="4"/>
  <c r="W163" i="3" s="1"/>
  <c r="AA112" i="4"/>
  <c r="S163" i="3" s="1"/>
  <c r="L112" i="4"/>
  <c r="P163" i="3" s="1"/>
  <c r="S112" i="4"/>
  <c r="Q163" i="3" s="1"/>
  <c r="R112" i="4"/>
  <c r="R163" i="3" s="1"/>
  <c r="I33" i="3"/>
  <c r="O118" i="4"/>
  <c r="N33" i="3" s="1"/>
  <c r="O148" i="4"/>
  <c r="Q148" i="4" s="1"/>
  <c r="I185" i="3"/>
  <c r="D272" i="12"/>
  <c r="D44" i="9"/>
  <c r="F7" i="6"/>
  <c r="D35" i="10"/>
  <c r="D160" i="16"/>
  <c r="H27" i="16"/>
  <c r="I118" i="3"/>
  <c r="O79" i="4"/>
  <c r="H255" i="16"/>
  <c r="D17" i="12"/>
  <c r="D112" i="11"/>
  <c r="D286" i="12"/>
  <c r="B252" i="11"/>
  <c r="C252" i="22" s="1"/>
  <c r="B252" i="10"/>
  <c r="B252" i="9"/>
  <c r="B252" i="8"/>
  <c r="B252" i="12"/>
  <c r="G110" i="3"/>
  <c r="V174" i="4"/>
  <c r="U110" i="3" s="1"/>
  <c r="B265" i="9"/>
  <c r="B265" i="11"/>
  <c r="C265" i="22" s="1"/>
  <c r="B265" i="12"/>
  <c r="B265" i="10"/>
  <c r="B265" i="8"/>
  <c r="D60" i="12"/>
  <c r="D281" i="12"/>
  <c r="H285" i="16"/>
  <c r="J24" i="16"/>
  <c r="O124" i="5"/>
  <c r="I124" i="6"/>
  <c r="L67" i="3"/>
  <c r="D54" i="11"/>
  <c r="I96" i="3"/>
  <c r="O87" i="4"/>
  <c r="Q87" i="4" s="1"/>
  <c r="F117" i="3"/>
  <c r="AE37" i="5"/>
  <c r="X37" i="6" s="1"/>
  <c r="AD37" i="5"/>
  <c r="W37" i="6" s="1"/>
  <c r="E37" i="6"/>
  <c r="S37" i="5"/>
  <c r="Q37" i="6" s="1"/>
  <c r="R37" i="5"/>
  <c r="R37" i="6" s="1"/>
  <c r="AO37" i="5"/>
  <c r="AP37" i="5" s="1"/>
  <c r="Z37" i="5"/>
  <c r="T37" i="6" s="1"/>
  <c r="AA37" i="5"/>
  <c r="S37" i="6" s="1"/>
  <c r="L37" i="5"/>
  <c r="P37" i="6" s="1"/>
  <c r="D269" i="16"/>
  <c r="I232" i="16"/>
  <c r="D59" i="11"/>
  <c r="L141" i="3"/>
  <c r="C337" i="1"/>
  <c r="O100" i="5"/>
  <c r="I100" i="6"/>
  <c r="C58" i="1"/>
  <c r="O59" i="4"/>
  <c r="N140" i="3" s="1"/>
  <c r="I140" i="3"/>
  <c r="H18" i="6"/>
  <c r="V18" i="5"/>
  <c r="U18" i="6" s="1"/>
  <c r="G155" i="3"/>
  <c r="V135" i="4"/>
  <c r="U155" i="3" s="1"/>
  <c r="G30" i="6"/>
  <c r="I47" i="3"/>
  <c r="O85" i="4"/>
  <c r="Q85" i="4" s="1"/>
  <c r="J150" i="16"/>
  <c r="H339" i="16"/>
  <c r="L339" i="16" s="1"/>
  <c r="S58" i="4"/>
  <c r="Q37" i="3" s="1"/>
  <c r="E37" i="3"/>
  <c r="AE58" i="4"/>
  <c r="X37" i="3" s="1"/>
  <c r="AA58" i="4"/>
  <c r="S37" i="3" s="1"/>
  <c r="AD58" i="4"/>
  <c r="W37" i="3" s="1"/>
  <c r="L58" i="4"/>
  <c r="P37" i="3" s="1"/>
  <c r="R58" i="4"/>
  <c r="R37" i="3" s="1"/>
  <c r="Z58" i="4"/>
  <c r="T37" i="3" s="1"/>
  <c r="V101" i="5"/>
  <c r="U101" i="6" s="1"/>
  <c r="H101" i="6"/>
  <c r="G79" i="3"/>
  <c r="V153" i="4"/>
  <c r="U79" i="3" s="1"/>
  <c r="S12" i="4"/>
  <c r="Q167" i="3" s="1"/>
  <c r="AE12" i="4"/>
  <c r="X167" i="3" s="1"/>
  <c r="R12" i="4"/>
  <c r="R167" i="3" s="1"/>
  <c r="E167" i="3"/>
  <c r="AD12" i="4"/>
  <c r="W167" i="3" s="1"/>
  <c r="AA12" i="4"/>
  <c r="S167" i="3" s="1"/>
  <c r="L12" i="4"/>
  <c r="P167" i="3" s="1"/>
  <c r="Z12" i="4"/>
  <c r="T167" i="3" s="1"/>
  <c r="D115" i="12"/>
  <c r="C169" i="1"/>
  <c r="H78" i="3"/>
  <c r="B295" i="9"/>
  <c r="B295" i="10"/>
  <c r="B295" i="11"/>
  <c r="C295" i="22" s="1"/>
  <c r="B295" i="12"/>
  <c r="B295" i="8"/>
  <c r="B282" i="8"/>
  <c r="B282" i="9"/>
  <c r="B282" i="11"/>
  <c r="C282" i="22" s="1"/>
  <c r="B282" i="10"/>
  <c r="B282" i="12"/>
  <c r="C353" i="1"/>
  <c r="H257" i="16"/>
  <c r="Z163" i="4"/>
  <c r="T122" i="3" s="1"/>
  <c r="AE163" i="4"/>
  <c r="X122" i="3" s="1"/>
  <c r="L163" i="4"/>
  <c r="P122" i="3" s="1"/>
  <c r="AA163" i="4"/>
  <c r="S122" i="3" s="1"/>
  <c r="S163" i="4"/>
  <c r="Q122" i="3" s="1"/>
  <c r="E122" i="3"/>
  <c r="R163" i="4"/>
  <c r="R122" i="3" s="1"/>
  <c r="AD163" i="4"/>
  <c r="W122" i="3" s="1"/>
  <c r="D223" i="11"/>
  <c r="G122" i="3"/>
  <c r="V163" i="4"/>
  <c r="U122" i="3" s="1"/>
  <c r="D136" i="10"/>
  <c r="F35" i="6"/>
  <c r="B294" i="8"/>
  <c r="B294" i="12"/>
  <c r="B294" i="9"/>
  <c r="B294" i="11"/>
  <c r="C294" i="22" s="1"/>
  <c r="B294" i="10"/>
  <c r="E113" i="3"/>
  <c r="AA164" i="4"/>
  <c r="S113" i="3" s="1"/>
  <c r="Z164" i="4"/>
  <c r="T113" i="3" s="1"/>
  <c r="R164" i="4"/>
  <c r="R113" i="3" s="1"/>
  <c r="AD164" i="4"/>
  <c r="W113" i="3" s="1"/>
  <c r="AE164" i="4"/>
  <c r="X113" i="3" s="1"/>
  <c r="L164" i="4"/>
  <c r="P113" i="3" s="1"/>
  <c r="S164" i="4"/>
  <c r="Q113" i="3" s="1"/>
  <c r="B3" i="17"/>
  <c r="B274" i="10"/>
  <c r="B274" i="9"/>
  <c r="B274" i="11"/>
  <c r="C274" i="22" s="1"/>
  <c r="B274" i="12"/>
  <c r="B274" i="8"/>
  <c r="D425" i="16"/>
  <c r="D41" i="11"/>
  <c r="C192" i="1"/>
  <c r="D152" i="4" s="1"/>
  <c r="D129" i="3" s="1"/>
  <c r="O26" i="4"/>
  <c r="I151" i="3"/>
  <c r="H158" i="3"/>
  <c r="D294" i="12"/>
  <c r="C70" i="1"/>
  <c r="H79" i="3"/>
  <c r="L184" i="3"/>
  <c r="F3" i="6"/>
  <c r="C416" i="1"/>
  <c r="AE144" i="4"/>
  <c r="X65" i="3" s="1"/>
  <c r="R144" i="4"/>
  <c r="R65" i="3" s="1"/>
  <c r="E65" i="3"/>
  <c r="AA144" i="4"/>
  <c r="S65" i="3" s="1"/>
  <c r="L144" i="4"/>
  <c r="P65" i="3" s="1"/>
  <c r="S144" i="4"/>
  <c r="Q65" i="3" s="1"/>
  <c r="AD144" i="4"/>
  <c r="W65" i="3" s="1"/>
  <c r="Z144" i="4"/>
  <c r="T65" i="3" s="1"/>
  <c r="J225" i="16"/>
  <c r="V160" i="5"/>
  <c r="U160" i="6" s="1"/>
  <c r="H160" i="6"/>
  <c r="D127" i="11"/>
  <c r="B264" i="10"/>
  <c r="B264" i="11"/>
  <c r="C264" i="22" s="1"/>
  <c r="B264" i="8"/>
  <c r="B264" i="12"/>
  <c r="B264" i="9"/>
  <c r="O158" i="5"/>
  <c r="I158" i="6"/>
  <c r="D32" i="10"/>
  <c r="F106" i="3"/>
  <c r="L37" i="3"/>
  <c r="I401" i="16"/>
  <c r="D30" i="8"/>
  <c r="D18" i="11"/>
  <c r="I128" i="3"/>
  <c r="O56" i="4"/>
  <c r="C458" i="1"/>
  <c r="D286" i="16"/>
  <c r="J432" i="16"/>
  <c r="G16" i="6"/>
  <c r="B280" i="10"/>
  <c r="B280" i="9"/>
  <c r="B280" i="11"/>
  <c r="C280" i="22" s="1"/>
  <c r="C27" i="23" s="1"/>
  <c r="B280" i="12"/>
  <c r="B280" i="8"/>
  <c r="L144" i="6"/>
  <c r="H282" i="16"/>
  <c r="V154" i="5"/>
  <c r="U154" i="6" s="1"/>
  <c r="H154" i="6"/>
  <c r="C89" i="1"/>
  <c r="L52" i="6"/>
  <c r="C184" i="1"/>
  <c r="L63" i="3"/>
  <c r="G122" i="6"/>
  <c r="C103" i="1"/>
  <c r="J359" i="16"/>
  <c r="C139" i="1"/>
  <c r="F156" i="3"/>
  <c r="D145" i="8"/>
  <c r="I142" i="16"/>
  <c r="I202" i="6"/>
  <c r="O202" i="5"/>
  <c r="B248" i="9"/>
  <c r="B248" i="8"/>
  <c r="B248" i="10"/>
  <c r="B248" i="11"/>
  <c r="C248" i="22" s="1"/>
  <c r="B248" i="12"/>
  <c r="F35" i="3"/>
  <c r="I205" i="16"/>
  <c r="L92" i="6"/>
  <c r="G19" i="3"/>
  <c r="V151" i="4"/>
  <c r="U19" i="3" s="1"/>
  <c r="F29" i="6"/>
  <c r="D124" i="9"/>
  <c r="D134" i="9"/>
  <c r="D134" i="11"/>
  <c r="D19" i="12"/>
  <c r="F203" i="3"/>
  <c r="H454" i="16"/>
  <c r="D22" i="8"/>
  <c r="E162" i="3"/>
  <c r="AA82" i="4"/>
  <c r="S162" i="3" s="1"/>
  <c r="S82" i="4"/>
  <c r="Q162" i="3" s="1"/>
  <c r="AD82" i="4"/>
  <c r="W162" i="3" s="1"/>
  <c r="R82" i="4"/>
  <c r="R162" i="3" s="1"/>
  <c r="AE82" i="4"/>
  <c r="X162" i="3" s="1"/>
  <c r="Z82" i="4"/>
  <c r="T162" i="3" s="1"/>
  <c r="L82" i="4"/>
  <c r="P162" i="3" s="1"/>
  <c r="I154" i="16"/>
  <c r="H279" i="16"/>
  <c r="H414" i="16"/>
  <c r="S93" i="5"/>
  <c r="Q93" i="6" s="1"/>
  <c r="AE93" i="5"/>
  <c r="X93" i="6" s="1"/>
  <c r="Z93" i="5"/>
  <c r="T93" i="6" s="1"/>
  <c r="E93" i="6"/>
  <c r="L93" i="5"/>
  <c r="P93" i="6" s="1"/>
  <c r="R93" i="5"/>
  <c r="R93" i="6" s="1"/>
  <c r="AD93" i="5"/>
  <c r="W93" i="6" s="1"/>
  <c r="AO93" i="5"/>
  <c r="AP93" i="5" s="1"/>
  <c r="AA93" i="5"/>
  <c r="S93" i="6" s="1"/>
  <c r="G75" i="6"/>
  <c r="L157" i="3"/>
  <c r="D128" i="12"/>
  <c r="D406" i="16"/>
  <c r="L51" i="6"/>
  <c r="H55" i="6"/>
  <c r="V55" i="5"/>
  <c r="U55" i="6" s="1"/>
  <c r="C352" i="1"/>
  <c r="F50" i="6"/>
  <c r="O18" i="4"/>
  <c r="I104" i="3"/>
  <c r="D220" i="12"/>
  <c r="G107" i="6"/>
  <c r="C214" i="1"/>
  <c r="H9" i="3"/>
  <c r="H365" i="16"/>
  <c r="R202" i="4"/>
  <c r="R186" i="3" s="1"/>
  <c r="AE202" i="4"/>
  <c r="X186" i="3" s="1"/>
  <c r="AD202" i="4"/>
  <c r="W186" i="3" s="1"/>
  <c r="S202" i="4"/>
  <c r="Q186" i="3" s="1"/>
  <c r="L202" i="4"/>
  <c r="P186" i="3" s="1"/>
  <c r="E186" i="3"/>
  <c r="AA202" i="4"/>
  <c r="S186" i="3" s="1"/>
  <c r="Z202" i="4"/>
  <c r="T186" i="3" s="1"/>
  <c r="D76" i="11"/>
  <c r="C178" i="1"/>
  <c r="H190" i="6"/>
  <c r="V190" i="5"/>
  <c r="U190" i="6" s="1"/>
  <c r="I387" i="16"/>
  <c r="F146" i="6"/>
  <c r="H4" i="16"/>
  <c r="AD24" i="4"/>
  <c r="W175" i="3" s="1"/>
  <c r="AE24" i="4"/>
  <c r="X175" i="3" s="1"/>
  <c r="R24" i="4"/>
  <c r="R175" i="3" s="1"/>
  <c r="AA24" i="4"/>
  <c r="S175" i="3" s="1"/>
  <c r="E175" i="3"/>
  <c r="L24" i="4"/>
  <c r="P175" i="3" s="1"/>
  <c r="S24" i="4"/>
  <c r="Q175" i="3" s="1"/>
  <c r="Z24" i="4"/>
  <c r="T175" i="3" s="1"/>
  <c r="AD168" i="4"/>
  <c r="W198" i="3" s="1"/>
  <c r="S168" i="4"/>
  <c r="Q198" i="3" s="1"/>
  <c r="L168" i="4"/>
  <c r="P198" i="3" s="1"/>
  <c r="AA168" i="4"/>
  <c r="S198" i="3" s="1"/>
  <c r="E198" i="3"/>
  <c r="R168" i="4"/>
  <c r="R198" i="3" s="1"/>
  <c r="AE168" i="4"/>
  <c r="X198" i="3" s="1"/>
  <c r="Z168" i="4"/>
  <c r="T198" i="3" s="1"/>
  <c r="D242" i="12"/>
  <c r="J266" i="16"/>
  <c r="H137" i="16"/>
  <c r="D99" i="8"/>
  <c r="H361" i="16"/>
  <c r="B243" i="11"/>
  <c r="C243" i="22" s="1"/>
  <c r="C26" i="23" s="1"/>
  <c r="B243" i="12"/>
  <c r="B243" i="9"/>
  <c r="B243" i="8"/>
  <c r="B243" i="10"/>
  <c r="C155" i="1"/>
  <c r="F132" i="3"/>
  <c r="D67" i="9"/>
  <c r="C78" i="1"/>
  <c r="D146" i="11"/>
  <c r="C218" i="1"/>
  <c r="I165" i="16"/>
  <c r="L103" i="3"/>
  <c r="G181" i="3"/>
  <c r="V162" i="4"/>
  <c r="U181" i="3" s="1"/>
  <c r="B299" i="11"/>
  <c r="C299" i="22" s="1"/>
  <c r="B299" i="9"/>
  <c r="B299" i="10"/>
  <c r="B299" i="12"/>
  <c r="B299" i="8"/>
  <c r="C441" i="1"/>
  <c r="H202" i="3"/>
  <c r="H274" i="16"/>
  <c r="I107" i="3"/>
  <c r="O158" i="4"/>
  <c r="C480" i="1"/>
  <c r="F146" i="3"/>
  <c r="L157" i="6"/>
  <c r="V199" i="5"/>
  <c r="U199" i="6" s="1"/>
  <c r="H199" i="6"/>
  <c r="H89" i="6"/>
  <c r="V89" i="5"/>
  <c r="U89" i="6" s="1"/>
  <c r="D278" i="11"/>
  <c r="I155" i="6"/>
  <c r="O155" i="5"/>
  <c r="I79" i="3"/>
  <c r="O153" i="4"/>
  <c r="Q153" i="4" s="1"/>
  <c r="J194" i="16"/>
  <c r="C500" i="1"/>
  <c r="D348" i="16"/>
  <c r="D192" i="8"/>
  <c r="F122" i="3"/>
  <c r="F95" i="3"/>
  <c r="F196" i="3"/>
  <c r="F52" i="3"/>
  <c r="F60" i="3"/>
  <c r="D107" i="12"/>
  <c r="D267" i="11"/>
  <c r="H224" i="16"/>
  <c r="V172" i="5"/>
  <c r="U172" i="6" s="1"/>
  <c r="H172" i="6"/>
  <c r="C5" i="11"/>
  <c r="I121" i="6"/>
  <c r="O121" i="5"/>
  <c r="L114" i="3"/>
  <c r="L26" i="4"/>
  <c r="P151" i="3" s="1"/>
  <c r="R26" i="4"/>
  <c r="R151" i="3" s="1"/>
  <c r="AE26" i="4"/>
  <c r="X151" i="3" s="1"/>
  <c r="AA26" i="4"/>
  <c r="S151" i="3" s="1"/>
  <c r="AD26" i="4"/>
  <c r="W151" i="3" s="1"/>
  <c r="Z26" i="4"/>
  <c r="T151" i="3" s="1"/>
  <c r="S26" i="4"/>
  <c r="Q151" i="3" s="1"/>
  <c r="E151" i="3"/>
  <c r="D207" i="10"/>
  <c r="L156" i="6"/>
  <c r="G59" i="6"/>
  <c r="G32" i="6"/>
  <c r="H14" i="3"/>
  <c r="J208" i="16"/>
  <c r="D386" i="16"/>
  <c r="D106" i="12"/>
  <c r="F189" i="6"/>
  <c r="C165" i="1"/>
  <c r="G196" i="3"/>
  <c r="V199" i="4"/>
  <c r="U196" i="3" s="1"/>
  <c r="I444" i="16"/>
  <c r="D292" i="12"/>
  <c r="L171" i="6"/>
  <c r="F184" i="6"/>
  <c r="D245" i="16"/>
  <c r="I133" i="16"/>
  <c r="I324" i="16"/>
  <c r="D163" i="9"/>
  <c r="I369" i="16"/>
  <c r="D12" i="9"/>
  <c r="D20" i="16"/>
  <c r="H423" i="16"/>
  <c r="E5" i="6"/>
  <c r="L5" i="5"/>
  <c r="P5" i="6" s="1"/>
  <c r="Z5" i="5"/>
  <c r="T5" i="6" s="1"/>
  <c r="AE5" i="5"/>
  <c r="X5" i="6" s="1"/>
  <c r="AO5" i="5"/>
  <c r="AP5" i="5" s="1"/>
  <c r="AA5" i="5"/>
  <c r="S5" i="6" s="1"/>
  <c r="R5" i="5"/>
  <c r="R5" i="6" s="1"/>
  <c r="S5" i="5"/>
  <c r="Q5" i="6" s="1"/>
  <c r="AD5" i="5"/>
  <c r="W5" i="6" s="1"/>
  <c r="D215" i="10"/>
  <c r="D111" i="8"/>
  <c r="D50" i="10"/>
  <c r="C129" i="1"/>
  <c r="I202" i="16"/>
  <c r="G64" i="6"/>
  <c r="H362" i="16"/>
  <c r="H428" i="16"/>
  <c r="I154" i="3"/>
  <c r="O161" i="4"/>
  <c r="H97" i="3"/>
  <c r="G55" i="6"/>
  <c r="L136" i="6"/>
  <c r="G191" i="6"/>
  <c r="C491" i="1"/>
  <c r="G143" i="3"/>
  <c r="V101" i="4"/>
  <c r="U143" i="3" s="1"/>
  <c r="AD28" i="5"/>
  <c r="W28" i="6" s="1"/>
  <c r="AO28" i="5"/>
  <c r="AP28" i="5" s="1"/>
  <c r="E28" i="6"/>
  <c r="R28" i="5"/>
  <c r="R28" i="6" s="1"/>
  <c r="L28" i="5"/>
  <c r="P28" i="6" s="1"/>
  <c r="AA28" i="5"/>
  <c r="S28" i="6" s="1"/>
  <c r="Z28" i="5"/>
  <c r="T28" i="6" s="1"/>
  <c r="S28" i="5"/>
  <c r="Q28" i="6" s="1"/>
  <c r="AE28" i="5"/>
  <c r="X28" i="6" s="1"/>
  <c r="D62" i="10"/>
  <c r="D157" i="9"/>
  <c r="H266" i="16"/>
  <c r="C22" i="1"/>
  <c r="G7" i="3"/>
  <c r="V51" i="4"/>
  <c r="U7" i="3" s="1"/>
  <c r="H176" i="16"/>
  <c r="H196" i="16"/>
  <c r="L95" i="3"/>
  <c r="F11" i="3"/>
  <c r="F206" i="3"/>
  <c r="F5" i="3"/>
  <c r="D218" i="10"/>
  <c r="D174" i="10"/>
  <c r="L15" i="3"/>
  <c r="O111" i="4"/>
  <c r="I51" i="3"/>
  <c r="G25" i="6"/>
  <c r="L143" i="3"/>
  <c r="AE124" i="4"/>
  <c r="X23" i="3" s="1"/>
  <c r="S124" i="4"/>
  <c r="Q23" i="3" s="1"/>
  <c r="L124" i="4"/>
  <c r="P23" i="3" s="1"/>
  <c r="AD124" i="4"/>
  <c r="W23" i="3" s="1"/>
  <c r="Z124" i="4"/>
  <c r="T23" i="3" s="1"/>
  <c r="R124" i="4"/>
  <c r="R23" i="3" s="1"/>
  <c r="E23" i="3"/>
  <c r="AA124" i="4"/>
  <c r="S23" i="3" s="1"/>
  <c r="D20" i="12"/>
  <c r="D127" i="9"/>
  <c r="G160" i="6"/>
  <c r="C122" i="1"/>
  <c r="D150" i="11"/>
  <c r="D86" i="10"/>
  <c r="D150" i="10"/>
  <c r="O119" i="4"/>
  <c r="I81" i="3"/>
  <c r="S200" i="4"/>
  <c r="Q199" i="3" s="1"/>
  <c r="L200" i="4"/>
  <c r="P199" i="3" s="1"/>
  <c r="R200" i="4"/>
  <c r="R199" i="3" s="1"/>
  <c r="E199" i="3"/>
  <c r="AE200" i="4"/>
  <c r="X199" i="3" s="1"/>
  <c r="AA200" i="4"/>
  <c r="S199" i="3" s="1"/>
  <c r="AD200" i="4"/>
  <c r="W199" i="3" s="1"/>
  <c r="Z200" i="4"/>
  <c r="T199" i="3" s="1"/>
  <c r="Z140" i="4"/>
  <c r="T92" i="3" s="1"/>
  <c r="R140" i="4"/>
  <c r="R92" i="3" s="1"/>
  <c r="E92" i="3"/>
  <c r="AE140" i="4"/>
  <c r="X92" i="3" s="1"/>
  <c r="L140" i="4"/>
  <c r="P92" i="3" s="1"/>
  <c r="AA140" i="4"/>
  <c r="S92" i="3" s="1"/>
  <c r="S140" i="4"/>
  <c r="Q92" i="3" s="1"/>
  <c r="AD140" i="4"/>
  <c r="W92" i="3" s="1"/>
  <c r="D126" i="8"/>
  <c r="L7" i="6"/>
  <c r="C457" i="1"/>
  <c r="H115" i="3"/>
  <c r="B245" i="9"/>
  <c r="B245" i="11"/>
  <c r="C245" i="22" s="1"/>
  <c r="B245" i="12"/>
  <c r="B245" i="10"/>
  <c r="B245" i="8"/>
  <c r="L113" i="3"/>
  <c r="D195" i="12"/>
  <c r="J456" i="16"/>
  <c r="G141" i="3"/>
  <c r="V62" i="4"/>
  <c r="U141" i="3" s="1"/>
  <c r="R177" i="4"/>
  <c r="R91" i="3" s="1"/>
  <c r="AA177" i="4"/>
  <c r="S91" i="3" s="1"/>
  <c r="E91" i="3"/>
  <c r="AD177" i="4"/>
  <c r="W91" i="3" s="1"/>
  <c r="Z177" i="4"/>
  <c r="T91" i="3" s="1"/>
  <c r="L177" i="4"/>
  <c r="P91" i="3" s="1"/>
  <c r="S177" i="4"/>
  <c r="Q91" i="3" s="1"/>
  <c r="AE177" i="4"/>
  <c r="X91" i="3" s="1"/>
  <c r="R63" i="5"/>
  <c r="R63" i="6" s="1"/>
  <c r="AA63" i="5"/>
  <c r="S63" i="6" s="1"/>
  <c r="Z63" i="5"/>
  <c r="T63" i="6" s="1"/>
  <c r="S63" i="5"/>
  <c r="Q63" i="6" s="1"/>
  <c r="AD63" i="5"/>
  <c r="W63" i="6" s="1"/>
  <c r="AE63" i="5"/>
  <c r="X63" i="6" s="1"/>
  <c r="L63" i="5"/>
  <c r="P63" i="6" s="1"/>
  <c r="AO63" i="5"/>
  <c r="AP63" i="5" s="1"/>
  <c r="E63" i="6"/>
  <c r="V196" i="4"/>
  <c r="U156" i="3" s="1"/>
  <c r="G156" i="3"/>
  <c r="C470" i="1"/>
  <c r="C461" i="1"/>
  <c r="V118" i="5"/>
  <c r="U118" i="6" s="1"/>
  <c r="H118" i="6"/>
  <c r="G133" i="6"/>
  <c r="D185" i="11"/>
  <c r="D23" i="11"/>
  <c r="H122" i="16"/>
  <c r="K122" i="16" s="1"/>
  <c r="G37" i="3"/>
  <c r="V58" i="4"/>
  <c r="U37" i="3" s="1"/>
  <c r="AE197" i="4"/>
  <c r="X61" i="3" s="1"/>
  <c r="AA197" i="4"/>
  <c r="S61" i="3" s="1"/>
  <c r="L197" i="4"/>
  <c r="P61" i="3" s="1"/>
  <c r="R197" i="4"/>
  <c r="R61" i="3" s="1"/>
  <c r="E61" i="3"/>
  <c r="AD197" i="4"/>
  <c r="W61" i="3" s="1"/>
  <c r="S197" i="4"/>
  <c r="Q61" i="3" s="1"/>
  <c r="Z197" i="4"/>
  <c r="T61" i="3" s="1"/>
  <c r="H35" i="6"/>
  <c r="V35" i="5"/>
  <c r="U35" i="6" s="1"/>
  <c r="H167" i="3"/>
  <c r="H104" i="3"/>
  <c r="D79" i="10"/>
  <c r="C92" i="1"/>
  <c r="L33" i="3"/>
  <c r="O102" i="4"/>
  <c r="I144" i="3"/>
  <c r="G57" i="6"/>
  <c r="H291" i="16"/>
  <c r="L291" i="16" s="1"/>
  <c r="G60" i="6"/>
  <c r="I132" i="6"/>
  <c r="O132" i="5"/>
  <c r="C402" i="1"/>
  <c r="D98" i="10"/>
  <c r="F50" i="3"/>
  <c r="L199" i="6"/>
  <c r="H65" i="3"/>
  <c r="C90" i="1"/>
  <c r="B232" i="11"/>
  <c r="C232" i="22" s="1"/>
  <c r="B232" i="12"/>
  <c r="B232" i="10"/>
  <c r="B232" i="9"/>
  <c r="B232" i="8"/>
  <c r="L115" i="6"/>
  <c r="L23" i="3"/>
  <c r="L83" i="6"/>
  <c r="V157" i="4"/>
  <c r="U76" i="3" s="1"/>
  <c r="G76" i="3"/>
  <c r="H74" i="3"/>
  <c r="L99" i="6"/>
  <c r="H187" i="3"/>
  <c r="H200" i="16"/>
  <c r="V202" i="5"/>
  <c r="U202" i="6" s="1"/>
  <c r="H202" i="6"/>
  <c r="D297" i="12"/>
  <c r="D55" i="12"/>
  <c r="L117" i="6"/>
  <c r="D72" i="12"/>
  <c r="D81" i="8"/>
  <c r="C465" i="1"/>
  <c r="J320" i="16"/>
  <c r="D205" i="8"/>
  <c r="F78" i="6"/>
  <c r="I165" i="3"/>
  <c r="O72" i="4"/>
  <c r="H411" i="16"/>
  <c r="D328" i="16"/>
  <c r="H326" i="16"/>
  <c r="AA68" i="5"/>
  <c r="S68" i="6" s="1"/>
  <c r="AD68" i="5"/>
  <c r="W68" i="6" s="1"/>
  <c r="R68" i="5"/>
  <c r="R68" i="6" s="1"/>
  <c r="AO68" i="5"/>
  <c r="AP68" i="5" s="1"/>
  <c r="S68" i="5"/>
  <c r="Q68" i="6" s="1"/>
  <c r="Z68" i="5"/>
  <c r="T68" i="6" s="1"/>
  <c r="L68" i="5"/>
  <c r="P68" i="6" s="1"/>
  <c r="AE68" i="5"/>
  <c r="X68" i="6" s="1"/>
  <c r="E68" i="6"/>
  <c r="D443" i="16"/>
  <c r="D10" i="9"/>
  <c r="G39" i="6"/>
  <c r="D123" i="12"/>
  <c r="I268" i="16"/>
  <c r="J420" i="16"/>
  <c r="S189" i="4"/>
  <c r="Q52" i="3" s="1"/>
  <c r="L189" i="4"/>
  <c r="P52" i="3" s="1"/>
  <c r="AE189" i="4"/>
  <c r="X52" i="3" s="1"/>
  <c r="AD189" i="4"/>
  <c r="W52" i="3" s="1"/>
  <c r="AA189" i="4"/>
  <c r="S52" i="3" s="1"/>
  <c r="Z189" i="4"/>
  <c r="T52" i="3" s="1"/>
  <c r="E52" i="3"/>
  <c r="R189" i="4"/>
  <c r="R52" i="3" s="1"/>
  <c r="H77" i="3"/>
  <c r="C61" i="1"/>
  <c r="AE125" i="4"/>
  <c r="X136" i="3" s="1"/>
  <c r="AD125" i="4"/>
  <c r="W136" i="3" s="1"/>
  <c r="Z125" i="4"/>
  <c r="T136" i="3" s="1"/>
  <c r="E136" i="3"/>
  <c r="L125" i="4"/>
  <c r="P136" i="3" s="1"/>
  <c r="R125" i="4"/>
  <c r="R136" i="3" s="1"/>
  <c r="AA125" i="4"/>
  <c r="S136" i="3" s="1"/>
  <c r="S125" i="4"/>
  <c r="Q136" i="3" s="1"/>
  <c r="AA107" i="4"/>
  <c r="S115" i="3" s="1"/>
  <c r="S107" i="4"/>
  <c r="Q115" i="3" s="1"/>
  <c r="AD107" i="4"/>
  <c r="W115" i="3" s="1"/>
  <c r="R107" i="4"/>
  <c r="R115" i="3" s="1"/>
  <c r="AE107" i="4"/>
  <c r="X115" i="3" s="1"/>
  <c r="L107" i="4"/>
  <c r="P115" i="3" s="1"/>
  <c r="E115" i="3"/>
  <c r="Z107" i="4"/>
  <c r="T115" i="3" s="1"/>
  <c r="R196" i="4"/>
  <c r="R156" i="3" s="1"/>
  <c r="E156" i="3"/>
  <c r="AD196" i="4"/>
  <c r="W156" i="3" s="1"/>
  <c r="L196" i="4"/>
  <c r="P156" i="3" s="1"/>
  <c r="AA196" i="4"/>
  <c r="S156" i="3" s="1"/>
  <c r="S196" i="4"/>
  <c r="Q156" i="3" s="1"/>
  <c r="Z196" i="4"/>
  <c r="T156" i="3" s="1"/>
  <c r="AE196" i="4"/>
  <c r="X156" i="3" s="1"/>
  <c r="G205" i="3"/>
  <c r="V44" i="4"/>
  <c r="U205" i="3" s="1"/>
  <c r="J268" i="16"/>
  <c r="L145" i="6"/>
  <c r="B263" i="10"/>
  <c r="B263" i="9"/>
  <c r="B263" i="12"/>
  <c r="B263" i="11"/>
  <c r="C263" i="22" s="1"/>
  <c r="B263" i="8"/>
  <c r="H41" i="3"/>
  <c r="D230" i="11"/>
  <c r="D27" i="8"/>
  <c r="S125" i="5"/>
  <c r="Q125" i="6" s="1"/>
  <c r="AE125" i="5"/>
  <c r="X125" i="6" s="1"/>
  <c r="E125" i="6"/>
  <c r="L125" i="5"/>
  <c r="P125" i="6" s="1"/>
  <c r="AD125" i="5"/>
  <c r="R125" i="5"/>
  <c r="R125" i="6" s="1"/>
  <c r="AA125" i="5"/>
  <c r="S125" i="6" s="1"/>
  <c r="Z125" i="5"/>
  <c r="T125" i="6" s="1"/>
  <c r="AO125" i="5"/>
  <c r="AP125" i="5" s="1"/>
  <c r="C52" i="1"/>
  <c r="V106" i="4"/>
  <c r="U180" i="3" s="1"/>
  <c r="G180" i="3"/>
  <c r="V59" i="4"/>
  <c r="U140" i="3" s="1"/>
  <c r="G140" i="3"/>
  <c r="H99" i="6"/>
  <c r="V99" i="5"/>
  <c r="U99" i="6" s="1"/>
  <c r="I246" i="16"/>
  <c r="E107" i="3"/>
  <c r="S158" i="4"/>
  <c r="Q107" i="3" s="1"/>
  <c r="AE158" i="4"/>
  <c r="X107" i="3" s="1"/>
  <c r="AA158" i="4"/>
  <c r="S107" i="3" s="1"/>
  <c r="AD158" i="4"/>
  <c r="W107" i="3" s="1"/>
  <c r="R158" i="4"/>
  <c r="R107" i="3" s="1"/>
  <c r="L158" i="4"/>
  <c r="P107" i="3" s="1"/>
  <c r="Z158" i="4"/>
  <c r="T107" i="3" s="1"/>
  <c r="I28" i="6"/>
  <c r="O28" i="5"/>
  <c r="D221" i="16"/>
  <c r="C413" i="1"/>
  <c r="D209" i="12"/>
  <c r="L50" i="3"/>
  <c r="D106" i="9"/>
  <c r="J381" i="16"/>
  <c r="H76" i="3"/>
  <c r="L70" i="3"/>
  <c r="V25" i="5"/>
  <c r="U25" i="6" s="1"/>
  <c r="H25" i="6"/>
  <c r="V117" i="5"/>
  <c r="U117" i="6" s="1"/>
  <c r="H117" i="6"/>
  <c r="D206" i="8"/>
  <c r="E66" i="6"/>
  <c r="L66" i="5"/>
  <c r="P66" i="6" s="1"/>
  <c r="Z66" i="5"/>
  <c r="T66" i="6" s="1"/>
  <c r="S66" i="5"/>
  <c r="Q66" i="6" s="1"/>
  <c r="AE66" i="5"/>
  <c r="X66" i="6" s="1"/>
  <c r="R66" i="5"/>
  <c r="R66" i="6" s="1"/>
  <c r="AA66" i="5"/>
  <c r="S66" i="6" s="1"/>
  <c r="AO66" i="5"/>
  <c r="AP66" i="5" s="1"/>
  <c r="AD66" i="5"/>
  <c r="W66" i="6" s="1"/>
  <c r="H44" i="3"/>
  <c r="C200" i="1"/>
  <c r="I358" i="16"/>
  <c r="D157" i="11"/>
  <c r="J380" i="16"/>
  <c r="I323" i="16"/>
  <c r="O20" i="4"/>
  <c r="Q20" i="4" s="1"/>
  <c r="I177" i="3"/>
  <c r="C324" i="1"/>
  <c r="L153" i="6"/>
  <c r="V182" i="4"/>
  <c r="U134" i="3" s="1"/>
  <c r="G134" i="3"/>
  <c r="D211" i="12"/>
  <c r="H136" i="16"/>
  <c r="H189" i="3"/>
  <c r="H130" i="3"/>
  <c r="L64" i="3"/>
  <c r="C450" i="1"/>
  <c r="AO168" i="5"/>
  <c r="AP168" i="5" s="1"/>
  <c r="AA168" i="5"/>
  <c r="S168" i="6" s="1"/>
  <c r="AD168" i="5"/>
  <c r="W168" i="6" s="1"/>
  <c r="R168" i="5"/>
  <c r="R168" i="6" s="1"/>
  <c r="L168" i="5"/>
  <c r="P168" i="6" s="1"/>
  <c r="S168" i="5"/>
  <c r="Q168" i="6" s="1"/>
  <c r="E168" i="6"/>
  <c r="Z168" i="5"/>
  <c r="T168" i="6" s="1"/>
  <c r="AE168" i="5"/>
  <c r="X168" i="6" s="1"/>
  <c r="C373" i="1"/>
  <c r="F10" i="6"/>
  <c r="F66" i="6"/>
  <c r="V197" i="5"/>
  <c r="U197" i="6" s="1"/>
  <c r="H197" i="6"/>
  <c r="L43" i="6"/>
  <c r="H406" i="16"/>
  <c r="O5" i="4"/>
  <c r="I130" i="3"/>
  <c r="D138" i="8"/>
  <c r="F153" i="3"/>
  <c r="G118" i="3"/>
  <c r="V79" i="4"/>
  <c r="U118" i="3" s="1"/>
  <c r="C29" i="1"/>
  <c r="I150" i="6"/>
  <c r="O150" i="5"/>
  <c r="D148" i="12"/>
  <c r="F17" i="3"/>
  <c r="L33" i="6"/>
  <c r="G73" i="6"/>
  <c r="I452" i="16"/>
  <c r="L152" i="6"/>
  <c r="F111" i="3"/>
  <c r="D145" i="9"/>
  <c r="I447" i="16"/>
  <c r="O71" i="4"/>
  <c r="N40" i="3" s="1"/>
  <c r="I40" i="3"/>
  <c r="G26" i="3"/>
  <c r="V195" i="4"/>
  <c r="U26" i="3" s="1"/>
  <c r="I374" i="16"/>
  <c r="D19" i="8"/>
  <c r="C315" i="1"/>
  <c r="L42" i="3"/>
  <c r="I82" i="3"/>
  <c r="O166" i="4"/>
  <c r="V94" i="5"/>
  <c r="U94" i="6" s="1"/>
  <c r="H94" i="6"/>
  <c r="O183" i="4"/>
  <c r="I12" i="3"/>
  <c r="G80" i="6"/>
  <c r="D31" i="16"/>
  <c r="G176" i="6"/>
  <c r="J435" i="16"/>
  <c r="L125" i="3"/>
  <c r="F204" i="6"/>
  <c r="AE80" i="4"/>
  <c r="X66" i="3" s="1"/>
  <c r="S80" i="4"/>
  <c r="Q66" i="3" s="1"/>
  <c r="R80" i="4"/>
  <c r="R66" i="3" s="1"/>
  <c r="AD80" i="4"/>
  <c r="W66" i="3" s="1"/>
  <c r="L80" i="4"/>
  <c r="P66" i="3" s="1"/>
  <c r="E66" i="3"/>
  <c r="AA80" i="4"/>
  <c r="S66" i="3" s="1"/>
  <c r="Z80" i="4"/>
  <c r="T66" i="3" s="1"/>
  <c r="F74" i="6"/>
  <c r="L89" i="6"/>
  <c r="I456" i="16"/>
  <c r="H17" i="3"/>
  <c r="D239" i="12"/>
  <c r="D195" i="16"/>
  <c r="AD151" i="4"/>
  <c r="W19" i="3" s="1"/>
  <c r="AE151" i="4"/>
  <c r="X19" i="3" s="1"/>
  <c r="E19" i="3"/>
  <c r="Z151" i="4"/>
  <c r="T19" i="3" s="1"/>
  <c r="R151" i="4"/>
  <c r="R19" i="3" s="1"/>
  <c r="L151" i="4"/>
  <c r="P19" i="3" s="1"/>
  <c r="AA151" i="4"/>
  <c r="S19" i="3" s="1"/>
  <c r="S151" i="4"/>
  <c r="Q19" i="3" s="1"/>
  <c r="Q151" i="4"/>
  <c r="D207" i="8"/>
  <c r="D346" i="16"/>
  <c r="Z22" i="5"/>
  <c r="T22" i="6" s="1"/>
  <c r="AO22" i="5"/>
  <c r="AP22" i="5" s="1"/>
  <c r="L22" i="5"/>
  <c r="P22" i="6" s="1"/>
  <c r="AE22" i="5"/>
  <c r="X22" i="6" s="1"/>
  <c r="E22" i="6"/>
  <c r="S22" i="5"/>
  <c r="Q22" i="6" s="1"/>
  <c r="AA22" i="5"/>
  <c r="S22" i="6" s="1"/>
  <c r="R22" i="5"/>
  <c r="R22" i="6" s="1"/>
  <c r="AD22" i="5"/>
  <c r="W22" i="6" s="1"/>
  <c r="V180" i="4"/>
  <c r="U4" i="3" s="1"/>
  <c r="G4" i="3"/>
  <c r="V54" i="5"/>
  <c r="U54" i="6" s="1"/>
  <c r="H54" i="6"/>
  <c r="V168" i="5"/>
  <c r="U168" i="6" s="1"/>
  <c r="H168" i="6"/>
  <c r="J284" i="16"/>
  <c r="J167" i="16"/>
  <c r="I146" i="16"/>
  <c r="AA75" i="5"/>
  <c r="S75" i="6" s="1"/>
  <c r="AD75" i="5"/>
  <c r="W75" i="6" s="1"/>
  <c r="E75" i="6"/>
  <c r="AE75" i="5"/>
  <c r="X75" i="6" s="1"/>
  <c r="L75" i="5"/>
  <c r="P75" i="6" s="1"/>
  <c r="Z75" i="5"/>
  <c r="T75" i="6" s="1"/>
  <c r="R75" i="5"/>
  <c r="R75" i="6" s="1"/>
  <c r="S75" i="5"/>
  <c r="Q75" i="6" s="1"/>
  <c r="AO75" i="5"/>
  <c r="AP75" i="5" s="1"/>
  <c r="D180" i="8"/>
  <c r="D184" i="11"/>
  <c r="I205" i="6"/>
  <c r="O205" i="5"/>
  <c r="N205" i="6" s="1"/>
  <c r="D125" i="9"/>
  <c r="J319" i="16"/>
  <c r="H153" i="16"/>
  <c r="D59" i="12"/>
  <c r="J25" i="16"/>
  <c r="H143" i="16"/>
  <c r="H323" i="16"/>
  <c r="H395" i="16"/>
  <c r="AD111" i="5"/>
  <c r="W111" i="6" s="1"/>
  <c r="E111" i="6"/>
  <c r="AA111" i="5"/>
  <c r="S111" i="6" s="1"/>
  <c r="L111" i="5"/>
  <c r="P111" i="6" s="1"/>
  <c r="Z111" i="5"/>
  <c r="T111" i="6" s="1"/>
  <c r="S111" i="5"/>
  <c r="Q111" i="6" s="1"/>
  <c r="AE111" i="5"/>
  <c r="X111" i="6" s="1"/>
  <c r="R111" i="5"/>
  <c r="R111" i="6" s="1"/>
  <c r="AO111" i="5"/>
  <c r="AP111" i="5" s="1"/>
  <c r="O66" i="5"/>
  <c r="Q66" i="5" s="1"/>
  <c r="I66" i="6"/>
  <c r="H157" i="16"/>
  <c r="R182" i="4"/>
  <c r="R134" i="3" s="1"/>
  <c r="Z182" i="4"/>
  <c r="T134" i="3" s="1"/>
  <c r="AD182" i="4"/>
  <c r="W134" i="3" s="1"/>
  <c r="AA182" i="4"/>
  <c r="S134" i="3" s="1"/>
  <c r="S182" i="4"/>
  <c r="Q134" i="3" s="1"/>
  <c r="E134" i="3"/>
  <c r="AE182" i="4"/>
  <c r="X134" i="3" s="1"/>
  <c r="L182" i="4"/>
  <c r="P134" i="3" s="1"/>
  <c r="I409" i="16"/>
  <c r="F53" i="3"/>
  <c r="D189" i="16"/>
  <c r="L22" i="6"/>
  <c r="L110" i="6"/>
  <c r="H180" i="16"/>
  <c r="I426" i="16"/>
  <c r="D26" i="9"/>
  <c r="D92" i="9"/>
  <c r="F21" i="6"/>
  <c r="I14" i="16"/>
  <c r="C473" i="1"/>
  <c r="D266" i="12"/>
  <c r="D60" i="8"/>
  <c r="D144" i="10"/>
  <c r="L87" i="6"/>
  <c r="O89" i="5"/>
  <c r="Q89" i="5" s="1"/>
  <c r="I89" i="6"/>
  <c r="I201" i="16"/>
  <c r="G117" i="6"/>
  <c r="F159" i="6"/>
  <c r="V157" i="5"/>
  <c r="U157" i="6" s="1"/>
  <c r="H157" i="6"/>
  <c r="I309" i="16"/>
  <c r="G146" i="6"/>
  <c r="H198" i="16"/>
  <c r="Z185" i="4"/>
  <c r="T69" i="3" s="1"/>
  <c r="E69" i="3"/>
  <c r="L185" i="4"/>
  <c r="P69" i="3" s="1"/>
  <c r="AA185" i="4"/>
  <c r="S69" i="3" s="1"/>
  <c r="S185" i="4"/>
  <c r="Q69" i="3" s="1"/>
  <c r="AD185" i="4"/>
  <c r="W69" i="3" s="1"/>
  <c r="R185" i="4"/>
  <c r="R69" i="3" s="1"/>
  <c r="AE185" i="4"/>
  <c r="X69" i="3" s="1"/>
  <c r="H455" i="16"/>
  <c r="F126" i="3"/>
  <c r="I460" i="16"/>
  <c r="L77" i="3"/>
  <c r="D65" i="8"/>
  <c r="F38" i="6"/>
  <c r="J11" i="16"/>
  <c r="D62" i="11"/>
  <c r="L126" i="6"/>
  <c r="D43" i="12"/>
  <c r="G137" i="6"/>
  <c r="D367" i="16"/>
  <c r="H189" i="16"/>
  <c r="L186" i="5"/>
  <c r="P186" i="6" s="1"/>
  <c r="S186" i="5"/>
  <c r="Q186" i="6" s="1"/>
  <c r="AA186" i="5"/>
  <c r="S186" i="6" s="1"/>
  <c r="R186" i="5"/>
  <c r="R186" i="6" s="1"/>
  <c r="Z186" i="5"/>
  <c r="T186" i="6" s="1"/>
  <c r="AO186" i="5"/>
  <c r="AP186" i="5" s="1"/>
  <c r="E186" i="6"/>
  <c r="AD186" i="5"/>
  <c r="AE186" i="5"/>
  <c r="X186" i="6" s="1"/>
  <c r="V23" i="5"/>
  <c r="U23" i="6" s="1"/>
  <c r="H23" i="6"/>
  <c r="H217" i="16"/>
  <c r="H155" i="3"/>
  <c r="D201" i="11"/>
  <c r="I207" i="16"/>
  <c r="D198" i="12"/>
  <c r="D192" i="9"/>
  <c r="H142" i="6"/>
  <c r="V142" i="5"/>
  <c r="U142" i="6" s="1"/>
  <c r="D435" i="16"/>
  <c r="D237" i="16"/>
  <c r="J33" i="16"/>
  <c r="H187" i="16"/>
  <c r="D13" i="9"/>
  <c r="I214" i="16"/>
  <c r="D203" i="10"/>
  <c r="C114" i="1"/>
  <c r="D169" i="12"/>
  <c r="D30" i="11"/>
  <c r="F166" i="3"/>
  <c r="L142" i="3"/>
  <c r="H451" i="16"/>
  <c r="D319" i="16"/>
  <c r="D26" i="16"/>
  <c r="D198" i="8"/>
  <c r="D13" i="12"/>
  <c r="D69" i="8"/>
  <c r="F197" i="6"/>
  <c r="I6" i="16"/>
  <c r="L10" i="6"/>
  <c r="J159" i="16"/>
  <c r="D132" i="8"/>
  <c r="G56" i="3"/>
  <c r="V100" i="4"/>
  <c r="U56" i="3" s="1"/>
  <c r="D46" i="8"/>
  <c r="H83" i="6"/>
  <c r="V83" i="5"/>
  <c r="U83" i="6" s="1"/>
  <c r="H256" i="16"/>
  <c r="I183" i="16"/>
  <c r="L30" i="4"/>
  <c r="P131" i="3" s="1"/>
  <c r="AD30" i="4"/>
  <c r="W131" i="3" s="1"/>
  <c r="Z30" i="4"/>
  <c r="T131" i="3" s="1"/>
  <c r="AE30" i="4"/>
  <c r="X131" i="3" s="1"/>
  <c r="S30" i="4"/>
  <c r="Q131" i="3" s="1"/>
  <c r="R30" i="4"/>
  <c r="R131" i="3" s="1"/>
  <c r="AA30" i="4"/>
  <c r="S131" i="3" s="1"/>
  <c r="E131" i="3"/>
  <c r="H150" i="3"/>
  <c r="F149" i="6"/>
  <c r="V66" i="5"/>
  <c r="U66" i="6" s="1"/>
  <c r="H66" i="6"/>
  <c r="D141" i="16"/>
  <c r="D123" i="10"/>
  <c r="D194" i="8"/>
  <c r="H236" i="16"/>
  <c r="J379" i="16"/>
  <c r="D170" i="10"/>
  <c r="D207" i="11"/>
  <c r="D130" i="9"/>
  <c r="H123" i="16"/>
  <c r="I68" i="6"/>
  <c r="O68" i="5"/>
  <c r="N68" i="6" s="1"/>
  <c r="D303" i="12"/>
  <c r="D137" i="10"/>
  <c r="I101" i="3"/>
  <c r="O108" i="4"/>
  <c r="D53" i="12"/>
  <c r="J397" i="16"/>
  <c r="D199" i="9"/>
  <c r="D194" i="16"/>
  <c r="F160" i="6"/>
  <c r="D159" i="9"/>
  <c r="D80" i="12"/>
  <c r="D15" i="8"/>
  <c r="I134" i="6"/>
  <c r="O134" i="5"/>
  <c r="D157" i="16"/>
  <c r="AE161" i="4"/>
  <c r="X154" i="3" s="1"/>
  <c r="AD161" i="4"/>
  <c r="W154" i="3" s="1"/>
  <c r="Z161" i="4"/>
  <c r="T154" i="3" s="1"/>
  <c r="AA161" i="4"/>
  <c r="S154" i="3" s="1"/>
  <c r="S161" i="4"/>
  <c r="Q154" i="3" s="1"/>
  <c r="E154" i="3"/>
  <c r="R161" i="4"/>
  <c r="R154" i="3" s="1"/>
  <c r="L161" i="4"/>
  <c r="P154" i="3" s="1"/>
  <c r="D376" i="16"/>
  <c r="O41" i="5"/>
  <c r="I41" i="6"/>
  <c r="I117" i="3"/>
  <c r="O203" i="4"/>
  <c r="I437" i="16"/>
  <c r="F39" i="3"/>
  <c r="F59" i="6"/>
  <c r="D206" i="12"/>
  <c r="C13" i="1"/>
  <c r="I347" i="16"/>
  <c r="J460" i="16"/>
  <c r="G42" i="3"/>
  <c r="V150" i="4"/>
  <c r="U42" i="3" s="1"/>
  <c r="D10" i="16"/>
  <c r="J310" i="16"/>
  <c r="H16" i="16"/>
  <c r="H238" i="16"/>
  <c r="O170" i="4"/>
  <c r="I30" i="3"/>
  <c r="D202" i="9"/>
  <c r="L120" i="3"/>
  <c r="R56" i="4"/>
  <c r="R128" i="3" s="1"/>
  <c r="L56" i="4"/>
  <c r="P128" i="3" s="1"/>
  <c r="E128" i="3"/>
  <c r="AD56" i="4"/>
  <c r="W128" i="3" s="1"/>
  <c r="Z56" i="4"/>
  <c r="T128" i="3" s="1"/>
  <c r="AE56" i="4"/>
  <c r="X128" i="3" s="1"/>
  <c r="S56" i="4"/>
  <c r="Q128" i="3" s="1"/>
  <c r="AA56" i="4"/>
  <c r="S128" i="3" s="1"/>
  <c r="F141" i="3"/>
  <c r="D324" i="16"/>
  <c r="L198" i="3"/>
  <c r="F110" i="3"/>
  <c r="H188" i="16"/>
  <c r="D283" i="12"/>
  <c r="V121" i="4"/>
  <c r="U83" i="3" s="1"/>
  <c r="G83" i="3"/>
  <c r="H166" i="16"/>
  <c r="D199" i="12"/>
  <c r="F130" i="3"/>
  <c r="D195" i="10"/>
  <c r="G201" i="3"/>
  <c r="V99" i="4"/>
  <c r="U201" i="3" s="1"/>
  <c r="L72" i="6"/>
  <c r="H316" i="16"/>
  <c r="D33" i="10"/>
  <c r="G38" i="3"/>
  <c r="V52" i="4"/>
  <c r="U38" i="3" s="1"/>
  <c r="H379" i="16"/>
  <c r="O97" i="4"/>
  <c r="Q97" i="4" s="1"/>
  <c r="I35" i="3"/>
  <c r="L16" i="6"/>
  <c r="L32" i="6"/>
  <c r="D53" i="8"/>
  <c r="D312" i="16"/>
  <c r="D119" i="12"/>
  <c r="L148" i="3"/>
  <c r="R11" i="5"/>
  <c r="R11" i="6" s="1"/>
  <c r="AO11" i="5"/>
  <c r="AP11" i="5" s="1"/>
  <c r="E11" i="6"/>
  <c r="Z11" i="5"/>
  <c r="T11" i="6" s="1"/>
  <c r="S11" i="5"/>
  <c r="Q11" i="6" s="1"/>
  <c r="AA11" i="5"/>
  <c r="S11" i="6" s="1"/>
  <c r="L11" i="5"/>
  <c r="P11" i="6" s="1"/>
  <c r="AE11" i="5"/>
  <c r="X11" i="6" s="1"/>
  <c r="AD11" i="5"/>
  <c r="W11" i="6" s="1"/>
  <c r="V143" i="4"/>
  <c r="U157" i="3" s="1"/>
  <c r="G157" i="3"/>
  <c r="D11" i="16"/>
  <c r="F142" i="3"/>
  <c r="F45" i="6"/>
  <c r="B237" i="9"/>
  <c r="B237" i="10"/>
  <c r="B237" i="12"/>
  <c r="B237" i="11"/>
  <c r="C237" i="22" s="1"/>
  <c r="B237" i="8"/>
  <c r="D65" i="9"/>
  <c r="O205" i="4"/>
  <c r="I164" i="3"/>
  <c r="L118" i="4"/>
  <c r="P33" i="3" s="1"/>
  <c r="Z118" i="4"/>
  <c r="T33" i="3" s="1"/>
  <c r="E33" i="3"/>
  <c r="R118" i="4"/>
  <c r="R33" i="3" s="1"/>
  <c r="S118" i="4"/>
  <c r="Q33" i="3" s="1"/>
  <c r="AA118" i="4"/>
  <c r="S33" i="3" s="1"/>
  <c r="AD118" i="4"/>
  <c r="W33" i="3" s="1"/>
  <c r="AE118" i="4"/>
  <c r="X33" i="3" s="1"/>
  <c r="L120" i="4"/>
  <c r="P44" i="3" s="1"/>
  <c r="AD120" i="4"/>
  <c r="W44" i="3" s="1"/>
  <c r="E44" i="3"/>
  <c r="AA120" i="4"/>
  <c r="S44" i="3" s="1"/>
  <c r="Z120" i="4"/>
  <c r="T44" i="3" s="1"/>
  <c r="R120" i="4"/>
  <c r="R44" i="3" s="1"/>
  <c r="S120" i="4"/>
  <c r="Q44" i="3" s="1"/>
  <c r="AE120" i="4"/>
  <c r="X44" i="3" s="1"/>
  <c r="D249" i="16"/>
  <c r="S151" i="5"/>
  <c r="Q151" i="6" s="1"/>
  <c r="E151" i="6"/>
  <c r="AE151" i="5"/>
  <c r="X151" i="6" s="1"/>
  <c r="Z151" i="5"/>
  <c r="T151" i="6" s="1"/>
  <c r="AA151" i="5"/>
  <c r="S151" i="6" s="1"/>
  <c r="AO151" i="5"/>
  <c r="AP151" i="5" s="1"/>
  <c r="AD151" i="5"/>
  <c r="W151" i="6" s="1"/>
  <c r="R151" i="5"/>
  <c r="R151" i="6" s="1"/>
  <c r="L151" i="5"/>
  <c r="P151" i="6" s="1"/>
  <c r="D22" i="11"/>
  <c r="D284" i="12"/>
  <c r="D295" i="11"/>
  <c r="D258" i="11"/>
  <c r="D197" i="12"/>
  <c r="AA10" i="4"/>
  <c r="S183" i="3" s="1"/>
  <c r="AE10" i="4"/>
  <c r="X183" i="3" s="1"/>
  <c r="E183" i="3"/>
  <c r="AD10" i="4"/>
  <c r="W183" i="3" s="1"/>
  <c r="S10" i="4"/>
  <c r="Q183" i="3" s="1"/>
  <c r="L10" i="4"/>
  <c r="P183" i="3" s="1"/>
  <c r="Z10" i="4"/>
  <c r="T183" i="3" s="1"/>
  <c r="R10" i="4"/>
  <c r="R183" i="3" s="1"/>
  <c r="D122" i="16"/>
  <c r="D162" i="11"/>
  <c r="I342" i="16"/>
  <c r="G120" i="3"/>
  <c r="V110" i="4"/>
  <c r="U120" i="3" s="1"/>
  <c r="D178" i="9"/>
  <c r="H273" i="16"/>
  <c r="H298" i="16"/>
  <c r="C5" i="9"/>
  <c r="D5" i="9" s="1"/>
  <c r="D190" i="10"/>
  <c r="D18" i="10"/>
  <c r="D111" i="9"/>
  <c r="D175" i="12"/>
  <c r="I52" i="3"/>
  <c r="O189" i="4"/>
  <c r="N52" i="3" s="1"/>
  <c r="H52" i="6"/>
  <c r="V52" i="5"/>
  <c r="U52" i="6" s="1"/>
  <c r="D130" i="11"/>
  <c r="J246" i="16"/>
  <c r="I235" i="16"/>
  <c r="D153" i="8"/>
  <c r="E26" i="6"/>
  <c r="R26" i="5"/>
  <c r="R26" i="6" s="1"/>
  <c r="AO26" i="5"/>
  <c r="AP26" i="5" s="1"/>
  <c r="L26" i="5"/>
  <c r="P26" i="6" s="1"/>
  <c r="AD26" i="5"/>
  <c r="W26" i="6" s="1"/>
  <c r="AA26" i="5"/>
  <c r="S26" i="6" s="1"/>
  <c r="S26" i="5"/>
  <c r="Q26" i="6" s="1"/>
  <c r="Z26" i="5"/>
  <c r="T26" i="6" s="1"/>
  <c r="AE26" i="5"/>
  <c r="X26" i="6" s="1"/>
  <c r="J223" i="16"/>
  <c r="J376" i="16"/>
  <c r="S175" i="4"/>
  <c r="Q166" i="3" s="1"/>
  <c r="AA175" i="4"/>
  <c r="S166" i="3" s="1"/>
  <c r="AE175" i="4"/>
  <c r="X166" i="3" s="1"/>
  <c r="AD175" i="4"/>
  <c r="W166" i="3" s="1"/>
  <c r="E166" i="3"/>
  <c r="L175" i="4"/>
  <c r="P166" i="3" s="1"/>
  <c r="Z175" i="4"/>
  <c r="T166" i="3" s="1"/>
  <c r="R175" i="4"/>
  <c r="R166" i="3" s="1"/>
  <c r="S165" i="5"/>
  <c r="Q165" i="6" s="1"/>
  <c r="L165" i="5"/>
  <c r="P165" i="6" s="1"/>
  <c r="AO165" i="5"/>
  <c r="AP165" i="5" s="1"/>
  <c r="E165" i="6"/>
  <c r="Z165" i="5"/>
  <c r="T165" i="6" s="1"/>
  <c r="AA165" i="5"/>
  <c r="S165" i="6" s="1"/>
  <c r="AE165" i="5"/>
  <c r="X165" i="6" s="1"/>
  <c r="R165" i="5"/>
  <c r="R165" i="6" s="1"/>
  <c r="AD165" i="5"/>
  <c r="W165" i="6" s="1"/>
  <c r="G15" i="6"/>
  <c r="H205" i="3"/>
  <c r="G115" i="6"/>
  <c r="G185" i="3"/>
  <c r="V148" i="4"/>
  <c r="U185" i="3" s="1"/>
  <c r="AD98" i="5"/>
  <c r="W98" i="6" s="1"/>
  <c r="L98" i="5"/>
  <c r="P98" i="6" s="1"/>
  <c r="AE98" i="5"/>
  <c r="X98" i="6" s="1"/>
  <c r="R98" i="5"/>
  <c r="R98" i="6" s="1"/>
  <c r="E98" i="6"/>
  <c r="AO98" i="5"/>
  <c r="AP98" i="5" s="1"/>
  <c r="S98" i="5"/>
  <c r="Q98" i="6" s="1"/>
  <c r="AA98" i="5"/>
  <c r="S98" i="6" s="1"/>
  <c r="Z98" i="5"/>
  <c r="T98" i="6" s="1"/>
  <c r="D250" i="12"/>
  <c r="D8" i="11"/>
  <c r="J169" i="16"/>
  <c r="D208" i="16"/>
  <c r="I44" i="6"/>
  <c r="O44" i="5"/>
  <c r="Q44" i="5" s="1"/>
  <c r="C220" i="1"/>
  <c r="H115" i="6"/>
  <c r="V115" i="5"/>
  <c r="U115" i="6" s="1"/>
  <c r="J123" i="16"/>
  <c r="I58" i="6"/>
  <c r="O58" i="5"/>
  <c r="H135" i="3"/>
  <c r="H341" i="16"/>
  <c r="D15" i="11"/>
  <c r="F11" i="6"/>
  <c r="F156" i="6"/>
  <c r="H290" i="16"/>
  <c r="C319" i="1"/>
  <c r="L165" i="3"/>
  <c r="F18" i="6"/>
  <c r="D264" i="16"/>
  <c r="H110" i="3"/>
  <c r="J328" i="16"/>
  <c r="J333" i="16"/>
  <c r="D48" i="9"/>
  <c r="AA99" i="4"/>
  <c r="S201" i="3" s="1"/>
  <c r="Z99" i="4"/>
  <c r="T201" i="3" s="1"/>
  <c r="S99" i="4"/>
  <c r="Q201" i="3" s="1"/>
  <c r="E201" i="3"/>
  <c r="L99" i="4"/>
  <c r="P201" i="3" s="1"/>
  <c r="R99" i="4"/>
  <c r="R201" i="3" s="1"/>
  <c r="AE99" i="4"/>
  <c r="X201" i="3" s="1"/>
  <c r="AD99" i="4"/>
  <c r="W201" i="3" s="1"/>
  <c r="AO61" i="5"/>
  <c r="AP61" i="5" s="1"/>
  <c r="AA61" i="5"/>
  <c r="S61" i="6" s="1"/>
  <c r="R61" i="5"/>
  <c r="R61" i="6" s="1"/>
  <c r="AE61" i="5"/>
  <c r="X61" i="6" s="1"/>
  <c r="AD61" i="5"/>
  <c r="W61" i="6" s="1"/>
  <c r="E61" i="6"/>
  <c r="S61" i="5"/>
  <c r="Q61" i="6" s="1"/>
  <c r="Z61" i="5"/>
  <c r="T61" i="6" s="1"/>
  <c r="L61" i="5"/>
  <c r="P61" i="6" s="1"/>
  <c r="G195" i="6"/>
  <c r="D270" i="11"/>
  <c r="I404" i="16"/>
  <c r="R171" i="5"/>
  <c r="R171" i="6" s="1"/>
  <c r="AA171" i="5"/>
  <c r="S171" i="6" s="1"/>
  <c r="E171" i="6"/>
  <c r="AE171" i="5"/>
  <c r="X171" i="6" s="1"/>
  <c r="AD171" i="5"/>
  <c r="S171" i="5"/>
  <c r="Q171" i="6" s="1"/>
  <c r="L171" i="5"/>
  <c r="P171" i="6" s="1"/>
  <c r="AO171" i="5"/>
  <c r="AP171" i="5" s="1"/>
  <c r="Z171" i="5"/>
  <c r="T171" i="6" s="1"/>
  <c r="F41" i="6"/>
  <c r="D25" i="8"/>
  <c r="D88" i="12"/>
  <c r="J189" i="16"/>
  <c r="D132" i="11"/>
  <c r="C205" i="1"/>
  <c r="D31" i="9"/>
  <c r="D173" i="16"/>
  <c r="F75" i="6"/>
  <c r="C185" i="1"/>
  <c r="G184" i="6"/>
  <c r="G141" i="6"/>
  <c r="D87" i="9"/>
  <c r="H38" i="3"/>
  <c r="I18" i="16"/>
  <c r="D249" i="12"/>
  <c r="D276" i="11"/>
  <c r="J124" i="16"/>
  <c r="D14" i="10"/>
  <c r="J244" i="16"/>
  <c r="D133" i="10"/>
  <c r="D169" i="8"/>
  <c r="J335" i="16"/>
  <c r="D184" i="8"/>
  <c r="D124" i="10"/>
  <c r="H156" i="6"/>
  <c r="V156" i="5"/>
  <c r="U156" i="6" s="1"/>
  <c r="D157" i="10"/>
  <c r="D272" i="11"/>
  <c r="D263" i="11"/>
  <c r="D155" i="12"/>
  <c r="H8" i="3"/>
  <c r="L155" i="4"/>
  <c r="P102" i="3" s="1"/>
  <c r="E102" i="3"/>
  <c r="AE155" i="4"/>
  <c r="X102" i="3" s="1"/>
  <c r="R155" i="4"/>
  <c r="R102" i="3" s="1"/>
  <c r="AD155" i="4"/>
  <c r="W102" i="3" s="1"/>
  <c r="S155" i="4"/>
  <c r="Q102" i="3" s="1"/>
  <c r="Z155" i="4"/>
  <c r="T102" i="3" s="1"/>
  <c r="AA155" i="4"/>
  <c r="S102" i="3" s="1"/>
  <c r="H43" i="3"/>
  <c r="D305" i="12"/>
  <c r="H5" i="16"/>
  <c r="D394" i="16"/>
  <c r="I385" i="16"/>
  <c r="J345" i="16"/>
  <c r="D308" i="16"/>
  <c r="H308" i="16"/>
  <c r="J296" i="16"/>
  <c r="I345" i="16"/>
  <c r="D22" i="9"/>
  <c r="D88" i="10"/>
  <c r="D71" i="12"/>
  <c r="I142" i="3"/>
  <c r="O39" i="4"/>
  <c r="P39" i="4" s="1"/>
  <c r="M142" i="3" s="1"/>
  <c r="D103" i="12"/>
  <c r="J299" i="16"/>
  <c r="I123" i="3"/>
  <c r="O27" i="4"/>
  <c r="P27" i="4" s="1"/>
  <c r="M123" i="3" s="1"/>
  <c r="I442" i="16"/>
  <c r="G96" i="3"/>
  <c r="V87" i="4"/>
  <c r="U96" i="3" s="1"/>
  <c r="D71" i="11"/>
  <c r="V88" i="4"/>
  <c r="U29" i="3" s="1"/>
  <c r="G29" i="3"/>
  <c r="H149" i="16"/>
  <c r="D92" i="11"/>
  <c r="V148" i="5"/>
  <c r="U148" i="6" s="1"/>
  <c r="H148" i="6"/>
  <c r="J343" i="16"/>
  <c r="O149" i="4"/>
  <c r="I73" i="3"/>
  <c r="D16" i="11"/>
  <c r="J394" i="16"/>
  <c r="D276" i="12"/>
  <c r="H186" i="16"/>
  <c r="F63" i="6"/>
  <c r="D147" i="12"/>
  <c r="J371" i="16"/>
  <c r="J222" i="16"/>
  <c r="H182" i="3"/>
  <c r="D116" i="8"/>
  <c r="D14" i="9"/>
  <c r="C38" i="1"/>
  <c r="V161" i="4"/>
  <c r="U154" i="3" s="1"/>
  <c r="G154" i="3"/>
  <c r="H123" i="6"/>
  <c r="V123" i="5"/>
  <c r="U123" i="6" s="1"/>
  <c r="D159" i="11"/>
  <c r="H33" i="6"/>
  <c r="V33" i="5"/>
  <c r="U33" i="6" s="1"/>
  <c r="D188" i="12"/>
  <c r="J336" i="16"/>
  <c r="D56" i="11"/>
  <c r="V181" i="5"/>
  <c r="U181" i="6" s="1"/>
  <c r="H181" i="6"/>
  <c r="D136" i="8"/>
  <c r="I264" i="16"/>
  <c r="J417" i="16"/>
  <c r="J182" i="16"/>
  <c r="D177" i="8"/>
  <c r="D95" i="11"/>
  <c r="I149" i="6"/>
  <c r="O149" i="5"/>
  <c r="N149" i="6" s="1"/>
  <c r="O34" i="5"/>
  <c r="I34" i="6"/>
  <c r="G131" i="6"/>
  <c r="G190" i="3"/>
  <c r="V136" i="4"/>
  <c r="U190" i="3" s="1"/>
  <c r="I288" i="16"/>
  <c r="D9" i="16"/>
  <c r="L108" i="3"/>
  <c r="V168" i="4"/>
  <c r="U198" i="3" s="1"/>
  <c r="G198" i="3"/>
  <c r="D60" i="10"/>
  <c r="J384" i="16"/>
  <c r="AD138" i="4"/>
  <c r="W31" i="3" s="1"/>
  <c r="Z138" i="4"/>
  <c r="T31" i="3" s="1"/>
  <c r="AE138" i="4"/>
  <c r="X31" i="3" s="1"/>
  <c r="AA138" i="4"/>
  <c r="S31" i="3" s="1"/>
  <c r="S138" i="4"/>
  <c r="Q31" i="3" s="1"/>
  <c r="E31" i="3"/>
  <c r="R138" i="4"/>
  <c r="R31" i="3" s="1"/>
  <c r="L138" i="4"/>
  <c r="P31" i="3" s="1"/>
  <c r="D212" i="12"/>
  <c r="D196" i="9"/>
  <c r="L102" i="6"/>
  <c r="J346" i="16"/>
  <c r="D109" i="12"/>
  <c r="H225" i="16"/>
  <c r="C57" i="1"/>
  <c r="D116" i="11"/>
  <c r="H320" i="16"/>
  <c r="D141" i="10"/>
  <c r="F186" i="3"/>
  <c r="AD70" i="5"/>
  <c r="W70" i="6" s="1"/>
  <c r="Z70" i="5"/>
  <c r="T70" i="6" s="1"/>
  <c r="R70" i="5"/>
  <c r="R70" i="6" s="1"/>
  <c r="L70" i="5"/>
  <c r="P70" i="6" s="1"/>
  <c r="S70" i="5"/>
  <c r="Q70" i="6" s="1"/>
  <c r="AE70" i="5"/>
  <c r="X70" i="6" s="1"/>
  <c r="AO70" i="5"/>
  <c r="AP70" i="5" s="1"/>
  <c r="E70" i="6"/>
  <c r="AA70" i="5"/>
  <c r="S70" i="6" s="1"/>
  <c r="I270" i="16"/>
  <c r="I167" i="16"/>
  <c r="D191" i="16"/>
  <c r="F85" i="6"/>
  <c r="H32" i="16"/>
  <c r="F134" i="6"/>
  <c r="I79" i="6"/>
  <c r="O79" i="5"/>
  <c r="Q79" i="5" s="1"/>
  <c r="D193" i="11"/>
  <c r="F114" i="6"/>
  <c r="F182" i="6"/>
  <c r="D221" i="12"/>
  <c r="F122" i="6"/>
  <c r="D150" i="8"/>
  <c r="AA55" i="4"/>
  <c r="S105" i="3" s="1"/>
  <c r="R55" i="4"/>
  <c r="R105" i="3" s="1"/>
  <c r="S55" i="4"/>
  <c r="Q105" i="3" s="1"/>
  <c r="AE55" i="4"/>
  <c r="X105" i="3" s="1"/>
  <c r="AD55" i="4"/>
  <c r="W105" i="3" s="1"/>
  <c r="Z55" i="4"/>
  <c r="T105" i="3" s="1"/>
  <c r="E105" i="3"/>
  <c r="L55" i="4"/>
  <c r="P105" i="3" s="1"/>
  <c r="J412" i="16"/>
  <c r="I203" i="16"/>
  <c r="H359" i="16"/>
  <c r="L47" i="6"/>
  <c r="D98" i="12"/>
  <c r="D231" i="16"/>
  <c r="I195" i="16"/>
  <c r="I229" i="16"/>
  <c r="D420" i="16"/>
  <c r="H139" i="16"/>
  <c r="AA13" i="5"/>
  <c r="S13" i="6" s="1"/>
  <c r="AO13" i="5"/>
  <c r="AP13" i="5" s="1"/>
  <c r="S13" i="5"/>
  <c r="Q13" i="6" s="1"/>
  <c r="AD13" i="5"/>
  <c r="W13" i="6" s="1"/>
  <c r="Z13" i="5"/>
  <c r="T13" i="6" s="1"/>
  <c r="AE13" i="5"/>
  <c r="X13" i="6" s="1"/>
  <c r="R13" i="5"/>
  <c r="R13" i="6" s="1"/>
  <c r="L13" i="5"/>
  <c r="P13" i="6" s="1"/>
  <c r="E13" i="6"/>
  <c r="I313" i="16"/>
  <c r="D134" i="8"/>
  <c r="C483" i="1"/>
  <c r="D201" i="12"/>
  <c r="D124" i="11"/>
  <c r="C40" i="1"/>
  <c r="D135" i="16"/>
  <c r="D41" i="12"/>
  <c r="F111" i="6"/>
  <c r="AE203" i="4"/>
  <c r="X117" i="3" s="1"/>
  <c r="AA203" i="4"/>
  <c r="S117" i="3" s="1"/>
  <c r="AD203" i="4"/>
  <c r="W117" i="3" s="1"/>
  <c r="S203" i="4"/>
  <c r="Q117" i="3" s="1"/>
  <c r="L203" i="4"/>
  <c r="P117" i="3" s="1"/>
  <c r="R203" i="4"/>
  <c r="R117" i="3" s="1"/>
  <c r="E117" i="3"/>
  <c r="Z203" i="4"/>
  <c r="T117" i="3" s="1"/>
  <c r="L56" i="3"/>
  <c r="J409" i="16"/>
  <c r="D23" i="9"/>
  <c r="H151" i="16"/>
  <c r="C14" i="1"/>
  <c r="D230" i="16"/>
  <c r="D208" i="9"/>
  <c r="D210" i="8"/>
  <c r="H456" i="16"/>
  <c r="D105" i="12"/>
  <c r="D291" i="11"/>
  <c r="C356" i="1"/>
  <c r="D170" i="8"/>
  <c r="H385" i="16"/>
  <c r="D172" i="9"/>
  <c r="L201" i="3"/>
  <c r="J128" i="16"/>
  <c r="G164" i="6"/>
  <c r="I252" i="16"/>
  <c r="D214" i="12"/>
  <c r="J14" i="16"/>
  <c r="D6" i="16"/>
  <c r="D183" i="10"/>
  <c r="O193" i="4"/>
  <c r="I77" i="3"/>
  <c r="L118" i="6"/>
  <c r="C87" i="1"/>
  <c r="D433" i="16"/>
  <c r="AA76" i="5"/>
  <c r="S76" i="6" s="1"/>
  <c r="AO76" i="5"/>
  <c r="AP76" i="5" s="1"/>
  <c r="Z76" i="5"/>
  <c r="T76" i="6" s="1"/>
  <c r="R76" i="5"/>
  <c r="R76" i="6" s="1"/>
  <c r="E76" i="6"/>
  <c r="AE76" i="5"/>
  <c r="X76" i="6" s="1"/>
  <c r="S76" i="5"/>
  <c r="Q76" i="6" s="1"/>
  <c r="L76" i="5"/>
  <c r="P76" i="6" s="1"/>
  <c r="AD76" i="5"/>
  <c r="W76" i="6" s="1"/>
  <c r="B222" i="12"/>
  <c r="B222" i="10"/>
  <c r="B222" i="8"/>
  <c r="B222" i="11"/>
  <c r="C222" i="22" s="1"/>
  <c r="B222" i="9"/>
  <c r="V102" i="5"/>
  <c r="U102" i="6" s="1"/>
  <c r="H102" i="6"/>
  <c r="D245" i="11"/>
  <c r="D182" i="11"/>
  <c r="D16" i="16"/>
  <c r="G202" i="6"/>
  <c r="J399" i="16"/>
  <c r="L80" i="6"/>
  <c r="I175" i="6"/>
  <c r="O175" i="5"/>
  <c r="C35" i="1"/>
  <c r="G150" i="6"/>
  <c r="L188" i="6"/>
  <c r="J444" i="16"/>
  <c r="L131" i="6"/>
  <c r="H233" i="16"/>
  <c r="I209" i="16"/>
  <c r="G127" i="3"/>
  <c r="V127" i="4"/>
  <c r="U127" i="3" s="1"/>
  <c r="H173" i="6"/>
  <c r="V173" i="5"/>
  <c r="U173" i="6" s="1"/>
  <c r="H26" i="16"/>
  <c r="D200" i="16"/>
  <c r="G31" i="3"/>
  <c r="V138" i="4"/>
  <c r="U31" i="3" s="1"/>
  <c r="J147" i="16"/>
  <c r="O206" i="5"/>
  <c r="Q206" i="5" s="1"/>
  <c r="I206" i="6"/>
  <c r="J7" i="16"/>
  <c r="L103" i="6"/>
  <c r="D29" i="12"/>
  <c r="D123" i="11"/>
  <c r="D154" i="16"/>
  <c r="D131" i="10"/>
  <c r="D66" i="11"/>
  <c r="D19" i="11"/>
  <c r="D305" i="11"/>
  <c r="H240" i="16"/>
  <c r="D121" i="12"/>
  <c r="I377" i="16"/>
  <c r="D260" i="12"/>
  <c r="D125" i="12"/>
  <c r="D28" i="10"/>
  <c r="J451" i="16"/>
  <c r="D135" i="9"/>
  <c r="D61" i="11"/>
  <c r="D129" i="16"/>
  <c r="D70" i="10"/>
  <c r="L86" i="3"/>
  <c r="H6" i="16"/>
  <c r="G198" i="6"/>
  <c r="I53" i="3"/>
  <c r="O86" i="4"/>
  <c r="D21" i="16"/>
  <c r="J441" i="16"/>
  <c r="D69" i="12"/>
  <c r="F90" i="6"/>
  <c r="H185" i="3"/>
  <c r="AE118" i="5"/>
  <c r="X118" i="6" s="1"/>
  <c r="AA118" i="5"/>
  <c r="S118" i="6" s="1"/>
  <c r="Z118" i="5"/>
  <c r="T118" i="6" s="1"/>
  <c r="AO118" i="5"/>
  <c r="AP118" i="5" s="1"/>
  <c r="L118" i="5"/>
  <c r="P118" i="6" s="1"/>
  <c r="S118" i="5"/>
  <c r="Q118" i="6" s="1"/>
  <c r="R118" i="5"/>
  <c r="R118" i="6" s="1"/>
  <c r="E118" i="6"/>
  <c r="AD118" i="5"/>
  <c r="W118" i="6" s="1"/>
  <c r="J377" i="16"/>
  <c r="J426" i="16"/>
  <c r="C481" i="1"/>
  <c r="J121" i="16"/>
  <c r="D280" i="12"/>
  <c r="H116" i="6"/>
  <c r="V116" i="5"/>
  <c r="U116" i="6" s="1"/>
  <c r="D333" i="16"/>
  <c r="I71" i="3"/>
  <c r="O176" i="4"/>
  <c r="D14" i="8"/>
  <c r="F61" i="6"/>
  <c r="D46" i="12"/>
  <c r="C157" i="1"/>
  <c r="I148" i="6"/>
  <c r="O148" i="5"/>
  <c r="D132" i="16"/>
  <c r="I353" i="16"/>
  <c r="F105" i="3"/>
  <c r="O64" i="5"/>
  <c r="Q64" i="5" s="1"/>
  <c r="I64" i="6"/>
  <c r="V144" i="5"/>
  <c r="U144" i="6" s="1"/>
  <c r="H144" i="6"/>
  <c r="D139" i="8"/>
  <c r="D28" i="9"/>
  <c r="H108" i="3"/>
  <c r="H145" i="16"/>
  <c r="D161" i="10"/>
  <c r="D168" i="11"/>
  <c r="D62" i="9"/>
  <c r="G72" i="6"/>
  <c r="D80" i="10"/>
  <c r="D247" i="12"/>
  <c r="D51" i="12"/>
  <c r="F171" i="6"/>
  <c r="D423" i="16"/>
  <c r="O33" i="5"/>
  <c r="I33" i="6"/>
  <c r="L38" i="6"/>
  <c r="D19" i="16"/>
  <c r="J292" i="16"/>
  <c r="D217" i="9"/>
  <c r="V162" i="5"/>
  <c r="U162" i="6" s="1"/>
  <c r="H162" i="6"/>
  <c r="D92" i="12"/>
  <c r="D237" i="12"/>
  <c r="D54" i="10"/>
  <c r="J405" i="16"/>
  <c r="D97" i="8"/>
  <c r="C138" i="1"/>
  <c r="D140" i="11"/>
  <c r="D94" i="12"/>
  <c r="AA133" i="5"/>
  <c r="S133" i="6" s="1"/>
  <c r="E133" i="6"/>
  <c r="R133" i="5"/>
  <c r="R133" i="6" s="1"/>
  <c r="AO133" i="5"/>
  <c r="AP133" i="5" s="1"/>
  <c r="Z133" i="5"/>
  <c r="T133" i="6" s="1"/>
  <c r="S133" i="5"/>
  <c r="Q133" i="6" s="1"/>
  <c r="L133" i="5"/>
  <c r="P133" i="6" s="1"/>
  <c r="AE133" i="5"/>
  <c r="X133" i="6" s="1"/>
  <c r="AD133" i="5"/>
  <c r="W133" i="6" s="1"/>
  <c r="J133" i="16"/>
  <c r="C3" i="17"/>
  <c r="D63" i="8"/>
  <c r="D32" i="16"/>
  <c r="D338" i="16"/>
  <c r="AE136" i="5"/>
  <c r="X136" i="6" s="1"/>
  <c r="AD136" i="5"/>
  <c r="W136" i="6" s="1"/>
  <c r="S136" i="5"/>
  <c r="Q136" i="6" s="1"/>
  <c r="R136" i="5"/>
  <c r="R136" i="6" s="1"/>
  <c r="E136" i="6"/>
  <c r="AA136" i="5"/>
  <c r="S136" i="6" s="1"/>
  <c r="Z136" i="5"/>
  <c r="T136" i="6" s="1"/>
  <c r="AO136" i="5"/>
  <c r="AP136" i="5" s="1"/>
  <c r="L136" i="5"/>
  <c r="P136" i="6" s="1"/>
  <c r="J207" i="16"/>
  <c r="AO158" i="5"/>
  <c r="AP158" i="5" s="1"/>
  <c r="Z158" i="5"/>
  <c r="T158" i="6" s="1"/>
  <c r="L158" i="5"/>
  <c r="P158" i="6" s="1"/>
  <c r="S158" i="5"/>
  <c r="Q158" i="6" s="1"/>
  <c r="AD158" i="5"/>
  <c r="W158" i="6" s="1"/>
  <c r="AA158" i="5"/>
  <c r="S158" i="6" s="1"/>
  <c r="AE158" i="5"/>
  <c r="X158" i="6" s="1"/>
  <c r="R158" i="5"/>
  <c r="R158" i="6" s="1"/>
  <c r="E158" i="6"/>
  <c r="D184" i="16"/>
  <c r="D257" i="11"/>
  <c r="H135" i="16"/>
  <c r="J329" i="16"/>
  <c r="I80" i="6"/>
  <c r="O80" i="5"/>
  <c r="Q80" i="5" s="1"/>
  <c r="D46" i="11"/>
  <c r="D140" i="16"/>
  <c r="D16" i="10"/>
  <c r="H245" i="16"/>
  <c r="L143" i="6"/>
  <c r="D196" i="12"/>
  <c r="J262" i="16"/>
  <c r="V76" i="5"/>
  <c r="U76" i="6" s="1"/>
  <c r="H76" i="6"/>
  <c r="H153" i="3"/>
  <c r="J6" i="16"/>
  <c r="L147" i="3"/>
  <c r="D5" i="16"/>
  <c r="I381" i="16"/>
  <c r="L64" i="6"/>
  <c r="O4" i="5"/>
  <c r="I4" i="6"/>
  <c r="H66" i="3"/>
  <c r="S86" i="5"/>
  <c r="Q86" i="6" s="1"/>
  <c r="AA86" i="5"/>
  <c r="S86" i="6" s="1"/>
  <c r="AO86" i="5"/>
  <c r="AP86" i="5" s="1"/>
  <c r="Z86" i="5"/>
  <c r="T86" i="6" s="1"/>
  <c r="E86" i="6"/>
  <c r="L86" i="5"/>
  <c r="P86" i="6" s="1"/>
  <c r="R86" i="5"/>
  <c r="R86" i="6" s="1"/>
  <c r="AE86" i="5"/>
  <c r="X86" i="6" s="1"/>
  <c r="AD86" i="5"/>
  <c r="W86" i="6" s="1"/>
  <c r="O40" i="5"/>
  <c r="Q40" i="5" s="1"/>
  <c r="I40" i="6"/>
  <c r="I411" i="16"/>
  <c r="D160" i="11"/>
  <c r="H119" i="3"/>
  <c r="G102" i="3"/>
  <c r="V155" i="4"/>
  <c r="U102" i="3" s="1"/>
  <c r="H366" i="16"/>
  <c r="O12" i="5"/>
  <c r="Q12" i="5" s="1"/>
  <c r="I12" i="6"/>
  <c r="D49" i="10"/>
  <c r="D130" i="8"/>
  <c r="I237" i="16"/>
  <c r="J236" i="16"/>
  <c r="G8" i="6"/>
  <c r="H384" i="16"/>
  <c r="O146" i="5"/>
  <c r="Q146" i="5" s="1"/>
  <c r="I146" i="6"/>
  <c r="F124" i="3"/>
  <c r="S135" i="5"/>
  <c r="Q135" i="6" s="1"/>
  <c r="R135" i="5"/>
  <c r="R135" i="6" s="1"/>
  <c r="AD135" i="5"/>
  <c r="W135" i="6" s="1"/>
  <c r="E135" i="6"/>
  <c r="AA135" i="5"/>
  <c r="S135" i="6" s="1"/>
  <c r="Z135" i="5"/>
  <c r="T135" i="6" s="1"/>
  <c r="L135" i="5"/>
  <c r="P135" i="6" s="1"/>
  <c r="AE135" i="5"/>
  <c r="X135" i="6" s="1"/>
  <c r="AO135" i="5"/>
  <c r="AP135" i="5" s="1"/>
  <c r="I38" i="3"/>
  <c r="O52" i="4"/>
  <c r="Q52" i="4" s="1"/>
  <c r="F16" i="3"/>
  <c r="D178" i="10"/>
  <c r="I319" i="16"/>
  <c r="I163" i="16"/>
  <c r="I433" i="16"/>
  <c r="D16" i="8"/>
  <c r="L109" i="6"/>
  <c r="F30" i="3"/>
  <c r="D130" i="16"/>
  <c r="J322" i="16"/>
  <c r="H132" i="6"/>
  <c r="V132" i="5"/>
  <c r="U132" i="6" s="1"/>
  <c r="D164" i="9"/>
  <c r="H37" i="3"/>
  <c r="H60" i="3"/>
  <c r="J250" i="16"/>
  <c r="F163" i="6"/>
  <c r="V68" i="5"/>
  <c r="U68" i="6" s="1"/>
  <c r="H68" i="6"/>
  <c r="D83" i="12"/>
  <c r="F125" i="3"/>
  <c r="D294" i="16"/>
  <c r="D37" i="10"/>
  <c r="H435" i="16"/>
  <c r="F16" i="6"/>
  <c r="AA32" i="4"/>
  <c r="S6" i="3" s="1"/>
  <c r="E6" i="3"/>
  <c r="AE32" i="4"/>
  <c r="X6" i="3" s="1"/>
  <c r="R32" i="4"/>
  <c r="R6" i="3" s="1"/>
  <c r="L32" i="4"/>
  <c r="P6" i="3" s="1"/>
  <c r="AD32" i="4"/>
  <c r="W6" i="3" s="1"/>
  <c r="Z32" i="4"/>
  <c r="T6" i="3" s="1"/>
  <c r="S32" i="4"/>
  <c r="Q6" i="3" s="1"/>
  <c r="H149" i="3"/>
  <c r="L167" i="6"/>
  <c r="D181" i="12"/>
  <c r="R83" i="5"/>
  <c r="R83" i="6" s="1"/>
  <c r="AD83" i="5"/>
  <c r="W83" i="6" s="1"/>
  <c r="Z83" i="5"/>
  <c r="T83" i="6" s="1"/>
  <c r="AO83" i="5"/>
  <c r="AP83" i="5" s="1"/>
  <c r="AE83" i="5"/>
  <c r="X83" i="6" s="1"/>
  <c r="E83" i="6"/>
  <c r="S83" i="5"/>
  <c r="Q83" i="6" s="1"/>
  <c r="L83" i="5"/>
  <c r="P83" i="6" s="1"/>
  <c r="AA83" i="5"/>
  <c r="S83" i="6" s="1"/>
  <c r="D241" i="16"/>
  <c r="R48" i="5"/>
  <c r="R48" i="6" s="1"/>
  <c r="S48" i="5"/>
  <c r="Q48" i="6" s="1"/>
  <c r="AO48" i="5"/>
  <c r="AP48" i="5" s="1"/>
  <c r="AA48" i="5"/>
  <c r="S48" i="6" s="1"/>
  <c r="AE48" i="5"/>
  <c r="X48" i="6" s="1"/>
  <c r="L48" i="5"/>
  <c r="P48" i="6" s="1"/>
  <c r="Z48" i="5"/>
  <c r="T48" i="6" s="1"/>
  <c r="E48" i="6"/>
  <c r="AD48" i="5"/>
  <c r="W48" i="6" s="1"/>
  <c r="H90" i="3"/>
  <c r="H194" i="3"/>
  <c r="I331" i="16"/>
  <c r="H400" i="16"/>
  <c r="D84" i="9"/>
  <c r="B266" i="11"/>
  <c r="C266" i="22" s="1"/>
  <c r="B266" i="8"/>
  <c r="B266" i="9"/>
  <c r="B266" i="12"/>
  <c r="B266" i="10"/>
  <c r="J31" i="16"/>
  <c r="V34" i="4"/>
  <c r="U28" i="3" s="1"/>
  <c r="G28" i="3"/>
  <c r="L71" i="3"/>
  <c r="H161" i="6"/>
  <c r="V161" i="5"/>
  <c r="U161" i="6" s="1"/>
  <c r="D452" i="16"/>
  <c r="D11" i="11"/>
  <c r="J387" i="16"/>
  <c r="H322" i="16"/>
  <c r="D161" i="12"/>
  <c r="J403" i="16"/>
  <c r="I157" i="16"/>
  <c r="J213" i="16"/>
  <c r="D379" i="16"/>
  <c r="I234" i="16"/>
  <c r="J413" i="16"/>
  <c r="D186" i="10"/>
  <c r="J191" i="16"/>
  <c r="E175" i="6"/>
  <c r="L175" i="5"/>
  <c r="P175" i="6" s="1"/>
  <c r="AO175" i="5"/>
  <c r="AP175" i="5" s="1"/>
  <c r="S175" i="5"/>
  <c r="Q175" i="6" s="1"/>
  <c r="AE175" i="5"/>
  <c r="X175" i="6" s="1"/>
  <c r="AA175" i="5"/>
  <c r="S175" i="6" s="1"/>
  <c r="Z175" i="5"/>
  <c r="T175" i="6" s="1"/>
  <c r="R175" i="5"/>
  <c r="R175" i="6" s="1"/>
  <c r="AD175" i="5"/>
  <c r="W175" i="6" s="1"/>
  <c r="G23" i="6"/>
  <c r="J457" i="16"/>
  <c r="I211" i="16"/>
  <c r="H11" i="16"/>
  <c r="D130" i="10"/>
  <c r="S99" i="5"/>
  <c r="Q99" i="6" s="1"/>
  <c r="AA99" i="5"/>
  <c r="S99" i="6" s="1"/>
  <c r="AE99" i="5"/>
  <c r="X99" i="6" s="1"/>
  <c r="L99" i="5"/>
  <c r="P99" i="6" s="1"/>
  <c r="E99" i="6"/>
  <c r="R99" i="5"/>
  <c r="R99" i="6" s="1"/>
  <c r="AD99" i="5"/>
  <c r="W99" i="6" s="1"/>
  <c r="Z99" i="5"/>
  <c r="T99" i="6" s="1"/>
  <c r="AO99" i="5"/>
  <c r="AP99" i="5" s="1"/>
  <c r="D287" i="11"/>
  <c r="D151" i="16"/>
  <c r="O170" i="5"/>
  <c r="I170" i="6"/>
  <c r="E82" i="3"/>
  <c r="AD166" i="4"/>
  <c r="W82" i="3" s="1"/>
  <c r="S166" i="4"/>
  <c r="Q82" i="3" s="1"/>
  <c r="Z166" i="4"/>
  <c r="T82" i="3" s="1"/>
  <c r="L166" i="4"/>
  <c r="P82" i="3" s="1"/>
  <c r="AA166" i="4"/>
  <c r="S82" i="3" s="1"/>
  <c r="R166" i="4"/>
  <c r="R82" i="3" s="1"/>
  <c r="AE166" i="4"/>
  <c r="X82" i="3" s="1"/>
  <c r="D85" i="12"/>
  <c r="D11" i="10"/>
  <c r="D215" i="11"/>
  <c r="V14" i="4"/>
  <c r="U160" i="3" s="1"/>
  <c r="G160" i="3"/>
  <c r="S9" i="5"/>
  <c r="Q9" i="6" s="1"/>
  <c r="L9" i="5"/>
  <c r="P9" i="6" s="1"/>
  <c r="AD9" i="5"/>
  <c r="W9" i="6" s="1"/>
  <c r="Z9" i="5"/>
  <c r="T9" i="6" s="1"/>
  <c r="AA9" i="5"/>
  <c r="S9" i="6" s="1"/>
  <c r="E9" i="6"/>
  <c r="R9" i="5"/>
  <c r="R9" i="6" s="1"/>
  <c r="AO9" i="5"/>
  <c r="AP9" i="5" s="1"/>
  <c r="AE9" i="5"/>
  <c r="X9" i="6" s="1"/>
  <c r="H213" i="16"/>
  <c r="H201" i="6"/>
  <c r="V201" i="5"/>
  <c r="U201" i="6" s="1"/>
  <c r="O162" i="5"/>
  <c r="I162" i="6"/>
  <c r="D133" i="16"/>
  <c r="D172" i="12"/>
  <c r="F9" i="3"/>
  <c r="Z54" i="4"/>
  <c r="T125" i="3" s="1"/>
  <c r="R54" i="4"/>
  <c r="R125" i="3" s="1"/>
  <c r="E125" i="3"/>
  <c r="S54" i="4"/>
  <c r="Q125" i="3" s="1"/>
  <c r="L54" i="4"/>
  <c r="P125" i="3" s="1"/>
  <c r="AD54" i="4"/>
  <c r="W125" i="3" s="1"/>
  <c r="AE54" i="4"/>
  <c r="X125" i="3" s="1"/>
  <c r="AA54" i="4"/>
  <c r="S125" i="3" s="1"/>
  <c r="D58" i="9"/>
  <c r="V170" i="5"/>
  <c r="U170" i="6" s="1"/>
  <c r="H170" i="6"/>
  <c r="C171" i="1"/>
  <c r="D102" i="9"/>
  <c r="AD10" i="5"/>
  <c r="W10" i="6" s="1"/>
  <c r="AO10" i="5"/>
  <c r="AP10" i="5" s="1"/>
  <c r="AE10" i="5"/>
  <c r="X10" i="6" s="1"/>
  <c r="S10" i="5"/>
  <c r="Q10" i="6" s="1"/>
  <c r="R10" i="5"/>
  <c r="R10" i="6" s="1"/>
  <c r="Z10" i="5"/>
  <c r="T10" i="6" s="1"/>
  <c r="E10" i="6"/>
  <c r="AA10" i="5"/>
  <c r="S10" i="6" s="1"/>
  <c r="L10" i="5"/>
  <c r="P10" i="6" s="1"/>
  <c r="D87" i="11"/>
  <c r="H284" i="16"/>
  <c r="I366" i="16"/>
  <c r="C5" i="12"/>
  <c r="D104" i="12"/>
  <c r="G83" i="6"/>
  <c r="G204" i="6"/>
  <c r="D106" i="11"/>
  <c r="C88" i="1"/>
  <c r="AO167" i="5"/>
  <c r="AP167" i="5" s="1"/>
  <c r="L167" i="5"/>
  <c r="P167" i="6" s="1"/>
  <c r="AD167" i="5"/>
  <c r="W167" i="6" s="1"/>
  <c r="E167" i="6"/>
  <c r="AA167" i="5"/>
  <c r="S167" i="6" s="1"/>
  <c r="AE167" i="5"/>
  <c r="X167" i="6" s="1"/>
  <c r="S167" i="5"/>
  <c r="Q167" i="6" s="1"/>
  <c r="Z167" i="5"/>
  <c r="T167" i="6" s="1"/>
  <c r="R167" i="5"/>
  <c r="R167" i="6" s="1"/>
  <c r="D102" i="8"/>
  <c r="D313" i="16"/>
  <c r="D289" i="11"/>
  <c r="I196" i="6"/>
  <c r="O196" i="5"/>
  <c r="B290" i="9"/>
  <c r="B290" i="8"/>
  <c r="B290" i="10"/>
  <c r="B290" i="12"/>
  <c r="B290" i="11"/>
  <c r="C290" i="22" s="1"/>
  <c r="C20" i="23" s="1"/>
  <c r="D49" i="9"/>
  <c r="F39" i="6"/>
  <c r="L128" i="6"/>
  <c r="J358" i="16"/>
  <c r="I322" i="16"/>
  <c r="H167" i="16"/>
  <c r="D158" i="12"/>
  <c r="S184" i="5"/>
  <c r="Q184" i="6" s="1"/>
  <c r="L184" i="5"/>
  <c r="P184" i="6" s="1"/>
  <c r="R184" i="5"/>
  <c r="R184" i="6" s="1"/>
  <c r="AE184" i="5"/>
  <c r="X184" i="6" s="1"/>
  <c r="AD184" i="5"/>
  <c r="W184" i="6" s="1"/>
  <c r="AA184" i="5"/>
  <c r="S184" i="6" s="1"/>
  <c r="Z184" i="5"/>
  <c r="T184" i="6" s="1"/>
  <c r="E184" i="6"/>
  <c r="AO184" i="5"/>
  <c r="AP184" i="5" s="1"/>
  <c r="D114" i="9"/>
  <c r="D213" i="8"/>
  <c r="F197" i="3"/>
  <c r="H190" i="16"/>
  <c r="D16" i="9"/>
  <c r="L76" i="6"/>
  <c r="O93" i="4"/>
  <c r="Q93" i="4" s="1"/>
  <c r="I41" i="3"/>
  <c r="L158" i="3"/>
  <c r="C397" i="1"/>
  <c r="G96" i="6"/>
  <c r="D223" i="16"/>
  <c r="G147" i="6"/>
  <c r="G174" i="3"/>
  <c r="V147" i="4"/>
  <c r="U174" i="3" s="1"/>
  <c r="G177" i="6"/>
  <c r="L34" i="4"/>
  <c r="P28" i="3" s="1"/>
  <c r="Z34" i="4"/>
  <c r="T28" i="3" s="1"/>
  <c r="AD34" i="4"/>
  <c r="W28" i="3" s="1"/>
  <c r="AE34" i="4"/>
  <c r="X28" i="3" s="1"/>
  <c r="AA34" i="4"/>
  <c r="S28" i="3" s="1"/>
  <c r="E28" i="3"/>
  <c r="S34" i="4"/>
  <c r="Q28" i="3" s="1"/>
  <c r="R34" i="4"/>
  <c r="R28" i="3" s="1"/>
  <c r="O187" i="5"/>
  <c r="I187" i="6"/>
  <c r="O136" i="5"/>
  <c r="Q136" i="5" s="1"/>
  <c r="I136" i="6"/>
  <c r="D296" i="16"/>
  <c r="D188" i="16"/>
  <c r="D111" i="11"/>
  <c r="E205" i="6"/>
  <c r="S205" i="5"/>
  <c r="Q205" i="6" s="1"/>
  <c r="AA205" i="5"/>
  <c r="S205" i="6" s="1"/>
  <c r="L205" i="5"/>
  <c r="P205" i="6" s="1"/>
  <c r="R205" i="5"/>
  <c r="R205" i="6" s="1"/>
  <c r="AO205" i="5"/>
  <c r="AP205" i="5" s="1"/>
  <c r="AD205" i="5"/>
  <c r="W205" i="6" s="1"/>
  <c r="AE205" i="5"/>
  <c r="X205" i="6" s="1"/>
  <c r="Z205" i="5"/>
  <c r="T205" i="6" s="1"/>
  <c r="D12" i="12"/>
  <c r="C26" i="14"/>
  <c r="D32" i="12"/>
  <c r="D63" i="9"/>
  <c r="D116" i="9"/>
  <c r="D152" i="16"/>
  <c r="D198" i="11"/>
  <c r="D243" i="16"/>
  <c r="I461" i="16"/>
  <c r="O113" i="5"/>
  <c r="I113" i="6"/>
  <c r="G150" i="3"/>
  <c r="V204" i="4"/>
  <c r="U150" i="3" s="1"/>
  <c r="O159" i="4"/>
  <c r="I74" i="3"/>
  <c r="I396" i="16"/>
  <c r="F113" i="6"/>
  <c r="C161" i="1"/>
  <c r="I60" i="3"/>
  <c r="O42" i="4"/>
  <c r="C128" i="1"/>
  <c r="D186" i="9"/>
  <c r="D206" i="10"/>
  <c r="D117" i="9"/>
  <c r="D108" i="8"/>
  <c r="D117" i="11"/>
  <c r="H28" i="16"/>
  <c r="J298" i="16"/>
  <c r="D363" i="16"/>
  <c r="I295" i="16"/>
  <c r="B228" i="12"/>
  <c r="H267" i="16"/>
  <c r="D213" i="9"/>
  <c r="I379" i="16"/>
  <c r="F101" i="6"/>
  <c r="I421" i="16"/>
  <c r="H168" i="16"/>
  <c r="D136" i="11"/>
  <c r="J28" i="16"/>
  <c r="D131" i="12"/>
  <c r="I86" i="3"/>
  <c r="O206" i="4"/>
  <c r="P206" i="4" s="1"/>
  <c r="M86" i="3" s="1"/>
  <c r="I247" i="16"/>
  <c r="H5" i="6"/>
  <c r="V5" i="5"/>
  <c r="U5" i="6" s="1"/>
  <c r="O182" i="4"/>
  <c r="I134" i="3"/>
  <c r="I176" i="16"/>
  <c r="D24" i="11"/>
  <c r="AA140" i="5"/>
  <c r="S140" i="6" s="1"/>
  <c r="E140" i="6"/>
  <c r="L140" i="5"/>
  <c r="P140" i="6" s="1"/>
  <c r="S140" i="5"/>
  <c r="Q140" i="6" s="1"/>
  <c r="AO140" i="5"/>
  <c r="AP140" i="5" s="1"/>
  <c r="AE140" i="5"/>
  <c r="X140" i="6" s="1"/>
  <c r="AD140" i="5"/>
  <c r="W140" i="6" s="1"/>
  <c r="R140" i="5"/>
  <c r="R140" i="6" s="1"/>
  <c r="Z140" i="5"/>
  <c r="T140" i="6" s="1"/>
  <c r="D129" i="9"/>
  <c r="J455" i="16"/>
  <c r="D157" i="12"/>
  <c r="H417" i="16"/>
  <c r="D178" i="12"/>
  <c r="D225" i="11"/>
  <c r="I153" i="3"/>
  <c r="O40" i="4"/>
  <c r="D7" i="11"/>
  <c r="D281" i="16"/>
  <c r="D128" i="8"/>
  <c r="H447" i="16"/>
  <c r="D212" i="8"/>
  <c r="I325" i="16"/>
  <c r="F165" i="6"/>
  <c r="D253" i="12"/>
  <c r="L160" i="6"/>
  <c r="D20" i="11"/>
  <c r="F195" i="6"/>
  <c r="D24" i="10"/>
  <c r="L59" i="6"/>
  <c r="H192" i="6"/>
  <c r="V192" i="5"/>
  <c r="U192" i="6" s="1"/>
  <c r="R162" i="5"/>
  <c r="R162" i="6" s="1"/>
  <c r="L162" i="5"/>
  <c r="P162" i="6" s="1"/>
  <c r="AE162" i="5"/>
  <c r="X162" i="6" s="1"/>
  <c r="AA162" i="5"/>
  <c r="S162" i="6" s="1"/>
  <c r="AO162" i="5"/>
  <c r="AP162" i="5" s="1"/>
  <c r="AD162" i="5"/>
  <c r="E162" i="6"/>
  <c r="S162" i="5"/>
  <c r="Q162" i="6" s="1"/>
  <c r="Z162" i="5"/>
  <c r="T162" i="6" s="1"/>
  <c r="O173" i="5"/>
  <c r="Q173" i="5" s="1"/>
  <c r="I173" i="6"/>
  <c r="L78" i="3"/>
  <c r="R103" i="5"/>
  <c r="R103" i="6" s="1"/>
  <c r="AA103" i="5"/>
  <c r="S103" i="6" s="1"/>
  <c r="E103" i="6"/>
  <c r="S103" i="5"/>
  <c r="Q103" i="6" s="1"/>
  <c r="AO103" i="5"/>
  <c r="AP103" i="5" s="1"/>
  <c r="AD103" i="5"/>
  <c r="W103" i="6" s="1"/>
  <c r="Z103" i="5"/>
  <c r="T103" i="6" s="1"/>
  <c r="L103" i="5"/>
  <c r="P103" i="6" s="1"/>
  <c r="AE103" i="5"/>
  <c r="X103" i="6" s="1"/>
  <c r="AE124" i="5"/>
  <c r="X124" i="6" s="1"/>
  <c r="Z124" i="5"/>
  <c r="T124" i="6" s="1"/>
  <c r="L124" i="5"/>
  <c r="P124" i="6" s="1"/>
  <c r="E124" i="6"/>
  <c r="R124" i="5"/>
  <c r="R124" i="6" s="1"/>
  <c r="S124" i="5"/>
  <c r="Q124" i="6" s="1"/>
  <c r="AO124" i="5"/>
  <c r="AP124" i="5" s="1"/>
  <c r="AA124" i="5"/>
  <c r="S124" i="6" s="1"/>
  <c r="AD124" i="5"/>
  <c r="W124" i="6" s="1"/>
  <c r="D210" i="12"/>
  <c r="H31" i="16"/>
  <c r="D323" i="16"/>
  <c r="L35" i="5"/>
  <c r="P35" i="6" s="1"/>
  <c r="E35" i="6"/>
  <c r="R35" i="5"/>
  <c r="R35" i="6" s="1"/>
  <c r="Z35" i="5"/>
  <c r="T35" i="6" s="1"/>
  <c r="AD35" i="5"/>
  <c r="W35" i="6" s="1"/>
  <c r="AA35" i="5"/>
  <c r="S35" i="6" s="1"/>
  <c r="AO35" i="5"/>
  <c r="AP35" i="5" s="1"/>
  <c r="S35" i="5"/>
  <c r="Q35" i="6" s="1"/>
  <c r="AE35" i="5"/>
  <c r="X35" i="6" s="1"/>
  <c r="I185" i="16"/>
  <c r="G194" i="6"/>
  <c r="D219" i="10"/>
  <c r="B241" i="12"/>
  <c r="B241" i="9"/>
  <c r="B241" i="8"/>
  <c r="B241" i="10"/>
  <c r="B241" i="11"/>
  <c r="C241" i="22" s="1"/>
  <c r="C19" i="23" s="1"/>
  <c r="D70" i="11"/>
  <c r="J183" i="16"/>
  <c r="J447" i="16"/>
  <c r="D108" i="11"/>
  <c r="J21" i="16"/>
  <c r="D17" i="11"/>
  <c r="J314" i="16"/>
  <c r="D289" i="12"/>
  <c r="Z88" i="4"/>
  <c r="T29" i="3" s="1"/>
  <c r="AD88" i="4"/>
  <c r="W29" i="3" s="1"/>
  <c r="AA88" i="4"/>
  <c r="S29" i="3" s="1"/>
  <c r="S88" i="4"/>
  <c r="Q29" i="3" s="1"/>
  <c r="R88" i="4"/>
  <c r="R29" i="3" s="1"/>
  <c r="L88" i="4"/>
  <c r="P29" i="3" s="1"/>
  <c r="AE88" i="4"/>
  <c r="X29" i="3" s="1"/>
  <c r="E29" i="3"/>
  <c r="C438" i="1"/>
  <c r="L34" i="6"/>
  <c r="I188" i="16"/>
  <c r="J422" i="16"/>
  <c r="D42" i="9"/>
  <c r="H277" i="16"/>
  <c r="I400" i="16"/>
  <c r="C385" i="1"/>
  <c r="C140" i="1"/>
  <c r="I453" i="16"/>
  <c r="D302" i="12"/>
  <c r="H164" i="3"/>
  <c r="V96" i="4"/>
  <c r="U99" i="3" s="1"/>
  <c r="G99" i="3"/>
  <c r="I193" i="6"/>
  <c r="O193" i="5"/>
  <c r="B244" i="8"/>
  <c r="B244" i="10"/>
  <c r="B244" i="12"/>
  <c r="B244" i="9"/>
  <c r="B244" i="11"/>
  <c r="C244" i="22" s="1"/>
  <c r="I276" i="16"/>
  <c r="D121" i="11"/>
  <c r="H20" i="16"/>
  <c r="L20" i="16" s="1"/>
  <c r="H416" i="16"/>
  <c r="D236" i="16"/>
  <c r="H164" i="16"/>
  <c r="D128" i="11"/>
  <c r="I316" i="16"/>
  <c r="D334" i="16"/>
  <c r="G9" i="3"/>
  <c r="V154" i="4"/>
  <c r="U9" i="3" s="1"/>
  <c r="F24" i="6"/>
  <c r="C433" i="1"/>
  <c r="I275" i="16"/>
  <c r="I131" i="16"/>
  <c r="I15" i="16"/>
  <c r="L76" i="4"/>
  <c r="P62" i="3" s="1"/>
  <c r="S76" i="4"/>
  <c r="Q62" i="3" s="1"/>
  <c r="Z76" i="4"/>
  <c r="T62" i="3" s="1"/>
  <c r="AD76" i="4"/>
  <c r="W62" i="3" s="1"/>
  <c r="AA76" i="4"/>
  <c r="S62" i="3" s="1"/>
  <c r="R76" i="4"/>
  <c r="R62" i="3" s="1"/>
  <c r="AE76" i="4"/>
  <c r="X62" i="3" s="1"/>
  <c r="E62" i="3"/>
  <c r="Q76" i="4"/>
  <c r="D45" i="8"/>
  <c r="H281" i="16"/>
  <c r="I112" i="3"/>
  <c r="O104" i="4"/>
  <c r="P104" i="4" s="1"/>
  <c r="M112" i="3" s="1"/>
  <c r="D96" i="8"/>
  <c r="H169" i="3"/>
  <c r="D161" i="9"/>
  <c r="J395" i="16"/>
  <c r="I436" i="16"/>
  <c r="I159" i="16"/>
  <c r="D185" i="8"/>
  <c r="D79" i="8"/>
  <c r="J161" i="16"/>
  <c r="F129" i="3"/>
  <c r="H7" i="16"/>
  <c r="D136" i="12"/>
  <c r="J344" i="16"/>
  <c r="F106" i="6"/>
  <c r="I443" i="16"/>
  <c r="D21" i="8"/>
  <c r="D185" i="16"/>
  <c r="F68" i="6"/>
  <c r="H357" i="16"/>
  <c r="L357" i="16" s="1"/>
  <c r="AD132" i="4"/>
  <c r="W161" i="3" s="1"/>
  <c r="E161" i="3"/>
  <c r="Z132" i="4"/>
  <c r="T161" i="3" s="1"/>
  <c r="R132" i="4"/>
  <c r="R161" i="3" s="1"/>
  <c r="AA132" i="4"/>
  <c r="S161" i="3" s="1"/>
  <c r="L132" i="4"/>
  <c r="P161" i="3" s="1"/>
  <c r="AE132" i="4"/>
  <c r="X161" i="3" s="1"/>
  <c r="S132" i="4"/>
  <c r="Q161" i="3" s="1"/>
  <c r="D194" i="9"/>
  <c r="D407" i="16"/>
  <c r="I431" i="16"/>
  <c r="D211" i="9"/>
  <c r="H398" i="16"/>
  <c r="J131" i="16"/>
  <c r="AO47" i="5"/>
  <c r="AP47" i="5" s="1"/>
  <c r="AA47" i="5"/>
  <c r="S47" i="6" s="1"/>
  <c r="L47" i="5"/>
  <c r="P47" i="6" s="1"/>
  <c r="E47" i="6"/>
  <c r="R47" i="5"/>
  <c r="R47" i="6" s="1"/>
  <c r="S47" i="5"/>
  <c r="Q47" i="6" s="1"/>
  <c r="Z47" i="5"/>
  <c r="T47" i="6" s="1"/>
  <c r="AD47" i="5"/>
  <c r="W47" i="6" s="1"/>
  <c r="AE47" i="5"/>
  <c r="X47" i="6" s="1"/>
  <c r="D93" i="8"/>
  <c r="D204" i="16"/>
  <c r="D161" i="11"/>
  <c r="H305" i="16"/>
  <c r="H12" i="16"/>
  <c r="I360" i="16"/>
  <c r="D297" i="16"/>
  <c r="G33" i="3"/>
  <c r="V118" i="4"/>
  <c r="U33" i="3" s="1"/>
  <c r="H15" i="16"/>
  <c r="L25" i="6"/>
  <c r="H392" i="16"/>
  <c r="I375" i="16"/>
  <c r="J418" i="16"/>
  <c r="G135" i="6"/>
  <c r="H71" i="6"/>
  <c r="V71" i="5"/>
  <c r="U71" i="6" s="1"/>
  <c r="H107" i="3"/>
  <c r="H363" i="16"/>
  <c r="D285" i="12"/>
  <c r="I129" i="16"/>
  <c r="V112" i="5"/>
  <c r="H112" i="6"/>
  <c r="D110" i="9"/>
  <c r="G3" i="6"/>
  <c r="V72" i="4"/>
  <c r="U165" i="3" s="1"/>
  <c r="G165" i="3"/>
  <c r="I116" i="6"/>
  <c r="O116" i="5"/>
  <c r="H201" i="3"/>
  <c r="H169" i="6"/>
  <c r="V169" i="5"/>
  <c r="U169" i="6" s="1"/>
  <c r="I200" i="16"/>
  <c r="L85" i="3"/>
  <c r="D140" i="9"/>
  <c r="D246" i="16"/>
  <c r="J267" i="16"/>
  <c r="D131" i="9"/>
  <c r="D326" i="16"/>
  <c r="D356" i="16"/>
  <c r="L94" i="6"/>
  <c r="J228" i="16"/>
  <c r="I330" i="16"/>
  <c r="H252" i="16"/>
  <c r="Z157" i="4"/>
  <c r="T76" i="3" s="1"/>
  <c r="AE157" i="4"/>
  <c r="X76" i="3" s="1"/>
  <c r="S157" i="4"/>
  <c r="Q76" i="3" s="1"/>
  <c r="AD157" i="4"/>
  <c r="W76" i="3" s="1"/>
  <c r="L157" i="4"/>
  <c r="P76" i="3" s="1"/>
  <c r="E76" i="3"/>
  <c r="AA157" i="4"/>
  <c r="S76" i="3" s="1"/>
  <c r="R157" i="4"/>
  <c r="R76" i="3" s="1"/>
  <c r="I25" i="3"/>
  <c r="O133" i="4"/>
  <c r="D78" i="12"/>
  <c r="G71" i="6"/>
  <c r="D141" i="11"/>
  <c r="H8" i="16"/>
  <c r="C125" i="1"/>
  <c r="AO74" i="5"/>
  <c r="AP74" i="5" s="1"/>
  <c r="L74" i="5"/>
  <c r="P74" i="6" s="1"/>
  <c r="S74" i="5"/>
  <c r="Q74" i="6" s="1"/>
  <c r="AE74" i="5"/>
  <c r="X74" i="6" s="1"/>
  <c r="R74" i="5"/>
  <c r="R74" i="6" s="1"/>
  <c r="Z74" i="5"/>
  <c r="T74" i="6" s="1"/>
  <c r="AA74" i="5"/>
  <c r="S74" i="6" s="1"/>
  <c r="E74" i="6"/>
  <c r="AD74" i="5"/>
  <c r="W74" i="6" s="1"/>
  <c r="S53" i="5"/>
  <c r="Q53" i="6" s="1"/>
  <c r="L53" i="5"/>
  <c r="P53" i="6" s="1"/>
  <c r="E53" i="6"/>
  <c r="AE53" i="5"/>
  <c r="X53" i="6" s="1"/>
  <c r="AD53" i="5"/>
  <c r="W53" i="6" s="1"/>
  <c r="AO53" i="5"/>
  <c r="AP53" i="5" s="1"/>
  <c r="R53" i="5"/>
  <c r="R53" i="6" s="1"/>
  <c r="Z53" i="5"/>
  <c r="T53" i="6" s="1"/>
  <c r="AA53" i="5"/>
  <c r="S53" i="6" s="1"/>
  <c r="D50" i="12"/>
  <c r="G85" i="3"/>
  <c r="V117" i="4"/>
  <c r="U85" i="3" s="1"/>
  <c r="D384" i="16"/>
  <c r="J243" i="16"/>
  <c r="D83" i="10"/>
  <c r="J388" i="16"/>
  <c r="L124" i="6"/>
  <c r="H197" i="3"/>
  <c r="I326" i="16"/>
  <c r="I174" i="16"/>
  <c r="D96" i="10"/>
  <c r="AD193" i="5"/>
  <c r="W193" i="6" s="1"/>
  <c r="E193" i="6"/>
  <c r="S193" i="5"/>
  <c r="Q193" i="6" s="1"/>
  <c r="AA193" i="5"/>
  <c r="S193" i="6" s="1"/>
  <c r="AE193" i="5"/>
  <c r="X193" i="6" s="1"/>
  <c r="Z193" i="5"/>
  <c r="T193" i="6" s="1"/>
  <c r="L193" i="5"/>
  <c r="P193" i="6" s="1"/>
  <c r="R193" i="5"/>
  <c r="R193" i="6" s="1"/>
  <c r="AO193" i="5"/>
  <c r="AP193" i="5" s="1"/>
  <c r="I412" i="16"/>
  <c r="H300" i="16"/>
  <c r="I20" i="16"/>
  <c r="J23" i="16"/>
  <c r="D33" i="9"/>
  <c r="D17" i="16"/>
  <c r="J398" i="16"/>
  <c r="D153" i="12"/>
  <c r="J122" i="16"/>
  <c r="F170" i="6"/>
  <c r="J347" i="16"/>
  <c r="D273" i="16"/>
  <c r="D242" i="11"/>
  <c r="AO137" i="5"/>
  <c r="AP137" i="5" s="1"/>
  <c r="S137" i="5"/>
  <c r="Q137" i="6" s="1"/>
  <c r="L137" i="5"/>
  <c r="P137" i="6" s="1"/>
  <c r="E137" i="6"/>
  <c r="Z137" i="5"/>
  <c r="T137" i="6" s="1"/>
  <c r="AD137" i="5"/>
  <c r="W137" i="6" s="1"/>
  <c r="R137" i="5"/>
  <c r="R137" i="6" s="1"/>
  <c r="AA137" i="5"/>
  <c r="S137" i="6" s="1"/>
  <c r="AE137" i="5"/>
  <c r="X137" i="6" s="1"/>
  <c r="L166" i="3"/>
  <c r="O78" i="4"/>
  <c r="I114" i="3"/>
  <c r="G113" i="6"/>
  <c r="I23" i="16"/>
  <c r="D33" i="16"/>
  <c r="D87" i="10"/>
  <c r="D290" i="11"/>
  <c r="D38" i="10"/>
  <c r="D14" i="16"/>
  <c r="C462" i="1"/>
  <c r="D151" i="9"/>
  <c r="D257" i="16"/>
  <c r="G90" i="6"/>
  <c r="J193" i="16"/>
  <c r="V167" i="4"/>
  <c r="U106" i="3" s="1"/>
  <c r="G106" i="3"/>
  <c r="D252" i="12"/>
  <c r="O31" i="4"/>
  <c r="Q31" i="4" s="1"/>
  <c r="I182" i="3"/>
  <c r="V20" i="5"/>
  <c r="U20" i="6" s="1"/>
  <c r="H20" i="6"/>
  <c r="L3" i="6"/>
  <c r="C398" i="1"/>
  <c r="J272" i="16"/>
  <c r="G175" i="6"/>
  <c r="L112" i="3"/>
  <c r="I315" i="16"/>
  <c r="F34" i="3"/>
  <c r="F188" i="6"/>
  <c r="L155" i="6"/>
  <c r="D35" i="12"/>
  <c r="J148" i="16"/>
  <c r="V21" i="4"/>
  <c r="U90" i="3" s="1"/>
  <c r="G90" i="3"/>
  <c r="D118" i="8"/>
  <c r="D149" i="8"/>
  <c r="H440" i="16"/>
  <c r="C130" i="1"/>
  <c r="V19" i="5"/>
  <c r="U19" i="6" s="1"/>
  <c r="H19" i="6"/>
  <c r="D112" i="12"/>
  <c r="D283" i="16"/>
  <c r="F95" i="6"/>
  <c r="Z109" i="5"/>
  <c r="T109" i="6" s="1"/>
  <c r="AE109" i="5"/>
  <c r="X109" i="6" s="1"/>
  <c r="S109" i="5"/>
  <c r="Q109" i="6" s="1"/>
  <c r="AA109" i="5"/>
  <c r="S109" i="6" s="1"/>
  <c r="AO109" i="5"/>
  <c r="AP109" i="5" s="1"/>
  <c r="E109" i="6"/>
  <c r="R109" i="5"/>
  <c r="R109" i="6" s="1"/>
  <c r="AD109" i="5"/>
  <c r="W109" i="6" s="1"/>
  <c r="L109" i="5"/>
  <c r="P109" i="6" s="1"/>
  <c r="C116" i="1"/>
  <c r="F190" i="3"/>
  <c r="D176" i="11"/>
  <c r="AE16" i="5"/>
  <c r="X16" i="6" s="1"/>
  <c r="S16" i="5"/>
  <c r="Q16" i="6" s="1"/>
  <c r="AD16" i="5"/>
  <c r="W16" i="6" s="1"/>
  <c r="AA16" i="5"/>
  <c r="S16" i="6" s="1"/>
  <c r="E16" i="6"/>
  <c r="R16" i="5"/>
  <c r="R16" i="6" s="1"/>
  <c r="L16" i="5"/>
  <c r="P16" i="6" s="1"/>
  <c r="Z16" i="5"/>
  <c r="T16" i="6" s="1"/>
  <c r="AO16" i="5"/>
  <c r="AP16" i="5" s="1"/>
  <c r="J362" i="16"/>
  <c r="Z192" i="4"/>
  <c r="T20" i="3" s="1"/>
  <c r="R192" i="4"/>
  <c r="R20" i="3" s="1"/>
  <c r="E20" i="3"/>
  <c r="AD192" i="4"/>
  <c r="W20" i="3" s="1"/>
  <c r="L192" i="4"/>
  <c r="P20" i="3" s="1"/>
  <c r="S192" i="4"/>
  <c r="Q20" i="3" s="1"/>
  <c r="AE192" i="4"/>
  <c r="X20" i="3" s="1"/>
  <c r="AA192" i="4"/>
  <c r="S20" i="3" s="1"/>
  <c r="F24" i="3"/>
  <c r="I312" i="16"/>
  <c r="Z5" i="4"/>
  <c r="T130" i="3" s="1"/>
  <c r="E130" i="3"/>
  <c r="L5" i="4"/>
  <c r="P130" i="3" s="1"/>
  <c r="AD5" i="4"/>
  <c r="W130" i="3" s="1"/>
  <c r="R5" i="4"/>
  <c r="R130" i="3" s="1"/>
  <c r="S5" i="4"/>
  <c r="Q130" i="3" s="1"/>
  <c r="AA5" i="4"/>
  <c r="S130" i="3" s="1"/>
  <c r="AE5" i="4"/>
  <c r="X130" i="3" s="1"/>
  <c r="I269" i="16"/>
  <c r="H17" i="6"/>
  <c r="V17" i="5"/>
  <c r="U17" i="6" s="1"/>
  <c r="J126" i="16"/>
  <c r="I59" i="6"/>
  <c r="O59" i="5"/>
  <c r="G133" i="3"/>
  <c r="V53" i="4"/>
  <c r="U133" i="3" s="1"/>
  <c r="J240" i="16"/>
  <c r="L165" i="6"/>
  <c r="D28" i="11"/>
  <c r="H321" i="16"/>
  <c r="D72" i="10"/>
  <c r="H52" i="3"/>
  <c r="H141" i="16"/>
  <c r="H409" i="16"/>
  <c r="D291" i="12"/>
  <c r="H460" i="16"/>
  <c r="D238" i="16"/>
  <c r="J316" i="16"/>
  <c r="L71" i="6"/>
  <c r="D143" i="11"/>
  <c r="J374" i="16"/>
  <c r="I413" i="16"/>
  <c r="O177" i="4"/>
  <c r="Q177" i="4" s="1"/>
  <c r="I91" i="3"/>
  <c r="D125" i="16"/>
  <c r="D8" i="10"/>
  <c r="H80" i="6"/>
  <c r="V80" i="5"/>
  <c r="U80" i="6" s="1"/>
  <c r="F83" i="6"/>
  <c r="D48" i="11"/>
  <c r="J404" i="16"/>
  <c r="D137" i="8"/>
  <c r="D103" i="9"/>
  <c r="D112" i="9"/>
  <c r="I304" i="16"/>
  <c r="I219" i="16"/>
  <c r="I265" i="16"/>
  <c r="H138" i="6"/>
  <c r="V138" i="5"/>
  <c r="U138" i="6" s="1"/>
  <c r="D341" i="16"/>
  <c r="D391" i="16"/>
  <c r="B209" i="11"/>
  <c r="C209" i="22" s="1"/>
  <c r="C29" i="23" s="1"/>
  <c r="B209" i="10"/>
  <c r="B209" i="12"/>
  <c r="B209" i="8"/>
  <c r="B209" i="9"/>
  <c r="D180" i="9"/>
  <c r="H239" i="16"/>
  <c r="D213" i="16"/>
  <c r="C65" i="1"/>
  <c r="H438" i="16"/>
  <c r="D347" i="16"/>
  <c r="D59" i="10"/>
  <c r="F69" i="6"/>
  <c r="J427" i="16"/>
  <c r="H288" i="16"/>
  <c r="O288" i="16" s="1"/>
  <c r="D183" i="16"/>
  <c r="G9" i="6"/>
  <c r="H45" i="3"/>
  <c r="V48" i="5"/>
  <c r="U48" i="6" s="1"/>
  <c r="H48" i="6"/>
  <c r="C472" i="1"/>
  <c r="I441" i="16"/>
  <c r="I25" i="16"/>
  <c r="H180" i="3"/>
  <c r="H138" i="16"/>
  <c r="H429" i="16"/>
  <c r="J396" i="16"/>
  <c r="D62" i="12"/>
  <c r="H56" i="3"/>
  <c r="V37" i="5"/>
  <c r="U37" i="6" s="1"/>
  <c r="H37" i="6"/>
  <c r="D224" i="11"/>
  <c r="F137" i="6"/>
  <c r="I383" i="16"/>
  <c r="D26" i="10"/>
  <c r="D318" i="16"/>
  <c r="H325" i="16"/>
  <c r="V22" i="4"/>
  <c r="U203" i="3" s="1"/>
  <c r="G203" i="3"/>
  <c r="H23" i="16"/>
  <c r="J253" i="16"/>
  <c r="D342" i="16"/>
  <c r="B256" i="12"/>
  <c r="B256" i="8"/>
  <c r="B256" i="11"/>
  <c r="C256" i="22" s="1"/>
  <c r="B256" i="9"/>
  <c r="B256" i="10"/>
  <c r="O54" i="5"/>
  <c r="Q54" i="5" s="1"/>
  <c r="I54" i="6"/>
  <c r="D34" i="12"/>
  <c r="F201" i="6"/>
  <c r="O191" i="5"/>
  <c r="Q191" i="5" s="1"/>
  <c r="I191" i="6"/>
  <c r="D274" i="11"/>
  <c r="D300" i="12"/>
  <c r="I34" i="3"/>
  <c r="O156" i="4"/>
  <c r="C499" i="1"/>
  <c r="Z7" i="4"/>
  <c r="T94" i="3" s="1"/>
  <c r="S7" i="4"/>
  <c r="Q94" i="3" s="1"/>
  <c r="E94" i="3"/>
  <c r="AD7" i="4"/>
  <c r="W94" i="3" s="1"/>
  <c r="L7" i="4"/>
  <c r="P94" i="3" s="1"/>
  <c r="R7" i="4"/>
  <c r="R94" i="3" s="1"/>
  <c r="AE7" i="4"/>
  <c r="X94" i="3" s="1"/>
  <c r="AA7" i="4"/>
  <c r="S94" i="3" s="1"/>
  <c r="D135" i="10"/>
  <c r="F158" i="3"/>
  <c r="D119" i="11"/>
  <c r="D125" i="10"/>
  <c r="I140" i="16"/>
  <c r="D151" i="12"/>
  <c r="D155" i="10"/>
  <c r="H154" i="16"/>
  <c r="I18" i="6"/>
  <c r="O18" i="5"/>
  <c r="Q18" i="5" s="1"/>
  <c r="H192" i="16"/>
  <c r="D67" i="11"/>
  <c r="D261" i="11"/>
  <c r="I158" i="16"/>
  <c r="O122" i="4"/>
  <c r="I3" i="3"/>
  <c r="I446" i="16"/>
  <c r="F48" i="6"/>
  <c r="J386" i="16"/>
  <c r="D90" i="8"/>
  <c r="I182" i="6"/>
  <c r="O182" i="5"/>
  <c r="Q182" i="5" s="1"/>
  <c r="I190" i="16"/>
  <c r="AE94" i="5"/>
  <c r="X94" i="6" s="1"/>
  <c r="AO94" i="5"/>
  <c r="AP94" i="5" s="1"/>
  <c r="AA94" i="5"/>
  <c r="S94" i="6" s="1"/>
  <c r="AD94" i="5"/>
  <c r="W94" i="6" s="1"/>
  <c r="E94" i="6"/>
  <c r="Z94" i="5"/>
  <c r="T94" i="6" s="1"/>
  <c r="R94" i="5"/>
  <c r="R94" i="6" s="1"/>
  <c r="L94" i="5"/>
  <c r="P94" i="6" s="1"/>
  <c r="S94" i="5"/>
  <c r="Q94" i="6" s="1"/>
  <c r="I425" i="16"/>
  <c r="J5" i="16"/>
  <c r="J255" i="16"/>
  <c r="C48" i="1"/>
  <c r="H415" i="16"/>
  <c r="D110" i="8"/>
  <c r="D114" i="8"/>
  <c r="D23" i="16"/>
  <c r="D173" i="9"/>
  <c r="J360" i="16"/>
  <c r="H453" i="16"/>
  <c r="K453" i="16" s="1"/>
  <c r="C199" i="1"/>
  <c r="D47" i="10"/>
  <c r="I352" i="16"/>
  <c r="F67" i="6"/>
  <c r="D206" i="16"/>
  <c r="L31" i="6"/>
  <c r="H410" i="16"/>
  <c r="D137" i="11"/>
  <c r="D389" i="16"/>
  <c r="L198" i="5"/>
  <c r="P198" i="6" s="1"/>
  <c r="R198" i="5"/>
  <c r="R198" i="6" s="1"/>
  <c r="AA198" i="5"/>
  <c r="S198" i="6" s="1"/>
  <c r="E198" i="6"/>
  <c r="AO198" i="5"/>
  <c r="AP198" i="5" s="1"/>
  <c r="AE198" i="5"/>
  <c r="X198" i="6" s="1"/>
  <c r="AD198" i="5"/>
  <c r="W198" i="6" s="1"/>
  <c r="Z198" i="5"/>
  <c r="T198" i="6" s="1"/>
  <c r="S198" i="5"/>
  <c r="Q198" i="6" s="1"/>
  <c r="J366" i="16"/>
  <c r="I284" i="16"/>
  <c r="D396" i="16"/>
  <c r="D204" i="12"/>
  <c r="L197" i="5"/>
  <c r="P197" i="6" s="1"/>
  <c r="E197" i="6"/>
  <c r="R197" i="5"/>
  <c r="R197" i="6" s="1"/>
  <c r="AO197" i="5"/>
  <c r="AP197" i="5" s="1"/>
  <c r="Z197" i="5"/>
  <c r="T197" i="6" s="1"/>
  <c r="S197" i="5"/>
  <c r="Q197" i="6" s="1"/>
  <c r="AD197" i="5"/>
  <c r="W197" i="6" s="1"/>
  <c r="AA197" i="5"/>
  <c r="S197" i="6" s="1"/>
  <c r="AE197" i="5"/>
  <c r="X197" i="6" s="1"/>
  <c r="D32" i="8"/>
  <c r="D159" i="12"/>
  <c r="H141" i="3"/>
  <c r="F138" i="3"/>
  <c r="V158" i="4"/>
  <c r="U107" i="3" s="1"/>
  <c r="G107" i="3"/>
  <c r="E25" i="3"/>
  <c r="AA133" i="4"/>
  <c r="S25" i="3" s="1"/>
  <c r="R133" i="4"/>
  <c r="R25" i="3" s="1"/>
  <c r="S133" i="4"/>
  <c r="Q25" i="3" s="1"/>
  <c r="L133" i="4"/>
  <c r="P25" i="3" s="1"/>
  <c r="Z133" i="4"/>
  <c r="T25" i="3" s="1"/>
  <c r="AD133" i="4"/>
  <c r="W25" i="3" s="1"/>
  <c r="AE133" i="4"/>
  <c r="X25" i="3" s="1"/>
  <c r="AO152" i="5"/>
  <c r="AP152" i="5" s="1"/>
  <c r="AA152" i="5"/>
  <c r="S152" i="6" s="1"/>
  <c r="AE152" i="5"/>
  <c r="X152" i="6" s="1"/>
  <c r="R152" i="5"/>
  <c r="R152" i="6" s="1"/>
  <c r="L152" i="5"/>
  <c r="P152" i="6" s="1"/>
  <c r="E152" i="6"/>
  <c r="AD152" i="5"/>
  <c r="W152" i="6" s="1"/>
  <c r="S152" i="5"/>
  <c r="Q152" i="6" s="1"/>
  <c r="Z152" i="5"/>
  <c r="T152" i="6" s="1"/>
  <c r="G6" i="6"/>
  <c r="AE87" i="5"/>
  <c r="X87" i="6" s="1"/>
  <c r="AA87" i="5"/>
  <c r="S87" i="6" s="1"/>
  <c r="AD87" i="5"/>
  <c r="W87" i="6" s="1"/>
  <c r="L87" i="5"/>
  <c r="P87" i="6" s="1"/>
  <c r="R87" i="5"/>
  <c r="R87" i="6" s="1"/>
  <c r="AO87" i="5"/>
  <c r="AP87" i="5" s="1"/>
  <c r="Z87" i="5"/>
  <c r="T87" i="6" s="1"/>
  <c r="E87" i="6"/>
  <c r="S87" i="5"/>
  <c r="Q87" i="6" s="1"/>
  <c r="D68" i="12"/>
  <c r="L71" i="4"/>
  <c r="P40" i="3" s="1"/>
  <c r="AD71" i="4"/>
  <c r="S71" i="4"/>
  <c r="Q40" i="3" s="1"/>
  <c r="E40" i="3"/>
  <c r="AE71" i="4"/>
  <c r="X40" i="3" s="1"/>
  <c r="Z71" i="4"/>
  <c r="T40" i="3" s="1"/>
  <c r="AA71" i="4"/>
  <c r="S40" i="3" s="1"/>
  <c r="R71" i="4"/>
  <c r="R40" i="3" s="1"/>
  <c r="L149" i="6"/>
  <c r="H173" i="3"/>
  <c r="O53" i="5"/>
  <c r="I53" i="6"/>
  <c r="O157" i="5"/>
  <c r="Q157" i="5" s="1"/>
  <c r="I157" i="6"/>
  <c r="I386" i="16"/>
  <c r="B302" i="9"/>
  <c r="B302" i="8"/>
  <c r="B302" i="11"/>
  <c r="C302" i="22" s="1"/>
  <c r="B302" i="10"/>
  <c r="B302" i="12"/>
  <c r="D51" i="8"/>
  <c r="J289" i="16"/>
  <c r="J155" i="16"/>
  <c r="J425" i="16"/>
  <c r="H63" i="3"/>
  <c r="C43" i="1"/>
  <c r="V65" i="5"/>
  <c r="U65" i="6" s="1"/>
  <c r="H65" i="6"/>
  <c r="H448" i="16"/>
  <c r="D222" i="11"/>
  <c r="D283" i="11"/>
  <c r="J350" i="16"/>
  <c r="D110" i="10"/>
  <c r="J263" i="16"/>
  <c r="J375" i="16"/>
  <c r="D164" i="16"/>
  <c r="AD80" i="5"/>
  <c r="W80" i="6" s="1"/>
  <c r="L80" i="5"/>
  <c r="P80" i="6" s="1"/>
  <c r="E80" i="6"/>
  <c r="AE80" i="5"/>
  <c r="X80" i="6" s="1"/>
  <c r="Z80" i="5"/>
  <c r="T80" i="6" s="1"/>
  <c r="S80" i="5"/>
  <c r="Q80" i="6" s="1"/>
  <c r="AA80" i="5"/>
  <c r="S80" i="6" s="1"/>
  <c r="AO80" i="5"/>
  <c r="AP80" i="5" s="1"/>
  <c r="R80" i="5"/>
  <c r="R80" i="6" s="1"/>
  <c r="H111" i="3"/>
  <c r="F202" i="6"/>
  <c r="H209" i="16"/>
  <c r="J181" i="16"/>
  <c r="Z198" i="4"/>
  <c r="T195" i="3" s="1"/>
  <c r="AA198" i="4"/>
  <c r="S195" i="3" s="1"/>
  <c r="S198" i="4"/>
  <c r="Q195" i="3" s="1"/>
  <c r="R198" i="4"/>
  <c r="R195" i="3" s="1"/>
  <c r="L198" i="4"/>
  <c r="P195" i="3" s="1"/>
  <c r="AE198" i="4"/>
  <c r="X195" i="3" s="1"/>
  <c r="E195" i="3"/>
  <c r="AD198" i="4"/>
  <c r="W195" i="3" s="1"/>
  <c r="D76" i="12"/>
  <c r="G108" i="6"/>
  <c r="L45" i="3"/>
  <c r="D228" i="12"/>
  <c r="F108" i="6"/>
  <c r="F78" i="3"/>
  <c r="J247" i="16"/>
  <c r="H334" i="16"/>
  <c r="D49" i="12"/>
  <c r="D95" i="9"/>
  <c r="J383" i="16"/>
  <c r="F144" i="3"/>
  <c r="H147" i="6"/>
  <c r="V147" i="5"/>
  <c r="U147" i="6" s="1"/>
  <c r="D357" i="16"/>
  <c r="D77" i="8"/>
  <c r="F140" i="3"/>
  <c r="D89" i="10"/>
  <c r="H382" i="16"/>
  <c r="J152" i="16"/>
  <c r="AD45" i="4"/>
  <c r="W172" i="3" s="1"/>
  <c r="AA45" i="4"/>
  <c r="S172" i="3" s="1"/>
  <c r="E172" i="3"/>
  <c r="S45" i="4"/>
  <c r="Q172" i="3" s="1"/>
  <c r="R45" i="4"/>
  <c r="R172" i="3" s="1"/>
  <c r="L45" i="4"/>
  <c r="P172" i="3" s="1"/>
  <c r="Z45" i="4"/>
  <c r="T172" i="3" s="1"/>
  <c r="AE45" i="4"/>
  <c r="X172" i="3" s="1"/>
  <c r="H272" i="16"/>
  <c r="F157" i="3"/>
  <c r="V98" i="5"/>
  <c r="U98" i="6" s="1"/>
  <c r="H98" i="6"/>
  <c r="AD159" i="5"/>
  <c r="W159" i="6" s="1"/>
  <c r="Z159" i="5"/>
  <c r="T159" i="6" s="1"/>
  <c r="AE159" i="5"/>
  <c r="X159" i="6" s="1"/>
  <c r="S159" i="5"/>
  <c r="Q159" i="6" s="1"/>
  <c r="R159" i="5"/>
  <c r="R159" i="6" s="1"/>
  <c r="E159" i="6"/>
  <c r="AO159" i="5"/>
  <c r="AP159" i="5" s="1"/>
  <c r="L159" i="5"/>
  <c r="P159" i="6" s="1"/>
  <c r="AA159" i="5"/>
  <c r="S159" i="6" s="1"/>
  <c r="I111" i="6"/>
  <c r="O111" i="5"/>
  <c r="Q111" i="5" s="1"/>
  <c r="D70" i="12"/>
  <c r="I402" i="16"/>
  <c r="D52" i="10"/>
  <c r="D369" i="16"/>
  <c r="D278" i="12"/>
  <c r="F165" i="3"/>
  <c r="R173" i="5"/>
  <c r="R173" i="6" s="1"/>
  <c r="Z173" i="5"/>
  <c r="T173" i="6" s="1"/>
  <c r="L173" i="5"/>
  <c r="P173" i="6" s="1"/>
  <c r="S173" i="5"/>
  <c r="Q173" i="6" s="1"/>
  <c r="AO173" i="5"/>
  <c r="AP173" i="5" s="1"/>
  <c r="AA173" i="5"/>
  <c r="S173" i="6" s="1"/>
  <c r="E173" i="6"/>
  <c r="AE173" i="5"/>
  <c r="X173" i="6" s="1"/>
  <c r="AD173" i="5"/>
  <c r="W173" i="6" s="1"/>
  <c r="D276" i="16"/>
  <c r="G104" i="3"/>
  <c r="V18" i="4"/>
  <c r="U104" i="3" s="1"/>
  <c r="J215" i="16"/>
  <c r="G34" i="6"/>
  <c r="C5" i="10"/>
  <c r="D5" i="10" s="1"/>
  <c r="D190" i="11"/>
  <c r="H24" i="6"/>
  <c r="V24" i="5"/>
  <c r="U24" i="6" s="1"/>
  <c r="F119" i="3"/>
  <c r="B254" i="9"/>
  <c r="B254" i="8"/>
  <c r="B254" i="11"/>
  <c r="C254" i="22" s="1"/>
  <c r="C33" i="23" s="1"/>
  <c r="B254" i="10"/>
  <c r="B254" i="12"/>
  <c r="F169" i="6"/>
  <c r="J295" i="16"/>
  <c r="J143" i="16"/>
  <c r="C350" i="1"/>
  <c r="H147" i="3"/>
  <c r="H124" i="16"/>
  <c r="S65" i="5"/>
  <c r="Q65" i="6" s="1"/>
  <c r="AD65" i="5"/>
  <c r="L65" i="5"/>
  <c r="P65" i="6" s="1"/>
  <c r="AA65" i="5"/>
  <c r="S65" i="6" s="1"/>
  <c r="AE65" i="5"/>
  <c r="X65" i="6" s="1"/>
  <c r="AO65" i="5"/>
  <c r="AP65" i="5" s="1"/>
  <c r="R65" i="5"/>
  <c r="R65" i="6" s="1"/>
  <c r="Z65" i="5"/>
  <c r="T65" i="6" s="1"/>
  <c r="E65" i="6"/>
  <c r="D251" i="11"/>
  <c r="J459" i="16"/>
  <c r="J10" i="16"/>
  <c r="D316" i="16"/>
  <c r="V176" i="4"/>
  <c r="U71" i="3" s="1"/>
  <c r="G71" i="3"/>
  <c r="L8" i="3"/>
  <c r="L65" i="6"/>
  <c r="I150" i="16"/>
  <c r="J188" i="16"/>
  <c r="H162" i="16"/>
  <c r="D54" i="12"/>
  <c r="D71" i="8"/>
  <c r="D6" i="9"/>
  <c r="D229" i="16"/>
  <c r="H336" i="16"/>
  <c r="I241" i="16"/>
  <c r="H179" i="16"/>
  <c r="J311" i="16"/>
  <c r="D189" i="12"/>
  <c r="L138" i="6"/>
  <c r="C377" i="1"/>
  <c r="D350" i="16"/>
  <c r="D82" i="8"/>
  <c r="D199" i="11"/>
  <c r="H19" i="16"/>
  <c r="L19" i="16" s="1"/>
  <c r="AE144" i="5"/>
  <c r="X144" i="6" s="1"/>
  <c r="AO144" i="5"/>
  <c r="AP144" i="5" s="1"/>
  <c r="Z144" i="5"/>
  <c r="T144" i="6" s="1"/>
  <c r="S144" i="5"/>
  <c r="Q144" i="6" s="1"/>
  <c r="L144" i="5"/>
  <c r="P144" i="6" s="1"/>
  <c r="AA144" i="5"/>
  <c r="S144" i="6" s="1"/>
  <c r="AD144" i="5"/>
  <c r="W144" i="6" s="1"/>
  <c r="E144" i="6"/>
  <c r="R144" i="5"/>
  <c r="R144" i="6" s="1"/>
  <c r="D246" i="12"/>
  <c r="J431" i="16"/>
  <c r="D148" i="9"/>
  <c r="D65" i="12"/>
  <c r="I238" i="16"/>
  <c r="I392" i="16"/>
  <c r="D83" i="8"/>
  <c r="L127" i="3"/>
  <c r="G53" i="6"/>
  <c r="F86" i="3"/>
  <c r="H457" i="16"/>
  <c r="D224" i="16"/>
  <c r="D205" i="10"/>
  <c r="J231" i="16"/>
  <c r="D37" i="9"/>
  <c r="L159" i="3"/>
  <c r="D101" i="9"/>
  <c r="H61" i="3"/>
  <c r="D213" i="11"/>
  <c r="I335" i="16"/>
  <c r="D112" i="10"/>
  <c r="D243" i="12"/>
  <c r="I176" i="6"/>
  <c r="O176" i="5"/>
  <c r="Q176" i="5" s="1"/>
  <c r="D133" i="11"/>
  <c r="J294" i="16"/>
  <c r="D264" i="12"/>
  <c r="F91" i="6"/>
  <c r="D119" i="10"/>
  <c r="D31" i="10"/>
  <c r="D185" i="12"/>
  <c r="D93" i="10"/>
  <c r="D215" i="9"/>
  <c r="D100" i="12"/>
  <c r="D144" i="12"/>
  <c r="R152" i="4"/>
  <c r="R129" i="3" s="1"/>
  <c r="E129" i="3"/>
  <c r="AD152" i="4"/>
  <c r="W129" i="3" s="1"/>
  <c r="L152" i="4"/>
  <c r="P129" i="3" s="1"/>
  <c r="Z152" i="4"/>
  <c r="T129" i="3" s="1"/>
  <c r="S152" i="4"/>
  <c r="Q129" i="3" s="1"/>
  <c r="AE152" i="4"/>
  <c r="X129" i="3" s="1"/>
  <c r="AA152" i="4"/>
  <c r="S129" i="3" s="1"/>
  <c r="D90" i="12"/>
  <c r="D192" i="12"/>
  <c r="D138" i="11"/>
  <c r="D8" i="16"/>
  <c r="L63" i="6"/>
  <c r="F179" i="6"/>
  <c r="H243" i="16"/>
  <c r="K243" i="16" s="1"/>
  <c r="D252" i="16"/>
  <c r="I17" i="16"/>
  <c r="D7" i="16"/>
  <c r="D437" i="16"/>
  <c r="D79" i="12"/>
  <c r="D57" i="9"/>
  <c r="V10" i="5"/>
  <c r="U10" i="6" s="1"/>
  <c r="H10" i="6"/>
  <c r="D180" i="16"/>
  <c r="H24" i="16"/>
  <c r="D139" i="12"/>
  <c r="D169" i="10"/>
  <c r="D37" i="12"/>
  <c r="L191" i="6"/>
  <c r="D295" i="16"/>
  <c r="I146" i="3"/>
  <c r="O65" i="4"/>
  <c r="Q65" i="4" s="1"/>
  <c r="I216" i="16"/>
  <c r="H442" i="16"/>
  <c r="K442" i="16" s="1"/>
  <c r="C361" i="1"/>
  <c r="H199" i="3"/>
  <c r="I128" i="6"/>
  <c r="O128" i="5"/>
  <c r="Q128" i="5" s="1"/>
  <c r="H139" i="6"/>
  <c r="V139" i="5"/>
  <c r="U139" i="6" s="1"/>
  <c r="H344" i="16"/>
  <c r="D94" i="10"/>
  <c r="D397" i="16"/>
  <c r="G191" i="3"/>
  <c r="V179" i="4"/>
  <c r="U191" i="3" s="1"/>
  <c r="F62" i="6"/>
  <c r="D164" i="12"/>
  <c r="O198" i="5"/>
  <c r="I198" i="6"/>
  <c r="D187" i="16"/>
  <c r="I12" i="16"/>
  <c r="D114" i="12"/>
  <c r="J251" i="16"/>
  <c r="H242" i="16"/>
  <c r="D174" i="12"/>
  <c r="V68" i="4"/>
  <c r="U148" i="3" s="1"/>
  <c r="G148" i="3"/>
  <c r="F181" i="6"/>
  <c r="O154" i="5"/>
  <c r="N154" i="6" s="1"/>
  <c r="I154" i="6"/>
  <c r="H444" i="16"/>
  <c r="C12" i="1"/>
  <c r="J326" i="16"/>
  <c r="F123" i="6"/>
  <c r="J140" i="16"/>
  <c r="D268" i="16"/>
  <c r="L203" i="6"/>
  <c r="D81" i="11"/>
  <c r="D55" i="11"/>
  <c r="D232" i="11"/>
  <c r="L84" i="3"/>
  <c r="D169" i="9"/>
  <c r="J421" i="16"/>
  <c r="I419" i="16"/>
  <c r="D68" i="10"/>
  <c r="J160" i="16"/>
  <c r="C166" i="1"/>
  <c r="D153" i="9"/>
  <c r="G11" i="6"/>
  <c r="D220" i="16"/>
  <c r="D373" i="16"/>
  <c r="D295" i="12"/>
  <c r="D135" i="8"/>
  <c r="L193" i="6"/>
  <c r="D395" i="16"/>
  <c r="G154" i="6"/>
  <c r="J149" i="16"/>
  <c r="J325" i="16"/>
  <c r="J17" i="16"/>
  <c r="D89" i="12"/>
  <c r="D31" i="12"/>
  <c r="D81" i="12"/>
  <c r="D50" i="11"/>
  <c r="D460" i="16"/>
  <c r="D273" i="12"/>
  <c r="H431" i="16"/>
  <c r="D446" i="16"/>
  <c r="D174" i="16"/>
  <c r="F31" i="6"/>
  <c r="F176" i="3"/>
  <c r="D81" i="9"/>
  <c r="D205" i="11"/>
  <c r="L190" i="3"/>
  <c r="I198" i="16"/>
  <c r="O61" i="4"/>
  <c r="Q61" i="4" s="1"/>
  <c r="I139" i="3"/>
  <c r="I8" i="16"/>
  <c r="H436" i="16"/>
  <c r="J378" i="16"/>
  <c r="D292" i="16"/>
  <c r="G192" i="6"/>
  <c r="D148" i="10"/>
  <c r="D143" i="12"/>
  <c r="H356" i="16"/>
  <c r="D400" i="16"/>
  <c r="C394" i="1"/>
  <c r="D123" i="9"/>
  <c r="D58" i="10"/>
  <c r="H208" i="16"/>
  <c r="D168" i="10"/>
  <c r="AE111" i="4"/>
  <c r="X51" i="3" s="1"/>
  <c r="L111" i="4"/>
  <c r="R111" i="4"/>
  <c r="R51" i="3" s="1"/>
  <c r="S111" i="4"/>
  <c r="Q51" i="3" s="1"/>
  <c r="AA111" i="4"/>
  <c r="S51" i="3" s="1"/>
  <c r="Z111" i="4"/>
  <c r="T51" i="3" s="1"/>
  <c r="E51" i="3"/>
  <c r="AD111" i="4"/>
  <c r="W51" i="3" s="1"/>
  <c r="F70" i="3"/>
  <c r="D113" i="10"/>
  <c r="J308" i="16"/>
  <c r="D248" i="16"/>
  <c r="D364" i="16"/>
  <c r="C307" i="1"/>
  <c r="H134" i="16"/>
  <c r="D69" i="9"/>
  <c r="I122" i="3"/>
  <c r="O163" i="4"/>
  <c r="Q163" i="4" s="1"/>
  <c r="D390" i="16"/>
  <c r="I208" i="16"/>
  <c r="J382" i="16"/>
  <c r="AE57" i="5"/>
  <c r="X57" i="6" s="1"/>
  <c r="R57" i="5"/>
  <c r="R57" i="6" s="1"/>
  <c r="Z57" i="5"/>
  <c r="T57" i="6" s="1"/>
  <c r="S57" i="5"/>
  <c r="Q57" i="6" s="1"/>
  <c r="L57" i="5"/>
  <c r="P57" i="6" s="1"/>
  <c r="AA57" i="5"/>
  <c r="S57" i="6" s="1"/>
  <c r="AD57" i="5"/>
  <c r="W57" i="6" s="1"/>
  <c r="E57" i="6"/>
  <c r="AO57" i="5"/>
  <c r="AP57" i="5" s="1"/>
  <c r="D266" i="11"/>
  <c r="J134" i="16"/>
  <c r="D26" i="12"/>
  <c r="J233" i="16"/>
  <c r="H178" i="3"/>
  <c r="D47" i="8"/>
  <c r="I424" i="16"/>
  <c r="J440" i="16"/>
  <c r="F25" i="3"/>
  <c r="J264" i="16"/>
  <c r="D155" i="16"/>
  <c r="D358" i="16"/>
  <c r="I147" i="16"/>
  <c r="AE148" i="4"/>
  <c r="X185" i="3" s="1"/>
  <c r="S148" i="4"/>
  <c r="Q185" i="3" s="1"/>
  <c r="AD148" i="4"/>
  <c r="W185" i="3" s="1"/>
  <c r="E185" i="3"/>
  <c r="Z148" i="4"/>
  <c r="T185" i="3" s="1"/>
  <c r="L148" i="4"/>
  <c r="P185" i="3" s="1"/>
  <c r="AA148" i="4"/>
  <c r="S185" i="3" s="1"/>
  <c r="R148" i="4"/>
  <c r="R185" i="3" s="1"/>
  <c r="H280" i="16"/>
  <c r="D140" i="10"/>
  <c r="F193" i="6"/>
  <c r="D146" i="10"/>
  <c r="I455" i="16"/>
  <c r="D331" i="16"/>
  <c r="D458" i="16"/>
  <c r="I287" i="16"/>
  <c r="D352" i="16"/>
  <c r="D165" i="11"/>
  <c r="J242" i="16"/>
  <c r="V149" i="4"/>
  <c r="U73" i="3" s="1"/>
  <c r="G73" i="3"/>
  <c r="J300" i="16"/>
  <c r="H293" i="16"/>
  <c r="O293" i="16" s="1"/>
  <c r="D279" i="12"/>
  <c r="I390" i="16"/>
  <c r="D20" i="9"/>
  <c r="O161" i="5"/>
  <c r="I161" i="6"/>
  <c r="D45" i="9"/>
  <c r="D108" i="9"/>
  <c r="F134" i="3"/>
  <c r="D299" i="11"/>
  <c r="D138" i="9"/>
  <c r="D154" i="11"/>
  <c r="D192" i="16"/>
  <c r="I39" i="3"/>
  <c r="O74" i="4"/>
  <c r="P74" i="4" s="1"/>
  <c r="D123" i="8"/>
  <c r="I391" i="16"/>
  <c r="G170" i="3"/>
  <c r="V48" i="4"/>
  <c r="U170" i="3" s="1"/>
  <c r="D20" i="8"/>
  <c r="J309" i="16"/>
  <c r="D362" i="16"/>
  <c r="D219" i="16"/>
  <c r="I178" i="16"/>
  <c r="D139" i="10"/>
  <c r="H394" i="16"/>
  <c r="D155" i="11"/>
  <c r="J367" i="16"/>
  <c r="D163" i="11"/>
  <c r="G118" i="6"/>
  <c r="D108" i="10"/>
  <c r="I176" i="3"/>
  <c r="O126" i="4"/>
  <c r="H142" i="16"/>
  <c r="H173" i="16"/>
  <c r="I155" i="16"/>
  <c r="D131" i="16"/>
  <c r="I244" i="16"/>
  <c r="D166" i="12"/>
  <c r="D25" i="16"/>
  <c r="H241" i="16"/>
  <c r="J330" i="16"/>
  <c r="G143" i="6"/>
  <c r="O45" i="5"/>
  <c r="P45" i="5" s="1"/>
  <c r="M45" i="6" s="1"/>
  <c r="I45" i="6"/>
  <c r="D129" i="8"/>
  <c r="D8" i="9"/>
  <c r="D426" i="16"/>
  <c r="L206" i="5"/>
  <c r="P206" i="6" s="1"/>
  <c r="R206" i="5"/>
  <c r="R206" i="6" s="1"/>
  <c r="AE206" i="5"/>
  <c r="X206" i="6" s="1"/>
  <c r="E206" i="6"/>
  <c r="AD206" i="5"/>
  <c r="W206" i="6" s="1"/>
  <c r="S206" i="5"/>
  <c r="Q206" i="6" s="1"/>
  <c r="Z206" i="5"/>
  <c r="T206" i="6" s="1"/>
  <c r="AO206" i="5"/>
  <c r="AP206" i="5" s="1"/>
  <c r="AA206" i="5"/>
  <c r="S206" i="6" s="1"/>
  <c r="D444" i="16"/>
  <c r="D216" i="16"/>
  <c r="D12" i="16"/>
  <c r="D38" i="8"/>
  <c r="I222" i="16"/>
  <c r="D222" i="12"/>
  <c r="S106" i="4"/>
  <c r="Q180" i="3" s="1"/>
  <c r="L106" i="4"/>
  <c r="P180" i="3" s="1"/>
  <c r="Z106" i="4"/>
  <c r="T180" i="3" s="1"/>
  <c r="E180" i="3"/>
  <c r="AA106" i="4"/>
  <c r="S180" i="3" s="1"/>
  <c r="R106" i="4"/>
  <c r="R180" i="3" s="1"/>
  <c r="AE106" i="4"/>
  <c r="X180" i="3" s="1"/>
  <c r="AD106" i="4"/>
  <c r="W180" i="3" s="1"/>
  <c r="D132" i="10"/>
  <c r="H177" i="3"/>
  <c r="H306" i="16"/>
  <c r="D140" i="8"/>
  <c r="J220" i="16"/>
  <c r="D91" i="12"/>
  <c r="S142" i="5"/>
  <c r="Q142" i="6" s="1"/>
  <c r="R142" i="5"/>
  <c r="R142" i="6" s="1"/>
  <c r="AE142" i="5"/>
  <c r="X142" i="6" s="1"/>
  <c r="AO142" i="5"/>
  <c r="AP142" i="5" s="1"/>
  <c r="E142" i="6"/>
  <c r="AD142" i="5"/>
  <c r="W142" i="6" s="1"/>
  <c r="Z142" i="5"/>
  <c r="T142" i="6" s="1"/>
  <c r="AA142" i="5"/>
  <c r="S142" i="6" s="1"/>
  <c r="L142" i="5"/>
  <c r="P142" i="6" s="1"/>
  <c r="H184" i="16"/>
  <c r="D47" i="11"/>
  <c r="D439" i="16"/>
  <c r="D186" i="8"/>
  <c r="H121" i="16"/>
  <c r="D171" i="16"/>
  <c r="D42" i="11"/>
  <c r="L25" i="5"/>
  <c r="P25" i="6" s="1"/>
  <c r="AO25" i="5"/>
  <c r="AP25" i="5" s="1"/>
  <c r="AA25" i="5"/>
  <c r="S25" i="6" s="1"/>
  <c r="AE25" i="5"/>
  <c r="X25" i="6" s="1"/>
  <c r="E25" i="6"/>
  <c r="Z25" i="5"/>
  <c r="T25" i="6" s="1"/>
  <c r="AD25" i="5"/>
  <c r="W25" i="6" s="1"/>
  <c r="R25" i="5"/>
  <c r="R25" i="6" s="1"/>
  <c r="S25" i="5"/>
  <c r="Q25" i="6" s="1"/>
  <c r="D278" i="16"/>
  <c r="D103" i="8"/>
  <c r="I225" i="16"/>
  <c r="H246" i="16"/>
  <c r="K246" i="16" s="1"/>
  <c r="J125" i="16"/>
  <c r="D139" i="9"/>
  <c r="I213" i="16"/>
  <c r="I271" i="16"/>
  <c r="J146" i="16"/>
  <c r="J203" i="16"/>
  <c r="F191" i="3"/>
  <c r="D451" i="16"/>
  <c r="H335" i="16"/>
  <c r="O335" i="16" s="1"/>
  <c r="D167" i="16"/>
  <c r="I429" i="16"/>
  <c r="C31" i="14"/>
  <c r="D200" i="12"/>
  <c r="D201" i="9"/>
  <c r="I256" i="16"/>
  <c r="D315" i="16"/>
  <c r="D202" i="16"/>
  <c r="D80" i="9"/>
  <c r="I92" i="6"/>
  <c r="O92" i="5"/>
  <c r="Q92" i="5" s="1"/>
  <c r="D28" i="16"/>
  <c r="D57" i="11"/>
  <c r="L18" i="6"/>
  <c r="I354" i="16"/>
  <c r="D307" i="16"/>
  <c r="I175" i="16"/>
  <c r="O9" i="5"/>
  <c r="I9" i="6"/>
  <c r="D154" i="9"/>
  <c r="H194" i="16"/>
  <c r="D65" i="10"/>
  <c r="O129" i="4"/>
  <c r="I72" i="3"/>
  <c r="H220" i="16"/>
  <c r="D78" i="10"/>
  <c r="D287" i="16"/>
  <c r="H203" i="6"/>
  <c r="V203" i="5"/>
  <c r="U203" i="6" s="1"/>
  <c r="D288" i="16"/>
  <c r="J368" i="16"/>
  <c r="S33" i="5"/>
  <c r="Q33" i="6" s="1"/>
  <c r="AO33" i="5"/>
  <c r="AP33" i="5" s="1"/>
  <c r="AA33" i="5"/>
  <c r="S33" i="6" s="1"/>
  <c r="AD33" i="5"/>
  <c r="W33" i="6" s="1"/>
  <c r="Z33" i="5"/>
  <c r="T33" i="6" s="1"/>
  <c r="R33" i="5"/>
  <c r="R33" i="6" s="1"/>
  <c r="E33" i="6"/>
  <c r="L33" i="5"/>
  <c r="P33" i="6" s="1"/>
  <c r="AE33" i="5"/>
  <c r="X33" i="6" s="1"/>
  <c r="G12" i="6"/>
  <c r="H127" i="6"/>
  <c r="V127" i="5"/>
  <c r="U127" i="6" s="1"/>
  <c r="G163" i="6"/>
  <c r="F79" i="6"/>
  <c r="D10" i="12"/>
  <c r="D38" i="11"/>
  <c r="I416" i="16"/>
  <c r="C210" i="1"/>
  <c r="D191" i="12"/>
  <c r="AA170" i="4"/>
  <c r="S30" i="3" s="1"/>
  <c r="R170" i="4"/>
  <c r="R30" i="3" s="1"/>
  <c r="AD170" i="4"/>
  <c r="W30" i="3" s="1"/>
  <c r="L170" i="4"/>
  <c r="P30" i="3" s="1"/>
  <c r="Z170" i="4"/>
  <c r="T30" i="3" s="1"/>
  <c r="E30" i="3"/>
  <c r="AE170" i="4"/>
  <c r="X30" i="3" s="1"/>
  <c r="S170" i="4"/>
  <c r="Q30" i="3" s="1"/>
  <c r="I30" i="16"/>
  <c r="H397" i="16"/>
  <c r="D75" i="9"/>
  <c r="F12" i="6"/>
  <c r="I454" i="16"/>
  <c r="J232" i="16"/>
  <c r="D218" i="16"/>
  <c r="I257" i="16"/>
  <c r="D169" i="11"/>
  <c r="D455" i="16"/>
  <c r="D374" i="16"/>
  <c r="D381" i="16"/>
  <c r="D36" i="9"/>
  <c r="D107" i="10"/>
  <c r="J408" i="16"/>
  <c r="O114" i="5"/>
  <c r="Q114" i="5" s="1"/>
  <c r="I114" i="6"/>
  <c r="D370" i="16"/>
  <c r="I144" i="16"/>
  <c r="H22" i="16"/>
  <c r="O22" i="16" s="1"/>
  <c r="AA155" i="5"/>
  <c r="S155" i="6" s="1"/>
  <c r="AO155" i="5"/>
  <c r="AP155" i="5" s="1"/>
  <c r="S155" i="5"/>
  <c r="Q155" i="6" s="1"/>
  <c r="R155" i="5"/>
  <c r="R155" i="6" s="1"/>
  <c r="L155" i="5"/>
  <c r="P155" i="6" s="1"/>
  <c r="AE155" i="5"/>
  <c r="X155" i="6" s="1"/>
  <c r="E155" i="6"/>
  <c r="AD155" i="5"/>
  <c r="W155" i="6" s="1"/>
  <c r="Z155" i="5"/>
  <c r="T155" i="6" s="1"/>
  <c r="D152" i="9"/>
  <c r="D194" i="10"/>
  <c r="J332" i="16"/>
  <c r="D233" i="11"/>
  <c r="D136" i="9"/>
  <c r="J415" i="16"/>
  <c r="H254" i="16"/>
  <c r="O254" i="16" s="1"/>
  <c r="I302" i="16"/>
  <c r="D187" i="10"/>
  <c r="I344" i="16"/>
  <c r="D293" i="16"/>
  <c r="I267" i="16"/>
  <c r="O143" i="5"/>
  <c r="Q143" i="5" s="1"/>
  <c r="I143" i="6"/>
  <c r="H331" i="16"/>
  <c r="G199" i="6"/>
  <c r="F150" i="6"/>
  <c r="D204" i="9"/>
  <c r="I22" i="16"/>
  <c r="H4" i="3"/>
  <c r="D133" i="8"/>
  <c r="I350" i="16"/>
  <c r="V193" i="5"/>
  <c r="U193" i="6" s="1"/>
  <c r="H193" i="6"/>
  <c r="F45" i="3"/>
  <c r="F4" i="3"/>
  <c r="D445" i="16"/>
  <c r="O200" i="4"/>
  <c r="N199" i="3" s="1"/>
  <c r="I199" i="3"/>
  <c r="D299" i="16"/>
  <c r="F162" i="6"/>
  <c r="D15" i="16"/>
  <c r="J434" i="16"/>
  <c r="D131" i="8"/>
  <c r="D10" i="11"/>
  <c r="J364" i="16"/>
  <c r="J373" i="16"/>
  <c r="D202" i="10"/>
  <c r="D19" i="10"/>
  <c r="D110" i="12"/>
  <c r="I226" i="16"/>
  <c r="D55" i="9"/>
  <c r="J416" i="16"/>
  <c r="D233" i="12"/>
  <c r="F163" i="3"/>
  <c r="D122" i="11"/>
  <c r="D448" i="16"/>
  <c r="D270" i="12"/>
  <c r="AD183" i="5"/>
  <c r="W183" i="6" s="1"/>
  <c r="AA183" i="5"/>
  <c r="S183" i="6" s="1"/>
  <c r="AE183" i="5"/>
  <c r="X183" i="6" s="1"/>
  <c r="Z183" i="5"/>
  <c r="T183" i="6" s="1"/>
  <c r="E183" i="6"/>
  <c r="S183" i="5"/>
  <c r="Q183" i="6" s="1"/>
  <c r="L183" i="5"/>
  <c r="P183" i="6" s="1"/>
  <c r="AO183" i="5"/>
  <c r="AP183" i="5" s="1"/>
  <c r="R183" i="5"/>
  <c r="R183" i="6" s="1"/>
  <c r="H294" i="16"/>
  <c r="J179" i="16"/>
  <c r="D166" i="8"/>
  <c r="I132" i="16"/>
  <c r="H126" i="16"/>
  <c r="D202" i="12"/>
  <c r="AA14" i="5"/>
  <c r="S14" i="6" s="1"/>
  <c r="S14" i="5"/>
  <c r="Q14" i="6" s="1"/>
  <c r="L14" i="5"/>
  <c r="P14" i="6" s="1"/>
  <c r="R14" i="5"/>
  <c r="R14" i="6" s="1"/>
  <c r="E14" i="6"/>
  <c r="Z14" i="5"/>
  <c r="T14" i="6" s="1"/>
  <c r="AO14" i="5"/>
  <c r="AP14" i="5" s="1"/>
  <c r="AE14" i="5"/>
  <c r="X14" i="6" s="1"/>
  <c r="AD14" i="5"/>
  <c r="W14" i="6" s="1"/>
  <c r="D190" i="8"/>
  <c r="I242" i="16"/>
  <c r="D169" i="16"/>
  <c r="D29" i="8"/>
  <c r="D88" i="9"/>
  <c r="O6" i="5"/>
  <c r="I6" i="6"/>
  <c r="D133" i="12"/>
  <c r="H386" i="16"/>
  <c r="H299" i="16"/>
  <c r="D262" i="16"/>
  <c r="D229" i="11"/>
  <c r="I259" i="16"/>
  <c r="H249" i="16"/>
  <c r="D303" i="11"/>
  <c r="H33" i="16"/>
  <c r="I192" i="16"/>
  <c r="D251" i="16"/>
  <c r="D344" i="16"/>
  <c r="L151" i="6"/>
  <c r="Z154" i="4"/>
  <c r="T9" i="3" s="1"/>
  <c r="S154" i="4"/>
  <c r="Q9" i="3" s="1"/>
  <c r="AA154" i="4"/>
  <c r="S9" i="3" s="1"/>
  <c r="R154" i="4"/>
  <c r="R9" i="3" s="1"/>
  <c r="L154" i="4"/>
  <c r="P9" i="3" s="1"/>
  <c r="AD154" i="4"/>
  <c r="W9" i="3" s="1"/>
  <c r="E9" i="3"/>
  <c r="AE154" i="4"/>
  <c r="J265" i="16"/>
  <c r="D158" i="11"/>
  <c r="D209" i="16"/>
  <c r="H235" i="16"/>
  <c r="I19" i="16"/>
  <c r="D176" i="9"/>
  <c r="D213" i="10"/>
  <c r="I356" i="16"/>
  <c r="I102" i="3"/>
  <c r="O155" i="4"/>
  <c r="J446" i="16"/>
  <c r="O103" i="5"/>
  <c r="Q103" i="5" s="1"/>
  <c r="I103" i="6"/>
  <c r="D99" i="11"/>
  <c r="J27" i="16"/>
  <c r="H368" i="16"/>
  <c r="H352" i="16"/>
  <c r="K352" i="16" s="1"/>
  <c r="C406" i="1"/>
  <c r="D225" i="12"/>
  <c r="V91" i="5"/>
  <c r="U91" i="6" s="1"/>
  <c r="H91" i="6"/>
  <c r="J317" i="16"/>
  <c r="J227" i="16"/>
  <c r="D125" i="11"/>
  <c r="D214" i="16"/>
  <c r="L5" i="6"/>
  <c r="D301" i="16"/>
  <c r="H296" i="16"/>
  <c r="O296" i="16" s="1"/>
  <c r="D75" i="8"/>
  <c r="H302" i="16"/>
  <c r="J436" i="16"/>
  <c r="I189" i="16"/>
  <c r="I363" i="16"/>
  <c r="D41" i="9"/>
  <c r="D210" i="10"/>
  <c r="D179" i="8"/>
  <c r="D212" i="10"/>
  <c r="D196" i="11"/>
  <c r="H148" i="16"/>
  <c r="I231" i="16"/>
  <c r="F94" i="6"/>
  <c r="D36" i="10"/>
  <c r="V190" i="4"/>
  <c r="U132" i="3" s="1"/>
  <c r="G132" i="3"/>
  <c r="D398" i="16"/>
  <c r="H158" i="16"/>
  <c r="L82" i="6"/>
  <c r="D86" i="12"/>
  <c r="I348" i="16"/>
  <c r="D359" i="16"/>
  <c r="J276" i="16"/>
  <c r="H343" i="16"/>
  <c r="K343" i="16" s="1"/>
  <c r="J216" i="16"/>
  <c r="D218" i="12"/>
  <c r="I152" i="6"/>
  <c r="O152" i="5"/>
  <c r="D408" i="16"/>
  <c r="H407" i="16"/>
  <c r="G12" i="3"/>
  <c r="V183" i="4"/>
  <c r="U12" i="3" s="1"/>
  <c r="D198" i="16"/>
  <c r="O83" i="4"/>
  <c r="Q83" i="4" s="1"/>
  <c r="I84" i="3"/>
  <c r="H381" i="16"/>
  <c r="D156" i="12"/>
  <c r="J389" i="16"/>
  <c r="O137" i="4"/>
  <c r="I64" i="3"/>
  <c r="J259" i="16"/>
  <c r="AD176" i="4"/>
  <c r="W71" i="3" s="1"/>
  <c r="AE176" i="4"/>
  <c r="X71" i="3" s="1"/>
  <c r="Z176" i="4"/>
  <c r="T71" i="3" s="1"/>
  <c r="R176" i="4"/>
  <c r="R71" i="3" s="1"/>
  <c r="E71" i="3"/>
  <c r="L176" i="4"/>
  <c r="P71" i="3" s="1"/>
  <c r="AA176" i="4"/>
  <c r="S71" i="3" s="1"/>
  <c r="S176" i="4"/>
  <c r="Q71" i="3" s="1"/>
  <c r="H259" i="16"/>
  <c r="D436" i="16"/>
  <c r="D167" i="8"/>
  <c r="D231" i="11"/>
  <c r="C99" i="1"/>
  <c r="I307" i="16"/>
  <c r="AD187" i="4"/>
  <c r="W8" i="3" s="1"/>
  <c r="E8" i="3"/>
  <c r="L187" i="4"/>
  <c r="P8" i="3" s="1"/>
  <c r="AA187" i="4"/>
  <c r="S8" i="3" s="1"/>
  <c r="AE187" i="4"/>
  <c r="X8" i="3" s="1"/>
  <c r="R187" i="4"/>
  <c r="R8" i="3" s="1"/>
  <c r="Z187" i="4"/>
  <c r="T8" i="3" s="1"/>
  <c r="S187" i="4"/>
  <c r="Q8" i="3" s="1"/>
  <c r="D117" i="12"/>
  <c r="J142" i="16"/>
  <c r="D143" i="10"/>
  <c r="D410" i="16"/>
  <c r="D329" i="16"/>
  <c r="D104" i="10"/>
  <c r="I405" i="16"/>
  <c r="J185" i="16"/>
  <c r="Z195" i="4"/>
  <c r="T26" i="3" s="1"/>
  <c r="AE195" i="4"/>
  <c r="X26" i="3" s="1"/>
  <c r="R195" i="4"/>
  <c r="R26" i="3" s="1"/>
  <c r="L195" i="4"/>
  <c r="AD195" i="4"/>
  <c r="W26" i="3" s="1"/>
  <c r="E26" i="3"/>
  <c r="AA195" i="4"/>
  <c r="S26" i="3" s="1"/>
  <c r="S195" i="4"/>
  <c r="Q26" i="3" s="1"/>
  <c r="D274" i="12"/>
  <c r="D114" i="10"/>
  <c r="L183" i="6"/>
  <c r="D65" i="11"/>
  <c r="D97" i="12"/>
  <c r="J173" i="16"/>
  <c r="D239" i="11"/>
  <c r="D84" i="11"/>
  <c r="D217" i="16"/>
  <c r="D74" i="9"/>
  <c r="D100" i="8"/>
  <c r="L201" i="5"/>
  <c r="P201" i="6" s="1"/>
  <c r="AA201" i="5"/>
  <c r="S201" i="6" s="1"/>
  <c r="AE201" i="5"/>
  <c r="X201" i="6" s="1"/>
  <c r="S201" i="5"/>
  <c r="Q201" i="6" s="1"/>
  <c r="AD201" i="5"/>
  <c r="W201" i="6" s="1"/>
  <c r="Z201" i="5"/>
  <c r="T201" i="6" s="1"/>
  <c r="R201" i="5"/>
  <c r="R201" i="6" s="1"/>
  <c r="E201" i="6"/>
  <c r="AO201" i="5"/>
  <c r="AP201" i="5" s="1"/>
  <c r="L206" i="6"/>
  <c r="D50" i="8"/>
  <c r="H203" i="16"/>
  <c r="H426" i="16"/>
  <c r="H378" i="16"/>
  <c r="H21" i="3"/>
  <c r="G35" i="6"/>
  <c r="D271" i="11"/>
  <c r="C177" i="1"/>
  <c r="D36" i="12"/>
  <c r="AO30" i="5"/>
  <c r="AP30" i="5" s="1"/>
  <c r="L30" i="5"/>
  <c r="P30" i="6" s="1"/>
  <c r="AA30" i="5"/>
  <c r="S30" i="6" s="1"/>
  <c r="R30" i="5"/>
  <c r="R30" i="6" s="1"/>
  <c r="AE30" i="5"/>
  <c r="X30" i="6" s="1"/>
  <c r="E30" i="6"/>
  <c r="Z30" i="5"/>
  <c r="T30" i="6" s="1"/>
  <c r="AD30" i="5"/>
  <c r="S30" i="5"/>
  <c r="Q30" i="6" s="1"/>
  <c r="J369" i="16"/>
  <c r="D156" i="16"/>
  <c r="D147" i="9"/>
  <c r="L196" i="6"/>
  <c r="D450" i="16"/>
  <c r="I368" i="16"/>
  <c r="H251" i="16"/>
  <c r="L251" i="16" s="1"/>
  <c r="L175" i="3"/>
  <c r="D174" i="8"/>
  <c r="I194" i="16"/>
  <c r="O141" i="5"/>
  <c r="Q141" i="5" s="1"/>
  <c r="I141" i="6"/>
  <c r="D160" i="8"/>
  <c r="D121" i="8"/>
  <c r="J145" i="16"/>
  <c r="I328" i="16"/>
  <c r="D158" i="16"/>
  <c r="D428" i="16"/>
  <c r="I223" i="16"/>
  <c r="H260" i="16"/>
  <c r="H345" i="16"/>
  <c r="O10" i="4"/>
  <c r="I183" i="3"/>
  <c r="J256" i="16"/>
  <c r="D171" i="9"/>
  <c r="I124" i="16"/>
  <c r="V51" i="5"/>
  <c r="U51" i="6" s="1"/>
  <c r="H51" i="6"/>
  <c r="I283" i="16"/>
  <c r="D199" i="8"/>
  <c r="D91" i="11"/>
  <c r="D139" i="11"/>
  <c r="R97" i="5"/>
  <c r="R97" i="6" s="1"/>
  <c r="AA97" i="5"/>
  <c r="S97" i="6" s="1"/>
  <c r="Z97" i="5"/>
  <c r="T97" i="6" s="1"/>
  <c r="AO97" i="5"/>
  <c r="AP97" i="5" s="1"/>
  <c r="S97" i="5"/>
  <c r="Q97" i="6" s="1"/>
  <c r="L97" i="5"/>
  <c r="P97" i="6" s="1"/>
  <c r="AE97" i="5"/>
  <c r="X97" i="6" s="1"/>
  <c r="AD97" i="5"/>
  <c r="W97" i="6" s="1"/>
  <c r="E97" i="6"/>
  <c r="I435" i="16"/>
  <c r="I128" i="16"/>
  <c r="D165" i="16"/>
  <c r="AE204" i="4"/>
  <c r="X150" i="3" s="1"/>
  <c r="AD204" i="4"/>
  <c r="W150" i="3" s="1"/>
  <c r="E150" i="3"/>
  <c r="Z204" i="4"/>
  <c r="T150" i="3" s="1"/>
  <c r="AA204" i="4"/>
  <c r="S150" i="3" s="1"/>
  <c r="L204" i="4"/>
  <c r="P150" i="3" s="1"/>
  <c r="R204" i="4"/>
  <c r="R150" i="3" s="1"/>
  <c r="S204" i="4"/>
  <c r="Q150" i="3" s="1"/>
  <c r="D247" i="16"/>
  <c r="H140" i="16"/>
  <c r="J270" i="16"/>
  <c r="F55" i="6"/>
  <c r="D118" i="11"/>
  <c r="I346" i="16"/>
  <c r="J139" i="16"/>
  <c r="D109" i="11"/>
  <c r="J261" i="16"/>
  <c r="H130" i="6"/>
  <c r="V130" i="5"/>
  <c r="U130" i="6" s="1"/>
  <c r="D299" i="12"/>
  <c r="H25" i="16"/>
  <c r="O25" i="16" s="1"/>
  <c r="O94" i="5"/>
  <c r="Q94" i="5" s="1"/>
  <c r="I94" i="6"/>
  <c r="H174" i="6"/>
  <c r="V174" i="5"/>
  <c r="U174" i="6" s="1"/>
  <c r="H283" i="16"/>
  <c r="D207" i="9"/>
  <c r="J438" i="16"/>
  <c r="F139" i="6"/>
  <c r="D97" i="9"/>
  <c r="D58" i="11"/>
  <c r="D375" i="16"/>
  <c r="H150" i="16"/>
  <c r="D134" i="16"/>
  <c r="O110" i="5"/>
  <c r="N110" i="6" s="1"/>
  <c r="I110" i="6"/>
  <c r="F9" i="6"/>
  <c r="D263" i="16"/>
  <c r="C378" i="1"/>
  <c r="AD146" i="5"/>
  <c r="W146" i="6" s="1"/>
  <c r="AE146" i="5"/>
  <c r="X146" i="6" s="1"/>
  <c r="S146" i="5"/>
  <c r="Q146" i="6" s="1"/>
  <c r="AA146" i="5"/>
  <c r="S146" i="6" s="1"/>
  <c r="E146" i="6"/>
  <c r="Z146" i="5"/>
  <c r="T146" i="6" s="1"/>
  <c r="L146" i="5"/>
  <c r="P146" i="6" s="1"/>
  <c r="R146" i="5"/>
  <c r="R146" i="6" s="1"/>
  <c r="AO146" i="5"/>
  <c r="AP146" i="5" s="1"/>
  <c r="D57" i="10"/>
  <c r="G128" i="6"/>
  <c r="J339" i="16"/>
  <c r="J458" i="16"/>
  <c r="D149" i="9"/>
  <c r="H211" i="16"/>
  <c r="D262" i="11"/>
  <c r="J304" i="16"/>
  <c r="G91" i="6"/>
  <c r="I170" i="16"/>
  <c r="H434" i="16"/>
  <c r="L434" i="16" s="1"/>
  <c r="D461" i="16"/>
  <c r="F57" i="3"/>
  <c r="I294" i="16"/>
  <c r="I46" i="6"/>
  <c r="O46" i="5"/>
  <c r="N46" i="6" s="1"/>
  <c r="D114" i="11"/>
  <c r="L185" i="6"/>
  <c r="H60" i="6"/>
  <c r="V60" i="5"/>
  <c r="U60" i="6" s="1"/>
  <c r="G161" i="3"/>
  <c r="V132" i="4"/>
  <c r="U161" i="3" s="1"/>
  <c r="J361" i="16"/>
  <c r="D205" i="9"/>
  <c r="J260" i="16"/>
  <c r="D322" i="16"/>
  <c r="D81" i="10"/>
  <c r="I134" i="16"/>
  <c r="J402" i="16"/>
  <c r="J334" i="16"/>
  <c r="D214" i="8"/>
  <c r="B291" i="12"/>
  <c r="B291" i="11"/>
  <c r="C291" i="22" s="1"/>
  <c r="C28" i="23" s="1"/>
  <c r="B291" i="8"/>
  <c r="B291" i="10"/>
  <c r="B291" i="9"/>
  <c r="D288" i="11"/>
  <c r="H311" i="16"/>
  <c r="J30" i="16"/>
  <c r="H215" i="16"/>
  <c r="O215" i="16" s="1"/>
  <c r="D165" i="10"/>
  <c r="H304" i="16"/>
  <c r="L304" i="16" s="1"/>
  <c r="D257" i="12"/>
  <c r="C391" i="1"/>
  <c r="L194" i="6"/>
  <c r="I296" i="16"/>
  <c r="G112" i="6"/>
  <c r="D196" i="16"/>
  <c r="D309" i="16"/>
  <c r="D132" i="9"/>
  <c r="G173" i="6"/>
  <c r="D303" i="16"/>
  <c r="I166" i="16"/>
  <c r="I406" i="16"/>
  <c r="D133" i="9"/>
  <c r="J235" i="16"/>
  <c r="F169" i="3"/>
  <c r="J197" i="16"/>
  <c r="L198" i="6"/>
  <c r="AD139" i="4"/>
  <c r="W103" i="3" s="1"/>
  <c r="Z139" i="4"/>
  <c r="T103" i="3" s="1"/>
  <c r="R139" i="4"/>
  <c r="R103" i="3" s="1"/>
  <c r="L139" i="4"/>
  <c r="P103" i="3" s="1"/>
  <c r="AE139" i="4"/>
  <c r="X103" i="3" s="1"/>
  <c r="E103" i="3"/>
  <c r="AA139" i="4"/>
  <c r="S103" i="3" s="1"/>
  <c r="S139" i="4"/>
  <c r="Q103" i="3" s="1"/>
  <c r="D163" i="10"/>
  <c r="D152" i="11"/>
  <c r="J307" i="16"/>
  <c r="J419" i="16"/>
  <c r="J201" i="16"/>
  <c r="F127" i="6"/>
  <c r="I286" i="16"/>
  <c r="I206" i="16"/>
  <c r="I199" i="16"/>
  <c r="L30" i="3"/>
  <c r="F86" i="6"/>
  <c r="I136" i="16"/>
  <c r="D193" i="10"/>
  <c r="D73" i="11"/>
  <c r="H372" i="16"/>
  <c r="H337" i="16"/>
  <c r="C217" i="1"/>
  <c r="I367" i="16"/>
  <c r="O128" i="4"/>
  <c r="Q128" i="4" s="1"/>
  <c r="I80" i="3"/>
  <c r="C399" i="1"/>
  <c r="H360" i="16"/>
  <c r="L360" i="16" s="1"/>
  <c r="F102" i="6"/>
  <c r="D236" i="11"/>
  <c r="H178" i="6"/>
  <c r="V178" i="5"/>
  <c r="U178" i="6" s="1"/>
  <c r="S50" i="5"/>
  <c r="Q50" i="6" s="1"/>
  <c r="AA50" i="5"/>
  <c r="S50" i="6" s="1"/>
  <c r="E50" i="6"/>
  <c r="Z50" i="5"/>
  <c r="T50" i="6" s="1"/>
  <c r="R50" i="5"/>
  <c r="R50" i="6" s="1"/>
  <c r="AE50" i="5"/>
  <c r="X50" i="6" s="1"/>
  <c r="AO50" i="5"/>
  <c r="AP50" i="5" s="1"/>
  <c r="AD50" i="5"/>
  <c r="W50" i="6" s="1"/>
  <c r="L50" i="5"/>
  <c r="P50" i="6" s="1"/>
  <c r="D255" i="11"/>
  <c r="D107" i="11"/>
  <c r="H459" i="16"/>
  <c r="H231" i="16"/>
  <c r="C503" i="1"/>
  <c r="E134" i="6"/>
  <c r="L134" i="5"/>
  <c r="P134" i="6" s="1"/>
  <c r="S134" i="5"/>
  <c r="Q134" i="6" s="1"/>
  <c r="AO134" i="5"/>
  <c r="AP134" i="5" s="1"/>
  <c r="Z134" i="5"/>
  <c r="T134" i="6" s="1"/>
  <c r="AD134" i="5"/>
  <c r="W134" i="6" s="1"/>
  <c r="AE134" i="5"/>
  <c r="X134" i="6" s="1"/>
  <c r="AA134" i="5"/>
  <c r="S134" i="6" s="1"/>
  <c r="R134" i="5"/>
  <c r="R134" i="6" s="1"/>
  <c r="D109" i="10"/>
  <c r="G32" i="3"/>
  <c r="V173" i="4"/>
  <c r="U32" i="3" s="1"/>
  <c r="O101" i="5"/>
  <c r="I101" i="6"/>
  <c r="R135" i="4"/>
  <c r="R155" i="3" s="1"/>
  <c r="E155" i="3"/>
  <c r="AA135" i="4"/>
  <c r="S155" i="3" s="1"/>
  <c r="AD135" i="4"/>
  <c r="W155" i="3" s="1"/>
  <c r="Z135" i="4"/>
  <c r="T155" i="3" s="1"/>
  <c r="AE135" i="4"/>
  <c r="X155" i="3" s="1"/>
  <c r="S135" i="4"/>
  <c r="Q155" i="3" s="1"/>
  <c r="L135" i="4"/>
  <c r="P155" i="3" s="1"/>
  <c r="D34" i="11"/>
  <c r="D211" i="10"/>
  <c r="J401" i="16"/>
  <c r="G97" i="6"/>
  <c r="H258" i="16"/>
  <c r="I370" i="16"/>
  <c r="I278" i="16"/>
  <c r="I399" i="16"/>
  <c r="D252" i="11"/>
  <c r="D73" i="12"/>
  <c r="F107" i="6"/>
  <c r="D314" i="16"/>
  <c r="F103" i="3"/>
  <c r="O117" i="5"/>
  <c r="Q117" i="5" s="1"/>
  <c r="I117" i="6"/>
  <c r="I115" i="3"/>
  <c r="O107" i="4"/>
  <c r="Q107" i="4" s="1"/>
  <c r="J20" i="16"/>
  <c r="Z116" i="5"/>
  <c r="T116" i="6" s="1"/>
  <c r="AO116" i="5"/>
  <c r="AP116" i="5" s="1"/>
  <c r="AD116" i="5"/>
  <c r="W116" i="6" s="1"/>
  <c r="AA116" i="5"/>
  <c r="S116" i="6" s="1"/>
  <c r="R116" i="5"/>
  <c r="R116" i="6" s="1"/>
  <c r="AE116" i="5"/>
  <c r="X116" i="6" s="1"/>
  <c r="L116" i="5"/>
  <c r="P116" i="6" s="1"/>
  <c r="S116" i="5"/>
  <c r="Q116" i="6" s="1"/>
  <c r="E116" i="6"/>
  <c r="D103" i="11"/>
  <c r="D247" i="11"/>
  <c r="J410" i="16"/>
  <c r="D72" i="11"/>
  <c r="G144" i="6"/>
  <c r="D302" i="11"/>
  <c r="J174" i="16"/>
  <c r="J22" i="16"/>
  <c r="D453" i="16"/>
  <c r="V152" i="5"/>
  <c r="U152" i="6" s="1"/>
  <c r="H152" i="6"/>
  <c r="V201" i="4"/>
  <c r="G147" i="3"/>
  <c r="H307" i="16"/>
  <c r="K307" i="16" s="1"/>
  <c r="J186" i="16"/>
  <c r="D57" i="12"/>
  <c r="J352" i="16"/>
  <c r="D275" i="11"/>
  <c r="G205" i="6"/>
  <c r="H424" i="16"/>
  <c r="D177" i="11"/>
  <c r="D87" i="8"/>
  <c r="I438" i="16"/>
  <c r="I133" i="6"/>
  <c r="O133" i="5"/>
  <c r="D7" i="12"/>
  <c r="E107" i="6"/>
  <c r="R107" i="5"/>
  <c r="R107" i="6" s="1"/>
  <c r="AD107" i="5"/>
  <c r="W107" i="6" s="1"/>
  <c r="AA107" i="5"/>
  <c r="S107" i="6" s="1"/>
  <c r="AO107" i="5"/>
  <c r="AP107" i="5" s="1"/>
  <c r="Z107" i="5"/>
  <c r="T107" i="6" s="1"/>
  <c r="AE107" i="5"/>
  <c r="X107" i="6" s="1"/>
  <c r="S107" i="5"/>
  <c r="Q107" i="6" s="1"/>
  <c r="L107" i="5"/>
  <c r="P107" i="6" s="1"/>
  <c r="D44" i="12"/>
  <c r="D17" i="10"/>
  <c r="D91" i="9"/>
  <c r="D304" i="16"/>
  <c r="D354" i="16"/>
  <c r="D449" i="16"/>
  <c r="D82" i="11"/>
  <c r="D93" i="11"/>
  <c r="S112" i="5"/>
  <c r="Q112" i="6" s="1"/>
  <c r="E112" i="6"/>
  <c r="L112" i="5"/>
  <c r="P112" i="6" s="1"/>
  <c r="AD112" i="5"/>
  <c r="W112" i="6" s="1"/>
  <c r="R112" i="5"/>
  <c r="R112" i="6" s="1"/>
  <c r="AE112" i="5"/>
  <c r="X112" i="6" s="1"/>
  <c r="Z112" i="5"/>
  <c r="T112" i="6" s="1"/>
  <c r="AA112" i="5"/>
  <c r="S112" i="6" s="1"/>
  <c r="AO112" i="5"/>
  <c r="AP112" i="5" s="1"/>
  <c r="D248" i="12"/>
  <c r="D61" i="9"/>
  <c r="D98" i="9"/>
  <c r="D74" i="11"/>
  <c r="G81" i="6"/>
  <c r="D296" i="12"/>
  <c r="G34" i="3"/>
  <c r="V156" i="4"/>
  <c r="U34" i="3" s="1"/>
  <c r="D211" i="11"/>
  <c r="D277" i="16"/>
  <c r="V93" i="5"/>
  <c r="U93" i="6" s="1"/>
  <c r="H93" i="6"/>
  <c r="H157" i="3"/>
  <c r="D84" i="12"/>
  <c r="L164" i="6"/>
  <c r="D90" i="11"/>
  <c r="D337" i="16"/>
  <c r="F97" i="3"/>
  <c r="D387" i="16"/>
  <c r="D31" i="8"/>
  <c r="J195" i="16"/>
  <c r="D158" i="8"/>
  <c r="I418" i="16"/>
  <c r="J428" i="16"/>
  <c r="H161" i="16"/>
  <c r="L161" i="16" s="1"/>
  <c r="D175" i="9"/>
  <c r="D33" i="11"/>
  <c r="L177" i="3"/>
  <c r="D226" i="11"/>
  <c r="J331" i="16"/>
  <c r="J211" i="16"/>
  <c r="D434" i="16"/>
  <c r="H388" i="16"/>
  <c r="H443" i="16"/>
  <c r="I104" i="6"/>
  <c r="O104" i="5"/>
  <c r="P104" i="5" s="1"/>
  <c r="M104" i="6" s="1"/>
  <c r="J163" i="16"/>
  <c r="D266" i="16"/>
  <c r="D15" i="12"/>
  <c r="D70" i="9"/>
  <c r="J287" i="16"/>
  <c r="H166" i="6"/>
  <c r="V166" i="5"/>
  <c r="U166" i="6" s="1"/>
  <c r="D227" i="12"/>
  <c r="D332" i="16"/>
  <c r="D90" i="9"/>
  <c r="H449" i="16"/>
  <c r="L449" i="16" s="1"/>
  <c r="I457" i="16"/>
  <c r="I131" i="6"/>
  <c r="O131" i="5"/>
  <c r="P131" i="5" s="1"/>
  <c r="M131" i="6" s="1"/>
  <c r="E181" i="6"/>
  <c r="L181" i="5"/>
  <c r="P181" i="6" s="1"/>
  <c r="S181" i="5"/>
  <c r="Q181" i="6" s="1"/>
  <c r="AO181" i="5"/>
  <c r="AP181" i="5" s="1"/>
  <c r="AD181" i="5"/>
  <c r="AA181" i="5"/>
  <c r="S181" i="6" s="1"/>
  <c r="AE181" i="5"/>
  <c r="X181" i="6" s="1"/>
  <c r="R181" i="5"/>
  <c r="R181" i="6" s="1"/>
  <c r="Z181" i="5"/>
  <c r="T181" i="6" s="1"/>
  <c r="J132" i="16"/>
  <c r="D23" i="8"/>
  <c r="D83" i="11"/>
  <c r="D116" i="12"/>
  <c r="H84" i="6"/>
  <c r="V84" i="5"/>
  <c r="U84" i="6" s="1"/>
  <c r="I169" i="16"/>
  <c r="L117" i="5"/>
  <c r="P117" i="6" s="1"/>
  <c r="Z117" i="5"/>
  <c r="T117" i="6" s="1"/>
  <c r="E117" i="6"/>
  <c r="S117" i="5"/>
  <c r="Q117" i="6" s="1"/>
  <c r="AD117" i="5"/>
  <c r="W117" i="6" s="1"/>
  <c r="AE117" i="5"/>
  <c r="X117" i="6" s="1"/>
  <c r="AO117" i="5"/>
  <c r="AP117" i="5" s="1"/>
  <c r="R117" i="5"/>
  <c r="R117" i="6" s="1"/>
  <c r="AA117" i="5"/>
  <c r="S117" i="6" s="1"/>
  <c r="D173" i="8"/>
  <c r="D77" i="11"/>
  <c r="D99" i="12"/>
  <c r="V39" i="4"/>
  <c r="U142" i="3" s="1"/>
  <c r="G142" i="3"/>
  <c r="F112" i="6"/>
  <c r="L170" i="6"/>
  <c r="F84" i="6"/>
  <c r="D180" i="10"/>
  <c r="D143" i="8"/>
  <c r="I389" i="16"/>
  <c r="D101" i="12"/>
  <c r="D90" i="10"/>
  <c r="D165" i="9"/>
  <c r="D302" i="16"/>
  <c r="H163" i="16"/>
  <c r="H175" i="6"/>
  <c r="V175" i="5"/>
  <c r="U175" i="6" s="1"/>
  <c r="O50" i="4"/>
  <c r="Q50" i="4" s="1"/>
  <c r="I45" i="3"/>
  <c r="F129" i="6"/>
  <c r="H171" i="16"/>
  <c r="D18" i="8"/>
  <c r="J176" i="16"/>
  <c r="D166" i="10"/>
  <c r="H289" i="16"/>
  <c r="D382" i="16"/>
  <c r="D27" i="9"/>
  <c r="D292" i="11"/>
  <c r="I458" i="16"/>
  <c r="H183" i="16"/>
  <c r="L183" i="16" s="1"/>
  <c r="G40" i="6"/>
  <c r="H422" i="16"/>
  <c r="D33" i="12"/>
  <c r="J206" i="16"/>
  <c r="D108" i="12"/>
  <c r="D135" i="12"/>
  <c r="D56" i="8"/>
  <c r="D217" i="12"/>
  <c r="I32" i="16"/>
  <c r="F166" i="6"/>
  <c r="G142" i="6"/>
  <c r="J277" i="16"/>
  <c r="H432" i="16"/>
  <c r="J303" i="16"/>
  <c r="D147" i="11"/>
  <c r="I24" i="6"/>
  <c r="O24" i="5"/>
  <c r="P24" i="5" s="1"/>
  <c r="M24" i="6" s="1"/>
  <c r="D163" i="16"/>
  <c r="H377" i="16"/>
  <c r="I338" i="16"/>
  <c r="D156" i="10"/>
  <c r="H10" i="16"/>
  <c r="AH10" i="16" s="1"/>
  <c r="H154" i="3"/>
  <c r="D321" i="16"/>
  <c r="D117" i="10"/>
  <c r="D378" i="16"/>
  <c r="D213" i="12"/>
  <c r="O180" i="5"/>
  <c r="Q180" i="5" s="1"/>
  <c r="I180" i="6"/>
  <c r="F80" i="3"/>
  <c r="L48" i="6"/>
  <c r="D200" i="8"/>
  <c r="AE200" i="5"/>
  <c r="X200" i="6" s="1"/>
  <c r="AD200" i="5"/>
  <c r="W200" i="6" s="1"/>
  <c r="L200" i="5"/>
  <c r="P200" i="6" s="1"/>
  <c r="AA200" i="5"/>
  <c r="S200" i="6" s="1"/>
  <c r="Z200" i="5"/>
  <c r="T200" i="6" s="1"/>
  <c r="AO200" i="5"/>
  <c r="AP200" i="5" s="1"/>
  <c r="R200" i="5"/>
  <c r="R200" i="6" s="1"/>
  <c r="E200" i="6"/>
  <c r="S200" i="5"/>
  <c r="Q200" i="6" s="1"/>
  <c r="D269" i="11"/>
  <c r="D353" i="16"/>
  <c r="L186" i="3"/>
  <c r="I77" i="6"/>
  <c r="O77" i="5"/>
  <c r="Q77" i="5" s="1"/>
  <c r="H156" i="3"/>
  <c r="S25" i="4"/>
  <c r="Q43" i="3" s="1"/>
  <c r="R25" i="4"/>
  <c r="R43" i="3" s="1"/>
  <c r="L25" i="4"/>
  <c r="P43" i="3" s="1"/>
  <c r="AD25" i="4"/>
  <c r="W43" i="3" s="1"/>
  <c r="Z25" i="4"/>
  <c r="T43" i="3" s="1"/>
  <c r="AE25" i="4"/>
  <c r="X43" i="3" s="1"/>
  <c r="E43" i="3"/>
  <c r="Q25" i="4"/>
  <c r="AA25" i="4"/>
  <c r="S43" i="3" s="1"/>
  <c r="H276" i="16"/>
  <c r="K276" i="16" s="1"/>
  <c r="D66" i="8"/>
  <c r="D265" i="11"/>
  <c r="AE21" i="4"/>
  <c r="X90" i="3" s="1"/>
  <c r="AA21" i="4"/>
  <c r="S90" i="3" s="1"/>
  <c r="L21" i="4"/>
  <c r="P90" i="3" s="1"/>
  <c r="R21" i="4"/>
  <c r="R90" i="3" s="1"/>
  <c r="AD21" i="4"/>
  <c r="W90" i="3" s="1"/>
  <c r="E90" i="3"/>
  <c r="Z21" i="4"/>
  <c r="T90" i="3" s="1"/>
  <c r="S21" i="4"/>
  <c r="Q90" i="3" s="1"/>
  <c r="J204" i="16"/>
  <c r="D137" i="16"/>
  <c r="D53" i="9"/>
  <c r="D11" i="8"/>
  <c r="F81" i="6"/>
  <c r="L174" i="6"/>
  <c r="H195" i="6"/>
  <c r="V195" i="5"/>
  <c r="U195" i="6" s="1"/>
  <c r="I172" i="16"/>
  <c r="L44" i="6"/>
  <c r="D207" i="12"/>
  <c r="V69" i="5"/>
  <c r="U69" i="6" s="1"/>
  <c r="H69" i="6"/>
  <c r="H237" i="16"/>
  <c r="D282" i="16"/>
  <c r="I439" i="16"/>
  <c r="D207" i="16"/>
  <c r="D145" i="12"/>
  <c r="I258" i="16"/>
  <c r="I230" i="16"/>
  <c r="D339" i="16"/>
  <c r="I434" i="16"/>
  <c r="H175" i="16"/>
  <c r="G37" i="6"/>
  <c r="D227" i="11"/>
  <c r="D95" i="8"/>
  <c r="D6" i="12"/>
  <c r="D284" i="16"/>
  <c r="I140" i="6"/>
  <c r="O140" i="5"/>
  <c r="P140" i="5" s="1"/>
  <c r="M140" i="6" s="1"/>
  <c r="J177" i="16"/>
  <c r="F65" i="6"/>
  <c r="D152" i="10"/>
  <c r="I432" i="16"/>
  <c r="F82" i="3"/>
  <c r="V191" i="5"/>
  <c r="U191" i="6" s="1"/>
  <c r="H191" i="6"/>
  <c r="I334" i="16"/>
  <c r="D291" i="16"/>
  <c r="I249" i="16"/>
  <c r="L93" i="6"/>
  <c r="D219" i="9"/>
  <c r="D74" i="12"/>
  <c r="I274" i="16"/>
  <c r="D41" i="10"/>
  <c r="J357" i="16"/>
  <c r="J321" i="16"/>
  <c r="D215" i="12"/>
  <c r="D351" i="16"/>
  <c r="L148" i="6"/>
  <c r="D181" i="9"/>
  <c r="D56" i="10"/>
  <c r="D124" i="16"/>
  <c r="D69" i="11"/>
  <c r="D45" i="10"/>
  <c r="J302" i="16"/>
  <c r="D43" i="11"/>
  <c r="D192" i="11"/>
  <c r="F99" i="6"/>
  <c r="D203" i="16"/>
  <c r="V80" i="4"/>
  <c r="U66" i="3" s="1"/>
  <c r="G66" i="3"/>
  <c r="J429" i="16"/>
  <c r="J271" i="16"/>
  <c r="J248" i="16"/>
  <c r="I376" i="16"/>
  <c r="D180" i="12"/>
  <c r="F107" i="3"/>
  <c r="H315" i="16"/>
  <c r="H420" i="16"/>
  <c r="D143" i="9"/>
  <c r="L25" i="3"/>
  <c r="J136" i="16"/>
  <c r="I24" i="16"/>
  <c r="H31" i="3"/>
  <c r="H383" i="16"/>
  <c r="O383" i="16" s="1"/>
  <c r="L77" i="5"/>
  <c r="P77" i="6" s="1"/>
  <c r="Z77" i="5"/>
  <c r="T77" i="6" s="1"/>
  <c r="AO77" i="5"/>
  <c r="AP77" i="5" s="1"/>
  <c r="R77" i="5"/>
  <c r="R77" i="6" s="1"/>
  <c r="AA77" i="5"/>
  <c r="S77" i="6" s="1"/>
  <c r="E77" i="6"/>
  <c r="S77" i="5"/>
  <c r="Q77" i="6" s="1"/>
  <c r="AE77" i="5"/>
  <c r="X77" i="6" s="1"/>
  <c r="AD77" i="5"/>
  <c r="W77" i="6" s="1"/>
  <c r="H286" i="16"/>
  <c r="H193" i="16"/>
  <c r="V41" i="5"/>
  <c r="U41" i="6" s="1"/>
  <c r="H41" i="6"/>
  <c r="L85" i="6"/>
  <c r="H230" i="16"/>
  <c r="D148" i="16"/>
  <c r="J221" i="16"/>
  <c r="D63" i="11"/>
  <c r="D304" i="12"/>
  <c r="D193" i="12"/>
  <c r="J291" i="16"/>
  <c r="J282" i="16"/>
  <c r="I361" i="16"/>
  <c r="D239" i="16"/>
  <c r="D21" i="11"/>
  <c r="H169" i="16"/>
  <c r="H421" i="16"/>
  <c r="L421" i="16" s="1"/>
  <c r="I372" i="16"/>
  <c r="J141" i="16"/>
  <c r="L86" i="6"/>
  <c r="H146" i="6"/>
  <c r="V146" i="5"/>
  <c r="U146" i="6" s="1"/>
  <c r="I148" i="16"/>
  <c r="I423" i="16"/>
  <c r="Z127" i="5"/>
  <c r="T127" i="6" s="1"/>
  <c r="AE127" i="5"/>
  <c r="X127" i="6" s="1"/>
  <c r="E127" i="6"/>
  <c r="L127" i="5"/>
  <c r="P127" i="6" s="1"/>
  <c r="AD127" i="5"/>
  <c r="S127" i="5"/>
  <c r="Q127" i="6" s="1"/>
  <c r="AO127" i="5"/>
  <c r="AP127" i="5" s="1"/>
  <c r="AA127" i="5"/>
  <c r="S127" i="6" s="1"/>
  <c r="R127" i="5"/>
  <c r="R127" i="6" s="1"/>
  <c r="D25" i="12"/>
  <c r="D456" i="16"/>
  <c r="D206" i="9"/>
  <c r="I408" i="16"/>
  <c r="D13" i="16"/>
  <c r="D171" i="12"/>
  <c r="AE153" i="5"/>
  <c r="X153" i="6" s="1"/>
  <c r="E153" i="6"/>
  <c r="AO153" i="5"/>
  <c r="AP153" i="5" s="1"/>
  <c r="L153" i="5"/>
  <c r="P153" i="6" s="1"/>
  <c r="Z153" i="5"/>
  <c r="T153" i="6" s="1"/>
  <c r="R153" i="5"/>
  <c r="R153" i="6" s="1"/>
  <c r="AD153" i="5"/>
  <c r="W153" i="6" s="1"/>
  <c r="AA153" i="5"/>
  <c r="S153" i="6" s="1"/>
  <c r="S153" i="5"/>
  <c r="Q153" i="6" s="1"/>
  <c r="D127" i="10"/>
  <c r="H218" i="16"/>
  <c r="H131" i="16"/>
  <c r="L131" i="16" s="1"/>
  <c r="J162" i="16"/>
  <c r="F205" i="3"/>
  <c r="D22" i="12"/>
  <c r="D77" i="12"/>
  <c r="I373" i="16"/>
  <c r="D73" i="9"/>
  <c r="C455" i="1"/>
  <c r="L130" i="6"/>
  <c r="D91" i="8"/>
  <c r="J342" i="16"/>
  <c r="H353" i="16"/>
  <c r="H214" i="16"/>
  <c r="L214" i="16" s="1"/>
  <c r="O174" i="5"/>
  <c r="Q174" i="5" s="1"/>
  <c r="I174" i="6"/>
  <c r="H145" i="6"/>
  <c r="V145" i="5"/>
  <c r="U145" i="6" s="1"/>
  <c r="O172" i="5"/>
  <c r="P172" i="5" s="1"/>
  <c r="M172" i="6" s="1"/>
  <c r="I172" i="6"/>
  <c r="D175" i="11"/>
  <c r="F93" i="3"/>
  <c r="I164" i="16"/>
  <c r="I135" i="16"/>
  <c r="D187" i="9"/>
  <c r="D118" i="12"/>
  <c r="H250" i="16"/>
  <c r="J153" i="16"/>
  <c r="H376" i="16"/>
  <c r="L376" i="16" s="1"/>
  <c r="D304" i="11"/>
  <c r="D12" i="10"/>
  <c r="D228" i="16"/>
  <c r="H83" i="3"/>
  <c r="D83" i="9"/>
  <c r="D7" i="8"/>
  <c r="D162" i="9"/>
  <c r="G14" i="3"/>
  <c r="V142" i="4"/>
  <c r="U14" i="3" s="1"/>
  <c r="D181" i="16"/>
  <c r="L204" i="6"/>
  <c r="F200" i="3"/>
  <c r="AE53" i="4"/>
  <c r="X133" i="3" s="1"/>
  <c r="AA53" i="4"/>
  <c r="S133" i="3" s="1"/>
  <c r="AD53" i="4"/>
  <c r="W133" i="3" s="1"/>
  <c r="L53" i="4"/>
  <c r="P133" i="3" s="1"/>
  <c r="E133" i="3"/>
  <c r="S53" i="4"/>
  <c r="Q133" i="3" s="1"/>
  <c r="R53" i="4"/>
  <c r="R133" i="3" s="1"/>
  <c r="Z53" i="4"/>
  <c r="T133" i="3" s="1"/>
  <c r="H401" i="16"/>
  <c r="G109" i="6"/>
  <c r="D183" i="8"/>
  <c r="D193" i="9"/>
  <c r="L26" i="6"/>
  <c r="I420" i="16"/>
  <c r="D22" i="16"/>
  <c r="J280" i="16"/>
  <c r="D138" i="16"/>
  <c r="I273" i="16"/>
  <c r="D267" i="16"/>
  <c r="D203" i="12"/>
  <c r="H196" i="6"/>
  <c r="V196" i="5"/>
  <c r="U196" i="6" s="1"/>
  <c r="J164" i="16"/>
  <c r="D175" i="8"/>
  <c r="L14" i="6"/>
  <c r="D163" i="12"/>
  <c r="H228" i="16"/>
  <c r="D422" i="16"/>
  <c r="H340" i="16"/>
  <c r="O340" i="16" s="1"/>
  <c r="G36" i="6"/>
  <c r="D427" i="16"/>
  <c r="J452" i="16"/>
  <c r="C96" i="1"/>
  <c r="D56" i="5" s="1"/>
  <c r="D56" i="6" s="1"/>
  <c r="D127" i="16"/>
  <c r="D15" i="10"/>
  <c r="D186" i="11"/>
  <c r="F20" i="6"/>
  <c r="H329" i="16"/>
  <c r="H391" i="16"/>
  <c r="D187" i="11"/>
  <c r="L100" i="6"/>
  <c r="H292" i="16"/>
  <c r="J323" i="16"/>
  <c r="L200" i="6"/>
  <c r="F136" i="6"/>
  <c r="D221" i="10"/>
  <c r="I127" i="16"/>
  <c r="I196" i="16"/>
  <c r="H165" i="16"/>
  <c r="D147" i="10"/>
  <c r="V188" i="5"/>
  <c r="H188" i="6"/>
  <c r="J445" i="16"/>
  <c r="D94" i="9"/>
  <c r="D50" i="9"/>
  <c r="I188" i="6"/>
  <c r="O188" i="5"/>
  <c r="Q188" i="5" s="1"/>
  <c r="L188" i="3"/>
  <c r="G152" i="6"/>
  <c r="H210" i="16"/>
  <c r="D109" i="9"/>
  <c r="D110" i="11"/>
  <c r="J430" i="16"/>
  <c r="H348" i="16"/>
  <c r="H90" i="6"/>
  <c r="V90" i="5"/>
  <c r="U90" i="6" s="1"/>
  <c r="D174" i="9"/>
  <c r="H222" i="16"/>
  <c r="D8" i="12"/>
  <c r="H419" i="16"/>
  <c r="O419" i="16" s="1"/>
  <c r="H22" i="6"/>
  <c r="V22" i="5"/>
  <c r="U22" i="6" s="1"/>
  <c r="J281" i="16"/>
  <c r="V175" i="4"/>
  <c r="U166" i="3" s="1"/>
  <c r="G166" i="3"/>
  <c r="D185" i="9"/>
  <c r="D128" i="10"/>
  <c r="D195" i="9"/>
  <c r="D64" i="12"/>
  <c r="I310" i="16"/>
  <c r="J301" i="16"/>
  <c r="H312" i="16"/>
  <c r="D111" i="12"/>
  <c r="D101" i="10"/>
  <c r="D184" i="9"/>
  <c r="I448" i="16"/>
  <c r="D64" i="9"/>
  <c r="H437" i="16"/>
  <c r="O437" i="16" s="1"/>
  <c r="D160" i="10"/>
  <c r="H114" i="6"/>
  <c r="V114" i="5"/>
  <c r="U114" i="6" s="1"/>
  <c r="V126" i="5"/>
  <c r="U126" i="6" s="1"/>
  <c r="H126" i="6"/>
  <c r="D95" i="12"/>
  <c r="D107" i="8"/>
  <c r="D311" i="16"/>
  <c r="D7" i="9"/>
  <c r="J238" i="16"/>
  <c r="D259" i="12"/>
  <c r="C118" i="1"/>
  <c r="Z176" i="5"/>
  <c r="T176" i="6" s="1"/>
  <c r="S176" i="5"/>
  <c r="Q176" i="6" s="1"/>
  <c r="AA176" i="5"/>
  <c r="S176" i="6" s="1"/>
  <c r="R176" i="5"/>
  <c r="R176" i="6" s="1"/>
  <c r="E176" i="6"/>
  <c r="AO176" i="5"/>
  <c r="AP176" i="5" s="1"/>
  <c r="AD176" i="5"/>
  <c r="L176" i="5"/>
  <c r="P176" i="6" s="1"/>
  <c r="AE176" i="5"/>
  <c r="X176" i="6" s="1"/>
  <c r="D197" i="8"/>
  <c r="I362" i="16"/>
  <c r="V21" i="5"/>
  <c r="U21" i="6" s="1"/>
  <c r="H21" i="6"/>
  <c r="J324" i="16"/>
  <c r="C56" i="1"/>
  <c r="V81" i="5"/>
  <c r="U81" i="6" s="1"/>
  <c r="H81" i="6"/>
  <c r="H318" i="16"/>
  <c r="D120" i="10"/>
  <c r="D93" i="9"/>
  <c r="F25" i="6"/>
  <c r="I314" i="16"/>
  <c r="V150" i="5"/>
  <c r="U150" i="6" s="1"/>
  <c r="H150" i="6"/>
  <c r="F205" i="6"/>
  <c r="I277" i="16"/>
  <c r="H78" i="6"/>
  <c r="V78" i="5"/>
  <c r="U78" i="6" s="1"/>
  <c r="J286" i="16"/>
  <c r="D51" i="11"/>
  <c r="O160" i="4"/>
  <c r="Q160" i="4" s="1"/>
  <c r="I78" i="3"/>
  <c r="J365" i="16"/>
  <c r="D418" i="16"/>
  <c r="F90" i="3"/>
  <c r="D157" i="8"/>
  <c r="D166" i="16"/>
  <c r="I210" i="16"/>
  <c r="H172" i="16"/>
  <c r="K172" i="16" s="1"/>
  <c r="J144" i="16"/>
  <c r="G70" i="3"/>
  <c r="V171" i="4"/>
  <c r="U70" i="3" s="1"/>
  <c r="D290" i="12"/>
  <c r="D199" i="10"/>
  <c r="L140" i="3"/>
  <c r="AE167" i="4"/>
  <c r="X106" i="3" s="1"/>
  <c r="E106" i="3"/>
  <c r="AA167" i="4"/>
  <c r="S106" i="3" s="1"/>
  <c r="S167" i="4"/>
  <c r="Q106" i="3" s="1"/>
  <c r="L167" i="4"/>
  <c r="P106" i="3" s="1"/>
  <c r="AD167" i="4"/>
  <c r="W106" i="3" s="1"/>
  <c r="R167" i="4"/>
  <c r="R106" i="3" s="1"/>
  <c r="Z167" i="4"/>
  <c r="T106" i="3" s="1"/>
  <c r="J449" i="16"/>
  <c r="J18" i="16"/>
  <c r="D153" i="16"/>
  <c r="D59" i="8"/>
  <c r="R165" i="4"/>
  <c r="R95" i="3" s="1"/>
  <c r="AE165" i="4"/>
  <c r="X95" i="3" s="1"/>
  <c r="E95" i="3"/>
  <c r="L165" i="4"/>
  <c r="S165" i="4"/>
  <c r="Q95" i="3" s="1"/>
  <c r="AD165" i="4"/>
  <c r="W95" i="3" s="1"/>
  <c r="AA165" i="4"/>
  <c r="S95" i="3" s="1"/>
  <c r="Z165" i="4"/>
  <c r="T95" i="3" s="1"/>
  <c r="F148" i="6"/>
  <c r="J210" i="16"/>
  <c r="H309" i="16"/>
  <c r="L154" i="6"/>
  <c r="H370" i="16"/>
  <c r="D126" i="10"/>
  <c r="J353" i="16"/>
  <c r="H18" i="16"/>
  <c r="D68" i="9"/>
  <c r="H204" i="16"/>
  <c r="D279" i="16"/>
  <c r="D250" i="16"/>
  <c r="I430" i="16"/>
  <c r="J196" i="16"/>
  <c r="D100" i="11"/>
  <c r="H195" i="3"/>
  <c r="I153" i="16"/>
  <c r="I394" i="16"/>
  <c r="D129" i="12"/>
  <c r="D43" i="9"/>
  <c r="D320" i="16"/>
  <c r="I165" i="6"/>
  <c r="O165" i="5"/>
  <c r="P165" i="5" s="1"/>
  <c r="M165" i="6" s="1"/>
  <c r="D258" i="12"/>
  <c r="G180" i="6"/>
  <c r="J252" i="16"/>
  <c r="D146" i="16"/>
  <c r="I121" i="16"/>
  <c r="D232" i="12"/>
  <c r="J212" i="16"/>
  <c r="H192" i="3"/>
  <c r="V70" i="5"/>
  <c r="U70" i="6" s="1"/>
  <c r="H70" i="6"/>
  <c r="J166" i="16"/>
  <c r="V50" i="5"/>
  <c r="H50" i="6"/>
  <c r="D204" i="10"/>
  <c r="I281" i="16"/>
  <c r="J393" i="16"/>
  <c r="D404" i="16"/>
  <c r="D198" i="9"/>
  <c r="C30" i="1"/>
  <c r="J135" i="16"/>
  <c r="H202" i="16"/>
  <c r="O202" i="16" s="1"/>
  <c r="D161" i="16"/>
  <c r="D254" i="11"/>
  <c r="G156" i="6"/>
  <c r="D128" i="16"/>
  <c r="D244" i="11"/>
  <c r="D27" i="11"/>
  <c r="I365" i="16"/>
  <c r="D193" i="16"/>
  <c r="D135" i="11"/>
  <c r="D186" i="16"/>
  <c r="L68" i="6"/>
  <c r="D226" i="12"/>
  <c r="I236" i="16"/>
  <c r="D52" i="11"/>
  <c r="H201" i="16"/>
  <c r="D123" i="16"/>
  <c r="G120" i="6"/>
  <c r="O154" i="4"/>
  <c r="Q154" i="4" s="1"/>
  <c r="I9" i="3"/>
  <c r="D254" i="12"/>
  <c r="O112" i="5"/>
  <c r="N112" i="6" s="1"/>
  <c r="I112" i="6"/>
  <c r="D52" i="8"/>
  <c r="D232" i="16"/>
  <c r="J165" i="16"/>
  <c r="D221" i="9"/>
  <c r="D380" i="16"/>
  <c r="H390" i="16"/>
  <c r="D419" i="16"/>
  <c r="O10" i="5"/>
  <c r="I10" i="6"/>
  <c r="H182" i="16"/>
  <c r="D286" i="11"/>
  <c r="D200" i="9"/>
  <c r="V160" i="4"/>
  <c r="U78" i="3" s="1"/>
  <c r="G78" i="3"/>
  <c r="D75" i="12"/>
  <c r="D63" i="10"/>
  <c r="J154" i="16"/>
  <c r="D194" i="12"/>
  <c r="J327" i="16"/>
  <c r="D184" i="10"/>
  <c r="I86" i="6"/>
  <c r="O86" i="5"/>
  <c r="Q86" i="5" s="1"/>
  <c r="D43" i="10"/>
  <c r="H433" i="16"/>
  <c r="L433" i="16" s="1"/>
  <c r="D255" i="16"/>
  <c r="C85" i="1"/>
  <c r="B273" i="9"/>
  <c r="B273" i="10"/>
  <c r="B273" i="12"/>
  <c r="B273" i="11"/>
  <c r="C273" i="22" s="1"/>
  <c r="B273" i="8"/>
  <c r="H333" i="16"/>
  <c r="D77" i="10"/>
  <c r="I166" i="6"/>
  <c r="O166" i="5"/>
  <c r="S147" i="4"/>
  <c r="Q174" i="3" s="1"/>
  <c r="Z147" i="4"/>
  <c r="T174" i="3" s="1"/>
  <c r="R147" i="4"/>
  <c r="R174" i="3" s="1"/>
  <c r="AD147" i="4"/>
  <c r="W174" i="3" s="1"/>
  <c r="AE147" i="4"/>
  <c r="X174" i="3" s="1"/>
  <c r="L147" i="4"/>
  <c r="E174" i="3"/>
  <c r="AA147" i="4"/>
  <c r="S174" i="3" s="1"/>
  <c r="J158" i="16"/>
  <c r="F93" i="6"/>
  <c r="H187" i="6"/>
  <c r="V187" i="5"/>
  <c r="U187" i="6" s="1"/>
  <c r="J156" i="16"/>
  <c r="D210" i="9"/>
  <c r="D371" i="16"/>
  <c r="AA199" i="5"/>
  <c r="S199" i="6" s="1"/>
  <c r="R199" i="5"/>
  <c r="R199" i="6" s="1"/>
  <c r="AO199" i="5"/>
  <c r="AP199" i="5" s="1"/>
  <c r="AD199" i="5"/>
  <c r="W199" i="6" s="1"/>
  <c r="L199" i="5"/>
  <c r="P199" i="6" s="1"/>
  <c r="E199" i="6"/>
  <c r="AE199" i="5"/>
  <c r="X199" i="6" s="1"/>
  <c r="Z199" i="5"/>
  <c r="T199" i="6" s="1"/>
  <c r="S199" i="5"/>
  <c r="Q199" i="6" s="1"/>
  <c r="J278" i="16"/>
  <c r="D300" i="11"/>
  <c r="D259" i="16"/>
  <c r="H146" i="16"/>
  <c r="L146" i="16" s="1"/>
  <c r="I184" i="6"/>
  <c r="O184" i="5"/>
  <c r="Q184" i="5" s="1"/>
  <c r="H86" i="6"/>
  <c r="V86" i="5"/>
  <c r="U86" i="6" s="1"/>
  <c r="H389" i="16"/>
  <c r="J433" i="16"/>
  <c r="D336" i="16"/>
  <c r="D271" i="16"/>
  <c r="D120" i="11"/>
  <c r="D150" i="9"/>
  <c r="I340" i="16"/>
  <c r="J137" i="16"/>
  <c r="I355" i="16"/>
  <c r="D141" i="9"/>
  <c r="I248" i="16"/>
  <c r="D116" i="10"/>
  <c r="D411" i="16"/>
  <c r="H403" i="16"/>
  <c r="K403" i="16" s="1"/>
  <c r="D112" i="8"/>
  <c r="D206" i="11"/>
  <c r="D45" i="11"/>
  <c r="D277" i="11"/>
  <c r="D35" i="8"/>
  <c r="D49" i="11"/>
  <c r="D74" i="8"/>
  <c r="D57" i="8"/>
  <c r="H349" i="16"/>
  <c r="I137" i="16"/>
  <c r="D44" i="10"/>
  <c r="F132" i="6"/>
  <c r="H207" i="16"/>
  <c r="I123" i="6"/>
  <c r="O123" i="5"/>
  <c r="D40" i="11"/>
  <c r="I94" i="3"/>
  <c r="O7" i="4"/>
  <c r="V82" i="5"/>
  <c r="U82" i="6" s="1"/>
  <c r="H82" i="6"/>
  <c r="D225" i="16"/>
  <c r="AD146" i="4"/>
  <c r="W202" i="3" s="1"/>
  <c r="S146" i="4"/>
  <c r="Q202" i="3" s="1"/>
  <c r="R146" i="4"/>
  <c r="R202" i="3" s="1"/>
  <c r="Z146" i="4"/>
  <c r="T202" i="3" s="1"/>
  <c r="AA146" i="4"/>
  <c r="S202" i="3" s="1"/>
  <c r="AE146" i="4"/>
  <c r="X202" i="3" s="1"/>
  <c r="L146" i="4"/>
  <c r="P202" i="3" s="1"/>
  <c r="E202" i="3"/>
  <c r="D6" i="10"/>
  <c r="V180" i="5"/>
  <c r="U180" i="6" s="1"/>
  <c r="H180" i="6"/>
  <c r="D325" i="16"/>
  <c r="I320" i="16"/>
  <c r="O32" i="5"/>
  <c r="Q32" i="5" s="1"/>
  <c r="I32" i="6"/>
  <c r="D221" i="11"/>
  <c r="D20" i="10"/>
  <c r="C80" i="1"/>
  <c r="D195" i="11"/>
  <c r="D233" i="16"/>
  <c r="D78" i="9"/>
  <c r="J385" i="16"/>
  <c r="F192" i="6"/>
  <c r="D175" i="16"/>
  <c r="H425" i="16"/>
  <c r="J237" i="16"/>
  <c r="H263" i="16"/>
  <c r="H9" i="16"/>
  <c r="J13" i="16"/>
  <c r="I122" i="16"/>
  <c r="AA170" i="5"/>
  <c r="S170" i="6" s="1"/>
  <c r="L170" i="5"/>
  <c r="P170" i="6" s="1"/>
  <c r="AE170" i="5"/>
  <c r="X170" i="6" s="1"/>
  <c r="E170" i="6"/>
  <c r="AO170" i="5"/>
  <c r="AP170" i="5" s="1"/>
  <c r="S170" i="5"/>
  <c r="Q170" i="6" s="1"/>
  <c r="Z170" i="5"/>
  <c r="T170" i="6" s="1"/>
  <c r="R170" i="5"/>
  <c r="R170" i="6" s="1"/>
  <c r="AD170" i="5"/>
  <c r="W170" i="6" s="1"/>
  <c r="J442" i="16"/>
  <c r="D153" i="11"/>
  <c r="I92" i="3"/>
  <c r="O140" i="4"/>
  <c r="Q140" i="4" s="1"/>
  <c r="D288" i="12"/>
  <c r="H29" i="16"/>
  <c r="H412" i="16"/>
  <c r="E12" i="3"/>
  <c r="AD183" i="4"/>
  <c r="W12" i="3" s="1"/>
  <c r="S183" i="4"/>
  <c r="Q12" i="3" s="1"/>
  <c r="Z183" i="4"/>
  <c r="T12" i="3" s="1"/>
  <c r="AE183" i="4"/>
  <c r="X12" i="3" s="1"/>
  <c r="AA183" i="4"/>
  <c r="S12" i="3" s="1"/>
  <c r="L183" i="4"/>
  <c r="R183" i="4"/>
  <c r="R12" i="3" s="1"/>
  <c r="J198" i="16"/>
  <c r="I303" i="16"/>
  <c r="D94" i="11"/>
  <c r="H156" i="16"/>
  <c r="K156" i="16" s="1"/>
  <c r="I189" i="6"/>
  <c r="O189" i="5"/>
  <c r="Q189" i="5" s="1"/>
  <c r="Z187" i="5"/>
  <c r="T187" i="6" s="1"/>
  <c r="S187" i="5"/>
  <c r="Q187" i="6" s="1"/>
  <c r="E187" i="6"/>
  <c r="AD187" i="5"/>
  <c r="W187" i="6" s="1"/>
  <c r="AA187" i="5"/>
  <c r="S187" i="6" s="1"/>
  <c r="R187" i="5"/>
  <c r="R187" i="6" s="1"/>
  <c r="L187" i="5"/>
  <c r="P187" i="6" s="1"/>
  <c r="AE187" i="5"/>
  <c r="X187" i="6" s="1"/>
  <c r="AO187" i="5"/>
  <c r="AP187" i="5" s="1"/>
  <c r="D271" i="12"/>
  <c r="H19" i="3"/>
  <c r="D129" i="10"/>
  <c r="I308" i="16"/>
  <c r="H159" i="16"/>
  <c r="D39" i="8"/>
  <c r="D208" i="8"/>
  <c r="L184" i="6"/>
  <c r="D440" i="16"/>
  <c r="D204" i="8"/>
  <c r="I126" i="16"/>
  <c r="L172" i="6"/>
  <c r="D150" i="12"/>
  <c r="H72" i="3"/>
  <c r="I332" i="16"/>
  <c r="J258" i="16"/>
  <c r="D284" i="11"/>
  <c r="D141" i="8"/>
  <c r="D34" i="9"/>
  <c r="H178" i="16"/>
  <c r="L178" i="16" s="1"/>
  <c r="F101" i="3"/>
  <c r="J257" i="16"/>
  <c r="I243" i="16"/>
  <c r="D216" i="12"/>
  <c r="H297" i="16"/>
  <c r="L297" i="16" s="1"/>
  <c r="J171" i="16"/>
  <c r="D27" i="16"/>
  <c r="D51" i="9"/>
  <c r="H160" i="16"/>
  <c r="D156" i="11"/>
  <c r="I398" i="16"/>
  <c r="D260" i="16"/>
  <c r="J249" i="16"/>
  <c r="G31" i="6"/>
  <c r="G50" i="6"/>
  <c r="D282" i="12"/>
  <c r="I262" i="16"/>
  <c r="I173" i="16"/>
  <c r="H396" i="16"/>
  <c r="K396" i="16" s="1"/>
  <c r="V131" i="5"/>
  <c r="U131" i="6" s="1"/>
  <c r="H131" i="6"/>
  <c r="I4" i="16"/>
  <c r="J180" i="16"/>
  <c r="H219" i="16"/>
  <c r="J129" i="16"/>
  <c r="H303" i="16"/>
  <c r="H177" i="16"/>
  <c r="D256" i="16"/>
  <c r="V31" i="5"/>
  <c r="U31" i="6" s="1"/>
  <c r="H31" i="6"/>
  <c r="D73" i="10"/>
  <c r="D235" i="16"/>
  <c r="D154" i="8"/>
  <c r="D265" i="12"/>
  <c r="V43" i="5"/>
  <c r="U43" i="6" s="1"/>
  <c r="H43" i="6"/>
  <c r="F176" i="6"/>
  <c r="D245" i="12"/>
  <c r="D242" i="16"/>
  <c r="J170" i="16"/>
  <c r="I403" i="16"/>
  <c r="G27" i="6"/>
  <c r="L123" i="6"/>
  <c r="G166" i="6"/>
  <c r="D289" i="16"/>
  <c r="I282" i="16"/>
  <c r="H375" i="16"/>
  <c r="O375" i="16" s="1"/>
  <c r="G129" i="6"/>
  <c r="D38" i="9"/>
  <c r="D147" i="8"/>
  <c r="H248" i="16"/>
  <c r="D64" i="11"/>
  <c r="D127" i="12"/>
  <c r="H216" i="16"/>
  <c r="D181" i="11"/>
  <c r="C368" i="1"/>
  <c r="I123" i="16"/>
  <c r="D162" i="12"/>
  <c r="D385" i="16"/>
  <c r="O197" i="4"/>
  <c r="I61" i="3"/>
  <c r="H262" i="16"/>
  <c r="H153" i="6"/>
  <c r="V153" i="5"/>
  <c r="U153" i="6" s="1"/>
  <c r="D273" i="11"/>
  <c r="J16" i="16"/>
  <c r="J218" i="16"/>
  <c r="D71" i="10"/>
  <c r="I327" i="16"/>
  <c r="D415" i="16"/>
  <c r="H439" i="16"/>
  <c r="D222" i="16"/>
  <c r="H358" i="16"/>
  <c r="K358" i="16" s="1"/>
  <c r="AD149" i="5"/>
  <c r="W149" i="6" s="1"/>
  <c r="Z149" i="5"/>
  <c r="T149" i="6" s="1"/>
  <c r="AA149" i="5"/>
  <c r="S149" i="6" s="1"/>
  <c r="AO149" i="5"/>
  <c r="AP149" i="5" s="1"/>
  <c r="E149" i="6"/>
  <c r="L149" i="5"/>
  <c r="P149" i="6" s="1"/>
  <c r="R149" i="5"/>
  <c r="R149" i="6" s="1"/>
  <c r="S149" i="5"/>
  <c r="Q149" i="6" s="1"/>
  <c r="AE149" i="5"/>
  <c r="X149" i="6" s="1"/>
  <c r="F153" i="6"/>
  <c r="D158" i="10"/>
  <c r="D176" i="8"/>
  <c r="D142" i="16"/>
  <c r="D91" i="10"/>
  <c r="D149" i="10"/>
  <c r="J275" i="16"/>
  <c r="H452" i="16"/>
  <c r="L452" i="16" s="1"/>
  <c r="D235" i="11"/>
  <c r="G151" i="3"/>
  <c r="V26" i="4"/>
  <c r="U151" i="3" s="1"/>
  <c r="D285" i="11"/>
  <c r="H45" i="6"/>
  <c r="V45" i="5"/>
  <c r="U45" i="6" s="1"/>
  <c r="I333" i="16"/>
  <c r="I61" i="6"/>
  <c r="O61" i="5"/>
  <c r="P61" i="5" s="1"/>
  <c r="M61" i="6" s="1"/>
  <c r="D349" i="16"/>
  <c r="D149" i="12"/>
  <c r="I254" i="16"/>
  <c r="D66" i="12"/>
  <c r="D179" i="10"/>
  <c r="D211" i="8"/>
  <c r="J151" i="16"/>
  <c r="D13" i="11"/>
  <c r="D249" i="11"/>
  <c r="I228" i="16"/>
  <c r="L77" i="6"/>
  <c r="F97" i="6"/>
  <c r="D441" i="16"/>
  <c r="H327" i="16"/>
  <c r="O327" i="16" s="1"/>
  <c r="I218" i="16"/>
  <c r="D220" i="8"/>
  <c r="D227" i="16"/>
  <c r="D125" i="8"/>
  <c r="D177" i="10"/>
  <c r="J168" i="16"/>
  <c r="D176" i="12"/>
  <c r="H328" i="16"/>
  <c r="O328" i="16" s="1"/>
  <c r="I177" i="16"/>
  <c r="D29" i="16"/>
  <c r="D335" i="16"/>
  <c r="F187" i="6"/>
  <c r="D238" i="11"/>
  <c r="I301" i="16"/>
  <c r="F54" i="6"/>
  <c r="I299" i="16"/>
  <c r="I279" i="16"/>
  <c r="D454" i="16"/>
  <c r="L93" i="3"/>
  <c r="E90" i="6"/>
  <c r="L90" i="5"/>
  <c r="P90" i="6" s="1"/>
  <c r="AE90" i="5"/>
  <c r="X90" i="6" s="1"/>
  <c r="AA90" i="5"/>
  <c r="S90" i="6" s="1"/>
  <c r="Z90" i="5"/>
  <c r="T90" i="6" s="1"/>
  <c r="AD90" i="5"/>
  <c r="W90" i="6" s="1"/>
  <c r="S90" i="5"/>
  <c r="Q90" i="6" s="1"/>
  <c r="AO90" i="5"/>
  <c r="AP90" i="5" s="1"/>
  <c r="R90" i="5"/>
  <c r="R90" i="6" s="1"/>
  <c r="D56" i="12"/>
  <c r="D402" i="16"/>
  <c r="D52" i="12"/>
  <c r="D231" i="12"/>
  <c r="I272" i="16"/>
  <c r="D201" i="10"/>
  <c r="F185" i="6"/>
  <c r="D30" i="12"/>
  <c r="C100" i="1"/>
  <c r="I239" i="16"/>
  <c r="I449" i="16"/>
  <c r="I417" i="16"/>
  <c r="V40" i="5"/>
  <c r="U40" i="6" s="1"/>
  <c r="H40" i="6"/>
  <c r="D270" i="16"/>
  <c r="D327" i="16"/>
  <c r="H373" i="16"/>
  <c r="O373" i="16" s="1"/>
  <c r="H106" i="3"/>
  <c r="J453" i="16"/>
  <c r="O34" i="4"/>
  <c r="I28" i="3"/>
  <c r="D343" i="16"/>
  <c r="D447" i="16"/>
  <c r="H170" i="16"/>
  <c r="I186" i="3"/>
  <c r="O202" i="4"/>
  <c r="Q202" i="4" s="1"/>
  <c r="H13" i="16"/>
  <c r="K13" i="16" s="1"/>
  <c r="D182" i="12"/>
  <c r="H418" i="16"/>
  <c r="K418" i="16" s="1"/>
  <c r="J290" i="16"/>
  <c r="D258" i="16"/>
  <c r="G5" i="6"/>
  <c r="D61" i="12"/>
  <c r="L42" i="16"/>
  <c r="K39" i="16"/>
  <c r="K42" i="16"/>
  <c r="N42" i="16"/>
  <c r="AG42" i="16" s="1" a="1"/>
  <c r="AG42" i="16" s="1"/>
  <c r="AH42" i="16" s="1"/>
  <c r="X42" i="16" s="1"/>
  <c r="P44" i="5"/>
  <c r="Q175" i="4"/>
  <c r="N44" i="6"/>
  <c r="M37" i="16"/>
  <c r="O37" i="16" s="1"/>
  <c r="N67" i="3"/>
  <c r="Q149" i="5"/>
  <c r="N152" i="3"/>
  <c r="M38" i="16"/>
  <c r="AF38" i="16" s="1" a="1"/>
  <c r="AF38" i="16" s="1"/>
  <c r="AH38" i="16" s="1"/>
  <c r="U38" i="16" s="1"/>
  <c r="V38" i="16" s="1"/>
  <c r="N36" i="3"/>
  <c r="P41" i="4"/>
  <c r="N178" i="6"/>
  <c r="P74" i="5"/>
  <c r="N48" i="3"/>
  <c r="P178" i="5"/>
  <c r="M178" i="6" s="1"/>
  <c r="L38" i="16"/>
  <c r="P116" i="4"/>
  <c r="M67" i="3" s="1"/>
  <c r="N125" i="6"/>
  <c r="Q131" i="5"/>
  <c r="K41" i="16"/>
  <c r="N43" i="16"/>
  <c r="AG43" i="16" s="1" a="1"/>
  <c r="AG43" i="16" s="1"/>
  <c r="K43" i="16"/>
  <c r="M43" i="16"/>
  <c r="AF43" i="16" s="1" a="1"/>
  <c r="AF43" i="16" s="1"/>
  <c r="N41" i="16"/>
  <c r="AG41" i="16" s="1" a="1"/>
  <c r="AG41" i="16" s="1"/>
  <c r="AH41" i="16" s="1"/>
  <c r="T41" i="16" s="1"/>
  <c r="L41" i="16"/>
  <c r="K38" i="16"/>
  <c r="L39" i="16"/>
  <c r="M39" i="16"/>
  <c r="AF39" i="16" s="1" a="1"/>
  <c r="AF39" i="16" s="1"/>
  <c r="AH39" i="16" s="1"/>
  <c r="U39" i="16" s="1"/>
  <c r="V39" i="16" s="1"/>
  <c r="L40" i="16"/>
  <c r="O360" i="16"/>
  <c r="K360" i="16"/>
  <c r="O276" i="16"/>
  <c r="L17" i="16"/>
  <c r="O442" i="16"/>
  <c r="K161" i="16"/>
  <c r="O161" i="16"/>
  <c r="K434" i="16"/>
  <c r="K342" i="16"/>
  <c r="O342" i="16"/>
  <c r="L342" i="16"/>
  <c r="O176" i="16"/>
  <c r="L176" i="16"/>
  <c r="K176" i="16"/>
  <c r="L181" i="16"/>
  <c r="O181" i="16"/>
  <c r="K181" i="16"/>
  <c r="Q6" i="4"/>
  <c r="P6" i="4"/>
  <c r="M55" i="3" s="1"/>
  <c r="N55" i="3"/>
  <c r="D87" i="5"/>
  <c r="D87" i="6" s="1"/>
  <c r="D130" i="4"/>
  <c r="D54" i="3" s="1"/>
  <c r="K146" i="16"/>
  <c r="O146" i="16"/>
  <c r="D29" i="5"/>
  <c r="D29" i="6" s="1"/>
  <c r="AH17" i="16"/>
  <c r="U17" i="16" s="1"/>
  <c r="V17" i="16" s="1"/>
  <c r="AK17" i="16" s="1"/>
  <c r="K142" i="16"/>
  <c r="O142" i="16"/>
  <c r="L142" i="16"/>
  <c r="K318" i="16"/>
  <c r="O318" i="16"/>
  <c r="L318" i="16"/>
  <c r="L358" i="16"/>
  <c r="O358" i="16"/>
  <c r="D182" i="5"/>
  <c r="D182" i="6" s="1"/>
  <c r="D189" i="4"/>
  <c r="D52" i="3" s="1"/>
  <c r="O271" i="16"/>
  <c r="K271" i="16"/>
  <c r="Q180" i="4"/>
  <c r="P180" i="4"/>
  <c r="M4" i="3" s="1"/>
  <c r="N4" i="3"/>
  <c r="L204" i="16"/>
  <c r="O204" i="16"/>
  <c r="K204" i="16"/>
  <c r="K291" i="16"/>
  <c r="O453" i="16"/>
  <c r="O289" i="16"/>
  <c r="O17" i="16"/>
  <c r="O316" i="16"/>
  <c r="K316" i="16"/>
  <c r="L316" i="16"/>
  <c r="L411" i="16"/>
  <c r="K411" i="16"/>
  <c r="O411" i="16"/>
  <c r="K267" i="16"/>
  <c r="O267" i="16"/>
  <c r="L267" i="16"/>
  <c r="Q120" i="4"/>
  <c r="P120" i="4"/>
  <c r="M44" i="3" s="1"/>
  <c r="N44" i="3"/>
  <c r="K383" i="16"/>
  <c r="O291" i="16"/>
  <c r="L453" i="16"/>
  <c r="K304" i="16"/>
  <c r="L224" i="16"/>
  <c r="L293" i="16"/>
  <c r="K293" i="16"/>
  <c r="L246" i="16"/>
  <c r="K456" i="16"/>
  <c r="O456" i="16"/>
  <c r="L456" i="16"/>
  <c r="L122" i="16"/>
  <c r="O122" i="16"/>
  <c r="D177" i="5"/>
  <c r="D177" i="6" s="1"/>
  <c r="D155" i="4"/>
  <c r="D102" i="3" s="1"/>
  <c r="K178" i="16"/>
  <c r="O283" i="16"/>
  <c r="O163" i="16"/>
  <c r="O304" i="16"/>
  <c r="K320" i="16"/>
  <c r="O320" i="16"/>
  <c r="L320" i="16"/>
  <c r="D160" i="5"/>
  <c r="D160" i="6" s="1"/>
  <c r="D13" i="4"/>
  <c r="D158" i="3" s="1"/>
  <c r="Q135" i="5"/>
  <c r="P135" i="5"/>
  <c r="M135" i="6" s="1"/>
  <c r="N135" i="6"/>
  <c r="O394" i="16"/>
  <c r="K14" i="16"/>
  <c r="O424" i="16"/>
  <c r="K424" i="16"/>
  <c r="L424" i="16"/>
  <c r="O307" i="16"/>
  <c r="L307" i="16"/>
  <c r="K328" i="16"/>
  <c r="L328" i="16"/>
  <c r="K294" i="16"/>
  <c r="O294" i="16"/>
  <c r="L294" i="16"/>
  <c r="D149" i="5"/>
  <c r="D149" i="6" s="1"/>
  <c r="D31" i="4"/>
  <c r="D182" i="3" s="1"/>
  <c r="P134" i="4"/>
  <c r="M119" i="3" s="1"/>
  <c r="N119" i="3"/>
  <c r="N145" i="3"/>
  <c r="P63" i="4"/>
  <c r="D148" i="4"/>
  <c r="D185" i="3" s="1"/>
  <c r="D140" i="5"/>
  <c r="D140" i="6" s="1"/>
  <c r="D83" i="5"/>
  <c r="D83" i="6" s="1"/>
  <c r="D201" i="4"/>
  <c r="D147" i="3" s="1"/>
  <c r="K274" i="16"/>
  <c r="L274" i="16"/>
  <c r="O274" i="16"/>
  <c r="Q143" i="4"/>
  <c r="P143" i="4"/>
  <c r="M157" i="3" s="1"/>
  <c r="N157" i="3"/>
  <c r="D206" i="4"/>
  <c r="D86" i="3" s="1"/>
  <c r="D166" i="5"/>
  <c r="D166" i="6" s="1"/>
  <c r="O403" i="16"/>
  <c r="L403" i="16"/>
  <c r="L172" i="16"/>
  <c r="O172" i="16"/>
  <c r="O449" i="16"/>
  <c r="K449" i="16"/>
  <c r="K167" i="16"/>
  <c r="O167" i="16"/>
  <c r="L167" i="16"/>
  <c r="L387" i="16"/>
  <c r="K387" i="16"/>
  <c r="O387" i="16"/>
  <c r="Q71" i="5"/>
  <c r="N71" i="6"/>
  <c r="P71" i="5"/>
  <c r="M71" i="6" s="1"/>
  <c r="O359" i="16"/>
  <c r="L128" i="16"/>
  <c r="N40" i="16"/>
  <c r="AG40" i="16" s="1" a="1"/>
  <c r="AG40" i="16" s="1"/>
  <c r="AH40" i="16" s="1"/>
  <c r="X40" i="16" s="1"/>
  <c r="L422" i="16"/>
  <c r="K422" i="16"/>
  <c r="O422" i="16"/>
  <c r="O183" i="16"/>
  <c r="K215" i="16"/>
  <c r="D61" i="5"/>
  <c r="D61" i="6" s="1"/>
  <c r="D123" i="4"/>
  <c r="D89" i="3" s="1"/>
  <c r="K154" i="16"/>
  <c r="L154" i="16"/>
  <c r="O154" i="16"/>
  <c r="K168" i="16"/>
  <c r="O168" i="16"/>
  <c r="L168" i="16"/>
  <c r="O200" i="16"/>
  <c r="L200" i="16"/>
  <c r="K200" i="16"/>
  <c r="Q164" i="4"/>
  <c r="P164" i="4"/>
  <c r="M113" i="3" s="1"/>
  <c r="N113" i="3"/>
  <c r="K282" i="16"/>
  <c r="L282" i="16"/>
  <c r="O282" i="16"/>
  <c r="Q158" i="5"/>
  <c r="P158" i="5"/>
  <c r="M158" i="6" s="1"/>
  <c r="N158" i="6"/>
  <c r="P76" i="4"/>
  <c r="M62" i="3" s="1"/>
  <c r="N62" i="3"/>
  <c r="D197" i="5"/>
  <c r="D197" i="6" s="1"/>
  <c r="D77" i="4"/>
  <c r="D204" i="3" s="1"/>
  <c r="K251" i="16"/>
  <c r="K40" i="16"/>
  <c r="L432" i="16"/>
  <c r="O432" i="16"/>
  <c r="K432" i="16"/>
  <c r="O121" i="16"/>
  <c r="K121" i="16"/>
  <c r="L121" i="16"/>
  <c r="O131" i="16"/>
  <c r="K131" i="16"/>
  <c r="D60" i="4"/>
  <c r="D200" i="3" s="1"/>
  <c r="D35" i="5"/>
  <c r="D35" i="6" s="1"/>
  <c r="Q11" i="4"/>
  <c r="N171" i="3"/>
  <c r="P11" i="4"/>
  <c r="M171" i="3" s="1"/>
  <c r="Q190" i="5"/>
  <c r="N190" i="6"/>
  <c r="P190" i="5"/>
  <c r="M190" i="6" s="1"/>
  <c r="K175" i="16"/>
  <c r="L175" i="16"/>
  <c r="O175" i="16"/>
  <c r="L385" i="16"/>
  <c r="O385" i="16"/>
  <c r="K385" i="16"/>
  <c r="O325" i="16"/>
  <c r="L325" i="16"/>
  <c r="K325" i="16"/>
  <c r="D41" i="5"/>
  <c r="D41" i="6" s="1"/>
  <c r="D106" i="4"/>
  <c r="D180" i="3" s="1"/>
  <c r="Q121" i="4"/>
  <c r="N83" i="3"/>
  <c r="P121" i="4"/>
  <c r="M83" i="3" s="1"/>
  <c r="P194" i="5"/>
  <c r="N194" i="6"/>
  <c r="Q134" i="4"/>
  <c r="L419" i="16"/>
  <c r="K397" i="16"/>
  <c r="O397" i="16"/>
  <c r="L397" i="16"/>
  <c r="K242" i="16"/>
  <c r="O242" i="16"/>
  <c r="L242" i="16"/>
  <c r="K270" i="16"/>
  <c r="O270" i="16"/>
  <c r="L270" i="16"/>
  <c r="D198" i="4"/>
  <c r="D195" i="3" s="1"/>
  <c r="D51" i="5"/>
  <c r="D51" i="6" s="1"/>
  <c r="D33" i="4"/>
  <c r="D58" i="3" s="1"/>
  <c r="D129" i="5"/>
  <c r="D129" i="6" s="1"/>
  <c r="Q66" i="4"/>
  <c r="P66" i="4"/>
  <c r="M193" i="3" s="1"/>
  <c r="N193" i="3"/>
  <c r="N173" i="3"/>
  <c r="P57" i="4"/>
  <c r="O438" i="16"/>
  <c r="K438" i="16"/>
  <c r="L438" i="16"/>
  <c r="K339" i="16"/>
  <c r="O339" i="16"/>
  <c r="N185" i="6"/>
  <c r="P185" i="5"/>
  <c r="O421" i="16"/>
  <c r="O243" i="16"/>
  <c r="L243" i="16"/>
  <c r="O179" i="16"/>
  <c r="K179" i="16"/>
  <c r="L179" i="16"/>
  <c r="K400" i="16"/>
  <c r="O400" i="16"/>
  <c r="L400" i="16"/>
  <c r="K233" i="16"/>
  <c r="L233" i="16"/>
  <c r="O233" i="16"/>
  <c r="O357" i="16"/>
  <c r="K357" i="16"/>
  <c r="Q76" i="5"/>
  <c r="P76" i="5"/>
  <c r="M76" i="6" s="1"/>
  <c r="N76" i="6"/>
  <c r="Q146" i="4"/>
  <c r="P146" i="4"/>
  <c r="M202" i="3" s="1"/>
  <c r="N202" i="3"/>
  <c r="K450" i="16"/>
  <c r="L37" i="16"/>
  <c r="L383" i="16"/>
  <c r="L450" i="16"/>
  <c r="K37" i="16"/>
  <c r="L254" i="16"/>
  <c r="K148" i="16"/>
  <c r="D5" i="5"/>
  <c r="D5" i="6" s="1"/>
  <c r="D108" i="4"/>
  <c r="D101" i="3" s="1"/>
  <c r="D84" i="5"/>
  <c r="D84" i="6" s="1"/>
  <c r="D81" i="4"/>
  <c r="D11" i="3" s="1"/>
  <c r="D172" i="5"/>
  <c r="D172" i="6" s="1"/>
  <c r="D183" i="4"/>
  <c r="D12" i="3" s="1"/>
  <c r="Q97" i="5"/>
  <c r="P97" i="5"/>
  <c r="M97" i="6" s="1"/>
  <c r="AH19" i="16"/>
  <c r="U19" i="16" s="1"/>
  <c r="V19" i="16" s="1"/>
  <c r="AJ19" i="16" s="1"/>
  <c r="O14" i="16"/>
  <c r="L343" i="16"/>
  <c r="O343" i="16"/>
  <c r="O460" i="16"/>
  <c r="K460" i="16"/>
  <c r="L460" i="16"/>
  <c r="L211" i="16"/>
  <c r="O211" i="16"/>
  <c r="K211" i="16"/>
  <c r="D188" i="5"/>
  <c r="D188" i="6" s="1"/>
  <c r="D162" i="4"/>
  <c r="D181" i="3" s="1"/>
  <c r="L330" i="16"/>
  <c r="K330" i="16"/>
  <c r="O330" i="16"/>
  <c r="K127" i="16"/>
  <c r="L127" i="16"/>
  <c r="O127" i="16"/>
  <c r="Q162" i="4"/>
  <c r="N181" i="3"/>
  <c r="P162" i="4"/>
  <c r="M181" i="3" s="1"/>
  <c r="K314" i="16"/>
  <c r="O314" i="16"/>
  <c r="L314" i="16"/>
  <c r="O338" i="16"/>
  <c r="K338" i="16"/>
  <c r="L338" i="16"/>
  <c r="T30" i="16"/>
  <c r="S30" i="16" s="1"/>
  <c r="U30" i="16"/>
  <c r="V30" i="16" s="1"/>
  <c r="AK30" i="16" s="1"/>
  <c r="T21" i="16"/>
  <c r="W21" i="16" s="1"/>
  <c r="X21" i="16"/>
  <c r="T33" i="16"/>
  <c r="W33" i="16" s="1"/>
  <c r="U33" i="16"/>
  <c r="V33" i="16" s="1"/>
  <c r="AK33" i="16" s="1"/>
  <c r="U16" i="16"/>
  <c r="V16" i="16" s="1"/>
  <c r="AJ16" i="16" s="1"/>
  <c r="X16" i="16"/>
  <c r="M44" i="6"/>
  <c r="T44" i="5"/>
  <c r="AJ26" i="16"/>
  <c r="S27" i="16"/>
  <c r="S29" i="16"/>
  <c r="AJ29" i="16"/>
  <c r="AK21" i="16"/>
  <c r="AJ21" i="16"/>
  <c r="AJ15" i="16"/>
  <c r="AK15" i="16"/>
  <c r="W15" i="16"/>
  <c r="S15" i="16"/>
  <c r="W16" i="16"/>
  <c r="S16" i="16"/>
  <c r="C49" i="14" a="1"/>
  <c r="C32" i="14" a="1"/>
  <c r="T10" i="16" l="1"/>
  <c r="W10" i="16" s="1"/>
  <c r="U10" i="16"/>
  <c r="V10" i="16" s="1"/>
  <c r="X10" i="16"/>
  <c r="N188" i="6"/>
  <c r="P112" i="5"/>
  <c r="M112" i="6" s="1"/>
  <c r="P135" i="4"/>
  <c r="M155" i="3" s="1"/>
  <c r="Q135" i="4"/>
  <c r="T131" i="5"/>
  <c r="V131" i="27" s="1"/>
  <c r="P94" i="5"/>
  <c r="N9" i="3"/>
  <c r="N94" i="6"/>
  <c r="N74" i="6"/>
  <c r="K19" i="16"/>
  <c r="P46" i="4"/>
  <c r="M97" i="3" s="1"/>
  <c r="N97" i="3"/>
  <c r="N169" i="3"/>
  <c r="P95" i="4"/>
  <c r="M169" i="3" s="1"/>
  <c r="P85" i="4"/>
  <c r="M47" i="3" s="1"/>
  <c r="N47" i="3"/>
  <c r="P65" i="5"/>
  <c r="M65" i="6" s="1"/>
  <c r="N65" i="6"/>
  <c r="Q154" i="5"/>
  <c r="P177" i="4"/>
  <c r="M91" i="3" s="1"/>
  <c r="N91" i="3"/>
  <c r="N142" i="3"/>
  <c r="Q39" i="4"/>
  <c r="T39" i="4" s="1"/>
  <c r="Y142" i="3" s="1"/>
  <c r="N26" i="3"/>
  <c r="P195" i="4"/>
  <c r="M26" i="3" s="1"/>
  <c r="N195" i="6"/>
  <c r="P195" i="5"/>
  <c r="M195" i="6" s="1"/>
  <c r="N6" i="3"/>
  <c r="P32" i="4"/>
  <c r="M6" i="3" s="1"/>
  <c r="N20" i="3"/>
  <c r="Q192" i="4"/>
  <c r="P149" i="5"/>
  <c r="M149" i="6" s="1"/>
  <c r="P114" i="5"/>
  <c r="N114" i="6"/>
  <c r="N164" i="6"/>
  <c r="P164" i="5"/>
  <c r="M164" i="6" s="1"/>
  <c r="N56" i="3"/>
  <c r="P100" i="4"/>
  <c r="M56" i="3" s="1"/>
  <c r="P115" i="4"/>
  <c r="M137" i="3" s="1"/>
  <c r="P125" i="5"/>
  <c r="M125" i="6" s="1"/>
  <c r="N137" i="3"/>
  <c r="P75" i="5"/>
  <c r="T75" i="5" s="1"/>
  <c r="V75" i="27" s="1"/>
  <c r="N182" i="3"/>
  <c r="Q200" i="4"/>
  <c r="O19" i="16"/>
  <c r="P14" i="5"/>
  <c r="T14" i="5" s="1"/>
  <c r="V14" i="27" s="1"/>
  <c r="N14" i="6"/>
  <c r="N186" i="3"/>
  <c r="P35" i="5"/>
  <c r="M35" i="6" s="1"/>
  <c r="N35" i="6"/>
  <c r="Q30" i="5"/>
  <c r="T30" i="5" s="1"/>
  <c r="N30" i="6"/>
  <c r="N75" i="6"/>
  <c r="Q45" i="5"/>
  <c r="T45" i="5" s="1"/>
  <c r="N45" i="6"/>
  <c r="N86" i="6"/>
  <c r="P86" i="5"/>
  <c r="M86" i="6" s="1"/>
  <c r="P200" i="4"/>
  <c r="M199" i="3" s="1"/>
  <c r="P93" i="4"/>
  <c r="M41" i="3" s="1"/>
  <c r="N41" i="3"/>
  <c r="P46" i="5"/>
  <c r="M46" i="6" s="1"/>
  <c r="Q46" i="5"/>
  <c r="N140" i="6"/>
  <c r="Q165" i="5"/>
  <c r="T165" i="5" s="1"/>
  <c r="V165" i="27" s="1"/>
  <c r="P83" i="4"/>
  <c r="M84" i="3" s="1"/>
  <c r="P54" i="4"/>
  <c r="M125" i="3" s="1"/>
  <c r="N84" i="3"/>
  <c r="N165" i="6"/>
  <c r="N125" i="3"/>
  <c r="P90" i="4"/>
  <c r="P167" i="5"/>
  <c r="M167" i="6" s="1"/>
  <c r="N173" i="6"/>
  <c r="Q140" i="5"/>
  <c r="T140" i="5" s="1"/>
  <c r="U140" i="5" s="1"/>
  <c r="N167" i="6"/>
  <c r="N86" i="3"/>
  <c r="P173" i="5"/>
  <c r="M173" i="6" s="1"/>
  <c r="N20" i="6"/>
  <c r="N80" i="3"/>
  <c r="P128" i="4"/>
  <c r="M80" i="3" s="1"/>
  <c r="N172" i="6"/>
  <c r="T114" i="5"/>
  <c r="N111" i="6"/>
  <c r="P20" i="5"/>
  <c r="M20" i="6" s="1"/>
  <c r="P205" i="5"/>
  <c r="M205" i="6" s="1"/>
  <c r="Q205" i="5"/>
  <c r="Q27" i="4"/>
  <c r="T27" i="4" s="1"/>
  <c r="T27" i="27" s="1"/>
  <c r="N191" i="3"/>
  <c r="P179" i="4"/>
  <c r="M191" i="3" s="1"/>
  <c r="N123" i="3"/>
  <c r="N112" i="3"/>
  <c r="Q172" i="5"/>
  <c r="T172" i="5" s="1"/>
  <c r="AG172" i="5" s="1"/>
  <c r="AH172" i="5" s="1"/>
  <c r="Q206" i="4"/>
  <c r="T206" i="4" s="1"/>
  <c r="T32" i="4"/>
  <c r="Q104" i="5"/>
  <c r="T104" i="5" s="1"/>
  <c r="Q112" i="5"/>
  <c r="T76" i="5"/>
  <c r="Y76" i="6" s="1"/>
  <c r="Q104" i="4"/>
  <c r="T104" i="4" s="1"/>
  <c r="K214" i="16"/>
  <c r="L335" i="16"/>
  <c r="L373" i="16"/>
  <c r="K340" i="16"/>
  <c r="T116" i="4"/>
  <c r="Y67" i="3" s="1"/>
  <c r="K254" i="16"/>
  <c r="O214" i="16"/>
  <c r="K375" i="16"/>
  <c r="K373" i="16"/>
  <c r="L340" i="16"/>
  <c r="K421" i="16"/>
  <c r="L375" i="16"/>
  <c r="T6" i="4"/>
  <c r="P202" i="4"/>
  <c r="M186" i="3" s="1"/>
  <c r="N104" i="6"/>
  <c r="K376" i="16"/>
  <c r="T178" i="5"/>
  <c r="V178" i="27" s="1"/>
  <c r="O376" i="16"/>
  <c r="K437" i="16"/>
  <c r="O246" i="16"/>
  <c r="P111" i="5"/>
  <c r="M111" i="6" s="1"/>
  <c r="K419" i="16"/>
  <c r="P31" i="4"/>
  <c r="P154" i="4"/>
  <c r="M9" i="3" s="1"/>
  <c r="L437" i="16"/>
  <c r="L276" i="16"/>
  <c r="O178" i="16"/>
  <c r="T46" i="4"/>
  <c r="T46" i="27" s="1"/>
  <c r="K183" i="16"/>
  <c r="K327" i="16"/>
  <c r="K335" i="16"/>
  <c r="C32" i="14"/>
  <c r="C34" i="14" s="1"/>
  <c r="C49" i="14"/>
  <c r="M39" i="3"/>
  <c r="P50" i="4"/>
  <c r="M45" i="3" s="1"/>
  <c r="N45" i="3"/>
  <c r="N139" i="3"/>
  <c r="P61" i="4"/>
  <c r="M139" i="3" s="1"/>
  <c r="O344" i="16"/>
  <c r="K344" i="16"/>
  <c r="L344" i="16"/>
  <c r="W186" i="6"/>
  <c r="D182" i="4"/>
  <c r="D134" i="3" s="1"/>
  <c r="D183" i="5"/>
  <c r="D183" i="6" s="1"/>
  <c r="Q98" i="5"/>
  <c r="N98" i="6"/>
  <c r="P98" i="5"/>
  <c r="M98" i="6" s="1"/>
  <c r="N47" i="6"/>
  <c r="P47" i="5"/>
  <c r="P46" i="3"/>
  <c r="K371" i="16"/>
  <c r="O371" i="16"/>
  <c r="L371" i="16"/>
  <c r="W164" i="6"/>
  <c r="L215" i="16"/>
  <c r="X9" i="3"/>
  <c r="P92" i="5"/>
  <c r="M92" i="6" s="1"/>
  <c r="N92" i="6"/>
  <c r="K24" i="16"/>
  <c r="O24" i="16"/>
  <c r="L24" i="16"/>
  <c r="L186" i="16"/>
  <c r="O186" i="16"/>
  <c r="K186" i="16"/>
  <c r="K428" i="16"/>
  <c r="L428" i="16"/>
  <c r="O428" i="16"/>
  <c r="K27" i="16"/>
  <c r="O27" i="16"/>
  <c r="L27" i="16"/>
  <c r="Q74" i="4"/>
  <c r="T74" i="4" s="1"/>
  <c r="N39" i="3"/>
  <c r="M74" i="6"/>
  <c r="T74" i="5"/>
  <c r="N131" i="6"/>
  <c r="W171" i="6"/>
  <c r="Q5" i="4"/>
  <c r="N130" i="3"/>
  <c r="P5" i="4"/>
  <c r="M130" i="3" s="1"/>
  <c r="D66" i="4"/>
  <c r="D193" i="3" s="1"/>
  <c r="D80" i="5"/>
  <c r="D80" i="6" s="1"/>
  <c r="K288" i="16"/>
  <c r="L288" i="16"/>
  <c r="O251" i="16"/>
  <c r="M48" i="3"/>
  <c r="T41" i="4"/>
  <c r="K170" i="16"/>
  <c r="O170" i="16"/>
  <c r="L170" i="16"/>
  <c r="K297" i="16"/>
  <c r="O297" i="16"/>
  <c r="L412" i="16"/>
  <c r="O412" i="16"/>
  <c r="K412" i="16"/>
  <c r="K209" i="16"/>
  <c r="O209" i="16"/>
  <c r="L209" i="16"/>
  <c r="L29" i="16"/>
  <c r="K29" i="16"/>
  <c r="Q166" i="5"/>
  <c r="P166" i="5"/>
  <c r="M166" i="6" s="1"/>
  <c r="K407" i="16"/>
  <c r="O407" i="16"/>
  <c r="L407" i="16"/>
  <c r="Q155" i="4"/>
  <c r="P155" i="4"/>
  <c r="M102" i="3" s="1"/>
  <c r="N102" i="3"/>
  <c r="Q6" i="5"/>
  <c r="N6" i="6"/>
  <c r="P6" i="5"/>
  <c r="M6" i="6" s="1"/>
  <c r="O126" i="16"/>
  <c r="K126" i="16"/>
  <c r="L126" i="16"/>
  <c r="K194" i="16"/>
  <c r="L194" i="16"/>
  <c r="O194" i="16"/>
  <c r="O241" i="16"/>
  <c r="K241" i="16"/>
  <c r="L241" i="16"/>
  <c r="W65" i="6"/>
  <c r="Q53" i="5"/>
  <c r="P53" i="5"/>
  <c r="M53" i="6" s="1"/>
  <c r="N53" i="6"/>
  <c r="Q156" i="4"/>
  <c r="P156" i="4"/>
  <c r="M34" i="3" s="1"/>
  <c r="N34" i="3"/>
  <c r="K138" i="16"/>
  <c r="L138" i="16"/>
  <c r="O138" i="16"/>
  <c r="D53" i="5"/>
  <c r="D53" i="6" s="1"/>
  <c r="D8" i="4"/>
  <c r="D124" i="3" s="1"/>
  <c r="O7" i="16"/>
  <c r="L7" i="16"/>
  <c r="K7" i="16"/>
  <c r="O303" i="16"/>
  <c r="K303" i="16"/>
  <c r="L303" i="16"/>
  <c r="P174" i="3"/>
  <c r="L201" i="16"/>
  <c r="O201" i="16"/>
  <c r="K201" i="16"/>
  <c r="L165" i="16"/>
  <c r="K165" i="16"/>
  <c r="O165" i="16"/>
  <c r="L381" i="16"/>
  <c r="O381" i="16"/>
  <c r="W162" i="6"/>
  <c r="O434" i="16"/>
  <c r="Q61" i="5"/>
  <c r="T61" i="5" s="1"/>
  <c r="Y61" i="6" s="1"/>
  <c r="N61" i="6"/>
  <c r="O248" i="16"/>
  <c r="L248" i="16"/>
  <c r="K248" i="16"/>
  <c r="N189" i="6"/>
  <c r="P189" i="5"/>
  <c r="O9" i="16"/>
  <c r="L9" i="16"/>
  <c r="K9" i="16"/>
  <c r="L292" i="16"/>
  <c r="K292" i="16"/>
  <c r="O292" i="16"/>
  <c r="K231" i="16"/>
  <c r="L231" i="16"/>
  <c r="P143" i="5"/>
  <c r="M143" i="6" s="1"/>
  <c r="N143" i="6"/>
  <c r="L184" i="16"/>
  <c r="K184" i="16"/>
  <c r="O184" i="16"/>
  <c r="K356" i="16"/>
  <c r="O356" i="16"/>
  <c r="L356" i="16"/>
  <c r="D36" i="4"/>
  <c r="D206" i="3" s="1"/>
  <c r="D200" i="5"/>
  <c r="D200" i="6" s="1"/>
  <c r="N182" i="6"/>
  <c r="P182" i="5"/>
  <c r="L23" i="16"/>
  <c r="O23" i="16"/>
  <c r="K23" i="16"/>
  <c r="P140" i="4"/>
  <c r="M92" i="3" s="1"/>
  <c r="N92" i="3"/>
  <c r="O263" i="16"/>
  <c r="L263" i="16"/>
  <c r="K263" i="16"/>
  <c r="P184" i="5"/>
  <c r="N184" i="6"/>
  <c r="U50" i="6"/>
  <c r="K309" i="16"/>
  <c r="O309" i="16"/>
  <c r="L309" i="16"/>
  <c r="W125" i="6"/>
  <c r="W176" i="6"/>
  <c r="O29" i="16"/>
  <c r="L202" i="16"/>
  <c r="O418" i="16"/>
  <c r="Q34" i="4"/>
  <c r="N28" i="3"/>
  <c r="P34" i="4"/>
  <c r="M28" i="3" s="1"/>
  <c r="L156" i="16"/>
  <c r="O156" i="16"/>
  <c r="Q123" i="5"/>
  <c r="P123" i="5"/>
  <c r="N123" i="6"/>
  <c r="O333" i="16"/>
  <c r="K333" i="16"/>
  <c r="L333" i="16"/>
  <c r="L218" i="16"/>
  <c r="K218" i="16"/>
  <c r="O218" i="16"/>
  <c r="K289" i="16"/>
  <c r="L289" i="16"/>
  <c r="W181" i="6"/>
  <c r="U147" i="3"/>
  <c r="Q101" i="5"/>
  <c r="N101" i="6"/>
  <c r="P101" i="5"/>
  <c r="M101" i="6" s="1"/>
  <c r="O345" i="16"/>
  <c r="L345" i="16"/>
  <c r="K345" i="16"/>
  <c r="P26" i="3"/>
  <c r="O148" i="16"/>
  <c r="L148" i="16"/>
  <c r="Q9" i="5"/>
  <c r="P9" i="5"/>
  <c r="M9" i="6" s="1"/>
  <c r="N9" i="6"/>
  <c r="O431" i="16"/>
  <c r="L431" i="16"/>
  <c r="K431" i="16"/>
  <c r="Q198" i="5"/>
  <c r="N198" i="6"/>
  <c r="P198" i="5"/>
  <c r="M198" i="6" s="1"/>
  <c r="Q133" i="4"/>
  <c r="P133" i="4"/>
  <c r="M25" i="3" s="1"/>
  <c r="N25" i="3"/>
  <c r="U112" i="6"/>
  <c r="K153" i="16"/>
  <c r="L153" i="16"/>
  <c r="O153" i="16"/>
  <c r="K228" i="16"/>
  <c r="L228" i="16"/>
  <c r="O228" i="16"/>
  <c r="O230" i="16"/>
  <c r="L230" i="16"/>
  <c r="K230" i="16"/>
  <c r="L159" i="16"/>
  <c r="O159" i="16"/>
  <c r="K159" i="16"/>
  <c r="O396" i="16"/>
  <c r="T190" i="5"/>
  <c r="K202" i="16"/>
  <c r="O352" i="16"/>
  <c r="L418" i="16"/>
  <c r="N166" i="6"/>
  <c r="O368" i="16"/>
  <c r="K368" i="16"/>
  <c r="L368" i="16"/>
  <c r="P52" i="4"/>
  <c r="M38" i="3" s="1"/>
  <c r="N38" i="3"/>
  <c r="Q33" i="5"/>
  <c r="N33" i="6"/>
  <c r="P33" i="5"/>
  <c r="M33" i="6" s="1"/>
  <c r="Q68" i="5"/>
  <c r="P68" i="5"/>
  <c r="M68" i="6" s="1"/>
  <c r="P119" i="5"/>
  <c r="M119" i="6" s="1"/>
  <c r="N119" i="6"/>
  <c r="Q7" i="4"/>
  <c r="N94" i="3"/>
  <c r="P7" i="4"/>
  <c r="M94" i="3" s="1"/>
  <c r="N77" i="6"/>
  <c r="P77" i="5"/>
  <c r="M77" i="6" s="1"/>
  <c r="L352" i="16"/>
  <c r="L442" i="16"/>
  <c r="T94" i="5"/>
  <c r="K370" i="16"/>
  <c r="O370" i="16"/>
  <c r="L370" i="16"/>
  <c r="K381" i="16"/>
  <c r="L396" i="16"/>
  <c r="T115" i="4"/>
  <c r="T115" i="27" s="1"/>
  <c r="D195" i="5"/>
  <c r="D195" i="6" s="1"/>
  <c r="AG76" i="5"/>
  <c r="AH76" i="5" s="1"/>
  <c r="O231" i="16"/>
  <c r="L327" i="16"/>
  <c r="P154" i="5"/>
  <c r="M154" i="6" s="1"/>
  <c r="U76" i="5"/>
  <c r="D173" i="4"/>
  <c r="D32" i="3" s="1"/>
  <c r="V76" i="27"/>
  <c r="Y131" i="6"/>
  <c r="T135" i="4"/>
  <c r="K452" i="16"/>
  <c r="Q197" i="4"/>
  <c r="N61" i="3"/>
  <c r="P197" i="4"/>
  <c r="M61" i="3" s="1"/>
  <c r="P12" i="3"/>
  <c r="U188" i="6"/>
  <c r="W127" i="6"/>
  <c r="K10" i="16"/>
  <c r="O10" i="16"/>
  <c r="L10" i="16"/>
  <c r="S10" i="16" s="1"/>
  <c r="O443" i="16"/>
  <c r="K443" i="16"/>
  <c r="L443" i="16"/>
  <c r="O337" i="16"/>
  <c r="K337" i="16"/>
  <c r="L337" i="16"/>
  <c r="K203" i="16"/>
  <c r="O203" i="16"/>
  <c r="L203" i="16"/>
  <c r="D160" i="4"/>
  <c r="D78" i="3" s="1"/>
  <c r="D184" i="5"/>
  <c r="D184" i="6" s="1"/>
  <c r="L249" i="16"/>
  <c r="K249" i="16"/>
  <c r="O249" i="16"/>
  <c r="Q126" i="4"/>
  <c r="P126" i="4"/>
  <c r="M176" i="3" s="1"/>
  <c r="N176" i="3"/>
  <c r="Q122" i="4"/>
  <c r="N3" i="3"/>
  <c r="P122" i="4"/>
  <c r="M3" i="3" s="1"/>
  <c r="L321" i="16"/>
  <c r="K321" i="16"/>
  <c r="O321" i="16"/>
  <c r="K384" i="16"/>
  <c r="O384" i="16"/>
  <c r="L384" i="16"/>
  <c r="Q175" i="5"/>
  <c r="N175" i="6"/>
  <c r="P175" i="5"/>
  <c r="M175" i="6" s="1"/>
  <c r="AG131" i="5"/>
  <c r="AH131" i="5" s="1"/>
  <c r="O452" i="16"/>
  <c r="O177" i="16"/>
  <c r="K177" i="16"/>
  <c r="L177" i="16"/>
  <c r="O349" i="16"/>
  <c r="K349" i="16"/>
  <c r="L349" i="16"/>
  <c r="D102" i="5"/>
  <c r="D102" i="6" s="1"/>
  <c r="D74" i="4"/>
  <c r="D39" i="3" s="1"/>
  <c r="O182" i="16"/>
  <c r="L182" i="16"/>
  <c r="K182" i="16"/>
  <c r="P95" i="3"/>
  <c r="O312" i="16"/>
  <c r="L312" i="16"/>
  <c r="K312" i="16"/>
  <c r="L250" i="16"/>
  <c r="O250" i="16"/>
  <c r="K250" i="16"/>
  <c r="O388" i="16"/>
  <c r="K388" i="16"/>
  <c r="L388" i="16"/>
  <c r="N115" i="3"/>
  <c r="P107" i="4"/>
  <c r="M115" i="3" s="1"/>
  <c r="K372" i="16"/>
  <c r="O372" i="16"/>
  <c r="L372" i="16"/>
  <c r="Q110" i="5"/>
  <c r="P110" i="5"/>
  <c r="M110" i="6" s="1"/>
  <c r="W30" i="6"/>
  <c r="P163" i="4"/>
  <c r="M122" i="3" s="1"/>
  <c r="N122" i="3"/>
  <c r="P51" i="3"/>
  <c r="O336" i="16"/>
  <c r="L336" i="16"/>
  <c r="K336" i="16"/>
  <c r="K334" i="16"/>
  <c r="O334" i="16"/>
  <c r="L334" i="16"/>
  <c r="W40" i="3"/>
  <c r="P54" i="5"/>
  <c r="M54" i="6" s="1"/>
  <c r="N54" i="6"/>
  <c r="L11" i="16"/>
  <c r="K11" i="16"/>
  <c r="O11" i="16"/>
  <c r="D39" i="5"/>
  <c r="D39" i="6" s="1"/>
  <c r="D99" i="4"/>
  <c r="D201" i="3" s="1"/>
  <c r="L264" i="16"/>
  <c r="K264" i="16"/>
  <c r="O264" i="16"/>
  <c r="D63" i="5"/>
  <c r="D63" i="6" s="1"/>
  <c r="D70" i="4"/>
  <c r="D149" i="3" s="1"/>
  <c r="Q63" i="5"/>
  <c r="P63" i="5"/>
  <c r="M63" i="6" s="1"/>
  <c r="N63" i="6"/>
  <c r="Q15" i="5"/>
  <c r="N15" i="6"/>
  <c r="P15" i="5"/>
  <c r="M15" i="6" s="1"/>
  <c r="D106" i="5"/>
  <c r="D106" i="6" s="1"/>
  <c r="D91" i="4"/>
  <c r="D152" i="3" s="1"/>
  <c r="Q28" i="4"/>
  <c r="N46" i="3"/>
  <c r="P28" i="4"/>
  <c r="M46" i="3" s="1"/>
  <c r="D193" i="4"/>
  <c r="D77" i="3" s="1"/>
  <c r="D135" i="5"/>
  <c r="D135" i="6" s="1"/>
  <c r="D43" i="4"/>
  <c r="D126" i="3" s="1"/>
  <c r="D67" i="5"/>
  <c r="D67" i="6" s="1"/>
  <c r="L355" i="16"/>
  <c r="K355" i="16"/>
  <c r="O355" i="16"/>
  <c r="Q169" i="5"/>
  <c r="N169" i="6"/>
  <c r="P169" i="5"/>
  <c r="D94" i="4"/>
  <c r="D108" i="3" s="1"/>
  <c r="D3" i="5"/>
  <c r="D3" i="6" s="1"/>
  <c r="P3" i="4"/>
  <c r="M179" i="3" s="1"/>
  <c r="N179" i="3"/>
  <c r="D175" i="4"/>
  <c r="D166" i="3" s="1"/>
  <c r="D127" i="5"/>
  <c r="D127" i="6" s="1"/>
  <c r="D72" i="5"/>
  <c r="D72" i="6" s="1"/>
  <c r="D149" i="4"/>
  <c r="D73" i="3" s="1"/>
  <c r="D154" i="5"/>
  <c r="D154" i="6" s="1"/>
  <c r="D194" i="4"/>
  <c r="D121" i="3" s="1"/>
  <c r="K191" i="16"/>
  <c r="L191" i="16"/>
  <c r="O191" i="16"/>
  <c r="D87" i="4"/>
  <c r="D96" i="3" s="1"/>
  <c r="D130" i="5"/>
  <c r="D130" i="6" s="1"/>
  <c r="O160" i="16"/>
  <c r="K160" i="16"/>
  <c r="L160" i="16"/>
  <c r="D180" i="5"/>
  <c r="D180" i="6" s="1"/>
  <c r="D203" i="4"/>
  <c r="D117" i="3" s="1"/>
  <c r="K433" i="16"/>
  <c r="O433" i="16"/>
  <c r="Q10" i="5"/>
  <c r="P10" i="5"/>
  <c r="M10" i="6" s="1"/>
  <c r="N10" i="6"/>
  <c r="K348" i="16"/>
  <c r="L348" i="16"/>
  <c r="O348" i="16"/>
  <c r="K377" i="16"/>
  <c r="O377" i="16"/>
  <c r="L377" i="16"/>
  <c r="L150" i="16"/>
  <c r="K150" i="16"/>
  <c r="O150" i="16"/>
  <c r="O457" i="16"/>
  <c r="K457" i="16"/>
  <c r="L457" i="16"/>
  <c r="L12" i="16"/>
  <c r="O12" i="16"/>
  <c r="K12" i="16"/>
  <c r="L398" i="16"/>
  <c r="K398" i="16"/>
  <c r="O398" i="16"/>
  <c r="L447" i="16"/>
  <c r="K447" i="16"/>
  <c r="O447" i="16"/>
  <c r="P64" i="5"/>
  <c r="M64" i="6" s="1"/>
  <c r="N64" i="6"/>
  <c r="K5" i="16"/>
  <c r="L5" i="16"/>
  <c r="O5" i="16"/>
  <c r="L290" i="16"/>
  <c r="O290" i="16"/>
  <c r="K290" i="16"/>
  <c r="K187" i="16"/>
  <c r="L187" i="16"/>
  <c r="O187" i="16"/>
  <c r="O180" i="16"/>
  <c r="K180" i="16"/>
  <c r="L180" i="16"/>
  <c r="P66" i="5"/>
  <c r="M66" i="6" s="1"/>
  <c r="N66" i="6"/>
  <c r="K406" i="16"/>
  <c r="L406" i="16"/>
  <c r="O406" i="16"/>
  <c r="D127" i="4"/>
  <c r="D127" i="3" s="1"/>
  <c r="D45" i="5"/>
  <c r="D45" i="6" s="1"/>
  <c r="O362" i="16"/>
  <c r="K362" i="16"/>
  <c r="L362" i="16"/>
  <c r="L423" i="16"/>
  <c r="O423" i="16"/>
  <c r="K423" i="16"/>
  <c r="O454" i="16"/>
  <c r="L454" i="16"/>
  <c r="K454" i="16"/>
  <c r="D56" i="4"/>
  <c r="D128" i="3" s="1"/>
  <c r="D136" i="5"/>
  <c r="D136" i="6" s="1"/>
  <c r="Q59" i="4"/>
  <c r="P59" i="4"/>
  <c r="M140" i="3" s="1"/>
  <c r="Q50" i="5"/>
  <c r="P50" i="5"/>
  <c r="M50" i="6" s="1"/>
  <c r="N50" i="6"/>
  <c r="Q88" i="4"/>
  <c r="P88" i="4"/>
  <c r="N29" i="3"/>
  <c r="Q145" i="4"/>
  <c r="N18" i="3"/>
  <c r="P145" i="4"/>
  <c r="M18" i="3" s="1"/>
  <c r="D94" i="5"/>
  <c r="D94" i="6" s="1"/>
  <c r="D45" i="4"/>
  <c r="D172" i="3" s="1"/>
  <c r="Q102" i="5"/>
  <c r="P102" i="5"/>
  <c r="M102" i="6" s="1"/>
  <c r="N102" i="6"/>
  <c r="Q203" i="5"/>
  <c r="P203" i="5"/>
  <c r="M203" i="6" s="1"/>
  <c r="N203" i="6"/>
  <c r="Q201" i="5"/>
  <c r="P201" i="5"/>
  <c r="N201" i="6"/>
  <c r="Q95" i="5"/>
  <c r="N95" i="6"/>
  <c r="P95" i="5"/>
  <c r="M95" i="6" s="1"/>
  <c r="Q196" i="4"/>
  <c r="N156" i="3"/>
  <c r="P196" i="4"/>
  <c r="M156" i="3" s="1"/>
  <c r="N163" i="3"/>
  <c r="P112" i="4"/>
  <c r="Q101" i="4"/>
  <c r="P101" i="4"/>
  <c r="N143" i="3"/>
  <c r="Q197" i="5"/>
  <c r="P197" i="5"/>
  <c r="M197" i="6" s="1"/>
  <c r="N197" i="6"/>
  <c r="K461" i="16"/>
  <c r="O461" i="16"/>
  <c r="L461" i="16"/>
  <c r="D199" i="4"/>
  <c r="D196" i="3" s="1"/>
  <c r="D32" i="5"/>
  <c r="D32" i="6" s="1"/>
  <c r="L147" i="16"/>
  <c r="K147" i="16"/>
  <c r="O147" i="16"/>
  <c r="Q83" i="5"/>
  <c r="P83" i="5"/>
  <c r="M83" i="6" s="1"/>
  <c r="N83" i="6"/>
  <c r="Q81" i="5"/>
  <c r="N81" i="6"/>
  <c r="P81" i="5"/>
  <c r="M81" i="6" s="1"/>
  <c r="Q70" i="4"/>
  <c r="P70" i="4"/>
  <c r="M149" i="3" s="1"/>
  <c r="N149" i="3"/>
  <c r="K324" i="16"/>
  <c r="L324" i="16"/>
  <c r="O324" i="16"/>
  <c r="D126" i="4"/>
  <c r="D176" i="3" s="1"/>
  <c r="D57" i="5"/>
  <c r="D57" i="6" s="1"/>
  <c r="Q132" i="4"/>
  <c r="P132" i="4"/>
  <c r="N161" i="3"/>
  <c r="Q78" i="5"/>
  <c r="N78" i="6"/>
  <c r="P78" i="5"/>
  <c r="M78" i="6" s="1"/>
  <c r="Q72" i="5"/>
  <c r="P72" i="5"/>
  <c r="N72" i="6"/>
  <c r="Q160" i="5"/>
  <c r="P160" i="5"/>
  <c r="M160" i="6" s="1"/>
  <c r="N160" i="6"/>
  <c r="O247" i="16"/>
  <c r="L247" i="16"/>
  <c r="K247" i="16"/>
  <c r="Q5" i="5"/>
  <c r="P5" i="5"/>
  <c r="M5" i="6" s="1"/>
  <c r="N5" i="6"/>
  <c r="N23" i="3"/>
  <c r="P124" i="4"/>
  <c r="Q96" i="4"/>
  <c r="P96" i="4"/>
  <c r="N99" i="3"/>
  <c r="D119" i="5"/>
  <c r="D119" i="6" s="1"/>
  <c r="D5" i="4"/>
  <c r="D130" i="3" s="1"/>
  <c r="C34" i="23"/>
  <c r="C32" i="23"/>
  <c r="K367" i="16"/>
  <c r="L367" i="16"/>
  <c r="O367" i="16"/>
  <c r="Q168" i="5"/>
  <c r="P168" i="5"/>
  <c r="M168" i="6" s="1"/>
  <c r="N168" i="6"/>
  <c r="Q27" i="5"/>
  <c r="P27" i="5"/>
  <c r="N27" i="6"/>
  <c r="Q67" i="5"/>
  <c r="P67" i="5"/>
  <c r="M67" i="6" s="1"/>
  <c r="N67" i="6"/>
  <c r="D172" i="4"/>
  <c r="D88" i="3" s="1"/>
  <c r="D14" i="5"/>
  <c r="D14" i="6" s="1"/>
  <c r="D179" i="4"/>
  <c r="D191" i="3" s="1"/>
  <c r="D123" i="5"/>
  <c r="D123" i="6" s="1"/>
  <c r="D193" i="5"/>
  <c r="D193" i="6" s="1"/>
  <c r="D16" i="4"/>
  <c r="D184" i="3" s="1"/>
  <c r="O13" i="16"/>
  <c r="L13" i="16"/>
  <c r="K219" i="16"/>
  <c r="L219" i="16"/>
  <c r="O219" i="16"/>
  <c r="P117" i="5"/>
  <c r="M117" i="6" s="1"/>
  <c r="N117" i="6"/>
  <c r="L259" i="16"/>
  <c r="K259" i="16"/>
  <c r="O259" i="16"/>
  <c r="L158" i="16"/>
  <c r="O158" i="16"/>
  <c r="K158" i="16"/>
  <c r="O302" i="16"/>
  <c r="L302" i="16"/>
  <c r="K302" i="16"/>
  <c r="K299" i="16"/>
  <c r="O299" i="16"/>
  <c r="L299" i="16"/>
  <c r="O220" i="16"/>
  <c r="L220" i="16"/>
  <c r="K220" i="16"/>
  <c r="L134" i="16"/>
  <c r="O134" i="16"/>
  <c r="K134" i="16"/>
  <c r="K208" i="16"/>
  <c r="L208" i="16"/>
  <c r="O208" i="16"/>
  <c r="K192" i="16"/>
  <c r="L192" i="16"/>
  <c r="O192" i="16"/>
  <c r="K300" i="16"/>
  <c r="O300" i="16"/>
  <c r="L300" i="16"/>
  <c r="K305" i="16"/>
  <c r="L305" i="16"/>
  <c r="O305" i="16"/>
  <c r="D104" i="4"/>
  <c r="D112" i="3" s="1"/>
  <c r="D186" i="5"/>
  <c r="D186" i="6" s="1"/>
  <c r="Q170" i="5"/>
  <c r="P170" i="5"/>
  <c r="M170" i="6" s="1"/>
  <c r="N170" i="6"/>
  <c r="L240" i="16"/>
  <c r="O240" i="16"/>
  <c r="K240" i="16"/>
  <c r="O26" i="16"/>
  <c r="L26" i="16"/>
  <c r="K26" i="16"/>
  <c r="O166" i="16"/>
  <c r="L166" i="16"/>
  <c r="K166" i="16"/>
  <c r="Q134" i="5"/>
  <c r="P134" i="5"/>
  <c r="M134" i="6" s="1"/>
  <c r="N134" i="6"/>
  <c r="L123" i="16"/>
  <c r="O123" i="16"/>
  <c r="K123" i="16"/>
  <c r="Q183" i="4"/>
  <c r="N12" i="3"/>
  <c r="P183" i="4"/>
  <c r="M12" i="3" s="1"/>
  <c r="Q121" i="5"/>
  <c r="P121" i="5"/>
  <c r="N121" i="6"/>
  <c r="D31" i="5"/>
  <c r="D31" i="6" s="1"/>
  <c r="D89" i="4"/>
  <c r="D189" i="3" s="1"/>
  <c r="D155" i="5"/>
  <c r="D155" i="6" s="1"/>
  <c r="D102" i="4"/>
  <c r="D144" i="3" s="1"/>
  <c r="Q18" i="4"/>
  <c r="P18" i="4"/>
  <c r="M104" i="3" s="1"/>
  <c r="N104" i="3"/>
  <c r="Q202" i="5"/>
  <c r="N202" i="6"/>
  <c r="P202" i="5"/>
  <c r="M202" i="6" s="1"/>
  <c r="O195" i="16"/>
  <c r="K195" i="16"/>
  <c r="L195" i="16"/>
  <c r="D80" i="4"/>
  <c r="D66" i="3" s="1"/>
  <c r="D42" i="5"/>
  <c r="D42" i="6" s="1"/>
  <c r="K351" i="16"/>
  <c r="L351" i="16"/>
  <c r="O351" i="16"/>
  <c r="K128" i="16"/>
  <c r="O128" i="16"/>
  <c r="D180" i="4"/>
  <c r="D4" i="3" s="1"/>
  <c r="D54" i="5"/>
  <c r="D54" i="6" s="1"/>
  <c r="Q198" i="4"/>
  <c r="N195" i="3"/>
  <c r="P198" i="4"/>
  <c r="M195" i="3" s="1"/>
  <c r="Q130" i="5"/>
  <c r="P130" i="5"/>
  <c r="M130" i="6" s="1"/>
  <c r="N130" i="6"/>
  <c r="L347" i="16"/>
  <c r="K347" i="16"/>
  <c r="O347" i="16"/>
  <c r="Q153" i="5"/>
  <c r="N153" i="6"/>
  <c r="P153" i="5"/>
  <c r="M153" i="6" s="1"/>
  <c r="Q120" i="5"/>
  <c r="N120" i="6"/>
  <c r="P120" i="5"/>
  <c r="Q144" i="4"/>
  <c r="N65" i="3"/>
  <c r="P144" i="4"/>
  <c r="M65" i="3" s="1"/>
  <c r="K332" i="16"/>
  <c r="O332" i="16"/>
  <c r="L332" i="16"/>
  <c r="L174" i="16"/>
  <c r="O174" i="16"/>
  <c r="K174" i="16"/>
  <c r="Q8" i="5"/>
  <c r="P8" i="5"/>
  <c r="M8" i="6" s="1"/>
  <c r="N8" i="6"/>
  <c r="Q126" i="5"/>
  <c r="P126" i="5"/>
  <c r="N126" i="6"/>
  <c r="D181" i="5"/>
  <c r="D181" i="6" s="1"/>
  <c r="D202" i="4"/>
  <c r="D186" i="3" s="1"/>
  <c r="P43" i="4"/>
  <c r="M126" i="3" s="1"/>
  <c r="N126" i="3"/>
  <c r="B5" i="10"/>
  <c r="D36" i="5"/>
  <c r="D36" i="6" s="1"/>
  <c r="B5" i="12"/>
  <c r="B5" i="9"/>
  <c r="D5" i="1"/>
  <c r="D3" i="4"/>
  <c r="D179" i="3" s="1"/>
  <c r="B5" i="11"/>
  <c r="F5" i="1"/>
  <c r="B5" i="8"/>
  <c r="D158" i="5"/>
  <c r="D158" i="6" s="1"/>
  <c r="D57" i="4"/>
  <c r="D173" i="3" s="1"/>
  <c r="P17" i="4"/>
  <c r="M135" i="3" s="1"/>
  <c r="N135" i="3"/>
  <c r="Q47" i="4"/>
  <c r="P47" i="4"/>
  <c r="M138" i="3" s="1"/>
  <c r="N138" i="3"/>
  <c r="O319" i="16"/>
  <c r="L319" i="16"/>
  <c r="K319" i="16"/>
  <c r="O350" i="16"/>
  <c r="L350" i="16"/>
  <c r="K350" i="16"/>
  <c r="Q177" i="5"/>
  <c r="N177" i="6"/>
  <c r="P177" i="5"/>
  <c r="D115" i="4"/>
  <c r="D137" i="3" s="1"/>
  <c r="D150" i="5"/>
  <c r="D150" i="6" s="1"/>
  <c r="L408" i="16"/>
  <c r="O408" i="16"/>
  <c r="K408" i="16"/>
  <c r="O439" i="16"/>
  <c r="L439" i="16"/>
  <c r="K439" i="16"/>
  <c r="K390" i="16"/>
  <c r="O390" i="16"/>
  <c r="L390" i="16"/>
  <c r="K18" i="16"/>
  <c r="L18" i="16"/>
  <c r="O18" i="16"/>
  <c r="L237" i="16"/>
  <c r="K237" i="16"/>
  <c r="O237" i="16"/>
  <c r="Q24" i="5"/>
  <c r="T24" i="5" s="1"/>
  <c r="U24" i="5" s="1"/>
  <c r="N24" i="6"/>
  <c r="K163" i="16"/>
  <c r="L163" i="16"/>
  <c r="N141" i="6"/>
  <c r="P141" i="5"/>
  <c r="L386" i="16"/>
  <c r="K386" i="16"/>
  <c r="O386" i="16"/>
  <c r="P128" i="5"/>
  <c r="M128" i="6" s="1"/>
  <c r="N128" i="6"/>
  <c r="N18" i="6"/>
  <c r="P18" i="5"/>
  <c r="L363" i="16"/>
  <c r="K363" i="16"/>
  <c r="O363" i="16"/>
  <c r="K281" i="16"/>
  <c r="O281" i="16"/>
  <c r="L281" i="16"/>
  <c r="Q193" i="5"/>
  <c r="P193" i="5"/>
  <c r="M193" i="6" s="1"/>
  <c r="N193" i="6"/>
  <c r="Q42" i="4"/>
  <c r="P42" i="4"/>
  <c r="M60" i="3" s="1"/>
  <c r="N60" i="3"/>
  <c r="D187" i="4"/>
  <c r="D8" i="3" s="1"/>
  <c r="D81" i="5"/>
  <c r="D81" i="6" s="1"/>
  <c r="Q86" i="4"/>
  <c r="N53" i="3"/>
  <c r="P86" i="4"/>
  <c r="M53" i="3" s="1"/>
  <c r="K359" i="16"/>
  <c r="L359" i="16"/>
  <c r="Q34" i="5"/>
  <c r="P34" i="5"/>
  <c r="M34" i="6" s="1"/>
  <c r="N34" i="6"/>
  <c r="Q189" i="4"/>
  <c r="P189" i="4"/>
  <c r="M52" i="3" s="1"/>
  <c r="L326" i="16"/>
  <c r="O326" i="16"/>
  <c r="K326" i="16"/>
  <c r="P153" i="4"/>
  <c r="M79" i="3" s="1"/>
  <c r="N79" i="3"/>
  <c r="Q152" i="4"/>
  <c r="P152" i="4"/>
  <c r="M129" i="3" s="1"/>
  <c r="N129" i="3"/>
  <c r="L380" i="16"/>
  <c r="O380" i="16"/>
  <c r="K380" i="16"/>
  <c r="K364" i="16"/>
  <c r="L364" i="16"/>
  <c r="O364" i="16"/>
  <c r="D198" i="5"/>
  <c r="D198" i="6" s="1"/>
  <c r="D41" i="4"/>
  <c r="D48" i="3" s="1"/>
  <c r="K369" i="16"/>
  <c r="O369" i="16"/>
  <c r="L369" i="16"/>
  <c r="Q49" i="5"/>
  <c r="N49" i="6"/>
  <c r="P49" i="5"/>
  <c r="M49" i="6" s="1"/>
  <c r="Q190" i="4"/>
  <c r="N132" i="3"/>
  <c r="P190" i="4"/>
  <c r="M132" i="3" s="1"/>
  <c r="Q60" i="4"/>
  <c r="N200" i="3"/>
  <c r="P60" i="4"/>
  <c r="M200" i="3" s="1"/>
  <c r="Q192" i="5"/>
  <c r="P192" i="5"/>
  <c r="M192" i="6" s="1"/>
  <c r="N192" i="6"/>
  <c r="D15" i="4"/>
  <c r="D75" i="3" s="1"/>
  <c r="D203" i="5"/>
  <c r="D203" i="6" s="1"/>
  <c r="D138" i="5"/>
  <c r="D138" i="6" s="1"/>
  <c r="D143" i="4"/>
  <c r="D157" i="3" s="1"/>
  <c r="D21" i="4"/>
  <c r="D90" i="3" s="1"/>
  <c r="D107" i="5"/>
  <c r="D107" i="6" s="1"/>
  <c r="Q127" i="4"/>
  <c r="P127" i="4"/>
  <c r="M127" i="3" s="1"/>
  <c r="N127" i="3"/>
  <c r="Q159" i="5"/>
  <c r="N159" i="6"/>
  <c r="P159" i="5"/>
  <c r="M159" i="6" s="1"/>
  <c r="Q191" i="4"/>
  <c r="N68" i="3"/>
  <c r="P191" i="4"/>
  <c r="M68" i="3" s="1"/>
  <c r="N36" i="6"/>
  <c r="P36" i="5"/>
  <c r="Q89" i="4"/>
  <c r="P89" i="4"/>
  <c r="M189" i="3" s="1"/>
  <c r="N189" i="3"/>
  <c r="Q145" i="5"/>
  <c r="N145" i="6"/>
  <c r="P145" i="5"/>
  <c r="M145" i="6" s="1"/>
  <c r="Q199" i="5"/>
  <c r="N199" i="6"/>
  <c r="P199" i="5"/>
  <c r="M199" i="6" s="1"/>
  <c r="D33" i="5"/>
  <c r="D33" i="6" s="1"/>
  <c r="D82" i="4"/>
  <c r="D162" i="3" s="1"/>
  <c r="D65" i="5"/>
  <c r="D65" i="6" s="1"/>
  <c r="D61" i="4"/>
  <c r="D139" i="3" s="1"/>
  <c r="P14" i="4"/>
  <c r="M160" i="3" s="1"/>
  <c r="N160" i="3"/>
  <c r="Q22" i="4"/>
  <c r="P22" i="4"/>
  <c r="M203" i="3" s="1"/>
  <c r="N203" i="3"/>
  <c r="D156" i="5"/>
  <c r="D156" i="6" s="1"/>
  <c r="D135" i="4"/>
  <c r="D155" i="3" s="1"/>
  <c r="D40" i="5"/>
  <c r="D40" i="6" s="1"/>
  <c r="D197" i="4"/>
  <c r="D61" i="3" s="1"/>
  <c r="D111" i="5"/>
  <c r="D111" i="6" s="1"/>
  <c r="D95" i="4"/>
  <c r="D169" i="3" s="1"/>
  <c r="D126" i="5"/>
  <c r="D126" i="6" s="1"/>
  <c r="D100" i="4"/>
  <c r="D56" i="3" s="1"/>
  <c r="N22" i="3"/>
  <c r="P184" i="4"/>
  <c r="D122" i="4"/>
  <c r="D3" i="3" s="1"/>
  <c r="D52" i="5"/>
  <c r="D52" i="6" s="1"/>
  <c r="Q4" i="4"/>
  <c r="P4" i="4"/>
  <c r="M13" i="3" s="1"/>
  <c r="N13" i="3"/>
  <c r="D124" i="4"/>
  <c r="D23" i="3" s="1"/>
  <c r="D147" i="5"/>
  <c r="D147" i="6" s="1"/>
  <c r="T97" i="5"/>
  <c r="T135" i="5"/>
  <c r="AG135" i="5" s="1"/>
  <c r="AH135" i="5" s="1"/>
  <c r="D17" i="5"/>
  <c r="D17" i="6" s="1"/>
  <c r="D159" i="4"/>
  <c r="D74" i="3" s="1"/>
  <c r="O216" i="16"/>
  <c r="L216" i="16"/>
  <c r="K216" i="16"/>
  <c r="K296" i="16"/>
  <c r="L296" i="16"/>
  <c r="P103" i="5"/>
  <c r="M103" i="6" s="1"/>
  <c r="N103" i="6"/>
  <c r="Q129" i="4"/>
  <c r="P129" i="4"/>
  <c r="N72" i="3"/>
  <c r="L306" i="16"/>
  <c r="O306" i="16"/>
  <c r="K306" i="16"/>
  <c r="P176" i="5"/>
  <c r="M176" i="6" s="1"/>
  <c r="N176" i="6"/>
  <c r="K162" i="16"/>
  <c r="L162" i="16"/>
  <c r="O162" i="16"/>
  <c r="K382" i="16"/>
  <c r="O382" i="16"/>
  <c r="L382" i="16"/>
  <c r="L448" i="16"/>
  <c r="O448" i="16"/>
  <c r="K448" i="16"/>
  <c r="N157" i="6"/>
  <c r="P157" i="5"/>
  <c r="Q59" i="5"/>
  <c r="N59" i="6"/>
  <c r="P59" i="5"/>
  <c r="M59" i="6" s="1"/>
  <c r="D143" i="5"/>
  <c r="D143" i="6" s="1"/>
  <c r="D188" i="4"/>
  <c r="D21" i="3" s="1"/>
  <c r="N79" i="6"/>
  <c r="P79" i="5"/>
  <c r="Q203" i="4"/>
  <c r="N117" i="3"/>
  <c r="P203" i="4"/>
  <c r="M117" i="3" s="1"/>
  <c r="K455" i="16"/>
  <c r="L455" i="16"/>
  <c r="O455" i="16"/>
  <c r="D171" i="4"/>
  <c r="D70" i="3" s="1"/>
  <c r="D9" i="5"/>
  <c r="D9" i="6" s="1"/>
  <c r="G3" i="4"/>
  <c r="T3" i="4" s="1"/>
  <c r="D5" i="11"/>
  <c r="O257" i="16"/>
  <c r="K257" i="16"/>
  <c r="L257" i="16"/>
  <c r="Q100" i="5"/>
  <c r="N100" i="6"/>
  <c r="P100" i="5"/>
  <c r="M100" i="6" s="1"/>
  <c r="N96" i="3"/>
  <c r="P87" i="4"/>
  <c r="M96" i="3" s="1"/>
  <c r="N88" i="3"/>
  <c r="P172" i="4"/>
  <c r="D187" i="5"/>
  <c r="D187" i="6" s="1"/>
  <c r="D195" i="4"/>
  <c r="D26" i="3" s="1"/>
  <c r="Q107" i="5"/>
  <c r="P107" i="5"/>
  <c r="M107" i="6" s="1"/>
  <c r="N107" i="6"/>
  <c r="Q21" i="4"/>
  <c r="N90" i="3"/>
  <c r="P21" i="4"/>
  <c r="M90" i="3" s="1"/>
  <c r="D7" i="5"/>
  <c r="D7" i="6" s="1"/>
  <c r="D137" i="4"/>
  <c r="D64" i="3" s="1"/>
  <c r="L133" i="16"/>
  <c r="K133" i="16"/>
  <c r="O133" i="16"/>
  <c r="O265" i="16"/>
  <c r="L265" i="16"/>
  <c r="K265" i="16"/>
  <c r="Q186" i="5"/>
  <c r="N186" i="6"/>
  <c r="P186" i="5"/>
  <c r="M186" i="6" s="1"/>
  <c r="D168" i="4"/>
  <c r="D198" i="3" s="1"/>
  <c r="D75" i="5"/>
  <c r="D75" i="6" s="1"/>
  <c r="D24" i="5"/>
  <c r="D24" i="6" s="1"/>
  <c r="D101" i="4"/>
  <c r="D143" i="3" s="1"/>
  <c r="D113" i="4"/>
  <c r="D57" i="3" s="1"/>
  <c r="D120" i="5"/>
  <c r="D120" i="6" s="1"/>
  <c r="D86" i="4"/>
  <c r="D53" i="3" s="1"/>
  <c r="D10" i="5"/>
  <c r="D10" i="6" s="1"/>
  <c r="Q53" i="4"/>
  <c r="P53" i="4"/>
  <c r="M133" i="3" s="1"/>
  <c r="N133" i="3"/>
  <c r="L206" i="16"/>
  <c r="O206" i="16"/>
  <c r="K206" i="16"/>
  <c r="D104" i="5"/>
  <c r="D104" i="6" s="1"/>
  <c r="D30" i="4"/>
  <c r="D131" i="3" s="1"/>
  <c r="Q67" i="4"/>
  <c r="P67" i="4"/>
  <c r="M194" i="3" s="1"/>
  <c r="N194" i="3"/>
  <c r="Q103" i="4"/>
  <c r="P103" i="4"/>
  <c r="M24" i="3" s="1"/>
  <c r="N24" i="3"/>
  <c r="N32" i="6"/>
  <c r="P32" i="5"/>
  <c r="M32" i="6" s="1"/>
  <c r="O389" i="16"/>
  <c r="K389" i="16"/>
  <c r="L389" i="16"/>
  <c r="L210" i="16"/>
  <c r="O210" i="16"/>
  <c r="K210" i="16"/>
  <c r="O331" i="16"/>
  <c r="K331" i="16"/>
  <c r="L331" i="16"/>
  <c r="L394" i="16"/>
  <c r="K394" i="16"/>
  <c r="O429" i="16"/>
  <c r="L429" i="16"/>
  <c r="K429" i="16"/>
  <c r="L31" i="16"/>
  <c r="AH31" i="16"/>
  <c r="O31" i="16"/>
  <c r="K31" i="16"/>
  <c r="Q40" i="4"/>
  <c r="N153" i="3"/>
  <c r="P40" i="4"/>
  <c r="D32" i="4"/>
  <c r="D6" i="3" s="1"/>
  <c r="D114" i="5"/>
  <c r="D114" i="6" s="1"/>
  <c r="N136" i="6"/>
  <c r="P136" i="5"/>
  <c r="L322" i="16"/>
  <c r="K322" i="16"/>
  <c r="O322" i="16"/>
  <c r="N12" i="6"/>
  <c r="P12" i="5"/>
  <c r="K245" i="16"/>
  <c r="L245" i="16"/>
  <c r="O245" i="16"/>
  <c r="Q148" i="5"/>
  <c r="N148" i="6"/>
  <c r="P148" i="5"/>
  <c r="M148" i="6" s="1"/>
  <c r="Q149" i="4"/>
  <c r="N73" i="3"/>
  <c r="P149" i="4"/>
  <c r="M73" i="3" s="1"/>
  <c r="L341" i="16"/>
  <c r="O341" i="16"/>
  <c r="K341" i="16"/>
  <c r="Q166" i="4"/>
  <c r="P166" i="4"/>
  <c r="M82" i="3" s="1"/>
  <c r="N82" i="3"/>
  <c r="O136" i="16"/>
  <c r="K136" i="16"/>
  <c r="L136" i="16"/>
  <c r="Q155" i="5"/>
  <c r="N155" i="6"/>
  <c r="P155" i="5"/>
  <c r="M155" i="6" s="1"/>
  <c r="K414" i="16"/>
  <c r="L414" i="16"/>
  <c r="O414" i="16"/>
  <c r="D11" i="4"/>
  <c r="D171" i="3" s="1"/>
  <c r="D44" i="5"/>
  <c r="D44" i="6" s="1"/>
  <c r="Q139" i="5"/>
  <c r="N139" i="6"/>
  <c r="P139" i="5"/>
  <c r="M139" i="6" s="1"/>
  <c r="Q91" i="5"/>
  <c r="N91" i="6"/>
  <c r="P91" i="5"/>
  <c r="M91" i="6" s="1"/>
  <c r="D115" i="5"/>
  <c r="D115" i="6" s="1"/>
  <c r="D154" i="4"/>
  <c r="D9" i="3" s="1"/>
  <c r="D157" i="4"/>
  <c r="D76" i="3" s="1"/>
  <c r="D124" i="5"/>
  <c r="D124" i="6" s="1"/>
  <c r="Q62" i="5"/>
  <c r="P62" i="5"/>
  <c r="N62" i="6"/>
  <c r="Q56" i="5"/>
  <c r="N56" i="6"/>
  <c r="P56" i="5"/>
  <c r="M56" i="6" s="1"/>
  <c r="O278" i="16"/>
  <c r="L278" i="16"/>
  <c r="K278" i="16"/>
  <c r="P94" i="4"/>
  <c r="M108" i="3" s="1"/>
  <c r="N108" i="3"/>
  <c r="D90" i="4"/>
  <c r="D36" i="3" s="1"/>
  <c r="D162" i="5"/>
  <c r="D162" i="6" s="1"/>
  <c r="P88" i="5"/>
  <c r="M88" i="6" s="1"/>
  <c r="N88" i="6"/>
  <c r="K155" i="16"/>
  <c r="L155" i="16"/>
  <c r="O155" i="16"/>
  <c r="Q187" i="4"/>
  <c r="P187" i="4"/>
  <c r="M8" i="3" s="1"/>
  <c r="N8" i="3"/>
  <c r="D21" i="5"/>
  <c r="D21" i="6" s="1"/>
  <c r="D178" i="4"/>
  <c r="D15" i="3" s="1"/>
  <c r="D67" i="4"/>
  <c r="D194" i="3" s="1"/>
  <c r="D144" i="5"/>
  <c r="D144" i="6" s="1"/>
  <c r="Q147" i="5"/>
  <c r="P147" i="5"/>
  <c r="M147" i="6" s="1"/>
  <c r="N147" i="6"/>
  <c r="D62" i="5"/>
  <c r="D62" i="6" s="1"/>
  <c r="D103" i="4"/>
  <c r="D24" i="3" s="1"/>
  <c r="D136" i="4"/>
  <c r="D190" i="3" s="1"/>
  <c r="D165" i="5"/>
  <c r="D165" i="6" s="1"/>
  <c r="L301" i="16"/>
  <c r="K301" i="16"/>
  <c r="O301" i="16"/>
  <c r="D167" i="4"/>
  <c r="D106" i="3" s="1"/>
  <c r="D145" i="5"/>
  <c r="D145" i="6" s="1"/>
  <c r="Q131" i="4"/>
  <c r="N27" i="3"/>
  <c r="P131" i="4"/>
  <c r="D34" i="5"/>
  <c r="D34" i="6" s="1"/>
  <c r="D150" i="4"/>
  <c r="D42" i="3" s="1"/>
  <c r="D23" i="4"/>
  <c r="D10" i="3" s="1"/>
  <c r="D78" i="5"/>
  <c r="D78" i="6" s="1"/>
  <c r="P35" i="4"/>
  <c r="M187" i="3" s="1"/>
  <c r="N187" i="3"/>
  <c r="D34" i="4"/>
  <c r="D28" i="3" s="1"/>
  <c r="D91" i="5"/>
  <c r="D91" i="6" s="1"/>
  <c r="D165" i="4"/>
  <c r="D95" i="3" s="1"/>
  <c r="D82" i="5"/>
  <c r="D82" i="6" s="1"/>
  <c r="D196" i="5"/>
  <c r="D196" i="6" s="1"/>
  <c r="D192" i="4"/>
  <c r="D20" i="3" s="1"/>
  <c r="Q108" i="5"/>
  <c r="N108" i="6"/>
  <c r="P108" i="5"/>
  <c r="M108" i="6" s="1"/>
  <c r="D144" i="4"/>
  <c r="D65" i="3" s="1"/>
  <c r="D170" i="5"/>
  <c r="D170" i="6" s="1"/>
  <c r="D6" i="5"/>
  <c r="D6" i="6" s="1"/>
  <c r="D85" i="4"/>
  <c r="D47" i="3" s="1"/>
  <c r="Q196" i="5"/>
  <c r="P196" i="5"/>
  <c r="M196" i="6" s="1"/>
  <c r="N196" i="6"/>
  <c r="O366" i="16"/>
  <c r="K366" i="16"/>
  <c r="L366" i="16"/>
  <c r="K6" i="16"/>
  <c r="O6" i="16"/>
  <c r="L6" i="16"/>
  <c r="D86" i="5"/>
  <c r="D86" i="6" s="1"/>
  <c r="D88" i="4"/>
  <c r="D29" i="3" s="1"/>
  <c r="P97" i="4"/>
  <c r="M35" i="3" s="1"/>
  <c r="N35" i="3"/>
  <c r="K188" i="16"/>
  <c r="L188" i="16"/>
  <c r="O188" i="16"/>
  <c r="Q170" i="4"/>
  <c r="N30" i="3"/>
  <c r="P170" i="4"/>
  <c r="M30" i="3" s="1"/>
  <c r="P89" i="5"/>
  <c r="N89" i="6"/>
  <c r="Q72" i="4"/>
  <c r="N165" i="3"/>
  <c r="P72" i="4"/>
  <c r="M165" i="3" s="1"/>
  <c r="K196" i="16"/>
  <c r="L196" i="16"/>
  <c r="O196" i="16"/>
  <c r="L279" i="16"/>
  <c r="K279" i="16"/>
  <c r="O279" i="16"/>
  <c r="L244" i="16"/>
  <c r="O244" i="16"/>
  <c r="K244" i="16"/>
  <c r="O268" i="16"/>
  <c r="L268" i="16"/>
  <c r="K268" i="16"/>
  <c r="K129" i="16"/>
  <c r="L129" i="16"/>
  <c r="O129" i="16"/>
  <c r="D125" i="5"/>
  <c r="D125" i="6" s="1"/>
  <c r="D158" i="4"/>
  <c r="D107" i="3" s="1"/>
  <c r="D175" i="5"/>
  <c r="D175" i="6" s="1"/>
  <c r="D145" i="4"/>
  <c r="D18" i="3" s="1"/>
  <c r="L402" i="16"/>
  <c r="K402" i="16"/>
  <c r="O402" i="16"/>
  <c r="Q141" i="4"/>
  <c r="P141" i="4"/>
  <c r="M93" i="3" s="1"/>
  <c r="N93" i="3"/>
  <c r="Q91" i="4"/>
  <c r="P91" i="4"/>
  <c r="M152" i="3" s="1"/>
  <c r="Q81" i="4"/>
  <c r="P81" i="4"/>
  <c r="M11" i="3" s="1"/>
  <c r="N11" i="3"/>
  <c r="Q45" i="4"/>
  <c r="N172" i="3"/>
  <c r="P45" i="4"/>
  <c r="M172" i="3" s="1"/>
  <c r="D43" i="5"/>
  <c r="D43" i="6" s="1"/>
  <c r="D177" i="4"/>
  <c r="D91" i="3" s="1"/>
  <c r="D128" i="4"/>
  <c r="D80" i="3" s="1"/>
  <c r="D47" i="5"/>
  <c r="D47" i="6" s="1"/>
  <c r="D169" i="5"/>
  <c r="D169" i="6" s="1"/>
  <c r="D184" i="4"/>
  <c r="D22" i="3" s="1"/>
  <c r="D129" i="4"/>
  <c r="D72" i="3" s="1"/>
  <c r="D46" i="5"/>
  <c r="D46" i="6" s="1"/>
  <c r="O458" i="16"/>
  <c r="K458" i="16"/>
  <c r="L458" i="16"/>
  <c r="Q30" i="4"/>
  <c r="N131" i="3"/>
  <c r="P30" i="4"/>
  <c r="M131" i="3" s="1"/>
  <c r="Q13" i="5"/>
  <c r="N13" i="6"/>
  <c r="P13" i="5"/>
  <c r="M13" i="6" s="1"/>
  <c r="D163" i="4"/>
  <c r="D122" i="3" s="1"/>
  <c r="D112" i="5"/>
  <c r="D112" i="6" s="1"/>
  <c r="K317" i="16"/>
  <c r="O317" i="16"/>
  <c r="L317" i="16"/>
  <c r="D151" i="5"/>
  <c r="D151" i="6" s="1"/>
  <c r="D166" i="4"/>
  <c r="D82" i="3" s="1"/>
  <c r="Q19" i="4"/>
  <c r="P19" i="4"/>
  <c r="M197" i="3" s="1"/>
  <c r="N197" i="3"/>
  <c r="N166" i="3"/>
  <c r="P175" i="4"/>
  <c r="M166" i="3" s="1"/>
  <c r="D205" i="5"/>
  <c r="D205" i="6" s="1"/>
  <c r="D161" i="4"/>
  <c r="D154" i="3" s="1"/>
  <c r="Q187" i="5"/>
  <c r="N187" i="6"/>
  <c r="P187" i="5"/>
  <c r="M187" i="6" s="1"/>
  <c r="D63" i="4"/>
  <c r="D145" i="3" s="1"/>
  <c r="D116" i="5"/>
  <c r="D116" i="6" s="1"/>
  <c r="Q162" i="5"/>
  <c r="P162" i="5"/>
  <c r="M162" i="6" s="1"/>
  <c r="N162" i="6"/>
  <c r="D152" i="5"/>
  <c r="D152" i="6" s="1"/>
  <c r="D169" i="4"/>
  <c r="D87" i="3" s="1"/>
  <c r="AH32" i="16"/>
  <c r="L32" i="16"/>
  <c r="K32" i="16"/>
  <c r="O32" i="16"/>
  <c r="Q58" i="5"/>
  <c r="N58" i="6"/>
  <c r="P58" i="5"/>
  <c r="M58" i="6" s="1"/>
  <c r="O379" i="16"/>
  <c r="K379" i="16"/>
  <c r="L379" i="16"/>
  <c r="K238" i="16"/>
  <c r="L238" i="16"/>
  <c r="O238" i="16"/>
  <c r="Q41" i="5"/>
  <c r="N41" i="6"/>
  <c r="P41" i="5"/>
  <c r="M41" i="6" s="1"/>
  <c r="O236" i="16"/>
  <c r="K236" i="16"/>
  <c r="L236" i="16"/>
  <c r="Q132" i="5"/>
  <c r="P132" i="5"/>
  <c r="N132" i="6"/>
  <c r="K224" i="16"/>
  <c r="O224" i="16"/>
  <c r="P148" i="4"/>
  <c r="M185" i="3" s="1"/>
  <c r="N185" i="3"/>
  <c r="M44" i="16"/>
  <c r="AF44" i="16" s="1" a="1"/>
  <c r="AF44" i="16" s="1"/>
  <c r="N44" i="16"/>
  <c r="AG44" i="16" s="1" a="1"/>
  <c r="AG44" i="16" s="1"/>
  <c r="L44" i="16"/>
  <c r="K44" i="16"/>
  <c r="Q11" i="5"/>
  <c r="P11" i="5"/>
  <c r="M11" i="6" s="1"/>
  <c r="N11" i="6"/>
  <c r="K405" i="16"/>
  <c r="O405" i="16"/>
  <c r="L405" i="16"/>
  <c r="Q98" i="4"/>
  <c r="N100" i="3"/>
  <c r="P98" i="4"/>
  <c r="M100" i="3" s="1"/>
  <c r="D48" i="4"/>
  <c r="D170" i="3" s="1"/>
  <c r="D26" i="5"/>
  <c r="D26" i="6" s="1"/>
  <c r="Q174" i="4"/>
  <c r="N110" i="3"/>
  <c r="P174" i="4"/>
  <c r="O185" i="16"/>
  <c r="L185" i="16"/>
  <c r="K185" i="16"/>
  <c r="Q52" i="5"/>
  <c r="P52" i="5"/>
  <c r="M52" i="6" s="1"/>
  <c r="N52" i="6"/>
  <c r="P7" i="5"/>
  <c r="M7" i="6" s="1"/>
  <c r="N7" i="6"/>
  <c r="D68" i="5"/>
  <c r="D68" i="6" s="1"/>
  <c r="D51" i="4"/>
  <c r="D7" i="3" s="1"/>
  <c r="D54" i="4"/>
  <c r="D125" i="3" s="1"/>
  <c r="D191" i="5"/>
  <c r="D191" i="6" s="1"/>
  <c r="Q169" i="4"/>
  <c r="T169" i="4" s="1"/>
  <c r="Y87" i="3" s="1"/>
  <c r="N87" i="3"/>
  <c r="Q122" i="5"/>
  <c r="N122" i="6"/>
  <c r="P122" i="5"/>
  <c r="M122" i="6" s="1"/>
  <c r="Q167" i="4"/>
  <c r="N106" i="3"/>
  <c r="P167" i="4"/>
  <c r="M106" i="3" s="1"/>
  <c r="D75" i="4"/>
  <c r="D17" i="3" s="1"/>
  <c r="D101" i="5"/>
  <c r="D101" i="6" s="1"/>
  <c r="Q142" i="4"/>
  <c r="P142" i="4"/>
  <c r="N14" i="3"/>
  <c r="D100" i="5"/>
  <c r="D100" i="6" s="1"/>
  <c r="D84" i="4"/>
  <c r="D59" i="3" s="1"/>
  <c r="L152" i="16"/>
  <c r="K152" i="16"/>
  <c r="O152" i="16"/>
  <c r="P151" i="4"/>
  <c r="M19" i="3" s="1"/>
  <c r="N19" i="3"/>
  <c r="D179" i="5"/>
  <c r="D179" i="6" s="1"/>
  <c r="D55" i="4"/>
  <c r="D105" i="3" s="1"/>
  <c r="L205" i="16"/>
  <c r="K205" i="16"/>
  <c r="O205" i="16"/>
  <c r="P23" i="5"/>
  <c r="M23" i="6" s="1"/>
  <c r="N23" i="6"/>
  <c r="Q84" i="5"/>
  <c r="P84" i="5"/>
  <c r="M84" i="6" s="1"/>
  <c r="N84" i="6"/>
  <c r="Q168" i="4"/>
  <c r="N198" i="3"/>
  <c r="P168" i="4"/>
  <c r="M198" i="3" s="1"/>
  <c r="K441" i="16"/>
  <c r="O441" i="16"/>
  <c r="L441" i="16"/>
  <c r="Q17" i="5"/>
  <c r="N17" i="6"/>
  <c r="P17" i="5"/>
  <c r="M17" i="6" s="1"/>
  <c r="Q185" i="4"/>
  <c r="P185" i="4"/>
  <c r="M69" i="3" s="1"/>
  <c r="N69" i="3"/>
  <c r="Q171" i="4"/>
  <c r="N70" i="3"/>
  <c r="P171" i="4"/>
  <c r="M70" i="3" s="1"/>
  <c r="Q23" i="4"/>
  <c r="P23" i="4"/>
  <c r="M10" i="3" s="1"/>
  <c r="N10" i="3"/>
  <c r="Q55" i="4"/>
  <c r="N105" i="3"/>
  <c r="P55" i="4"/>
  <c r="M105" i="3" s="1"/>
  <c r="Q73" i="4"/>
  <c r="P73" i="4"/>
  <c r="M63" i="3" s="1"/>
  <c r="N63" i="3"/>
  <c r="O125" i="16"/>
  <c r="L125" i="16"/>
  <c r="K125" i="16"/>
  <c r="Q199" i="4"/>
  <c r="P199" i="4"/>
  <c r="M196" i="3" s="1"/>
  <c r="N196" i="3"/>
  <c r="O401" i="16"/>
  <c r="L401" i="16"/>
  <c r="K401" i="16"/>
  <c r="P180" i="5"/>
  <c r="M180" i="6" s="1"/>
  <c r="N180" i="6"/>
  <c r="O459" i="16"/>
  <c r="L459" i="16"/>
  <c r="K459" i="16"/>
  <c r="K283" i="16"/>
  <c r="L283" i="16"/>
  <c r="O140" i="16"/>
  <c r="L140" i="16"/>
  <c r="K140" i="16"/>
  <c r="Q10" i="4"/>
  <c r="P10" i="4"/>
  <c r="M183" i="3" s="1"/>
  <c r="N183" i="3"/>
  <c r="D72" i="4"/>
  <c r="D165" i="3" s="1"/>
  <c r="D137" i="5"/>
  <c r="D137" i="6" s="1"/>
  <c r="Q152" i="5"/>
  <c r="N152" i="6"/>
  <c r="P152" i="5"/>
  <c r="M152" i="6" s="1"/>
  <c r="O124" i="16"/>
  <c r="L124" i="16"/>
  <c r="K124" i="16"/>
  <c r="L415" i="16"/>
  <c r="O415" i="16"/>
  <c r="K415" i="16"/>
  <c r="L239" i="16"/>
  <c r="K239" i="16"/>
  <c r="O239" i="16"/>
  <c r="D9" i="4"/>
  <c r="D16" i="3" s="1"/>
  <c r="D128" i="5"/>
  <c r="D128" i="6" s="1"/>
  <c r="K440" i="16"/>
  <c r="L440" i="16"/>
  <c r="O440" i="16"/>
  <c r="O164" i="16"/>
  <c r="K164" i="16"/>
  <c r="L164" i="16"/>
  <c r="K435" i="16"/>
  <c r="O435" i="16"/>
  <c r="L435" i="16"/>
  <c r="D95" i="5"/>
  <c r="D95" i="6" s="1"/>
  <c r="D139" i="4"/>
  <c r="D103" i="3" s="1"/>
  <c r="L16" i="16"/>
  <c r="K16" i="16"/>
  <c r="O16" i="16"/>
  <c r="O256" i="16"/>
  <c r="K256" i="16"/>
  <c r="L256" i="16"/>
  <c r="K451" i="16"/>
  <c r="L451" i="16"/>
  <c r="O451" i="16"/>
  <c r="L189" i="16"/>
  <c r="K189" i="16"/>
  <c r="O189" i="16"/>
  <c r="Q150" i="5"/>
  <c r="T150" i="5" s="1"/>
  <c r="V150" i="27" s="1"/>
  <c r="P150" i="5"/>
  <c r="M150" i="6" s="1"/>
  <c r="N150" i="6"/>
  <c r="O361" i="16"/>
  <c r="K361" i="16"/>
  <c r="L361" i="16"/>
  <c r="Q118" i="4"/>
  <c r="P118" i="4"/>
  <c r="M33" i="3" s="1"/>
  <c r="D171" i="5"/>
  <c r="D171" i="6" s="1"/>
  <c r="D42" i="4"/>
  <c r="D60" i="3" s="1"/>
  <c r="Q37" i="4"/>
  <c r="N168" i="3"/>
  <c r="P37" i="4"/>
  <c r="M168" i="3" s="1"/>
  <c r="P163" i="5"/>
  <c r="M163" i="6" s="1"/>
  <c r="N163" i="6"/>
  <c r="O313" i="16"/>
  <c r="L313" i="16"/>
  <c r="K313" i="16"/>
  <c r="Q37" i="5"/>
  <c r="P37" i="5"/>
  <c r="N37" i="6"/>
  <c r="D122" i="5"/>
  <c r="D122" i="6" s="1"/>
  <c r="D205" i="4"/>
  <c r="D164" i="3" s="1"/>
  <c r="D17" i="4"/>
  <c r="D135" i="3" s="1"/>
  <c r="D157" i="5"/>
  <c r="D157" i="6" s="1"/>
  <c r="O295" i="16"/>
  <c r="K295" i="16"/>
  <c r="L295" i="16"/>
  <c r="D142" i="4"/>
  <c r="D14" i="3" s="1"/>
  <c r="D12" i="5"/>
  <c r="D12" i="6" s="1"/>
  <c r="D118" i="4"/>
  <c r="D33" i="3" s="1"/>
  <c r="D93" i="5"/>
  <c r="D93" i="6" s="1"/>
  <c r="Q136" i="4"/>
  <c r="N190" i="3"/>
  <c r="P136" i="4"/>
  <c r="M190" i="3" s="1"/>
  <c r="O227" i="16"/>
  <c r="L227" i="16"/>
  <c r="K227" i="16"/>
  <c r="D134" i="4"/>
  <c r="D119" i="3" s="1"/>
  <c r="D97" i="5"/>
  <c r="D97" i="6" s="1"/>
  <c r="K269" i="16"/>
  <c r="O269" i="16"/>
  <c r="L269" i="16"/>
  <c r="P29" i="4"/>
  <c r="M178" i="3" s="1"/>
  <c r="N178" i="3"/>
  <c r="Q75" i="4"/>
  <c r="N17" i="3"/>
  <c r="P75" i="4"/>
  <c r="M17" i="3" s="1"/>
  <c r="Q109" i="4"/>
  <c r="P109" i="4"/>
  <c r="N159" i="3"/>
  <c r="P51" i="4"/>
  <c r="N7" i="3"/>
  <c r="D98" i="5"/>
  <c r="D98" i="6" s="1"/>
  <c r="D116" i="4"/>
  <c r="D67" i="3" s="1"/>
  <c r="Q25" i="5"/>
  <c r="P25" i="5"/>
  <c r="M25" i="6" s="1"/>
  <c r="N25" i="6"/>
  <c r="Q43" i="5"/>
  <c r="N43" i="6"/>
  <c r="P43" i="5"/>
  <c r="M43" i="6" s="1"/>
  <c r="Q151" i="5"/>
  <c r="N151" i="6"/>
  <c r="P151" i="5"/>
  <c r="M151" i="6" s="1"/>
  <c r="N147" i="3"/>
  <c r="P201" i="4"/>
  <c r="M147" i="3" s="1"/>
  <c r="D77" i="5"/>
  <c r="D77" i="6" s="1"/>
  <c r="D19" i="4"/>
  <c r="D197" i="3" s="1"/>
  <c r="Q21" i="5"/>
  <c r="N21" i="6"/>
  <c r="P21" i="5"/>
  <c r="M21" i="6" s="1"/>
  <c r="P39" i="5"/>
  <c r="M39" i="6" s="1"/>
  <c r="N39" i="6"/>
  <c r="O275" i="16"/>
  <c r="K275" i="16"/>
  <c r="L275" i="16"/>
  <c r="Q69" i="4"/>
  <c r="N98" i="3"/>
  <c r="P69" i="4"/>
  <c r="M98" i="3" s="1"/>
  <c r="D49" i="5"/>
  <c r="D49" i="6" s="1"/>
  <c r="D59" i="4"/>
  <c r="D140" i="3" s="1"/>
  <c r="Q84" i="4"/>
  <c r="P84" i="4"/>
  <c r="M59" i="3" s="1"/>
  <c r="N59" i="3"/>
  <c r="Q9" i="4"/>
  <c r="N16" i="3"/>
  <c r="P9" i="4"/>
  <c r="M16" i="3" s="1"/>
  <c r="Q165" i="4"/>
  <c r="N95" i="3"/>
  <c r="P165" i="4"/>
  <c r="M95" i="3" s="1"/>
  <c r="P65" i="4"/>
  <c r="M146" i="3" s="1"/>
  <c r="N146" i="3"/>
  <c r="D176" i="4"/>
  <c r="D71" i="3" s="1"/>
  <c r="D142" i="5"/>
  <c r="D142" i="6" s="1"/>
  <c r="Q116" i="5"/>
  <c r="P116" i="5"/>
  <c r="M116" i="6" s="1"/>
  <c r="N116" i="6"/>
  <c r="O417" i="16"/>
  <c r="K417" i="16"/>
  <c r="L417" i="16"/>
  <c r="Q182" i="4"/>
  <c r="P182" i="4"/>
  <c r="N134" i="3"/>
  <c r="Q159" i="4"/>
  <c r="N74" i="3"/>
  <c r="P159" i="4"/>
  <c r="M74" i="3" s="1"/>
  <c r="Q4" i="5"/>
  <c r="P4" i="5"/>
  <c r="M4" i="6" s="1"/>
  <c r="N4" i="6"/>
  <c r="P80" i="5"/>
  <c r="M80" i="6" s="1"/>
  <c r="N80" i="6"/>
  <c r="D111" i="4"/>
  <c r="D51" i="3" s="1"/>
  <c r="D50" i="5"/>
  <c r="D50" i="6" s="1"/>
  <c r="D125" i="4"/>
  <c r="D136" i="3" s="1"/>
  <c r="D58" i="5"/>
  <c r="D58" i="6" s="1"/>
  <c r="Q124" i="5"/>
  <c r="N124" i="6"/>
  <c r="P124" i="5"/>
  <c r="C30" i="23"/>
  <c r="C11" i="23"/>
  <c r="Q24" i="4"/>
  <c r="N175" i="3"/>
  <c r="P24" i="4"/>
  <c r="M175" i="3" s="1"/>
  <c r="D164" i="5"/>
  <c r="D164" i="6" s="1"/>
  <c r="D27" i="4"/>
  <c r="D123" i="3" s="1"/>
  <c r="W160" i="6"/>
  <c r="T160" i="5"/>
  <c r="Q16" i="4"/>
  <c r="N184" i="3"/>
  <c r="P16" i="4"/>
  <c r="M184" i="3" s="1"/>
  <c r="L354" i="16"/>
  <c r="K354" i="16"/>
  <c r="O354" i="16"/>
  <c r="L199" i="16"/>
  <c r="K199" i="16"/>
  <c r="O199" i="16"/>
  <c r="C12" i="23"/>
  <c r="C31" i="23"/>
  <c r="D38" i="5"/>
  <c r="D38" i="6" s="1"/>
  <c r="D44" i="4"/>
  <c r="D205" i="3" s="1"/>
  <c r="Q12" i="4"/>
  <c r="N167" i="3"/>
  <c r="P12" i="4"/>
  <c r="M167" i="3" s="1"/>
  <c r="D58" i="4"/>
  <c r="D37" i="3" s="1"/>
  <c r="D89" i="5"/>
  <c r="D89" i="6" s="1"/>
  <c r="Q44" i="4"/>
  <c r="P44" i="4"/>
  <c r="N205" i="3"/>
  <c r="Q200" i="5"/>
  <c r="N200" i="6"/>
  <c r="P200" i="5"/>
  <c r="M200" i="6" s="1"/>
  <c r="Q173" i="4"/>
  <c r="T173" i="4" s="1"/>
  <c r="U173" i="4" s="1"/>
  <c r="N32" i="3"/>
  <c r="P173" i="4"/>
  <c r="M32" i="3" s="1"/>
  <c r="O232" i="16"/>
  <c r="K232" i="16"/>
  <c r="L232" i="16"/>
  <c r="Q115" i="5"/>
  <c r="P115" i="5"/>
  <c r="M115" i="6" s="1"/>
  <c r="N115" i="6"/>
  <c r="Q58" i="4"/>
  <c r="P58" i="4"/>
  <c r="M37" i="3" s="1"/>
  <c r="N37" i="3"/>
  <c r="D4" i="5"/>
  <c r="D4" i="6" s="1"/>
  <c r="D181" i="4"/>
  <c r="D5" i="3" s="1"/>
  <c r="Q87" i="5"/>
  <c r="N87" i="6"/>
  <c r="P87" i="5"/>
  <c r="M87" i="6" s="1"/>
  <c r="T117" i="5"/>
  <c r="U117" i="5" s="1"/>
  <c r="K425" i="16"/>
  <c r="L425" i="16"/>
  <c r="O425" i="16"/>
  <c r="L391" i="16"/>
  <c r="K391" i="16"/>
  <c r="O391" i="16"/>
  <c r="K193" i="16"/>
  <c r="O193" i="16"/>
  <c r="L193" i="16"/>
  <c r="O260" i="16"/>
  <c r="K260" i="16"/>
  <c r="L260" i="16"/>
  <c r="Q161" i="5"/>
  <c r="P161" i="5"/>
  <c r="M161" i="6" s="1"/>
  <c r="N161" i="6"/>
  <c r="K272" i="16"/>
  <c r="L272" i="16"/>
  <c r="O272" i="16"/>
  <c r="L409" i="16"/>
  <c r="K409" i="16"/>
  <c r="O409" i="16"/>
  <c r="L252" i="16"/>
  <c r="K252" i="16"/>
  <c r="O252" i="16"/>
  <c r="O392" i="16"/>
  <c r="K392" i="16"/>
  <c r="L392" i="16"/>
  <c r="O416" i="16"/>
  <c r="L416" i="16"/>
  <c r="K416" i="16"/>
  <c r="D189" i="5"/>
  <c r="D189" i="6" s="1"/>
  <c r="D92" i="4"/>
  <c r="D192" i="3" s="1"/>
  <c r="O213" i="16"/>
  <c r="L213" i="16"/>
  <c r="K213" i="16"/>
  <c r="L145" i="16"/>
  <c r="K145" i="16"/>
  <c r="O145" i="16"/>
  <c r="Q193" i="4"/>
  <c r="N77" i="3"/>
  <c r="P193" i="4"/>
  <c r="M77" i="3" s="1"/>
  <c r="K225" i="16"/>
  <c r="L225" i="16"/>
  <c r="O225" i="16"/>
  <c r="K149" i="16"/>
  <c r="L149" i="16"/>
  <c r="O149" i="16"/>
  <c r="O298" i="16"/>
  <c r="K298" i="16"/>
  <c r="L298" i="16"/>
  <c r="Q205" i="4"/>
  <c r="P205" i="4"/>
  <c r="M164" i="3" s="1"/>
  <c r="N164" i="3"/>
  <c r="D141" i="5"/>
  <c r="D141" i="6" s="1"/>
  <c r="D147" i="4"/>
  <c r="D174" i="3" s="1"/>
  <c r="Q28" i="5"/>
  <c r="P28" i="5"/>
  <c r="M28" i="6" s="1"/>
  <c r="N28" i="6"/>
  <c r="D178" i="5"/>
  <c r="D178" i="6" s="1"/>
  <c r="D174" i="4"/>
  <c r="D110" i="3" s="1"/>
  <c r="Q119" i="4"/>
  <c r="N81" i="3"/>
  <c r="P119" i="4"/>
  <c r="M81" i="3" s="1"/>
  <c r="D37" i="4"/>
  <c r="D168" i="3" s="1"/>
  <c r="D168" i="5"/>
  <c r="D168" i="6" s="1"/>
  <c r="L137" i="16"/>
  <c r="O137" i="16"/>
  <c r="K137" i="16"/>
  <c r="D140" i="4"/>
  <c r="D92" i="3" s="1"/>
  <c r="D173" i="5"/>
  <c r="D173" i="6" s="1"/>
  <c r="D38" i="4"/>
  <c r="D109" i="3" s="1"/>
  <c r="D19" i="5"/>
  <c r="D19" i="6" s="1"/>
  <c r="Q181" i="4"/>
  <c r="N5" i="3"/>
  <c r="P181" i="4"/>
  <c r="M5" i="3" s="1"/>
  <c r="O287" i="16"/>
  <c r="K287" i="16"/>
  <c r="L287" i="16"/>
  <c r="Q19" i="5"/>
  <c r="N19" i="6"/>
  <c r="P19" i="5"/>
  <c r="L197" i="16"/>
  <c r="O197" i="16"/>
  <c r="K197" i="16"/>
  <c r="D112" i="4"/>
  <c r="D163" i="3" s="1"/>
  <c r="D59" i="5"/>
  <c r="D59" i="6" s="1"/>
  <c r="Q70" i="5"/>
  <c r="N70" i="6"/>
  <c r="P70" i="5"/>
  <c r="M70" i="6" s="1"/>
  <c r="Q33" i="4"/>
  <c r="P33" i="4"/>
  <c r="M58" i="3" s="1"/>
  <c r="N58" i="3"/>
  <c r="N45" i="16"/>
  <c r="AG45" i="16" s="1" a="1"/>
  <c r="AG45" i="16" s="1"/>
  <c r="M45" i="16"/>
  <c r="L45" i="16"/>
  <c r="K45" i="16"/>
  <c r="K221" i="16"/>
  <c r="O221" i="16"/>
  <c r="L221" i="16"/>
  <c r="D76" i="5"/>
  <c r="D76" i="6" s="1"/>
  <c r="D76" i="4"/>
  <c r="D62" i="3" s="1"/>
  <c r="Q109" i="5"/>
  <c r="N109" i="6"/>
  <c r="P109" i="5"/>
  <c r="M109" i="6" s="1"/>
  <c r="P125" i="4"/>
  <c r="N136" i="3"/>
  <c r="Q204" i="4"/>
  <c r="P204" i="4"/>
  <c r="M150" i="3" s="1"/>
  <c r="N150" i="3"/>
  <c r="Q55" i="5"/>
  <c r="N55" i="6"/>
  <c r="P55" i="5"/>
  <c r="M55" i="6" s="1"/>
  <c r="Q186" i="4"/>
  <c r="P186" i="4"/>
  <c r="M49" i="3" s="1"/>
  <c r="N49" i="3"/>
  <c r="D146" i="4"/>
  <c r="D202" i="3" s="1"/>
  <c r="D88" i="5"/>
  <c r="D88" i="6" s="1"/>
  <c r="K346" i="16"/>
  <c r="O346" i="16"/>
  <c r="L346" i="16"/>
  <c r="N43" i="3"/>
  <c r="P25" i="4"/>
  <c r="D201" i="5"/>
  <c r="D201" i="6" s="1"/>
  <c r="D53" i="4"/>
  <c r="D133" i="3" s="1"/>
  <c r="D93" i="4"/>
  <c r="D41" i="3" s="1"/>
  <c r="D139" i="5"/>
  <c r="D139" i="6" s="1"/>
  <c r="Q127" i="5"/>
  <c r="P127" i="5"/>
  <c r="M127" i="6" s="1"/>
  <c r="N127" i="6"/>
  <c r="D131" i="4"/>
  <c r="D27" i="3" s="1"/>
  <c r="D11" i="5"/>
  <c r="D11" i="6" s="1"/>
  <c r="D83" i="4"/>
  <c r="D84" i="3" s="1"/>
  <c r="D113" i="5"/>
  <c r="D113" i="6" s="1"/>
  <c r="P188" i="5"/>
  <c r="M188" i="6" s="1"/>
  <c r="K207" i="16"/>
  <c r="O207" i="16"/>
  <c r="L207" i="16"/>
  <c r="L329" i="16"/>
  <c r="O329" i="16"/>
  <c r="K329" i="16"/>
  <c r="N174" i="6"/>
  <c r="P174" i="5"/>
  <c r="O169" i="16"/>
  <c r="K169" i="16"/>
  <c r="L169" i="16"/>
  <c r="K286" i="16"/>
  <c r="O286" i="16"/>
  <c r="L286" i="16"/>
  <c r="K420" i="16"/>
  <c r="L420" i="16"/>
  <c r="O420" i="16"/>
  <c r="L258" i="16"/>
  <c r="O258" i="16"/>
  <c r="K258" i="16"/>
  <c r="K311" i="16"/>
  <c r="L311" i="16"/>
  <c r="O311" i="16"/>
  <c r="K410" i="16"/>
  <c r="O410" i="16"/>
  <c r="L410" i="16"/>
  <c r="P191" i="5"/>
  <c r="M191" i="6" s="1"/>
  <c r="N191" i="6"/>
  <c r="L141" i="16"/>
  <c r="O141" i="16"/>
  <c r="K141" i="16"/>
  <c r="K20" i="16"/>
  <c r="O20" i="16"/>
  <c r="K284" i="16"/>
  <c r="O284" i="16"/>
  <c r="L284" i="16"/>
  <c r="Q176" i="4"/>
  <c r="P176" i="4"/>
  <c r="M71" i="3" s="1"/>
  <c r="N71" i="3"/>
  <c r="O273" i="16"/>
  <c r="L273" i="16"/>
  <c r="K273" i="16"/>
  <c r="L395" i="16"/>
  <c r="K395" i="16"/>
  <c r="O395" i="16"/>
  <c r="D174" i="5"/>
  <c r="D174" i="6" s="1"/>
  <c r="D35" i="4"/>
  <c r="D187" i="3" s="1"/>
  <c r="O266" i="16"/>
  <c r="K266" i="16"/>
  <c r="L266" i="16"/>
  <c r="D15" i="5"/>
  <c r="D15" i="6" s="1"/>
  <c r="D20" i="4"/>
  <c r="D177" i="3" s="1"/>
  <c r="T163" i="4"/>
  <c r="L285" i="16"/>
  <c r="K285" i="16"/>
  <c r="O285" i="16"/>
  <c r="O253" i="16"/>
  <c r="K253" i="16"/>
  <c r="L253" i="16"/>
  <c r="O445" i="16"/>
  <c r="K445" i="16"/>
  <c r="L445" i="16"/>
  <c r="D109" i="4"/>
  <c r="D159" i="3" s="1"/>
  <c r="D28" i="5"/>
  <c r="D28" i="6" s="1"/>
  <c r="L30" i="16"/>
  <c r="K30" i="16"/>
  <c r="O30" i="16"/>
  <c r="D107" i="4"/>
  <c r="D115" i="3" s="1"/>
  <c r="D85" i="5"/>
  <c r="D85" i="6" s="1"/>
  <c r="Q16" i="5"/>
  <c r="P16" i="5"/>
  <c r="M16" i="6" s="1"/>
  <c r="N16" i="6"/>
  <c r="D13" i="5"/>
  <c r="D13" i="6" s="1"/>
  <c r="D186" i="4"/>
  <c r="D49" i="3" s="1"/>
  <c r="P181" i="5"/>
  <c r="M181" i="6" s="1"/>
  <c r="N181" i="6"/>
  <c r="D156" i="4"/>
  <c r="D34" i="3" s="1"/>
  <c r="D103" i="5"/>
  <c r="D103" i="6" s="1"/>
  <c r="D25" i="4"/>
  <c r="D43" i="3" s="1"/>
  <c r="D146" i="5"/>
  <c r="D146" i="6" s="1"/>
  <c r="Q49" i="4"/>
  <c r="N188" i="3"/>
  <c r="P49" i="4"/>
  <c r="Q114" i="4"/>
  <c r="P114" i="4"/>
  <c r="M111" i="3" s="1"/>
  <c r="N111" i="3"/>
  <c r="K413" i="16"/>
  <c r="O413" i="16"/>
  <c r="L413" i="16"/>
  <c r="Q82" i="4"/>
  <c r="P82" i="4"/>
  <c r="M162" i="3" s="1"/>
  <c r="N162" i="3"/>
  <c r="P156" i="5"/>
  <c r="N156" i="6"/>
  <c r="D12" i="4"/>
  <c r="D167" i="3" s="1"/>
  <c r="D134" i="5"/>
  <c r="D134" i="6" s="1"/>
  <c r="D138" i="4"/>
  <c r="D31" i="3" s="1"/>
  <c r="D118" i="5"/>
  <c r="D118" i="6" s="1"/>
  <c r="Q110" i="4"/>
  <c r="P110" i="4"/>
  <c r="M120" i="3" s="1"/>
  <c r="N120" i="3"/>
  <c r="Q138" i="5"/>
  <c r="N138" i="6"/>
  <c r="P138" i="5"/>
  <c r="M138" i="6" s="1"/>
  <c r="N89" i="3"/>
  <c r="P123" i="4"/>
  <c r="Q106" i="4"/>
  <c r="P106" i="4"/>
  <c r="M180" i="3" s="1"/>
  <c r="N180" i="3"/>
  <c r="D20" i="5"/>
  <c r="D20" i="6" s="1"/>
  <c r="D98" i="4"/>
  <c r="D100" i="3" s="1"/>
  <c r="N124" i="3"/>
  <c r="P8" i="4"/>
  <c r="N3" i="6"/>
  <c r="P3" i="5"/>
  <c r="Q138" i="4"/>
  <c r="N31" i="3"/>
  <c r="P138" i="4"/>
  <c r="M31" i="3" s="1"/>
  <c r="L262" i="16"/>
  <c r="K262" i="16"/>
  <c r="O262" i="16"/>
  <c r="O315" i="16"/>
  <c r="K315" i="16"/>
  <c r="L315" i="16"/>
  <c r="Q133" i="5"/>
  <c r="P133" i="5"/>
  <c r="M133" i="6" s="1"/>
  <c r="N133" i="6"/>
  <c r="L378" i="16"/>
  <c r="O378" i="16"/>
  <c r="K378" i="16"/>
  <c r="L235" i="16"/>
  <c r="K235" i="16"/>
  <c r="O235" i="16"/>
  <c r="L33" i="16"/>
  <c r="K33" i="16"/>
  <c r="O33" i="16"/>
  <c r="O173" i="16"/>
  <c r="K173" i="16"/>
  <c r="L173" i="16"/>
  <c r="O280" i="16"/>
  <c r="K280" i="16"/>
  <c r="L280" i="16"/>
  <c r="D10" i="4"/>
  <c r="D183" i="3" s="1"/>
  <c r="D153" i="5"/>
  <c r="D153" i="6" s="1"/>
  <c r="L444" i="16"/>
  <c r="O444" i="16"/>
  <c r="K444" i="16"/>
  <c r="Q78" i="4"/>
  <c r="P78" i="4"/>
  <c r="N114" i="3"/>
  <c r="O8" i="16"/>
  <c r="L8" i="16"/>
  <c r="K8" i="16"/>
  <c r="O15" i="16"/>
  <c r="L15" i="16"/>
  <c r="K15" i="16"/>
  <c r="AH28" i="16"/>
  <c r="O28" i="16"/>
  <c r="L28" i="16"/>
  <c r="K28" i="16"/>
  <c r="K190" i="16"/>
  <c r="O190" i="16"/>
  <c r="L190" i="16"/>
  <c r="K135" i="16"/>
  <c r="O135" i="16"/>
  <c r="L135" i="16"/>
  <c r="K139" i="16"/>
  <c r="O139" i="16"/>
  <c r="L139" i="16"/>
  <c r="K308" i="16"/>
  <c r="L308" i="16"/>
  <c r="O308" i="16"/>
  <c r="Q108" i="4"/>
  <c r="P108" i="4"/>
  <c r="M101" i="3" s="1"/>
  <c r="N101" i="3"/>
  <c r="L217" i="16"/>
  <c r="K217" i="16"/>
  <c r="O217" i="16"/>
  <c r="K323" i="16"/>
  <c r="L323" i="16"/>
  <c r="O323" i="16"/>
  <c r="P20" i="4"/>
  <c r="N177" i="3"/>
  <c r="K365" i="16"/>
  <c r="O365" i="16"/>
  <c r="L365" i="16"/>
  <c r="D159" i="5"/>
  <c r="D159" i="6" s="1"/>
  <c r="D29" i="4"/>
  <c r="D178" i="3" s="1"/>
  <c r="Q56" i="4"/>
  <c r="P56" i="4"/>
  <c r="M128" i="3" s="1"/>
  <c r="N128" i="3"/>
  <c r="Q157" i="4"/>
  <c r="N76" i="3"/>
  <c r="P157" i="4"/>
  <c r="M76" i="3" s="1"/>
  <c r="O234" i="16"/>
  <c r="K234" i="16"/>
  <c r="L234" i="16"/>
  <c r="D79" i="5"/>
  <c r="D79" i="6" s="1"/>
  <c r="D14" i="4"/>
  <c r="D160" i="3" s="1"/>
  <c r="D64" i="5"/>
  <c r="D64" i="6" s="1"/>
  <c r="D97" i="4"/>
  <c r="D35" i="3" s="1"/>
  <c r="K226" i="16"/>
  <c r="O226" i="16"/>
  <c r="L226" i="16"/>
  <c r="Q96" i="5"/>
  <c r="P96" i="5"/>
  <c r="N96" i="6"/>
  <c r="L261" i="16"/>
  <c r="K261" i="16"/>
  <c r="O261" i="16"/>
  <c r="Q183" i="5"/>
  <c r="P183" i="5"/>
  <c r="M183" i="6" s="1"/>
  <c r="N183" i="6"/>
  <c r="D110" i="4"/>
  <c r="D120" i="3" s="1"/>
  <c r="D108" i="5"/>
  <c r="D108" i="6" s="1"/>
  <c r="Q150" i="4"/>
  <c r="P150" i="4"/>
  <c r="M42" i="3" s="1"/>
  <c r="N42" i="3"/>
  <c r="Q92" i="4"/>
  <c r="N192" i="3"/>
  <c r="P92" i="4"/>
  <c r="M192" i="3" s="1"/>
  <c r="D37" i="5"/>
  <c r="D37" i="6" s="1"/>
  <c r="D141" i="4"/>
  <c r="D93" i="3" s="1"/>
  <c r="D192" i="5"/>
  <c r="D192" i="6" s="1"/>
  <c r="D164" i="4"/>
  <c r="D113" i="3" s="1"/>
  <c r="Q42" i="5"/>
  <c r="N42" i="6"/>
  <c r="P42" i="5"/>
  <c r="M42" i="6" s="1"/>
  <c r="Q99" i="5"/>
  <c r="P99" i="5"/>
  <c r="M99" i="6" s="1"/>
  <c r="N99" i="6"/>
  <c r="D170" i="4"/>
  <c r="D30" i="3" s="1"/>
  <c r="D132" i="5"/>
  <c r="D132" i="6" s="1"/>
  <c r="D99" i="5"/>
  <c r="D99" i="6" s="1"/>
  <c r="D26" i="4"/>
  <c r="D151" i="3" s="1"/>
  <c r="D161" i="5"/>
  <c r="D161" i="6" s="1"/>
  <c r="D196" i="4"/>
  <c r="D156" i="3" s="1"/>
  <c r="D55" i="5"/>
  <c r="D55" i="6" s="1"/>
  <c r="D65" i="4"/>
  <c r="D146" i="3" s="1"/>
  <c r="D71" i="5"/>
  <c r="D71" i="6" s="1"/>
  <c r="D120" i="4"/>
  <c r="D44" i="3" s="1"/>
  <c r="D27" i="5"/>
  <c r="D27" i="6" s="1"/>
  <c r="D105" i="4"/>
  <c r="D116" i="3" s="1"/>
  <c r="K404" i="16"/>
  <c r="L404" i="16"/>
  <c r="O404" i="16"/>
  <c r="P160" i="4"/>
  <c r="M78" i="3" s="1"/>
  <c r="N78" i="3"/>
  <c r="D22" i="4"/>
  <c r="D203" i="3" s="1"/>
  <c r="D22" i="5"/>
  <c r="D22" i="6" s="1"/>
  <c r="O222" i="16"/>
  <c r="L222" i="16"/>
  <c r="K222" i="16"/>
  <c r="L353" i="16"/>
  <c r="K353" i="16"/>
  <c r="O353" i="16"/>
  <c r="O171" i="16"/>
  <c r="K171" i="16"/>
  <c r="L171" i="16"/>
  <c r="K25" i="16"/>
  <c r="L25" i="16"/>
  <c r="L426" i="16"/>
  <c r="O426" i="16"/>
  <c r="K426" i="16"/>
  <c r="Q137" i="4"/>
  <c r="N64" i="3"/>
  <c r="P137" i="4"/>
  <c r="M64" i="3" s="1"/>
  <c r="K22" i="16"/>
  <c r="L22" i="16"/>
  <c r="L436" i="16"/>
  <c r="K436" i="16"/>
  <c r="O436" i="16"/>
  <c r="K277" i="16"/>
  <c r="O277" i="16"/>
  <c r="L277" i="16"/>
  <c r="Q113" i="5"/>
  <c r="N113" i="6"/>
  <c r="P113" i="5"/>
  <c r="P146" i="5"/>
  <c r="N146" i="6"/>
  <c r="N40" i="6"/>
  <c r="P40" i="5"/>
  <c r="M40" i="6" s="1"/>
  <c r="N206" i="6"/>
  <c r="P206" i="5"/>
  <c r="D92" i="5"/>
  <c r="D92" i="6" s="1"/>
  <c r="D52" i="4"/>
  <c r="D38" i="3" s="1"/>
  <c r="D167" i="5"/>
  <c r="D167" i="6" s="1"/>
  <c r="D62" i="4"/>
  <c r="D141" i="3" s="1"/>
  <c r="D199" i="5"/>
  <c r="D199" i="6" s="1"/>
  <c r="D40" i="4"/>
  <c r="D153" i="3" s="1"/>
  <c r="C13" i="23"/>
  <c r="C8" i="23"/>
  <c r="D105" i="5"/>
  <c r="D105" i="6" s="1"/>
  <c r="D18" i="4"/>
  <c r="D104" i="3" s="1"/>
  <c r="O198" i="16"/>
  <c r="L198" i="16"/>
  <c r="K198" i="16"/>
  <c r="L143" i="16"/>
  <c r="O143" i="16"/>
  <c r="K143" i="16"/>
  <c r="Q102" i="4"/>
  <c r="N144" i="3"/>
  <c r="P102" i="4"/>
  <c r="M144" i="3" s="1"/>
  <c r="K4" i="16"/>
  <c r="L4" i="16"/>
  <c r="O4" i="16"/>
  <c r="O255" i="16"/>
  <c r="K255" i="16"/>
  <c r="L255" i="16"/>
  <c r="L393" i="16"/>
  <c r="O393" i="16"/>
  <c r="K393" i="16"/>
  <c r="K21" i="16"/>
  <c r="O21" i="16"/>
  <c r="L21" i="16"/>
  <c r="S21" i="16" s="1"/>
  <c r="D68" i="4"/>
  <c r="D148" i="3" s="1"/>
  <c r="D18" i="5"/>
  <c r="D18" i="6" s="1"/>
  <c r="Q144" i="5"/>
  <c r="N144" i="6"/>
  <c r="P144" i="5"/>
  <c r="M144" i="6" s="1"/>
  <c r="K399" i="16"/>
  <c r="O399" i="16"/>
  <c r="L399" i="16"/>
  <c r="Q77" i="4"/>
  <c r="P77" i="4"/>
  <c r="M204" i="3" s="1"/>
  <c r="N204" i="3"/>
  <c r="Q90" i="5"/>
  <c r="P90" i="5"/>
  <c r="M90" i="6" s="1"/>
  <c r="N90" i="6"/>
  <c r="Q106" i="5"/>
  <c r="P106" i="5"/>
  <c r="M106" i="6" s="1"/>
  <c r="N106" i="6"/>
  <c r="D109" i="5"/>
  <c r="D109" i="6" s="1"/>
  <c r="D185" i="4"/>
  <c r="D69" i="3" s="1"/>
  <c r="Q129" i="5"/>
  <c r="P129" i="5"/>
  <c r="M129" i="6" s="1"/>
  <c r="N129" i="6"/>
  <c r="Q113" i="4"/>
  <c r="N57" i="3"/>
  <c r="P113" i="4"/>
  <c r="M57" i="3" s="1"/>
  <c r="Q80" i="4"/>
  <c r="N66" i="3"/>
  <c r="P80" i="4"/>
  <c r="Q194" i="4"/>
  <c r="P194" i="4"/>
  <c r="M121" i="3" s="1"/>
  <c r="N121" i="3"/>
  <c r="P64" i="4"/>
  <c r="M50" i="3" s="1"/>
  <c r="N50" i="3"/>
  <c r="Q48" i="5"/>
  <c r="P48" i="5"/>
  <c r="M48" i="6" s="1"/>
  <c r="N48" i="6"/>
  <c r="Q139" i="4"/>
  <c r="N103" i="3"/>
  <c r="P139" i="4"/>
  <c r="M103" i="3" s="1"/>
  <c r="Q15" i="4"/>
  <c r="N75" i="3"/>
  <c r="P15" i="4"/>
  <c r="M75" i="3" s="1"/>
  <c r="D117" i="4"/>
  <c r="D85" i="3" s="1"/>
  <c r="D96" i="5"/>
  <c r="D96" i="6" s="1"/>
  <c r="P82" i="5"/>
  <c r="N82" i="6"/>
  <c r="D70" i="5"/>
  <c r="D70" i="6" s="1"/>
  <c r="D50" i="4"/>
  <c r="D45" i="3" s="1"/>
  <c r="Q60" i="5"/>
  <c r="P60" i="5"/>
  <c r="M60" i="6" s="1"/>
  <c r="N60" i="6"/>
  <c r="Q36" i="4"/>
  <c r="P36" i="4"/>
  <c r="M206" i="3" s="1"/>
  <c r="N206" i="3"/>
  <c r="Q105" i="4"/>
  <c r="P105" i="4"/>
  <c r="M116" i="3" s="1"/>
  <c r="N116" i="3"/>
  <c r="D23" i="5"/>
  <c r="D23" i="6" s="1"/>
  <c r="D190" i="4"/>
  <c r="D132" i="3" s="1"/>
  <c r="Q204" i="5"/>
  <c r="N204" i="6"/>
  <c r="P204" i="5"/>
  <c r="M204" i="6" s="1"/>
  <c r="D151" i="4"/>
  <c r="D19" i="3" s="1"/>
  <c r="D131" i="5"/>
  <c r="D131" i="6" s="1"/>
  <c r="D206" i="5"/>
  <c r="D206" i="6" s="1"/>
  <c r="D191" i="4"/>
  <c r="D68" i="3" s="1"/>
  <c r="O151" i="16"/>
  <c r="K151" i="16"/>
  <c r="L151" i="16"/>
  <c r="Q71" i="4"/>
  <c r="P71" i="4"/>
  <c r="M40" i="3" s="1"/>
  <c r="D49" i="4"/>
  <c r="D188" i="3" s="1"/>
  <c r="D204" i="5"/>
  <c r="D204" i="6" s="1"/>
  <c r="Q111" i="4"/>
  <c r="P111" i="4"/>
  <c r="M51" i="3" s="1"/>
  <c r="N51" i="3"/>
  <c r="Q161" i="4"/>
  <c r="P161" i="4"/>
  <c r="N154" i="3"/>
  <c r="D121" i="4"/>
  <c r="D83" i="3" s="1"/>
  <c r="D74" i="5"/>
  <c r="D74" i="6" s="1"/>
  <c r="Q79" i="4"/>
  <c r="P79" i="4"/>
  <c r="M118" i="3" s="1"/>
  <c r="N118" i="3"/>
  <c r="D8" i="5"/>
  <c r="D8" i="6" s="1"/>
  <c r="D24" i="4"/>
  <c r="D175" i="3" s="1"/>
  <c r="D200" i="4"/>
  <c r="D199" i="3" s="1"/>
  <c r="D117" i="5"/>
  <c r="D117" i="6" s="1"/>
  <c r="K446" i="16"/>
  <c r="L446" i="16"/>
  <c r="O446" i="16"/>
  <c r="D46" i="4"/>
  <c r="D97" i="3" s="1"/>
  <c r="D185" i="5"/>
  <c r="D185" i="6" s="1"/>
  <c r="Q57" i="5"/>
  <c r="P57" i="5"/>
  <c r="M57" i="6" s="1"/>
  <c r="N57" i="6"/>
  <c r="P178" i="4"/>
  <c r="N15" i="3"/>
  <c r="Q51" i="5"/>
  <c r="N51" i="6"/>
  <c r="P51" i="5"/>
  <c r="L212" i="16"/>
  <c r="O212" i="16"/>
  <c r="K212" i="16"/>
  <c r="Q142" i="5"/>
  <c r="N142" i="6"/>
  <c r="P142" i="5"/>
  <c r="M142" i="6" s="1"/>
  <c r="Q29" i="5"/>
  <c r="N29" i="6"/>
  <c r="P29" i="5"/>
  <c r="P69" i="5"/>
  <c r="M69" i="6" s="1"/>
  <c r="N69" i="6"/>
  <c r="Q137" i="5"/>
  <c r="N137" i="6"/>
  <c r="P137" i="5"/>
  <c r="M137" i="6" s="1"/>
  <c r="Q85" i="5"/>
  <c r="N85" i="6"/>
  <c r="P85" i="5"/>
  <c r="M85" i="6" s="1"/>
  <c r="D69" i="5"/>
  <c r="D69" i="6" s="1"/>
  <c r="D119" i="4"/>
  <c r="D81" i="3" s="1"/>
  <c r="Q38" i="5"/>
  <c r="N38" i="6"/>
  <c r="P38" i="5"/>
  <c r="Q13" i="4"/>
  <c r="N158" i="3"/>
  <c r="P13" i="4"/>
  <c r="M158" i="3" s="1"/>
  <c r="D39" i="4"/>
  <c r="D142" i="3" s="1"/>
  <c r="D176" i="5"/>
  <c r="D176" i="6" s="1"/>
  <c r="Q38" i="4"/>
  <c r="P38" i="4"/>
  <c r="M109" i="3" s="1"/>
  <c r="N109" i="3"/>
  <c r="Q147" i="4"/>
  <c r="P147" i="4"/>
  <c r="M174" i="3" s="1"/>
  <c r="N174" i="3"/>
  <c r="Q117" i="4"/>
  <c r="P117" i="4"/>
  <c r="N85" i="3"/>
  <c r="Q62" i="4"/>
  <c r="N141" i="3"/>
  <c r="P62" i="4"/>
  <c r="L46" i="16"/>
  <c r="M46" i="16"/>
  <c r="AF46" i="16" s="1" a="1"/>
  <c r="AF46" i="16" s="1"/>
  <c r="K46" i="16"/>
  <c r="N46" i="16"/>
  <c r="AG46" i="16" s="1" a="1"/>
  <c r="AG46" i="16" s="1"/>
  <c r="D66" i="5"/>
  <c r="D66" i="6" s="1"/>
  <c r="D47" i="4"/>
  <c r="D138" i="3" s="1"/>
  <c r="Q73" i="5"/>
  <c r="N73" i="6"/>
  <c r="P73" i="5"/>
  <c r="M73" i="6" s="1"/>
  <c r="D69" i="4"/>
  <c r="D98" i="3" s="1"/>
  <c r="D148" i="5"/>
  <c r="D148" i="6" s="1"/>
  <c r="D132" i="4"/>
  <c r="D161" i="3" s="1"/>
  <c r="D48" i="5"/>
  <c r="D48" i="6" s="1"/>
  <c r="L157" i="16"/>
  <c r="K157" i="16"/>
  <c r="O157" i="16"/>
  <c r="D114" i="4"/>
  <c r="D111" i="3" s="1"/>
  <c r="D25" i="5"/>
  <c r="D25" i="6" s="1"/>
  <c r="D133" i="5"/>
  <c r="D133" i="6" s="1"/>
  <c r="D153" i="4"/>
  <c r="D79" i="3" s="1"/>
  <c r="Q158" i="4"/>
  <c r="N107" i="3"/>
  <c r="P158" i="4"/>
  <c r="D16" i="5"/>
  <c r="D16" i="6" s="1"/>
  <c r="D79" i="4"/>
  <c r="D118" i="3" s="1"/>
  <c r="Q26" i="4"/>
  <c r="N151" i="3"/>
  <c r="P26" i="4"/>
  <c r="Q171" i="5"/>
  <c r="P171" i="5"/>
  <c r="M171" i="6" s="1"/>
  <c r="N171" i="6"/>
  <c r="L427" i="16"/>
  <c r="K427" i="16"/>
  <c r="O427" i="16"/>
  <c r="O223" i="16"/>
  <c r="L223" i="16"/>
  <c r="K223" i="16"/>
  <c r="Q179" i="5"/>
  <c r="N179" i="6"/>
  <c r="P179" i="5"/>
  <c r="M179" i="6" s="1"/>
  <c r="D71" i="4"/>
  <c r="D40" i="3" s="1"/>
  <c r="D190" i="5"/>
  <c r="D190" i="6" s="1"/>
  <c r="D204" i="4"/>
  <c r="D150" i="3" s="1"/>
  <c r="D121" i="5"/>
  <c r="D121" i="6" s="1"/>
  <c r="K130" i="16"/>
  <c r="L130" i="16"/>
  <c r="O130" i="16"/>
  <c r="Q48" i="4"/>
  <c r="P48" i="4"/>
  <c r="M170" i="3" s="1"/>
  <c r="N170" i="3"/>
  <c r="P188" i="4"/>
  <c r="M21" i="3" s="1"/>
  <c r="N21" i="3"/>
  <c r="D60" i="5"/>
  <c r="D60" i="6" s="1"/>
  <c r="D28" i="4"/>
  <c r="D46" i="3" s="1"/>
  <c r="K310" i="16"/>
  <c r="L310" i="16"/>
  <c r="O310" i="16"/>
  <c r="Q68" i="4"/>
  <c r="N148" i="3"/>
  <c r="P68" i="4"/>
  <c r="M148" i="3" s="1"/>
  <c r="O144" i="16"/>
  <c r="L144" i="16"/>
  <c r="K144" i="16"/>
  <c r="Q118" i="5"/>
  <c r="N118" i="6"/>
  <c r="P118" i="5"/>
  <c r="Q99" i="4"/>
  <c r="N201" i="3"/>
  <c r="P99" i="4"/>
  <c r="M201" i="3" s="1"/>
  <c r="Q130" i="4"/>
  <c r="P130" i="4"/>
  <c r="M54" i="3" s="1"/>
  <c r="N54" i="3"/>
  <c r="O374" i="16"/>
  <c r="K374" i="16"/>
  <c r="L374" i="16"/>
  <c r="O132" i="16"/>
  <c r="K132" i="16"/>
  <c r="L132" i="16"/>
  <c r="T128" i="5"/>
  <c r="Q31" i="5"/>
  <c r="N31" i="6"/>
  <c r="P31" i="5"/>
  <c r="M31" i="6" s="1"/>
  <c r="K229" i="16"/>
  <c r="O229" i="16"/>
  <c r="L229" i="16"/>
  <c r="Q93" i="5"/>
  <c r="P93" i="5"/>
  <c r="M93" i="6" s="1"/>
  <c r="N93" i="6"/>
  <c r="D202" i="5"/>
  <c r="D202" i="6" s="1"/>
  <c r="D64" i="4"/>
  <c r="D50" i="3" s="1"/>
  <c r="Q26" i="5"/>
  <c r="P26" i="5"/>
  <c r="M26" i="6" s="1"/>
  <c r="N26" i="6"/>
  <c r="Q105" i="5"/>
  <c r="N105" i="6"/>
  <c r="P105" i="5"/>
  <c r="D78" i="4"/>
  <c r="D114" i="3" s="1"/>
  <c r="D30" i="5"/>
  <c r="D30" i="6" s="1"/>
  <c r="K430" i="16"/>
  <c r="L430" i="16"/>
  <c r="O430" i="16"/>
  <c r="Q22" i="5"/>
  <c r="N22" i="6"/>
  <c r="P22" i="5"/>
  <c r="M22" i="6" s="1"/>
  <c r="D90" i="5"/>
  <c r="D90" i="6" s="1"/>
  <c r="D133" i="4"/>
  <c r="D25" i="3" s="1"/>
  <c r="D73" i="5"/>
  <c r="D73" i="6" s="1"/>
  <c r="D73" i="4"/>
  <c r="D63" i="3" s="1"/>
  <c r="AF37" i="16" a="1"/>
  <c r="AF37" i="16" s="1"/>
  <c r="AH37" i="16" s="1"/>
  <c r="X37" i="16" s="1"/>
  <c r="O39" i="16"/>
  <c r="O42" i="16"/>
  <c r="O38" i="16"/>
  <c r="AH43" i="16"/>
  <c r="U43" i="16" s="1"/>
  <c r="V43" i="16" s="1"/>
  <c r="AK43" i="16" s="1"/>
  <c r="X19" i="16"/>
  <c r="O41" i="16"/>
  <c r="AK19" i="16"/>
  <c r="X17" i="16"/>
  <c r="X38" i="16"/>
  <c r="T38" i="16"/>
  <c r="W38" i="16" s="1"/>
  <c r="AJ17" i="16"/>
  <c r="O43" i="16"/>
  <c r="U114" i="5"/>
  <c r="Y114" i="6"/>
  <c r="AG114" i="5"/>
  <c r="AH114" i="5" s="1"/>
  <c r="V114" i="27"/>
  <c r="M94" i="6"/>
  <c r="U165" i="5"/>
  <c r="T66" i="4"/>
  <c r="AG94" i="5"/>
  <c r="AH94" i="5" s="1"/>
  <c r="T11" i="4"/>
  <c r="Y171" i="3" s="1"/>
  <c r="U94" i="5"/>
  <c r="M114" i="6"/>
  <c r="T149" i="5"/>
  <c r="Y149" i="6" s="1"/>
  <c r="T134" i="4"/>
  <c r="T120" i="4"/>
  <c r="AG97" i="5"/>
  <c r="AH97" i="5" s="1"/>
  <c r="U97" i="5"/>
  <c r="U131" i="5"/>
  <c r="T121" i="4"/>
  <c r="T17" i="16"/>
  <c r="S17" i="16" s="1"/>
  <c r="T146" i="4"/>
  <c r="T71" i="5"/>
  <c r="T162" i="4"/>
  <c r="T39" i="16"/>
  <c r="S39" i="16" s="1"/>
  <c r="X39" i="16"/>
  <c r="O40" i="16"/>
  <c r="T19" i="16"/>
  <c r="S19" i="16" s="1"/>
  <c r="M185" i="6"/>
  <c r="T185" i="5"/>
  <c r="T180" i="4"/>
  <c r="T158" i="5"/>
  <c r="T143" i="4"/>
  <c r="T194" i="5"/>
  <c r="M194" i="6"/>
  <c r="T192" i="4"/>
  <c r="T164" i="4"/>
  <c r="M173" i="3"/>
  <c r="T57" i="4"/>
  <c r="M145" i="3"/>
  <c r="T63" i="4"/>
  <c r="T76" i="4"/>
  <c r="AG178" i="5"/>
  <c r="AH178" i="5" s="1"/>
  <c r="U178" i="5"/>
  <c r="Y178" i="6"/>
  <c r="T116" i="27"/>
  <c r="U116" i="4"/>
  <c r="W30" i="16"/>
  <c r="AJ30" i="16"/>
  <c r="Y32" i="3"/>
  <c r="T173" i="27"/>
  <c r="X41" i="16"/>
  <c r="U41" i="16"/>
  <c r="V41" i="16" s="1"/>
  <c r="AJ41" i="16" s="1"/>
  <c r="U42" i="16"/>
  <c r="V42" i="16" s="1"/>
  <c r="AJ42" i="16" s="1"/>
  <c r="T42" i="16"/>
  <c r="S42" i="16" s="1"/>
  <c r="AK16" i="16"/>
  <c r="S33" i="16"/>
  <c r="AJ33" i="16"/>
  <c r="U40" i="16"/>
  <c r="V40" i="16" s="1"/>
  <c r="AK40" i="16" s="1"/>
  <c r="T40" i="16"/>
  <c r="AG44" i="5"/>
  <c r="AH44" i="5" s="1"/>
  <c r="V44" i="27"/>
  <c r="U44" i="5"/>
  <c r="Y44" i="6"/>
  <c r="AJ39" i="16"/>
  <c r="AK39" i="16"/>
  <c r="S41" i="16"/>
  <c r="W41" i="16"/>
  <c r="AJ38" i="16"/>
  <c r="AK38" i="16"/>
  <c r="T112" i="5" l="1"/>
  <c r="U115" i="4"/>
  <c r="T93" i="4"/>
  <c r="T93" i="27" s="1"/>
  <c r="AK10" i="16"/>
  <c r="AJ10" i="16"/>
  <c r="T179" i="5"/>
  <c r="AF179" i="5" s="1"/>
  <c r="Y179" i="5" s="1"/>
  <c r="Z179" i="6" s="1"/>
  <c r="V135" i="27"/>
  <c r="U135" i="5"/>
  <c r="T85" i="4"/>
  <c r="Y47" i="3" s="1"/>
  <c r="T134" i="5"/>
  <c r="T21" i="4"/>
  <c r="Y112" i="6"/>
  <c r="AG112" i="5"/>
  <c r="AH112" i="5" s="1"/>
  <c r="T143" i="5"/>
  <c r="T154" i="4"/>
  <c r="U154" i="4" s="1"/>
  <c r="T157" i="4"/>
  <c r="U157" i="4" s="1"/>
  <c r="T16" i="4"/>
  <c r="T16" i="27" s="1"/>
  <c r="Y135" i="6"/>
  <c r="U150" i="5"/>
  <c r="Y150" i="6"/>
  <c r="AG150" i="5"/>
  <c r="AH150" i="5" s="1"/>
  <c r="T65" i="5"/>
  <c r="V65" i="27" s="1"/>
  <c r="T19" i="4"/>
  <c r="Y19" i="4" s="1"/>
  <c r="Z197" i="3" s="1"/>
  <c r="T95" i="4"/>
  <c r="Y95" i="4" s="1"/>
  <c r="Z169" i="3" s="1"/>
  <c r="T195" i="4"/>
  <c r="U195" i="4" s="1"/>
  <c r="M75" i="6"/>
  <c r="T195" i="5"/>
  <c r="Y195" i="6" s="1"/>
  <c r="T177" i="4"/>
  <c r="U177" i="4" s="1"/>
  <c r="T119" i="5"/>
  <c r="U119" i="5" s="1"/>
  <c r="T17" i="4"/>
  <c r="Y135" i="3" s="1"/>
  <c r="AG165" i="5"/>
  <c r="AH165" i="5" s="1"/>
  <c r="Y165" i="6"/>
  <c r="V112" i="27"/>
  <c r="U112" i="5"/>
  <c r="T125" i="5"/>
  <c r="AG125" i="5" s="1"/>
  <c r="AH125" i="5" s="1"/>
  <c r="T90" i="5"/>
  <c r="Y90" i="6" s="1"/>
  <c r="T155" i="4"/>
  <c r="Y155" i="4" s="1"/>
  <c r="Z102" i="3" s="1"/>
  <c r="T86" i="5"/>
  <c r="AG86" i="5" s="1"/>
  <c r="AH86" i="5" s="1"/>
  <c r="T5" i="5"/>
  <c r="V5" i="27" s="1"/>
  <c r="T164" i="5"/>
  <c r="AF164" i="5" s="1"/>
  <c r="Y164" i="5" s="1"/>
  <c r="Z164" i="6" s="1"/>
  <c r="M14" i="6"/>
  <c r="T54" i="4"/>
  <c r="T54" i="27" s="1"/>
  <c r="T100" i="4"/>
  <c r="Y56" i="3" s="1"/>
  <c r="T28" i="4"/>
  <c r="Y46" i="3" s="1"/>
  <c r="T35" i="5"/>
  <c r="V35" i="27" s="1"/>
  <c r="Y24" i="6"/>
  <c r="AG117" i="5"/>
  <c r="AH117" i="5" s="1"/>
  <c r="AG75" i="5"/>
  <c r="AH75" i="5" s="1"/>
  <c r="T10" i="5"/>
  <c r="U10" i="5" s="1"/>
  <c r="T205" i="5"/>
  <c r="V205" i="27" s="1"/>
  <c r="T200" i="4"/>
  <c r="Y200" i="4" s="1"/>
  <c r="Z199" i="3" s="1"/>
  <c r="U46" i="4"/>
  <c r="Y75" i="6"/>
  <c r="T88" i="5"/>
  <c r="U88" i="5" s="1"/>
  <c r="U75" i="5"/>
  <c r="T196" i="5"/>
  <c r="Y196" i="6" s="1"/>
  <c r="V24" i="27"/>
  <c r="AG24" i="5"/>
  <c r="AH24" i="5" s="1"/>
  <c r="T167" i="5"/>
  <c r="V167" i="27" s="1"/>
  <c r="T179" i="4"/>
  <c r="U179" i="4" s="1"/>
  <c r="U39" i="4"/>
  <c r="T145" i="4"/>
  <c r="Y145" i="4" s="1"/>
  <c r="Z18" i="3" s="1"/>
  <c r="T87" i="5"/>
  <c r="U87" i="5" s="1"/>
  <c r="T75" i="4"/>
  <c r="T75" i="27" s="1"/>
  <c r="T83" i="4"/>
  <c r="Y84" i="3" s="1"/>
  <c r="T46" i="5"/>
  <c r="U46" i="5" s="1"/>
  <c r="T111" i="4"/>
  <c r="Y111" i="4" s="1"/>
  <c r="Z51" i="3" s="1"/>
  <c r="T50" i="4"/>
  <c r="T50" i="27" s="1"/>
  <c r="T140" i="4"/>
  <c r="T140" i="27" s="1"/>
  <c r="T14" i="4"/>
  <c r="U14" i="4" s="1"/>
  <c r="T52" i="4"/>
  <c r="Y52" i="4" s="1"/>
  <c r="Z38" i="3" s="1"/>
  <c r="T25" i="5"/>
  <c r="AF25" i="5" s="1"/>
  <c r="Y25" i="5" s="1"/>
  <c r="Z25" i="6" s="1"/>
  <c r="T43" i="4"/>
  <c r="T43" i="27" s="1"/>
  <c r="T138" i="4"/>
  <c r="U138" i="4" s="1"/>
  <c r="Y123" i="3"/>
  <c r="T152" i="4"/>
  <c r="Y152" i="4" s="1"/>
  <c r="Z129" i="3" s="1"/>
  <c r="T20" i="5"/>
  <c r="V20" i="27" s="1"/>
  <c r="T162" i="5"/>
  <c r="AG162" i="5" s="1"/>
  <c r="AH162" i="5" s="1"/>
  <c r="T173" i="5"/>
  <c r="Y173" i="6" s="1"/>
  <c r="T39" i="5"/>
  <c r="U39" i="5" s="1"/>
  <c r="M36" i="3"/>
  <c r="T90" i="4"/>
  <c r="T68" i="5"/>
  <c r="AF68" i="5" s="1"/>
  <c r="Y68" i="5" s="1"/>
  <c r="Z68" i="6" s="1"/>
  <c r="T165" i="4"/>
  <c r="Y165" i="4" s="1"/>
  <c r="Z95" i="3" s="1"/>
  <c r="T147" i="4"/>
  <c r="Y174" i="3" s="1"/>
  <c r="T81" i="4"/>
  <c r="T81" i="27" s="1"/>
  <c r="T151" i="5"/>
  <c r="AG151" i="5" s="1"/>
  <c r="AH151" i="5" s="1"/>
  <c r="T7" i="4"/>
  <c r="T7" i="27" s="1"/>
  <c r="T86" i="4"/>
  <c r="Y53" i="3" s="1"/>
  <c r="U27" i="4"/>
  <c r="T159" i="5"/>
  <c r="AF159" i="5" s="1"/>
  <c r="Y159" i="5" s="1"/>
  <c r="Z159" i="6" s="1"/>
  <c r="T170" i="4"/>
  <c r="Y170" i="4" s="1"/>
  <c r="Z30" i="3" s="1"/>
  <c r="T133" i="4"/>
  <c r="Y133" i="4" s="1"/>
  <c r="Z25" i="3" s="1"/>
  <c r="T128" i="4"/>
  <c r="Y128" i="4" s="1"/>
  <c r="Z80" i="3" s="1"/>
  <c r="T118" i="4"/>
  <c r="T118" i="27" s="1"/>
  <c r="T107" i="5"/>
  <c r="AF107" i="5" s="1"/>
  <c r="Y107" i="5" s="1"/>
  <c r="Z107" i="6" s="1"/>
  <c r="T187" i="5"/>
  <c r="AG187" i="5" s="1"/>
  <c r="AH187" i="5" s="1"/>
  <c r="T18" i="4"/>
  <c r="Y18" i="4" s="1"/>
  <c r="Z104" i="3" s="1"/>
  <c r="U169" i="4"/>
  <c r="T169" i="27"/>
  <c r="T127" i="4"/>
  <c r="U127" i="4" s="1"/>
  <c r="T66" i="5"/>
  <c r="Y66" i="6" s="1"/>
  <c r="T198" i="5"/>
  <c r="AF198" i="5" s="1"/>
  <c r="Y198" i="5" s="1"/>
  <c r="Z198" i="6" s="1"/>
  <c r="T166" i="4"/>
  <c r="Y166" i="4" s="1"/>
  <c r="Z82" i="3" s="1"/>
  <c r="T102" i="5"/>
  <c r="AF102" i="5" s="1"/>
  <c r="Y102" i="5" s="1"/>
  <c r="Z102" i="6" s="1"/>
  <c r="T9" i="5"/>
  <c r="AF9" i="5" s="1"/>
  <c r="Y9" i="5" s="1"/>
  <c r="Z9" i="6" s="1"/>
  <c r="T171" i="5"/>
  <c r="AG171" i="5" s="1"/>
  <c r="AH171" i="5" s="1"/>
  <c r="T6" i="5"/>
  <c r="AF6" i="5" s="1"/>
  <c r="Y6" i="5" s="1"/>
  <c r="Z6" i="6" s="1"/>
  <c r="T77" i="4"/>
  <c r="Y77" i="4" s="1"/>
  <c r="Z204" i="3" s="1"/>
  <c r="T17" i="5"/>
  <c r="U17" i="5" s="1"/>
  <c r="T111" i="5"/>
  <c r="AF111" i="5" s="1"/>
  <c r="Y111" i="5" s="1"/>
  <c r="Z111" i="6" s="1"/>
  <c r="T92" i="5"/>
  <c r="V92" i="27" s="1"/>
  <c r="T126" i="4"/>
  <c r="Y126" i="4" s="1"/>
  <c r="Z176" i="3" s="1"/>
  <c r="T159" i="4"/>
  <c r="Y159" i="4" s="1"/>
  <c r="Z74" i="3" s="1"/>
  <c r="T98" i="4"/>
  <c r="T98" i="27" s="1"/>
  <c r="T22" i="4"/>
  <c r="Y22" i="4" s="1"/>
  <c r="Z203" i="3" s="1"/>
  <c r="T101" i="5"/>
  <c r="AF101" i="5" s="1"/>
  <c r="Y101" i="5" s="1"/>
  <c r="Z101" i="6" s="1"/>
  <c r="AF140" i="5"/>
  <c r="Y140" i="5" s="1"/>
  <c r="Z140" i="6" s="1"/>
  <c r="Y116" i="4"/>
  <c r="Z67" i="3" s="1"/>
  <c r="AF131" i="5"/>
  <c r="Y131" i="5" s="1"/>
  <c r="Z131" i="6" s="1"/>
  <c r="AF112" i="5"/>
  <c r="Y112" i="5" s="1"/>
  <c r="Z112" i="6" s="1"/>
  <c r="AF74" i="5"/>
  <c r="Y74" i="5" s="1"/>
  <c r="Z74" i="6" s="1"/>
  <c r="AF150" i="5"/>
  <c r="Y150" i="5" s="1"/>
  <c r="Z150" i="6" s="1"/>
  <c r="Y169" i="4"/>
  <c r="Z87" i="3" s="1"/>
  <c r="Y46" i="4"/>
  <c r="Z97" i="3" s="1"/>
  <c r="AF114" i="5"/>
  <c r="Y114" i="5" s="1"/>
  <c r="Z114" i="6" s="1"/>
  <c r="Y11" i="4"/>
  <c r="Z171" i="3" s="1"/>
  <c r="AF165" i="5"/>
  <c r="Y165" i="5" s="1"/>
  <c r="Z165" i="6" s="1"/>
  <c r="AF178" i="5"/>
  <c r="Y178" i="5" s="1"/>
  <c r="Z178" i="6" s="1"/>
  <c r="AF135" i="5"/>
  <c r="Y135" i="5" s="1"/>
  <c r="Z135" i="6" s="1"/>
  <c r="Y173" i="4"/>
  <c r="Z32" i="3" s="1"/>
  <c r="AF190" i="5"/>
  <c r="Y190" i="5" s="1"/>
  <c r="Z190" i="6" s="1"/>
  <c r="AF97" i="5"/>
  <c r="Y97" i="5" s="1"/>
  <c r="Z97" i="6" s="1"/>
  <c r="AF44" i="5"/>
  <c r="Y44" i="5" s="1"/>
  <c r="Z44" i="6" s="1"/>
  <c r="AF117" i="5"/>
  <c r="Y117" i="5" s="1"/>
  <c r="Z117" i="6" s="1"/>
  <c r="Y6" i="4"/>
  <c r="Z55" i="3" s="1"/>
  <c r="Y146" i="4"/>
  <c r="Z202" i="3" s="1"/>
  <c r="AH44" i="16"/>
  <c r="U44" i="16" s="1"/>
  <c r="V44" i="16" s="1"/>
  <c r="T99" i="4"/>
  <c r="Y201" i="3" s="1"/>
  <c r="AH46" i="16"/>
  <c r="T46" i="16" s="1"/>
  <c r="O45" i="16"/>
  <c r="T105" i="4"/>
  <c r="T105" i="27" s="1"/>
  <c r="T70" i="4"/>
  <c r="T50" i="5"/>
  <c r="V50" i="27" s="1"/>
  <c r="Y97" i="3"/>
  <c r="T183" i="4"/>
  <c r="Y183" i="4" s="1"/>
  <c r="Z12" i="3" s="1"/>
  <c r="T81" i="5"/>
  <c r="T197" i="4"/>
  <c r="T192" i="5"/>
  <c r="O46" i="16"/>
  <c r="O44" i="16"/>
  <c r="U11" i="4"/>
  <c r="T54" i="5"/>
  <c r="T77" i="5"/>
  <c r="T168" i="5"/>
  <c r="T186" i="4"/>
  <c r="T194" i="4"/>
  <c r="T194" i="27" s="1"/>
  <c r="T127" i="5"/>
  <c r="U127" i="5" s="1"/>
  <c r="T100" i="5"/>
  <c r="AG100" i="5" s="1"/>
  <c r="AH100" i="5" s="1"/>
  <c r="T23" i="5"/>
  <c r="V23" i="27" s="1"/>
  <c r="T4" i="5"/>
  <c r="Y4" i="6" s="1"/>
  <c r="AG14" i="5"/>
  <c r="AH14" i="5" s="1"/>
  <c r="T32" i="27"/>
  <c r="Y6" i="3"/>
  <c r="U32" i="4"/>
  <c r="T142" i="5"/>
  <c r="Y142" i="6" s="1"/>
  <c r="T64" i="5"/>
  <c r="AF64" i="5" s="1"/>
  <c r="Y64" i="5" s="1"/>
  <c r="Z64" i="6" s="1"/>
  <c r="T202" i="4"/>
  <c r="M182" i="3"/>
  <c r="T31" i="4"/>
  <c r="Y31" i="4" s="1"/>
  <c r="Z182" i="3" s="1"/>
  <c r="Y93" i="4"/>
  <c r="Z41" i="3" s="1"/>
  <c r="T26" i="5"/>
  <c r="U26" i="5" s="1"/>
  <c r="T147" i="5"/>
  <c r="V147" i="27" s="1"/>
  <c r="T196" i="4"/>
  <c r="Y196" i="4" s="1"/>
  <c r="Z156" i="3" s="1"/>
  <c r="T122" i="4"/>
  <c r="T33" i="5"/>
  <c r="AF33" i="5" s="1"/>
  <c r="Y33" i="5" s="1"/>
  <c r="Z33" i="6" s="1"/>
  <c r="T156" i="4"/>
  <c r="T43" i="5"/>
  <c r="AF43" i="5" s="1"/>
  <c r="Y43" i="5" s="1"/>
  <c r="Z43" i="6" s="1"/>
  <c r="T37" i="4"/>
  <c r="T152" i="5"/>
  <c r="T71" i="4"/>
  <c r="Y71" i="4" s="1"/>
  <c r="Z40" i="3" s="1"/>
  <c r="T183" i="5"/>
  <c r="T114" i="4"/>
  <c r="T176" i="4"/>
  <c r="AG61" i="5"/>
  <c r="AH61" i="5" s="1"/>
  <c r="AF61" i="5"/>
  <c r="Y61" i="5" s="1"/>
  <c r="Z61" i="6" s="1"/>
  <c r="T113" i="4"/>
  <c r="T113" i="27" s="1"/>
  <c r="T42" i="5"/>
  <c r="T180" i="5"/>
  <c r="U180" i="5" s="1"/>
  <c r="T119" i="4"/>
  <c r="T139" i="5"/>
  <c r="V139" i="27" s="1"/>
  <c r="T145" i="5"/>
  <c r="T49" i="5"/>
  <c r="T53" i="5"/>
  <c r="AF53" i="5" s="1"/>
  <c r="Y53" i="5" s="1"/>
  <c r="Z53" i="6" s="1"/>
  <c r="T11" i="27"/>
  <c r="T79" i="4"/>
  <c r="Y79" i="4" s="1"/>
  <c r="Z118" i="3" s="1"/>
  <c r="T129" i="5"/>
  <c r="V129" i="27" s="1"/>
  <c r="T33" i="4"/>
  <c r="Y58" i="3" s="1"/>
  <c r="T171" i="4"/>
  <c r="Y171" i="4" s="1"/>
  <c r="Z70" i="3" s="1"/>
  <c r="T56" i="5"/>
  <c r="T89" i="4"/>
  <c r="T42" i="4"/>
  <c r="T110" i="5"/>
  <c r="T206" i="27"/>
  <c r="Y86" i="3"/>
  <c r="U206" i="4"/>
  <c r="T137" i="5"/>
  <c r="AF137" i="5" s="1"/>
  <c r="Y137" i="5" s="1"/>
  <c r="Z137" i="6" s="1"/>
  <c r="T144" i="5"/>
  <c r="V144" i="27" s="1"/>
  <c r="T181" i="4"/>
  <c r="T181" i="27" s="1"/>
  <c r="T193" i="4"/>
  <c r="T193" i="27" s="1"/>
  <c r="T21" i="5"/>
  <c r="Y21" i="6" s="1"/>
  <c r="T186" i="5"/>
  <c r="AF186" i="5" s="1"/>
  <c r="Y186" i="5" s="1"/>
  <c r="Z186" i="6" s="1"/>
  <c r="U14" i="5"/>
  <c r="Y14" i="6"/>
  <c r="T130" i="5"/>
  <c r="V130" i="27" s="1"/>
  <c r="T185" i="4"/>
  <c r="T185" i="27" s="1"/>
  <c r="T189" i="4"/>
  <c r="T193" i="5"/>
  <c r="T35" i="4"/>
  <c r="Y187" i="3" s="1"/>
  <c r="T15" i="5"/>
  <c r="U15" i="5" s="1"/>
  <c r="T166" i="5"/>
  <c r="T57" i="5"/>
  <c r="T92" i="4"/>
  <c r="T94" i="4"/>
  <c r="Y108" i="3" s="1"/>
  <c r="T148" i="5"/>
  <c r="T67" i="5"/>
  <c r="T31" i="5"/>
  <c r="T155" i="5"/>
  <c r="T53" i="4"/>
  <c r="T191" i="4"/>
  <c r="Y68" i="3" s="1"/>
  <c r="T78" i="5"/>
  <c r="Y78" i="6" s="1"/>
  <c r="T6" i="27"/>
  <c r="U6" i="4"/>
  <c r="Y55" i="3"/>
  <c r="U93" i="4"/>
  <c r="U61" i="5"/>
  <c r="T144" i="4"/>
  <c r="Y144" i="4" s="1"/>
  <c r="Z65" i="3" s="1"/>
  <c r="T150" i="4"/>
  <c r="U150" i="4" s="1"/>
  <c r="T205" i="4"/>
  <c r="T115" i="5"/>
  <c r="T116" i="5"/>
  <c r="T73" i="4"/>
  <c r="T203" i="4"/>
  <c r="U203" i="4" s="1"/>
  <c r="Y41" i="3"/>
  <c r="V61" i="27"/>
  <c r="AJ43" i="16"/>
  <c r="T74" i="27"/>
  <c r="Y74" i="4"/>
  <c r="Z39" i="3" s="1"/>
  <c r="U74" i="4"/>
  <c r="Y39" i="3"/>
  <c r="U134" i="5"/>
  <c r="AG134" i="5"/>
  <c r="AH134" i="5" s="1"/>
  <c r="AF134" i="5"/>
  <c r="Y134" i="5" s="1"/>
  <c r="Z134" i="6" s="1"/>
  <c r="Y134" i="6"/>
  <c r="V134" i="27"/>
  <c r="U71" i="4"/>
  <c r="T71" i="27"/>
  <c r="T199" i="4"/>
  <c r="T26" i="4"/>
  <c r="M151" i="3"/>
  <c r="T113" i="5"/>
  <c r="M113" i="6"/>
  <c r="M177" i="3"/>
  <c r="T20" i="4"/>
  <c r="M174" i="6"/>
  <c r="T174" i="5"/>
  <c r="T19" i="5"/>
  <c r="M19" i="6"/>
  <c r="T174" i="4"/>
  <c r="M110" i="3"/>
  <c r="M89" i="6"/>
  <c r="T89" i="5"/>
  <c r="Y206" i="4"/>
  <c r="Z86" i="3" s="1"/>
  <c r="AF14" i="5"/>
  <c r="Y14" i="5" s="1"/>
  <c r="Z14" i="6" s="1"/>
  <c r="Y32" i="4"/>
  <c r="Z6" i="3" s="1"/>
  <c r="M182" i="6"/>
  <c r="T182" i="5"/>
  <c r="T96" i="5"/>
  <c r="M96" i="6"/>
  <c r="V149" i="27"/>
  <c r="T68" i="4"/>
  <c r="T188" i="4"/>
  <c r="T117" i="4"/>
  <c r="M85" i="3"/>
  <c r="T99" i="5"/>
  <c r="T78" i="4"/>
  <c r="M114" i="3"/>
  <c r="T138" i="5"/>
  <c r="T16" i="5"/>
  <c r="T12" i="4"/>
  <c r="T69" i="4"/>
  <c r="T122" i="5"/>
  <c r="T41" i="5"/>
  <c r="X31" i="16"/>
  <c r="U31" i="16"/>
  <c r="V31" i="16" s="1"/>
  <c r="T31" i="16"/>
  <c r="M88" i="3"/>
  <c r="T172" i="4"/>
  <c r="T4" i="4"/>
  <c r="T8" i="5"/>
  <c r="T153" i="5"/>
  <c r="Y137" i="3"/>
  <c r="Y115" i="4"/>
  <c r="Z137" i="3" s="1"/>
  <c r="T5" i="4"/>
  <c r="T123" i="5"/>
  <c r="M123" i="6"/>
  <c r="T148" i="4"/>
  <c r="T10" i="4"/>
  <c r="T15" i="4"/>
  <c r="T55" i="5"/>
  <c r="T69" i="5"/>
  <c r="T55" i="4"/>
  <c r="T91" i="4"/>
  <c r="T160" i="4"/>
  <c r="T95" i="5"/>
  <c r="T88" i="4"/>
  <c r="M29" i="3"/>
  <c r="Y27" i="4"/>
  <c r="Z123" i="3" s="1"/>
  <c r="U41" i="4"/>
  <c r="Y41" i="4"/>
  <c r="Z48" i="3" s="1"/>
  <c r="T41" i="27"/>
  <c r="Y48" i="3"/>
  <c r="AF149" i="5"/>
  <c r="Y149" i="5" s="1"/>
  <c r="Z149" i="6" s="1"/>
  <c r="U163" i="4"/>
  <c r="Y122" i="3"/>
  <c r="T163" i="27"/>
  <c r="Y163" i="4"/>
  <c r="Z122" i="3" s="1"/>
  <c r="AF45" i="16" a="1"/>
  <c r="AF45" i="16" s="1"/>
  <c r="AH45" i="16" s="1"/>
  <c r="V196" i="27"/>
  <c r="M12" i="6"/>
  <c r="T12" i="5"/>
  <c r="T36" i="5"/>
  <c r="M36" i="6"/>
  <c r="T121" i="5"/>
  <c r="M121" i="6"/>
  <c r="T51" i="5"/>
  <c r="M51" i="6"/>
  <c r="M3" i="6"/>
  <c r="T3" i="5"/>
  <c r="T110" i="4"/>
  <c r="T49" i="4"/>
  <c r="M188" i="3"/>
  <c r="Y180" i="6"/>
  <c r="AF180" i="5"/>
  <c r="Y180" i="5" s="1"/>
  <c r="Z180" i="6" s="1"/>
  <c r="V180" i="27"/>
  <c r="V117" i="27"/>
  <c r="Y117" i="6"/>
  <c r="T97" i="4"/>
  <c r="T65" i="4"/>
  <c r="T201" i="5"/>
  <c r="M201" i="6"/>
  <c r="Y155" i="3"/>
  <c r="Y135" i="4"/>
  <c r="Z155" i="3" s="1"/>
  <c r="T135" i="27"/>
  <c r="U135" i="4"/>
  <c r="T201" i="4"/>
  <c r="T189" i="5"/>
  <c r="M189" i="6"/>
  <c r="T22" i="5"/>
  <c r="T93" i="5"/>
  <c r="T130" i="4"/>
  <c r="T158" i="4"/>
  <c r="M107" i="3"/>
  <c r="T73" i="5"/>
  <c r="T85" i="5"/>
  <c r="T36" i="4"/>
  <c r="T139" i="4"/>
  <c r="M43" i="3"/>
  <c r="T25" i="4"/>
  <c r="T204" i="4"/>
  <c r="T161" i="5"/>
  <c r="T24" i="4"/>
  <c r="T23" i="4"/>
  <c r="T168" i="4"/>
  <c r="T141" i="4"/>
  <c r="T91" i="5"/>
  <c r="T103" i="4"/>
  <c r="M22" i="3"/>
  <c r="T184" i="4"/>
  <c r="T7" i="5"/>
  <c r="M141" i="6"/>
  <c r="T141" i="5"/>
  <c r="Y30" i="6"/>
  <c r="AG30" i="5"/>
  <c r="AH30" i="5" s="1"/>
  <c r="U30" i="5"/>
  <c r="AF30" i="5"/>
  <c r="Y30" i="5" s="1"/>
  <c r="Z30" i="6" s="1"/>
  <c r="AF76" i="5"/>
  <c r="Y76" i="5" s="1"/>
  <c r="Z76" i="6" s="1"/>
  <c r="Y179" i="6"/>
  <c r="U179" i="5"/>
  <c r="V179" i="27"/>
  <c r="AG179" i="5"/>
  <c r="AH179" i="5" s="1"/>
  <c r="U104" i="4"/>
  <c r="Y112" i="3"/>
  <c r="T104" i="27"/>
  <c r="Y104" i="4"/>
  <c r="Z112" i="3" s="1"/>
  <c r="M124" i="3"/>
  <c r="T8" i="4"/>
  <c r="V104" i="27"/>
  <c r="Y104" i="6"/>
  <c r="AF104" i="5"/>
  <c r="Y104" i="5" s="1"/>
  <c r="Z104" i="6" s="1"/>
  <c r="AG104" i="5"/>
  <c r="AH104" i="5" s="1"/>
  <c r="U104" i="5"/>
  <c r="T72" i="5"/>
  <c r="M72" i="6"/>
  <c r="T181" i="5"/>
  <c r="Y39" i="4"/>
  <c r="Z142" i="3" s="1"/>
  <c r="T39" i="27"/>
  <c r="T197" i="5"/>
  <c r="T34" i="4"/>
  <c r="M184" i="6"/>
  <c r="T184" i="5"/>
  <c r="M47" i="6"/>
  <c r="T47" i="5"/>
  <c r="T96" i="4"/>
  <c r="M99" i="3"/>
  <c r="T203" i="5"/>
  <c r="T59" i="4"/>
  <c r="T87" i="4"/>
  <c r="T169" i="5"/>
  <c r="M169" i="6"/>
  <c r="V190" i="27"/>
  <c r="U190" i="5"/>
  <c r="AG190" i="5"/>
  <c r="AH190" i="5" s="1"/>
  <c r="Y190" i="6"/>
  <c r="T107" i="4"/>
  <c r="U74" i="5"/>
  <c r="V74" i="27"/>
  <c r="AG74" i="5"/>
  <c r="AH74" i="5" s="1"/>
  <c r="Y74" i="6"/>
  <c r="V30" i="27"/>
  <c r="T124" i="5"/>
  <c r="M124" i="6"/>
  <c r="T142" i="4"/>
  <c r="M14" i="3"/>
  <c r="M136" i="6"/>
  <c r="T136" i="5"/>
  <c r="T67" i="4"/>
  <c r="U21" i="4"/>
  <c r="T21" i="27"/>
  <c r="Y90" i="3"/>
  <c r="Y21" i="4"/>
  <c r="Z90" i="3" s="1"/>
  <c r="X43" i="16"/>
  <c r="T118" i="5"/>
  <c r="M118" i="6"/>
  <c r="T60" i="5"/>
  <c r="T102" i="4"/>
  <c r="T56" i="4"/>
  <c r="T108" i="4"/>
  <c r="T28" i="16"/>
  <c r="AO5" i="16" s="1"/>
  <c r="X28" i="16"/>
  <c r="U28" i="16"/>
  <c r="V28" i="16" s="1"/>
  <c r="AS5" i="16" s="1"/>
  <c r="T133" i="5"/>
  <c r="T28" i="5"/>
  <c r="T200" i="5"/>
  <c r="T9" i="4"/>
  <c r="V143" i="27"/>
  <c r="AG143" i="5"/>
  <c r="AH143" i="5" s="1"/>
  <c r="U143" i="5"/>
  <c r="Y143" i="6"/>
  <c r="AF143" i="5"/>
  <c r="Y143" i="5" s="1"/>
  <c r="Z143" i="6" s="1"/>
  <c r="T34" i="5"/>
  <c r="T170" i="5"/>
  <c r="T101" i="4"/>
  <c r="M143" i="3"/>
  <c r="AF75" i="5"/>
  <c r="Y75" i="5" s="1"/>
  <c r="Z75" i="6" s="1"/>
  <c r="M79" i="6"/>
  <c r="T79" i="5"/>
  <c r="T182" i="4"/>
  <c r="M134" i="3"/>
  <c r="M206" i="6"/>
  <c r="T206" i="5"/>
  <c r="M156" i="6"/>
  <c r="T156" i="5"/>
  <c r="T109" i="5"/>
  <c r="T70" i="5"/>
  <c r="M7" i="3"/>
  <c r="T51" i="4"/>
  <c r="T37" i="5"/>
  <c r="M37" i="6"/>
  <c r="T132" i="5"/>
  <c r="M132" i="6"/>
  <c r="T58" i="5"/>
  <c r="T13" i="5"/>
  <c r="T108" i="5"/>
  <c r="T191" i="5"/>
  <c r="T60" i="4"/>
  <c r="AF24" i="5"/>
  <c r="Y24" i="5" s="1"/>
  <c r="Z24" i="6" s="1"/>
  <c r="T47" i="4"/>
  <c r="T198" i="4"/>
  <c r="T202" i="5"/>
  <c r="M23" i="3"/>
  <c r="T124" i="4"/>
  <c r="T175" i="5"/>
  <c r="T188" i="5"/>
  <c r="U45" i="5"/>
  <c r="AF45" i="5"/>
  <c r="Y45" i="5" s="1"/>
  <c r="Z45" i="6" s="1"/>
  <c r="AG45" i="5"/>
  <c r="AH45" i="5" s="1"/>
  <c r="V45" i="27"/>
  <c r="Y45" i="6"/>
  <c r="T175" i="4"/>
  <c r="T131" i="4"/>
  <c r="M27" i="3"/>
  <c r="U149" i="5"/>
  <c r="T105" i="5"/>
  <c r="M105" i="6"/>
  <c r="T48" i="4"/>
  <c r="T29" i="5"/>
  <c r="M29" i="6"/>
  <c r="T161" i="4"/>
  <c r="M154" i="3"/>
  <c r="T44" i="4"/>
  <c r="M205" i="3"/>
  <c r="V97" i="27"/>
  <c r="Y97" i="6"/>
  <c r="T64" i="4"/>
  <c r="T27" i="5"/>
  <c r="M27" i="6"/>
  <c r="M163" i="3"/>
  <c r="T112" i="4"/>
  <c r="V94" i="27"/>
  <c r="Y94" i="6"/>
  <c r="AF94" i="5"/>
  <c r="Y94" i="5" s="1"/>
  <c r="Z94" i="6" s="1"/>
  <c r="T40" i="5"/>
  <c r="Y154" i="4"/>
  <c r="Z9" i="3" s="1"/>
  <c r="T98" i="5"/>
  <c r="T38" i="4"/>
  <c r="AG128" i="5"/>
  <c r="AH128" i="5" s="1"/>
  <c r="U128" i="5"/>
  <c r="AF128" i="5"/>
  <c r="Y128" i="5" s="1"/>
  <c r="Z128" i="6" s="1"/>
  <c r="Y128" i="6"/>
  <c r="V128" i="27"/>
  <c r="T106" i="5"/>
  <c r="T106" i="4"/>
  <c r="T58" i="4"/>
  <c r="T84" i="4"/>
  <c r="T109" i="4"/>
  <c r="M159" i="3"/>
  <c r="T163" i="5"/>
  <c r="T52" i="5"/>
  <c r="T187" i="4"/>
  <c r="T149" i="4"/>
  <c r="T40" i="4"/>
  <c r="M153" i="3"/>
  <c r="Y179" i="3"/>
  <c r="Y3" i="4"/>
  <c r="Z179" i="3" s="1"/>
  <c r="T3" i="27"/>
  <c r="T199" i="5"/>
  <c r="T29" i="4"/>
  <c r="T120" i="5"/>
  <c r="M120" i="6"/>
  <c r="T132" i="4"/>
  <c r="M161" i="3"/>
  <c r="T83" i="5"/>
  <c r="T63" i="5"/>
  <c r="AG140" i="5"/>
  <c r="AH140" i="5" s="1"/>
  <c r="V140" i="27"/>
  <c r="Y140" i="6"/>
  <c r="T103" i="5"/>
  <c r="T32" i="5"/>
  <c r="T43" i="16"/>
  <c r="W43" i="16" s="1"/>
  <c r="T62" i="4"/>
  <c r="M141" i="3"/>
  <c r="T13" i="4"/>
  <c r="T204" i="5"/>
  <c r="M82" i="6"/>
  <c r="T82" i="5"/>
  <c r="T137" i="4"/>
  <c r="M89" i="3"/>
  <c r="T123" i="4"/>
  <c r="T82" i="4"/>
  <c r="T136" i="4"/>
  <c r="T11" i="5"/>
  <c r="T153" i="4"/>
  <c r="T30" i="4"/>
  <c r="T45" i="4"/>
  <c r="T62" i="5"/>
  <c r="M62" i="6"/>
  <c r="T59" i="5"/>
  <c r="T190" i="4"/>
  <c r="M18" i="6"/>
  <c r="T18" i="5"/>
  <c r="T126" i="5"/>
  <c r="M126" i="6"/>
  <c r="Y54" i="6"/>
  <c r="AF54" i="5"/>
  <c r="Y54" i="5" s="1"/>
  <c r="Z54" i="6" s="1"/>
  <c r="U54" i="5"/>
  <c r="V54" i="27"/>
  <c r="AG54" i="5"/>
  <c r="AH54" i="5" s="1"/>
  <c r="T154" i="5"/>
  <c r="T176" i="5"/>
  <c r="T61" i="4"/>
  <c r="M136" i="3"/>
  <c r="T125" i="4"/>
  <c r="M15" i="3"/>
  <c r="T178" i="4"/>
  <c r="T48" i="5"/>
  <c r="T38" i="5"/>
  <c r="M38" i="6"/>
  <c r="T167" i="4"/>
  <c r="T32" i="16"/>
  <c r="X32" i="16"/>
  <c r="U32" i="16"/>
  <c r="V32" i="16" s="1"/>
  <c r="T72" i="4"/>
  <c r="Y88" i="6"/>
  <c r="M157" i="6"/>
  <c r="T157" i="5"/>
  <c r="Y172" i="6"/>
  <c r="U172" i="5"/>
  <c r="V172" i="27"/>
  <c r="AF172" i="5"/>
  <c r="Y172" i="5" s="1"/>
  <c r="Z172" i="6" s="1"/>
  <c r="T84" i="5"/>
  <c r="T80" i="4"/>
  <c r="M66" i="3"/>
  <c r="M146" i="6"/>
  <c r="T146" i="5"/>
  <c r="AF160" i="5"/>
  <c r="Y160" i="5" s="1"/>
  <c r="Z160" i="6" s="1"/>
  <c r="V160" i="27"/>
  <c r="AG160" i="5"/>
  <c r="AH160" i="5" s="1"/>
  <c r="U160" i="5"/>
  <c r="Y160" i="6"/>
  <c r="T151" i="4"/>
  <c r="T129" i="4"/>
  <c r="M72" i="3"/>
  <c r="T80" i="5"/>
  <c r="T177" i="5"/>
  <c r="M177" i="6"/>
  <c r="T37" i="16"/>
  <c r="W37" i="16" s="1"/>
  <c r="U37" i="16"/>
  <c r="V37" i="16" s="1"/>
  <c r="AJ37" i="16" s="1"/>
  <c r="S38" i="16"/>
  <c r="W19" i="16"/>
  <c r="W39" i="16"/>
  <c r="W17" i="16"/>
  <c r="T162" i="27"/>
  <c r="Y162" i="4"/>
  <c r="Z181" i="3" s="1"/>
  <c r="Y181" i="3"/>
  <c r="U162" i="4"/>
  <c r="T146" i="27"/>
  <c r="U71" i="5"/>
  <c r="V71" i="27"/>
  <c r="AG71" i="5"/>
  <c r="AH71" i="5" s="1"/>
  <c r="Y71" i="6"/>
  <c r="AF71" i="5"/>
  <c r="Y71" i="5" s="1"/>
  <c r="Z71" i="6" s="1"/>
  <c r="Y202" i="3"/>
  <c r="U146" i="4"/>
  <c r="Y193" i="3"/>
  <c r="Y66" i="4"/>
  <c r="Z193" i="3" s="1"/>
  <c r="T66" i="27"/>
  <c r="U66" i="4"/>
  <c r="Y120" i="4"/>
  <c r="Z44" i="3" s="1"/>
  <c r="T120" i="27"/>
  <c r="Y44" i="3"/>
  <c r="U120" i="4"/>
  <c r="T134" i="27"/>
  <c r="Y134" i="4"/>
  <c r="Z119" i="3" s="1"/>
  <c r="U134" i="4"/>
  <c r="Y119" i="3"/>
  <c r="Y83" i="3"/>
  <c r="Y121" i="4"/>
  <c r="Z83" i="3" s="1"/>
  <c r="T121" i="27"/>
  <c r="U121" i="4"/>
  <c r="AG149" i="5"/>
  <c r="AH149" i="5" s="1"/>
  <c r="Y113" i="3"/>
  <c r="T164" i="27"/>
  <c r="U164" i="4"/>
  <c r="Y164" i="4"/>
  <c r="Z113" i="3" s="1"/>
  <c r="T192" i="27"/>
  <c r="Y192" i="4"/>
  <c r="Z20" i="3" s="1"/>
  <c r="U192" i="4"/>
  <c r="Y20" i="3"/>
  <c r="Y194" i="6"/>
  <c r="U194" i="5"/>
  <c r="AG194" i="5"/>
  <c r="AH194" i="5" s="1"/>
  <c r="AF194" i="5"/>
  <c r="Y194" i="5" s="1"/>
  <c r="Z194" i="6" s="1"/>
  <c r="V194" i="27"/>
  <c r="Y157" i="3"/>
  <c r="U143" i="4"/>
  <c r="T143" i="27"/>
  <c r="Y143" i="4"/>
  <c r="Z157" i="3" s="1"/>
  <c r="Y62" i="3"/>
  <c r="Y76" i="4"/>
  <c r="Z62" i="3" s="1"/>
  <c r="U76" i="4"/>
  <c r="T76" i="27"/>
  <c r="V158" i="27"/>
  <c r="Y158" i="6"/>
  <c r="AF158" i="5"/>
  <c r="Y158" i="5" s="1"/>
  <c r="Z158" i="6" s="1"/>
  <c r="U158" i="5"/>
  <c r="AG158" i="5"/>
  <c r="AH158" i="5" s="1"/>
  <c r="U63" i="4"/>
  <c r="T63" i="27"/>
  <c r="Y63" i="4"/>
  <c r="Z145" i="3" s="1"/>
  <c r="Y145" i="3"/>
  <c r="U180" i="4"/>
  <c r="Y180" i="4"/>
  <c r="Z4" i="3" s="1"/>
  <c r="T180" i="27"/>
  <c r="Y4" i="3"/>
  <c r="AF185" i="5"/>
  <c r="Y185" i="5" s="1"/>
  <c r="Z185" i="6" s="1"/>
  <c r="Y185" i="6"/>
  <c r="AG185" i="5"/>
  <c r="AH185" i="5" s="1"/>
  <c r="V185" i="27"/>
  <c r="U185" i="5"/>
  <c r="U57" i="4"/>
  <c r="T57" i="27"/>
  <c r="Y173" i="3"/>
  <c r="Y57" i="4"/>
  <c r="Z173" i="3" s="1"/>
  <c r="AK42" i="16"/>
  <c r="AK41" i="16"/>
  <c r="W42" i="16"/>
  <c r="AJ40" i="16"/>
  <c r="W40" i="16"/>
  <c r="S40" i="16"/>
  <c r="Y85" i="4" l="1"/>
  <c r="Z47" i="3" s="1"/>
  <c r="Y76" i="3"/>
  <c r="AF196" i="5"/>
  <c r="Y196" i="5" s="1"/>
  <c r="Z196" i="6" s="1"/>
  <c r="AG196" i="5"/>
  <c r="AH196" i="5" s="1"/>
  <c r="Y40" i="3"/>
  <c r="Y16" i="4"/>
  <c r="Z184" i="3" s="1"/>
  <c r="Y184" i="3"/>
  <c r="Y157" i="4"/>
  <c r="Z76" i="3" s="1"/>
  <c r="AG88" i="5"/>
  <c r="AH88" i="5" s="1"/>
  <c r="T85" i="27"/>
  <c r="U85" i="4"/>
  <c r="AF88" i="5"/>
  <c r="Y88" i="5" s="1"/>
  <c r="Z88" i="6" s="1"/>
  <c r="T157" i="27"/>
  <c r="Y17" i="4"/>
  <c r="Z135" i="3" s="1"/>
  <c r="AF65" i="5"/>
  <c r="Y65" i="5" s="1"/>
  <c r="Z65" i="6" s="1"/>
  <c r="T154" i="27"/>
  <c r="Y9" i="3"/>
  <c r="V88" i="27"/>
  <c r="Y31" i="3"/>
  <c r="T138" i="27"/>
  <c r="Y195" i="4"/>
  <c r="Z26" i="3" s="1"/>
  <c r="U65" i="5"/>
  <c r="AG15" i="5"/>
  <c r="AH15" i="5" s="1"/>
  <c r="Y15" i="6"/>
  <c r="V15" i="27"/>
  <c r="AF15" i="5"/>
  <c r="Y15" i="5" s="1"/>
  <c r="Z15" i="6" s="1"/>
  <c r="Y102" i="3"/>
  <c r="AF130" i="5"/>
  <c r="Y130" i="5" s="1"/>
  <c r="Z130" i="6" s="1"/>
  <c r="U16" i="4"/>
  <c r="AF195" i="5"/>
  <c r="Y195" i="5" s="1"/>
  <c r="Z195" i="6" s="1"/>
  <c r="Y150" i="4"/>
  <c r="Z42" i="3" s="1"/>
  <c r="Y197" i="3"/>
  <c r="U19" i="4"/>
  <c r="T150" i="27"/>
  <c r="Y42" i="3"/>
  <c r="AG130" i="5"/>
  <c r="AH130" i="5" s="1"/>
  <c r="U196" i="5"/>
  <c r="Y65" i="6"/>
  <c r="T111" i="27"/>
  <c r="Y51" i="3"/>
  <c r="U111" i="4"/>
  <c r="AG195" i="5"/>
  <c r="AH195" i="5" s="1"/>
  <c r="Y70" i="3"/>
  <c r="Y177" i="4"/>
  <c r="Z91" i="3" s="1"/>
  <c r="AG65" i="5"/>
  <c r="AH65" i="5" s="1"/>
  <c r="AF119" i="5"/>
  <c r="Y119" i="5" s="1"/>
  <c r="Z119" i="6" s="1"/>
  <c r="V119" i="27"/>
  <c r="AG119" i="5"/>
  <c r="AH119" i="5" s="1"/>
  <c r="Y119" i="6"/>
  <c r="V195" i="27"/>
  <c r="U195" i="5"/>
  <c r="AF5" i="5"/>
  <c r="Y5" i="5" s="1"/>
  <c r="Z5" i="6" s="1"/>
  <c r="Y138" i="4"/>
  <c r="Z31" i="3" s="1"/>
  <c r="T177" i="27"/>
  <c r="T195" i="27"/>
  <c r="T19" i="27"/>
  <c r="Y26" i="3"/>
  <c r="T95" i="27"/>
  <c r="U95" i="4"/>
  <c r="Y169" i="3"/>
  <c r="Y126" i="3"/>
  <c r="Y95" i="3"/>
  <c r="U17" i="4"/>
  <c r="T17" i="27"/>
  <c r="AG180" i="5"/>
  <c r="AH180" i="5" s="1"/>
  <c r="U130" i="5"/>
  <c r="T171" i="27"/>
  <c r="U171" i="4"/>
  <c r="AF125" i="5"/>
  <c r="Y125" i="5" s="1"/>
  <c r="Z125" i="6" s="1"/>
  <c r="V125" i="27"/>
  <c r="Y125" i="6"/>
  <c r="Y91" i="3"/>
  <c r="Y5" i="6"/>
  <c r="U125" i="5"/>
  <c r="V90" i="27"/>
  <c r="AF90" i="5"/>
  <c r="Y90" i="5" s="1"/>
  <c r="Z90" i="6" s="1"/>
  <c r="AG90" i="5"/>
  <c r="AH90" i="5" s="1"/>
  <c r="U90" i="5"/>
  <c r="U133" i="4"/>
  <c r="Y25" i="3"/>
  <c r="Y193" i="4"/>
  <c r="Z77" i="3" s="1"/>
  <c r="Y77" i="3"/>
  <c r="U193" i="4"/>
  <c r="Y54" i="4"/>
  <c r="Z125" i="3" s="1"/>
  <c r="U5" i="5"/>
  <c r="U155" i="4"/>
  <c r="T155" i="27"/>
  <c r="U165" i="4"/>
  <c r="T165" i="27"/>
  <c r="T52" i="27"/>
  <c r="U86" i="5"/>
  <c r="AG164" i="5"/>
  <c r="AH164" i="5" s="1"/>
  <c r="U164" i="5"/>
  <c r="V164" i="27"/>
  <c r="Y164" i="6"/>
  <c r="Y187" i="6"/>
  <c r="AF187" i="5"/>
  <c r="Y187" i="5" s="1"/>
  <c r="Z187" i="6" s="1"/>
  <c r="U187" i="5"/>
  <c r="V187" i="27"/>
  <c r="V86" i="27"/>
  <c r="Y86" i="6"/>
  <c r="AF86" i="5"/>
  <c r="Y86" i="5" s="1"/>
  <c r="Z86" i="6" s="1"/>
  <c r="AG35" i="5"/>
  <c r="AH35" i="5" s="1"/>
  <c r="U35" i="5"/>
  <c r="AF35" i="5"/>
  <c r="Y35" i="5" s="1"/>
  <c r="Z35" i="6" s="1"/>
  <c r="Y35" i="6"/>
  <c r="AG5" i="5"/>
  <c r="AH5" i="5" s="1"/>
  <c r="V10" i="27"/>
  <c r="Y87" i="6"/>
  <c r="AF87" i="5"/>
  <c r="Y87" i="5" s="1"/>
  <c r="Z87" i="6" s="1"/>
  <c r="AG87" i="5"/>
  <c r="AH87" i="5" s="1"/>
  <c r="V87" i="27"/>
  <c r="Y179" i="4"/>
  <c r="Z191" i="3" s="1"/>
  <c r="Y127" i="6"/>
  <c r="Y100" i="4"/>
  <c r="Z56" i="3" s="1"/>
  <c r="AG10" i="5"/>
  <c r="AH10" i="5" s="1"/>
  <c r="Y10" i="6"/>
  <c r="AF10" i="5"/>
  <c r="Y10" i="5" s="1"/>
  <c r="Z10" i="6" s="1"/>
  <c r="T28" i="27"/>
  <c r="Y28" i="4"/>
  <c r="Z46" i="3" s="1"/>
  <c r="U28" i="4"/>
  <c r="Y147" i="4"/>
  <c r="Z174" i="3" s="1"/>
  <c r="U147" i="4"/>
  <c r="T147" i="27"/>
  <c r="U75" i="4"/>
  <c r="Y75" i="4"/>
  <c r="Z17" i="3" s="1"/>
  <c r="U54" i="4"/>
  <c r="Y125" i="3"/>
  <c r="T133" i="27"/>
  <c r="Y38" i="3"/>
  <c r="U52" i="4"/>
  <c r="T100" i="27"/>
  <c r="Y43" i="4"/>
  <c r="Z126" i="3" s="1"/>
  <c r="U43" i="4"/>
  <c r="Y205" i="6"/>
  <c r="U205" i="5"/>
  <c r="U100" i="4"/>
  <c r="AG205" i="5"/>
  <c r="AH205" i="5" s="1"/>
  <c r="V127" i="27"/>
  <c r="AF205" i="5"/>
  <c r="Y205" i="5" s="1"/>
  <c r="Z205" i="6" s="1"/>
  <c r="AF127" i="5"/>
  <c r="Y127" i="5" s="1"/>
  <c r="Z127" i="6" s="1"/>
  <c r="AG127" i="5"/>
  <c r="AH127" i="5" s="1"/>
  <c r="U151" i="5"/>
  <c r="Y121" i="3"/>
  <c r="U194" i="4"/>
  <c r="Y194" i="4"/>
  <c r="Z121" i="3" s="1"/>
  <c r="AF39" i="5"/>
  <c r="Y39" i="5" s="1"/>
  <c r="Z39" i="6" s="1"/>
  <c r="Y39" i="6"/>
  <c r="AG64" i="5"/>
  <c r="AH64" i="5" s="1"/>
  <c r="U64" i="5"/>
  <c r="V64" i="27"/>
  <c r="AG26" i="5"/>
  <c r="AH26" i="5" s="1"/>
  <c r="Y83" i="4"/>
  <c r="Z84" i="3" s="1"/>
  <c r="Y199" i="3"/>
  <c r="U200" i="4"/>
  <c r="T200" i="27"/>
  <c r="Y167" i="6"/>
  <c r="AG167" i="5"/>
  <c r="AH167" i="5" s="1"/>
  <c r="AF167" i="5"/>
  <c r="Y167" i="5" s="1"/>
  <c r="Z167" i="6" s="1"/>
  <c r="U167" i="5"/>
  <c r="Y130" i="6"/>
  <c r="Y160" i="3"/>
  <c r="Y14" i="4"/>
  <c r="Z160" i="3" s="1"/>
  <c r="T14" i="27"/>
  <c r="Y69" i="3"/>
  <c r="AF173" i="5"/>
  <c r="Y173" i="5" s="1"/>
  <c r="Z173" i="6" s="1"/>
  <c r="T179" i="27"/>
  <c r="Y100" i="6"/>
  <c r="Y191" i="3"/>
  <c r="AF46" i="5"/>
  <c r="Y46" i="5" s="1"/>
  <c r="Z46" i="6" s="1"/>
  <c r="T83" i="27"/>
  <c r="AF151" i="5"/>
  <c r="Y151" i="5" s="1"/>
  <c r="Z151" i="6" s="1"/>
  <c r="U83" i="4"/>
  <c r="AG147" i="5"/>
  <c r="AH147" i="5" s="1"/>
  <c r="Y64" i="6"/>
  <c r="U86" i="4"/>
  <c r="V171" i="27"/>
  <c r="AG78" i="5"/>
  <c r="AH78" i="5" s="1"/>
  <c r="U50" i="4"/>
  <c r="Y17" i="3"/>
  <c r="AF26" i="5"/>
  <c r="Y26" i="5" s="1"/>
  <c r="Z26" i="6" s="1"/>
  <c r="Y7" i="4"/>
  <c r="Z94" i="3" s="1"/>
  <c r="Y94" i="3"/>
  <c r="U7" i="4"/>
  <c r="AG20" i="5"/>
  <c r="AH20" i="5" s="1"/>
  <c r="Y20" i="6"/>
  <c r="Y45" i="3"/>
  <c r="Y151" i="6"/>
  <c r="V151" i="27"/>
  <c r="Y50" i="4"/>
  <c r="Z45" i="3" s="1"/>
  <c r="Y162" i="6"/>
  <c r="U162" i="5"/>
  <c r="AF162" i="5"/>
  <c r="Y162" i="5" s="1"/>
  <c r="Z162" i="6" s="1"/>
  <c r="V162" i="27"/>
  <c r="Y5" i="3"/>
  <c r="AG39" i="5"/>
  <c r="AH39" i="5" s="1"/>
  <c r="V39" i="27"/>
  <c r="U99" i="4"/>
  <c r="T145" i="27"/>
  <c r="U145" i="4"/>
  <c r="Y18" i="3"/>
  <c r="Y26" i="6"/>
  <c r="AF21" i="5"/>
  <c r="Y21" i="5" s="1"/>
  <c r="Z21" i="6" s="1"/>
  <c r="U140" i="4"/>
  <c r="U20" i="5"/>
  <c r="Y92" i="3"/>
  <c r="Y140" i="4"/>
  <c r="Z92" i="3" s="1"/>
  <c r="AG46" i="5"/>
  <c r="AH46" i="5" s="1"/>
  <c r="Y46" i="6"/>
  <c r="AF20" i="5"/>
  <c r="Y20" i="5" s="1"/>
  <c r="Z20" i="6" s="1"/>
  <c r="V46" i="27"/>
  <c r="Y147" i="6"/>
  <c r="Y99" i="4"/>
  <c r="Z201" i="3" s="1"/>
  <c r="AF92" i="5"/>
  <c r="Y92" i="5" s="1"/>
  <c r="Z92" i="6" s="1"/>
  <c r="U92" i="5"/>
  <c r="AG92" i="5"/>
  <c r="AH92" i="5" s="1"/>
  <c r="Y92" i="6"/>
  <c r="T99" i="27"/>
  <c r="U147" i="5"/>
  <c r="Y81" i="4"/>
  <c r="Z11" i="3" s="1"/>
  <c r="T86" i="27"/>
  <c r="U25" i="5"/>
  <c r="AG25" i="5"/>
  <c r="AH25" i="5" s="1"/>
  <c r="V25" i="27"/>
  <c r="Y25" i="6"/>
  <c r="AG66" i="5"/>
  <c r="AH66" i="5" s="1"/>
  <c r="U66" i="5"/>
  <c r="V66" i="27"/>
  <c r="AF66" i="5"/>
  <c r="Y66" i="5" s="1"/>
  <c r="Z66" i="6" s="1"/>
  <c r="U77" i="4"/>
  <c r="T77" i="27"/>
  <c r="Y186" i="6"/>
  <c r="U152" i="4"/>
  <c r="Y129" i="3"/>
  <c r="T152" i="27"/>
  <c r="Y118" i="4"/>
  <c r="Z33" i="3" s="1"/>
  <c r="Y36" i="3"/>
  <c r="T90" i="27"/>
  <c r="U90" i="4"/>
  <c r="AF17" i="5"/>
  <c r="Y17" i="5" s="1"/>
  <c r="Z17" i="6" s="1"/>
  <c r="U118" i="4"/>
  <c r="U21" i="5"/>
  <c r="AG17" i="5"/>
  <c r="AH17" i="5" s="1"/>
  <c r="Y33" i="3"/>
  <c r="V17" i="27"/>
  <c r="Y17" i="6"/>
  <c r="V100" i="27"/>
  <c r="V21" i="27"/>
  <c r="AG21" i="5"/>
  <c r="AH21" i="5" s="1"/>
  <c r="Y90" i="4"/>
  <c r="Z36" i="3" s="1"/>
  <c r="AG173" i="5"/>
  <c r="AH173" i="5" s="1"/>
  <c r="V173" i="27"/>
  <c r="U173" i="5"/>
  <c r="U78" i="5"/>
  <c r="V78" i="27"/>
  <c r="AF78" i="5"/>
  <c r="Y78" i="5" s="1"/>
  <c r="Z78" i="6" s="1"/>
  <c r="U185" i="4"/>
  <c r="Y50" i="6"/>
  <c r="AG50" i="5"/>
  <c r="AH50" i="5" s="1"/>
  <c r="Y185" i="4"/>
  <c r="Z69" i="3" s="1"/>
  <c r="U50" i="5"/>
  <c r="U81" i="4"/>
  <c r="AF50" i="5"/>
  <c r="Y50" i="5" s="1"/>
  <c r="Z50" i="6" s="1"/>
  <c r="U68" i="5"/>
  <c r="V68" i="27"/>
  <c r="AG68" i="5"/>
  <c r="AH68" i="5" s="1"/>
  <c r="Y68" i="6"/>
  <c r="T127" i="27"/>
  <c r="Y11" i="3"/>
  <c r="Y171" i="6"/>
  <c r="AF171" i="5"/>
  <c r="Y171" i="5" s="1"/>
  <c r="Z171" i="6" s="1"/>
  <c r="U171" i="5"/>
  <c r="Y105" i="4"/>
  <c r="Z116" i="3" s="1"/>
  <c r="Y86" i="4"/>
  <c r="Z53" i="3" s="1"/>
  <c r="I2" i="16"/>
  <c r="AF100" i="5"/>
  <c r="Y100" i="5" s="1"/>
  <c r="Z100" i="6" s="1"/>
  <c r="U159" i="5"/>
  <c r="AG159" i="5"/>
  <c r="AH159" i="5" s="1"/>
  <c r="Y159" i="6"/>
  <c r="V159" i="27"/>
  <c r="U100" i="5"/>
  <c r="Y204" i="3"/>
  <c r="U170" i="4"/>
  <c r="Y30" i="3"/>
  <c r="T170" i="27"/>
  <c r="U181" i="4"/>
  <c r="AG142" i="5"/>
  <c r="AH142" i="5" s="1"/>
  <c r="AF142" i="5"/>
  <c r="Y142" i="5" s="1"/>
  <c r="Z142" i="6" s="1"/>
  <c r="Y127" i="3"/>
  <c r="Y98" i="4"/>
  <c r="Z100" i="3" s="1"/>
  <c r="U98" i="4"/>
  <c r="Y100" i="3"/>
  <c r="V107" i="27"/>
  <c r="U107" i="5"/>
  <c r="AG107" i="5"/>
  <c r="AH107" i="5" s="1"/>
  <c r="Y107" i="6"/>
  <c r="T128" i="27"/>
  <c r="Y80" i="3"/>
  <c r="U128" i="4"/>
  <c r="U129" i="5"/>
  <c r="U79" i="4"/>
  <c r="U139" i="5"/>
  <c r="AF23" i="5"/>
  <c r="Y23" i="5" s="1"/>
  <c r="Z23" i="6" s="1"/>
  <c r="Y118" i="3"/>
  <c r="Y23" i="6"/>
  <c r="U23" i="5"/>
  <c r="T183" i="27"/>
  <c r="Y12" i="3"/>
  <c r="U183" i="4"/>
  <c r="Y104" i="3"/>
  <c r="T18" i="27"/>
  <c r="U18" i="4"/>
  <c r="Y127" i="4"/>
  <c r="Z127" i="3" s="1"/>
  <c r="T166" i="27"/>
  <c r="U166" i="4"/>
  <c r="Y82" i="3"/>
  <c r="AS6" i="16"/>
  <c r="AG198" i="5"/>
  <c r="AH198" i="5" s="1"/>
  <c r="Y198" i="6"/>
  <c r="U198" i="5"/>
  <c r="V198" i="27"/>
  <c r="U105" i="4"/>
  <c r="Y116" i="3"/>
  <c r="Y181" i="4"/>
  <c r="Z5" i="3" s="1"/>
  <c r="U46" i="16"/>
  <c r="V46" i="16" s="1"/>
  <c r="AK46" i="16" s="1"/>
  <c r="U102" i="5"/>
  <c r="V102" i="27"/>
  <c r="Y102" i="6"/>
  <c r="AG102" i="5"/>
  <c r="AH102" i="5" s="1"/>
  <c r="U9" i="5"/>
  <c r="V9" i="27"/>
  <c r="AG9" i="5"/>
  <c r="AH9" i="5" s="1"/>
  <c r="Y9" i="6"/>
  <c r="X44" i="16"/>
  <c r="T44" i="16"/>
  <c r="AO13" i="16" s="1"/>
  <c r="U6" i="5"/>
  <c r="Y6" i="6"/>
  <c r="V6" i="27"/>
  <c r="AG6" i="5"/>
  <c r="AH6" i="5" s="1"/>
  <c r="AF147" i="5"/>
  <c r="Y147" i="5" s="1"/>
  <c r="Z147" i="6" s="1"/>
  <c r="T79" i="27"/>
  <c r="V26" i="27"/>
  <c r="U126" i="4"/>
  <c r="Y176" i="3"/>
  <c r="T126" i="27"/>
  <c r="AG111" i="5"/>
  <c r="AH111" i="5" s="1"/>
  <c r="Y111" i="6"/>
  <c r="V111" i="27"/>
  <c r="U111" i="5"/>
  <c r="V101" i="27"/>
  <c r="Y101" i="6"/>
  <c r="AG101" i="5"/>
  <c r="AH101" i="5" s="1"/>
  <c r="U101" i="5"/>
  <c r="U22" i="4"/>
  <c r="Y203" i="3"/>
  <c r="T22" i="27"/>
  <c r="AO4" i="16"/>
  <c r="AT4" i="16" s="1"/>
  <c r="Y74" i="3"/>
  <c r="U159" i="4"/>
  <c r="T159" i="27"/>
  <c r="AG139" i="5"/>
  <c r="AH139" i="5" s="1"/>
  <c r="AO12" i="16"/>
  <c r="AS4" i="16"/>
  <c r="AG23" i="5"/>
  <c r="AH23" i="5" s="1"/>
  <c r="S43" i="16"/>
  <c r="X46" i="16"/>
  <c r="Y35" i="4"/>
  <c r="Z187" i="3" s="1"/>
  <c r="U35" i="4"/>
  <c r="T35" i="27"/>
  <c r="Y139" i="6"/>
  <c r="AF139" i="5"/>
  <c r="Y139" i="5" s="1"/>
  <c r="Z139" i="6" s="1"/>
  <c r="AG192" i="5"/>
  <c r="AH192" i="5" s="1"/>
  <c r="U192" i="5"/>
  <c r="AG4" i="5"/>
  <c r="AH4" i="5" s="1"/>
  <c r="U4" i="5"/>
  <c r="AF4" i="5"/>
  <c r="Y4" i="5" s="1"/>
  <c r="Z4" i="6" s="1"/>
  <c r="V4" i="27"/>
  <c r="Y61" i="3"/>
  <c r="T197" i="27"/>
  <c r="U197" i="4"/>
  <c r="Y197" i="4"/>
  <c r="Z61" i="3" s="1"/>
  <c r="V81" i="27"/>
  <c r="Y81" i="6"/>
  <c r="AG81" i="5"/>
  <c r="AH81" i="5" s="1"/>
  <c r="U81" i="5"/>
  <c r="AF81" i="5"/>
  <c r="Y81" i="5" s="1"/>
  <c r="Z81" i="6" s="1"/>
  <c r="AF144" i="5"/>
  <c r="Y144" i="5" s="1"/>
  <c r="Z144" i="6" s="1"/>
  <c r="U137" i="5"/>
  <c r="V192" i="27"/>
  <c r="Y43" i="6"/>
  <c r="V43" i="27"/>
  <c r="Y137" i="6"/>
  <c r="AF192" i="5"/>
  <c r="Y192" i="5" s="1"/>
  <c r="Z192" i="6" s="1"/>
  <c r="AG43" i="5"/>
  <c r="AH43" i="5" s="1"/>
  <c r="T70" i="27"/>
  <c r="U70" i="4"/>
  <c r="Y70" i="4"/>
  <c r="Z149" i="3" s="1"/>
  <c r="Y149" i="3"/>
  <c r="Y192" i="6"/>
  <c r="U43" i="5"/>
  <c r="AG144" i="5"/>
  <c r="AH144" i="5" s="1"/>
  <c r="T186" i="27"/>
  <c r="Y186" i="4"/>
  <c r="Z49" i="3" s="1"/>
  <c r="U186" i="4"/>
  <c r="Y49" i="3"/>
  <c r="AG137" i="5"/>
  <c r="AH137" i="5" s="1"/>
  <c r="T94" i="27"/>
  <c r="Y144" i="6"/>
  <c r="U144" i="5"/>
  <c r="Y168" i="6"/>
  <c r="AF168" i="5"/>
  <c r="Y168" i="5" s="1"/>
  <c r="Z168" i="6" s="1"/>
  <c r="AG168" i="5"/>
  <c r="AH168" i="5" s="1"/>
  <c r="V168" i="27"/>
  <c r="U168" i="5"/>
  <c r="U94" i="4"/>
  <c r="T202" i="27"/>
  <c r="Y186" i="3"/>
  <c r="Y202" i="4"/>
  <c r="Z186" i="3" s="1"/>
  <c r="U202" i="4"/>
  <c r="V77" i="27"/>
  <c r="Y77" i="6"/>
  <c r="AF77" i="5"/>
  <c r="Y77" i="5" s="1"/>
  <c r="Z77" i="6" s="1"/>
  <c r="AG77" i="5"/>
  <c r="AH77" i="5" s="1"/>
  <c r="U77" i="5"/>
  <c r="Y94" i="4"/>
  <c r="Z108" i="3" s="1"/>
  <c r="V142" i="27"/>
  <c r="U142" i="5"/>
  <c r="V137" i="27"/>
  <c r="U116" i="5"/>
  <c r="Y116" i="6"/>
  <c r="AG116" i="5"/>
  <c r="AH116" i="5" s="1"/>
  <c r="V116" i="27"/>
  <c r="AF116" i="5"/>
  <c r="Y116" i="5" s="1"/>
  <c r="Z116" i="6" s="1"/>
  <c r="Y155" i="6"/>
  <c r="AG155" i="5"/>
  <c r="AH155" i="5" s="1"/>
  <c r="AF155" i="5"/>
  <c r="Y155" i="5" s="1"/>
  <c r="Z155" i="6" s="1"/>
  <c r="U155" i="5"/>
  <c r="V155" i="27"/>
  <c r="V183" i="27"/>
  <c r="Y183" i="6"/>
  <c r="AG183" i="5"/>
  <c r="AH183" i="5" s="1"/>
  <c r="AF183" i="5"/>
  <c r="Y183" i="5" s="1"/>
  <c r="Z183" i="6" s="1"/>
  <c r="U183" i="5"/>
  <c r="U191" i="4"/>
  <c r="Y33" i="4"/>
  <c r="Z58" i="3" s="1"/>
  <c r="Y115" i="6"/>
  <c r="V115" i="27"/>
  <c r="AG115" i="5"/>
  <c r="AH115" i="5" s="1"/>
  <c r="AF115" i="5"/>
  <c r="Y115" i="5" s="1"/>
  <c r="Z115" i="6" s="1"/>
  <c r="U115" i="5"/>
  <c r="U31" i="5"/>
  <c r="AG31" i="5"/>
  <c r="AH31" i="5" s="1"/>
  <c r="Y31" i="6"/>
  <c r="V31" i="27"/>
  <c r="AF31" i="5"/>
  <c r="Y31" i="5" s="1"/>
  <c r="Z31" i="6" s="1"/>
  <c r="Y205" i="4"/>
  <c r="Z164" i="3" s="1"/>
  <c r="Y164" i="3"/>
  <c r="T205" i="27"/>
  <c r="U205" i="4"/>
  <c r="V67" i="27"/>
  <c r="AG67" i="5"/>
  <c r="AH67" i="5" s="1"/>
  <c r="U67" i="5"/>
  <c r="Y67" i="6"/>
  <c r="AF67" i="5"/>
  <c r="Y67" i="5" s="1"/>
  <c r="Z67" i="6" s="1"/>
  <c r="V152" i="27"/>
  <c r="Y152" i="6"/>
  <c r="AF152" i="5"/>
  <c r="Y152" i="5" s="1"/>
  <c r="Z152" i="6" s="1"/>
  <c r="AG152" i="5"/>
  <c r="AH152" i="5" s="1"/>
  <c r="U152" i="5"/>
  <c r="T33" i="27"/>
  <c r="AF148" i="5"/>
  <c r="Y148" i="5" s="1"/>
  <c r="Z148" i="6" s="1"/>
  <c r="Y148" i="6"/>
  <c r="AG148" i="5"/>
  <c r="AH148" i="5" s="1"/>
  <c r="V148" i="27"/>
  <c r="U148" i="5"/>
  <c r="T37" i="27"/>
  <c r="Y37" i="4"/>
  <c r="Z168" i="3" s="1"/>
  <c r="U37" i="4"/>
  <c r="Y168" i="3"/>
  <c r="U144" i="4"/>
  <c r="Y65" i="3"/>
  <c r="T144" i="27"/>
  <c r="U53" i="5"/>
  <c r="Y53" i="6"/>
  <c r="AG53" i="5"/>
  <c r="AH53" i="5" s="1"/>
  <c r="V53" i="27"/>
  <c r="Y192" i="3"/>
  <c r="Y92" i="4"/>
  <c r="Z192" i="3" s="1"/>
  <c r="U92" i="4"/>
  <c r="T92" i="27"/>
  <c r="Y49" i="6"/>
  <c r="AG49" i="5"/>
  <c r="AH49" i="5" s="1"/>
  <c r="AF49" i="5"/>
  <c r="Y49" i="5" s="1"/>
  <c r="Z49" i="6" s="1"/>
  <c r="V49" i="27"/>
  <c r="U49" i="5"/>
  <c r="U156" i="4"/>
  <c r="Y34" i="3"/>
  <c r="Y156" i="4"/>
  <c r="Z34" i="3" s="1"/>
  <c r="T156" i="27"/>
  <c r="AG129" i="5"/>
  <c r="AH129" i="5" s="1"/>
  <c r="AF129" i="5"/>
  <c r="Y129" i="5" s="1"/>
  <c r="Z129" i="6" s="1"/>
  <c r="AF57" i="5"/>
  <c r="Y57" i="5" s="1"/>
  <c r="Z57" i="6" s="1"/>
  <c r="AG57" i="5"/>
  <c r="AH57" i="5" s="1"/>
  <c r="V57" i="27"/>
  <c r="Y57" i="6"/>
  <c r="U57" i="5"/>
  <c r="V145" i="27"/>
  <c r="Y145" i="6"/>
  <c r="AF145" i="5"/>
  <c r="Y145" i="5" s="1"/>
  <c r="Z145" i="6" s="1"/>
  <c r="AG145" i="5"/>
  <c r="AH145" i="5" s="1"/>
  <c r="U145" i="5"/>
  <c r="U33" i="5"/>
  <c r="AG33" i="5"/>
  <c r="AH33" i="5" s="1"/>
  <c r="V33" i="27"/>
  <c r="Y33" i="6"/>
  <c r="T191" i="27"/>
  <c r="AG166" i="5"/>
  <c r="AH166" i="5" s="1"/>
  <c r="Y166" i="6"/>
  <c r="U166" i="5"/>
  <c r="V166" i="27"/>
  <c r="AF166" i="5"/>
  <c r="Y166" i="5" s="1"/>
  <c r="Z166" i="6" s="1"/>
  <c r="U122" i="4"/>
  <c r="Y122" i="4"/>
  <c r="Z3" i="3" s="1"/>
  <c r="Y3" i="3"/>
  <c r="T122" i="27"/>
  <c r="T176" i="27"/>
  <c r="Y71" i="3"/>
  <c r="U176" i="4"/>
  <c r="Y176" i="4"/>
  <c r="Z71" i="3" s="1"/>
  <c r="U119" i="4"/>
  <c r="T119" i="27"/>
  <c r="Y119" i="4"/>
  <c r="Z81" i="3" s="1"/>
  <c r="Y81" i="3"/>
  <c r="U196" i="4"/>
  <c r="Y156" i="3"/>
  <c r="T196" i="27"/>
  <c r="Y63" i="3"/>
  <c r="T73" i="27"/>
  <c r="U73" i="4"/>
  <c r="Y73" i="4"/>
  <c r="Z63" i="3" s="1"/>
  <c r="U33" i="4"/>
  <c r="Y203" i="4"/>
  <c r="Z117" i="3" s="1"/>
  <c r="Y110" i="6"/>
  <c r="AF110" i="5"/>
  <c r="Y110" i="5" s="1"/>
  <c r="Z110" i="6" s="1"/>
  <c r="AG110" i="5"/>
  <c r="AH110" i="5" s="1"/>
  <c r="V110" i="27"/>
  <c r="U110" i="5"/>
  <c r="U53" i="4"/>
  <c r="Y53" i="4"/>
  <c r="Z133" i="3" s="1"/>
  <c r="Y133" i="3"/>
  <c r="T53" i="27"/>
  <c r="Y129" i="6"/>
  <c r="T203" i="27"/>
  <c r="AG186" i="5"/>
  <c r="AH186" i="5" s="1"/>
  <c r="V193" i="27"/>
  <c r="AF193" i="5"/>
  <c r="Y193" i="5" s="1"/>
  <c r="Z193" i="6" s="1"/>
  <c r="U193" i="5"/>
  <c r="Y193" i="6"/>
  <c r="AG193" i="5"/>
  <c r="AH193" i="5" s="1"/>
  <c r="U42" i="4"/>
  <c r="Y42" i="4"/>
  <c r="Z60" i="3" s="1"/>
  <c r="Y60" i="3"/>
  <c r="T42" i="27"/>
  <c r="Y42" i="6"/>
  <c r="AG42" i="5"/>
  <c r="AH42" i="5" s="1"/>
  <c r="AF42" i="5"/>
  <c r="Y42" i="5" s="1"/>
  <c r="Z42" i="6" s="1"/>
  <c r="U42" i="5"/>
  <c r="V42" i="27"/>
  <c r="T114" i="27"/>
  <c r="Y111" i="3"/>
  <c r="U114" i="4"/>
  <c r="Y114" i="4"/>
  <c r="Z111" i="3" s="1"/>
  <c r="Y117" i="3"/>
  <c r="U186" i="5"/>
  <c r="Y189" i="4"/>
  <c r="Z52" i="3" s="1"/>
  <c r="U189" i="4"/>
  <c r="T189" i="27"/>
  <c r="Y52" i="3"/>
  <c r="Y189" i="3"/>
  <c r="Y89" i="4"/>
  <c r="Z189" i="3" s="1"/>
  <c r="T89" i="27"/>
  <c r="U89" i="4"/>
  <c r="U113" i="4"/>
  <c r="Y57" i="3"/>
  <c r="Y113" i="4"/>
  <c r="Z57" i="3" s="1"/>
  <c r="Y191" i="4"/>
  <c r="Z68" i="3" s="1"/>
  <c r="V186" i="27"/>
  <c r="Y56" i="6"/>
  <c r="U56" i="5"/>
  <c r="AF56" i="5"/>
  <c r="Y56" i="5" s="1"/>
  <c r="Z56" i="6" s="1"/>
  <c r="V56" i="27"/>
  <c r="AG56" i="5"/>
  <c r="AH56" i="5" s="1"/>
  <c r="T31" i="27"/>
  <c r="U31" i="4"/>
  <c r="Y182" i="3"/>
  <c r="AK37" i="16"/>
  <c r="AQ4" i="16" s="1"/>
  <c r="S37" i="16"/>
  <c r="Y190" i="3"/>
  <c r="T136" i="27"/>
  <c r="Y136" i="4"/>
  <c r="Z190" i="3" s="1"/>
  <c r="U136" i="4"/>
  <c r="AF169" i="5"/>
  <c r="Y169" i="5" s="1"/>
  <c r="Z169" i="6" s="1"/>
  <c r="Y169" i="6"/>
  <c r="AG169" i="5"/>
  <c r="AH169" i="5" s="1"/>
  <c r="U169" i="5"/>
  <c r="V169" i="27"/>
  <c r="Y146" i="6"/>
  <c r="V146" i="27"/>
  <c r="AF146" i="5"/>
  <c r="Y146" i="5" s="1"/>
  <c r="Z146" i="6" s="1"/>
  <c r="U146" i="5"/>
  <c r="AG146" i="5"/>
  <c r="AH146" i="5" s="1"/>
  <c r="AF11" i="5"/>
  <c r="Y11" i="5" s="1"/>
  <c r="Z11" i="6" s="1"/>
  <c r="U11" i="5"/>
  <c r="Y11" i="6"/>
  <c r="V11" i="27"/>
  <c r="AG11" i="5"/>
  <c r="AH11" i="5" s="1"/>
  <c r="AF29" i="5"/>
  <c r="Y29" i="5" s="1"/>
  <c r="Z29" i="6" s="1"/>
  <c r="AG29" i="5"/>
  <c r="AH29" i="5" s="1"/>
  <c r="V29" i="27"/>
  <c r="Y29" i="6"/>
  <c r="U29" i="5"/>
  <c r="T60" i="27"/>
  <c r="Y200" i="3"/>
  <c r="U60" i="4"/>
  <c r="Y60" i="4"/>
  <c r="Z200" i="3" s="1"/>
  <c r="U108" i="4"/>
  <c r="Y101" i="3"/>
  <c r="Y108" i="4"/>
  <c r="Z101" i="3" s="1"/>
  <c r="T108" i="27"/>
  <c r="Y7" i="6"/>
  <c r="U7" i="5"/>
  <c r="V7" i="27"/>
  <c r="AF7" i="5"/>
  <c r="Y7" i="5" s="1"/>
  <c r="Z7" i="6" s="1"/>
  <c r="AG7" i="5"/>
  <c r="AH7" i="5" s="1"/>
  <c r="V73" i="27"/>
  <c r="AF73" i="5"/>
  <c r="Y73" i="5" s="1"/>
  <c r="Z73" i="6" s="1"/>
  <c r="U73" i="5"/>
  <c r="Y73" i="6"/>
  <c r="AG73" i="5"/>
  <c r="AH73" i="5" s="1"/>
  <c r="Y41" i="6"/>
  <c r="AF41" i="5"/>
  <c r="Y41" i="5" s="1"/>
  <c r="Z41" i="6" s="1"/>
  <c r="AG41" i="5"/>
  <c r="AH41" i="5" s="1"/>
  <c r="V41" i="27"/>
  <c r="U41" i="5"/>
  <c r="V113" i="27"/>
  <c r="AG113" i="5"/>
  <c r="AH113" i="5" s="1"/>
  <c r="Y113" i="6"/>
  <c r="AF113" i="5"/>
  <c r="Y113" i="5" s="1"/>
  <c r="Z113" i="6" s="1"/>
  <c r="U113" i="5"/>
  <c r="V80" i="27"/>
  <c r="U80" i="5"/>
  <c r="AF80" i="5"/>
  <c r="Y80" i="5" s="1"/>
  <c r="Z80" i="6" s="1"/>
  <c r="AG80" i="5"/>
  <c r="AH80" i="5" s="1"/>
  <c r="Y80" i="6"/>
  <c r="Y157" i="6"/>
  <c r="U157" i="5"/>
  <c r="AG157" i="5"/>
  <c r="AH157" i="5" s="1"/>
  <c r="V157" i="27"/>
  <c r="AF157" i="5"/>
  <c r="Y157" i="5" s="1"/>
  <c r="Z157" i="6" s="1"/>
  <c r="Y106" i="3"/>
  <c r="T167" i="27"/>
  <c r="Y167" i="4"/>
  <c r="Z106" i="3" s="1"/>
  <c r="U167" i="4"/>
  <c r="T82" i="27"/>
  <c r="Y162" i="3"/>
  <c r="U82" i="4"/>
  <c r="Y82" i="4"/>
  <c r="Z162" i="3" s="1"/>
  <c r="Y103" i="6"/>
  <c r="U103" i="5"/>
  <c r="AF103" i="5"/>
  <c r="Y103" i="5" s="1"/>
  <c r="Z103" i="6" s="1"/>
  <c r="V103" i="27"/>
  <c r="AG103" i="5"/>
  <c r="AH103" i="5" s="1"/>
  <c r="Y153" i="3"/>
  <c r="U40" i="4"/>
  <c r="T40" i="27"/>
  <c r="Y40" i="4"/>
  <c r="Z153" i="3" s="1"/>
  <c r="W46" i="16"/>
  <c r="S46" i="16"/>
  <c r="Y166" i="3"/>
  <c r="Y175" i="4"/>
  <c r="Z166" i="3" s="1"/>
  <c r="T175" i="27"/>
  <c r="U175" i="4"/>
  <c r="AF108" i="5"/>
  <c r="Y108" i="5" s="1"/>
  <c r="Z108" i="6" s="1"/>
  <c r="U108" i="5"/>
  <c r="AG108" i="5"/>
  <c r="AH108" i="5" s="1"/>
  <c r="Y108" i="6"/>
  <c r="V108" i="27"/>
  <c r="T102" i="27"/>
  <c r="Y144" i="3"/>
  <c r="U102" i="4"/>
  <c r="Y102" i="4"/>
  <c r="Z144" i="3" s="1"/>
  <c r="T87" i="27"/>
  <c r="Y96" i="3"/>
  <c r="U87" i="4"/>
  <c r="Y87" i="4"/>
  <c r="Z96" i="3" s="1"/>
  <c r="Y72" i="6"/>
  <c r="V72" i="27"/>
  <c r="AG72" i="5"/>
  <c r="AH72" i="5" s="1"/>
  <c r="AF72" i="5"/>
  <c r="Y72" i="5" s="1"/>
  <c r="Z72" i="6" s="1"/>
  <c r="U72" i="5"/>
  <c r="T158" i="27"/>
  <c r="Y158" i="4"/>
  <c r="Z107" i="3" s="1"/>
  <c r="U158" i="4"/>
  <c r="Y107" i="3"/>
  <c r="U88" i="4"/>
  <c r="Y29" i="3"/>
  <c r="T88" i="27"/>
  <c r="Y88" i="4"/>
  <c r="Z29" i="3" s="1"/>
  <c r="T148" i="27"/>
  <c r="Y148" i="4"/>
  <c r="Z185" i="3" s="1"/>
  <c r="U148" i="4"/>
  <c r="Y185" i="3"/>
  <c r="T69" i="27"/>
  <c r="U69" i="4"/>
  <c r="Y98" i="3"/>
  <c r="Y69" i="4"/>
  <c r="Z98" i="3" s="1"/>
  <c r="AF182" i="5"/>
  <c r="Y182" i="5" s="1"/>
  <c r="Z182" i="6" s="1"/>
  <c r="V182" i="27"/>
  <c r="AG182" i="5"/>
  <c r="AH182" i="5" s="1"/>
  <c r="Y182" i="6"/>
  <c r="U182" i="5"/>
  <c r="Y151" i="3"/>
  <c r="T26" i="27"/>
  <c r="Y26" i="4"/>
  <c r="Z151" i="3" s="1"/>
  <c r="U26" i="4"/>
  <c r="Y80" i="4"/>
  <c r="Z66" i="3" s="1"/>
  <c r="U80" i="4"/>
  <c r="Y66" i="3"/>
  <c r="T80" i="27"/>
  <c r="U123" i="4"/>
  <c r="T123" i="27"/>
  <c r="Y89" i="3"/>
  <c r="Y123" i="4"/>
  <c r="Z89" i="3" s="1"/>
  <c r="U149" i="4"/>
  <c r="T149" i="27"/>
  <c r="Y149" i="4"/>
  <c r="Z73" i="3" s="1"/>
  <c r="Y73" i="3"/>
  <c r="Y163" i="3"/>
  <c r="U112" i="4"/>
  <c r="Y112" i="4"/>
  <c r="Z163" i="3" s="1"/>
  <c r="T112" i="27"/>
  <c r="V13" i="27"/>
  <c r="Y13" i="6"/>
  <c r="U13" i="5"/>
  <c r="AG13" i="5"/>
  <c r="AH13" i="5" s="1"/>
  <c r="AF13" i="5"/>
  <c r="Y13" i="5" s="1"/>
  <c r="Z13" i="6" s="1"/>
  <c r="U182" i="4"/>
  <c r="Y134" i="3"/>
  <c r="Y182" i="4"/>
  <c r="Z134" i="3" s="1"/>
  <c r="T182" i="27"/>
  <c r="Y60" i="6"/>
  <c r="AF60" i="5"/>
  <c r="Y60" i="5" s="1"/>
  <c r="Z60" i="6" s="1"/>
  <c r="U60" i="5"/>
  <c r="AG60" i="5"/>
  <c r="AH60" i="5" s="1"/>
  <c r="V60" i="27"/>
  <c r="AF124" i="5"/>
  <c r="Y124" i="5" s="1"/>
  <c r="Z124" i="6" s="1"/>
  <c r="U124" i="5"/>
  <c r="AG124" i="5"/>
  <c r="AH124" i="5" s="1"/>
  <c r="Y124" i="6"/>
  <c r="V124" i="27"/>
  <c r="U59" i="4"/>
  <c r="Y59" i="4"/>
  <c r="Z140" i="3" s="1"/>
  <c r="Y140" i="3"/>
  <c r="T59" i="27"/>
  <c r="T103" i="27"/>
  <c r="U103" i="4"/>
  <c r="Y103" i="4"/>
  <c r="Z24" i="3" s="1"/>
  <c r="Y24" i="3"/>
  <c r="Y130" i="4"/>
  <c r="Z54" i="3" s="1"/>
  <c r="Y54" i="3"/>
  <c r="T130" i="27"/>
  <c r="U130" i="4"/>
  <c r="Y201" i="6"/>
  <c r="U201" i="5"/>
  <c r="V201" i="27"/>
  <c r="AF201" i="5"/>
  <c r="Y201" i="5" s="1"/>
  <c r="Z201" i="6" s="1"/>
  <c r="AG201" i="5"/>
  <c r="AH201" i="5" s="1"/>
  <c r="T49" i="27"/>
  <c r="U49" i="4"/>
  <c r="Y188" i="3"/>
  <c r="Y49" i="4"/>
  <c r="Z188" i="3" s="1"/>
  <c r="AF95" i="5"/>
  <c r="Y95" i="5" s="1"/>
  <c r="Z95" i="6" s="1"/>
  <c r="Y95" i="6"/>
  <c r="AG95" i="5"/>
  <c r="AH95" i="5" s="1"/>
  <c r="V95" i="27"/>
  <c r="U95" i="5"/>
  <c r="T12" i="27"/>
  <c r="U12" i="4"/>
  <c r="Y12" i="4"/>
  <c r="Z167" i="3" s="1"/>
  <c r="Y167" i="3"/>
  <c r="AF122" i="5"/>
  <c r="Y122" i="5" s="1"/>
  <c r="Z122" i="6" s="1"/>
  <c r="Y122" i="6"/>
  <c r="U122" i="5"/>
  <c r="V122" i="27"/>
  <c r="AG122" i="5"/>
  <c r="AH122" i="5" s="1"/>
  <c r="T187" i="27"/>
  <c r="U187" i="4"/>
  <c r="Y187" i="4"/>
  <c r="Z8" i="3" s="1"/>
  <c r="Y8" i="3"/>
  <c r="Y205" i="3"/>
  <c r="T44" i="27"/>
  <c r="Y44" i="4"/>
  <c r="Z205" i="3" s="1"/>
  <c r="U44" i="4"/>
  <c r="U48" i="4"/>
  <c r="Y170" i="3"/>
  <c r="Y48" i="4"/>
  <c r="Z170" i="3" s="1"/>
  <c r="T48" i="27"/>
  <c r="AF58" i="5"/>
  <c r="Y58" i="5" s="1"/>
  <c r="Z58" i="6" s="1"/>
  <c r="V58" i="27"/>
  <c r="U58" i="5"/>
  <c r="Y58" i="6"/>
  <c r="AG58" i="5"/>
  <c r="AH58" i="5" s="1"/>
  <c r="AG79" i="5"/>
  <c r="AH79" i="5" s="1"/>
  <c r="Y79" i="6"/>
  <c r="AF79" i="5"/>
  <c r="Y79" i="5" s="1"/>
  <c r="Z79" i="6" s="1"/>
  <c r="V79" i="27"/>
  <c r="U79" i="5"/>
  <c r="AF203" i="5"/>
  <c r="Y203" i="5" s="1"/>
  <c r="Z203" i="6" s="1"/>
  <c r="V203" i="27"/>
  <c r="U203" i="5"/>
  <c r="Y203" i="6"/>
  <c r="AG203" i="5"/>
  <c r="AH203" i="5" s="1"/>
  <c r="AF91" i="5"/>
  <c r="Y91" i="5" s="1"/>
  <c r="Z91" i="6" s="1"/>
  <c r="Y91" i="6"/>
  <c r="V91" i="27"/>
  <c r="U91" i="5"/>
  <c r="AG91" i="5"/>
  <c r="AH91" i="5" s="1"/>
  <c r="AG93" i="5"/>
  <c r="AH93" i="5" s="1"/>
  <c r="V93" i="27"/>
  <c r="Y93" i="6"/>
  <c r="AF93" i="5"/>
  <c r="Y93" i="5" s="1"/>
  <c r="Z93" i="6" s="1"/>
  <c r="U93" i="5"/>
  <c r="Y110" i="4"/>
  <c r="Z120" i="3" s="1"/>
  <c r="T110" i="27"/>
  <c r="U110" i="4"/>
  <c r="Y120" i="3"/>
  <c r="T160" i="27"/>
  <c r="Y78" i="3"/>
  <c r="U160" i="4"/>
  <c r="Y160" i="4"/>
  <c r="Z78" i="3" s="1"/>
  <c r="U123" i="5"/>
  <c r="Y123" i="6"/>
  <c r="AF123" i="5"/>
  <c r="Y123" i="5" s="1"/>
  <c r="Z123" i="6" s="1"/>
  <c r="V123" i="27"/>
  <c r="AG123" i="5"/>
  <c r="AH123" i="5" s="1"/>
  <c r="AF16" i="5"/>
  <c r="Y16" i="5" s="1"/>
  <c r="Z16" i="6" s="1"/>
  <c r="V16" i="27"/>
  <c r="AG16" i="5"/>
  <c r="AH16" i="5" s="1"/>
  <c r="U16" i="5"/>
  <c r="Y16" i="6"/>
  <c r="U91" i="4"/>
  <c r="T91" i="27"/>
  <c r="Y152" i="3"/>
  <c r="Y91" i="4"/>
  <c r="Z152" i="3" s="1"/>
  <c r="Y5" i="4"/>
  <c r="Z130" i="3" s="1"/>
  <c r="Y130" i="3"/>
  <c r="T5" i="27"/>
  <c r="U5" i="4"/>
  <c r="AF138" i="5"/>
  <c r="Y138" i="5" s="1"/>
  <c r="Z138" i="6" s="1"/>
  <c r="Y138" i="6"/>
  <c r="AG138" i="5"/>
  <c r="AH138" i="5" s="1"/>
  <c r="V138" i="27"/>
  <c r="U138" i="5"/>
  <c r="V118" i="27"/>
  <c r="AF118" i="5"/>
  <c r="Y118" i="5" s="1"/>
  <c r="Z118" i="6" s="1"/>
  <c r="AG118" i="5"/>
  <c r="AH118" i="5" s="1"/>
  <c r="U118" i="5"/>
  <c r="Y118" i="6"/>
  <c r="AF22" i="5"/>
  <c r="Y22" i="5" s="1"/>
  <c r="Z22" i="6" s="1"/>
  <c r="U22" i="5"/>
  <c r="AG22" i="5"/>
  <c r="AH22" i="5" s="1"/>
  <c r="V22" i="27"/>
  <c r="Y22" i="6"/>
  <c r="Y3" i="6"/>
  <c r="AF3" i="5"/>
  <c r="Y3" i="5" s="1"/>
  <c r="Z3" i="6" s="1"/>
  <c r="V3" i="27"/>
  <c r="AG3" i="5"/>
  <c r="AH3" i="5" s="1"/>
  <c r="U3" i="5"/>
  <c r="V126" i="27"/>
  <c r="AG126" i="5"/>
  <c r="AH126" i="5" s="1"/>
  <c r="U126" i="5"/>
  <c r="Y126" i="6"/>
  <c r="AF126" i="5"/>
  <c r="Y126" i="5" s="1"/>
  <c r="Z126" i="6" s="1"/>
  <c r="Y82" i="6"/>
  <c r="V82" i="27"/>
  <c r="AG82" i="5"/>
  <c r="AH82" i="5" s="1"/>
  <c r="AF82" i="5"/>
  <c r="Y82" i="5" s="1"/>
  <c r="Z82" i="6" s="1"/>
  <c r="U82" i="5"/>
  <c r="V63" i="27"/>
  <c r="AG63" i="5"/>
  <c r="AH63" i="5" s="1"/>
  <c r="Y63" i="6"/>
  <c r="AF63" i="5"/>
  <c r="Y63" i="5" s="1"/>
  <c r="Z63" i="6" s="1"/>
  <c r="U63" i="5"/>
  <c r="AF163" i="5"/>
  <c r="Y163" i="5" s="1"/>
  <c r="Z163" i="6" s="1"/>
  <c r="V163" i="27"/>
  <c r="AG163" i="5"/>
  <c r="AH163" i="5" s="1"/>
  <c r="U163" i="5"/>
  <c r="Y163" i="6"/>
  <c r="Y27" i="6"/>
  <c r="AF27" i="5"/>
  <c r="Y27" i="5" s="1"/>
  <c r="Z27" i="6" s="1"/>
  <c r="U27" i="5"/>
  <c r="V27" i="27"/>
  <c r="AG27" i="5"/>
  <c r="AH27" i="5" s="1"/>
  <c r="U105" i="5"/>
  <c r="AG105" i="5"/>
  <c r="AH105" i="5" s="1"/>
  <c r="Y105" i="6"/>
  <c r="V105" i="27"/>
  <c r="AF105" i="5"/>
  <c r="Y105" i="5" s="1"/>
  <c r="Z105" i="6" s="1"/>
  <c r="AG132" i="5"/>
  <c r="AH132" i="5" s="1"/>
  <c r="V132" i="27"/>
  <c r="AF132" i="5"/>
  <c r="Y132" i="5" s="1"/>
  <c r="Z132" i="6" s="1"/>
  <c r="Y132" i="6"/>
  <c r="U132" i="5"/>
  <c r="Y99" i="3"/>
  <c r="Y96" i="4"/>
  <c r="Z99" i="3" s="1"/>
  <c r="U96" i="4"/>
  <c r="T96" i="27"/>
  <c r="Y198" i="3"/>
  <c r="U168" i="4"/>
  <c r="T168" i="27"/>
  <c r="Y168" i="4"/>
  <c r="Z198" i="3" s="1"/>
  <c r="U177" i="5"/>
  <c r="V177" i="27"/>
  <c r="AG177" i="5"/>
  <c r="AH177" i="5" s="1"/>
  <c r="Y177" i="6"/>
  <c r="AF177" i="5"/>
  <c r="Y177" i="5" s="1"/>
  <c r="Z177" i="6" s="1"/>
  <c r="U129" i="4"/>
  <c r="Y72" i="3"/>
  <c r="T129" i="27"/>
  <c r="Y129" i="4"/>
  <c r="Z72" i="3" s="1"/>
  <c r="Y137" i="4"/>
  <c r="Z64" i="3" s="1"/>
  <c r="Y64" i="3"/>
  <c r="T137" i="27"/>
  <c r="U137" i="4"/>
  <c r="AG47" i="5"/>
  <c r="AH47" i="5" s="1"/>
  <c r="U47" i="5"/>
  <c r="V47" i="27"/>
  <c r="Y47" i="6"/>
  <c r="AF47" i="5"/>
  <c r="Y47" i="5" s="1"/>
  <c r="Z47" i="6" s="1"/>
  <c r="U23" i="4"/>
  <c r="T23" i="27"/>
  <c r="Y10" i="3"/>
  <c r="Y23" i="4"/>
  <c r="Z10" i="3" s="1"/>
  <c r="AG121" i="5"/>
  <c r="AH121" i="5" s="1"/>
  <c r="AF121" i="5"/>
  <c r="Y121" i="5" s="1"/>
  <c r="Z121" i="6" s="1"/>
  <c r="V121" i="27"/>
  <c r="Y121" i="6"/>
  <c r="U121" i="5"/>
  <c r="Y78" i="4"/>
  <c r="Z114" i="3" s="1"/>
  <c r="Y114" i="3"/>
  <c r="T78" i="27"/>
  <c r="U78" i="4"/>
  <c r="T56" i="27"/>
  <c r="Y128" i="3"/>
  <c r="U56" i="4"/>
  <c r="Y56" i="4"/>
  <c r="Z128" i="3" s="1"/>
  <c r="Y19" i="3"/>
  <c r="Y151" i="4"/>
  <c r="Z19" i="3" s="1"/>
  <c r="U151" i="4"/>
  <c r="T151" i="27"/>
  <c r="V38" i="27"/>
  <c r="U38" i="5"/>
  <c r="AF38" i="5"/>
  <c r="Y38" i="5" s="1"/>
  <c r="Z38" i="6" s="1"/>
  <c r="AG38" i="5"/>
  <c r="AH38" i="5" s="1"/>
  <c r="Y38" i="6"/>
  <c r="AF83" i="5"/>
  <c r="Y83" i="5" s="1"/>
  <c r="Z83" i="6" s="1"/>
  <c r="V83" i="27"/>
  <c r="AG83" i="5"/>
  <c r="AH83" i="5" s="1"/>
  <c r="Y83" i="6"/>
  <c r="U83" i="5"/>
  <c r="AO11" i="16"/>
  <c r="Y178" i="4"/>
  <c r="Z15" i="3" s="1"/>
  <c r="Y15" i="3"/>
  <c r="U178" i="4"/>
  <c r="T178" i="27"/>
  <c r="V204" i="27"/>
  <c r="Y204" i="6"/>
  <c r="AG204" i="5"/>
  <c r="AH204" i="5" s="1"/>
  <c r="AF204" i="5"/>
  <c r="Y204" i="5" s="1"/>
  <c r="Z204" i="6" s="1"/>
  <c r="U204" i="5"/>
  <c r="U109" i="4"/>
  <c r="Y109" i="4"/>
  <c r="Z159" i="3" s="1"/>
  <c r="Y159" i="3"/>
  <c r="T109" i="27"/>
  <c r="T64" i="27"/>
  <c r="Y64" i="4"/>
  <c r="Z50" i="3" s="1"/>
  <c r="Y50" i="3"/>
  <c r="U64" i="4"/>
  <c r="Y188" i="6"/>
  <c r="V188" i="27"/>
  <c r="AF188" i="5"/>
  <c r="Y188" i="5" s="1"/>
  <c r="Z188" i="6" s="1"/>
  <c r="U188" i="5"/>
  <c r="AG188" i="5"/>
  <c r="AH188" i="5" s="1"/>
  <c r="V37" i="27"/>
  <c r="AF37" i="5"/>
  <c r="Y37" i="5" s="1"/>
  <c r="Z37" i="6" s="1"/>
  <c r="U37" i="5"/>
  <c r="Y37" i="6"/>
  <c r="AG37" i="5"/>
  <c r="AH37" i="5" s="1"/>
  <c r="Y8" i="4"/>
  <c r="Z124" i="3" s="1"/>
  <c r="U8" i="4"/>
  <c r="T8" i="27"/>
  <c r="Y124" i="3"/>
  <c r="Y24" i="4"/>
  <c r="Z175" i="3" s="1"/>
  <c r="U24" i="4"/>
  <c r="T24" i="27"/>
  <c r="Y175" i="3"/>
  <c r="V51" i="27"/>
  <c r="Y51" i="6"/>
  <c r="AG51" i="5"/>
  <c r="AH51" i="5" s="1"/>
  <c r="U51" i="5"/>
  <c r="AF51" i="5"/>
  <c r="Y51" i="5" s="1"/>
  <c r="Z51" i="6" s="1"/>
  <c r="AK44" i="16"/>
  <c r="AJ44" i="16"/>
  <c r="AG153" i="5"/>
  <c r="AH153" i="5" s="1"/>
  <c r="AF153" i="5"/>
  <c r="Y153" i="5" s="1"/>
  <c r="Z153" i="6" s="1"/>
  <c r="Y153" i="6"/>
  <c r="V153" i="27"/>
  <c r="U153" i="5"/>
  <c r="V99" i="27"/>
  <c r="U99" i="5"/>
  <c r="AG99" i="5"/>
  <c r="AH99" i="5" s="1"/>
  <c r="Y99" i="6"/>
  <c r="AF99" i="5"/>
  <c r="Y99" i="5" s="1"/>
  <c r="Z99" i="6" s="1"/>
  <c r="U174" i="4"/>
  <c r="T174" i="27"/>
  <c r="Y174" i="4"/>
  <c r="Z110" i="3" s="1"/>
  <c r="Y110" i="3"/>
  <c r="W32" i="16"/>
  <c r="S32" i="16"/>
  <c r="T131" i="27"/>
  <c r="U131" i="4"/>
  <c r="Y27" i="3"/>
  <c r="Y131" i="4"/>
  <c r="Z27" i="3" s="1"/>
  <c r="U89" i="5"/>
  <c r="AF89" i="5"/>
  <c r="Y89" i="5" s="1"/>
  <c r="Z89" i="6" s="1"/>
  <c r="Y89" i="6"/>
  <c r="AG89" i="5"/>
  <c r="AH89" i="5" s="1"/>
  <c r="V89" i="27"/>
  <c r="Y72" i="4"/>
  <c r="Z165" i="3" s="1"/>
  <c r="Y165" i="3"/>
  <c r="U72" i="4"/>
  <c r="T72" i="27"/>
  <c r="T190" i="27"/>
  <c r="Y132" i="3"/>
  <c r="U190" i="4"/>
  <c r="Y190" i="4"/>
  <c r="Z132" i="3" s="1"/>
  <c r="U13" i="4"/>
  <c r="T13" i="27"/>
  <c r="Y158" i="3"/>
  <c r="Y13" i="4"/>
  <c r="Z158" i="3" s="1"/>
  <c r="U132" i="4"/>
  <c r="Y161" i="3"/>
  <c r="T132" i="27"/>
  <c r="Y132" i="4"/>
  <c r="Z161" i="3" s="1"/>
  <c r="Y84" i="4"/>
  <c r="Z59" i="3" s="1"/>
  <c r="T84" i="27"/>
  <c r="Y59" i="3"/>
  <c r="U84" i="4"/>
  <c r="AF175" i="5"/>
  <c r="Y175" i="5" s="1"/>
  <c r="Z175" i="6" s="1"/>
  <c r="AG175" i="5"/>
  <c r="AH175" i="5" s="1"/>
  <c r="V175" i="27"/>
  <c r="Y175" i="6"/>
  <c r="U175" i="5"/>
  <c r="Y51" i="4"/>
  <c r="Z7" i="3" s="1"/>
  <c r="T51" i="27"/>
  <c r="Y7" i="3"/>
  <c r="U51" i="4"/>
  <c r="U9" i="4"/>
  <c r="Y16" i="3"/>
  <c r="T9" i="27"/>
  <c r="Y9" i="4"/>
  <c r="Z16" i="3" s="1"/>
  <c r="AG184" i="5"/>
  <c r="AH184" i="5" s="1"/>
  <c r="AF184" i="5"/>
  <c r="Y184" i="5" s="1"/>
  <c r="Z184" i="6" s="1"/>
  <c r="Y184" i="6"/>
  <c r="U184" i="5"/>
  <c r="V184" i="27"/>
  <c r="U161" i="5"/>
  <c r="Y161" i="6"/>
  <c r="AG161" i="5"/>
  <c r="AH161" i="5" s="1"/>
  <c r="V161" i="27"/>
  <c r="AF161" i="5"/>
  <c r="Y161" i="5" s="1"/>
  <c r="Z161" i="6" s="1"/>
  <c r="T65" i="27"/>
  <c r="Y65" i="4"/>
  <c r="Z146" i="3" s="1"/>
  <c r="Y146" i="3"/>
  <c r="U65" i="4"/>
  <c r="Y36" i="6"/>
  <c r="AG36" i="5"/>
  <c r="AH36" i="5" s="1"/>
  <c r="U36" i="5"/>
  <c r="V36" i="27"/>
  <c r="AF36" i="5"/>
  <c r="Y36" i="5" s="1"/>
  <c r="Z36" i="6" s="1"/>
  <c r="Y105" i="3"/>
  <c r="U55" i="4"/>
  <c r="Y55" i="4"/>
  <c r="Z105" i="3" s="1"/>
  <c r="T55" i="27"/>
  <c r="Y8" i="6"/>
  <c r="AG8" i="5"/>
  <c r="AH8" i="5" s="1"/>
  <c r="AF8" i="5"/>
  <c r="Y8" i="5" s="1"/>
  <c r="Z8" i="6" s="1"/>
  <c r="U8" i="5"/>
  <c r="V8" i="27"/>
  <c r="AF52" i="5"/>
  <c r="Y52" i="5" s="1"/>
  <c r="Z52" i="6" s="1"/>
  <c r="U52" i="5"/>
  <c r="V52" i="27"/>
  <c r="Y52" i="6"/>
  <c r="AG52" i="5"/>
  <c r="AH52" i="5" s="1"/>
  <c r="V18" i="27"/>
  <c r="Y18" i="6"/>
  <c r="AG18" i="5"/>
  <c r="AH18" i="5" s="1"/>
  <c r="U18" i="5"/>
  <c r="AF18" i="5"/>
  <c r="Y18" i="5" s="1"/>
  <c r="Z18" i="6" s="1"/>
  <c r="T125" i="27"/>
  <c r="Y136" i="3"/>
  <c r="Y125" i="4"/>
  <c r="Z136" i="3" s="1"/>
  <c r="U125" i="4"/>
  <c r="AF59" i="5"/>
  <c r="Y59" i="5" s="1"/>
  <c r="Z59" i="6" s="1"/>
  <c r="Y59" i="6"/>
  <c r="U59" i="5"/>
  <c r="AG59" i="5"/>
  <c r="AH59" i="5" s="1"/>
  <c r="V59" i="27"/>
  <c r="T58" i="27"/>
  <c r="Y58" i="4"/>
  <c r="Z37" i="3" s="1"/>
  <c r="U58" i="4"/>
  <c r="Y37" i="3"/>
  <c r="U124" i="4"/>
  <c r="Y23" i="3"/>
  <c r="Y124" i="4"/>
  <c r="Z23" i="3" s="1"/>
  <c r="T124" i="27"/>
  <c r="AF200" i="5"/>
  <c r="Y200" i="5" s="1"/>
  <c r="Z200" i="6" s="1"/>
  <c r="V200" i="27"/>
  <c r="U200" i="5"/>
  <c r="AG200" i="5"/>
  <c r="AH200" i="5" s="1"/>
  <c r="Y200" i="6"/>
  <c r="T204" i="27"/>
  <c r="Y204" i="4"/>
  <c r="Z150" i="3" s="1"/>
  <c r="Y150" i="3"/>
  <c r="U204" i="4"/>
  <c r="U97" i="4"/>
  <c r="T97" i="27"/>
  <c r="Y35" i="3"/>
  <c r="Y97" i="4"/>
  <c r="Z35" i="3" s="1"/>
  <c r="AF12" i="5"/>
  <c r="Y12" i="5" s="1"/>
  <c r="Z12" i="6" s="1"/>
  <c r="AG12" i="5"/>
  <c r="AH12" i="5" s="1"/>
  <c r="V12" i="27"/>
  <c r="Y12" i="6"/>
  <c r="U12" i="5"/>
  <c r="V69" i="27"/>
  <c r="Y69" i="6"/>
  <c r="U69" i="5"/>
  <c r="AF69" i="5"/>
  <c r="Y69" i="5" s="1"/>
  <c r="Z69" i="6" s="1"/>
  <c r="AG69" i="5"/>
  <c r="AH69" i="5" s="1"/>
  <c r="Y4" i="4"/>
  <c r="Z13" i="3" s="1"/>
  <c r="U4" i="4"/>
  <c r="T4" i="27"/>
  <c r="A2" i="27"/>
  <c r="Y13" i="3"/>
  <c r="U117" i="4"/>
  <c r="T117" i="27"/>
  <c r="Y85" i="3"/>
  <c r="Y117" i="4"/>
  <c r="Z85" i="3" s="1"/>
  <c r="U96" i="5"/>
  <c r="Y96" i="6"/>
  <c r="AG96" i="5"/>
  <c r="AH96" i="5" s="1"/>
  <c r="V96" i="27"/>
  <c r="AF96" i="5"/>
  <c r="Y96" i="5" s="1"/>
  <c r="Z96" i="6" s="1"/>
  <c r="AG19" i="5"/>
  <c r="AH19" i="5" s="1"/>
  <c r="Y19" i="6"/>
  <c r="U19" i="5"/>
  <c r="V19" i="27"/>
  <c r="AF19" i="5"/>
  <c r="Y19" i="5" s="1"/>
  <c r="Z19" i="6" s="1"/>
  <c r="Y14" i="3"/>
  <c r="U142" i="4"/>
  <c r="Y142" i="4"/>
  <c r="Z14" i="3" s="1"/>
  <c r="T142" i="27"/>
  <c r="Y10" i="4"/>
  <c r="Z183" i="3" s="1"/>
  <c r="U10" i="4"/>
  <c r="Y183" i="3"/>
  <c r="T10" i="27"/>
  <c r="U141" i="4"/>
  <c r="Y93" i="3"/>
  <c r="T141" i="27"/>
  <c r="Y141" i="4"/>
  <c r="Z93" i="3" s="1"/>
  <c r="AG84" i="5"/>
  <c r="AH84" i="5" s="1"/>
  <c r="U84" i="5"/>
  <c r="V84" i="27"/>
  <c r="AF84" i="5"/>
  <c r="Y84" i="5" s="1"/>
  <c r="Z84" i="6" s="1"/>
  <c r="Y84" i="6"/>
  <c r="Y62" i="4"/>
  <c r="Z141" i="3" s="1"/>
  <c r="T62" i="27"/>
  <c r="U62" i="4"/>
  <c r="Y141" i="3"/>
  <c r="AF120" i="5"/>
  <c r="Y120" i="5" s="1"/>
  <c r="Z120" i="6" s="1"/>
  <c r="U120" i="5"/>
  <c r="Y120" i="6"/>
  <c r="V120" i="27"/>
  <c r="AG120" i="5"/>
  <c r="AH120" i="5" s="1"/>
  <c r="T106" i="27"/>
  <c r="Y180" i="3"/>
  <c r="Y106" i="4"/>
  <c r="Z180" i="3" s="1"/>
  <c r="U106" i="4"/>
  <c r="AG70" i="5"/>
  <c r="AH70" i="5" s="1"/>
  <c r="AF70" i="5"/>
  <c r="Y70" i="5" s="1"/>
  <c r="Z70" i="6" s="1"/>
  <c r="V70" i="27"/>
  <c r="Y70" i="6"/>
  <c r="U70" i="5"/>
  <c r="V28" i="27"/>
  <c r="Y28" i="6"/>
  <c r="AF28" i="5"/>
  <c r="Y28" i="5" s="1"/>
  <c r="Z28" i="6" s="1"/>
  <c r="U28" i="5"/>
  <c r="AG28" i="5"/>
  <c r="AH28" i="5" s="1"/>
  <c r="T107" i="27"/>
  <c r="U107" i="4"/>
  <c r="Y107" i="4"/>
  <c r="Z115" i="3" s="1"/>
  <c r="Y115" i="3"/>
  <c r="Y34" i="4"/>
  <c r="Z28" i="3" s="1"/>
  <c r="T34" i="27"/>
  <c r="Y28" i="3"/>
  <c r="U34" i="4"/>
  <c r="U25" i="4"/>
  <c r="Y25" i="4"/>
  <c r="Z43" i="3" s="1"/>
  <c r="T25" i="27"/>
  <c r="Y43" i="3"/>
  <c r="AG189" i="5"/>
  <c r="AH189" i="5" s="1"/>
  <c r="U189" i="5"/>
  <c r="V189" i="27"/>
  <c r="Y189" i="6"/>
  <c r="AF189" i="5"/>
  <c r="Y189" i="5" s="1"/>
  <c r="Z189" i="6" s="1"/>
  <c r="V55" i="27"/>
  <c r="AF55" i="5"/>
  <c r="Y55" i="5" s="1"/>
  <c r="Z55" i="6" s="1"/>
  <c r="Y55" i="6"/>
  <c r="AG55" i="5"/>
  <c r="AH55" i="5" s="1"/>
  <c r="U55" i="5"/>
  <c r="T172" i="27"/>
  <c r="U172" i="4"/>
  <c r="Y172" i="4"/>
  <c r="Z88" i="3" s="1"/>
  <c r="Y88" i="3"/>
  <c r="U188" i="4"/>
  <c r="Y21" i="3"/>
  <c r="T188" i="27"/>
  <c r="Y188" i="4"/>
  <c r="Z21" i="3" s="1"/>
  <c r="AF174" i="5"/>
  <c r="Y174" i="5" s="1"/>
  <c r="Z174" i="6" s="1"/>
  <c r="U174" i="5"/>
  <c r="AG174" i="5"/>
  <c r="AH174" i="5" s="1"/>
  <c r="Y174" i="6"/>
  <c r="V174" i="27"/>
  <c r="U48" i="5"/>
  <c r="AG48" i="5"/>
  <c r="AH48" i="5" s="1"/>
  <c r="Y48" i="6"/>
  <c r="V48" i="27"/>
  <c r="AF48" i="5"/>
  <c r="Y48" i="5" s="1"/>
  <c r="Z48" i="6" s="1"/>
  <c r="Y38" i="4"/>
  <c r="Z109" i="3" s="1"/>
  <c r="Y109" i="3"/>
  <c r="U38" i="4"/>
  <c r="T38" i="27"/>
  <c r="T61" i="27"/>
  <c r="Y61" i="4"/>
  <c r="Z139" i="3" s="1"/>
  <c r="Y139" i="3"/>
  <c r="U61" i="4"/>
  <c r="AF62" i="5"/>
  <c r="Y62" i="5" s="1"/>
  <c r="Z62" i="6" s="1"/>
  <c r="Y62" i="6"/>
  <c r="V62" i="27"/>
  <c r="AG62" i="5"/>
  <c r="AH62" i="5" s="1"/>
  <c r="U62" i="5"/>
  <c r="T29" i="27"/>
  <c r="Y178" i="3"/>
  <c r="U29" i="4"/>
  <c r="Y29" i="4"/>
  <c r="Z178" i="3" s="1"/>
  <c r="V106" i="27"/>
  <c r="AF106" i="5"/>
  <c r="Y106" i="5" s="1"/>
  <c r="Z106" i="6" s="1"/>
  <c r="Y106" i="6"/>
  <c r="U106" i="5"/>
  <c r="AG106" i="5"/>
  <c r="AH106" i="5" s="1"/>
  <c r="AF98" i="5"/>
  <c r="Y98" i="5" s="1"/>
  <c r="Z98" i="6" s="1"/>
  <c r="Y98" i="6"/>
  <c r="AG98" i="5"/>
  <c r="AH98" i="5" s="1"/>
  <c r="V98" i="27"/>
  <c r="U98" i="5"/>
  <c r="AF202" i="5"/>
  <c r="Y202" i="5" s="1"/>
  <c r="Z202" i="6" s="1"/>
  <c r="AG202" i="5"/>
  <c r="AH202" i="5" s="1"/>
  <c r="V202" i="27"/>
  <c r="U202" i="5"/>
  <c r="Y202" i="6"/>
  <c r="AF109" i="5"/>
  <c r="Y109" i="5" s="1"/>
  <c r="Z109" i="6" s="1"/>
  <c r="AG109" i="5"/>
  <c r="AH109" i="5" s="1"/>
  <c r="Y109" i="6"/>
  <c r="U109" i="5"/>
  <c r="V109" i="27"/>
  <c r="Y133" i="6"/>
  <c r="AG133" i="5"/>
  <c r="AH133" i="5" s="1"/>
  <c r="U133" i="5"/>
  <c r="AF133" i="5"/>
  <c r="Y133" i="5" s="1"/>
  <c r="Z133" i="6" s="1"/>
  <c r="V133" i="27"/>
  <c r="V197" i="27"/>
  <c r="Y197" i="6"/>
  <c r="U197" i="5"/>
  <c r="AG197" i="5"/>
  <c r="AH197" i="5" s="1"/>
  <c r="AF197" i="5"/>
  <c r="Y197" i="5" s="1"/>
  <c r="Z197" i="6" s="1"/>
  <c r="Y201" i="4"/>
  <c r="Z147" i="3" s="1"/>
  <c r="Y147" i="3"/>
  <c r="T201" i="27"/>
  <c r="U201" i="4"/>
  <c r="T15" i="27"/>
  <c r="U15" i="4"/>
  <c r="Y15" i="4"/>
  <c r="Z75" i="3" s="1"/>
  <c r="Y75" i="3"/>
  <c r="Y68" i="4"/>
  <c r="Z148" i="3" s="1"/>
  <c r="Y148" i="3"/>
  <c r="U68" i="4"/>
  <c r="T68" i="27"/>
  <c r="V32" i="27"/>
  <c r="U32" i="5"/>
  <c r="Y32" i="6"/>
  <c r="AF32" i="5"/>
  <c r="Y32" i="5" s="1"/>
  <c r="Z32" i="6" s="1"/>
  <c r="AG32" i="5"/>
  <c r="AH32" i="5" s="1"/>
  <c r="T45" i="27"/>
  <c r="U45" i="4"/>
  <c r="Y45" i="4"/>
  <c r="Z172" i="3" s="1"/>
  <c r="Y172" i="3"/>
  <c r="V199" i="27"/>
  <c r="U199" i="5"/>
  <c r="AG199" i="5"/>
  <c r="AH199" i="5" s="1"/>
  <c r="Y199" i="6"/>
  <c r="AF199" i="5"/>
  <c r="Y199" i="5" s="1"/>
  <c r="Z199" i="6" s="1"/>
  <c r="U198" i="4"/>
  <c r="Y195" i="3"/>
  <c r="T198" i="27"/>
  <c r="Y198" i="4"/>
  <c r="Z195" i="3" s="1"/>
  <c r="AG156" i="5"/>
  <c r="AH156" i="5" s="1"/>
  <c r="AF156" i="5"/>
  <c r="Y156" i="5" s="1"/>
  <c r="Z156" i="6" s="1"/>
  <c r="Y156" i="6"/>
  <c r="U156" i="5"/>
  <c r="V156" i="27"/>
  <c r="Y143" i="3"/>
  <c r="Y101" i="4"/>
  <c r="Z143" i="3" s="1"/>
  <c r="U101" i="4"/>
  <c r="T101" i="27"/>
  <c r="AJ28" i="16"/>
  <c r="AT5" i="16" s="1"/>
  <c r="AK28" i="16"/>
  <c r="Y194" i="3"/>
  <c r="U67" i="4"/>
  <c r="Y67" i="4"/>
  <c r="Z194" i="3" s="1"/>
  <c r="T67" i="27"/>
  <c r="Y103" i="3"/>
  <c r="U139" i="4"/>
  <c r="Y139" i="4"/>
  <c r="Z103" i="3" s="1"/>
  <c r="T139" i="27"/>
  <c r="S31" i="16"/>
  <c r="W31" i="16"/>
  <c r="Y20" i="4"/>
  <c r="Z177" i="3" s="1"/>
  <c r="Y177" i="3"/>
  <c r="U20" i="4"/>
  <c r="T20" i="27"/>
  <c r="U199" i="4"/>
  <c r="Y196" i="3"/>
  <c r="T199" i="27"/>
  <c r="Y199" i="4"/>
  <c r="Z196" i="3" s="1"/>
  <c r="U184" i="4"/>
  <c r="Y184" i="4"/>
  <c r="Z22" i="3" s="1"/>
  <c r="Y22" i="3"/>
  <c r="T184" i="27"/>
  <c r="V176" i="27"/>
  <c r="AG176" i="5"/>
  <c r="AH176" i="5" s="1"/>
  <c r="AF176" i="5"/>
  <c r="Y176" i="5" s="1"/>
  <c r="Z176" i="6" s="1"/>
  <c r="Y176" i="6"/>
  <c r="U176" i="5"/>
  <c r="T30" i="27"/>
  <c r="Y30" i="4"/>
  <c r="Z131" i="3" s="1"/>
  <c r="Y131" i="3"/>
  <c r="U30" i="4"/>
  <c r="AF40" i="5"/>
  <c r="Y40" i="5" s="1"/>
  <c r="Z40" i="6" s="1"/>
  <c r="Y40" i="6"/>
  <c r="U40" i="5"/>
  <c r="V40" i="27"/>
  <c r="AG40" i="5"/>
  <c r="AH40" i="5" s="1"/>
  <c r="Y154" i="3"/>
  <c r="Y161" i="4"/>
  <c r="Z154" i="3" s="1"/>
  <c r="T161" i="27"/>
  <c r="U161" i="4"/>
  <c r="T47" i="27"/>
  <c r="Y138" i="3"/>
  <c r="U47" i="4"/>
  <c r="Y47" i="4"/>
  <c r="Z138" i="3" s="1"/>
  <c r="Y170" i="6"/>
  <c r="AG170" i="5"/>
  <c r="AH170" i="5" s="1"/>
  <c r="V170" i="27"/>
  <c r="U170" i="5"/>
  <c r="AF170" i="5"/>
  <c r="Y170" i="5" s="1"/>
  <c r="Z170" i="6" s="1"/>
  <c r="Y136" i="6"/>
  <c r="V136" i="27"/>
  <c r="AF136" i="5"/>
  <c r="Y136" i="5" s="1"/>
  <c r="Z136" i="6" s="1"/>
  <c r="U136" i="5"/>
  <c r="AG136" i="5"/>
  <c r="AH136" i="5" s="1"/>
  <c r="V141" i="27"/>
  <c r="AF141" i="5"/>
  <c r="Y141" i="5" s="1"/>
  <c r="Z141" i="6" s="1"/>
  <c r="AG141" i="5"/>
  <c r="AH141" i="5" s="1"/>
  <c r="U141" i="5"/>
  <c r="Y141" i="6"/>
  <c r="Y206" i="3"/>
  <c r="T36" i="27"/>
  <c r="U36" i="4"/>
  <c r="Y36" i="4"/>
  <c r="Z206" i="3" s="1"/>
  <c r="AK31" i="16"/>
  <c r="AJ31" i="16"/>
  <c r="U191" i="5"/>
  <c r="V191" i="27"/>
  <c r="Y191" i="6"/>
  <c r="AG191" i="5"/>
  <c r="AH191" i="5" s="1"/>
  <c r="AF191" i="5"/>
  <c r="Y191" i="5" s="1"/>
  <c r="Z191" i="6" s="1"/>
  <c r="AJ32" i="16"/>
  <c r="AK32" i="16"/>
  <c r="V154" i="27"/>
  <c r="AF154" i="5"/>
  <c r="Y154" i="5" s="1"/>
  <c r="Z154" i="6" s="1"/>
  <c r="AG154" i="5"/>
  <c r="AH154" i="5" s="1"/>
  <c r="Y154" i="6"/>
  <c r="U154" i="5"/>
  <c r="Y79" i="3"/>
  <c r="T153" i="27"/>
  <c r="U153" i="4"/>
  <c r="Y153" i="4"/>
  <c r="Z79" i="3" s="1"/>
  <c r="AG206" i="5"/>
  <c r="AH206" i="5" s="1"/>
  <c r="U206" i="5"/>
  <c r="Y206" i="6"/>
  <c r="V206" i="27"/>
  <c r="AF206" i="5"/>
  <c r="Y206" i="5" s="1"/>
  <c r="Z206" i="6" s="1"/>
  <c r="AF34" i="5"/>
  <c r="Y34" i="5" s="1"/>
  <c r="Z34" i="6" s="1"/>
  <c r="Y34" i="6"/>
  <c r="AG34" i="5"/>
  <c r="AH34" i="5" s="1"/>
  <c r="V34" i="27"/>
  <c r="U34" i="5"/>
  <c r="W28" i="16"/>
  <c r="S28" i="16"/>
  <c r="V181" i="27"/>
  <c r="Y181" i="6"/>
  <c r="AG181" i="5"/>
  <c r="AH181" i="5" s="1"/>
  <c r="U181" i="5"/>
  <c r="AF181" i="5"/>
  <c r="Y181" i="5" s="1"/>
  <c r="Z181" i="6" s="1"/>
  <c r="AF85" i="5"/>
  <c r="Y85" i="5" s="1"/>
  <c r="Z85" i="6" s="1"/>
  <c r="AG85" i="5"/>
  <c r="AH85" i="5" s="1"/>
  <c r="V85" i="27"/>
  <c r="U85" i="5"/>
  <c r="Y85" i="6"/>
  <c r="T45" i="16"/>
  <c r="AO14" i="16" s="1"/>
  <c r="U45" i="16"/>
  <c r="V45" i="16" s="1"/>
  <c r="X45" i="16"/>
  <c r="AS22" i="16"/>
  <c r="AP4" i="16" l="1"/>
  <c r="AR4" i="16" s="1"/>
  <c r="AS7" i="16"/>
  <c r="AJ46" i="16"/>
  <c r="W44" i="16"/>
  <c r="AQ6" i="16"/>
  <c r="S44" i="16"/>
  <c r="AO6" i="16"/>
  <c r="AT6" i="16" s="1"/>
  <c r="AP6" i="16"/>
  <c r="R26" i="27"/>
  <c r="I26" i="27" s="1" a="1"/>
  <c r="I26" i="27" s="1"/>
  <c r="R27" i="27"/>
  <c r="H27" i="27" s="1" a="1"/>
  <c r="H27" i="27" s="1"/>
  <c r="F5" i="27"/>
  <c r="E7" i="27" s="1"/>
  <c r="R19" i="27"/>
  <c r="D19" i="27" s="1" a="1"/>
  <c r="D19" i="27" s="1"/>
  <c r="AO10" i="16"/>
  <c r="R18" i="27"/>
  <c r="F6" i="27"/>
  <c r="E8" i="27" s="1"/>
  <c r="AP5" i="16"/>
  <c r="AR5" i="16" s="1"/>
  <c r="AQ5" i="16"/>
  <c r="AK45" i="16"/>
  <c r="AQ8" i="16" s="1"/>
  <c r="AJ45" i="16"/>
  <c r="D2" i="16"/>
  <c r="S45" i="16"/>
  <c r="W45" i="16"/>
  <c r="AO7" i="16"/>
  <c r="AS8" i="16"/>
  <c r="AO8" i="16"/>
  <c r="AT8" i="16" s="1"/>
  <c r="K2" i="16" l="1"/>
  <c r="E2" i="16"/>
  <c r="AQ7" i="16"/>
  <c r="AR6" i="16"/>
  <c r="B2" i="16"/>
  <c r="AS24" i="16" s="1"/>
  <c r="K26" i="27" a="1"/>
  <c r="K26" i="27" s="1"/>
  <c r="L26" i="27" a="1"/>
  <c r="L26" i="27" s="1"/>
  <c r="B26" i="27" a="1"/>
  <c r="B26" i="27" s="1"/>
  <c r="AM19" i="16" s="1"/>
  <c r="AO19" i="16" s="1"/>
  <c r="J26" i="27" a="1"/>
  <c r="J26" i="27" s="1"/>
  <c r="J27" i="27" a="1"/>
  <c r="J27" i="27" s="1"/>
  <c r="C27" i="27" a="1"/>
  <c r="C27" i="27" s="1"/>
  <c r="E19" i="27" a="1"/>
  <c r="E19" i="27" s="1"/>
  <c r="D27" i="27" a="1"/>
  <c r="D27" i="27" s="1"/>
  <c r="B19" i="27" a="1"/>
  <c r="B19" i="27" s="1"/>
  <c r="AM18" i="16" s="1"/>
  <c r="AL18" i="16" s="1"/>
  <c r="F26" i="27" a="1"/>
  <c r="F26" i="27" s="1"/>
  <c r="A19" i="27"/>
  <c r="B27" i="27" a="1"/>
  <c r="B27" i="27" s="1"/>
  <c r="AM20" i="16" s="1"/>
  <c r="G27" i="27" a="1"/>
  <c r="G27" i="27" s="1"/>
  <c r="A26" i="27"/>
  <c r="H19" i="27" a="1"/>
  <c r="H19" i="27" s="1"/>
  <c r="H26" i="27" a="1"/>
  <c r="H26" i="27" s="1"/>
  <c r="C19" i="27" a="1"/>
  <c r="C19" i="27" s="1"/>
  <c r="M26" i="27" a="1"/>
  <c r="M26" i="27" s="1"/>
  <c r="L27" i="27" a="1"/>
  <c r="L27" i="27" s="1"/>
  <c r="M27" i="27" a="1"/>
  <c r="M27" i="27" s="1"/>
  <c r="A27" i="27"/>
  <c r="J19" i="27" a="1"/>
  <c r="J19" i="27" s="1"/>
  <c r="E27" i="27" a="1"/>
  <c r="E27" i="27" s="1"/>
  <c r="K19" i="27" a="1"/>
  <c r="K19" i="27" s="1"/>
  <c r="F27" i="27" a="1"/>
  <c r="F27" i="27" s="1"/>
  <c r="F19" i="27" a="1"/>
  <c r="F19" i="27" s="1"/>
  <c r="K27" i="27" a="1"/>
  <c r="K27" i="27" s="1"/>
  <c r="M19" i="27" a="1"/>
  <c r="M19" i="27" s="1"/>
  <c r="I27" i="27" a="1"/>
  <c r="I27" i="27" s="1"/>
  <c r="L19" i="27" a="1"/>
  <c r="L19" i="27" s="1"/>
  <c r="AP7" i="16"/>
  <c r="AR7" i="16" s="1"/>
  <c r="G2" i="16"/>
  <c r="J2" i="16"/>
  <c r="F2" i="16"/>
  <c r="E26" i="27" a="1"/>
  <c r="E26" i="27" s="1"/>
  <c r="C26" i="27" a="1"/>
  <c r="C26" i="27" s="1"/>
  <c r="G19" i="27" a="1"/>
  <c r="G19" i="27" s="1"/>
  <c r="D26" i="27" a="1"/>
  <c r="D26" i="27" s="1"/>
  <c r="I19" i="27" a="1"/>
  <c r="I19" i="27" s="1"/>
  <c r="G26" i="27" a="1"/>
  <c r="G26" i="27" s="1"/>
  <c r="AP8" i="16"/>
  <c r="AR8" i="16" s="1"/>
  <c r="L18" i="27" a="1"/>
  <c r="L18" i="27" s="1"/>
  <c r="C18" i="27" a="1"/>
  <c r="C18" i="27" s="1"/>
  <c r="E18" i="27" a="1"/>
  <c r="E18" i="27" s="1"/>
  <c r="A18" i="27"/>
  <c r="H18" i="27" a="1"/>
  <c r="H18" i="27" s="1"/>
  <c r="G18" i="27" a="1"/>
  <c r="G18" i="27" s="1"/>
  <c r="F18" i="27" a="1"/>
  <c r="F18" i="27" s="1"/>
  <c r="K18" i="27" a="1"/>
  <c r="K18" i="27" s="1"/>
  <c r="M18" i="27" a="1"/>
  <c r="M18" i="27" s="1"/>
  <c r="D18" i="27" a="1"/>
  <c r="D18" i="27" s="1"/>
  <c r="J18" i="27" a="1"/>
  <c r="J18" i="27" s="1"/>
  <c r="I18" i="27" a="1"/>
  <c r="I18" i="27" s="1"/>
  <c r="B18" i="27" a="1"/>
  <c r="B18" i="27" s="1"/>
  <c r="AT7" i="16"/>
  <c r="AR19" i="16" l="1"/>
  <c r="AS19" i="16"/>
  <c r="AP19" i="16"/>
  <c r="AP18" i="16"/>
  <c r="AL19" i="16"/>
  <c r="AN19" i="16"/>
  <c r="AN18" i="16"/>
  <c r="AR18" i="16"/>
  <c r="AS21" i="16"/>
  <c r="AS23" i="16"/>
  <c r="AS18" i="16"/>
  <c r="AO18" i="16"/>
  <c r="AP20" i="16"/>
  <c r="AS20" i="16"/>
  <c r="AL20" i="16"/>
  <c r="AN20" i="16"/>
  <c r="AO20" i="16"/>
  <c r="AR20" i="16"/>
  <c r="AM17" i="16"/>
  <c r="B21" i="29"/>
  <c r="AS17" i="16" l="1"/>
  <c r="AN17" i="16"/>
  <c r="AL17" i="16"/>
  <c r="AP17" i="16"/>
  <c r="AR17" i="16"/>
  <c r="AO1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<sst xmlns="http://schemas.openxmlformats.org/spreadsheetml/2006/main" count="4304" uniqueCount="1514">
  <si>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</si>
  <si>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</si>
  <si>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</si>
  <si>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</si>
  <si>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</si>
  <si>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</si>
  <si>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</si>
  <si>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</si>
  <si>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</si>
  <si>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</si>
  <si>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</si>
  <si>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</si>
  <si>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</si>
  <si>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</si>
  <si>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</si>
  <si>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</si>
  <si>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</si>
  <si>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</si>
  <si>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</si>
  <si>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</si>
  <si>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</si>
  <si>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</si>
  <si>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</si>
  <si>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</si>
  <si>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</si>
  <si>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</si>
  <si>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</si>
  <si>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</si>
  <si>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</si>
  <si>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</si>
  <si>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</si>
  <si>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</si>
  <si>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</si>
  <si>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</si>
  <si>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</si>
  <si>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</si>
  <si>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</si>
  <si>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</si>
  <si>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</si>
  <si>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</si>
  <si>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</si>
  <si>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</si>
  <si>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</si>
  <si>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</si>
  <si>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</si>
  <si>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</si>
  <si>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</si>
  <si>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</si>
  <si>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</si>
  <si>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</si>
  <si>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</si>
  <si>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</si>
  <si>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</si>
  <si>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</si>
  <si>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</si>
  <si>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</si>
  <si>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</si>
  <si>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</si>
  <si>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</si>
  <si>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</si>
  <si>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</si>
  <si>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</si>
  <si>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</si>
  <si>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</si>
  <si>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</si>
  <si>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</si>
  <si>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</si>
  <si>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</si>
  <si>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</si>
  <si>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</si>
  <si>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</si>
  <si>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</si>
  <si>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</si>
  <si>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</si>
  <si>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</si>
  <si>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</si>
  <si>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</si>
  <si>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</si>
  <si>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</si>
  <si>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</si>
  <si>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</si>
  <si>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</si>
  <si>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</si>
  <si>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</si>
  <si>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</si>
  <si>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</si>
  <si>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</si>
  <si>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</si>
  <si>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</si>
  <si>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</si>
  <si>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</si>
  <si>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</si>
  <si>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</si>
  <si>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</si>
  <si>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</si>
  <si>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</si>
  <si>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</si>
  <si>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</si>
  <si>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</si>
  <si>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</si>
  <si>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</si>
  <si>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</si>
  <si>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</si>
  <si>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</si>
  <si>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</si>
  <si>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</si>
  <si>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</si>
  <si>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</si>
  <si>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</si>
  <si>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</si>
  <si>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</si>
  <si>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</si>
  <si>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</si>
  <si>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</si>
  <si>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</si>
  <si>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</si>
  <si>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</si>
  <si>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</si>
  <si>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</si>
  <si>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</si>
  <si>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</si>
  <si>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</si>
  <si>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</si>
  <si>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</si>
  <si>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</si>
  <si>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</si>
  <si>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</si>
  <si>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</si>
  <si>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</si>
  <si>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</si>
  <si>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</si>
  <si>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</si>
  <si>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</si>
  <si>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</si>
  <si>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</si>
  <si>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</si>
  <si>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</si>
  <si>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</si>
  <si>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</si>
  <si>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</si>
  <si>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</si>
  <si>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</si>
  <si>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</si>
  <si>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</si>
  <si>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</si>
  <si>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</si>
  <si>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</si>
  <si>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</si>
  <si>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</si>
  <si>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</si>
  <si>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</si>
  <si>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</si>
  <si>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</si>
  <si>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</si>
  <si>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</si>
  <si>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</si>
  <si>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</si>
  <si>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</si>
  <si>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</si>
  <si>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</si>
  <si>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</si>
  <si>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</si>
  <si>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</si>
  <si>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</si>
  <si>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</si>
  <si>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</si>
  <si>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</si>
  <si>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</si>
  <si>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</si>
  <si>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</si>
  <si>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</si>
  <si>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</si>
  <si>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</si>
  <si>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</si>
  <si>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</si>
  <si>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</si>
  <si>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</si>
  <si>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</si>
  <si>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</si>
  <si>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</si>
  <si>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</si>
  <si>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</si>
  <si>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</si>
  <si>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</si>
  <si>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</si>
  <si>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</si>
  <si>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</si>
  <si>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</si>
  <si>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</si>
  <si>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</si>
  <si>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</si>
  <si>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</si>
  <si>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</si>
  <si>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</si>
  <si>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</si>
  <si>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</si>
  <si>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</si>
  <si>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</si>
  <si>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</si>
  <si>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</si>
  <si>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</si>
  <si>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</si>
  <si>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</si>
  <si>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</si>
  <si>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</si>
  <si>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</si>
  <si>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</si>
  <si>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</si>
  <si>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</si>
  <si>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</si>
  <si>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</si>
  <si>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</si>
  <si>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</si>
  <si>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</si>
  <si>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</si>
  <si>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</si>
  <si>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</si>
  <si>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</si>
  <si>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</si>
  <si>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</si>
  <si>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</si>
  <si>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</si>
  <si>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</si>
  <si>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</si>
  <si>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</si>
  <si>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</si>
  <si>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</si>
  <si>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</si>
  <si>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</si>
  <si>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</si>
  <si>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</si>
  <si>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</si>
  <si>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</si>
  <si>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</si>
  <si>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</si>
  <si>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</si>
  <si>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</si>
  <si>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</si>
  <si>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</si>
  <si>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</si>
  <si>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</si>
  <si>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</si>
  <si>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</si>
  <si>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</si>
  <si>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</si>
  <si>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</si>
  <si>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</si>
  <si>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</si>
  <si>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</si>
  <si>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</si>
  <si>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</si>
  <si>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</si>
  <si>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</si>
  <si>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</si>
  <si>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</si>
  <si>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</si>
  <si>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</si>
  <si>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</si>
  <si>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</si>
  <si>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</si>
  <si>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</si>
  <si>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</si>
  <si>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</si>
  <si>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</si>
  <si>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</si>
  <si>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</si>
  <si>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</si>
  <si>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</si>
  <si>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</si>
  <si>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</si>
  <si>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</si>
  <si>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</si>
  <si>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</si>
  <si>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</si>
  <si>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</si>
  <si>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</si>
  <si>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</si>
  <si>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</si>
  <si>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</si>
  <si>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</si>
  <si>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</si>
  <si>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</si>
  <si>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</si>
  <si>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</si>
  <si>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</si>
  <si>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</si>
  <si>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</si>
  <si>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</si>
  <si>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</si>
  <si>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</si>
  <si>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</si>
  <si>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</si>
  <si>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</si>
  <si>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</si>
  <si>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</si>
  <si>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</si>
  <si>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</si>
  <si>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</si>
  <si>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</si>
  <si>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</si>
  <si>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</si>
  <si>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</si>
  <si>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</si>
  <si>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</si>
  <si>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</si>
  <si>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</si>
  <si>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</si>
  <si>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</si>
  <si>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</si>
  <si>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</si>
  <si>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</si>
  <si>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</si>
  <si>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</si>
  <si>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</si>
  <si>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</si>
  <si>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</si>
  <si>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</si>
  <si>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</si>
  <si>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</si>
  <si>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</si>
  <si>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</si>
  <si>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</si>
  <si>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</si>
  <si>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</si>
  <si>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</si>
  <si>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</si>
  <si>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</si>
  <si>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</si>
  <si>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</si>
  <si>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</si>
  <si>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</si>
  <si>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</si>
  <si>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</si>
  <si>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</si>
  <si>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</si>
  <si>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</si>
  <si>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</si>
  <si>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</si>
  <si>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</si>
  <si>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</si>
  <si>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</si>
  <si>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</si>
  <si>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</si>
  <si>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</si>
  <si>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</si>
  <si>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</si>
  <si>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</si>
  <si>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</si>
  <si>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</si>
  <si>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</si>
  <si>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</si>
  <si>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</si>
  <si>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</si>
  <si>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</si>
  <si>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</si>
  <si>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</si>
  <si>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</si>
  <si>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</si>
  <si>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</si>
  <si>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</si>
  <si>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</si>
  <si>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</si>
  <si>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</si>
  <si>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</si>
  <si>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</si>
  <si>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</si>
  <si>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</si>
  <si>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</si>
  <si>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</si>
  <si>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</si>
  <si>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</si>
  <si>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</si>
  <si>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</si>
  <si>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</si>
  <si>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</si>
  <si>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</si>
  <si>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</si>
  <si>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</si>
  <si>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</si>
  <si>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</si>
  <si>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</si>
  <si>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</si>
  <si>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</si>
  <si>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</si>
  <si>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</si>
  <si>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</si>
  <si>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</si>
  <si>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</si>
  <si>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</si>
  <si>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</si>
  <si>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</si>
  <si>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</si>
  <si>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</si>
  <si>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</si>
  <si>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</si>
  <si>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</si>
  <si>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</si>
  <si>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</si>
  <si>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</si>
  <si>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</si>
  <si>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</si>
  <si>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</si>
  <si>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</si>
  <si>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</si>
  <si>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</si>
  <si>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</si>
  <si>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</si>
  <si>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</si>
  <si>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</si>
  <si>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</si>
  <si>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</si>
  <si>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</si>
  <si>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</si>
  <si>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</si>
  <si>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</si>
  <si>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</si>
  <si>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</si>
  <si>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</si>
  <si>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</si>
  <si>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</si>
  <si>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</si>
  <si>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</si>
  <si>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</si>
  <si>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</si>
  <si>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</si>
  <si>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</si>
  <si>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</si>
  <si>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</si>
  <si>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</si>
  <si>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</si>
  <si>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</si>
  <si>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</si>
  <si>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</si>
  <si>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</si>
  <si>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</si>
  <si>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</si>
  <si>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</si>
  <si>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</si>
  <si>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</si>
  <si>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</si>
  <si>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</si>
  <si>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</si>
  <si>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</si>
  <si>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</si>
  <si>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</si>
  <si>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</si>
  <si>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</si>
  <si>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</si>
  <si>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</si>
  <si>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</si>
  <si>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</si>
  <si>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</si>
  <si>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</si>
  <si>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</si>
  <si>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</si>
  <si>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</si>
  <si>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</si>
  <si>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</si>
  <si>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</si>
  <si>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</si>
  <si>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</si>
  <si>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</si>
  <si>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</si>
  <si>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</si>
  <si>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</si>
  <si>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</si>
  <si>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</si>
  <si>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</si>
  <si>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</si>
  <si>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</si>
  <si>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</si>
  <si>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</si>
  <si>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</si>
  <si>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</si>
  <si>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</si>
  <si>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</si>
  <si>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</si>
  <si>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</si>
  <si>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</si>
  <si>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</si>
  <si>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</si>
  <si>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</si>
  <si>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</si>
  <si>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</si>
  <si>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</si>
  <si>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</si>
  <si>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</si>
  <si>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</si>
  <si>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</si>
  <si>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</si>
  <si>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</si>
  <si>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</si>
  <si>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</si>
  <si>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</si>
  <si>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</si>
  <si>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</si>
  <si>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</si>
  <si>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</si>
  <si>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</si>
  <si>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</si>
  <si>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</si>
  <si>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</si>
  <si>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</si>
  <si>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</si>
  <si>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</si>
  <si>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</si>
  <si>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</si>
  <si>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</si>
  <si>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</si>
  <si>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</si>
  <si>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</si>
  <si>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</si>
  <si>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</si>
  <si>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</si>
  <si>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</si>
  <si>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</si>
  <si>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</si>
  <si>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</si>
  <si>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</si>
  <si>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</si>
  <si>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</si>
  <si>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</si>
  <si>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</si>
  <si>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</si>
  <si>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</si>
  <si>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</si>
  <si>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</si>
  <si>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</si>
  <si>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</si>
  <si>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</si>
  <si>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</si>
  <si>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</si>
  <si>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</si>
  <si>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</si>
  <si>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</si>
  <si>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</si>
  <si>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</si>
  <si>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</si>
  <si>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</si>
  <si>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</si>
  <si>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</si>
  <si>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</si>
  <si>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</si>
  <si>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</si>
  <si>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</si>
  <si>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</si>
  <si>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</si>
  <si>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</si>
  <si>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</si>
  <si>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</si>
  <si>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</si>
  <si>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</si>
  <si>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</si>
  <si>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</si>
  <si>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</si>
  <si>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</si>
  <si>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</si>
  <si>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</si>
  <si>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</si>
  <si>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</si>
  <si>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</si>
  <si>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</si>
  <si>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</si>
  <si>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</si>
  <si>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</si>
  <si>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</si>
  <si>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</si>
  <si>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</si>
  <si>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</si>
  <si>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</si>
  <si>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</si>
  <si>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</si>
  <si>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</si>
  <si>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</si>
  <si>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</si>
  <si>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</si>
  <si>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</si>
  <si>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</si>
  <si>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</si>
  <si>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</si>
  <si>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</si>
  <si>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</si>
  <si>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</si>
  <si>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</si>
  <si>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</si>
  <si>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</si>
  <si>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</si>
  <si>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</si>
  <si>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</si>
  <si>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</si>
  <si>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</si>
  <si>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</si>
  <si>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</si>
  <si>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</si>
  <si>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</si>
  <si>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</si>
  <si>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</si>
  <si>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</si>
  <si>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</si>
  <si>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</si>
  <si>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</si>
  <si>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</si>
  <si>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</si>
  <si>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</si>
  <si>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</si>
  <si>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</si>
  <si>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</si>
  <si>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</si>
  <si>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</si>
  <si>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</si>
  <si>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</si>
  <si>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</si>
  <si>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</si>
  <si>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</si>
  <si>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</si>
  <si>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</si>
  <si>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</si>
  <si>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</si>
  <si>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</si>
  <si>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</si>
  <si>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</si>
  <si>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</si>
  <si>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</si>
  <si>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</si>
  <si>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</si>
  <si>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</si>
  <si>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</si>
  <si>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</si>
  <si>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</si>
  <si>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</si>
  <si>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</si>
  <si>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</si>
  <si>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</si>
  <si>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</si>
  <si>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</si>
  <si>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</si>
  <si>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</si>
  <si>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</si>
  <si>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</si>
  <si>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</si>
  <si>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</si>
  <si>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</si>
  <si>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</si>
  <si>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</si>
  <si>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</si>
  <si>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</si>
  <si>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</si>
  <si>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</si>
  <si>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</si>
  <si>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</si>
  <si>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</si>
  <si>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</si>
  <si>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</si>
  <si>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</si>
  <si>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</si>
  <si>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</si>
  <si>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</si>
  <si>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</si>
  <si>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</si>
  <si>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</si>
  <si>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</si>
  <si>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</si>
  <si>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</si>
  <si>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</si>
  <si>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</si>
  <si>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</si>
  <si>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</si>
  <si>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</si>
  <si>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</si>
  <si>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</si>
  <si>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</si>
  <si>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</si>
  <si>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</si>
  <si>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</si>
  <si>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</si>
  <si>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</si>
  <si>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</si>
  <si>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</si>
  <si>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</si>
  <si>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</si>
  <si>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</si>
  <si>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</si>
  <si>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</si>
  <si>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</si>
  <si>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</si>
  <si>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</si>
  <si>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</si>
  <si>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</si>
  <si>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</si>
  <si>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</si>
  <si>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</si>
  <si>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</si>
  <si>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</si>
  <si>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</si>
  <si>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</si>
  <si>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</si>
  <si>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</si>
  <si>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</si>
  <si>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</si>
  <si>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</si>
  <si>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</si>
  <si>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</si>
  <si>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</si>
  <si>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</si>
  <si>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</si>
  <si>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</si>
  <si>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</si>
  <si>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</si>
  <si>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</si>
  <si>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</si>
  <si>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</si>
  <si>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</si>
  <si>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</si>
  <si>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</si>
  <si>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</si>
  <si>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</si>
  <si>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</si>
  <si>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</si>
  <si>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</si>
  <si>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</si>
  <si>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</si>
  <si>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</si>
  <si>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</si>
  <si>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</si>
  <si>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</si>
  <si>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</si>
  <si>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</si>
  <si>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</si>
  <si>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</si>
  <si>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</si>
  <si>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</si>
  <si>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</si>
  <si>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</si>
  <si>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</si>
  <si>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</si>
  <si>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</si>
  <si>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</si>
  <si>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</si>
  <si>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</si>
  <si>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</si>
  <si>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</si>
  <si>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</si>
  <si>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</si>
  <si>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</si>
  <si>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</si>
  <si>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</si>
  <si>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</si>
  <si>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</si>
  <si>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</si>
  <si>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</si>
  <si>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</si>
  <si>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</si>
  <si>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</si>
  <si>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</si>
  <si>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</si>
  <si>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</si>
  <si>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</si>
  <si>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</si>
  <si>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</si>
  <si>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</si>
  <si>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</si>
  <si>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</si>
  <si>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</si>
  <si>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</si>
  <si>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</si>
  <si>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</si>
  <si>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</si>
  <si>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</si>
  <si>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</si>
  <si>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</si>
  <si>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</si>
  <si>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</si>
  <si>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</si>
  <si>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</si>
  <si>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</si>
  <si>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</si>
  <si>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</si>
  <si>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</si>
  <si>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</si>
  <si>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</si>
  <si>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</si>
  <si>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</si>
  <si>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</si>
  <si>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</si>
  <si>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</si>
  <si>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</si>
  <si>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</si>
  <si>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</si>
  <si>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</si>
  <si>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</si>
  <si>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</si>
  <si>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</si>
  <si>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</si>
  <si>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</si>
  <si>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</si>
  <si>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</si>
  <si>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</si>
  <si>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</si>
  <si>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</si>
  <si>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</si>
  <si>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</si>
  <si>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</si>
  <si>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</si>
  <si>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</si>
  <si>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</si>
  <si>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</si>
  <si>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</si>
  <si>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</si>
  <si>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</si>
  <si>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</si>
  <si>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</si>
  <si>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</si>
  <si>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</si>
  <si>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</si>
  <si>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</si>
  <si>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</si>
  <si>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</si>
  <si>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</si>
  <si>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</si>
  <si>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</si>
  <si>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</si>
  <si>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</si>
  <si>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</si>
  <si>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</si>
  <si>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</si>
  <si>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</si>
  <si>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</si>
  <si>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</si>
  <si>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</si>
  <si>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</si>
  <si>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</si>
  <si>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</si>
  <si>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</si>
  <si>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</si>
  <si>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</si>
  <si>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</si>
  <si>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</si>
  <si>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</si>
  <si>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</si>
  <si>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</si>
  <si>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</si>
  <si>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</si>
  <si>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</si>
  <si>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</si>
  <si>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</si>
  <si>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</si>
  <si>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</si>
  <si>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</si>
  <si>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</si>
  <si>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</si>
  <si>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</si>
  <si>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</si>
  <si>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</si>
  <si>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</si>
  <si>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</si>
  <si>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</si>
  <si>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</si>
  <si>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</si>
  <si>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</si>
  <si>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</si>
  <si>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</si>
  <si>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</si>
  <si>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</si>
  <si>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</si>
  <si>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</si>
  <si>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</si>
  <si>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</si>
  <si>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</si>
  <si>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</si>
  <si>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</si>
  <si>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</si>
  <si>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</si>
  <si>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</si>
  <si>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</si>
  <si>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</si>
  <si>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</si>
  <si>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</si>
  <si>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</si>
  <si>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</si>
  <si>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</si>
  <si>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</si>
  <si>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</si>
  <si>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</si>
  <si>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</si>
  <si>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</si>
  <si>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</si>
  <si>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</si>
  <si>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</si>
  <si>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</si>
  <si>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</si>
  <si>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</si>
  <si>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</si>
  <si>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</si>
  <si>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</si>
  <si>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</si>
  <si>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</si>
  <si>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</si>
  <si>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</si>
  <si>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</si>
  <si>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</si>
  <si>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</si>
  <si>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</si>
  <si>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</si>
  <si>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</si>
  <si>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</si>
  <si>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</si>
  <si>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</si>
  <si>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</si>
  <si>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</si>
  <si>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</si>
  <si>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</si>
  <si>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</si>
  <si>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</si>
  <si>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</si>
  <si>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</si>
  <si>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</si>
  <si>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</si>
  <si>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</si>
  <si>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</si>
  <si>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</si>
  <si>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</si>
  <si>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</si>
  <si>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</si>
  <si>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</si>
  <si>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</si>
  <si>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</si>
  <si>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</si>
  <si>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</si>
  <si>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</si>
  <si>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</si>
  <si>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</si>
  <si>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</si>
  <si>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</si>
  <si>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</si>
  <si>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</si>
  <si>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</si>
  <si>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</si>
  <si>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</si>
  <si>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</si>
  <si>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</si>
  <si>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</si>
  <si>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</si>
  <si>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</si>
  <si>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</si>
  <si>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</si>
  <si>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</si>
  <si>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</si>
  <si>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</si>
  <si>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</si>
  <si>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</si>
  <si>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</si>
  <si>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</si>
  <si>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</si>
  <si>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</si>
  <si>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</si>
  <si>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</si>
  <si>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</si>
  <si>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</si>
  <si>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</si>
  <si>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</si>
  <si>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</si>
  <si>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</si>
  <si>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</si>
  <si>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</si>
  <si>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</si>
  <si>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</si>
  <si>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</si>
  <si>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</si>
  <si>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</si>
  <si>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</si>
  <si>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</si>
  <si>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</si>
  <si>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</si>
  <si>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</si>
  <si>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</si>
  <si>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</si>
  <si>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</si>
  <si>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</si>
  <si>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</si>
  <si>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</si>
  <si>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</si>
  <si>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</si>
  <si>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</si>
  <si>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</si>
  <si>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</si>
  <si>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</si>
  <si>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</si>
  <si>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</si>
  <si>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</si>
  <si>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</si>
  <si>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</si>
  <si>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</si>
  <si>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</si>
  <si>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</si>
  <si>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</si>
  <si>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</si>
  <si>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</si>
  <si>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</si>
  <si>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</si>
  <si>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</si>
  <si>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</si>
  <si>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</si>
  <si>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</si>
  <si>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</si>
  <si>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</si>
  <si>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</si>
  <si>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</si>
  <si>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</si>
  <si>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</si>
  <si>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</si>
  <si>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</si>
  <si>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</si>
  <si>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</si>
  <si>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</si>
  <si>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</si>
  <si>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</si>
  <si>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</si>
  <si>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</si>
  <si>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</si>
  <si>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</si>
  <si>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</si>
  <si>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</si>
  <si>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</si>
  <si>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</si>
  <si>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</si>
  <si>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</si>
  <si>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</si>
  <si>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</si>
  <si>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</si>
  <si>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</si>
  <si>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</si>
  <si>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</si>
  <si>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</si>
  <si>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</si>
  <si>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</si>
  <si>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</si>
  <si>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</si>
  <si>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</si>
  <si>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</si>
  <si>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</si>
  <si>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7532</t>
    <phoneticPr fontId="16"/>
  </si>
  <si>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</si>
  <si>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</si>
  <si>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</si>
  <si>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</si>
  <si>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</si>
  <si>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</si>
  <si>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</si>
  <si>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</si>
  <si>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</si>
  <si>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</si>
  <si>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</si>
  <si>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</si>
  <si>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</si>
  <si>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</si>
  <si>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</si>
  <si>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</si>
  <si>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</si>
  <si>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</si>
  <si>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</si>
  <si>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</si>
  <si>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</si>
  <si>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</si>
  <si>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</si>
  <si>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</si>
  <si>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</si>
  <si>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</si>
  <si>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</si>
  <si>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</si>
  <si>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</si>
  <si>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</si>
  <si>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</si>
  <si>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</si>
  <si>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</si>
  <si>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</si>
  <si>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</si>
  <si>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</si>
  <si>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</si>
  <si>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</si>
  <si>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</si>
  <si>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</si>
  <si>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</si>
  <si>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</si>
  <si>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</si>
  <si>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</si>
  <si>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</si>
  <si>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</si>
  <si>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</si>
  <si>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</si>
  <si>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</si>
  <si>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</si>
  <si>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</si>
  <si>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</si>
  <si>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</si>
  <si>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</si>
  <si>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</si>
  <si>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</si>
  <si>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</si>
  <si>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</si>
  <si>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</si>
  <si>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</si>
  <si>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</si>
  <si>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</si>
  <si>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</si>
  <si>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</si>
  <si>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</si>
  <si>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</si>
  <si>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</si>
  <si>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</si>
  <si>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</si>
  <si>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</si>
  <si>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</si>
  <si>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</si>
  <si>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</si>
  <si>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</si>
  <si>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</si>
  <si>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</si>
  <si>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</si>
  <si>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</si>
  <si>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</si>
  <si>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</si>
  <si>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</si>
  <si>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</si>
  <si>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</si>
  <si>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</si>
  <si>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</si>
  <si>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</si>
  <si>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</si>
  <si>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</si>
  <si>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</si>
  <si>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</si>
  <si>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</si>
  <si>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</si>
  <si>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</si>
  <si>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</si>
  <si>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</si>
  <si>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</si>
  <si>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</si>
  <si>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</si>
  <si>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</si>
  <si>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</si>
  <si>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</si>
  <si>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</si>
  <si>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</si>
  <si>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</si>
  <si>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</si>
  <si>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</si>
  <si>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</si>
  <si>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</si>
  <si>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</si>
  <si>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</si>
  <si>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</si>
  <si>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</si>
  <si>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</si>
  <si>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</si>
  <si>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</si>
  <si>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</si>
  <si>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</si>
  <si>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</si>
  <si>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</si>
  <si>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</si>
  <si>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</si>
  <si>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</si>
  <si>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</si>
  <si>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</si>
  <si>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</si>
  <si>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</si>
  <si>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</si>
  <si>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</si>
  <si>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</si>
  <si>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</si>
  <si>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</si>
  <si>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</si>
  <si>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</si>
  <si>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</si>
  <si>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</si>
  <si>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</si>
  <si>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</si>
  <si>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</si>
  <si>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</si>
  <si>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</si>
  <si>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</si>
  <si>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</si>
  <si>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</si>
  <si>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</si>
  <si>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</si>
  <si>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</si>
  <si>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</si>
  <si>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</si>
  <si>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</si>
  <si>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</si>
  <si>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</si>
  <si>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</si>
  <si>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</si>
  <si>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</si>
  <si>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</si>
  <si>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</si>
  <si>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</si>
  <si>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</si>
  <si>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</si>
  <si>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</si>
  <si>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</si>
  <si>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</si>
  <si>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</si>
  <si>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</si>
  <si>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</si>
  <si>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</si>
  <si>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</si>
  <si>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</si>
  <si>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</si>
  <si>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</si>
  <si>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</si>
  <si>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</si>
  <si>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</si>
  <si>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</si>
  <si>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</si>
  <si>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</si>
  <si>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</si>
  <si>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</si>
  <si>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</si>
  <si>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</si>
  <si>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</si>
  <si>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</si>
  <si>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</si>
  <si>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</si>
  <si>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</si>
  <si>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</si>
  <si>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</si>
  <si>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</si>
  <si>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</si>
  <si>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</si>
  <si>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</si>
  <si>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</si>
  <si>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</si>
  <si>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</si>
  <si>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</si>
  <si>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</si>
  <si>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</si>
  <si>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</si>
  <si>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</si>
  <si>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</si>
  <si>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</si>
  <si>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</si>
  <si>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</si>
  <si>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</si>
  <si>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</si>
  <si>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</si>
  <si>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</si>
  <si>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</si>
  <si>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</si>
  <si>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</si>
  <si>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</si>
  <si>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</si>
  <si>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</si>
  <si>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</si>
  <si>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</si>
  <si>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</si>
  <si>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</si>
  <si>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</si>
  <si>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</si>
  <si>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</si>
  <si>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</si>
  <si>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</si>
  <si>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</si>
  <si>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</si>
  <si>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</si>
  <si>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</si>
  <si>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</si>
  <si>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</si>
  <si>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</si>
  <si>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</si>
  <si>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</si>
  <si>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</si>
  <si>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</si>
  <si>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</si>
  <si>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</si>
  <si>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</si>
  <si>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</si>
  <si>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</si>
  <si>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</si>
  <si>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</si>
  <si>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</si>
  <si>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</si>
  <si>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</si>
  <si>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</si>
  <si>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</si>
  <si>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</si>
  <si>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</si>
  <si>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</si>
  <si>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</si>
  <si>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</si>
  <si>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</si>
  <si>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</si>
  <si>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</si>
  <si>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</si>
  <si>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</si>
  <si>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</si>
  <si>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</si>
  <si>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</si>
  <si>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</si>
  <si>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</si>
  <si>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</si>
  <si>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</si>
  <si>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</si>
  <si>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</si>
  <si>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</si>
  <si>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</si>
  <si>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</si>
  <si>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</si>
  <si>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</si>
  <si>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</si>
  <si>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</si>
  <si>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</si>
  <si>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</si>
  <si>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</si>
  <si>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</si>
  <si>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</si>
  <si>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</si>
  <si>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</si>
  <si>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</si>
  <si>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</si>
  <si>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</si>
  <si>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</si>
  <si>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</si>
  <si>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</si>
  <si>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</si>
  <si>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</si>
  <si>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</si>
  <si>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</si>
  <si>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</si>
  <si>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</si>
  <si>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</si>
  <si>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</si>
  <si>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</si>
  <si>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</si>
  <si>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</si>
  <si>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</si>
  <si>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</si>
  <si>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</si>
  <si>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</si>
  <si>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</si>
  <si>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</si>
  <si>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</si>
  <si>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</si>
  <si>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</si>
  <si>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</si>
  <si>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</si>
  <si>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</si>
  <si>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</si>
  <si>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</si>
  <si>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</si>
  <si>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</si>
  <si>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</si>
  <si>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</si>
  <si>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</si>
  <si>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</si>
  <si>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</si>
  <si>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</si>
  <si>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</si>
  <si>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</si>
  <si>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</si>
  <si>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</si>
  <si>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</si>
  <si>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</si>
  <si>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</si>
  <si>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</si>
  <si>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</si>
  <si>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</si>
  <si>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</si>
  <si>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</si>
  <si>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</si>
  <si>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</si>
  <si>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</si>
  <si>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</si>
  <si>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</si>
  <si>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</si>
  <si>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</si>
  <si>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</si>
  <si>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</si>
  <si>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</si>
  <si>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</si>
  <si>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</si>
  <si>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</si>
  <si>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</si>
  <si>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</si>
  <si>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</si>
  <si>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</si>
  <si>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</si>
  <si>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</si>
  <si>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</si>
  <si>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</si>
  <si>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パンパシフィックＨＤ</t>
    <phoneticPr fontId="16"/>
  </si>
  <si>
    <t>東証</t>
    <phoneticPr fontId="16"/>
  </si>
  <si>
    <t>2026/03/03</t>
    <phoneticPr fontId="16"/>
  </si>
  <si>
    <t>2026/03/04</t>
    <phoneticPr fontId="16"/>
  </si>
  <si>
    <t>2026/03/05</t>
    <phoneticPr fontId="16"/>
  </si>
  <si>
    <t>2026/03/06</t>
    <phoneticPr fontId="16"/>
  </si>
  <si>
    <t>2026/03/09</t>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</si>
  <si>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</si>
  <si>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</si>
  <si>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</si>
  <si>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</si>
  <si>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</si>
  <si>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</si>
  <si>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</si>
  <si>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</si>
  <si>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</si>
  <si>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</si>
  <si>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</si>
  <si>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</si>
  <si>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</si>
  <si>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</si>
  <si>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</si>
  <si>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</si>
  <si>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</si>
  <si>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2026/04/03</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</si>
  <si>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</si>
  <si>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</si>
  <si>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</si>
  <si>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</si>
  <si>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</si>
  <si>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</si>
  <si>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</si>
  <si>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</si>
  <si>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</si>
  <si>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</si>
  <si>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</si>
  <si>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</si>
  <si>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</si>
  <si>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</si>
  <si>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</si>
  <si>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</si>
  <si>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</si>
  <si>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</si>
  <si>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</si>
  <si>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</si>
  <si>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</si>
  <si>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</si>
  <si>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</si>
  <si>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</si>
  <si>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</si>
  <si>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</si>
  <si>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</si>
  <si>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</si>
  <si>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</si>
  <si>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</si>
  <si>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</si>
  <si>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2026/05/25</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</si>
  <si>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</si>
  <si>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</si>
  <si>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</si>
  <si>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</si>
  <si>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</si>
  <si>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</si>
  <si>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</si>
  <si>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</si>
  <si>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</si>
  <si>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</si>
  <si>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</si>
  <si>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</si>
  <si>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</si>
  <si>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</si>
  <si>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</si>
  <si>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</si>
  <si>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</si>
  <si>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</si>
  <si>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2026/06/19</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</si>
  <si>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</si>
  <si>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</si>
  <si>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</si>
  <si>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</si>
  <si>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</si>
  <si>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</si>
  <si>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</si>
  <si>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</si>
  <si>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</si>
  <si>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2026/07/03</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</si>
  <si>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</si>
  <si>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</si>
  <si>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</si>
  <si>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</si>
  <si>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</si>
  <si>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</si>
  <si>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</si>
  <si>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</si>
  <si>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</si>
  <si>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</si>
  <si>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</si>
  <si>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</si>
  <si>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</si>
  <si>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</si>
  <si>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</si>
  <si>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</si>
  <si>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</si>
  <si>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</si>
  <si>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</si>
  <si>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</si>
  <si>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</si>
  <si>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</si>
  <si>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</si>
  <si>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</si>
  <si>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</si>
  <si>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</si>
  <si>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</si>
  <si>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0.67倍</t>
  </si>
  <si>
    <t>下降トレンド▼ MACD- [完全下降] [Hist悪化] EMA12&lt;26 MACD&lt;Sig RSI&lt;50 [◎売りモメンタム完全] [大陰線▼+2] [前日:長い上ヒゲ+1] [対TOPIX弱]</t>
  </si>
  <si>
    <t xml:space="preserve">パーフェクト▲ MACD+ EMA12&gt;26 MACD&gt;Sig RSI&gt;50 [◎モメンタム完全] [Perfect5&gt;25&gt;75] [Vol急増陽線] [ADX=39] [Hist拡大] [対TOPIX勝 +2.60%] [前日:下ヒゲ陽線●+2] </t>
  </si>
  <si>
    <t>TOPIX: 下落▼ (-1.08%) 【中程度】　　最終更新: 2026/08/04 00:52　　買い抽出(スコア11以上・緩和・上位10件)</t>
    <phoneticPr fontId="16"/>
  </si>
  <si>
    <t>2026/08/03</t>
    <phoneticPr fontId="16"/>
  </si>
  <si>
    <t>もみ合い→</t>
  </si>
  <si>
    <t>1.97倍</t>
  </si>
  <si>
    <t>出来高増(2.0倍) MACD- [完全下降] [Vol急増陰線] [Hist悪化] EMA12&lt;26 MACD&lt;Sig RSI&lt;50 [◎売りモメンタム完全] [対TOPIX弱]</t>
  </si>
  <si>
    <t>TOPIX: 下落▼ (-1.08%) 【中程度】　最終更新: 2026/08/04 08:54</t>
    <phoneticPr fontId="16"/>
  </si>
  <si>
    <t>2026/08/04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</si>
</sst>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5">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sz val="18"/>
      <color rgb="FFFFFFFF"/>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s>
  <fills count="81">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00B050"/>
        <bgColor indexed="64"/>
      </patternFill>
    </fill>
    <fill>
      <patternFill patternType="solid">
        <fgColor rgb="FFFF6600"/>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897">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88" fillId="68" borderId="3" xfId="0" applyFont="1" applyFill="1" applyBorder="1"/>
    <xf numFmtId="0" fontId="175" fillId="69" borderId="3" xfId="0" applyFont="1" applyFill="1" applyBorder="1"/>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0" fontId="57" fillId="71" borderId="3" xfId="0" applyFont="1" applyFill="1" applyBorder="1" applyAlignment="1">
      <alignment horizontal="left"/>
    </xf>
    <xf numFmtId="183" fontId="177" fillId="4" borderId="0" xfId="0" applyNumberFormat="1" applyFont="1" applyFill="1" applyAlignment="1" applyProtection="1">
      <alignment horizontal="center" vertical="center"/>
      <protection locked="0"/>
    </xf>
    <xf numFmtId="188" fontId="177"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7"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8" fillId="72" borderId="1" xfId="0" applyFont="1" applyFill="1" applyBorder="1" applyAlignment="1" applyProtection="1">
      <alignment horizontal="center" vertical="center"/>
      <protection locked="0"/>
    </xf>
    <xf numFmtId="188" fontId="179" fillId="72" borderId="0" xfId="0" applyNumberFormat="1" applyFont="1" applyFill="1" applyAlignment="1" applyProtection="1">
      <alignment horizontal="center" vertical="center"/>
      <protection locked="0"/>
    </xf>
    <xf numFmtId="0" fontId="180" fillId="72" borderId="0" xfId="0" applyFont="1" applyFill="1" applyProtection="1">
      <protection locked="0"/>
    </xf>
    <xf numFmtId="3" fontId="181" fillId="72" borderId="0" xfId="0" applyNumberFormat="1" applyFont="1" applyFill="1" applyAlignment="1" applyProtection="1">
      <alignment horizontal="right" vertical="center" wrapText="1"/>
      <protection locked="0"/>
    </xf>
    <xf numFmtId="3" fontId="182" fillId="72" borderId="0" xfId="0" applyNumberFormat="1" applyFont="1" applyFill="1" applyAlignment="1" applyProtection="1">
      <alignment horizontal="right" vertical="center" wrapText="1"/>
      <protection locked="0"/>
    </xf>
    <xf numFmtId="3" fontId="183" fillId="72" borderId="0" xfId="0" applyNumberFormat="1" applyFont="1" applyFill="1" applyAlignment="1" applyProtection="1">
      <alignment horizontal="right" vertical="center"/>
      <protection locked="0"/>
    </xf>
    <xf numFmtId="3" fontId="180" fillId="72" borderId="0" xfId="0" applyNumberFormat="1" applyFont="1" applyFill="1" applyProtection="1">
      <protection locked="0"/>
    </xf>
    <xf numFmtId="0" fontId="184" fillId="0" borderId="0" xfId="0" applyFont="1"/>
    <xf numFmtId="0" fontId="185" fillId="64" borderId="0" xfId="0" applyFont="1" applyFill="1"/>
    <xf numFmtId="0" fontId="186" fillId="64" borderId="0" xfId="0" applyFont="1" applyFill="1" applyAlignment="1">
      <alignment vertical="center"/>
    </xf>
    <xf numFmtId="0" fontId="187" fillId="0" borderId="0" xfId="0" applyFont="1" applyAlignment="1">
      <alignment horizontal="left"/>
    </xf>
    <xf numFmtId="176" fontId="188"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90" fillId="0" borderId="0" xfId="0" applyFont="1"/>
    <xf numFmtId="0" fontId="191" fillId="0" borderId="0" xfId="0" applyFont="1"/>
    <xf numFmtId="0" fontId="85" fillId="0" borderId="0" xfId="0" applyFont="1"/>
    <xf numFmtId="0" fontId="192" fillId="64" borderId="0" xfId="0" applyFont="1" applyFill="1" applyAlignment="1">
      <alignment horizontal="center"/>
    </xf>
    <xf numFmtId="0" fontId="85" fillId="0" borderId="0" xfId="0" applyFont="1" applyAlignment="1">
      <alignment horizontal="center"/>
    </xf>
    <xf numFmtId="0" fontId="193" fillId="0" borderId="0" xfId="0" applyFont="1"/>
    <xf numFmtId="194" fontId="192" fillId="64" borderId="0" xfId="0" applyNumberFormat="1" applyFont="1" applyFill="1" applyAlignment="1">
      <alignment horizontal="center"/>
    </xf>
    <xf numFmtId="0" fontId="194"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7" fillId="61" borderId="23" xfId="0" applyFont="1" applyFill="1" applyBorder="1" applyProtection="1">
      <protection locked="0"/>
    </xf>
    <xf numFmtId="0" fontId="198"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9" fillId="33" borderId="0" xfId="0" applyFont="1" applyFill="1" applyAlignment="1" applyProtection="1">
      <alignment horizontal="center" vertical="center"/>
      <protection locked="0"/>
    </xf>
    <xf numFmtId="3" fontId="199" fillId="33" borderId="0" xfId="0" applyNumberFormat="1" applyFont="1" applyFill="1" applyAlignment="1" applyProtection="1">
      <alignment horizontal="center" vertical="center"/>
      <protection locked="0"/>
    </xf>
    <xf numFmtId="38" fontId="199" fillId="33" borderId="0" xfId="3" applyFont="1" applyFill="1" applyAlignment="1" applyProtection="1">
      <alignment horizontal="center" vertical="center"/>
      <protection locked="0"/>
    </xf>
    <xf numFmtId="0" fontId="200" fillId="0" borderId="0" xfId="0" applyFont="1" applyAlignment="1">
      <alignment vertical="center" wrapText="1"/>
    </xf>
    <xf numFmtId="0" fontId="201"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5" fillId="0" borderId="0" xfId="0" applyFont="1" applyProtection="1">
      <protection locked="0"/>
    </xf>
    <xf numFmtId="0" fontId="205" fillId="0" borderId="0" xfId="0" applyFont="1"/>
    <xf numFmtId="0" fontId="206" fillId="0" borderId="0" xfId="0" applyFont="1" applyProtection="1">
      <protection locked="0"/>
    </xf>
    <xf numFmtId="0" fontId="207" fillId="0" borderId="0" xfId="0" applyFont="1" applyProtection="1">
      <protection locked="0"/>
    </xf>
    <xf numFmtId="0" fontId="208" fillId="16" borderId="0" xfId="0" applyFont="1" applyFill="1" applyAlignment="1" applyProtection="1">
      <alignment horizontal="center"/>
      <protection locked="0"/>
    </xf>
    <xf numFmtId="9" fontId="209" fillId="0" borderId="0" xfId="0" applyNumberFormat="1" applyFont="1" applyProtection="1">
      <protection locked="0"/>
    </xf>
    <xf numFmtId="0" fontId="210" fillId="63" borderId="0" xfId="0" applyFont="1" applyFill="1" applyAlignment="1" applyProtection="1">
      <alignment horizontal="center"/>
      <protection locked="0"/>
    </xf>
    <xf numFmtId="0" fontId="153" fillId="44" borderId="0" xfId="0" applyFont="1" applyFill="1" applyProtection="1">
      <protection locked="0"/>
    </xf>
    <xf numFmtId="0" fontId="205" fillId="0" borderId="0" xfId="0" applyFont="1" applyAlignment="1" applyProtection="1">
      <alignment horizontal="center"/>
      <protection locked="0"/>
    </xf>
    <xf numFmtId="198" fontId="205" fillId="0" borderId="0" xfId="0" applyNumberFormat="1" applyFont="1" applyProtection="1">
      <protection locked="0"/>
    </xf>
    <xf numFmtId="0" fontId="215" fillId="0" borderId="0" xfId="0" applyFont="1" applyProtection="1">
      <protection locked="0"/>
    </xf>
    <xf numFmtId="190" fontId="216" fillId="0" borderId="0" xfId="0" applyNumberFormat="1" applyFont="1" applyProtection="1">
      <protection locked="0"/>
    </xf>
    <xf numFmtId="190" fontId="217" fillId="40" borderId="0" xfId="0" applyNumberFormat="1" applyFont="1" applyFill="1" applyProtection="1">
      <protection locked="0"/>
    </xf>
    <xf numFmtId="0" fontId="218" fillId="0" borderId="0" xfId="0" applyFont="1" applyAlignment="1" applyProtection="1">
      <alignment vertical="center"/>
      <protection locked="0"/>
    </xf>
    <xf numFmtId="0" fontId="219" fillId="0" borderId="0" xfId="0" applyFont="1" applyAlignment="1" applyProtection="1">
      <alignment vertical="center"/>
      <protection locked="0"/>
    </xf>
    <xf numFmtId="0" fontId="208" fillId="63" borderId="0" xfId="0" applyFont="1" applyFill="1" applyAlignment="1" applyProtection="1">
      <alignment horizontal="center" vertical="center"/>
      <protection locked="0"/>
    </xf>
    <xf numFmtId="0" fontId="219" fillId="0" borderId="0" xfId="0" applyFont="1" applyAlignment="1" applyProtection="1">
      <alignment horizontal="center" vertical="center"/>
      <protection locked="0"/>
    </xf>
    <xf numFmtId="0" fontId="205" fillId="0" borderId="0" xfId="0" applyFont="1" applyAlignment="1">
      <alignment horizontal="center"/>
    </xf>
    <xf numFmtId="0" fontId="220"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5" fillId="0" borderId="0" xfId="0" applyNumberFormat="1" applyFont="1" applyProtection="1">
      <protection locked="0"/>
    </xf>
    <xf numFmtId="200" fontId="205" fillId="0" borderId="0" xfId="0" applyNumberFormat="1" applyFont="1"/>
    <xf numFmtId="201" fontId="205" fillId="0" borderId="0" xfId="0" applyNumberFormat="1" applyFont="1" applyProtection="1">
      <protection locked="0"/>
    </xf>
    <xf numFmtId="201" fontId="205" fillId="0" borderId="0" xfId="0" applyNumberFormat="1" applyFont="1"/>
    <xf numFmtId="0" fontId="221" fillId="0" borderId="0" xfId="0" applyFont="1" applyAlignment="1" applyProtection="1">
      <alignment horizontal="center"/>
      <protection locked="0"/>
    </xf>
    <xf numFmtId="0" fontId="205" fillId="0" borderId="0" xfId="0" applyFont="1" applyAlignment="1" applyProtection="1">
      <alignment horizontal="center" vertical="center"/>
      <protection locked="0"/>
    </xf>
    <xf numFmtId="176" fontId="188" fillId="0" borderId="23" xfId="0" applyNumberFormat="1" applyFont="1" applyBorder="1" applyAlignment="1" applyProtection="1">
      <alignment horizontal="center"/>
      <protection locked="0"/>
    </xf>
    <xf numFmtId="3" fontId="188" fillId="0" borderId="23" xfId="0" applyNumberFormat="1" applyFont="1" applyBorder="1" applyProtection="1">
      <protection locked="0"/>
    </xf>
    <xf numFmtId="3" fontId="209" fillId="0" borderId="76" xfId="0" applyNumberFormat="1" applyFont="1" applyBorder="1" applyAlignment="1" applyProtection="1">
      <alignment horizontal="center"/>
      <protection locked="0"/>
    </xf>
    <xf numFmtId="198" fontId="205" fillId="0" borderId="76" xfId="0" applyNumberFormat="1" applyFont="1" applyBorder="1" applyAlignment="1" applyProtection="1">
      <alignment horizontal="center"/>
      <protection locked="0"/>
    </xf>
    <xf numFmtId="199" fontId="205" fillId="0" borderId="76" xfId="0" applyNumberFormat="1" applyFont="1" applyBorder="1" applyProtection="1">
      <protection locked="0"/>
    </xf>
    <xf numFmtId="197" fontId="205" fillId="0" borderId="77" xfId="0" applyNumberFormat="1" applyFont="1" applyBorder="1" applyProtection="1">
      <protection locked="0"/>
    </xf>
    <xf numFmtId="0" fontId="212" fillId="74" borderId="75" xfId="0" applyFont="1" applyFill="1" applyBorder="1" applyProtection="1">
      <protection locked="0"/>
    </xf>
    <xf numFmtId="0" fontId="213" fillId="66" borderId="75" xfId="0" applyFont="1" applyFill="1" applyBorder="1" applyProtection="1">
      <protection locked="0"/>
    </xf>
    <xf numFmtId="0" fontId="214" fillId="75" borderId="75" xfId="0" applyFont="1" applyFill="1" applyBorder="1" applyProtection="1">
      <protection locked="0"/>
    </xf>
    <xf numFmtId="0" fontId="153" fillId="0" borderId="78" xfId="0" applyFont="1" applyBorder="1" applyProtection="1">
      <protection locked="0"/>
    </xf>
    <xf numFmtId="3" fontId="209" fillId="0" borderId="79" xfId="0" applyNumberFormat="1" applyFont="1" applyBorder="1" applyAlignment="1" applyProtection="1">
      <alignment horizontal="center"/>
      <protection locked="0"/>
    </xf>
    <xf numFmtId="198" fontId="205" fillId="0" borderId="79" xfId="0" applyNumberFormat="1" applyFont="1" applyBorder="1" applyAlignment="1" applyProtection="1">
      <alignment horizontal="center"/>
      <protection locked="0"/>
    </xf>
    <xf numFmtId="199" fontId="205" fillId="0" borderId="79" xfId="0" applyNumberFormat="1" applyFont="1" applyBorder="1" applyProtection="1">
      <protection locked="0"/>
    </xf>
    <xf numFmtId="197" fontId="205" fillId="0" borderId="80" xfId="0" applyNumberFormat="1" applyFont="1" applyBorder="1" applyProtection="1">
      <protection locked="0"/>
    </xf>
    <xf numFmtId="0" fontId="211" fillId="73" borderId="73" xfId="0" applyFont="1" applyFill="1" applyBorder="1" applyProtection="1">
      <protection locked="0"/>
    </xf>
    <xf numFmtId="3" fontId="209" fillId="0" borderId="74" xfId="0" applyNumberFormat="1" applyFont="1" applyBorder="1" applyAlignment="1" applyProtection="1">
      <alignment horizontal="center"/>
      <protection locked="0"/>
    </xf>
    <xf numFmtId="3" fontId="209" fillId="0" borderId="77" xfId="0" applyNumberFormat="1" applyFont="1" applyBorder="1" applyAlignment="1" applyProtection="1">
      <alignment horizontal="center"/>
      <protection locked="0"/>
    </xf>
    <xf numFmtId="0" fontId="214" fillId="75" borderId="78" xfId="0" applyFont="1" applyFill="1" applyBorder="1" applyProtection="1">
      <protection locked="0"/>
    </xf>
    <xf numFmtId="3" fontId="209" fillId="0" borderId="80" xfId="0" applyNumberFormat="1" applyFont="1" applyBorder="1" applyAlignment="1" applyProtection="1">
      <alignment horizontal="center"/>
      <protection locked="0"/>
    </xf>
    <xf numFmtId="0" fontId="211" fillId="73" borderId="81" xfId="0" applyFont="1" applyFill="1" applyBorder="1" applyProtection="1">
      <protection locked="0"/>
    </xf>
    <xf numFmtId="3" fontId="209" fillId="0" borderId="82" xfId="0" applyNumberFormat="1" applyFont="1" applyBorder="1" applyAlignment="1" applyProtection="1">
      <alignment horizontal="center"/>
      <protection locked="0"/>
    </xf>
    <xf numFmtId="198" fontId="205" fillId="0" borderId="82" xfId="0" applyNumberFormat="1" applyFont="1" applyBorder="1" applyAlignment="1" applyProtection="1">
      <alignment horizontal="center"/>
      <protection locked="0"/>
    </xf>
    <xf numFmtId="199" fontId="205" fillId="0" borderId="82" xfId="0" applyNumberFormat="1" applyFont="1" applyBorder="1" applyProtection="1">
      <protection locked="0"/>
    </xf>
    <xf numFmtId="197" fontId="205" fillId="0" borderId="83" xfId="0" applyNumberFormat="1" applyFont="1" applyBorder="1" applyProtection="1">
      <protection locked="0"/>
    </xf>
    <xf numFmtId="0" fontId="222" fillId="65" borderId="84" xfId="0" applyFont="1" applyFill="1" applyBorder="1" applyAlignment="1" applyProtection="1">
      <alignment horizontal="center"/>
      <protection locked="0"/>
    </xf>
    <xf numFmtId="0" fontId="222" fillId="65" borderId="85" xfId="0" applyFont="1" applyFill="1" applyBorder="1" applyAlignment="1" applyProtection="1">
      <alignment horizontal="center"/>
      <protection locked="0"/>
    </xf>
    <xf numFmtId="0" fontId="222" fillId="65" borderId="86" xfId="0" applyFont="1" applyFill="1" applyBorder="1" applyAlignment="1" applyProtection="1">
      <alignment horizontal="center"/>
      <protection locked="0"/>
    </xf>
    <xf numFmtId="0" fontId="208" fillId="76" borderId="88" xfId="0" applyFont="1" applyFill="1" applyBorder="1" applyAlignment="1" applyProtection="1">
      <alignment horizontal="center" vertical="center"/>
      <protection locked="0"/>
    </xf>
    <xf numFmtId="0" fontId="208" fillId="63" borderId="88" xfId="0" applyFont="1" applyFill="1" applyBorder="1" applyAlignment="1" applyProtection="1">
      <alignment horizontal="center" vertical="center"/>
      <protection locked="0"/>
    </xf>
    <xf numFmtId="0" fontId="208" fillId="51" borderId="88" xfId="0" applyFont="1" applyFill="1" applyBorder="1" applyAlignment="1" applyProtection="1">
      <alignment horizontal="center" vertical="center"/>
      <protection locked="0"/>
    </xf>
    <xf numFmtId="0" fontId="208" fillId="77" borderId="88" xfId="0" applyFont="1" applyFill="1" applyBorder="1" applyAlignment="1" applyProtection="1">
      <alignment horizontal="center" vertical="center"/>
      <protection locked="0"/>
    </xf>
    <xf numFmtId="0" fontId="208" fillId="52" borderId="88" xfId="0" applyFont="1" applyFill="1" applyBorder="1" applyAlignment="1" applyProtection="1">
      <alignment horizontal="center" vertical="center"/>
      <protection locked="0"/>
    </xf>
    <xf numFmtId="0" fontId="208" fillId="78"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3" fillId="0" borderId="0" xfId="0" applyFont="1" applyAlignment="1">
      <alignment horizontal="right"/>
    </xf>
    <xf numFmtId="176" fontId="224" fillId="40" borderId="0" xfId="0" applyNumberFormat="1" applyFont="1" applyFill="1" applyAlignment="1">
      <alignment horizontal="center"/>
    </xf>
    <xf numFmtId="0" fontId="225" fillId="0" borderId="0" xfId="0" applyFont="1" applyAlignment="1">
      <alignment horizontal="left"/>
    </xf>
    <xf numFmtId="0" fontId="226" fillId="0" borderId="0" xfId="0" applyFont="1" applyAlignment="1">
      <alignment horizontal="right"/>
    </xf>
    <xf numFmtId="0" fontId="226" fillId="0" borderId="0" xfId="0" applyFont="1" applyAlignment="1">
      <alignment horizontal="center"/>
    </xf>
    <xf numFmtId="0" fontId="230" fillId="65" borderId="99" xfId="0" applyFont="1" applyFill="1" applyBorder="1" applyAlignment="1">
      <alignment horizontal="left" vertical="center"/>
    </xf>
    <xf numFmtId="0" fontId="230" fillId="65" borderId="101" xfId="0" applyFont="1" applyFill="1" applyBorder="1" applyAlignment="1">
      <alignment horizontal="left" vertical="center"/>
    </xf>
    <xf numFmtId="199" fontId="231" fillId="0" borderId="102" xfId="0" applyNumberFormat="1" applyFont="1" applyBorder="1" applyAlignment="1">
      <alignment horizontal="right" vertical="center"/>
    </xf>
    <xf numFmtId="198" fontId="231" fillId="0" borderId="102" xfId="0" applyNumberFormat="1" applyFont="1" applyBorder="1" applyAlignment="1">
      <alignment horizontal="right" vertical="center"/>
    </xf>
    <xf numFmtId="0" fontId="231" fillId="0" borderId="102" xfId="0" applyFont="1" applyBorder="1" applyAlignment="1">
      <alignment horizontal="right" vertical="center"/>
    </xf>
    <xf numFmtId="1" fontId="231" fillId="0" borderId="102" xfId="0" applyNumberFormat="1" applyFont="1" applyBorder="1" applyAlignment="1">
      <alignment horizontal="right" vertical="center"/>
    </xf>
    <xf numFmtId="0" fontId="232" fillId="79" borderId="101" xfId="0" applyFont="1" applyFill="1" applyBorder="1" applyAlignment="1">
      <alignment horizontal="left" vertical="center"/>
    </xf>
    <xf numFmtId="0" fontId="232" fillId="79" borderId="103" xfId="0" applyFont="1" applyFill="1" applyBorder="1" applyAlignment="1">
      <alignment horizontal="left" vertical="center"/>
    </xf>
    <xf numFmtId="0" fontId="230" fillId="65" borderId="103" xfId="0" applyFont="1" applyFill="1" applyBorder="1" applyAlignment="1">
      <alignment horizontal="left" vertical="center"/>
    </xf>
    <xf numFmtId="0" fontId="231" fillId="0" borderId="104" xfId="0" applyFont="1" applyBorder="1" applyAlignment="1">
      <alignment horizontal="right" vertical="center"/>
    </xf>
    <xf numFmtId="3" fontId="231" fillId="0" borderId="100" xfId="0" applyNumberFormat="1" applyFont="1" applyBorder="1" applyAlignment="1">
      <alignment horizontal="right" vertical="center"/>
    </xf>
    <xf numFmtId="0" fontId="26" fillId="0" borderId="0" xfId="0" applyFont="1"/>
    <xf numFmtId="0" fontId="231" fillId="0" borderId="100" xfId="0" applyFont="1" applyBorder="1" applyAlignment="1">
      <alignment horizontal="right" vertical="center"/>
    </xf>
    <xf numFmtId="3" fontId="231" fillId="0" borderId="102" xfId="0" applyNumberFormat="1" applyFont="1" applyBorder="1" applyAlignment="1">
      <alignment horizontal="right" vertical="center"/>
    </xf>
    <xf numFmtId="201" fontId="231" fillId="0" borderId="102" xfId="0" applyNumberFormat="1" applyFont="1" applyBorder="1" applyAlignment="1">
      <alignment horizontal="right" vertical="center"/>
    </xf>
    <xf numFmtId="178" fontId="231" fillId="0" borderId="102" xfId="0" applyNumberFormat="1" applyFont="1" applyBorder="1" applyAlignment="1">
      <alignment horizontal="right" vertical="center"/>
    </xf>
    <xf numFmtId="194" fontId="231" fillId="0" borderId="102" xfId="0" applyNumberFormat="1" applyFont="1" applyBorder="1" applyAlignment="1">
      <alignment horizontal="right" vertical="center"/>
    </xf>
    <xf numFmtId="2" fontId="231" fillId="0" borderId="102" xfId="0" applyNumberFormat="1" applyFont="1" applyBorder="1" applyAlignment="1">
      <alignment horizontal="right" vertical="center"/>
    </xf>
    <xf numFmtId="184" fontId="231" fillId="0" borderId="102" xfId="0" applyNumberFormat="1" applyFont="1" applyBorder="1" applyAlignment="1">
      <alignment horizontal="right" vertical="center"/>
    </xf>
    <xf numFmtId="3" fontId="232" fillId="0" borderId="102" xfId="0" applyNumberFormat="1" applyFont="1" applyBorder="1" applyAlignment="1">
      <alignment horizontal="right" vertical="center"/>
    </xf>
    <xf numFmtId="3" fontId="232"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7" fillId="39" borderId="0" xfId="0" applyFont="1" applyFill="1" applyProtection="1">
      <protection hidden="1"/>
    </xf>
    <xf numFmtId="0" fontId="227" fillId="39" borderId="0" xfId="0" applyFont="1" applyFill="1" applyAlignment="1" applyProtection="1">
      <alignment horizontal="right"/>
      <protection hidden="1"/>
    </xf>
    <xf numFmtId="0" fontId="227" fillId="39" borderId="0" xfId="0" applyFont="1" applyFill="1" applyAlignment="1" applyProtection="1">
      <alignment horizontal="center"/>
      <protection hidden="1"/>
    </xf>
    <xf numFmtId="0" fontId="228" fillId="39" borderId="0" xfId="0" applyFont="1" applyFill="1" applyAlignment="1" applyProtection="1">
      <alignment horizontal="right"/>
      <protection hidden="1"/>
    </xf>
    <xf numFmtId="196" fontId="229" fillId="39" borderId="0" xfId="0" applyNumberFormat="1" applyFont="1" applyFill="1" applyAlignment="1" applyProtection="1">
      <alignment horizontal="center"/>
      <protection hidden="1"/>
    </xf>
    <xf numFmtId="9" fontId="229" fillId="39" borderId="0" xfId="0" applyNumberFormat="1" applyFont="1" applyFill="1" applyAlignment="1" applyProtection="1">
      <alignment horizontal="center"/>
      <protection hidden="1"/>
    </xf>
    <xf numFmtId="202" fontId="241" fillId="0" borderId="23" xfId="3" applyNumberFormat="1" applyFont="1" applyBorder="1" applyAlignment="1" applyProtection="1">
      <alignment horizontal="center"/>
      <protection locked="0"/>
    </xf>
    <xf numFmtId="0" fontId="202"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2" fillId="0" borderId="0" xfId="1" applyFont="1"/>
    <xf numFmtId="0" fontId="135" fillId="70" borderId="0" xfId="1" applyFont="1" applyFill="1" applyAlignment="1">
      <alignment horizontal="center"/>
    </xf>
    <xf numFmtId="183" fontId="208"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9" fillId="0" borderId="23" xfId="0" applyNumberFormat="1" applyFont="1" applyBorder="1" applyAlignment="1" applyProtection="1">
      <alignment horizontal="center"/>
      <protection locked="0"/>
    </xf>
    <xf numFmtId="183" fontId="188" fillId="0" borderId="23" xfId="0" applyNumberFormat="1" applyFont="1" applyBorder="1" applyAlignment="1" applyProtection="1">
      <alignment horizontal="center"/>
      <protection locked="0"/>
    </xf>
    <xf numFmtId="183" fontId="188" fillId="0" borderId="0" xfId="0" applyNumberFormat="1" applyFont="1" applyAlignment="1" applyProtection="1">
      <alignment horizontal="center"/>
      <protection locked="0"/>
    </xf>
    <xf numFmtId="183" fontId="138" fillId="0" borderId="0" xfId="0" applyNumberFormat="1" applyFont="1" applyProtection="1">
      <protection locked="0"/>
    </xf>
    <xf numFmtId="0" fontId="173" fillId="0" borderId="3" xfId="0" applyFont="1" applyBorder="1" applyAlignment="1">
      <alignment horizontal="center"/>
    </xf>
    <xf numFmtId="176" fontId="172" fillId="0" borderId="3" xfId="0" applyNumberFormat="1" applyFont="1" applyBorder="1"/>
    <xf numFmtId="0" fontId="173" fillId="0" borderId="3" xfId="0" applyFont="1" applyBorder="1" applyAlignment="1">
      <alignment horizontal="left"/>
    </xf>
    <xf numFmtId="3" fontId="172" fillId="0" borderId="3" xfId="0" applyNumberFormat="1" applyFont="1" applyBorder="1"/>
    <xf numFmtId="3" fontId="129" fillId="0" borderId="3" xfId="0" applyNumberFormat="1" applyFont="1" applyBorder="1"/>
    <xf numFmtId="0" fontId="129" fillId="0" borderId="3" xfId="0" applyFont="1" applyBorder="1"/>
    <xf numFmtId="0" fontId="129" fillId="0" borderId="3" xfId="0" applyFont="1" applyBorder="1" applyAlignment="1">
      <alignment horizontal="center"/>
    </xf>
    <xf numFmtId="0" fontId="174" fillId="0" borderId="3" xfId="0" applyFont="1" applyBorder="1"/>
    <xf numFmtId="0" fontId="130" fillId="0" borderId="0" xfId="1" applyFont="1" applyAlignment="1">
      <alignment horizontal="center"/>
    </xf>
    <xf numFmtId="176" fontId="129" fillId="0" borderId="3" xfId="0" applyNumberFormat="1" applyFont="1" applyBorder="1"/>
    <xf numFmtId="0" fontId="129" fillId="0" borderId="3" xfId="0" applyFont="1" applyBorder="1" applyAlignment="1">
      <alignment horizontal="left"/>
    </xf>
    <xf numFmtId="176" fontId="240" fillId="0" borderId="3" xfId="0" applyNumberFormat="1" applyFont="1" applyBorder="1"/>
    <xf numFmtId="0" fontId="127" fillId="0" borderId="3" xfId="0" applyFont="1" applyBorder="1"/>
    <xf numFmtId="0" fontId="127" fillId="0" borderId="3" xfId="0" applyFont="1" applyBorder="1" applyAlignment="1">
      <alignment horizontal="center"/>
    </xf>
    <xf numFmtId="0" fontId="127" fillId="0" borderId="0" xfId="0" applyFont="1"/>
    <xf numFmtId="0" fontId="127" fillId="0" borderId="0" xfId="0" applyFont="1" applyAlignment="1">
      <alignment horizontal="center"/>
    </xf>
    <xf numFmtId="176" fontId="129" fillId="0" borderId="0" xfId="0" applyNumberFormat="1" applyFont="1"/>
    <xf numFmtId="0" fontId="136" fillId="80" borderId="3" xfId="0" applyFont="1" applyFill="1" applyBorder="1" applyAlignment="1">
      <alignment horizontal="center"/>
    </xf>
    <xf numFmtId="3" fontId="136" fillId="80" borderId="3" xfId="0" applyNumberFormat="1" applyFont="1" applyFill="1" applyBorder="1" applyAlignment="1">
      <alignment horizontal="right"/>
    </xf>
    <xf numFmtId="3" fontId="136" fillId="80" borderId="3" xfId="0" applyNumberFormat="1" applyFont="1" applyFill="1" applyBorder="1" applyAlignment="1">
      <alignment horizontal="right" vertical="center"/>
    </xf>
    <xf numFmtId="0" fontId="136" fillId="80" borderId="3" xfId="0" applyFont="1" applyFill="1" applyBorder="1" applyAlignment="1">
      <alignment horizontal="right"/>
    </xf>
    <xf numFmtId="0" fontId="136" fillId="80" borderId="3" xfId="0" applyFont="1" applyFill="1" applyBorder="1" applyAlignment="1">
      <alignment horizontal="left"/>
    </xf>
    <xf numFmtId="0" fontId="57" fillId="70" borderId="3" xfId="0" applyFont="1" applyFill="1" applyBorder="1" applyAlignment="1">
      <alignment horizontal="center"/>
    </xf>
    <xf numFmtId="0" fontId="176" fillId="80" borderId="3" xfId="0" applyFont="1" applyFill="1" applyBorder="1" applyAlignment="1">
      <alignment horizontal="left"/>
    </xf>
    <xf numFmtId="0" fontId="176" fillId="80" borderId="3" xfId="0" applyFont="1" applyFill="1" applyBorder="1" applyAlignment="1">
      <alignment horizontal="center"/>
    </xf>
    <xf numFmtId="0" fontId="135" fillId="0" borderId="0" xfId="1" applyFont="1" applyAlignment="1">
      <alignment horizontal="center"/>
    </xf>
    <xf numFmtId="176" fontId="136" fillId="0" borderId="3" xfId="0" applyNumberFormat="1" applyFont="1" applyBorder="1" applyAlignment="1">
      <alignment horizontal="center"/>
    </xf>
    <xf numFmtId="0" fontId="176" fillId="0" borderId="3" xfId="0" applyFont="1" applyBorder="1" applyAlignment="1">
      <alignment horizontal="left"/>
    </xf>
    <xf numFmtId="3" fontId="136" fillId="0" borderId="3" xfId="0" applyNumberFormat="1" applyFont="1" applyBorder="1" applyAlignment="1">
      <alignment horizontal="right"/>
    </xf>
    <xf numFmtId="3" fontId="136" fillId="0" borderId="3" xfId="0" applyNumberFormat="1" applyFont="1" applyBorder="1" applyAlignment="1">
      <alignment horizontal="right" vertical="center"/>
    </xf>
    <xf numFmtId="0" fontId="136" fillId="0" borderId="3" xfId="0" applyFont="1" applyBorder="1" applyAlignment="1">
      <alignment horizontal="right"/>
    </xf>
    <xf numFmtId="0" fontId="57" fillId="0" borderId="3" xfId="0" applyFont="1" applyBorder="1" applyAlignment="1">
      <alignment horizontal="left"/>
    </xf>
    <xf numFmtId="0" fontId="136" fillId="0" borderId="3" xfId="0" applyFont="1" applyBorder="1" applyAlignment="1">
      <alignment horizontal="center"/>
    </xf>
    <xf numFmtId="0" fontId="57" fillId="0" borderId="3" xfId="0" applyFont="1" applyBorder="1" applyAlignment="1">
      <alignment horizontal="center"/>
    </xf>
    <xf numFmtId="0" fontId="136" fillId="0" borderId="3" xfId="0" applyFont="1" applyBorder="1" applyAlignment="1">
      <alignment horizontal="left"/>
    </xf>
    <xf numFmtId="0" fontId="176" fillId="0" borderId="3" xfId="0" applyFont="1" applyBorder="1" applyAlignment="1">
      <alignment horizontal="center" wrapText="1"/>
    </xf>
    <xf numFmtId="176" fontId="136" fillId="0" borderId="3" xfId="0" applyNumberFormat="1" applyFont="1" applyBorder="1" applyAlignment="1">
      <alignment horizontal="center" wrapText="1"/>
    </xf>
    <xf numFmtId="3" fontId="136" fillId="0" borderId="3" xfId="0" applyNumberFormat="1" applyFont="1" applyBorder="1" applyAlignment="1">
      <alignment horizontal="right" wrapText="1"/>
    </xf>
    <xf numFmtId="3" fontId="136" fillId="0" borderId="3" xfId="0" applyNumberFormat="1" applyFont="1" applyBorder="1" applyAlignment="1">
      <alignment horizontal="right" vertical="center" wrapText="1"/>
    </xf>
    <xf numFmtId="0" fontId="136" fillId="0" borderId="3" xfId="0" applyFont="1" applyBorder="1" applyAlignment="1">
      <alignment horizontal="right" wrapText="1"/>
    </xf>
    <xf numFmtId="0" fontId="57" fillId="0" borderId="3" xfId="0" applyFont="1" applyBorder="1" applyAlignment="1">
      <alignment horizontal="left" wrapText="1"/>
    </xf>
    <xf numFmtId="0" fontId="136" fillId="0" borderId="3" xfId="0" applyFont="1" applyBorder="1" applyAlignment="1">
      <alignment horizontal="center" wrapText="1"/>
    </xf>
    <xf numFmtId="0" fontId="136" fillId="0" borderId="3" xfId="0" applyFont="1" applyBorder="1" applyAlignment="1">
      <alignment horizontal="center" vertical="center" wrapText="1"/>
    </xf>
    <xf numFmtId="0" fontId="57" fillId="0" borderId="3" xfId="0" applyFont="1" applyBorder="1" applyAlignment="1">
      <alignment horizontal="center" wrapText="1"/>
    </xf>
    <xf numFmtId="0" fontId="136" fillId="0" borderId="3" xfId="0" applyFont="1" applyBorder="1" applyAlignment="1">
      <alignment horizontal="left" wrapText="1"/>
    </xf>
    <xf numFmtId="176" fontId="136" fillId="0" borderId="3" xfId="0" applyNumberFormat="1" applyFont="1" applyBorder="1" applyAlignment="1">
      <alignment horizontal="left"/>
    </xf>
    <xf numFmtId="0" fontId="136" fillId="0" borderId="3" xfId="0" applyFont="1" applyBorder="1" applyAlignment="1">
      <alignment horizontal="center" vertical="center"/>
    </xf>
    <xf numFmtId="0" fontId="244" fillId="0" borderId="0" xfId="1" applyFont="1" applyAlignment="1">
      <alignment horizontal="center"/>
    </xf>
    <xf numFmtId="0" fontId="136" fillId="0" borderId="3" xfId="0" applyFont="1" applyBorder="1"/>
    <xf numFmtId="0" fontId="136" fillId="0" borderId="3" xfId="0" applyFont="1" applyBorder="1" applyAlignment="1">
      <alignment wrapText="1"/>
    </xf>
    <xf numFmtId="0" fontId="136" fillId="0" borderId="3" xfId="0" applyFont="1" applyBorder="1" applyAlignment="1" applyProtection="1">
      <alignment horizontal="center" wrapText="1"/>
      <protection hidden="1"/>
    </xf>
    <xf numFmtId="176" fontId="136" fillId="0" borderId="3" xfId="0" applyNumberFormat="1" applyFont="1" applyBorder="1" applyAlignment="1" applyProtection="1">
      <alignment horizontal="center" wrapText="1"/>
      <protection hidden="1"/>
    </xf>
    <xf numFmtId="0" fontId="136" fillId="0" borderId="3" xfId="0" applyFont="1" applyBorder="1" applyAlignment="1" applyProtection="1">
      <alignment wrapText="1"/>
      <protection hidden="1"/>
    </xf>
    <xf numFmtId="3" fontId="136" fillId="0" borderId="3" xfId="0" applyNumberFormat="1" applyFont="1" applyBorder="1" applyAlignment="1" applyProtection="1">
      <alignment horizontal="right" wrapText="1"/>
      <protection hidden="1"/>
    </xf>
    <xf numFmtId="3" fontId="136" fillId="0" borderId="3" xfId="0" applyNumberFormat="1" applyFont="1" applyBorder="1" applyAlignment="1" applyProtection="1">
      <alignment horizontal="right" vertical="center" wrapText="1"/>
      <protection hidden="1"/>
    </xf>
    <xf numFmtId="178" fontId="136" fillId="0" borderId="3" xfId="0" applyNumberFormat="1" applyFont="1" applyBorder="1" applyAlignment="1" applyProtection="1">
      <alignment horizontal="right" wrapText="1"/>
      <protection hidden="1"/>
    </xf>
    <xf numFmtId="0" fontId="136" fillId="0" borderId="3" xfId="0" applyFont="1" applyBorder="1" applyAlignment="1" applyProtection="1">
      <alignment horizontal="left" wrapText="1"/>
      <protection hidden="1"/>
    </xf>
    <xf numFmtId="2" fontId="136" fillId="0" borderId="3" xfId="0" applyNumberFormat="1" applyFont="1" applyBorder="1" applyAlignment="1" applyProtection="1">
      <alignment horizontal="right" wrapText="1"/>
      <protection hidden="1"/>
    </xf>
    <xf numFmtId="0" fontId="136" fillId="0" borderId="3" xfId="0" applyFont="1" applyBorder="1" applyAlignment="1" applyProtection="1">
      <alignment horizontal="center" vertical="center" wrapText="1"/>
      <protection hidden="1"/>
    </xf>
    <xf numFmtId="0" fontId="136" fillId="0" borderId="0" xfId="0" applyFont="1" applyAlignment="1">
      <alignment horizontal="center" vertical="center" wrapText="1"/>
    </xf>
    <xf numFmtId="0" fontId="136" fillId="0" borderId="3" xfId="0" applyFont="1" applyBorder="1" applyProtection="1">
      <protection hidden="1"/>
    </xf>
    <xf numFmtId="176" fontId="136" fillId="0" borderId="3" xfId="0" applyNumberFormat="1" applyFont="1" applyBorder="1" applyAlignment="1" applyProtection="1">
      <alignment horizontal="center"/>
      <protection hidden="1"/>
    </xf>
    <xf numFmtId="3" fontId="136" fillId="0" borderId="3" xfId="0" applyNumberFormat="1" applyFont="1" applyBorder="1" applyAlignment="1" applyProtection="1">
      <alignment horizontal="right"/>
      <protection hidden="1"/>
    </xf>
    <xf numFmtId="3" fontId="136" fillId="0" borderId="3" xfId="0" applyNumberFormat="1" applyFont="1" applyBorder="1" applyAlignment="1" applyProtection="1">
      <alignment horizontal="right" vertical="center"/>
      <protection hidden="1"/>
    </xf>
    <xf numFmtId="178" fontId="136" fillId="0" borderId="3" xfId="0" applyNumberFormat="1" applyFont="1" applyBorder="1" applyAlignment="1" applyProtection="1">
      <alignment horizontal="right"/>
      <protection hidden="1"/>
    </xf>
    <xf numFmtId="0" fontId="136" fillId="0" borderId="3" xfId="0" applyFont="1" applyBorder="1" applyAlignment="1" applyProtection="1">
      <alignment horizontal="left"/>
      <protection hidden="1"/>
    </xf>
    <xf numFmtId="0" fontId="136" fillId="0" borderId="3" xfId="0" applyFont="1" applyBorder="1" applyAlignment="1" applyProtection="1">
      <alignment horizontal="center"/>
      <protection hidden="1"/>
    </xf>
    <xf numFmtId="2" fontId="136" fillId="0" borderId="3" xfId="0" applyNumberFormat="1" applyFont="1" applyBorder="1" applyAlignment="1" applyProtection="1">
      <alignment horizontal="right"/>
      <protection hidden="1"/>
    </xf>
    <xf numFmtId="0" fontId="136" fillId="0" borderId="3" xfId="0" applyFont="1" applyBorder="1" applyAlignment="1" applyProtection="1">
      <alignment horizontal="center" vertical="center"/>
      <protection hidden="1"/>
    </xf>
    <xf numFmtId="176" fontId="136" fillId="0" borderId="3" xfId="0" applyNumberFormat="1" applyFont="1" applyBorder="1" applyAlignment="1">
      <alignment horizontal="left" wrapText="1"/>
    </xf>
    <xf numFmtId="0" fontId="136" fillId="0" borderId="0" xfId="0" applyFont="1"/>
    <xf numFmtId="176" fontId="136" fillId="0" borderId="0" xfId="0" applyNumberFormat="1" applyFont="1" applyAlignment="1">
      <alignment horizontal="left"/>
    </xf>
    <xf numFmtId="0" fontId="136" fillId="0" borderId="0" xfId="0" applyFont="1" applyAlignment="1">
      <alignment horizontal="left"/>
    </xf>
    <xf numFmtId="3" fontId="136" fillId="0" borderId="0" xfId="0" applyNumberFormat="1" applyFont="1" applyAlignment="1">
      <alignment horizontal="right"/>
    </xf>
    <xf numFmtId="3" fontId="136" fillId="0" borderId="0" xfId="0" applyNumberFormat="1" applyFont="1" applyAlignment="1">
      <alignment horizontal="right" vertical="center"/>
    </xf>
    <xf numFmtId="0" fontId="136" fillId="0" borderId="0" xfId="0" applyFont="1" applyAlignment="1">
      <alignment horizontal="right"/>
    </xf>
    <xf numFmtId="0" fontId="136" fillId="0" borderId="0" xfId="0" applyFont="1" applyAlignment="1">
      <alignment horizontal="center"/>
    </xf>
    <xf numFmtId="0" fontId="112" fillId="0" borderId="0" xfId="0" applyFont="1"/>
    <xf numFmtId="176" fontId="112" fillId="0" borderId="0" xfId="0" applyNumberFormat="1" applyFont="1" applyAlignment="1">
      <alignment horizontal="left"/>
    </xf>
    <xf numFmtId="0" fontId="240" fillId="0" borderId="0" xfId="0" applyFont="1" applyAlignment="1">
      <alignment horizontal="left"/>
    </xf>
    <xf numFmtId="3" fontId="112" fillId="0" borderId="0" xfId="0" applyNumberFormat="1" applyFont="1" applyAlignment="1">
      <alignment horizontal="right"/>
    </xf>
    <xf numFmtId="3" fontId="112" fillId="0" borderId="0" xfId="0" applyNumberFormat="1" applyFont="1" applyAlignment="1">
      <alignment horizontal="right" vertical="center"/>
    </xf>
    <xf numFmtId="0" fontId="112" fillId="0" borderId="0" xfId="0" applyFont="1" applyAlignment="1">
      <alignment horizontal="right"/>
    </xf>
    <xf numFmtId="0" fontId="112" fillId="0" borderId="0" xfId="0" applyFont="1" applyAlignment="1">
      <alignment horizontal="center"/>
    </xf>
    <xf numFmtId="0" fontId="240" fillId="0" borderId="0" xfId="0" applyFont="1" applyAlignment="1">
      <alignment horizontal="center"/>
    </xf>
    <xf numFmtId="0" fontId="112" fillId="0" borderId="0" xfId="0" applyFont="1" applyAlignment="1">
      <alignment horizontal="left"/>
    </xf>
    <xf numFmtId="176" fontId="136" fillId="0" borderId="0" xfId="0" applyNumberFormat="1" applyFont="1" applyAlignment="1">
      <alignment horizontal="center"/>
    </xf>
    <xf numFmtId="0" fontId="136" fillId="0" borderId="0" xfId="0" applyFont="1" applyAlignment="1">
      <alignment horizontal="center" vertical="center"/>
    </xf>
    <xf numFmtId="0" fontId="136" fillId="0" borderId="0" xfId="0" applyFont="1" applyProtection="1">
      <protection hidden="1"/>
    </xf>
    <xf numFmtId="176" fontId="136" fillId="0" borderId="0" xfId="0" applyNumberFormat="1" applyFont="1" applyAlignment="1" applyProtection="1">
      <alignment horizontal="left"/>
      <protection hidden="1"/>
    </xf>
    <xf numFmtId="0" fontId="136" fillId="0" borderId="0" xfId="0" applyFont="1" applyAlignment="1" applyProtection="1">
      <alignment horizontal="left"/>
      <protection hidden="1"/>
    </xf>
    <xf numFmtId="3" fontId="136" fillId="0" borderId="0" xfId="0" applyNumberFormat="1" applyFont="1" applyAlignment="1" applyProtection="1">
      <alignment horizontal="right"/>
      <protection hidden="1"/>
    </xf>
    <xf numFmtId="3" fontId="136" fillId="0" borderId="0" xfId="0" applyNumberFormat="1" applyFont="1" applyAlignment="1" applyProtection="1">
      <alignment horizontal="right" vertical="center"/>
      <protection hidden="1"/>
    </xf>
    <xf numFmtId="178" fontId="136" fillId="0" borderId="0" xfId="0" applyNumberFormat="1" applyFont="1" applyAlignment="1" applyProtection="1">
      <alignment horizontal="right"/>
      <protection hidden="1"/>
    </xf>
    <xf numFmtId="0" fontId="136" fillId="0" borderId="0" xfId="0" applyFont="1" applyAlignment="1" applyProtection="1">
      <alignment horizontal="center"/>
      <protection hidden="1"/>
    </xf>
    <xf numFmtId="2" fontId="136" fillId="0" borderId="0" xfId="0" applyNumberFormat="1" applyFont="1" applyAlignment="1" applyProtection="1">
      <alignment horizontal="right"/>
      <protection hidden="1"/>
    </xf>
    <xf numFmtId="0" fontId="136" fillId="0" borderId="0" xfId="0" applyFont="1" applyAlignment="1">
      <alignment horizontal="center" wrapText="1"/>
    </xf>
    <xf numFmtId="176" fontId="136" fillId="0" borderId="0" xfId="0" applyNumberFormat="1" applyFont="1" applyAlignment="1">
      <alignment horizontal="center" wrapText="1"/>
    </xf>
    <xf numFmtId="3" fontId="136" fillId="0" borderId="0" xfId="0" applyNumberFormat="1" applyFont="1" applyAlignment="1">
      <alignment horizontal="right" wrapText="1"/>
    </xf>
    <xf numFmtId="3" fontId="136" fillId="0" borderId="0" xfId="0" applyNumberFormat="1" applyFont="1" applyAlignment="1">
      <alignment horizontal="right" vertical="center" wrapText="1"/>
    </xf>
    <xf numFmtId="0" fontId="136" fillId="0" borderId="0" xfId="0" applyFont="1" applyAlignment="1">
      <alignment horizontal="right" wrapText="1"/>
    </xf>
    <xf numFmtId="0" fontId="136" fillId="0" borderId="0" xfId="0" applyFont="1" applyAlignment="1">
      <alignment horizontal="left" wrapText="1"/>
    </xf>
    <xf numFmtId="176" fontId="136" fillId="0" borderId="0" xfId="0" applyNumberFormat="1" applyFont="1" applyAlignment="1">
      <alignment horizontal="left" wrapText="1"/>
    </xf>
    <xf numFmtId="0" fontId="136" fillId="0" borderId="0" xfId="0" applyFont="1" applyAlignment="1">
      <alignment wrapText="1"/>
    </xf>
    <xf numFmtId="176" fontId="136" fillId="0" borderId="0" xfId="0" applyNumberFormat="1" applyFont="1" applyAlignment="1" applyProtection="1">
      <alignment horizontal="center"/>
      <protection hidden="1"/>
    </xf>
    <xf numFmtId="0" fontId="112" fillId="0" borderId="0" xfId="0" applyFont="1" applyAlignment="1">
      <alignment horizontal="right" vertical="center"/>
    </xf>
    <xf numFmtId="0" fontId="57" fillId="71" borderId="3" xfId="0" applyFont="1" applyFill="1" applyBorder="1" applyAlignment="1">
      <alignment horizontal="center"/>
    </xf>
    <xf numFmtId="176" fontId="136" fillId="80" borderId="3" xfId="0" applyNumberFormat="1" applyFont="1" applyFill="1" applyBorder="1" applyAlignment="1">
      <alignment horizontal="left"/>
    </xf>
    <xf numFmtId="0" fontId="136" fillId="17" borderId="3" xfId="0" applyFont="1" applyFill="1" applyBorder="1" applyAlignment="1">
      <alignment horizontal="center"/>
    </xf>
    <xf numFmtId="176" fontId="136" fillId="17" borderId="3" xfId="0" applyNumberFormat="1" applyFont="1" applyFill="1" applyBorder="1" applyAlignment="1">
      <alignment horizontal="center"/>
    </xf>
    <xf numFmtId="0" fontId="176" fillId="17" borderId="3" xfId="0" applyFont="1" applyFill="1" applyBorder="1"/>
    <xf numFmtId="3" fontId="136" fillId="17" borderId="3" xfId="0" applyNumberFormat="1" applyFont="1" applyFill="1" applyBorder="1" applyAlignment="1">
      <alignment horizontal="right"/>
    </xf>
    <xf numFmtId="3" fontId="136" fillId="17" borderId="3" xfId="0" applyNumberFormat="1" applyFont="1" applyFill="1" applyBorder="1" applyAlignment="1">
      <alignment horizontal="right" vertical="center"/>
    </xf>
    <xf numFmtId="0" fontId="136" fillId="17" borderId="3" xfId="0" applyFont="1" applyFill="1" applyBorder="1" applyAlignment="1">
      <alignment horizontal="right"/>
    </xf>
    <xf numFmtId="0" fontId="136" fillId="17" borderId="3" xfId="0" applyFont="1" applyFill="1" applyBorder="1" applyAlignment="1">
      <alignment horizontal="left"/>
    </xf>
    <xf numFmtId="0" fontId="176" fillId="0" borderId="3" xfId="0" applyFont="1" applyBorder="1" applyAlignment="1">
      <alignment wrapText="1"/>
    </xf>
    <xf numFmtId="0" fontId="176" fillId="17" borderId="3" xfId="0" applyFont="1" applyFill="1" applyBorder="1" applyAlignment="1">
      <alignment horizontal="center"/>
    </xf>
    <xf numFmtId="183" fontId="49" fillId="33" borderId="0" xfId="0" applyNumberFormat="1" applyFont="1" applyFill="1" applyAlignment="1" applyProtection="1">
      <alignment horizontal="center" vertical="center"/>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8" fillId="33" borderId="87" xfId="0" applyFont="1" applyFill="1" applyBorder="1" applyAlignment="1" applyProtection="1">
      <alignment horizontal="center" vertical="center"/>
      <protection locked="0"/>
    </xf>
    <xf numFmtId="0" fontId="208" fillId="33" borderId="89" xfId="0" applyFont="1" applyFill="1" applyBorder="1" applyAlignment="1" applyProtection="1">
      <alignment horizontal="center" vertical="center"/>
      <protection locked="0"/>
    </xf>
    <xf numFmtId="0" fontId="208" fillId="71"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0" fillId="0" borderId="0" xfId="0" applyProtection="1">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28" fillId="16" borderId="0" xfId="0" applyFont="1" applyFill="1" applyAlignment="1" applyProtection="1">
      <alignment horizontal="center" vertical="center"/>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3" fillId="0" borderId="93" xfId="0" applyFont="1" applyBorder="1" applyAlignment="1">
      <alignment horizontal="left" vertical="top" wrapText="1"/>
    </xf>
    <xf numFmtId="0" fontId="233" fillId="0" borderId="91" xfId="0" applyFont="1" applyBorder="1" applyAlignment="1">
      <alignment horizontal="left" vertical="top" wrapText="1"/>
    </xf>
    <xf numFmtId="0" fontId="233" fillId="0" borderId="96" xfId="0" applyFont="1" applyBorder="1" applyAlignment="1">
      <alignment horizontal="left" vertical="top" wrapText="1"/>
    </xf>
    <xf numFmtId="0" fontId="233" fillId="0" borderId="94" xfId="0" applyFont="1" applyBorder="1" applyAlignment="1">
      <alignment horizontal="left" vertical="top" wrapText="1"/>
    </xf>
    <xf numFmtId="0" fontId="233" fillId="0" borderId="0" xfId="0" applyFont="1" applyAlignment="1">
      <alignment horizontal="left" vertical="top" wrapText="1"/>
    </xf>
    <xf numFmtId="0" fontId="233" fillId="0" borderId="97" xfId="0" applyFont="1" applyBorder="1" applyAlignment="1">
      <alignment horizontal="left" vertical="top" wrapText="1"/>
    </xf>
    <xf numFmtId="0" fontId="233" fillId="0" borderId="95" xfId="0" applyFont="1" applyBorder="1" applyAlignment="1">
      <alignment horizontal="left" vertical="top" wrapText="1"/>
    </xf>
    <xf numFmtId="0" fontId="233" fillId="0" borderId="92" xfId="0" applyFont="1" applyBorder="1" applyAlignment="1">
      <alignment horizontal="left" vertical="top" wrapText="1"/>
    </xf>
    <xf numFmtId="0" fontId="233"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7" fillId="0" borderId="0" xfId="0" applyFont="1" applyAlignment="1">
      <alignment horizontal="left" vertical="center"/>
    </xf>
    <xf numFmtId="0" fontId="134" fillId="0" borderId="0" xfId="0" applyFont="1"/>
    <xf numFmtId="0" fontId="163" fillId="0" borderId="0" xfId="0" applyFont="1" applyAlignment="1">
      <alignment horizontal="left" vertical="top" wrapText="1"/>
    </xf>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e07a56084d7946cdb07ca2177ccd3d26">
      <tp t="s">
        <v/>
        <stp/>
        <stp>ChartPast</stp>
        <stp>2766298685536,3,3,8,8</stp>
        <stp>DJIA</stp>
        <stp>D</stp>
        <stp>20260310</stp>
        <stp>100</stp>
        <tr r="I4" s="17"/>
      </tp>
    </main>
    <main first="rtdsrv.e07a56084d7946cdb07ca2177ccd3d26">
      <tp>
        <v>1192</v>
        <stp/>
        <stp>Market</stp>
        <stp>STOCK</stp>
        <stp>95060.T</stp>
        <stp>始値</stp>
        <tr r="F16" s="4"/>
        <tr r="F193" s="5"/>
        <tr r="C186" s="8"/>
      </tp>
      <tp>
        <v>2381</v>
        <stp/>
        <stp>Market</stp>
        <stp>STOCK</stp>
        <stp>95360.T</stp>
        <stp>始値</stp>
        <tr r="F160" s="5"/>
        <tr r="C185" s="8"/>
        <tr r="F13" s="4"/>
      </tp>
      <tp>
        <v>1010</v>
        <stp/>
        <stp>Market</stp>
        <stp>STOCK</stp>
        <stp>94160.T</stp>
        <stp>始値</stp>
        <tr r="C126" s="8"/>
        <tr r="F107" s="5"/>
        <tr r="F21" s="4"/>
      </tp>
      <tp>
        <v>7717</v>
        <stp/>
        <stp>Market</stp>
        <stp>STOCK</stp>
        <stp>87660.T</stp>
        <stp>始値</stp>
        <tr r="F174" s="5"/>
        <tr r="F35" s="4"/>
        <tr r="C52" s="8"/>
      </tp>
      <tp>
        <v>3480</v>
        <stp/>
        <stp>Market</stp>
        <stp>STOCK</stp>
        <stp>83060.T</stp>
        <stp>始値</stp>
        <tr r="F53" s="4"/>
        <tr r="C45" s="8"/>
        <tr r="F201" s="5"/>
      </tp>
      <tp>
        <v>6560</v>
        <stp/>
        <stp>Market</stp>
        <stp>STOCK</stp>
        <stp>83160.T</stp>
        <stp>始値</stp>
        <tr r="F70" s="5"/>
        <tr r="F50" s="4"/>
        <tr r="C50" s="8"/>
      </tp>
      <tp>
        <v>160</v>
        <stp/>
        <stp>Market</stp>
        <stp>STOCK</stp>
        <stp>39360.T</stp>
        <stp>始値</stp>
        <tr r="C245" s="8"/>
      </tp>
      <tp>
        <v>3777</v>
        <stp/>
        <stp>Market</stp>
        <stp>STOCK</stp>
        <stp>34360.T</stp>
        <stp>始値</stp>
        <tr r="F4" s="5"/>
        <tr r="C28" s="8"/>
        <tr r="F181" s="4"/>
      </tp>
      <tp>
        <v>2070</v>
        <stp/>
        <stp>Market</stp>
        <stp>STOCK</stp>
        <stp>36960.T</stp>
        <stp>始値</stp>
        <tr r="C228" s="8"/>
      </tp>
      <tp>
        <v>4370</v>
        <stp/>
        <stp>Market</stp>
        <stp>STOCK</stp>
        <stp>23260.T</stp>
        <stp>始値</stp>
        <tr r="C237" s="8"/>
      </tp>
      <tp>
        <v>2080</v>
        <stp/>
        <stp>Market</stp>
        <stp>STOCK</stp>
        <stp>54060.T</stp>
        <stp>始値</stp>
        <tr r="F95" s="5"/>
        <tr r="C38" s="8"/>
        <tr r="F139" s="4"/>
      </tp>
      <tp>
        <v>33900</v>
        <stp/>
        <stp>Market</stp>
        <stp>STOCK</stp>
        <stp>57060.T</stp>
        <stp>始値</stp>
        <tr r="F131" s="4"/>
        <tr r="C6" s="8"/>
        <tr r="F11" s="5"/>
      </tp>
      <tp>
        <v>24790</v>
        <stp/>
        <stp>Market</stp>
        <stp>STOCK</stp>
        <stp>49660.T</stp>
        <stp>始値</stp>
        <tr r="C196" s="8"/>
        <tr r="F34" s="5"/>
        <tr r="F150" s="4"/>
      </tp>
      <tp>
        <v>1860</v>
        <stp/>
        <stp>Market</stp>
        <stp>STOCK</stp>
        <stp>45360.T</stp>
        <stp>始値</stp>
        <tr r="F125" s="5"/>
        <tr r="C67" s="8"/>
        <tr r="F158" s="4"/>
      </tp>
      <tp>
        <v>2690</v>
        <stp/>
        <stp>Market</stp>
        <stp>STOCK</stp>
        <stp>47760.T</stp>
        <stp>始値</stp>
        <tr r="C253" s="8"/>
      </tp>
      <tp>
        <v>4004</v>
        <stp/>
        <stp>Market</stp>
        <stp>STOCK</stp>
        <stp>46760.T</stp>
        <stp>始値</stp>
        <tr r="F155" s="4"/>
        <tr r="F177" s="5"/>
        <tr r="C58" s="8"/>
      </tp>
      <tp>
        <v>7850</v>
        <stp/>
        <stp>Market</stp>
        <stp>STOCK</stp>
        <stp>78060.T</stp>
        <stp>始値</stp>
        <tr r="C73" s="8"/>
        <tr r="F65" s="4"/>
        <tr r="F55" s="5"/>
      </tp>
      <tp>
        <v>1789.5</v>
        <stp/>
        <stp>Market</stp>
        <stp>STOCK</stp>
        <stp>78460.T</stp>
        <stp>始値</stp>
        <tr r="F64" s="4"/>
        <tr r="F202" s="5"/>
        <tr r="C75" s="8"/>
      </tp>
      <tp>
        <v>733</v>
        <stp/>
        <stp>Market</stp>
        <stp>STOCK</stp>
        <stp>77460.T</stp>
        <stp>始値</stp>
        <tr r="F144" s="5"/>
        <tr r="F67" s="4"/>
        <tr r="C93" s="8"/>
      </tp>
      <tp>
        <v>1465</v>
        <stp/>
        <stp>Market</stp>
        <stp>STOCK</stp>
        <stp>72360.T</stp>
        <stp>始値</stp>
        <tr r="C177" s="8"/>
        <tr r="F137" s="5"/>
        <tr r="F72" s="4"/>
      </tp>
      <tp>
        <v>5231</v>
        <stp/>
        <stp>Market</stp>
        <stp>STOCK</stp>
        <stp>65060.T</stp>
        <stp>始値</stp>
        <tr r="F98" s="4"/>
        <tr r="C201" s="8"/>
        <tr r="F20" s="5"/>
      </tp>
      <tp>
        <v>5990</v>
        <stp/>
        <stp>Market</stp>
        <stp>STOCK</stp>
        <stp>65160.T</stp>
        <stp>始値</stp>
        <tr r="F96" s="4"/>
        <tr r="C151" s="8"/>
        <tr r="F29" s="5"/>
      </tp>
      <tp>
        <v>3868</v>
        <stp/>
        <stp>Market</stp>
        <stp>STOCK</stp>
        <stp>64360.T</stp>
        <stp>始値</stp>
        <tr r="F155" s="5"/>
        <tr r="C178" s="8"/>
        <tr r="F102" s="4"/>
      </tp>
      <tp>
        <v>3095</v>
        <stp/>
        <stp>Market</stp>
        <stp>STOCK</stp>
        <stp>67060.T</stp>
        <stp>始値</stp>
        <tr r="C291" s="8"/>
      </tp>
      <tp>
        <v>10360</v>
        <stp/>
        <stp>Market</stp>
        <stp>STOCK</stp>
        <stp>67360.T</stp>
        <stp>始値</stp>
        <tr r="C287" s="8"/>
      </tp>
      <tp>
        <v>63890</v>
        <stp/>
        <stp>Market</stp>
        <stp>STOCK</stp>
        <stp>61460.T</stp>
        <stp>始値</stp>
        <tr r="F120" s="5"/>
        <tr r="F113" s="4"/>
        <tr r="C197" s="8"/>
      </tp>
      <tp>
        <v>1350</v>
        <stp/>
        <stp>Market</stp>
        <stp>STOCK</stp>
        <stp>63560.T</stp>
        <stp>始値</stp>
        <tr r="C267" s="8"/>
      </tp>
      <tp>
        <v>681</v>
        <stp/>
        <stp>Market</stp>
        <stp>STOCK</stp>
        <stp>63660.T</stp>
        <stp>始値</stp>
        <tr r="C260" s="8"/>
      </tp>
      <tp>
        <v>3965</v>
        <stp/>
        <stp>Market</stp>
        <stp>STOCK</stp>
        <stp>63760.T</stp>
        <stp>始値</stp>
        <tr r="C269" s="8"/>
      </tp>
    </main>
    <main first="rtdsrv.e07a56084d7946cdb07ca2177ccd3d26">
      <tp>
        <v>5605</v>
        <stp/>
        <stp>Market</stp>
        <stp>STOCK</stp>
        <stp>99840.T</stp>
        <stp>安値</stp>
        <tr r="I53" s="5"/>
        <tr r="I8" s="4"/>
        <tr r="C65" s="10"/>
      </tp>
      <tp>
        <v>2753</v>
        <stp/>
        <stp>Market</stp>
        <stp>STOCK</stp>
        <stp>94040.T</stp>
        <stp>安値</stp>
        <tr r="I23" s="4"/>
        <tr r="C119" s="10"/>
        <tr r="I78" s="5"/>
      </tp>
      <tp>
        <v>113</v>
        <stp/>
        <stp>Market</stp>
        <stp>STOCK</stp>
        <stp>94240.T</stp>
        <stp>安値</stp>
        <tr r="I15" s="5"/>
        <tr r="C70" s="10"/>
        <tr r="I20" s="4"/>
      </tp>
      <tp>
        <v>5922</v>
        <stp/>
        <stp>Market</stp>
        <stp>STOCK</stp>
        <stp>91040.T</stp>
        <stp>安値</stp>
        <tr r="C259" s="10"/>
      </tp>
      <tp>
        <v>1884.5</v>
        <stp/>
        <stp>Market</stp>
        <stp>STOCK</stp>
        <stp>90640.T</stp>
        <stp>安値</stp>
        <tr r="C189" s="10"/>
        <tr r="I163" s="5"/>
        <tr r="I4" s="4"/>
      </tp>
      <tp>
        <v>2414</v>
        <stp/>
        <stp>Market</stp>
        <stp>STOCK</stp>
        <stp>89340.T</stp>
        <stp>安値</stp>
        <tr r="I149" s="5"/>
        <tr r="I31" s="4"/>
        <tr r="C125" s="10"/>
      </tp>
      <tp>
        <v>4356</v>
        <stp/>
        <stp>Market</stp>
        <stp>STOCK</stp>
        <stp>84240.T</stp>
        <stp>安値</stp>
        <tr r="I185" s="5"/>
        <tr r="I46" s="4"/>
        <tr r="C108" s="10"/>
      </tp>
      <tp>
        <v>1304</v>
        <stp/>
        <stp>Market</stp>
        <stp>STOCK</stp>
        <stp>87040.T</stp>
        <stp>安値</stp>
        <tr r="C164" s="10"/>
        <tr r="I38" s="4"/>
        <tr r="I19" s="5"/>
      </tp>
      <tp>
        <v>1531.5</v>
        <stp/>
        <stp>Market</stp>
        <stp>STOCK</stp>
        <stp>86040.T</stp>
        <stp>安値</stp>
        <tr r="C40" s="10"/>
        <tr r="I199" s="5"/>
        <tr r="I40" s="4"/>
      </tp>
      <tp>
        <v>2496.5</v>
        <stp/>
        <stp>Market</stp>
        <stp>STOCK</stp>
        <stp>83340.T</stp>
        <stp>安値</stp>
        <tr r="C122" s="10"/>
        <tr r="I49" s="4"/>
        <tr r="I204" s="5"/>
      </tp>
      <tp>
        <v>3915</v>
        <stp/>
        <stp>Market</stp>
        <stp>STOCK</stp>
        <stp>83440.T</stp>
        <stp>安値</stp>
        <tr r="C293" s="10"/>
      </tp>
      <tp>
        <v>1809</v>
        <stp/>
        <stp>Market</stp>
        <stp>STOCK</stp>
        <stp>39840.T</stp>
        <stp>安値</stp>
        <tr r="C239" s="10"/>
      </tp>
      <tp>
        <v>2201</v>
        <stp/>
        <stp>Market</stp>
        <stp>STOCK</stp>
        <stp>38540.T</stp>
        <stp>安値</stp>
        <tr r="I54" s="5"/>
        <tr r="I180" s="4"/>
        <tr r="C71" s="10"/>
      </tp>
      <tp>
        <v>1146</v>
        <stp/>
        <stp>Market</stp>
        <stp>STOCK</stp>
        <stp>38640.T</stp>
        <stp>安値</stp>
        <tr r="C271" s="10"/>
      </tp>
      <tp>
        <v>6671</v>
        <stp/>
        <stp>Market</stp>
        <stp>STOCK</stp>
        <stp>29140.T</stp>
        <stp>安値</stp>
        <tr r="I182" s="5"/>
        <tr r="C87" s="10"/>
        <tr r="I189" s="4"/>
      </tp>
      <tp>
        <v>7190</v>
        <stp/>
        <stp>Market</stp>
        <stp>STOCK</stp>
        <stp>19440.T</stp>
        <stp>安値</stp>
        <tr r="C304" s="10"/>
      </tp>
      <tp>
        <v>591</v>
        <stp/>
        <stp>Market</stp>
        <stp>STOCK</stp>
        <stp>15140.T</stp>
        <stp>安値</stp>
        <tr r="C262" s="10"/>
      </tp>
      <tp>
        <v>1405</v>
        <stp/>
        <stp>Market</stp>
        <stp>STOCK</stp>
        <stp>74140.T</stp>
        <stp>安値</stp>
        <tr r="C294" s="10"/>
      </tp>
      <tp>
        <v>871</v>
        <stp/>
        <stp>Market</stp>
        <stp>STOCK</stp>
        <stp>77940.T</stp>
        <stp>安値</stp>
        <tr r="I66" s="4"/>
        <tr r="C136" s="10"/>
        <tr r="I80" s="5"/>
      </tp>
      <tp>
        <v>4140</v>
        <stp/>
        <stp>Market</stp>
        <stp>STOCK</stp>
        <stp>70140.T</stp>
        <stp>安値</stp>
        <tr r="C256" s="10"/>
      </tp>
      <tp>
        <v>6327</v>
        <stp/>
        <stp>Market</stp>
        <stp>STOCK</stp>
        <stp>69540.T</stp>
        <stp>安値</stp>
        <tr r="I79" s="4"/>
        <tr r="I16" s="5"/>
        <tr r="C78" s="10"/>
      </tp>
      <tp>
        <v>4545</v>
        <stp/>
        <stp>Market</stp>
        <stp>STOCK</stp>
        <stp>67440.T</stp>
        <stp>安値</stp>
        <tr r="I106" s="5"/>
        <tr r="I91" s="4"/>
        <tr r="C120" s="10"/>
      </tp>
      <tp>
        <v>3630</v>
        <stp/>
        <stp>Market</stp>
        <stp>STOCK</stp>
        <stp>67540.T</stp>
        <stp>安値</stp>
        <tr r="I89" s="4"/>
        <tr r="C155" s="10"/>
        <tr r="I31" s="5"/>
      </tp>
      <tp>
        <v>5839</v>
        <stp/>
        <stp>Market</stp>
        <stp>STOCK</stp>
        <stp>66740.T</stp>
        <stp>安値</stp>
        <tr r="C264" s="10"/>
      </tp>
      <tp>
        <v>7933</v>
        <stp/>
        <stp>Market</stp>
        <stp>STOCK</stp>
        <stp>61340.T</stp>
        <stp>安値</stp>
        <tr r="C92" s="10"/>
        <tr r="I25" s="5"/>
        <tr r="I114" s="4"/>
      </tp>
      <tp>
        <v>6940</v>
        <stp/>
        <stp>Market</stp>
        <stp>STOCK</stp>
        <stp>63240.T</stp>
        <stp>安値</stp>
        <tr r="C210" s="10"/>
      </tp>
      <tp>
        <v>4240</v>
        <stp/>
        <stp>Market</stp>
        <stp>STOCK</stp>
        <stp>62540.T</stp>
        <stp>安値</stp>
        <tr r="I108" s="4"/>
        <tr r="C30" s="10"/>
        <tr r="I5" s="5"/>
      </tp>
      <tp>
        <v>4535</v>
        <stp/>
        <stp>Market</stp>
        <stp>STOCK</stp>
        <stp>58440.T</stp>
        <stp>安値</stp>
        <tr r="I123" s="4"/>
        <tr r="I61" s="5"/>
        <tr r="C118" s="10"/>
      </tp>
      <tp>
        <v>8330</v>
        <stp/>
        <stp>Market</stp>
        <stp>STOCK</stp>
        <stp>57140.T</stp>
        <stp>安値</stp>
        <tr r="I128" s="4"/>
        <tr r="C10" s="10"/>
        <tr r="I47" s="5"/>
      </tp>
      <tp>
        <v>3318</v>
        <stp/>
        <stp>Market</stp>
        <stp>STOCK</stp>
        <stp>45440.T</stp>
        <stp>安値</stp>
        <tr r="C273" s="10"/>
      </tp>
      <tp>
        <v>6403</v>
        <stp/>
        <stp>Market</stp>
        <stp>STOCK</stp>
        <stp>47040.T</stp>
        <stp>安値</stp>
        <tr r="C254" s="10"/>
      </tp>
      <tp>
        <v>15270</v>
        <stp/>
        <stp>Market</stp>
        <stp>STOCK</stp>
        <stp>40040.T</stp>
        <stp>安値</stp>
        <tr r="C213" s="10"/>
      </tp>
    </main>
    <main first="rtdsrv.e07a56084d7946cdb07ca2177ccd3d26">
      <tp>
        <v>4375</v>
        <stp/>
        <stp>Market</stp>
        <stp>STOCK</stp>
        <stp>96870.T</stp>
        <stp>始値</stp>
        <tr r="F11" s="4"/>
        <tr r="F44" s="5"/>
        <tr r="C162" s="8"/>
      </tp>
      <tp>
        <v>866</v>
        <stp/>
        <stp>Market</stp>
        <stp>STOCK</stp>
        <stp>92270.T</stp>
        <stp>始値</stp>
        <tr r="F25" s="4"/>
        <tr r="F146" s="5"/>
        <tr r="C111" s="8"/>
      </tp>
      <tp>
        <v>794</v>
        <stp/>
        <stp>Market</stp>
        <stp>STOCK</stp>
        <stp>80070.T</stp>
        <stp>始値</stp>
        <tr r="C281" s="8"/>
      </tp>
      <tp>
        <v>2733</v>
        <stp/>
        <stp>Market</stp>
        <stp>STOCK</stp>
        <stp>14070.T</stp>
        <stp>始値</stp>
        <tr r="C217" s="8"/>
      </tp>
      <tp>
        <v>1610</v>
        <stp/>
        <stp>Market</stp>
        <stp>STOCK</stp>
        <stp>34070.T</stp>
        <stp>始値</stp>
        <tr r="F183" s="5"/>
        <tr r="C94" s="8"/>
        <tr r="F182" s="4"/>
      </tp>
      <tp>
        <v>3618</v>
        <stp/>
        <stp>Market</stp>
        <stp>STOCK</stp>
        <stp>31070.T</stp>
        <stp>始値</stp>
        <tr r="F13" s="5"/>
        <tr r="F186" s="4"/>
        <tr r="C60" s="8"/>
      </tp>
      <tp>
        <v>4155</v>
        <stp/>
        <stp>Market</stp>
        <stp>STOCK</stp>
        <stp>33970.T</stp>
        <stp>始値</stp>
        <tr r="C285" s="8"/>
      </tp>
      <tp>
        <v>637</v>
        <stp/>
        <stp>Market</stp>
        <stp>STOCK</stp>
        <stp>21270.T</stp>
        <stp>始値</stp>
        <tr r="C187" s="8"/>
        <tr r="F161" s="5"/>
        <tr r="F196" s="4"/>
      </tp>
      <tp>
        <v>3710</v>
        <stp/>
        <stp>Market</stp>
        <stp>STOCK</stp>
        <stp>23270.T</stp>
        <stp>始値</stp>
        <tr r="F154" s="5"/>
        <tr r="F194" s="4"/>
        <tr r="C174" s="8"/>
      </tp>
      <tp>
        <v>2769.5</v>
        <stp/>
        <stp>Market</stp>
        <stp>STOCK</stp>
        <stp>22670.T</stp>
        <stp>始値</stp>
        <tr r="C226" s="8"/>
      </tp>
      <tp>
        <v>3481</v>
        <stp/>
        <stp>Market</stp>
        <stp>STOCK</stp>
        <stp>59470.T</stp>
        <stp>始値</stp>
        <tr r="F96" s="5"/>
        <tr r="F117" s="4"/>
        <tr r="C42" s="8"/>
      </tp>
      <tp>
        <v>3160</v>
        <stp/>
        <stp>Market</stp>
        <stp>STOCK</stp>
        <stp>58570.T</stp>
        <stp>始値</stp>
        <tr r="F122" s="4"/>
        <tr r="C62" s="8"/>
        <tr r="F52" s="5"/>
      </tp>
      <tp>
        <v>1605</v>
        <stp/>
        <stp>Market</stp>
        <stp>STOCK</stp>
        <stp>48870.T</stp>
        <stp>始値</stp>
        <tr r="C192" s="8"/>
        <tr r="F195" s="5"/>
        <tr r="F152" s="4"/>
      </tp>
      <tp>
        <v>4155</v>
        <stp/>
        <stp>Market</stp>
        <stp>STOCK</stp>
        <stp>44170.T</stp>
        <stp>始値</stp>
        <tr r="F163" s="4"/>
        <tr r="C153" s="8"/>
        <tr r="F112" s="5"/>
      </tp>
      <tp>
        <v>2932</v>
        <stp/>
        <stp>Market</stp>
        <stp>STOCK</stp>
        <stp>40470.T</stp>
        <stp>始値</stp>
        <tr r="C289" s="8"/>
      </tp>
      <tp>
        <v>4589</v>
        <stp/>
        <stp>Market</stp>
        <stp>STOCK</stp>
        <stp>43070.T</stp>
        <stp>始値</stp>
        <tr r="F151" s="5"/>
        <tr r="C150" s="8"/>
        <tr r="F166" s="4"/>
      </tp>
      <tp>
        <v>1490</v>
        <stp/>
        <stp>Market</stp>
        <stp>STOCK</stp>
        <stp>71670.T</stp>
        <stp>始値</stp>
        <tr r="F75" s="4"/>
        <tr r="F101" s="5"/>
        <tr r="C82" s="8"/>
      </tp>
      <tp>
        <v>3385</v>
        <stp/>
        <stp>Market</stp>
        <stp>STOCK</stp>
        <stp>69970.T</stp>
        <stp>始値</stp>
        <tr r="C272" s="8"/>
      </tp>
      <tp>
        <v>32500</v>
        <stp/>
        <stp>Market</stp>
        <stp>STOCK</stp>
        <stp>68570.T</stp>
        <stp>始値</stp>
        <tr r="F83" s="4"/>
        <tr r="F113" s="5"/>
        <tr r="C158" s="8"/>
      </tp>
      <tp>
        <v>14450</v>
        <stp/>
        <stp>Market</stp>
        <stp>STOCK</stp>
        <stp>65070.T</stp>
        <stp>始値</stp>
        <tr r="F64" s="5"/>
        <tr r="F97" s="4"/>
        <tr r="C183" s="8"/>
      </tp>
      <tp>
        <v>6530</v>
        <stp/>
        <stp>Market</stp>
        <stp>STOCK</stp>
        <stp>64070.T</stp>
        <stp>始値</stp>
        <tr r="C295" s="8"/>
      </tp>
      <tp>
        <v>21000</v>
        <stp/>
        <stp>Market</stp>
        <stp>STOCK</stp>
        <stp>67770.T</stp>
        <stp>始値</stp>
        <tr r="F87" s="4"/>
        <tr r="F130" s="5"/>
        <tr r="C144" s="8"/>
      </tp>
      <tp>
        <v>23340</v>
        <stp/>
        <stp>Market</stp>
        <stp>STOCK</stp>
        <stp>67870.T</stp>
        <stp>始値</stp>
        <tr r="C145" s="8"/>
        <tr r="F10" s="5"/>
        <tr r="F86" s="4"/>
      </tp>
      <tp>
        <v>2318</v>
        <stp/>
        <stp>Market</stp>
        <stp>STOCK</stp>
        <stp>60270.T</stp>
        <stp>始値</stp>
        <tr r="F116" s="4"/>
        <tr r="F98" s="5"/>
        <tr r="C72" s="8"/>
      </tp>
      <tp>
        <v>3415</v>
        <stp/>
        <stp>Market</stp>
        <stp>STOCK</stp>
        <stp>63270.T</stp>
        <stp>始値</stp>
        <tr r="F27" s="5"/>
        <tr r="F105" s="4"/>
        <tr r="C133" s="8"/>
      </tp>
      <tp>
        <v>9950</v>
        <stp/>
        <stp>Market</stp>
        <stp>STOCK</stp>
        <stp>63870.T</stp>
        <stp>始値</stp>
        <tr r="F103" s="4"/>
        <tr r="F62" s="5"/>
        <tr r="C147" s="8"/>
      </tp>
      <tp>
        <v>7180</v>
        <stp/>
        <stp>Market</stp>
        <stp>STOCK</stp>
        <stp>62270.T</stp>
        <stp>始値</stp>
        <tr r="F110" s="4"/>
        <tr r="C132" s="8"/>
        <tr r="F108" s="5"/>
      </tp>
    </main>
    <main first="rtdsrv.e07a56084d7946cdb07ca2177ccd3d26">
      <tp>
        <v>915.6</v>
        <stp/>
        <stp>Market</stp>
        <stp>STOCK</stp>
        <stp>95050.T</stp>
        <stp>安値</stp>
        <tr r="C181" s="10"/>
        <tr r="I157" s="5"/>
        <tr r="I17" s="4"/>
      </tp>
      <tp>
        <v>853</v>
        <stp/>
        <stp>Market</stp>
        <stp>STOCK</stp>
        <stp>91150.T</stp>
        <stp>安値</stp>
        <tr r="C270" s="10"/>
      </tp>
      <tp>
        <v>1750</v>
        <stp/>
        <stp>Market</stp>
        <stp>STOCK</stp>
        <stp>91650.T</stp>
        <stp>安値</stp>
        <tr r="C243" s="10"/>
      </tp>
      <tp>
        <v>4737</v>
        <stp/>
        <stp>Market</stp>
        <stp>STOCK</stp>
        <stp>87250.T</stp>
        <stp>安値</stp>
        <tr r="I37" s="4"/>
        <tr r="C22" s="10"/>
        <tr r="I168" s="5"/>
      </tp>
      <tp>
        <v>4973</v>
        <stp/>
        <stp>Market</stp>
        <stp>STOCK</stp>
        <stp>87950.T</stp>
        <stp>安値</stp>
        <tr r="I34" s="4"/>
        <tr r="C23" s="10"/>
        <tr r="I91" s="5"/>
      </tp>
      <tp>
        <v>1809</v>
        <stp/>
        <stp>Market</stp>
        <stp>STOCK</stp>
        <stp>80050.T</stp>
        <stp>安値</stp>
        <tr r="C236" s="10"/>
      </tp>
      <tp>
        <v>6868</v>
        <stp/>
        <stp>Market</stp>
        <stp>STOCK</stp>
        <stp>80150.T</stp>
        <stp>安値</stp>
        <tr r="I61" s="4"/>
        <tr r="I65" s="5"/>
        <tr r="C204" s="10"/>
      </tp>
      <tp>
        <v>58300</v>
        <stp/>
        <stp>Market</stp>
        <stp>STOCK</stp>
        <stp>80350.T</stp>
        <stp>安値</stp>
        <tr r="C198" s="10"/>
        <tr r="I60" s="4"/>
        <tr r="I35" s="5"/>
      </tp>
      <tp>
        <v>2163</v>
        <stp/>
        <stp>Market</stp>
        <stp>STOCK</stp>
        <stp>39050.T</stp>
        <stp>安値</stp>
        <tr r="C284" s="10"/>
      </tp>
      <tp>
        <v>4484</v>
        <stp/>
        <stp>Market</stp>
        <stp>STOCK</stp>
        <stp>19250.T</stp>
        <stp>安値</stp>
        <tr r="I202" s="4"/>
        <tr r="I181" s="5"/>
        <tr r="C83" s="10"/>
      </tp>
      <tp>
        <v>3385</v>
        <stp/>
        <stp>Market</stp>
        <stp>STOCK</stp>
        <stp>16050.T</stp>
        <stp>安値</stp>
        <tr r="I206" s="4"/>
        <tr r="I166" s="5"/>
        <tr r="C12" s="10"/>
      </tp>
      <tp>
        <v>13375</v>
        <stp/>
        <stp>Market</stp>
        <stp>STOCK</stp>
        <stp>77350.T</stp>
        <stp>安値</stp>
        <tr r="C283" s="10"/>
      </tp>
      <tp>
        <v>2972</v>
        <stp/>
        <stp>Market</stp>
        <stp>STOCK</stp>
        <stp>76850.T</stp>
        <stp>安値</stp>
        <tr r="I69" s="4"/>
        <tr r="C121" s="10"/>
        <tr r="I148" s="5"/>
      </tp>
      <tp>
        <v>1134</v>
        <stp/>
        <stp>Market</stp>
        <stp>STOCK</stp>
        <stp>73750.T</stp>
        <stp>安値</stp>
        <tr r="I71" s="4"/>
        <tr r="I190" s="5"/>
        <tr r="C149" s="10"/>
      </tp>
      <tp>
        <v>4245</v>
        <stp/>
        <stp>Market</stp>
        <stp>STOCK</stp>
        <stp>69250.T</stp>
        <stp>安値</stp>
        <tr r="C105" s="10"/>
        <tr r="I42" s="5"/>
        <tr r="I80" s="4"/>
      </tp>
      <tp>
        <v>390</v>
        <stp/>
        <stp>Market</stp>
        <stp>STOCK</stp>
        <stp>69550.T</stp>
        <stp>安値</stp>
        <tr r="C265" s="10"/>
      </tp>
      <tp>
        <v>2445</v>
        <stp/>
        <stp>Market</stp>
        <stp>STOCK</stp>
        <stp>69650.T</stp>
        <stp>安値</stp>
        <tr r="C300" s="10"/>
      </tp>
      <tp>
        <v>1571</v>
        <stp/>
        <stp>Market</stp>
        <stp>STOCK</stp>
        <stp>64850.T</stp>
        <stp>安値</stp>
        <tr r="I194" s="5"/>
        <tr r="I6" s="4"/>
        <tr r="C191" s="10"/>
      </tp>
      <tp>
        <v>14830</v>
        <stp/>
        <stp>Market</stp>
        <stp>STOCK</stp>
        <stp>61350.T</stp>
        <stp>安値</stp>
        <tr r="C223" s="10"/>
      </tp>
      <tp>
        <v>2356</v>
        <stp/>
        <stp>Market</stp>
        <stp>STOCK</stp>
        <stp>60550.T</stp>
        <stp>安値</stp>
        <tr r="C224" s="10"/>
      </tp>
      <tp>
        <v>74</v>
        <stp/>
        <stp>Market</stp>
        <stp>STOCK</stp>
        <stp>60850.T</stp>
        <stp>安値</stp>
        <tr r="I115" s="4"/>
        <tr r="C137" s="10"/>
        <tr r="I150" s="5"/>
      </tp>
      <tp>
        <v>5312</v>
        <stp/>
        <stp>Market</stp>
        <stp>STOCK</stp>
        <stp>63050.T</stp>
        <stp>安値</stp>
        <tr r="I85" s="5"/>
        <tr r="I107" s="4"/>
        <tr r="C203" s="10"/>
      </tp>
      <tp>
        <v>1826.5</v>
        <stp/>
        <stp>Market</stp>
        <stp>STOCK</stp>
        <stp>40450.T</stp>
        <stp>安値</stp>
        <tr r="C61" s="10"/>
        <tr r="I174" s="4"/>
        <tr r="I178" s="5"/>
      </tp>
    </main>
    <main first="rtdsrv.e07a56084d7946cdb07ca2177ccd3d26">
      <tp>
        <v>5628</v>
        <stp/>
        <stp>Market</stp>
        <stp>STOCK</stp>
        <stp>99840.T</stp>
        <stp>始値</stp>
        <tr r="F53" s="5"/>
        <tr r="C65" s="8"/>
        <tr r="F8" s="4"/>
      </tp>
      <tp>
        <v>2833.5</v>
        <stp/>
        <stp>Market</stp>
        <stp>STOCK</stp>
        <stp>94040.T</stp>
        <stp>始値</stp>
        <tr r="F23" s="4"/>
        <tr r="C119" s="8"/>
        <tr r="F78" s="5"/>
      </tp>
      <tp>
        <v>114</v>
        <stp/>
        <stp>Market</stp>
        <stp>STOCK</stp>
        <stp>94240.T</stp>
        <stp>始値</stp>
        <tr r="F20" s="4"/>
        <tr r="C70" s="8"/>
        <tr r="F15" s="5"/>
      </tp>
      <tp>
        <v>5995</v>
        <stp/>
        <stp>Market</stp>
        <stp>STOCK</stp>
        <stp>91040.T</stp>
        <stp>始値</stp>
        <tr r="C259" s="8"/>
      </tp>
      <tp>
        <v>1910</v>
        <stp/>
        <stp>Market</stp>
        <stp>STOCK</stp>
        <stp>90640.T</stp>
        <stp>始値</stp>
        <tr r="C189" s="8"/>
        <tr r="F4" s="4"/>
        <tr r="F163" s="5"/>
      </tp>
      <tp>
        <v>2425</v>
        <stp/>
        <stp>Market</stp>
        <stp>STOCK</stp>
        <stp>89340.T</stp>
        <stp>始値</stp>
        <tr r="F31" s="4"/>
        <tr r="F149" s="5"/>
        <tr r="C125" s="8"/>
      </tp>
      <tp>
        <v>4389</v>
        <stp/>
        <stp>Market</stp>
        <stp>STOCK</stp>
        <stp>84240.T</stp>
        <stp>始値</stp>
        <tr r="C108" s="8"/>
        <tr r="F46" s="4"/>
        <tr r="F185" s="5"/>
      </tp>
      <tp>
        <v>1304</v>
        <stp/>
        <stp>Market</stp>
        <stp>STOCK</stp>
        <stp>87040.T</stp>
        <stp>始値</stp>
        <tr r="F19" s="5"/>
        <tr r="F38" s="4"/>
        <tr r="C164" s="8"/>
      </tp>
      <tp>
        <v>1548</v>
        <stp/>
        <stp>Market</stp>
        <stp>STOCK</stp>
        <stp>86040.T</stp>
        <stp>始値</stp>
        <tr r="C40" s="8"/>
        <tr r="F199" s="5"/>
        <tr r="F40" s="4"/>
      </tp>
      <tp>
        <v>2496.5</v>
        <stp/>
        <stp>Market</stp>
        <stp>STOCK</stp>
        <stp>83340.T</stp>
        <stp>始値</stp>
        <tr r="C122" s="8"/>
        <tr r="F49" s="4"/>
        <tr r="F204" s="5"/>
      </tp>
      <tp>
        <v>3935</v>
        <stp/>
        <stp>Market</stp>
        <stp>STOCK</stp>
        <stp>83440.T</stp>
        <stp>始値</stp>
        <tr r="C293" s="8"/>
      </tp>
      <tp>
        <v>7350</v>
        <stp/>
        <stp>Market</stp>
        <stp>STOCK</stp>
        <stp>19440.T</stp>
        <stp>始値</stp>
        <tr r="C304" s="8"/>
      </tp>
      <tp>
        <v>595</v>
        <stp/>
        <stp>Market</stp>
        <stp>STOCK</stp>
        <stp>15140.T</stp>
        <stp>始値</stp>
        <tr r="C262" s="8"/>
      </tp>
      <tp>
        <v>1811</v>
        <stp/>
        <stp>Market</stp>
        <stp>STOCK</stp>
        <stp>39840.T</stp>
        <stp>始値</stp>
        <tr r="C239" s="8"/>
      </tp>
      <tp>
        <v>2225</v>
        <stp/>
        <stp>Market</stp>
        <stp>STOCK</stp>
        <stp>38540.T</stp>
        <stp>始値</stp>
        <tr r="C71" s="8"/>
        <tr r="F180" s="4"/>
        <tr r="F54" s="5"/>
      </tp>
      <tp>
        <v>1150</v>
        <stp/>
        <stp>Market</stp>
        <stp>STOCK</stp>
        <stp>38640.T</stp>
        <stp>始値</stp>
        <tr r="C271" s="8"/>
      </tp>
      <tp>
        <v>6758</v>
        <stp/>
        <stp>Market</stp>
        <stp>STOCK</stp>
        <stp>29140.T</stp>
        <stp>始値</stp>
        <tr r="F189" s="4"/>
        <tr r="F182" s="5"/>
        <tr r="C87" s="8"/>
      </tp>
      <tp>
        <v>4540</v>
        <stp/>
        <stp>Market</stp>
        <stp>STOCK</stp>
        <stp>58440.T</stp>
        <stp>始値</stp>
        <tr r="F123" s="4"/>
        <tr r="F61" s="5"/>
        <tr r="C118" s="8"/>
      </tp>
      <tp>
        <v>8347</v>
        <stp/>
        <stp>Market</stp>
        <stp>STOCK</stp>
        <stp>57140.T</stp>
        <stp>始値</stp>
        <tr r="C10" s="8"/>
        <tr r="F47" s="5"/>
        <tr r="F128" s="4"/>
      </tp>
      <tp>
        <v>3346</v>
        <stp/>
        <stp>Market</stp>
        <stp>STOCK</stp>
        <stp>45440.T</stp>
        <stp>始値</stp>
        <tr r="C273" s="8"/>
      </tp>
      <tp>
        <v>6450</v>
        <stp/>
        <stp>Market</stp>
        <stp>STOCK</stp>
        <stp>47040.T</stp>
        <stp>始値</stp>
        <tr r="C254" s="8"/>
      </tp>
      <tp>
        <v>15415</v>
        <stp/>
        <stp>Market</stp>
        <stp>STOCK</stp>
        <stp>40040.T</stp>
        <stp>始値</stp>
        <tr r="C213" s="8"/>
      </tp>
      <tp>
        <v>1414</v>
        <stp/>
        <stp>Market</stp>
        <stp>STOCK</stp>
        <stp>74140.T</stp>
        <stp>始値</stp>
        <tr r="C294" s="8"/>
      </tp>
      <tp>
        <v>886</v>
        <stp/>
        <stp>Market</stp>
        <stp>STOCK</stp>
        <stp>77940.T</stp>
        <stp>始値</stp>
        <tr r="F66" s="4"/>
        <tr r="F80" s="5"/>
        <tr r="C136" s="8"/>
      </tp>
      <tp>
        <v>4195</v>
        <stp/>
        <stp>Market</stp>
        <stp>STOCK</stp>
        <stp>70140.T</stp>
        <stp>始値</stp>
        <tr r="C256" s="8"/>
      </tp>
      <tp>
        <v>6487</v>
        <stp/>
        <stp>Market</stp>
        <stp>STOCK</stp>
        <stp>69540.T</stp>
        <stp>始値</stp>
        <tr r="C78" s="8"/>
        <tr r="F79" s="4"/>
        <tr r="F16" s="5"/>
      </tp>
      <tp>
        <v>4550</v>
        <stp/>
        <stp>Market</stp>
        <stp>STOCK</stp>
        <stp>67440.T</stp>
        <stp>始値</stp>
        <tr r="F91" s="4"/>
        <tr r="C120" s="8"/>
        <tr r="F106" s="5"/>
      </tp>
      <tp>
        <v>3635</v>
        <stp/>
        <stp>Market</stp>
        <stp>STOCK</stp>
        <stp>67540.T</stp>
        <stp>始値</stp>
        <tr r="C155" s="8"/>
        <tr r="F89" s="4"/>
        <tr r="F31" s="5"/>
      </tp>
      <tp>
        <v>5860</v>
        <stp/>
        <stp>Market</stp>
        <stp>STOCK</stp>
        <stp>66740.T</stp>
        <stp>始値</stp>
        <tr r="C264" s="8"/>
      </tp>
      <tp>
        <v>8131</v>
        <stp/>
        <stp>Market</stp>
        <stp>STOCK</stp>
        <stp>61340.T</stp>
        <stp>始値</stp>
        <tr r="C92" s="8"/>
        <tr r="F114" s="4"/>
        <tr r="F25" s="5"/>
      </tp>
      <tp>
        <v>7000</v>
        <stp/>
        <stp>Market</stp>
        <stp>STOCK</stp>
        <stp>63240.T</stp>
        <stp>始値</stp>
        <tr r="C210" s="8"/>
      </tp>
      <tp>
        <v>4280</v>
        <stp/>
        <stp>Market</stp>
        <stp>STOCK</stp>
        <stp>62540.T</stp>
        <stp>始値</stp>
        <tr r="F5" s="5"/>
        <tr r="C30" s="8"/>
        <tr r="F108" s="4"/>
      </tp>
    </main>
    <main first="rtdsrv.e07a56084d7946cdb07ca2177ccd3d26">
      <tp>
        <v>1188.5</v>
        <stp/>
        <stp>Market</stp>
        <stp>STOCK</stp>
        <stp>95060.T</stp>
        <stp>安値</stp>
        <tr r="I16" s="4"/>
        <tr r="C186" s="10"/>
        <tr r="I193" s="5"/>
      </tp>
      <tp>
        <v>2347</v>
        <stp/>
        <stp>Market</stp>
        <stp>STOCK</stp>
        <stp>95360.T</stp>
        <stp>安値</stp>
        <tr r="C185" s="10"/>
        <tr r="I13" s="4"/>
        <tr r="I160" s="5"/>
      </tp>
      <tp>
        <v>1009</v>
        <stp/>
        <stp>Market</stp>
        <stp>STOCK</stp>
        <stp>94160.T</stp>
        <stp>安値</stp>
        <tr r="I107" s="5"/>
        <tr r="I21" s="4"/>
        <tr r="C126" s="10"/>
      </tp>
      <tp>
        <v>7696</v>
        <stp/>
        <stp>Market</stp>
        <stp>STOCK</stp>
        <stp>87660.T</stp>
        <stp>安値</stp>
        <tr r="I35" s="4"/>
        <tr r="C52" s="10"/>
        <tr r="I174" s="5"/>
      </tp>
      <tp>
        <v>3449</v>
        <stp/>
        <stp>Market</stp>
        <stp>STOCK</stp>
        <stp>83060.T</stp>
        <stp>安値</stp>
        <tr r="I53" s="4"/>
        <tr r="I201" s="5"/>
        <tr r="C45" s="10"/>
      </tp>
      <tp>
        <v>6474</v>
        <stp/>
        <stp>Market</stp>
        <stp>STOCK</stp>
        <stp>83160.T</stp>
        <stp>安値</stp>
        <tr r="C50" s="10"/>
        <tr r="I50" s="4"/>
        <tr r="I70" s="5"/>
      </tp>
      <tp>
        <v>159</v>
        <stp/>
        <stp>Market</stp>
        <stp>STOCK</stp>
        <stp>39360.T</stp>
        <stp>安値</stp>
        <tr r="C245" s="10"/>
      </tp>
      <tp>
        <v>3696</v>
        <stp/>
        <stp>Market</stp>
        <stp>STOCK</stp>
        <stp>34360.T</stp>
        <stp>安値</stp>
        <tr r="I4" s="5"/>
        <tr r="I181" s="4"/>
        <tr r="C28" s="10"/>
      </tp>
      <tp>
        <v>2055</v>
        <stp/>
        <stp>Market</stp>
        <stp>STOCK</stp>
        <stp>36960.T</stp>
        <stp>安値</stp>
        <tr r="C228" s="10"/>
      </tp>
      <tp>
        <v>4250</v>
        <stp/>
        <stp>Market</stp>
        <stp>STOCK</stp>
        <stp>23260.T</stp>
        <stp>安値</stp>
        <tr r="C237" s="10"/>
      </tp>
      <tp>
        <v>7120</v>
        <stp/>
        <stp>Market</stp>
        <stp>STOCK</stp>
        <stp>78060.T</stp>
        <stp>安値</stp>
        <tr r="I65" s="4"/>
        <tr r="I55" s="5"/>
        <tr r="C73" s="10"/>
      </tp>
      <tp>
        <v>1758.5</v>
        <stp/>
        <stp>Market</stp>
        <stp>STOCK</stp>
        <stp>78460.T</stp>
        <stp>安値</stp>
        <tr r="I64" s="4"/>
        <tr r="C75" s="10"/>
        <tr r="I202" s="5"/>
      </tp>
      <tp>
        <v>733</v>
        <stp/>
        <stp>Market</stp>
        <stp>STOCK</stp>
        <stp>77460.T</stp>
        <stp>安値</stp>
        <tr r="I144" s="5"/>
        <tr r="I67" s="4"/>
        <tr r="C93" s="10"/>
      </tp>
      <tp>
        <v>1465</v>
        <stp/>
        <stp>Market</stp>
        <stp>STOCK</stp>
        <stp>72360.T</stp>
        <stp>安値</stp>
        <tr r="I137" s="5"/>
        <tr r="I72" s="4"/>
        <tr r="C177" s="10"/>
      </tp>
      <tp>
        <v>5211</v>
        <stp/>
        <stp>Market</stp>
        <stp>STOCK</stp>
        <stp>65060.T</stp>
        <stp>安値</stp>
        <tr r="I98" s="4"/>
        <tr r="I20" s="5"/>
        <tr r="C201" s="10"/>
      </tp>
      <tp>
        <v>5920</v>
        <stp/>
        <stp>Market</stp>
        <stp>STOCK</stp>
        <stp>65160.T</stp>
        <stp>安値</stp>
        <tr r="I96" s="4"/>
        <tr r="I29" s="5"/>
        <tr r="C151" s="10"/>
      </tp>
      <tp>
        <v>3829</v>
        <stp/>
        <stp>Market</stp>
        <stp>STOCK</stp>
        <stp>64360.T</stp>
        <stp>安値</stp>
        <tr r="I102" s="4"/>
        <tr r="I155" s="5"/>
        <tr r="C178" s="10"/>
      </tp>
      <tp>
        <v>3095</v>
        <stp/>
        <stp>Market</stp>
        <stp>STOCK</stp>
        <stp>67060.T</stp>
        <stp>安値</stp>
        <tr r="C291" s="10"/>
      </tp>
      <tp>
        <v>10360</v>
        <stp/>
        <stp>Market</stp>
        <stp>STOCK</stp>
        <stp>67360.T</stp>
        <stp>安値</stp>
        <tr r="C287" s="10"/>
      </tp>
      <tp>
        <v>62440</v>
        <stp/>
        <stp>Market</stp>
        <stp>STOCK</stp>
        <stp>61460.T</stp>
        <stp>安値</stp>
        <tr r="I120" s="5"/>
        <tr r="I113" s="4"/>
        <tr r="C197" s="10"/>
      </tp>
      <tp>
        <v>1346</v>
        <stp/>
        <stp>Market</stp>
        <stp>STOCK</stp>
        <stp>63560.T</stp>
        <stp>安値</stp>
        <tr r="C267" s="10"/>
      </tp>
      <tp>
        <v>679</v>
        <stp/>
        <stp>Market</stp>
        <stp>STOCK</stp>
        <stp>63660.T</stp>
        <stp>安値</stp>
        <tr r="C260" s="10"/>
      </tp>
      <tp>
        <v>3955</v>
        <stp/>
        <stp>Market</stp>
        <stp>STOCK</stp>
        <stp>63760.T</stp>
        <stp>安値</stp>
        <tr r="C269" s="10"/>
      </tp>
      <tp>
        <v>1927.5</v>
        <stp/>
        <stp>Market</stp>
        <stp>STOCK</stp>
        <stp>54060.T</stp>
        <stp>安値</stp>
        <tr r="I139" s="4"/>
        <tr r="I95" s="5"/>
        <tr r="C38" s="10"/>
      </tp>
      <tp>
        <v>33370</v>
        <stp/>
        <stp>Market</stp>
        <stp>STOCK</stp>
        <stp>57060.T</stp>
        <stp>安値</stp>
        <tr r="I131" s="4"/>
        <tr r="I11" s="5"/>
        <tr r="C6" s="10"/>
      </tp>
      <tp>
        <v>24710</v>
        <stp/>
        <stp>Market</stp>
        <stp>STOCK</stp>
        <stp>49660.T</stp>
        <stp>安値</stp>
        <tr r="I34" s="5"/>
        <tr r="C196" s="10"/>
        <tr r="I150" s="4"/>
      </tp>
      <tp>
        <v>1845</v>
        <stp/>
        <stp>Market</stp>
        <stp>STOCK</stp>
        <stp>45360.T</stp>
        <stp>安値</stp>
        <tr r="C67" s="10"/>
        <tr r="I125" s="5"/>
        <tr r="I158" s="4"/>
      </tp>
      <tp>
        <v>2685</v>
        <stp/>
        <stp>Market</stp>
        <stp>STOCK</stp>
        <stp>47760.T</stp>
        <stp>安値</stp>
        <tr r="C253" s="10"/>
      </tp>
      <tp>
        <v>3934</v>
        <stp/>
        <stp>Market</stp>
        <stp>STOCK</stp>
        <stp>46760.T</stp>
        <stp>安値</stp>
        <tr r="I177" s="5"/>
        <tr r="I155" s="4"/>
        <tr r="C58" s="10"/>
      </tp>
    </main>
    <main first="rtdsrv.e07a56084d7946cdb07ca2177ccd3d26">
      <tp>
        <v>924.7</v>
        <stp/>
        <stp>Market</stp>
        <stp>STOCK</stp>
        <stp>95050.T</stp>
        <stp>始値</stp>
        <tr r="C181" s="8"/>
        <tr r="F17" s="4"/>
        <tr r="F157" s="5"/>
      </tp>
      <tp>
        <v>861</v>
        <stp/>
        <stp>Market</stp>
        <stp>STOCK</stp>
        <stp>91150.T</stp>
        <stp>始値</stp>
        <tr r="C270" s="8"/>
      </tp>
      <tp>
        <v>1750</v>
        <stp/>
        <stp>Market</stp>
        <stp>STOCK</stp>
        <stp>91650.T</stp>
        <stp>始値</stp>
        <tr r="C243" s="8"/>
      </tp>
      <tp>
        <v>4809</v>
        <stp/>
        <stp>Market</stp>
        <stp>STOCK</stp>
        <stp>87250.T</stp>
        <stp>始値</stp>
        <tr r="F37" s="4"/>
        <tr r="F168" s="5"/>
        <tr r="C22" s="8"/>
      </tp>
      <tp>
        <v>5020</v>
        <stp/>
        <stp>Market</stp>
        <stp>STOCK</stp>
        <stp>87950.T</stp>
        <stp>始値</stp>
        <tr r="F34" s="4"/>
        <tr r="F91" s="5"/>
        <tr r="C23" s="8"/>
      </tp>
      <tp>
        <v>1809</v>
        <stp/>
        <stp>Market</stp>
        <stp>STOCK</stp>
        <stp>80050.T</stp>
        <stp>始値</stp>
        <tr r="C236" s="8"/>
      </tp>
      <tp>
        <v>6990</v>
        <stp/>
        <stp>Market</stp>
        <stp>STOCK</stp>
        <stp>80150.T</stp>
        <stp>始値</stp>
        <tr r="F61" s="4"/>
        <tr r="F65" s="5"/>
        <tr r="C204" s="8"/>
      </tp>
      <tp>
        <v>59000</v>
        <stp/>
        <stp>Market</stp>
        <stp>STOCK</stp>
        <stp>80350.T</stp>
        <stp>始値</stp>
        <tr r="F35" s="5"/>
        <tr r="C198" s="8"/>
        <tr r="F60" s="4"/>
      </tp>
      <tp>
        <v>4560</v>
        <stp/>
        <stp>Market</stp>
        <stp>STOCK</stp>
        <stp>19250.T</stp>
        <stp>始値</stp>
        <tr r="F202" s="4"/>
        <tr r="C83" s="8"/>
        <tr r="F181" s="5"/>
      </tp>
      <tp>
        <v>3451</v>
        <stp/>
        <stp>Market</stp>
        <stp>STOCK</stp>
        <stp>16050.T</stp>
        <stp>始値</stp>
        <tr r="C12" s="8"/>
        <tr r="F206" s="4"/>
        <tr r="F166" s="5"/>
      </tp>
      <tp>
        <v>2205</v>
        <stp/>
        <stp>Market</stp>
        <stp>STOCK</stp>
        <stp>39050.T</stp>
        <stp>始値</stp>
        <tr r="C284" s="8"/>
      </tp>
      <tp>
        <v>1829</v>
        <stp/>
        <stp>Market</stp>
        <stp>STOCK</stp>
        <stp>40450.T</stp>
        <stp>始値</stp>
        <tr r="F178" s="5"/>
        <tr r="C61" s="8"/>
        <tr r="F174" s="4"/>
      </tp>
      <tp>
        <v>13600</v>
        <stp/>
        <stp>Market</stp>
        <stp>STOCK</stp>
        <stp>77350.T</stp>
        <stp>始値</stp>
        <tr r="C283" s="8"/>
      </tp>
      <tp>
        <v>2980</v>
        <stp/>
        <stp>Market</stp>
        <stp>STOCK</stp>
        <stp>76850.T</stp>
        <stp>始値</stp>
        <tr r="F69" s="4"/>
        <tr r="C121" s="8"/>
        <tr r="F148" s="5"/>
      </tp>
      <tp>
        <v>1138</v>
        <stp/>
        <stp>Market</stp>
        <stp>STOCK</stp>
        <stp>73750.T</stp>
        <stp>始値</stp>
        <tr r="F190" s="5"/>
        <tr r="F71" s="4"/>
        <tr r="C149" s="8"/>
      </tp>
      <tp>
        <v>4363</v>
        <stp/>
        <stp>Market</stp>
        <stp>STOCK</stp>
        <stp>69250.T</stp>
        <stp>始値</stp>
        <tr r="F42" s="5"/>
        <tr r="F80" s="4"/>
        <tr r="C105" s="8"/>
      </tp>
      <tp>
        <v>391</v>
        <stp/>
        <stp>Market</stp>
        <stp>STOCK</stp>
        <stp>69550.T</stp>
        <stp>始値</stp>
        <tr r="C265" s="8"/>
      </tp>
      <tp>
        <v>2457.5</v>
        <stp/>
        <stp>Market</stp>
        <stp>STOCK</stp>
        <stp>69650.T</stp>
        <stp>始値</stp>
        <tr r="C300" s="8"/>
      </tp>
      <tp>
        <v>1580</v>
        <stp/>
        <stp>Market</stp>
        <stp>STOCK</stp>
        <stp>64850.T</stp>
        <stp>始値</stp>
        <tr r="F6" s="4"/>
        <tr r="F194" s="5"/>
        <tr r="C191" s="8"/>
      </tp>
      <tp>
        <v>14950</v>
        <stp/>
        <stp>Market</stp>
        <stp>STOCK</stp>
        <stp>61350.T</stp>
        <stp>始値</stp>
        <tr r="C223" s="8"/>
      </tp>
      <tp>
        <v>2370</v>
        <stp/>
        <stp>Market</stp>
        <stp>STOCK</stp>
        <stp>60550.T</stp>
        <stp>始値</stp>
        <tr r="C224" s="8"/>
      </tp>
      <tp>
        <v>78</v>
        <stp/>
        <stp>Market</stp>
        <stp>STOCK</stp>
        <stp>60850.T</stp>
        <stp>始値</stp>
        <tr r="F115" s="4"/>
        <tr r="C137" s="8"/>
        <tr r="F150" s="5"/>
      </tp>
      <tp>
        <v>5318</v>
        <stp/>
        <stp>Market</stp>
        <stp>STOCK</stp>
        <stp>63050.T</stp>
        <stp>始値</stp>
        <tr r="F107" s="4"/>
        <tr r="C203" s="8"/>
        <tr r="F85" s="5"/>
      </tp>
    </main>
    <main first="rtdsrv.e07a56084d7946cdb07ca2177ccd3d26">
      <tp>
        <v>4375</v>
        <stp/>
        <stp>Market</stp>
        <stp>STOCK</stp>
        <stp>96870.T</stp>
        <stp>安値</stp>
        <tr r="I44" s="5"/>
        <tr r="C162" s="10"/>
        <tr r="I11" s="4"/>
      </tp>
      <tp>
        <v>865</v>
        <stp/>
        <stp>Market</stp>
        <stp>STOCK</stp>
        <stp>92270.T</stp>
        <stp>安値</stp>
        <tr r="C111" s="10"/>
        <tr r="I25" s="4"/>
        <tr r="I146" s="5"/>
      </tp>
      <tp>
        <v>791</v>
        <stp/>
        <stp>Market</stp>
        <stp>STOCK</stp>
        <stp>80070.T</stp>
        <stp>安値</stp>
        <tr r="C281" s="10"/>
      </tp>
      <tp>
        <v>1605</v>
        <stp/>
        <stp>Market</stp>
        <stp>STOCK</stp>
        <stp>34070.T</stp>
        <stp>安値</stp>
        <tr r="I182" s="4"/>
        <tr r="I183" s="5"/>
        <tr r="C94" s="10"/>
      </tp>
      <tp>
        <v>3618</v>
        <stp/>
        <stp>Market</stp>
        <stp>STOCK</stp>
        <stp>31070.T</stp>
        <stp>安値</stp>
        <tr r="I186" s="4"/>
        <tr r="I13" s="5"/>
        <tr r="C60" s="10"/>
      </tp>
      <tp>
        <v>4110</v>
        <stp/>
        <stp>Market</stp>
        <stp>STOCK</stp>
        <stp>33970.T</stp>
        <stp>安値</stp>
        <tr r="C285" s="10"/>
      </tp>
      <tp>
        <v>629.29999999999995</v>
        <stp/>
        <stp>Market</stp>
        <stp>STOCK</stp>
        <stp>21270.T</stp>
        <stp>安値</stp>
        <tr r="I161" s="5"/>
        <tr r="C187" s="10"/>
        <tr r="I196" s="4"/>
      </tp>
      <tp>
        <v>3617</v>
        <stp/>
        <stp>Market</stp>
        <stp>STOCK</stp>
        <stp>23270.T</stp>
        <stp>安値</stp>
        <tr r="I194" s="4"/>
        <tr r="I154" s="5"/>
        <tr r="C174" s="10"/>
      </tp>
      <tp>
        <v>2746.5</v>
        <stp/>
        <stp>Market</stp>
        <stp>STOCK</stp>
        <stp>22670.T</stp>
        <stp>安値</stp>
        <tr r="C226" s="10"/>
      </tp>
      <tp>
        <v>2690</v>
        <stp/>
        <stp>Market</stp>
        <stp>STOCK</stp>
        <stp>14070.T</stp>
        <stp>安値</stp>
        <tr r="C217" s="10"/>
      </tp>
      <tp>
        <v>1479</v>
        <stp/>
        <stp>Market</stp>
        <stp>STOCK</stp>
        <stp>71670.T</stp>
        <stp>安値</stp>
        <tr r="C82" s="10"/>
        <tr r="I101" s="5"/>
        <tr r="I75" s="4"/>
      </tp>
      <tp>
        <v>3325</v>
        <stp/>
        <stp>Market</stp>
        <stp>STOCK</stp>
        <stp>69970.T</stp>
        <stp>安値</stp>
        <tr r="C272" s="10"/>
      </tp>
      <tp>
        <v>32390</v>
        <stp/>
        <stp>Market</stp>
        <stp>STOCK</stp>
        <stp>68570.T</stp>
        <stp>安値</stp>
        <tr r="I83" s="4"/>
        <tr r="I113" s="5"/>
        <tr r="C158" s="10"/>
      </tp>
      <tp>
        <v>14150</v>
        <stp/>
        <stp>Market</stp>
        <stp>STOCK</stp>
        <stp>65070.T</stp>
        <stp>安値</stp>
        <tr r="I64" s="5"/>
        <tr r="I97" s="4"/>
        <tr r="C183" s="10"/>
      </tp>
      <tp>
        <v>6500</v>
        <stp/>
        <stp>Market</stp>
        <stp>STOCK</stp>
        <stp>64070.T</stp>
        <stp>安値</stp>
        <tr r="C295" s="10"/>
      </tp>
      <tp>
        <v>20320</v>
        <stp/>
        <stp>Market</stp>
        <stp>STOCK</stp>
        <stp>67770.T</stp>
        <stp>安値</stp>
        <tr r="I87" s="4"/>
        <tr r="C144" s="10"/>
        <tr r="I130" s="5"/>
      </tp>
      <tp>
        <v>22980</v>
        <stp/>
        <stp>Market</stp>
        <stp>STOCK</stp>
        <stp>67870.T</stp>
        <stp>安値</stp>
        <tr r="I86" s="4"/>
        <tr r="C145" s="10"/>
        <tr r="I10" s="5"/>
      </tp>
      <tp>
        <v>2305</v>
        <stp/>
        <stp>Market</stp>
        <stp>STOCK</stp>
        <stp>60270.T</stp>
        <stp>安値</stp>
        <tr r="I116" s="4"/>
        <tr r="C72" s="10"/>
        <tr r="I98" s="5"/>
      </tp>
      <tp>
        <v>3215</v>
        <stp/>
        <stp>Market</stp>
        <stp>STOCK</stp>
        <stp>63270.T</stp>
        <stp>安値</stp>
        <tr r="I27" s="5"/>
        <tr r="I105" s="4"/>
        <tr r="C133" s="10"/>
      </tp>
      <tp>
        <v>9460</v>
        <stp/>
        <stp>Market</stp>
        <stp>STOCK</stp>
        <stp>63870.T</stp>
        <stp>安値</stp>
        <tr r="I62" s="5"/>
        <tr r="I103" s="4"/>
        <tr r="C147" s="10"/>
      </tp>
      <tp>
        <v>7080</v>
        <stp/>
        <stp>Market</stp>
        <stp>STOCK</stp>
        <stp>62270.T</stp>
        <stp>安値</stp>
        <tr r="I110" s="4"/>
        <tr r="I108" s="5"/>
        <tr r="C132" s="10"/>
      </tp>
      <tp>
        <v>3463</v>
        <stp/>
        <stp>Market</stp>
        <stp>STOCK</stp>
        <stp>59470.T</stp>
        <stp>安値</stp>
        <tr r="C42" s="10"/>
        <tr r="I96" s="5"/>
        <tr r="I117" s="4"/>
      </tp>
      <tp>
        <v>3160</v>
        <stp/>
        <stp>Market</stp>
        <stp>STOCK</stp>
        <stp>58570.T</stp>
        <stp>安値</stp>
        <tr r="I122" s="4"/>
        <tr r="C62" s="10"/>
        <tr r="I52" s="5"/>
      </tp>
      <tp>
        <v>1601.5</v>
        <stp/>
        <stp>Market</stp>
        <stp>STOCK</stp>
        <stp>48870.T</stp>
        <stp>安値</stp>
        <tr r="I152" s="4"/>
        <tr r="C192" s="10"/>
        <tr r="I195" s="5"/>
      </tp>
      <tp>
        <v>4150</v>
        <stp/>
        <stp>Market</stp>
        <stp>STOCK</stp>
        <stp>44170.T</stp>
        <stp>安値</stp>
        <tr r="I163" s="4"/>
        <tr r="C153" s="10"/>
        <tr r="I112" s="5"/>
      </tp>
      <tp>
        <v>2930</v>
        <stp/>
        <stp>Market</stp>
        <stp>STOCK</stp>
        <stp>40470.T</stp>
        <stp>安値</stp>
        <tr r="C289" s="10"/>
      </tp>
      <tp>
        <v>4486</v>
        <stp/>
        <stp>Market</stp>
        <stp>STOCK</stp>
        <stp>43070.T</stp>
        <stp>安値</stp>
        <tr r="I151" s="5"/>
        <tr r="I166" s="4"/>
        <tr r="C150" s="10"/>
      </tp>
    </main>
    <main first="rtdsrv.e07a56084d7946cdb07ca2177ccd3d26">
      <tp>
        <v>4049</v>
        <stp/>
        <stp>Market</stp>
        <stp>STOCK</stp>
        <stp>99620.T</stp>
        <stp>始値</stp>
        <tr r="C233" s="8"/>
      </tp>
      <tp>
        <v>1725</v>
        <stp/>
        <stp>Market</stp>
        <stp>STOCK</stp>
        <stp>98820.T</stp>
        <stp>始値</stp>
        <tr r="F128" s="5"/>
        <tr r="C116" s="8"/>
        <tr r="F9" s="4"/>
      </tp>
      <tp>
        <v>5375</v>
        <stp/>
        <stp>Market</stp>
        <stp>STOCK</stp>
        <stp>95320.T</stp>
        <stp>始値</stp>
        <tr r="C127" s="8"/>
        <tr r="F14" s="4"/>
        <tr r="F79" s="5"/>
      </tp>
      <tp>
        <v>2260</v>
        <stp/>
        <stp>Market</stp>
        <stp>STOCK</stp>
        <stp>94120.T</stp>
        <stp>始値</stp>
        <tr r="F22" s="5"/>
        <tr r="F22" s="4"/>
        <tr r="C56" s="8"/>
      </tp>
      <tp>
        <v>3840</v>
        <stp/>
        <stp>Market</stp>
        <stp>STOCK</stp>
        <stp>90220.T</stp>
        <stp>始値</stp>
        <tr r="F29" s="4"/>
        <tr r="F159" s="5"/>
        <tr r="C184" s="8"/>
      </tp>
      <tp>
        <v>3115</v>
        <stp/>
        <stp>Market</stp>
        <stp>STOCK</stp>
        <stp>92020.T</stp>
        <stp>始値</stp>
        <tr r="F26" s="4"/>
        <tr r="F99" s="5"/>
        <tr r="C74" s="8"/>
      </tp>
      <tp>
        <v>1073</v>
        <stp/>
        <stp>Market</stp>
        <stp>STOCK</stp>
        <stp>88920.T</stp>
        <stp>始値</stp>
        <tr r="F32" s="4"/>
        <tr r="C161" s="8"/>
        <tr r="F114" s="5"/>
      </tp>
      <tp>
        <v>476</v>
        <stp/>
        <stp>Market</stp>
        <stp>STOCK</stp>
        <stp>85720.T</stp>
        <stp>始値</stp>
        <tr r="F38" s="5"/>
        <tr r="C47" s="8"/>
        <tr r="F44" s="4"/>
      </tp>
      <tp>
        <v>4901</v>
        <stp/>
        <stp>Market</stp>
        <stp>STOCK</stp>
        <stp>80020.T</stp>
        <stp>始値</stp>
        <tr r="F167" s="5"/>
        <tr r="F62" s="4"/>
        <tr r="C14" s="8"/>
      </tp>
      <tp>
        <v>5584</v>
        <stp/>
        <stp>Market</stp>
        <stp>STOCK</stp>
        <stp>19420.T</stp>
        <stp>始値</stp>
        <tr r="F32" s="5"/>
        <tr r="F199" s="4"/>
        <tr r="C175" s="8"/>
      </tp>
      <tp>
        <v>5356</v>
        <stp/>
        <stp>Market</stp>
        <stp>STOCK</stp>
        <stp>18120.T</stp>
        <stp>始値</stp>
        <tr r="F121" s="5"/>
        <tr r="F204" s="4"/>
        <tr r="C208" s="8"/>
      </tp>
      <tp>
        <v>1701</v>
        <stp/>
        <stp>Market</stp>
        <stp>STOCK</stp>
        <stp>16620.T</stp>
        <stp>始値</stp>
        <tr r="F205" s="4"/>
        <tr r="F122" s="5"/>
        <tr r="C18" s="8"/>
      </tp>
      <tp>
        <v>1151</v>
        <stp/>
        <stp>Market</stp>
        <stp>STOCK</stp>
        <stp>34020.T</stp>
        <stp>始値</stp>
        <tr r="F183" s="4"/>
        <tr r="F172" s="5"/>
        <tr r="C44" s="8"/>
      </tp>
      <tp>
        <v>4020</v>
        <stp/>
        <stp>Market</stp>
        <stp>STOCK</stp>
        <stp>30020.T</stp>
        <stp>始値</stp>
        <tr r="C277" s="8"/>
      </tp>
      <tp>
        <v>5198</v>
        <stp/>
        <stp>Market</stp>
        <stp>STOCK</stp>
        <stp>28020.T</stp>
        <stp>始値</stp>
        <tr r="C76" s="8"/>
        <tr r="F23" s="5"/>
        <tr r="F190" s="4"/>
      </tp>
      <tp>
        <v>8140</v>
        <stp/>
        <stp>Market</stp>
        <stp>STOCK</stp>
        <stp>27020.T</stp>
        <stp>始値</stp>
        <tr r="F196" s="5"/>
        <tr r="F192" s="4"/>
        <tr r="C194" s="8"/>
      </tp>
      <tp>
        <v>2352</v>
        <stp/>
        <stp>Market</stp>
        <stp>STOCK</stp>
        <stp>58020.T</stp>
        <stp>始値</stp>
        <tr r="F57" s="5"/>
        <tr r="C102" s="8"/>
        <tr r="F126" s="4"/>
      </tp>
      <tp>
        <v>2124</v>
        <stp/>
        <stp>Market</stp>
        <stp>STOCK</stp>
        <stp>58920.T</stp>
        <stp>始値</stp>
        <tr r="C89" s="8"/>
        <tr r="F121" s="4"/>
        <tr r="F74" s="5"/>
      </tp>
      <tp>
        <v>1550</v>
        <stp/>
        <stp>Market</stp>
        <stp>STOCK</stp>
        <stp>57020.T</stp>
        <stp>始値</stp>
        <tr r="C275" s="8"/>
      </tp>
      <tp>
        <v>2206</v>
        <stp/>
        <stp>Market</stp>
        <stp>STOCK</stp>
        <stp>56320.T</stp>
        <stp>始値</stp>
        <tr r="C247" s="8"/>
      </tp>
      <tp>
        <v>6352</v>
        <stp/>
        <stp>Market</stp>
        <stp>STOCK</stp>
        <stp>53320.T</stp>
        <stp>始値</stp>
        <tr r="F142" s="4"/>
        <tr r="C21" s="8"/>
        <tr r="F12" s="5"/>
      </tp>
      <tp>
        <v>5234</v>
        <stp/>
        <stp>Market</stp>
        <stp>STOCK</stp>
        <stp>45020.T</stp>
        <stp>始値</stp>
        <tr r="C212" s="8"/>
      </tp>
      <tp>
        <v>552</v>
        <stp/>
        <stp>Market</stp>
        <stp>STOCK</stp>
        <stp>44220.T</stp>
        <stp>始値</stp>
        <tr r="F162" s="4"/>
        <tr r="C139" s="8"/>
        <tr r="F188" s="5"/>
      </tp>
      <tp>
        <v>4590</v>
        <stp/>
        <stp>Market</stp>
        <stp>STOCK</stp>
        <stp>41820.T</stp>
        <stp>始値</stp>
        <tr r="F168" s="4"/>
        <tr r="F75" s="5"/>
        <tr r="C97" s="8"/>
      </tp>
      <tp>
        <v>19930</v>
        <stp/>
        <stp>Market</stp>
        <stp>STOCK</stp>
        <stp>40620.T</stp>
        <stp>始値</stp>
        <tr r="F56" s="5"/>
        <tr r="F173" s="4"/>
        <tr r="C96" s="8"/>
      </tp>
      <tp>
        <v>1888</v>
        <stp/>
        <stp>Market</stp>
        <stp>STOCK</stp>
        <stp>40820.T</stp>
        <stp>始値</stp>
        <tr r="F171" s="4"/>
        <tr r="C129" s="8"/>
        <tr r="F9" s="5"/>
      </tp>
      <tp>
        <v>706</v>
        <stp/>
        <stp>Market</stp>
        <stp>STOCK</stp>
        <stp>43820.T</stp>
        <stp>始値</stp>
        <tr r="F164" s="4"/>
        <tr r="C173" s="8"/>
        <tr r="F192" s="5"/>
      </tp>
      <tp>
        <v>914</v>
        <stp/>
        <stp>Market</stp>
        <stp>STOCK</stp>
        <stp>43920.T</stp>
        <stp>始値</stp>
        <tr r="C235" s="8"/>
      </tp>
      <tp>
        <v>584</v>
        <stp/>
        <stp>Market</stp>
        <stp>STOCK</stp>
        <stp>42220.T</stp>
        <stp>始値</stp>
        <tr r="C229" s="8"/>
      </tp>
      <tp>
        <v>3565</v>
        <stp/>
        <stp>Market</stp>
        <stp>STOCK</stp>
        <stp>79520.T</stp>
        <stp>始値</stp>
        <tr r="C276" s="8"/>
      </tp>
      <tp>
        <v>2897</v>
        <stp/>
        <stp>Market</stp>
        <stp>STOCK</stp>
        <stp>79720.T</stp>
        <stp>始値</stp>
        <tr r="C241" s="8"/>
      </tp>
      <tp>
        <v>881.5</v>
        <stp/>
        <stp>Market</stp>
        <stp>STOCK</stp>
        <stp>75320.T</stp>
        <stp>始値</stp>
        <tr r="C305" s="8"/>
      </tp>
      <tp>
        <v>3127</v>
        <stp/>
        <stp>Market</stp>
        <stp>STOCK</stp>
        <stp>71820.T</stp>
        <stp>始値</stp>
        <tr r="C85" s="8"/>
        <tr r="F74" s="4"/>
        <tr r="F102" s="5"/>
      </tp>
      <tp>
        <v>1897.5</v>
        <stp/>
        <stp>Market</stp>
        <stp>STOCK</stp>
        <stp>69020.T</stp>
        <stp>始値</stp>
        <tr r="C244" s="8"/>
      </tp>
      <tp>
        <v>2300</v>
        <stp/>
        <stp>Market</stp>
        <stp>STOCK</stp>
        <stp>68620.T</stp>
        <stp>始値</stp>
        <tr r="C225" s="8"/>
      </tp>
      <tp>
        <v>1746</v>
        <stp/>
        <stp>Market</stp>
        <stp>STOCK</stp>
        <stp>65220.T</stp>
        <stp>始値</stp>
        <tr r="F111" s="5"/>
        <tr r="F95" s="4"/>
        <tr r="C143" s="8"/>
      </tp>
      <tp>
        <v>682</v>
        <stp/>
        <stp>Market</stp>
        <stp>STOCK</stp>
        <stp>64820.T</stp>
        <stp>始値</stp>
        <tr r="C290" s="8"/>
      </tp>
      <tp>
        <v>4416</v>
        <stp/>
        <stp>Market</stp>
        <stp>STOCK</stp>
        <stp>67520.T</stp>
        <stp>始値</stp>
        <tr r="C215" s="8"/>
      </tp>
      <tp>
        <v>3157</v>
        <stp/>
        <stp>Market</stp>
        <stp>STOCK</stp>
        <stp>67620.T</stp>
        <stp>始値</stp>
        <tr r="C234" s="8"/>
      </tp>
      <tp>
        <v>14480</v>
        <stp/>
        <stp>Market</stp>
        <stp>STOCK</stp>
        <stp>66220.T</stp>
        <stp>始値</stp>
        <tr r="C216" s="8"/>
      </tp>
      <tp>
        <v>1750</v>
        <stp/>
        <stp>Market</stp>
        <stp>STOCK</stp>
        <stp>62320.T</stp>
        <stp>始値</stp>
        <tr r="F109" s="4"/>
        <tr r="F28" s="5"/>
        <tr r="C135" s="8"/>
      </tp>
    </main>
    <main first="rtdsrv.e07a56084d7946cdb07ca2177ccd3d26">
      <tp>
        <v>3980.38</v>
        <stp/>
        <stp>Market</stp>
        <stp>INDEX</stp>
        <stp>TOPX</stp>
        <stp>安値</stp>
        <tr r="C5" s="10"/>
      </tp>
      <tp>
        <v>3675</v>
        <stp/>
        <stp>Market</stp>
        <stp>STOCK</stp>
        <stp>98800.T</stp>
        <stp>安値</stp>
        <tr r="C257" s="10"/>
      </tp>
      <tp>
        <v>3351</v>
        <stp/>
        <stp>Market</stp>
        <stp>STOCK</stp>
        <stp>90200.T</stp>
        <stp>安値</stp>
        <tr r="I104" s="5"/>
        <tr r="I30" s="4"/>
        <tr r="C109" s="10"/>
      </tp>
      <tp>
        <v>1528</v>
        <stp/>
        <stp>Market</stp>
        <stp>STOCK</stp>
        <stp>85700.T</stp>
        <stp>安値</stp>
        <tr r="I45" s="4"/>
        <tr r="I94" s="5"/>
        <tr r="C37" s="10"/>
      </tp>
      <tp>
        <v>1880</v>
        <stp/>
        <stp>Market</stp>
        <stp>STOCK</stp>
        <stp>87500.T</stp>
        <stp>安値</stp>
        <tr r="I200" s="5"/>
        <tr r="I36" s="4"/>
        <tr r="C43" s="10"/>
      </tp>
      <tp>
        <v>6852</v>
        <stp/>
        <stp>Market</stp>
        <stp>STOCK</stp>
        <stp>86300.T</stp>
        <stp>安値</stp>
        <tr r="I176" s="5"/>
        <tr r="I39" s="4"/>
        <tr r="C54" s="10"/>
      </tp>
      <tp>
        <v>3350</v>
        <stp/>
        <stp>Market</stp>
        <stp>STOCK</stp>
        <stp>31100.T</stp>
        <stp>安値</stp>
        <tr r="C134" s="10"/>
        <tr r="I109" s="5"/>
        <tr r="I185" s="4"/>
      </tp>
      <tp>
        <v>2526</v>
        <stp/>
        <stp>Market</stp>
        <stp>STOCK</stp>
        <stp>21600.T</stp>
        <stp>安値</stp>
        <tr r="I195" s="4"/>
        <tr r="C131" s="10"/>
        <tr r="I187" s="5"/>
      </tp>
      <tp>
        <v>1484</v>
        <stp/>
        <stp>Market</stp>
        <stp>STOCK</stp>
        <stp>19300.T</stp>
        <stp>安値</stp>
        <tr r="I83" s="5"/>
        <tr r="I201" s="4"/>
        <tr r="C163" s="10"/>
      </tp>
      <tp>
        <v>68360</v>
        <stp/>
        <stp>Market</stp>
        <stp>STOCK</stp>
        <stp>15700.T</stp>
        <stp>安値</stp>
        <tr r="C222" s="10"/>
      </tp>
      <tp>
        <v>2444</v>
        <stp/>
        <stp>Market</stp>
        <stp>STOCK</stp>
        <stp>72700.T</stp>
        <stp>安値</stp>
        <tr r="C286" s="10"/>
      </tp>
      <tp>
        <v>44560</v>
        <stp/>
        <stp>Market</stp>
        <stp>STOCK</stp>
        <stp>69200.T</stp>
        <stp>安値</stp>
        <tr r="I81" s="4"/>
        <tr r="I84" s="5"/>
        <tr r="C199" s="10"/>
      </tp>
      <tp>
        <v>8700</v>
        <stp/>
        <stp>Market</stp>
        <stp>STOCK</stp>
        <stp>68900.T</stp>
        <stp>安値</stp>
        <tr r="I82" s="4"/>
        <tr r="C195" s="10"/>
        <tr r="I33" s="5"/>
      </tp>
      <tp>
        <v>46</v>
        <stp/>
        <stp>Market</stp>
        <stp>STOCK</stp>
        <stp>67400.T</stp>
        <stp>安値</stp>
        <tr r="I189" s="5"/>
        <tr r="C140" s="10"/>
        <tr r="I92" s="4"/>
      </tp>
      <tp>
        <v>1144</v>
        <stp/>
        <stp>Market</stp>
        <stp>STOCK</stp>
        <stp>61400.T</stp>
        <stp>安値</stp>
        <tr r="C261" s="10"/>
      </tp>
      <tp>
        <v>2011</v>
        <stp/>
        <stp>Market</stp>
        <stp>STOCK</stp>
        <stp>63300.T</stp>
        <stp>安値</stp>
        <tr r="I186" s="5"/>
        <tr r="I104" s="4"/>
        <tr r="C128" s="10"/>
      </tp>
      <tp>
        <v>9037</v>
        <stp/>
        <stp>Market</stp>
        <stp>STOCK</stp>
        <stp>63700.T</stp>
        <stp>安値</stp>
        <tr r="C255" s="10"/>
      </tp>
      <tp>
        <v>2817</v>
        <stp/>
        <stp>Market</stp>
        <stp>STOCK</stp>
        <stp>54100.T</stp>
        <stp>安値</stp>
        <tr r="I118" s="5"/>
        <tr r="I138" s="4"/>
        <tr r="C179" s="10"/>
      </tp>
      <tp>
        <v>1852</v>
        <stp/>
        <stp>Market</stp>
        <stp>STOCK</stp>
        <stp>54400.T</stp>
        <stp>安値</stp>
        <tr r="I135" s="4"/>
        <tr r="I156" s="5"/>
        <tr r="C180" s="10"/>
      </tp>
      <tp>
        <v>1273.5</v>
        <stp/>
        <stp>Market</stp>
        <stp>STOCK</stp>
        <stp>50200.T</stp>
        <stp>安値</stp>
        <tr r="I141" s="5"/>
        <tr r="I147" s="4"/>
        <tr r="C29" s="10"/>
      </tp>
      <tp>
        <v>3170</v>
        <stp/>
        <stp>Market</stp>
        <stp>STOCK</stp>
        <stp>49800.T</stp>
        <stp>安値</stp>
        <tr r="C69" s="10"/>
        <tr r="I72" s="5"/>
        <tr r="I149" s="4"/>
      </tp>
      <tp>
        <v>3702</v>
        <stp/>
        <stp>Market</stp>
        <stp>STOCK</stp>
        <stp>45400.T</stp>
        <stp>安値</stp>
        <tr r="C64" s="10"/>
        <tr r="I124" s="5"/>
        <tr r="I157" s="4"/>
      </tp>
    </main>
    <main first="rtdsrv.e07a56084d7946cdb07ca2177ccd3d26">
      <tp>
        <v>2541.3458000000001</v>
        <stp/>
        <stp>Market</stp>
        <stp>STOCK</stp>
        <stp>83340.T</stp>
        <stp>出来高加重平均</stp>
        <tr r="I11" s="16"/>
      </tp>
      <tp>
        <v>4380.0628999999999</v>
        <stp/>
        <stp>Market</stp>
        <stp>STOCK</stp>
        <stp>84240.T</stp>
        <stp>出来高加重平均</stp>
        <tr r="I19" s="16"/>
      </tp>
      <tp>
        <v>1412.3661</v>
        <stp/>
        <stp>Market</stp>
        <stp>STOCK</stp>
        <stp>85930.T</stp>
        <stp>出来高加重平均</stp>
        <tr r="I26" s="16"/>
      </tp>
      <tp>
        <v>3229.8912999999998</v>
        <stp/>
        <stp>Market</stp>
        <stp>STOCK</stp>
        <stp>88710.T</stp>
        <stp>出来高加重平均</stp>
        <tr r="I43" s="16"/>
      </tp>
      <tp>
        <v>2312</v>
        <stp/>
        <stp>Market</stp>
        <stp>STOCK</stp>
        <stp>97330.T</stp>
        <stp>始値</stp>
        <tr r="F10" s="4"/>
        <tr r="C166" s="8"/>
        <tr r="F153" s="5"/>
      </tp>
      <tp>
        <v>1414.5</v>
        <stp/>
        <stp>Market</stp>
        <stp>STOCK</stp>
        <stp>85930.T</stp>
        <stp>始値</stp>
        <tr r="F42" s="4"/>
        <tr r="F171" s="5"/>
        <tr r="C39" s="8"/>
      </tp>
      <tp>
        <v>4030</v>
        <stp/>
        <stp>Market</stp>
        <stp>STOCK</stp>
        <stp>87930.T</stp>
        <stp>始値</stp>
        <tr r="C232" s="8"/>
      </tp>
      <tp>
        <v>891</v>
        <stp/>
        <stp>Market</stp>
        <stp>STOCK</stp>
        <stp>81030.T</stp>
        <stp>始値</stp>
        <tr r="F56" s="4"/>
        <tr r="C169" s="8"/>
        <tr r="F136" s="5"/>
      </tp>
      <tp>
        <v>1660</v>
        <stp/>
        <stp>Market</stp>
        <stp>STOCK</stp>
        <stp>80530.T</stp>
        <stp>始値</stp>
        <tr r="F49" s="5"/>
        <tr r="C25" s="8"/>
        <tr r="F59" s="4"/>
      </tp>
      <tp>
        <v>1449.5</v>
        <stp/>
        <stp>Market</stp>
        <stp>STOCK</stp>
        <stp>83030.T</stp>
        <stp>始値</stp>
        <tr r="C172" s="8"/>
        <tr r="F191" s="5"/>
        <tr r="F54" s="4"/>
      </tp>
      <tp>
        <v>2310</v>
        <stp/>
        <stp>Market</stp>
        <stp>STOCK</stp>
        <stp>19630.T</stp>
        <stp>始値</stp>
        <tr r="F197" s="4"/>
        <tr r="C86" s="8"/>
        <tr r="F40" s="5"/>
      </tp>
      <tp>
        <v>5750</v>
        <stp/>
        <stp>Market</stp>
        <stp>STOCK</stp>
        <stp>18330.T</stp>
        <stp>始値</stp>
        <tr r="F180" s="5"/>
        <tr r="C80" s="8"/>
        <tr r="F203" s="4"/>
      </tp>
      <tp>
        <v>1325</v>
        <stp/>
        <stp>Market</stp>
        <stp>STOCK</stp>
        <stp>38630.T</stp>
        <stp>始値</stp>
        <tr r="F178" s="4"/>
        <tr r="F21" s="5"/>
        <tr r="C32" s="8"/>
      </tp>
      <tp>
        <v>5724</v>
        <stp/>
        <stp>Market</stp>
        <stp>STOCK</stp>
        <stp>35630.T</stp>
        <stp>始値</stp>
        <tr r="C230" s="8"/>
      </tp>
      <tp>
        <v>914</v>
        <stp/>
        <stp>Market</stp>
        <stp>STOCK</stp>
        <stp>31030.T</stp>
        <stp>始値</stp>
        <tr r="F187" s="4"/>
        <tr r="C138" s="8"/>
        <tr r="F81" s="5"/>
      </tp>
      <tp>
        <v>1719</v>
        <stp/>
        <stp>Market</stp>
        <stp>STOCK</stp>
        <stp>30030.T</stp>
        <stp>始値</stp>
        <tr r="C88" s="8"/>
        <tr r="F143" s="5"/>
        <tr r="F188" s="4"/>
      </tp>
      <tp>
        <v>1094</v>
        <stp/>
        <stp>Market</stp>
        <stp>STOCK</stp>
        <stp>29330.T</stp>
        <stp>始値</stp>
        <tr r="C288" s="8"/>
      </tp>
      <tp>
        <v>4830</v>
        <stp/>
        <stp>Market</stp>
        <stp>STOCK</stp>
        <stp>58030.T</stp>
        <stp>始値</stp>
        <tr r="F125" s="4"/>
        <tr r="F58" s="5"/>
        <tr r="C103" s="8"/>
      </tp>
      <tp>
        <v>1697</v>
        <stp/>
        <stp>Market</stp>
        <stp>STOCK</stp>
        <stp>54230.T</stp>
        <stp>始値</stp>
        <tr r="F165" s="5"/>
        <tr r="F136" s="4"/>
        <tr r="C7" s="8"/>
      </tp>
      <tp>
        <v>2841</v>
        <stp/>
        <stp>Market</stp>
        <stp>STOCK</stp>
        <stp>57030.T</stp>
        <stp>始値</stp>
        <tr r="C13" s="8"/>
        <tr r="F132" s="4"/>
        <tr r="F48" s="5"/>
      </tp>
      <tp>
        <v>8358</v>
        <stp/>
        <stp>Market</stp>
        <stp>STOCK</stp>
        <stp>57130.T</stp>
        <stp>始値</stp>
        <tr r="F129" s="4"/>
        <tr r="C8" s="8"/>
        <tr r="F46" s="5"/>
      </tp>
      <tp>
        <v>5796</v>
        <stp/>
        <stp>Market</stp>
        <stp>STOCK</stp>
        <stp>53330.T</stp>
        <stp>始値</stp>
        <tr r="F37" s="5"/>
        <tr r="C17" s="8"/>
        <tr r="F141" s="4"/>
      </tp>
      <tp>
        <v>4058</v>
        <stp/>
        <stp>Market</stp>
        <stp>STOCK</stp>
        <stp>52330.T</stp>
        <stp>始値</stp>
        <tr r="F144" s="4"/>
        <tr r="C34" s="8"/>
        <tr r="F170" s="5"/>
      </tp>
      <tp>
        <v>2182</v>
        <stp/>
        <stp>Market</stp>
        <stp>STOCK</stp>
        <stp>52430.T</stp>
        <stp>始値</stp>
        <tr r="C193" s="8"/>
        <tr r="F138" s="5"/>
        <tr r="F143" s="4"/>
      </tp>
      <tp>
        <v>1478</v>
        <stp/>
        <stp>Market</stp>
        <stp>STOCK</stp>
        <stp>52530.T</stp>
        <stp>始値</stp>
        <tr r="C258" s="8"/>
      </tp>
      <tp>
        <v>4590</v>
        <stp/>
        <stp>Market</stp>
        <stp>STOCK</stp>
        <stp>45230.T</stp>
        <stp>始値</stp>
        <tr r="C99" s="8"/>
        <tr r="F184" s="5"/>
        <tr r="F160" s="4"/>
      </tp>
      <tp>
        <v>7781</v>
        <stp/>
        <stp>Market</stp>
        <stp>STOCK</stp>
        <stp>47330.T</stp>
        <stp>始値</stp>
        <tr r="F133" s="5"/>
        <tr r="C165" s="8"/>
        <tr r="F153" s="4"/>
      </tp>
      <tp>
        <v>6004</v>
        <stp/>
        <stp>Market</stp>
        <stp>STOCK</stp>
        <stp>40630.T</stp>
        <stp>始値</stp>
        <tr r="F14" s="5"/>
        <tr r="F172" s="4"/>
        <tr r="C66" s="8"/>
      </tp>
      <tp>
        <v>1100</v>
        <stp/>
        <stp>Market</stp>
        <stp>STOCK</stp>
        <stp>43730.T</stp>
        <stp>始値</stp>
        <tr r="F82" s="5"/>
        <tr r="F165" s="4"/>
        <tr r="C160" s="8"/>
      </tp>
      <tp>
        <v>2949</v>
        <stp/>
        <stp>Market</stp>
        <stp>STOCK</stp>
        <stp>70130.T</stp>
        <stp>始値</stp>
        <tr r="C231" s="8"/>
      </tp>
      <tp>
        <v>2903</v>
        <stp/>
        <stp>Market</stp>
        <stp>STOCK</stp>
        <stp>72030.T</stp>
        <stp>始値</stp>
        <tr r="F73" s="4"/>
        <tr r="F73" s="5"/>
        <tr r="C77" s="8"/>
      </tp>
      <tp>
        <v>5748</v>
        <stp/>
        <stp>Market</stp>
        <stp>STOCK</stp>
        <stp>65030.T</stp>
        <stp>始値</stp>
        <tr r="C68" s="8"/>
        <tr r="F99" s="4"/>
        <tr r="F39" s="5"/>
      </tp>
      <tp>
        <v>617</v>
        <stp/>
        <stp>Market</stp>
        <stp>STOCK</stp>
        <stp>67530.T</stp>
        <stp>始値</stp>
        <tr r="C188" s="8"/>
        <tr r="F90" s="4"/>
        <tr r="F162" s="5"/>
      </tp>
      <tp>
        <v>1820</v>
        <stp/>
        <stp>Market</stp>
        <stp>STOCK</stp>
        <stp>66130.T</stp>
        <stp>始値</stp>
        <tr r="F94" s="4"/>
        <tr r="F3" s="5"/>
        <tr r="C141" s="8"/>
      </tp>
      <tp>
        <v>4400</v>
        <stp/>
        <stp>Market</stp>
        <stp>STOCK</stp>
        <stp>63230.T</stp>
        <stp>始値</stp>
        <tr r="F106" s="4"/>
        <tr r="F41" s="5"/>
        <tr r="C90" s="8"/>
      </tp>
      <tp>
        <v>1405</v>
        <stp/>
        <stp>Market</stp>
        <stp>STOCK</stp>
        <stp>62030.T</stp>
        <stp>始値</stp>
        <tr r="F111" s="4"/>
        <tr r="F50" s="5"/>
        <tr r="C57" s="8"/>
      </tp>
      <tp>
        <v>75160</v>
        <stp/>
        <stp>Market</stp>
        <stp>STOCK</stp>
        <stp>62730.T</stp>
        <stp>始値</stp>
        <tr r="C211" s="8"/>
      </tp>
    </main>
    <main first="rtdsrv.e07a56084d7946cdb07ca2177ccd3d26">
      <tp>
        <v>518.79999999999995</v>
        <stp/>
        <stp>Market</stp>
        <stp>STOCK</stp>
        <stp>95010.T</stp>
        <stp>安値</stp>
        <tr r="I105" s="5"/>
        <tr r="I18" s="4"/>
        <tr r="C114" s="10"/>
      </tp>
      <tp>
        <v>5901</v>
        <stp/>
        <stp>Market</stp>
        <stp>STOCK</stp>
        <stp>95310.T</stp>
        <stp>安値</stp>
        <tr r="I15" s="4"/>
        <tr r="C115" s="10"/>
        <tr r="I203" s="5"/>
      </tp>
      <tp>
        <v>3235</v>
        <stp/>
        <stp>Market</stp>
        <stp>STOCK</stp>
        <stp>95510.T</stp>
        <stp>安値</stp>
        <tr r="I134" s="5"/>
        <tr r="C167" s="10"/>
        <tr r="I12" s="4"/>
      </tp>
      <tp>
        <v>5758</v>
        <stp/>
        <stp>Market</stp>
        <stp>STOCK</stp>
        <stp>91010.T</stp>
        <stp>安値</stp>
        <tr r="I27" s="4"/>
        <tr r="I164" s="5"/>
        <tr r="C206" s="10"/>
      </tp>
      <tp>
        <v>1473.5</v>
        <stp/>
        <stp>Market</stp>
        <stp>STOCK</stp>
        <stp>88010.T</stp>
        <stp>安値</stp>
        <tr r="I129" s="5"/>
        <tr r="I33" s="4"/>
        <tr r="C124" s="10"/>
      </tp>
      <tp>
        <v>3210</v>
        <stp/>
        <stp>Market</stp>
        <stp>STOCK</stp>
        <stp>88710.T</stp>
        <stp>安値</stp>
        <tr r="C278" s="10"/>
      </tp>
      <tp>
        <v>6384</v>
        <stp/>
        <stp>Market</stp>
        <stp>STOCK</stp>
        <stp>85910.T</stp>
        <stp>安値</stp>
        <tr r="I67" s="5"/>
        <tr r="I43" s="4"/>
        <tr r="C26" s="10"/>
      </tp>
      <tp>
        <v>8137</v>
        <stp/>
        <stp>Market</stp>
        <stp>STOCK</stp>
        <stp>84110.T</stp>
        <stp>安値</stp>
        <tr r="I47" s="4"/>
        <tr r="I66" s="5"/>
        <tr r="C19" s="10"/>
      </tp>
      <tp>
        <v>1782</v>
        <stp/>
        <stp>Market</stp>
        <stp>STOCK</stp>
        <stp>86010.T</stp>
        <stp>安値</stp>
        <tr r="I41" s="4"/>
        <tr r="I198" s="5"/>
        <tr r="C33" s="10"/>
      </tp>
      <tp>
        <v>1564</v>
        <stp/>
        <stp>Market</stp>
        <stp>STOCK</stp>
        <stp>81410.T</stp>
        <stp>安値</stp>
        <tr r="C292" s="10"/>
      </tp>
      <tp>
        <v>2339</v>
        <stp/>
        <stp>Market</stp>
        <stp>STOCK</stp>
        <stp>80910.T</stp>
        <stp>安値</stp>
        <tr r="I158" s="5"/>
        <tr r="C182" s="10"/>
        <tr r="I57" s="4"/>
      </tp>
      <tp>
        <v>1067</v>
        <stp/>
        <stp>Market</stp>
        <stp>STOCK</stp>
        <stp>82810.T</stp>
        <stp>安値</stp>
        <tr r="I179" s="5"/>
        <tr r="I55" s="4"/>
        <tr r="C63" s="10"/>
      </tp>
      <tp>
        <v>1492</v>
        <stp/>
        <stp>Market</stp>
        <stp>STOCK</stp>
        <stp>39410.T</stp>
        <stp>安値</stp>
        <tr r="C48" s="10"/>
        <tr r="I176" s="4"/>
        <tr r="I142" s="5"/>
      </tp>
      <tp>
        <v>842.5</v>
        <stp/>
        <stp>Market</stp>
        <stp>STOCK</stp>
        <stp>38610.T</stp>
        <stp>安値</stp>
        <tr r="I179" s="4"/>
        <tr r="I123" s="5"/>
        <tr r="C41" s="10"/>
      </tp>
      <tp>
        <v>7140</v>
        <stp/>
        <stp>Market</stp>
        <stp>STOCK</stp>
        <stp>38910.T</stp>
        <stp>安値</stp>
        <tr r="I177" s="4"/>
        <tr r="C159" s="10"/>
        <tr r="I43" s="5"/>
      </tp>
      <tp>
        <v>1612</v>
        <stp/>
        <stp>Market</stp>
        <stp>STOCK</stp>
        <stp>34010.T</stp>
        <stp>安値</stp>
        <tr r="I184" s="4"/>
        <tr r="C27" s="10"/>
        <tr r="I169" s="5"/>
      </tp>
      <tp>
        <v>2282</v>
        <stp/>
        <stp>Market</stp>
        <stp>STOCK</stp>
        <stp>19610.T</stp>
        <stp>安値</stp>
        <tr r="C59" s="10"/>
        <tr r="I51" s="5"/>
        <tr r="I198" s="4"/>
      </tp>
      <tp>
        <v>67730</v>
        <stp/>
        <stp>Market</stp>
        <stp>STOCK</stp>
        <stp>13210.T</stp>
        <stp>安値</stp>
        <tr r="C303" s="10"/>
      </tp>
      <tp>
        <v>2980</v>
        <stp/>
        <stp>Market</stp>
        <stp>STOCK</stp>
        <stp>79810.T</stp>
        <stp>安値</stp>
        <tr r="I63" s="4"/>
        <tr r="C171" s="10"/>
        <tr r="I116" s="5"/>
      </tp>
      <tp>
        <v>4500</v>
        <stp/>
        <stp>Market</stp>
        <stp>STOCK</stp>
        <stp>77110.T</stp>
        <stp>安値</stp>
        <tr r="C268" s="10"/>
      </tp>
      <tp>
        <v>25500</v>
        <stp/>
        <stp>Market</stp>
        <stp>STOCK</stp>
        <stp>77410.T</stp>
        <stp>安値</stp>
        <tr r="C302" s="10"/>
      </tp>
      <tp>
        <v>1696.5</v>
        <stp/>
        <stp>Market</stp>
        <stp>STOCK</stp>
        <stp>71810.T</stp>
        <stp>安値</stp>
        <tr r="I119" s="5"/>
        <tr r="I5" s="4"/>
        <tr r="C190" s="10"/>
      </tp>
      <tp>
        <v>3887</v>
        <stp/>
        <stp>Market</stp>
        <stp>STOCK</stp>
        <stp>70110.T</stp>
        <stp>安値</stp>
        <tr r="I77" s="4"/>
        <tr r="C207" s="10"/>
        <tr r="I197" s="5"/>
      </tp>
      <tp>
        <v>2050</v>
        <stp/>
        <stp>Market</stp>
        <stp>STOCK</stp>
        <stp>70210.T</stp>
        <stp>安値</stp>
        <tr r="I76" s="4"/>
        <tr r="C106" s="10"/>
        <tr r="I76" s="5"/>
      </tp>
      <tp>
        <v>1138</v>
        <stp/>
        <stp>Market</stp>
        <stp>STOCK</stp>
        <stp>73810.T</stp>
        <stp>安値</stp>
        <tr r="I63" s="5"/>
        <tr r="I70" s="4"/>
        <tr r="C152" s="10"/>
      </tp>
      <tp>
        <v>7305</v>
        <stp/>
        <stp>Market</stp>
        <stp>STOCK</stp>
        <stp>69810.T</stp>
        <stp>安値</stp>
        <tr r="I78" s="4"/>
        <tr r="I30" s="5"/>
        <tr r="C154" s="10"/>
      </tp>
      <tp>
        <v>5253</v>
        <stp/>
        <stp>Market</stp>
        <stp>STOCK</stp>
        <stp>68410.T</stp>
        <stp>安値</stp>
        <tr r="I100" s="5"/>
        <tr r="I84" s="4"/>
        <tr r="C81" s="10"/>
      </tp>
      <tp>
        <v>83630</v>
        <stp/>
        <stp>Market</stp>
        <stp>STOCK</stp>
        <stp>68610.T</stp>
        <stp>安値</stp>
        <tr r="C209" s="10"/>
      </tp>
      <tp>
        <v>5314</v>
        <stp/>
        <stp>Market</stp>
        <stp>STOCK</stp>
        <stp>65010.T</stp>
        <stp>安値</stp>
        <tr r="I100" s="4"/>
        <tr r="I126" s="5"/>
        <tr r="C91" s="10"/>
      </tp>
      <tp>
        <v>3115</v>
        <stp/>
        <stp>Market</stp>
        <stp>STOCK</stp>
        <stp>65210.T</stp>
        <stp>安値</stp>
        <tr r="C242" s="10"/>
      </tp>
      <tp>
        <v>4635</v>
        <stp/>
        <stp>Market</stp>
        <stp>STOCK</stp>
        <stp>67010.T</stp>
        <stp>安値</stp>
        <tr r="I93" s="4"/>
        <tr r="C11" s="10"/>
        <tr r="I139" s="5"/>
      </tp>
      <tp>
        <v>3180</v>
        <stp/>
        <stp>Market</stp>
        <stp>STOCK</stp>
        <stp>63310.T</stp>
        <stp>安値</stp>
        <tr r="C301" s="10"/>
      </tp>
      <tp>
        <v>5867</v>
        <stp/>
        <stp>Market</stp>
        <stp>STOCK</stp>
        <stp>63610.T</stp>
        <stp>安値</stp>
        <tr r="C249" s="10"/>
      </tp>
      <tp>
        <v>3990</v>
        <stp/>
        <stp>Market</stp>
        <stp>STOCK</stp>
        <stp>59010.T</stp>
        <stp>安値</stp>
        <tr r="C55" s="10"/>
        <tr r="I120" s="4"/>
        <tr r="I71" s="5"/>
      </tp>
      <tp>
        <v>3781</v>
        <stp/>
        <stp>Market</stp>
        <stp>STOCK</stp>
        <stp>58010.T</stp>
        <stp>安値</stp>
        <tr r="C200" s="10"/>
        <tr r="I127" s="4"/>
        <tr r="I45" s="5"/>
      </tp>
      <tp>
        <v>2485</v>
        <stp/>
        <stp>Market</stp>
        <stp>STOCK</stp>
        <stp>55410.T</stp>
        <stp>安値</stp>
        <tr r="I133" s="4"/>
        <tr r="I90" s="5"/>
        <tr r="C20" s="10"/>
      </tp>
      <tp>
        <v>655.9</v>
        <stp/>
        <stp>Market</stp>
        <stp>STOCK</stp>
        <stp>54010.T</stp>
        <stp>安値</stp>
        <tr r="C46" s="10"/>
        <tr r="I140" s="4"/>
        <tr r="I173" s="5"/>
      </tp>
      <tp>
        <v>1758</v>
        <stp/>
        <stp>Market</stp>
        <stp>STOCK</stp>
        <stp>54110.T</stp>
        <stp>安値</stp>
        <tr r="I7" s="5"/>
        <tr r="I137" s="4"/>
        <tr r="C84" s="10"/>
      </tp>
      <tp>
        <v>4230</v>
        <stp/>
        <stp>Market</stp>
        <stp>STOCK</stp>
        <stp>57110.T</stp>
        <stp>安値</stp>
        <tr r="I130" s="4"/>
        <tr r="C9" s="10"/>
        <tr r="I87" s="5"/>
      </tp>
      <tp>
        <v>7551</v>
        <stp/>
        <stp>Market</stp>
        <stp>STOCK</stp>
        <stp>56310.T</stp>
        <stp>安値</stp>
        <tr r="C263" s="10"/>
      </tp>
      <tp>
        <v>3755</v>
        <stp/>
        <stp>Market</stp>
        <stp>STOCK</stp>
        <stp>50210.T</stp>
        <stp>安値</stp>
        <tr r="I88" s="5"/>
        <tr r="I146" s="4"/>
        <tr r="C15" s="10"/>
      </tp>
      <tp>
        <v>5611</v>
        <stp/>
        <stp>Market</stp>
        <stp>STOCK</stp>
        <stp>52010.T</stp>
        <stp>安値</stp>
        <tr r="C53" s="10"/>
        <tr r="I145" s="4"/>
        <tr r="I175" s="5"/>
      </tp>
      <tp>
        <v>2847</v>
        <stp/>
        <stp>Market</stp>
        <stp>STOCK</stp>
        <stp>46610.T</stp>
        <stp>安値</stp>
        <tr r="I156" s="4"/>
        <tr r="I103" s="5"/>
        <tr r="C101" s="10"/>
      </tp>
      <tp>
        <v>5800</v>
        <stp/>
        <stp>Market</stp>
        <stp>STOCK</stp>
        <stp>40910.T</stp>
        <stp>安値</stp>
        <tr r="I169" s="4"/>
        <tr r="C157" s="10"/>
        <tr r="I152" s="5"/>
      </tp>
    </main>
    <main first="rtdsrv.e07a56084d7946cdb07ca2177ccd3d26">
      <tp>
        <v>5773.9458000000004</v>
        <stp/>
        <stp>Market</stp>
        <stp>STOCK</stp>
        <stp>99840.T</stp>
        <stp>出来高加重平均</stp>
        <tr r="I13" s="16"/>
      </tp>
      <tp>
        <v>3715</v>
        <stp/>
        <stp>Market</stp>
        <stp>STOCK</stp>
        <stp>98800.T</stp>
        <stp>始値</stp>
        <tr r="C257" s="8"/>
      </tp>
      <tp>
        <v>3412</v>
        <stp/>
        <stp>Market</stp>
        <stp>STOCK</stp>
        <stp>90200.T</stp>
        <stp>始値</stp>
        <tr r="F30" s="4"/>
        <tr r="C109" s="8"/>
        <tr r="F104" s="5"/>
      </tp>
      <tp>
        <v>1541.5</v>
        <stp/>
        <stp>Market</stp>
        <stp>STOCK</stp>
        <stp>85700.T</stp>
        <stp>始値</stp>
        <tr r="C37" s="8"/>
        <tr r="F45" s="4"/>
        <tr r="F94" s="5"/>
      </tp>
      <tp>
        <v>1891.5</v>
        <stp/>
        <stp>Market</stp>
        <stp>STOCK</stp>
        <stp>87500.T</stp>
        <stp>始値</stp>
        <tr r="C43" s="8"/>
        <tr r="F200" s="5"/>
        <tr r="F36" s="4"/>
      </tp>
      <tp>
        <v>6863</v>
        <stp/>
        <stp>Market</stp>
        <stp>STOCK</stp>
        <stp>86300.T</stp>
        <stp>始値</stp>
        <tr r="C54" s="8"/>
        <tr r="F39" s="4"/>
        <tr r="F176" s="5"/>
      </tp>
      <tp>
        <v>1493</v>
        <stp/>
        <stp>Market</stp>
        <stp>STOCK</stp>
        <stp>19300.T</stp>
        <stp>始値</stp>
        <tr r="F201" s="4"/>
        <tr r="C163" s="8"/>
        <tr r="F83" s="5"/>
      </tp>
      <tp>
        <v>68680</v>
        <stp/>
        <stp>Market</stp>
        <stp>STOCK</stp>
        <stp>15700.T</stp>
        <stp>始値</stp>
        <tr r="C222" s="8"/>
      </tp>
      <tp>
        <v>3350</v>
        <stp/>
        <stp>Market</stp>
        <stp>STOCK</stp>
        <stp>31100.T</stp>
        <stp>始値</stp>
        <tr r="F109" s="5"/>
        <tr r="F185" s="4"/>
        <tr r="C134" s="8"/>
      </tp>
      <tp>
        <v>2532</v>
        <stp/>
        <stp>Market</stp>
        <stp>STOCK</stp>
        <stp>21600.T</stp>
        <stp>始値</stp>
        <tr r="F195" s="4"/>
        <tr r="C131" s="8"/>
        <tr r="F187" s="5"/>
      </tp>
      <tp>
        <v>2828</v>
        <stp/>
        <stp>Market</stp>
        <stp>STOCK</stp>
        <stp>54100.T</stp>
        <stp>始値</stp>
        <tr r="F138" s="4"/>
        <tr r="F118" s="5"/>
        <tr r="C179" s="8"/>
      </tp>
      <tp>
        <v>1866</v>
        <stp/>
        <stp>Market</stp>
        <stp>STOCK</stp>
        <stp>54400.T</stp>
        <stp>始値</stp>
        <tr r="F135" s="4"/>
        <tr r="C180" s="8"/>
        <tr r="F156" s="5"/>
      </tp>
      <tp>
        <v>1279</v>
        <stp/>
        <stp>Market</stp>
        <stp>STOCK</stp>
        <stp>50200.T</stp>
        <stp>始値</stp>
        <tr r="F147" s="4"/>
        <tr r="F141" s="5"/>
        <tr r="C29" s="8"/>
      </tp>
      <tp>
        <v>3271</v>
        <stp/>
        <stp>Market</stp>
        <stp>STOCK</stp>
        <stp>49800.T</stp>
        <stp>始値</stp>
        <tr r="F72" s="5"/>
        <tr r="F149" s="4"/>
        <tr r="C69" s="8"/>
      </tp>
      <tp>
        <v>3754</v>
        <stp/>
        <stp>Market</stp>
        <stp>STOCK</stp>
        <stp>45400.T</stp>
        <stp>始値</stp>
        <tr r="F157" s="4"/>
        <tr r="F124" s="5"/>
        <tr r="C64" s="8"/>
      </tp>
      <tp>
        <v>2600</v>
        <stp/>
        <stp>Market</stp>
        <stp>STOCK</stp>
        <stp>72700.T</stp>
        <stp>始値</stp>
        <tr r="C286" s="8"/>
      </tp>
      <tp>
        <v>45140</v>
        <stp/>
        <stp>Market</stp>
        <stp>STOCK</stp>
        <stp>69200.T</stp>
        <stp>始値</stp>
        <tr r="F81" s="4"/>
        <tr r="C199" s="8"/>
        <tr r="F84" s="5"/>
      </tp>
      <tp>
        <v>8980</v>
        <stp/>
        <stp>Market</stp>
        <stp>STOCK</stp>
        <stp>68900.T</stp>
        <stp>始値</stp>
        <tr r="F33" s="5"/>
        <tr r="F82" s="4"/>
        <tr r="C195" s="8"/>
      </tp>
      <tp>
        <v>46</v>
        <stp/>
        <stp>Market</stp>
        <stp>STOCK</stp>
        <stp>67400.T</stp>
        <stp>始値</stp>
        <tr r="F92" s="4"/>
        <tr r="F189" s="5"/>
        <tr r="C140" s="8"/>
      </tp>
      <tp>
        <v>1149</v>
        <stp/>
        <stp>Market</stp>
        <stp>STOCK</stp>
        <stp>61400.T</stp>
        <stp>始値</stp>
        <tr r="C261" s="8"/>
      </tp>
      <tp>
        <v>2025</v>
        <stp/>
        <stp>Market</stp>
        <stp>STOCK</stp>
        <stp>63300.T</stp>
        <stp>始値</stp>
        <tr r="F186" s="5"/>
        <tr r="F104" s="4"/>
        <tr r="C128" s="8"/>
      </tp>
      <tp>
        <v>9100</v>
        <stp/>
        <stp>Market</stp>
        <stp>STOCK</stp>
        <stp>63700.T</stp>
        <stp>始値</stp>
        <tr r="C255" s="8"/>
      </tp>
    </main>
    <main first="rtdsrv.e07a56084d7946cdb07ca2177ccd3d26">
      <tp>
        <v>3761</v>
        <stp/>
        <stp>Market</stp>
        <stp>STOCK</stp>
        <stp>99620.T</stp>
        <stp>安値</stp>
        <tr r="C233" s="10"/>
      </tp>
      <tp>
        <v>1707</v>
        <stp/>
        <stp>Market</stp>
        <stp>STOCK</stp>
        <stp>98820.T</stp>
        <stp>安値</stp>
        <tr r="I128" s="5"/>
        <tr r="I9" s="4"/>
        <tr r="C116" s="10"/>
      </tp>
      <tp>
        <v>5266</v>
        <stp/>
        <stp>Market</stp>
        <stp>STOCK</stp>
        <stp>95320.T</stp>
        <stp>安値</stp>
        <tr r="I14" s="4"/>
        <tr r="I79" s="5"/>
        <tr r="C127" s="10"/>
      </tp>
      <tp>
        <v>2235</v>
        <stp/>
        <stp>Market</stp>
        <stp>STOCK</stp>
        <stp>94120.T</stp>
        <stp>安値</stp>
        <tr r="I22" s="4"/>
        <tr r="C56" s="10"/>
        <tr r="I22" s="5"/>
      </tp>
      <tp>
        <v>3764</v>
        <stp/>
        <stp>Market</stp>
        <stp>STOCK</stp>
        <stp>90220.T</stp>
        <stp>安値</stp>
        <tr r="I159" s="5"/>
        <tr r="I29" s="4"/>
        <tr r="C184" s="10"/>
      </tp>
      <tp>
        <v>3103</v>
        <stp/>
        <stp>Market</stp>
        <stp>STOCK</stp>
        <stp>92020.T</stp>
        <stp>安値</stp>
        <tr r="I26" s="4"/>
        <tr r="C74" s="10"/>
        <tr r="I99" s="5"/>
      </tp>
      <tp>
        <v>1066</v>
        <stp/>
        <stp>Market</stp>
        <stp>STOCK</stp>
        <stp>88920.T</stp>
        <stp>安値</stp>
        <tr r="I32" s="4"/>
        <tr r="C161" s="10"/>
        <tr r="I114" s="5"/>
      </tp>
      <tp>
        <v>473</v>
        <stp/>
        <stp>Market</stp>
        <stp>STOCK</stp>
        <stp>85720.T</stp>
        <stp>安値</stp>
        <tr r="I38" s="5"/>
        <tr r="I44" s="4"/>
        <tr r="C47" s="10"/>
      </tp>
      <tp>
        <v>4788</v>
        <stp/>
        <stp>Market</stp>
        <stp>STOCK</stp>
        <stp>80020.T</stp>
        <stp>安値</stp>
        <tr r="I167" s="5"/>
        <tr r="C14" s="10"/>
        <tr r="I62" s="4"/>
      </tp>
      <tp>
        <v>1150.5</v>
        <stp/>
        <stp>Market</stp>
        <stp>STOCK</stp>
        <stp>34020.T</stp>
        <stp>安値</stp>
        <tr r="I183" s="4"/>
        <tr r="I172" s="5"/>
        <tr r="C44" s="10"/>
      </tp>
      <tp>
        <v>4010</v>
        <stp/>
        <stp>Market</stp>
        <stp>STOCK</stp>
        <stp>30020.T</stp>
        <stp>安値</stp>
        <tr r="C277" s="10"/>
      </tp>
      <tp>
        <v>5127</v>
        <stp/>
        <stp>Market</stp>
        <stp>STOCK</stp>
        <stp>28020.T</stp>
        <stp>安値</stp>
        <tr r="I190" s="4"/>
        <tr r="C76" s="10"/>
        <tr r="I23" s="5"/>
      </tp>
      <tp>
        <v>8000</v>
        <stp/>
        <stp>Market</stp>
        <stp>STOCK</stp>
        <stp>27020.T</stp>
        <stp>安値</stp>
        <tr r="I192" s="4"/>
        <tr r="C194" s="10"/>
        <tr r="I196" s="5"/>
      </tp>
      <tp>
        <v>5496</v>
        <stp/>
        <stp>Market</stp>
        <stp>STOCK</stp>
        <stp>19420.T</stp>
        <stp>安値</stp>
        <tr r="C175" s="10"/>
        <tr r="I32" s="5"/>
        <tr r="I199" s="4"/>
      </tp>
      <tp>
        <v>5102</v>
        <stp/>
        <stp>Market</stp>
        <stp>STOCK</stp>
        <stp>18120.T</stp>
        <stp>安値</stp>
        <tr r="C208" s="10"/>
        <tr r="I121" s="5"/>
        <tr r="I204" s="4"/>
      </tp>
      <tp>
        <v>1673</v>
        <stp/>
        <stp>Market</stp>
        <stp>STOCK</stp>
        <stp>16620.T</stp>
        <stp>安値</stp>
        <tr r="I122" s="5"/>
        <tr r="C18" s="10"/>
        <tr r="I205" s="4"/>
      </tp>
      <tp>
        <v>3565</v>
        <stp/>
        <stp>Market</stp>
        <stp>STOCK</stp>
        <stp>79520.T</stp>
        <stp>安値</stp>
        <tr r="C276" s="10"/>
      </tp>
      <tp>
        <v>2877</v>
        <stp/>
        <stp>Market</stp>
        <stp>STOCK</stp>
        <stp>79720.T</stp>
        <stp>安値</stp>
        <tr r="C241" s="10"/>
      </tp>
      <tp>
        <v>874.7</v>
        <stp/>
        <stp>Market</stp>
        <stp>STOCK</stp>
        <stp>75320.T</stp>
        <stp>安値</stp>
        <tr r="C305" s="10"/>
      </tp>
      <tp>
        <v>3081</v>
        <stp/>
        <stp>Market</stp>
        <stp>STOCK</stp>
        <stp>71820.T</stp>
        <stp>安値</stp>
        <tr r="I74" s="4"/>
        <tr r="C85" s="10"/>
        <tr r="I102" s="5"/>
      </tp>
      <tp>
        <v>1892</v>
        <stp/>
        <stp>Market</stp>
        <stp>STOCK</stp>
        <stp>69020.T</stp>
        <stp>安値</stp>
        <tr r="C244" s="10"/>
      </tp>
      <tp>
        <v>2233</v>
        <stp/>
        <stp>Market</stp>
        <stp>STOCK</stp>
        <stp>68620.T</stp>
        <stp>安値</stp>
        <tr r="C225" s="10"/>
      </tp>
      <tp>
        <v>1653</v>
        <stp/>
        <stp>Market</stp>
        <stp>STOCK</stp>
        <stp>65220.T</stp>
        <stp>安値</stp>
        <tr r="I111" s="5"/>
        <tr r="I95" s="4"/>
        <tr r="C143" s="10"/>
      </tp>
      <tp>
        <v>677</v>
        <stp/>
        <stp>Market</stp>
        <stp>STOCK</stp>
        <stp>64820.T</stp>
        <stp>安値</stp>
        <tr r="C290" s="10"/>
      </tp>
      <tp>
        <v>4385</v>
        <stp/>
        <stp>Market</stp>
        <stp>STOCK</stp>
        <stp>67520.T</stp>
        <stp>安値</stp>
        <tr r="C215" s="10"/>
      </tp>
      <tp>
        <v>3089</v>
        <stp/>
        <stp>Market</stp>
        <stp>STOCK</stp>
        <stp>67620.T</stp>
        <stp>安値</stp>
        <tr r="C234" s="10"/>
      </tp>
      <tp>
        <v>14470</v>
        <stp/>
        <stp>Market</stp>
        <stp>STOCK</stp>
        <stp>66220.T</stp>
        <stp>安値</stp>
        <tr r="C216" s="10"/>
      </tp>
      <tp>
        <v>1731</v>
        <stp/>
        <stp>Market</stp>
        <stp>STOCK</stp>
        <stp>62320.T</stp>
        <stp>安値</stp>
        <tr r="I28" s="5"/>
        <tr r="I109" s="4"/>
        <tr r="C135" s="10"/>
      </tp>
      <tp>
        <v>2294</v>
        <stp/>
        <stp>Market</stp>
        <stp>STOCK</stp>
        <stp>58020.T</stp>
        <stp>安値</stp>
        <tr r="I57" s="5"/>
        <tr r="I126" s="4"/>
        <tr r="C102" s="10"/>
      </tp>
      <tp>
        <v>2120</v>
        <stp/>
        <stp>Market</stp>
        <stp>STOCK</stp>
        <stp>58920.T</stp>
        <stp>安値</stp>
        <tr r="I74" s="5"/>
        <tr r="C89" s="10"/>
        <tr r="I121" s="4"/>
      </tp>
      <tp>
        <v>1547</v>
        <stp/>
        <stp>Market</stp>
        <stp>STOCK</stp>
        <stp>57020.T</stp>
        <stp>安値</stp>
        <tr r="C275" s="10"/>
      </tp>
      <tp>
        <v>2203</v>
        <stp/>
        <stp>Market</stp>
        <stp>STOCK</stp>
        <stp>56320.T</stp>
        <stp>安値</stp>
        <tr r="C247" s="10"/>
      </tp>
      <tp>
        <v>6344</v>
        <stp/>
        <stp>Market</stp>
        <stp>STOCK</stp>
        <stp>53320.T</stp>
        <stp>安値</stp>
        <tr r="I12" s="5"/>
        <tr r="C21" s="10"/>
        <tr r="I142" s="4"/>
      </tp>
      <tp>
        <v>5225</v>
        <stp/>
        <stp>Market</stp>
        <stp>STOCK</stp>
        <stp>45020.T</stp>
        <stp>安値</stp>
        <tr r="C212" s="10"/>
      </tp>
      <tp>
        <v>542</v>
        <stp/>
        <stp>Market</stp>
        <stp>STOCK</stp>
        <stp>44220.T</stp>
        <stp>安値</stp>
        <tr r="I162" s="4"/>
        <tr r="C139" s="10"/>
        <tr r="I188" s="5"/>
      </tp>
      <tp>
        <v>4539</v>
        <stp/>
        <stp>Market</stp>
        <stp>STOCK</stp>
        <stp>41820.T</stp>
        <stp>安値</stp>
        <tr r="I168" s="4"/>
        <tr r="I75" s="5"/>
        <tr r="C97" s="10"/>
      </tp>
      <tp>
        <v>19155</v>
        <stp/>
        <stp>Market</stp>
        <stp>STOCK</stp>
        <stp>40620.T</stp>
        <stp>安値</stp>
        <tr r="I56" s="5"/>
        <tr r="I173" s="4"/>
        <tr r="C96" s="10"/>
      </tp>
      <tp>
        <v>1853</v>
        <stp/>
        <stp>Market</stp>
        <stp>STOCK</stp>
        <stp>40820.T</stp>
        <stp>安値</stp>
        <tr r="I171" s="4"/>
        <tr r="I9" s="5"/>
        <tr r="C129" s="10"/>
      </tp>
      <tp>
        <v>706</v>
        <stp/>
        <stp>Market</stp>
        <stp>STOCK</stp>
        <stp>43820.T</stp>
        <stp>安値</stp>
        <tr r="C173" s="10"/>
        <tr r="I164" s="4"/>
        <tr r="I192" s="5"/>
      </tp>
      <tp>
        <v>901</v>
        <stp/>
        <stp>Market</stp>
        <stp>STOCK</stp>
        <stp>43920.T</stp>
        <stp>安値</stp>
        <tr r="C235" s="10"/>
      </tp>
      <tp>
        <v>582</v>
        <stp/>
        <stp>Market</stp>
        <stp>STOCK</stp>
        <stp>42220.T</stp>
        <stp>安値</stp>
        <tr r="C229" s="10"/>
      </tp>
    </main>
    <main first="rtdsrv.e07a56084d7946cdb07ca2177ccd3d26">
      <tp>
        <v>3985.63</v>
        <stp/>
        <stp>Market</stp>
        <stp>INDEX</stp>
        <stp>TOPX</stp>
        <stp>始値</stp>
        <tr r="C5" s="8"/>
      </tp>
      <tp>
        <v>527.79999999999995</v>
        <stp/>
        <stp>Market</stp>
        <stp>STOCK</stp>
        <stp>95010.T</stp>
        <stp>始値</stp>
        <tr r="F18" s="4"/>
        <tr r="F105" s="5"/>
        <tr r="C114" s="8"/>
      </tp>
      <tp>
        <v>6059</v>
        <stp/>
        <stp>Market</stp>
        <stp>STOCK</stp>
        <stp>95310.T</stp>
        <stp>始値</stp>
        <tr r="F15" s="4"/>
        <tr r="F203" s="5"/>
        <tr r="C115" s="8"/>
      </tp>
      <tp>
        <v>3235</v>
        <stp/>
        <stp>Market</stp>
        <stp>STOCK</stp>
        <stp>95510.T</stp>
        <stp>始値</stp>
        <tr r="F12" s="4"/>
        <tr r="F134" s="5"/>
        <tr r="C167" s="8"/>
      </tp>
      <tp>
        <v>5994</v>
        <stp/>
        <stp>Market</stp>
        <stp>STOCK</stp>
        <stp>91010.T</stp>
        <stp>始値</stp>
        <tr r="F27" s="4"/>
        <tr r="F164" s="5"/>
        <tr r="C206" s="8"/>
      </tp>
      <tp>
        <v>1479.5</v>
        <stp/>
        <stp>Market</stp>
        <stp>STOCK</stp>
        <stp>88010.T</stp>
        <stp>始値</stp>
        <tr r="F33" s="4"/>
        <tr r="C124" s="8"/>
        <tr r="F129" s="5"/>
      </tp>
      <tp>
        <v>3220</v>
        <stp/>
        <stp>Market</stp>
        <stp>STOCK</stp>
        <stp>88710.T</stp>
        <stp>始値</stp>
        <tr r="C278" s="8"/>
      </tp>
      <tp>
        <v>6384</v>
        <stp/>
        <stp>Market</stp>
        <stp>STOCK</stp>
        <stp>85910.T</stp>
        <stp>始値</stp>
        <tr r="C26" s="8"/>
        <tr r="F43" s="4"/>
        <tr r="F67" s="5"/>
      </tp>
      <tp>
        <v>8188</v>
        <stp/>
        <stp>Market</stp>
        <stp>STOCK</stp>
        <stp>84110.T</stp>
        <stp>始値</stp>
        <tr r="F66" s="5"/>
        <tr r="C19" s="8"/>
        <tr r="F47" s="4"/>
      </tp>
      <tp>
        <v>1787</v>
        <stp/>
        <stp>Market</stp>
        <stp>STOCK</stp>
        <stp>86010.T</stp>
        <stp>始値</stp>
        <tr r="C33" s="8"/>
        <tr r="F198" s="5"/>
        <tr r="F41" s="4"/>
      </tp>
      <tp>
        <v>1566</v>
        <stp/>
        <stp>Market</stp>
        <stp>STOCK</stp>
        <stp>81410.T</stp>
        <stp>始値</stp>
        <tr r="C292" s="8"/>
      </tp>
      <tp>
        <v>2357</v>
        <stp/>
        <stp>Market</stp>
        <stp>STOCK</stp>
        <stp>80910.T</stp>
        <stp>始値</stp>
        <tr r="F57" s="4"/>
        <tr r="F158" s="5"/>
        <tr r="C182" s="8"/>
      </tp>
      <tp>
        <v>1074</v>
        <stp/>
        <stp>Market</stp>
        <stp>STOCK</stp>
        <stp>82810.T</stp>
        <stp>始値</stp>
        <tr r="F55" s="4"/>
        <tr r="C63" s="8"/>
        <tr r="F179" s="5"/>
      </tp>
      <tp>
        <v>2291</v>
        <stp/>
        <stp>Market</stp>
        <stp>STOCK</stp>
        <stp>19610.T</stp>
        <stp>始値</stp>
        <tr r="F51" s="5"/>
        <tr r="F198" s="4"/>
        <tr r="C59" s="8"/>
      </tp>
      <tp>
        <v>67800</v>
        <stp/>
        <stp>Market</stp>
        <stp>STOCK</stp>
        <stp>13210.T</stp>
        <stp>始値</stp>
        <tr r="C303" s="8"/>
      </tp>
      <tp>
        <v>1507</v>
        <stp/>
        <stp>Market</stp>
        <stp>STOCK</stp>
        <stp>39410.T</stp>
        <stp>始値</stp>
        <tr r="C48" s="8"/>
        <tr r="F142" s="5"/>
        <tr r="F176" s="4"/>
      </tp>
      <tp>
        <v>864.3</v>
        <stp/>
        <stp>Market</stp>
        <stp>STOCK</stp>
        <stp>38610.T</stp>
        <stp>始値</stp>
        <tr r="C41" s="8"/>
        <tr r="F123" s="5"/>
        <tr r="F179" s="4"/>
      </tp>
      <tp>
        <v>7300</v>
        <stp/>
        <stp>Market</stp>
        <stp>STOCK</stp>
        <stp>38910.T</stp>
        <stp>始値</stp>
        <tr r="F43" s="5"/>
        <tr r="C159" s="8"/>
        <tr r="F177" s="4"/>
      </tp>
      <tp>
        <v>1628.5</v>
        <stp/>
        <stp>Market</stp>
        <stp>STOCK</stp>
        <stp>34010.T</stp>
        <stp>始値</stp>
        <tr r="F184" s="4"/>
        <tr r="C27" s="8"/>
        <tr r="F169" s="5"/>
      </tp>
      <tp>
        <v>4000</v>
        <stp/>
        <stp>Market</stp>
        <stp>STOCK</stp>
        <stp>59010.T</stp>
        <stp>始値</stp>
        <tr r="F71" s="5"/>
        <tr r="C55" s="8"/>
        <tr r="F120" s="4"/>
      </tp>
      <tp>
        <v>3846</v>
        <stp/>
        <stp>Market</stp>
        <stp>STOCK</stp>
        <stp>58010.T</stp>
        <stp>始値</stp>
        <tr r="F127" s="4"/>
        <tr r="F45" s="5"/>
        <tr r="C200" s="8"/>
      </tp>
      <tp>
        <v>2495</v>
        <stp/>
        <stp>Market</stp>
        <stp>STOCK</stp>
        <stp>55410.T</stp>
        <stp>始値</stp>
        <tr r="F90" s="5"/>
        <tr r="F133" s="4"/>
        <tr r="C20" s="8"/>
      </tp>
      <tp>
        <v>658</v>
        <stp/>
        <stp>Market</stp>
        <stp>STOCK</stp>
        <stp>54010.T</stp>
        <stp>始値</stp>
        <tr r="F173" s="5"/>
        <tr r="F140" s="4"/>
        <tr r="C46" s="8"/>
      </tp>
      <tp>
        <v>1777</v>
        <stp/>
        <stp>Market</stp>
        <stp>STOCK</stp>
        <stp>54110.T</stp>
        <stp>始値</stp>
        <tr r="F137" s="4"/>
        <tr r="C84" s="8"/>
        <tr r="F7" s="5"/>
      </tp>
      <tp>
        <v>4236</v>
        <stp/>
        <stp>Market</stp>
        <stp>STOCK</stp>
        <stp>57110.T</stp>
        <stp>始値</stp>
        <tr r="F130" s="4"/>
        <tr r="F87" s="5"/>
        <tr r="C9" s="8"/>
      </tp>
      <tp>
        <v>7672</v>
        <stp/>
        <stp>Market</stp>
        <stp>STOCK</stp>
        <stp>56310.T</stp>
        <stp>始値</stp>
        <tr r="C263" s="8"/>
      </tp>
      <tp>
        <v>3790</v>
        <stp/>
        <stp>Market</stp>
        <stp>STOCK</stp>
        <stp>50210.T</stp>
        <stp>始値</stp>
        <tr r="F146" s="4"/>
        <tr r="F88" s="5"/>
        <tr r="C15" s="8"/>
      </tp>
      <tp>
        <v>5634</v>
        <stp/>
        <stp>Market</stp>
        <stp>STOCK</stp>
        <stp>52010.T</stp>
        <stp>始値</stp>
        <tr r="F175" s="5"/>
        <tr r="F145" s="4"/>
        <tr r="C53" s="8"/>
      </tp>
      <tp>
        <v>2915</v>
        <stp/>
        <stp>Market</stp>
        <stp>STOCK</stp>
        <stp>46610.T</stp>
        <stp>始値</stp>
        <tr r="C101" s="8"/>
        <tr r="F103" s="5"/>
        <tr r="F156" s="4"/>
      </tp>
      <tp>
        <v>5800</v>
        <stp/>
        <stp>Market</stp>
        <stp>STOCK</stp>
        <stp>40910.T</stp>
        <stp>始値</stp>
        <tr r="F169" s="4"/>
        <tr r="F152" s="5"/>
        <tr r="C157" s="8"/>
      </tp>
      <tp>
        <v>2990</v>
        <stp/>
        <stp>Market</stp>
        <stp>STOCK</stp>
        <stp>79810.T</stp>
        <stp>始値</stp>
        <tr r="C171" s="8"/>
        <tr r="F116" s="5"/>
        <tr r="F63" s="4"/>
      </tp>
      <tp>
        <v>4500</v>
        <stp/>
        <stp>Market</stp>
        <stp>STOCK</stp>
        <stp>77110.T</stp>
        <stp>始値</stp>
        <tr r="C268" s="8"/>
      </tp>
      <tp>
        <v>26925</v>
        <stp/>
        <stp>Market</stp>
        <stp>STOCK</stp>
        <stp>77410.T</stp>
        <stp>始値</stp>
        <tr r="C302" s="8"/>
      </tp>
      <tp>
        <v>1698.5</v>
        <stp/>
        <stp>Market</stp>
        <stp>STOCK</stp>
        <stp>71810.T</stp>
        <stp>始値</stp>
        <tr r="F119" s="5"/>
        <tr r="F5" s="4"/>
        <tr r="C190" s="8"/>
      </tp>
      <tp>
        <v>4040</v>
        <stp/>
        <stp>Market</stp>
        <stp>STOCK</stp>
        <stp>70110.T</stp>
        <stp>始値</stp>
        <tr r="F77" s="4"/>
        <tr r="C207" s="8"/>
        <tr r="F197" s="5"/>
      </tp>
      <tp>
        <v>2101</v>
        <stp/>
        <stp>Market</stp>
        <stp>STOCK</stp>
        <stp>70210.T</stp>
        <stp>始値</stp>
        <tr r="F76" s="5"/>
        <tr r="F76" s="4"/>
        <tr r="C106" s="8"/>
      </tp>
      <tp>
        <v>1138</v>
        <stp/>
        <stp>Market</stp>
        <stp>STOCK</stp>
        <stp>73810.T</stp>
        <stp>始値</stp>
        <tr r="F70" s="4"/>
        <tr r="C152" s="8"/>
        <tr r="F63" s="5"/>
      </tp>
      <tp>
        <v>7351</v>
        <stp/>
        <stp>Market</stp>
        <stp>STOCK</stp>
        <stp>69810.T</stp>
        <stp>始値</stp>
        <tr r="F78" s="4"/>
        <tr r="F30" s="5"/>
        <tr r="C154" s="8"/>
      </tp>
      <tp>
        <v>5460</v>
        <stp/>
        <stp>Market</stp>
        <stp>STOCK</stp>
        <stp>68410.T</stp>
        <stp>始値</stp>
        <tr r="F100" s="5"/>
        <tr r="F84" s="4"/>
        <tr r="C81" s="8"/>
      </tp>
      <tp>
        <v>83670</v>
        <stp/>
        <stp>Market</stp>
        <stp>STOCK</stp>
        <stp>68610.T</stp>
        <stp>始値</stp>
        <tr r="C209" s="8"/>
      </tp>
      <tp>
        <v>5425</v>
        <stp/>
        <stp>Market</stp>
        <stp>STOCK</stp>
        <stp>65010.T</stp>
        <stp>始値</stp>
        <tr r="F100" s="4"/>
        <tr r="F126" s="5"/>
        <tr r="C91" s="8"/>
      </tp>
      <tp>
        <v>3150</v>
        <stp/>
        <stp>Market</stp>
        <stp>STOCK</stp>
        <stp>65210.T</stp>
        <stp>始値</stp>
        <tr r="C242" s="8"/>
      </tp>
      <tp>
        <v>4677</v>
        <stp/>
        <stp>Market</stp>
        <stp>STOCK</stp>
        <stp>67010.T</stp>
        <stp>始値</stp>
        <tr r="F93" s="4"/>
        <tr r="F139" s="5"/>
        <tr r="C11" s="8"/>
      </tp>
      <tp>
        <v>3180</v>
        <stp/>
        <stp>Market</stp>
        <stp>STOCK</stp>
        <stp>63310.T</stp>
        <stp>始値</stp>
        <tr r="C301" s="8"/>
      </tp>
      <tp>
        <v>5987</v>
        <stp/>
        <stp>Market</stp>
        <stp>STOCK</stp>
        <stp>63610.T</stp>
        <stp>始値</stp>
        <tr r="C249" s="8"/>
      </tp>
    </main>
    <main first="rtdsrv.e07a56084d7946cdb07ca2177ccd3d26">
      <tp>
        <v>2289</v>
        <stp/>
        <stp>Market</stp>
        <stp>STOCK</stp>
        <stp>97330.T</stp>
        <stp>安値</stp>
        <tr r="I10" s="4"/>
        <tr r="C166" s="10"/>
        <tr r="I153" s="5"/>
      </tp>
      <tp>
        <v>1405</v>
        <stp/>
        <stp>Market</stp>
        <stp>STOCK</stp>
        <stp>85930.T</stp>
        <stp>安値</stp>
        <tr r="C39" s="10"/>
        <tr r="I171" s="5"/>
        <tr r="I42" s="4"/>
      </tp>
      <tp>
        <v>4010</v>
        <stp/>
        <stp>Market</stp>
        <stp>STOCK</stp>
        <stp>87930.T</stp>
        <stp>安値</stp>
        <tr r="C232" s="10"/>
      </tp>
      <tp>
        <v>886</v>
        <stp/>
        <stp>Market</stp>
        <stp>STOCK</stp>
        <stp>81030.T</stp>
        <stp>安値</stp>
        <tr r="I136" s="5"/>
        <tr r="I56" s="4"/>
        <tr r="C169" s="10"/>
      </tp>
      <tp>
        <v>1657.5</v>
        <stp/>
        <stp>Market</stp>
        <stp>STOCK</stp>
        <stp>80530.T</stp>
        <stp>安値</stp>
        <tr r="I49" s="5"/>
        <tr r="I59" s="4"/>
        <tr r="C25" s="10"/>
      </tp>
      <tp>
        <v>1443</v>
        <stp/>
        <stp>Market</stp>
        <stp>STOCK</stp>
        <stp>83030.T</stp>
        <stp>安値</stp>
        <tr r="C172" s="10"/>
        <tr r="I54" s="4"/>
        <tr r="I191" s="5"/>
      </tp>
      <tp>
        <v>1317</v>
        <stp/>
        <stp>Market</stp>
        <stp>STOCK</stp>
        <stp>38630.T</stp>
        <stp>安値</stp>
        <tr r="I178" s="4"/>
        <tr r="C32" s="10"/>
        <tr r="I21" s="5"/>
      </tp>
      <tp>
        <v>5633</v>
        <stp/>
        <stp>Market</stp>
        <stp>STOCK</stp>
        <stp>35630.T</stp>
        <stp>安値</stp>
        <tr r="C230" s="10"/>
      </tp>
      <tp>
        <v>914</v>
        <stp/>
        <stp>Market</stp>
        <stp>STOCK</stp>
        <stp>31030.T</stp>
        <stp>安値</stp>
        <tr r="C138" s="10"/>
        <tr r="I187" s="4"/>
        <tr r="I81" s="5"/>
      </tp>
      <tp>
        <v>1699</v>
        <stp/>
        <stp>Market</stp>
        <stp>STOCK</stp>
        <stp>30030.T</stp>
        <stp>安値</stp>
        <tr r="I143" s="5"/>
        <tr r="C88" s="10"/>
        <tr r="I188" s="4"/>
      </tp>
      <tp>
        <v>1084</v>
        <stp/>
        <stp>Market</stp>
        <stp>STOCK</stp>
        <stp>29330.T</stp>
        <stp>安値</stp>
        <tr r="C288" s="10"/>
      </tp>
      <tp>
        <v>2302.5</v>
        <stp/>
        <stp>Market</stp>
        <stp>STOCK</stp>
        <stp>19630.T</stp>
        <stp>安値</stp>
        <tr r="C86" s="10"/>
        <tr r="I197" s="4"/>
        <tr r="I40" s="5"/>
      </tp>
      <tp>
        <v>5710</v>
        <stp/>
        <stp>Market</stp>
        <stp>STOCK</stp>
        <stp>18330.T</stp>
        <stp>安値</stp>
        <tr r="I203" s="4"/>
        <tr r="C80" s="10"/>
        <tr r="I180" s="5"/>
      </tp>
      <tp>
        <v>2704.5</v>
        <stp/>
        <stp>Market</stp>
        <stp>STOCK</stp>
        <stp>70130.T</stp>
        <stp>安値</stp>
        <tr r="C231" s="10"/>
      </tp>
      <tp>
        <v>2869.5</v>
        <stp/>
        <stp>Market</stp>
        <stp>STOCK</stp>
        <stp>72030.T</stp>
        <stp>安値</stp>
        <tr r="I73" s="5"/>
        <tr r="I73" s="4"/>
        <tr r="C77" s="10"/>
      </tp>
      <tp>
        <v>5678</v>
        <stp/>
        <stp>Market</stp>
        <stp>STOCK</stp>
        <stp>65030.T</stp>
        <stp>安値</stp>
        <tr r="I39" s="5"/>
        <tr r="I99" s="4"/>
        <tr r="C68" s="10"/>
      </tp>
      <tp>
        <v>612.5</v>
        <stp/>
        <stp>Market</stp>
        <stp>STOCK</stp>
        <stp>67530.T</stp>
        <stp>安値</stp>
        <tr r="I90" s="4"/>
        <tr r="C188" s="10"/>
        <tr r="I162" s="5"/>
      </tp>
      <tp>
        <v>1757</v>
        <stp/>
        <stp>Market</stp>
        <stp>STOCK</stp>
        <stp>66130.T</stp>
        <stp>安値</stp>
        <tr r="I3" s="5"/>
        <tr r="C141" s="10"/>
        <tr r="I94" s="4"/>
      </tp>
      <tp>
        <v>4372</v>
        <stp/>
        <stp>Market</stp>
        <stp>STOCK</stp>
        <stp>63230.T</stp>
        <stp>安値</stp>
        <tr r="I106" s="4"/>
        <tr r="C90" s="10"/>
        <tr r="I41" s="5"/>
      </tp>
      <tp>
        <v>1405</v>
        <stp/>
        <stp>Market</stp>
        <stp>STOCK</stp>
        <stp>62030.T</stp>
        <stp>安値</stp>
        <tr r="I111" s="4"/>
        <tr r="C57" s="10"/>
        <tr r="I50" s="5"/>
      </tp>
      <tp>
        <v>74130</v>
        <stp/>
        <stp>Market</stp>
        <stp>STOCK</stp>
        <stp>62730.T</stp>
        <stp>安値</stp>
        <tr r="C211" s="10"/>
      </tp>
      <tp>
        <v>4799</v>
        <stp/>
        <stp>Market</stp>
        <stp>STOCK</stp>
        <stp>58030.T</stp>
        <stp>安値</stp>
        <tr r="I125" s="4"/>
        <tr r="I58" s="5"/>
        <tr r="C103" s="10"/>
      </tp>
      <tp>
        <v>1689</v>
        <stp/>
        <stp>Market</stp>
        <stp>STOCK</stp>
        <stp>54230.T</stp>
        <stp>安値</stp>
        <tr r="C7" s="10"/>
        <tr r="I136" s="4"/>
        <tr r="I165" s="5"/>
      </tp>
      <tp>
        <v>2811</v>
        <stp/>
        <stp>Market</stp>
        <stp>STOCK</stp>
        <stp>57030.T</stp>
        <stp>安値</stp>
        <tr r="C13" s="10"/>
        <tr r="I132" s="4"/>
        <tr r="I48" s="5"/>
      </tp>
      <tp>
        <v>8233</v>
        <stp/>
        <stp>Market</stp>
        <stp>STOCK</stp>
        <stp>57130.T</stp>
        <stp>安値</stp>
        <tr r="I46" s="5"/>
        <tr r="C8" s="10"/>
        <tr r="I129" s="4"/>
      </tp>
      <tp>
        <v>5702</v>
        <stp/>
        <stp>Market</stp>
        <stp>STOCK</stp>
        <stp>53330.T</stp>
        <stp>安値</stp>
        <tr r="I141" s="4"/>
        <tr r="I37" s="5"/>
        <tr r="C17" s="10"/>
      </tp>
      <tp>
        <v>4026</v>
        <stp/>
        <stp>Market</stp>
        <stp>STOCK</stp>
        <stp>52330.T</stp>
        <stp>安値</stp>
        <tr r="C34" s="10"/>
        <tr r="I144" s="4"/>
        <tr r="I170" s="5"/>
      </tp>
      <tp>
        <v>2160</v>
        <stp/>
        <stp>Market</stp>
        <stp>STOCK</stp>
        <stp>52430.T</stp>
        <stp>安値</stp>
        <tr r="I138" s="5"/>
        <tr r="C193" s="10"/>
        <tr r="I143" s="4"/>
      </tp>
      <tp>
        <v>1451</v>
        <stp/>
        <stp>Market</stp>
        <stp>STOCK</stp>
        <stp>52530.T</stp>
        <stp>安値</stp>
        <tr r="C258" s="10"/>
      </tp>
      <tp>
        <v>4476</v>
        <stp/>
        <stp>Market</stp>
        <stp>STOCK</stp>
        <stp>45230.T</stp>
        <stp>安値</stp>
        <tr r="C99" s="10"/>
        <tr r="I184" s="5"/>
        <tr r="I160" s="4"/>
      </tp>
      <tp>
        <v>7756</v>
        <stp/>
        <stp>Market</stp>
        <stp>STOCK</stp>
        <stp>47330.T</stp>
        <stp>安値</stp>
        <tr r="I133" s="5"/>
        <tr r="I153" s="4"/>
        <tr r="C165" s="10"/>
      </tp>
      <tp>
        <v>6004</v>
        <stp/>
        <stp>Market</stp>
        <stp>STOCK</stp>
        <stp>40630.T</stp>
        <stp>安値</stp>
        <tr r="I14" s="5"/>
        <tr r="C66" s="10"/>
        <tr r="I172" s="4"/>
      </tp>
      <tp>
        <v>1060</v>
        <stp/>
        <stp>Market</stp>
        <stp>STOCK</stp>
        <stp>43730.T</stp>
        <stp>安値</stp>
        <tr r="I165" s="4"/>
        <tr r="C160" s="10"/>
        <tr r="I82" s="5"/>
      </tp>
    </main>
    <main first="rtdsrv.e07a56084d7946cdb07ca2177ccd3d26">
      <tp>
        <v>4551.0114999999996</v>
        <stp/>
        <stp>Market</stp>
        <stp>STOCK</stp>
        <stp>43070.T</stp>
        <stp>出来高加重平均</stp>
        <tr r="I18" s="16"/>
      </tp>
      <tp>
        <v>1915.3552999999999</v>
        <stp/>
        <stp>Market</stp>
        <stp>STOCK</stp>
        <stp>40820.T</stp>
        <stp>出来高加重平均</stp>
        <tr r="I28" s="16"/>
      </tp>
      <tp>
        <v>6112.9847</v>
        <stp/>
        <stp>Market</stp>
        <stp>STOCK</stp>
        <stp>40630.T</stp>
        <stp>出来高加重平均</stp>
        <tr r="I25" s="16"/>
      </tp>
      <tp>
        <v>1148.4686999999999</v>
        <stp/>
        <stp>Market</stp>
        <stp>STOCK</stp>
        <stp>41880.T</stp>
        <stp>出来高加重平均</stp>
        <tr r="I5" s="16"/>
        <tr r="I37" s="16"/>
      </tp>
      <tp>
        <v>2885.7676000000001</v>
        <stp/>
        <stp>Market</stp>
        <stp>STOCK</stp>
        <stp>46610.T</stp>
        <stp>出来高加重平均</stp>
        <tr r="I41" s="16"/>
      </tp>
      <tp>
        <v>3733.6415999999999</v>
        <stp/>
        <stp>Market</stp>
        <stp>STOCK</stp>
        <stp>45400.T</stp>
        <stp>出来高加重平均</stp>
        <tr r="I15" s="16"/>
      </tp>
      <tp>
        <v>4526.0540000000001</v>
        <stp/>
        <stp>Market</stp>
        <stp>STOCK</stp>
        <stp>45230.T</stp>
        <stp>出来高加重平均</stp>
        <tr r="I27" s="16"/>
      </tp>
      <tp>
        <v>8402.2422000000006</v>
        <stp/>
        <stp>Market</stp>
        <stp>STOCK</stp>
        <stp>57130.T</stp>
        <stp>出来高加重平均</stp>
        <tr r="I42" s="16"/>
      </tp>
    </main>
    <main first="rtdsrv.e07a56084d7946cdb07ca2177ccd3d26">
      <tp>
        <v>9730.7914000000001</v>
        <stp/>
        <stp>Market</stp>
        <stp>STOCK</stp>
        <stp>63870.T</stp>
        <stp>出来高加重平均</stp>
        <tr r="I12" s="16"/>
      </tp>
      <tp>
        <v>3361.4845</v>
        <stp/>
        <stp>Market</stp>
        <stp>STOCK</stp>
        <stp>63270.T</stp>
        <stp>出来高加重平均</stp>
        <tr r="I40" s="16"/>
      </tp>
      <tp>
        <v>2334.8935000000001</v>
        <stp/>
        <stp>Market</stp>
        <stp>STOCK</stp>
        <stp>60270.T</stp>
        <stp>出来高加重平均</stp>
        <tr r="I45" s="16"/>
      </tp>
      <tp>
        <v>63229.291100000002</v>
        <stp/>
        <stp>Market</stp>
        <stp>STOCK</stp>
        <stp>61460.T</stp>
        <stp>出来高加重平均</stp>
        <tr r="I7" s="16"/>
      </tp>
      <tp>
        <v>2333.3069</v>
        <stp/>
        <stp>Market</stp>
        <stp>STOCK</stp>
        <stp>61780.T</stp>
        <stp>出来高加重平均</stp>
        <tr r="I4" s="16"/>
      </tp>
      <tp>
        <v>15023.5998</v>
        <stp/>
        <stp>Market</stp>
        <stp>STOCK</stp>
        <stp>66220.T</stp>
        <stp>出来高加重平均</stp>
        <tr r="I32" s="16"/>
        <tr r="I24" s="16"/>
      </tp>
      <tp>
        <v>991.96770000000004</v>
        <stp/>
        <stp>Market</stp>
        <stp>STOCK</stp>
        <stp>64880.T</stp>
        <stp>出来高加重平均</stp>
        <tr r="I34" s="16"/>
      </tp>
      <tp>
        <v>3853.5057999999999</v>
        <stp/>
        <stp>Market</stp>
        <stp>STOCK</stp>
        <stp>64360.T</stp>
        <stp>出来高加重平均</stp>
        <tr r="I10" s="16"/>
        <tr r="I44" s="16"/>
      </tp>
      <tp>
        <v>1711.5553</v>
        <stp/>
        <stp>Market</stp>
        <stp>STOCK</stp>
        <stp>65220.T</stp>
        <stp>出来高加重平均</stp>
        <tr r="I6" s="16"/>
      </tp>
      <tp>
        <v>2284.4654999999998</v>
        <stp/>
        <stp>Market</stp>
        <stp>STOCK</stp>
        <stp>68620.T</stp>
        <stp>出来高加重平均</stp>
        <tr r="I36" s="16"/>
      </tp>
      <tp>
        <v>6429.1755000000003</v>
        <stp/>
        <stp>Market</stp>
        <stp>STOCK</stp>
        <stp>69540.T</stp>
        <stp>出来高加重平均</stp>
        <tr r="I46" s="16"/>
      </tp>
      <tp>
        <v>397.18799999999999</v>
        <stp/>
        <stp>Market</stp>
        <stp>STOCK</stp>
        <stp>69550.T</stp>
        <stp>出来高加重平均</stp>
        <tr r="I17" s="16"/>
      </tp>
      <tp>
        <v>2633.7040999999999</v>
        <stp/>
        <stp>Market</stp>
        <stp>STOCK</stp>
        <stp>69280.T</stp>
        <stp>出来高加重平均</stp>
        <tr r="I33" s="16"/>
      </tp>
      <tp>
        <v>1156.8198</v>
        <stp/>
        <stp>Market</stp>
        <stp>STOCK</stp>
        <stp>73750.T</stp>
        <stp>出来高加重平均</stp>
        <tr r="I21" s="16"/>
      </tp>
      <tp>
        <v>745.81129999999996</v>
        <stp/>
        <stp>Market</stp>
        <stp>STOCK</stp>
        <stp>77460.T</stp>
        <stp>出来高加重平均</stp>
        <tr r="I8" s="16"/>
      </tp>
      <tp>
        <v>4575.6976000000004</v>
        <stp/>
        <stp>Market</stp>
        <stp>STOCK</stp>
        <stp>77110.T</stp>
        <stp>出来高加重平均</stp>
        <tr r="I16" s="16"/>
      </tp>
      <tp>
        <v>2994.884</v>
        <stp/>
        <stp>Market</stp>
        <stp>STOCK</stp>
        <stp>79810.T</stp>
        <stp>出来高加重平均</stp>
        <tr r="I31" s="16"/>
        <tr r="I14" s="16"/>
        <tr r="I23" s="16"/>
      </tp>
      <tp>
        <v>3595.5</v>
        <stp/>
        <stp>Market</stp>
        <stp>STOCK</stp>
        <stp>79520.T</stp>
        <stp>出来高加重平均</stp>
        <tr r="I35" s="16"/>
      </tp>
      <tp>
        <v>412</v>
        <stp/>
        <stp>Market</stp>
        <stp>STOCK</stp>
        <stp>93480.T</stp>
        <stp>安値</stp>
        <tr r="I8" s="5"/>
        <tr r="I24" s="4"/>
        <tr r="C112" s="10"/>
      </tp>
      <tp>
        <v>4643</v>
        <stp/>
        <stp>Market</stp>
        <stp>STOCK</stp>
        <stp>80580.T</stp>
        <stp>安値</stp>
        <tr r="I89" s="5"/>
        <tr r="C16" s="10"/>
        <tr r="I58" s="4"/>
      </tp>
      <tp>
        <v>2183.5</v>
        <stp/>
        <stp>Market</stp>
        <stp>STOCK</stp>
        <stp>83080.T</stp>
        <stp>安値</stp>
        <tr r="I92" s="5"/>
        <tr r="C35" s="10"/>
        <tr r="I52" s="4"/>
      </tp>
      <tp>
        <v>5217</v>
        <stp/>
        <stp>Market</stp>
        <stp>STOCK</stp>
        <stp>27680.T</stp>
        <stp>安値</stp>
        <tr r="I206" s="5"/>
        <tr r="I191" s="4"/>
        <tr r="C202" s="10"/>
      </tp>
      <tp>
        <v>2428</v>
        <stp/>
        <stp>Market</stp>
        <stp>STOCK</stp>
        <stp>19380.T</stp>
        <stp>安値</stp>
        <tr r="C176" s="10"/>
        <tr r="I117" s="5"/>
        <tr r="I200" s="4"/>
      </tp>
      <tp>
        <v>2632.5</v>
        <stp/>
        <stp>Market</stp>
        <stp>STOCK</stp>
        <stp>18080.T</stp>
        <stp>安値</stp>
        <tr r="C297" s="10"/>
      </tp>
      <tp>
        <v>32180</v>
        <stp/>
        <stp>Market</stp>
        <stp>STOCK</stp>
        <stp>16180.T</stp>
        <stp>安値</stp>
        <tr r="C227" s="10"/>
      </tp>
      <tp>
        <v>156</v>
        <stp/>
        <stp>Market</stp>
        <stp>STOCK</stp>
        <stp>70480.T</stp>
        <stp>安値</stp>
        <tr r="C296" s="10"/>
      </tp>
      <tp>
        <v>3230</v>
        <stp/>
        <stp>Market</stp>
        <stp>STOCK</stp>
        <stp>69180.T</stp>
        <stp>安値</stp>
        <tr r="C279" s="10"/>
      </tp>
      <tp>
        <v>2565</v>
        <stp/>
        <stp>Market</stp>
        <stp>STOCK</stp>
        <stp>69280.T</stp>
        <stp>安値</stp>
        <tr r="C246" s="10"/>
      </tp>
      <tp>
        <v>1457</v>
        <stp/>
        <stp>Market</stp>
        <stp>STOCK</stp>
        <stp>68380.T</stp>
        <stp>安値</stp>
        <tr r="I85" s="4"/>
        <tr r="I6" s="5"/>
        <tr r="C148" s="10"/>
      </tp>
      <tp>
        <v>855</v>
        <stp/>
        <stp>Market</stp>
        <stp>STOCK</stp>
        <stp>68480.T</stp>
        <stp>安値</stp>
        <tr r="C274" s="10"/>
      </tp>
      <tp>
        <v>984</v>
        <stp/>
        <stp>Market</stp>
        <stp>STOCK</stp>
        <stp>64880.T</stp>
        <stp>安値</stp>
        <tr r="C280" s="10"/>
      </tp>
      <tp>
        <v>3515</v>
        <stp/>
        <stp>Market</stp>
        <stp>STOCK</stp>
        <stp>67580.T</stp>
        <stp>安値</stp>
        <tr r="I88" s="4"/>
        <tr r="C205" s="10"/>
        <tr r="I86" s="5"/>
      </tp>
      <tp>
        <v>2316.5</v>
        <stp/>
        <stp>Market</stp>
        <stp>STOCK</stp>
        <stp>61780.T</stp>
        <stp>安値</stp>
        <tr r="I59" s="5"/>
        <tr r="I112" s="4"/>
        <tr r="C104" s="10"/>
      </tp>
      <tp>
        <v>12550</v>
        <stp/>
        <stp>Market</stp>
        <stp>STOCK</stp>
        <stp>60980.T</stp>
        <stp>安値</stp>
        <tr r="C248" s="10"/>
      </tp>
      <tp>
        <v>1719</v>
        <stp/>
        <stp>Market</stp>
        <stp>STOCK</stp>
        <stp>59380.T</stp>
        <stp>安値</stp>
        <tr r="I118" s="4"/>
        <tr r="C36" s="10"/>
        <tr r="I93" s="5"/>
      </tp>
      <tp>
        <v>5291</v>
        <stp/>
        <stp>Market</stp>
        <stp>STOCK</stp>
        <stp>58380.T</stp>
        <stp>安値</stp>
        <tr r="I124" s="4"/>
        <tr r="I147" s="5"/>
        <tr r="C117" s="10"/>
      </tp>
      <tp>
        <v>314</v>
        <stp/>
        <stp>Market</stp>
        <stp>STOCK</stp>
        <stp>48880.T</stp>
        <stp>安値</stp>
        <tr r="C146" s="10"/>
        <tr r="I151" s="4"/>
        <tr r="I131" s="5"/>
      </tp>
      <tp>
        <v>2264.5</v>
        <stp/>
        <stp>Market</stp>
        <stp>STOCK</stp>
        <stp>45280.T</stp>
        <stp>安値</stp>
        <tr r="C100" s="10"/>
        <tr r="I159" s="4"/>
        <tr r="I17" s="5"/>
      </tp>
      <tp>
        <v>2508</v>
        <stp/>
        <stp>Market</stp>
        <stp>STOCK</stp>
        <stp>45680.T</stp>
        <stp>安値</stp>
        <tr r="I7" s="4"/>
        <tr r="I110" s="5"/>
        <tr r="C142" s="10"/>
      </tp>
      <tp>
        <v>1123</v>
        <stp/>
        <stp>Market</stp>
        <stp>STOCK</stp>
        <stp>41880.T</stp>
        <stp>安値</stp>
        <tr r="C98" s="10"/>
        <tr r="I145" s="5"/>
        <tr r="I167" s="4"/>
      </tp>
      <tp>
        <v>1240</v>
        <stp/>
        <stp>Market</stp>
        <stp>STOCK</stp>
        <stp>40080.T</stp>
        <stp>安値</stp>
        <tr r="I175" s="4"/>
        <tr r="C95" s="10"/>
        <tr r="I127" s="5"/>
      </tp>
      <tp>
        <v>2520</v>
        <stp/>
        <stp>Market</stp>
        <stp>STOCK</stp>
        <stp>40880.T</stp>
        <stp>安値</stp>
        <tr r="I170" s="4"/>
        <tr r="I132" s="5"/>
        <tr r="C156" s="10"/>
      </tp>
      <tp>
        <v>3168</v>
        <stp/>
        <stp>Market</stp>
        <stp>STOCK</stp>
        <stp>42080.T</stp>
        <stp>安値</stp>
        <tr r="C298" s="10"/>
      </tp>
      <tp>
        <v>1937</v>
        <stp/>
        <stp>Market</stp>
        <stp>STOCK</stp>
        <stp>42180.T</stp>
        <stp>安値</stp>
        <tr r="C282" s="10"/>
      </tp>
    </main>
    <main first="rtdsrv.e07a56084d7946cdb07ca2177ccd3d26">
      <tp>
        <v>919</v>
        <stp/>
        <stp>Market</stp>
        <stp>STOCK</stp>
        <stp>95190.T</stp>
        <stp>安値</stp>
        <tr r="C214" s="10"/>
      </tp>
      <tp>
        <v>4151</v>
        <stp/>
        <stp>Market</stp>
        <stp>STOCK</stp>
        <stp>94490.T</stp>
        <stp>安値</stp>
        <tr r="I77" s="5"/>
        <tr r="I19" s="4"/>
        <tr r="C113" s="10"/>
      </tp>
      <tp>
        <v>2190</v>
        <stp/>
        <stp>Market</stp>
        <stp>STOCK</stp>
        <stp>90690.T</stp>
        <stp>安値</stp>
        <tr r="I28" s="4"/>
        <tr r="C110" s="10"/>
        <tr r="I60" s="5"/>
      </tp>
      <tp>
        <v>1621</v>
        <stp/>
        <stp>Market</stp>
        <stp>STOCK</stp>
        <stp>83090.T</stp>
        <stp>安値</stp>
        <tr r="I51" s="4"/>
        <tr r="I68" s="5"/>
        <tr r="C31" s="10"/>
      </tp>
      <tp>
        <v>2482</v>
        <stp/>
        <stp>Market</stp>
        <stp>STOCK</stp>
        <stp>83590.T</stp>
        <stp>安値</stp>
        <tr r="I26" s="5"/>
        <tr r="I48" s="4"/>
        <tr r="C123" s="10"/>
      </tp>
      <tp>
        <v>2016</v>
        <stp/>
        <stp>Market</stp>
        <stp>STOCK</stp>
        <stp>23590.T</stp>
        <stp>安値</stp>
        <tr r="I135" s="5"/>
        <tr r="I193" s="4"/>
        <tr r="C168" s="10"/>
      </tp>
      <tp>
        <v>17625</v>
        <stp/>
        <stp>Market</stp>
        <stp>STOCK</stp>
        <stp>77290.T</stp>
        <stp>安値</stp>
        <tr r="I68" s="4"/>
        <tr r="I18" s="5"/>
        <tr r="C107" s="10"/>
      </tp>
      <tp>
        <v>4105</v>
        <stp/>
        <stp>Market</stp>
        <stp>STOCK</stp>
        <stp>76090.T</stp>
        <stp>安値</stp>
        <tr r="C240" s="10"/>
      </tp>
      <tp>
        <v>1630</v>
        <stp/>
        <stp>Market</stp>
        <stp>STOCK</stp>
        <stp>68090.T</stp>
        <stp>安値</stp>
        <tr r="C238" s="10"/>
      </tp>
      <tp>
        <v>3913</v>
        <stp/>
        <stp>Market</stp>
        <stp>STOCK</stp>
        <stp>64790.T</stp>
        <stp>安値</stp>
        <tr r="I101" s="4"/>
        <tr r="C79" s="10"/>
        <tr r="I24" s="5"/>
      </tp>
      <tp>
        <v>3516</v>
        <stp/>
        <stp>Market</stp>
        <stp>STOCK</stp>
        <stp>59290.T</stp>
        <stp>安値</stp>
        <tr r="I119" s="4"/>
        <tr r="C49" s="10"/>
        <tr r="I69" s="5"/>
      </tp>
      <tp>
        <v>2491</v>
        <stp/>
        <stp>Market</stp>
        <stp>STOCK</stp>
        <stp>54490.T</stp>
        <stp>安値</stp>
        <tr r="I97" s="5"/>
        <tr r="C51" s="10"/>
        <tr r="I134" s="4"/>
      </tp>
      <tp>
        <v>1231</v>
        <stp/>
        <stp>Market</stp>
        <stp>STOCK</stp>
        <stp>50190.T</stp>
        <stp>安値</stp>
        <tr r="I140" s="5"/>
        <tr r="I148" s="4"/>
        <tr r="C24" s="10"/>
      </tp>
      <tp>
        <v>6601</v>
        <stp/>
        <stp>Market</stp>
        <stp>STOCK</stp>
        <stp>45190.T</stp>
        <stp>安値</stp>
        <tr r="I205" s="5"/>
        <tr r="C130" s="10"/>
        <tr r="I161" s="4"/>
      </tp>
      <tp>
        <v>1007</v>
        <stp/>
        <stp>Market</stp>
        <stp>STOCK</stp>
        <stp>47090.T</stp>
        <stp>安値</stp>
        <tr r="I154" s="4"/>
        <tr r="C170" s="10"/>
        <tr r="I115" s="5"/>
      </tp>
    </main>
    <main first="rtdsrv.e07a56084d7946cdb07ca2177ccd3d26">
      <tp>
        <v>5605.0433000000003</v>
        <stp/>
        <stp>Market</stp>
        <stp>STOCK</stp>
        <stp>19420.T</stp>
        <stp>出来高加重平均</stp>
        <tr r="I39" s="16"/>
      </tp>
      <tp>
        <v>416</v>
        <stp/>
        <stp>Market</stp>
        <stp>STOCK</stp>
        <stp>93480.T</stp>
        <stp>始値</stp>
        <tr r="F8" s="5"/>
        <tr r="F24" s="4"/>
        <tr r="C112" s="8"/>
      </tp>
      <tp>
        <v>4694</v>
        <stp/>
        <stp>Market</stp>
        <stp>STOCK</stp>
        <stp>80580.T</stp>
        <stp>始値</stp>
        <tr r="F89" s="5"/>
        <tr r="F58" s="4"/>
        <tr r="C16" s="8"/>
      </tp>
      <tp>
        <v>2208</v>
        <stp/>
        <stp>Market</stp>
        <stp>STOCK</stp>
        <stp>83080.T</stp>
        <stp>始値</stp>
        <tr r="F52" s="4"/>
        <tr r="F92" s="5"/>
        <tr r="C35" s="8"/>
      </tp>
      <tp>
        <v>2462</v>
        <stp/>
        <stp>Market</stp>
        <stp>STOCK</stp>
        <stp>19380.T</stp>
        <stp>始値</stp>
        <tr r="F117" s="5"/>
        <tr r="F200" s="4"/>
        <tr r="C176" s="8"/>
      </tp>
      <tp>
        <v>2658</v>
        <stp/>
        <stp>Market</stp>
        <stp>STOCK</stp>
        <stp>18080.T</stp>
        <stp>始値</stp>
        <tr r="C297" s="8"/>
      </tp>
      <tp>
        <v>32450</v>
        <stp/>
        <stp>Market</stp>
        <stp>STOCK</stp>
        <stp>16180.T</stp>
        <stp>始値</stp>
        <tr r="C227" s="8"/>
      </tp>
      <tp>
        <v>5255</v>
        <stp/>
        <stp>Market</stp>
        <stp>STOCK</stp>
        <stp>27680.T</stp>
        <stp>始値</stp>
        <tr r="C202" s="8"/>
        <tr r="F191" s="4"/>
        <tr r="F206" s="5"/>
      </tp>
      <tp>
        <v>1720</v>
        <stp/>
        <stp>Market</stp>
        <stp>STOCK</stp>
        <stp>59380.T</stp>
        <stp>始値</stp>
        <tr r="F118" s="4"/>
        <tr r="C36" s="8"/>
        <tr r="F93" s="5"/>
      </tp>
      <tp>
        <v>5355</v>
        <stp/>
        <stp>Market</stp>
        <stp>STOCK</stp>
        <stp>58380.T</stp>
        <stp>始値</stp>
        <tr r="C117" s="8"/>
        <tr r="F147" s="5"/>
        <tr r="F124" s="4"/>
      </tp>
      <tp>
        <v>316</v>
        <stp/>
        <stp>Market</stp>
        <stp>STOCK</stp>
        <stp>48880.T</stp>
        <stp>始値</stp>
        <tr r="F131" s="5"/>
        <tr r="F151" s="4"/>
        <tr r="C146" s="8"/>
      </tp>
      <tp>
        <v>2320</v>
        <stp/>
        <stp>Market</stp>
        <stp>STOCK</stp>
        <stp>45280.T</stp>
        <stp>始値</stp>
        <tr r="F159" s="4"/>
        <tr r="F17" s="5"/>
        <tr r="C100" s="8"/>
      </tp>
      <tp>
        <v>2509</v>
        <stp/>
        <stp>Market</stp>
        <stp>STOCK</stp>
        <stp>45680.T</stp>
        <stp>始値</stp>
        <tr r="F7" s="4"/>
        <tr r="F110" s="5"/>
        <tr r="C142" s="8"/>
      </tp>
      <tp>
        <v>1130</v>
        <stp/>
        <stp>Market</stp>
        <stp>STOCK</stp>
        <stp>41880.T</stp>
        <stp>始値</stp>
        <tr r="F145" s="5"/>
        <tr r="C98" s="8"/>
        <tr r="F167" s="4"/>
      </tp>
      <tp>
        <v>1248</v>
        <stp/>
        <stp>Market</stp>
        <stp>STOCK</stp>
        <stp>40080.T</stp>
        <stp>始値</stp>
        <tr r="F175" s="4"/>
        <tr r="F127" s="5"/>
        <tr r="C95" s="8"/>
      </tp>
      <tp>
        <v>2524</v>
        <stp/>
        <stp>Market</stp>
        <stp>STOCK</stp>
        <stp>40880.T</stp>
        <stp>始値</stp>
        <tr r="C156" s="8"/>
        <tr r="F170" s="4"/>
        <tr r="F132" s="5"/>
      </tp>
      <tp>
        <v>3174</v>
        <stp/>
        <stp>Market</stp>
        <stp>STOCK</stp>
        <stp>42080.T</stp>
        <stp>始値</stp>
        <tr r="C298" s="8"/>
      </tp>
      <tp>
        <v>1943</v>
        <stp/>
        <stp>Market</stp>
        <stp>STOCK</stp>
        <stp>42180.T</stp>
        <stp>始値</stp>
        <tr r="C282" s="8"/>
      </tp>
      <tp>
        <v>156</v>
        <stp/>
        <stp>Market</stp>
        <stp>STOCK</stp>
        <stp>70480.T</stp>
        <stp>始値</stp>
        <tr r="C296" s="8"/>
      </tp>
      <tp>
        <v>3230</v>
        <stp/>
        <stp>Market</stp>
        <stp>STOCK</stp>
        <stp>69180.T</stp>
        <stp>始値</stp>
        <tr r="C279" s="8"/>
      </tp>
      <tp>
        <v>2575</v>
        <stp/>
        <stp>Market</stp>
        <stp>STOCK</stp>
        <stp>69280.T</stp>
        <stp>始値</stp>
        <tr r="C246" s="8"/>
      </tp>
      <tp>
        <v>1468</v>
        <stp/>
        <stp>Market</stp>
        <stp>STOCK</stp>
        <stp>68380.T</stp>
        <stp>始値</stp>
        <tr r="C148" s="8"/>
        <tr r="F85" s="4"/>
        <tr r="F6" s="5"/>
      </tp>
      <tp>
        <v>862</v>
        <stp/>
        <stp>Market</stp>
        <stp>STOCK</stp>
        <stp>68480.T</stp>
        <stp>始値</stp>
        <tr r="C274" s="8"/>
      </tp>
      <tp>
        <v>996</v>
        <stp/>
        <stp>Market</stp>
        <stp>STOCK</stp>
        <stp>64880.T</stp>
        <stp>始値</stp>
        <tr r="C280" s="8"/>
      </tp>
      <tp>
        <v>3522</v>
        <stp/>
        <stp>Market</stp>
        <stp>STOCK</stp>
        <stp>67580.T</stp>
        <stp>始値</stp>
        <tr r="F88" s="4"/>
        <tr r="C205" s="8"/>
        <tr r="F86" s="5"/>
      </tp>
      <tp>
        <v>2340</v>
        <stp/>
        <stp>Market</stp>
        <stp>STOCK</stp>
        <stp>61780.T</stp>
        <stp>始値</stp>
        <tr r="C104" s="8"/>
        <tr r="F59" s="5"/>
        <tr r="F112" s="4"/>
      </tp>
      <tp>
        <v>12640</v>
        <stp/>
        <stp>Market</stp>
        <stp>STOCK</stp>
        <stp>60980.T</stp>
        <stp>始値</stp>
        <tr r="C248" s="8"/>
      </tp>
    </main>
    <main first="rtdsrv.e07a56084d7946cdb07ca2177ccd3d26">
      <tp>
        <v>471.87560000000002</v>
        <stp/>
        <stp>Market</stp>
        <stp>STOCK</stp>
        <stp>281A0.T</stp>
        <stp>出来高加重平均</stp>
        <tr r="I9" s="16"/>
      </tp>
      <tp>
        <v>6754.6278000000002</v>
        <stp/>
        <stp>Market</stp>
        <stp>STOCK</stp>
        <stp>29140.T</stp>
        <stp>出来高加重平均</stp>
        <tr r="I38" s="16"/>
      </tp>
      <tp>
        <v>934</v>
        <stp/>
        <stp>Market</stp>
        <stp>STOCK</stp>
        <stp>95190.T</stp>
        <stp>始値</stp>
        <tr r="C214" s="8"/>
      </tp>
      <tp>
        <v>4218</v>
        <stp/>
        <stp>Market</stp>
        <stp>STOCK</stp>
        <stp>94490.T</stp>
        <stp>始値</stp>
        <tr r="F77" s="5"/>
        <tr r="C113" s="8"/>
        <tr r="F19" s="4"/>
      </tp>
      <tp>
        <v>2202.5</v>
        <stp/>
        <stp>Market</stp>
        <stp>STOCK</stp>
        <stp>90690.T</stp>
        <stp>始値</stp>
        <tr r="F28" s="4"/>
        <tr r="F60" s="5"/>
        <tr r="C110" s="8"/>
      </tp>
      <tp>
        <v>1642</v>
        <stp/>
        <stp>Market</stp>
        <stp>STOCK</stp>
        <stp>83090.T</stp>
        <stp>始値</stp>
        <tr r="F51" s="4"/>
        <tr r="F68" s="5"/>
        <tr r="C31" s="8"/>
      </tp>
      <tp>
        <v>2497</v>
        <stp/>
        <stp>Market</stp>
        <stp>STOCK</stp>
        <stp>83590.T</stp>
        <stp>始値</stp>
        <tr r="F48" s="4"/>
        <tr r="F26" s="5"/>
        <tr r="C123" s="8"/>
      </tp>
      <tp>
        <v>2016</v>
        <stp/>
        <stp>Market</stp>
        <stp>STOCK</stp>
        <stp>23590.T</stp>
        <stp>始値</stp>
        <tr r="F135" s="5"/>
        <tr r="F193" s="4"/>
        <tr r="C168" s="8"/>
      </tp>
      <tp>
        <v>3516</v>
        <stp/>
        <stp>Market</stp>
        <stp>STOCK</stp>
        <stp>59290.T</stp>
        <stp>始値</stp>
        <tr r="F119" s="4"/>
        <tr r="C49" s="8"/>
        <tr r="F69" s="5"/>
      </tp>
      <tp>
        <v>2498</v>
        <stp/>
        <stp>Market</stp>
        <stp>STOCK</stp>
        <stp>54490.T</stp>
        <stp>始値</stp>
        <tr r="C51" s="8"/>
        <tr r="F134" s="4"/>
        <tr r="F97" s="5"/>
      </tp>
      <tp>
        <v>1244.5</v>
        <stp/>
        <stp>Market</stp>
        <stp>STOCK</stp>
        <stp>50190.T</stp>
        <stp>始値</stp>
        <tr r="C24" s="8"/>
        <tr r="F148" s="4"/>
        <tr r="F140" s="5"/>
      </tp>
      <tp>
        <v>6601</v>
        <stp/>
        <stp>Market</stp>
        <stp>STOCK</stp>
        <stp>45190.T</stp>
        <stp>始値</stp>
        <tr r="F161" s="4"/>
        <tr r="C130" s="8"/>
        <tr r="F205" s="5"/>
      </tp>
      <tp>
        <v>1010</v>
        <stp/>
        <stp>Market</stp>
        <stp>STOCK</stp>
        <stp>47090.T</stp>
        <stp>始値</stp>
        <tr r="F115" s="5"/>
        <tr r="C170" s="8"/>
        <tr r="F154" s="4"/>
      </tp>
      <tp>
        <v>18100</v>
        <stp/>
        <stp>Market</stp>
        <stp>STOCK</stp>
        <stp>77290.T</stp>
        <stp>始値</stp>
        <tr r="F68" s="4"/>
        <tr r="F18" s="5"/>
        <tr r="C107" s="8"/>
      </tp>
      <tp>
        <v>4150</v>
        <stp/>
        <stp>Market</stp>
        <stp>STOCK</stp>
        <stp>76090.T</stp>
        <stp>始値</stp>
        <tr r="C240" s="8"/>
      </tp>
      <tp>
        <v>1650</v>
        <stp/>
        <stp>Market</stp>
        <stp>STOCK</stp>
        <stp>68090.T</stp>
        <stp>始値</stp>
        <tr r="C238" s="8"/>
      </tp>
      <tp>
        <v>3927</v>
        <stp/>
        <stp>Market</stp>
        <stp>STOCK</stp>
        <stp>64790.T</stp>
        <stp>始値</stp>
        <tr r="F101" s="4"/>
        <tr r="F24" s="5"/>
        <tr r="C79" s="8"/>
      </tp>
    </main>
    <main first="rtdsrv.e07a56084d7946cdb07ca2177ccd3d26">
      <tp t="s">
        <v/>
        <stp/>
        <stp>Market</stp>
        <stp>STOCK</stp>
        <stp/>
        <stp>前日比</stp>
        <tr r="J283" s="16"/>
        <tr r="J400" s="16"/>
        <tr r="J461" s="16"/>
        <tr r="J338" s="16"/>
        <tr r="J448" s="16"/>
        <tr r="J157" s="16"/>
        <tr r="J175" s="16"/>
        <tr r="J127" s="16"/>
        <tr r="J354" s="16"/>
        <tr r="J209" s="16"/>
        <tr r="J355" s="16"/>
        <tr r="J254" s="16"/>
        <tr r="J443" s="16"/>
        <tr r="J224" s="16"/>
        <tr r="J297" s="16"/>
        <tr r="J437" s="16"/>
        <tr r="J312" s="16"/>
        <tr r="J315" s="16"/>
        <tr r="J439" s="16"/>
        <tr r="J226" s="16"/>
        <tr r="J411" s="16"/>
        <tr r="J202" s="16"/>
        <tr r="J199" s="16"/>
        <tr r="J285" s="16"/>
        <tr r="J187" s="16"/>
        <tr r="J372" s="16"/>
        <tr r="J450" s="16"/>
        <tr r="J214" s="16"/>
        <tr r="J351" s="16"/>
        <tr r="J392" s="16"/>
        <tr r="J274" s="16"/>
        <tr r="J184" s="16"/>
        <tr r="J239" s="16"/>
        <tr r="J337" s="16"/>
        <tr r="J288" s="16"/>
        <tr r="J269" s="16"/>
        <tr r="J407" s="16"/>
        <tr r="J348" s="16"/>
        <tr r="J190" s="16"/>
        <tr r="J414" s="16"/>
        <tr r="J178" s="16"/>
        <tr r="J363" s="16"/>
        <tr r="J279" s="16"/>
        <tr r="J349" s="16"/>
        <tr r="J391" s="16"/>
        <tr r="J313" s="16"/>
        <tr r="J424" s="16"/>
        <tr r="J406" s="16"/>
        <tr r="J318" s="16"/>
        <tr r="J423" s="16"/>
        <tr r="J192" s="16"/>
        <tr r="J230" s="16"/>
        <tr r="J241" s="16"/>
        <tr r="J340" s="16"/>
        <tr r="J205" s="16"/>
        <tr r="J305" s="16"/>
        <tr r="J293" s="16"/>
        <tr r="J370" s="16"/>
        <tr r="J306" s="16"/>
        <tr r="J219" s="16"/>
        <tr r="J356" s="16"/>
        <tr r="J229" s="16"/>
        <tr r="J217" s="16"/>
        <tr r="J273" s="16"/>
        <tr r="J200" s="16"/>
        <tr r="J172" s="16"/>
        <tr r="J245" s="16"/>
        <tr r="J454" s="16"/>
        <tr r="J130" s="16"/>
        <tr r="J138" s="16"/>
        <tr r="J390" s="16"/>
        <tr r="J341" s="16"/>
        <tr r="J234" s="16"/>
        <tr r="J150" s="16"/>
        <tr r="J225" s="16"/>
        <tr r="J432" s="16"/>
        <tr r="J359" s="16"/>
        <tr r="J266" s="16"/>
        <tr r="J194" s="16"/>
        <tr r="J208" s="16"/>
        <tr r="J456" s="16"/>
        <tr r="J320" s="16"/>
        <tr r="J420" s="16"/>
        <tr r="J268" s="16"/>
        <tr r="J381" s="16"/>
        <tr r="J380" s="16"/>
        <tr r="J435" s="16"/>
        <tr r="J284" s="16"/>
        <tr r="J167" s="16"/>
        <tr r="J319" s="16"/>
        <tr r="J159" s="16"/>
        <tr r="J379" s="16"/>
        <tr r="J397" s="16"/>
        <tr r="J460" s="16"/>
        <tr r="J310" s="16"/>
        <tr r="J246" s="16"/>
        <tr r="J223" s="16"/>
        <tr r="J376" s="16"/>
        <tr r="J169" s="16"/>
        <tr r="J123" s="16"/>
        <tr r="J328" s="16"/>
        <tr r="J333" s="16"/>
        <tr r="J189" s="16"/>
        <tr r="J124" s="16"/>
        <tr r="J244" s="16"/>
        <tr r="J335" s="16"/>
        <tr r="J345" s="16"/>
        <tr r="J296" s="16"/>
        <tr r="J299" s="16"/>
        <tr r="J343" s="16"/>
        <tr r="J394" s="16"/>
        <tr r="J371" s="16"/>
        <tr r="J222" s="16"/>
        <tr r="J336" s="16"/>
        <tr r="J417" s="16"/>
        <tr r="J182" s="16"/>
        <tr r="J384" s="16"/>
        <tr r="J346" s="16"/>
        <tr r="J412" s="16"/>
        <tr r="J409" s="16"/>
        <tr r="J128" s="16"/>
        <tr r="J399" s="16"/>
        <tr r="J444" s="16"/>
        <tr r="J147" s="16"/>
        <tr r="J451" s="16"/>
        <tr r="J441" s="16"/>
        <tr r="J377" s="16"/>
        <tr r="J426" s="16"/>
        <tr r="J121" s="16"/>
        <tr r="J292" s="16"/>
        <tr r="J405" s="16"/>
        <tr r="J133" s="16"/>
        <tr r="J207" s="16"/>
        <tr r="J329" s="16"/>
        <tr r="J262" s="16"/>
        <tr r="J236" s="16"/>
        <tr r="J322" s="16"/>
        <tr r="J250" s="16"/>
        <tr r="J387" s="16"/>
        <tr r="J403" s="16"/>
        <tr r="J213" s="16"/>
        <tr r="J413" s="16"/>
        <tr r="J191" s="16"/>
        <tr r="J457" s="16"/>
        <tr r="J358" s="16"/>
        <tr r="J298" s="16"/>
        <tr r="J455" s="16"/>
        <tr r="J183" s="16"/>
        <tr r="J447" s="16"/>
        <tr r="J314" s="16"/>
        <tr r="J422" s="16"/>
        <tr r="J395" s="16"/>
        <tr r="J161" s="16"/>
        <tr r="J344" s="16"/>
        <tr r="J131" s="16"/>
        <tr r="J418" s="16"/>
        <tr r="J267" s="16"/>
        <tr r="J228" s="16"/>
        <tr r="J243" s="16"/>
        <tr r="J388" s="16"/>
        <tr r="J398" s="16"/>
        <tr r="J122" s="16"/>
        <tr r="J347" s="16"/>
        <tr r="J193" s="16"/>
        <tr r="J272" s="16"/>
        <tr r="J148" s="16"/>
        <tr r="J362" s="16"/>
        <tr r="J126" s="16"/>
        <tr r="J240" s="16"/>
        <tr r="J316" s="16"/>
        <tr r="J374" s="16"/>
        <tr r="J404" s="16"/>
        <tr r="J427" s="16"/>
        <tr r="J396" s="16"/>
        <tr r="J253" s="16"/>
        <tr r="J386" s="16"/>
        <tr r="J255" s="16"/>
        <tr r="J360" s="16"/>
        <tr r="J366" s="16"/>
        <tr r="J289" s="16"/>
        <tr r="J155" s="16"/>
        <tr r="J425" s="16"/>
        <tr r="J350" s="16"/>
        <tr r="J263" s="16"/>
        <tr r="J375" s="16"/>
        <tr r="J181" s="16"/>
        <tr r="J247" s="16"/>
        <tr r="J383" s="16"/>
        <tr r="J152" s="16"/>
        <tr r="J215" s="16"/>
        <tr r="J295" s="16"/>
        <tr r="J143" s="16"/>
        <tr r="J459" s="16"/>
        <tr r="J188" s="16"/>
        <tr r="J311" s="16"/>
        <tr r="J431" s="16"/>
        <tr r="J231" s="16"/>
        <tr r="J294" s="16"/>
        <tr r="J251" s="16"/>
        <tr r="J326" s="16"/>
        <tr r="J140" s="16"/>
        <tr r="J421" s="16"/>
        <tr r="J160" s="16"/>
        <tr r="J149" s="16"/>
        <tr r="J325" s="16"/>
        <tr r="J378" s="16"/>
        <tr r="J308" s="16"/>
        <tr r="J382" s="16"/>
        <tr r="J134" s="16"/>
        <tr r="J233" s="16"/>
        <tr r="J440" s="16"/>
        <tr r="J264" s="16"/>
        <tr r="J242" s="16"/>
        <tr r="J300" s="16"/>
        <tr r="J309" s="16"/>
        <tr r="J367" s="16"/>
        <tr r="J330" s="16"/>
        <tr r="J220" s="16"/>
        <tr r="J125" s="16"/>
        <tr r="J146" s="16"/>
        <tr r="J203" s="16"/>
        <tr r="J368" s="16"/>
        <tr r="J232" s="16"/>
        <tr r="J408" s="16"/>
        <tr r="J332" s="16"/>
        <tr r="J415" s="16"/>
        <tr r="J434" s="16"/>
        <tr r="J364" s="16"/>
        <tr r="J373" s="16"/>
        <tr r="J416" s="16"/>
        <tr r="J179" s="16"/>
        <tr r="J265" s="16"/>
        <tr r="J446" s="16"/>
        <tr r="J317" s="16"/>
        <tr r="J227" s="16"/>
        <tr r="J436" s="16"/>
        <tr r="J276" s="16"/>
        <tr r="J216" s="16"/>
        <tr r="J389" s="16"/>
        <tr r="J259" s="16"/>
        <tr r="J142" s="16"/>
        <tr r="J185" s="16"/>
        <tr r="J173" s="16"/>
        <tr r="J369" s="16"/>
        <tr r="J145" s="16"/>
        <tr r="J256" s="16"/>
        <tr r="J270" s="16"/>
        <tr r="J139" s="16"/>
        <tr r="J261" s="16"/>
        <tr r="J438" s="16"/>
        <tr r="J339" s="16"/>
        <tr r="J458" s="16"/>
        <tr r="J304" s="16"/>
        <tr r="J361" s="16"/>
        <tr r="J260" s="16"/>
        <tr r="J402" s="16"/>
        <tr r="J334" s="16"/>
        <tr r="J235" s="16"/>
        <tr r="J197" s="16"/>
        <tr r="J307" s="16"/>
        <tr r="J419" s="16"/>
        <tr r="J201" s="16"/>
        <tr r="J401" s="16"/>
        <tr r="J410" s="16"/>
        <tr r="J174" s="16"/>
        <tr r="J186" s="16"/>
        <tr r="J352" s="16"/>
        <tr r="J195" s="16"/>
        <tr r="J428" s="16"/>
        <tr r="J331" s="16"/>
        <tr r="J211" s="16"/>
        <tr r="J163" s="16"/>
        <tr r="J287" s="16"/>
        <tr r="J132" s="16"/>
        <tr r="J176" s="16"/>
        <tr r="J206" s="16"/>
        <tr r="J277" s="16"/>
        <tr r="J303" s="16"/>
        <tr r="J204" s="16"/>
        <tr r="J177" s="16"/>
        <tr r="J357" s="16"/>
        <tr r="J321" s="16"/>
        <tr r="J302" s="16"/>
        <tr r="J429" s="16"/>
        <tr r="J271" s="16"/>
        <tr r="J248" s="16"/>
        <tr r="J136" s="16"/>
        <tr r="J221" s="16"/>
        <tr r="J291" s="16"/>
        <tr r="J282" s="16"/>
        <tr r="J141" s="16"/>
        <tr r="J162" s="16"/>
        <tr r="J342" s="16"/>
        <tr r="J153" s="16"/>
        <tr r="J280" s="16"/>
        <tr r="J164" s="16"/>
        <tr r="J452" s="16"/>
        <tr r="J323" s="16"/>
        <tr r="J445" s="16"/>
        <tr r="J430" s="16"/>
        <tr r="J281" s="16"/>
        <tr r="J301" s="16"/>
        <tr r="J238" s="16"/>
        <tr r="J324" s="16"/>
        <tr r="J286" s="16"/>
        <tr r="J365" s="16"/>
        <tr r="J144" s="16"/>
        <tr r="J449" s="16"/>
        <tr r="J210" s="16"/>
        <tr r="J353" s="16"/>
        <tr r="J196" s="16"/>
        <tr r="J252" s="16"/>
        <tr r="J212" s="16"/>
        <tr r="J166" s="16"/>
        <tr r="J393" s="16"/>
        <tr r="J135" s="16"/>
        <tr r="J165" s="16"/>
        <tr r="J154" s="16"/>
        <tr r="J327" s="16"/>
        <tr r="J158" s="16"/>
        <tr r="J156" s="16"/>
        <tr r="J278" s="16"/>
        <tr r="J433" s="16"/>
        <tr r="J137" s="16"/>
        <tr r="J385" s="16"/>
        <tr r="J237" s="16"/>
        <tr r="J442" s="16"/>
        <tr r="J198" s="16"/>
        <tr r="J258" s="16"/>
        <tr r="J257" s="16"/>
        <tr r="J171" s="16"/>
        <tr r="J249" s="16"/>
        <tr r="J180" s="16"/>
        <tr r="J129" s="16"/>
        <tr r="J170" s="16"/>
        <tr r="J218" s="16"/>
        <tr r="J275" s="16"/>
        <tr r="J151" s="16"/>
        <tr r="J168" s="16"/>
        <tr r="J453" s="16"/>
        <tr r="J290" s="16"/>
      </tp>
      <tp>
        <v>4138.6009999999997</v>
        <stp/>
        <stp>Market</stp>
        <stp>STOCK</stp>
        <stp>33970.T</stp>
        <stp>出来高加重平均</stp>
        <tr r="I30" s="16"/>
        <tr r="I22" s="16"/>
      </tp>
      <tp>
        <v>7459.9385000000002</v>
        <stp/>
        <stp>Market</stp>
        <stp>STOCK</stp>
        <stp>38910.T</stp>
        <stp>出来高加重平均</stp>
        <tr r="I29" s="16"/>
        <tr r="I20" s="16"/>
      </tp>
    </main>
    <main first="rtdsrv.e07a56084d7946cdb07ca2177ccd3d26">
      <tp>
        <v>3.5</v>
        <stp/>
        <stp>Market</stp>
        <stp>STOCK</stp>
        <stp>85930.T</stp>
        <stp>前日比</stp>
        <tr r="J26" s="16"/>
      </tp>
      <tp>
        <v>-15</v>
        <stp/>
        <stp>Market</stp>
        <stp>STOCK</stp>
        <stp>84240.T</stp>
        <stp>前日比</stp>
        <tr r="J19" s="16"/>
      </tp>
      <tp>
        <v>65</v>
        <stp/>
        <stp>Market</stp>
        <stp>STOCK</stp>
        <stp>83340.T</stp>
        <stp>前日比</stp>
        <tr r="J11" s="16"/>
      </tp>
      <tp>
        <v>25</v>
        <stp/>
        <stp>Market</stp>
        <stp>STOCK</stp>
        <stp>88710.T</stp>
        <stp>前日比</stp>
        <tr r="J43" s="16"/>
      </tp>
      <tp>
        <v>644</v>
        <stp/>
        <stp>Market</stp>
        <stp>STOCK</stp>
        <stp>99840.T</stp>
        <stp>前日比</stp>
        <tr r="J13" s="16"/>
      </tp>
    </main>
    <main first="rtdsrv.e07a56084d7946cdb07ca2177ccd3d26">
      <tp>
        <v>12</v>
        <stp/>
        <stp>Market</stp>
        <stp>STOCK</stp>
        <stp>29140.T</stp>
        <stp>前日比</stp>
        <tr r="J38" s="16"/>
      </tp>
      <tp>
        <v>-1</v>
        <stp/>
        <stp>Market</stp>
        <stp>STOCK</stp>
        <stp>281A0.T</stp>
        <stp>前日比</stp>
        <tr r="J9" s="16"/>
      </tp>
      <tp>
        <v>-13</v>
        <stp/>
        <stp>Market</stp>
        <stp>STOCK</stp>
        <stp>33970.T</stp>
        <stp>前日比</stp>
        <tr r="J30" s="16"/>
        <tr r="J22" s="16"/>
      </tp>
      <tp>
        <v>570</v>
        <stp/>
        <stp>Market</stp>
        <stp>STOCK</stp>
        <stp>38910.T</stp>
        <stp>前日比</stp>
        <tr r="J29" s="16"/>
        <tr r="J20" s="16"/>
      </tp>
      <tp t="s">
        <v/>
        <stp/>
        <stp>Market</stp>
        <stp>STOCK</stp>
        <stp/>
        <stp>出来高加重平均</stp>
        <tr r="I149" s="16"/>
        <tr r="I306" s="16"/>
        <tr r="I289" s="16"/>
        <tr r="I397" s="16"/>
        <tr r="I451" s="16"/>
        <tr r="I263" s="16"/>
        <tr r="I357" s="16"/>
        <tr r="I293" s="16"/>
        <tr r="I428" s="16"/>
        <tr r="I382" s="16"/>
        <tr r="I280" s="16"/>
        <tr r="I297" s="16"/>
        <tr r="I298" s="16"/>
        <tr r="I233" s="16"/>
        <tr r="I329" s="16"/>
        <tr r="I179" s="16"/>
        <tr r="I215" s="16"/>
        <tr r="I143" s="16"/>
        <tr r="I181" s="16"/>
        <tr r="I221" s="16"/>
        <tr r="I182" s="16"/>
        <tr r="I251" s="16"/>
        <tr r="I349" s="16"/>
        <tr r="I384" s="16"/>
        <tr r="I139" s="16"/>
        <tr r="I351" s="16"/>
        <tr r="I415" s="16"/>
        <tr r="I193" s="16"/>
        <tr r="I318" s="16"/>
        <tr r="I156" s="16"/>
        <tr r="I187" s="16"/>
        <tr r="I317" s="16"/>
        <tr r="I227" s="16"/>
        <tr r="I212" s="16"/>
        <tr r="I393" s="16"/>
        <tr r="I204" s="16"/>
        <tr r="I162" s="16"/>
        <tr r="I341" s="16"/>
        <tr r="I260" s="16"/>
        <tr r="I250" s="16"/>
        <tr r="I336" s="16"/>
        <tr r="I359" s="16"/>
        <tr r="I388" s="16"/>
        <tr r="I240" s="16"/>
        <tr r="I224" s="16"/>
        <tr r="I186" s="16"/>
        <tr r="I191" s="16"/>
        <tr r="I253" s="16"/>
        <tr r="I184" s="16"/>
        <tr r="I180" s="16"/>
        <tr r="I311" s="16"/>
        <tr r="I138" s="16"/>
        <tr r="I125" s="16"/>
        <tr r="I291" s="16"/>
        <tr r="I427" s="16"/>
        <tr r="I414" s="16"/>
        <tr r="I152" s="16"/>
        <tr r="I145" s="16"/>
        <tr r="I371" s="16"/>
        <tr r="I151" s="16"/>
        <tr r="I130" s="16"/>
        <tr r="I255" s="16"/>
        <tr r="I290" s="16"/>
        <tr r="I410" s="16"/>
        <tr r="I141" s="16"/>
        <tr r="I407" s="16"/>
        <tr r="C33" s="14"/>
        <tr r="I321" s="16"/>
        <tr r="I378" s="16"/>
        <tr r="I459" s="16"/>
        <tr r="I168" s="16"/>
        <tr r="I337" s="16"/>
        <tr r="I285" s="16"/>
        <tr r="I450" s="16"/>
        <tr r="I300" s="16"/>
        <tr r="I261" s="16"/>
        <tr r="I245" s="16"/>
        <tr r="I343" s="16"/>
        <tr r="I161" s="16"/>
        <tr r="I422" s="16"/>
        <tr r="I217" s="16"/>
        <tr r="I160" s="16"/>
        <tr r="I197" s="16"/>
        <tr r="I380" s="16"/>
        <tr r="I395" s="16"/>
        <tr r="I364" s="16"/>
        <tr r="I292" s="16"/>
        <tr r="I266" s="16"/>
        <tr r="I445" s="16"/>
        <tr r="I220" s="16"/>
        <tr r="I339" s="16"/>
        <tr r="I440" s="16"/>
        <tr r="I171" s="16"/>
        <tr r="I305" s="16"/>
        <tr r="I232" s="16"/>
        <tr r="I401" s="16"/>
        <tr r="I142" s="16"/>
        <tr r="I205" s="16"/>
        <tr r="I154" s="16"/>
        <tr r="I387" s="16"/>
        <tr r="I165" s="16"/>
        <tr r="I444" s="16"/>
        <tr r="I133" s="16"/>
        <tr r="I324" s="16"/>
        <tr r="I369" s="16"/>
        <tr r="I202" s="16"/>
        <tr r="I268" s="16"/>
        <tr r="I246" s="16"/>
        <tr r="I358" s="16"/>
        <tr r="I323" s="16"/>
        <tr r="I452" s="16"/>
        <tr r="I447" s="16"/>
        <tr r="I374" s="16"/>
        <tr r="I456" s="16"/>
        <tr r="I146" s="16"/>
        <tr r="I409" s="16"/>
        <tr r="I426" s="16"/>
        <tr r="I201" s="16"/>
        <tr r="I309" s="16"/>
        <tr r="I460" s="16"/>
        <tr r="I207" s="16"/>
        <tr r="I214" s="16"/>
        <tr r="I183" s="16"/>
        <tr r="I437" s="16"/>
        <tr r="I347" s="16"/>
        <tr r="I342" s="16"/>
        <tr r="I235" s="16"/>
        <tr r="I404" s="16"/>
        <tr r="I385" s="16"/>
        <tr r="I345" s="16"/>
        <tr r="I442" s="16"/>
        <tr r="I264" s="16"/>
        <tr r="I288" s="16"/>
        <tr r="I270" s="16"/>
        <tr r="I167" s="16"/>
        <tr r="I203" s="16"/>
        <tr r="I195" s="16"/>
        <tr r="I229" s="16"/>
        <tr r="I313" s="16"/>
        <tr r="I252" s="16"/>
        <tr r="I209" s="16"/>
        <tr r="I377" s="16"/>
        <tr r="I353" s="16"/>
        <tr r="I381" s="16"/>
        <tr r="I411" s="16"/>
        <tr r="I237" s="16"/>
        <tr r="I319" s="16"/>
        <tr r="I163" s="16"/>
        <tr r="I433" s="16"/>
        <tr r="I331" s="16"/>
        <tr r="I157" s="16"/>
        <tr r="I234" s="16"/>
        <tr r="I211" s="16"/>
        <tr r="I366" s="16"/>
        <tr r="I322" s="16"/>
        <tr r="I461" s="16"/>
        <tr r="I396" s="16"/>
        <tr r="I295" s="16"/>
        <tr r="I379" s="16"/>
        <tr r="I421" s="16"/>
        <tr r="I247" s="16"/>
        <tr r="I176" s="16"/>
        <tr r="I325" s="16"/>
        <tr r="I185" s="16"/>
        <tr r="I188" s="16"/>
        <tr r="I400" s="16"/>
        <tr r="I453" s="16"/>
        <tr r="I276" s="16"/>
        <tr r="I316" s="16"/>
        <tr r="I275" s="16"/>
        <tr r="I131" s="16"/>
        <tr r="I436" s="16"/>
        <tr r="I159" s="16"/>
        <tr r="I443" s="16"/>
        <tr r="I431" s="16"/>
        <tr r="I360" s="16"/>
        <tr r="I375" s="16"/>
        <tr r="I129" s="16"/>
        <tr r="I200" s="16"/>
        <tr r="I330" s="16"/>
        <tr r="I326" s="16"/>
        <tr r="I174" s="16"/>
        <tr r="I412" s="16"/>
        <tr r="I315" s="16"/>
        <tr r="I312" s="16"/>
        <tr r="I269" s="16"/>
        <tr r="I413" s="16"/>
        <tr r="I304" s="16"/>
        <tr r="I219" s="16"/>
        <tr r="I265" s="16"/>
        <tr r="I441" s="16"/>
        <tr r="I383" s="16"/>
        <tr r="I140" s="16"/>
        <tr r="I158" s="16"/>
        <tr r="I446" s="16"/>
        <tr r="I190" s="16"/>
        <tr r="I425" s="16"/>
        <tr r="I352" s="16"/>
        <tr r="I284" s="16"/>
        <tr r="I386" s="16"/>
        <tr r="I402" s="16"/>
        <tr r="I150" s="16"/>
        <tr r="I241" s="16"/>
        <tr r="I238" s="16"/>
        <tr r="I392" s="16"/>
        <tr r="I335" s="16"/>
        <tr r="I216" s="16"/>
        <tr r="I419" s="16"/>
        <tr r="I198" s="16"/>
        <tr r="I208" s="16"/>
        <tr r="I424" s="16"/>
        <tr r="I147" s="16"/>
        <tr r="I455" s="16"/>
        <tr r="I287" s="16"/>
        <tr r="I390" s="16"/>
        <tr r="I391" s="16"/>
        <tr r="I178" s="16"/>
        <tr r="I155" s="16"/>
        <tr r="I244" s="16"/>
        <tr r="I222" s="16"/>
        <tr r="I225" s="16"/>
        <tr r="I213" s="16"/>
        <tr r="I271" s="16"/>
        <tr r="I429" s="16"/>
        <tr r="I256" s="16"/>
        <tr r="I354" s="16"/>
        <tr r="I175" s="16"/>
        <tr r="I416" s="16"/>
        <tr r="I454" s="16"/>
        <tr r="I257" s="16"/>
        <tr r="I144" s="16"/>
        <tr r="I302" s="16"/>
        <tr r="I344" s="16"/>
        <tr r="I267" s="16"/>
        <tr r="I350" s="16"/>
        <tr r="I226" s="16"/>
        <tr r="I132" s="16"/>
        <tr r="I242" s="16"/>
        <tr r="I259" s="16"/>
        <tr r="I192" s="16"/>
        <tr r="I356" s="16"/>
        <tr r="I189" s="16"/>
        <tr r="I363" s="16"/>
        <tr r="I231" s="16"/>
        <tr r="I348" s="16"/>
        <tr r="I307" s="16"/>
        <tr r="I405" s="16"/>
        <tr r="I368" s="16"/>
        <tr r="I194" s="16"/>
        <tr r="I328" s="16"/>
        <tr r="I223" s="16"/>
        <tr r="I124" s="16"/>
        <tr r="I283" s="16"/>
        <tr r="I435" s="16"/>
        <tr r="I128" s="16"/>
        <tr r="I346" s="16"/>
        <tr r="I170" s="16"/>
        <tr r="I294" s="16"/>
        <tr r="I134" s="16"/>
        <tr r="I296" s="16"/>
        <tr r="I166" s="16"/>
        <tr r="I406" s="16"/>
        <tr r="I286" s="16"/>
        <tr r="I206" s="16"/>
        <tr r="I199" s="16"/>
        <tr r="I136" s="16"/>
        <tr r="I367" s="16"/>
        <tr r="I370" s="16"/>
        <tr r="I278" s="16"/>
        <tr r="I399" s="16"/>
        <tr r="I438" s="16"/>
        <tr r="I418" s="16"/>
        <tr r="I457" s="16"/>
        <tr r="I169" s="16"/>
        <tr r="I389" s="16"/>
        <tr r="I458" s="16"/>
        <tr r="I338" s="16"/>
        <tr r="I172" s="16"/>
        <tr r="I439" s="16"/>
        <tr r="I258" s="16"/>
        <tr r="I230" s="16"/>
        <tr r="I434" s="16"/>
        <tr r="I432" s="16"/>
        <tr r="I334" s="16"/>
        <tr r="I249" s="16"/>
        <tr r="I274" s="16"/>
        <tr r="I376" s="16"/>
        <tr r="I361" s="16"/>
        <tr r="I372" s="16"/>
        <tr r="I148" s="16"/>
        <tr r="I423" s="16"/>
        <tr r="I408" s="16"/>
        <tr r="I373" s="16"/>
        <tr r="I164" s="16"/>
        <tr r="I135" s="16"/>
        <tr r="I420" s="16"/>
        <tr r="I273" s="16"/>
        <tr r="I127" s="16"/>
        <tr r="I196" s="16"/>
        <tr r="I310" s="16"/>
        <tr r="I448" s="16"/>
        <tr r="I362" s="16"/>
        <tr r="I314" s="16"/>
        <tr r="I277" s="16"/>
        <tr r="I210" s="16"/>
        <tr r="I430" s="16"/>
        <tr r="I153" s="16"/>
        <tr r="I394" s="16"/>
        <tr r="I121" s="16"/>
        <tr r="I281" s="16"/>
        <tr r="I365" s="16"/>
        <tr r="I236" s="16"/>
        <tr r="I340" s="16"/>
        <tr r="I355" s="16"/>
        <tr r="I248" s="16"/>
        <tr r="I137" s="16"/>
        <tr r="I320" s="16"/>
        <tr r="I122" s="16"/>
        <tr r="I303" s="16"/>
        <tr r="I308" s="16"/>
        <tr r="I126" s="16"/>
        <tr r="I332" s="16"/>
        <tr r="I243" s="16"/>
        <tr r="I398" s="16"/>
        <tr r="I262" s="16"/>
        <tr r="I173" s="16"/>
        <tr r="I403" s="16"/>
        <tr r="I282" s="16"/>
        <tr r="I123" s="16"/>
        <tr r="I327" s="16"/>
        <tr r="I333" s="16"/>
        <tr r="I254" s="16"/>
        <tr r="I228" s="16"/>
        <tr r="I218" s="16"/>
        <tr r="I177" s="16"/>
        <tr r="I301" s="16"/>
        <tr r="I299" s="16"/>
        <tr r="I279" s="16"/>
        <tr r="I272" s="16"/>
        <tr r="I239" s="16"/>
        <tr r="I449" s="16"/>
        <tr r="I417" s="16"/>
      </tp>
    </main>
    <main first="rtdsrv.e07a56084d7946cdb07ca2177ccd3d26">
      <tp>
        <v>162</v>
        <stp/>
        <stp>Market</stp>
        <stp>STOCK</stp>
        <stp>19420.T</stp>
        <stp>前日比</stp>
        <tr r="J39" s="16"/>
      </tp>
      <tp>
        <v>650</v>
        <stp/>
        <stp>Market</stp>
        <stp>STOCK</stp>
        <stp>66220.T</stp>
        <stp>前日比</stp>
        <tr r="J32" s="16"/>
        <tr r="J24" s="16"/>
      </tp>
      <tp>
        <v>-77</v>
        <stp/>
        <stp>Market</stp>
        <stp>STOCK</stp>
        <stp>65220.T</stp>
        <stp>前日比</stp>
        <tr r="J6" s="16"/>
      </tp>
      <tp>
        <v>-19</v>
        <stp/>
        <stp>Market</stp>
        <stp>STOCK</stp>
        <stp>64360.T</stp>
        <stp>前日比</stp>
        <tr r="J10" s="16"/>
        <tr r="J44" s="16"/>
      </tp>
      <tp>
        <v>-2</v>
        <stp/>
        <stp>Market</stp>
        <stp>STOCK</stp>
        <stp>64880.T</stp>
        <stp>前日比</stp>
        <tr r="J34" s="16"/>
      </tp>
      <tp>
        <v>245</v>
        <stp/>
        <stp>Market</stp>
        <stp>STOCK</stp>
        <stp>63270.T</stp>
        <stp>前日比</stp>
        <tr r="J40" s="16"/>
      </tp>
      <tp>
        <v>520</v>
        <stp/>
        <stp>Market</stp>
        <stp>STOCK</stp>
        <stp>63870.T</stp>
        <stp>前日比</stp>
        <tr r="J12" s="16"/>
      </tp>
      <tp>
        <v>3060</v>
        <stp/>
        <stp>Market</stp>
        <stp>STOCK</stp>
        <stp>61460.T</stp>
        <stp>前日比</stp>
        <tr r="J7" s="16"/>
      </tp>
      <tp>
        <v>19.5</v>
        <stp/>
        <stp>Market</stp>
        <stp>STOCK</stp>
        <stp>61780.T</stp>
        <stp>前日比</stp>
        <tr r="J4" s="16"/>
      </tp>
      <tp>
        <v>74</v>
        <stp/>
        <stp>Market</stp>
        <stp>STOCK</stp>
        <stp>60270.T</stp>
        <stp>前日比</stp>
        <tr r="J45" s="16"/>
      </tp>
      <tp>
        <v>285</v>
        <stp/>
        <stp>Market</stp>
        <stp>STOCK</stp>
        <stp>69540.T</stp>
        <stp>前日比</stp>
        <tr r="J46" s="16"/>
      </tp>
      <tp>
        <v>11</v>
        <stp/>
        <stp>Market</stp>
        <stp>STOCK</stp>
        <stp>69550.T</stp>
        <stp>前日比</stp>
        <tr r="J17" s="16"/>
      </tp>
      <tp>
        <v>121</v>
        <stp/>
        <stp>Market</stp>
        <stp>STOCK</stp>
        <stp>69280.T</stp>
        <stp>前日比</stp>
        <tr r="J33" s="16"/>
      </tp>
      <tp>
        <v>98</v>
        <stp/>
        <stp>Market</stp>
        <stp>STOCK</stp>
        <stp>68620.T</stp>
        <stp>前日比</stp>
        <tr r="J36" s="16"/>
      </tp>
      <tp>
        <v>12</v>
        <stp/>
        <stp>Market</stp>
        <stp>STOCK</stp>
        <stp>77460.T</stp>
        <stp>前日比</stp>
        <tr r="J8" s="16"/>
      </tp>
      <tp>
        <v>135</v>
        <stp/>
        <stp>Market</stp>
        <stp>STOCK</stp>
        <stp>77110.T</stp>
        <stp>前日比</stp>
        <tr r="J16" s="16"/>
      </tp>
      <tp>
        <v>23</v>
        <stp/>
        <stp>Market</stp>
        <stp>STOCK</stp>
        <stp>73750.T</stp>
        <stp>前日比</stp>
        <tr r="J21" s="16"/>
      </tp>
      <tp>
        <v>20</v>
        <stp/>
        <stp>Market</stp>
        <stp>STOCK</stp>
        <stp>79520.T</stp>
        <stp>前日比</stp>
        <tr r="J35" s="16"/>
      </tp>
      <tp>
        <v>15</v>
        <stp/>
        <stp>Market</stp>
        <stp>STOCK</stp>
        <stp>79810.T</stp>
        <stp>前日比</stp>
        <tr r="J14" s="16"/>
        <tr r="J31" s="16"/>
        <tr r="J23" s="16"/>
      </tp>
      <tp>
        <v>-80</v>
        <stp/>
        <stp>Market</stp>
        <stp>STOCK</stp>
        <stp>46610.T</stp>
        <stp>前日比</stp>
        <tr r="J41" s="16"/>
      </tp>
      <tp>
        <v>-49</v>
        <stp/>
        <stp>Market</stp>
        <stp>STOCK</stp>
        <stp>45400.T</stp>
        <stp>前日比</stp>
        <tr r="J15" s="16"/>
      </tp>
      <tp>
        <v>-116</v>
        <stp/>
        <stp>Market</stp>
        <stp>STOCK</stp>
        <stp>45230.T</stp>
        <stp>前日比</stp>
        <tr r="J27" s="16"/>
      </tp>
      <tp>
        <v>-127</v>
        <stp/>
        <stp>Market</stp>
        <stp>STOCK</stp>
        <stp>43070.T</stp>
        <stp>前日比</stp>
        <tr r="J18" s="16"/>
      </tp>
      <tp>
        <v>40.5</v>
        <stp/>
        <stp>Market</stp>
        <stp>STOCK</stp>
        <stp>41880.T</stp>
        <stp>前日比</stp>
        <tr r="J5" s="16"/>
        <tr r="J37" s="16"/>
      </tp>
      <tp>
        <v>163</v>
        <stp/>
        <stp>Market</stp>
        <stp>STOCK</stp>
        <stp>40630.T</stp>
        <stp>前日比</stp>
        <tr r="J25" s="16"/>
      </tp>
      <tp>
        <v>88</v>
        <stp/>
        <stp>Market</stp>
        <stp>STOCK</stp>
        <stp>40820.T</stp>
        <stp>前日比</stp>
        <tr r="J28" s="16"/>
      </tp>
      <tp>
        <v>418</v>
        <stp/>
        <stp>Market</stp>
        <stp>STOCK</stp>
        <stp>57130.T</stp>
        <stp>前日比</stp>
        <tr r="J42" s="16"/>
      </tp>
    </main>
    <main first="rtdsrv.e07a56084d7946cdb07ca2177ccd3d26">
      <tp t="s">
        <v/>
        <stp/>
        <stp>Market</stp>
        <stp>STOCK</stp>
        <stp/>
        <stp>始値</stp>
        <tr r="C31" s="14"/>
      </tp>
    </main>
    <main first="rtdsrv.e07a56084d7946cdb07ca2177ccd3d26">
      <tp t="s">
        <v/>
        <stp/>
        <stp>MarginPositionList</stp>
        <stp>2766298731232,1,1,5,5</stp>
        <stp/>
        <stp>A</stp>
        <stp>0</stp>
        <stp>0</stp>
        <stp>0</stp>
        <tr r="F2" s="14"/>
      </tp>
    </main>
    <main first="rtdsrv.e07a56084d7946cdb07ca2177ccd3d26">
      <tp>
        <v>2910</v>
        <stp/>
        <stp>Market</stp>
        <stp>STOCK</stp>
        <stp>300A0.T</stp>
        <stp>安値</stp>
        <tr r="C252" s="10"/>
      </tp>
      <tp>
        <v>467</v>
        <stp/>
        <stp>Market</stp>
        <stp>STOCK</stp>
        <stp>281A0.T</stp>
        <stp>安値</stp>
        <tr r="C266" s="10"/>
      </tp>
      <tp>
        <v>53400</v>
        <stp/>
        <stp>Market</stp>
        <stp>STOCK</stp>
        <stp>285A0.T</stp>
        <stp>安値</stp>
        <tr r="C218" s="10"/>
      </tp>
      <tp>
        <v>13150</v>
        <stp/>
        <stp>Market</stp>
        <stp>STOCK</stp>
        <stp>278A0.T</stp>
        <stp>安値</stp>
        <tr r="C251" s="10"/>
      </tp>
      <tp>
        <v>1131</v>
        <stp/>
        <stp>Market</stp>
        <stp>STOCK</stp>
        <stp>186A0.T</stp>
        <stp>安値</stp>
        <tr r="C299" s="10"/>
      </tp>
      <tp>
        <v>833</v>
        <stp/>
        <stp>Market</stp>
        <stp>STOCK</stp>
        <stp>155A0.T</stp>
        <stp>安値</stp>
        <tr r="C250" s="10"/>
      </tp>
      <tp>
        <v>3210</v>
        <stp/>
        <stp>Market</stp>
        <stp>STOCK</stp>
        <stp>141A0.T</stp>
        <stp>安値</stp>
        <tr r="C219" s="10"/>
      </tp>
      <tp>
        <v>1845</v>
        <stp/>
        <stp>Market</stp>
        <stp>STOCK</stp>
        <stp>485A0.T</stp>
        <stp>安値</stp>
        <tr r="C221" s="10"/>
      </tp>
      <tp>
        <v>1592</v>
        <stp/>
        <stp>Market</stp>
        <stp>STOCK</stp>
        <stp>464A0.T</stp>
        <stp>安値</stp>
        <tr r="C220" s="10"/>
      </tp>
    </main>
    <main first="rtdsrv.e07a56084d7946cdb07ca2177ccd3d26">
      <tp>
        <v>1145</v>
        <stp/>
        <stp>Market</stp>
        <stp>STOCK</stp>
        <stp>186A0.T</stp>
        <stp>始値</stp>
        <tr r="C299" s="8"/>
      </tp>
      <tp>
        <v>840</v>
        <stp/>
        <stp>Market</stp>
        <stp>STOCK</stp>
        <stp>155A0.T</stp>
        <stp>始値</stp>
        <tr r="C250" s="8"/>
      </tp>
      <tp>
        <v>3260</v>
        <stp/>
        <stp>Market</stp>
        <stp>STOCK</stp>
        <stp>141A0.T</stp>
        <stp>始値</stp>
        <tr r="C219" s="8"/>
      </tp>
      <tp>
        <v>2950</v>
        <stp/>
        <stp>Market</stp>
        <stp>STOCK</stp>
        <stp>300A0.T</stp>
        <stp>始値</stp>
        <tr r="C252" s="8"/>
      </tp>
      <tp>
        <v>470</v>
        <stp/>
        <stp>Market</stp>
        <stp>STOCK</stp>
        <stp>281A0.T</stp>
        <stp>始値</stp>
        <tr r="C266" s="8"/>
      </tp>
      <tp>
        <v>56000</v>
        <stp/>
        <stp>Market</stp>
        <stp>STOCK</stp>
        <stp>285A0.T</stp>
        <stp>始値</stp>
        <tr r="C218" s="8"/>
      </tp>
      <tp>
        <v>13800</v>
        <stp/>
        <stp>Market</stp>
        <stp>STOCK</stp>
        <stp>278A0.T</stp>
        <stp>始値</stp>
        <tr r="C251" s="8"/>
      </tp>
      <tp>
        <v>1887</v>
        <stp/>
        <stp>Market</stp>
        <stp>STOCK</stp>
        <stp>485A0.T</stp>
        <stp>始値</stp>
        <tr r="C221" s="8"/>
      </tp>
      <tp>
        <v>1601</v>
        <stp/>
        <stp>Market</stp>
        <stp>STOCK</stp>
        <stp>464A0.T</stp>
        <stp>始値</stp>
        <tr r="C220" s="8"/>
      </tp>
    </main>
    <main first="rtdsrv.e07a56084d7946cdb07ca2177ccd3d26">
      <tp t="s">
        <v/>
        <stp/>
        <stp>MarginOpenOrder</stp>
        <stp>2766298731232,55,55,2,2</stp>
        <stp>8051</stp>
        <stp>1</stp>
        <stp/>
        <stp>3</stp>
        <stp>0</stp>
        <stp>1</stp>
        <stp>4164</stp>
        <stp>100</stp>
        <stp>0</stp>
        <stp/>
        <stp>1</stp>
        <stp/>
        <stp>0</stp>
        <stp/>
        <stp/>
        <stp/>
        <stp/>
        <stp>0</stp>
        <stp/>
        <stp/>
        <stp/>
        <stp/>
        <tr r="C56" s="14"/>
      </tp>
      <tp t="s">
        <v/>
        <stp/>
        <stp>ChartPast</stp>
        <stp>2766298709728,2,2,0,0</stp>
        <stp>7532</stp>
        <stp>D</stp>
        <stp>20260303</stp>
        <stp>120</stp>
        <tr r="A3" s="13"/>
      </tp>
      <tp t="s">
        <v/>
        <stp/>
        <stp>Market</stp>
        <stp>STOCK</stp>
        <stp>TOPX0.T</stp>
        <stp>安値</stp>
        <tr r="I3" s="4"/>
        <tr r="I36" s="5"/>
      </tp>
    </main>
    <main first="rtdsrv.e07a56084d7946cdb07ca2177ccd3d26">
      <tp t="s">
        <v/>
        <stp/>
        <stp>Market</stp>
        <stp>STOCK</stp>
        <stp>TOPX0.T</stp>
        <stp>始値</stp>
        <tr r="F36" s="5"/>
        <tr r="F3" s="4"/>
      </tp>
    </main>
    <main first="rtdsrv.e07a56084d7946cdb07ca2177ccd3d26">
      <tp>
        <v>200</v>
        <stp/>
        <stp>Market</stp>
        <stp>STOCK</stp>
        <stp>96870.T</stp>
        <stp>出来高</stp>
        <tr r="J11" s="4"/>
        <tr r="J44" s="5"/>
        <tr r="C162" s="12"/>
      </tp>
      <tp>
        <v>7000</v>
        <stp/>
        <stp>Market</stp>
        <stp>STOCK</stp>
        <stp>97330.T</stp>
        <stp>出来高</stp>
        <tr r="J153" s="5"/>
        <tr r="C166" s="12"/>
        <tr r="J10" s="4"/>
      </tp>
      <tp>
        <v>252400</v>
        <stp/>
        <stp>Market</stp>
        <stp>STOCK</stp>
        <stp>94040.T</stp>
        <stp>出来高</stp>
        <tr r="J23" s="4"/>
        <tr r="J78" s="5"/>
        <tr r="C119" s="12"/>
      </tp>
      <tp>
        <v>101600</v>
        <stp/>
        <stp>Market</stp>
        <stp>STOCK</stp>
        <stp>94160.T</stp>
        <stp>出来高</stp>
        <tr r="C126" s="12"/>
        <tr r="J21" s="4"/>
        <tr r="J107" s="5"/>
      </tp>
      <tp>
        <v>1701000</v>
        <stp/>
        <stp>Market</stp>
        <stp>STOCK</stp>
        <stp>94120.T</stp>
        <stp>出来高</stp>
        <tr r="J22" s="5"/>
        <tr r="J22" s="4"/>
        <tr r="C56" s="12"/>
      </tp>
      <tp>
        <v>1218700</v>
        <stp/>
        <stp>Market</stp>
        <stp>STOCK</stp>
        <stp>94240.T</stp>
        <stp>出来高</stp>
        <tr r="J15" s="5"/>
        <tr r="J20" s="4"/>
        <tr r="C70" s="12"/>
      </tp>
      <tp>
        <v>182600</v>
        <stp/>
        <stp>Market</stp>
        <stp>STOCK</stp>
        <stp>94490.T</stp>
        <stp>出来高</stp>
        <tr r="J19" s="4"/>
        <tr r="C113" s="12"/>
        <tr r="J77" s="5"/>
      </tp>
      <tp>
        <v>1241700</v>
        <stp/>
        <stp>Market</stp>
        <stp>STOCK</stp>
        <stp>95060.T</stp>
        <stp>出来高</stp>
        <tr r="J16" s="4"/>
        <tr r="C186" s="12"/>
        <tr r="J193" s="5"/>
      </tp>
      <tp>
        <v>446700</v>
        <stp/>
        <stp>Market</stp>
        <stp>STOCK</stp>
        <stp>95050.T</stp>
        <stp>出来高</stp>
        <tr r="J17" s="4"/>
        <tr r="C181" s="12"/>
        <tr r="J157" s="5"/>
      </tp>
      <tp>
        <v>20332400</v>
        <stp/>
        <stp>Market</stp>
        <stp>STOCK</stp>
        <stp>95010.T</stp>
        <stp>出来高</stp>
        <tr r="J105" s="5"/>
        <tr r="J18" s="4"/>
        <tr r="C114" s="12"/>
      </tp>
      <tp>
        <v>334400</v>
        <stp/>
        <stp>Market</stp>
        <stp>STOCK</stp>
        <stp>95190.T</stp>
        <stp>出来高</stp>
        <tr r="C214" s="12"/>
      </tp>
      <tp>
        <v>45000</v>
        <stp/>
        <stp>Market</stp>
        <stp>STOCK</stp>
        <stp>95360.T</stp>
        <stp>出来高</stp>
        <tr r="J160" s="5"/>
        <tr r="J13" s="4"/>
        <tr r="C185" s="12"/>
      </tp>
      <tp>
        <v>357600</v>
        <stp/>
        <stp>Market</stp>
        <stp>STOCK</stp>
        <stp>95320.T</stp>
        <stp>出来高</stp>
        <tr r="J14" s="4"/>
        <tr r="J79" s="5"/>
        <tr r="C127" s="12"/>
      </tp>
      <tp>
        <v>481100</v>
        <stp/>
        <stp>Market</stp>
        <stp>STOCK</stp>
        <stp>95310.T</stp>
        <stp>出来高</stp>
        <tr r="J15" s="4"/>
        <tr r="J203" s="5"/>
        <tr r="C115" s="12"/>
      </tp>
      <tp>
        <v>75500</v>
        <stp/>
        <stp>Market</stp>
        <stp>STOCK</stp>
        <stp>95510.T</stp>
        <stp>出来高</stp>
        <tr r="J12" s="4"/>
        <tr r="C167" s="12"/>
        <tr r="J134" s="5"/>
      </tp>
      <tp>
        <v>1398900</v>
        <stp/>
        <stp>Market</stp>
        <stp>STOCK</stp>
        <stp>92020.T</stp>
        <stp>出来高</stp>
        <tr r="J99" s="5"/>
        <tr r="J26" s="4"/>
        <tr r="C74" s="12"/>
      </tp>
      <tp>
        <v>136200</v>
        <stp/>
        <stp>Market</stp>
        <stp>STOCK</stp>
        <stp>92270.T</stp>
        <stp>出来高</stp>
        <tr r="J25" s="4"/>
        <tr r="J146" s="5"/>
        <tr r="C111" s="12"/>
      </tp>
      <tp>
        <v>702600</v>
        <stp/>
        <stp>Market</stp>
        <stp>STOCK</stp>
        <stp>93480.T</stp>
        <stp>出来高</stp>
        <tr r="J8" s="5"/>
        <tr r="J24" s="4"/>
        <tr r="C112" s="12"/>
      </tp>
      <tp>
        <v>1150800</v>
        <stp/>
        <stp>Market</stp>
        <stp>STOCK</stp>
        <stp>90220.T</stp>
        <stp>出来高</stp>
        <tr r="C184" s="12"/>
        <tr r="J159" s="5"/>
        <tr r="J29" s="4"/>
      </tp>
      <tp>
        <v>1737900</v>
        <stp/>
        <stp>Market</stp>
        <stp>STOCK</stp>
        <stp>90200.T</stp>
        <stp>出来高</stp>
        <tr r="J30" s="4"/>
        <tr r="C109" s="12"/>
        <tr r="J104" s="5"/>
      </tp>
      <tp>
        <v>206400</v>
        <stp/>
        <stp>Market</stp>
        <stp>STOCK</stp>
        <stp>90690.T</stp>
        <stp>出来高</stp>
        <tr r="J60" s="5"/>
        <tr r="J28" s="4"/>
        <tr r="C110" s="12"/>
      </tp>
      <tp>
        <v>859400</v>
        <stp/>
        <stp>Market</stp>
        <stp>STOCK</stp>
        <stp>90640.T</stp>
        <stp>出来高</stp>
        <tr r="J4" s="4"/>
        <tr r="J163" s="5"/>
        <tr r="C189" s="12"/>
      </tp>
      <tp>
        <v>2061900</v>
        <stp/>
        <stp>Market</stp>
        <stp>STOCK</stp>
        <stp>91040.T</stp>
        <stp>出来高</stp>
        <tr r="C259" s="12"/>
      </tp>
      <tp>
        <v>3758600</v>
        <stp/>
        <stp>Market</stp>
        <stp>STOCK</stp>
        <stp>91010.T</stp>
        <stp>出来高</stp>
        <tr r="J164" s="5"/>
        <tr r="C206" s="12"/>
        <tr r="J27" s="4"/>
      </tp>
      <tp>
        <v>13700</v>
        <stp/>
        <stp>Market</stp>
        <stp>STOCK</stp>
        <stp>91150.T</stp>
        <stp>出来高</stp>
        <tr r="C270" s="12"/>
      </tp>
      <tp>
        <v>7900</v>
        <stp/>
        <stp>Market</stp>
        <stp>STOCK</stp>
        <stp>91650.T</stp>
        <stp>出来高</stp>
        <tr r="C243" s="12"/>
      </tp>
      <tp>
        <v>106500</v>
        <stp/>
        <stp>Market</stp>
        <stp>STOCK</stp>
        <stp>98820.T</stp>
        <stp>出来高</stp>
        <tr r="J9" s="4"/>
        <tr r="J128" s="5"/>
        <tr r="C116" s="12"/>
      </tp>
      <tp>
        <v>135400</v>
        <stp/>
        <stp>Market</stp>
        <stp>STOCK</stp>
        <stp>98800.T</stp>
        <stp>出来高</stp>
        <tr r="C257" s="12"/>
      </tp>
      <tp>
        <v>42788800</v>
        <stp/>
        <stp>Market</stp>
        <stp>STOCK</stp>
        <stp>99840.T</stp>
        <stp>出来高</stp>
        <tr r="J8" s="4"/>
        <tr r="J53" s="5"/>
        <tr r="C65" s="12"/>
      </tp>
      <tp>
        <v>2708700</v>
        <stp/>
        <stp>Market</stp>
        <stp>STOCK</stp>
        <stp>99620.T</stp>
        <stp>出来高</stp>
        <tr r="C233" s="12"/>
      </tp>
    </main>
    <main first="rtdsrv.e07a56084d7946cdb07ca2177ccd3d26">
      <tp>
        <v>4918000</v>
        <stp/>
        <stp>Market</stp>
        <stp>STOCK</stp>
        <stp>86040.T</stp>
        <stp>出来高</stp>
        <tr r="C40" s="12"/>
        <tr r="J199" s="5"/>
        <tr r="J40" s="4"/>
      </tp>
      <tp>
        <v>2585900</v>
        <stp/>
        <stp>Market</stp>
        <stp>STOCK</stp>
        <stp>86010.T</stp>
        <stp>出来高</stp>
        <tr r="J41" s="4"/>
        <tr r="J198" s="5"/>
        <tr r="C33" s="12"/>
      </tp>
      <tp>
        <v>752800</v>
        <stp/>
        <stp>Market</stp>
        <stp>STOCK</stp>
        <stp>86300.T</stp>
        <stp>出来高</stp>
        <tr r="J39" s="4"/>
        <tr r="C54" s="12"/>
        <tr r="J176" s="5"/>
      </tp>
      <tp>
        <v>581000</v>
        <stp/>
        <stp>Market</stp>
        <stp>STOCK</stp>
        <stp>87950.T</stp>
        <stp>出来高</stp>
        <tr r="C23" s="12"/>
        <tr r="J91" s="5"/>
        <tr r="J34" s="4"/>
      </tp>
      <tp>
        <v>11100</v>
        <stp/>
        <stp>Market</stp>
        <stp>STOCK</stp>
        <stp>87930.T</stp>
        <stp>出来高</stp>
        <tr r="C232" s="12"/>
      </tp>
      <tp>
        <v>53100</v>
        <stp/>
        <stp>Market</stp>
        <stp>STOCK</stp>
        <stp>87040.T</stp>
        <stp>出来高</stp>
        <tr r="J38" s="4"/>
        <tr r="J19" s="5"/>
        <tr r="C164" s="12"/>
      </tp>
      <tp>
        <v>1896000</v>
        <stp/>
        <stp>Market</stp>
        <stp>STOCK</stp>
        <stp>87250.T</stp>
        <stp>出来高</stp>
        <tr r="J168" s="5"/>
        <tr r="J37" s="4"/>
        <tr r="C22" s="12"/>
      </tp>
      <tp>
        <v>3884100</v>
        <stp/>
        <stp>Market</stp>
        <stp>STOCK</stp>
        <stp>87500.T</stp>
        <stp>出来高</stp>
        <tr r="J36" s="4"/>
        <tr r="J200" s="5"/>
        <tr r="C43" s="12"/>
      </tp>
      <tp>
        <v>1818500</v>
        <stp/>
        <stp>Market</stp>
        <stp>STOCK</stp>
        <stp>87660.T</stp>
        <stp>出来高</stp>
        <tr r="J35" s="4"/>
        <tr r="J174" s="5"/>
        <tr r="C52" s="12"/>
      </tp>
      <tp>
        <v>6986100</v>
        <stp/>
        <stp>Market</stp>
        <stp>STOCK</stp>
        <stp>84110.T</stp>
        <stp>出来高</stp>
        <tr r="J47" s="4"/>
        <tr r="C19" s="12"/>
        <tr r="J66" s="5"/>
      </tp>
      <tp>
        <v>62000</v>
        <stp/>
        <stp>Market</stp>
        <stp>STOCK</stp>
        <stp>84240.T</stp>
        <stp>出来高</stp>
        <tr r="J46" s="4"/>
        <tr r="J185" s="5"/>
        <tr r="C108" s="12"/>
      </tp>
      <tp>
        <v>2117800</v>
        <stp/>
        <stp>Market</stp>
        <stp>STOCK</stp>
        <stp>85930.T</stp>
        <stp>出来高</stp>
        <tr r="C39" s="12"/>
        <tr r="J171" s="5"/>
        <tr r="J42" s="4"/>
      </tp>
      <tp>
        <v>1734500</v>
        <stp/>
        <stp>Market</stp>
        <stp>STOCK</stp>
        <stp>85910.T</stp>
        <stp>出来高</stp>
        <tr r="J67" s="5"/>
        <tr r="J43" s="4"/>
        <tr r="C26" s="12"/>
      </tp>
      <tp>
        <v>669800</v>
        <stp/>
        <stp>Market</stp>
        <stp>STOCK</stp>
        <stp>85720.T</stp>
        <stp>出来高</stp>
        <tr r="J44" s="4"/>
        <tr r="J38" s="5"/>
        <tr r="C47" s="12"/>
      </tp>
      <tp>
        <v>139100</v>
        <stp/>
        <stp>Market</stp>
        <stp>STOCK</stp>
        <stp>85700.T</stp>
        <stp>出来高</stp>
        <tr r="J45" s="4"/>
        <tr r="C37" s="12"/>
        <tr r="J94" s="5"/>
      </tp>
      <tp>
        <v>39800</v>
        <stp/>
        <stp>Market</stp>
        <stp>STOCK</stp>
        <stp>82810.T</stp>
        <stp>出来高</stp>
        <tr r="J55" s="4"/>
        <tr r="C63" s="12"/>
        <tr r="J179" s="5"/>
      </tp>
      <tp>
        <v>3664800</v>
        <stp/>
        <stp>Market</stp>
        <stp>STOCK</stp>
        <stp>83090.T</stp>
        <stp>出来高</stp>
        <tr r="J51" s="4"/>
        <tr r="J68" s="5"/>
        <tr r="C31" s="12"/>
      </tp>
      <tp>
        <v>6488700</v>
        <stp/>
        <stp>Market</stp>
        <stp>STOCK</stp>
        <stp>83080.T</stp>
        <stp>出来高</stp>
        <tr r="J52" s="4"/>
        <tr r="C35" s="12"/>
        <tr r="J92" s="5"/>
      </tp>
      <tp>
        <v>29938900</v>
        <stp/>
        <stp>Market</stp>
        <stp>STOCK</stp>
        <stp>83060.T</stp>
        <stp>出来高</stp>
        <tr r="J53" s="4"/>
        <tr r="C45" s="12"/>
        <tr r="J201" s="5"/>
      </tp>
      <tp>
        <v>4793300</v>
        <stp/>
        <stp>Market</stp>
        <stp>STOCK</stp>
        <stp>83030.T</stp>
        <stp>出来高</stp>
        <tr r="J54" s="4"/>
        <tr r="C172" s="12"/>
        <tr r="J191" s="5"/>
      </tp>
      <tp>
        <v>7788200</v>
        <stp/>
        <stp>Market</stp>
        <stp>STOCK</stp>
        <stp>83160.T</stp>
        <stp>出来高</stp>
        <tr r="J70" s="5"/>
        <tr r="C50" s="12"/>
        <tr r="J50" s="4"/>
      </tp>
      <tp>
        <v>548400</v>
        <stp/>
        <stp>Market</stp>
        <stp>STOCK</stp>
        <stp>83340.T</stp>
        <stp>出来高</stp>
        <tr r="J204" s="5"/>
        <tr r="J49" s="4"/>
        <tr r="C122" s="12"/>
      </tp>
      <tp>
        <v>78600</v>
        <stp/>
        <stp>Market</stp>
        <stp>STOCK</stp>
        <stp>83440.T</stp>
        <stp>出来高</stp>
        <tr r="C293" s="12"/>
      </tp>
      <tp>
        <v>789600</v>
        <stp/>
        <stp>Market</stp>
        <stp>STOCK</stp>
        <stp>83590.T</stp>
        <stp>出来高</stp>
        <tr r="J26" s="5"/>
        <tr r="J48" s="4"/>
        <tr r="C123" s="12"/>
      </tp>
      <tp>
        <v>4600</v>
        <stp/>
        <stp>Market</stp>
        <stp>STOCK</stp>
        <stp>80910.T</stp>
        <stp>出来高</stp>
        <tr r="J57" s="4"/>
        <tr r="J158" s="5"/>
        <tr r="C182" s="12"/>
      </tp>
      <tp>
        <v>64000</v>
        <stp/>
        <stp>Market</stp>
        <stp>STOCK</stp>
        <stp>80070.T</stp>
        <stp>出来高</stp>
        <tr r="C281" s="12"/>
      </tp>
      <tp>
        <v>184400</v>
        <stp/>
        <stp>Market</stp>
        <stp>STOCK</stp>
        <stp>80050.T</stp>
        <stp>出来高</stp>
        <tr r="C236" s="12"/>
      </tp>
      <tp>
        <v>5208400</v>
        <stp/>
        <stp>Market</stp>
        <stp>STOCK</stp>
        <stp>80020.T</stp>
        <stp>出来高</stp>
        <tr r="C14" s="12"/>
        <tr r="J167" s="5"/>
        <tr r="J62" s="4"/>
      </tp>
      <tp>
        <v>1867400</v>
        <stp/>
        <stp>Market</stp>
        <stp>STOCK</stp>
        <stp>80150.T</stp>
        <stp>出来高</stp>
        <tr r="J65" s="5"/>
        <tr r="C204" s="12"/>
        <tr r="J61" s="4"/>
      </tp>
      <tp>
        <v>2442300</v>
        <stp/>
        <stp>Market</stp>
        <stp>STOCK</stp>
        <stp>80350.T</stp>
        <stp>出来高</stp>
        <tr r="J60" s="4"/>
        <tr r="J35" s="5"/>
        <tr r="C198" s="12"/>
      </tp>
      <tp>
        <v>4566800</v>
        <stp/>
        <stp>Market</stp>
        <stp>STOCK</stp>
        <stp>80580.T</stp>
        <stp>出来高</stp>
        <tr r="J58" s="4"/>
        <tr r="C16" s="12"/>
        <tr r="J89" s="5"/>
      </tp>
      <tp>
        <v>6146900</v>
        <stp/>
        <stp>Market</stp>
        <stp>STOCK</stp>
        <stp>80530.T</stp>
        <stp>出来高</stp>
        <tr r="J49" s="5"/>
        <tr r="J59" s="4"/>
        <tr r="C25" s="12"/>
      </tp>
      <tp>
        <v>97600</v>
        <stp/>
        <stp>Market</stp>
        <stp>STOCK</stp>
        <stp>81030.T</stp>
        <stp>出来高</stp>
        <tr r="J56" s="4"/>
        <tr r="C169" s="12"/>
        <tr r="J136" s="5"/>
      </tp>
      <tp>
        <v>31800</v>
        <stp/>
        <stp>Market</stp>
        <stp>STOCK</stp>
        <stp>81410.T</stp>
        <stp>出来高</stp>
        <tr r="C292" s="12"/>
      </tp>
      <tp>
        <v>113700</v>
        <stp/>
        <stp>Market</stp>
        <stp>STOCK</stp>
        <stp>88920.T</stp>
        <stp>出来高</stp>
        <tr r="J32" s="4"/>
        <tr r="C161" s="12"/>
        <tr r="J114" s="5"/>
      </tp>
      <tp>
        <v>3874700</v>
        <stp/>
        <stp>Market</stp>
        <stp>STOCK</stp>
        <stp>88010.T</stp>
        <stp>出来高</stp>
        <tr r="C124" s="12"/>
        <tr r="J129" s="5"/>
        <tr r="J33" s="4"/>
      </tp>
      <tp>
        <v>27600</v>
        <stp/>
        <stp>Market</stp>
        <stp>STOCK</stp>
        <stp>88710.T</stp>
        <stp>出来高</stp>
        <tr r="C278" s="12"/>
      </tp>
      <tp>
        <v>42500</v>
        <stp/>
        <stp>Market</stp>
        <stp>STOCK</stp>
        <stp>89340.T</stp>
        <stp>出来高</stp>
        <tr r="J149" s="5"/>
        <tr r="C125" s="12"/>
        <tr r="J31" s="4"/>
      </tp>
    </main>
    <main first="rtdsrv.e07a56084d7946cdb07ca2177ccd3d26">
      <tp>
        <v>130400</v>
        <stp/>
        <stp>Market</stp>
        <stp>STOCK</stp>
        <stp>76850.T</stp>
        <stp>出来高</stp>
        <tr r="J69" s="4"/>
        <tr r="C121" s="12"/>
        <tr r="J148" s="5"/>
      </tp>
      <tp>
        <v>374800</v>
        <stp/>
        <stp>Market</stp>
        <stp>STOCK</stp>
        <stp>76090.T</stp>
        <stp>出来高</stp>
        <tr r="C240" s="12"/>
      </tp>
      <tp>
        <v>274900</v>
        <stp/>
        <stp>Market</stp>
        <stp>STOCK</stp>
        <stp>77940.T</stp>
        <stp>出来高</stp>
        <tr r="J66" s="4"/>
        <tr r="J80" s="5"/>
        <tr r="C136" s="12"/>
      </tp>
      <tp>
        <v>55900</v>
        <stp/>
        <stp>Market</stp>
        <stp>STOCK</stp>
        <stp>77110.T</stp>
        <stp>出来高</stp>
        <tr r="C268" s="12"/>
      </tp>
      <tp>
        <v>761100</v>
        <stp/>
        <stp>Market</stp>
        <stp>STOCK</stp>
        <stp>77290.T</stp>
        <stp>出来高</stp>
        <tr r="J68" s="4"/>
        <tr r="C107" s="12"/>
        <tr r="J18" s="5"/>
      </tp>
      <tp>
        <v>2405500</v>
        <stp/>
        <stp>Market</stp>
        <stp>STOCK</stp>
        <stp>77350.T</stp>
        <stp>出来高</stp>
        <tr r="C283" s="12"/>
      </tp>
      <tp>
        <v>288900</v>
        <stp/>
        <stp>Market</stp>
        <stp>STOCK</stp>
        <stp>77460.T</stp>
        <stp>出来高</stp>
        <tr r="J67" s="4"/>
        <tr r="J144" s="5"/>
        <tr r="C93" s="12"/>
      </tp>
      <tp>
        <v>679100</v>
        <stp/>
        <stp>Market</stp>
        <stp>STOCK</stp>
        <stp>77410.T</stp>
        <stp>出来高</stp>
        <tr r="C302" s="12"/>
      </tp>
      <tp>
        <v>11800</v>
        <stp/>
        <stp>Market</stp>
        <stp>STOCK</stp>
        <stp>74140.T</stp>
        <stp>出来高</stp>
        <tr r="C294" s="12"/>
      </tp>
      <tp>
        <v>3255800</v>
        <stp/>
        <stp>Market</stp>
        <stp>STOCK</stp>
        <stp>75320.T</stp>
        <stp>出来高</stp>
        <tr r="C305" s="12"/>
      </tp>
      <tp>
        <v>33371100</v>
        <stp/>
        <stp>Market</stp>
        <stp>STOCK</stp>
        <stp>72030.T</stp>
        <stp>出来高</stp>
        <tr r="J73" s="4"/>
        <tr r="J73" s="5"/>
        <tr r="C77" s="12"/>
      </tp>
      <tp>
        <v>514800</v>
        <stp/>
        <stp>Market</stp>
        <stp>STOCK</stp>
        <stp>72360.T</stp>
        <stp>出来高</stp>
        <tr r="C177" s="12"/>
        <tr r="J137" s="5"/>
        <tr r="J72" s="4"/>
      </tp>
      <tp>
        <v>7589600</v>
        <stp/>
        <stp>Market</stp>
        <stp>STOCK</stp>
        <stp>72700.T</stp>
        <stp>出来高</stp>
        <tr r="C286" s="12"/>
      </tp>
      <tp>
        <v>402100</v>
        <stp/>
        <stp>Market</stp>
        <stp>STOCK</stp>
        <stp>73810.T</stp>
        <stp>出来高</stp>
        <tr r="C152" s="12"/>
        <tr r="J70" s="4"/>
        <tr r="J63" s="5"/>
      </tp>
      <tp>
        <v>11100</v>
        <stp/>
        <stp>Market</stp>
        <stp>STOCK</stp>
        <stp>73750.T</stp>
        <stp>出来高</stp>
        <tr r="J190" s="5"/>
        <tr r="J71" s="4"/>
        <tr r="C149" s="12"/>
      </tp>
      <tp>
        <v>815400</v>
        <stp/>
        <stp>Market</stp>
        <stp>STOCK</stp>
        <stp>70140.T</stp>
        <stp>出来高</stp>
        <tr r="C256" s="12"/>
      </tp>
      <tp>
        <v>29264100</v>
        <stp/>
        <stp>Market</stp>
        <stp>STOCK</stp>
        <stp>70130.T</stp>
        <stp>出来高</stp>
        <tr r="C231" s="12"/>
      </tp>
      <tp>
        <v>23415700</v>
        <stp/>
        <stp>Market</stp>
        <stp>STOCK</stp>
        <stp>70110.T</stp>
        <stp>出来高</stp>
        <tr r="J197" s="5"/>
        <tr r="J77" s="4"/>
        <tr r="C207" s="12"/>
      </tp>
      <tp>
        <v>1300</v>
        <stp/>
        <stp>Market</stp>
        <stp>STOCK</stp>
        <stp>70210.T</stp>
        <stp>出来高</stp>
        <tr r="J76" s="4"/>
        <tr r="J76" s="5"/>
        <tr r="C106" s="12"/>
      </tp>
      <tp>
        <v>24800</v>
        <stp/>
        <stp>Market</stp>
        <stp>STOCK</stp>
        <stp>70480.T</stp>
        <stp>出来高</stp>
        <tr r="C296" s="12"/>
      </tp>
      <tp>
        <v>2817000</v>
        <stp/>
        <stp>Market</stp>
        <stp>STOCK</stp>
        <stp>71820.T</stp>
        <stp>出来高</stp>
        <tr r="J102" s="5"/>
        <tr r="C85" s="12"/>
        <tr r="J74" s="4"/>
      </tp>
      <tp>
        <v>905600</v>
        <stp/>
        <stp>Market</stp>
        <stp>STOCK</stp>
        <stp>71810.T</stp>
        <stp>出来高</stp>
        <tr r="C190" s="12"/>
        <tr r="J119" s="5"/>
        <tr r="J5" s="4"/>
      </tp>
      <tp>
        <v>1271200</v>
        <stp/>
        <stp>Market</stp>
        <stp>STOCK</stp>
        <stp>71670.T</stp>
        <stp>出来高</stp>
        <tr r="C82" s="12"/>
        <tr r="J75" s="4"/>
        <tr r="J101" s="5"/>
      </tp>
      <tp>
        <v>329900</v>
        <stp/>
        <stp>Market</stp>
        <stp>STOCK</stp>
        <stp>78060.T</stp>
        <stp>出来高</stp>
        <tr r="J55" s="5"/>
        <tr r="J65" s="4"/>
        <tr r="C73" s="12"/>
      </tp>
      <tp>
        <v>101800</v>
        <stp/>
        <stp>Market</stp>
        <stp>STOCK</stp>
        <stp>78460.T</stp>
        <stp>出来高</stp>
        <tr r="J64" s="4"/>
        <tr r="J202" s="5"/>
        <tr r="C75" s="12"/>
      </tp>
      <tp>
        <v>59500</v>
        <stp/>
        <stp>Market</stp>
        <stp>STOCK</stp>
        <stp>79810.T</stp>
        <stp>出来高</stp>
        <tr r="J63" s="4"/>
        <tr r="J116" s="5"/>
        <tr r="C171" s="12"/>
      </tp>
      <tp>
        <v>9000</v>
        <stp/>
        <stp>Market</stp>
        <stp>STOCK</stp>
        <stp>79520.T</stp>
        <stp>出来高</stp>
        <tr r="C276" s="12"/>
      </tp>
      <tp>
        <v>78900</v>
        <stp/>
        <stp>Market</stp>
        <stp>STOCK</stp>
        <stp>79720.T</stp>
        <stp>出来高</stp>
        <tr r="C241" s="12"/>
      </tp>
    </main>
    <main first="rtdsrv.e07a56084d7946cdb07ca2177ccd3d26">
      <tp>
        <v>3397500</v>
        <stp/>
        <stp>Market</stp>
        <stp>STOCK</stp>
        <stp>66130.T</stp>
        <stp>出来高</stp>
        <tr r="J3" s="5"/>
        <tr r="C141" s="12"/>
        <tr r="J94" s="4"/>
      </tp>
      <tp>
        <v>542800</v>
        <stp/>
        <stp>Market</stp>
        <stp>STOCK</stp>
        <stp>66220.T</stp>
        <stp>出来高</stp>
        <tr r="C216" s="12"/>
      </tp>
      <tp>
        <v>561600</v>
        <stp/>
        <stp>Market</stp>
        <stp>STOCK</stp>
        <stp>66740.T</stp>
        <stp>出来高</stp>
        <tr r="C264" s="12"/>
      </tp>
      <tp>
        <v>466000</v>
        <stp/>
        <stp>Market</stp>
        <stp>STOCK</stp>
        <stp>67870.T</stp>
        <stp>出来高</stp>
        <tr r="J86" s="4"/>
        <tr r="C145" s="12"/>
        <tr r="J10" s="5"/>
      </tp>
      <tp>
        <v>17400</v>
        <stp/>
        <stp>Market</stp>
        <stp>STOCK</stp>
        <stp>67060.T</stp>
        <stp>出来高</stp>
        <tr r="C291" s="12"/>
      </tp>
      <tp>
        <v>2879200</v>
        <stp/>
        <stp>Market</stp>
        <stp>STOCK</stp>
        <stp>67010.T</stp>
        <stp>出来高</stp>
        <tr r="C11" s="12"/>
        <tr r="J139" s="5"/>
        <tr r="J93" s="4"/>
      </tp>
      <tp>
        <v>25100</v>
        <stp/>
        <stp>Market</stp>
        <stp>STOCK</stp>
        <stp>67360.T</stp>
        <stp>出来高</stp>
        <tr r="C287" s="12"/>
      </tp>
      <tp>
        <v>37900</v>
        <stp/>
        <stp>Market</stp>
        <stp>STOCK</stp>
        <stp>67440.T</stp>
        <stp>出来高</stp>
        <tr r="J91" s="4"/>
        <tr r="C120" s="12"/>
        <tr r="J106" s="5"/>
      </tp>
      <tp>
        <v>6248600</v>
        <stp/>
        <stp>Market</stp>
        <stp>STOCK</stp>
        <stp>67400.T</stp>
        <stp>出来高</stp>
        <tr r="C140" s="12"/>
        <tr r="J92" s="4"/>
        <tr r="J189" s="5"/>
      </tp>
      <tp>
        <v>10225800</v>
        <stp/>
        <stp>Market</stp>
        <stp>STOCK</stp>
        <stp>67580.T</stp>
        <stp>出来高</stp>
        <tr r="C205" s="12"/>
        <tr r="J88" s="4"/>
        <tr r="J86" s="5"/>
      </tp>
      <tp>
        <v>1758100</v>
        <stp/>
        <stp>Market</stp>
        <stp>STOCK</stp>
        <stp>67540.T</stp>
        <stp>出来高</stp>
        <tr r="J31" s="5"/>
        <tr r="J89" s="4"/>
        <tr r="C155" s="12"/>
      </tp>
      <tp>
        <v>1832600</v>
        <stp/>
        <stp>Market</stp>
        <stp>STOCK</stp>
        <stp>67530.T</stp>
        <stp>出来高</stp>
        <tr r="J90" s="4"/>
        <tr r="C188" s="12"/>
        <tr r="J162" s="5"/>
      </tp>
      <tp>
        <v>5289800</v>
        <stp/>
        <stp>Market</stp>
        <stp>STOCK</stp>
        <stp>67520.T</stp>
        <stp>出来高</stp>
        <tr r="C215" s="12"/>
      </tp>
      <tp>
        <v>7662700</v>
        <stp/>
        <stp>Market</stp>
        <stp>STOCK</stp>
        <stp>67620.T</stp>
        <stp>出来高</stp>
        <tr r="C234" s="12"/>
      </tp>
      <tp>
        <v>164400</v>
        <stp/>
        <stp>Market</stp>
        <stp>STOCK</stp>
        <stp>67770.T</stp>
        <stp>出来高</stp>
        <tr r="J130" s="5"/>
        <tr r="J87" s="4"/>
        <tr r="C144" s="12"/>
      </tp>
      <tp>
        <v>3100</v>
        <stp/>
        <stp>Market</stp>
        <stp>STOCK</stp>
        <stp>64880.T</stp>
        <stp>出来高</stp>
        <tr r="C280" s="12"/>
      </tp>
      <tp>
        <v>9700</v>
        <stp/>
        <stp>Market</stp>
        <stp>STOCK</stp>
        <stp>64850.T</stp>
        <stp>出来高</stp>
        <tr r="J194" s="5"/>
        <tr r="J6" s="4"/>
        <tr r="C191" s="12"/>
      </tp>
      <tp>
        <v>38700</v>
        <stp/>
        <stp>Market</stp>
        <stp>STOCK</stp>
        <stp>64820.T</stp>
        <stp>出来高</stp>
        <tr r="C290" s="12"/>
      </tp>
      <tp>
        <v>602800</v>
        <stp/>
        <stp>Market</stp>
        <stp>STOCK</stp>
        <stp>64070.T</stp>
        <stp>出来高</stp>
        <tr r="C295" s="12"/>
      </tp>
      <tp>
        <v>154400</v>
        <stp/>
        <stp>Market</stp>
        <stp>STOCK</stp>
        <stp>64360.T</stp>
        <stp>出来高</stp>
        <tr r="J155" s="5"/>
        <tr r="J102" s="4"/>
        <tr r="C178" s="12"/>
      </tp>
      <tp>
        <v>2553100</v>
        <stp/>
        <stp>Market</stp>
        <stp>STOCK</stp>
        <stp>64790.T</stp>
        <stp>出来高</stp>
        <tr r="J101" s="4"/>
        <tr r="C79" s="12"/>
        <tr r="J24" s="5"/>
      </tp>
      <tp>
        <v>128300</v>
        <stp/>
        <stp>Market</stp>
        <stp>STOCK</stp>
        <stp>65070.T</stp>
        <stp>出来高</stp>
        <tr r="C183" s="12"/>
        <tr r="J97" s="4"/>
        <tr r="J64" s="5"/>
      </tp>
      <tp>
        <v>5132000</v>
        <stp/>
        <stp>Market</stp>
        <stp>STOCK</stp>
        <stp>65060.T</stp>
        <stp>出来高</stp>
        <tr r="J20" s="5"/>
        <tr r="J98" s="4"/>
        <tr r="C201" s="12"/>
      </tp>
      <tp>
        <v>3886800</v>
        <stp/>
        <stp>Market</stp>
        <stp>STOCK</stp>
        <stp>65030.T</stp>
        <stp>出来高</stp>
        <tr r="J39" s="5"/>
        <tr r="J99" s="4"/>
        <tr r="C68" s="12"/>
      </tp>
      <tp>
        <v>9062200</v>
        <stp/>
        <stp>Market</stp>
        <stp>STOCK</stp>
        <stp>65010.T</stp>
        <stp>出来高</stp>
        <tr r="J126" s="5"/>
        <tr r="J100" s="4"/>
        <tr r="C91" s="12"/>
      </tp>
      <tp>
        <v>164700</v>
        <stp/>
        <stp>Market</stp>
        <stp>STOCK</stp>
        <stp>65160.T</stp>
        <stp>出来高</stp>
        <tr r="J96" s="4"/>
        <tr r="J29" s="5"/>
        <tr r="C151" s="12"/>
      </tp>
      <tp>
        <v>917000</v>
        <stp/>
        <stp>Market</stp>
        <stp>STOCK</stp>
        <stp>65220.T</stp>
        <stp>出来高</stp>
        <tr r="J95" s="4"/>
        <tr r="J111" s="5"/>
        <tr r="C143" s="12"/>
      </tp>
      <tp>
        <v>159600</v>
        <stp/>
        <stp>Market</stp>
        <stp>STOCK</stp>
        <stp>65210.T</stp>
        <stp>出来高</stp>
        <tr r="C242" s="12"/>
      </tp>
      <tp>
        <v>224700</v>
        <stp/>
        <stp>Market</stp>
        <stp>STOCK</stp>
        <stp>62030.T</stp>
        <stp>出来高</stp>
        <tr r="J50" s="5"/>
        <tr r="J111" s="4"/>
        <tr r="C57" s="12"/>
      </tp>
      <tp>
        <v>937300</v>
        <stp/>
        <stp>Market</stp>
        <stp>STOCK</stp>
        <stp>62270.T</stp>
        <stp>出来高</stp>
        <tr r="J108" s="5"/>
        <tr r="J110" s="4"/>
        <tr r="C132" s="12"/>
      </tp>
      <tp>
        <v>529000</v>
        <stp/>
        <stp>Market</stp>
        <stp>STOCK</stp>
        <stp>62320.T</stp>
        <stp>出来高</stp>
        <tr r="J109" s="4"/>
        <tr r="J28" s="5"/>
        <tr r="C135" s="12"/>
      </tp>
      <tp>
        <v>840900</v>
        <stp/>
        <stp>Market</stp>
        <stp>STOCK</stp>
        <stp>62540.T</stp>
        <stp>出来高</stp>
        <tr r="J5" s="5"/>
        <tr r="J108" s="4"/>
        <tr r="C30" s="12"/>
      </tp>
      <tp>
        <v>136700</v>
        <stp/>
        <stp>Market</stp>
        <stp>STOCK</stp>
        <stp>62730.T</stp>
        <stp>出来高</stp>
        <tr r="C211" s="12"/>
      </tp>
      <tp>
        <v>121300</v>
        <stp/>
        <stp>Market</stp>
        <stp>STOCK</stp>
        <stp>63870.T</stp>
        <stp>出来高</stp>
        <tr r="J103" s="4"/>
        <tr r="J62" s="5"/>
        <tr r="C147" s="12"/>
      </tp>
      <tp>
        <v>980200</v>
        <stp/>
        <stp>Market</stp>
        <stp>STOCK</stp>
        <stp>63050.T</stp>
        <stp>出来高</stp>
        <tr r="J85" s="5"/>
        <tr r="J107" s="4"/>
        <tr r="C203" s="12"/>
      </tp>
      <tp>
        <v>745700</v>
        <stp/>
        <stp>Market</stp>
        <stp>STOCK</stp>
        <stp>63270.T</stp>
        <stp>出来高</stp>
        <tr r="J27" s="5"/>
        <tr r="J105" s="4"/>
        <tr r="C133" s="12"/>
      </tp>
      <tp>
        <v>1265000</v>
        <stp/>
        <stp>Market</stp>
        <stp>STOCK</stp>
        <stp>63240.T</stp>
        <stp>出来高</stp>
        <tr r="C210" s="12"/>
      </tp>
      <tp>
        <v>2044400</v>
        <stp/>
        <stp>Market</stp>
        <stp>STOCK</stp>
        <stp>63230.T</stp>
        <stp>出来高</stp>
        <tr r="J106" s="4"/>
        <tr r="J41" s="5"/>
        <tr r="C90" s="12"/>
      </tp>
      <tp>
        <v>122100</v>
        <stp/>
        <stp>Market</stp>
        <stp>STOCK</stp>
        <stp>63310.T</stp>
        <stp>出来高</stp>
        <tr r="C301" s="12"/>
      </tp>
      <tp>
        <v>1282600</v>
        <stp/>
        <stp>Market</stp>
        <stp>STOCK</stp>
        <stp>63300.T</stp>
        <stp>出来高</stp>
        <tr r="J186" s="5"/>
        <tr r="C128" s="12"/>
        <tr r="J104" s="4"/>
      </tp>
      <tp>
        <v>67400</v>
        <stp/>
        <stp>Market</stp>
        <stp>STOCK</stp>
        <stp>63560.T</stp>
        <stp>出来高</stp>
        <tr r="C267" s="12"/>
      </tp>
      <tp>
        <v>1776000</v>
        <stp/>
        <stp>Market</stp>
        <stp>STOCK</stp>
        <stp>63660.T</stp>
        <stp>出来高</stp>
        <tr r="C260" s="12"/>
      </tp>
      <tp>
        <v>2735300</v>
        <stp/>
        <stp>Market</stp>
        <stp>STOCK</stp>
        <stp>63610.T</stp>
        <stp>出来高</stp>
        <tr r="C249" s="12"/>
      </tp>
      <tp>
        <v>179900</v>
        <stp/>
        <stp>Market</stp>
        <stp>STOCK</stp>
        <stp>63760.T</stp>
        <stp>出来高</stp>
        <tr r="C269" s="12"/>
      </tp>
      <tp>
        <v>278500</v>
        <stp/>
        <stp>Market</stp>
        <stp>STOCK</stp>
        <stp>63700.T</stp>
        <stp>出来高</stp>
        <tr r="C255" s="12"/>
      </tp>
      <tp>
        <v>1831800</v>
        <stp/>
        <stp>Market</stp>
        <stp>STOCK</stp>
        <stp>60850.T</stp>
        <stp>出来高</stp>
        <tr r="C137" s="12"/>
        <tr r="J115" s="4"/>
        <tr r="J150" s="5"/>
      </tp>
      <tp>
        <v>1707800</v>
        <stp/>
        <stp>Market</stp>
        <stp>STOCK</stp>
        <stp>60980.T</stp>
        <stp>出来高</stp>
        <tr r="C248" s="12"/>
      </tp>
      <tp>
        <v>21600</v>
        <stp/>
        <stp>Market</stp>
        <stp>STOCK</stp>
        <stp>60270.T</stp>
        <stp>出来高</stp>
        <tr r="J116" s="4"/>
        <tr r="J98" s="5"/>
        <tr r="C72" s="12"/>
      </tp>
      <tp>
        <v>400500</v>
        <stp/>
        <stp>Market</stp>
        <stp>STOCK</stp>
        <stp>60550.T</stp>
        <stp>出来高</stp>
        <tr r="C224" s="12"/>
      </tp>
      <tp>
        <v>203300</v>
        <stp/>
        <stp>Market</stp>
        <stp>STOCK</stp>
        <stp>61350.T</stp>
        <stp>出来高</stp>
        <tr r="C223" s="12"/>
      </tp>
      <tp>
        <v>1317600</v>
        <stp/>
        <stp>Market</stp>
        <stp>STOCK</stp>
        <stp>61340.T</stp>
        <stp>出来高</stp>
        <tr r="J25" s="5"/>
        <tr r="J114" s="4"/>
        <tr r="C92" s="12"/>
      </tp>
      <tp>
        <v>1155400</v>
        <stp/>
        <stp>Market</stp>
        <stp>STOCK</stp>
        <stp>61460.T</stp>
        <stp>出来高</stp>
        <tr r="J120" s="5"/>
        <tr r="J113" s="4"/>
        <tr r="C197" s="12"/>
      </tp>
      <tp>
        <v>570800</v>
        <stp/>
        <stp>Market</stp>
        <stp>STOCK</stp>
        <stp>61400.T</stp>
        <stp>出来高</stp>
        <tr r="C261" s="12"/>
      </tp>
      <tp>
        <v>2014900</v>
        <stp/>
        <stp>Market</stp>
        <stp>STOCK</stp>
        <stp>61780.T</stp>
        <stp>出来高</stp>
        <tr r="J112" s="4"/>
        <tr r="C104" s="12"/>
        <tr r="J59" s="5"/>
      </tp>
      <tp>
        <v>1182300</v>
        <stp/>
        <stp>Market</stp>
        <stp>STOCK</stp>
        <stp>68900.T</stp>
        <stp>出来高</stp>
        <tr r="J82" s="4"/>
        <tr r="C195" s="12"/>
        <tr r="J33" s="5"/>
      </tp>
      <tp>
        <v>124300</v>
        <stp/>
        <stp>Market</stp>
        <stp>STOCK</stp>
        <stp>68090.T</stp>
        <stp>出来高</stp>
        <tr r="C238" s="12"/>
      </tp>
      <tp>
        <v>162600</v>
        <stp/>
        <stp>Market</stp>
        <stp>STOCK</stp>
        <stp>68380.T</stp>
        <stp>出来高</stp>
        <tr r="J85" s="4"/>
        <tr r="C148" s="12"/>
        <tr r="J6" s="5"/>
      </tp>
      <tp>
        <v>1800</v>
        <stp/>
        <stp>Market</stp>
        <stp>STOCK</stp>
        <stp>68480.T</stp>
        <stp>出来高</stp>
        <tr r="C274" s="12"/>
      </tp>
      <tp>
        <v>1649400</v>
        <stp/>
        <stp>Market</stp>
        <stp>STOCK</stp>
        <stp>68410.T</stp>
        <stp>出来高</stp>
        <tr r="J84" s="4"/>
        <tr r="J100" s="5"/>
        <tr r="C81" s="12"/>
      </tp>
      <tp>
        <v>6993800</v>
        <stp/>
        <stp>Market</stp>
        <stp>STOCK</stp>
        <stp>68570.T</stp>
        <stp>出来高</stp>
        <tr r="C158" s="12"/>
        <tr r="J113" s="5"/>
        <tr r="J83" s="4"/>
      </tp>
      <tp>
        <v>214800</v>
        <stp/>
        <stp>Market</stp>
        <stp>STOCK</stp>
        <stp>68620.T</stp>
        <stp>出来高</stp>
        <tr r="C225" s="12"/>
      </tp>
      <tp>
        <v>746400</v>
        <stp/>
        <stp>Market</stp>
        <stp>STOCK</stp>
        <stp>68610.T</stp>
        <stp>出来高</stp>
        <tr r="C209" s="12"/>
      </tp>
      <tp>
        <v>30347200</v>
        <stp/>
        <stp>Market</stp>
        <stp>STOCK</stp>
        <stp>69810.T</stp>
        <stp>出来高</stp>
        <tr r="C154" s="12"/>
        <tr r="J30" s="5"/>
        <tr r="J78" s="4"/>
      </tp>
      <tp>
        <v>743200</v>
        <stp/>
        <stp>Market</stp>
        <stp>STOCK</stp>
        <stp>69970.T</stp>
        <stp>出来高</stp>
        <tr r="C272" s="12"/>
      </tp>
      <tp>
        <v>4551900</v>
        <stp/>
        <stp>Market</stp>
        <stp>STOCK</stp>
        <stp>69020.T</stp>
        <stp>出来高</stp>
        <tr r="C244" s="12"/>
      </tp>
      <tp>
        <v>72100</v>
        <stp/>
        <stp>Market</stp>
        <stp>STOCK</stp>
        <stp>69180.T</stp>
        <stp>出来高</stp>
        <tr r="C279" s="12"/>
      </tp>
      <tp>
        <v>53400</v>
        <stp/>
        <stp>Market</stp>
        <stp>STOCK</stp>
        <stp>69280.T</stp>
        <stp>出来高</stp>
        <tr r="C246" s="12"/>
      </tp>
      <tp>
        <v>849700</v>
        <stp/>
        <stp>Market</stp>
        <stp>STOCK</stp>
        <stp>69250.T</stp>
        <stp>出来高</stp>
        <tr r="J42" s="5"/>
        <tr r="J80" s="4"/>
        <tr r="C105" s="12"/>
      </tp>
      <tp>
        <v>3233800</v>
        <stp/>
        <stp>Market</stp>
        <stp>STOCK</stp>
        <stp>69200.T</stp>
        <stp>出来高</stp>
        <tr r="J84" s="5"/>
        <tr r="J81" s="4"/>
        <tr r="C199" s="12"/>
      </tp>
      <tp>
        <v>50000</v>
        <stp/>
        <stp>Market</stp>
        <stp>STOCK</stp>
        <stp>69550.T</stp>
        <stp>出来高</stp>
        <tr r="C265" s="12"/>
      </tp>
      <tp>
        <v>5721900</v>
        <stp/>
        <stp>Market</stp>
        <stp>STOCK</stp>
        <stp>69540.T</stp>
        <stp>出来高</stp>
        <tr r="J16" s="5"/>
        <tr r="J79" s="4"/>
        <tr r="C78" s="12"/>
      </tp>
      <tp>
        <v>2731300</v>
        <stp/>
        <stp>Market</stp>
        <stp>STOCK</stp>
        <stp>69650.T</stp>
        <stp>出来高</stp>
        <tr r="C300" s="12"/>
      </tp>
    </main>
    <main first="rtdsrv.e07a56084d7946cdb07ca2177ccd3d26">
      <tp>
        <v>72500</v>
        <stp/>
        <stp>Market</stp>
        <stp>STOCK</stp>
        <stp>56320.T</stp>
        <stp>出来高</stp>
        <tr r="C247" s="12"/>
      </tp>
      <tp>
        <v>548800</v>
        <stp/>
        <stp>Market</stp>
        <stp>STOCK</stp>
        <stp>56310.T</stp>
        <stp>出来高</stp>
        <tr r="C263" s="12"/>
      </tp>
      <tp>
        <v>1106200</v>
        <stp/>
        <stp>Market</stp>
        <stp>STOCK</stp>
        <stp>57060.T</stp>
        <stp>出来高</stp>
        <tr r="J131" s="4"/>
        <tr r="J11" s="5"/>
        <tr r="C6" s="12"/>
      </tp>
      <tp>
        <v>175500</v>
        <stp/>
        <stp>Market</stp>
        <stp>STOCK</stp>
        <stp>57030.T</stp>
        <stp>出来高</stp>
        <tr r="J132" s="4"/>
        <tr r="J48" s="5"/>
        <tr r="C13" s="12"/>
      </tp>
      <tp>
        <v>225400</v>
        <stp/>
        <stp>Market</stp>
        <stp>STOCK</stp>
        <stp>57020.T</stp>
        <stp>出来高</stp>
        <tr r="C275" s="12"/>
      </tp>
      <tp>
        <v>357200</v>
        <stp/>
        <stp>Market</stp>
        <stp>STOCK</stp>
        <stp>57140.T</stp>
        <stp>出来高</stp>
        <tr r="J47" s="5"/>
        <tr r="C10" s="12"/>
        <tr r="J128" s="4"/>
      </tp>
      <tp>
        <v>1906800</v>
        <stp/>
        <stp>Market</stp>
        <stp>STOCK</stp>
        <stp>57130.T</stp>
        <stp>出来高</stp>
        <tr r="J129" s="4"/>
        <tr r="J46" s="5"/>
        <tr r="C8" s="12"/>
      </tp>
      <tp>
        <v>911000</v>
        <stp/>
        <stp>Market</stp>
        <stp>STOCK</stp>
        <stp>57110.T</stp>
        <stp>出来高</stp>
        <tr r="J87" s="5"/>
        <tr r="C9" s="12"/>
        <tr r="J130" s="4"/>
      </tp>
      <tp>
        <v>4763000</v>
        <stp/>
        <stp>Market</stp>
        <stp>STOCK</stp>
        <stp>54060.T</stp>
        <stp>出来高</stp>
        <tr r="C38" s="12"/>
        <tr r="J139" s="4"/>
        <tr r="J95" s="5"/>
      </tp>
      <tp>
        <v>58725600</v>
        <stp/>
        <stp>Market</stp>
        <stp>STOCK</stp>
        <stp>54010.T</stp>
        <stp>出来高</stp>
        <tr r="C46" s="12"/>
        <tr r="J173" s="5"/>
        <tr r="J140" s="4"/>
      </tp>
      <tp>
        <v>4759700</v>
        <stp/>
        <stp>Market</stp>
        <stp>STOCK</stp>
        <stp>54110.T</stp>
        <stp>出来高</stp>
        <tr r="J7" s="5"/>
        <tr r="J137" s="4"/>
        <tr r="C84" s="12"/>
      </tp>
      <tp>
        <v>74800</v>
        <stp/>
        <stp>Market</stp>
        <stp>STOCK</stp>
        <stp>54100.T</stp>
        <stp>出来高</stp>
        <tr r="J138" s="4"/>
        <tr r="J118" s="5"/>
        <tr r="C179" s="12"/>
      </tp>
      <tp>
        <v>137200</v>
        <stp/>
        <stp>Market</stp>
        <stp>STOCK</stp>
        <stp>54230.T</stp>
        <stp>出来高</stp>
        <tr r="J136" s="4"/>
        <tr r="C7" s="12"/>
        <tr r="J165" s="5"/>
      </tp>
      <tp>
        <v>35200</v>
        <stp/>
        <stp>Market</stp>
        <stp>STOCK</stp>
        <stp>54490.T</stp>
        <stp>出来高</stp>
        <tr r="J134" s="4"/>
        <tr r="J97" s="5"/>
        <tr r="C51" s="12"/>
      </tp>
      <tp>
        <v>65900</v>
        <stp/>
        <stp>Market</stp>
        <stp>STOCK</stp>
        <stp>54400.T</stp>
        <stp>出来高</stp>
        <tr r="J156" s="5"/>
        <tr r="J135" s="4"/>
        <tr r="C180" s="12"/>
      </tp>
      <tp>
        <v>299800</v>
        <stp/>
        <stp>Market</stp>
        <stp>STOCK</stp>
        <stp>55410.T</stp>
        <stp>出来高</stp>
        <tr r="J90" s="5"/>
        <tr r="C20" s="12"/>
        <tr r="J133" s="4"/>
      </tp>
      <tp>
        <v>2097000</v>
        <stp/>
        <stp>Market</stp>
        <stp>STOCK</stp>
        <stp>52010.T</stp>
        <stp>出来高</stp>
        <tr r="J145" s="4"/>
        <tr r="C53" s="12"/>
        <tr r="J175" s="5"/>
      </tp>
      <tp>
        <v>206100</v>
        <stp/>
        <stp>Market</stp>
        <stp>STOCK</stp>
        <stp>52330.T</stp>
        <stp>出来高</stp>
        <tr r="J144" s="4"/>
        <tr r="J170" s="5"/>
        <tr r="C34" s="12"/>
      </tp>
      <tp>
        <v>296700</v>
        <stp/>
        <stp>Market</stp>
        <stp>STOCK</stp>
        <stp>52430.T</stp>
        <stp>出来高</stp>
        <tr r="J143" s="4"/>
        <tr r="J138" s="5"/>
        <tr r="C193" s="12"/>
      </tp>
      <tp>
        <v>1033800</v>
        <stp/>
        <stp>Market</stp>
        <stp>STOCK</stp>
        <stp>52530.T</stp>
        <stp>出来高</stp>
        <tr r="C258" s="12"/>
      </tp>
      <tp>
        <v>1197100</v>
        <stp/>
        <stp>Market</stp>
        <stp>STOCK</stp>
        <stp>53330.T</stp>
        <stp>出来高</stp>
        <tr r="J141" s="4"/>
        <tr r="J37" s="5"/>
        <tr r="C17" s="12"/>
      </tp>
      <tp>
        <v>783300</v>
        <stp/>
        <stp>Market</stp>
        <stp>STOCK</stp>
        <stp>53320.T</stp>
        <stp>出来高</stp>
        <tr r="J142" s="4"/>
        <tr r="C21" s="12"/>
        <tr r="J12" s="5"/>
      </tp>
      <tp>
        <v>2064000</v>
        <stp/>
        <stp>Market</stp>
        <stp>STOCK</stp>
        <stp>50190.T</stp>
        <stp>出来高</stp>
        <tr r="C24" s="12"/>
        <tr r="J148" s="4"/>
        <tr r="J140" s="5"/>
      </tp>
      <tp>
        <v>167200</v>
        <stp/>
        <stp>Market</stp>
        <stp>STOCK</stp>
        <stp>50210.T</stp>
        <stp>出来高</stp>
        <tr r="J146" s="4"/>
        <tr r="J88" s="5"/>
        <tr r="C15" s="12"/>
      </tp>
      <tp>
        <v>3076900</v>
        <stp/>
        <stp>Market</stp>
        <stp>STOCK</stp>
        <stp>50200.T</stp>
        <stp>出来高</stp>
        <tr r="J147" s="4"/>
        <tr r="C29" s="12"/>
        <tr r="J141" s="5"/>
      </tp>
      <tp>
        <v>33300</v>
        <stp/>
        <stp>Market</stp>
        <stp>STOCK</stp>
        <stp>58920.T</stp>
        <stp>出来高</stp>
        <tr r="J121" s="4"/>
        <tr r="J74" s="5"/>
        <tr r="C89" s="12"/>
      </tp>
      <tp>
        <v>37509700</v>
        <stp/>
        <stp>Market</stp>
        <stp>STOCK</stp>
        <stp>58030.T</stp>
        <stp>出来高</stp>
        <tr r="J125" s="4"/>
        <tr r="J58" s="5"/>
        <tr r="C103" s="12"/>
      </tp>
      <tp>
        <v>22279800</v>
        <stp/>
        <stp>Market</stp>
        <stp>STOCK</stp>
        <stp>58020.T</stp>
        <stp>出来高</stp>
        <tr r="C102" s="12"/>
        <tr r="J57" s="5"/>
        <tr r="J126" s="4"/>
      </tp>
      <tp>
        <v>23086900</v>
        <stp/>
        <stp>Market</stp>
        <stp>STOCK</stp>
        <stp>58010.T</stp>
        <stp>出来高</stp>
        <tr r="J127" s="4"/>
        <tr r="J45" s="5"/>
        <tr r="C200" s="12"/>
      </tp>
      <tp>
        <v>699800</v>
        <stp/>
        <stp>Market</stp>
        <stp>STOCK</stp>
        <stp>58380.T</stp>
        <stp>出来高</stp>
        <tr r="J124" s="4"/>
        <tr r="J147" s="5"/>
        <tr r="C117" s="12"/>
      </tp>
      <tp>
        <v>487700</v>
        <stp/>
        <stp>Market</stp>
        <stp>STOCK</stp>
        <stp>58440.T</stp>
        <stp>出来高</stp>
        <tr r="J123" s="4"/>
        <tr r="C118" s="12"/>
        <tr r="J61" s="5"/>
      </tp>
      <tp>
        <v>1096300</v>
        <stp/>
        <stp>Market</stp>
        <stp>STOCK</stp>
        <stp>58570.T</stp>
        <stp>出来高</stp>
        <tr r="J52" s="5"/>
        <tr r="C62" s="12"/>
        <tr r="J122" s="4"/>
      </tp>
      <tp>
        <v>194600</v>
        <stp/>
        <stp>Market</stp>
        <stp>STOCK</stp>
        <stp>59010.T</stp>
        <stp>出来高</stp>
        <tr r="J71" s="5"/>
        <tr r="J120" s="4"/>
        <tr r="C55" s="12"/>
      </tp>
      <tp>
        <v>438700</v>
        <stp/>
        <stp>Market</stp>
        <stp>STOCK</stp>
        <stp>59290.T</stp>
        <stp>出来高</stp>
        <tr r="J69" s="5"/>
        <tr r="J119" s="4"/>
        <tr r="C49" s="12"/>
      </tp>
      <tp>
        <v>1391100</v>
        <stp/>
        <stp>Market</stp>
        <stp>STOCK</stp>
        <stp>59380.T</stp>
        <stp>出来高</stp>
        <tr r="J93" s="5"/>
        <tr r="J118" s="4"/>
        <tr r="C36" s="12"/>
      </tp>
      <tp>
        <v>104800</v>
        <stp/>
        <stp>Market</stp>
        <stp>STOCK</stp>
        <stp>59470.T</stp>
        <stp>出来高</stp>
        <tr r="J117" s="4"/>
        <tr r="C42" s="12"/>
        <tr r="J96" s="5"/>
      </tp>
    </main>
    <main first="rtdsrv.e07a56084d7946cdb07ca2177ccd3d26">
      <tp>
        <v>1053100</v>
        <stp/>
        <stp>Market</stp>
        <stp>STOCK</stp>
        <stp>464A0.T</stp>
        <stp>出来高</stp>
        <tr r="C220" s="12"/>
      </tp>
      <tp>
        <v>4178300</v>
        <stp/>
        <stp>Market</stp>
        <stp>STOCK</stp>
        <stp>46610.T</stp>
        <stp>出来高</stp>
        <tr r="J156" s="4"/>
        <tr r="J103" s="5"/>
        <tr r="C101" s="12"/>
      </tp>
      <tp>
        <v>588800</v>
        <stp/>
        <stp>Market</stp>
        <stp>STOCK</stp>
        <stp>46760.T</stp>
        <stp>出来高</stp>
        <tr r="J177" s="5"/>
        <tr r="C58" s="12"/>
        <tr r="J155" s="4"/>
      </tp>
      <tp>
        <v>38700</v>
        <stp/>
        <stp>Market</stp>
        <stp>STOCK</stp>
        <stp>47090.T</stp>
        <stp>出来高</stp>
        <tr r="J115" s="5"/>
        <tr r="C170" s="12"/>
        <tr r="J154" s="4"/>
      </tp>
      <tp>
        <v>321200</v>
        <stp/>
        <stp>Market</stp>
        <stp>STOCK</stp>
        <stp>47040.T</stp>
        <stp>出来高</stp>
        <tr r="C254" s="12"/>
      </tp>
      <tp>
        <v>93200</v>
        <stp/>
        <stp>Market</stp>
        <stp>STOCK</stp>
        <stp>47330.T</stp>
        <stp>出来高</stp>
        <tr r="C165" s="12"/>
        <tr r="J153" s="4"/>
        <tr r="J133" s="5"/>
      </tp>
      <tp>
        <v>105700</v>
        <stp/>
        <stp>Market</stp>
        <stp>STOCK</stp>
        <stp>47760.T</stp>
        <stp>出来高</stp>
        <tr r="C253" s="12"/>
      </tp>
      <tp>
        <v>25600</v>
        <stp/>
        <stp>Market</stp>
        <stp>STOCK</stp>
        <stp>44170.T</stp>
        <stp>出来高</stp>
        <tr r="C153" s="12"/>
        <tr r="J163" s="4"/>
        <tr r="J112" s="5"/>
      </tp>
      <tp>
        <v>46100</v>
        <stp/>
        <stp>Market</stp>
        <stp>STOCK</stp>
        <stp>44220.T</stp>
        <stp>出来高</stp>
        <tr r="J162" s="4"/>
        <tr r="C139" s="12"/>
        <tr r="J188" s="5"/>
      </tp>
      <tp>
        <v>1878000</v>
        <stp/>
        <stp>Market</stp>
        <stp>STOCK</stp>
        <stp>45020.T</stp>
        <stp>出来高</stp>
        <tr r="C212" s="12"/>
      </tp>
      <tp>
        <v>1376300</v>
        <stp/>
        <stp>Market</stp>
        <stp>STOCK</stp>
        <stp>45190.T</stp>
        <stp>出来高</stp>
        <tr r="C130" s="12"/>
        <tr r="J161" s="4"/>
        <tr r="J205" s="5"/>
      </tp>
      <tp>
        <v>723300</v>
        <stp/>
        <stp>Market</stp>
        <stp>STOCK</stp>
        <stp>45280.T</stp>
        <stp>出来高</stp>
        <tr r="J17" s="5"/>
        <tr r="J159" s="4"/>
        <tr r="C100" s="12"/>
      </tp>
      <tp>
        <v>971300</v>
        <stp/>
        <stp>Market</stp>
        <stp>STOCK</stp>
        <stp>45230.T</stp>
        <stp>出来高</stp>
        <tr r="C99" s="12"/>
        <tr r="J160" s="4"/>
        <tr r="J184" s="5"/>
      </tp>
      <tp>
        <v>279300</v>
        <stp/>
        <stp>Market</stp>
        <stp>STOCK</stp>
        <stp>45360.T</stp>
        <stp>出来高</stp>
        <tr r="C67" s="12"/>
        <tr r="J125" s="5"/>
        <tr r="J158" s="4"/>
      </tp>
      <tp>
        <v>62100</v>
        <stp/>
        <stp>Market</stp>
        <stp>STOCK</stp>
        <stp>45440.T</stp>
        <stp>出来高</stp>
        <tr r="C273" s="12"/>
      </tp>
      <tp>
        <v>206500</v>
        <stp/>
        <stp>Market</stp>
        <stp>STOCK</stp>
        <stp>45400.T</stp>
        <stp>出来高</stp>
        <tr r="J157" s="4"/>
        <tr r="J124" s="5"/>
        <tr r="C64" s="12"/>
      </tp>
      <tp>
        <v>3828900</v>
        <stp/>
        <stp>Market</stp>
        <stp>STOCK</stp>
        <stp>45680.T</stp>
        <stp>出来高</stp>
        <tr r="C142" s="12"/>
        <tr r="J110" s="5"/>
        <tr r="J7" s="4"/>
      </tp>
      <tp>
        <v>604100</v>
        <stp/>
        <stp>Market</stp>
        <stp>STOCK</stp>
        <stp>42080.T</stp>
        <stp>出来高</stp>
        <tr r="C298" s="12"/>
      </tp>
      <tp>
        <v>5700</v>
        <stp/>
        <stp>Market</stp>
        <stp>STOCK</stp>
        <stp>42180.T</stp>
        <stp>出来高</stp>
        <tr r="C282" s="12"/>
      </tp>
      <tp>
        <v>193400</v>
        <stp/>
        <stp>Market</stp>
        <stp>STOCK</stp>
        <stp>42220.T</stp>
        <stp>出来高</stp>
        <tr r="C229" s="12"/>
      </tp>
      <tp>
        <v>31600</v>
        <stp/>
        <stp>Market</stp>
        <stp>STOCK</stp>
        <stp>43820.T</stp>
        <stp>出来高</stp>
        <tr r="C173" s="12"/>
        <tr r="J192" s="5"/>
        <tr r="J164" s="4"/>
      </tp>
      <tp>
        <v>1088300</v>
        <stp/>
        <stp>Market</stp>
        <stp>STOCK</stp>
        <stp>43920.T</stp>
        <stp>出来高</stp>
        <tr r="C235" s="12"/>
      </tp>
      <tp>
        <v>2812000</v>
        <stp/>
        <stp>Market</stp>
        <stp>STOCK</stp>
        <stp>43070.T</stp>
        <stp>出来高</stp>
        <tr r="J151" s="5"/>
        <tr r="J166" s="4"/>
        <tr r="C150" s="12"/>
      </tp>
      <tp>
        <v>710100</v>
        <stp/>
        <stp>Market</stp>
        <stp>STOCK</stp>
        <stp>43730.T</stp>
        <stp>出来高</stp>
        <tr r="J165" s="4"/>
        <tr r="J82" s="5"/>
        <tr r="C160" s="12"/>
      </tp>
      <tp>
        <v>427500</v>
        <stp/>
        <stp>Market</stp>
        <stp>STOCK</stp>
        <stp>40880.T</stp>
        <stp>出来高</stp>
        <tr r="J132" s="5"/>
        <tr r="J170" s="4"/>
        <tr r="C156" s="12"/>
      </tp>
      <tp>
        <v>238900</v>
        <stp/>
        <stp>Market</stp>
        <stp>STOCK</stp>
        <stp>40820.T</stp>
        <stp>出来高</stp>
        <tr r="J171" s="4"/>
        <tr r="J9" s="5"/>
        <tr r="C129" s="12"/>
      </tp>
      <tp>
        <v>214000</v>
        <stp/>
        <stp>Market</stp>
        <stp>STOCK</stp>
        <stp>40910.T</stp>
        <stp>出来高</stp>
        <tr r="J169" s="4"/>
        <tr r="C157" s="12"/>
        <tr r="J152" s="5"/>
      </tp>
      <tp>
        <v>85300</v>
        <stp/>
        <stp>Market</stp>
        <stp>STOCK</stp>
        <stp>40080.T</stp>
        <stp>出来高</stp>
        <tr r="J175" s="4"/>
        <tr r="J127" s="5"/>
        <tr r="C95" s="12"/>
      </tp>
      <tp>
        <v>2974900</v>
        <stp/>
        <stp>Market</stp>
        <stp>STOCK</stp>
        <stp>40040.T</stp>
        <stp>出来高</stp>
        <tr r="C213" s="12"/>
      </tp>
      <tp>
        <v>403700</v>
        <stp/>
        <stp>Market</stp>
        <stp>STOCK</stp>
        <stp>40470.T</stp>
        <stp>出来高</stp>
        <tr r="C289" s="12"/>
      </tp>
      <tp>
        <v>125800</v>
        <stp/>
        <stp>Market</stp>
        <stp>STOCK</stp>
        <stp>40450.T</stp>
        <stp>出来高</stp>
        <tr r="J178" s="5"/>
        <tr r="J174" s="4"/>
        <tr r="C61" s="12"/>
      </tp>
      <tp>
        <v>6211400</v>
        <stp/>
        <stp>Market</stp>
        <stp>STOCK</stp>
        <stp>40630.T</stp>
        <stp>出来高</stp>
        <tr r="J14" s="5"/>
        <tr r="J172" s="4"/>
        <tr r="C66" s="12"/>
      </tp>
      <tp>
        <v>8304600</v>
        <stp/>
        <stp>Market</stp>
        <stp>STOCK</stp>
        <stp>40620.T</stp>
        <stp>出来高</stp>
        <tr r="J173" s="4"/>
        <tr r="C96" s="12"/>
        <tr r="J56" s="5"/>
      </tp>
      <tp>
        <v>2985400</v>
        <stp/>
        <stp>Market</stp>
        <stp>STOCK</stp>
        <stp>41880.T</stp>
        <stp>出来高</stp>
        <tr r="J145" s="5"/>
        <tr r="J167" s="4"/>
        <tr r="C98" s="12"/>
      </tp>
      <tp>
        <v>913900</v>
        <stp/>
        <stp>Market</stp>
        <stp>STOCK</stp>
        <stp>41820.T</stp>
        <stp>出来高</stp>
        <tr r="J168" s="4"/>
        <tr r="J75" s="5"/>
        <tr r="C97" s="12"/>
      </tp>
      <tp>
        <v>92300</v>
        <stp/>
        <stp>Market</stp>
        <stp>STOCK</stp>
        <stp>48880.T</stp>
        <stp>出来高</stp>
        <tr r="J151" s="4"/>
        <tr r="C146" s="12"/>
        <tr r="J131" s="5"/>
      </tp>
      <tp>
        <v>252700</v>
        <stp/>
        <stp>Market</stp>
        <stp>STOCK</stp>
        <stp>48870.T</stp>
        <stp>出来高</stp>
        <tr r="J195" s="5"/>
        <tr r="J152" s="4"/>
        <tr r="C192" s="12"/>
      </tp>
      <tp>
        <v>3646300</v>
        <stp/>
        <stp>Market</stp>
        <stp>STOCK</stp>
        <stp>485A0.T</stp>
        <stp>出来高</stp>
        <tr r="C221" s="12"/>
      </tp>
      <tp>
        <v>3426300</v>
        <stp/>
        <stp>Market</stp>
        <stp>STOCK</stp>
        <stp>49800.T</stp>
        <stp>出来高</stp>
        <tr r="J72" s="5"/>
        <tr r="J149" s="4"/>
        <tr r="C69" s="12"/>
      </tp>
      <tp>
        <v>47900</v>
        <stp/>
        <stp>Market</stp>
        <stp>STOCK</stp>
        <stp>49660.T</stp>
        <stp>出来高</stp>
        <tr r="J150" s="4"/>
        <tr r="J34" s="5"/>
        <tr r="C196" s="12"/>
      </tp>
    </main>
    <main first="rtdsrv.e07a56084d7946cdb07ca2177ccd3d26">
      <tp>
        <v>64900</v>
        <stp/>
        <stp>Market</stp>
        <stp>STOCK</stp>
        <stp>36960.T</stp>
        <stp>出来高</stp>
        <tr r="C228" s="12"/>
      </tp>
      <tp>
        <v>5390900</v>
        <stp/>
        <stp>Market</stp>
        <stp>STOCK</stp>
        <stp>34070.T</stp>
        <stp>出来高</stp>
        <tr r="J183" s="5"/>
        <tr r="C94" s="12"/>
        <tr r="J182" s="4"/>
      </tp>
      <tp>
        <v>2992400</v>
        <stp/>
        <stp>Market</stp>
        <stp>STOCK</stp>
        <stp>34020.T</stp>
        <stp>出来高</stp>
        <tr r="J183" s="4"/>
        <tr r="C44" s="12"/>
        <tr r="J172" s="5"/>
      </tp>
      <tp>
        <v>523700</v>
        <stp/>
        <stp>Market</stp>
        <stp>STOCK</stp>
        <stp>34010.T</stp>
        <stp>出来高</stp>
        <tr r="C27" s="12"/>
        <tr r="J184" s="4"/>
        <tr r="J169" s="5"/>
      </tp>
      <tp>
        <v>9679400</v>
        <stp/>
        <stp>Market</stp>
        <stp>STOCK</stp>
        <stp>34360.T</stp>
        <stp>出来高</stp>
        <tr r="C28" s="12"/>
        <tr r="J181" s="4"/>
        <tr r="J4" s="5"/>
      </tp>
      <tp>
        <v>1151700</v>
        <stp/>
        <stp>Market</stp>
        <stp>STOCK</stp>
        <stp>35630.T</stp>
        <stp>出来高</stp>
        <tr r="C230" s="12"/>
      </tp>
      <tp>
        <v>130600</v>
        <stp/>
        <stp>Market</stp>
        <stp>STOCK</stp>
        <stp>33970.T</stp>
        <stp>出来高</stp>
        <tr r="C285" s="12"/>
      </tp>
      <tp>
        <v>1578300</v>
        <stp/>
        <stp>Market</stp>
        <stp>STOCK</stp>
        <stp>30030.T</stp>
        <stp>出来高</stp>
        <tr r="J188" s="4"/>
        <tr r="C88" s="12"/>
        <tr r="J143" s="5"/>
      </tp>
      <tp>
        <v>116800</v>
        <stp/>
        <stp>Market</stp>
        <stp>STOCK</stp>
        <stp>30020.T</stp>
        <stp>出来高</stp>
        <tr r="C277" s="12"/>
      </tp>
      <tp>
        <v>13400</v>
        <stp/>
        <stp>Market</stp>
        <stp>STOCK</stp>
        <stp>300A0.T</stp>
        <stp>出来高</stp>
        <tr r="C252" s="12"/>
      </tp>
      <tp>
        <v>176900</v>
        <stp/>
        <stp>Market</stp>
        <stp>STOCK</stp>
        <stp>31070.T</stp>
        <stp>出来高</stp>
        <tr r="J13" s="5"/>
        <tr r="J186" s="4"/>
        <tr r="C60" s="12"/>
      </tp>
      <tp>
        <v>4914500</v>
        <stp/>
        <stp>Market</stp>
        <stp>STOCK</stp>
        <stp>31030.T</stp>
        <stp>出来高</stp>
        <tr r="J81" s="5"/>
        <tr r="J187" s="4"/>
        <tr r="C138" s="12"/>
      </tp>
      <tp>
        <v>8213100</v>
        <stp/>
        <stp>Market</stp>
        <stp>STOCK</stp>
        <stp>31100.T</stp>
        <stp>出来高</stp>
        <tr r="J185" s="4"/>
        <tr r="J109" s="5"/>
        <tr r="C134" s="12"/>
      </tp>
      <tp>
        <v>244100</v>
        <stp/>
        <stp>Market</stp>
        <stp>STOCK</stp>
        <stp>38910.T</stp>
        <stp>出来高</stp>
        <tr r="J43" s="5"/>
        <tr r="J177" s="4"/>
        <tr r="C159" s="12"/>
      </tp>
      <tp>
        <v>35600</v>
        <stp/>
        <stp>Market</stp>
        <stp>STOCK</stp>
        <stp>38540.T</stp>
        <stp>出来高</stp>
        <tr r="J180" s="4"/>
        <tr r="C71" s="12"/>
        <tr r="J54" s="5"/>
      </tp>
      <tp>
        <v>207900</v>
        <stp/>
        <stp>Market</stp>
        <stp>STOCK</stp>
        <stp>38640.T</stp>
        <stp>出来高</stp>
        <tr r="C271" s="12"/>
      </tp>
      <tp>
        <v>346900</v>
        <stp/>
        <stp>Market</stp>
        <stp>STOCK</stp>
        <stp>38630.T</stp>
        <stp>出来高</stp>
        <tr r="J21" s="5"/>
        <tr r="J178" s="4"/>
        <tr r="C32" s="12"/>
      </tp>
      <tp>
        <v>4205000</v>
        <stp/>
        <stp>Market</stp>
        <stp>STOCK</stp>
        <stp>38610.T</stp>
        <stp>出来高</stp>
        <tr r="J179" s="4"/>
        <tr r="C41" s="12"/>
        <tr r="J123" s="5"/>
      </tp>
      <tp>
        <v>38700</v>
        <stp/>
        <stp>Market</stp>
        <stp>STOCK</stp>
        <stp>39840.T</stp>
        <stp>出来高</stp>
        <tr r="C239" s="12"/>
      </tp>
      <tp>
        <v>2715900</v>
        <stp/>
        <stp>Market</stp>
        <stp>STOCK</stp>
        <stp>39050.T</stp>
        <stp>出来高</stp>
        <tr r="C284" s="12"/>
      </tp>
      <tp>
        <v>136000</v>
        <stp/>
        <stp>Market</stp>
        <stp>STOCK</stp>
        <stp>39360.T</stp>
        <stp>出来高</stp>
        <tr r="C245" s="12"/>
      </tp>
      <tp>
        <v>1443500</v>
        <stp/>
        <stp>Market</stp>
        <stp>STOCK</stp>
        <stp>39410.T</stp>
        <stp>出来高</stp>
        <tr r="J142" s="5"/>
        <tr r="C48" s="12"/>
        <tr r="J176" s="4"/>
      </tp>
    </main>
    <main first="rtdsrv.e07a56084d7946cdb07ca2177ccd3d26">
      <tp>
        <v>1168500</v>
        <stp/>
        <stp>Market</stp>
        <stp>STOCK</stp>
        <stp>278A0.T</stp>
        <stp>出来高</stp>
        <tr r="C251" s="12"/>
      </tp>
      <tp>
        <v>247000</v>
        <stp/>
        <stp>Market</stp>
        <stp>STOCK</stp>
        <stp>27020.T</stp>
        <stp>出来高</stp>
        <tr r="J192" s="4"/>
        <tr r="J196" s="5"/>
        <tr r="C194" s="12"/>
      </tp>
      <tp>
        <v>621100</v>
        <stp/>
        <stp>Market</stp>
        <stp>STOCK</stp>
        <stp>27680.T</stp>
        <stp>出来高</stp>
        <tr r="J191" s="4"/>
        <tr r="J206" s="5"/>
        <tr r="C202" s="12"/>
      </tp>
      <tp>
        <v>736400</v>
        <stp/>
        <stp>Market</stp>
        <stp>STOCK</stp>
        <stp>22670.T</stp>
        <stp>出来高</stp>
        <tr r="C226" s="12"/>
      </tp>
      <tp>
        <v>110600</v>
        <stp/>
        <stp>Market</stp>
        <stp>STOCK</stp>
        <stp>23270.T</stp>
        <stp>出来高</stp>
        <tr r="J194" s="4"/>
        <tr r="C174" s="12"/>
        <tr r="J154" s="5"/>
      </tp>
      <tp>
        <v>123000</v>
        <stp/>
        <stp>Market</stp>
        <stp>STOCK</stp>
        <stp>23260.T</stp>
        <stp>出来高</stp>
        <tr r="C237" s="12"/>
      </tp>
      <tp>
        <v>24000</v>
        <stp/>
        <stp>Market</stp>
        <stp>STOCK</stp>
        <stp>23590.T</stp>
        <stp>出来高</stp>
        <tr r="J135" s="5"/>
        <tr r="C168" s="12"/>
        <tr r="J193" s="4"/>
      </tp>
      <tp>
        <v>1137200</v>
        <stp/>
        <stp>Market</stp>
        <stp>STOCK</stp>
        <stp>21270.T</stp>
        <stp>出来高</stp>
        <tr r="C187" s="12"/>
        <tr r="J196" s="4"/>
        <tr r="J161" s="5"/>
      </tp>
      <tp>
        <v>619200</v>
        <stp/>
        <stp>Market</stp>
        <stp>STOCK</stp>
        <stp>21600.T</stp>
        <stp>出来高</stp>
        <tr r="J195" s="4"/>
        <tr r="J187" s="5"/>
        <tr r="C131" s="12"/>
      </tp>
      <tp>
        <v>3920800</v>
        <stp/>
        <stp>Market</stp>
        <stp>STOCK</stp>
        <stp>28020.T</stp>
        <stp>出来高</stp>
        <tr r="J23" s="5"/>
        <tr r="J190" s="4"/>
        <tr r="C76" s="12"/>
      </tp>
      <tp>
        <v>61100</v>
        <stp/>
        <stp>Market</stp>
        <stp>STOCK</stp>
        <stp>281A0.T</stp>
        <stp>出来高</stp>
        <tr r="C266" s="12"/>
      </tp>
      <tp>
        <v>36899200</v>
        <stp/>
        <stp>Market</stp>
        <stp>STOCK</stp>
        <stp>285A0.T</stp>
        <stp>出来高</stp>
        <tr r="C218" s="12"/>
      </tp>
      <tp>
        <v>2973600</v>
        <stp/>
        <stp>Market</stp>
        <stp>STOCK</stp>
        <stp>29140.T</stp>
        <stp>出来高</stp>
        <tr r="C87" s="12"/>
        <tr r="J189" s="4"/>
        <tr r="J182" s="5"/>
      </tp>
      <tp>
        <v>18600</v>
        <stp/>
        <stp>Market</stp>
        <stp>STOCK</stp>
        <stp>29330.T</stp>
        <stp>出来高</stp>
        <tr r="C288" s="12"/>
      </tp>
    </main>
    <main first="rtdsrv.e07a56084d7946cdb07ca2177ccd3d26">
      <tp>
        <v>2896500</v>
        <stp/>
        <stp>Market</stp>
        <stp>STOCK</stp>
        <stp>16050.T</stp>
        <stp>出来高</stp>
        <tr r="C12" s="12"/>
        <tr r="J206" s="4"/>
        <tr r="J166" s="5"/>
      </tp>
      <tp>
        <v>731</v>
        <stp/>
        <stp>Market</stp>
        <stp>STOCK</stp>
        <stp>16180.T</stp>
        <stp>出来高</stp>
        <tr r="C227" s="12"/>
      </tp>
      <tp>
        <v>1011900</v>
        <stp/>
        <stp>Market</stp>
        <stp>STOCK</stp>
        <stp>16620.T</stp>
        <stp>出来高</stp>
        <tr r="C18" s="12"/>
        <tr r="J122" s="5"/>
        <tr r="J205" s="4"/>
      </tp>
      <tp>
        <v>196300</v>
        <stp/>
        <stp>Market</stp>
        <stp>STOCK</stp>
        <stp>14070.T</stp>
        <stp>出来高</stp>
        <tr r="C217" s="12"/>
      </tp>
      <tp>
        <v>216400</v>
        <stp/>
        <stp>Market</stp>
        <stp>STOCK</stp>
        <stp>141A0.T</stp>
        <stp>出来高</stp>
        <tr r="C219" s="12"/>
      </tp>
      <tp>
        <v>226900</v>
        <stp/>
        <stp>Market</stp>
        <stp>STOCK</stp>
        <stp>15140.T</stp>
        <stp>出来高</stp>
        <tr r="C262" s="12"/>
      </tp>
      <tp>
        <v>17500</v>
        <stp/>
        <stp>Market</stp>
        <stp>STOCK</stp>
        <stp>155A0.T</stp>
        <stp>出来高</stp>
        <tr r="C250" s="12"/>
      </tp>
      <tp>
        <v>2326229</v>
        <stp/>
        <stp>Market</stp>
        <stp>STOCK</stp>
        <stp>15700.T</stp>
        <stp>出来高</stp>
        <tr r="C222" s="12"/>
      </tp>
      <tp>
        <v>270014</v>
        <stp/>
        <stp>Market</stp>
        <stp>STOCK</stp>
        <stp>13210.T</stp>
        <stp>出来高</stp>
        <tr r="C303" s="12"/>
      </tp>
      <tp>
        <v>321900</v>
        <stp/>
        <stp>Market</stp>
        <stp>STOCK</stp>
        <stp>18080.T</stp>
        <stp>出来高</stp>
        <tr r="C297" s="12"/>
      </tp>
      <tp>
        <v>2227400</v>
        <stp/>
        <stp>Market</stp>
        <stp>STOCK</stp>
        <stp>18120.T</stp>
        <stp>出来高</stp>
        <tr r="J204" s="4"/>
        <tr r="C208" s="12"/>
        <tr r="J121" s="5"/>
      </tp>
      <tp>
        <v>44800</v>
        <stp/>
        <stp>Market</stp>
        <stp>STOCK</stp>
        <stp>18330.T</stp>
        <stp>出来高</stp>
        <tr r="C80" s="12"/>
        <tr r="J203" s="4"/>
        <tr r="J180" s="5"/>
      </tp>
      <tp>
        <v>3406700</v>
        <stp/>
        <stp>Market</stp>
        <stp>STOCK</stp>
        <stp>186A0.T</stp>
        <stp>出来高</stp>
        <tr r="C299" s="12"/>
      </tp>
      <tp>
        <v>1092700</v>
        <stp/>
        <stp>Market</stp>
        <stp>STOCK</stp>
        <stp>19250.T</stp>
        <stp>出来高</stp>
        <tr r="J181" s="5"/>
        <tr r="C83" s="12"/>
        <tr r="J202" s="4"/>
      </tp>
      <tp>
        <v>85100</v>
        <stp/>
        <stp>Market</stp>
        <stp>STOCK</stp>
        <stp>19380.T</stp>
        <stp>出来高</stp>
        <tr r="J200" s="4"/>
        <tr r="J117" s="5"/>
        <tr r="C176" s="12"/>
      </tp>
      <tp>
        <v>67100</v>
        <stp/>
        <stp>Market</stp>
        <stp>STOCK</stp>
        <stp>19300.T</stp>
        <stp>出来高</stp>
        <tr r="J201" s="4"/>
        <tr r="J83" s="5"/>
        <tr r="C163" s="12"/>
      </tp>
      <tp>
        <v>335400</v>
        <stp/>
        <stp>Market</stp>
        <stp>STOCK</stp>
        <stp>19440.T</stp>
        <stp>出来高</stp>
        <tr r="C304" s="12"/>
      </tp>
      <tp>
        <v>737500</v>
        <stp/>
        <stp>Market</stp>
        <stp>STOCK</stp>
        <stp>19420.T</stp>
        <stp>出来高</stp>
        <tr r="J199" s="4"/>
        <tr r="C175" s="12"/>
        <tr r="J32" s="5"/>
      </tp>
      <tp>
        <v>742500</v>
        <stp/>
        <stp>Market</stp>
        <stp>STOCK</stp>
        <stp>19630.T</stp>
        <stp>出来高</stp>
        <tr r="J40" s="5"/>
        <tr r="C86" s="12"/>
        <tr r="J197" s="4"/>
      </tp>
      <tp>
        <v>773500</v>
        <stp/>
        <stp>Market</stp>
        <stp>STOCK</stp>
        <stp>19610.T</stp>
        <stp>出来高</stp>
        <tr r="J198" s="4"/>
        <tr r="J51" s="5"/>
        <tr r="C59" s="12"/>
      </tp>
    </main>
    <main first="rtdsrv.e07a56084d7946cdb07ca2177ccd3d26">
      <tp t="s">
        <v/>
        <stp/>
        <stp>Market</stp>
        <stp>STOCK</stp>
        <stp/>
        <stp>現在値</stp>
        <tr r="H191" s="16"/>
        <tr r="H404" s="16"/>
        <tr r="H338" s="16"/>
        <tr r="H408" s="16"/>
        <tr r="H125" s="16"/>
        <tr r="H317" s="16"/>
        <tr r="H275" s="16"/>
        <tr r="H206" s="16"/>
        <tr r="H350" s="16"/>
        <tr r="H319" s="16"/>
        <tr r="H441" s="16"/>
        <tr r="H367" s="16"/>
        <tr r="H430" s="16"/>
        <tr r="H232" s="16"/>
        <tr r="H205" s="16"/>
        <tr r="H458" s="16"/>
        <tr r="H127" s="16"/>
        <tr r="H152" s="16"/>
        <tr r="H247" s="16"/>
        <tr r="H229" s="16"/>
        <tr r="H346" s="16"/>
        <tr r="H413" s="16"/>
        <tr r="H355" s="16"/>
        <tr r="H270" s="16"/>
        <tr r="H324" s="16"/>
        <tr r="H314" s="16"/>
        <tr r="H132" s="16"/>
        <tr r="H374" s="16"/>
        <tr r="H301" s="16"/>
        <tr r="H181" s="16"/>
        <tr r="H174" s="16"/>
        <tr r="H332" s="16"/>
        <tr r="H265" s="16"/>
        <tr r="H147" s="16"/>
        <tr r="H144" s="16"/>
        <tr r="H347" s="16"/>
        <tr r="H387" s="16"/>
        <tr r="H133" s="16"/>
        <tr r="H261" s="16"/>
        <tr r="H269" s="16"/>
        <tr r="H461" s="16"/>
        <tr r="H264" s="16"/>
        <tr r="H310" s="16"/>
        <tr r="H402" s="16"/>
        <tr r="H130" s="16"/>
        <tr r="H221" s="16"/>
        <tr r="H199" s="16"/>
        <tr r="H212" s="16"/>
        <tr r="H227" s="16"/>
        <tr r="H354" s="16"/>
        <tr r="H371" s="16"/>
        <tr r="H226" s="16"/>
        <tr r="H342" s="16"/>
        <tr r="H129" s="16"/>
        <tr r="H128" s="16"/>
        <tr r="H185" s="16"/>
        <tr r="H155" s="16"/>
        <tr r="H399" s="16"/>
        <tr r="H445" s="16"/>
        <tr r="H278" s="16"/>
        <tr r="H369" s="16"/>
        <tr r="H295" s="16"/>
        <tr r="H405" s="16"/>
        <tr r="H351" s="16"/>
        <tr r="H446" s="16"/>
        <tr r="H197" s="16"/>
        <tr r="H450" s="16"/>
        <tr r="H234" s="16"/>
        <tr r="H287" s="16"/>
        <tr r="H268" s="16"/>
        <tr r="H364" s="16"/>
        <tr r="H313" s="16"/>
        <tr r="H244" s="16"/>
        <tr r="H393" s="16"/>
        <tr r="H271" s="16"/>
        <tr r="H195" s="16"/>
        <tr r="H253" s="16"/>
        <tr r="H223" s="16"/>
        <tr r="H427" s="16"/>
        <tr r="H380" s="16"/>
        <tr r="H330" s="16"/>
        <tr r="H255" s="16"/>
        <tr r="H285" s="16"/>
        <tr r="H339" s="16"/>
        <tr r="H257" s="16"/>
        <tr r="H282" s="16"/>
        <tr r="H454" s="16"/>
        <tr r="H279" s="16"/>
        <tr r="H414" s="16"/>
        <tr r="H365" s="16"/>
        <tr r="H137" s="16"/>
        <tr r="H361" s="16"/>
        <tr r="H274" s="16"/>
        <tr r="H224" s="16"/>
        <tr r="H423" s="16"/>
        <tr r="H362" s="16"/>
        <tr r="H428" s="16"/>
        <tr r="H266" s="16"/>
        <tr r="H176" s="16"/>
        <tr r="H196" s="16"/>
        <tr r="H122" s="16"/>
        <tr r="H291" s="16"/>
        <tr r="H200" s="16"/>
        <tr r="H411" s="16"/>
        <tr r="H326" s="16"/>
        <tr r="H136" s="16"/>
        <tr r="H406" s="16"/>
        <tr r="H153" s="16"/>
        <tr r="H143" s="16"/>
        <tr r="H323" s="16"/>
        <tr r="H395" s="16"/>
        <tr r="H157" s="16"/>
        <tr r="H180" s="16"/>
        <tr r="H198" s="16"/>
        <tr r="H455" s="16"/>
        <tr r="H189" s="16"/>
        <tr r="H217" s="16"/>
        <tr r="H187" s="16"/>
        <tr r="H451" s="16"/>
        <tr r="H256" s="16"/>
        <tr r="H236" s="16"/>
        <tr r="H123" s="16"/>
        <tr r="H238" s="16"/>
        <tr r="H188" s="16"/>
        <tr r="H166" s="16"/>
        <tr r="H316" s="16"/>
        <tr r="H379" s="16"/>
        <tr r="H273" s="16"/>
        <tr r="H298" s="16"/>
        <tr r="H341" s="16"/>
        <tr r="H290" s="16"/>
        <tr r="H308" s="16"/>
        <tr r="H149" s="16"/>
        <tr r="H186" s="16"/>
        <tr r="H225" s="16"/>
        <tr r="H320" s="16"/>
        <tr r="H359" s="16"/>
        <tr r="H139" s="16"/>
        <tr r="H151" s="16"/>
        <tr r="H456" s="16"/>
        <tr r="H385" s="16"/>
        <tr r="H233" s="16"/>
        <tr r="H240" s="16"/>
        <tr r="H145" s="16"/>
        <tr r="H135" s="16"/>
        <tr r="H245" s="16"/>
        <tr r="H366" s="16"/>
        <tr r="H384" s="16"/>
        <tr r="H435" s="16"/>
        <tr r="H400" s="16"/>
        <tr r="H322" s="16"/>
        <tr r="H213" s="16"/>
        <tr r="H284" s="16"/>
        <tr r="H167" s="16"/>
        <tr r="H190" s="16"/>
        <tr r="C26" s="14"/>
        <tr r="H267" s="16"/>
        <tr r="H168" s="16"/>
        <tr r="H417" s="16"/>
        <tr r="H447" s="16"/>
        <tr r="H277" s="16"/>
        <tr r="H416" s="16"/>
        <tr r="H164" s="16"/>
        <tr r="H281" s="16"/>
        <tr r="H357" s="16"/>
        <tr r="H398" s="16"/>
        <tr r="H305" s="16"/>
        <tr r="H392" s="16"/>
        <tr r="H363" s="16"/>
        <tr r="H252" s="16"/>
        <tr r="H300" s="16"/>
        <tr r="H440" s="16"/>
        <tr r="H321" s="16"/>
        <tr r="H141" s="16"/>
        <tr r="H409" s="16"/>
        <tr r="H460" s="16"/>
        <tr r="H239" s="16"/>
        <tr r="H438" s="16"/>
        <tr r="H288" s="16"/>
        <tr r="H138" s="16"/>
        <tr r="H429" s="16"/>
        <tr r="H325" s="16"/>
        <tr r="H154" s="16"/>
        <tr r="H192" s="16"/>
        <tr r="H415" s="16"/>
        <tr r="H453" s="16"/>
        <tr r="H410" s="16"/>
        <tr r="H448" s="16"/>
        <tr r="H209" s="16"/>
        <tr r="H334" s="16"/>
        <tr r="H382" s="16"/>
        <tr r="H272" s="16"/>
        <tr r="H124" s="16"/>
        <tr r="H162" s="16"/>
        <tr r="H336" s="16"/>
        <tr r="H179" s="16"/>
        <tr r="H457" s="16"/>
        <tr r="H243" s="16"/>
        <tr r="H442" s="16"/>
        <tr r="H344" s="16"/>
        <tr r="H242" s="16"/>
        <tr r="H444" s="16"/>
        <tr r="H431" s="16"/>
        <tr r="H436" s="16"/>
        <tr r="H356" s="16"/>
        <tr r="H208" s="16"/>
        <tr r="H134" s="16"/>
        <tr r="H280" s="16"/>
        <tr r="H293" s="16"/>
        <tr r="H394" s="16"/>
        <tr r="H142" s="16"/>
        <tr r="H173" s="16"/>
        <tr r="H241" s="16"/>
        <tr r="H306" s="16"/>
        <tr r="H184" s="16"/>
        <tr r="H121" s="16"/>
        <tr r="H246" s="16"/>
        <tr r="H335" s="16"/>
        <tr r="H194" s="16"/>
        <tr r="H220" s="16"/>
        <tr r="H397" s="16"/>
        <tr r="H254" s="16"/>
        <tr r="H331" s="16"/>
        <tr r="H294" s="16"/>
        <tr r="H126" s="16"/>
        <tr r="H386" s="16"/>
        <tr r="H299" s="16"/>
        <tr r="H249" s="16"/>
        <tr r="H235" s="16"/>
        <tr r="H368" s="16"/>
        <tr r="H352" s="16"/>
        <tr r="H296" s="16"/>
        <tr r="H302" s="16"/>
        <tr r="H148" s="16"/>
        <tr r="H158" s="16"/>
        <tr r="H343" s="16"/>
        <tr r="H407" s="16"/>
        <tr r="H381" s="16"/>
        <tr r="H259" s="16"/>
        <tr r="H203" s="16"/>
        <tr r="H426" s="16"/>
        <tr r="H378" s="16"/>
        <tr r="H251" s="16"/>
        <tr r="H260" s="16"/>
        <tr r="H345" s="16"/>
        <tr r="H140" s="16"/>
        <tr r="H283" s="16"/>
        <tr r="H150" s="16"/>
        <tr r="H211" s="16"/>
        <tr r="H434" s="16"/>
        <tr r="H311" s="16"/>
        <tr r="H215" s="16"/>
        <tr r="H304" s="16"/>
        <tr r="H372" s="16"/>
        <tr r="H337" s="16"/>
        <tr r="H360" s="16"/>
        <tr r="H459" s="16"/>
        <tr r="H231" s="16"/>
        <tr r="H258" s="16"/>
        <tr r="H307" s="16"/>
        <tr r="H424" s="16"/>
        <tr r="H161" s="16"/>
        <tr r="H388" s="16"/>
        <tr r="H443" s="16"/>
        <tr r="H449" s="16"/>
        <tr r="H163" s="16"/>
        <tr r="H171" s="16"/>
        <tr r="H289" s="16"/>
        <tr r="H183" s="16"/>
        <tr r="H422" s="16"/>
        <tr r="H432" s="16"/>
        <tr r="H377" s="16"/>
        <tr r="H276" s="16"/>
        <tr r="H237" s="16"/>
        <tr r="H175" s="16"/>
        <tr r="H315" s="16"/>
        <tr r="H420" s="16"/>
        <tr r="H383" s="16"/>
        <tr r="H286" s="16"/>
        <tr r="H193" s="16"/>
        <tr r="H230" s="16"/>
        <tr r="H169" s="16"/>
        <tr r="H421" s="16"/>
        <tr r="H218" s="16"/>
        <tr r="H131" s="16"/>
        <tr r="H353" s="16"/>
        <tr r="H214" s="16"/>
        <tr r="H250" s="16"/>
        <tr r="H376" s="16"/>
        <tr r="H401" s="16"/>
        <tr r="H228" s="16"/>
        <tr r="H340" s="16"/>
        <tr r="H329" s="16"/>
        <tr r="H391" s="16"/>
        <tr r="H292" s="16"/>
        <tr r="H165" s="16"/>
        <tr r="H210" s="16"/>
        <tr r="H348" s="16"/>
        <tr r="H222" s="16"/>
        <tr r="H419" s="16"/>
        <tr r="H312" s="16"/>
        <tr r="H437" s="16"/>
        <tr r="H318" s="16"/>
        <tr r="H172" s="16"/>
        <tr r="H309" s="16"/>
        <tr r="H370" s="16"/>
        <tr r="H204" s="16"/>
        <tr r="H202" s="16"/>
        <tr r="H201" s="16"/>
        <tr r="H390" s="16"/>
        <tr r="H182" s="16"/>
        <tr r="H433" s="16"/>
        <tr r="H333" s="16"/>
        <tr r="H146" s="16"/>
        <tr r="H389" s="16"/>
        <tr r="H403" s="16"/>
        <tr r="H349" s="16"/>
        <tr r="H207" s="16"/>
        <tr r="H425" s="16"/>
        <tr r="H263" s="16"/>
        <tr r="H412" s="16"/>
        <tr r="H156" s="16"/>
        <tr r="H159" s="16"/>
        <tr r="H178" s="16"/>
        <tr r="H297" s="16"/>
        <tr r="H160" s="16"/>
        <tr r="H396" s="16"/>
        <tr r="H219" s="16"/>
        <tr r="H303" s="16"/>
        <tr r="H177" s="16"/>
        <tr r="H375" s="16"/>
        <tr r="H248" s="16"/>
        <tr r="H216" s="16"/>
        <tr r="H262" s="16"/>
        <tr r="H439" s="16"/>
        <tr r="H358" s="16"/>
        <tr r="H452" s="16"/>
        <tr r="H327" s="16"/>
        <tr r="H328" s="16"/>
        <tr r="H373" s="16"/>
        <tr r="H170" s="16"/>
        <tr r="H418" s="16"/>
      </tp>
      <tp>
        <v>476</v>
        <stp/>
        <stp>Market</stp>
        <stp>STOCK</stp>
        <stp>281A0.T</stp>
        <stp>高値</stp>
        <tr r="C266" s="9"/>
      </tp>
      <tp>
        <v>56800</v>
        <stp/>
        <stp>Market</stp>
        <stp>STOCK</stp>
        <stp>285A0.T</stp>
        <stp>高値</stp>
        <tr r="C218" s="9"/>
      </tp>
      <tp>
        <v>14300</v>
        <stp/>
        <stp>Market</stp>
        <stp>STOCK</stp>
        <stp>278A0.T</stp>
        <stp>高値</stp>
        <tr r="C251" s="9"/>
      </tp>
      <tp>
        <v>3020</v>
        <stp/>
        <stp>Market</stp>
        <stp>STOCK</stp>
        <stp>300A0.T</stp>
        <stp>高値</stp>
        <tr r="C252" s="9"/>
      </tp>
      <tp>
        <v>1193</v>
        <stp/>
        <stp>Market</stp>
        <stp>STOCK</stp>
        <stp>186A0.T</stp>
        <stp>高値</stp>
        <tr r="C299" s="9"/>
      </tp>
      <tp>
        <v>860</v>
        <stp/>
        <stp>Market</stp>
        <stp>STOCK</stp>
        <stp>155A0.T</stp>
        <stp>高値</stp>
        <tr r="C250" s="9"/>
      </tp>
      <tp>
        <v>3295</v>
        <stp/>
        <stp>Market</stp>
        <stp>STOCK</stp>
        <stp>141A0.T</stp>
        <stp>高値</stp>
        <tr r="C219" s="9"/>
      </tp>
      <tp>
        <v>1920</v>
        <stp/>
        <stp>Market</stp>
        <stp>STOCK</stp>
        <stp>485A0.T</stp>
        <stp>高値</stp>
        <tr r="C221" s="9"/>
      </tp>
      <tp>
        <v>1666</v>
        <stp/>
        <stp>Market</stp>
        <stp>STOCK</stp>
        <stp>464A0.T</stp>
        <stp>高値</stp>
        <tr r="C220" s="9"/>
      </tp>
    </main>
    <main first="rtdsrv.e07a56084d7946cdb07ca2177ccd3d26">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ＦＤＫ</v>
        <stp/>
        <stp>Market</stp>
        <stp>STOCK</stp>
        <stp>69550.T</stp>
        <stp>銘柄名称</stp>
        <tr r="C265" s="1"/>
        <tr r="D17" s="16"/>
      </tp>
      <tp t="s">
        <v>ファナック</v>
        <stp/>
        <stp>Market</stp>
        <stp>STOCK</stp>
        <stp>69540.T</stp>
        <stp>銘柄名称</stp>
        <tr r="C78" s="1"/>
        <tr r="D46" s="16"/>
      </tp>
      <tp t="s">
        <v>日揮ホールディングス</v>
        <stp/>
        <stp>Market</stp>
        <stp>STOCK</stp>
        <stp>19630.T</stp>
        <stp>銘柄名称</stp>
        <tr r="C86" s="1"/>
      </tp>
      <tp t="s">
        <v>ミスミグループ本社</v>
        <stp/>
        <stp>Market</stp>
        <stp>STOCK</stp>
        <stp>99620.T</stp>
        <stp>銘柄名称</stp>
        <tr r="C233"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アバールデータ</v>
        <stp/>
        <stp>Market</stp>
        <stp>STOCK</stp>
        <stp>69180.T</stp>
        <stp>銘柄名称</stp>
        <tr r="C279" s="1"/>
      </tp>
      <tp t="s">
        <v>日本たばこ産業</v>
        <stp/>
        <stp>Market</stp>
        <stp>STOCK</stp>
        <stp>29140.T</stp>
        <stp>銘柄名称</stp>
        <tr r="C87" s="1"/>
        <tr r="D38" s="16"/>
      </tp>
      <tp t="s">
        <v>三和ホールディングス</v>
        <stp/>
        <stp>Market</stp>
        <stp>STOCK</stp>
        <stp>59290.T</stp>
        <stp>銘柄名称</stp>
        <tr r="C49" s="1"/>
      </tp>
      <tp t="s">
        <v>エノモト</v>
        <stp/>
        <stp>Market</stp>
        <stp>STOCK</stp>
        <stp>69280.T</stp>
        <stp>銘柄名称</stp>
        <tr r="C246" s="1"/>
        <tr r="D33" s="16"/>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ＬＩＸＩＬ</v>
        <stp/>
        <stp>Market</stp>
        <stp>STOCK</stp>
        <stp>59380.T</stp>
        <stp>銘柄名称</stp>
        <tr r="C36" s="1"/>
      </tp>
      <tp t="s">
        <v>日本リーテック</v>
        <stp/>
        <stp>Market</stp>
        <stp>STOCK</stp>
        <stp>19380.T</stp>
        <stp>銘柄名称</stp>
        <tr r="C176"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タカラスタンダ－ド</v>
        <stp/>
        <stp>Market</stp>
        <stp>STOCK</stp>
        <stp>79810.T</stp>
        <stp>銘柄名称</stp>
        <tr r="D31" s="16"/>
        <tr r="C171" s="1"/>
        <tr r="D14" s="16"/>
        <tr r="D23" s="16"/>
      </tp>
      <tp t="s">
        <v>村田製作所</v>
        <stp/>
        <stp>Market</stp>
        <stp>STOCK</stp>
        <stp>69810.T</stp>
        <stp>銘柄名称</stp>
        <tr r="C154" s="1"/>
      </tp>
      <tp t="s">
        <v>デクセリアルズ</v>
        <stp/>
        <stp>Market</stp>
        <stp>STOCK</stp>
        <stp>49800.T</stp>
        <stp>銘柄名称</stp>
        <tr r="C69" s="1"/>
      </tp>
      <tp t="s">
        <v>ソフトバンクグループ</v>
        <stp/>
        <stp>Market</stp>
        <stp>STOCK</stp>
        <stp>99840.T</stp>
        <stp>銘柄名称</stp>
        <tr r="C65" s="1"/>
        <tr r="D13" s="16"/>
      </tp>
      <tp t="s">
        <v>ユーザーローカル</v>
        <stp/>
        <stp>Market</stp>
        <stp>STOCK</stp>
        <stp>39840.T</stp>
        <stp>銘柄名称</stp>
        <tr r="C239" s="1"/>
      </tp>
      <tp t="s">
        <v>日本ケミコン</v>
        <stp/>
        <stp>Market</stp>
        <stp>STOCK</stp>
        <stp>69970.T</stp>
        <stp>銘柄名称</stp>
        <tr r="C272" s="1"/>
      </tp>
    </main>
    <main first="rtdsrv.e07a56084d7946cdb07ca2177ccd3d26">
      <tp t="s">
        <v>東亜ディーケーケー</v>
        <stp/>
        <stp>Market</stp>
        <stp>STOCK</stp>
        <stp>68480.T</stp>
        <stp>銘柄名称</stp>
        <tr r="C274" s="1"/>
      </tp>
      <tp t="s">
        <v>横河電機</v>
        <stp/>
        <stp>Market</stp>
        <stp>STOCK</stp>
        <stp>68410.T</stp>
        <stp>銘柄名称</stp>
        <tr r="C81" s="1"/>
      </tp>
      <tp t="s">
        <v>パイロットコーポレーション</v>
        <stp/>
        <stp>Market</stp>
        <stp>STOCK</stp>
        <stp>78460.T</stp>
        <stp>銘柄名称</stp>
        <tr r="C75" s="1"/>
      </tp>
      <tp t="s">
        <v>京都フィナンシャルＧ</v>
        <stp/>
        <stp>Market</stp>
        <stp>STOCK</stp>
        <stp>58440.T</stp>
        <stp>銘柄名称</stp>
        <tr r="C118"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tp t="s">
        <v>日本製紙</v>
        <stp/>
        <stp>Market</stp>
        <stp>STOCK</stp>
        <stp>38630.T</stp>
        <stp>銘柄名称</stp>
        <tr r="C32" s="1"/>
      </tp>
      <tp t="s">
        <v>ミナトホールディングス</v>
        <stp/>
        <stp>Market</stp>
        <stp>STOCK</stp>
        <stp>68620.T</stp>
        <stp>銘柄名称</stp>
        <tr r="C225" s="1"/>
        <tr r="D36" s="16"/>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ＴＯＡ</v>
        <stp/>
        <stp>Market</stp>
        <stp>STOCK</stp>
        <stp>68090.T</stp>
        <stp>銘柄名称</stp>
        <tr r="C238" s="1"/>
      </tp>
      <tp t="s">
        <v>長谷工コーポレーシヨン</v>
        <stp/>
        <stp>Market</stp>
        <stp>STOCK</stp>
        <stp>18080.T</stp>
        <stp>銘柄名称</stp>
        <tr r="C297" s="1"/>
      </tp>
      <tp t="s">
        <v>フジクラ</v>
        <stp/>
        <stp>Market</stp>
        <stp>STOCK</stp>
        <stp>58030.T</stp>
        <stp>銘柄名称</stp>
        <tr r="C103" s="1"/>
      </tp>
      <tp t="s">
        <v>住友電工</v>
        <stp/>
        <stp>Market</stp>
        <stp>STOCK</stp>
        <stp>58020.T</stp>
        <stp>銘柄名称</stp>
        <tr r="C102" s="1"/>
      </tp>
      <tp t="s">
        <v>味の素</v>
        <stp/>
        <stp>Market</stp>
        <stp>STOCK</stp>
        <stp>28020.T</stp>
        <stp>銘柄名称</stp>
        <tr r="C76" s="1"/>
      </tp>
      <tp t="s">
        <v>三井不動産</v>
        <stp/>
        <stp>Market</stp>
        <stp>STOCK</stp>
        <stp>88010.T</stp>
        <stp>銘柄名称</stp>
        <tr r="C124" s="1"/>
      </tp>
      <tp t="s">
        <v>古河電工</v>
        <stp/>
        <stp>Market</stp>
        <stp>STOCK</stp>
        <stp>58010.T</stp>
        <stp>銘柄名称</stp>
        <tr r="C200" s="1"/>
      </tp>
      <tp t="s">
        <v>ＭＴＧ</v>
        <stp/>
        <stp>Market</stp>
        <stp>STOCK</stp>
        <stp>78060.T</stp>
        <stp>銘柄名称</stp>
        <tr r="C73" s="1"/>
      </tp>
      <tp t="s">
        <v>鹿島建設</v>
        <stp/>
        <stp>Market</stp>
        <stp>STOCK</stp>
        <stp>18120.T</stp>
        <stp>銘柄名称</stp>
        <tr r="C208" s="1"/>
      </tp>
      <tp t="s">
        <v>インフォメティス</v>
        <stp/>
        <stp>Market</stp>
        <stp>STOCK</stp>
        <stp>281A0.T</stp>
        <stp>銘柄名称</stp>
        <tr r="D9" s="16"/>
        <tr r="C266" s="1"/>
      </tp>
      <tp t="s">
        <v>楽天銀行</v>
        <stp/>
        <stp>Market</stp>
        <stp>STOCK</stp>
        <stp>58380.T</stp>
        <stp>銘柄名称</stp>
        <tr r="C117" s="1"/>
      </tp>
      <tp t="s">
        <v>多摩川ホールディングス</v>
        <stp/>
        <stp>Market</stp>
        <stp>STOCK</stp>
        <stp>68380.T</stp>
        <stp>銘柄名称</stp>
        <tr r="C148" s="1"/>
      </tp>
      <tp t="s">
        <v>奥村組</v>
        <stp/>
        <stp>Market</stp>
        <stp>STOCK</stp>
        <stp>18330.T</stp>
        <stp>銘柄名称</stp>
        <tr r="C80" s="1"/>
      </tp>
      <tp t="s">
        <v>ステラファーマ</v>
        <stp/>
        <stp>Market</stp>
        <stp>STOCK</stp>
        <stp>48880.T</stp>
        <stp>銘柄名称</stp>
        <tr r="C146" s="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エスコン</v>
        <stp/>
        <stp>Market</stp>
        <stp>STOCK</stp>
        <stp>88920.T</stp>
        <stp>銘柄名称</stp>
        <tr r="C161" s="1"/>
      </tp>
      <tp t="s">
        <v>ＹＵＴＯＲＩ</v>
        <stp/>
        <stp>Market</stp>
        <stp>STOCK</stp>
        <stp>58920.T</stp>
        <stp>銘柄名称</stp>
        <tr r="C89" s="1"/>
      </tp>
      <tp t="s">
        <v>ニッポン高度紙工業</v>
        <stp/>
        <stp>Market</stp>
        <stp>STOCK</stp>
        <stp>38910.T</stp>
        <stp>銘柄名称</stp>
        <tr r="C159" s="1"/>
        <tr r="D20" s="16"/>
        <tr r="D29" s="16"/>
      </tp>
      <tp t="s">
        <v>フェローテック</v>
        <stp/>
        <stp>Market</stp>
        <stp>STOCK</stp>
        <stp>68900.T</stp>
        <stp>銘柄名称</stp>
        <tr r="C195" s="1"/>
      </tp>
    </main>
    <main first="rtdsrv.e07a56084d7946cdb07ca2177ccd3d26">
      <tp>
        <v>1755</v>
        <stp/>
        <stp>Market</stp>
        <stp>STOCK</stp>
        <stp>91650.T</stp>
        <stp>現在値</stp>
        <tr r="C243" s="11"/>
      </tp>
      <tp>
        <v>5935</v>
        <stp/>
        <stp>Market</stp>
        <stp>STOCK</stp>
        <stp>91040.T</stp>
        <stp>現在値</stp>
        <tr r="C259" s="11"/>
      </tp>
      <tp>
        <v>5760</v>
        <stp/>
        <stp>Market</stp>
        <stp>STOCK</stp>
        <stp>91010.T</stp>
        <stp>現在値</stp>
        <tr r="E27" s="4"/>
        <tr r="E164" s="5"/>
        <tr r="C206" s="11"/>
      </tp>
      <tp>
        <v>872</v>
        <stp/>
        <stp>Market</stp>
        <stp>STOCK</stp>
        <stp>91150.T</stp>
        <stp>現在値</stp>
        <tr r="C270" s="11"/>
      </tp>
      <tp>
        <v>2190</v>
        <stp/>
        <stp>Market</stp>
        <stp>STOCK</stp>
        <stp>90690.T</stp>
        <stp>現在値</stp>
        <tr r="E60" s="5"/>
        <tr r="E28" s="4"/>
        <tr r="C110" s="11"/>
      </tp>
      <tp>
        <v>1891.5</v>
        <stp/>
        <stp>Market</stp>
        <stp>STOCK</stp>
        <stp>90640.T</stp>
        <stp>現在値</stp>
        <tr r="E163" s="5"/>
        <tr r="C189" s="11"/>
        <tr r="E4" s="4"/>
      </tp>
      <tp>
        <v>3382</v>
        <stp/>
        <stp>Market</stp>
        <stp>STOCK</stp>
        <stp>90200.T</stp>
        <stp>現在値</stp>
        <tr r="E104" s="5"/>
        <tr r="E30" s="4"/>
        <tr r="C109" s="11"/>
      </tp>
      <tp>
        <v>3779</v>
        <stp/>
        <stp>Market</stp>
        <stp>STOCK</stp>
        <stp>90220.T</stp>
        <stp>現在値</stp>
        <tr r="E29" s="4"/>
        <tr r="C184" s="11"/>
        <tr r="E159" s="5"/>
      </tp>
      <tp>
        <v>421</v>
        <stp/>
        <stp>Market</stp>
        <stp>STOCK</stp>
        <stp>93480.T</stp>
        <stp>現在値</stp>
        <tr r="E8" s="5"/>
        <tr r="C112" s="11"/>
        <tr r="E24" s="4"/>
      </tp>
      <tp>
        <v>3135</v>
        <stp/>
        <stp>Market</stp>
        <stp>STOCK</stp>
        <stp>92020.T</stp>
        <stp>現在値</stp>
        <tr r="E26" s="4"/>
        <tr r="E99" s="5"/>
        <tr r="C74" s="11"/>
      </tp>
      <tp>
        <v>889</v>
        <stp/>
        <stp>Market</stp>
        <stp>STOCK</stp>
        <stp>92270.T</stp>
        <stp>現在値</stp>
        <tr r="C111" s="11"/>
        <tr r="E146" s="5"/>
        <tr r="E25" s="4"/>
      </tp>
      <tp>
        <v>3335</v>
        <stp/>
        <stp>Market</stp>
        <stp>STOCK</stp>
        <stp>95510.T</stp>
        <stp>現在値</stp>
        <tr r="C167" s="11"/>
        <tr r="E12" s="4"/>
        <tr r="E134" s="5"/>
      </tp>
      <tp>
        <v>916.6</v>
        <stp/>
        <stp>Market</stp>
        <stp>STOCK</stp>
        <stp>95050.T</stp>
        <stp>現在値</stp>
        <tr r="E17" s="4"/>
        <tr r="E157" s="5"/>
        <tr r="C181" s="11"/>
      </tp>
      <tp>
        <v>1192.5</v>
        <stp/>
        <stp>Market</stp>
        <stp>STOCK</stp>
        <stp>95060.T</stp>
        <stp>現在値</stp>
        <tr r="E16" s="4"/>
        <tr r="E193" s="5"/>
        <tr r="C186" s="11"/>
      </tp>
      <tp>
        <v>525.20000000000005</v>
        <stp/>
        <stp>Market</stp>
        <stp>STOCK</stp>
        <stp>95010.T</stp>
        <stp>現在値</stp>
        <tr r="E18" s="4"/>
        <tr r="E105" s="5"/>
        <tr r="C114" s="11"/>
      </tp>
      <tp>
        <v>919</v>
        <stp/>
        <stp>Market</stp>
        <stp>STOCK</stp>
        <stp>95190.T</stp>
        <stp>現在値</stp>
        <tr r="C214" s="11"/>
      </tp>
      <tp>
        <v>2352</v>
        <stp/>
        <stp>Market</stp>
        <stp>STOCK</stp>
        <stp>95360.T</stp>
        <stp>現在値</stp>
        <tr r="E13" s="4"/>
        <tr r="E160" s="5"/>
        <tr r="C185" s="11"/>
      </tp>
      <tp>
        <v>5956</v>
        <stp/>
        <stp>Market</stp>
        <stp>STOCK</stp>
        <stp>95310.T</stp>
        <stp>現在値</stp>
        <tr r="C115" s="11"/>
        <tr r="E203" s="5"/>
        <tr r="E15" s="4"/>
      </tp>
      <tp>
        <v>5334</v>
        <stp/>
        <stp>Market</stp>
        <stp>STOCK</stp>
        <stp>95320.T</stp>
        <stp>現在値</stp>
        <tr r="E14" s="4"/>
        <tr r="E79" s="5"/>
        <tr r="C127" s="11"/>
      </tp>
      <tp>
        <v>4185</v>
        <stp/>
        <stp>Market</stp>
        <stp>STOCK</stp>
        <stp>94490.T</stp>
        <stp>現在値</stp>
        <tr r="E19" s="4"/>
        <tr r="C113" s="11"/>
        <tr r="E77" s="5"/>
      </tp>
      <tp>
        <v>2776</v>
        <stp/>
        <stp>Market</stp>
        <stp>STOCK</stp>
        <stp>94040.T</stp>
        <stp>現在値</stp>
        <tr r="E23" s="4"/>
        <tr r="E78" s="5"/>
        <tr r="C119" s="11"/>
      </tp>
      <tp>
        <v>1023</v>
        <stp/>
        <stp>Market</stp>
        <stp>STOCK</stp>
        <stp>94160.T</stp>
        <stp>現在値</stp>
        <tr r="C126" s="11"/>
        <tr r="E107" s="5"/>
        <tr r="E21" s="4"/>
      </tp>
      <tp>
        <v>2297</v>
        <stp/>
        <stp>Market</stp>
        <stp>STOCK</stp>
        <stp>94120.T</stp>
        <stp>現在値</stp>
        <tr r="E22" s="4"/>
        <tr r="E22" s="5"/>
        <tr r="C56" s="11"/>
      </tp>
      <tp>
        <v>115</v>
        <stp/>
        <stp>Market</stp>
        <stp>STOCK</stp>
        <stp>94240.T</stp>
        <stp>現在値</stp>
        <tr r="E20" s="4"/>
        <tr r="E15" s="5"/>
        <tr r="C70" s="11"/>
      </tp>
      <tp>
        <v>2289</v>
        <stp/>
        <stp>Market</stp>
        <stp>STOCK</stp>
        <stp>97330.T</stp>
        <stp>現在値</stp>
        <tr r="C166" s="11"/>
        <tr r="E10" s="4"/>
        <tr r="E153" s="5"/>
      </tp>
      <tp>
        <v>4375</v>
        <stp/>
        <stp>Market</stp>
        <stp>STOCK</stp>
        <stp>96870.T</stp>
        <stp>現在値</stp>
        <tr r="E44" s="5"/>
        <tr r="E11" s="4"/>
        <tr r="C162" s="11"/>
      </tp>
      <tp>
        <v>3831</v>
        <stp/>
        <stp>Market</stp>
        <stp>STOCK</stp>
        <stp>99620.T</stp>
        <stp>現在値</stp>
        <tr r="C233" s="11"/>
      </tp>
      <tp>
        <v>5872</v>
        <stp/>
        <stp>Market</stp>
        <stp>STOCK</stp>
        <stp>99840.T</stp>
        <stp>現在値</stp>
        <tr r="E8" s="4"/>
        <tr r="E53" s="5"/>
        <tr r="C65" s="11"/>
        <tr r="H13" s="16"/>
      </tp>
      <tp>
        <v>3740</v>
        <stp/>
        <stp>Market</stp>
        <stp>STOCK</stp>
        <stp>98800.T</stp>
        <stp>現在値</stp>
        <tr r="C257" s="11"/>
      </tp>
      <tp>
        <v>1717</v>
        <stp/>
        <stp>Market</stp>
        <stp>STOCK</stp>
        <stp>98820.T</stp>
        <stp>現在値</stp>
        <tr r="E128" s="5"/>
        <tr r="E9" s="4"/>
        <tr r="C116" s="11"/>
      </tp>
    </main>
    <main first="rtdsrv.e07a56084d7946cdb07ca2177ccd3d26">
      <tp>
        <v>1565</v>
        <stp/>
        <stp>Market</stp>
        <stp>STOCK</stp>
        <stp>81410.T</stp>
        <stp>現在値</stp>
        <tr r="C292" s="11"/>
      </tp>
      <tp>
        <v>890</v>
        <stp/>
        <stp>Market</stp>
        <stp>STOCK</stp>
        <stp>81030.T</stp>
        <stp>現在値</stp>
        <tr r="E56" s="4"/>
        <tr r="E136" s="5"/>
        <tr r="C169" s="11"/>
      </tp>
      <tp>
        <v>4671</v>
        <stp/>
        <stp>Market</stp>
        <stp>STOCK</stp>
        <stp>80580.T</stp>
        <stp>現在値</stp>
        <tr r="E89" s="5"/>
        <tr r="E58" s="4"/>
        <tr r="C16" s="11"/>
      </tp>
      <tp>
        <v>1707</v>
        <stp/>
        <stp>Market</stp>
        <stp>STOCK</stp>
        <stp>80530.T</stp>
        <stp>現在値</stp>
        <tr r="E59" s="4"/>
        <tr r="C25" s="11"/>
        <tr r="E49" s="5"/>
      </tp>
      <tp>
        <v>1815</v>
        <stp/>
        <stp>Market</stp>
        <stp>STOCK</stp>
        <stp>80050.T</stp>
        <stp>現在値</stp>
        <tr r="C236" s="11"/>
      </tp>
      <tp>
        <v>793</v>
        <stp/>
        <stp>Market</stp>
        <stp>STOCK</stp>
        <stp>80070.T</stp>
        <stp>現在値</stp>
        <tr r="C281" s="11"/>
      </tp>
      <tp>
        <v>4820</v>
        <stp/>
        <stp>Market</stp>
        <stp>STOCK</stp>
        <stp>80020.T</stp>
        <stp>現在値</stp>
        <tr r="E62" s="4"/>
        <tr r="C14" s="11"/>
        <tr r="E167" s="5"/>
      </tp>
      <tp>
        <v>7159</v>
        <stp/>
        <stp>Market</stp>
        <stp>STOCK</stp>
        <stp>80150.T</stp>
        <stp>現在値</stp>
        <tr r="C204" s="11"/>
        <tr r="E61" s="4"/>
        <tr r="E65" s="5"/>
      </tp>
      <tp>
        <v>58720</v>
        <stp/>
        <stp>Market</stp>
        <stp>STOCK</stp>
        <stp>80350.T</stp>
        <stp>現在値</stp>
        <tr r="E60" s="4"/>
        <tr r="C198" s="11"/>
        <tr r="E35" s="5"/>
      </tp>
      <tp>
        <v>2339</v>
        <stp/>
        <stp>Market</stp>
        <stp>STOCK</stp>
        <stp>80910.T</stp>
        <stp>現在値</stp>
        <tr r="E57" s="4"/>
        <tr r="C182" s="11"/>
        <tr r="E158" s="5"/>
      </tp>
      <tp>
        <v>4010</v>
        <stp/>
        <stp>Market</stp>
        <stp>STOCK</stp>
        <stp>83440.T</stp>
        <stp>現在値</stp>
        <tr r="C293" s="11"/>
      </tp>
      <tp>
        <v>2568</v>
        <stp/>
        <stp>Market</stp>
        <stp>STOCK</stp>
        <stp>83590.T</stp>
        <stp>現在値</stp>
        <tr r="E48" s="4"/>
        <tr r="E26" s="5"/>
        <tr r="C123" s="11"/>
      </tp>
      <tp>
        <v>1664</v>
        <stp/>
        <stp>Market</stp>
        <stp>STOCK</stp>
        <stp>83090.T</stp>
        <stp>現在値</stp>
        <tr r="E51" s="4"/>
        <tr r="C31" s="11"/>
        <tr r="E68" s="5"/>
      </tp>
      <tp>
        <v>2270.5</v>
        <stp/>
        <stp>Market</stp>
        <stp>STOCK</stp>
        <stp>83080.T</stp>
        <stp>現在値</stp>
        <tr r="E92" s="5"/>
        <tr r="E52" s="4"/>
        <tr r="C35" s="11"/>
      </tp>
      <tp>
        <v>3541</v>
        <stp/>
        <stp>Market</stp>
        <stp>STOCK</stp>
        <stp>83060.T</stp>
        <stp>現在値</stp>
        <tr r="E201" s="5"/>
        <tr r="E53" s="4"/>
        <tr r="C45" s="11"/>
      </tp>
      <tp>
        <v>1486</v>
        <stp/>
        <stp>Market</stp>
        <stp>STOCK</stp>
        <stp>83030.T</stp>
        <stp>現在値</stp>
        <tr r="E191" s="5"/>
        <tr r="C172" s="11"/>
        <tr r="E54" s="4"/>
      </tp>
      <tp>
        <v>6655</v>
        <stp/>
        <stp>Market</stp>
        <stp>STOCK</stp>
        <stp>83160.T</stp>
        <stp>現在値</stp>
        <tr r="E50" s="4"/>
        <tr r="E70" s="5"/>
        <tr r="C50" s="11"/>
      </tp>
      <tp>
        <v>2560.5</v>
        <stp/>
        <stp>Market</stp>
        <stp>STOCK</stp>
        <stp>83340.T</stp>
        <stp>現在値</stp>
        <tr r="E49" s="4"/>
        <tr r="E204" s="5"/>
        <tr r="H11" s="16"/>
        <tr r="C122" s="11"/>
      </tp>
      <tp>
        <v>1077</v>
        <stp/>
        <stp>Market</stp>
        <stp>STOCK</stp>
        <stp>82810.T</stp>
        <stp>現在値</stp>
        <tr r="E179" s="5"/>
        <tr r="E55" s="4"/>
        <tr r="C63" s="11"/>
      </tp>
      <tp>
        <v>1548.5</v>
        <stp/>
        <stp>Market</stp>
        <stp>STOCK</stp>
        <stp>85700.T</stp>
        <stp>現在値</stp>
        <tr r="C37" s="11"/>
        <tr r="E94" s="5"/>
        <tr r="E45" s="4"/>
      </tp>
      <tp>
        <v>474.4</v>
        <stp/>
        <stp>Market</stp>
        <stp>STOCK</stp>
        <stp>85720.T</stp>
        <stp>現在値</stp>
        <tr r="E38" s="5"/>
        <tr r="E44" s="4"/>
        <tr r="C47" s="11"/>
      </tp>
      <tp>
        <v>6505</v>
        <stp/>
        <stp>Market</stp>
        <stp>STOCK</stp>
        <stp>85910.T</stp>
        <stp>現在値</stp>
        <tr r="E43" s="4"/>
        <tr r="E67" s="5"/>
        <tr r="C26" s="11"/>
      </tp>
      <tp>
        <v>1413</v>
        <stp/>
        <stp>Market</stp>
        <stp>STOCK</stp>
        <stp>85930.T</stp>
        <stp>現在値</stp>
        <tr r="E42" s="4"/>
        <tr r="C39" s="11"/>
        <tr r="E171" s="5"/>
        <tr r="H26" s="16"/>
      </tp>
      <tp>
        <v>8471</v>
        <stp/>
        <stp>Market</stp>
        <stp>STOCK</stp>
        <stp>84110.T</stp>
        <stp>現在値</stp>
        <tr r="E47" s="4"/>
        <tr r="E66" s="5"/>
        <tr r="C19" s="11"/>
      </tp>
      <tp>
        <v>4360</v>
        <stp/>
        <stp>Market</stp>
        <stp>STOCK</stp>
        <stp>84240.T</stp>
        <stp>現在値</stp>
        <tr r="E185" s="5"/>
        <tr r="E46" s="4"/>
        <tr r="C108" s="11"/>
        <tr r="H19" s="16"/>
      </tp>
      <tp>
        <v>1903</v>
        <stp/>
        <stp>Market</stp>
        <stp>STOCK</stp>
        <stp>87500.T</stp>
        <stp>現在値</stp>
        <tr r="E36" s="4"/>
        <tr r="E200" s="5"/>
        <tr r="C43" s="11"/>
      </tp>
      <tp>
        <v>7712</v>
        <stp/>
        <stp>Market</stp>
        <stp>STOCK</stp>
        <stp>87660.T</stp>
        <stp>現在値</stp>
        <tr r="E174" s="5"/>
        <tr r="E35" s="4"/>
        <tr r="C52" s="11"/>
      </tp>
      <tp>
        <v>1328</v>
        <stp/>
        <stp>Market</stp>
        <stp>STOCK</stp>
        <stp>87040.T</stp>
        <stp>現在値</stp>
        <tr r="E19" s="5"/>
        <tr r="C164" s="11"/>
        <tr r="E38" s="4"/>
      </tp>
      <tp>
        <v>4749</v>
        <stp/>
        <stp>Market</stp>
        <stp>STOCK</stp>
        <stp>87250.T</stp>
        <stp>現在値</stp>
        <tr r="E37" s="4"/>
        <tr r="E168" s="5"/>
        <tr r="C22" s="11"/>
      </tp>
      <tp>
        <v>5022</v>
        <stp/>
        <stp>Market</stp>
        <stp>STOCK</stp>
        <stp>87950.T</stp>
        <stp>現在値</stp>
        <tr r="E91" s="5"/>
        <tr r="C23" s="11"/>
        <tr r="E34" s="4"/>
      </tp>
      <tp>
        <v>4035</v>
        <stp/>
        <stp>Market</stp>
        <stp>STOCK</stp>
        <stp>87930.T</stp>
        <stp>現在値</stp>
        <tr r="C232" s="11"/>
      </tp>
      <tp>
        <v>1560.5</v>
        <stp/>
        <stp>Market</stp>
        <stp>STOCK</stp>
        <stp>86040.T</stp>
        <stp>現在値</stp>
        <tr r="E40" s="4"/>
        <tr r="E199" s="5"/>
        <tr r="C40" s="11"/>
      </tp>
      <tp>
        <v>1808.5</v>
        <stp/>
        <stp>Market</stp>
        <stp>STOCK</stp>
        <stp>86010.T</stp>
        <stp>現在値</stp>
        <tr r="E41" s="4"/>
        <tr r="E198" s="5"/>
        <tr r="C33" s="11"/>
      </tp>
      <tp>
        <v>6938</v>
        <stp/>
        <stp>Market</stp>
        <stp>STOCK</stp>
        <stp>86300.T</stp>
        <stp>現在値</stp>
        <tr r="E39" s="4"/>
        <tr r="C54" s="11"/>
        <tr r="E176" s="5"/>
      </tp>
      <tp>
        <v>2434</v>
        <stp/>
        <stp>Market</stp>
        <stp>STOCK</stp>
        <stp>89340.T</stp>
        <stp>現在値</stp>
        <tr r="E31" s="4"/>
        <tr r="C125" s="11"/>
        <tr r="E149" s="5"/>
      </tp>
      <tp>
        <v>3225</v>
        <stp/>
        <stp>Market</stp>
        <stp>STOCK</stp>
        <stp>88710.T</stp>
        <stp>現在値</stp>
        <tr r="C278" s="11"/>
        <tr r="H43" s="16"/>
      </tp>
      <tp>
        <v>1484.5</v>
        <stp/>
        <stp>Market</stp>
        <stp>STOCK</stp>
        <stp>88010.T</stp>
        <stp>現在値</stp>
        <tr r="E129" s="5"/>
        <tr r="E33" s="4"/>
        <tr r="C124" s="11"/>
      </tp>
      <tp>
        <v>1073</v>
        <stp/>
        <stp>Market</stp>
        <stp>STOCK</stp>
        <stp>88920.T</stp>
        <stp>現在値</stp>
        <tr r="E114" s="5"/>
        <tr r="E32" s="4"/>
        <tr r="C161" s="11"/>
      </tp>
    </main>
    <main first="rtdsrv.e07a56084d7946cdb07ca2177ccd3d26">
      <tp t="s">
        <v/>
        <stp/>
        <stp>Market</stp>
        <stp>STOCK</stp>
        <stp/>
        <stp>銘柄名称</stp>
        <tr r="C502" s="1"/>
        <tr r="C427" s="1"/>
        <tr r="C485" s="1"/>
        <tr r="C387" s="1"/>
        <tr r="C447" s="1"/>
        <tr r="C417" s="1"/>
        <tr r="C314" s="1"/>
        <tr r="C390" s="1"/>
        <tr r="C454" s="1"/>
        <tr r="D201" s="16"/>
        <tr r="C320" s="1"/>
        <tr r="C420" s="1"/>
        <tr r="C330" s="1"/>
        <tr r="C476" s="1"/>
        <tr r="C415" s="1"/>
        <tr r="D414" s="16"/>
        <tr r="C329" s="1"/>
        <tr r="C405" s="1"/>
        <tr r="D144" s="16"/>
        <tr r="C484" s="1"/>
        <tr r="C434" s="1"/>
        <tr r="C459" s="1"/>
        <tr r="C332" s="1"/>
        <tr r="C317" s="1"/>
        <tr r="D345" s="16"/>
        <tr r="D162" s="16"/>
        <tr r="C421" s="1"/>
        <tr r="D170" s="16"/>
        <tr r="C354" s="1"/>
        <tr r="D442" s="16"/>
        <tr r="C384" s="1"/>
        <tr r="C464" s="1"/>
        <tr r="C366" s="1"/>
        <tr r="C347" s="1"/>
        <tr r="C497" s="1"/>
        <tr r="D197" s="16"/>
        <tr r="C437" s="1"/>
        <tr r="C338" s="1"/>
        <tr r="D176" s="16"/>
        <tr r="C355" s="1"/>
        <tr r="C504" s="1"/>
        <tr r="C395" s="1"/>
        <tr r="C313" s="1"/>
        <tr r="C425" s="1"/>
        <tr r="C469" s="1"/>
        <tr r="D211" s="16"/>
        <tr r="D405" s="16"/>
        <tr r="C360" s="1"/>
        <tr r="D317" s="16"/>
        <tr r="D126" s="16"/>
        <tr r="C393" s="1"/>
        <tr r="C451" s="1"/>
        <tr r="C432" s="1"/>
        <tr r="C372" s="1"/>
        <tr r="C389" s="1"/>
        <tr r="C380" s="1"/>
        <tr r="C363" s="1"/>
        <tr r="C495" s="1"/>
        <tr r="C494" s="1"/>
        <tr r="C367" s="1"/>
        <tr r="C453" s="1"/>
        <tr r="D330" s="16"/>
        <tr r="D210" s="16"/>
        <tr r="D234" s="16"/>
        <tr r="C442" s="1"/>
        <tr r="C403" s="1"/>
        <tr r="C357" s="1"/>
        <tr r="C312" s="1"/>
        <tr r="C401" s="1"/>
        <tr r="C370" s="1"/>
        <tr r="C443" s="1"/>
        <tr r="D168" s="16"/>
        <tr r="C487" s="1"/>
        <tr r="C364" s="1"/>
        <tr r="D199" s="16"/>
        <tr r="C328" s="1"/>
        <tr r="C404" s="1"/>
        <tr r="C488" s="1"/>
        <tr r="D365" s="16"/>
        <tr r="D254" s="16"/>
        <tr r="C343" s="1"/>
        <tr r="D430" s="16"/>
        <tr r="D417" s="16"/>
        <tr r="C498" s="1"/>
        <tr r="C482" s="1"/>
        <tr r="C409" s="1"/>
        <tr r="D147" s="16"/>
        <tr r="C369" s="1"/>
        <tr r="D143" s="16"/>
        <tr r="C310" s="1"/>
        <tr r="C463" s="1"/>
        <tr r="C365" s="1"/>
        <tr r="C376" s="1"/>
        <tr r="D253" s="16"/>
        <tr r="C479" s="1"/>
        <tr r="D366" s="16"/>
        <tr r="C471" s="1"/>
        <tr r="C408" s="1"/>
        <tr r="D272" s="16"/>
        <tr r="C400" s="1"/>
        <tr r="C452" s="1"/>
        <tr r="C316" s="1"/>
        <tr r="D401" s="16"/>
        <tr r="C351" s="1"/>
        <tr r="C396" s="1"/>
        <tr r="C326" s="1"/>
        <tr r="C431" s="1"/>
        <tr r="D340" s="16"/>
        <tr r="C419" s="1"/>
        <tr r="C412" s="1"/>
        <tr r="C493" s="1"/>
        <tr r="C489" s="1"/>
        <tr r="C446" s="1"/>
        <tr r="C382" s="1"/>
        <tr r="D413" s="16"/>
        <tr r="D244" s="16"/>
        <tr r="C383" s="1"/>
        <tr r="C322" s="1"/>
        <tr r="D150" s="16"/>
        <tr r="C490" s="1"/>
        <tr r="C379" s="1"/>
        <tr r="D305" s="16"/>
        <tr r="C308" s="1"/>
        <tr r="C486" s="1"/>
        <tr r="C345" s="1"/>
        <tr r="C444" s="1"/>
        <tr r="D403" s="16"/>
        <tr r="C445" s="1"/>
        <tr r="D392" s="16"/>
        <tr r="C344" s="1"/>
        <tr r="C468" s="1"/>
        <tr r="D368" s="16"/>
        <tr r="C467" s="1"/>
        <tr r="C475" s="1"/>
        <tr r="C414" s="1"/>
        <tr r="C410" s="1"/>
        <tr r="C375" s="1"/>
        <tr r="D310" s="16"/>
        <tr r="C311" s="1"/>
        <tr r="D240" s="16"/>
        <tr r="D280" s="16"/>
        <tr r="C407" s="1"/>
        <tr r="C449" s="1"/>
        <tr r="C334" s="1"/>
        <tr r="D360" s="16"/>
        <tr r="C477" s="1"/>
        <tr r="C429" s="1"/>
        <tr r="C325" s="1"/>
        <tr r="C418" s="1"/>
        <tr r="C505" s="1"/>
        <tr r="D409" s="16"/>
        <tr r="D149" s="16"/>
        <tr r="D361" s="16"/>
        <tr r="C440" s="1"/>
        <tr r="D393" s="16"/>
        <tr r="D383" s="16"/>
        <tr r="D306" s="16"/>
        <tr r="C436" s="1"/>
        <tr r="C478" s="1"/>
        <tr r="C374" s="1"/>
        <tr r="C339" s="1"/>
        <tr r="C430" s="1"/>
        <tr r="D265" s="16"/>
        <tr r="D159" s="16"/>
        <tr r="D212" s="16"/>
        <tr r="D416" s="16"/>
        <tr r="D459" s="16"/>
        <tr r="D372" s="16"/>
        <tr r="C422" s="1"/>
        <tr r="C341" s="1"/>
        <tr r="C358" s="1"/>
        <tr r="C448" s="1"/>
        <tr r="C327" s="1"/>
        <tr r="C4" s="14"/>
        <tr r="C340" s="1"/>
        <tr r="D136" s="16"/>
        <tr r="D399" s="16"/>
        <tr r="D182" s="16"/>
        <tr r="D421" s="16"/>
        <tr r="D298" s="16"/>
        <tr r="D290" s="16"/>
        <tr r="D377" s="16"/>
        <tr r="C428" s="1"/>
        <tr r="C496" s="1"/>
        <tr r="C423" s="1"/>
        <tr r="C331" s="1"/>
        <tr r="C346" s="1"/>
        <tr r="D429" s="16"/>
        <tr r="C492" s="1"/>
        <tr r="C335" s="1"/>
        <tr r="D431" s="16"/>
        <tr r="C342" s="1"/>
        <tr r="D355" s="16"/>
        <tr r="C456" s="1"/>
        <tr r="C474" s="1"/>
        <tr r="C435" s="1"/>
        <tr r="C426" s="1"/>
        <tr r="C306" s="1"/>
        <tr r="D205" s="16"/>
        <tr r="C381" s="1"/>
        <tr r="D432" s="16"/>
        <tr r="D261" s="16"/>
        <tr r="C388" s="1"/>
        <tr r="D274" s="16"/>
        <tr r="C460" s="1"/>
        <tr r="C362" s="1"/>
        <tr r="D388" s="16"/>
        <tr r="C321" s="1"/>
        <tr r="D190" s="16"/>
        <tr r="D424" s="16"/>
        <tr r="C386" s="1"/>
        <tr r="C348" s="1"/>
        <tr r="C371" s="1"/>
        <tr r="D438" s="16"/>
        <tr r="D457" s="16"/>
        <tr r="D177" s="16"/>
        <tr r="D215" s="16"/>
        <tr r="D285" s="16"/>
        <tr r="C333" s="1"/>
        <tr r="C336" s="1"/>
        <tr r="D300" s="16"/>
        <tr r="C349" s="1"/>
        <tr r="D145" s="16"/>
        <tr r="C323" s="1"/>
        <tr r="C439" s="1"/>
        <tr r="C466" s="1"/>
        <tr r="C359" s="1"/>
        <tr r="D139" s="16"/>
        <tr r="C309" s="1"/>
        <tr r="D412" s="16"/>
        <tr r="D179" s="16"/>
        <tr r="C501" s="1"/>
        <tr r="C318" s="1"/>
        <tr r="D178" s="16"/>
        <tr r="C424" s="1"/>
        <tr r="C392" s="1"/>
        <tr r="D226" s="16"/>
        <tr r="C411" s="1"/>
        <tr r="D121" s="16"/>
        <tr r="D275" s="16"/>
        <tr r="D172" s="16"/>
        <tr r="D160" s="16"/>
        <tr r="D269" s="16"/>
        <tr r="C337" s="1"/>
        <tr r="C353" s="1"/>
        <tr r="D425" s="16"/>
        <tr r="C416" s="1"/>
        <tr r="C458" s="1"/>
        <tr r="D286" s="16"/>
        <tr r="D406" s="16"/>
        <tr r="C352" s="1"/>
        <tr r="C441" s="1"/>
        <tr r="C480" s="1"/>
        <tr r="C500" s="1"/>
        <tr r="D348" s="16"/>
        <tr r="D386" s="16"/>
        <tr r="D245" s="16"/>
        <tr r="C491" s="1"/>
        <tr r="C457" s="1"/>
        <tr r="C470" s="1"/>
        <tr r="C461" s="1"/>
        <tr r="C402" s="1"/>
        <tr r="C465" s="1"/>
        <tr r="D328" s="16"/>
        <tr r="D443" s="16"/>
        <tr r="D221" s="16"/>
        <tr r="C413" s="1"/>
        <tr r="C324" s="1"/>
        <tr r="C450" s="1"/>
        <tr r="C373" s="1"/>
        <tr r="C315" s="1"/>
        <tr r="D195" s="16"/>
        <tr r="D346" s="16"/>
        <tr r="D189" s="16"/>
        <tr r="C473" s="1"/>
        <tr r="D367" s="16"/>
        <tr r="D435" s="16"/>
        <tr r="D237" s="16"/>
        <tr r="D319" s="16"/>
        <tr r="D141" s="16"/>
        <tr r="D194" s="16"/>
        <tr r="D157" s="16"/>
        <tr r="D376" s="16"/>
        <tr r="D324" s="16"/>
        <tr r="D312" s="16"/>
        <tr r="D249" s="16"/>
        <tr r="D122" s="16"/>
        <tr r="D208" s="16"/>
        <tr r="C319" s="1"/>
        <tr r="D264" s="16"/>
        <tr r="D173" s="16"/>
        <tr r="D394" s="16"/>
        <tr r="D308" s="16"/>
        <tr r="D191" s="16"/>
        <tr r="D231" s="16"/>
        <tr r="D420" s="16"/>
        <tr r="C483" s="1"/>
        <tr r="D135" s="16"/>
        <tr r="D230" s="16"/>
        <tr r="C356" s="1"/>
        <tr r="D433" s="16"/>
        <tr r="D200" s="16"/>
        <tr r="D154" s="16"/>
        <tr r="D129" s="16"/>
        <tr r="C481" s="1"/>
        <tr r="D333" s="16"/>
        <tr r="D132" s="16"/>
        <tr r="D423" s="16"/>
        <tr r="D338" s="16"/>
        <tr r="D184" s="16"/>
        <tr r="D140" s="16"/>
        <tr r="D130" s="16"/>
        <tr r="D294" s="16"/>
        <tr r="D241" s="16"/>
        <tr r="D452" s="16"/>
        <tr r="D379" s="16"/>
        <tr r="D151" s="16"/>
        <tr r="D133" s="16"/>
        <tr r="D313" s="16"/>
        <tr r="C397" s="1"/>
        <tr r="D223" s="16"/>
        <tr r="D296" s="16"/>
        <tr r="D188" s="16"/>
        <tr r="D152" s="16"/>
        <tr r="D243" s="16"/>
        <tr r="D363" s="16"/>
        <tr r="D281" s="16"/>
        <tr r="D323" s="16"/>
        <tr r="C438" s="1"/>
        <tr r="C385" s="1"/>
        <tr r="D236" s="16"/>
        <tr r="D334" s="16"/>
        <tr r="C433" s="1"/>
        <tr r="D185" s="16"/>
        <tr r="D407" s="16"/>
        <tr r="D204" s="16"/>
        <tr r="D297" s="16"/>
        <tr r="D246" s="16"/>
        <tr r="D326" s="16"/>
        <tr r="D356" s="16"/>
        <tr r="D384" s="16"/>
        <tr r="D273" s="16"/>
        <tr r="C462" s="1"/>
        <tr r="D257" s="16"/>
        <tr r="C398" s="1"/>
        <tr r="D283" s="16"/>
        <tr r="D238" s="16"/>
        <tr r="D125" s="16"/>
        <tr r="D341" s="16"/>
        <tr r="D391" s="16"/>
        <tr r="D213" s="16"/>
        <tr r="D347" s="16"/>
        <tr r="D183" s="16"/>
        <tr r="C472" s="1"/>
        <tr r="D318" s="16"/>
        <tr r="D342" s="16"/>
        <tr r="C499" s="1"/>
        <tr r="D206" s="16"/>
        <tr r="D389" s="16"/>
        <tr r="D396" s="16"/>
        <tr r="D164" s="16"/>
        <tr r="D357" s="16"/>
        <tr r="D369" s="16"/>
        <tr r="D276" s="16"/>
        <tr r="C350" s="1"/>
        <tr r="D316" s="16"/>
        <tr r="D229" s="16"/>
        <tr r="C377" s="1"/>
        <tr r="D350" s="16"/>
        <tr r="D224" s="16"/>
        <tr r="D252" s="16"/>
        <tr r="D437" s="16"/>
        <tr r="D180" s="16"/>
        <tr r="D295" s="16"/>
        <tr r="C361" s="1"/>
        <tr r="D397" s="16"/>
        <tr r="D187" s="16"/>
        <tr r="D268" s="16"/>
        <tr r="D220" s="16"/>
        <tr r="D373" s="16"/>
        <tr r="D395" s="16"/>
        <tr r="D460" s="16"/>
        <tr r="D446" s="16"/>
        <tr r="D174" s="16"/>
        <tr r="D292" s="16"/>
        <tr r="D400" s="16"/>
        <tr r="C394" s="1"/>
        <tr r="D248" s="16"/>
        <tr r="D364" s="16"/>
        <tr r="C307" s="1"/>
        <tr r="D390" s="16"/>
        <tr r="D155" s="16"/>
        <tr r="D358" s="16"/>
        <tr r="D331" s="16"/>
        <tr r="D458" s="16"/>
        <tr r="D352" s="16"/>
        <tr r="D192" s="16"/>
        <tr r="D362" s="16"/>
        <tr r="D219" s="16"/>
        <tr r="D131" s="16"/>
        <tr r="D426" s="16"/>
        <tr r="D444" s="16"/>
        <tr r="D216" s="16"/>
        <tr r="D439" s="16"/>
        <tr r="D171" s="16"/>
        <tr r="D278" s="16"/>
        <tr r="D451" s="16"/>
        <tr r="D167" s="16"/>
        <tr r="D315" s="16"/>
        <tr r="D202" s="16"/>
        <tr r="D307" s="16"/>
        <tr r="D287" s="16"/>
        <tr r="D288" s="16"/>
        <tr r="D218" s="16"/>
        <tr r="D455" s="16"/>
        <tr r="D374" s="16"/>
        <tr r="D381" s="16"/>
        <tr r="D370" s="16"/>
        <tr r="D293" s="16"/>
        <tr r="D445" s="16"/>
        <tr r="D299" s="16"/>
        <tr r="D448" s="16"/>
        <tr r="D169" s="16"/>
        <tr r="D262" s="16"/>
        <tr r="D251" s="16"/>
        <tr r="D344" s="16"/>
        <tr r="D209" s="16"/>
        <tr r="C406" s="1"/>
        <tr r="D214" s="16"/>
        <tr r="D301" s="16"/>
        <tr r="D398" s="16"/>
        <tr r="D359" s="16"/>
        <tr r="D408" s="16"/>
        <tr r="D198" s="16"/>
        <tr r="D436" s="16"/>
        <tr r="D410" s="16"/>
        <tr r="D329" s="16"/>
        <tr r="D217" s="16"/>
        <tr r="D156" s="16"/>
        <tr r="D450" s="16"/>
        <tr r="D158" s="16"/>
        <tr r="D428" s="16"/>
        <tr r="D165" s="16"/>
        <tr r="D247" s="16"/>
        <tr r="D375" s="16"/>
        <tr r="D134" s="16"/>
        <tr r="D263" s="16"/>
        <tr r="C378" s="1"/>
        <tr r="D461" s="16"/>
        <tr r="D322" s="16"/>
        <tr r="C391" s="1"/>
        <tr r="D196" s="16"/>
        <tr r="D309" s="16"/>
        <tr r="D303" s="16"/>
        <tr r="C399" s="1"/>
        <tr r="C503" s="1"/>
        <tr r="D314" s="16"/>
        <tr r="D453" s="16"/>
        <tr r="D304" s="16"/>
        <tr r="D354" s="16"/>
        <tr r="D449" s="16"/>
        <tr r="D277" s="16"/>
        <tr r="D337" s="16"/>
        <tr r="D387" s="16"/>
        <tr r="D434" s="16"/>
        <tr r="D266" s="16"/>
        <tr r="D332" s="16"/>
        <tr r="D302" s="16"/>
        <tr r="D382" s="16"/>
        <tr r="D163" s="16"/>
        <tr r="D321" s="16"/>
        <tr r="D378" s="16"/>
        <tr r="D353" s="16"/>
        <tr r="D137" s="16"/>
        <tr r="D282" s="16"/>
        <tr r="D207" s="16"/>
        <tr r="D339" s="16"/>
        <tr r="D284" s="16"/>
        <tr r="D291" s="16"/>
        <tr r="D351" s="16"/>
        <tr r="D124" s="16"/>
        <tr r="D203" s="16"/>
        <tr r="D148" s="16"/>
        <tr r="D239" s="16"/>
        <tr r="D456" s="16"/>
        <tr r="C455" s="1"/>
        <tr r="D228" s="16"/>
        <tr r="D181" s="16"/>
        <tr r="D138" s="16"/>
        <tr r="D267" s="16"/>
        <tr r="D422" s="16"/>
        <tr r="D427" s="16"/>
        <tr r="D127" s="16"/>
        <tr r="D311" s="16"/>
        <tr r="D418" s="16"/>
        <tr r="D166" s="16"/>
        <tr r="D153" s="16"/>
        <tr r="D279" s="16"/>
        <tr r="D250" s="16"/>
        <tr r="D320" s="16"/>
        <tr r="D146" s="16"/>
        <tr r="D404" s="16"/>
        <tr r="D161" s="16"/>
        <tr r="D128" s="16"/>
        <tr r="D193" s="16"/>
        <tr r="D186" s="16"/>
        <tr r="D123" s="16"/>
        <tr r="D232" s="16"/>
        <tr r="D380" s="16"/>
        <tr r="D419" s="16"/>
        <tr r="D255" s="16"/>
        <tr r="D371" s="16"/>
        <tr r="D259" s="16"/>
        <tr r="D336" s="16"/>
        <tr r="D271" s="16"/>
        <tr r="D411" s="16"/>
        <tr r="D225" s="16"/>
        <tr r="D325" s="16"/>
        <tr r="D233" s="16"/>
        <tr r="D175" s="16"/>
        <tr r="D440" s="16"/>
        <tr r="D260" s="16"/>
        <tr r="D256" s="16"/>
        <tr r="D235" s="16"/>
        <tr r="D242" s="16"/>
        <tr r="D289" s="16"/>
        <tr r="C368" s="1"/>
        <tr r="D385" s="16"/>
        <tr r="D415" s="16"/>
        <tr r="D222" s="16"/>
        <tr r="D142" s="16"/>
        <tr r="D349" s="16"/>
        <tr r="D441" s="16"/>
        <tr r="D227" s="16"/>
        <tr r="D335" s="16"/>
        <tr r="D454" s="16"/>
        <tr r="D402" s="16"/>
        <tr r="D270" s="16"/>
        <tr r="D327" s="16"/>
        <tr r="D343" s="16"/>
        <tr r="D447" s="16"/>
        <tr r="D258" s="16"/>
      </tp>
    </main>
    <main first="rtdsrv.e07a56084d7946cdb07ca2177ccd3d26">
      <tp>
        <v>3100</v>
        <stp/>
        <stp>Market</stp>
        <stp>STOCK</stp>
        <stp>77940.T</stp>
        <stp>年初来高値</stp>
        <tr r="K66" s="4"/>
        <tr r="K80" s="5"/>
      </tp>
      <tp>
        <v>5176</v>
        <stp/>
        <stp>Market</stp>
        <stp>STOCK</stp>
        <stp>87950.T</stp>
        <stp>年初来高値</stp>
        <tr r="K91" s="5"/>
        <tr r="K34" s="4"/>
      </tp>
      <tp>
        <v>2993</v>
        <stp/>
        <stp>Market</stp>
        <stp>STOCK</stp>
        <stp>58920.T</stp>
        <stp>年初来高値</stp>
        <tr r="K74" s="5"/>
        <tr r="K121" s="4"/>
      </tp>
      <tp>
        <v>1267</v>
        <stp/>
        <stp>Market</stp>
        <stp>STOCK</stp>
        <stp>88920.T</stp>
        <stp>年初来高値</stp>
        <tr r="K114" s="5"/>
        <tr r="K32" s="4"/>
      </tp>
      <tp>
        <v>1541.5</v>
        <stp/>
        <stp>Market</stp>
        <stp>STOCK</stp>
        <stp>85930.T</stp>
        <stp>年初来高値</stp>
        <tr r="K42" s="4"/>
        <tr r="K171" s="5"/>
      </tp>
      <tp>
        <v>11700</v>
        <stp/>
        <stp>Market</stp>
        <stp>STOCK</stp>
        <stp>68900.T</stp>
        <stp>年初来高値</stp>
        <tr r="K82" s="4"/>
        <tr r="K33" s="5"/>
      </tp>
      <tp>
        <v>11110</v>
        <stp/>
        <stp>Market</stp>
        <stp>STOCK</stp>
        <stp>38910.T</stp>
        <stp>年初来高値</stp>
        <tr r="K177" s="4"/>
        <tr r="K43" s="5"/>
      </tp>
      <tp>
        <v>6509</v>
        <stp/>
        <stp>Market</stp>
        <stp>STOCK</stp>
        <stp>40910.T</stp>
        <stp>年初来高値</stp>
        <tr r="K169" s="4"/>
        <tr r="K152" s="5"/>
      </tp>
      <tp>
        <v>2730</v>
        <stp/>
        <stp>Market</stp>
        <stp>STOCK</stp>
        <stp>80910.T</stp>
        <stp>年初来高値</stp>
        <tr r="K158" s="5"/>
        <tr r="K57" s="4"/>
      </tp>
      <tp>
        <v>6680</v>
        <stp/>
        <stp>Market</stp>
        <stp>STOCK</stp>
        <stp>85910.T</stp>
        <stp>年初来高値</stp>
        <tr r="K67" s="5"/>
        <tr r="K43" s="4"/>
      </tp>
    </main>
    <main first="rtdsrv.e07a56084d7946cdb07ca2177ccd3d26">
      <tp>
        <v>1232.5</v>
        <stp/>
        <stp>Market</stp>
        <stp>STOCK</stp>
        <stp>41880.T</stp>
        <stp>年初来高値</stp>
        <tr r="K167" s="4"/>
        <tr r="K145" s="5"/>
      </tp>
      <tp>
        <v>2949</v>
        <stp/>
        <stp>Market</stp>
        <stp>STOCK</stp>
        <stp>40880.T</stp>
        <stp>年初来高値</stp>
        <tr r="K132" s="5"/>
        <tr r="K170" s="4"/>
      </tp>
      <tp>
        <v>995</v>
        <stp/>
        <stp>Market</stp>
        <stp>STOCK</stp>
        <stp>48880.T</stp>
        <stp>年初来高値</stp>
        <tr r="K151" s="4"/>
        <tr r="K131" s="5"/>
      </tp>
      <tp>
        <v>2447</v>
        <stp/>
        <stp>Market</stp>
        <stp>STOCK</stp>
        <stp>48870.T</stp>
        <stp>年初来高値</stp>
        <tr r="K195" s="5"/>
        <tr r="K152" s="4"/>
      </tp>
      <tp>
        <v>16930</v>
        <stp/>
        <stp>Market</stp>
        <stp>STOCK</stp>
        <stp>63870.T</stp>
        <stp>年初来高値</stp>
        <tr r="K62" s="5"/>
        <tr r="K103" s="4"/>
      </tp>
      <tp>
        <v>45300</v>
        <stp/>
        <stp>Market</stp>
        <stp>STOCK</stp>
        <stp>67870.T</stp>
        <stp>年初来高値</stp>
        <tr r="K86" s="4"/>
        <tr r="K10" s="5"/>
      </tp>
      <tp>
        <v>5320</v>
        <stp/>
        <stp>Market</stp>
        <stp>STOCK</stp>
        <stp>96870.T</stp>
        <stp>年初来高値</stp>
        <tr r="K11" s="4"/>
        <tr r="K44" s="5"/>
      </tp>
      <tp>
        <v>9074</v>
        <stp/>
        <stp>Market</stp>
        <stp>STOCK</stp>
        <stp>99840.T</stp>
        <stp>年初来高値</stp>
        <tr r="K8" s="4"/>
        <tr r="K53" s="5"/>
      </tp>
      <tp>
        <v>720</v>
        <stp/>
        <stp>Market</stp>
        <stp>STOCK</stp>
        <stp>60850.T</stp>
        <stp>年初来高値</stp>
        <tr r="K150" s="5"/>
        <tr r="K115" s="4"/>
      </tp>
      <tp>
        <v>1787</v>
        <stp/>
        <stp>Market</stp>
        <stp>STOCK</stp>
        <stp>64850.T</stp>
        <stp>年初来高値</stp>
        <tr r="K6" s="4"/>
        <tr r="K194" s="5"/>
      </tp>
      <tp>
        <v>4155</v>
        <stp/>
        <stp>Market</stp>
        <stp>STOCK</stp>
        <stp>76850.T</stp>
        <stp>年初来高値</stp>
        <tr r="K69" s="4"/>
        <tr r="K148" s="5"/>
      </tp>
      <tp>
        <v>995</v>
        <stp/>
        <stp>Market</stp>
        <stp>STOCK</stp>
        <stp>43820.T</stp>
        <stp>年初来高値</stp>
        <tr r="K192" s="5"/>
        <tr r="K164" s="4"/>
      </tp>
      <tp>
        <v>5738</v>
        <stp/>
        <stp>Market</stp>
        <stp>STOCK</stp>
        <stp>41820.T</stp>
        <stp>年初来高値</stp>
        <tr r="K75" s="5"/>
        <tr r="K168" s="4"/>
      </tp>
      <tp>
        <v>4400</v>
        <stp/>
        <stp>Market</stp>
        <stp>STOCK</stp>
        <stp>40820.T</stp>
        <stp>年初来高値</stp>
        <tr r="K9" s="5"/>
        <tr r="K171" s="4"/>
      </tp>
      <tp>
        <v>3465</v>
        <stp/>
        <stp>Market</stp>
        <stp>STOCK</stp>
        <stp>71820.T</stp>
        <stp>年初来高値</stp>
        <tr r="K74" s="4"/>
        <tr r="K102" s="5"/>
      </tp>
      <tp>
        <v>1891</v>
        <stp/>
        <stp>Market</stp>
        <stp>STOCK</stp>
        <stp>98820.T</stp>
        <stp>年初来高値</stp>
        <tr r="K9" s="4"/>
        <tr r="K128" s="5"/>
      </tp>
      <tp>
        <v>5228</v>
        <stp/>
        <stp>Market</stp>
        <stp>STOCK</stp>
        <stp>49800.T</stp>
        <stp>年初来高値</stp>
        <tr r="K149" s="4"/>
        <tr r="K72" s="5"/>
      </tp>
      <tp>
        <v>12895</v>
        <stp/>
        <stp>Market</stp>
        <stp>STOCK</stp>
        <stp>69810.T</stp>
        <stp>年初来高値</stp>
        <tr r="K30" s="5"/>
        <tr r="K78"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63" s="4"/>
        <tr r="K116" s="5"/>
      </tp>
      <tp>
        <v>1168</v>
        <stp/>
        <stp>Market</stp>
        <stp>STOCK</stp>
        <stp>82810.T</stp>
        <stp>年初来高値</stp>
        <tr r="K55" s="4"/>
        <tr r="K179" s="5"/>
      </tp>
      <tp t="s">
        <v>新光商事</v>
        <stp/>
        <stp>Market</stp>
        <stp>STOCK</stp>
        <stp>81410.T</stp>
        <stp>銘柄名称</stp>
        <tr r="C292" s="1"/>
      </tp>
      <tp t="s">
        <v>旭ダイヤモンド</v>
        <stp/>
        <stp>Market</stp>
        <stp>STOCK</stp>
        <stp>61400.T</stp>
        <stp>銘柄名称</stp>
        <tr r="C261" s="1"/>
      </tp>
      <tp t="s">
        <v>ディスコ</v>
        <stp/>
        <stp>Market</stp>
        <stp>STOCK</stp>
        <stp>61460.T</stp>
        <stp>銘柄名称</stp>
        <tr r="C197" s="1"/>
        <tr r="D7" s="16"/>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明和産業</v>
        <stp/>
        <stp>Market</stp>
        <stp>STOCK</stp>
        <stp>81030.T</stp>
        <stp>銘柄名称</stp>
        <tr r="C169" s="1"/>
      </tp>
      <tp t="s">
        <v>ユニチカ</v>
        <stp/>
        <stp>Market</stp>
        <stp>STOCK</stp>
        <stp>31030.T</stp>
        <stp>銘柄名称</stp>
        <tr r="C138"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日本Ｍ＆Ａセンターホールデ</v>
        <stp/>
        <stp>Market</stp>
        <stp>STOCK</stp>
        <stp>21270.T</stp>
        <stp>銘柄名称</stp>
        <tr r="C187" s="1"/>
      </tp>
      <tp t="s">
        <v>牧野フライス</v>
        <stp/>
        <stp>Market</stp>
        <stp>STOCK</stp>
        <stp>61350.T</stp>
        <stp>銘柄名称</stp>
        <tr r="C223" s="1"/>
      </tp>
      <tp t="s">
        <v>ＦＵＪＩ</v>
        <stp/>
        <stp>Market</stp>
        <stp>STOCK</stp>
        <stp>61340.T</stp>
        <stp>銘柄名称</stp>
        <tr r="C92" s="1"/>
      </tp>
      <tp t="s">
        <v>三菱ケミカルグループ</v>
        <stp/>
        <stp>Market</stp>
        <stp>STOCK</stp>
        <stp>41880.T</stp>
        <stp>銘柄名称</stp>
        <tr r="C98" s="1"/>
        <tr r="D5" s="16"/>
        <tr r="D37" s="16"/>
      </tp>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v>3717</v>
        <stp/>
        <stp>Market</stp>
        <stp>STOCK</stp>
        <stp>31070.T</stp>
        <stp>現在値</stp>
        <tr r="E186" s="4"/>
        <tr r="C60" s="11"/>
        <tr r="E13" s="5"/>
      </tp>
      <tp>
        <v>1007</v>
        <stp/>
        <stp>Market</stp>
        <stp>STOCK</stp>
        <stp>31030.T</stp>
        <stp>現在値</stp>
        <tr r="E81" s="5"/>
        <tr r="C138" s="11"/>
        <tr r="E187" s="4"/>
      </tp>
      <tp>
        <v>3450</v>
        <stp/>
        <stp>Market</stp>
        <stp>STOCK</stp>
        <stp>31100.T</stp>
        <stp>現在値</stp>
        <tr r="C134" s="11"/>
        <tr r="E185" s="4"/>
        <tr r="E109" s="5"/>
      </tp>
      <tp>
        <v>1707.5</v>
        <stp/>
        <stp>Market</stp>
        <stp>STOCK</stp>
        <stp>30030.T</stp>
        <stp>現在値</stp>
        <tr r="E143" s="5"/>
        <tr r="C88" s="11"/>
        <tr r="E188" s="4"/>
      </tp>
      <tp>
        <v>4070</v>
        <stp/>
        <stp>Market</stp>
        <stp>STOCK</stp>
        <stp>30020.T</stp>
        <stp>現在値</stp>
        <tr r="C277" s="11"/>
      </tp>
      <tp>
        <v>3020</v>
        <stp/>
        <stp>Market</stp>
        <stp>STOCK</stp>
        <stp>300A0.T</stp>
        <stp>現在値</stp>
        <tr r="C252" s="11"/>
      </tp>
      <tp>
        <v>4142</v>
        <stp/>
        <stp>Market</stp>
        <stp>STOCK</stp>
        <stp>33970.T</stp>
        <stp>現在値</stp>
        <tr r="H30" s="16"/>
        <tr r="H22" s="16"/>
        <tr r="C285" s="11"/>
      </tp>
      <tp>
        <v>5811</v>
        <stp/>
        <stp>Market</stp>
        <stp>STOCK</stp>
        <stp>35630.T</stp>
        <stp>現在値</stp>
        <tr r="C230" s="11"/>
      </tp>
      <tp>
        <v>1629</v>
        <stp/>
        <stp>Market</stp>
        <stp>STOCK</stp>
        <stp>34070.T</stp>
        <stp>現在値</stp>
        <tr r="E182" s="4"/>
        <tr r="E183" s="5"/>
        <tr r="C94" s="11"/>
      </tp>
      <tp>
        <v>1627.5</v>
        <stp/>
        <stp>Market</stp>
        <stp>STOCK</stp>
        <stp>34010.T</stp>
        <stp>現在値</stp>
        <tr r="E184" s="4"/>
        <tr r="E169" s="5"/>
        <tr r="C27" s="11"/>
      </tp>
      <tp>
        <v>1177</v>
        <stp/>
        <stp>Market</stp>
        <stp>STOCK</stp>
        <stp>34020.T</stp>
        <stp>現在値</stp>
        <tr r="E172" s="5"/>
        <tr r="C44" s="11"/>
        <tr r="E183" s="4"/>
      </tp>
      <tp>
        <v>3716</v>
        <stp/>
        <stp>Market</stp>
        <stp>STOCK</stp>
        <stp>34360.T</stp>
        <stp>現在値</stp>
        <tr r="E4" s="5"/>
        <tr r="E181" s="4"/>
        <tr r="C28" s="11"/>
      </tp>
      <tp>
        <v>2076</v>
        <stp/>
        <stp>Market</stp>
        <stp>STOCK</stp>
        <stp>36960.T</stp>
        <stp>現在値</stp>
        <tr r="C228" s="11"/>
      </tp>
      <tp>
        <v>1592.5</v>
        <stp/>
        <stp>Market</stp>
        <stp>STOCK</stp>
        <stp>39410.T</stp>
        <stp>現在値</stp>
        <tr r="C48" s="11"/>
        <tr r="E142" s="5"/>
        <tr r="E176" s="4"/>
      </tp>
      <tp>
        <v>2254</v>
        <stp/>
        <stp>Market</stp>
        <stp>STOCK</stp>
        <stp>39050.T</stp>
        <stp>現在値</stp>
        <tr r="C284" s="11"/>
      </tp>
      <tp>
        <v>159</v>
        <stp/>
        <stp>Market</stp>
        <stp>STOCK</stp>
        <stp>39360.T</stp>
        <stp>現在値</stp>
        <tr r="C245" s="11"/>
      </tp>
      <tp>
        <v>1845</v>
        <stp/>
        <stp>Market</stp>
        <stp>STOCK</stp>
        <stp>39840.T</stp>
        <stp>現在値</stp>
        <tr r="C239" s="11"/>
      </tp>
      <tp>
        <v>2209</v>
        <stp/>
        <stp>Market</stp>
        <stp>STOCK</stp>
        <stp>38540.T</stp>
        <stp>現在値</stp>
        <tr r="E180" s="4"/>
        <tr r="E54" s="5"/>
        <tr r="C71" s="11"/>
      </tp>
      <tp>
        <v>1163</v>
        <stp/>
        <stp>Market</stp>
        <stp>STOCK</stp>
        <stp>38640.T</stp>
        <stp>現在値</stp>
        <tr r="C271" s="11"/>
      </tp>
      <tp>
        <v>857.2</v>
        <stp/>
        <stp>Market</stp>
        <stp>STOCK</stp>
        <stp>38610.T</stp>
        <stp>現在値</stp>
        <tr r="E179" s="4"/>
        <tr r="E123" s="5"/>
        <tr r="C41" s="11"/>
      </tp>
      <tp>
        <v>1354</v>
        <stp/>
        <stp>Market</stp>
        <stp>STOCK</stp>
        <stp>38630.T</stp>
        <stp>現在値</stp>
        <tr r="E21" s="5"/>
        <tr r="C32" s="11"/>
        <tr r="E178" s="4"/>
      </tp>
      <tp>
        <v>7370</v>
        <stp/>
        <stp>Market</stp>
        <stp>STOCK</stp>
        <stp>38910.T</stp>
        <stp>現在値</stp>
        <tr r="E43" s="5"/>
        <tr r="E177" s="4"/>
        <tr r="C159" s="11"/>
        <tr r="H20" s="16"/>
        <tr r="H29" s="16"/>
      </tp>
    </main>
    <main first="rtdsrv.e07a56084d7946cdb07ca2177ccd3d26">
      <tp>
        <v>2539.5</v>
        <stp/>
        <stp>Market</stp>
        <stp>STOCK</stp>
        <stp>61780.T</stp>
        <stp>年初来高値</stp>
        <tr r="K112" s="4"/>
        <tr r="K59" s="5"/>
      </tp>
      <tp>
        <v>5307</v>
        <stp/>
        <stp>Market</stp>
        <stp>STOCK</stp>
        <stp>64790.T</stp>
        <stp>年初来高値</stp>
        <tr r="K24" s="5"/>
        <tr r="K101" s="4"/>
      </tp>
      <tp>
        <v>4466</v>
        <stp/>
        <stp>Market</stp>
        <stp>STOCK</stp>
        <stp>46760.T</stp>
        <stp>年初来高値</stp>
        <tr r="K155" s="4"/>
        <tr r="K177" s="5"/>
      </tp>
      <tp>
        <v>34700</v>
        <stp/>
        <stp>Market</stp>
        <stp>STOCK</stp>
        <stp>67770.T</stp>
        <stp>年初来高値</stp>
        <tr r="K87" s="4"/>
        <tr r="K130" s="5"/>
      </tp>
      <tp>
        <v>2660</v>
        <stp/>
        <stp>Market</stp>
        <stp>STOCK</stp>
        <stp>73750.T</stp>
        <stp>年初来高値</stp>
        <tr r="K190" s="5"/>
        <tr r="K71" s="4"/>
      </tp>
      <tp>
        <v>539.9</v>
        <stp/>
        <stp>Market</stp>
        <stp>STOCK</stp>
        <stp>85720.T</stp>
        <stp>年初来高値</stp>
        <tr r="K44" s="4"/>
        <tr r="K38" s="5"/>
      </tp>
      <tp>
        <v>1212</v>
        <stp/>
        <stp>Market</stp>
        <stp>STOCK</stp>
        <stp>43730.T</stp>
        <stp>年初来高値</stp>
        <tr r="K165" s="4"/>
        <tr r="K82" s="5"/>
      </tp>
      <tp>
        <v>1860</v>
        <stp/>
        <stp>Market</stp>
        <stp>STOCK</stp>
        <stp>85700.T</stp>
        <stp>年初来高値</stp>
        <tr r="K45" s="4"/>
        <tr r="K94" s="5"/>
      </tp>
    </main>
    <main first="rtdsrv.e07a56084d7946cdb07ca2177ccd3d26">
      <tp t="s">
        <v>ベルトラ</v>
        <stp/>
        <stp>Market</stp>
        <stp>STOCK</stp>
        <stp>70480.T</stp>
        <stp>銘柄名称</stp>
        <tr r="C296" s="1"/>
      </tp>
      <tp t="s">
        <v>関東電化</v>
        <stp/>
        <stp>Market</stp>
        <stp>STOCK</stp>
        <stp>40470.T</stp>
        <stp>銘柄名称</stp>
        <tr r="C289" s="1"/>
      </tp>
      <tp t="s">
        <v>東亞合成</v>
        <stp/>
        <stp>Market</stp>
        <stp>STOCK</stp>
        <stp>40450.T</stp>
        <stp>銘柄名称</stp>
        <tr r="C61" s="1"/>
      </tp>
      <tp t="s">
        <v>三菱商事</v>
        <stp/>
        <stp>Market</stp>
        <stp>STOCK</stp>
        <stp>80580.T</stp>
        <stp>銘柄名称</stp>
        <tr r="C16" s="1"/>
      </tp>
      <tp t="s">
        <v>住友商事</v>
        <stp/>
        <stp>Market</stp>
        <stp>STOCK</stp>
        <stp>80530.T</stp>
        <stp>銘柄名称</stp>
        <tr r="C25" s="1"/>
      </tp>
      <tp t="s">
        <v>ジャパンマテリアル</v>
        <stp/>
        <stp>Market</stp>
        <stp>STOCK</stp>
        <stp>60550.T</stp>
        <stp>銘柄名称</stp>
        <tr r="C224" s="1"/>
      </tp>
      <tp t="s">
        <v>センコーグループＨＬＤＧＳ</v>
        <stp/>
        <stp>Market</stp>
        <stp>STOCK</stp>
        <stp>90690.T</stp>
        <stp>銘柄名称</stp>
        <tr r="C110" s="1"/>
      </tp>
      <tp t="s">
        <v>信越化学</v>
        <stp/>
        <stp>Market</stp>
        <stp>STOCK</stp>
        <stp>40630.T</stp>
        <stp>銘柄名称</stp>
        <tr r="C66" s="1"/>
        <tr r="D25" s="16"/>
      </tp>
      <tp t="s">
        <v>イビデン</v>
        <stp/>
        <stp>Market</stp>
        <stp>STOCK</stp>
        <stp>40620.T</stp>
        <stp>銘柄名称</stp>
        <tr r="C96" s="1"/>
      </tp>
      <tp t="s">
        <v>ヤマトホールディングス</v>
        <stp/>
        <stp>Market</stp>
        <stp>STOCK</stp>
        <stp>90640.T</stp>
        <stp>銘柄名称</stp>
        <tr r="C189" s="1"/>
      </tp>
      <tp t="s">
        <v>住友精化</v>
        <stp/>
        <stp>Market</stp>
        <stp>STOCK</stp>
        <stp>40080.T</stp>
        <stp>銘柄名称</stp>
        <tr r="C95" s="1"/>
      </tp>
      <tp t="s">
        <v>ヒューリック</v>
        <stp/>
        <stp>Market</stp>
        <stp>STOCK</stp>
        <stp>30030.T</stp>
        <stp>銘柄名称</stp>
        <tr r="C88" s="1"/>
      </tp>
      <tp t="s">
        <v>丸紅</v>
        <stp/>
        <stp>Market</stp>
        <stp>STOCK</stp>
        <stp>80020.T</stp>
        <stp>銘柄名称</stp>
        <tr r="C14" s="1"/>
      </tp>
      <tp t="s">
        <v>グンゼ</v>
        <stp/>
        <stp>Market</stp>
        <stp>STOCK</stp>
        <stp>30020.T</stp>
        <stp>銘柄名称</stp>
        <tr r="C277" s="1"/>
      </tp>
      <tp t="s">
        <v>高島</v>
        <stp/>
        <stp>Market</stp>
        <stp>STOCK</stp>
        <stp>80070.T</stp>
        <stp>銘柄名称</stp>
        <tr r="C281" s="1"/>
      </tp>
      <tp t="s">
        <v>スクロール</v>
        <stp/>
        <stp>Market</stp>
        <stp>STOCK</stp>
        <stp>80050.T</stp>
        <stp>銘柄名称</stp>
        <tr r="C236" s="1"/>
      </tp>
      <tp t="s">
        <v>レゾナック・ホールディング</v>
        <stp/>
        <stp>Market</stp>
        <stp>STOCK</stp>
        <stp>40040.T</stp>
        <stp>銘柄名称</stp>
        <tr r="C213" s="1"/>
      </tp>
      <tp t="s">
        <v>ＭＩＣ</v>
        <stp/>
        <stp>Market</stp>
        <stp>STOCK</stp>
        <stp>300A0.T</stp>
        <stp>銘柄名称</stp>
        <tr r="C252" s="1"/>
      </tp>
      <tp t="s">
        <v>出光興産</v>
        <stp/>
        <stp>Market</stp>
        <stp>STOCK</stp>
        <stp>50190.T</stp>
        <stp>銘柄名称</stp>
        <tr r="C24" s="1"/>
      </tp>
      <tp t="s">
        <v>ＩＨＩ</v>
        <stp/>
        <stp>Market</stp>
        <stp>STOCK</stp>
        <stp>70130.T</stp>
        <stp>銘柄名称</stp>
        <tr r="C231" s="1"/>
      </tp>
      <tp t="s">
        <v>三菱重工業</v>
        <stp/>
        <stp>Market</stp>
        <stp>STOCK</stp>
        <stp>70110.T</stp>
        <stp>銘柄名称</stp>
        <tr r="C207" s="1"/>
      </tp>
      <tp t="s">
        <v>豊田通商</v>
        <stp/>
        <stp>Market</stp>
        <stp>STOCK</stp>
        <stp>80150.T</stp>
        <stp>銘柄名称</stp>
        <tr r="C204" s="1"/>
      </tp>
      <tp t="s">
        <v>名村造船所</v>
        <stp/>
        <stp>Market</stp>
        <stp>STOCK</stp>
        <stp>70140.T</stp>
        <stp>銘柄名称</stp>
        <tr r="C256" s="1"/>
      </tp>
      <tp t="s">
        <v>東海旅客鉄道</v>
        <stp/>
        <stp>Market</stp>
        <stp>STOCK</stp>
        <stp>90220.T</stp>
        <stp>銘柄名称</stp>
        <tr r="C184" s="1"/>
      </tp>
      <tp t="s">
        <v>コスモエネルギーＨＬＤＧＳ</v>
        <stp/>
        <stp>Market</stp>
        <stp>STOCK</stp>
        <stp>50210.T</stp>
        <stp>銘柄名称</stp>
        <tr r="C15" s="1"/>
      </tp>
      <tp t="s">
        <v>ニッチツ</v>
        <stp/>
        <stp>Market</stp>
        <stp>STOCK</stp>
        <stp>70210.T</stp>
        <stp>銘柄名称</stp>
        <tr r="C106" s="1"/>
      </tp>
      <tp t="s">
        <v>東日本旅客鉄道</v>
        <stp/>
        <stp>Market</stp>
        <stp>STOCK</stp>
        <stp>90200.T</stp>
        <stp>銘柄名称</stp>
        <tr r="C109" s="1"/>
      </tp>
      <tp t="s">
        <v>ＥＮＥＯＳホールディングス</v>
        <stp/>
        <stp>Market</stp>
        <stp>STOCK</stp>
        <stp>50200.T</stp>
        <stp>銘柄名称</stp>
        <tr r="C29" s="1"/>
      </tp>
      <tp t="s">
        <v>弁護士ドットコム</v>
        <stp/>
        <stp>Market</stp>
        <stp>STOCK</stp>
        <stp>60270.T</stp>
        <stp>銘柄名称</stp>
        <tr r="C72" s="1"/>
        <tr r="D45" s="16"/>
      </tp>
      <tp t="s">
        <v>東京エレクトロン</v>
        <stp/>
        <stp>Market</stp>
        <stp>STOCK</stp>
        <stp>80350.T</stp>
        <stp>銘柄名称</stp>
        <tr r="C198" s="1"/>
      </tp>
      <tp t="s">
        <v>エア・ウォーター</v>
        <stp/>
        <stp>Market</stp>
        <stp>STOCK</stp>
        <stp>40880.T</stp>
        <stp>銘柄名称</stp>
        <tr r="C156" s="1"/>
      </tp>
      <tp t="s">
        <v>第一稀元素化学工</v>
        <stp/>
        <stp>Market</stp>
        <stp>STOCK</stp>
        <stp>40820.T</stp>
        <stp>銘柄名称</stp>
        <tr r="C129" s="1"/>
        <tr r="D28" s="16"/>
      </tp>
      <tp t="s">
        <v>アーキテクツＳＪ</v>
        <stp/>
        <stp>Market</stp>
        <stp>STOCK</stp>
        <stp>60850.T</stp>
        <stp>銘柄名称</stp>
        <tr r="C137" s="1"/>
      </tp>
      <tp t="s">
        <v>リクルートホールディングス</v>
        <stp/>
        <stp>Market</stp>
        <stp>STOCK</stp>
        <stp>60980.T</stp>
        <stp>銘柄名称</stp>
        <tr r="C248" s="1"/>
      </tp>
      <tp t="s">
        <v>ニチモウ</v>
        <stp/>
        <stp>Market</stp>
        <stp>STOCK</stp>
        <stp>80910.T</stp>
        <stp>銘柄名称</stp>
        <tr r="C182" s="1"/>
      </tp>
      <tp t="s">
        <v>日本酸素ＨＬＤＧＳ</v>
        <stp/>
        <stp>Market</stp>
        <stp>STOCK</stp>
        <stp>40910.T</stp>
        <stp>銘柄名称</stp>
        <tr r="C157" s="1"/>
      </tp>
      <tp>
        <v>2638</v>
        <stp/>
        <stp>Market</stp>
        <stp>STOCK</stp>
        <stp>21600.T</stp>
        <stp>現在値</stp>
        <tr r="C131" s="11"/>
        <tr r="E195" s="4"/>
        <tr r="E187" s="5"/>
      </tp>
      <tp>
        <v>636.29999999999995</v>
        <stp/>
        <stp>Market</stp>
        <stp>STOCK</stp>
        <stp>21270.T</stp>
        <stp>現在値</stp>
        <tr r="E161" s="5"/>
        <tr r="E196" s="4"/>
        <tr r="C187" s="11"/>
      </tp>
      <tp>
        <v>2058</v>
        <stp/>
        <stp>Market</stp>
        <stp>STOCK</stp>
        <stp>23590.T</stp>
        <stp>現在値</stp>
        <tr r="E193" s="4"/>
        <tr r="C168" s="11"/>
        <tr r="E135" s="5"/>
      </tp>
      <tp>
        <v>3657</v>
        <stp/>
        <stp>Market</stp>
        <stp>STOCK</stp>
        <stp>23270.T</stp>
        <stp>現在値</stp>
        <tr r="E194" s="4"/>
        <tr r="E154" s="5"/>
        <tr r="C174" s="11"/>
      </tp>
      <tp>
        <v>4305</v>
        <stp/>
        <stp>Market</stp>
        <stp>STOCK</stp>
        <stp>23260.T</stp>
        <stp>現在値</stp>
        <tr r="C237" s="11"/>
      </tp>
      <tp>
        <v>2758</v>
        <stp/>
        <stp>Market</stp>
        <stp>STOCK</stp>
        <stp>22670.T</stp>
        <stp>現在値</stp>
        <tr r="C226" s="11"/>
      </tp>
      <tp>
        <v>5372</v>
        <stp/>
        <stp>Market</stp>
        <stp>STOCK</stp>
        <stp>27680.T</stp>
        <stp>現在値</stp>
        <tr r="E191" s="4"/>
        <tr r="C202" s="11"/>
        <tr r="E206" s="5"/>
      </tp>
      <tp>
        <v>8020</v>
        <stp/>
        <stp>Market</stp>
        <stp>STOCK</stp>
        <stp>27020.T</stp>
        <stp>現在値</stp>
        <tr r="E196" s="5"/>
        <tr r="C194" s="11"/>
        <tr r="E192" s="4"/>
      </tp>
      <tp>
        <v>13510</v>
        <stp/>
        <stp>Market</stp>
        <stp>STOCK</stp>
        <stp>278A0.T</stp>
        <stp>現在値</stp>
        <tr r="C251" s="11"/>
      </tp>
      <tp>
        <v>6831</v>
        <stp/>
        <stp>Market</stp>
        <stp>STOCK</stp>
        <stp>29140.T</stp>
        <stp>現在値</stp>
        <tr r="E182" s="5"/>
        <tr r="E189" s="4"/>
        <tr r="C87" s="11"/>
        <tr r="H38" s="16"/>
      </tp>
      <tp>
        <v>1088</v>
        <stp/>
        <stp>Market</stp>
        <stp>STOCK</stp>
        <stp>29330.T</stp>
        <stp>現在値</stp>
        <tr r="C288" s="11"/>
      </tp>
      <tp>
        <v>54590</v>
        <stp/>
        <stp>Market</stp>
        <stp>STOCK</stp>
        <stp>285A0.T</stp>
        <stp>現在値</stp>
        <tr r="C218" s="11"/>
      </tp>
      <tp>
        <v>5284</v>
        <stp/>
        <stp>Market</stp>
        <stp>STOCK</stp>
        <stp>28020.T</stp>
        <stp>現在値</stp>
        <tr r="E190" s="4"/>
        <tr r="E23" s="5"/>
        <tr r="C76" s="11"/>
      </tp>
      <tp>
        <v>474</v>
        <stp/>
        <stp>Market</stp>
        <stp>STOCK</stp>
        <stp>281A0.T</stp>
        <stp>現在値</stp>
        <tr r="C266" s="11"/>
        <tr r="H9" s="16"/>
      </tp>
    </main>
    <main first="rtdsrv.e07a56084d7946cdb07ca2177ccd3d26">
      <tp>
        <v>7257</v>
        <stp/>
        <stp>Market</stp>
        <stp>STOCK</stp>
        <stp>27680.T</stp>
        <stp>年初来高値</stp>
        <tr r="K191" s="4"/>
        <tr r="K206" s="5"/>
      </tp>
      <tp>
        <v>3625</v>
        <stp/>
        <stp>Market</stp>
        <stp>STOCK</stp>
        <stp>45680.T</stp>
        <stp>年初来高値</stp>
        <tr r="K7" s="4"/>
        <tr r="K110" s="5"/>
      </tp>
      <tp>
        <v>2274</v>
        <stp/>
        <stp>Market</stp>
        <stp>STOCK</stp>
        <stp>90690.T</stp>
        <stp>年初来高値</stp>
        <tr r="K28" s="4"/>
        <tr r="K60" s="5"/>
      </tp>
      <tp>
        <v>28430</v>
        <stp/>
        <stp>Market</stp>
        <stp>STOCK</stp>
        <stp>49660.T</stp>
        <stp>年初来高値</stp>
        <tr r="K150" s="4"/>
        <tr r="K34" s="5"/>
      </tp>
      <tp>
        <v>8468</v>
        <stp/>
        <stp>Market</stp>
        <stp>STOCK</stp>
        <stp>87660.T</stp>
        <stp>年初来高値</stp>
        <tr r="K35" s="4"/>
        <tr r="K174" s="5"/>
      </tp>
      <tp>
        <v>1585.5</v>
        <stp/>
        <stp>Market</stp>
        <stp>STOCK</stp>
        <stp>71670.T</stp>
        <stp>年初来高値</stp>
        <tr r="K75" s="4"/>
        <tr r="K101" s="5"/>
      </tp>
      <tp>
        <v>2275</v>
        <stp/>
        <stp>Market</stp>
        <stp>STOCK</stp>
        <stp>90640.T</stp>
        <stp>年初来高値</stp>
        <tr r="K163" s="5"/>
        <tr r="K4" s="4"/>
      </tp>
      <tp>
        <v>2819</v>
        <stp/>
        <stp>Market</stp>
        <stp>STOCK</stp>
        <stp>16620.T</stp>
        <stp>年初来高値</stp>
        <tr r="K122" s="5"/>
        <tr r="K205" s="4"/>
      </tp>
      <tp>
        <v>27480</v>
        <stp/>
        <stp>Market</stp>
        <stp>STOCK</stp>
        <stp>40620.T</stp>
        <stp>年初来高値</stp>
        <tr r="K56" s="5"/>
        <tr r="K173" s="4"/>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3740</v>
        <stp/>
        <stp>Market</stp>
        <stp>STOCK</stp>
        <stp>21600.T</stp>
        <stp>年初来高値</stp>
        <tr r="K195" s="4"/>
        <tr r="K187"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main>
    <main first="rtdsrv.e07a56084d7946cdb07ca2177ccd3d26">
      <tp t="s">
        <v>ｉｓｐａｃｅ</v>
        <stp/>
        <stp>Market</stp>
        <stp>STOCK</stp>
        <stp>93480.T</stp>
        <stp>銘柄名称</stp>
        <tr r="C112" s="1"/>
      </tp>
      <tp t="s">
        <v>山形銀行</v>
        <stp/>
        <stp>Market</stp>
        <stp>STOCK</stp>
        <stp>83440.T</stp>
        <stp>銘柄名称</stp>
        <tr r="C293" s="1"/>
      </tp>
      <tp t="s">
        <v>八十二長野銀行</v>
        <stp/>
        <stp>Market</stp>
        <stp>STOCK</stp>
        <stp>83590.T</stp>
        <stp>銘柄名称</stp>
        <tr r="C123" s="1"/>
      </tp>
      <tp t="s">
        <v>コア</v>
        <stp/>
        <stp>Market</stp>
        <stp>STOCK</stp>
        <stp>23590.T</stp>
        <stp>銘柄名称</stp>
        <tr r="C168" s="1"/>
      </tp>
      <tp t="s">
        <v>日本ギア工業</v>
        <stp/>
        <stp>Market</stp>
        <stp>STOCK</stp>
        <stp>63560.T</stp>
        <stp>銘柄名称</stp>
        <tr r="C267"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C149" s="1"/>
        <tr r="D21" s="16"/>
      </tp>
      <tp t="s">
        <v>三井住友トラストグルー</v>
        <stp/>
        <stp>Market</stp>
        <stp>STOCK</stp>
        <stp>83090.T</stp>
        <stp>銘柄名称</stp>
        <tr r="C31" s="1"/>
      </tp>
      <tp t="s">
        <v>りそなホールディングス</v>
        <stp/>
        <stp>Market</stp>
        <stp>STOCK</stp>
        <stp>83080.T</stp>
        <stp>銘柄名称</stp>
        <tr r="C35" s="1"/>
      </tp>
      <tp t="s">
        <v>ＳＢＩ新生銀行</v>
        <stp/>
        <stp>Market</stp>
        <stp>STOCK</stp>
        <stp>83030.T</stp>
        <stp>銘柄名称</stp>
        <tr r="C172" s="1"/>
      </tp>
      <tp t="s">
        <v>野村総合研究所</v>
        <stp/>
        <stp>Market</stp>
        <stp>STOCK</stp>
        <stp>43070.T</stp>
        <stp>銘柄名称</stp>
        <tr r="C150" s="1"/>
        <tr r="D18" s="16"/>
      </tp>
      <tp t="s">
        <v>三菱ＵＦＪフィナンシャルＧ</v>
        <stp/>
        <stp>Market</stp>
        <stp>STOCK</stp>
        <stp>83060.T</stp>
        <stp>銘柄名称</stp>
        <tr r="C45" s="1"/>
      </tp>
      <tp t="s">
        <v>日立建機</v>
        <stp/>
        <stp>Market</stp>
        <stp>STOCK</stp>
        <stp>63050.T</stp>
        <stp>銘柄名称</stp>
        <tr r="C203" s="1"/>
      </tp>
      <tp t="s">
        <v>三井住友フィナンシャルＧ</v>
        <stp/>
        <stp>Market</stp>
        <stp>STOCK</stp>
        <stp>83160.T</stp>
        <stp>銘柄名称</stp>
        <tr r="C50" s="1"/>
      </tp>
      <tp t="s">
        <v>ローツェ</v>
        <stp/>
        <stp>Market</stp>
        <stp>STOCK</stp>
        <stp>63230.T</stp>
        <stp>銘柄名称</stp>
        <tr r="C90" s="1"/>
      </tp>
      <tp t="s">
        <v>ＮＦ日経２２５</v>
        <stp/>
        <stp>Market</stp>
        <stp>STOCK</stp>
        <stp>13210.T</stp>
        <stp>銘柄名称</stp>
        <tr r="C303" s="1"/>
      </tp>
      <tp t="s">
        <v>北川精機</v>
        <stp/>
        <stp>Market</stp>
        <stp>STOCK</stp>
        <stp>63270.T</stp>
        <stp>銘柄名称</stp>
        <tr r="C133" s="1"/>
        <tr r="D40" s="16"/>
      </tp>
      <tp t="s">
        <v>日鉄ソリューションズ</v>
        <stp/>
        <stp>Market</stp>
        <stp>STOCK</stp>
        <stp>23270.T</stp>
        <stp>銘柄名称</stp>
        <tr r="C174" s="1"/>
      </tp>
      <tp t="s">
        <v>デジタルアーツ</v>
        <stp/>
        <stp>Market</stp>
        <stp>STOCK</stp>
        <stp>23260.T</stp>
        <stp>銘柄名称</stp>
        <tr r="C237" s="1"/>
      </tp>
      <tp t="s">
        <v>ハーモニック・ドライブ・シス</v>
        <stp/>
        <stp>Market</stp>
        <stp>STOCK</stp>
        <stp>63240.T</stp>
        <stp>銘柄名称</stp>
        <tr r="C210" s="1"/>
      </tp>
      <tp t="s">
        <v>ＮＧＫ</v>
        <stp/>
        <stp>Market</stp>
        <stp>STOCK</stp>
        <stp>53330.T</stp>
        <stp>銘柄名称</stp>
        <tr r="C17" s="1"/>
      </tp>
      <tp t="s">
        <v>ＴＯＴＯ</v>
        <stp/>
        <stp>Market</stp>
        <stp>STOCK</stp>
        <stp>53320.T</stp>
        <stp>銘柄名称</stp>
        <tr r="C21" s="1"/>
      </tp>
      <tp t="s">
        <v>三菱化工機</v>
        <stp/>
        <stp>Market</stp>
        <stp>STOCK</stp>
        <stp>63310.T</stp>
        <stp>銘柄名称</stp>
        <tr r="C301" s="1"/>
      </tp>
      <tp t="s">
        <v>東洋エンジニア</v>
        <stp/>
        <stp>Market</stp>
        <stp>STOCK</stp>
        <stp>63300.T</stp>
        <stp>銘柄名称</stp>
        <tr r="C128" s="1"/>
      </tp>
      <tp t="s">
        <v>群馬銀行</v>
        <stp/>
        <stp>Market</stp>
        <stp>STOCK</stp>
        <stp>83340.T</stp>
        <stp>銘柄名称</stp>
        <tr r="C122" s="1"/>
        <tr r="D11" s="16"/>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D30" s="16"/>
        <tr r="C285" s="1"/>
        <tr r="D22" s="16"/>
      </tp>
      <tp>
        <v>68370</v>
        <stp/>
        <stp>Market</stp>
        <stp>STOCK</stp>
        <stp>13210.T</stp>
        <stp>現在値</stp>
        <tr r="C303" s="11"/>
      </tp>
      <tp>
        <v>854</v>
        <stp/>
        <stp>Market</stp>
        <stp>STOCK</stp>
        <stp>155A0.T</stp>
        <stp>現在値</stp>
        <tr r="C250" s="11"/>
      </tp>
      <tp>
        <v>69470</v>
        <stp/>
        <stp>Market</stp>
        <stp>STOCK</stp>
        <stp>15700.T</stp>
        <stp>現在値</stp>
        <tr r="C222" s="11"/>
      </tp>
      <tp>
        <v>596</v>
        <stp/>
        <stp>Market</stp>
        <stp>STOCK</stp>
        <stp>15140.T</stp>
        <stp>現在値</stp>
        <tr r="C262" s="11"/>
      </tp>
      <tp>
        <v>2710</v>
        <stp/>
        <stp>Market</stp>
        <stp>STOCK</stp>
        <stp>14070.T</stp>
        <stp>現在値</stp>
        <tr r="C217" s="11"/>
      </tp>
      <tp>
        <v>3220</v>
        <stp/>
        <stp>Market</stp>
        <stp>STOCK</stp>
        <stp>141A0.T</stp>
        <stp>現在値</stp>
        <tr r="C219" s="11"/>
      </tp>
      <tp>
        <v>1683</v>
        <stp/>
        <stp>Market</stp>
        <stp>STOCK</stp>
        <stp>16620.T</stp>
        <stp>現在値</stp>
        <tr r="E205" s="4"/>
        <tr r="E122" s="5"/>
        <tr r="C18" s="11"/>
      </tp>
      <tp>
        <v>3406</v>
        <stp/>
        <stp>Market</stp>
        <stp>STOCK</stp>
        <stp>16050.T</stp>
        <stp>現在値</stp>
        <tr r="E206" s="4"/>
        <tr r="E166" s="5"/>
        <tr r="C12" s="11"/>
      </tp>
      <tp>
        <v>32260</v>
        <stp/>
        <stp>Market</stp>
        <stp>STOCK</stp>
        <stp>16180.T</stp>
        <stp>現在値</stp>
        <tr r="C227" s="11"/>
      </tp>
      <tp>
        <v>7280</v>
        <stp/>
        <stp>Market</stp>
        <stp>STOCK</stp>
        <stp>19440.T</stp>
        <stp>現在値</stp>
        <tr r="C304" s="11"/>
      </tp>
      <tp>
        <v>5677</v>
        <stp/>
        <stp>Market</stp>
        <stp>STOCK</stp>
        <stp>19420.T</stp>
        <stp>現在値</stp>
        <tr r="E199" s="4"/>
        <tr r="E32" s="5"/>
        <tr r="C175" s="11"/>
        <tr r="H39" s="16"/>
      </tp>
      <tp>
        <v>2458</v>
        <stp/>
        <stp>Market</stp>
        <stp>STOCK</stp>
        <stp>19610.T</stp>
        <stp>現在値</stp>
        <tr r="E51" s="5"/>
        <tr r="C59" s="11"/>
        <tr r="E198" s="4"/>
      </tp>
      <tp>
        <v>2329</v>
        <stp/>
        <stp>Market</stp>
        <stp>STOCK</stp>
        <stp>19630.T</stp>
        <stp>現在値</stp>
        <tr r="C86" s="11"/>
        <tr r="E40" s="5"/>
        <tr r="E197" s="4"/>
      </tp>
      <tp>
        <v>4505</v>
        <stp/>
        <stp>Market</stp>
        <stp>STOCK</stp>
        <stp>19250.T</stp>
        <stp>現在値</stp>
        <tr r="E202" s="4"/>
        <tr r="E181" s="5"/>
        <tr r="C83" s="11"/>
      </tp>
      <tp>
        <v>2493</v>
        <stp/>
        <stp>Market</stp>
        <stp>STOCK</stp>
        <stp>19380.T</stp>
        <stp>現在値</stp>
        <tr r="E200" s="4"/>
        <tr r="C176" s="11"/>
        <tr r="E117" s="5"/>
      </tp>
      <tp>
        <v>1523</v>
        <stp/>
        <stp>Market</stp>
        <stp>STOCK</stp>
        <stp>19300.T</stp>
        <stp>現在値</stp>
        <tr r="E201" s="4"/>
        <tr r="E83" s="5"/>
        <tr r="C163" s="11"/>
      </tp>
      <tp>
        <v>1176</v>
        <stp/>
        <stp>Market</stp>
        <stp>STOCK</stp>
        <stp>186A0.T</stp>
        <stp>現在値</stp>
        <tr r="C299" s="11"/>
      </tp>
      <tp>
        <v>2649.5</v>
        <stp/>
        <stp>Market</stp>
        <stp>STOCK</stp>
        <stp>18080.T</stp>
        <stp>現在値</stp>
        <tr r="C297" s="11"/>
      </tp>
      <tp>
        <v>5224</v>
        <stp/>
        <stp>Market</stp>
        <stp>STOCK</stp>
        <stp>18120.T</stp>
        <stp>現在値</stp>
        <tr r="E121" s="5"/>
        <tr r="C208" s="11"/>
        <tr r="E204" s="4"/>
      </tp>
      <tp>
        <v>5740</v>
        <stp/>
        <stp>Market</stp>
        <stp>STOCK</stp>
        <stp>18330.T</stp>
        <stp>現在値</stp>
        <tr r="C80" s="11"/>
        <tr r="E180" s="5"/>
        <tr r="E203" s="4"/>
      </tp>
      <tp>
        <v>4124</v>
        <stp/>
        <stp>Market</stp>
        <stp>STOCK</stp>
        <stp>67580.T</stp>
        <stp>年初来高値</stp>
        <tr r="K88" s="4"/>
        <tr r="K86" s="5"/>
      </tp>
      <tp>
        <v>6012</v>
        <stp/>
        <stp>Market</stp>
        <stp>STOCK</stp>
        <stp>80580.T</stp>
        <stp>年初来高値</stp>
        <tr r="K58" s="4"/>
        <tr r="K89" s="5"/>
      </tp>
      <tp>
        <v>2348</v>
        <stp/>
        <stp>Market</stp>
        <stp>STOCK</stp>
        <stp>23590.T</stp>
        <stp>年初来高値</stp>
        <tr r="K135" s="5"/>
        <tr r="K193" s="4"/>
      </tp>
      <tp>
        <v>2699.5</v>
        <stp/>
        <stp>Market</stp>
        <stp>STOCK</stp>
        <stp>83590.T</stp>
        <stp>年初来高値</stp>
        <tr r="K48" s="4"/>
        <tr r="K26" s="5"/>
      </tp>
      <tp>
        <v>4720</v>
        <stp/>
        <stp>Market</stp>
        <stp>STOCK</stp>
        <stp>58570.T</stp>
        <stp>年初来高値</stp>
        <tr r="K122" s="4"/>
        <tr r="K52" s="5"/>
      </tp>
      <tp>
        <v>35940</v>
        <stp/>
        <stp>Market</stp>
        <stp>STOCK</stp>
        <stp>68570.T</stp>
        <stp>年初来高値</stp>
        <tr r="K113" s="5"/>
        <tr r="K83" s="4"/>
      </tp>
      <tp>
        <v>2653</v>
        <stp/>
        <stp>Market</stp>
        <stp>STOCK</stp>
        <stp>38540.T</stp>
        <stp>年初来高値</stp>
        <tr r="K54" s="5"/>
        <tr r="K180" s="4"/>
      </tp>
      <tp>
        <v>5500</v>
        <stp/>
        <stp>Market</stp>
        <stp>STOCK</stp>
        <stp>62540.T</stp>
        <stp>年初来高値</stp>
        <tr r="K108" s="4"/>
        <tr r="K5" s="5"/>
      </tp>
      <tp>
        <v>4855</v>
        <stp/>
        <stp>Market</stp>
        <stp>STOCK</stp>
        <stp>67540.T</stp>
        <stp>年初来高値</stp>
        <tr r="K89" s="4"/>
        <tr r="K31" s="5"/>
      </tp>
      <tp>
        <v>8880</v>
        <stp/>
        <stp>Market</stp>
        <stp>STOCK</stp>
        <stp>69540.T</stp>
        <stp>年初来高値</stp>
        <tr r="K79" s="4"/>
        <tr r="K16" s="5"/>
      </tp>
      <tp>
        <v>830.5</v>
        <stp/>
        <stp>Market</stp>
        <stp>STOCK</stp>
        <stp>67530.T</stp>
        <stp>年初来高値</stp>
        <tr r="K90" s="4"/>
        <tr r="K162" s="5"/>
      </tp>
      <tp>
        <v>1697.5</v>
        <stp/>
        <stp>Market</stp>
        <stp>STOCK</stp>
        <stp>80530.T</stp>
        <stp>年初来高値</stp>
        <tr r="K49" s="5"/>
        <tr r="K59" s="4"/>
      </tp>
      <tp>
        <v>1959</v>
        <stp/>
        <stp>Market</stp>
        <stp>STOCK</stp>
        <stp>87500.T</stp>
        <stp>年初来高値</stp>
        <tr r="K36" s="4"/>
        <tr r="K200" s="5"/>
      </tp>
      <tp>
        <v>4220</v>
        <stp/>
        <stp>Market</stp>
        <stp>STOCK</stp>
        <stp>95510.T</stp>
        <stp>年初来高値</stp>
        <tr r="K12" s="4"/>
        <tr r="K134" s="5"/>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ＵＢＥ</v>
        <stp/>
        <stp>Market</stp>
        <stp>STOCK</stp>
        <stp>42080.T</stp>
        <stp>銘柄名称</stp>
        <tr r="C298" s="1"/>
      </tp>
      <tp t="s">
        <v>トヨタ自動車</v>
        <stp/>
        <stp>Market</stp>
        <stp>STOCK</stp>
        <stp>72030.T</stp>
        <stp>銘柄名称</stp>
        <tr r="C77" s="1"/>
      </tp>
      <tp t="s">
        <v>豊和工業</v>
        <stp/>
        <stp>Market</stp>
        <stp>STOCK</stp>
        <stp>62030.T</stp>
        <stp>銘柄名称</stp>
        <tr r="C57" s="1"/>
      </tp>
      <tp t="s">
        <v>ＡＮＡホールディングス</v>
        <stp/>
        <stp>Market</stp>
        <stp>STOCK</stp>
        <stp>92020.T</stp>
        <stp>銘柄名称</stp>
        <tr r="C74" s="1"/>
      </tp>
      <tp t="s">
        <v>ＡＧＣ</v>
        <stp/>
        <stp>Market</stp>
        <stp>STOCK</stp>
        <stp>52010.T</stp>
        <stp>銘柄名称</stp>
        <tr r="C53" s="1"/>
      </tp>
      <tp t="s">
        <v>ニチバン</v>
        <stp/>
        <stp>Market</stp>
        <stp>STOCK</stp>
        <stp>42180.T</stp>
        <stp>銘柄名称</stp>
        <tr r="C282" s="1"/>
      </tp>
      <tp t="s">
        <v>児玉化学</v>
        <stp/>
        <stp>Market</stp>
        <stp>STOCK</stp>
        <stp>42220.T</stp>
        <stp>銘柄名称</stp>
        <tr r="C229" s="1"/>
      </tp>
      <tp t="s">
        <v>マイクロ波化学</v>
        <stp/>
        <stp>Market</stp>
        <stp>STOCK</stp>
        <stp>92270.T</stp>
        <stp>銘柄名称</stp>
        <tr r="C111" s="1"/>
      </tp>
      <tp t="s">
        <v>ＡＩメカテック</v>
        <stp/>
        <stp>Market</stp>
        <stp>STOCK</stp>
        <stp>62270.T</stp>
        <stp>銘柄名称</stp>
        <tr r="C132" s="1"/>
      </tp>
      <tp t="s">
        <v>太平洋セメント</v>
        <stp/>
        <stp>Market</stp>
        <stp>STOCK</stp>
        <stp>52330.T</stp>
        <stp>銘柄名称</stp>
        <tr r="C34" s="1"/>
      </tp>
      <tp t="s">
        <v>ＡＣＳＬ</v>
        <stp/>
        <stp>Market</stp>
        <stp>STOCK</stp>
        <stp>62320.T</stp>
        <stp>銘柄名称</stp>
        <tr r="C135" s="1"/>
      </tp>
      <tp t="s">
        <v>ティラド</v>
        <stp/>
        <stp>Market</stp>
        <stp>STOCK</stp>
        <stp>72360.T</stp>
        <stp>銘柄名称</stp>
        <tr r="C177" s="1"/>
      </tp>
      <tp t="s">
        <v>ゼビオホールディングス</v>
        <stp/>
        <stp>Market</stp>
        <stp>STOCK</stp>
        <stp>82810.T</stp>
        <stp>銘柄名称</stp>
        <tr r="C63" s="1"/>
      </tp>
    </main>
    <main first="rtdsrv.e07a56084d7946cdb07ca2177ccd3d26">
      <tp>
        <v>710</v>
        <stp/>
        <stp>Market</stp>
        <stp>STOCK</stp>
        <stp>93480.T</stp>
        <stp>年初来高値</stp>
        <tr r="K8" s="5"/>
        <tr r="K24" s="4"/>
      </tp>
      <tp>
        <v>3935</v>
        <stp/>
        <stp>Market</stp>
        <stp>STOCK</stp>
        <stp>54490.T</stp>
        <stp>年初来高値</stp>
        <tr r="K97" s="5"/>
        <tr r="K134" s="4"/>
      </tp>
      <tp>
        <v>4302</v>
        <stp/>
        <stp>Market</stp>
        <stp>STOCK</stp>
        <stp>94490.T</stp>
        <stp>年初来高値</stp>
        <tr r="K19" s="4"/>
        <tr r="K77" s="5"/>
      </tp>
      <tp>
        <v>91680</v>
        <stp/>
        <stp>Market</stp>
        <stp>STOCK</stp>
        <stp>61460.T</stp>
        <stp>年初来高値</stp>
        <tr r="K113" s="4"/>
        <tr r="K120" s="5"/>
      </tp>
      <tp>
        <v>1638</v>
        <stp/>
        <stp>Market</stp>
        <stp>STOCK</stp>
        <stp>77460.T</stp>
        <stp>年初来高値</stp>
        <tr r="K67" s="4"/>
        <tr r="K144" s="5"/>
      </tp>
      <tp>
        <v>1862.5</v>
        <stp/>
        <stp>Market</stp>
        <stp>STOCK</stp>
        <stp>78460.T</stp>
        <stp>年初来高値</stp>
        <tr r="K202" s="5"/>
        <tr r="K64" s="4"/>
      </tp>
      <tp>
        <v>4456</v>
        <stp/>
        <stp>Market</stp>
        <stp>STOCK</stp>
        <stp>59470.T</stp>
        <stp>年初来高値</stp>
        <tr r="K96" s="5"/>
        <tr r="K117" s="4"/>
      </tp>
      <tp>
        <v>4890</v>
        <stp/>
        <stp>Market</stp>
        <stp>STOCK</stp>
        <stp>58440.T</stp>
        <stp>年初来高値</stp>
        <tr r="K123" s="4"/>
        <tr r="K61" s="5"/>
      </tp>
      <tp>
        <v>5020</v>
        <stp/>
        <stp>Market</stp>
        <stp>STOCK</stp>
        <stp>67440.T</stp>
        <stp>年初来高値</stp>
        <tr r="K106" s="5"/>
        <tr r="K91" s="4"/>
      </tp>
      <tp>
        <v>1922.5</v>
        <stp/>
        <stp>Market</stp>
        <stp>STOCK</stp>
        <stp>40450.T</stp>
        <stp>年初来高値</stp>
        <tr r="K178" s="5"/>
        <tr r="K174" s="4"/>
      </tp>
      <tp>
        <v>7460</v>
        <stp/>
        <stp>Market</stp>
        <stp>STOCK</stp>
        <stp>19420.T</stp>
        <stp>年初来高値</stp>
        <tr r="K199" s="4"/>
        <tr r="K32" s="5"/>
      </tp>
      <tp>
        <v>3405</v>
        <stp/>
        <stp>Market</stp>
        <stp>STOCK</stp>
        <stp>52430.T</stp>
        <stp>年初来高値</stp>
        <tr r="K143" s="4"/>
        <tr r="K138" s="5"/>
      </tp>
      <tp>
        <v>4403</v>
        <stp/>
        <stp>Market</stp>
        <stp>STOCK</stp>
        <stp>45400.T</stp>
        <stp>年初来高値</stp>
        <tr r="K157" s="4"/>
        <tr r="K124" s="5"/>
      </tp>
      <tp>
        <v>2696</v>
        <stp/>
        <stp>Market</stp>
        <stp>STOCK</stp>
        <stp>54400.T</stp>
        <stp>年初来高値</stp>
        <tr r="K135" s="4"/>
        <tr r="K156" s="5"/>
      </tp>
      <tp>
        <v>164</v>
        <stp/>
        <stp>Market</stp>
        <stp>STOCK</stp>
        <stp>67400.T</stp>
        <stp>年初来高値</stp>
        <tr r="K189" s="5"/>
        <tr r="K92" s="4"/>
      </tp>
      <tp>
        <v>1565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t="s">
        <v>大平洋金属</v>
        <stp/>
        <stp>Market</stp>
        <stp>STOCK</stp>
        <stp>55410.T</stp>
        <stp>銘柄名称</stp>
        <tr r="C20" s="1"/>
      </tp>
      <tp t="s">
        <v>ツムラ</v>
        <stp/>
        <stp>Market</stp>
        <stp>STOCK</stp>
        <stp>45400.T</stp>
        <stp>銘柄名称</stp>
        <tr r="C64" s="1"/>
        <tr r="D15" s="16"/>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t="s">
        <v>第一三共</v>
        <stp/>
        <stp>Market</stp>
        <stp>STOCK</stp>
        <stp>45680.T</stp>
        <stp>銘柄名称</stp>
        <tr r="C142" s="1"/>
      </tp>
      <tp t="s">
        <v>ＦＯＯＤ＆ＬＩＦＥＣＯＭＰＡＮ</v>
        <stp/>
        <stp>Market</stp>
        <stp>STOCK</stp>
        <stp>35630.T</stp>
        <stp>銘柄名称</stp>
        <tr r="C230" s="1"/>
      </tp>
      <tp t="s">
        <v>アコム</v>
        <stp/>
        <stp>Market</stp>
        <stp>STOCK</stp>
        <stp>85720.T</stp>
        <stp>銘柄名称</stp>
        <tr r="C47" s="1"/>
      </tp>
      <tp t="s">
        <v>イオンフィナンシャルサービス</v>
        <stp/>
        <stp>Market</stp>
        <stp>STOCK</stp>
        <stp>85700.T</stp>
        <stp>銘柄名称</stp>
        <tr r="C37" s="1"/>
      </tp>
      <tp t="s">
        <v>ＮＦ日経レバ</v>
        <stp/>
        <stp>Market</stp>
        <stp>STOCK</stp>
        <stp>15700.T</stp>
        <stp>銘柄名称</stp>
        <tr r="C222" s="1"/>
      </tp>
      <tp t="s">
        <v>三菱電機</v>
        <stp/>
        <stp>Market</stp>
        <stp>STOCK</stp>
        <stp>65030.T</stp>
        <stp>銘柄名称</stp>
        <tr r="C68" s="1"/>
      </tp>
      <tp t="s">
        <v>武田薬品</v>
        <stp/>
        <stp>Market</stp>
        <stp>STOCK</stp>
        <stp>45020.T</stp>
        <stp>銘柄名称</stp>
        <tr r="C212" s="1"/>
      </tp>
      <tp t="s">
        <v>東京電力ＨＤ</v>
        <stp/>
        <stp>Market</stp>
        <stp>STOCK</stp>
        <stp>95010.T</stp>
        <stp>銘柄名称</stp>
        <tr r="C114" s="1"/>
      </tp>
      <tp t="s">
        <v>日立</v>
        <stp/>
        <stp>Market</stp>
        <stp>STOCK</stp>
        <stp>65010.T</stp>
        <stp>銘柄名称</stp>
        <tr r="C91" s="1"/>
      </tp>
      <tp t="s">
        <v>シンフォニアテクノロジー</v>
        <stp/>
        <stp>Market</stp>
        <stp>STOCK</stp>
        <stp>65070.T</stp>
        <stp>銘柄名称</stp>
        <tr r="C183" s="1"/>
      </tp>
      <tp t="s">
        <v>東北電力</v>
        <stp/>
        <stp>Market</stp>
        <stp>STOCK</stp>
        <stp>95060.T</stp>
        <stp>銘柄名称</stp>
        <tr r="C186" s="1"/>
      </tp>
      <tp t="s">
        <v>安川電機</v>
        <stp/>
        <stp>Market</stp>
        <stp>STOCK</stp>
        <stp>65060.T</stp>
        <stp>銘柄名称</stp>
        <tr r="C201" s="1"/>
      </tp>
      <tp t="s">
        <v>北陸電力</v>
        <stp/>
        <stp>Market</stp>
        <stp>STOCK</stp>
        <stp>95050.T</stp>
        <stp>銘柄名称</stp>
        <tr r="C181" s="1"/>
      </tp>
      <tp t="s">
        <v>レノバ</v>
        <stp/>
        <stp>Market</stp>
        <stp>STOCK</stp>
        <stp>95190.T</stp>
        <stp>銘柄名称</stp>
        <tr r="C214" s="1"/>
      </tp>
      <tp t="s">
        <v>中外製薬</v>
        <stp/>
        <stp>Market</stp>
        <stp>STOCK</stp>
        <stp>45190.T</stp>
        <stp>銘柄名称</stp>
        <tr r="C130" s="1"/>
      </tp>
      <tp t="s">
        <v>山洋電気</v>
        <stp/>
        <stp>Market</stp>
        <stp>STOCK</stp>
        <stp>65160.T</stp>
        <stp>銘柄名称</stp>
        <tr r="C151" s="1"/>
      </tp>
      <tp t="s">
        <v>住石ホールディングス</v>
        <stp/>
        <stp>Market</stp>
        <stp>STOCK</stp>
        <stp>15140.T</stp>
        <stp>銘柄名称</stp>
        <tr r="C262" s="1"/>
      </tp>
      <tp t="s">
        <v>小野薬品</v>
        <stp/>
        <stp>Market</stp>
        <stp>STOCK</stp>
        <stp>45280.T</stp>
        <stp>銘柄名称</stp>
        <tr r="C100" s="1"/>
      </tp>
      <tp t="s">
        <v>エーザイ</v>
        <stp/>
        <stp>Market</stp>
        <stp>STOCK</stp>
        <stp>45230.T</stp>
        <stp>銘柄名称</stp>
        <tr r="C99" s="1"/>
        <tr r="D27" s="16"/>
      </tp>
      <tp t="s">
        <v>アスタリスク</v>
        <stp/>
        <stp>Market</stp>
        <stp>STOCK</stp>
        <stp>65220.T</stp>
        <stp>銘柄名称</stp>
        <tr r="C143" s="1"/>
        <tr r="D6" s="16"/>
      </tp>
      <tp t="s">
        <v>オキサイド</v>
        <stp/>
        <stp>Market</stp>
        <stp>STOCK</stp>
        <stp>65210.T</stp>
        <stp>銘柄名称</stp>
        <tr r="C242" s="1"/>
      </tp>
      <tp t="s">
        <v>大阪瓦斯</v>
        <stp/>
        <stp>Market</stp>
        <stp>STOCK</stp>
        <stp>95320.T</stp>
        <stp>銘柄名称</stp>
        <tr r="C127" s="1"/>
      </tp>
      <tp t="s">
        <v>パンパシフィックＨＤ</v>
        <stp/>
        <stp>Market</stp>
        <stp>STOCK</stp>
        <stp>75320.T</stp>
        <stp>銘柄名称</stp>
        <tr r="C1" s="13"/>
        <tr r="C305" s="1"/>
      </tp>
      <tp t="s">
        <v>東京瓦斯</v>
        <stp/>
        <stp>Market</stp>
        <stp>STOCK</stp>
        <stp>95310.T</stp>
        <stp>銘柄名称</stp>
        <tr r="C115" s="1"/>
      </tp>
      <tp t="s">
        <v>西部ガスＨＬＤＧＳ</v>
        <stp/>
        <stp>Market</stp>
        <stp>STOCK</stp>
        <stp>95360.T</stp>
        <stp>銘柄名称</stp>
        <tr r="C185" s="1"/>
      </tp>
      <tp t="s">
        <v>参天製薬</v>
        <stp/>
        <stp>Market</stp>
        <stp>STOCK</stp>
        <stp>45360.T</stp>
        <stp>銘柄名称</stp>
        <tr r="C67" s="1"/>
      </tp>
      <tp t="s">
        <v>三菱ＨＣキャピタル</v>
        <stp/>
        <stp>Market</stp>
        <stp>STOCK</stp>
        <stp>85930.T</stp>
        <stp>銘柄名称</stp>
        <tr r="C39" s="1"/>
        <tr r="D26" s="16"/>
      </tp>
      <tp t="s">
        <v>オリックス</v>
        <stp/>
        <stp>Market</stp>
        <stp>STOCK</stp>
        <stp>85910.T</stp>
        <stp>銘柄名称</stp>
        <tr r="C26" s="1"/>
      </tp>
      <tp>
        <v>1516</v>
        <stp/>
        <stp>Market</stp>
        <stp>STOCK</stp>
        <stp>71670.T</stp>
        <stp>現在値</stp>
        <tr r="E101" s="5"/>
        <tr r="E75" s="4"/>
        <tr r="C82" s="11"/>
      </tp>
      <tp>
        <v>1728</v>
        <stp/>
        <stp>Market</stp>
        <stp>STOCK</stp>
        <stp>71810.T</stp>
        <stp>現在値</stp>
        <tr r="E119" s="5"/>
        <tr r="E5" s="4"/>
        <tr r="C190" s="11"/>
      </tp>
      <tp>
        <v>3174</v>
        <stp/>
        <stp>Market</stp>
        <stp>STOCK</stp>
        <stp>71820.T</stp>
        <stp>現在値</stp>
        <tr r="E102" s="5"/>
        <tr r="C85" s="11"/>
        <tr r="E74" s="4"/>
      </tp>
      <tp>
        <v>159</v>
        <stp/>
        <stp>Market</stp>
        <stp>STOCK</stp>
        <stp>70480.T</stp>
        <stp>現在値</stp>
        <tr r="C296" s="11"/>
      </tp>
      <tp>
        <v>4320</v>
        <stp/>
        <stp>Market</stp>
        <stp>STOCK</stp>
        <stp>70140.T</stp>
        <stp>現在値</stp>
        <tr r="C256" s="11"/>
      </tp>
      <tp>
        <v>3979</v>
        <stp/>
        <stp>Market</stp>
        <stp>STOCK</stp>
        <stp>70110.T</stp>
        <stp>現在値</stp>
        <tr r="E77" s="4"/>
        <tr r="C207" s="11"/>
        <tr r="E197" s="5"/>
      </tp>
      <tp>
        <v>2742.5</v>
        <stp/>
        <stp>Market</stp>
        <stp>STOCK</stp>
        <stp>70130.T</stp>
        <stp>現在値</stp>
        <tr r="C231" s="11"/>
      </tp>
      <tp>
        <v>2050</v>
        <stp/>
        <stp>Market</stp>
        <stp>STOCK</stp>
        <stp>70210.T</stp>
        <stp>現在値</stp>
        <tr r="E76" s="5"/>
        <tr r="C106" s="11"/>
        <tr r="E76" s="4"/>
      </tp>
      <tp>
        <v>1161</v>
        <stp/>
        <stp>Market</stp>
        <stp>STOCK</stp>
        <stp>73750.T</stp>
        <stp>現在値</stp>
        <tr r="E190" s="5"/>
        <tr r="C149" s="11"/>
        <tr r="H21" s="16"/>
        <tr r="E71" s="4"/>
      </tp>
      <tp>
        <v>1154</v>
        <stp/>
        <stp>Market</stp>
        <stp>STOCK</stp>
        <stp>73810.T</stp>
        <stp>現在値</stp>
        <tr r="E70" s="4"/>
        <tr r="E63" s="5"/>
        <tr r="C152" s="11"/>
      </tp>
      <tp>
        <v>2466.5</v>
        <stp/>
        <stp>Market</stp>
        <stp>STOCK</stp>
        <stp>72700.T</stp>
        <stp>現在値</stp>
        <tr r="C286" s="11"/>
      </tp>
      <tp>
        <v>2913.5</v>
        <stp/>
        <stp>Market</stp>
        <stp>STOCK</stp>
        <stp>72030.T</stp>
        <stp>現在値</stp>
        <tr r="E73" s="4"/>
        <tr r="E73" s="5"/>
        <tr r="C77" s="11"/>
      </tp>
      <tp>
        <v>1523</v>
        <stp/>
        <stp>Market</stp>
        <stp>STOCK</stp>
        <stp>72360.T</stp>
        <stp>現在値</stp>
        <tr r="E72" s="4"/>
        <tr r="E137" s="5"/>
        <tr r="C177" s="11"/>
      </tp>
      <tp>
        <v>879</v>
        <stp/>
        <stp>Market</stp>
        <stp>STOCK</stp>
        <stp>75320.T</stp>
        <stp>現在値</stp>
        <tr r="C305" s="11"/>
      </tp>
      <tp>
        <v>1415</v>
        <stp/>
        <stp>Market</stp>
        <stp>STOCK</stp>
        <stp>74140.T</stp>
        <stp>現在値</stp>
        <tr r="C294" s="11"/>
      </tp>
      <tp>
        <v>747</v>
        <stp/>
        <stp>Market</stp>
        <stp>STOCK</stp>
        <stp>77460.T</stp>
        <stp>現在値</stp>
        <tr r="E67" s="4"/>
        <tr r="H8" s="16"/>
        <tr r="E144" s="5"/>
        <tr r="C93" s="11"/>
      </tp>
      <tp>
        <v>25970</v>
        <stp/>
        <stp>Market</stp>
        <stp>STOCK</stp>
        <stp>77410.T</stp>
        <stp>現在値</stp>
        <tr r="C302" s="11"/>
      </tp>
      <tp>
        <v>4610</v>
        <stp/>
        <stp>Market</stp>
        <stp>STOCK</stp>
        <stp>77110.T</stp>
        <stp>現在値</stp>
        <tr r="C268" s="11"/>
        <tr r="H16" s="16"/>
      </tp>
      <tp>
        <v>18900</v>
        <stp/>
        <stp>Market</stp>
        <stp>STOCK</stp>
        <stp>77290.T</stp>
        <stp>現在値</stp>
        <tr r="E68" s="4"/>
        <tr r="E18" s="5"/>
        <tr r="C107" s="11"/>
      </tp>
      <tp>
        <v>13750</v>
        <stp/>
        <stp>Market</stp>
        <stp>STOCK</stp>
        <stp>77350.T</stp>
        <stp>現在値</stp>
        <tr r="C283" s="11"/>
      </tp>
      <tp>
        <v>899</v>
        <stp/>
        <stp>Market</stp>
        <stp>STOCK</stp>
        <stp>77940.T</stp>
        <stp>現在値</stp>
        <tr r="E66" s="4"/>
        <tr r="C136" s="11"/>
        <tr r="E80" s="5"/>
      </tp>
      <tp>
        <v>4260</v>
        <stp/>
        <stp>Market</stp>
        <stp>STOCK</stp>
        <stp>76090.T</stp>
        <stp>現在値</stp>
        <tr r="C240" s="11"/>
      </tp>
      <tp>
        <v>3130</v>
        <stp/>
        <stp>Market</stp>
        <stp>STOCK</stp>
        <stp>76850.T</stp>
        <stp>現在値</stp>
        <tr r="E69" s="4"/>
        <tr r="E148" s="5"/>
        <tr r="C121" s="11"/>
      </tp>
      <tp>
        <v>3585</v>
        <stp/>
        <stp>Market</stp>
        <stp>STOCK</stp>
        <stp>79520.T</stp>
        <stp>現在値</stp>
        <tr r="C276" s="11"/>
        <tr r="H35" s="16"/>
      </tp>
      <tp>
        <v>2884</v>
        <stp/>
        <stp>Market</stp>
        <stp>STOCK</stp>
        <stp>79720.T</stp>
        <stp>現在値</stp>
        <tr r="C241" s="11"/>
      </tp>
      <tp>
        <v>3005</v>
        <stp/>
        <stp>Market</stp>
        <stp>STOCK</stp>
        <stp>79810.T</stp>
        <stp>現在値</stp>
        <tr r="E63" s="4"/>
        <tr r="H14" s="16"/>
        <tr r="C171" s="11"/>
        <tr r="H31" s="16"/>
        <tr r="H23" s="16"/>
        <tr r="E116" s="5"/>
      </tp>
      <tp>
        <v>1770.5</v>
        <stp/>
        <stp>Market</stp>
        <stp>STOCK</stp>
        <stp>78460.T</stp>
        <stp>現在値</stp>
        <tr r="E64" s="4"/>
        <tr r="C75" s="11"/>
        <tr r="E202" s="5"/>
      </tp>
      <tp>
        <v>7650</v>
        <stp/>
        <stp>Market</stp>
        <stp>STOCK</stp>
        <stp>78060.T</stp>
        <stp>現在値</stp>
        <tr r="E65" s="4"/>
        <tr r="E55" s="5"/>
        <tr r="C73" s="11"/>
      </tp>
      <tp t="s">
        <v/>
        <stp/>
        <stp>Market</stp>
        <stp>STOCK</stp>
        <stp/>
        <stp>前日終値</stp>
        <tr r="C32" s="14"/>
        <tr r="C32" s="14"/>
        <tr r="C32" s="14"/>
      </tp>
      <tp>
        <v>3245</v>
        <stp/>
        <stp>Market</stp>
        <stp>STOCK</stp>
        <stp>19380.T</stp>
        <stp>年初来高値</stp>
        <tr r="K200" s="4"/>
        <tr r="K117" s="5"/>
      </tp>
      <tp>
        <v>1943</v>
        <stp/>
        <stp>Market</stp>
        <stp>STOCK</stp>
        <stp>59380.T</stp>
        <stp>年初来高値</stp>
        <tr r="K118" s="4"/>
        <tr r="K93" s="5"/>
      </tp>
      <tp>
        <v>9317</v>
        <stp/>
        <stp>Market</stp>
        <stp>STOCK</stp>
        <stp>58380.T</stp>
        <stp>年初来高値</stp>
        <tr r="K147" s="5"/>
        <tr r="K124" s="4"/>
      </tp>
      <tp>
        <v>2496</v>
        <stp/>
        <stp>Market</stp>
        <stp>STOCK</stp>
        <stp>68380.T</stp>
        <stp>年初来高値</stp>
        <tr r="K6" s="5"/>
        <tr r="K85" s="4"/>
      </tp>
      <tp>
        <v>5939</v>
        <stp/>
        <stp>Market</stp>
        <stp>STOCK</stp>
        <stp>34360.T</stp>
        <stp>年初来高値</stp>
        <tr r="K4" s="5"/>
        <tr r="K181" s="4"/>
      </tp>
      <tp>
        <v>2254</v>
        <stp/>
        <stp>Market</stp>
        <stp>STOCK</stp>
        <stp>45360.T</stp>
        <stp>年初来高値</stp>
        <tr r="K125" s="5"/>
        <tr r="K158" s="4"/>
      </tp>
      <tp>
        <v>4310</v>
        <stp/>
        <stp>Market</stp>
        <stp>STOCK</stp>
        <stp>64360.T</stp>
        <stp>年初来高値</stp>
        <tr r="K102" s="4"/>
        <tr r="K155" s="5"/>
      </tp>
      <tp>
        <v>1596</v>
        <stp/>
        <stp>Market</stp>
        <stp>STOCK</stp>
        <stp>72360.T</stp>
        <stp>年初来高値</stp>
        <tr r="K137" s="5"/>
        <tr r="K72" s="4"/>
      </tp>
      <tp>
        <v>2634</v>
        <stp/>
        <stp>Market</stp>
        <stp>STOCK</stp>
        <stp>95360.T</stp>
        <stp>年初来高値</stp>
        <tr r="K13" s="4"/>
        <tr r="K160" s="5"/>
      </tp>
      <tp>
        <v>8943</v>
        <stp/>
        <stp>Market</stp>
        <stp>STOCK</stp>
        <stp>61340.T</stp>
        <stp>年初来高値</stp>
        <tr r="K114" s="4"/>
        <tr r="K25" s="5"/>
      </tp>
      <tp>
        <v>2661</v>
        <stp/>
        <stp>Market</stp>
        <stp>STOCK</stp>
        <stp>83340.T</stp>
        <stp>年初来高値</stp>
        <tr r="K204" s="5"/>
        <tr r="K49" s="4"/>
      </tp>
      <tp>
        <v>2885</v>
        <stp/>
        <stp>Market</stp>
        <stp>STOCK</stp>
        <stp>89340.T</stp>
        <stp>年初来高値</stp>
        <tr r="K31" s="4"/>
        <tr r="K149" s="5"/>
      </tp>
      <tp>
        <v>81260</v>
        <stp/>
        <stp>Market</stp>
        <stp>STOCK</stp>
        <stp>80350.T</stp>
        <stp>年初来高値</stp>
        <tr r="K35" s="5"/>
        <tr r="K60" s="4"/>
      </tp>
      <tp>
        <v>9500</v>
        <stp/>
        <stp>Market</stp>
        <stp>STOCK</stp>
        <stp>53320.T</stp>
        <stp>年初来高値</stp>
        <tr r="K12" s="5"/>
        <tr r="K142" s="4"/>
      </tp>
      <tp>
        <v>4130</v>
        <stp/>
        <stp>Market</stp>
        <stp>STOCK</stp>
        <stp>62320.T</stp>
        <stp>年初来高値</stp>
        <tr r="K28" s="5"/>
        <tr r="K109" s="4"/>
      </tp>
      <tp>
        <v>6828</v>
        <stp/>
        <stp>Market</stp>
        <stp>STOCK</stp>
        <stp>95320.T</stp>
        <stp>年初来高値</stp>
        <tr r="K14" s="4"/>
        <tr r="K79" s="5"/>
      </tp>
      <tp>
        <v>7490</v>
        <stp/>
        <stp>Market</stp>
        <stp>STOCK</stp>
        <stp>18330.T</stp>
        <stp>年初来高値</stp>
        <tr r="K180" s="5"/>
        <tr r="K203" s="4"/>
      </tp>
      <tp>
        <v>8611</v>
        <stp/>
        <stp>Market</stp>
        <stp>STOCK</stp>
        <stp>47330.T</stp>
        <stp>年初来高値</stp>
        <tr r="K153" s="4"/>
        <tr r="K133" s="5"/>
      </tp>
      <tp>
        <v>7894</v>
        <stp/>
        <stp>Market</stp>
        <stp>STOCK</stp>
        <stp>53330.T</stp>
        <stp>年初来高値</stp>
        <tr r="K37" s="5"/>
        <tr r="K141" s="4"/>
      </tp>
      <tp>
        <v>4968</v>
        <stp/>
        <stp>Market</stp>
        <stp>STOCK</stp>
        <stp>52330.T</stp>
        <stp>年初来高値</stp>
        <tr r="K144" s="4"/>
        <tr r="K170" s="5"/>
      </tp>
      <tp>
        <v>2877</v>
        <stp/>
        <stp>Market</stp>
        <stp>STOCK</stp>
        <stp>97330.T</stp>
        <stp>年初来高値</stp>
        <tr r="K10" s="4"/>
        <tr r="K153" s="5"/>
      </tp>
      <tp>
        <v>1821</v>
        <stp/>
        <stp>Market</stp>
        <stp>STOCK</stp>
        <stp>19300.T</stp>
        <stp>年初来高値</stp>
        <tr r="K83" s="5"/>
        <tr r="K201" s="4"/>
      </tp>
      <tp>
        <v>8760</v>
        <stp/>
        <stp>Market</stp>
        <stp>STOCK</stp>
        <stp>63300.T</stp>
        <stp>年初来高値</stp>
        <tr r="K186" s="5"/>
        <tr r="K104" s="4"/>
      </tp>
      <tp>
        <v>7413</v>
        <stp/>
        <stp>Market</stp>
        <stp>STOCK</stp>
        <stp>86300.T</stp>
        <stp>年初来高値</stp>
        <tr r="K176" s="5"/>
        <tr r="K39" s="4"/>
      </tp>
      <tp>
        <v>7967</v>
        <stp/>
        <stp>Market</stp>
        <stp>STOCK</stp>
        <stp>95310.T</stp>
        <stp>年初来高値</stp>
        <tr r="K15" s="4"/>
        <tr r="K203" s="5"/>
      </tp>
    </main>
    <main first="rtdsrv.e07a56084d7946cdb07ca2177ccd3d26">
      <tp t="s">
        <v>ＧＭＯインターネットグループ</v>
        <stp/>
        <stp>Market</stp>
        <stp>STOCK</stp>
        <stp>94490.T</stp>
        <stp>銘柄名称</stp>
        <tr r="C113" s="1"/>
      </tp>
      <tp t="s">
        <v>大阪製鐵</v>
        <stp/>
        <stp>Market</stp>
        <stp>STOCK</stp>
        <stp>54490.T</stp>
        <stp>銘柄名称</stp>
        <tr r="C51" s="1"/>
      </tp>
      <tp t="s">
        <v>共英製鋼</v>
        <stp/>
        <stp>Market</stp>
        <stp>STOCK</stp>
        <stp>54400.T</stp>
        <stp>銘柄名称</stp>
        <tr r="C180" s="1"/>
      </tp>
      <tp t="s">
        <v>ミネベアミツミ</v>
        <stp/>
        <stp>Market</stp>
        <stp>STOCK</stp>
        <stp>64790.T</stp>
        <stp>銘柄名称</stp>
        <tr r="C79" s="1"/>
      </tp>
      <tp t="s">
        <v>東レ</v>
        <stp/>
        <stp>Market</stp>
        <stp>STOCK</stp>
        <stp>34020.T</stp>
        <stp>銘柄名称</stp>
        <tr r="C44" s="1"/>
      </tp>
      <tp t="s">
        <v>日本製鉄</v>
        <stp/>
        <stp>Market</stp>
        <stp>STOCK</stp>
        <stp>54010.T</stp>
        <stp>銘柄名称</stp>
        <tr r="C46" s="1"/>
      </tp>
      <tp t="s">
        <v>帝人</v>
        <stp/>
        <stp>Market</stp>
        <stp>STOCK</stp>
        <stp>34010.T</stp>
        <stp>銘柄名称</stp>
        <tr r="C27"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神戸製鋼所</v>
        <stp/>
        <stp>Market</stp>
        <stp>STOCK</stp>
        <stp>54060.T</stp>
        <stp>銘柄名称</stp>
        <tr r="C38" s="1"/>
      </tp>
      <tp t="s">
        <v>日本テレビＨＬＤＳ</v>
        <stp/>
        <stp>Market</stp>
        <stp>STOCK</stp>
        <stp>94040.T</stp>
        <stp>銘柄名称</stp>
        <tr r="C119" s="1"/>
      </tp>
      <tp t="s">
        <v>スカパーＪＳＡＴ</v>
        <stp/>
        <stp>Market</stp>
        <stp>STOCK</stp>
        <stp>94120.T</stp>
        <stp>銘柄名称</stp>
        <tr r="C56" s="1"/>
      </tp>
      <tp t="s">
        <v>みずほフィナンシャルＧ</v>
        <stp/>
        <stp>Market</stp>
        <stp>STOCK</stp>
        <stp>84110.T</stp>
        <stp>銘柄名称</stp>
        <tr r="C19" s="1"/>
      </tp>
      <tp t="s">
        <v>ＪＦＥホールディングス</v>
        <stp/>
        <stp>Market</stp>
        <stp>STOCK</stp>
        <stp>54110.T</stp>
        <stp>銘柄名称</stp>
        <tr r="C84" s="1"/>
      </tp>
      <tp t="s">
        <v>合同製鐵</v>
        <stp/>
        <stp>Market</stp>
        <stp>STOCK</stp>
        <stp>54100.T</stp>
        <stp>銘柄名称</stp>
        <tr r="C179" s="1"/>
      </tp>
      <tp t="s">
        <v>グローバルセキュ</v>
        <stp/>
        <stp>Market</stp>
        <stp>STOCK</stp>
        <stp>44170.T</stp>
        <stp>銘柄名称</stp>
        <tr r="C153" s="1"/>
      </tp>
      <tp t="s">
        <v>ビジョン</v>
        <stp/>
        <stp>Market</stp>
        <stp>STOCK</stp>
        <stp>94160.T</stp>
        <stp>銘柄名称</stp>
        <tr r="C126" s="1"/>
      </tp>
      <tp t="s">
        <v>小野建</v>
        <stp/>
        <stp>Market</stp>
        <stp>STOCK</stp>
        <stp>74140.T</stp>
        <stp>銘柄名称</stp>
        <tr r="C294" s="1"/>
      </tp>
      <tp t="s">
        <v>トライアルホールディングス</v>
        <stp/>
        <stp>Market</stp>
        <stp>STOCK</stp>
        <stp>141A0.T</stp>
        <stp>銘柄名称</stp>
        <tr r="C219" s="1"/>
      </tp>
      <tp t="s">
        <v>東京製鐵</v>
        <stp/>
        <stp>Market</stp>
        <stp>STOCK</stp>
        <stp>54230.T</stp>
        <stp>銘柄名称</stp>
        <tr r="C7" s="1"/>
      </tp>
      <tp t="s">
        <v>ＶＡＬＵＥＮＥＸ</v>
        <stp/>
        <stp>Market</stp>
        <stp>STOCK</stp>
        <stp>44220.T</stp>
        <stp>銘柄名称</stp>
        <tr r="C139" s="1"/>
      </tp>
      <tp t="s">
        <v>日本通信</v>
        <stp/>
        <stp>Market</stp>
        <stp>STOCK</stp>
        <stp>94240.T</stp>
        <stp>銘柄名称</stp>
        <tr r="C70" s="1"/>
      </tp>
      <tp t="s">
        <v>芙蓉総合リース</v>
        <stp/>
        <stp>Market</stp>
        <stp>STOCK</stp>
        <stp>84240.T</stp>
        <stp>銘柄名称</stp>
        <tr r="C108" s="1"/>
        <tr r="D19" s="16"/>
      </tp>
      <tp t="s">
        <v>アマノ</v>
        <stp/>
        <stp>Market</stp>
        <stp>STOCK</stp>
        <stp>64360.T</stp>
        <stp>銘柄名称</stp>
        <tr r="C178" s="1"/>
        <tr r="D10" s="16"/>
        <tr r="D44" s="16"/>
      </tp>
      <tp t="s">
        <v>ＳＵＭＣＯ</v>
        <stp/>
        <stp>Market</stp>
        <stp>STOCK</stp>
        <stp>34360.T</stp>
        <stp>銘柄名称</stp>
        <tr r="C28" s="1"/>
      </tp>
      <tp t="s">
        <v>ヨシタケ</v>
        <stp/>
        <stp>Market</stp>
        <stp>STOCK</stp>
        <stp>64880.T</stp>
        <stp>銘柄名称</stp>
        <tr r="C280" s="1"/>
        <tr r="D34" s="16"/>
      </tp>
      <tp t="s">
        <v>ＹＵＳＨＩＮ</v>
        <stp/>
        <stp>Market</stp>
        <stp>STOCK</stp>
        <stp>64820.T</stp>
        <stp>銘柄名称</stp>
        <tr r="C290" s="1"/>
      </tp>
      <tp t="s">
        <v>前澤給装工業</v>
        <stp/>
        <stp>Market</stp>
        <stp>STOCK</stp>
        <stp>64850.T</stp>
        <stp>銘柄名称</stp>
        <tr r="C191" s="1"/>
      </tp>
      <tp>
        <v>63950</v>
        <stp/>
        <stp>Market</stp>
        <stp>STOCK</stp>
        <stp>61460.T</stp>
        <stp>現在値</stp>
        <tr r="E113" s="4"/>
        <tr r="C197" s="11"/>
        <tr r="E120" s="5"/>
        <tr r="H7" s="16"/>
      </tp>
      <tp>
        <v>1213</v>
        <stp/>
        <stp>Market</stp>
        <stp>STOCK</stp>
        <stp>61400.T</stp>
        <stp>現在値</stp>
        <tr r="C261" s="11"/>
      </tp>
      <tp>
        <v>2347</v>
        <stp/>
        <stp>Market</stp>
        <stp>STOCK</stp>
        <stp>61780.T</stp>
        <stp>現在値</stp>
        <tr r="E59" s="5"/>
        <tr r="C104" s="11"/>
        <tr r="E112" s="4"/>
        <tr r="H4" s="16"/>
      </tp>
      <tp>
        <v>15180</v>
        <stp/>
        <stp>Market</stp>
        <stp>STOCK</stp>
        <stp>61350.T</stp>
        <stp>現在値</stp>
        <tr r="C223" s="11"/>
      </tp>
      <tp>
        <v>8426</v>
        <stp/>
        <stp>Market</stp>
        <stp>STOCK</stp>
        <stp>61340.T</stp>
        <stp>現在値</stp>
        <tr r="E114" s="4"/>
        <tr r="C92" s="11"/>
        <tr r="E25" s="5"/>
      </tp>
      <tp>
        <v>2437</v>
        <stp/>
        <stp>Market</stp>
        <stp>STOCK</stp>
        <stp>60550.T</stp>
        <stp>現在値</stp>
        <tr r="C224" s="11"/>
      </tp>
      <tp>
        <v>2364</v>
        <stp/>
        <stp>Market</stp>
        <stp>STOCK</stp>
        <stp>60270.T</stp>
        <stp>現在値</stp>
        <tr r="E116" s="4"/>
        <tr r="E98" s="5"/>
        <tr r="C72" s="11"/>
        <tr r="H45" s="16"/>
      </tp>
      <tp>
        <v>77</v>
        <stp/>
        <stp>Market</stp>
        <stp>STOCK</stp>
        <stp>60850.T</stp>
        <stp>現在値</stp>
        <tr r="E150" s="5"/>
        <tr r="E115" s="4"/>
        <tr r="C137" s="11"/>
      </tp>
      <tp>
        <v>12680</v>
        <stp/>
        <stp>Market</stp>
        <stp>STOCK</stp>
        <stp>60980.T</stp>
        <stp>現在値</stp>
        <tr r="C248" s="11"/>
      </tp>
      <tp>
        <v>1379</v>
        <stp/>
        <stp>Market</stp>
        <stp>STOCK</stp>
        <stp>63560.T</stp>
        <stp>現在値</stp>
        <tr r="C267" s="11"/>
      </tp>
      <tp>
        <v>705</v>
        <stp/>
        <stp>Market</stp>
        <stp>STOCK</stp>
        <stp>63660.T</stp>
        <stp>現在値</stp>
        <tr r="C260" s="11"/>
      </tp>
      <tp>
        <v>6015</v>
        <stp/>
        <stp>Market</stp>
        <stp>STOCK</stp>
        <stp>63610.T</stp>
        <stp>現在値</stp>
        <tr r="C249" s="11"/>
      </tp>
      <tp>
        <v>4020</v>
        <stp/>
        <stp>Market</stp>
        <stp>STOCK</stp>
        <stp>63760.T</stp>
        <stp>現在値</stp>
        <tr r="C269" s="11"/>
      </tp>
      <tp>
        <v>9145</v>
        <stp/>
        <stp>Market</stp>
        <stp>STOCK</stp>
        <stp>63700.T</stp>
        <stp>現在値</stp>
        <tr r="C255" s="11"/>
      </tp>
      <tp>
        <v>5443</v>
        <stp/>
        <stp>Market</stp>
        <stp>STOCK</stp>
        <stp>63050.T</stp>
        <stp>現在値</stp>
        <tr r="E85" s="5"/>
        <tr r="C203" s="11"/>
        <tr r="E107" s="4"/>
      </tp>
      <tp>
        <v>7340</v>
        <stp/>
        <stp>Market</stp>
        <stp>STOCK</stp>
        <stp>63240.T</stp>
        <stp>現在値</stp>
        <tr r="C210" s="11"/>
      </tp>
      <tp>
        <v>3380</v>
        <stp/>
        <stp>Market</stp>
        <stp>STOCK</stp>
        <stp>63270.T</stp>
        <stp>現在値</stp>
        <tr r="E27" s="5"/>
        <tr r="E105" s="4"/>
        <tr r="C133" s="11"/>
        <tr r="H40" s="16"/>
      </tp>
      <tp>
        <v>4485</v>
        <stp/>
        <stp>Market</stp>
        <stp>STOCK</stp>
        <stp>63230.T</stp>
        <stp>現在値</stp>
        <tr r="E41" s="5"/>
        <tr r="E106" s="4"/>
        <tr r="C90" s="11"/>
      </tp>
      <tp>
        <v>3250</v>
        <stp/>
        <stp>Market</stp>
        <stp>STOCK</stp>
        <stp>63310.T</stp>
        <stp>現在値</stp>
        <tr r="C301" s="11"/>
      </tp>
      <tp>
        <v>2105</v>
        <stp/>
        <stp>Market</stp>
        <stp>STOCK</stp>
        <stp>63300.T</stp>
        <stp>現在値</stp>
        <tr r="E104" s="4"/>
        <tr r="E186" s="5"/>
        <tr r="C128" s="11"/>
      </tp>
      <tp>
        <v>9870</v>
        <stp/>
        <stp>Market</stp>
        <stp>STOCK</stp>
        <stp>63870.T</stp>
        <stp>現在値</stp>
        <tr r="E103" s="4"/>
        <tr r="E62" s="5"/>
        <tr r="H12" s="16"/>
        <tr r="C147" s="11"/>
      </tp>
      <tp>
        <v>4540</v>
        <stp/>
        <stp>Market</stp>
        <stp>STOCK</stp>
        <stp>62540.T</stp>
        <stp>現在値</stp>
        <tr r="E108" s="4"/>
        <tr r="E5" s="5"/>
        <tr r="C30" s="11"/>
      </tp>
      <tp>
        <v>75700</v>
        <stp/>
        <stp>Market</stp>
        <stp>STOCK</stp>
        <stp>62730.T</stp>
        <stp>現在値</stp>
        <tr r="C211" s="11"/>
      </tp>
      <tp>
        <v>1457</v>
        <stp/>
        <stp>Market</stp>
        <stp>STOCK</stp>
        <stp>62030.T</stp>
        <stp>現在値</stp>
        <tr r="E111" s="4"/>
        <tr r="C57" s="11"/>
        <tr r="E50" s="5"/>
      </tp>
      <tp>
        <v>7530</v>
        <stp/>
        <stp>Market</stp>
        <stp>STOCK</stp>
        <stp>62270.T</stp>
        <stp>現在値</stp>
        <tr r="E108" s="5"/>
        <tr r="E110" s="4"/>
        <tr r="C132" s="11"/>
      </tp>
      <tp>
        <v>1832</v>
        <stp/>
        <stp>Market</stp>
        <stp>STOCK</stp>
        <stp>62320.T</stp>
        <stp>現在値</stp>
        <tr r="E109" s="4"/>
        <tr r="E28" s="5"/>
        <tr r="C135" s="11"/>
      </tp>
      <tp>
        <v>14950</v>
        <stp/>
        <stp>Market</stp>
        <stp>STOCK</stp>
        <stp>65070.T</stp>
        <stp>現在値</stp>
        <tr r="C183" s="11"/>
        <tr r="E64" s="5"/>
        <tr r="E97" s="4"/>
      </tp>
      <tp>
        <v>5374</v>
        <stp/>
        <stp>Market</stp>
        <stp>STOCK</stp>
        <stp>65060.T</stp>
        <stp>現在値</stp>
        <tr r="E20" s="5"/>
        <tr r="E98" s="4"/>
        <tr r="C201" s="11"/>
      </tp>
      <tp>
        <v>5472</v>
        <stp/>
        <stp>Market</stp>
        <stp>STOCK</stp>
        <stp>65010.T</stp>
        <stp>現在値</stp>
        <tr r="E100" s="4"/>
        <tr r="E126" s="5"/>
        <tr r="C91" s="11"/>
      </tp>
      <tp>
        <v>5838</v>
        <stp/>
        <stp>Market</stp>
        <stp>STOCK</stp>
        <stp>65030.T</stp>
        <stp>現在値</stp>
        <tr r="E39" s="5"/>
        <tr r="C68" s="11"/>
        <tr r="E99" s="4"/>
      </tp>
      <tp>
        <v>6080</v>
        <stp/>
        <stp>Market</stp>
        <stp>STOCK</stp>
        <stp>65160.T</stp>
        <stp>現在値</stp>
        <tr r="C151" s="11"/>
        <tr r="E29" s="5"/>
        <tr r="E96" s="4"/>
      </tp>
      <tp>
        <v>3240</v>
        <stp/>
        <stp>Market</stp>
        <stp>STOCK</stp>
        <stp>65210.T</stp>
        <stp>現在値</stp>
        <tr r="C242" s="11"/>
      </tp>
      <tp>
        <v>1709</v>
        <stp/>
        <stp>Market</stp>
        <stp>STOCK</stp>
        <stp>65220.T</stp>
        <stp>現在値</stp>
        <tr r="E95" s="4"/>
        <tr r="E111" s="5"/>
        <tr r="H6" s="16"/>
        <tr r="C143" s="11"/>
      </tp>
      <tp>
        <v>4100</v>
        <stp/>
        <stp>Market</stp>
        <stp>STOCK</stp>
        <stp>64790.T</stp>
        <stp>現在値</stp>
        <tr r="E101" s="4"/>
        <tr r="C79" s="11"/>
        <tr r="E24" s="5"/>
      </tp>
      <tp>
        <v>6690</v>
        <stp/>
        <stp>Market</stp>
        <stp>STOCK</stp>
        <stp>64070.T</stp>
        <stp>現在値</stp>
        <tr r="C295" s="11"/>
      </tp>
      <tp>
        <v>3860</v>
        <stp/>
        <stp>Market</stp>
        <stp>STOCK</stp>
        <stp>64360.T</stp>
        <stp>現在値</stp>
        <tr r="C178" s="11"/>
        <tr r="E102" s="4"/>
        <tr r="E155" s="5"/>
        <tr r="H10" s="16"/>
        <tr r="H44" s="16"/>
      </tp>
      <tp>
        <v>988</v>
        <stp/>
        <stp>Market</stp>
        <stp>STOCK</stp>
        <stp>64880.T</stp>
        <stp>現在値</stp>
        <tr r="C280" s="11"/>
        <tr r="H34" s="16"/>
      </tp>
      <tp>
        <v>1576</v>
        <stp/>
        <stp>Market</stp>
        <stp>STOCK</stp>
        <stp>64850.T</stp>
        <stp>現在値</stp>
        <tr r="E6" s="4"/>
        <tr r="E194" s="5"/>
        <tr r="C191" s="11"/>
      </tp>
      <tp>
        <v>683</v>
        <stp/>
        <stp>Market</stp>
        <stp>STOCK</stp>
        <stp>64820.T</stp>
        <stp>現在値</stp>
        <tr r="C290" s="11"/>
      </tp>
      <tp>
        <v>4605</v>
        <stp/>
        <stp>Market</stp>
        <stp>STOCK</stp>
        <stp>67440.T</stp>
        <stp>現在値</stp>
        <tr r="E106" s="5"/>
        <tr r="E91" s="4"/>
        <tr r="C120" s="11"/>
      </tp>
      <tp>
        <v>47</v>
        <stp/>
        <stp>Market</stp>
        <stp>STOCK</stp>
        <stp>67400.T</stp>
        <stp>現在値</stp>
        <tr r="E189" s="5"/>
        <tr r="E92" s="4"/>
        <tr r="C140" s="11"/>
      </tp>
      <tp>
        <v>3545</v>
        <stp/>
        <stp>Market</stp>
        <stp>STOCK</stp>
        <stp>67580.T</stp>
        <stp>現在値</stp>
        <tr r="E86" s="5"/>
        <tr r="E88" s="4"/>
        <tr r="C205" s="11"/>
      </tp>
      <tp>
        <v>3844</v>
        <stp/>
        <stp>Market</stp>
        <stp>STOCK</stp>
        <stp>67540.T</stp>
        <stp>現在値</stp>
        <tr r="E31" s="5"/>
        <tr r="E89" s="4"/>
        <tr r="C155" s="11"/>
      </tp>
      <tp>
        <v>622.29999999999995</v>
        <stp/>
        <stp>Market</stp>
        <stp>STOCK</stp>
        <stp>67530.T</stp>
        <stp>現在値</stp>
        <tr r="E90" s="4"/>
        <tr r="C188" s="11"/>
        <tr r="E162" s="5"/>
      </tp>
      <tp>
        <v>4446</v>
        <stp/>
        <stp>Market</stp>
        <stp>STOCK</stp>
        <stp>67520.T</stp>
        <stp>現在値</stp>
        <tr r="C215" s="11"/>
      </tp>
      <tp>
        <v>3170</v>
        <stp/>
        <stp>Market</stp>
        <stp>STOCK</stp>
        <stp>67620.T</stp>
        <stp>現在値</stp>
        <tr r="C234" s="11"/>
      </tp>
      <tp>
        <v>21400</v>
        <stp/>
        <stp>Market</stp>
        <stp>STOCK</stp>
        <stp>67770.T</stp>
        <stp>現在値</stp>
        <tr r="E87" s="4"/>
        <tr r="C144" s="11"/>
        <tr r="E130" s="5"/>
      </tp>
      <tp>
        <v>3195</v>
        <stp/>
        <stp>Market</stp>
        <stp>STOCK</stp>
        <stp>67060.T</stp>
        <stp>現在値</stp>
        <tr r="C291" s="11"/>
      </tp>
      <tp>
        <v>4664</v>
        <stp/>
        <stp>Market</stp>
        <stp>STOCK</stp>
        <stp>67010.T</stp>
        <stp>現在値</stp>
        <tr r="E139" s="5"/>
        <tr r="E93" s="4"/>
        <tr r="C11" s="11"/>
      </tp>
      <tp>
        <v>11190</v>
        <stp/>
        <stp>Market</stp>
        <stp>STOCK</stp>
        <stp>67360.T</stp>
        <stp>現在値</stp>
        <tr r="C287" s="11"/>
      </tp>
      <tp>
        <v>24720</v>
        <stp/>
        <stp>Market</stp>
        <stp>STOCK</stp>
        <stp>67870.T</stp>
        <stp>現在値</stp>
        <tr r="E86" s="4"/>
        <tr r="C145" s="11"/>
        <tr r="E10" s="5"/>
      </tp>
      <tp>
        <v>5980</v>
        <stp/>
        <stp>Market</stp>
        <stp>STOCK</stp>
        <stp>66740.T</stp>
        <stp>現在値</stp>
        <tr r="C264" s="11"/>
      </tp>
      <tp>
        <v>1763</v>
        <stp/>
        <stp>Market</stp>
        <stp>STOCK</stp>
        <stp>66130.T</stp>
        <stp>現在値</stp>
        <tr r="E94" s="4"/>
        <tr r="E3" s="5"/>
        <tr r="C141" s="11"/>
      </tp>
      <tp>
        <v>15430</v>
        <stp/>
        <stp>Market</stp>
        <stp>STOCK</stp>
        <stp>66220.T</stp>
        <stp>現在値</stp>
        <tr r="C216" s="11"/>
        <tr r="H32" s="16"/>
        <tr r="H24" s="16"/>
      </tp>
      <tp>
        <v>400</v>
        <stp/>
        <stp>Market</stp>
        <stp>STOCK</stp>
        <stp>69550.T</stp>
        <stp>現在値</stp>
        <tr r="H17" s="16"/>
        <tr r="C265" s="11"/>
      </tp>
      <tp>
        <v>6472</v>
        <stp/>
        <stp>Market</stp>
        <stp>STOCK</stp>
        <stp>69540.T</stp>
        <stp>現在値</stp>
        <tr r="E79" s="4"/>
        <tr r="C78" s="11"/>
        <tr r="E16" s="5"/>
        <tr r="H46" s="16"/>
      </tp>
      <tp>
        <v>2553</v>
        <stp/>
        <stp>Market</stp>
        <stp>STOCK</stp>
        <stp>69650.T</stp>
        <stp>現在値</stp>
        <tr r="C300" s="11"/>
      </tp>
      <tp>
        <v>1912.5</v>
        <stp/>
        <stp>Market</stp>
        <stp>STOCK</stp>
        <stp>69020.T</stp>
        <stp>現在値</stp>
        <tr r="C244" s="11"/>
      </tp>
      <tp>
        <v>3345</v>
        <stp/>
        <stp>Market</stp>
        <stp>STOCK</stp>
        <stp>69180.T</stp>
        <stp>現在値</stp>
        <tr r="C279" s="11"/>
      </tp>
      <tp>
        <v>2669</v>
        <stp/>
        <stp>Market</stp>
        <stp>STOCK</stp>
        <stp>69280.T</stp>
        <stp>現在値</stp>
        <tr r="C246" s="11"/>
        <tr r="H33" s="16"/>
      </tp>
      <tp>
        <v>4336</v>
        <stp/>
        <stp>Market</stp>
        <stp>STOCK</stp>
        <stp>69250.T</stp>
        <stp>現在値</stp>
        <tr r="E42" s="5"/>
        <tr r="C105" s="11"/>
        <tr r="E80" s="4"/>
      </tp>
      <tp>
        <v>46420</v>
        <stp/>
        <stp>Market</stp>
        <stp>STOCK</stp>
        <stp>69200.T</stp>
        <stp>現在値</stp>
        <tr r="E81" s="4"/>
        <tr r="E84" s="5"/>
        <tr r="C199" s="11"/>
      </tp>
      <tp>
        <v>7873</v>
        <stp/>
        <stp>Market</stp>
        <stp>STOCK</stp>
        <stp>69810.T</stp>
        <stp>現在値</stp>
        <tr r="E78" s="4"/>
        <tr r="C154" s="11"/>
        <tr r="E30" s="5"/>
      </tp>
      <tp>
        <v>3545</v>
        <stp/>
        <stp>Market</stp>
        <stp>STOCK</stp>
        <stp>69970.T</stp>
        <stp>現在値</stp>
        <tr r="C272" s="11"/>
      </tp>
      <tp>
        <v>857</v>
        <stp/>
        <stp>Market</stp>
        <stp>STOCK</stp>
        <stp>68480.T</stp>
        <stp>現在値</stp>
        <tr r="C274" s="11"/>
      </tp>
      <tp>
        <v>5320</v>
        <stp/>
        <stp>Market</stp>
        <stp>STOCK</stp>
        <stp>68410.T</stp>
        <stp>現在値</stp>
        <tr r="E100" s="5"/>
        <tr r="E84" s="4"/>
        <tr r="C81" s="11"/>
      </tp>
      <tp>
        <v>33320</v>
        <stp/>
        <stp>Market</stp>
        <stp>STOCK</stp>
        <stp>68570.T</stp>
        <stp>現在値</stp>
        <tr r="E113" s="5"/>
        <tr r="E83" s="4"/>
        <tr r="C158" s="11"/>
      </tp>
      <tp>
        <v>87040</v>
        <stp/>
        <stp>Market</stp>
        <stp>STOCK</stp>
        <stp>68610.T</stp>
        <stp>現在値</stp>
        <tr r="C209" s="11"/>
      </tp>
      <tp>
        <v>2338</v>
        <stp/>
        <stp>Market</stp>
        <stp>STOCK</stp>
        <stp>68620.T</stp>
        <stp>現在値</stp>
        <tr r="C225" s="11"/>
        <tr r="H36" s="16"/>
      </tp>
      <tp>
        <v>1633</v>
        <stp/>
        <stp>Market</stp>
        <stp>STOCK</stp>
        <stp>68090.T</stp>
        <stp>現在値</stp>
        <tr r="C238" s="11"/>
      </tp>
      <tp>
        <v>1509</v>
        <stp/>
        <stp>Market</stp>
        <stp>STOCK</stp>
        <stp>68380.T</stp>
        <stp>現在値</stp>
        <tr r="E6" s="5"/>
        <tr r="E85" s="4"/>
        <tr r="C148" s="11"/>
      </tp>
      <tp>
        <v>9370</v>
        <stp/>
        <stp>Market</stp>
        <stp>STOCK</stp>
        <stp>68900.T</stp>
        <stp>現在値</stp>
        <tr r="E82" s="4"/>
        <tr r="E33" s="5"/>
        <tr r="C195" s="11"/>
      </tp>
      <tp>
        <v>2674.5</v>
        <stp/>
        <stp>Market</stp>
        <stp>STOCK</stp>
        <stp>45280.T</stp>
        <stp>年初来高値</stp>
        <tr r="K159" s="4"/>
        <tr r="K17" s="5"/>
      </tp>
      <tp>
        <v>4284</v>
        <stp/>
        <stp>Market</stp>
        <stp>STOCK</stp>
        <stp>59290.T</stp>
        <stp>年初来高値</stp>
        <tr r="K69" s="5"/>
        <tr r="K119" s="4"/>
      </tp>
      <tp>
        <v>21310</v>
        <stp/>
        <stp>Market</stp>
        <stp>STOCK</stp>
        <stp>77290.T</stp>
        <stp>年初来高値</stp>
        <tr r="K68" s="4"/>
        <tr r="K18" s="5"/>
      </tp>
      <tp>
        <v>4655</v>
        <stp/>
        <stp>Market</stp>
        <stp>STOCK</stp>
        <stp>23270.T</stp>
        <stp>年初来高値</stp>
        <tr r="K194" s="4"/>
        <tr r="K154" s="5"/>
      </tp>
      <tp>
        <v>763.7</v>
        <stp/>
        <stp>Market</stp>
        <stp>STOCK</stp>
        <stp>21270.T</stp>
        <stp>年初来高値</stp>
        <tr r="K161" s="5"/>
        <tr r="K196" s="4"/>
      </tp>
      <tp>
        <v>9480</v>
        <stp/>
        <stp>Market</stp>
        <stp>STOCK</stp>
        <stp>63270.T</stp>
        <stp>年初来高値</stp>
        <tr r="K27" s="5"/>
        <tr r="K105" s="4"/>
      </tp>
      <tp>
        <v>9190</v>
        <stp/>
        <stp>Market</stp>
        <stp>STOCK</stp>
        <stp>62270.T</stp>
        <stp>年初来高値</stp>
        <tr r="K108" s="5"/>
        <tr r="K110" s="4"/>
      </tp>
      <tp>
        <v>3490</v>
        <stp/>
        <stp>Market</stp>
        <stp>STOCK</stp>
        <stp>60270.T</stp>
        <stp>年初来高値</stp>
        <tr r="K98" s="5"/>
        <tr r="K116" s="4"/>
      </tp>
      <tp>
        <v>1620</v>
        <stp/>
        <stp>Market</stp>
        <stp>STOCK</stp>
        <stp>92270.T</stp>
        <stp>年初来高値</stp>
        <tr r="K25" s="4"/>
        <tr r="K146" s="5"/>
      </tp>
      <tp>
        <v>4664</v>
        <stp/>
        <stp>Market</stp>
        <stp>STOCK</stp>
        <stp>84240.T</stp>
        <stp>年初来高値</stp>
        <tr r="K46" s="4"/>
        <tr r="K185" s="5"/>
      </tp>
      <tp>
        <v>155</v>
        <stp/>
        <stp>Market</stp>
        <stp>STOCK</stp>
        <stp>94240.T</stp>
        <stp>年初来高値</stp>
        <tr r="K15" s="5"/>
        <tr r="K20" s="4"/>
      </tp>
      <tp>
        <v>5805</v>
        <stp/>
        <stp>Market</stp>
        <stp>STOCK</stp>
        <stp>19250.T</stp>
        <stp>年初来高値</stp>
        <tr r="K181" s="5"/>
        <tr r="K202" s="4"/>
      </tp>
      <tp>
        <v>5164</v>
        <stp/>
        <stp>Market</stp>
        <stp>STOCK</stp>
        <stp>69250.T</stp>
        <stp>年初来高値</stp>
        <tr r="K42" s="5"/>
        <tr r="K80" s="4"/>
      </tp>
      <tp>
        <v>5073</v>
        <stp/>
        <stp>Market</stp>
        <stp>STOCK</stp>
        <stp>87250.T</stp>
        <stp>年初来高値</stp>
        <tr r="K37" s="4"/>
        <tr r="K168" s="5"/>
      </tp>
      <tp>
        <v>1630</v>
        <stp/>
        <stp>Market</stp>
        <stp>STOCK</stp>
        <stp>44220.T</stp>
        <stp>年初来高値</stp>
        <tr r="K162" s="4"/>
        <tr r="K188" s="5"/>
      </tp>
      <tp>
        <v>2580</v>
        <stp/>
        <stp>Market</stp>
        <stp>STOCK</stp>
        <stp>65220.T</stp>
        <stp>年初来高値</stp>
        <tr r="K111" s="5"/>
        <tr r="K95" s="4"/>
      </tp>
      <tp>
        <v>4830</v>
        <stp/>
        <stp>Market</stp>
        <stp>STOCK</stp>
        <stp>90220.T</stp>
        <stp>年初来高値</stp>
        <tr r="K159" s="5"/>
        <tr r="K29" s="4"/>
      </tp>
      <tp>
        <v>5243</v>
        <stp/>
        <stp>Market</stp>
        <stp>STOCK</stp>
        <stp>45230.T</stp>
        <stp>年初来高値</stp>
        <tr r="K160" s="4"/>
        <tr r="K184" s="5"/>
      </tp>
      <tp>
        <v>1973</v>
        <stp/>
        <stp>Market</stp>
        <stp>STOCK</stp>
        <stp>54230.T</stp>
        <stp>年初来高値</stp>
        <tr r="K165" s="5"/>
        <tr r="K136" s="4"/>
      </tp>
      <tp>
        <v>5199</v>
        <stp/>
        <stp>Market</stp>
        <stp>STOCK</stp>
        <stp>63230.T</stp>
        <stp>年初来高値</stp>
        <tr r="K41" s="5"/>
        <tr r="K106" s="4"/>
      </tp>
      <tp>
        <v>1552.5</v>
        <stp/>
        <stp>Market</stp>
        <stp>STOCK</stp>
        <stp>50200.T</stp>
        <stp>年初来高値</stp>
        <tr r="K141" s="5"/>
        <tr r="K147" s="4"/>
      </tp>
      <tp>
        <v>58580</v>
        <stp/>
        <stp>Market</stp>
        <stp>STOCK</stp>
        <stp>69200.T</stp>
        <stp>年初来高値</stp>
        <tr r="K81" s="4"/>
        <tr r="K84" s="5"/>
      </tp>
      <tp>
        <v>4211</v>
        <stp/>
        <stp>Market</stp>
        <stp>STOCK</stp>
        <stp>90200.T</stp>
        <stp>年初来高値</stp>
        <tr r="K104" s="5"/>
        <tr r="K30" s="4"/>
      </tp>
      <tp>
        <v>5034</v>
        <stp/>
        <stp>Market</stp>
        <stp>STOCK</stp>
        <stp>50210.T</stp>
        <stp>年初来高値</stp>
        <tr r="K88" s="5"/>
        <tr r="K146" s="4"/>
      </tp>
      <tp>
        <v>2539</v>
        <stp/>
        <stp>Market</stp>
        <stp>STOCK</stp>
        <stp>70210.T</stp>
        <stp>年初来高値</stp>
        <tr r="K76" s="4"/>
        <tr r="K76" s="5"/>
      </tp>
      <tp t="s">
        <v/>
        <stp/>
        <stp>Market</stp>
        <stp>STOCK</stp>
        <stp>TOPX0.T</stp>
        <stp>高値</stp>
        <tr r="H3" s="4"/>
        <tr r="H36" s="5"/>
      </tp>
      <tp t="s">
        <v>ＨＯＹＡ</v>
        <stp/>
        <stp>Market</stp>
        <stp>STOCK</stp>
        <stp>77410.T</stp>
        <stp>銘柄名称</stp>
        <tr r="C302" s="1"/>
      </tp>
      <tp t="s">
        <v>ジャパンディスプレイ</v>
        <stp/>
        <stp>Market</stp>
        <stp>STOCK</stp>
        <stp>67400.T</stp>
        <stp>銘柄名称</stp>
        <tr r="C140" s="1"/>
      </tp>
      <tp t="s">
        <v>岡本硝子</v>
        <stp/>
        <stp>Market</stp>
        <stp>STOCK</stp>
        <stp>77460.T</stp>
        <stp>銘柄名称</stp>
        <tr r="C93" s="1"/>
        <tr r="D8" s="16"/>
      </tp>
      <tp t="s">
        <v>能美防災</v>
        <stp/>
        <stp>Market</stp>
        <stp>STOCK</stp>
        <stp>67440.T</stp>
        <stp>銘柄名称</stp>
        <tr r="C120" s="1"/>
      </tp>
      <tp t="s">
        <v>ソニーグループ</v>
        <stp/>
        <stp>Market</stp>
        <stp>STOCK</stp>
        <stp>67580.T</stp>
        <stp>銘柄名称</stp>
        <tr r="C205" s="1"/>
      </tp>
      <tp t="s">
        <v>シャープ</v>
        <stp/>
        <stp>Market</stp>
        <stp>STOCK</stp>
        <stp>67530.T</stp>
        <stp>銘柄名称</stp>
        <tr r="C188" s="1"/>
      </tp>
      <tp t="s">
        <v>パナソニックホールディンク</v>
        <stp/>
        <stp>Market</stp>
        <stp>STOCK</stp>
        <stp>67520.T</stp>
        <stp>銘柄名称</stp>
        <tr r="C215" s="1"/>
      </tp>
      <tp t="s">
        <v>第一ライフグループ</v>
        <stp/>
        <stp>Market</stp>
        <stp>STOCK</stp>
        <stp>87500.T</stp>
        <stp>銘柄名称</stp>
        <tr r="C43" s="1"/>
      </tp>
      <tp t="s">
        <v>アンリツ</v>
        <stp/>
        <stp>Market</stp>
        <stp>STOCK</stp>
        <stp>67540.T</stp>
        <stp>銘柄名称</stp>
        <tr r="C155" s="1"/>
      </tp>
      <tp t="s">
        <v>双日</v>
        <stp/>
        <stp>Market</stp>
        <stp>STOCK</stp>
        <stp>27680.T</stp>
        <stp>銘柄名称</stp>
        <tr r="C202" s="1"/>
      </tp>
      <tp t="s">
        <v>ＴＤＫ</v>
        <stp/>
        <stp>Market</stp>
        <stp>STOCK</stp>
        <stp>67620.T</stp>
        <stp>銘柄名称</stp>
        <tr r="C234" s="1"/>
      </tp>
      <tp t="s">
        <v>東京海上ＨＤ</v>
        <stp/>
        <stp>Market</stp>
        <stp>STOCK</stp>
        <stp>87660.T</stp>
        <stp>銘柄名称</stp>
        <tr r="C52" s="1"/>
      </tp>
      <tp t="s">
        <v>ＳＡＮＴＥＣＨＯＬＤＩＮＧＳ</v>
        <stp/>
        <stp>Market</stp>
        <stp>STOCK</stp>
        <stp>67770.T</stp>
        <stp>銘柄名称</stp>
        <tr r="C144" s="1"/>
      </tp>
      <tp t="s">
        <v>サイボウズ</v>
        <stp/>
        <stp>Market</stp>
        <stp>STOCK</stp>
        <stp>47760.T</stp>
        <stp>銘柄名称</stp>
        <tr r="C253" s="1"/>
      </tp>
      <tp t="s">
        <v>ＩＤホールディングス</v>
        <stp/>
        <stp>Market</stp>
        <stp>STOCK</stp>
        <stp>47090.T</stp>
        <stp>銘柄名称</stp>
        <tr r="C170" s="1"/>
      </tp>
      <tp t="s">
        <v>日本軽金属ＨＤ</v>
        <stp/>
        <stp>Market</stp>
        <stp>STOCK</stp>
        <stp>57030.T</stp>
        <stp>銘柄名称</stp>
        <tr r="C13" s="1"/>
      </tp>
      <tp t="s">
        <v>大紀アルミニウム</v>
        <stp/>
        <stp>Market</stp>
        <stp>STOCK</stp>
        <stp>57020.T</stp>
        <stp>銘柄名称</stp>
        <tr r="C275" s="1"/>
      </tp>
      <tp t="s">
        <v>日本マクドナルドＨＬＤＧ</v>
        <stp/>
        <stp>Market</stp>
        <stp>STOCK</stp>
        <stp>27020.T</stp>
        <stp>銘柄名称</stp>
        <tr r="C194"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トレイダーズＨＬＤＧＳ</v>
        <stp/>
        <stp>Market</stp>
        <stp>STOCK</stp>
        <stp>87040.T</stp>
        <stp>銘柄名称</stp>
        <tr r="C164" s="1"/>
      </tp>
      <tp t="s">
        <v>トレンドマイクロ</v>
        <stp/>
        <stp>Market</stp>
        <stp>STOCK</stp>
        <stp>47040.T</stp>
        <stp>銘柄名称</stp>
        <tr r="C254"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C268" s="1"/>
        <tr r="D16" s="16"/>
      </tp>
      <tp t="s">
        <v>ＤＯＷＡホールディングス</v>
        <stp/>
        <stp>Market</stp>
        <stp>STOCK</stp>
        <stp>57140.T</stp>
        <stp>銘柄名称</stp>
        <tr r="C10" s="1"/>
      </tp>
      <tp t="s">
        <v>東京精密</v>
        <stp/>
        <stp>Market</stp>
        <stp>STOCK</stp>
        <stp>77290.T</stp>
        <stp>銘柄名称</stp>
        <tr r="C107" s="1"/>
      </tp>
      <tp t="s">
        <v>ＭＳ＆ＡＤ</v>
        <stp/>
        <stp>Market</stp>
        <stp>STOCK</stp>
        <stp>87250.T</stp>
        <stp>銘柄名称</stp>
        <tr r="C22" s="1"/>
      </tp>
      <tp t="s">
        <v>ナガセ</v>
        <stp/>
        <stp>Market</stp>
        <stp>STOCK</stp>
        <stp>97330.T</stp>
        <stp>銘柄名称</stp>
        <tr r="C166" s="1"/>
      </tp>
      <tp t="s">
        <v>オービックビジネスＣ</v>
        <stp/>
        <stp>Market</stp>
        <stp>STOCK</stp>
        <stp>47330.T</stp>
        <stp>銘柄名称</stp>
        <tr r="C165" s="1"/>
      </tp>
      <tp t="s">
        <v>サン電子</v>
        <stp/>
        <stp>Market</stp>
        <stp>STOCK</stp>
        <stp>67360.T</stp>
        <stp>銘柄名称</stp>
        <tr r="C287" s="1"/>
      </tp>
      <tp t="s">
        <v>ＳＣＲＥＥＮホールディングス</v>
        <stp/>
        <stp>Market</stp>
        <stp>STOCK</stp>
        <stp>77350.T</stp>
        <stp>銘柄名称</stp>
        <tr r="C283"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Ｔ＆Ｄホールディングス</v>
        <stp/>
        <stp>Market</stp>
        <stp>STOCK</stp>
        <stp>87950.T</stp>
        <stp>銘柄名称</stp>
        <tr r="C23" s="1"/>
      </tp>
      <tp t="s">
        <v>イーディーピー</v>
        <stp/>
        <stp>Market</stp>
        <stp>STOCK</stp>
        <stp>77940.T</stp>
        <stp>銘柄名称</stp>
        <tr r="C136" s="1"/>
      </tp>
      <tp>
        <v>1239.5</v>
        <stp/>
        <stp>Market</stp>
        <stp>STOCK</stp>
        <stp>50190.T</stp>
        <stp>現在値</stp>
        <tr r="C24" s="11"/>
        <tr r="E140" s="5"/>
        <tr r="E148" s="4"/>
      </tp>
      <tp>
        <v>3762</v>
        <stp/>
        <stp>Market</stp>
        <stp>STOCK</stp>
        <stp>50210.T</stp>
        <stp>現在値</stp>
        <tr r="E88" s="5"/>
        <tr r="C15" s="11"/>
        <tr r="E146" s="4"/>
      </tp>
      <tp>
        <v>1283.5</v>
        <stp/>
        <stp>Market</stp>
        <stp>STOCK</stp>
        <stp>50200.T</stp>
        <stp>現在値</stp>
        <tr r="C29" s="11"/>
        <tr r="E141" s="5"/>
        <tr r="E147" s="4"/>
      </tp>
      <tp>
        <v>5895</v>
        <stp/>
        <stp>Market</stp>
        <stp>STOCK</stp>
        <stp>53330.T</stp>
        <stp>現在値</stp>
        <tr r="E141" s="4"/>
        <tr r="E37" s="5"/>
        <tr r="C17" s="11"/>
      </tp>
      <tp>
        <v>6584</v>
        <stp/>
        <stp>Market</stp>
        <stp>STOCK</stp>
        <stp>53320.T</stp>
        <stp>現在値</stp>
        <tr r="E142" s="4"/>
        <tr r="E12" s="5"/>
        <tr r="C21" s="11"/>
      </tp>
      <tp>
        <v>2269</v>
        <stp/>
        <stp>Market</stp>
        <stp>STOCK</stp>
        <stp>52430.T</stp>
        <stp>現在値</stp>
        <tr r="E138" s="5"/>
        <tr r="E143" s="4"/>
        <tr r="C193" s="11"/>
      </tp>
      <tp>
        <v>1527</v>
        <stp/>
        <stp>Market</stp>
        <stp>STOCK</stp>
        <stp>52530.T</stp>
        <stp>現在値</stp>
        <tr r="C258" s="11"/>
      </tp>
      <tp>
        <v>5781</v>
        <stp/>
        <stp>Market</stp>
        <stp>STOCK</stp>
        <stp>52010.T</stp>
        <stp>現在値</stp>
        <tr r="E145" s="4"/>
        <tr r="C53" s="11"/>
        <tr r="E175" s="5"/>
      </tp>
      <tp>
        <v>4076</v>
        <stp/>
        <stp>Market</stp>
        <stp>STOCK</stp>
        <stp>52330.T</stp>
        <stp>現在値</stp>
        <tr r="E144" s="4"/>
        <tr r="C34" s="11"/>
        <tr r="E170" s="5"/>
      </tp>
      <tp>
        <v>2529</v>
        <stp/>
        <stp>Market</stp>
        <stp>STOCK</stp>
        <stp>55410.T</stp>
        <stp>現在値</stp>
        <tr r="C20" s="11"/>
        <tr r="E133" s="4"/>
        <tr r="E90" s="5"/>
      </tp>
      <tp>
        <v>2722</v>
        <stp/>
        <stp>Market</stp>
        <stp>STOCK</stp>
        <stp>54490.T</stp>
        <stp>現在値</stp>
        <tr r="E134" s="4"/>
        <tr r="E97" s="5"/>
        <tr r="C51" s="11"/>
      </tp>
      <tp>
        <v>1860</v>
        <stp/>
        <stp>Market</stp>
        <stp>STOCK</stp>
        <stp>54400.T</stp>
        <stp>現在値</stp>
        <tr r="E156" s="5"/>
        <tr r="C180" s="11"/>
        <tr r="E135" s="4"/>
      </tp>
      <tp>
        <v>1937</v>
        <stp/>
        <stp>Market</stp>
        <stp>STOCK</stp>
        <stp>54060.T</stp>
        <stp>現在値</stp>
        <tr r="E95" s="5"/>
        <tr r="C38" s="11"/>
        <tr r="E139" s="4"/>
      </tp>
      <tp>
        <v>660</v>
        <stp/>
        <stp>Market</stp>
        <stp>STOCK</stp>
        <stp>54010.T</stp>
        <stp>現在値</stp>
        <tr r="E140" s="4"/>
        <tr r="C46" s="11"/>
        <tr r="E173" s="5"/>
      </tp>
      <tp>
        <v>1774</v>
        <stp/>
        <stp>Market</stp>
        <stp>STOCK</stp>
        <stp>54110.T</stp>
        <stp>現在値</stp>
        <tr r="E137" s="4"/>
        <tr r="E7" s="5"/>
        <tr r="C84" s="11"/>
      </tp>
      <tp>
        <v>2839</v>
        <stp/>
        <stp>Market</stp>
        <stp>STOCK</stp>
        <stp>54100.T</stp>
        <stp>現在値</stp>
        <tr r="C179" s="11"/>
        <tr r="E138" s="4"/>
        <tr r="E118" s="5"/>
      </tp>
      <tp>
        <v>1706</v>
        <stp/>
        <stp>Market</stp>
        <stp>STOCK</stp>
        <stp>54230.T</stp>
        <stp>現在値</stp>
        <tr r="E136" s="4"/>
        <tr r="E165" s="5"/>
        <tr r="C7" s="11"/>
      </tp>
      <tp>
        <v>35080</v>
        <stp/>
        <stp>Market</stp>
        <stp>STOCK</stp>
        <stp>57060.T</stp>
        <stp>現在値</stp>
        <tr r="C6" s="11"/>
        <tr r="E131" s="4"/>
        <tr r="E11" s="5"/>
      </tp>
      <tp>
        <v>2856</v>
        <stp/>
        <stp>Market</stp>
        <stp>STOCK</stp>
        <stp>57030.T</stp>
        <stp>現在値</stp>
        <tr r="E48" s="5"/>
        <tr r="E132" s="4"/>
        <tr r="C13" s="11"/>
      </tp>
      <tp>
        <v>1581</v>
        <stp/>
        <stp>Market</stp>
        <stp>STOCK</stp>
        <stp>57020.T</stp>
        <stp>現在値</stp>
        <tr r="C275" s="11"/>
      </tp>
      <tp>
        <v>8533</v>
        <stp/>
        <stp>Market</stp>
        <stp>STOCK</stp>
        <stp>57140.T</stp>
        <stp>現在値</stp>
        <tr r="E128" s="4"/>
        <tr r="E47" s="5"/>
        <tr r="C10" s="11"/>
      </tp>
      <tp>
        <v>4367</v>
        <stp/>
        <stp>Market</stp>
        <stp>STOCK</stp>
        <stp>57110.T</stp>
        <stp>現在値</stp>
        <tr r="E130" s="4"/>
        <tr r="C9" s="11"/>
        <tr r="E87" s="5"/>
      </tp>
      <tp>
        <v>8476</v>
        <stp/>
        <stp>Market</stp>
        <stp>STOCK</stp>
        <stp>57130.T</stp>
        <stp>現在値</stp>
        <tr r="E46" s="5"/>
        <tr r="E129" s="4"/>
        <tr r="C8" s="11"/>
        <tr r="H42" s="16"/>
      </tp>
      <tp>
        <v>7688</v>
        <stp/>
        <stp>Market</stp>
        <stp>STOCK</stp>
        <stp>56310.T</stp>
        <stp>現在値</stp>
        <tr r="C263" s="11"/>
      </tp>
      <tp>
        <v>2250</v>
        <stp/>
        <stp>Market</stp>
        <stp>STOCK</stp>
        <stp>56320.T</stp>
        <stp>現在値</stp>
        <tr r="C247" s="11"/>
      </tp>
      <tp>
        <v>3489</v>
        <stp/>
        <stp>Market</stp>
        <stp>STOCK</stp>
        <stp>59470.T</stp>
        <stp>現在値</stp>
        <tr r="E117" s="4"/>
        <tr r="E96" s="5"/>
        <tr r="C42" s="11"/>
      </tp>
      <tp>
        <v>4235</v>
        <stp/>
        <stp>Market</stp>
        <stp>STOCK</stp>
        <stp>59010.T</stp>
        <stp>現在値</stp>
        <tr r="E71" s="5"/>
        <tr r="E120" s="4"/>
        <tr r="C55" s="11"/>
      </tp>
      <tp>
        <v>3615</v>
        <stp/>
        <stp>Market</stp>
        <stp>STOCK</stp>
        <stp>59290.T</stp>
        <stp>現在値</stp>
        <tr r="E69" s="5"/>
        <tr r="E119" s="4"/>
        <tr r="C49" s="11"/>
      </tp>
      <tp>
        <v>1748</v>
        <stp/>
        <stp>Market</stp>
        <stp>STOCK</stp>
        <stp>59380.T</stp>
        <stp>現在値</stp>
        <tr r="C36" s="11"/>
        <tr r="E93" s="5"/>
        <tr r="E118" s="4"/>
      </tp>
      <tp>
        <v>4659</v>
        <stp/>
        <stp>Market</stp>
        <stp>STOCK</stp>
        <stp>58440.T</stp>
        <stp>現在値</stp>
        <tr r="E123" s="4"/>
        <tr r="E61" s="5"/>
        <tr r="C118" s="11"/>
      </tp>
      <tp>
        <v>3265</v>
        <stp/>
        <stp>Market</stp>
        <stp>STOCK</stp>
        <stp>58570.T</stp>
        <stp>現在値</stp>
        <tr r="E122" s="4"/>
        <tr r="E52" s="5"/>
        <tr r="C62" s="11"/>
      </tp>
      <tp>
        <v>3923</v>
        <stp/>
        <stp>Market</stp>
        <stp>STOCK</stp>
        <stp>58010.T</stp>
        <stp>現在値</stp>
        <tr r="C200" s="11"/>
        <tr r="E127" s="4"/>
        <tr r="E45" s="5"/>
      </tp>
      <tp>
        <v>5076</v>
        <stp/>
        <stp>Market</stp>
        <stp>STOCK</stp>
        <stp>58030.T</stp>
        <stp>現在値</stp>
        <tr r="E58" s="5"/>
        <tr r="E125" s="4"/>
        <tr r="C103" s="11"/>
      </tp>
      <tp>
        <v>2359.5</v>
        <stp/>
        <stp>Market</stp>
        <stp>STOCK</stp>
        <stp>58020.T</stp>
        <stp>現在値</stp>
        <tr r="E126" s="4"/>
        <tr r="C102" s="11"/>
        <tr r="E57" s="5"/>
      </tp>
      <tp>
        <v>5561</v>
        <stp/>
        <stp>Market</stp>
        <stp>STOCK</stp>
        <stp>58380.T</stp>
        <stp>現在値</stp>
        <tr r="E147" s="5"/>
        <tr r="E124" s="4"/>
        <tr r="C117" s="11"/>
      </tp>
      <tp>
        <v>2196</v>
        <stp/>
        <stp>Market</stp>
        <stp>STOCK</stp>
        <stp>58920.T</stp>
        <stp>現在値</stp>
        <tr r="E121" s="4"/>
        <tr r="C89" s="11"/>
        <tr r="E74" s="5"/>
      </tp>
      <tp>
        <v>10700</v>
        <stp/>
        <stp>Market</stp>
        <stp>STOCK</stp>
        <stp>45190.T</stp>
        <stp>年初来高値</stp>
        <tr r="K205" s="5"/>
        <tr r="K161" s="4"/>
      </tp>
      <tp>
        <v>1671</v>
        <stp/>
        <stp>Market</stp>
        <stp>STOCK</stp>
        <stp>50190.T</stp>
        <stp>年初来高値</stp>
        <tr r="K148" s="4"/>
        <tr r="K140" s="5"/>
      </tp>
      <tp>
        <v>7880</v>
        <stp/>
        <stp>Market</stp>
        <stp>STOCK</stp>
        <stp>65160.T</stp>
        <stp>年初来高値</stp>
        <tr r="K29" s="5"/>
        <tr r="K96" s="4"/>
      </tp>
      <tp>
        <v>7260</v>
        <stp/>
        <stp>Market</stp>
        <stp>STOCK</stp>
        <stp>83160.T</stp>
        <stp>年初来高値</stp>
        <tr r="K70" s="5"/>
        <tr r="K50" s="4"/>
      </tp>
      <tp>
        <v>1343</v>
        <stp/>
        <stp>Market</stp>
        <stp>STOCK</stp>
        <stp>94160.T</stp>
        <stp>年初来高値</stp>
        <tr r="K107" s="5"/>
        <tr r="K21" s="4"/>
      </tp>
      <tp>
        <v>4700</v>
        <stp/>
        <stp>Market</stp>
        <stp>STOCK</stp>
        <stp>44170.T</stp>
        <stp>年初来高値</stp>
        <tr r="K112" s="5"/>
        <tr r="K163" s="4"/>
      </tp>
      <tp>
        <v>7218</v>
        <stp/>
        <stp>Market</stp>
        <stp>STOCK</stp>
        <stp>29140.T</stp>
        <stp>年初来高値</stp>
        <tr r="K189" s="4"/>
        <tr r="K182" s="5"/>
      </tp>
      <tp>
        <v>12380</v>
        <stp/>
        <stp>Market</stp>
        <stp>STOCK</stp>
        <stp>57140.T</stp>
        <stp>年初来高値</stp>
        <tr r="K128" s="4"/>
        <tr r="K47" s="5"/>
      </tp>
      <tp>
        <v>7559</v>
        <stp/>
        <stp>Market</stp>
        <stp>STOCK</stp>
        <stp>80150.T</stp>
        <stp>年初来高値</stp>
        <tr r="K61" s="4"/>
        <tr r="K65" s="5"/>
      </tp>
      <tp>
        <v>8040</v>
        <stp/>
        <stp>Market</stp>
        <stp>STOCK</stp>
        <stp>18120.T</stp>
        <stp>年初来高値</stp>
        <tr r="K121" s="5"/>
        <tr r="K204" s="4"/>
      </tp>
      <tp>
        <v>4720</v>
        <stp/>
        <stp>Market</stp>
        <stp>STOCK</stp>
        <stp>94120.T</stp>
        <stp>年初来高値</stp>
        <tr r="K22" s="4"/>
        <tr r="K22" s="5"/>
      </tp>
      <tp>
        <v>13300</v>
        <stp/>
        <stp>Market</stp>
        <stp>STOCK</stp>
        <stp>57130.T</stp>
        <stp>年初来高値</stp>
        <tr r="K129" s="4"/>
        <tr r="K46" s="5"/>
      </tp>
      <tp>
        <v>3620</v>
        <stp/>
        <stp>Market</stp>
        <stp>STOCK</stp>
        <stp>66130.T</stp>
        <stp>年初来高値</stp>
        <tr r="K94" s="4"/>
        <tr r="K3" s="5"/>
      </tp>
      <tp>
        <v>4580</v>
        <stp/>
        <stp>Market</stp>
        <stp>STOCK</stp>
        <stp>31100.T</stp>
        <stp>年初来高値</stp>
        <tr r="K185" s="4"/>
        <tr r="K109" s="5"/>
      </tp>
      <tp>
        <v>4280</v>
        <stp/>
        <stp>Market</stp>
        <stp>STOCK</stp>
        <stp>54100.T</stp>
        <stp>年初来高値</stp>
        <tr r="K138" s="4"/>
        <tr r="K118" s="5"/>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8816</v>
        <stp/>
        <stp>Market</stp>
        <stp>STOCK</stp>
        <stp>84110.T</stp>
        <stp>年初来高値</stp>
        <tr r="K47" s="4"/>
        <tr r="K66" s="5"/>
      </tp>
      <tp t="s">
        <v>ＱＰＳホールディングス</v>
        <stp/>
        <stp>Market</stp>
        <stp>STOCK</stp>
        <stp>464A0.T</stp>
        <stp>銘柄名称</stp>
        <tr r="C220"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ダイトロン</v>
        <stp/>
        <stp>Market</stp>
        <stp>STOCK</stp>
        <stp>76090.T</stp>
        <stp>銘柄名称</stp>
        <tr r="C240" s="1"/>
      </tp>
      <tp t="s">
        <v>大和証券Ｇ本社</v>
        <stp/>
        <stp>Market</stp>
        <stp>STOCK</stp>
        <stp>86010.T</stp>
        <stp>銘柄名称</stp>
        <tr r="C33" s="1"/>
      </tp>
      <tp t="s">
        <v>ＩＮＰＥＸ</v>
        <stp/>
        <stp>Market</stp>
        <stp>STOCK</stp>
        <stp>16050.T</stp>
        <stp>銘柄名称</stp>
        <tr r="C12" s="1"/>
      </tp>
      <tp t="s">
        <v>野村ホールディングス</v>
        <stp/>
        <stp>Market</stp>
        <stp>STOCK</stp>
        <stp>86040.T</stp>
        <stp>銘柄名称</stp>
        <tr r="C40" s="1"/>
      </tp>
      <tp t="s">
        <v>ＮＦエネ資源Ｔ１７</v>
        <stp/>
        <stp>Market</stp>
        <stp>STOCK</stp>
        <stp>16180.T</stp>
        <stp>銘柄名称</stp>
        <tr r="C227" s="1"/>
      </tp>
      <tp t="s">
        <v>ＱＤレーザ</v>
        <stp/>
        <stp>Market</stp>
        <stp>STOCK</stp>
        <stp>66130.T</stp>
        <stp>銘柄名称</stp>
        <tr r="C141" s="1"/>
      </tp>
      <tp t="s">
        <v>ダイヘン</v>
        <stp/>
        <stp>Market</stp>
        <stp>STOCK</stp>
        <stp>66220.T</stp>
        <stp>銘柄名称</stp>
        <tr r="C216" s="1"/>
        <tr r="D24" s="16"/>
        <tr r="D32" s="16"/>
      </tp>
      <tp t="s">
        <v>三菱製鋼</v>
        <stp/>
        <stp>Market</stp>
        <stp>STOCK</stp>
        <stp>56320.T</stp>
        <stp>銘柄名称</stp>
        <tr r="C247" s="1"/>
      </tp>
      <tp t="s">
        <v>日本製鋼所</v>
        <stp/>
        <stp>Market</stp>
        <stp>STOCK</stp>
        <stp>56310.T</stp>
        <stp>銘柄名称</stp>
        <tr r="C263" s="1"/>
      </tp>
      <tp t="s">
        <v>ＳＯＭＰＯホールディングス</v>
        <stp/>
        <stp>Market</stp>
        <stp>STOCK</stp>
        <stp>86300.T</stp>
        <stp>銘柄名称</stp>
        <tr r="C54" s="1"/>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v>1158</v>
        <stp/>
        <stp>Market</stp>
        <stp>STOCK</stp>
        <stp>41880.T</stp>
        <stp>現在値</stp>
        <tr r="C98" s="11"/>
        <tr r="E145" s="5"/>
        <tr r="H5" s="16"/>
        <tr r="E167" s="4"/>
        <tr r="H37" s="16"/>
      </tp>
      <tp>
        <v>4700</v>
        <stp/>
        <stp>Market</stp>
        <stp>STOCK</stp>
        <stp>41820.T</stp>
        <stp>現在値</stp>
        <tr r="C97" s="11"/>
        <tr r="E168" s="4"/>
        <tr r="E75" s="5"/>
      </tp>
      <tp>
        <v>1834.5</v>
        <stp/>
        <stp>Market</stp>
        <stp>STOCK</stp>
        <stp>40450.T</stp>
        <stp>現在値</stp>
        <tr r="E174" s="4"/>
        <tr r="E178" s="5"/>
        <tr r="C61" s="11"/>
      </tp>
      <tp>
        <v>3045</v>
        <stp/>
        <stp>Market</stp>
        <stp>STOCK</stp>
        <stp>40470.T</stp>
        <stp>現在値</stp>
        <tr r="C289" s="11"/>
      </tp>
      <tp>
        <v>6150</v>
        <stp/>
        <stp>Market</stp>
        <stp>STOCK</stp>
        <stp>40630.T</stp>
        <stp>現在値</stp>
        <tr r="E172" s="4"/>
        <tr r="C66" s="11"/>
        <tr r="E14" s="5"/>
        <tr r="H25" s="16"/>
      </tp>
      <tp>
        <v>20330</v>
        <stp/>
        <stp>Market</stp>
        <stp>STOCK</stp>
        <stp>40620.T</stp>
        <stp>現在値</stp>
        <tr r="C96" s="11"/>
        <tr r="E173" s="4"/>
        <tr r="E56" s="5"/>
      </tp>
      <tp>
        <v>1262</v>
        <stp/>
        <stp>Market</stp>
        <stp>STOCK</stp>
        <stp>40080.T</stp>
        <stp>現在値</stp>
        <tr r="E175" s="4"/>
        <tr r="C95" s="11"/>
        <tr r="E127" s="5"/>
      </tp>
      <tp>
        <v>16180</v>
        <stp/>
        <stp>Market</stp>
        <stp>STOCK</stp>
        <stp>40040.T</stp>
        <stp>現在値</stp>
        <tr r="C213" s="11"/>
      </tp>
      <tp>
        <v>2545</v>
        <stp/>
        <stp>Market</stp>
        <stp>STOCK</stp>
        <stp>40880.T</stp>
        <stp>現在値</stp>
        <tr r="E132" s="5"/>
        <tr r="E170" s="4"/>
        <tr r="C156" s="11"/>
      </tp>
      <tp>
        <v>1946</v>
        <stp/>
        <stp>Market</stp>
        <stp>STOCK</stp>
        <stp>40820.T</stp>
        <stp>現在値</stp>
        <tr r="E171" s="4"/>
        <tr r="C129" s="11"/>
        <tr r="E9" s="5"/>
        <tr r="H28" s="16"/>
      </tp>
      <tp>
        <v>5948</v>
        <stp/>
        <stp>Market</stp>
        <stp>STOCK</stp>
        <stp>40910.T</stp>
        <stp>現在値</stp>
        <tr r="E169" s="4"/>
        <tr r="C157" s="11"/>
        <tr r="E152" s="5"/>
      </tp>
      <tp>
        <v>1064</v>
        <stp/>
        <stp>Market</stp>
        <stp>STOCK</stp>
        <stp>43730.T</stp>
        <stp>現在値</stp>
        <tr r="E82" s="5"/>
        <tr r="C160" s="11"/>
        <tr r="E165" s="4"/>
      </tp>
      <tp>
        <v>4500</v>
        <stp/>
        <stp>Market</stp>
        <stp>STOCK</stp>
        <stp>43070.T</stp>
        <stp>現在値</stp>
        <tr r="C150" s="11"/>
        <tr r="E151" s="5"/>
        <tr r="E166" s="4"/>
        <tr r="H18" s="16"/>
      </tp>
      <tp>
        <v>714</v>
        <stp/>
        <stp>Market</stp>
        <stp>STOCK</stp>
        <stp>43820.T</stp>
        <stp>現在値</stp>
        <tr r="E192" s="5"/>
        <tr r="C173" s="11"/>
        <tr r="E164" s="4"/>
      </tp>
      <tp>
        <v>930</v>
        <stp/>
        <stp>Market</stp>
        <stp>STOCK</stp>
        <stp>43920.T</stp>
        <stp>現在値</stp>
        <tr r="C235" s="11"/>
      </tp>
      <tp>
        <v>3216</v>
        <stp/>
        <stp>Market</stp>
        <stp>STOCK</stp>
        <stp>42080.T</stp>
        <stp>現在値</stp>
        <tr r="C298" s="11"/>
      </tp>
      <tp>
        <v>1949</v>
        <stp/>
        <stp>Market</stp>
        <stp>STOCK</stp>
        <stp>42180.T</stp>
        <stp>現在値</stp>
        <tr r="C282" s="11"/>
      </tp>
      <tp>
        <v>613</v>
        <stp/>
        <stp>Market</stp>
        <stp>STOCK</stp>
        <stp>42220.T</stp>
        <stp>現在値</stp>
        <tr r="C229" s="11"/>
      </tp>
      <tp>
        <v>3337</v>
        <stp/>
        <stp>Market</stp>
        <stp>STOCK</stp>
        <stp>45440.T</stp>
        <stp>現在値</stp>
        <tr r="C273" s="11"/>
      </tp>
      <tp>
        <v>3718</v>
        <stp/>
        <stp>Market</stp>
        <stp>STOCK</stp>
        <stp>45400.T</stp>
        <stp>現在値</stp>
        <tr r="E124" s="5"/>
        <tr r="H15" s="16"/>
        <tr r="E157" s="4"/>
        <tr r="C64" s="11"/>
      </tp>
      <tp>
        <v>2573.5</v>
        <stp/>
        <stp>Market</stp>
        <stp>STOCK</stp>
        <stp>45680.T</stp>
        <stp>現在値</stp>
        <tr r="E110" s="5"/>
        <tr r="C142" s="11"/>
        <tr r="E7" s="4"/>
      </tp>
      <tp>
        <v>5269</v>
        <stp/>
        <stp>Market</stp>
        <stp>STOCK</stp>
        <stp>45020.T</stp>
        <stp>現在値</stp>
        <tr r="C212" s="11"/>
      </tp>
      <tp>
        <v>6683</v>
        <stp/>
        <stp>Market</stp>
        <stp>STOCK</stp>
        <stp>45190.T</stp>
        <stp>現在値</stp>
        <tr r="E161" s="4"/>
        <tr r="C130" s="11"/>
        <tr r="E205" s="5"/>
      </tp>
      <tp>
        <v>2305</v>
        <stp/>
        <stp>Market</stp>
        <stp>STOCK</stp>
        <stp>45280.T</stp>
        <stp>現在値</stp>
        <tr r="E17" s="5"/>
        <tr r="E159" s="4"/>
        <tr r="C100" s="11"/>
      </tp>
      <tp>
        <v>4507</v>
        <stp/>
        <stp>Market</stp>
        <stp>STOCK</stp>
        <stp>45230.T</stp>
        <stp>現在値</stp>
        <tr r="E160" s="4"/>
        <tr r="H27" s="16"/>
        <tr r="E184" s="5"/>
        <tr r="C99" s="11"/>
      </tp>
      <tp>
        <v>1858</v>
        <stp/>
        <stp>Market</stp>
        <stp>STOCK</stp>
        <stp>45360.T</stp>
        <stp>現在値</stp>
        <tr r="E125" s="5"/>
        <tr r="E158" s="4"/>
        <tr r="C67" s="11"/>
      </tp>
      <tp>
        <v>4385</v>
        <stp/>
        <stp>Market</stp>
        <stp>STOCK</stp>
        <stp>44170.T</stp>
        <stp>現在値</stp>
        <tr r="E163" s="4"/>
        <tr r="E112" s="5"/>
        <tr r="C153" s="11"/>
      </tp>
      <tp>
        <v>561</v>
        <stp/>
        <stp>Market</stp>
        <stp>STOCK</stp>
        <stp>44220.T</stp>
        <stp>現在値</stp>
        <tr r="E162" s="4"/>
        <tr r="E188" s="5"/>
        <tr r="C139" s="11"/>
      </tp>
      <tp>
        <v>2727</v>
        <stp/>
        <stp>Market</stp>
        <stp>STOCK</stp>
        <stp>47760.T</stp>
        <stp>現在値</stp>
        <tr r="C253" s="11"/>
      </tp>
      <tp>
        <v>1013</v>
        <stp/>
        <stp>Market</stp>
        <stp>STOCK</stp>
        <stp>47090.T</stp>
        <stp>現在値</stp>
        <tr r="E115" s="5"/>
        <tr r="C170" s="11"/>
        <tr r="E154" s="4"/>
      </tp>
      <tp>
        <v>6464</v>
        <stp/>
        <stp>Market</stp>
        <stp>STOCK</stp>
        <stp>47040.T</stp>
        <stp>現在値</stp>
        <tr r="C254" s="11"/>
      </tp>
      <tp>
        <v>7846</v>
        <stp/>
        <stp>Market</stp>
        <stp>STOCK</stp>
        <stp>47330.T</stp>
        <stp>現在値</stp>
        <tr r="E153" s="4"/>
        <tr r="E133" s="5"/>
        <tr r="C165" s="11"/>
      </tp>
      <tp>
        <v>1651</v>
        <stp/>
        <stp>Market</stp>
        <stp>STOCK</stp>
        <stp>464A0.T</stp>
        <stp>現在値</stp>
        <tr r="C220" s="11"/>
      </tp>
      <tp>
        <v>2865</v>
        <stp/>
        <stp>Market</stp>
        <stp>STOCK</stp>
        <stp>46610.T</stp>
        <stp>現在値</stp>
        <tr r="E156" s="4"/>
        <tr r="C101" s="11"/>
        <tr r="E103" s="5"/>
        <tr r="H41" s="16"/>
      </tp>
      <tp>
        <v>4075</v>
        <stp/>
        <stp>Market</stp>
        <stp>STOCK</stp>
        <stp>46760.T</stp>
        <stp>現在値</stp>
        <tr r="E177" s="5"/>
        <tr r="E155" s="4"/>
        <tr r="C58" s="11"/>
      </tp>
      <tp>
        <v>25610</v>
        <stp/>
        <stp>Market</stp>
        <stp>STOCK</stp>
        <stp>49660.T</stp>
        <stp>現在値</stp>
        <tr r="E150" s="4"/>
        <tr r="E34" s="5"/>
        <tr r="C196" s="11"/>
      </tp>
      <tp>
        <v>3333</v>
        <stp/>
        <stp>Market</stp>
        <stp>STOCK</stp>
        <stp>49800.T</stp>
        <stp>現在値</stp>
        <tr r="E72" s="5"/>
        <tr r="E149" s="4"/>
        <tr r="C69" s="11"/>
      </tp>
      <tp>
        <v>1900</v>
        <stp/>
        <stp>Market</stp>
        <stp>STOCK</stp>
        <stp>485A0.T</stp>
        <stp>現在値</stp>
        <tr r="C221" s="11"/>
      </tp>
      <tp>
        <v>315</v>
        <stp/>
        <stp>Market</stp>
        <stp>STOCK</stp>
        <stp>48880.T</stp>
        <stp>現在値</stp>
        <tr r="E131" s="5"/>
        <tr r="C146" s="11"/>
        <tr r="E151" s="4"/>
      </tp>
      <tp>
        <v>1604</v>
        <stp/>
        <stp>Market</stp>
        <stp>STOCK</stp>
        <stp>48870.T</stp>
        <stp>現在値</stp>
        <tr r="E195" s="5"/>
        <tr r="E152" s="4"/>
        <tr r="C192" s="11"/>
      </tp>
      <tp>
        <v>1398</v>
        <stp/>
        <stp>Market</stp>
        <stp>STOCK</stp>
        <stp>40080.T</stp>
        <stp>年初来高値</stp>
        <tr r="K127" s="5"/>
        <tr r="K175" s="4"/>
      </tp>
      <tp>
        <v>2420.5</v>
        <stp/>
        <stp>Market</stp>
        <stp>STOCK</stp>
        <stp>83080.T</stp>
        <stp>年初来高値</stp>
        <tr r="K52" s="4"/>
        <tr r="K92" s="5"/>
      </tp>
      <tp>
        <v>1161</v>
        <stp/>
        <stp>Market</stp>
        <stp>STOCK</stp>
        <stp>47090.T</stp>
        <stp>年初来高値</stp>
        <tr r="K154" s="4"/>
        <tr r="K115" s="5"/>
      </tp>
      <tp>
        <v>1705</v>
        <stp/>
        <stp>Market</stp>
        <stp>STOCK</stp>
        <stp>83090.T</stp>
        <stp>年初来高値</stp>
        <tr r="K51" s="4"/>
        <tr r="K68" s="5"/>
      </tp>
      <tp>
        <v>57700</v>
        <stp/>
        <stp>Market</stp>
        <stp>STOCK</stp>
        <stp>57060.T</stp>
        <stp>年初来高値</stp>
        <tr r="K131" s="4"/>
        <tr r="K11" s="5"/>
      </tp>
      <tp>
        <v>2379.5</v>
        <stp/>
        <stp>Market</stp>
        <stp>STOCK</stp>
        <stp>54060.T</stp>
        <stp>年初来高値</stp>
        <tr r="K95" s="5"/>
        <tr r="K139" s="4"/>
      </tp>
      <tp>
        <v>7915</v>
        <stp/>
        <stp>Market</stp>
        <stp>STOCK</stp>
        <stp>65060.T</stp>
        <stp>年初来高値</stp>
        <tr r="K98" s="4"/>
        <tr r="K20" s="5"/>
      </tp>
      <tp>
        <v>8380</v>
        <stp/>
        <stp>Market</stp>
        <stp>STOCK</stp>
        <stp>78060.T</stp>
        <stp>年初来高値</stp>
        <tr r="K65" s="4"/>
        <tr r="K55" s="5"/>
      </tp>
      <tp>
        <v>3813</v>
        <stp/>
        <stp>Market</stp>
        <stp>STOCK</stp>
        <stp>83060.T</stp>
        <stp>年初来高値</stp>
        <tr r="K201" s="5"/>
        <tr r="K53" s="4"/>
      </tp>
      <tp>
        <v>1323</v>
        <stp/>
        <stp>Market</stp>
        <stp>STOCK</stp>
        <stp>95060.T</stp>
        <stp>年初来高値</stp>
        <tr r="K16" s="4"/>
        <tr r="K193" s="5"/>
      </tp>
      <tp>
        <v>3673</v>
        <stp/>
        <stp>Market</stp>
        <stp>STOCK</stp>
        <stp>31070.T</stp>
        <stp>年初来高値</stp>
        <tr r="K186" s="4"/>
        <tr r="K13" s="5"/>
      </tp>
      <tp>
        <v>1906</v>
        <stp/>
        <stp>Market</stp>
        <stp>STOCK</stp>
        <stp>34070.T</stp>
        <stp>年初来高値</stp>
        <tr r="K182" s="4"/>
        <tr r="K183" s="5"/>
      </tp>
      <tp>
        <v>6300</v>
        <stp/>
        <stp>Market</stp>
        <stp>STOCK</stp>
        <stp>43070.T</stp>
        <stp>年初来高値</stp>
        <tr r="K166" s="4"/>
        <tr r="K151" s="5"/>
      </tp>
      <tp>
        <v>16900</v>
        <stp/>
        <stp>Market</stp>
        <stp>STOCK</stp>
        <stp>65070.T</stp>
        <stp>年初来高値</stp>
        <tr r="K97" s="4"/>
        <tr r="K64" s="5"/>
      </tp>
      <tp>
        <v>1332</v>
        <stp/>
        <stp>Market</stp>
        <stp>STOCK</stp>
        <stp>87040.T</stp>
        <stp>年初来高値</stp>
        <tr r="K38" s="4"/>
        <tr r="K19" s="5"/>
      </tp>
      <tp>
        <v>1636</v>
        <stp/>
        <stp>Market</stp>
        <stp>STOCK</stp>
        <stp>86040.T</stp>
        <stp>年初来高値</stp>
        <tr r="K40" s="4"/>
        <tr r="K199" s="5"/>
      </tp>
      <tp>
        <v>3953</v>
        <stp/>
        <stp>Market</stp>
        <stp>STOCK</stp>
        <stp>94040.T</stp>
        <stp>年初来高値</stp>
        <tr r="K78" s="5"/>
        <tr r="K23" s="4"/>
      </tp>
      <tp>
        <v>4955</v>
        <stp/>
        <stp>Market</stp>
        <stp>STOCK</stp>
        <stp>16050.T</stp>
        <stp>年初来高値</stp>
        <tr r="K166" s="5"/>
        <tr r="K206" s="4"/>
      </tp>
      <tp>
        <v>7225</v>
        <stp/>
        <stp>Market</stp>
        <stp>STOCK</stp>
        <stp>63050.T</stp>
        <stp>年初来高値</stp>
        <tr r="K107" s="4"/>
        <tr r="K85" s="5"/>
      </tp>
      <tp>
        <v>1142</v>
        <stp/>
        <stp>Market</stp>
        <stp>STOCK</stp>
        <stp>95050.T</stp>
        <stp>年初来高値</stp>
        <tr r="K17" s="4"/>
        <tr r="K157" s="5"/>
      </tp>
      <tp>
        <v>8780</v>
        <stp/>
        <stp>Market</stp>
        <stp>STOCK</stp>
        <stp>27020.T</stp>
        <stp>年初来高値</stp>
        <tr r="K192" s="4"/>
        <tr r="K196" s="5"/>
      </tp>
      <tp>
        <v>6340</v>
        <stp/>
        <stp>Market</stp>
        <stp>STOCK</stp>
        <stp>28020.T</stp>
        <stp>年初来高値</stp>
        <tr r="K23" s="5"/>
        <tr r="K190" s="4"/>
      </tp>
      <tp>
        <v>1353.5</v>
        <stp/>
        <stp>Market</stp>
        <stp>STOCK</stp>
        <stp>34020.T</stp>
        <stp>年初来高値</stp>
        <tr r="K183" s="4"/>
        <tr r="K172" s="5"/>
      </tp>
      <tp>
        <v>3019</v>
        <stp/>
        <stp>Market</stp>
        <stp>STOCK</stp>
        <stp>58020.T</stp>
        <stp>年初来高値</stp>
        <tr r="K57" s="5"/>
        <tr r="K126" s="4"/>
      </tp>
      <tp>
        <v>6328</v>
        <stp/>
        <stp>Market</stp>
        <stp>STOCK</stp>
        <stp>80020.T</stp>
        <stp>年初来高値</stp>
        <tr r="K62" s="4"/>
        <tr r="K167" s="5"/>
      </tp>
      <tp>
        <v>3419</v>
        <stp/>
        <stp>Market</stp>
        <stp>STOCK</stp>
        <stp>92020.T</stp>
        <stp>年初来高値</stp>
        <tr r="K26" s="4"/>
        <tr r="K99" s="5"/>
      </tp>
      <tp>
        <v>4380</v>
        <stp/>
        <stp>Market</stp>
        <stp>STOCK</stp>
        <stp>31030.T</stp>
        <stp>年初来高値</stp>
        <tr r="K81" s="5"/>
        <tr r="K187" s="4"/>
      </tp>
      <tp>
        <v>2094</v>
        <stp/>
        <stp>Market</stp>
        <stp>STOCK</stp>
        <stp>30030.T</stp>
        <stp>年初来高値</stp>
        <tr r="K188" s="4"/>
        <tr r="K143" s="5"/>
      </tp>
      <tp>
        <v>3330</v>
        <stp/>
        <stp>Market</stp>
        <stp>STOCK</stp>
        <stp>57030.T</stp>
        <stp>年初来高値</stp>
        <tr r="K132" s="4"/>
        <tr r="K48" s="5"/>
      </tp>
      <tp>
        <v>7933</v>
        <stp/>
        <stp>Market</stp>
        <stp>STOCK</stp>
        <stp>58030.T</stp>
        <stp>年初来高値</stp>
        <tr r="K125" s="4"/>
        <tr r="K58" s="5"/>
      </tp>
      <tp>
        <v>2030</v>
        <stp/>
        <stp>Market</stp>
        <stp>STOCK</stp>
        <stp>62030.T</stp>
        <stp>年初来高値</stp>
        <tr r="K50" s="5"/>
        <tr r="K111" s="4"/>
      </tp>
      <tp>
        <v>6686</v>
        <stp/>
        <stp>Market</stp>
        <stp>STOCK</stp>
        <stp>65030.T</stp>
        <stp>年初来高値</stp>
        <tr r="K39" s="5"/>
        <tr r="K99" s="4"/>
      </tp>
      <tp>
        <v>4000</v>
        <stp/>
        <stp>Market</stp>
        <stp>STOCK</stp>
        <stp>72030.T</stp>
        <stp>年初来高値</stp>
        <tr r="K73" s="5"/>
        <tr r="K73" s="4"/>
      </tp>
      <tp>
        <v>2200</v>
        <stp/>
        <stp>Market</stp>
        <stp>STOCK</stp>
        <stp>83030.T</stp>
        <stp>年初来高値</stp>
        <tr r="K54" s="4"/>
        <tr r="K191" s="5"/>
      </tp>
      <tp>
        <v>1041</v>
        <stp/>
        <stp>Market</stp>
        <stp>STOCK</stp>
        <stp>81030.T</stp>
        <stp>年初来高値</stp>
        <tr r="K56" s="4"/>
        <tr r="K136" s="5"/>
      </tp>
      <tp>
        <v>1773</v>
        <stp/>
        <stp>Market</stp>
        <stp>STOCK</stp>
        <stp>34010.T</stp>
        <stp>年初来高値</stp>
        <tr r="K169" s="5"/>
        <tr r="K184" s="4"/>
      </tp>
      <tp>
        <v>8315</v>
        <stp/>
        <stp>Market</stp>
        <stp>STOCK</stp>
        <stp>52010.T</stp>
        <stp>年初来高値</stp>
        <tr r="K175" s="5"/>
        <tr r="K145" s="4"/>
      </tp>
      <tp>
        <v>699.8</v>
        <stp/>
        <stp>Market</stp>
        <stp>STOCK</stp>
        <stp>54010.T</stp>
        <stp>年初来高値</stp>
        <tr r="K140" s="4"/>
        <tr r="K173" s="5"/>
      </tp>
      <tp>
        <v>4404</v>
        <stp/>
        <stp>Market</stp>
        <stp>STOCK</stp>
        <stp>59010.T</stp>
        <stp>年初来高値</stp>
        <tr r="K120" s="4"/>
        <tr r="K71" s="5"/>
      </tp>
      <tp>
        <v>4870</v>
        <stp/>
        <stp>Market</stp>
        <stp>STOCK</stp>
        <stp>58010.T</stp>
        <stp>年初来高値</stp>
        <tr r="K45" s="5"/>
        <tr r="K127" s="4"/>
      </tp>
      <tp>
        <v>6036</v>
        <stp/>
        <stp>Market</stp>
        <stp>STOCK</stp>
        <stp>67010.T</stp>
        <stp>年初来高値</stp>
        <tr r="K93" s="4"/>
        <tr r="K139" s="5"/>
      </tp>
      <tp>
        <v>6039</v>
        <stp/>
        <stp>Market</stp>
        <stp>STOCK</stp>
        <stp>65010.T</stp>
        <stp>年初来高値</stp>
        <tr r="K126" s="5"/>
        <tr r="K100" s="4"/>
      </tp>
      <tp>
        <v>1886.5</v>
        <stp/>
        <stp>Market</stp>
        <stp>STOCK</stp>
        <stp>86010.T</stp>
        <stp>年初来高値</stp>
        <tr r="K41" s="4"/>
        <tr r="K198" s="5"/>
      </tp>
      <tp>
        <v>2158</v>
        <stp/>
        <stp>Market</stp>
        <stp>STOCK</stp>
        <stp>88010.T</stp>
        <stp>年初来高値</stp>
        <tr r="K129" s="5"/>
        <tr r="K33" s="4"/>
      </tp>
      <tp>
        <v>6394</v>
        <stp/>
        <stp>Market</stp>
        <stp>STOCK</stp>
        <stp>91010.T</stp>
        <stp>年初来高値</stp>
        <tr r="K27" s="4"/>
        <tr r="K164" s="5"/>
      </tp>
      <tp>
        <v>760</v>
        <stp/>
        <stp>Market</stp>
        <stp>STOCK</stp>
        <stp>95010.T</stp>
        <stp>年初来高値</stp>
        <tr r="K18" s="4"/>
        <tr r="K105" s="5"/>
      </tp>
    </main>
    <main first="rtdsrv.e07a56084d7946cdb07ca2177ccd3d26">
      <tp t="s">
        <v/>
        <stp/>
        <stp>Market</stp>
        <stp>STOCK</stp>
        <stp/>
        <stp>市場部名称</stp>
        <tr r="C5" s="14"/>
      </tp>
      <tp>
        <v>3.51</v>
        <stp/>
        <stp>Market</stp>
        <stp>INDEX</stp>
        <stp>N225.FUT01.OS</stp>
        <stp>前日比率</stp>
        <tr r="H5" s="1"/>
      </tp>
    </main>
    <main first="rtdsrv.e07a56084d7946cdb07ca2177ccd3d26">
      <tp>
        <v>4822</v>
        <stp/>
        <stp>Market</stp>
        <stp>STOCK</stp>
        <stp>87250.T</stp>
        <stp>高値</stp>
        <tr r="H168" s="5"/>
        <tr r="H37" s="4"/>
        <tr r="C22" s="9"/>
      </tp>
      <tp>
        <v>5040</v>
        <stp/>
        <stp>Market</stp>
        <stp>STOCK</stp>
        <stp>87950.T</stp>
        <stp>高値</stp>
        <tr r="C23" s="9"/>
        <tr r="H34" s="4"/>
        <tr r="H91" s="5"/>
      </tp>
      <tp>
        <v>1846</v>
        <stp/>
        <stp>Market</stp>
        <stp>STOCK</stp>
        <stp>80050.T</stp>
        <stp>高値</stp>
        <tr r="C236" s="9"/>
      </tp>
      <tp>
        <v>7174</v>
        <stp/>
        <stp>Market</stp>
        <stp>STOCK</stp>
        <stp>80150.T</stp>
        <stp>高値</stp>
        <tr r="H61" s="4"/>
        <tr r="H65" s="5"/>
        <tr r="C204" s="9"/>
      </tp>
      <tp>
        <v>59700</v>
        <stp/>
        <stp>Market</stp>
        <stp>STOCK</stp>
        <stp>80350.T</stp>
        <stp>高値</stp>
        <tr r="H60" s="4"/>
        <tr r="H35" s="5"/>
        <tr r="C198" s="9"/>
      </tp>
      <tp>
        <v>939.6</v>
        <stp/>
        <stp>Market</stp>
        <stp>STOCK</stp>
        <stp>95050.T</stp>
        <stp>高値</stp>
        <tr r="H17" s="4"/>
        <tr r="H157" s="5"/>
        <tr r="C181" s="9"/>
      </tp>
      <tp>
        <v>877</v>
        <stp/>
        <stp>Market</stp>
        <stp>STOCK</stp>
        <stp>91150.T</stp>
        <stp>高値</stp>
        <tr r="C270" s="9"/>
      </tp>
      <tp>
        <v>1790</v>
        <stp/>
        <stp>Market</stp>
        <stp>STOCK</stp>
        <stp>91650.T</stp>
        <stp>高値</stp>
        <tr r="C243" s="9"/>
      </tp>
      <tp>
        <v>2278</v>
        <stp/>
        <stp>Market</stp>
        <stp>STOCK</stp>
        <stp>39050.T</stp>
        <stp>高値</stp>
        <tr r="C284" s="9"/>
      </tp>
      <tp>
        <v>4573</v>
        <stp/>
        <stp>Market</stp>
        <stp>STOCK</stp>
        <stp>19250.T</stp>
        <stp>高値</stp>
        <tr r="H181" s="5"/>
        <tr r="H202" s="4"/>
        <tr r="C83" s="9"/>
      </tp>
      <tp>
        <v>3472</v>
        <stp/>
        <stp>Market</stp>
        <stp>STOCK</stp>
        <stp>16050.T</stp>
        <stp>高値</stp>
        <tr r="H206" s="4"/>
        <tr r="C12" s="9"/>
        <tr r="H166" s="5"/>
      </tp>
      <tp>
        <v>4416</v>
        <stp/>
        <stp>Market</stp>
        <stp>STOCK</stp>
        <stp>69250.T</stp>
        <stp>高値</stp>
        <tr r="H42" s="5"/>
        <tr r="C105" s="9"/>
        <tr r="H80" s="4"/>
      </tp>
      <tp>
        <v>401</v>
        <stp/>
        <stp>Market</stp>
        <stp>STOCK</stp>
        <stp>69550.T</stp>
        <stp>高値</stp>
        <tr r="C265" s="9"/>
      </tp>
      <tp>
        <v>2559</v>
        <stp/>
        <stp>Market</stp>
        <stp>STOCK</stp>
        <stp>69650.T</stp>
        <stp>高値</stp>
        <tr r="C300" s="9"/>
      </tp>
      <tp>
        <v>1592</v>
        <stp/>
        <stp>Market</stp>
        <stp>STOCK</stp>
        <stp>64850.T</stp>
        <stp>高値</stp>
        <tr r="H6" s="4"/>
        <tr r="C191" s="9"/>
        <tr r="H194" s="5"/>
      </tp>
      <tp>
        <v>15250</v>
        <stp/>
        <stp>Market</stp>
        <stp>STOCK</stp>
        <stp>61350.T</stp>
        <stp>高値</stp>
        <tr r="C223" s="9"/>
      </tp>
      <tp>
        <v>2455</v>
        <stp/>
        <stp>Market</stp>
        <stp>STOCK</stp>
        <stp>60550.T</stp>
        <stp>高値</stp>
        <tr r="C224" s="9"/>
      </tp>
      <tp>
        <v>81</v>
        <stp/>
        <stp>Market</stp>
        <stp>STOCK</stp>
        <stp>60850.T</stp>
        <stp>高値</stp>
        <tr r="H115" s="4"/>
        <tr r="C137" s="9"/>
        <tr r="H150" s="5"/>
      </tp>
      <tp>
        <v>5482</v>
        <stp/>
        <stp>Market</stp>
        <stp>STOCK</stp>
        <stp>63050.T</stp>
        <stp>高値</stp>
        <tr r="H107" s="4"/>
        <tr r="H85" s="5"/>
        <tr r="C203" s="9"/>
      </tp>
      <tp>
        <v>13900</v>
        <stp/>
        <stp>Market</stp>
        <stp>STOCK</stp>
        <stp>77350.T</stp>
        <stp>高値</stp>
        <tr r="C283" s="9"/>
      </tp>
      <tp>
        <v>3130</v>
        <stp/>
        <stp>Market</stp>
        <stp>STOCK</stp>
        <stp>76850.T</stp>
        <stp>高値</stp>
        <tr r="H148" s="5"/>
        <tr r="H69" s="4"/>
        <tr r="C121" s="9"/>
      </tp>
      <tp>
        <v>1170</v>
        <stp/>
        <stp>Market</stp>
        <stp>STOCK</stp>
        <stp>73750.T</stp>
        <stp>高値</stp>
        <tr r="H190" s="5"/>
        <tr r="H71" s="4"/>
        <tr r="C149" s="9"/>
      </tp>
      <tp>
        <v>1845</v>
        <stp/>
        <stp>Market</stp>
        <stp>STOCK</stp>
        <stp>40450.T</stp>
        <stp>高値</stp>
        <tr r="H178" s="5"/>
        <tr r="H174" s="4"/>
        <tr r="C61" s="9"/>
      </tp>
    </main>
    <main first="rtdsrv.e07a56084d7946cdb07ca2177ccd3d26">
      <tp>
        <v>2435</v>
        <stp/>
        <stp>Market</stp>
        <stp>STOCK</stp>
        <stp>89340.T</stp>
        <stp>高値</stp>
        <tr r="H31" s="4"/>
        <tr r="H149" s="5"/>
        <tr r="C125" s="9"/>
      </tp>
      <tp>
        <v>4409</v>
        <stp/>
        <stp>Market</stp>
        <stp>STOCK</stp>
        <stp>84240.T</stp>
        <stp>高値</stp>
        <tr r="H185" s="5"/>
        <tr r="H46" s="4"/>
        <tr r="C108" s="9"/>
      </tp>
      <tp>
        <v>1340</v>
        <stp/>
        <stp>Market</stp>
        <stp>STOCK</stp>
        <stp>87040.T</stp>
        <stp>高値</stp>
        <tr r="H38" s="4"/>
        <tr r="H19" s="5"/>
        <tr r="C164" s="9"/>
      </tp>
      <tp>
        <v>1564</v>
        <stp/>
        <stp>Market</stp>
        <stp>STOCK</stp>
        <stp>86040.T</stp>
        <stp>高値</stp>
        <tr r="H40" s="4"/>
        <tr r="C40" s="9"/>
        <tr r="H199" s="5"/>
      </tp>
      <tp>
        <v>2570</v>
        <stp/>
        <stp>Market</stp>
        <stp>STOCK</stp>
        <stp>83340.T</stp>
        <stp>高値</stp>
        <tr r="H49" s="4"/>
        <tr r="C122" s="9"/>
        <tr r="H204" s="5"/>
      </tp>
      <tp>
        <v>4030</v>
        <stp/>
        <stp>Market</stp>
        <stp>STOCK</stp>
        <stp>83440.T</stp>
        <stp>高値</stp>
        <tr r="C293" s="9"/>
      </tp>
      <tp>
        <v>5880</v>
        <stp/>
        <stp>Market</stp>
        <stp>STOCK</stp>
        <stp>99840.T</stp>
        <stp>高値</stp>
        <tr r="H8" s="4"/>
        <tr r="C65" s="9"/>
        <tr r="H53" s="5"/>
      </tp>
      <tp>
        <v>2844</v>
        <stp/>
        <stp>Market</stp>
        <stp>STOCK</stp>
        <stp>94040.T</stp>
        <stp>高値</stp>
        <tr r="H23" s="4"/>
        <tr r="C119" s="9"/>
        <tr r="H78" s="5"/>
      </tp>
      <tp>
        <v>116</v>
        <stp/>
        <stp>Market</stp>
        <stp>STOCK</stp>
        <stp>94240.T</stp>
        <stp>高値</stp>
        <tr r="H20" s="4"/>
        <tr r="H15" s="5"/>
        <tr r="C70" s="9"/>
      </tp>
      <tp>
        <v>6023</v>
        <stp/>
        <stp>Market</stp>
        <stp>STOCK</stp>
        <stp>91040.T</stp>
        <stp>高値</stp>
        <tr r="C259" s="9"/>
      </tp>
      <tp>
        <v>1961.5</v>
        <stp/>
        <stp>Market</stp>
        <stp>STOCK</stp>
        <stp>90640.T</stp>
        <stp>高値</stp>
        <tr r="H4" s="4"/>
        <tr r="C189" s="9"/>
        <tr r="H163" s="5"/>
      </tp>
      <tp>
        <v>6835</v>
        <stp/>
        <stp>Market</stp>
        <stp>STOCK</stp>
        <stp>29140.T</stp>
        <stp>高値</stp>
        <tr r="H189" s="4"/>
        <tr r="H182" s="5"/>
        <tr r="C87" s="9"/>
      </tp>
      <tp>
        <v>1853</v>
        <stp/>
        <stp>Market</stp>
        <stp>STOCK</stp>
        <stp>39840.T</stp>
        <stp>高値</stp>
        <tr r="C239" s="9"/>
      </tp>
      <tp>
        <v>2243</v>
        <stp/>
        <stp>Market</stp>
        <stp>STOCK</stp>
        <stp>38540.T</stp>
        <stp>高値</stp>
        <tr r="C71" s="9"/>
        <tr r="H54" s="5"/>
        <tr r="H180" s="4"/>
      </tp>
      <tp>
        <v>1189</v>
        <stp/>
        <stp>Market</stp>
        <stp>STOCK</stp>
        <stp>38640.T</stp>
        <stp>高値</stp>
        <tr r="C271" s="9"/>
      </tp>
      <tp>
        <v>7350</v>
        <stp/>
        <stp>Market</stp>
        <stp>STOCK</stp>
        <stp>19440.T</stp>
        <stp>高値</stp>
        <tr r="C304" s="9"/>
      </tp>
      <tp>
        <v>605</v>
        <stp/>
        <stp>Market</stp>
        <stp>STOCK</stp>
        <stp>15140.T</stp>
        <stp>高値</stp>
        <tr r="C262" s="9"/>
      </tp>
      <tp>
        <v>6495</v>
        <stp/>
        <stp>Market</stp>
        <stp>STOCK</stp>
        <stp>69540.T</stp>
        <stp>高値</stp>
        <tr r="H16" s="5"/>
        <tr r="H79" s="4"/>
        <tr r="C78" s="9"/>
      </tp>
      <tp>
        <v>4605</v>
        <stp/>
        <stp>Market</stp>
        <stp>STOCK</stp>
        <stp>67440.T</stp>
        <stp>高値</stp>
        <tr r="C120" s="9"/>
        <tr r="H91" s="4"/>
        <tr r="H106" s="5"/>
      </tp>
      <tp>
        <v>3873</v>
        <stp/>
        <stp>Market</stp>
        <stp>STOCK</stp>
        <stp>67540.T</stp>
        <stp>高値</stp>
        <tr r="H89" s="4"/>
        <tr r="C155" s="9"/>
        <tr r="H31" s="5"/>
      </tp>
      <tp>
        <v>6012</v>
        <stp/>
        <stp>Market</stp>
        <stp>STOCK</stp>
        <stp>66740.T</stp>
        <stp>高値</stp>
        <tr r="C264" s="9"/>
      </tp>
      <tp>
        <v>8470</v>
        <stp/>
        <stp>Market</stp>
        <stp>STOCK</stp>
        <stp>61340.T</stp>
        <stp>高値</stp>
        <tr r="H114" s="4"/>
        <tr r="H25" s="5"/>
        <tr r="C92" s="9"/>
      </tp>
      <tp>
        <v>7430</v>
        <stp/>
        <stp>Market</stp>
        <stp>STOCK</stp>
        <stp>63240.T</stp>
        <stp>高値</stp>
        <tr r="C210" s="9"/>
      </tp>
      <tp>
        <v>4565</v>
        <stp/>
        <stp>Market</stp>
        <stp>STOCK</stp>
        <stp>62540.T</stp>
        <stp>高値</stp>
        <tr r="C30" s="9"/>
        <tr r="H108" s="4"/>
        <tr r="H5" s="5"/>
      </tp>
      <tp>
        <v>1415</v>
        <stp/>
        <stp>Market</stp>
        <stp>STOCK</stp>
        <stp>74140.T</stp>
        <stp>高値</stp>
        <tr r="C294" s="9"/>
      </tp>
      <tp>
        <v>908</v>
        <stp/>
        <stp>Market</stp>
        <stp>STOCK</stp>
        <stp>77940.T</stp>
        <stp>高値</stp>
        <tr r="H66" s="4"/>
        <tr r="H80" s="5"/>
        <tr r="C136" s="9"/>
      </tp>
      <tp>
        <v>4340</v>
        <stp/>
        <stp>Market</stp>
        <stp>STOCK</stp>
        <stp>70140.T</stp>
        <stp>高値</stp>
        <tr r="C256" s="9"/>
      </tp>
      <tp>
        <v>3355</v>
        <stp/>
        <stp>Market</stp>
        <stp>STOCK</stp>
        <stp>45440.T</stp>
        <stp>高値</stp>
        <tr r="C273" s="9"/>
      </tp>
      <tp>
        <v>6543</v>
        <stp/>
        <stp>Market</stp>
        <stp>STOCK</stp>
        <stp>47040.T</stp>
        <stp>高値</stp>
        <tr r="C254" s="9"/>
      </tp>
      <tp>
        <v>16260</v>
        <stp/>
        <stp>Market</stp>
        <stp>STOCK</stp>
        <stp>40040.T</stp>
        <stp>高値</stp>
        <tr r="C213" s="9"/>
      </tp>
      <tp>
        <v>4659</v>
        <stp/>
        <stp>Market</stp>
        <stp>STOCK</stp>
        <stp>58440.T</stp>
        <stp>高値</stp>
        <tr r="C118" s="9"/>
        <tr r="H123" s="4"/>
        <tr r="H61" s="5"/>
      </tp>
      <tp>
        <v>8628</v>
        <stp/>
        <stp>Market</stp>
        <stp>STOCK</stp>
        <stp>57140.T</stp>
        <stp>高値</stp>
        <tr r="H47" s="5"/>
        <tr r="H128" s="4"/>
        <tr r="C10" s="9"/>
      </tp>
    </main>
    <main first="rtdsrv.e07a56084d7946cdb07ca2177ccd3d26">
      <tp>
        <v>54085.88</v>
        <stp/>
        <stp>Market</stp>
        <stp>INDEX</stp>
        <stp>DJIA</stp>
        <stp>現在値</stp>
        <tr r="B3" s="17"/>
      </tp>
      <tp>
        <v>797</v>
        <stp/>
        <stp>Market</stp>
        <stp>STOCK</stp>
        <stp>80070.T</stp>
        <stp>高値</stp>
        <tr r="C281" s="9"/>
      </tp>
      <tp>
        <v>4375</v>
        <stp/>
        <stp>Market</stp>
        <stp>STOCK</stp>
        <stp>96870.T</stp>
        <stp>高値</stp>
        <tr r="H11" s="4"/>
        <tr r="H44" s="5"/>
        <tr r="C162" s="9"/>
      </tp>
      <tp>
        <v>898</v>
        <stp/>
        <stp>Market</stp>
        <stp>STOCK</stp>
        <stp>92270.T</stp>
        <stp>高値</stp>
        <tr r="H25" s="4"/>
        <tr r="H146" s="5"/>
        <tr r="C111" s="9"/>
      </tp>
      <tp>
        <v>637</v>
        <stp/>
        <stp>Market</stp>
        <stp>STOCK</stp>
        <stp>21270.T</stp>
        <stp>高値</stp>
        <tr r="H161" s="5"/>
        <tr r="H196" s="4"/>
        <tr r="C187" s="9"/>
      </tp>
      <tp>
        <v>3713</v>
        <stp/>
        <stp>Market</stp>
        <stp>STOCK</stp>
        <stp>23270.T</stp>
        <stp>高値</stp>
        <tr r="H194" s="4"/>
        <tr r="H154" s="5"/>
        <tr r="C174" s="9"/>
      </tp>
      <tp>
        <v>2821.5</v>
        <stp/>
        <stp>Market</stp>
        <stp>STOCK</stp>
        <stp>22670.T</stp>
        <stp>高値</stp>
        <tr r="C226" s="9"/>
      </tp>
      <tp>
        <v>1639.5</v>
        <stp/>
        <stp>Market</stp>
        <stp>STOCK</stp>
        <stp>34070.T</stp>
        <stp>高値</stp>
        <tr r="H183" s="5"/>
        <tr r="H182" s="4"/>
        <tr r="C94" s="9"/>
      </tp>
      <tp>
        <v>3718</v>
        <stp/>
        <stp>Market</stp>
        <stp>STOCK</stp>
        <stp>31070.T</stp>
        <stp>高値</stp>
        <tr r="H186" s="4"/>
        <tr r="H13" s="5"/>
        <tr r="C60" s="9"/>
      </tp>
      <tp>
        <v>4168</v>
        <stp/>
        <stp>Market</stp>
        <stp>STOCK</stp>
        <stp>33970.T</stp>
        <stp>高値</stp>
        <tr r="C285" s="9"/>
      </tp>
      <tp>
        <v>2775</v>
        <stp/>
        <stp>Market</stp>
        <stp>STOCK</stp>
        <stp>14070.T</stp>
        <stp>高値</stp>
        <tr r="C217" s="9"/>
      </tp>
      <tp>
        <v>3565</v>
        <stp/>
        <stp>Market</stp>
        <stp>STOCK</stp>
        <stp>69970.T</stp>
        <stp>高値</stp>
        <tr r="C272" s="9"/>
      </tp>
      <tp>
        <v>33640</v>
        <stp/>
        <stp>Market</stp>
        <stp>STOCK</stp>
        <stp>68570.T</stp>
        <stp>高値</stp>
        <tr r="C158" s="9"/>
        <tr r="H83" s="4"/>
        <tr r="H113" s="5"/>
      </tp>
      <tp>
        <v>15060</v>
        <stp/>
        <stp>Market</stp>
        <stp>STOCK</stp>
        <stp>65070.T</stp>
        <stp>高値</stp>
        <tr r="C183" s="9"/>
        <tr r="H97" s="4"/>
        <tr r="H64" s="5"/>
      </tp>
      <tp>
        <v>6790</v>
        <stp/>
        <stp>Market</stp>
        <stp>STOCK</stp>
        <stp>64070.T</stp>
        <stp>高値</stp>
        <tr r="C295" s="9"/>
      </tp>
      <tp>
        <v>21540</v>
        <stp/>
        <stp>Market</stp>
        <stp>STOCK</stp>
        <stp>67770.T</stp>
        <stp>高値</stp>
        <tr r="C144" s="9"/>
        <tr r="H130" s="5"/>
        <tr r="H87" s="4"/>
      </tp>
      <tp>
        <v>24740</v>
        <stp/>
        <stp>Market</stp>
        <stp>STOCK</stp>
        <stp>67870.T</stp>
        <stp>高値</stp>
        <tr r="H86" s="4"/>
        <tr r="H10" s="5"/>
        <tr r="C145" s="9"/>
      </tp>
      <tp>
        <v>2364</v>
        <stp/>
        <stp>Market</stp>
        <stp>STOCK</stp>
        <stp>60270.T</stp>
        <stp>高値</stp>
        <tr r="H98" s="5"/>
        <tr r="C72" s="9"/>
        <tr r="H116" s="4"/>
      </tp>
      <tp>
        <v>3500</v>
        <stp/>
        <stp>Market</stp>
        <stp>STOCK</stp>
        <stp>63270.T</stp>
        <stp>高値</stp>
        <tr r="H105" s="4"/>
        <tr r="C133" s="9"/>
        <tr r="H27" s="5"/>
      </tp>
      <tp>
        <v>9960</v>
        <stp/>
        <stp>Market</stp>
        <stp>STOCK</stp>
        <stp>63870.T</stp>
        <stp>高値</stp>
        <tr r="H103" s="4"/>
        <tr r="H62" s="5"/>
        <tr r="C147" s="9"/>
      </tp>
      <tp>
        <v>7600</v>
        <stp/>
        <stp>Market</stp>
        <stp>STOCK</stp>
        <stp>62270.T</stp>
        <stp>高値</stp>
        <tr r="H110" s="4"/>
        <tr r="H108" s="5"/>
        <tr r="C132" s="9"/>
      </tp>
      <tp>
        <v>1517</v>
        <stp/>
        <stp>Market</stp>
        <stp>STOCK</stp>
        <stp>71670.T</stp>
        <stp>高値</stp>
        <tr r="H101" s="5"/>
        <tr r="H75" s="4"/>
        <tr r="C82" s="9"/>
      </tp>
      <tp>
        <v>1619</v>
        <stp/>
        <stp>Market</stp>
        <stp>STOCK</stp>
        <stp>48870.T</stp>
        <stp>高値</stp>
        <tr r="H152" s="4"/>
        <tr r="C192" s="9"/>
        <tr r="H195" s="5"/>
      </tp>
      <tp>
        <v>4465</v>
        <stp/>
        <stp>Market</stp>
        <stp>STOCK</stp>
        <stp>44170.T</stp>
        <stp>高値</stp>
        <tr r="H163" s="4"/>
        <tr r="C153" s="9"/>
        <tr r="H112" s="5"/>
      </tp>
      <tp>
        <v>3065</v>
        <stp/>
        <stp>Market</stp>
        <stp>STOCK</stp>
        <stp>40470.T</stp>
        <stp>高値</stp>
        <tr r="C289" s="9"/>
      </tp>
      <tp>
        <v>4660</v>
        <stp/>
        <stp>Market</stp>
        <stp>STOCK</stp>
        <stp>43070.T</stp>
        <stp>高値</stp>
        <tr r="H166" s="4"/>
        <tr r="H151" s="5"/>
        <tr r="C150" s="9"/>
      </tp>
      <tp>
        <v>3497</v>
        <stp/>
        <stp>Market</stp>
        <stp>STOCK</stp>
        <stp>59470.T</stp>
        <stp>高値</stp>
        <tr r="H96" s="5"/>
        <tr r="C42" s="9"/>
        <tr r="H117" s="4"/>
      </tp>
      <tp>
        <v>3305</v>
        <stp/>
        <stp>Market</stp>
        <stp>STOCK</stp>
        <stp>58570.T</stp>
        <stp>高値</stp>
        <tr r="H122" s="4"/>
        <tr r="H52" s="5"/>
        <tr r="C62" s="9"/>
      </tp>
    </main>
    <main first="rtdsrv.e07a56084d7946cdb07ca2177ccd3d26">
      <tp>
        <v>7819</v>
        <stp/>
        <stp>Market</stp>
        <stp>STOCK</stp>
        <stp>87660.T</stp>
        <stp>高値</stp>
        <tr r="C52" s="9"/>
        <tr r="H35" s="4"/>
        <tr r="H174" s="5"/>
      </tp>
      <tp>
        <v>3550</v>
        <stp/>
        <stp>Market</stp>
        <stp>STOCK</stp>
        <stp>83060.T</stp>
        <stp>高値</stp>
        <tr r="H201" s="5"/>
        <tr r="H53" s="4"/>
        <tr r="C45" s="9"/>
      </tp>
      <tp>
        <v>6655</v>
        <stp/>
        <stp>Market</stp>
        <stp>STOCK</stp>
        <stp>83160.T</stp>
        <stp>高値</stp>
        <tr r="H70" s="5"/>
        <tr r="H50" s="4"/>
        <tr r="C50" s="9"/>
      </tp>
      <tp>
        <v>1208</v>
        <stp/>
        <stp>Market</stp>
        <stp>STOCK</stp>
        <stp>95060.T</stp>
        <stp>高値</stp>
        <tr r="H193" s="5"/>
        <tr r="H16" s="4"/>
        <tr r="C186" s="9"/>
      </tp>
      <tp>
        <v>2397</v>
        <stp/>
        <stp>Market</stp>
        <stp>STOCK</stp>
        <stp>95360.T</stp>
        <stp>高値</stp>
        <tr r="H13" s="4"/>
        <tr r="H160" s="5"/>
        <tr r="C185" s="9"/>
      </tp>
      <tp>
        <v>1025</v>
        <stp/>
        <stp>Market</stp>
        <stp>STOCK</stp>
        <stp>94160.T</stp>
        <stp>高値</stp>
        <tr r="C126" s="9"/>
        <tr r="H107" s="5"/>
        <tr r="H21" s="4"/>
      </tp>
      <tp>
        <v>4390</v>
        <stp/>
        <stp>Market</stp>
        <stp>STOCK</stp>
        <stp>23260.T</stp>
        <stp>高値</stp>
        <tr r="C237" s="9"/>
      </tp>
      <tp>
        <v>164</v>
        <stp/>
        <stp>Market</stp>
        <stp>STOCK</stp>
        <stp>39360.T</stp>
        <stp>高値</stp>
        <tr r="C245" s="9"/>
      </tp>
      <tp>
        <v>3869</v>
        <stp/>
        <stp>Market</stp>
        <stp>STOCK</stp>
        <stp>34360.T</stp>
        <stp>高値</stp>
        <tr r="H4" s="5"/>
        <tr r="H181" s="4"/>
        <tr r="C28" s="9"/>
      </tp>
      <tp>
        <v>2090</v>
        <stp/>
        <stp>Market</stp>
        <stp>STOCK</stp>
        <stp>36960.T</stp>
        <stp>高値</stp>
        <tr r="C228" s="9"/>
      </tp>
      <tp>
        <v>5405</v>
        <stp/>
        <stp>Market</stp>
        <stp>STOCK</stp>
        <stp>65060.T</stp>
        <stp>高値</stp>
        <tr r="H20" s="5"/>
        <tr r="H98" s="4"/>
        <tr r="C201" s="9"/>
      </tp>
      <tp>
        <v>6190</v>
        <stp/>
        <stp>Market</stp>
        <stp>STOCK</stp>
        <stp>65160.T</stp>
        <stp>高値</stp>
        <tr r="H29" s="5"/>
        <tr r="H96" s="4"/>
        <tr r="C151" s="9"/>
      </tp>
      <tp>
        <v>3884</v>
        <stp/>
        <stp>Market</stp>
        <stp>STOCK</stp>
        <stp>64360.T</stp>
        <stp>高値</stp>
        <tr r="H102" s="4"/>
        <tr r="H155" s="5"/>
        <tr r="C178" s="9"/>
      </tp>
      <tp>
        <v>3205</v>
        <stp/>
        <stp>Market</stp>
        <stp>STOCK</stp>
        <stp>67060.T</stp>
        <stp>高値</stp>
        <tr r="C291" s="9"/>
      </tp>
      <tp>
        <v>11350</v>
        <stp/>
        <stp>Market</stp>
        <stp>STOCK</stp>
        <stp>67360.T</stp>
        <stp>高値</stp>
        <tr r="C287" s="9"/>
      </tp>
      <tp>
        <v>64480</v>
        <stp/>
        <stp>Market</stp>
        <stp>STOCK</stp>
        <stp>61460.T</stp>
        <stp>高値</stp>
        <tr r="C197" s="9"/>
        <tr r="H113" s="4"/>
        <tr r="H120" s="5"/>
      </tp>
      <tp>
        <v>1388</v>
        <stp/>
        <stp>Market</stp>
        <stp>STOCK</stp>
        <stp>63560.T</stp>
        <stp>高値</stp>
        <tr r="C267" s="9"/>
      </tp>
      <tp>
        <v>710</v>
        <stp/>
        <stp>Market</stp>
        <stp>STOCK</stp>
        <stp>63660.T</stp>
        <stp>高値</stp>
        <tr r="C260" s="9"/>
      </tp>
      <tp>
        <v>4090</v>
        <stp/>
        <stp>Market</stp>
        <stp>STOCK</stp>
        <stp>63760.T</stp>
        <stp>高値</stp>
        <tr r="C269" s="9"/>
      </tp>
      <tp>
        <v>7940</v>
        <stp/>
        <stp>Market</stp>
        <stp>STOCK</stp>
        <stp>78060.T</stp>
        <stp>高値</stp>
        <tr r="H65" s="4"/>
        <tr r="H55" s="5"/>
        <tr r="C73" s="9"/>
      </tp>
      <tp>
        <v>1789.5</v>
        <stp/>
        <stp>Market</stp>
        <stp>STOCK</stp>
        <stp>78460.T</stp>
        <stp>高値</stp>
        <tr r="H64" s="4"/>
        <tr r="H202" s="5"/>
        <tr r="C75" s="9"/>
      </tp>
      <tp>
        <v>755</v>
        <stp/>
        <stp>Market</stp>
        <stp>STOCK</stp>
        <stp>77460.T</stp>
        <stp>高値</stp>
        <tr r="H67" s="4"/>
        <tr r="H144" s="5"/>
        <tr r="C93" s="9"/>
      </tp>
      <tp>
        <v>1535</v>
        <stp/>
        <stp>Market</stp>
        <stp>STOCK</stp>
        <stp>72360.T</stp>
        <stp>高値</stp>
        <tr r="C177" s="9"/>
        <tr r="H137" s="5"/>
        <tr r="H72" s="4"/>
      </tp>
      <tp>
        <v>25750</v>
        <stp/>
        <stp>Market</stp>
        <stp>STOCK</stp>
        <stp>49660.T</stp>
        <stp>高値</stp>
        <tr r="H150" s="4"/>
        <tr r="C196" s="9"/>
        <tr r="H34" s="5"/>
      </tp>
      <tp>
        <v>1875</v>
        <stp/>
        <stp>Market</stp>
        <stp>STOCK</stp>
        <stp>45360.T</stp>
        <stp>高値</stp>
        <tr r="H125" s="5"/>
        <tr r="C67" s="9"/>
        <tr r="H158" s="4"/>
      </tp>
      <tp>
        <v>2732</v>
        <stp/>
        <stp>Market</stp>
        <stp>STOCK</stp>
        <stp>47760.T</stp>
        <stp>高値</stp>
        <tr r="C253" s="9"/>
      </tp>
      <tp>
        <v>4103</v>
        <stp/>
        <stp>Market</stp>
        <stp>STOCK</stp>
        <stp>46760.T</stp>
        <stp>高値</stp>
        <tr r="H155" s="4"/>
        <tr r="C58" s="9"/>
        <tr r="H177" s="5"/>
      </tp>
      <tp>
        <v>2093.5</v>
        <stp/>
        <stp>Market</stp>
        <stp>STOCK</stp>
        <stp>54060.T</stp>
        <stp>高値</stp>
        <tr r="H95" s="5"/>
        <tr r="H139" s="4"/>
        <tr r="C38" s="9"/>
      </tp>
      <tp>
        <v>35270</v>
        <stp/>
        <stp>Market</stp>
        <stp>STOCK</stp>
        <stp>57060.T</stp>
        <stp>高値</stp>
        <tr r="H131" s="4"/>
        <tr r="C6" s="9"/>
        <tr r="H11" s="5"/>
      </tp>
    </main>
    <main first="rtdsrv.e07a56084d7946cdb07ca2177ccd3d26">
      <tp>
        <v>1495.5</v>
        <stp/>
        <stp>Market</stp>
        <stp>STOCK</stp>
        <stp>88010.T</stp>
        <stp>高値</stp>
        <tr r="H33" s="4"/>
        <tr r="C124" s="9"/>
        <tr r="H129" s="5"/>
      </tp>
      <tp>
        <v>3260</v>
        <stp/>
        <stp>Market</stp>
        <stp>STOCK</stp>
        <stp>88710.T</stp>
        <stp>高値</stp>
        <tr r="C278" s="9"/>
      </tp>
      <tp>
        <v>6508</v>
        <stp/>
        <stp>Market</stp>
        <stp>STOCK</stp>
        <stp>85910.T</stp>
        <stp>高値</stp>
        <tr r="H43" s="4"/>
        <tr r="H67" s="5"/>
        <tr r="C26" s="9"/>
      </tp>
      <tp>
        <v>8473</v>
        <stp/>
        <stp>Market</stp>
        <stp>STOCK</stp>
        <stp>84110.T</stp>
        <stp>高値</stp>
        <tr r="H66" s="5"/>
        <tr r="H47" s="4"/>
        <tr r="C19" s="9"/>
      </tp>
      <tp>
        <v>1830</v>
        <stp/>
        <stp>Market</stp>
        <stp>STOCK</stp>
        <stp>86010.T</stp>
        <stp>高値</stp>
        <tr r="H41" s="4"/>
        <tr r="H198" s="5"/>
        <tr r="C33" s="9"/>
      </tp>
      <tp>
        <v>1569</v>
        <stp/>
        <stp>Market</stp>
        <stp>STOCK</stp>
        <stp>81410.T</stp>
        <stp>高値</stp>
        <tr r="C292" s="9"/>
      </tp>
      <tp>
        <v>2358</v>
        <stp/>
        <stp>Market</stp>
        <stp>STOCK</stp>
        <stp>80910.T</stp>
        <stp>高値</stp>
        <tr r="H57" s="4"/>
        <tr r="H158" s="5"/>
        <tr r="C182" s="9"/>
      </tp>
      <tp>
        <v>1079</v>
        <stp/>
        <stp>Market</stp>
        <stp>STOCK</stp>
        <stp>82810.T</stp>
        <stp>高値</stp>
        <tr r="H179" s="5"/>
        <tr r="H55" s="4"/>
        <tr r="C63" s="9"/>
      </tp>
      <tp>
        <v>534.29999999999995</v>
        <stp/>
        <stp>Market</stp>
        <stp>STOCK</stp>
        <stp>95010.T</stp>
        <stp>高値</stp>
        <tr r="H105" s="5"/>
        <tr r="C114" s="9"/>
        <tr r="H18" s="4"/>
      </tp>
      <tp>
        <v>6079</v>
        <stp/>
        <stp>Market</stp>
        <stp>STOCK</stp>
        <stp>95310.T</stp>
        <stp>高値</stp>
        <tr r="H15" s="4"/>
        <tr r="H203" s="5"/>
        <tr r="C115" s="9"/>
      </tp>
      <tp>
        <v>3350</v>
        <stp/>
        <stp>Market</stp>
        <stp>STOCK</stp>
        <stp>95510.T</stp>
        <stp>高値</stp>
        <tr r="H134" s="5"/>
        <tr r="C167" s="9"/>
        <tr r="H12" s="4"/>
      </tp>
      <tp>
        <v>6005</v>
        <stp/>
        <stp>Market</stp>
        <stp>STOCK</stp>
        <stp>91010.T</stp>
        <stp>高値</stp>
        <tr r="H27" s="4"/>
        <tr r="H164" s="5"/>
        <tr r="C206" s="9"/>
      </tp>
      <tp>
        <v>1614.5</v>
        <stp/>
        <stp>Market</stp>
        <stp>STOCK</stp>
        <stp>39410.T</stp>
        <stp>高値</stp>
        <tr r="C48" s="9"/>
        <tr r="H176" s="4"/>
        <tr r="H142" s="5"/>
      </tp>
      <tp>
        <v>878.1</v>
        <stp/>
        <stp>Market</stp>
        <stp>STOCK</stp>
        <stp>38610.T</stp>
        <stp>高値</stp>
        <tr r="H123" s="5"/>
        <tr r="H179" s="4"/>
        <tr r="C41" s="9"/>
      </tp>
      <tp>
        <v>7700</v>
        <stp/>
        <stp>Market</stp>
        <stp>STOCK</stp>
        <stp>38910.T</stp>
        <stp>高値</stp>
        <tr r="H43" s="5"/>
        <tr r="H177" s="4"/>
        <tr r="C159" s="9"/>
      </tp>
      <tp>
        <v>1659</v>
        <stp/>
        <stp>Market</stp>
        <stp>STOCK</stp>
        <stp>34010.T</stp>
        <stp>高値</stp>
        <tr r="H184" s="4"/>
        <tr r="H169" s="5"/>
        <tr r="C27" s="9"/>
      </tp>
      <tp>
        <v>2472</v>
        <stp/>
        <stp>Market</stp>
        <stp>STOCK</stp>
        <stp>19610.T</stp>
        <stp>高値</stp>
        <tr r="H198" s="4"/>
        <tr r="H51" s="5"/>
        <tr r="C59" s="9"/>
      </tp>
      <tp>
        <v>68430</v>
        <stp/>
        <stp>Market</stp>
        <stp>STOCK</stp>
        <stp>13210.T</stp>
        <stp>高値</stp>
        <tr r="C303" s="9"/>
      </tp>
      <tp>
        <v>7907</v>
        <stp/>
        <stp>Market</stp>
        <stp>STOCK</stp>
        <stp>69810.T</stp>
        <stp>高値</stp>
        <tr r="H78" s="4"/>
        <tr r="H30" s="5"/>
        <tr r="C154" s="9"/>
      </tp>
      <tp>
        <v>5581</v>
        <stp/>
        <stp>Market</stp>
        <stp>STOCK</stp>
        <stp>68410.T</stp>
        <stp>高値</stp>
        <tr r="H84" s="4"/>
        <tr r="H100" s="5"/>
        <tr r="C81" s="9"/>
      </tp>
      <tp>
        <v>87140</v>
        <stp/>
        <stp>Market</stp>
        <stp>STOCK</stp>
        <stp>68610.T</stp>
        <stp>高値</stp>
        <tr r="C209" s="9"/>
      </tp>
      <tp>
        <v>5473</v>
        <stp/>
        <stp>Market</stp>
        <stp>STOCK</stp>
        <stp>65010.T</stp>
        <stp>高値</stp>
        <tr r="H126" s="5"/>
        <tr r="H100" s="4"/>
        <tr r="C91" s="9"/>
      </tp>
      <tp>
        <v>3280</v>
        <stp/>
        <stp>Market</stp>
        <stp>STOCK</stp>
        <stp>65210.T</stp>
        <stp>高値</stp>
        <tr r="C242" s="9"/>
      </tp>
      <tp>
        <v>4753</v>
        <stp/>
        <stp>Market</stp>
        <stp>STOCK</stp>
        <stp>67010.T</stp>
        <stp>高値</stp>
        <tr r="H93" s="4"/>
        <tr r="H139" s="5"/>
        <tr r="C11" s="9"/>
      </tp>
      <tp>
        <v>3280</v>
        <stp/>
        <stp>Market</stp>
        <stp>STOCK</stp>
        <stp>63310.T</stp>
        <stp>高値</stp>
        <tr r="C301" s="9"/>
      </tp>
      <tp>
        <v>6027</v>
        <stp/>
        <stp>Market</stp>
        <stp>STOCK</stp>
        <stp>63610.T</stp>
        <stp>高値</stp>
        <tr r="C249" s="9"/>
      </tp>
      <tp>
        <v>3010</v>
        <stp/>
        <stp>Market</stp>
        <stp>STOCK</stp>
        <stp>79810.T</stp>
        <stp>高値</stp>
        <tr r="H116" s="5"/>
        <tr r="H63" s="4"/>
        <tr r="C171" s="9"/>
      </tp>
      <tp>
        <v>4630</v>
        <stp/>
        <stp>Market</stp>
        <stp>STOCK</stp>
        <stp>77110.T</stp>
        <stp>高値</stp>
        <tr r="C268" s="9"/>
      </tp>
      <tp>
        <v>26925</v>
        <stp/>
        <stp>Market</stp>
        <stp>STOCK</stp>
        <stp>77410.T</stp>
        <stp>高値</stp>
        <tr r="C302" s="9"/>
      </tp>
      <tp>
        <v>1728</v>
        <stp/>
        <stp>Market</stp>
        <stp>STOCK</stp>
        <stp>71810.T</stp>
        <stp>高値</stp>
        <tr r="H119" s="5"/>
        <tr r="C190" s="9"/>
        <tr r="H5" s="4"/>
      </tp>
      <tp>
        <v>4072</v>
        <stp/>
        <stp>Market</stp>
        <stp>STOCK</stp>
        <stp>70110.T</stp>
        <stp>高値</stp>
        <tr r="H77" s="4"/>
        <tr r="H197" s="5"/>
        <tr r="C207" s="9"/>
      </tp>
      <tp>
        <v>2149</v>
        <stp/>
        <stp>Market</stp>
        <stp>STOCK</stp>
        <stp>70210.T</stp>
        <stp>高値</stp>
        <tr r="H76" s="4"/>
        <tr r="H76" s="5"/>
        <tr r="C106" s="9"/>
      </tp>
      <tp>
        <v>1178</v>
        <stp/>
        <stp>Market</stp>
        <stp>STOCK</stp>
        <stp>73810.T</stp>
        <stp>高値</stp>
        <tr r="H70" s="4"/>
        <tr r="H63" s="5"/>
        <tr r="C152" s="9"/>
      </tp>
      <tp>
        <v>2943</v>
        <stp/>
        <stp>Market</stp>
        <stp>STOCK</stp>
        <stp>46610.T</stp>
        <stp>高値</stp>
        <tr r="H103" s="5"/>
        <tr r="C101" s="9"/>
        <tr r="H156" s="4"/>
      </tp>
      <tp>
        <v>5948</v>
        <stp/>
        <stp>Market</stp>
        <stp>STOCK</stp>
        <stp>40910.T</stp>
        <stp>高値</stp>
        <tr r="H169" s="4"/>
        <tr r="C157" s="9"/>
        <tr r="H152" s="5"/>
      </tp>
      <tp>
        <v>4305</v>
        <stp/>
        <stp>Market</stp>
        <stp>STOCK</stp>
        <stp>59010.T</stp>
        <stp>高値</stp>
        <tr r="H120" s="4"/>
        <tr r="H71" s="5"/>
        <tr r="C55" s="9"/>
      </tp>
      <tp>
        <v>3976</v>
        <stp/>
        <stp>Market</stp>
        <stp>STOCK</stp>
        <stp>58010.T</stp>
        <stp>高値</stp>
        <tr r="H45" s="5"/>
        <tr r="H127" s="4"/>
        <tr r="C200" s="9"/>
      </tp>
      <tp>
        <v>2558</v>
        <stp/>
        <stp>Market</stp>
        <stp>STOCK</stp>
        <stp>55410.T</stp>
        <stp>高値</stp>
        <tr r="H133" s="4"/>
        <tr r="H90" s="5"/>
        <tr r="C20" s="9"/>
      </tp>
      <tp>
        <v>675.7</v>
        <stp/>
        <stp>Market</stp>
        <stp>STOCK</stp>
        <stp>54010.T</stp>
        <stp>高値</stp>
        <tr r="C46" s="9"/>
        <tr r="H140" s="4"/>
        <tr r="H173" s="5"/>
      </tp>
      <tp>
        <v>1805.5</v>
        <stp/>
        <stp>Market</stp>
        <stp>STOCK</stp>
        <stp>54110.T</stp>
        <stp>高値</stp>
        <tr r="H137" s="4"/>
        <tr r="H7" s="5"/>
        <tr r="C84" s="9"/>
      </tp>
      <tp>
        <v>4404</v>
        <stp/>
        <stp>Market</stp>
        <stp>STOCK</stp>
        <stp>57110.T</stp>
        <stp>高値</stp>
        <tr r="H130" s="4"/>
        <tr r="H87" s="5"/>
        <tr r="C9" s="9"/>
      </tp>
      <tp>
        <v>7843</v>
        <stp/>
        <stp>Market</stp>
        <stp>STOCK</stp>
        <stp>56310.T</stp>
        <stp>高値</stp>
        <tr r="C263" s="9"/>
      </tp>
      <tp>
        <v>3828</v>
        <stp/>
        <stp>Market</stp>
        <stp>STOCK</stp>
        <stp>50210.T</stp>
        <stp>高値</stp>
        <tr r="H88" s="5"/>
        <tr r="H146" s="4"/>
        <tr r="C15" s="9"/>
      </tp>
      <tp>
        <v>5821</v>
        <stp/>
        <stp>Market</stp>
        <stp>STOCK</stp>
        <stp>52010.T</stp>
        <stp>高値</stp>
        <tr r="H145" s="4"/>
        <tr r="H175" s="5"/>
        <tr r="C53" s="9"/>
      </tp>
    </main>
    <main first="rtdsrv.e07a56084d7946cdb07ca2177ccd3d26">
      <tp>
        <v>1549</v>
        <stp/>
        <stp>Market</stp>
        <stp>STOCK</stp>
        <stp>85700.T</stp>
        <stp>高値</stp>
        <tr r="H94" s="5"/>
        <tr r="H45" s="4"/>
        <tr r="C37" s="9"/>
      </tp>
      <tp>
        <v>1903</v>
        <stp/>
        <stp>Market</stp>
        <stp>STOCK</stp>
        <stp>87500.T</stp>
        <stp>高値</stp>
        <tr r="H36" s="4"/>
        <tr r="H200" s="5"/>
        <tr r="C43" s="9"/>
      </tp>
      <tp>
        <v>6944</v>
        <stp/>
        <stp>Market</stp>
        <stp>STOCK</stp>
        <stp>86300.T</stp>
        <stp>高値</stp>
        <tr r="C54" s="9"/>
        <tr r="H176" s="5"/>
        <tr r="H39" s="4"/>
      </tp>
      <tp>
        <v>3800</v>
        <stp/>
        <stp>Market</stp>
        <stp>STOCK</stp>
        <stp>98800.T</stp>
        <stp>高値</stp>
        <tr r="C257" s="9"/>
      </tp>
      <tp>
        <v>3447</v>
        <stp/>
        <stp>Market</stp>
        <stp>STOCK</stp>
        <stp>90200.T</stp>
        <stp>高値</stp>
        <tr r="H104" s="5"/>
        <tr r="H30" s="4"/>
        <tr r="C109" s="9"/>
      </tp>
      <tp>
        <v>2665</v>
        <stp/>
        <stp>Market</stp>
        <stp>STOCK</stp>
        <stp>21600.T</stp>
        <stp>高値</stp>
        <tr r="H187" s="5"/>
        <tr r="H195" s="4"/>
        <tr r="C131" s="9"/>
      </tp>
      <tp>
        <v>3610</v>
        <stp/>
        <stp>Market</stp>
        <stp>STOCK</stp>
        <stp>31100.T</stp>
        <stp>高値</stp>
        <tr r="H185" s="4"/>
        <tr r="C134" s="9"/>
        <tr r="H109" s="5"/>
      </tp>
      <tp>
        <v>1528</v>
        <stp/>
        <stp>Market</stp>
        <stp>STOCK</stp>
        <stp>19300.T</stp>
        <stp>高値</stp>
        <tr r="C163" s="9"/>
        <tr r="H83" s="5"/>
        <tr r="H201" s="4"/>
      </tp>
      <tp>
        <v>69610</v>
        <stp/>
        <stp>Market</stp>
        <stp>STOCK</stp>
        <stp>15700.T</stp>
        <stp>高値</stp>
        <tr r="C222" s="9"/>
      </tp>
      <tp>
        <v>46730</v>
        <stp/>
        <stp>Market</stp>
        <stp>STOCK</stp>
        <stp>69200.T</stp>
        <stp>高値</stp>
        <tr r="H81" s="4"/>
        <tr r="H84" s="5"/>
        <tr r="C199" s="9"/>
      </tp>
      <tp>
        <v>9420</v>
        <stp/>
        <stp>Market</stp>
        <stp>STOCK</stp>
        <stp>68900.T</stp>
        <stp>高値</stp>
        <tr r="H82" s="4"/>
        <tr r="H33" s="5"/>
        <tr r="C195" s="9"/>
      </tp>
      <tp>
        <v>48</v>
        <stp/>
        <stp>Market</stp>
        <stp>STOCK</stp>
        <stp>67400.T</stp>
        <stp>高値</stp>
        <tr r="H189" s="5"/>
        <tr r="H92" s="4"/>
        <tr r="C140" s="9"/>
      </tp>
      <tp>
        <v>1219</v>
        <stp/>
        <stp>Market</stp>
        <stp>STOCK</stp>
        <stp>61400.T</stp>
        <stp>高値</stp>
        <tr r="C261" s="9"/>
      </tp>
      <tp>
        <v>2110</v>
        <stp/>
        <stp>Market</stp>
        <stp>STOCK</stp>
        <stp>63300.T</stp>
        <stp>高値</stp>
        <tr r="C128" s="9"/>
        <tr r="H186" s="5"/>
        <tr r="H104" s="4"/>
      </tp>
      <tp>
        <v>9190</v>
        <stp/>
        <stp>Market</stp>
        <stp>STOCK</stp>
        <stp>63700.T</stp>
        <stp>高値</stp>
        <tr r="C255" s="9"/>
      </tp>
      <tp>
        <v>2653.5</v>
        <stp/>
        <stp>Market</stp>
        <stp>STOCK</stp>
        <stp>72700.T</stp>
        <stp>高値</stp>
        <tr r="C286" s="9"/>
      </tp>
      <tp>
        <v>3347</v>
        <stp/>
        <stp>Market</stp>
        <stp>STOCK</stp>
        <stp>49800.T</stp>
        <stp>高値</stp>
        <tr r="H72" s="5"/>
        <tr r="C69" s="9"/>
        <tr r="H149" s="4"/>
      </tp>
      <tp>
        <v>3770</v>
        <stp/>
        <stp>Market</stp>
        <stp>STOCK</stp>
        <stp>45400.T</stp>
        <stp>高値</stp>
        <tr r="H124" s="5"/>
        <tr r="H157" s="4"/>
        <tr r="C64" s="9"/>
      </tp>
      <tp>
        <v>2862</v>
        <stp/>
        <stp>Market</stp>
        <stp>STOCK</stp>
        <stp>54100.T</stp>
        <stp>高値</stp>
        <tr r="C179" s="9"/>
        <tr r="H138" s="4"/>
        <tr r="H118" s="5"/>
      </tp>
      <tp>
        <v>1873</v>
        <stp/>
        <stp>Market</stp>
        <stp>STOCK</stp>
        <stp>54400.T</stp>
        <stp>高値</stp>
        <tr r="H135" s="4"/>
        <tr r="C180" s="9"/>
        <tr r="H156" s="5"/>
      </tp>
      <tp>
        <v>1301</v>
        <stp/>
        <stp>Market</stp>
        <stp>STOCK</stp>
        <stp>50200.T</stp>
        <stp>高値</stp>
        <tr r="C29" s="9"/>
        <tr r="H141" s="5"/>
        <tr r="H147" s="4"/>
      </tp>
    </main>
    <main first="rtdsrv.e07a56084d7946cdb07ca2177ccd3d26">
      <tp>
        <v>4037.29</v>
        <stp/>
        <stp>Market</stp>
        <stp>INDEX</stp>
        <stp>TOPX</stp>
        <stp>高値</stp>
        <tr r="C5" s="9"/>
      </tp>
      <tp>
        <v>1422</v>
        <stp/>
        <stp>Market</stp>
        <stp>STOCK</stp>
        <stp>85930.T</stp>
        <stp>高値</stp>
        <tr r="C39" s="9"/>
        <tr r="H42" s="4"/>
        <tr r="H171" s="5"/>
      </tp>
      <tp>
        <v>4055</v>
        <stp/>
        <stp>Market</stp>
        <stp>STOCK</stp>
        <stp>87930.T</stp>
        <stp>高値</stp>
        <tr r="C232" s="9"/>
      </tp>
      <tp>
        <v>900</v>
        <stp/>
        <stp>Market</stp>
        <stp>STOCK</stp>
        <stp>81030.T</stp>
        <stp>高値</stp>
        <tr r="H56" s="4"/>
        <tr r="H136" s="5"/>
        <tr r="C169" s="9"/>
      </tp>
      <tp>
        <v>1712.5</v>
        <stp/>
        <stp>Market</stp>
        <stp>STOCK</stp>
        <stp>80530.T</stp>
        <stp>高値</stp>
        <tr r="H49" s="5"/>
        <tr r="C25" s="9"/>
        <tr r="H59" s="4"/>
      </tp>
      <tp>
        <v>1501</v>
        <stp/>
        <stp>Market</stp>
        <stp>STOCK</stp>
        <stp>83030.T</stp>
        <stp>高値</stp>
        <tr r="H54" s="4"/>
        <tr r="H191" s="5"/>
        <tr r="C172" s="9"/>
      </tp>
      <tp>
        <v>2312</v>
        <stp/>
        <stp>Market</stp>
        <stp>STOCK</stp>
        <stp>97330.T</stp>
        <stp>高値</stp>
        <tr r="H10" s="4"/>
        <tr r="H153" s="5"/>
        <tr r="C166" s="9"/>
      </tp>
      <tp>
        <v>1094</v>
        <stp/>
        <stp>Market</stp>
        <stp>STOCK</stp>
        <stp>29330.T</stp>
        <stp>高値</stp>
        <tr r="C288" s="9"/>
      </tp>
      <tp>
        <v>1373</v>
        <stp/>
        <stp>Market</stp>
        <stp>STOCK</stp>
        <stp>38630.T</stp>
        <stp>高値</stp>
        <tr r="H178" s="4"/>
        <tr r="C32" s="9"/>
        <tr r="H21" s="5"/>
      </tp>
      <tp>
        <v>5832</v>
        <stp/>
        <stp>Market</stp>
        <stp>STOCK</stp>
        <stp>35630.T</stp>
        <stp>高値</stp>
        <tr r="C230" s="9"/>
      </tp>
      <tp>
        <v>1025</v>
        <stp/>
        <stp>Market</stp>
        <stp>STOCK</stp>
        <stp>31030.T</stp>
        <stp>高値</stp>
        <tr r="H187" s="4"/>
        <tr r="C138" s="9"/>
        <tr r="H81" s="5"/>
      </tp>
      <tp>
        <v>1728</v>
        <stp/>
        <stp>Market</stp>
        <stp>STOCK</stp>
        <stp>30030.T</stp>
        <stp>高値</stp>
        <tr r="H188" s="4"/>
        <tr r="H143" s="5"/>
        <tr r="C88" s="9"/>
      </tp>
      <tp>
        <v>2355.5</v>
        <stp/>
        <stp>Market</stp>
        <stp>STOCK</stp>
        <stp>19630.T</stp>
        <stp>高値</stp>
        <tr r="C86" s="9"/>
        <tr r="H197" s="4"/>
        <tr r="H40" s="5"/>
      </tp>
      <tp>
        <v>5770</v>
        <stp/>
        <stp>Market</stp>
        <stp>STOCK</stp>
        <stp>18330.T</stp>
        <stp>高値</stp>
        <tr r="H203" s="4"/>
        <tr r="C80" s="9"/>
        <tr r="H180" s="5"/>
      </tp>
      <tp>
        <v>5838</v>
        <stp/>
        <stp>Market</stp>
        <stp>STOCK</stp>
        <stp>65030.T</stp>
        <stp>高値</stp>
        <tr r="H39" s="5"/>
        <tr r="H99" s="4"/>
        <tr r="C68" s="9"/>
      </tp>
      <tp>
        <v>632.9</v>
        <stp/>
        <stp>Market</stp>
        <stp>STOCK</stp>
        <stp>67530.T</stp>
        <stp>高値</stp>
        <tr r="H162" s="5"/>
        <tr r="C188" s="9"/>
        <tr r="H90" s="4"/>
      </tp>
      <tp>
        <v>1920</v>
        <stp/>
        <stp>Market</stp>
        <stp>STOCK</stp>
        <stp>66130.T</stp>
        <stp>高値</stp>
        <tr r="H94" s="4"/>
        <tr r="H3" s="5"/>
        <tr r="C141" s="9"/>
      </tp>
      <tp>
        <v>4517</v>
        <stp/>
        <stp>Market</stp>
        <stp>STOCK</stp>
        <stp>63230.T</stp>
        <stp>高値</stp>
        <tr r="H41" s="5"/>
        <tr r="H106" s="4"/>
        <tr r="C90" s="9"/>
      </tp>
      <tp>
        <v>1472</v>
        <stp/>
        <stp>Market</stp>
        <stp>STOCK</stp>
        <stp>62030.T</stp>
        <stp>高値</stp>
        <tr r="H111" s="4"/>
        <tr r="C57" s="9"/>
        <tr r="H50" s="5"/>
      </tp>
      <tp>
        <v>75900</v>
        <stp/>
        <stp>Market</stp>
        <stp>STOCK</stp>
        <stp>62730.T</stp>
        <stp>高値</stp>
        <tr r="C211" s="9"/>
      </tp>
      <tp>
        <v>2965</v>
        <stp/>
        <stp>Market</stp>
        <stp>STOCK</stp>
        <stp>70130.T</stp>
        <stp>高値</stp>
        <tr r="C231" s="9"/>
      </tp>
      <tp>
        <v>2917.5</v>
        <stp/>
        <stp>Market</stp>
        <stp>STOCK</stp>
        <stp>72030.T</stp>
        <stp>高値</stp>
        <tr r="C77" s="9"/>
        <tr r="H73" s="4"/>
        <tr r="H73" s="5"/>
      </tp>
      <tp>
        <v>4607</v>
        <stp/>
        <stp>Market</stp>
        <stp>STOCK</stp>
        <stp>45230.T</stp>
        <stp>高値</stp>
        <tr r="C99" s="9"/>
        <tr r="H184" s="5"/>
        <tr r="H160" s="4"/>
      </tp>
      <tp>
        <v>7935</v>
        <stp/>
        <stp>Market</stp>
        <stp>STOCK</stp>
        <stp>47330.T</stp>
        <stp>高値</stp>
        <tr r="H153" s="4"/>
        <tr r="H133" s="5"/>
        <tr r="C165" s="9"/>
      </tp>
      <tp>
        <v>6213</v>
        <stp/>
        <stp>Market</stp>
        <stp>STOCK</stp>
        <stp>40630.T</stp>
        <stp>高値</stp>
        <tr r="H172" s="4"/>
        <tr r="H14" s="5"/>
        <tr r="C66" s="9"/>
      </tp>
      <tp>
        <v>1105</v>
        <stp/>
        <stp>Market</stp>
        <stp>STOCK</stp>
        <stp>43730.T</stp>
        <stp>高値</stp>
        <tr r="H82" s="5"/>
        <tr r="H165" s="4"/>
        <tr r="C160" s="9"/>
      </tp>
      <tp>
        <v>5095</v>
        <stp/>
        <stp>Market</stp>
        <stp>STOCK</stp>
        <stp>58030.T</stp>
        <stp>高値</stp>
        <tr r="H58" s="5"/>
        <tr r="H125" s="4"/>
        <tr r="C103" s="9"/>
      </tp>
      <tp>
        <v>1722</v>
        <stp/>
        <stp>Market</stp>
        <stp>STOCK</stp>
        <stp>54230.T</stp>
        <stp>高値</stp>
        <tr r="H165" s="5"/>
        <tr r="H136" s="4"/>
        <tr r="C7" s="9"/>
      </tp>
      <tp>
        <v>2886</v>
        <stp/>
        <stp>Market</stp>
        <stp>STOCK</stp>
        <stp>57030.T</stp>
        <stp>高値</stp>
        <tr r="H48" s="5"/>
        <tr r="C13" s="9"/>
        <tr r="H132" s="4"/>
      </tp>
      <tp>
        <v>8574</v>
        <stp/>
        <stp>Market</stp>
        <stp>STOCK</stp>
        <stp>57130.T</stp>
        <stp>高値</stp>
        <tr r="H129" s="4"/>
        <tr r="H46" s="5"/>
        <tr r="C8" s="9"/>
      </tp>
      <tp>
        <v>5915</v>
        <stp/>
        <stp>Market</stp>
        <stp>STOCK</stp>
        <stp>53330.T</stp>
        <stp>高値</stp>
        <tr r="C17" s="9"/>
        <tr r="H141" s="4"/>
        <tr r="H37" s="5"/>
      </tp>
      <tp>
        <v>4126</v>
        <stp/>
        <stp>Market</stp>
        <stp>STOCK</stp>
        <stp>52330.T</stp>
        <stp>高値</stp>
        <tr r="H144" s="4"/>
        <tr r="H170" s="5"/>
        <tr r="C34" s="9"/>
      </tp>
      <tp>
        <v>2310</v>
        <stp/>
        <stp>Market</stp>
        <stp>STOCK</stp>
        <stp>52430.T</stp>
        <stp>高値</stp>
        <tr r="H138" s="5"/>
        <tr r="H143" s="4"/>
        <tr r="C193" s="9"/>
      </tp>
      <tp>
        <v>1528</v>
        <stp/>
        <stp>Market</stp>
        <stp>STOCK</stp>
        <stp>52530.T</stp>
        <stp>高値</stp>
        <tr r="C258" s="9"/>
      </tp>
    </main>
    <main first="rtdsrv.e07a56084d7946cdb07ca2177ccd3d26">
      <tp>
        <v>4037.09</v>
        <stp/>
        <stp>Market</stp>
        <stp>INDEX</stp>
        <stp>TOPX</stp>
        <stp>現在値</stp>
        <tr r="C5" s="1"/>
        <tr r="C5" s="11"/>
      </tp>
      <tp>
        <v>1084</v>
        <stp/>
        <stp>Market</stp>
        <stp>STOCK</stp>
        <stp>88920.T</stp>
        <stp>高値</stp>
        <tr r="H32" s="4"/>
        <tr r="H114" s="5"/>
        <tr r="C161" s="9"/>
      </tp>
      <tp>
        <v>480</v>
        <stp/>
        <stp>Market</stp>
        <stp>STOCK</stp>
        <stp>85720.T</stp>
        <stp>高値</stp>
        <tr r="H38" s="5"/>
        <tr r="C47" s="9"/>
        <tr r="H44" s="4"/>
      </tp>
      <tp>
        <v>4922</v>
        <stp/>
        <stp>Market</stp>
        <stp>STOCK</stp>
        <stp>80020.T</stp>
        <stp>高値</stp>
        <tr r="H167" s="5"/>
        <tr r="H62" s="4"/>
        <tr r="C14" s="9"/>
      </tp>
      <tp>
        <v>4071</v>
        <stp/>
        <stp>Market</stp>
        <stp>STOCK</stp>
        <stp>99620.T</stp>
        <stp>高値</stp>
        <tr r="C233" s="9"/>
      </tp>
      <tp>
        <v>1728</v>
        <stp/>
        <stp>Market</stp>
        <stp>STOCK</stp>
        <stp>98820.T</stp>
        <stp>高値</stp>
        <tr r="H9" s="4"/>
        <tr r="C116" s="9"/>
        <tr r="H128" s="5"/>
      </tp>
      <tp>
        <v>5389</v>
        <stp/>
        <stp>Market</stp>
        <stp>STOCK</stp>
        <stp>95320.T</stp>
        <stp>高値</stp>
        <tr r="H79" s="5"/>
        <tr r="C127" s="9"/>
        <tr r="H14" s="4"/>
      </tp>
      <tp>
        <v>2308</v>
        <stp/>
        <stp>Market</stp>
        <stp>STOCK</stp>
        <stp>94120.T</stp>
        <stp>高値</stp>
        <tr r="H22" s="5"/>
        <tr r="C56" s="9"/>
        <tr r="H22" s="4"/>
      </tp>
      <tp>
        <v>3844</v>
        <stp/>
        <stp>Market</stp>
        <stp>STOCK</stp>
        <stp>90220.T</stp>
        <stp>高値</stp>
        <tr r="H29" s="4"/>
        <tr r="H159" s="5"/>
        <tr r="C184" s="9"/>
      </tp>
      <tp>
        <v>3157</v>
        <stp/>
        <stp>Market</stp>
        <stp>STOCK</stp>
        <stp>92020.T</stp>
        <stp>高値</stp>
        <tr r="H99" s="5"/>
        <tr r="C74" s="9"/>
        <tr r="H26" s="4"/>
      </tp>
      <tp>
        <v>5295</v>
        <stp/>
        <stp>Market</stp>
        <stp>STOCK</stp>
        <stp>28020.T</stp>
        <stp>高値</stp>
        <tr r="C76" s="9"/>
        <tr r="H23" s="5"/>
        <tr r="H190" s="4"/>
      </tp>
      <tp>
        <v>8150</v>
        <stp/>
        <stp>Market</stp>
        <stp>STOCK</stp>
        <stp>27020.T</stp>
        <stp>高値</stp>
        <tr r="H196" s="5"/>
        <tr r="H192" s="4"/>
        <tr r="C194" s="9"/>
      </tp>
      <tp>
        <v>1182.5</v>
        <stp/>
        <stp>Market</stp>
        <stp>STOCK</stp>
        <stp>34020.T</stp>
        <stp>高値</stp>
        <tr r="H172" s="5"/>
        <tr r="C44" s="9"/>
        <tr r="H183" s="4"/>
      </tp>
      <tp>
        <v>4090</v>
        <stp/>
        <stp>Market</stp>
        <stp>STOCK</stp>
        <stp>30020.T</stp>
        <stp>高値</stp>
        <tr r="C277" s="9"/>
      </tp>
      <tp>
        <v>5704</v>
        <stp/>
        <stp>Market</stp>
        <stp>STOCK</stp>
        <stp>19420.T</stp>
        <stp>高値</stp>
        <tr r="H32" s="5"/>
        <tr r="H199" s="4"/>
        <tr r="C175" s="9"/>
      </tp>
      <tp>
        <v>5454</v>
        <stp/>
        <stp>Market</stp>
        <stp>STOCK</stp>
        <stp>18120.T</stp>
        <stp>高値</stp>
        <tr r="H121" s="5"/>
        <tr r="C208" s="9"/>
        <tr r="H204" s="4"/>
      </tp>
      <tp>
        <v>1711</v>
        <stp/>
        <stp>Market</stp>
        <stp>STOCK</stp>
        <stp>16620.T</stp>
        <stp>高値</stp>
        <tr r="H205" s="4"/>
        <tr r="C18" s="9"/>
        <tr r="H122" s="5"/>
      </tp>
      <tp>
        <v>1918</v>
        <stp/>
        <stp>Market</stp>
        <stp>STOCK</stp>
        <stp>69020.T</stp>
        <stp>高値</stp>
        <tr r="C244" s="9"/>
      </tp>
      <tp>
        <v>2344</v>
        <stp/>
        <stp>Market</stp>
        <stp>STOCK</stp>
        <stp>68620.T</stp>
        <stp>高値</stp>
        <tr r="C225" s="9"/>
      </tp>
      <tp>
        <v>1783</v>
        <stp/>
        <stp>Market</stp>
        <stp>STOCK</stp>
        <stp>65220.T</stp>
        <stp>高値</stp>
        <tr r="H111" s="5"/>
        <tr r="H95" s="4"/>
        <tr r="C143" s="9"/>
      </tp>
      <tp>
        <v>687</v>
        <stp/>
        <stp>Market</stp>
        <stp>STOCK</stp>
        <stp>64820.T</stp>
        <stp>高値</stp>
        <tr r="C290" s="9"/>
      </tp>
      <tp>
        <v>4466</v>
        <stp/>
        <stp>Market</stp>
        <stp>STOCK</stp>
        <stp>67520.T</stp>
        <stp>高値</stp>
        <tr r="C215" s="9"/>
      </tp>
      <tp>
        <v>3199</v>
        <stp/>
        <stp>Market</stp>
        <stp>STOCK</stp>
        <stp>67620.T</stp>
        <stp>高値</stp>
        <tr r="C234" s="9"/>
      </tp>
      <tp>
        <v>15660</v>
        <stp/>
        <stp>Market</stp>
        <stp>STOCK</stp>
        <stp>66220.T</stp>
        <stp>高値</stp>
        <tr r="C216" s="9"/>
      </tp>
      <tp>
        <v>1840</v>
        <stp/>
        <stp>Market</stp>
        <stp>STOCK</stp>
        <stp>62320.T</stp>
        <stp>高値</stp>
        <tr r="H109" s="4"/>
        <tr r="H28" s="5"/>
        <tr r="C135" s="9"/>
      </tp>
      <tp>
        <v>3625</v>
        <stp/>
        <stp>Market</stp>
        <stp>STOCK</stp>
        <stp>79520.T</stp>
        <stp>高値</stp>
        <tr r="C276" s="9"/>
      </tp>
      <tp>
        <v>2920</v>
        <stp/>
        <stp>Market</stp>
        <stp>STOCK</stp>
        <stp>79720.T</stp>
        <stp>高値</stp>
        <tr r="C241" s="9"/>
      </tp>
      <tp>
        <v>888.7</v>
        <stp/>
        <stp>Market</stp>
        <stp>STOCK</stp>
        <stp>75320.T</stp>
        <stp>高値</stp>
        <tr r="C305" s="9"/>
      </tp>
      <tp>
        <v>3176</v>
        <stp/>
        <stp>Market</stp>
        <stp>STOCK</stp>
        <stp>71820.T</stp>
        <stp>高値</stp>
        <tr r="C85" s="9"/>
        <tr r="H74" s="4"/>
        <tr r="H102" s="5"/>
      </tp>
      <tp>
        <v>5284</v>
        <stp/>
        <stp>Market</stp>
        <stp>STOCK</stp>
        <stp>45020.T</stp>
        <stp>高値</stp>
        <tr r="C212" s="9"/>
      </tp>
      <tp>
        <v>572</v>
        <stp/>
        <stp>Market</stp>
        <stp>STOCK</stp>
        <stp>44220.T</stp>
        <stp>高値</stp>
        <tr r="H188" s="5"/>
        <tr r="H162" s="4"/>
        <tr r="C139" s="9"/>
      </tp>
      <tp>
        <v>4715</v>
        <stp/>
        <stp>Market</stp>
        <stp>STOCK</stp>
        <stp>41820.T</stp>
        <stp>高値</stp>
        <tr r="H75" s="5"/>
        <tr r="H168" s="4"/>
        <tr r="C97" s="9"/>
      </tp>
      <tp>
        <v>20330</v>
        <stp/>
        <stp>Market</stp>
        <stp>STOCK</stp>
        <stp>40620.T</stp>
        <stp>高値</stp>
        <tr r="H56" s="5"/>
        <tr r="C96" s="9"/>
        <tr r="H173" s="4"/>
      </tp>
      <tp>
        <v>1958</v>
        <stp/>
        <stp>Market</stp>
        <stp>STOCK</stp>
        <stp>40820.T</stp>
        <stp>高値</stp>
        <tr r="C129" s="9"/>
        <tr r="H9" s="5"/>
        <tr r="H171" s="4"/>
      </tp>
      <tp>
        <v>716</v>
        <stp/>
        <stp>Market</stp>
        <stp>STOCK</stp>
        <stp>43820.T</stp>
        <stp>高値</stp>
        <tr r="H164" s="4"/>
        <tr r="C173" s="9"/>
        <tr r="H192" s="5"/>
      </tp>
      <tp>
        <v>941</v>
        <stp/>
        <stp>Market</stp>
        <stp>STOCK</stp>
        <stp>43920.T</stp>
        <stp>高値</stp>
        <tr r="C235" s="9"/>
      </tp>
      <tp>
        <v>617</v>
        <stp/>
        <stp>Market</stp>
        <stp>STOCK</stp>
        <stp>42220.T</stp>
        <stp>高値</stp>
        <tr r="C229" s="9"/>
      </tp>
      <tp>
        <v>2395</v>
        <stp/>
        <stp>Market</stp>
        <stp>STOCK</stp>
        <stp>58020.T</stp>
        <stp>高値</stp>
        <tr r="H126" s="4"/>
        <tr r="H57" s="5"/>
        <tr r="C102" s="9"/>
      </tp>
      <tp>
        <v>2206</v>
        <stp/>
        <stp>Market</stp>
        <stp>STOCK</stp>
        <stp>58920.T</stp>
        <stp>高値</stp>
        <tr r="H74" s="5"/>
        <tr r="C89" s="9"/>
        <tr r="H121" s="4"/>
      </tp>
      <tp>
        <v>1607</v>
        <stp/>
        <stp>Market</stp>
        <stp>STOCK</stp>
        <stp>57020.T</stp>
        <stp>高値</stp>
        <tr r="C275" s="9"/>
      </tp>
      <tp>
        <v>2259</v>
        <stp/>
        <stp>Market</stp>
        <stp>STOCK</stp>
        <stp>56320.T</stp>
        <stp>高値</stp>
        <tr r="C247" s="9"/>
      </tp>
      <tp>
        <v>6599</v>
        <stp/>
        <stp>Market</stp>
        <stp>STOCK</stp>
        <stp>53320.T</stp>
        <stp>高値</stp>
        <tr r="C21" s="9"/>
        <tr r="H12" s="5"/>
        <tr r="H142" s="4"/>
      </tp>
    </main>
    <main first="rtdsrv.e07a56084d7946cdb07ca2177ccd3d26">
      <tp>
        <v>1666.5</v>
        <stp/>
        <stp>Market</stp>
        <stp>STOCK</stp>
        <stp>83090.T</stp>
        <stp>高値</stp>
        <tr r="H68" s="5"/>
        <tr r="H51" s="4"/>
        <tr r="C31" s="9"/>
      </tp>
      <tp>
        <v>2568</v>
        <stp/>
        <stp>Market</stp>
        <stp>STOCK</stp>
        <stp>83590.T</stp>
        <stp>高値</stp>
        <tr r="H26" s="5"/>
        <tr r="C123" s="9"/>
        <tr r="H48" s="4"/>
      </tp>
      <tp>
        <v>940</v>
        <stp/>
        <stp>Market</stp>
        <stp>STOCK</stp>
        <stp>95190.T</stp>
        <stp>高値</stp>
        <tr r="C214" s="9"/>
      </tp>
      <tp>
        <v>4274</v>
        <stp/>
        <stp>Market</stp>
        <stp>STOCK</stp>
        <stp>94490.T</stp>
        <stp>高値</stp>
        <tr r="C113" s="9"/>
        <tr r="H77" s="5"/>
        <tr r="H19" s="4"/>
      </tp>
      <tp>
        <v>2218.5</v>
        <stp/>
        <stp>Market</stp>
        <stp>STOCK</stp>
        <stp>90690.T</stp>
        <stp>高値</stp>
        <tr r="H28" s="4"/>
        <tr r="H60" s="5"/>
        <tr r="C110" s="9"/>
      </tp>
      <tp>
        <v>2059</v>
        <stp/>
        <stp>Market</stp>
        <stp>STOCK</stp>
        <stp>23590.T</stp>
        <stp>高値</stp>
        <tr r="C168" s="9"/>
        <tr r="H193" s="4"/>
        <tr r="H135" s="5"/>
      </tp>
      <tp>
        <v>1664</v>
        <stp/>
        <stp>Market</stp>
        <stp>STOCK</stp>
        <stp>68090.T</stp>
        <stp>高値</stp>
        <tr r="C238" s="9"/>
      </tp>
      <tp>
        <v>4126</v>
        <stp/>
        <stp>Market</stp>
        <stp>STOCK</stp>
        <stp>64790.T</stp>
        <stp>高値</stp>
        <tr r="H24" s="5"/>
        <tr r="C79" s="9"/>
        <tr r="H101" s="4"/>
      </tp>
      <tp>
        <v>18945</v>
        <stp/>
        <stp>Market</stp>
        <stp>STOCK</stp>
        <stp>77290.T</stp>
        <stp>高値</stp>
        <tr r="C107" s="9"/>
        <tr r="H18" s="5"/>
        <tr r="H68" s="4"/>
      </tp>
      <tp>
        <v>4390</v>
        <stp/>
        <stp>Market</stp>
        <stp>STOCK</stp>
        <stp>76090.T</stp>
        <stp>高値</stp>
        <tr r="C240" s="9"/>
      </tp>
      <tp>
        <v>6686</v>
        <stp/>
        <stp>Market</stp>
        <stp>STOCK</stp>
        <stp>45190.T</stp>
        <stp>高値</stp>
        <tr r="C130" s="9"/>
        <tr r="H161" s="4"/>
        <tr r="H205" s="5"/>
      </tp>
      <tp>
        <v>1019</v>
        <stp/>
        <stp>Market</stp>
        <stp>STOCK</stp>
        <stp>47090.T</stp>
        <stp>高値</stp>
        <tr r="C170" s="9"/>
        <tr r="H115" s="5"/>
        <tr r="H154" s="4"/>
      </tp>
      <tp>
        <v>3629</v>
        <stp/>
        <stp>Market</stp>
        <stp>STOCK</stp>
        <stp>59290.T</stp>
        <stp>高値</stp>
        <tr r="H119" s="4"/>
        <tr r="H69" s="5"/>
        <tr r="C49" s="9"/>
      </tp>
      <tp>
        <v>2739</v>
        <stp/>
        <stp>Market</stp>
        <stp>STOCK</stp>
        <stp>54490.T</stp>
        <stp>高値</stp>
        <tr r="H134" s="4"/>
        <tr r="H97" s="5"/>
        <tr r="C51" s="9"/>
      </tp>
      <tp>
        <v>1255</v>
        <stp/>
        <stp>Market</stp>
        <stp>STOCK</stp>
        <stp>50190.T</stp>
        <stp>高値</stp>
        <tr r="H140" s="5"/>
        <tr r="C24" s="9"/>
        <tr r="H148" s="4"/>
      </tp>
    </main>
    <main first="rtdsrv.e07a56084d7946cdb07ca2177ccd3d26">
      <tp>
        <v>4744</v>
        <stp/>
        <stp>Market</stp>
        <stp>STOCK</stp>
        <stp>80580.T</stp>
        <stp>高値</stp>
        <tr r="H89" s="5"/>
        <tr r="H58" s="4"/>
        <tr r="C16" s="9"/>
      </tp>
      <tp>
        <v>2271</v>
        <stp/>
        <stp>Market</stp>
        <stp>STOCK</stp>
        <stp>83080.T</stp>
        <stp>高値</stp>
        <tr r="H92" s="5"/>
        <tr r="C35" s="9"/>
        <tr r="H52" s="4"/>
      </tp>
      <tp>
        <v>422</v>
        <stp/>
        <stp>Market</stp>
        <stp>STOCK</stp>
        <stp>93480.T</stp>
        <stp>高値</stp>
        <tr r="H24" s="4"/>
        <tr r="H8" s="5"/>
        <tr r="C112" s="9"/>
      </tp>
      <tp>
        <v>5380</v>
        <stp/>
        <stp>Market</stp>
        <stp>STOCK</stp>
        <stp>27680.T</stp>
        <stp>高値</stp>
        <tr r="H191" s="4"/>
        <tr r="H206" s="5"/>
        <tr r="C202" s="9"/>
      </tp>
      <tp>
        <v>2498</v>
        <stp/>
        <stp>Market</stp>
        <stp>STOCK</stp>
        <stp>19380.T</stp>
        <stp>高値</stp>
        <tr r="H200" s="4"/>
        <tr r="H117" s="5"/>
        <tr r="C176" s="9"/>
      </tp>
      <tp>
        <v>2670</v>
        <stp/>
        <stp>Market</stp>
        <stp>STOCK</stp>
        <stp>18080.T</stp>
        <stp>高値</stp>
        <tr r="C297" s="9"/>
      </tp>
      <tp>
        <v>32800</v>
        <stp/>
        <stp>Market</stp>
        <stp>STOCK</stp>
        <stp>16180.T</stp>
        <stp>高値</stp>
        <tr r="C227" s="9"/>
      </tp>
      <tp>
        <v>3365</v>
        <stp/>
        <stp>Market</stp>
        <stp>STOCK</stp>
        <stp>69180.T</stp>
        <stp>高値</stp>
        <tr r="C279" s="9"/>
      </tp>
      <tp>
        <v>2680</v>
        <stp/>
        <stp>Market</stp>
        <stp>STOCK</stp>
        <stp>69280.T</stp>
        <stp>高値</stp>
        <tr r="C246" s="9"/>
      </tp>
      <tp>
        <v>1519</v>
        <stp/>
        <stp>Market</stp>
        <stp>STOCK</stp>
        <stp>68380.T</stp>
        <stp>高値</stp>
        <tr r="H85" s="4"/>
        <tr r="H6" s="5"/>
        <tr r="C148" s="9"/>
      </tp>
      <tp>
        <v>862</v>
        <stp/>
        <stp>Market</stp>
        <stp>STOCK</stp>
        <stp>68480.T</stp>
        <stp>高値</stp>
        <tr r="C274" s="9"/>
      </tp>
      <tp>
        <v>996</v>
        <stp/>
        <stp>Market</stp>
        <stp>STOCK</stp>
        <stp>64880.T</stp>
        <stp>高値</stp>
        <tr r="C280" s="9"/>
      </tp>
      <tp>
        <v>3642</v>
        <stp/>
        <stp>Market</stp>
        <stp>STOCK</stp>
        <stp>67580.T</stp>
        <stp>高値</stp>
        <tr r="H86" s="5"/>
        <tr r="H88" s="4"/>
        <tr r="C205" s="9"/>
      </tp>
      <tp>
        <v>2350</v>
        <stp/>
        <stp>Market</stp>
        <stp>STOCK</stp>
        <stp>61780.T</stp>
        <stp>高値</stp>
        <tr r="H112" s="4"/>
        <tr r="C104" s="9"/>
        <tr r="H59" s="5"/>
      </tp>
      <tp>
        <v>12765</v>
        <stp/>
        <stp>Market</stp>
        <stp>STOCK</stp>
        <stp>60980.T</stp>
        <stp>高値</stp>
        <tr r="C248" s="9"/>
      </tp>
      <tp>
        <v>160</v>
        <stp/>
        <stp>Market</stp>
        <stp>STOCK</stp>
        <stp>70480.T</stp>
        <stp>高値</stp>
        <tr r="C296" s="9"/>
      </tp>
      <tp>
        <v>322</v>
        <stp/>
        <stp>Market</stp>
        <stp>STOCK</stp>
        <stp>48880.T</stp>
        <stp>高値</stp>
        <tr r="C146" s="9"/>
        <tr r="H151" s="4"/>
        <tr r="H131" s="5"/>
      </tp>
      <tp>
        <v>2320</v>
        <stp/>
        <stp>Market</stp>
        <stp>STOCK</stp>
        <stp>45280.T</stp>
        <stp>高値</stp>
        <tr r="H159" s="4"/>
        <tr r="C100" s="9"/>
        <tr r="H17" s="5"/>
      </tp>
      <tp>
        <v>2586.5</v>
        <stp/>
        <stp>Market</stp>
        <stp>STOCK</stp>
        <stp>45680.T</stp>
        <stp>高値</stp>
        <tr r="H110" s="5"/>
        <tr r="C142" s="9"/>
        <tr r="H7" s="4"/>
      </tp>
      <tp>
        <v>1164</v>
        <stp/>
        <stp>Market</stp>
        <stp>STOCK</stp>
        <stp>41880.T</stp>
        <stp>高値</stp>
        <tr r="H145" s="5"/>
        <tr r="H167" s="4"/>
        <tr r="C98" s="9"/>
      </tp>
      <tp>
        <v>1263</v>
        <stp/>
        <stp>Market</stp>
        <stp>STOCK</stp>
        <stp>40080.T</stp>
        <stp>高値</stp>
        <tr r="H127" s="5"/>
        <tr r="C95" s="9"/>
        <tr r="H175" s="4"/>
      </tp>
      <tp>
        <v>2577</v>
        <stp/>
        <stp>Market</stp>
        <stp>STOCK</stp>
        <stp>40880.T</stp>
        <stp>高値</stp>
        <tr r="C156" s="9"/>
        <tr r="H170" s="4"/>
        <tr r="H132" s="5"/>
      </tp>
      <tp>
        <v>3239</v>
        <stp/>
        <stp>Market</stp>
        <stp>STOCK</stp>
        <stp>42080.T</stp>
        <stp>高値</stp>
        <tr r="C298" s="9"/>
      </tp>
      <tp>
        <v>1955</v>
        <stp/>
        <stp>Market</stp>
        <stp>STOCK</stp>
        <stp>42180.T</stp>
        <stp>高値</stp>
        <tr r="C282" s="9"/>
      </tp>
      <tp>
        <v>1753</v>
        <stp/>
        <stp>Market</stp>
        <stp>STOCK</stp>
        <stp>59380.T</stp>
        <stp>高値</stp>
        <tr r="H93" s="5"/>
        <tr r="H118" s="4"/>
        <tr r="C36" s="9"/>
      </tp>
      <tp>
        <v>5602</v>
        <stp/>
        <stp>Market</stp>
        <stp>STOCK</stp>
        <stp>58380.T</stp>
        <stp>高値</stp>
        <tr r="H124" s="4"/>
        <tr r="H147" s="5"/>
        <tr r="C117" s="9"/>
      </tp>
    </main>
    <main first="rtdsrv.e07a56084d7946cdb07ca2177ccd3d26">
      <tp t="s">
        <v/>
        <stp/>
        <stp>Market</stp>
        <stp>STOCK</stp>
        <stp>TOPX0.T</stp>
        <stp>現在値</stp>
        <tr r="E36" s="5"/>
        <tr r="E3" s="4"/>
      </tp>
    </main>
    <main first="rtdsrv.e07a56084d7946cdb07ca2177ccd3d26">
      <tp t="s">
        <v/>
        <stp/>
        <stp>Market</stp>
        <stp>STOCK</stp>
        <stp>TOPX0.T</stp>
        <stp>年初来高値</stp>
        <tr r="K36" s="5"/>
        <tr r="K3" s="4"/>
      </tp>
    </main>
    <main first="rtdsrv.e07a56084d7946cdb07ca2177ccd3d26">
      <tp>
        <v>204305</v>
        <stp/>
        <stp>Market</stp>
        <stp>INDEX</stp>
        <stp>TOPX</stp>
        <stp>出来高</stp>
        <tr r="C5" s="12"/>
      </tp>
    </main>
    <main first="rtdsrv.e07a56084d7946cdb07ca2177ccd3d26">
      <tp>
        <v>3961.78</v>
        <stp/>
        <stp>Market</stp>
        <stp>INDEX</stp>
        <stp>TOPX</stp>
        <stp>前日終値</stp>
        <tr r="E5" s="1"/>
      </tp>
    </main>
    <main first="rtdsrv.e07a56084d7946cdb07ca2177ccd3d26">
      <tp>
        <v>1.71</v>
        <stp/>
        <stp>Market</stp>
        <stp>INDEX</stp>
        <stp>DJIA</stp>
        <stp>前日比率</stp>
        <tr r="C3" s="17"/>
      </tp>
    </main>
    <main first="rtdsrv.e07a56084d7946cdb07ca2177ccd3d26">
      <tp t="s">
        <v/>
        <stp/>
        <stp>Market</stp>
        <stp>STOCK</stp>
        <stp>TOPX0.T</stp>
        <stp>出来高</stp>
        <tr r="J3" s="4"/>
        <tr r="J36" s="5"/>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volatileDependencies" Target="volatileDependenci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6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U461"/>
  <sheetViews>
    <sheetView topLeftCell="Q13" zoomScale="66" zoomScaleNormal="66" workbookViewId="0">
      <selection activeCell="AC56" sqref="AC56"/>
    </sheetView>
  </sheetViews>
  <sheetFormatPr defaultColWidth="9" defaultRowHeight="25.8"/>
  <cols>
    <col min="1" max="1" width="25.6640625" style="626" bestFit="1" customWidth="1"/>
    <col min="2" max="2" width="13" style="440" bestFit="1" customWidth="1"/>
    <col min="3" max="3" width="9.6640625" style="440" bestFit="1" customWidth="1"/>
    <col min="4" max="4" width="37.88671875" style="440" bestFit="1" customWidth="1"/>
    <col min="5" max="5" width="43.5546875" style="722"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3" bestFit="1" customWidth="1"/>
    <col min="26" max="26" width="44.88671875" style="611" bestFit="1" customWidth="1"/>
    <col min="27" max="27" width="25.44140625" style="603" customWidth="1"/>
    <col min="28" max="28" width="55.21875" style="603" customWidth="1"/>
    <col min="29" max="29" width="33.33203125" style="603" customWidth="1"/>
    <col min="30" max="30" width="75.5546875" style="603" bestFit="1" customWidth="1"/>
    <col min="31" max="31" width="38.44140625" style="603" bestFit="1" customWidth="1"/>
    <col min="32" max="33" width="25.5546875" style="603" bestFit="1" customWidth="1"/>
    <col min="34" max="34" width="16.88671875" style="603" customWidth="1"/>
    <col min="35" max="35" width="9" style="603"/>
    <col min="36" max="36" width="29" style="603" bestFit="1" customWidth="1"/>
    <col min="37" max="37" width="18.109375" style="603" customWidth="1"/>
    <col min="38" max="38" width="37" style="603" customWidth="1"/>
    <col min="39" max="39" width="26.33203125" style="603" bestFit="1" customWidth="1"/>
    <col min="40" max="40" width="81.77734375" style="603" bestFit="1" customWidth="1"/>
    <col min="41" max="41" width="22.33203125" style="603" bestFit="1" customWidth="1"/>
    <col min="42" max="42" width="12.5546875" style="603" bestFit="1" customWidth="1"/>
    <col min="43" max="43" width="12.5546875" style="603" customWidth="1"/>
    <col min="44" max="44" width="61.109375" style="603" customWidth="1"/>
    <col min="45" max="45" width="30.21875" style="603" bestFit="1" customWidth="1"/>
    <col min="46" max="46" width="26.6640625" style="603" bestFit="1" customWidth="1"/>
    <col min="47" max="53" width="9" style="603"/>
    <col min="54" max="55" width="9.109375" style="603" bestFit="1" customWidth="1"/>
    <col min="56" max="73" width="9" style="603"/>
    <col min="74" max="16384" width="9" style="440"/>
  </cols>
  <sheetData>
    <row r="1" spans="1:57" ht="58.8" customHeight="1">
      <c r="A1" s="661" t="str">
        <f ca="1">TEXT(TODAY(),"m/d(aaa)")</f>
        <v>8/5(水)</v>
      </c>
      <c r="B1" s="843" t="s">
        <v>1364</v>
      </c>
      <c r="C1" s="844"/>
      <c r="D1" s="662" t="s">
        <v>1365</v>
      </c>
      <c r="E1" s="717" t="s">
        <v>1366</v>
      </c>
      <c r="F1" s="663" t="s">
        <v>1367</v>
      </c>
      <c r="G1" s="664" t="s">
        <v>1368</v>
      </c>
      <c r="H1" s="845" t="s">
        <v>1369</v>
      </c>
      <c r="I1" s="846"/>
      <c r="J1" s="665" t="s">
        <v>1370</v>
      </c>
      <c r="K1" s="666" t="s">
        <v>1371</v>
      </c>
      <c r="L1" s="667"/>
      <c r="M1" s="841" t="s">
        <v>1372</v>
      </c>
      <c r="N1" s="842"/>
      <c r="O1" s="842"/>
      <c r="P1" s="842"/>
      <c r="Q1" s="842"/>
      <c r="R1" s="842"/>
      <c r="AN1" s="604"/>
      <c r="BE1" s="604"/>
    </row>
    <row r="2" spans="1:57" ht="92.4" customHeight="1" thickBot="1">
      <c r="A2" s="591" t="s">
        <v>782</v>
      </c>
      <c r="B2" s="592" t="str">
        <f ca="1">COUNTIF($S:$S,"📌保有中")&amp;"件"</f>
        <v>11件</v>
      </c>
      <c r="C2" s="592"/>
      <c r="D2" s="592">
        <f ca="1">SUM($V:$V)</f>
        <v>63750</v>
      </c>
      <c r="E2" s="840">
        <f ca="1">SUMIF($S:$S,"📌保有中",$K:$K)</f>
        <v>-5650</v>
      </c>
      <c r="F2" s="593" t="str">
        <f ca="1">COUNTIF($S:$S,"🟢利確推奨")&amp;"件"</f>
        <v>0件</v>
      </c>
      <c r="G2" s="591" t="str">
        <f ca="1">COUNTIF($S:$S,"🟡利確直近")&amp;"件"</f>
        <v>0件</v>
      </c>
      <c r="H2" s="591" t="s">
        <v>1349</v>
      </c>
      <c r="I2" s="591" t="str">
        <f ca="1">COUNTIF($O:$O,"🔴損切")&amp;"件"</f>
        <v>25件</v>
      </c>
      <c r="J2" s="591" t="str">
        <f ca="1">COUNTIF($S:$S,"⚠️損切注意")&amp;"件"</f>
        <v>0件</v>
      </c>
      <c r="K2" s="591" t="str">
        <f ca="1">COUNTIF($S:$S,"🔴損切り")&amp;"件"</f>
        <v>0件</v>
      </c>
      <c r="L2" s="703"/>
      <c r="M2" s="703" t="s">
        <v>1500</v>
      </c>
      <c r="N2" s="703"/>
      <c r="O2" s="591"/>
      <c r="P2" s="591"/>
      <c r="Q2" s="591"/>
      <c r="R2" s="591"/>
      <c r="S2" s="471"/>
      <c r="T2" s="441"/>
      <c r="U2" s="441"/>
      <c r="V2" s="441"/>
      <c r="W2" s="441"/>
      <c r="X2" s="441"/>
      <c r="AD2" s="605" t="s">
        <v>1267</v>
      </c>
      <c r="AN2" s="488" t="s">
        <v>1362</v>
      </c>
      <c r="BB2" s="606" t="s">
        <v>1319</v>
      </c>
      <c r="BE2" s="604"/>
    </row>
    <row r="3" spans="1:57" ht="55.8" customHeight="1" thickTop="1" thickBot="1">
      <c r="A3" s="622" t="s">
        <v>518</v>
      </c>
      <c r="B3" s="442" t="s">
        <v>1</v>
      </c>
      <c r="C3" s="442" t="s">
        <v>783</v>
      </c>
      <c r="D3" s="442" t="s">
        <v>784</v>
      </c>
      <c r="E3" s="718"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s="442" t="s">
        <v>797</v>
      </c>
      <c r="U3" s="442" t="s">
        <v>798</v>
      </c>
      <c r="V3" s="442" t="s">
        <v>799</v>
      </c>
      <c r="W3" s="442" t="s">
        <v>652</v>
      </c>
      <c r="X3" s="442" t="s">
        <v>716</v>
      </c>
      <c r="Y3" s="607"/>
      <c r="Z3" s="607" t="s">
        <v>537</v>
      </c>
      <c r="AA3" s="607" t="s">
        <v>538</v>
      </c>
      <c r="AB3" s="608"/>
      <c r="AD3" s="609" t="s">
        <v>1260</v>
      </c>
      <c r="AE3" s="609" t="s">
        <v>1261</v>
      </c>
      <c r="AF3" s="609" t="s">
        <v>1262</v>
      </c>
      <c r="AG3" s="609" t="s">
        <v>1263</v>
      </c>
      <c r="AH3" s="609" t="s">
        <v>860</v>
      </c>
      <c r="AI3" s="609" t="s">
        <v>1264</v>
      </c>
      <c r="AJ3" s="609" t="s">
        <v>1265</v>
      </c>
      <c r="AK3" s="609" t="s">
        <v>1266</v>
      </c>
      <c r="AN3" s="658" t="s">
        <v>1260</v>
      </c>
      <c r="AO3" s="659" t="s">
        <v>1283</v>
      </c>
      <c r="AP3" s="659" t="s">
        <v>1284</v>
      </c>
      <c r="AQ3" s="659" t="s">
        <v>1363</v>
      </c>
      <c r="AR3" s="659" t="s">
        <v>1168</v>
      </c>
      <c r="AS3" s="659" t="s">
        <v>1285</v>
      </c>
      <c r="AT3" s="660" t="s">
        <v>1286</v>
      </c>
      <c r="BB3" s="610" t="s">
        <v>1320</v>
      </c>
      <c r="BC3" s="610" t="s">
        <v>1321</v>
      </c>
      <c r="BE3" s="604"/>
    </row>
    <row r="4" spans="1:57" ht="35.4" customHeight="1">
      <c r="A4" s="623" t="str">
        <f t="shared" ref="A4:A67" si="0">IF(B4="","",HYPERLINK("https://kabutan.jp/stock/?code="&amp;B4,"株探"))</f>
        <v>株探</v>
      </c>
      <c r="B4" s="559">
        <v>6178</v>
      </c>
      <c r="C4" s="482" t="s">
        <v>998</v>
      </c>
      <c r="D4" s="587" t="str" cm="1">
        <f t="array" ref="D4">_xll.RssMarket(B4, "銘柄名称")</f>
        <v>日本郵政</v>
      </c>
      <c r="E4" s="719">
        <v>46230</v>
      </c>
      <c r="F4" s="702" cm="1">
        <f t="array" aca="1" ref="F4" ca="1">IFERROR(_xlfn.LET(_xlpm.r,MATCH(TEXT($B4,"0"),TEXT(銘柄管理!$B$6:$B$305,"0"),0),_xlpm.t,MOD(NOW(),1),_xlpm.c,IF($E4=TODAY(),IF(_xlpm.t&gt;=TIME(15,30,0),NA(),1),IF(MATCH($E4,始値!$E$3:$BT$3,0)=1,1,MATCH($E4,始値!$E$3:$BT$3,0)+1)),_xlpm.v,INDEX(始値!$C$6:$BT$305,_xlpm.r,_xlpm.c),IF(N(_xlpm.v)=0,"",_xlpm.v)),"")</f>
        <v>2498.5</v>
      </c>
      <c r="G4" s="484">
        <v>100</v>
      </c>
      <c r="H4" s="485" cm="1">
        <f t="array" ref="H4">_xll.RssMarket(B4, "現在値")</f>
        <v>2347</v>
      </c>
      <c r="I4" s="485" cm="1">
        <f t="array" ref="I4">_xll.RssMarket(B4, "出来高加重平均")</f>
        <v>2333.3069</v>
      </c>
      <c r="J4" s="704" cm="1">
        <f t="array" ref="J4">_xll.RssMarket($B4, "前日比")</f>
        <v>19.5</v>
      </c>
      <c r="K4" s="704">
        <f t="shared" ref="K4:K9" ca="1" si="1">IF(OR(F4="",G4="",H4=""),"",IF(C4="売",(F4-H4)*G4,(H4-F4)*G4))</f>
        <v>-15150</v>
      </c>
      <c r="L4" s="709">
        <f t="shared" ref="L4:L9" ca="1" si="2">IF(OR(F4="",H4=""),"",IF(C4="売",(F4-H4)/F4,(H4-F4)/F4))</f>
        <v>-6.063638182909746E-2</v>
      </c>
      <c r="M4" s="485">
        <f ca="1">IF($F4="","",ROUND(IF($C4="売",$F4*0.94,$F4*1.06),0))</f>
        <v>2648</v>
      </c>
      <c r="N4" s="485">
        <f ca="1">IF($F4="","",ROUND(IF($C4="売",$F4*1.04,$F4*0.96),0))</f>
        <v>2399</v>
      </c>
      <c r="O4" s="486" t="str">
        <f ca="1">IF(OR($B4="",$F4="",$H4=""),"",IF($C4="売",IF($H4&lt;=$M4,"🟢利確",IF($H4&lt;=$F4*0.95,"🟡利確&amp;TR STOP検討",IF($H4&gt;=$N4,"🔴損切",IF($H4&gt;=$F4*1.035,"🔴損切間近",IF($H4&gt;=$F4*1.03,"⚠️+3%注意","保持継続"))))),IF($H4&gt;=$M4,"🟢利確",IF($H4&gt;=$F4*1.05,"🟡利確&amp;TR STOP検討",IF($H4&lt;=$N4,"🔴損切",IF($H4&lt;=$F4*0.965,"🔴損切間近",IF($H4&lt;=$F4*0.97,"⚠️-3%注意","保持継続")))))))</f>
        <v>🔴損切</v>
      </c>
      <c r="P4" s="485">
        <f t="array" aca="1" ref="P4" ca="1">IF(B4="","",IFERROR(MAX(OFFSET(高値!$E$6,MATCH(TEXT(B4,"0"),TEXT(銘柄管理!$B$6:$B$305,"0"),0)-1,0,1,10)),""))</f>
        <v>2539.5</v>
      </c>
      <c r="Q4" s="485">
        <f t="array" aca="1" ref="Q4" ca="1">IF(B4="","",IFERROR(MIN(OFFSET(安値!$E$6,MATCH(TEXT(B4,"0"),TEXT(銘柄管理!$B$6:$B$305,"0"),0)-1,0,1,10)),""))</f>
        <v>2267.5</v>
      </c>
      <c r="R4" s="485">
        <f t="shared" ref="R4:R9" ca="1" si="3">IF(P4="","",ROUND(P4*0.97,0))</f>
        <v>2463</v>
      </c>
      <c r="S4" s="588" t="str">
        <f t="shared" ref="S4:S9" ca="1" si="4">IF(B4="","",IF(T4&lt;&gt;"","✅売却済",IF(OR(H4="",L4=""),"📌保有中",IF(L4&gt;=0.06,"🟢利確推奨",IF(L4&gt;=0.05,"🟡利確直近",IF(L4&gt;=0.045,"🔵トレーリング検討",IF(L4&gt;-0.03,"📌保有中",IF(L4&gt;-0.04,"⚠️損切注意","🔴損切り"))))))))</f>
        <v>✅売却済</v>
      </c>
      <c r="T4" s="596">
        <f ca="1">IF(OR($AH4="",$AH4="保有中"),"",IF($AH4="日数制限",$AE4,IF($AH4="損切確定",IF(N($AG4)=0,TODAY(),$AG4),IF(N($AF4)=0,TODAY(),$AF4))))</f>
        <v>46234</v>
      </c>
      <c r="U4" s="485">
        <f ca="1">IF(OR($AH4="",$AH4="保有中"),"",ROUND(IF($AH4="日数制限",$AI4,IF($AH4="利益確定",$M4,$N4)),0))</f>
        <v>2399</v>
      </c>
      <c r="V4" s="704">
        <f t="shared" ref="V4:V9" ca="1" si="5">IF(OR(F4="",G4="",U4=""),"",IF(C4="売",(F4-U4)*G4,(U4-F4)*G4))</f>
        <v>-9950</v>
      </c>
      <c r="W4" s="487">
        <f ca="1">IF(OR($E4="",$B4=""),"",IF($T4&lt;&gt;"",$T4-$E4,TODAY()-$E4)+1)</f>
        <v>5</v>
      </c>
      <c r="X4" s="484" t="str">
        <f ca="1">IF(OR($AH4="",$AH4="保有中"),"",$AH4)</f>
        <v>損切確定</v>
      </c>
      <c r="Y4" s="488"/>
      <c r="Z4" s="714" t="s">
        <v>1269</v>
      </c>
      <c r="AA4" s="603" t="s">
        <v>1270</v>
      </c>
      <c r="AD4" s="611" t="s">
        <v>1268</v>
      </c>
      <c r="AE4" s="628">
        <f>IF($E4="","",WORKDAY($E4,12))</f>
        <v>46246</v>
      </c>
      <c r="AF4" s="630"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30"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46234</v>
      </c>
      <c r="AH4" s="603" t="str">
        <f ca="1">IF(OR($B4="",$M4=""),"",IF(AND(N($AF4)=0,N($AG4)=0),IF(AND(ISNUMBER($H4),$H4&gt;0,IF($C4="売",$H4&gt;=$N4,$H4&lt;=$N4)),"損切確定",IF(AND(ISNUMBER($H4),$H4&gt;0,IF($C4="売",$H4&lt;=$M4,$H4&gt;=$M4)),"利益確定",IF($AE4&lt;=TODAY(),"日数制限","保有中"))),IF(N($AG4)=0,"利益確定",IF(N($AF4)=0,"損切確定",IF($AG4&lt;=$AF4,"損切確定","利益確定")))))</f>
        <v>損切確定</v>
      </c>
      <c r="AI4" s="603" t="str" cm="1">
        <f t="array" ref="AI4">IFERROR(INDEX(始値!$E$6:$BT$305,MATCH(TEXT($B4,"0"),TEXT(銘柄管理!$B$6:$B$305,"0"),0),MATCH($AE4,始値!$E$3:$BT$3,0)),"")</f>
        <v/>
      </c>
      <c r="AJ4" s="612">
        <f ca="1">IF(OR($V4="",$F4="",$G4=""),"",$V4/($F4*$G4))</f>
        <v>-3.982389433660196E-2</v>
      </c>
      <c r="AK4" s="633" t="str">
        <f ca="1">IF($V4="","",IF($V4&gt;0,"○勝",IF($V4&lt;0,"●負","△引分")))</f>
        <v>●負</v>
      </c>
      <c r="AN4" s="653" t="s">
        <v>1323</v>
      </c>
      <c r="AO4" s="654">
        <f ca="1">COUNTIFS($AD$4:$AD$1000,"*"&amp;$AN4&amp;"*",$T$4:$T$1000,"&gt;0")</f>
        <v>5</v>
      </c>
      <c r="AP4" s="654">
        <f ca="1">COUNTIFS($AD$4:$AD$1000,"*"&amp;$AN4&amp;"*",$AK$4:$AK$1000,"○勝")</f>
        <v>0</v>
      </c>
      <c r="AQ4" s="654">
        <f ca="1">COUNTIFS($AD$4:$AD$1000,"*"&amp;$AN4&amp;"*",$AK$4:$AK$1000,"●負")</f>
        <v>5</v>
      </c>
      <c r="AR4" s="655">
        <f ca="1">IF($AO4=0,"",$AP4/$AO4)</f>
        <v>0</v>
      </c>
      <c r="AS4" s="656">
        <f ca="1">SUMIFS($V$4:$V$1000,$AD$4:$AD$1000,"*"&amp;$AN4&amp;"*")</f>
        <v>-76300</v>
      </c>
      <c r="AT4" s="657">
        <f ca="1">IF($AO4=0,"",AVERAGEIFS($AJ$4:$AJ$1000,$AD$4:$AD$1000,"*"&amp;$AN4&amp;"*",$T$4:$T$1000,"&gt;0"))</f>
        <v>-4.0096712282221676E-2</v>
      </c>
      <c r="BB4" s="603">
        <f>IF(N(買抽出v13!$C4)=0,"",N(買抽出v13!$Q4)+N(買抽出v13!$L4)/1000-ROW()/1000000)</f>
        <v>14.000895999999999</v>
      </c>
      <c r="BC4" s="603">
        <f>IF(N(売抽出v13!$C4)=0,"",N(売抽出v13!$Q4)+IFERROR(VALUE(SUBSTITUTE(売抽出v13!$L4,"倍","")),0)/1000-ROW()/1000000)</f>
        <v>12.000665999999999</v>
      </c>
      <c r="BE4" s="604"/>
    </row>
    <row r="5" spans="1:57" ht="35.4" customHeight="1">
      <c r="A5" s="623" t="str">
        <f t="shared" si="0"/>
        <v>株探</v>
      </c>
      <c r="B5" s="559">
        <v>4188</v>
      </c>
      <c r="C5" s="482" t="s">
        <v>998</v>
      </c>
      <c r="D5" s="483" t="str" cm="1">
        <f t="array" ref="D5">_xll.RssMarket(B5, "銘柄名称")</f>
        <v>三菱ケミカルグループ</v>
      </c>
      <c r="E5" s="719">
        <v>46230</v>
      </c>
      <c r="F5" s="702" cm="1">
        <f t="array" aca="1" ref="F5" ca="1">IFERROR(_xlfn.LET(_xlpm.r,MATCH(TEXT($B5,"0"),TEXT(銘柄管理!$B$6:$B$305,"0"),0),_xlpm.t,MOD(NOW(),1),_xlpm.c,IF($E5=TODAY(),IF(_xlpm.t&gt;=TIME(15,30,0),NA(),1),IF(MATCH($E5,始値!$E$3:$BT$3,0)=1,1,MATCH($E5,始値!$E$3:$BT$3,0)+1)),_xlpm.v,INDEX(始値!$C$6:$BT$305,_xlpm.r,_xlpm.c),IF(N(_xlpm.v)=0,"",_xlpm.v)),"")</f>
        <v>1200</v>
      </c>
      <c r="G5" s="484">
        <v>100</v>
      </c>
      <c r="H5" s="485" cm="1">
        <f t="array" ref="H5">_xll.RssMarket(B5, "現在値")</f>
        <v>1158</v>
      </c>
      <c r="I5" s="485" cm="1">
        <f t="array" ref="I5">_xll.RssMarket(B5, "出来高加重平均")</f>
        <v>1148.4686999999999</v>
      </c>
      <c r="J5" s="704" cm="1">
        <f t="array" ref="J5">_xll.RssMarket($B5, "前日比")</f>
        <v>40.5</v>
      </c>
      <c r="K5" s="704">
        <f t="shared" ca="1" si="1"/>
        <v>-4200</v>
      </c>
      <c r="L5" s="709">
        <f t="shared" ca="1" si="2"/>
        <v>-3.5000000000000003E-2</v>
      </c>
      <c r="M5" s="485">
        <f t="shared" ref="M5:M68" ca="1" si="6">IF($F5="","",ROUND(IF($C5="売",$F5*0.94,$F5*1.06),0))</f>
        <v>1272</v>
      </c>
      <c r="N5" s="485">
        <f t="shared" ref="N5:N68" ca="1" si="7">IF($F5="","",ROUND(IF($C5="売",$F5*1.04,$F5*0.96),0))</f>
        <v>1152</v>
      </c>
      <c r="O5" s="486" t="str">
        <f t="shared" ref="O5:O68" ca="1" si="8">IF(OR($B5="",$F5="",$H5=""),"",IF($C5="売",IF($H5&lt;=$M5,"🟢利確",IF($H5&lt;=$F5*0.95,"🟡利確&amp;TR STOP検討",IF($H5&gt;=$N5,"🔴損切",IF($H5&gt;=$F5*1.035,"🔴損切間近",IF($H5&gt;=$F5*1.03,"⚠️+3%注意","保持継続"))))),IF($H5&gt;=$M5,"🟢利確",IF($H5&gt;=$F5*1.05,"🟡利確&amp;TR STOP検討",IF($H5&lt;=$N5,"🔴損切",IF($H5&lt;=$F5*0.965,"🔴損切間近",IF($H5&lt;=$F5*0.97,"⚠️-3%注意","保持継続")))))))</f>
        <v>🔴損切間近</v>
      </c>
      <c r="P5" s="485">
        <f t="array" aca="1" ref="P5" ca="1">IF(B5="","",IFERROR(MAX(OFFSET(高値!$E$6,MATCH(TEXT(B5,"0"),TEXT(銘柄管理!$B$6:$B$305,"0"),0)-1,0,1,10)),""))</f>
        <v>1232.5</v>
      </c>
      <c r="Q5" s="485">
        <f t="array" aca="1" ref="Q5" ca="1">IF(B5="","",IFERROR(MIN(OFFSET(安値!$E$6,MATCH(TEXT(B5,"0"),TEXT(銘柄管理!$B$6:$B$305,"0"),0)-1,0,1,10)),""))</f>
        <v>1100.5</v>
      </c>
      <c r="R5" s="485">
        <f t="shared" ca="1" si="3"/>
        <v>1196</v>
      </c>
      <c r="S5" s="588" t="str">
        <f t="shared" ca="1" si="4"/>
        <v>✅売却済</v>
      </c>
      <c r="T5" s="596">
        <f t="shared" ref="T5:T68" ca="1" si="9">IF(OR($AH5="",$AH5="保有中"),"",IF($AH5="日数制限",$AE5,IF($AH5="損切確定",IF(N($AG5)=0,TODAY(),$AG5),IF(N($AF5)=0,TODAY(),$AF5))))</f>
        <v>46232</v>
      </c>
      <c r="U5" s="485">
        <f t="shared" ref="U5:U68" ca="1" si="10">IF(OR($AH5="",$AH5="保有中"),"",ROUND(IF($AH5="日数制限",$AI5,IF($AH5="利益確定",$M5,$N5)),0))</f>
        <v>1152</v>
      </c>
      <c r="V5" s="704">
        <f t="shared" ca="1" si="5"/>
        <v>-4800</v>
      </c>
      <c r="W5" s="487">
        <f t="shared" ref="W5:W68" ca="1" si="11">IF(OR($E5="",$B5=""),"",IF($T5&lt;&gt;"",$T5-$E5,TODAY()-$E5)+1)</f>
        <v>3</v>
      </c>
      <c r="X5" s="484" t="str">
        <f t="shared" ref="X5:X68" ca="1" si="12">IF(OR($AH5="",$AH5="保有中"),"",$AH5)</f>
        <v>損切確定</v>
      </c>
      <c r="Y5" s="488"/>
      <c r="Z5" s="714" t="s">
        <v>1272</v>
      </c>
      <c r="AA5" s="603" t="s">
        <v>1273</v>
      </c>
      <c r="AD5" s="611" t="s">
        <v>1271</v>
      </c>
      <c r="AE5" s="628">
        <f t="shared" ref="AE5:AE68" si="13">IF($E5="","",WORKDAY($E5,12))</f>
        <v>46246</v>
      </c>
      <c r="AF5" s="630"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30"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46232</v>
      </c>
      <c r="AH5" s="603" t="str">
        <f t="shared" ref="AH5:AH68" ca="1" si="14">IF(OR($B5="",$M5=""),"",IF(AND(N($AF5)=0,N($AG5)=0),IF(AND(ISNUMBER($H5),$H5&gt;0,IF($C5="売",$H5&gt;=$N5,$H5&lt;=$N5)),"損切確定",IF(AND(ISNUMBER($H5),$H5&gt;0,IF($C5="売",$H5&lt;=$M5,$H5&gt;=$M5)),"利益確定",IF($AE5&lt;=TODAY(),"日数制限","保有中"))),IF(N($AG5)=0,"利益確定",IF(N($AF5)=0,"損切確定",IF($AG5&lt;=$AF5,"損切確定","利益確定")))))</f>
        <v>損切確定</v>
      </c>
      <c r="AI5" s="603" t="str" cm="1">
        <f t="array" ref="AI5">IFERROR(INDEX(始値!$E$6:$BT$305,MATCH(TEXT($B5,"0"),TEXT(銘柄管理!$B$6:$B$305,"0"),0),MATCH($AE5,始値!$E$3:$BT$3,0)),"")</f>
        <v/>
      </c>
      <c r="AJ5" s="612">
        <f t="shared" ref="AJ5:AJ68" ca="1" si="15">IF(OR($V5="",$F5="",$G5=""),"",$V5/($F5*$G5))</f>
        <v>-0.04</v>
      </c>
      <c r="AK5" s="633" t="str">
        <f t="shared" ref="AK5:AK68" ca="1" si="16">IF($V5="","",IF($V5&gt;0,"○勝",IF($V5&lt;0,"●負","△引分")))</f>
        <v>●負</v>
      </c>
      <c r="AN5" s="640" t="s">
        <v>1324</v>
      </c>
      <c r="AO5" s="636">
        <f ca="1">COUNTIFS($AD$4:$AD$1000,"*"&amp;$AN5&amp;"*",$T$4:$T$1000,"&gt;0")</f>
        <v>7</v>
      </c>
      <c r="AP5" s="636">
        <f ca="1">COUNTIFS($AD$4:$AD$1000,"*"&amp;$AN5&amp;"*",$AK$4:$AK$1000,"○勝")</f>
        <v>2</v>
      </c>
      <c r="AQ5" s="636">
        <f ca="1">COUNTIFS($AD$4:$AD$1000,"*"&amp;$AN5&amp;"*",$AK$4:$AK$1000,"●負")</f>
        <v>5</v>
      </c>
      <c r="AR5" s="637">
        <f ca="1">IF($AO5=0,"",$AP5/$AO5)</f>
        <v>0.2857142857142857</v>
      </c>
      <c r="AS5" s="638">
        <f ca="1">SUMIFS($V$4:$V$1000,$AD$4:$AD$1000,"*"&amp;$AN5&amp;"*")</f>
        <v>-7200</v>
      </c>
      <c r="AT5" s="639">
        <f ca="1">IF($AO5=0,"",AVERAGEIFS($AJ$4:$AJ$1000,$AD$4:$AD$1000,"*"&amp;$AN5&amp;"*",$T$4:$T$1000,"&gt;0"))</f>
        <v>-1.1413063014374451E-2</v>
      </c>
      <c r="BB5" s="603" t="str">
        <f>IF(N(買抽出v13!$C5)=0,"",N(買抽出v13!$Q5)+N(買抽出v13!$L5)/1000-ROW()/1000000)</f>
        <v/>
      </c>
      <c r="BC5" s="603">
        <f>IF(N(売抽出v13!$C5)=0,"",N(売抽出v13!$Q5)+IFERROR(VALUE(SUBSTITUTE(売抽出v13!$L5,"倍","")),0)/1000-ROW()/1000000)</f>
        <v>11.001965</v>
      </c>
    </row>
    <row r="6" spans="1:57" ht="35.4" customHeight="1">
      <c r="A6" s="623" t="str">
        <f t="shared" si="0"/>
        <v>株探</v>
      </c>
      <c r="B6" s="559">
        <v>6522</v>
      </c>
      <c r="C6" s="482" t="s">
        <v>998</v>
      </c>
      <c r="D6" s="483" t="str" cm="1">
        <f t="array" ref="D6">_xll.RssMarket(B6, "銘柄名称")</f>
        <v>アスタリスク</v>
      </c>
      <c r="E6" s="719">
        <v>46230</v>
      </c>
      <c r="F6" s="702" cm="1">
        <f t="array" aca="1" ref="F6" ca="1">IFERROR(_xlfn.LET(_xlpm.r,MATCH(TEXT($B6,"0"),TEXT(銘柄管理!$B$6:$B$305,"0"),0),_xlpm.t,MOD(NOW(),1),_xlpm.c,IF($E6=TODAY(),IF(_xlpm.t&gt;=TIME(15,30,0),NA(),1),IF(MATCH($E6,始値!$E$3:$BT$3,0)=1,1,MATCH($E6,始値!$E$3:$BT$3,0)+1)),_xlpm.v,INDEX(始値!$C$6:$BT$305,_xlpm.r,_xlpm.c),IF(N(_xlpm.v)=0,"",_xlpm.v)),"")</f>
        <v>1552</v>
      </c>
      <c r="G6" s="484">
        <v>100</v>
      </c>
      <c r="H6" s="485" cm="1">
        <f t="array" ref="H6">_xll.RssMarket(B6, "現在値")</f>
        <v>1709</v>
      </c>
      <c r="I6" s="485" cm="1">
        <f t="array" ref="I6">_xll.RssMarket(B6, "出来高加重平均")</f>
        <v>1711.5553</v>
      </c>
      <c r="J6" s="704" cm="1">
        <f t="array" ref="J6">_xll.RssMarket($B6, "前日比")</f>
        <v>-77</v>
      </c>
      <c r="K6" s="704">
        <f t="shared" ca="1" si="1"/>
        <v>15700</v>
      </c>
      <c r="L6" s="709">
        <f t="shared" ca="1" si="2"/>
        <v>0.10115979381443299</v>
      </c>
      <c r="M6" s="485">
        <f t="shared" ca="1" si="6"/>
        <v>1645</v>
      </c>
      <c r="N6" s="485">
        <f t="shared" ca="1" si="7"/>
        <v>1490</v>
      </c>
      <c r="O6" s="486" t="str">
        <f t="shared" ca="1" si="8"/>
        <v>🟢利確</v>
      </c>
      <c r="P6" s="485">
        <f t="array" aca="1" ref="P6" ca="1">IF(B6="","",IFERROR(MAX(OFFSET(高値!$E$6,MATCH(TEXT(B6,"0"),TEXT(銘柄管理!$B$6:$B$305,"0"),0)-1,0,1,10)),""))</f>
        <v>1874</v>
      </c>
      <c r="Q6" s="485">
        <f t="array" aca="1" ref="Q6" ca="1">IF(B6="","",IFERROR(MIN(OFFSET(安値!$E$6,MATCH(TEXT(B6,"0"),TEXT(銘柄管理!$B$6:$B$305,"0"),0)-1,0,1,10)),""))</f>
        <v>1311</v>
      </c>
      <c r="R6" s="485">
        <f t="shared" ca="1" si="3"/>
        <v>1818</v>
      </c>
      <c r="S6" s="588" t="str">
        <f t="shared" ca="1" si="4"/>
        <v>✅売却済</v>
      </c>
      <c r="T6" s="596">
        <f t="shared" ca="1" si="9"/>
        <v>46231</v>
      </c>
      <c r="U6" s="485">
        <f t="shared" ca="1" si="10"/>
        <v>1490</v>
      </c>
      <c r="V6" s="704">
        <f t="shared" ca="1" si="5"/>
        <v>-6200</v>
      </c>
      <c r="W6" s="487">
        <f t="shared" ca="1" si="11"/>
        <v>2</v>
      </c>
      <c r="X6" s="484" t="str">
        <f t="shared" ca="1" si="12"/>
        <v>損切確定</v>
      </c>
      <c r="Y6" s="488"/>
      <c r="Z6" s="714" t="s">
        <v>1275</v>
      </c>
      <c r="AA6" s="603" t="s">
        <v>1276</v>
      </c>
      <c r="AD6" s="611" t="s">
        <v>1274</v>
      </c>
      <c r="AE6" s="628">
        <f t="shared" si="13"/>
        <v>46246</v>
      </c>
      <c r="AF6" s="630"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30"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03" t="str">
        <f t="shared" ca="1" si="14"/>
        <v>損切確定</v>
      </c>
      <c r="AI6" s="603" t="str" cm="1">
        <f t="array" ref="AI6">IFERROR(INDEX(始値!$E$6:$BT$305,MATCH(TEXT($B6,"0"),TEXT(銘柄管理!$B$6:$B$305,"0"),0),MATCH($AE6,始値!$E$3:$BT$3,0)),"")</f>
        <v/>
      </c>
      <c r="AJ6" s="612">
        <f t="shared" ca="1" si="15"/>
        <v>-3.994845360824742E-2</v>
      </c>
      <c r="AK6" s="633" t="str">
        <f t="shared" ca="1" si="16"/>
        <v>●負</v>
      </c>
      <c r="AN6" s="641" t="s">
        <v>1325</v>
      </c>
      <c r="AO6" s="636">
        <f ca="1">COUNTIFS($AD$4:$AD$1000,"*"&amp;$AN6&amp;"*",$T$4:$T$1000,"&gt;0")</f>
        <v>8</v>
      </c>
      <c r="AP6" s="636">
        <f ca="1">COUNTIFS($AD$4:$AD$1000,"*"&amp;$AN6&amp;"*",$AK$4:$AK$1000,"○勝")</f>
        <v>2</v>
      </c>
      <c r="AQ6" s="636">
        <f ca="1">COUNTIFS($AD$4:$AD$1000,"*"&amp;$AN6&amp;"*",$AK$4:$AK$1000,"●負")</f>
        <v>6</v>
      </c>
      <c r="AR6" s="637">
        <f ca="1">IF($AO6=0,"",$AP6/$AO6)</f>
        <v>0.25</v>
      </c>
      <c r="AS6" s="638">
        <f ca="1">SUMIFS($V$4:$V$1000,$AD$4:$AD$1000,"*"&amp;$AN6&amp;"*")</f>
        <v>-23300</v>
      </c>
      <c r="AT6" s="639">
        <f ca="1">IF($AO6=0,"",AVERAGEIFS($AJ$4:$AJ$1000,$AD$4:$AD$1000,"*"&amp;$AN6&amp;"*",$T$4:$T$1000,"&gt;0"))</f>
        <v>-1.4998287345448872E-2</v>
      </c>
      <c r="BB6" s="603" t="str">
        <f>IF(N(買抽出v13!$C6)=0,"",N(買抽出v13!$Q6)+N(買抽出v13!$L6)/1000-ROW()/1000000)</f>
        <v/>
      </c>
      <c r="BC6" s="603" t="str">
        <f>IF(N(売抽出v13!$C6)=0,"",N(売抽出v13!$Q6)+IFERROR(VALUE(SUBSTITUTE(売抽出v13!$L6,"倍","")),0)/1000-ROW()/1000000)</f>
        <v/>
      </c>
    </row>
    <row r="7" spans="1:57" ht="35.4" customHeight="1">
      <c r="A7" s="623" t="str">
        <f t="shared" si="0"/>
        <v>株探</v>
      </c>
      <c r="B7" s="559">
        <v>6146</v>
      </c>
      <c r="C7" s="482" t="s">
        <v>999</v>
      </c>
      <c r="D7" s="483" t="str" cm="1">
        <f t="array" ref="D7">_xll.RssMarket(B7, "銘柄名称")</f>
        <v>ディスコ</v>
      </c>
      <c r="E7" s="719">
        <v>46230</v>
      </c>
      <c r="F7" s="702" cm="1">
        <f t="array" aca="1" ref="F7" ca="1">IFERROR(_xlfn.LET(_xlpm.r,MATCH(TEXT($B7,"0"),TEXT(銘柄管理!$B$6:$B$305,"0"),0),_xlpm.t,MOD(NOW(),1),_xlpm.c,IF($E7=TODAY(),IF(_xlpm.t&gt;=TIME(15,30,0),NA(),1),IF(MATCH($E7,始値!$E$3:$BT$3,0)=1,1,MATCH($E7,始値!$E$3:$BT$3,0)+1)),_xlpm.v,INDEX(始値!$C$6:$BT$305,_xlpm.r,_xlpm.c),IF(N(_xlpm.v)=0,"",_xlpm.v)),"")</f>
        <v>57000</v>
      </c>
      <c r="G7" s="484">
        <v>100</v>
      </c>
      <c r="H7" s="485" cm="1">
        <f t="array" ref="H7">_xll.RssMarket(B7, "現在値")</f>
        <v>63950</v>
      </c>
      <c r="I7" s="485" cm="1">
        <f t="array" ref="I7">_xll.RssMarket(B7, "出来高加重平均")</f>
        <v>63229.291100000002</v>
      </c>
      <c r="J7" s="704" cm="1">
        <f t="array" ref="J7">_xll.RssMarket($B7, "前日比")</f>
        <v>3060</v>
      </c>
      <c r="K7" s="704">
        <f t="shared" ca="1" si="1"/>
        <v>-695000</v>
      </c>
      <c r="L7" s="709">
        <f t="shared" ca="1" si="2"/>
        <v>-0.12192982456140351</v>
      </c>
      <c r="M7" s="485">
        <f t="shared" ca="1" si="6"/>
        <v>53580</v>
      </c>
      <c r="N7" s="485">
        <f t="shared" ca="1" si="7"/>
        <v>59280</v>
      </c>
      <c r="O7" s="486" t="str">
        <f t="shared" ca="1" si="8"/>
        <v>🔴損切</v>
      </c>
      <c r="P7" s="485">
        <f t="array" aca="1" ref="P7" ca="1">IF(B7="","",IFERROR(MAX(OFFSET(高値!$E$6,MATCH(TEXT(B7,"0"),TEXT(銘柄管理!$B$6:$B$305,"0"),0)-1,0,1,10)),""))</f>
        <v>72080</v>
      </c>
      <c r="Q7" s="485">
        <f t="array" aca="1" ref="Q7" ca="1">IF(B7="","",IFERROR(MIN(OFFSET(安値!$E$6,MATCH(TEXT(B7,"0"),TEXT(銘柄管理!$B$6:$B$305,"0"),0)-1,0,1,10)),""))</f>
        <v>49400</v>
      </c>
      <c r="R7" s="485">
        <f t="shared" ca="1" si="3"/>
        <v>69918</v>
      </c>
      <c r="S7" s="588" t="str">
        <f t="shared" ca="1" si="4"/>
        <v>✅売却済</v>
      </c>
      <c r="T7" s="596">
        <f t="shared" ca="1" si="9"/>
        <v>46232</v>
      </c>
      <c r="U7" s="485">
        <f t="shared" ca="1" si="10"/>
        <v>53580</v>
      </c>
      <c r="V7" s="704">
        <f t="shared" ca="1" si="5"/>
        <v>342000</v>
      </c>
      <c r="W7" s="487">
        <f t="shared" ca="1" si="11"/>
        <v>3</v>
      </c>
      <c r="X7" s="484" t="str">
        <f t="shared" ca="1" si="12"/>
        <v>利益確定</v>
      </c>
      <c r="Y7" s="494"/>
      <c r="Z7" s="714" t="s">
        <v>1277</v>
      </c>
      <c r="AA7" s="603" t="s">
        <v>1278</v>
      </c>
      <c r="AD7" s="611" t="s">
        <v>1268</v>
      </c>
      <c r="AE7" s="628">
        <f t="shared" si="13"/>
        <v>46246</v>
      </c>
      <c r="AF7" s="630"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30"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46234</v>
      </c>
      <c r="AH7" s="603" t="str">
        <f t="shared" ca="1" si="14"/>
        <v>利益確定</v>
      </c>
      <c r="AI7" s="603" t="str" cm="1">
        <f t="array" ref="AI7">IFERROR(INDEX(始値!$E$6:$BT$305,MATCH(TEXT($B7,"0"),TEXT(銘柄管理!$B$6:$B$305,"0"),0),MATCH($AE7,始値!$E$3:$BT$3,0)),"")</f>
        <v/>
      </c>
      <c r="AJ7" s="612">
        <f t="shared" ca="1" si="15"/>
        <v>0.06</v>
      </c>
      <c r="AK7" s="633" t="str">
        <f t="shared" ca="1" si="16"/>
        <v>○勝</v>
      </c>
      <c r="AN7" s="642" t="s">
        <v>1326</v>
      </c>
      <c r="AO7" s="636">
        <f ca="1">COUNTIFS($AD$4:$AD$1000,"*"&amp;$AN7&amp;"*",$T$4:$T$1000,"&gt;0")</f>
        <v>6</v>
      </c>
      <c r="AP7" s="636">
        <f ca="1">COUNTIFS($AD$4:$AD$1000,"*"&amp;$AN7&amp;"*",$AK$4:$AK$1000,"○勝")</f>
        <v>0</v>
      </c>
      <c r="AQ7" s="636">
        <f ca="1">COUNTIFS($AD$4:$AD$1000,"*"&amp;$AN7&amp;"*",$AK$4:$AK$1000,"●負")</f>
        <v>6</v>
      </c>
      <c r="AR7" s="637">
        <f ca="1">IF($AO7=0,"",$AP7/$AO7)</f>
        <v>0</v>
      </c>
      <c r="AS7" s="638">
        <f ca="1">SUMIFS($V$4:$V$1000,$AD$4:$AD$1000,"*"&amp;$AN7&amp;"*")</f>
        <v>-157800</v>
      </c>
      <c r="AT7" s="639">
        <f ca="1">IF($AO7=0,"",AVERAGEIFS($AJ$4:$AJ$1000,$AD$4:$AD$1000,"*"&amp;$AN7&amp;"*",$T$4:$T$1000,"&gt;0"))</f>
        <v>-3.9967418390881103E-2</v>
      </c>
      <c r="BB7" s="603" t="str">
        <f>IF(N(買抽出v13!$C7)=0,"",N(買抽出v13!$Q7)+N(買抽出v13!$L7)/1000-ROW()/1000000)</f>
        <v/>
      </c>
      <c r="BC7" s="603" t="str">
        <f>IF(N(売抽出v13!$C7)=0,"",N(売抽出v13!$Q7)+IFERROR(VALUE(SUBSTITUTE(売抽出v13!$L7,"倍","")),0)/1000-ROW()/1000000)</f>
        <v/>
      </c>
    </row>
    <row r="8" spans="1:57" ht="35.4" customHeight="1" thickBot="1">
      <c r="A8" s="623" t="str">
        <f t="shared" si="0"/>
        <v>株探</v>
      </c>
      <c r="B8" s="559">
        <v>7746</v>
      </c>
      <c r="C8" s="482" t="s">
        <v>999</v>
      </c>
      <c r="D8" s="483" t="str" cm="1">
        <f t="array" ref="D8">_xll.RssMarket(B8, "銘柄名称")</f>
        <v>岡本硝子</v>
      </c>
      <c r="E8" s="719">
        <v>46230</v>
      </c>
      <c r="F8" s="702" cm="1">
        <f t="array" aca="1" ref="F8" ca="1">IFERROR(_xlfn.LET(_xlpm.r,MATCH(TEXT($B8,"0"),TEXT(銘柄管理!$B$6:$B$305,"0"),0),_xlpm.t,MOD(NOW(),1),_xlpm.c,IF($E8=TODAY(),IF(_xlpm.t&gt;=TIME(15,30,0),NA(),1),IF(MATCH($E8,始値!$E$3:$BT$3,0)=1,1,MATCH($E8,始値!$E$3:$BT$3,0)+1)),_xlpm.v,INDEX(始値!$C$6:$BT$305,_xlpm.r,_xlpm.c),IF(N(_xlpm.v)=0,"",_xlpm.v)),"")</f>
        <v>761</v>
      </c>
      <c r="G8" s="484">
        <v>100</v>
      </c>
      <c r="H8" s="485" cm="1">
        <f t="array" ref="H8">_xll.RssMarket(B8, "現在値")</f>
        <v>747</v>
      </c>
      <c r="I8" s="485" cm="1">
        <f t="array" ref="I8">_xll.RssMarket(B8, "出来高加重平均")</f>
        <v>745.81129999999996</v>
      </c>
      <c r="J8" s="704" cm="1">
        <f t="array" ref="J8">_xll.RssMarket($B8, "前日比")</f>
        <v>12</v>
      </c>
      <c r="K8" s="704">
        <f t="shared" ca="1" si="1"/>
        <v>1400</v>
      </c>
      <c r="L8" s="709">
        <f t="shared" ca="1" si="2"/>
        <v>1.8396846254927726E-2</v>
      </c>
      <c r="M8" s="485">
        <f t="shared" ca="1" si="6"/>
        <v>715</v>
      </c>
      <c r="N8" s="485">
        <f t="shared" ca="1" si="7"/>
        <v>791</v>
      </c>
      <c r="O8" s="486" t="str">
        <f t="shared" ca="1" si="8"/>
        <v>保持継続</v>
      </c>
      <c r="P8" s="485">
        <f t="array" aca="1" ref="P8" ca="1">IF(B8="","",IFERROR(MAX(OFFSET(高値!$E$6,MATCH(TEXT(B8,"0"),TEXT(銘柄管理!$B$6:$B$305,"0"),0)-1,0,1,10)),""))</f>
        <v>797</v>
      </c>
      <c r="Q8" s="485">
        <f t="array" aca="1" ref="Q8" ca="1">IF(B8="","",IFERROR(MIN(OFFSET(安値!$E$6,MATCH(TEXT(B8,"0"),TEXT(銘柄管理!$B$6:$B$305,"0"),0)-1,0,1,10)),""))</f>
        <v>701</v>
      </c>
      <c r="R8" s="485">
        <f t="shared" ca="1" si="3"/>
        <v>773</v>
      </c>
      <c r="S8" s="588" t="str">
        <f t="shared" ca="1" si="4"/>
        <v>✅売却済</v>
      </c>
      <c r="T8" s="596">
        <f t="shared" ca="1" si="9"/>
        <v>46232</v>
      </c>
      <c r="U8" s="485">
        <f t="shared" ca="1" si="10"/>
        <v>715</v>
      </c>
      <c r="V8" s="704">
        <f t="shared" ca="1" si="5"/>
        <v>4600</v>
      </c>
      <c r="W8" s="487">
        <f t="shared" ca="1" si="11"/>
        <v>3</v>
      </c>
      <c r="X8" s="484" t="str">
        <f t="shared" ca="1" si="12"/>
        <v>利益確定</v>
      </c>
      <c r="Y8" s="488"/>
      <c r="Z8" s="714" t="s">
        <v>1279</v>
      </c>
      <c r="AA8" s="603" t="s">
        <v>1280</v>
      </c>
      <c r="AD8" s="611" t="s">
        <v>1271</v>
      </c>
      <c r="AE8" s="628">
        <f t="shared" si="13"/>
        <v>46246</v>
      </c>
      <c r="AF8" s="630"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30"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03" t="str">
        <f t="shared" ca="1" si="14"/>
        <v>利益確定</v>
      </c>
      <c r="AI8" s="603" t="str" cm="1">
        <f t="array" ref="AI8">IFERROR(INDEX(始値!$E$6:$BT$305,MATCH(TEXT($B8,"0"),TEXT(銘柄管理!$B$6:$B$305,"0"),0),MATCH($AE8,始値!$E$3:$BT$3,0)),"")</f>
        <v/>
      </c>
      <c r="AJ8" s="612">
        <f t="shared" ca="1" si="15"/>
        <v>6.0446780551905388E-2</v>
      </c>
      <c r="AK8" s="633" t="str">
        <f t="shared" ca="1" si="16"/>
        <v>○勝</v>
      </c>
      <c r="AN8" s="643" t="s">
        <v>1287</v>
      </c>
      <c r="AO8" s="644">
        <f ca="1">COUNTIF($T$4:$T$1000,"&gt;0")</f>
        <v>32</v>
      </c>
      <c r="AP8" s="644">
        <f ca="1">COUNTIF($AK$4:$AK$1000,"○勝")</f>
        <v>7</v>
      </c>
      <c r="AQ8" s="644">
        <f ca="1">COUNTIF($AK$4:$AK$1000,"●負")</f>
        <v>25</v>
      </c>
      <c r="AR8" s="645">
        <f ca="1">IF($AO8=0,"",$AP8/$AO8)</f>
        <v>0.21875</v>
      </c>
      <c r="AS8" s="646">
        <f ca="1">SUM($V$4:$V$1000)</f>
        <v>63750</v>
      </c>
      <c r="AT8" s="647">
        <f ca="1">IF($AO8=0,"",AVERAGEIF($T$4:$T$1000,"&gt;0",$AJ$4:$AJ$1000))</f>
        <v>-1.8079478054670091E-2</v>
      </c>
      <c r="BB8" s="603" t="str">
        <f>IF(N(買抽出v13!$C8)=0,"",N(買抽出v13!$Q8)+N(買抽出v13!$L8)/1000-ROW()/1000000)</f>
        <v/>
      </c>
      <c r="BC8" s="603" t="str">
        <f>IF(N(売抽出v13!$C8)=0,"",N(売抽出v13!$Q8)+IFERROR(VALUE(SUBSTITUTE(売抽出v13!$L8,"倍","")),0)/1000-ROW()/1000000)</f>
        <v/>
      </c>
    </row>
    <row r="9" spans="1:57" ht="35.4" customHeight="1" thickTop="1">
      <c r="A9" s="623" t="str">
        <f t="shared" si="0"/>
        <v>株探</v>
      </c>
      <c r="B9" s="559" t="s">
        <v>479</v>
      </c>
      <c r="C9" s="482" t="s">
        <v>999</v>
      </c>
      <c r="D9" s="483" t="str" cm="1">
        <f t="array" ref="D9">_xll.RssMarket(B9, "銘柄名称")</f>
        <v>インフォメティス</v>
      </c>
      <c r="E9" s="719">
        <v>46230</v>
      </c>
      <c r="F9" s="702" cm="1">
        <f t="array" aca="1" ref="F9" ca="1">IFERROR(_xlfn.LET(_xlpm.r,MATCH(TEXT($B9,"0"),TEXT(銘柄管理!$B$6:$B$305,"0"),0),_xlpm.t,MOD(NOW(),1),_xlpm.c,IF($E9=TODAY(),IF(_xlpm.t&gt;=TIME(15,30,0),NA(),1),IF(MATCH($E9,始値!$E$3:$BT$3,0)=1,1,MATCH($E9,始値!$E$3:$BT$3,0)+1)),_xlpm.v,INDEX(始値!$C$6:$BT$305,_xlpm.r,_xlpm.c),IF(N(_xlpm.v)=0,"",_xlpm.v)),"")</f>
        <v>443</v>
      </c>
      <c r="G9" s="484">
        <v>100</v>
      </c>
      <c r="H9" s="485" cm="1">
        <f t="array" ref="H9">_xll.RssMarket(B9, "現在値")</f>
        <v>474</v>
      </c>
      <c r="I9" s="485" cm="1">
        <f t="array" ref="I9">_xll.RssMarket(B9, "出来高加重平均")</f>
        <v>471.87560000000002</v>
      </c>
      <c r="J9" s="704" cm="1">
        <f t="array" ref="J9">_xll.RssMarket($B9, "前日比")</f>
        <v>-1</v>
      </c>
      <c r="K9" s="704">
        <f t="shared" ca="1" si="1"/>
        <v>-3100</v>
      </c>
      <c r="L9" s="709">
        <f t="shared" ca="1" si="2"/>
        <v>-6.9977426636568849E-2</v>
      </c>
      <c r="M9" s="485">
        <f t="shared" ca="1" si="6"/>
        <v>416</v>
      </c>
      <c r="N9" s="485">
        <f t="shared" ca="1" si="7"/>
        <v>461</v>
      </c>
      <c r="O9" s="486" t="str">
        <f t="shared" ca="1" si="8"/>
        <v>🔴損切</v>
      </c>
      <c r="P9" s="485">
        <f t="array" aca="1" ref="P9" ca="1">IF(B9="","",IFERROR(MAX(OFFSET(高値!$E$6,MATCH(TEXT(B9,"0"),TEXT(銘柄管理!$B$6:$B$305,"0"),0)-1,0,1,10)),""))</f>
        <v>529</v>
      </c>
      <c r="Q9" s="485">
        <f t="array" aca="1" ref="Q9" ca="1">IF(B9="","",IFERROR(MIN(OFFSET(安値!$E$6,MATCH(TEXT(B9,"0"),TEXT(銘柄管理!$B$6:$B$305,"0"),0)-1,0,1,10)),""))</f>
        <v>406</v>
      </c>
      <c r="R9" s="485">
        <f t="shared" ca="1" si="3"/>
        <v>513</v>
      </c>
      <c r="S9" s="588" t="str">
        <f t="shared" ca="1" si="4"/>
        <v>✅売却済</v>
      </c>
      <c r="T9" s="596">
        <f t="shared" ca="1" si="9"/>
        <v>46232</v>
      </c>
      <c r="U9" s="485">
        <f t="shared" ca="1" si="10"/>
        <v>416</v>
      </c>
      <c r="V9" s="704">
        <f t="shared" ca="1" si="5"/>
        <v>2700</v>
      </c>
      <c r="W9" s="487">
        <f t="shared" ca="1" si="11"/>
        <v>3</v>
      </c>
      <c r="X9" s="484" t="str">
        <f t="shared" ca="1" si="12"/>
        <v>利益確定</v>
      </c>
      <c r="Y9" s="488"/>
      <c r="Z9" s="714" t="s">
        <v>1281</v>
      </c>
      <c r="AA9" s="603" t="s">
        <v>1282</v>
      </c>
      <c r="AD9" s="611" t="s">
        <v>1274</v>
      </c>
      <c r="AE9" s="628">
        <f t="shared" si="13"/>
        <v>46246</v>
      </c>
      <c r="AF9" s="630"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30"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46238</v>
      </c>
      <c r="AH9" s="603" t="str">
        <f t="shared" ca="1" si="14"/>
        <v>利益確定</v>
      </c>
      <c r="AI9" s="603" t="str" cm="1">
        <f t="array" ref="AI9">IFERROR(INDEX(始値!$E$6:$BT$305,MATCH(TEXT($B9,"0"),TEXT(銘柄管理!$B$6:$B$305,"0"),0),MATCH($AE9,始値!$E$3:$BT$3,0)),"")</f>
        <v/>
      </c>
      <c r="AJ9" s="612">
        <f t="shared" ca="1" si="15"/>
        <v>6.0948081264108354E-2</v>
      </c>
      <c r="AK9" s="633" t="str">
        <f t="shared" ca="1" si="16"/>
        <v>○勝</v>
      </c>
      <c r="AN9" s="613"/>
      <c r="BB9" s="603" t="str">
        <f>IF(N(買抽出v13!$C9)=0,"",N(買抽出v13!$Q9)+N(買抽出v13!$L9)/1000-ROW()/1000000)</f>
        <v/>
      </c>
      <c r="BC9" s="603" t="str">
        <f>IF(N(売抽出v13!$C9)=0,"",N(売抽出v13!$Q9)+IFERROR(VALUE(SUBSTITUTE(売抽出v13!$L9,"倍","")),0)/1000-ROW()/1000000)</f>
        <v/>
      </c>
    </row>
    <row r="10" spans="1:57" ht="35.4" customHeight="1" thickBot="1">
      <c r="A10" s="623" t="str">
        <f t="shared" si="0"/>
        <v>株探</v>
      </c>
      <c r="B10" s="481">
        <v>6436</v>
      </c>
      <c r="C10" s="482" t="s">
        <v>998</v>
      </c>
      <c r="D10" s="483" t="str" cm="1">
        <f t="array" ref="D10">_xll.RssMarket(B10, "銘柄名称")</f>
        <v>アマノ</v>
      </c>
      <c r="E10" s="719">
        <v>46231</v>
      </c>
      <c r="F10" s="702" cm="1">
        <f t="array" aca="1" ref="F10" ca="1">IFERROR(_xlfn.LET(_xlpm.r,MATCH(TEXT($B10,"0"),TEXT(銘柄管理!$B$6:$B$305,"0"),0),_xlpm.t,MOD(NOW(),1),_xlpm.c,IF($E10=TODAY(),IF(_xlpm.t&gt;=TIME(15,30,0),NA(),1),IF(MATCH($E10,始値!$E$3:$BT$3,0)=1,1,MATCH($E10,始値!$E$3:$BT$3,0)+1)),_xlpm.v,INDEX(始値!$C$6:$BT$305,_xlpm.r,_xlpm.c),IF(N(_xlpm.v)=0,"",_xlpm.v)),"")</f>
        <v>3836</v>
      </c>
      <c r="G10" s="484">
        <v>100</v>
      </c>
      <c r="H10" s="485" cm="1">
        <f t="array" ref="H10">_xll.RssMarket(B10, "現在値")</f>
        <v>3860</v>
      </c>
      <c r="I10" s="485" cm="1">
        <f t="array" ref="I10">_xll.RssMarket(B10, "出来高加重平均")</f>
        <v>3853.5057999999999</v>
      </c>
      <c r="J10" s="704" cm="1">
        <f t="array" ref="J10">_xll.RssMarket($B10, "前日比")</f>
        <v>-19</v>
      </c>
      <c r="K10" s="704">
        <f t="shared" ref="K10:K73" ca="1" si="17">IF(OR(F10="",G10="",H10=""),"",IF(C10="売",(F10-H10)*G10,(H10-F10)*G10))</f>
        <v>2400</v>
      </c>
      <c r="L10" s="709">
        <f t="shared" ref="L10:L73" ca="1" si="18">IF(OR(F10="",H10=""),"",IF(C10="売",(F10-H10)/F10,(H10-F10)/F10))</f>
        <v>6.2565172054223151E-3</v>
      </c>
      <c r="M10" s="485">
        <f t="shared" ca="1" si="6"/>
        <v>4066</v>
      </c>
      <c r="N10" s="485">
        <f t="shared" ca="1" si="7"/>
        <v>3683</v>
      </c>
      <c r="O10" s="486" t="str">
        <f t="shared" ca="1" si="8"/>
        <v>保持継続</v>
      </c>
      <c r="P10" s="485">
        <f t="array" aca="1" ref="P10" ca="1">IF(B10="","",IFERROR(MAX(OFFSET(高値!$E$6,MATCH(TEXT(B10,"0"),TEXT(銘柄管理!$B$6:$B$305,"0"),0)-1,0,1,10)),""))</f>
        <v>4077</v>
      </c>
      <c r="Q10" s="485">
        <f t="array" aca="1" ref="Q10" ca="1">IF(B10="","",IFERROR(MIN(OFFSET(安値!$E$6,MATCH(TEXT(B10,"0"),TEXT(銘柄管理!$B$6:$B$305,"0"),0)-1,0,1,10)),""))</f>
        <v>3672</v>
      </c>
      <c r="R10" s="485">
        <f t="shared" ref="R10:R73" ca="1" si="19">IF(P10="","",ROUND(P10*0.97,0))</f>
        <v>3955</v>
      </c>
      <c r="S10" s="588" t="str">
        <f t="shared" ref="S10:S73" ca="1" si="20">IF(B10="","",IF(T10&lt;&gt;"","✅売却済",IF(OR(H10="",L10=""),"📌保有中",IF(L10&gt;=0.06,"🟢利確推奨",IF(L10&gt;=0.05,"🟡利確直近",IF(L10&gt;=0.045,"🔵トレーリング検討",IF(L10&gt;-0.03,"📌保有中",IF(L10&gt;-0.04,"⚠️損切注意","🔴損切り"))))))))</f>
        <v>📌保有中</v>
      </c>
      <c r="T10" s="596" t="str">
        <f t="shared" ca="1" si="9"/>
        <v/>
      </c>
      <c r="U10" s="485" t="str">
        <f t="shared" ca="1" si="10"/>
        <v/>
      </c>
      <c r="V10" s="704" t="str">
        <f t="shared" ref="V10:V73" ca="1" si="21">IF(OR(F10="",G10="",U10=""),"",IF(C10="売",(F10-U10)*G10,(U10-F10)*G10))</f>
        <v/>
      </c>
      <c r="W10" s="487">
        <f t="shared" ca="1" si="11"/>
        <v>9</v>
      </c>
      <c r="X10" s="484" t="str">
        <f t="shared" ca="1" si="12"/>
        <v/>
      </c>
      <c r="Y10" s="488"/>
      <c r="Z10" s="714">
        <v>13</v>
      </c>
      <c r="AA10" s="603" t="s">
        <v>1328</v>
      </c>
      <c r="AD10" s="611" t="s">
        <v>1323</v>
      </c>
      <c r="AE10" s="628">
        <f t="shared" si="13"/>
        <v>46247</v>
      </c>
      <c r="AF10" s="630"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30"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03" t="str">
        <f t="shared" ca="1" si="14"/>
        <v>保有中</v>
      </c>
      <c r="AI10" s="603" t="str" cm="1">
        <f t="array" ref="AI10">IFERROR(INDEX(始値!$E$6:$BT$305,MATCH(TEXT($B10,"0"),TEXT(銘柄管理!$B$6:$B$305,"0"),0),MATCH($AE10,始値!$E$3:$BT$3,0)),"")</f>
        <v/>
      </c>
      <c r="AJ10" s="612" t="str">
        <f t="shared" ca="1" si="15"/>
        <v/>
      </c>
      <c r="AK10" s="633" t="str">
        <f t="shared" ca="1" si="16"/>
        <v/>
      </c>
      <c r="AL10" s="488" t="s">
        <v>1344</v>
      </c>
      <c r="AM10" s="614">
        <f>MAX(始値!$E$3:$BT$3)</f>
        <v>46238</v>
      </c>
      <c r="AN10" s="606" t="s">
        <v>1327</v>
      </c>
      <c r="AO10" s="632" t="str">
        <f ca="1">"合計 "&amp;SUM($AO$11:$AO$14)&amp;"件"</f>
        <v>合計 11件</v>
      </c>
      <c r="BB10" s="603" t="str">
        <f>IF(N(買抽出v13!$C10)=0,"",N(買抽出v13!$Q10)+N(買抽出v13!$L10)/1000-ROW()/1000000)</f>
        <v/>
      </c>
      <c r="BC10" s="603" t="str">
        <f>IF(N(売抽出v13!$C10)=0,"",N(売抽出v13!$Q10)+IFERROR(VALUE(SUBSTITUTE(売抽出v13!$L10,"倍","")),0)/1000-ROW()/1000000)</f>
        <v/>
      </c>
    </row>
    <row r="11" spans="1:57" ht="35.4" customHeight="1" thickTop="1">
      <c r="A11" s="623" t="str">
        <f t="shared" si="0"/>
        <v>株探</v>
      </c>
      <c r="B11" s="481">
        <v>8334</v>
      </c>
      <c r="C11" s="482" t="s">
        <v>998</v>
      </c>
      <c r="D11" s="483" t="str" cm="1">
        <f t="array" ref="D11">_xll.RssMarket(B11, "銘柄名称")</f>
        <v>群馬銀行</v>
      </c>
      <c r="E11" s="719">
        <v>46231</v>
      </c>
      <c r="F11" s="702" cm="1">
        <f t="array" aca="1" ref="F11" ca="1">IFERROR(_xlfn.LET(_xlpm.r,MATCH(TEXT($B11,"0"),TEXT(銘柄管理!$B$6:$B$305,"0"),0),_xlpm.t,MOD(NOW(),1),_xlpm.c,IF($E11=TODAY(),IF(_xlpm.t&gt;=TIME(15,30,0),NA(),1),IF(MATCH($E11,始値!$E$3:$BT$3,0)=1,1,MATCH($E11,始値!$E$3:$BT$3,0)+1)),_xlpm.v,INDEX(始値!$C$6:$BT$305,_xlpm.r,_xlpm.c),IF(N(_xlpm.v)=0,"",_xlpm.v)),"")</f>
        <v>2570</v>
      </c>
      <c r="G11" s="484">
        <v>100</v>
      </c>
      <c r="H11" s="485" cm="1">
        <f t="array" ref="H11">_xll.RssMarket(B11, "現在値")</f>
        <v>2560.5</v>
      </c>
      <c r="I11" s="485" cm="1">
        <f t="array" ref="I11">_xll.RssMarket(B11, "出来高加重平均")</f>
        <v>2541.3458000000001</v>
      </c>
      <c r="J11" s="704" cm="1">
        <f t="array" ref="J11">_xll.RssMarket($B11, "前日比")</f>
        <v>65</v>
      </c>
      <c r="K11" s="704">
        <f t="shared" ca="1" si="17"/>
        <v>-950</v>
      </c>
      <c r="L11" s="709">
        <f t="shared" ca="1" si="18"/>
        <v>-3.696498054474708E-3</v>
      </c>
      <c r="M11" s="485">
        <f t="shared" ca="1" si="6"/>
        <v>2724</v>
      </c>
      <c r="N11" s="485">
        <f t="shared" ca="1" si="7"/>
        <v>2467</v>
      </c>
      <c r="O11" s="486" t="str">
        <f t="shared" ca="1" si="8"/>
        <v>保持継続</v>
      </c>
      <c r="P11" s="485">
        <f t="array" aca="1" ref="P11" ca="1">IF(B11="","",IFERROR(MAX(OFFSET(高値!$E$6,MATCH(TEXT(B11,"0"),TEXT(銘柄管理!$B$6:$B$305,"0"),0)-1,0,1,10)),""))</f>
        <v>2661</v>
      </c>
      <c r="Q11" s="485">
        <f t="array" aca="1" ref="Q11" ca="1">IF(B11="","",IFERROR(MIN(OFFSET(安値!$E$6,MATCH(TEXT(B11,"0"),TEXT(銘柄管理!$B$6:$B$305,"0"),0)-1,0,1,10)),""))</f>
        <v>2440</v>
      </c>
      <c r="R11" s="485">
        <f t="shared" ca="1" si="19"/>
        <v>2581</v>
      </c>
      <c r="S11" s="588" t="str">
        <f t="shared" ca="1" si="20"/>
        <v>✅売却済</v>
      </c>
      <c r="T11" s="596">
        <f t="shared" ca="1" si="9"/>
        <v>46232</v>
      </c>
      <c r="U11" s="485">
        <f t="shared" ca="1" si="10"/>
        <v>2467</v>
      </c>
      <c r="V11" s="704">
        <f t="shared" ca="1" si="21"/>
        <v>-10300</v>
      </c>
      <c r="W11" s="487">
        <f t="shared" ca="1" si="11"/>
        <v>2</v>
      </c>
      <c r="X11" s="484" t="str">
        <f t="shared" ca="1" si="12"/>
        <v>損切確定</v>
      </c>
      <c r="Y11" s="488"/>
      <c r="Z11" s="714">
        <v>13</v>
      </c>
      <c r="AA11" s="603" t="s">
        <v>1329</v>
      </c>
      <c r="AD11" s="611" t="s">
        <v>1323</v>
      </c>
      <c r="AE11" s="628">
        <f t="shared" si="13"/>
        <v>46247</v>
      </c>
      <c r="AF11" s="630"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30"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03" t="str">
        <f t="shared" ca="1" si="14"/>
        <v>損切確定</v>
      </c>
      <c r="AI11" s="603" t="str" cm="1">
        <f t="array" ref="AI11">IFERROR(INDEX(始値!$E$6:$BT$305,MATCH(TEXT($B11,"0"),TEXT(銘柄管理!$B$6:$B$305,"0"),0),MATCH($AE11,始値!$E$3:$BT$3,0)),"")</f>
        <v/>
      </c>
      <c r="AJ11" s="612">
        <f t="shared" ca="1" si="15"/>
        <v>-4.0077821011673155E-2</v>
      </c>
      <c r="AK11" s="633" t="str">
        <f t="shared" ca="1" si="16"/>
        <v>●負</v>
      </c>
      <c r="AL11" s="488" t="s">
        <v>1345</v>
      </c>
      <c r="AM11" s="615">
        <f>WORKDAY($AM$10,1)</f>
        <v>46239</v>
      </c>
      <c r="AN11" s="648" t="str">
        <f>$AN4</f>
        <v>厳選TOP2買</v>
      </c>
      <c r="AO11" s="649">
        <f ca="1">COUNTIFS($AD$4:$AD$1000,"*"&amp;$AN11&amp;"*",$B$4:$B$1000,"&lt;&gt;",$T$4:$T$1000,"")</f>
        <v>3</v>
      </c>
      <c r="BB11" s="603" t="str">
        <f>IF(N(買抽出v13!$C11)=0,"",N(買抽出v13!$Q11)+N(買抽出v13!$L11)/1000-ROW()/1000000)</f>
        <v/>
      </c>
      <c r="BC11" s="603" t="str">
        <f>IF(N(売抽出v13!$C11)=0,"",N(売抽出v13!$Q11)+IFERROR(VALUE(SUBSTITUTE(売抽出v13!$L11,"倍","")),0)/1000-ROW()/1000000)</f>
        <v/>
      </c>
    </row>
    <row r="12" spans="1:57" ht="35.4" customHeight="1">
      <c r="A12" s="623" t="str">
        <f t="shared" si="0"/>
        <v>株探</v>
      </c>
      <c r="B12" s="481">
        <v>6387</v>
      </c>
      <c r="C12" s="482" t="s">
        <v>999</v>
      </c>
      <c r="D12" s="483" t="str" cm="1">
        <f t="array" ref="D12">_xll.RssMarket(B12, "銘柄名称")</f>
        <v>サムコ</v>
      </c>
      <c r="E12" s="719">
        <v>46231</v>
      </c>
      <c r="F12" s="702" cm="1">
        <f t="array" aca="1" ref="F12" ca="1">IFERROR(_xlfn.LET(_xlpm.r,MATCH(TEXT($B12,"0"),TEXT(銘柄管理!$B$6:$B$305,"0"),0),_xlpm.t,MOD(NOW(),1),_xlpm.c,IF($E12=TODAY(),IF(_xlpm.t&gt;=TIME(15,30,0),NA(),1),IF(MATCH($E12,始値!$E$3:$BT$3,0)=1,1,MATCH($E12,始値!$E$3:$BT$3,0)+1)),_xlpm.v,INDEX(始値!$C$6:$BT$305,_xlpm.r,_xlpm.c),IF(N(_xlpm.v)=0,"",_xlpm.v)),"")</f>
        <v>8430</v>
      </c>
      <c r="G12" s="484">
        <v>100</v>
      </c>
      <c r="H12" s="485" cm="1">
        <f t="array" ref="H12">_xll.RssMarket(B12, "現在値")</f>
        <v>9870</v>
      </c>
      <c r="I12" s="485" cm="1">
        <f t="array" ref="I12">_xll.RssMarket(B12, "出来高加重平均")</f>
        <v>9730.7914000000001</v>
      </c>
      <c r="J12" s="704" cm="1">
        <f t="array" ref="J12">_xll.RssMarket($B12, "前日比")</f>
        <v>520</v>
      </c>
      <c r="K12" s="704">
        <f t="shared" ca="1" si="17"/>
        <v>-144000</v>
      </c>
      <c r="L12" s="709">
        <f t="shared" ca="1" si="18"/>
        <v>-0.1708185053380783</v>
      </c>
      <c r="M12" s="485">
        <f t="shared" ca="1" si="6"/>
        <v>7924</v>
      </c>
      <c r="N12" s="485">
        <f t="shared" ca="1" si="7"/>
        <v>8767</v>
      </c>
      <c r="O12" s="486" t="str">
        <f t="shared" ca="1" si="8"/>
        <v>🔴損切</v>
      </c>
      <c r="P12" s="485">
        <f t="array" aca="1" ref="P12" ca="1">IF(B12="","",IFERROR(MAX(OFFSET(高値!$E$6,MATCH(TEXT(B12,"0"),TEXT(銘柄管理!$B$6:$B$305,"0"),0)-1,0,1,10)),""))</f>
        <v>10960</v>
      </c>
      <c r="Q12" s="485">
        <f t="array" aca="1" ref="Q12" ca="1">IF(B12="","",IFERROR(MIN(OFFSET(安値!$E$6,MATCH(TEXT(B12,"0"),TEXT(銘柄管理!$B$6:$B$305,"0"),0)-1,0,1,10)),""))</f>
        <v>7130</v>
      </c>
      <c r="R12" s="485">
        <f t="shared" ca="1" si="19"/>
        <v>10631</v>
      </c>
      <c r="S12" s="588" t="str">
        <f t="shared" ca="1" si="20"/>
        <v>✅売却済</v>
      </c>
      <c r="T12" s="596">
        <f t="shared" ca="1" si="9"/>
        <v>46232</v>
      </c>
      <c r="U12" s="485">
        <f t="shared" ca="1" si="10"/>
        <v>7924</v>
      </c>
      <c r="V12" s="704">
        <f t="shared" ca="1" si="21"/>
        <v>50600</v>
      </c>
      <c r="W12" s="487">
        <f t="shared" ca="1" si="11"/>
        <v>2</v>
      </c>
      <c r="X12" s="484" t="str">
        <f t="shared" ca="1" si="12"/>
        <v>利益確定</v>
      </c>
      <c r="Y12" s="488"/>
      <c r="Z12" s="714">
        <v>16</v>
      </c>
      <c r="AA12" s="603" t="s">
        <v>1330</v>
      </c>
      <c r="AD12" s="611" t="s">
        <v>1324</v>
      </c>
      <c r="AE12" s="629">
        <f t="shared" si="13"/>
        <v>46247</v>
      </c>
      <c r="AF12" s="631"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31"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46234</v>
      </c>
      <c r="AH12" s="604" t="str">
        <f t="shared" ca="1" si="14"/>
        <v>利益確定</v>
      </c>
      <c r="AI12" s="604" t="str" cm="1">
        <f t="array" ref="AI12">IFERROR(INDEX(始値!$E$6:$BT$305,MATCH(TEXT($B12,"0"),TEXT(銘柄管理!$B$6:$B$305,"0"),0),MATCH($AE12,始値!$E$3:$BT$3,0)),"")</f>
        <v/>
      </c>
      <c r="AJ12" s="612">
        <f t="shared" ca="1" si="15"/>
        <v>6.0023724792408063E-2</v>
      </c>
      <c r="AK12" s="633" t="str">
        <f t="shared" ca="1" si="16"/>
        <v>○勝</v>
      </c>
      <c r="AN12" s="640" t="str">
        <f>$AN5</f>
        <v>厳選TOP2売</v>
      </c>
      <c r="AO12" s="650">
        <f ca="1">COUNTIFS($AD$4:$AD$1000,"*"&amp;$AN12&amp;"*",$B$4:$B$1000,"&lt;&gt;",$T$4:$T$1000,"")</f>
        <v>1</v>
      </c>
      <c r="BB12" s="603" t="str">
        <f>IF(N(買抽出v13!$C12)=0,"",N(買抽出v13!$Q12)+N(買抽出v13!$L12)/1000-ROW()/1000000)</f>
        <v/>
      </c>
      <c r="BC12" s="603" t="str">
        <f>IF(N(売抽出v13!$C12)=0,"",N(売抽出v13!$Q12)+IFERROR(VALUE(SUBSTITUTE(売抽出v13!$L12,"倍","")),0)/1000-ROW()/1000000)</f>
        <v/>
      </c>
    </row>
    <row r="13" spans="1:57" ht="35.4" customHeight="1">
      <c r="A13" s="623" t="str">
        <f t="shared" si="0"/>
        <v>株探</v>
      </c>
      <c r="B13" s="481">
        <v>9984</v>
      </c>
      <c r="C13" s="482" t="s">
        <v>999</v>
      </c>
      <c r="D13" s="483" t="str" cm="1">
        <f t="array" ref="D13">_xll.RssMarket(B13, "銘柄名称")</f>
        <v>ソフトバンクグループ</v>
      </c>
      <c r="E13" s="719">
        <v>46231</v>
      </c>
      <c r="F13" s="702" cm="1">
        <f t="array" aca="1" ref="F13" ca="1">IFERROR(_xlfn.LET(_xlpm.r,MATCH(TEXT($B13,"0"),TEXT(銘柄管理!$B$6:$B$305,"0"),0),_xlpm.t,MOD(NOW(),1),_xlpm.c,IF($E13=TODAY(),IF(_xlpm.t&gt;=TIME(15,30,0),NA(),1),IF(MATCH($E13,始値!$E$3:$BT$3,0)=1,1,MATCH($E13,始値!$E$3:$BT$3,0)+1)),_xlpm.v,INDEX(始値!$C$6:$BT$305,_xlpm.r,_xlpm.c),IF(N(_xlpm.v)=0,"",_xlpm.v)),"")</f>
        <v>5083</v>
      </c>
      <c r="G13" s="484">
        <v>100</v>
      </c>
      <c r="H13" s="485" cm="1">
        <f t="array" ref="H13">_xll.RssMarket(B13, "現在値")</f>
        <v>5872</v>
      </c>
      <c r="I13" s="485" cm="1">
        <f t="array" ref="I13">_xll.RssMarket(B13, "出来高加重平均")</f>
        <v>5773.9458000000004</v>
      </c>
      <c r="J13" s="704" cm="1">
        <f t="array" ref="J13">_xll.RssMarket($B13, "前日比")</f>
        <v>644</v>
      </c>
      <c r="K13" s="704">
        <f t="shared" ca="1" si="17"/>
        <v>-78900</v>
      </c>
      <c r="L13" s="709">
        <f t="shared" ca="1" si="18"/>
        <v>-0.15522329333071022</v>
      </c>
      <c r="M13" s="485">
        <f t="shared" ca="1" si="6"/>
        <v>4778</v>
      </c>
      <c r="N13" s="485">
        <f t="shared" ca="1" si="7"/>
        <v>5286</v>
      </c>
      <c r="O13" s="486" t="str">
        <f t="shared" ca="1" si="8"/>
        <v>🔴損切</v>
      </c>
      <c r="P13" s="485">
        <f t="array" aca="1" ref="P13" ca="1">IF(B13="","",IFERROR(MAX(OFFSET(高値!$E$6,MATCH(TEXT(B13,"0"),TEXT(銘柄管理!$B$6:$B$305,"0"),0)-1,0,1,10)),""))</f>
        <v>6032</v>
      </c>
      <c r="Q13" s="485">
        <f t="array" aca="1" ref="Q13" ca="1">IF(B13="","",IFERROR(MIN(OFFSET(安値!$E$6,MATCH(TEXT(B13,"0"),TEXT(銘柄管理!$B$6:$B$305,"0"),0)-1,0,1,10)),""))</f>
        <v>4500</v>
      </c>
      <c r="R13" s="485">
        <f t="shared" ca="1" si="19"/>
        <v>5851</v>
      </c>
      <c r="S13" s="588" t="str">
        <f t="shared" ca="1" si="20"/>
        <v>✅売却済</v>
      </c>
      <c r="T13" s="596">
        <f t="shared" ca="1" si="9"/>
        <v>46232</v>
      </c>
      <c r="U13" s="485">
        <f t="shared" ca="1" si="10"/>
        <v>4778</v>
      </c>
      <c r="V13" s="704">
        <f t="shared" ca="1" si="21"/>
        <v>30500</v>
      </c>
      <c r="W13" s="487">
        <f t="shared" ca="1" si="11"/>
        <v>2</v>
      </c>
      <c r="X13" s="484" t="str">
        <f t="shared" ca="1" si="12"/>
        <v>利益確定</v>
      </c>
      <c r="Y13" s="488"/>
      <c r="Z13" s="714">
        <v>16</v>
      </c>
      <c r="AA13" s="603" t="s">
        <v>1331</v>
      </c>
      <c r="AD13" s="611" t="s">
        <v>1324</v>
      </c>
      <c r="AE13" s="629">
        <f t="shared" si="13"/>
        <v>46247</v>
      </c>
      <c r="AF13" s="631"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31"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46234</v>
      </c>
      <c r="AH13" s="604" t="str">
        <f t="shared" ca="1" si="14"/>
        <v>利益確定</v>
      </c>
      <c r="AI13" s="604" t="str" cm="1">
        <f t="array" ref="AI13">IFERROR(INDEX(始値!$E$6:$BT$305,MATCH(TEXT($B13,"0"),TEXT(銘柄管理!$B$6:$B$305,"0"),0),MATCH($AE13,始値!$E$3:$BT$3,0)),"")</f>
        <v/>
      </c>
      <c r="AJ13" s="612">
        <f t="shared" ca="1" si="15"/>
        <v>6.0003934684241589E-2</v>
      </c>
      <c r="AK13" s="633" t="str">
        <f t="shared" ca="1" si="16"/>
        <v>○勝</v>
      </c>
      <c r="AN13" s="641" t="str">
        <f>$AN6</f>
        <v>v13買</v>
      </c>
      <c r="AO13" s="650">
        <f ca="1">COUNTIFS($AD$4:$AD$1000,"*"&amp;$AN13&amp;"*",$B$4:$B$1000,"&lt;&gt;",$T$4:$T$1000,"")</f>
        <v>3</v>
      </c>
      <c r="BB13" s="603" t="str">
        <f>IF(N(買抽出v13!$C13)=0,"",N(買抽出v13!$Q13)+N(買抽出v13!$L13)/1000-ROW()/1000000)</f>
        <v/>
      </c>
      <c r="BC13" s="603" t="str">
        <f>IF(N(売抽出v13!$C13)=0,"",N(売抽出v13!$Q13)+IFERROR(VALUE(SUBSTITUTE(売抽出v13!$L13,"倍","")),0)/1000-ROW()/1000000)</f>
        <v/>
      </c>
    </row>
    <row r="14" spans="1:57" ht="35.4" customHeight="1" thickBot="1">
      <c r="A14" s="623" t="str">
        <f t="shared" si="0"/>
        <v>株探</v>
      </c>
      <c r="B14" s="481">
        <v>7981</v>
      </c>
      <c r="C14" s="482" t="s">
        <v>998</v>
      </c>
      <c r="D14" s="483" t="str" cm="1">
        <f t="array" ref="D14">_xll.RssMarket(B14, "銘柄名称")</f>
        <v>タカラスタンダ－ド</v>
      </c>
      <c r="E14" s="719">
        <v>46231</v>
      </c>
      <c r="F14" s="702" cm="1">
        <f t="array" aca="1" ref="F14" ca="1">IFERROR(_xlfn.LET(_xlpm.r,MATCH(TEXT($B14,"0"),TEXT(銘柄管理!$B$6:$B$305,"0"),0),_xlpm.t,MOD(NOW(),1),_xlpm.c,IF($E14=TODAY(),IF(_xlpm.t&gt;=TIME(15,30,0),NA(),1),IF(MATCH($E14,始値!$E$3:$BT$3,0)=1,1,MATCH($E14,始値!$E$3:$BT$3,0)+1)),_xlpm.v,INDEX(始値!$C$6:$BT$305,_xlpm.r,_xlpm.c),IF(N(_xlpm.v)=0,"",_xlpm.v)),"")</f>
        <v>3310</v>
      </c>
      <c r="G14" s="484">
        <v>100</v>
      </c>
      <c r="H14" s="485" cm="1">
        <f t="array" ref="H14">_xll.RssMarket(B14, "現在値")</f>
        <v>3005</v>
      </c>
      <c r="I14" s="485" cm="1">
        <f t="array" ref="I14">_xll.RssMarket(B14, "出来高加重平均")</f>
        <v>2994.884</v>
      </c>
      <c r="J14" s="704" cm="1">
        <f t="array" ref="J14">_xll.RssMarket($B14, "前日比")</f>
        <v>15</v>
      </c>
      <c r="K14" s="704">
        <f t="shared" ca="1" si="17"/>
        <v>-30500</v>
      </c>
      <c r="L14" s="709">
        <f t="shared" ca="1" si="18"/>
        <v>-9.2145015105740177E-2</v>
      </c>
      <c r="M14" s="485">
        <f t="shared" ca="1" si="6"/>
        <v>3509</v>
      </c>
      <c r="N14" s="485">
        <f t="shared" ca="1" si="7"/>
        <v>3178</v>
      </c>
      <c r="O14" s="486" t="str">
        <f t="shared" ca="1" si="8"/>
        <v>🔴損切</v>
      </c>
      <c r="P14" s="485">
        <f t="array" aca="1" ref="P14" ca="1">IF(B14="","",IFERROR(MAX(OFFSET(高値!$E$6,MATCH(TEXT(B14,"0"),TEXT(銘柄管理!$B$6:$B$305,"0"),0)-1,0,1,10)),""))</f>
        <v>3330</v>
      </c>
      <c r="Q14" s="485">
        <f t="array" aca="1" ref="Q14" ca="1">IF(B14="","",IFERROR(MIN(OFFSET(安値!$E$6,MATCH(TEXT(B14,"0"),TEXT(銘柄管理!$B$6:$B$305,"0"),0)-1,0,1,10)),""))</f>
        <v>2960</v>
      </c>
      <c r="R14" s="485">
        <f t="shared" ca="1" si="19"/>
        <v>3230</v>
      </c>
      <c r="S14" s="588" t="str">
        <f t="shared" ca="1" si="20"/>
        <v>✅売却済</v>
      </c>
      <c r="T14" s="596">
        <f t="shared" ca="1" si="9"/>
        <v>46233</v>
      </c>
      <c r="U14" s="485">
        <f t="shared" ca="1" si="10"/>
        <v>3178</v>
      </c>
      <c r="V14" s="704">
        <f t="shared" ca="1" si="21"/>
        <v>-13200</v>
      </c>
      <c r="W14" s="487">
        <f t="shared" ca="1" si="11"/>
        <v>3</v>
      </c>
      <c r="X14" s="484" t="str">
        <f t="shared" ca="1" si="12"/>
        <v>損切確定</v>
      </c>
      <c r="Y14" s="488"/>
      <c r="Z14" s="714">
        <v>21</v>
      </c>
      <c r="AA14" s="603" t="s">
        <v>1332</v>
      </c>
      <c r="AD14" s="611" t="s">
        <v>1325</v>
      </c>
      <c r="AE14" s="629">
        <f t="shared" si="13"/>
        <v>46247</v>
      </c>
      <c r="AF14" s="631"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31"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04" t="str">
        <f t="shared" ca="1" si="14"/>
        <v>損切確定</v>
      </c>
      <c r="AI14" s="604" t="str" cm="1">
        <f t="array" ref="AI14">IFERROR(INDEX(始値!$E$6:$BT$305,MATCH(TEXT($B14,"0"),TEXT(銘柄管理!$B$6:$B$305,"0"),0),MATCH($AE14,始値!$E$3:$BT$3,0)),"")</f>
        <v/>
      </c>
      <c r="AJ14" s="612">
        <f t="shared" ca="1" si="15"/>
        <v>-3.9879154078549847E-2</v>
      </c>
      <c r="AK14" s="633" t="str">
        <f t="shared" ca="1" si="16"/>
        <v>●負</v>
      </c>
      <c r="AN14" s="651" t="str">
        <f>$AN7</f>
        <v>v13売</v>
      </c>
      <c r="AO14" s="652">
        <f ca="1">COUNTIFS($AD$4:$AD$1000,"*"&amp;$AN14&amp;"*",$B$4:$B$1000,"&lt;&gt;",$T$4:$T$1000,"")</f>
        <v>4</v>
      </c>
      <c r="BB14" s="603" t="str">
        <f>IF(N(買抽出v13!$C14)=0,"",N(買抽出v13!$Q14)+N(買抽出v13!$L14)/1000-ROW()/1000000)</f>
        <v/>
      </c>
      <c r="BC14" s="603" t="str">
        <f>IF(N(売抽出v13!$C14)=0,"",N(売抽出v13!$Q14)+IFERROR(VALUE(SUBSTITUTE(売抽出v13!$L14,"倍","")),0)/1000-ROW()/1000000)</f>
        <v/>
      </c>
    </row>
    <row r="15" spans="1:57" ht="35.4" customHeight="1" thickTop="1">
      <c r="A15" s="623" t="str">
        <f t="shared" si="0"/>
        <v>株探</v>
      </c>
      <c r="B15" s="481">
        <v>4540</v>
      </c>
      <c r="C15" s="482" t="s">
        <v>998</v>
      </c>
      <c r="D15" s="483" t="str" cm="1">
        <f t="array" ref="D15">_xll.RssMarket(B15, "銘柄名称")</f>
        <v>ツムラ</v>
      </c>
      <c r="E15" s="719">
        <v>46231</v>
      </c>
      <c r="F15" s="702" cm="1">
        <f t="array" aca="1" ref="F15" ca="1">IFERROR(_xlfn.LET(_xlpm.r,MATCH(TEXT($B15,"0"),TEXT(銘柄管理!$B$6:$B$305,"0"),0),_xlpm.t,MOD(NOW(),1),_xlpm.c,IF($E15=TODAY(),IF(_xlpm.t&gt;=TIME(15,30,0),NA(),1),IF(MATCH($E15,始値!$E$3:$BT$3,0)=1,1,MATCH($E15,始値!$E$3:$BT$3,0)+1)),_xlpm.v,INDEX(始値!$C$6:$BT$305,_xlpm.r,_xlpm.c),IF(N(_xlpm.v)=0,"",_xlpm.v)),"")</f>
        <v>3971</v>
      </c>
      <c r="G15" s="484">
        <v>100</v>
      </c>
      <c r="H15" s="485" cm="1">
        <f t="array" ref="H15">_xll.RssMarket(B15, "現在値")</f>
        <v>3718</v>
      </c>
      <c r="I15" s="485" cm="1">
        <f t="array" ref="I15">_xll.RssMarket(B15, "出来高加重平均")</f>
        <v>3733.6415999999999</v>
      </c>
      <c r="J15" s="704" cm="1">
        <f t="array" ref="J15">_xll.RssMarket($B15, "前日比")</f>
        <v>-49</v>
      </c>
      <c r="K15" s="704">
        <f t="shared" ca="1" si="17"/>
        <v>-25300</v>
      </c>
      <c r="L15" s="709">
        <f t="shared" ca="1" si="18"/>
        <v>-6.3711911357340723E-2</v>
      </c>
      <c r="M15" s="485">
        <f t="shared" ca="1" si="6"/>
        <v>4209</v>
      </c>
      <c r="N15" s="485">
        <f t="shared" ca="1" si="7"/>
        <v>3812</v>
      </c>
      <c r="O15" s="486" t="str">
        <f t="shared" ca="1" si="8"/>
        <v>🔴損切</v>
      </c>
      <c r="P15" s="485">
        <f t="array" aca="1" ref="P15" ca="1">IF(B15="","",IFERROR(MAX(OFFSET(高値!$E$6,MATCH(TEXT(B15,"0"),TEXT(銘柄管理!$B$6:$B$305,"0"),0)-1,0,1,10)),""))</f>
        <v>4079</v>
      </c>
      <c r="Q15" s="485">
        <f t="array" aca="1" ref="Q15" ca="1">IF(B15="","",IFERROR(MIN(OFFSET(安値!$E$6,MATCH(TEXT(B15,"0"),TEXT(銘柄管理!$B$6:$B$305,"0"),0)-1,0,1,10)),""))</f>
        <v>3730</v>
      </c>
      <c r="R15" s="485">
        <f t="shared" ca="1" si="19"/>
        <v>3957</v>
      </c>
      <c r="S15" s="588" t="str">
        <f t="shared" ca="1" si="20"/>
        <v>✅売却済</v>
      </c>
      <c r="T15" s="596">
        <f t="shared" ca="1" si="9"/>
        <v>46237</v>
      </c>
      <c r="U15" s="485">
        <f t="shared" ca="1" si="10"/>
        <v>3812</v>
      </c>
      <c r="V15" s="704">
        <f t="shared" ca="1" si="21"/>
        <v>-15900</v>
      </c>
      <c r="W15" s="487">
        <f t="shared" ca="1" si="11"/>
        <v>7</v>
      </c>
      <c r="X15" s="484" t="str">
        <f t="shared" ca="1" si="12"/>
        <v>損切確定</v>
      </c>
      <c r="Y15" s="488"/>
      <c r="Z15" s="714">
        <v>20</v>
      </c>
      <c r="AA15" s="603" t="s">
        <v>1333</v>
      </c>
      <c r="AD15" s="611" t="s">
        <v>1325</v>
      </c>
      <c r="AE15" s="629">
        <f t="shared" si="13"/>
        <v>46247</v>
      </c>
      <c r="AF15" s="631"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31"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46237</v>
      </c>
      <c r="AH15" s="604" t="str">
        <f t="shared" ca="1" si="14"/>
        <v>損切確定</v>
      </c>
      <c r="AI15" s="604" t="str" cm="1">
        <f t="array" ref="AI15">IFERROR(INDEX(始値!$E$6:$BT$305,MATCH(TEXT($B15,"0"),TEXT(銘柄管理!$B$6:$B$305,"0"),0),MATCH($AE15,始値!$E$3:$BT$3,0)),"")</f>
        <v/>
      </c>
      <c r="AJ15" s="612">
        <f t="shared" ca="1" si="15"/>
        <v>-4.0040292117854447E-2</v>
      </c>
      <c r="AK15" s="633" t="str">
        <f t="shared" ca="1" si="16"/>
        <v>●負</v>
      </c>
      <c r="AL15" s="616" t="s">
        <v>1336</v>
      </c>
      <c r="AM15" s="617"/>
      <c r="AN15" s="617"/>
      <c r="AO15" s="617"/>
      <c r="AP15" s="617"/>
      <c r="AQ15" s="617"/>
      <c r="AR15" s="617"/>
      <c r="AS15" s="617"/>
      <c r="BB15" s="603" t="str">
        <f>IF(N(買抽出v13!$C15)=0,"",N(買抽出v13!$Q15)+N(買抽出v13!$L15)/1000-ROW()/1000000)</f>
        <v/>
      </c>
      <c r="BC15" s="603" t="str">
        <f>IF(N(売抽出v13!$C15)=0,"",N(売抽出v13!$Q15)+IFERROR(VALUE(SUBSTITUTE(売抽出v13!$L15,"倍","")),0)/1000-ROW()/1000000)</f>
        <v/>
      </c>
    </row>
    <row r="16" spans="1:57" ht="35.4" customHeight="1">
      <c r="A16" s="623" t="str">
        <f t="shared" si="0"/>
        <v>株探</v>
      </c>
      <c r="B16" s="481">
        <v>7711</v>
      </c>
      <c r="C16" s="482" t="s">
        <v>999</v>
      </c>
      <c r="D16" s="483" t="str" cm="1">
        <f t="array" ref="D16">_xll.RssMarket(B16, "銘柄名称")</f>
        <v>助川電気工業</v>
      </c>
      <c r="E16" s="719">
        <v>46231</v>
      </c>
      <c r="F16" s="702" cm="1">
        <f t="array" aca="1" ref="F16" ca="1">IFERROR(_xlfn.LET(_xlpm.r,MATCH(TEXT($B16,"0"),TEXT(銘柄管理!$B$6:$B$305,"0"),0),_xlpm.t,MOD(NOW(),1),_xlpm.c,IF($E16=TODAY(),IF(_xlpm.t&gt;=TIME(15,30,0),NA(),1),IF(MATCH($E16,始値!$E$3:$BT$3,0)=1,1,MATCH($E16,始値!$E$3:$BT$3,0)+1)),_xlpm.v,INDEX(始値!$C$6:$BT$305,_xlpm.r,_xlpm.c),IF(N(_xlpm.v)=0,"",_xlpm.v)),"")</f>
        <v>4210</v>
      </c>
      <c r="G16" s="484">
        <v>100</v>
      </c>
      <c r="H16" s="485" cm="1">
        <f t="array" ref="H16">_xll.RssMarket(B16, "現在値")</f>
        <v>4610</v>
      </c>
      <c r="I16" s="485" cm="1">
        <f t="array" ref="I16">_xll.RssMarket(B16, "出来高加重平均")</f>
        <v>4575.6976000000004</v>
      </c>
      <c r="J16" s="704" cm="1">
        <f t="array" ref="J16">_xll.RssMarket($B16, "前日比")</f>
        <v>135</v>
      </c>
      <c r="K16" s="704">
        <f t="shared" ca="1" si="17"/>
        <v>-40000</v>
      </c>
      <c r="L16" s="709">
        <f t="shared" ca="1" si="18"/>
        <v>-9.5011876484560567E-2</v>
      </c>
      <c r="M16" s="485">
        <f t="shared" ca="1" si="6"/>
        <v>3957</v>
      </c>
      <c r="N16" s="485">
        <f t="shared" ca="1" si="7"/>
        <v>4378</v>
      </c>
      <c r="O16" s="486" t="str">
        <f t="shared" ca="1" si="8"/>
        <v>🔴損切</v>
      </c>
      <c r="P16" s="485">
        <f t="array" aca="1" ref="P16" ca="1">IF(B16="","",IFERROR(MAX(OFFSET(高値!$E$6,MATCH(TEXT(B16,"0"),TEXT(銘柄管理!$B$6:$B$305,"0"),0)-1,0,1,10)),""))</f>
        <v>4830</v>
      </c>
      <c r="Q16" s="485">
        <f t="array" aca="1" ref="Q16" ca="1">IF(B16="","",IFERROR(MIN(OFFSET(安値!$E$6,MATCH(TEXT(B16,"0"),TEXT(銘柄管理!$B$6:$B$305,"0"),0)-1,0,1,10)),""))</f>
        <v>4030</v>
      </c>
      <c r="R16" s="485">
        <f t="shared" ca="1" si="19"/>
        <v>4685</v>
      </c>
      <c r="S16" s="588" t="str">
        <f t="shared" ca="1" si="20"/>
        <v>✅売却済</v>
      </c>
      <c r="T16" s="596">
        <f t="shared" ca="1" si="9"/>
        <v>46238</v>
      </c>
      <c r="U16" s="485">
        <f t="shared" ca="1" si="10"/>
        <v>4378</v>
      </c>
      <c r="V16" s="704">
        <f t="shared" ca="1" si="21"/>
        <v>-16800</v>
      </c>
      <c r="W16" s="487">
        <f t="shared" ca="1" si="11"/>
        <v>8</v>
      </c>
      <c r="X16" s="484" t="str">
        <f t="shared" ca="1" si="12"/>
        <v>損切確定</v>
      </c>
      <c r="Y16" s="488"/>
      <c r="Z16" s="714">
        <v>14</v>
      </c>
      <c r="AA16" s="603" t="s">
        <v>1334</v>
      </c>
      <c r="AD16" s="611" t="s">
        <v>1326</v>
      </c>
      <c r="AE16" s="629">
        <f t="shared" si="13"/>
        <v>46247</v>
      </c>
      <c r="AF16" s="631"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31"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46238</v>
      </c>
      <c r="AH16" s="604" t="str">
        <f t="shared" ca="1" si="14"/>
        <v>損切確定</v>
      </c>
      <c r="AI16" s="604" t="str" cm="1">
        <f t="array" ref="AI16">IFERROR(INDEX(始値!$E$6:$BT$305,MATCH(TEXT($B16,"0"),TEXT(銘柄管理!$B$6:$B$305,"0"),0),MATCH($AE16,始値!$E$3:$BT$3,0)),"")</f>
        <v/>
      </c>
      <c r="AJ16" s="612">
        <f t="shared" ca="1" si="15"/>
        <v>-3.9904988123515436E-2</v>
      </c>
      <c r="AK16" s="633" t="str">
        <f t="shared" ca="1" si="16"/>
        <v>●負</v>
      </c>
      <c r="AL16" s="618" t="s">
        <v>1260</v>
      </c>
      <c r="AM16" s="618" t="s">
        <v>1</v>
      </c>
      <c r="AN16" s="618" t="s">
        <v>610</v>
      </c>
      <c r="AO16" s="618" t="s">
        <v>783</v>
      </c>
      <c r="AP16" s="618" t="s">
        <v>537</v>
      </c>
      <c r="AQ16" s="618"/>
      <c r="AR16" s="618" t="s">
        <v>1317</v>
      </c>
      <c r="AS16" s="618" t="s">
        <v>1318</v>
      </c>
      <c r="BB16" s="603" t="str">
        <f>IF(N(買抽出v13!$C16)=0,"",N(買抽出v13!$Q16)+N(買抽出v13!$L16)/1000-ROW()/1000000)</f>
        <v/>
      </c>
      <c r="BC16" s="603" t="str">
        <f>IF(N(売抽出v13!$C16)=0,"",N(売抽出v13!$Q16)+IFERROR(VALUE(SUBSTITUTE(売抽出v13!$L16,"倍","")),0)/1000-ROW()/1000000)</f>
        <v/>
      </c>
    </row>
    <row r="17" spans="1:55" ht="35.4" customHeight="1">
      <c r="A17" s="623" t="str">
        <f t="shared" si="0"/>
        <v>株探</v>
      </c>
      <c r="B17" s="481">
        <v>6955</v>
      </c>
      <c r="C17" s="482" t="s">
        <v>999</v>
      </c>
      <c r="D17" s="483" t="str" cm="1">
        <f t="array" ref="D17">_xll.RssMarket(B17, "銘柄名称")</f>
        <v>ＦＤＫ</v>
      </c>
      <c r="E17" s="719">
        <v>46231</v>
      </c>
      <c r="F17" s="702" cm="1">
        <f t="array" aca="1" ref="F17" ca="1">IFERROR(_xlfn.LET(_xlpm.r,MATCH(TEXT($B17,"0"),TEXT(銘柄管理!$B$6:$B$305,"0"),0),_xlpm.t,MOD(NOW(),1),_xlpm.c,IF($E17=TODAY(),IF(_xlpm.t&gt;=TIME(15,30,0),NA(),1),IF(MATCH($E17,始値!$E$3:$BT$3,0)=1,1,MATCH($E17,始値!$E$3:$BT$3,0)+1)),_xlpm.v,INDEX(始値!$C$6:$BT$305,_xlpm.r,_xlpm.c),IF(N(_xlpm.v)=0,"",_xlpm.v)),"")</f>
        <v>392</v>
      </c>
      <c r="G17" s="484">
        <v>100</v>
      </c>
      <c r="H17" s="485" cm="1">
        <f t="array" ref="H17">_xll.RssMarket(B17, "現在値")</f>
        <v>400</v>
      </c>
      <c r="I17" s="485" cm="1">
        <f t="array" ref="I17">_xll.RssMarket(B17, "出来高加重平均")</f>
        <v>397.18799999999999</v>
      </c>
      <c r="J17" s="704" cm="1">
        <f t="array" ref="J17">_xll.RssMarket($B17, "前日比")</f>
        <v>11</v>
      </c>
      <c r="K17" s="704">
        <f t="shared" ca="1" si="17"/>
        <v>-800</v>
      </c>
      <c r="L17" s="709">
        <f t="shared" ca="1" si="18"/>
        <v>-2.0408163265306121E-2</v>
      </c>
      <c r="M17" s="485">
        <f t="shared" ca="1" si="6"/>
        <v>368</v>
      </c>
      <c r="N17" s="485">
        <f t="shared" ca="1" si="7"/>
        <v>408</v>
      </c>
      <c r="O17" s="486" t="str">
        <f t="shared" ca="1" si="8"/>
        <v>保持継続</v>
      </c>
      <c r="P17" s="485">
        <f t="array" aca="1" ref="P17" ca="1">IF(B17="","",IFERROR(MAX(OFFSET(高値!$E$6,MATCH(TEXT(B17,"0"),TEXT(銘柄管理!$B$6:$B$305,"0"),0)-1,0,1,10)),""))</f>
        <v>425</v>
      </c>
      <c r="Q17" s="485">
        <f t="array" aca="1" ref="Q17" ca="1">IF(B17="","",IFERROR(MIN(OFFSET(安値!$E$6,MATCH(TEXT(B17,"0"),TEXT(銘柄管理!$B$6:$B$305,"0"),0)-1,0,1,10)),""))</f>
        <v>375</v>
      </c>
      <c r="R17" s="485">
        <f t="shared" ca="1" si="19"/>
        <v>412</v>
      </c>
      <c r="S17" s="588" t="str">
        <f t="shared" ca="1" si="20"/>
        <v>📌保有中</v>
      </c>
      <c r="T17" s="596" t="str">
        <f t="shared" ca="1" si="9"/>
        <v/>
      </c>
      <c r="U17" s="485" t="str">
        <f t="shared" ca="1" si="10"/>
        <v/>
      </c>
      <c r="V17" s="704" t="str">
        <f t="shared" ca="1" si="21"/>
        <v/>
      </c>
      <c r="W17" s="487">
        <f t="shared" ca="1" si="11"/>
        <v>9</v>
      </c>
      <c r="X17" s="484" t="str">
        <f t="shared" ca="1" si="12"/>
        <v/>
      </c>
      <c r="Y17" s="488"/>
      <c r="Z17" s="714">
        <v>14</v>
      </c>
      <c r="AA17" s="603" t="s">
        <v>1335</v>
      </c>
      <c r="AD17" s="611" t="s">
        <v>1326</v>
      </c>
      <c r="AE17" s="629">
        <f t="shared" si="13"/>
        <v>46247</v>
      </c>
      <c r="AF17" s="631"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31"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0</v>
      </c>
      <c r="AH17" s="604" t="str">
        <f t="shared" ca="1" si="14"/>
        <v>保有中</v>
      </c>
      <c r="AI17" s="604" t="str" cm="1">
        <f t="array" ref="AI17">IFERROR(INDEX(始値!$E$6:$BT$305,MATCH(TEXT($B17,"0"),TEXT(銘柄管理!$B$6:$B$305,"0"),0),MATCH($AE17,始値!$E$3:$BT$3,0)),"")</f>
        <v/>
      </c>
      <c r="AJ17" s="612" t="str">
        <f t="shared" ca="1" si="15"/>
        <v/>
      </c>
      <c r="AK17" s="633" t="str">
        <f t="shared" ca="1" si="16"/>
        <v/>
      </c>
      <c r="AL17" s="617" t="str">
        <f>IF($AM17="","","厳選TOP2買")</f>
        <v/>
      </c>
      <c r="AM17" s="619" t="str">
        <f>IF(厳選TOP2!$B18="","",厳選TOP2!$B18)</f>
        <v/>
      </c>
      <c r="AN17" s="617" t="str">
        <f>IF($AM17="","",厳選TOP2!$C18)</f>
        <v/>
      </c>
      <c r="AO17" s="619" t="str">
        <f>IF($AM17="","","買")</f>
        <v/>
      </c>
      <c r="AP17" s="619" t="str">
        <f>IF($AM17="","",厳選TOP2!$E18)</f>
        <v/>
      </c>
      <c r="AQ17" s="619"/>
      <c r="AR17" s="617" t="str">
        <f>IF($AM17="","",厳選TOP2!$H18&amp;" RSI"&amp;TEXT(厳選TOP2!$G18,"0.0")&amp;" 出来高"&amp;TEXT(厳選TOP2!$F18,"0.00")&amp;"倍")</f>
        <v/>
      </c>
      <c r="AS17" s="617" t="str">
        <f t="shared" ref="AS17:AS24" si="22">IF($AM17="","",IF(COUNTIFS($B:$B,$AM17,$E:$E,$AM$11)&gt;0,"✅追記済","→未追記"))</f>
        <v/>
      </c>
      <c r="BB17" s="603" t="str">
        <f>IF(N(買抽出v13!$C17)=0,"",N(買抽出v13!$Q17)+N(買抽出v13!$L17)/1000-ROW()/1000000)</f>
        <v/>
      </c>
      <c r="BC17" s="603" t="str">
        <f>IF(N(売抽出v13!$C17)=0,"",N(売抽出v13!$Q17)+IFERROR(VALUE(SUBSTITUTE(売抽出v13!$L17,"倍","")),0)/1000-ROW()/1000000)</f>
        <v/>
      </c>
    </row>
    <row r="18" spans="1:55" ht="35.4" customHeight="1">
      <c r="A18" s="623" t="str">
        <f t="shared" si="0"/>
        <v>株探</v>
      </c>
      <c r="B18" s="481">
        <v>4307</v>
      </c>
      <c r="C18" s="482" t="s">
        <v>998</v>
      </c>
      <c r="D18" s="483" t="str" cm="1">
        <f t="array" ref="D18">_xll.RssMarket(B18, "銘柄名称")</f>
        <v>野村総合研究所</v>
      </c>
      <c r="E18" s="719">
        <v>46232</v>
      </c>
      <c r="F18" s="702" cm="1">
        <f t="array" aca="1" ref="F18" ca="1">IFERROR(_xlfn.LET(_xlpm.r,MATCH(TEXT($B18,"0"),TEXT(銘柄管理!$B$6:$B$305,"0"),0),_xlpm.t,MOD(NOW(),1),_xlpm.c,IF($E18=TODAY(),IF(_xlpm.t&gt;=TIME(15,30,0),NA(),1),IF(MATCH($E18,始値!$E$3:$BT$3,0)=1,1,MATCH($E18,始値!$E$3:$BT$3,0)+1)),_xlpm.v,INDEX(始値!$C$6:$BT$305,_xlpm.r,_xlpm.c),IF(N(_xlpm.v)=0,"",_xlpm.v)),"")</f>
        <v>5550</v>
      </c>
      <c r="G18" s="484">
        <v>100</v>
      </c>
      <c r="H18" s="485" cm="1">
        <f t="array" ref="H18">_xll.RssMarket(B18, "現在値")</f>
        <v>4500</v>
      </c>
      <c r="I18" s="485" cm="1">
        <f t="array" ref="I18">_xll.RssMarket(B18, "出来高加重平均")</f>
        <v>4551.0114999999996</v>
      </c>
      <c r="J18" s="704" cm="1">
        <f t="array" ref="J18">_xll.RssMarket($B18, "前日比")</f>
        <v>-127</v>
      </c>
      <c r="K18" s="704">
        <f t="shared" ca="1" si="17"/>
        <v>-105000</v>
      </c>
      <c r="L18" s="709">
        <f t="shared" ca="1" si="18"/>
        <v>-0.1891891891891892</v>
      </c>
      <c r="M18" s="485">
        <f t="shared" ca="1" si="6"/>
        <v>5883</v>
      </c>
      <c r="N18" s="485">
        <f t="shared" ca="1" si="7"/>
        <v>5328</v>
      </c>
      <c r="O18" s="486" t="str">
        <f t="shared" ca="1" si="8"/>
        <v>🔴損切</v>
      </c>
      <c r="P18" s="485">
        <f t="array" aca="1" ref="P18" ca="1">IF(B18="","",IFERROR(MAX(OFFSET(高値!$E$6,MATCH(TEXT(B18,"0"),TEXT(銘柄管理!$B$6:$B$305,"0"),0)-1,0,1,10)),""))</f>
        <v>5620</v>
      </c>
      <c r="Q18" s="485">
        <f t="array" aca="1" ref="Q18" ca="1">IF(B18="","",IFERROR(MIN(OFFSET(安値!$E$6,MATCH(TEXT(B18,"0"),TEXT(銘柄管理!$B$6:$B$305,"0"),0)-1,0,1,10)),""))</f>
        <v>4562</v>
      </c>
      <c r="R18" s="485">
        <f t="shared" ca="1" si="19"/>
        <v>5451</v>
      </c>
      <c r="S18" s="588" t="str">
        <f t="shared" ca="1" si="20"/>
        <v>✅売却済</v>
      </c>
      <c r="T18" s="596">
        <f t="shared" ca="1" si="9"/>
        <v>46234</v>
      </c>
      <c r="U18" s="485">
        <f t="shared" ca="1" si="10"/>
        <v>5328</v>
      </c>
      <c r="V18" s="704">
        <f t="shared" ca="1" si="21"/>
        <v>-22200</v>
      </c>
      <c r="W18" s="487">
        <f t="shared" ca="1" si="11"/>
        <v>3</v>
      </c>
      <c r="X18" s="484" t="str">
        <f t="shared" ca="1" si="12"/>
        <v>損切確定</v>
      </c>
      <c r="Y18" s="488"/>
      <c r="Z18" s="714">
        <v>13</v>
      </c>
      <c r="AA18" s="603" t="s">
        <v>1350</v>
      </c>
      <c r="AD18" s="620" t="s">
        <v>1323</v>
      </c>
      <c r="AE18" s="629">
        <f t="shared" si="13"/>
        <v>46248</v>
      </c>
      <c r="AF18" s="631"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31"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46234</v>
      </c>
      <c r="AH18" s="604" t="str">
        <f t="shared" ca="1" si="14"/>
        <v>損切確定</v>
      </c>
      <c r="AI18" s="604" t="str" cm="1">
        <f t="array" ref="AI18">IFERROR(INDEX(始値!$E$6:$BT$305,MATCH(TEXT($B18,"0"),TEXT(銘柄管理!$B$6:$B$305,"0"),0),MATCH($AE18,始値!$E$3:$BT$3,0)),"")</f>
        <v/>
      </c>
      <c r="AJ18" s="612">
        <f t="shared" ca="1" si="15"/>
        <v>-0.04</v>
      </c>
      <c r="AK18" s="633" t="str">
        <f t="shared" ca="1" si="16"/>
        <v>●負</v>
      </c>
      <c r="AL18" s="617" t="str">
        <f>IF($AM18="","","厳選TOP2買")</f>
        <v/>
      </c>
      <c r="AM18" s="619" t="str">
        <f>IF(厳選TOP2!$B19="","",厳選TOP2!$B19)</f>
        <v/>
      </c>
      <c r="AN18" s="617" t="str">
        <f>IF($AM18="","",厳選TOP2!$C19)</f>
        <v/>
      </c>
      <c r="AO18" s="619" t="str">
        <f>IF($AM18="","","買")</f>
        <v/>
      </c>
      <c r="AP18" s="619" t="str">
        <f>IF($AM18="","",厳選TOP2!$E19)</f>
        <v/>
      </c>
      <c r="AQ18" s="619"/>
      <c r="AR18" s="617" t="str">
        <f>IF($AM18="","",厳選TOP2!$H19&amp;" RSI"&amp;TEXT(厳選TOP2!$G19,"0.0")&amp;" 出来高"&amp;TEXT(厳選TOP2!$F19,"0.00")&amp;"倍")</f>
        <v/>
      </c>
      <c r="AS18" s="617" t="str">
        <f t="shared" si="22"/>
        <v/>
      </c>
      <c r="BB18" s="603" t="str">
        <f>IF(N(買抽出v13!$C18)=0,"",N(買抽出v13!$Q18)+N(買抽出v13!$L18)/1000-ROW()/1000000)</f>
        <v/>
      </c>
      <c r="BC18" s="603" t="str">
        <f>IF(N(売抽出v13!$C18)=0,"",N(売抽出v13!$Q18)+IFERROR(VALUE(SUBSTITUTE(売抽出v13!$L18,"倍","")),0)/1000-ROW()/1000000)</f>
        <v/>
      </c>
    </row>
    <row r="19" spans="1:55" ht="35.4" customHeight="1">
      <c r="A19" s="623" t="str">
        <f t="shared" si="0"/>
        <v>株探</v>
      </c>
      <c r="B19" s="481">
        <v>8424</v>
      </c>
      <c r="C19" s="482" t="s">
        <v>998</v>
      </c>
      <c r="D19" s="483" t="str" cm="1">
        <f t="array" ref="D19">_xll.RssMarket(B19, "銘柄名称")</f>
        <v>芙蓉総合リース</v>
      </c>
      <c r="E19" s="719">
        <v>46232</v>
      </c>
      <c r="F19" s="702" cm="1">
        <f t="array" aca="1" ref="F19" ca="1">IFERROR(_xlfn.LET(_xlpm.r,MATCH(TEXT($B19,"0"),TEXT(銘柄管理!$B$6:$B$305,"0"),0),_xlpm.t,MOD(NOW(),1),_xlpm.c,IF($E19=TODAY(),IF(_xlpm.t&gt;=TIME(15,30,0),NA(),1),IF(MATCH($E19,始値!$E$3:$BT$3,0)=1,1,MATCH($E19,始値!$E$3:$BT$3,0)+1)),_xlpm.v,INDEX(始値!$C$6:$BT$305,_xlpm.r,_xlpm.c),IF(N(_xlpm.v)=0,"",_xlpm.v)),"")</f>
        <v>4563</v>
      </c>
      <c r="G19" s="484">
        <v>100</v>
      </c>
      <c r="H19" s="485" cm="1">
        <f t="array" ref="H19">_xll.RssMarket(B19, "現在値")</f>
        <v>4360</v>
      </c>
      <c r="I19" s="485" cm="1">
        <f t="array" ref="I19">_xll.RssMarket(B19, "出来高加重平均")</f>
        <v>4380.0628999999999</v>
      </c>
      <c r="J19" s="704" cm="1">
        <f t="array" ref="J19">_xll.RssMarket($B19, "前日比")</f>
        <v>-15</v>
      </c>
      <c r="K19" s="704">
        <f t="shared" ca="1" si="17"/>
        <v>-20300</v>
      </c>
      <c r="L19" s="709">
        <f t="shared" ca="1" si="18"/>
        <v>-4.4488275257506024E-2</v>
      </c>
      <c r="M19" s="485">
        <f t="shared" ca="1" si="6"/>
        <v>4837</v>
      </c>
      <c r="N19" s="485">
        <f t="shared" ca="1" si="7"/>
        <v>4380</v>
      </c>
      <c r="O19" s="486" t="str">
        <f t="shared" ca="1" si="8"/>
        <v>🔴損切</v>
      </c>
      <c r="P19" s="485">
        <f t="array" aca="1" ref="P19" ca="1">IF(B19="","",IFERROR(MAX(OFFSET(高値!$E$6,MATCH(TEXT(B19,"0"),TEXT(銘柄管理!$B$6:$B$305,"0"),0)-1,0,1,10)),""))</f>
        <v>4620</v>
      </c>
      <c r="Q19" s="485">
        <f t="array" aca="1" ref="Q19" ca="1">IF(B19="","",IFERROR(MIN(OFFSET(安値!$E$6,MATCH(TEXT(B19,"0"),TEXT(銘柄管理!$B$6:$B$305,"0"),0)-1,0,1,10)),""))</f>
        <v>4362</v>
      </c>
      <c r="R19" s="485">
        <f t="shared" ca="1" si="19"/>
        <v>4481</v>
      </c>
      <c r="S19" s="588" t="str">
        <f t="shared" ca="1" si="20"/>
        <v>✅売却済</v>
      </c>
      <c r="T19" s="596">
        <f t="shared" ca="1" si="9"/>
        <v>46238</v>
      </c>
      <c r="U19" s="485">
        <f t="shared" ca="1" si="10"/>
        <v>4380</v>
      </c>
      <c r="V19" s="704">
        <f t="shared" ca="1" si="21"/>
        <v>-18300</v>
      </c>
      <c r="W19" s="487">
        <f t="shared" ca="1" si="11"/>
        <v>7</v>
      </c>
      <c r="X19" s="484" t="str">
        <f t="shared" ca="1" si="12"/>
        <v>損切確定</v>
      </c>
      <c r="Y19" s="488"/>
      <c r="Z19" s="714">
        <v>11</v>
      </c>
      <c r="AA19" s="603" t="s">
        <v>1351</v>
      </c>
      <c r="AD19" s="620" t="s">
        <v>1323</v>
      </c>
      <c r="AE19" s="629">
        <f t="shared" si="13"/>
        <v>46248</v>
      </c>
      <c r="AF19" s="631"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31"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46238</v>
      </c>
      <c r="AH19" s="604" t="str">
        <f t="shared" ca="1" si="14"/>
        <v>損切確定</v>
      </c>
      <c r="AI19" s="604" t="str" cm="1">
        <f t="array" ref="AI19">IFERROR(INDEX(始値!$E$6:$BT$305,MATCH(TEXT($B19,"0"),TEXT(銘柄管理!$B$6:$B$305,"0"),0),MATCH($AE19,始値!$E$3:$BT$3,0)),"")</f>
        <v/>
      </c>
      <c r="AJ19" s="612">
        <f t="shared" ca="1" si="15"/>
        <v>-4.0105193951347796E-2</v>
      </c>
      <c r="AK19" s="633" t="str">
        <f t="shared" ca="1" si="16"/>
        <v>●負</v>
      </c>
      <c r="AL19" s="617" t="str">
        <f>IF($AM19="","","厳選TOP2売")</f>
        <v/>
      </c>
      <c r="AM19" s="619" t="str">
        <f>IF(厳選TOP2!$B26="","",厳選TOP2!$B26)</f>
        <v/>
      </c>
      <c r="AN19" s="617" t="str">
        <f>IF($AM19="","",厳選TOP2!$C26)</f>
        <v/>
      </c>
      <c r="AO19" s="619" t="str">
        <f>IF($AM19="","","売")</f>
        <v/>
      </c>
      <c r="AP19" s="619" t="str">
        <f>IF($AM19="","",厳選TOP2!$E26)</f>
        <v/>
      </c>
      <c r="AQ19" s="619"/>
      <c r="AR19" s="617" t="str">
        <f>IF($AM19="","",厳選TOP2!$H26&amp;" RSI"&amp;TEXT(厳選TOP2!$G26,"0.0")&amp;" 出来高"&amp;TEXT(厳選TOP2!$F26,"0.00")&amp;"倍")</f>
        <v/>
      </c>
      <c r="AS19" s="617" t="str">
        <f t="shared" si="22"/>
        <v/>
      </c>
      <c r="BB19" s="603" t="str">
        <f>IF(N(買抽出v13!$C19)=0,"",N(買抽出v13!$Q19)+N(買抽出v13!$L19)/1000-ROW()/1000000)</f>
        <v/>
      </c>
      <c r="BC19" s="603" t="str">
        <f>IF(N(売抽出v13!$C19)=0,"",N(売抽出v13!$Q19)+IFERROR(VALUE(SUBSTITUTE(売抽出v13!$L19,"倍","")),0)/1000-ROW()/1000000)</f>
        <v/>
      </c>
    </row>
    <row r="20" spans="1:55" ht="35.4" customHeight="1">
      <c r="A20" s="623" t="str">
        <f t="shared" si="0"/>
        <v>株探</v>
      </c>
      <c r="B20" s="481">
        <v>3891</v>
      </c>
      <c r="C20" s="482" t="s">
        <v>999</v>
      </c>
      <c r="D20" s="483" t="str" cm="1">
        <f t="array" ref="D20">_xll.RssMarket(B20, "銘柄名称")</f>
        <v>ニッポン高度紙工業</v>
      </c>
      <c r="E20" s="719">
        <v>46232</v>
      </c>
      <c r="F20" s="702" cm="1">
        <f t="array" aca="1" ref="F20" ca="1">IFERROR(_xlfn.LET(_xlpm.r,MATCH(TEXT($B20,"0"),TEXT(銘柄管理!$B$6:$B$305,"0"),0),_xlpm.t,MOD(NOW(),1),_xlpm.c,IF($E20=TODAY(),IF(_xlpm.t&gt;=TIME(15,30,0),NA(),1),IF(MATCH($E20,始値!$E$3:$BT$3,0)=1,1,MATCH($E20,始値!$E$3:$BT$3,0)+1)),_xlpm.v,INDEX(始値!$C$6:$BT$305,_xlpm.r,_xlpm.c),IF(N(_xlpm.v)=0,"",_xlpm.v)),"")</f>
        <v>5480</v>
      </c>
      <c r="G20" s="484">
        <v>100</v>
      </c>
      <c r="H20" s="485" cm="1">
        <f t="array" ref="H20">_xll.RssMarket(B20, "現在値")</f>
        <v>7370</v>
      </c>
      <c r="I20" s="485" cm="1">
        <f t="array" ref="I20">_xll.RssMarket(B20, "出来高加重平均")</f>
        <v>7459.9385000000002</v>
      </c>
      <c r="J20" s="704" cm="1">
        <f t="array" ref="J20">_xll.RssMarket($B20, "前日比")</f>
        <v>570</v>
      </c>
      <c r="K20" s="704">
        <f t="shared" ca="1" si="17"/>
        <v>-189000</v>
      </c>
      <c r="L20" s="709">
        <f t="shared" ca="1" si="18"/>
        <v>-0.3448905109489051</v>
      </c>
      <c r="M20" s="485">
        <f t="shared" ca="1" si="6"/>
        <v>5151</v>
      </c>
      <c r="N20" s="485">
        <f t="shared" ca="1" si="7"/>
        <v>5699</v>
      </c>
      <c r="O20" s="486" t="str">
        <f t="shared" ca="1" si="8"/>
        <v>🔴損切</v>
      </c>
      <c r="P20" s="485">
        <f t="array" aca="1" ref="P20" ca="1">IF(B20="","",IFERROR(MAX(OFFSET(高値!$E$6,MATCH(TEXT(B20,"0"),TEXT(銘柄管理!$B$6:$B$305,"0"),0)-1,0,1,10)),""))</f>
        <v>7780</v>
      </c>
      <c r="Q20" s="485">
        <f t="array" aca="1" ref="Q20" ca="1">IF(B20="","",IFERROR(MIN(OFFSET(安値!$E$6,MATCH(TEXT(B20,"0"),TEXT(銘柄管理!$B$6:$B$305,"0"),0)-1,0,1,10)),""))</f>
        <v>5310</v>
      </c>
      <c r="R20" s="485">
        <f t="shared" ca="1" si="19"/>
        <v>7547</v>
      </c>
      <c r="S20" s="588" t="str">
        <f t="shared" ca="1" si="20"/>
        <v>✅売却済</v>
      </c>
      <c r="T20" s="596">
        <f t="shared" ca="1" si="9"/>
        <v>46233</v>
      </c>
      <c r="U20" s="485">
        <f t="shared" ca="1" si="10"/>
        <v>5699</v>
      </c>
      <c r="V20" s="704">
        <f t="shared" ca="1" si="21"/>
        <v>-21900</v>
      </c>
      <c r="W20" s="487">
        <f t="shared" ca="1" si="11"/>
        <v>2</v>
      </c>
      <c r="X20" s="484" t="str">
        <f t="shared" ca="1" si="12"/>
        <v>損切確定</v>
      </c>
      <c r="Y20" s="488"/>
      <c r="Z20" s="714">
        <v>19</v>
      </c>
      <c r="AA20" s="603" t="s">
        <v>1352</v>
      </c>
      <c r="AD20" s="620" t="s">
        <v>1324</v>
      </c>
      <c r="AE20" s="629">
        <f t="shared" si="13"/>
        <v>46248</v>
      </c>
      <c r="AF20" s="631"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31"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04" t="str">
        <f t="shared" ca="1" si="14"/>
        <v>損切確定</v>
      </c>
      <c r="AI20" s="604" t="str" cm="1">
        <f t="array" ref="AI20">IFERROR(INDEX(始値!$E$6:$BT$305,MATCH(TEXT($B20,"0"),TEXT(銘柄管理!$B$6:$B$305,"0"),0),MATCH($AE20,始値!$E$3:$BT$3,0)),"")</f>
        <v/>
      </c>
      <c r="AJ20" s="612">
        <f t="shared" ca="1" si="15"/>
        <v>-3.9963503649635038E-2</v>
      </c>
      <c r="AK20" s="633" t="str">
        <f t="shared" ca="1" si="16"/>
        <v>●負</v>
      </c>
      <c r="AL20" s="617" t="str">
        <f>IF($AM20="","","厳選TOP2売")</f>
        <v/>
      </c>
      <c r="AM20" s="619" t="str">
        <f>IF(厳選TOP2!$B27="","",厳選TOP2!$B27)</f>
        <v/>
      </c>
      <c r="AN20" s="617" t="str">
        <f>IF($AM20="","",厳選TOP2!$C27)</f>
        <v/>
      </c>
      <c r="AO20" s="619" t="str">
        <f>IF($AM20="","","売")</f>
        <v/>
      </c>
      <c r="AP20" s="619" t="str">
        <f>IF($AM20="","",厳選TOP2!$E27)</f>
        <v/>
      </c>
      <c r="AQ20" s="619"/>
      <c r="AR20" s="617" t="str">
        <f>IF($AM20="","",厳選TOP2!$H27&amp;" RSI"&amp;TEXT(厳選TOP2!$G27,"0.0")&amp;" 出来高"&amp;TEXT(厳選TOP2!$F27,"0.00")&amp;"倍")</f>
        <v/>
      </c>
      <c r="AS20" s="617" t="str">
        <f t="shared" si="22"/>
        <v/>
      </c>
      <c r="BB20" s="603" t="str">
        <f>IF(N(買抽出v13!$C20)=0,"",N(買抽出v13!$Q20)+N(買抽出v13!$L20)/1000-ROW()/1000000)</f>
        <v/>
      </c>
      <c r="BC20" s="603" t="str">
        <f>IF(N(売抽出v13!$C20)=0,"",N(売抽出v13!$Q20)+IFERROR(VALUE(SUBSTITUTE(売抽出v13!$L20,"倍","")),0)/1000-ROW()/1000000)</f>
        <v/>
      </c>
    </row>
    <row r="21" spans="1:55" ht="35.4" customHeight="1">
      <c r="A21" s="623" t="str">
        <f t="shared" si="0"/>
        <v>株探</v>
      </c>
      <c r="B21" s="481">
        <v>7375</v>
      </c>
      <c r="C21" s="482" t="s">
        <v>999</v>
      </c>
      <c r="D21" s="483" t="str" cm="1">
        <f t="array" ref="D21">_xll.RssMarket(B21, "銘柄名称")</f>
        <v>リファインバースグループ</v>
      </c>
      <c r="E21" s="719">
        <v>46232</v>
      </c>
      <c r="F21" s="702" t="str" cm="1">
        <f t="array" aca="1" ref="F21" ca="1">IFERROR(_xlfn.LET(_xlpm.r,MATCH(TEXT($B21,"0"),TEXT(銘柄管理!$B$6:$B$305,"0"),0),_xlpm.t,MOD(NOW(),1),_xlpm.c,IF($E21=TODAY(),IF(_xlpm.t&gt;=TIME(15,30,0),NA(),1),IF(MATCH($E21,始値!$E$3:$BT$3,0)=1,1,MATCH($E21,始値!$E$3:$BT$3,0)+1)),_xlpm.v,INDEX(始値!$C$6:$BT$305,_xlpm.r,_xlpm.c),IF(N(_xlpm.v)=0,"",_xlpm.v)),"")</f>
        <v/>
      </c>
      <c r="G21" s="484">
        <v>100</v>
      </c>
      <c r="H21" s="485" cm="1">
        <f t="array" ref="H21">_xll.RssMarket(B21, "現在値")</f>
        <v>1161</v>
      </c>
      <c r="I21" s="485" cm="1">
        <f t="array" ref="I21">_xll.RssMarket(B21, "出来高加重平均")</f>
        <v>1156.8198</v>
      </c>
      <c r="J21" s="704" cm="1">
        <f t="array" ref="J21">_xll.RssMarket($B21, "前日比")</f>
        <v>23</v>
      </c>
      <c r="K21" s="704" t="str">
        <f t="shared" ca="1" si="17"/>
        <v/>
      </c>
      <c r="L21" s="709" t="str">
        <f t="shared" ca="1" si="18"/>
        <v/>
      </c>
      <c r="M21" s="485" t="str">
        <f t="shared" ca="1" si="6"/>
        <v/>
      </c>
      <c r="N21" s="485" t="str">
        <f t="shared" ca="1" si="7"/>
        <v/>
      </c>
      <c r="O21" s="486" t="str">
        <f t="shared" ca="1" si="8"/>
        <v/>
      </c>
      <c r="P21" s="485">
        <f t="array" aca="1" ref="P21" ca="1">IF(B21="","",IFERROR(MAX(OFFSET(高値!$E$6,MATCH(TEXT(B21,"0"),TEXT(銘柄管理!$B$6:$B$305,"0"),0)-1,0,1,10)),""))</f>
        <v>0</v>
      </c>
      <c r="Q21" s="485">
        <f t="array" aca="1" ref="Q21" ca="1">IF(B21="","",IFERROR(MIN(OFFSET(安値!$E$6,MATCH(TEXT(B21,"0"),TEXT(銘柄管理!$B$6:$B$305,"0"),0)-1,0,1,10)),""))</f>
        <v>0</v>
      </c>
      <c r="R21" s="485">
        <f t="shared" ca="1" si="19"/>
        <v>0</v>
      </c>
      <c r="S21" s="588" t="str">
        <f t="shared" ca="1" si="20"/>
        <v>📌保有中</v>
      </c>
      <c r="T21" s="596" t="str">
        <f t="shared" ca="1" si="9"/>
        <v/>
      </c>
      <c r="U21" s="485" t="str">
        <f t="shared" ca="1" si="10"/>
        <v/>
      </c>
      <c r="V21" s="704" t="str">
        <f t="shared" ca="1" si="21"/>
        <v/>
      </c>
      <c r="W21" s="487">
        <f t="shared" ca="1" si="11"/>
        <v>8</v>
      </c>
      <c r="X21" s="484" t="str">
        <f t="shared" ca="1" si="12"/>
        <v/>
      </c>
      <c r="Y21" s="488"/>
      <c r="Z21" s="714">
        <v>19</v>
      </c>
      <c r="AA21" s="603" t="s">
        <v>1353</v>
      </c>
      <c r="AD21" s="620" t="s">
        <v>1324</v>
      </c>
      <c r="AE21" s="629">
        <f t="shared" si="13"/>
        <v>46248</v>
      </c>
      <c r="AF21" s="631" t="str"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
      </c>
      <c r="AG21" s="631" t="str"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
      </c>
      <c r="AH21" s="604" t="str">
        <f t="shared" ca="1" si="14"/>
        <v/>
      </c>
      <c r="AI21" s="604" t="str" cm="1">
        <f t="array" ref="AI21">IFERROR(INDEX(始値!$E$6:$BT$305,MATCH(TEXT($B21,"0"),TEXT(銘柄管理!$B$6:$B$305,"0"),0),MATCH($AE21,始値!$E$3:$BT$3,0)),"")</f>
        <v/>
      </c>
      <c r="AJ21" s="612" t="str">
        <f t="shared" ca="1" si="15"/>
        <v/>
      </c>
      <c r="AK21" s="633" t="str">
        <f t="shared" ca="1" si="16"/>
        <v/>
      </c>
      <c r="AL21" s="617" t="str">
        <f>IF($AM21="","","v13買")</f>
        <v>v13買</v>
      </c>
      <c r="AM21" s="619">
        <f>IFERROR(INDEX(買抽出v13!$C$4:$C$60,MATCH(LARGE($BB$4:$BB$60,ROWS($AM$21:$AM21)),$BB$4:$BB$60,0)),"")</f>
        <v>6436</v>
      </c>
      <c r="AN21" s="617" t="str">
        <f>IF($AM21="","",INDEX(買抽出v13!$D$4:$D$60,MATCH(LARGE($BB$4:$BB$60,ROWS($AM$21:$AM21)),$BB$4:$BB$60,0)))</f>
        <v>アマノ</v>
      </c>
      <c r="AO21" s="619" t="str">
        <f>IF($AM21="","","買")</f>
        <v>買</v>
      </c>
      <c r="AP21" s="619">
        <f>IF($AM21="","",INDEX(買抽出v13!$Q$4:$Q$60,MATCH(LARGE($BB$4:$BB$60,ROWS($AM$21:$AM21)),$BB$4:$BB$60,0)))</f>
        <v>14</v>
      </c>
      <c r="AQ21" s="619"/>
      <c r="AR21" s="617" t="str">
        <f>IF($AM21="","",INDEX(買抽出v13!$J$4:$J$60,MATCH(LARGE($BB$4:$BB$60,ROWS($AM$21:$AM21)),$BB$4:$BB$60,0))&amp;" RSI"&amp;TEXT(INDEX(買抽出v13!$I$4:$I$60,MATCH(LARGE($BB$4:$BB$60,ROWS($AM$21:$AM21)),$BB$4:$BB$60,0)),"0.0")&amp;" 出来高"&amp;TEXT(INDEX(買抽出v13!$L$4:$L$60,MATCH(LARGE($BB$4:$BB$60,ROWS($AM$21:$AM21)),$BB$4:$BB$60,0)),"0.00")&amp;"倍")</f>
        <v>パーフェクト▲ RSI57.4 出来高0.90倍</v>
      </c>
      <c r="AS21" s="617" t="str">
        <f t="shared" ca="1" si="22"/>
        <v>→未追記</v>
      </c>
      <c r="BB21" s="603" t="str">
        <f>IF(N(買抽出v13!$C21)=0,"",N(買抽出v13!$Q21)+N(買抽出v13!$L21)/1000-ROW()/1000000)</f>
        <v/>
      </c>
      <c r="BC21" s="603" t="str">
        <f>IF(N(売抽出v13!$C21)=0,"",N(売抽出v13!$Q21)+IFERROR(VALUE(SUBSTITUTE(売抽出v13!$L21,"倍","")),0)/1000-ROW()/1000000)</f>
        <v/>
      </c>
    </row>
    <row r="22" spans="1:55" ht="35.4" customHeight="1">
      <c r="A22" s="623" t="str">
        <f t="shared" si="0"/>
        <v>株探</v>
      </c>
      <c r="B22" s="481">
        <v>3397</v>
      </c>
      <c r="C22" s="482" t="s">
        <v>998</v>
      </c>
      <c r="D22" s="483" t="str" cm="1">
        <f t="array" ref="D22">_xll.RssMarket(B22, "銘柄名称")</f>
        <v>トリドールホールディングス</v>
      </c>
      <c r="E22" s="719">
        <v>46232</v>
      </c>
      <c r="F22" s="702" cm="1">
        <f t="array" aca="1" ref="F22" ca="1">IFERROR(_xlfn.LET(_xlpm.r,MATCH(TEXT($B22,"0"),TEXT(銘柄管理!$B$6:$B$305,"0"),0),_xlpm.t,MOD(NOW(),1),_xlpm.c,IF($E22=TODAY(),IF(_xlpm.t&gt;=TIME(15,30,0),NA(),1),IF(MATCH($E22,始値!$E$3:$BT$3,0)=1,1,MATCH($E22,始値!$E$3:$BT$3,0)+1)),_xlpm.v,INDEX(始値!$C$6:$BT$305,_xlpm.r,_xlpm.c),IF(N(_xlpm.v)=0,"",_xlpm.v)),"")</f>
        <v>4620</v>
      </c>
      <c r="G22" s="484">
        <v>100</v>
      </c>
      <c r="H22" s="485" cm="1">
        <f t="array" ref="H22">_xll.RssMarket(B22, "現在値")</f>
        <v>4142</v>
      </c>
      <c r="I22" s="485" cm="1">
        <f t="array" ref="I22">_xll.RssMarket(B22, "出来高加重平均")</f>
        <v>4138.6009999999997</v>
      </c>
      <c r="J22" s="704" cm="1">
        <f t="array" ref="J22">_xll.RssMarket($B22, "前日比")</f>
        <v>-13</v>
      </c>
      <c r="K22" s="704">
        <f t="shared" ca="1" si="17"/>
        <v>-47800</v>
      </c>
      <c r="L22" s="709">
        <f t="shared" ca="1" si="18"/>
        <v>-0.10346320346320347</v>
      </c>
      <c r="M22" s="485">
        <f t="shared" ca="1" si="6"/>
        <v>4897</v>
      </c>
      <c r="N22" s="485">
        <f t="shared" ca="1" si="7"/>
        <v>4435</v>
      </c>
      <c r="O22" s="486" t="str">
        <f t="shared" ca="1" si="8"/>
        <v>🔴損切</v>
      </c>
      <c r="P22" s="485">
        <f t="array" aca="1" ref="P22" ca="1">IF(B22="","",IFERROR(MAX(OFFSET(高値!$E$6,MATCH(TEXT(B22,"0"),TEXT(銘柄管理!$B$6:$B$305,"0"),0)-1,0,1,10)),""))</f>
        <v>4660</v>
      </c>
      <c r="Q22" s="485">
        <f t="array" aca="1" ref="Q22" ca="1">IF(B22="","",IFERROR(MIN(OFFSET(安値!$E$6,MATCH(TEXT(B22,"0"),TEXT(銘柄管理!$B$6:$B$305,"0"),0)-1,0,1,10)),""))</f>
        <v>4009</v>
      </c>
      <c r="R22" s="485">
        <f t="shared" ca="1" si="19"/>
        <v>4520</v>
      </c>
      <c r="S22" s="588" t="str">
        <f t="shared" ca="1" si="20"/>
        <v>✅売却済</v>
      </c>
      <c r="T22" s="596">
        <f t="shared" ca="1" si="9"/>
        <v>46234</v>
      </c>
      <c r="U22" s="485">
        <f t="shared" ca="1" si="10"/>
        <v>4435</v>
      </c>
      <c r="V22" s="704">
        <f t="shared" ca="1" si="21"/>
        <v>-18500</v>
      </c>
      <c r="W22" s="487">
        <f t="shared" ca="1" si="11"/>
        <v>3</v>
      </c>
      <c r="X22" s="484" t="str">
        <f t="shared" ca="1" si="12"/>
        <v>損切確定</v>
      </c>
      <c r="Y22" s="488"/>
      <c r="Z22" s="714">
        <v>21</v>
      </c>
      <c r="AA22" s="603" t="s">
        <v>1354</v>
      </c>
      <c r="AD22" s="620" t="s">
        <v>1325</v>
      </c>
      <c r="AE22" s="629">
        <f t="shared" si="13"/>
        <v>46248</v>
      </c>
      <c r="AF22" s="631"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31"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46234</v>
      </c>
      <c r="AH22" s="604" t="str">
        <f t="shared" ca="1" si="14"/>
        <v>損切確定</v>
      </c>
      <c r="AI22" s="604" t="str" cm="1">
        <f t="array" ref="AI22">IFERROR(INDEX(始値!$E$6:$BT$305,MATCH(TEXT($B22,"0"),TEXT(銘柄管理!$B$6:$B$305,"0"),0),MATCH($AE22,始値!$E$3:$BT$3,0)),"")</f>
        <v/>
      </c>
      <c r="AJ22" s="612">
        <f t="shared" ca="1" si="15"/>
        <v>-4.004329004329004E-2</v>
      </c>
      <c r="AK22" s="633" t="str">
        <f t="shared" ca="1" si="16"/>
        <v>●負</v>
      </c>
      <c r="AL22" s="617" t="str">
        <f>IF($AM22="","","v13買")</f>
        <v/>
      </c>
      <c r="AM22" s="619" t="str">
        <f>IFERROR(INDEX(買抽出v13!$C$4:$C$60,MATCH(LARGE($BB$4:$BB$60,ROWS($AM$21:$AM22)),$BB$4:$BB$60,0)),"")</f>
        <v/>
      </c>
      <c r="AN22" s="617" t="str">
        <f>IF($AM22="","",INDEX(買抽出v13!$D$4:$D$60,MATCH(LARGE($BB$4:$BB$60,ROWS($AM$21:$AM22)),$BB$4:$BB$60,0)))</f>
        <v/>
      </c>
      <c r="AO22" s="619" t="str">
        <f>IF($AM22="","","買")</f>
        <v/>
      </c>
      <c r="AP22" s="619" t="str">
        <f>IF($AM22="","",INDEX(買抽出v13!$Q$4:$Q$60,MATCH(LARGE($BB$4:$BB$60,ROWS($AM$21:$AM22)),$BB$4:$BB$60,0)))</f>
        <v/>
      </c>
      <c r="AQ22" s="619"/>
      <c r="AR22" s="617" t="str">
        <f>IF($AM22="","",INDEX(買抽出v13!$J$4:$J$60,MATCH(LARGE($BB$4:$BB$60,ROWS($AM$21:$AM22)),$BB$4:$BB$60,0))&amp;" RSI"&amp;TEXT(INDEX(買抽出v13!$I$4:$I$60,MATCH(LARGE($BB$4:$BB$60,ROWS($AM$21:$AM22)),$BB$4:$BB$60,0)),"0.0")&amp;" 出来高"&amp;TEXT(INDEX(買抽出v13!$L$4:$L$60,MATCH(LARGE($BB$4:$BB$60,ROWS($AM$21:$AM22)),$BB$4:$BB$60,0)),"0.00")&amp;"倍")</f>
        <v/>
      </c>
      <c r="AS22" s="617" t="str">
        <f t="shared" si="22"/>
        <v/>
      </c>
      <c r="BB22" s="603" t="str">
        <f>IF(N(買抽出v13!$C22)=0,"",N(買抽出v13!$Q22)+N(買抽出v13!$L22)/1000-ROW()/1000000)</f>
        <v/>
      </c>
      <c r="BC22" s="603" t="str">
        <f>IF(N(売抽出v13!$C22)=0,"",N(売抽出v13!$Q22)+IFERROR(VALUE(SUBSTITUTE(売抽出v13!$L22,"倍","")),0)/1000-ROW()/1000000)</f>
        <v/>
      </c>
    </row>
    <row r="23" spans="1:55" ht="35.4" customHeight="1">
      <c r="A23" s="623" t="str">
        <f t="shared" si="0"/>
        <v>株探</v>
      </c>
      <c r="B23" s="481">
        <v>7981</v>
      </c>
      <c r="C23" s="482" t="s">
        <v>998</v>
      </c>
      <c r="D23" s="483" t="str" cm="1">
        <f t="array" ref="D23">_xll.RssMarket(B23, "銘柄名称")</f>
        <v>タカラスタンダ－ド</v>
      </c>
      <c r="E23" s="719">
        <v>46232</v>
      </c>
      <c r="F23" s="702" cm="1">
        <f t="array" aca="1" ref="F23" ca="1">IFERROR(_xlfn.LET(_xlpm.r,MATCH(TEXT($B23,"0"),TEXT(銘柄管理!$B$6:$B$305,"0"),0),_xlpm.t,MOD(NOW(),1),_xlpm.c,IF($E23=TODAY(),IF(_xlpm.t&gt;=TIME(15,30,0),NA(),1),IF(MATCH($E23,始値!$E$3:$BT$3,0)=1,1,MATCH($E23,始値!$E$3:$BT$3,0)+1)),_xlpm.v,INDEX(始値!$C$6:$BT$305,_xlpm.r,_xlpm.c),IF(N(_xlpm.v)=0,"",_xlpm.v)),"")</f>
        <v>3290</v>
      </c>
      <c r="G23" s="484">
        <v>100</v>
      </c>
      <c r="H23" s="485" cm="1">
        <f t="array" ref="H23">_xll.RssMarket(B23, "現在値")</f>
        <v>3005</v>
      </c>
      <c r="I23" s="485" cm="1">
        <f t="array" ref="I23">_xll.RssMarket(B23, "出来高加重平均")</f>
        <v>2994.884</v>
      </c>
      <c r="J23" s="704" cm="1">
        <f t="array" ref="J23">_xll.RssMarket($B23, "前日比")</f>
        <v>15</v>
      </c>
      <c r="K23" s="704">
        <f t="shared" ca="1" si="17"/>
        <v>-28500</v>
      </c>
      <c r="L23" s="709">
        <f t="shared" ca="1" si="18"/>
        <v>-8.6626139817629177E-2</v>
      </c>
      <c r="M23" s="485">
        <f t="shared" ca="1" si="6"/>
        <v>3487</v>
      </c>
      <c r="N23" s="485">
        <f t="shared" ca="1" si="7"/>
        <v>3158</v>
      </c>
      <c r="O23" s="486" t="str">
        <f t="shared" ca="1" si="8"/>
        <v>🔴損切</v>
      </c>
      <c r="P23" s="485">
        <f t="array" aca="1" ref="P23" ca="1">IF(B23="","",IFERROR(MAX(OFFSET(高値!$E$6,MATCH(TEXT(B23,"0"),TEXT(銘柄管理!$B$6:$B$305,"0"),0)-1,0,1,10)),""))</f>
        <v>3330</v>
      </c>
      <c r="Q23" s="485">
        <f t="array" aca="1" ref="Q23" ca="1">IF(B23="","",IFERROR(MIN(OFFSET(安値!$E$6,MATCH(TEXT(B23,"0"),TEXT(銘柄管理!$B$6:$B$305,"0"),0)-1,0,1,10)),""))</f>
        <v>2960</v>
      </c>
      <c r="R23" s="485">
        <f t="shared" ca="1" si="19"/>
        <v>3230</v>
      </c>
      <c r="S23" s="588" t="str">
        <f t="shared" ca="1" si="20"/>
        <v>✅売却済</v>
      </c>
      <c r="T23" s="596">
        <f t="shared" ca="1" si="9"/>
        <v>46233</v>
      </c>
      <c r="U23" s="485">
        <f t="shared" ca="1" si="10"/>
        <v>3158</v>
      </c>
      <c r="V23" s="704">
        <f t="shared" ca="1" si="21"/>
        <v>-13200</v>
      </c>
      <c r="W23" s="487">
        <f t="shared" ca="1" si="11"/>
        <v>2</v>
      </c>
      <c r="X23" s="484" t="str">
        <f t="shared" ca="1" si="12"/>
        <v>損切確定</v>
      </c>
      <c r="Y23" s="488"/>
      <c r="Z23" s="714">
        <v>21</v>
      </c>
      <c r="AA23" s="603" t="s">
        <v>1332</v>
      </c>
      <c r="AD23" s="620" t="s">
        <v>1325</v>
      </c>
      <c r="AE23" s="629">
        <f t="shared" si="13"/>
        <v>46248</v>
      </c>
      <c r="AF23" s="631"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31"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04" t="str">
        <f t="shared" ca="1" si="14"/>
        <v>損切確定</v>
      </c>
      <c r="AI23" s="604" t="str" cm="1">
        <f t="array" ref="AI23">IFERROR(INDEX(始値!$E$6:$BT$305,MATCH(TEXT($B23,"0"),TEXT(銘柄管理!$B$6:$B$305,"0"),0),MATCH($AE23,始値!$E$3:$BT$3,0)),"")</f>
        <v/>
      </c>
      <c r="AJ23" s="612">
        <f t="shared" ca="1" si="15"/>
        <v>-4.0121580547112463E-2</v>
      </c>
      <c r="AK23" s="633" t="str">
        <f t="shared" ca="1" si="16"/>
        <v>●負</v>
      </c>
      <c r="AL23" s="617" t="str">
        <f>IF($AM23="","","v13売")</f>
        <v>v13売</v>
      </c>
      <c r="AM23" s="619">
        <f>IFERROR(INDEX(売抽出v13!$C$4:$C$60,MATCH(LARGE($BC$4:$BC$60,ROWS($AM$23:$AM23)),$BC$4:$BC$60,0)),"")</f>
        <v>6027</v>
      </c>
      <c r="AN23" s="617" t="str">
        <f>IF($AM23="","",INDEX(売抽出v13!$D$4:$D$60,MATCH(LARGE($BC$4:$BC$60,ROWS($AM$23:$AM23)),$BC$4:$BC$60,0)))</f>
        <v>弁護士ドットコム</v>
      </c>
      <c r="AO23" s="619" t="str">
        <f>IF($AM23="","","売")</f>
        <v>売</v>
      </c>
      <c r="AP23" s="619">
        <f>IF($AM23="","",INDEX(売抽出v13!$Q$4:$Q$60,MATCH(LARGE($BC$4:$BC$60,ROWS($AM$23:$AM23)),$BC$4:$BC$60,0)))</f>
        <v>12</v>
      </c>
      <c r="AQ23" s="619"/>
      <c r="AR23" s="617" t="str">
        <f>IF($AM23="","",INDEX(売抽出v13!$J$4:$J$60,MATCH(LARGE($BC$4:$BC$60,ROWS($AM$23:$AM23)),$BC$4:$BC$60,0))&amp;" RSI"&amp;TEXT(INDEX(売抽出v13!$I$4:$I$60,MATCH(LARGE($BC$4:$BC$60,ROWS($AM$23:$AM23)),$BC$4:$BC$60,0)),"0.0")&amp;" 出来高"&amp;INDEX(売抽出v13!$L$4:$L$60,MATCH(LARGE($BC$4:$BC$60,ROWS($AM$23:$AM23)),$BC$4:$BC$60,0)))</f>
        <v>下降トレンド▼ RSI44.0 出来高0.67倍</v>
      </c>
      <c r="AS23" s="617" t="str">
        <f t="shared" ca="1" si="22"/>
        <v>→未追記</v>
      </c>
      <c r="BB23" s="603" t="str">
        <f>IF(N(買抽出v13!$C23)=0,"",N(買抽出v13!$Q23)+N(買抽出v13!$L23)/1000-ROW()/1000000)</f>
        <v/>
      </c>
      <c r="BC23" s="603" t="str">
        <f>IF(N(売抽出v13!$C23)=0,"",N(売抽出v13!$Q23)+IFERROR(VALUE(SUBSTITUTE(売抽出v13!$L23,"倍","")),0)/1000-ROW()/1000000)</f>
        <v/>
      </c>
    </row>
    <row r="24" spans="1:55" ht="35.4" customHeight="1">
      <c r="A24" s="623" t="str">
        <f t="shared" si="0"/>
        <v>株探</v>
      </c>
      <c r="B24" s="481">
        <v>6622</v>
      </c>
      <c r="C24" s="482" t="s">
        <v>999</v>
      </c>
      <c r="D24" s="483" t="str" cm="1">
        <f t="array" ref="D24">_xll.RssMarket(B24, "銘柄名称")</f>
        <v>ダイヘン</v>
      </c>
      <c r="E24" s="719">
        <v>46232</v>
      </c>
      <c r="F24" s="702" cm="1">
        <f t="array" aca="1" ref="F24" ca="1">IFERROR(_xlfn.LET(_xlpm.r,MATCH(TEXT($B24,"0"),TEXT(銘柄管理!$B$6:$B$305,"0"),0),_xlpm.t,MOD(NOW(),1),_xlpm.c,IF($E24=TODAY(),IF(_xlpm.t&gt;=TIME(15,30,0),NA(),1),IF(MATCH($E24,始値!$E$3:$BT$3,0)=1,1,MATCH($E24,始値!$E$3:$BT$3,0)+1)),_xlpm.v,INDEX(始値!$C$6:$BT$305,_xlpm.r,_xlpm.c),IF(N(_xlpm.v)=0,"",_xlpm.v)),"")</f>
        <v>11620</v>
      </c>
      <c r="G24" s="484">
        <v>100</v>
      </c>
      <c r="H24" s="485" cm="1">
        <f t="array" ref="H24">_xll.RssMarket(B24, "現在値")</f>
        <v>15430</v>
      </c>
      <c r="I24" s="485" cm="1">
        <f t="array" ref="I24">_xll.RssMarket(B24, "出来高加重平均")</f>
        <v>15023.5998</v>
      </c>
      <c r="J24" s="704" cm="1">
        <f t="array" ref="J24">_xll.RssMarket($B24, "前日比")</f>
        <v>650</v>
      </c>
      <c r="K24" s="704">
        <f t="shared" ca="1" si="17"/>
        <v>-381000</v>
      </c>
      <c r="L24" s="709">
        <f t="shared" ca="1" si="18"/>
        <v>-0.3278829604130809</v>
      </c>
      <c r="M24" s="485">
        <f t="shared" ca="1" si="6"/>
        <v>10923</v>
      </c>
      <c r="N24" s="485">
        <f t="shared" ca="1" si="7"/>
        <v>12085</v>
      </c>
      <c r="O24" s="486" t="str">
        <f t="shared" ca="1" si="8"/>
        <v>🔴損切</v>
      </c>
      <c r="P24" s="485">
        <f t="array" aca="1" ref="P24" ca="1">IF(B24="","",IFERROR(MAX(OFFSET(高値!$E$6,MATCH(TEXT(B24,"0"),TEXT(銘柄管理!$B$6:$B$305,"0"),0)-1,0,1,10)),""))</f>
        <v>15420</v>
      </c>
      <c r="Q24" s="485">
        <f t="array" aca="1" ref="Q24" ca="1">IF(B24="","",IFERROR(MIN(OFFSET(安値!$E$6,MATCH(TEXT(B24,"0"),TEXT(銘柄管理!$B$6:$B$305,"0"),0)-1,0,1,10)),""))</f>
        <v>11460</v>
      </c>
      <c r="R24" s="485">
        <f t="shared" ca="1" si="19"/>
        <v>14957</v>
      </c>
      <c r="S24" s="588" t="str">
        <f t="shared" ca="1" si="20"/>
        <v>✅売却済</v>
      </c>
      <c r="T24" s="596">
        <f t="shared" ca="1" si="9"/>
        <v>46233</v>
      </c>
      <c r="U24" s="485">
        <f t="shared" ca="1" si="10"/>
        <v>12085</v>
      </c>
      <c r="V24" s="704">
        <f t="shared" ca="1" si="21"/>
        <v>-46500</v>
      </c>
      <c r="W24" s="487">
        <f t="shared" ca="1" si="11"/>
        <v>2</v>
      </c>
      <c r="X24" s="484" t="str">
        <f t="shared" ca="1" si="12"/>
        <v>損切確定</v>
      </c>
      <c r="Y24" s="488"/>
      <c r="Z24" s="714">
        <v>21</v>
      </c>
      <c r="AA24" s="603" t="s">
        <v>1355</v>
      </c>
      <c r="AD24" s="611" t="s">
        <v>1326</v>
      </c>
      <c r="AE24" s="628">
        <f t="shared" si="13"/>
        <v>46248</v>
      </c>
      <c r="AF24" s="630"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30"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03" t="str">
        <f t="shared" ca="1" si="14"/>
        <v>損切確定</v>
      </c>
      <c r="AI24" s="603" t="str" cm="1">
        <f t="array" ref="AI24">IFERROR(INDEX(始値!$E$6:$BT$305,MATCH(TEXT($B24,"0"),TEXT(銘柄管理!$B$6:$B$305,"0"),0),MATCH($AE24,始値!$E$3:$BT$3,0)),"")</f>
        <v/>
      </c>
      <c r="AJ24" s="612">
        <f t="shared" ca="1" si="15"/>
        <v>-4.0017211703958694E-2</v>
      </c>
      <c r="AK24" s="633" t="str">
        <f t="shared" ca="1" si="16"/>
        <v>●負</v>
      </c>
      <c r="AL24" s="617" t="str">
        <f>IF($AM24="","","v13売")</f>
        <v>v13売</v>
      </c>
      <c r="AM24" s="619">
        <f>IFERROR(INDEX(売抽出v13!$C$4:$C$60,MATCH(LARGE($BC$4:$BC$60,ROWS($AM$23:$AM24)),$BC$4:$BC$60,0)),"")</f>
        <v>6954</v>
      </c>
      <c r="AN24" s="617" t="str">
        <f>IF($AM24="","",INDEX(売抽出v13!$D$4:$D$60,MATCH(LARGE($BC$4:$BC$60,ROWS($AM$23:$AM24)),$BC$4:$BC$60,0)))</f>
        <v>ファナック</v>
      </c>
      <c r="AO24" s="619" t="str">
        <f>IF($AM24="","","売")</f>
        <v>売</v>
      </c>
      <c r="AP24" s="619">
        <f>IF($AM24="","",INDEX(売抽出v13!$Q$4:$Q$60,MATCH(LARGE($BC$4:$BC$60,ROWS($AM$23:$AM24)),$BC$4:$BC$60,0)))</f>
        <v>11</v>
      </c>
      <c r="AQ24" s="619"/>
      <c r="AR24" s="617" t="str">
        <f>IF($AM24="","",INDEX(売抽出v13!$J$4:$J$60,MATCH(LARGE($BC$4:$BC$60,ROWS($AM$23:$AM24)),$BC$4:$BC$60,0))&amp;" RSI"&amp;TEXT(INDEX(売抽出v13!$I$4:$I$60,MATCH(LARGE($BC$4:$BC$60,ROWS($AM$23:$AM24)),$BC$4:$BC$60,0)),"0.0")&amp;" 出来高"&amp;INDEX(売抽出v13!$L$4:$L$60,MATCH(LARGE($BC$4:$BC$60,ROWS($AM$23:$AM24)),$BC$4:$BC$60,0)))</f>
        <v>もみ合い→ RSI49.6 出来高1.97倍</v>
      </c>
      <c r="AS24" s="617" t="str">
        <f t="shared" ca="1" si="22"/>
        <v>→未追記</v>
      </c>
      <c r="BB24" s="603" t="str">
        <f>IF(N(買抽出v13!$C24)=0,"",N(買抽出v13!$Q24)+N(買抽出v13!$L24)/1000-ROW()/1000000)</f>
        <v/>
      </c>
      <c r="BC24" s="603" t="str">
        <f>IF(N(売抽出v13!$C24)=0,"",N(売抽出v13!$Q24)+IFERROR(VALUE(SUBSTITUTE(売抽出v13!$L24,"倍","")),0)/1000-ROW()/1000000)</f>
        <v/>
      </c>
    </row>
    <row r="25" spans="1:55" ht="35.4" customHeight="1">
      <c r="A25" s="623" t="str">
        <f t="shared" si="0"/>
        <v>株探</v>
      </c>
      <c r="B25" s="481">
        <v>4063</v>
      </c>
      <c r="C25" s="482" t="s">
        <v>999</v>
      </c>
      <c r="D25" s="483" t="str" cm="1">
        <f t="array" ref="D25">_xll.RssMarket(B25, "銘柄名称")</f>
        <v>信越化学</v>
      </c>
      <c r="E25" s="719">
        <v>46232</v>
      </c>
      <c r="F25" s="702" cm="1">
        <f t="array" aca="1" ref="F25" ca="1">IFERROR(_xlfn.LET(_xlpm.r,MATCH(TEXT($B25,"0"),TEXT(銘柄管理!$B$6:$B$305,"0"),0),_xlpm.t,MOD(NOW(),1),_xlpm.c,IF($E25=TODAY(),IF(_xlpm.t&gt;=TIME(15,30,0),NA(),1),IF(MATCH($E25,始値!$E$3:$BT$3,0)=1,1,MATCH($E25,始値!$E$3:$BT$3,0)+1)),_xlpm.v,INDEX(始値!$C$6:$BT$305,_xlpm.r,_xlpm.c),IF(N(_xlpm.v)=0,"",_xlpm.v)),"")</f>
        <v>5712</v>
      </c>
      <c r="G25" s="484">
        <v>100</v>
      </c>
      <c r="H25" s="485" cm="1">
        <f t="array" ref="H25">_xll.RssMarket(B25, "現在値")</f>
        <v>6150</v>
      </c>
      <c r="I25" s="485" cm="1">
        <f t="array" ref="I25">_xll.RssMarket(B25, "出来高加重平均")</f>
        <v>6112.9847</v>
      </c>
      <c r="J25" s="704" cm="1">
        <f t="array" ref="J25">_xll.RssMarket($B25, "前日比")</f>
        <v>163</v>
      </c>
      <c r="K25" s="704">
        <f t="shared" ca="1" si="17"/>
        <v>-43800</v>
      </c>
      <c r="L25" s="709">
        <f t="shared" ca="1" si="18"/>
        <v>-7.6680672268907568E-2</v>
      </c>
      <c r="M25" s="485">
        <f t="shared" ca="1" si="6"/>
        <v>5369</v>
      </c>
      <c r="N25" s="485">
        <f t="shared" ca="1" si="7"/>
        <v>5940</v>
      </c>
      <c r="O25" s="486" t="str">
        <f t="shared" ca="1" si="8"/>
        <v>🔴損切</v>
      </c>
      <c r="P25" s="485">
        <f t="array" aca="1" ref="P25" ca="1">IF(B25="","",IFERROR(MAX(OFFSET(高値!$E$6,MATCH(TEXT(B25,"0"),TEXT(銘柄管理!$B$6:$B$305,"0"),0)-1,0,1,10)),""))</f>
        <v>7367</v>
      </c>
      <c r="Q25" s="485">
        <f t="array" aca="1" ref="Q25" ca="1">IF(B25="","",IFERROR(MIN(OFFSET(安値!$E$6,MATCH(TEXT(B25,"0"),TEXT(銘柄管理!$B$6:$B$305,"0"),0)-1,0,1,10)),""))</f>
        <v>5636</v>
      </c>
      <c r="R25" s="485">
        <f t="shared" ca="1" si="19"/>
        <v>7146</v>
      </c>
      <c r="S25" s="588" t="str">
        <f t="shared" ca="1" si="20"/>
        <v>✅売却済</v>
      </c>
      <c r="T25" s="596">
        <f t="shared" ca="1" si="9"/>
        <v>46234</v>
      </c>
      <c r="U25" s="485">
        <f t="shared" ca="1" si="10"/>
        <v>5940</v>
      </c>
      <c r="V25" s="704">
        <f t="shared" ca="1" si="21"/>
        <v>-22800</v>
      </c>
      <c r="W25" s="487">
        <f t="shared" ca="1" si="11"/>
        <v>3</v>
      </c>
      <c r="X25" s="484" t="str">
        <f t="shared" ca="1" si="12"/>
        <v>損切確定</v>
      </c>
      <c r="Y25" s="488"/>
      <c r="Z25" s="714">
        <v>21</v>
      </c>
      <c r="AA25" s="603" t="s">
        <v>1356</v>
      </c>
      <c r="AD25" s="611" t="s">
        <v>1326</v>
      </c>
      <c r="AE25" s="628">
        <f t="shared" si="13"/>
        <v>46248</v>
      </c>
      <c r="AF25" s="630"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30"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46234</v>
      </c>
      <c r="AH25" s="603" t="str">
        <f t="shared" ca="1" si="14"/>
        <v>損切確定</v>
      </c>
      <c r="AI25" s="603" t="str" cm="1">
        <f t="array" ref="AI25">IFERROR(INDEX(始値!$E$6:$BT$305,MATCH(TEXT($B25,"0"),TEXT(銘柄管理!$B$6:$B$305,"0"),0),MATCH($AE25,始値!$E$3:$BT$3,0)),"")</f>
        <v/>
      </c>
      <c r="AJ25" s="612">
        <f t="shared" ca="1" si="15"/>
        <v>-3.9915966386554619E-2</v>
      </c>
      <c r="AK25" s="633" t="str">
        <f t="shared" ca="1" si="16"/>
        <v>●負</v>
      </c>
      <c r="AL25" s="617"/>
      <c r="AM25" s="619"/>
      <c r="AN25" s="617"/>
      <c r="AO25" s="619"/>
      <c r="AP25" s="619"/>
      <c r="AQ25" s="619"/>
      <c r="AR25" s="617"/>
      <c r="AS25" s="617"/>
      <c r="BB25" s="603" t="str">
        <f>IF(N(買抽出v13!$C25)=0,"",N(買抽出v13!$Q25)+N(買抽出v13!$L25)/1000-ROW()/1000000)</f>
        <v/>
      </c>
      <c r="BC25" s="603" t="str">
        <f>IF(N(売抽出v13!$C25)=0,"",N(売抽出v13!$Q25)+IFERROR(VALUE(SUBSTITUTE(売抽出v13!$L25,"倍","")),0)/1000-ROW()/1000000)</f>
        <v/>
      </c>
    </row>
    <row r="26" spans="1:55" ht="35.4" customHeight="1">
      <c r="A26" s="623" t="str">
        <f t="shared" si="0"/>
        <v>株探</v>
      </c>
      <c r="B26" s="481">
        <v>8593</v>
      </c>
      <c r="C26" s="482" t="s">
        <v>998</v>
      </c>
      <c r="D26" s="483" t="str" cm="1">
        <f t="array" ref="D26">_xll.RssMarket(B26, "銘柄名称")</f>
        <v>三菱ＨＣキャピタル</v>
      </c>
      <c r="E26" s="719">
        <v>46233</v>
      </c>
      <c r="F26" s="702" cm="1">
        <f t="array" aca="1" ref="F26" ca="1">IFERROR(_xlfn.LET(_xlpm.r,MATCH(TEXT($B26,"0"),TEXT(銘柄管理!$B$6:$B$305,"0"),0),_xlpm.t,MOD(NOW(),1),_xlpm.c,IF($E26=TODAY(),IF(_xlpm.t&gt;=TIME(15,30,0),NA(),1),IF(MATCH($E26,始値!$E$3:$BT$3,0)=1,1,MATCH($E26,始値!$E$3:$BT$3,0)+1)),_xlpm.v,INDEX(始値!$C$6:$BT$305,_xlpm.r,_xlpm.c),IF(N(_xlpm.v)=0,"",_xlpm.v)),"")</f>
        <v>1464</v>
      </c>
      <c r="G26" s="484">
        <v>100</v>
      </c>
      <c r="H26" s="485" cm="1">
        <f t="array" ref="H26">_xll.RssMarket(B26, "現在値")</f>
        <v>1413</v>
      </c>
      <c r="I26" s="485" cm="1">
        <f t="array" ref="I26">_xll.RssMarket(B26, "出来高加重平均")</f>
        <v>1412.3661</v>
      </c>
      <c r="J26" s="704" cm="1">
        <f t="array" ref="J26">_xll.RssMarket($B26, "前日比")</f>
        <v>3.5</v>
      </c>
      <c r="K26" s="704">
        <f t="shared" ca="1" si="17"/>
        <v>-5100</v>
      </c>
      <c r="L26" s="709">
        <f t="shared" ca="1" si="18"/>
        <v>-3.4836065573770489E-2</v>
      </c>
      <c r="M26" s="485">
        <f t="shared" ca="1" si="6"/>
        <v>1552</v>
      </c>
      <c r="N26" s="485">
        <f t="shared" ca="1" si="7"/>
        <v>1405</v>
      </c>
      <c r="O26" s="486" t="str">
        <f t="shared" ca="1" si="8"/>
        <v>⚠️-3%注意</v>
      </c>
      <c r="P26" s="485">
        <f t="array" aca="1" ref="P26" ca="1">IF(B26="","",IFERROR(MAX(OFFSET(高値!$E$6,MATCH(TEXT(B26,"0"),TEXT(銘柄管理!$B$6:$B$305,"0"),0)-1,0,1,10)),""))</f>
        <v>1518</v>
      </c>
      <c r="Q26" s="485">
        <f t="array" aca="1" ref="Q26" ca="1">IF(B26="","",IFERROR(MIN(OFFSET(安値!$E$6,MATCH(TEXT(B26,"0"),TEXT(銘柄管理!$B$6:$B$305,"0"),0)-1,0,1,10)),""))</f>
        <v>1404</v>
      </c>
      <c r="R26" s="485">
        <f t="shared" ca="1" si="19"/>
        <v>1472</v>
      </c>
      <c r="S26" s="588" t="str">
        <f t="shared" ca="1" si="20"/>
        <v>✅売却済</v>
      </c>
      <c r="T26" s="596">
        <f t="shared" ca="1" si="9"/>
        <v>46237</v>
      </c>
      <c r="U26" s="485">
        <f t="shared" ca="1" si="10"/>
        <v>1405</v>
      </c>
      <c r="V26" s="704">
        <f t="shared" ca="1" si="21"/>
        <v>-5900</v>
      </c>
      <c r="W26" s="487">
        <f t="shared" ca="1" si="11"/>
        <v>5</v>
      </c>
      <c r="X26" s="484" t="str">
        <f t="shared" ca="1" si="12"/>
        <v>損切確定</v>
      </c>
      <c r="Y26" s="488"/>
      <c r="Z26" s="714">
        <v>16</v>
      </c>
      <c r="AA26" s="603" t="s">
        <v>1357</v>
      </c>
      <c r="AD26" s="611" t="s">
        <v>1323</v>
      </c>
      <c r="AE26" s="628">
        <f t="shared" si="13"/>
        <v>46251</v>
      </c>
      <c r="AF26" s="630"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0</v>
      </c>
      <c r="AG26" s="630"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46237</v>
      </c>
      <c r="AH26" s="603" t="str">
        <f t="shared" ca="1" si="14"/>
        <v>損切確定</v>
      </c>
      <c r="AI26" s="603" t="str" cm="1">
        <f t="array" ref="AI26">IFERROR(INDEX(始値!$E$6:$BT$305,MATCH(TEXT($B26,"0"),TEXT(銘柄管理!$B$6:$B$305,"0"),0),MATCH($AE26,始値!$E$3:$BT$3,0)),"")</f>
        <v/>
      </c>
      <c r="AJ26" s="612">
        <f ca="1">IF(OR($V26="",$F26="",$G26=""),"",$V26/($F26*$G26))</f>
        <v>-4.0300546448087435E-2</v>
      </c>
      <c r="AK26" s="633" t="str">
        <f t="shared" ca="1" si="16"/>
        <v>●負</v>
      </c>
      <c r="AL26" s="617"/>
      <c r="AM26" s="619"/>
      <c r="AN26" s="617"/>
      <c r="AO26" s="619"/>
      <c r="AP26" s="619"/>
      <c r="AQ26" s="619"/>
      <c r="AR26" s="617"/>
      <c r="AS26" s="617"/>
      <c r="BB26" s="603" t="str">
        <f>IF(N(買抽出v13!$C26)=0,"",N(買抽出v13!$Q26)+N(買抽出v13!$L26)/1000-ROW()/1000000)</f>
        <v/>
      </c>
      <c r="BC26" s="603" t="str">
        <f>IF(N(売抽出v13!$C26)=0,"",N(売抽出v13!$Q26)+IFERROR(VALUE(SUBSTITUTE(売抽出v13!$L26,"倍","")),0)/1000-ROW()/1000000)</f>
        <v/>
      </c>
    </row>
    <row r="27" spans="1:55" ht="35.4" customHeight="1">
      <c r="A27" s="623" t="str">
        <f t="shared" si="0"/>
        <v>株探</v>
      </c>
      <c r="B27" s="481">
        <v>4523</v>
      </c>
      <c r="C27" s="482" t="s">
        <v>998</v>
      </c>
      <c r="D27" s="483" t="str" cm="1">
        <f t="array" ref="D27">_xll.RssMarket(B27, "銘柄名称")</f>
        <v>エーザイ</v>
      </c>
      <c r="E27" s="719">
        <v>46233</v>
      </c>
      <c r="F27" s="702" cm="1">
        <f t="array" aca="1" ref="F27" ca="1">IFERROR(_xlfn.LET(_xlpm.r,MATCH(TEXT($B27,"0"),TEXT(銘柄管理!$B$6:$B$305,"0"),0),_xlpm.t,MOD(NOW(),1),_xlpm.c,IF($E27=TODAY(),IF(_xlpm.t&gt;=TIME(15,30,0),NA(),1),IF(MATCH($E27,始値!$E$3:$BT$3,0)=1,1,MATCH($E27,始値!$E$3:$BT$3,0)+1)),_xlpm.v,INDEX(始値!$C$6:$BT$305,_xlpm.r,_xlpm.c),IF(N(_xlpm.v)=0,"",_xlpm.v)),"")</f>
        <v>4900</v>
      </c>
      <c r="G27" s="484">
        <v>100</v>
      </c>
      <c r="H27" s="485" cm="1">
        <f t="array" ref="H27">_xll.RssMarket(B27, "現在値")</f>
        <v>4507</v>
      </c>
      <c r="I27" s="485" cm="1">
        <f t="array" ref="I27">_xll.RssMarket(B27, "出来高加重平均")</f>
        <v>4526.0540000000001</v>
      </c>
      <c r="J27" s="704" cm="1">
        <f t="array" ref="J27">_xll.RssMarket($B27, "前日比")</f>
        <v>-116</v>
      </c>
      <c r="K27" s="704">
        <f t="shared" ca="1" si="17"/>
        <v>-39300</v>
      </c>
      <c r="L27" s="709">
        <f t="shared" ca="1" si="18"/>
        <v>-8.0204081632653065E-2</v>
      </c>
      <c r="M27" s="485">
        <f t="shared" ca="1" si="6"/>
        <v>5194</v>
      </c>
      <c r="N27" s="485">
        <f t="shared" ca="1" si="7"/>
        <v>4704</v>
      </c>
      <c r="O27" s="486" t="str">
        <f t="shared" ca="1" si="8"/>
        <v>🔴損切</v>
      </c>
      <c r="P27" s="485">
        <f t="array" aca="1" ref="P27" ca="1">IF(B27="","",IFERROR(MAX(OFFSET(高値!$E$6,MATCH(TEXT(B27,"0"),TEXT(銘柄管理!$B$6:$B$305,"0"),0)-1,0,1,10)),""))</f>
        <v>5132</v>
      </c>
      <c r="Q27" s="485">
        <f t="array" aca="1" ref="Q27" ca="1">IF(B27="","",IFERROR(MIN(OFFSET(安値!$E$6,MATCH(TEXT(B27,"0"),TEXT(銘柄管理!$B$6:$B$305,"0"),0)-1,0,1,10)),""))</f>
        <v>4440</v>
      </c>
      <c r="R27" s="485">
        <f t="shared" ca="1" si="19"/>
        <v>4978</v>
      </c>
      <c r="S27" s="588" t="str">
        <f t="shared" ca="1" si="20"/>
        <v>✅売却済</v>
      </c>
      <c r="T27" s="596">
        <f t="shared" ca="1" si="9"/>
        <v>46237</v>
      </c>
      <c r="U27" s="485">
        <f t="shared" ca="1" si="10"/>
        <v>4704</v>
      </c>
      <c r="V27" s="704">
        <f t="shared" ca="1" si="21"/>
        <v>-19600</v>
      </c>
      <c r="W27" s="487">
        <f t="shared" ca="1" si="11"/>
        <v>5</v>
      </c>
      <c r="X27" s="484" t="str">
        <f t="shared" ca="1" si="12"/>
        <v>損切確定</v>
      </c>
      <c r="Y27" s="488"/>
      <c r="Z27" s="714">
        <v>16</v>
      </c>
      <c r="AA27" s="603" t="s">
        <v>1358</v>
      </c>
      <c r="AD27" s="611" t="s">
        <v>1323</v>
      </c>
      <c r="AE27" s="628">
        <f t="shared" si="13"/>
        <v>46251</v>
      </c>
      <c r="AF27" s="630"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0</v>
      </c>
      <c r="AG27" s="630"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46237</v>
      </c>
      <c r="AH27" s="603" t="str">
        <f t="shared" ca="1" si="14"/>
        <v>損切確定</v>
      </c>
      <c r="AI27" s="603" t="str" cm="1">
        <f t="array" ref="AI27">IFERROR(INDEX(始値!$E$6:$BT$305,MATCH(TEXT($B27,"0"),TEXT(銘柄管理!$B$6:$B$305,"0"),0),MATCH($AE27,始値!$E$3:$BT$3,0)),"")</f>
        <v/>
      </c>
      <c r="AJ27" s="612">
        <f t="shared" ca="1" si="15"/>
        <v>-0.04</v>
      </c>
      <c r="AK27" s="633" t="str">
        <f t="shared" ca="1" si="16"/>
        <v>●負</v>
      </c>
      <c r="AL27" s="617"/>
      <c r="AM27" s="619"/>
      <c r="AN27" s="617"/>
      <c r="AO27" s="619"/>
      <c r="AP27" s="619"/>
      <c r="AQ27" s="619"/>
      <c r="AR27" s="617"/>
      <c r="AS27" s="617"/>
      <c r="BB27" s="603" t="str">
        <f>IF(N(買抽出v13!$C27)=0,"",N(買抽出v13!$Q27)+N(買抽出v13!$L27)/1000-ROW()/1000000)</f>
        <v/>
      </c>
      <c r="BC27" s="603" t="str">
        <f>IF(N(売抽出v13!$C27)=0,"",N(売抽出v13!$Q27)+IFERROR(VALUE(SUBSTITUTE(売抽出v13!$L27,"倍","")),0)/1000-ROW()/1000000)</f>
        <v/>
      </c>
    </row>
    <row r="28" spans="1:55" ht="35.4" customHeight="1">
      <c r="A28" s="623" t="str">
        <f t="shared" si="0"/>
        <v>株探</v>
      </c>
      <c r="B28" s="489">
        <v>4082</v>
      </c>
      <c r="C28" s="490" t="s">
        <v>999</v>
      </c>
      <c r="D28" s="627" t="str" cm="1">
        <f t="array" ref="D28">_xll.RssMarket(B28, "銘柄名称")</f>
        <v>第一稀元素化学工</v>
      </c>
      <c r="E28" s="720">
        <v>46233</v>
      </c>
      <c r="F28" s="702" cm="1">
        <f t="array" aca="1" ref="F28" ca="1">IFERROR(_xlfn.LET(_xlpm.r,MATCH(TEXT($B28,"0"),TEXT(銘柄管理!$B$6:$B$305,"0"),0),_xlpm.t,MOD(NOW(),1),_xlpm.c,IF($E28=TODAY(),IF(_xlpm.t&gt;=TIME(15,30,0),NA(),1),IF(MATCH($E28,始値!$E$3:$BT$3,0)=1,1,MATCH($E28,始値!$E$3:$BT$3,0)+1)),_xlpm.v,INDEX(始値!$C$6:$BT$305,_xlpm.r,_xlpm.c),IF(N(_xlpm.v)=0,"",_xlpm.v)),"")</f>
        <v>1748</v>
      </c>
      <c r="G28" s="489">
        <v>100</v>
      </c>
      <c r="H28" s="491" cm="1">
        <f t="array" ref="H28">_xll.RssMarket(B28, "現在値")</f>
        <v>1946</v>
      </c>
      <c r="I28" s="491" cm="1">
        <f t="array" ref="I28">_xll.RssMarket(B28, "出来高加重平均")</f>
        <v>1915.3552999999999</v>
      </c>
      <c r="J28" s="705" cm="1">
        <f t="array" ref="J28">_xll.RssMarket($B28, "前日比")</f>
        <v>88</v>
      </c>
      <c r="K28" s="705">
        <f t="shared" ca="1" si="17"/>
        <v>-19800</v>
      </c>
      <c r="L28" s="710">
        <f t="shared" ca="1" si="18"/>
        <v>-0.11327231121281464</v>
      </c>
      <c r="M28" s="491">
        <f t="shared" ca="1" si="6"/>
        <v>1643</v>
      </c>
      <c r="N28" s="491">
        <f t="shared" ca="1" si="7"/>
        <v>1818</v>
      </c>
      <c r="O28" s="492" t="str">
        <f t="shared" ca="1" si="8"/>
        <v>🔴損切</v>
      </c>
      <c r="P28" s="491">
        <f t="array" aca="1" ref="P28" ca="1">IF(B28="","",IFERROR(MAX(OFFSET(高値!$E$6,MATCH(TEXT(B28,"0"),TEXT(銘柄管理!$B$6:$B$305,"0"),0)-1,0,1,10)),""))</f>
        <v>1892</v>
      </c>
      <c r="Q28" s="491">
        <f t="array" aca="1" ref="Q28" ca="1">IF(B28="","",IFERROR(MIN(OFFSET(安値!$E$6,MATCH(TEXT(B28,"0"),TEXT(銘柄管理!$B$6:$B$305,"0"),0)-1,0,1,10)),""))</f>
        <v>1648</v>
      </c>
      <c r="R28" s="491">
        <f t="shared" ca="1" si="19"/>
        <v>1835</v>
      </c>
      <c r="S28" s="589" t="str">
        <f t="shared" ca="1" si="20"/>
        <v>✅売却済</v>
      </c>
      <c r="T28" s="597">
        <f t="shared" ca="1" si="9"/>
        <v>46237</v>
      </c>
      <c r="U28" s="491">
        <f t="shared" ca="1" si="10"/>
        <v>1818</v>
      </c>
      <c r="V28" s="705">
        <f t="shared" ca="1" si="21"/>
        <v>-7000</v>
      </c>
      <c r="W28" s="493">
        <f t="shared" ca="1" si="11"/>
        <v>5</v>
      </c>
      <c r="X28" s="489" t="str">
        <f t="shared" ca="1" si="12"/>
        <v>損切確定</v>
      </c>
      <c r="Y28" s="488"/>
      <c r="Z28" s="714">
        <v>21</v>
      </c>
      <c r="AA28" s="603" t="s">
        <v>1359</v>
      </c>
      <c r="AD28" s="611" t="s">
        <v>1324</v>
      </c>
      <c r="AE28" s="628">
        <f t="shared" si="13"/>
        <v>46251</v>
      </c>
      <c r="AF28" s="630"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0</v>
      </c>
      <c r="AG28" s="630"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46237</v>
      </c>
      <c r="AH28" s="603" t="str">
        <f t="shared" ca="1" si="14"/>
        <v>損切確定</v>
      </c>
      <c r="AI28" s="603" t="str" cm="1">
        <f t="array" ref="AI28">IFERROR(INDEX(始値!$E$6:$BT$305,MATCH(TEXT($B28,"0"),TEXT(銘柄管理!$B$6:$B$305,"0"),0),MATCH($AE28,始値!$E$3:$BT$3,0)),"")</f>
        <v/>
      </c>
      <c r="AJ28" s="612">
        <f t="shared" ca="1" si="15"/>
        <v>-4.0045766590389019E-2</v>
      </c>
      <c r="AK28" s="633" t="str">
        <f t="shared" ca="1" si="16"/>
        <v>●負</v>
      </c>
      <c r="AL28" s="617"/>
      <c r="AM28" s="619"/>
      <c r="AN28" s="617"/>
      <c r="AO28" s="619"/>
      <c r="AP28" s="619"/>
      <c r="AQ28" s="619"/>
      <c r="AR28" s="617"/>
      <c r="AS28" s="617"/>
      <c r="BB28" s="603" t="str">
        <f>IF(N(買抽出v13!$C28)=0,"",N(買抽出v13!$Q28)+N(買抽出v13!$L28)/1000-ROW()/1000000)</f>
        <v/>
      </c>
      <c r="BC28" s="603" t="str">
        <f>IF(N(売抽出v13!$C28)=0,"",N(売抽出v13!$Q28)+IFERROR(VALUE(SUBSTITUTE(売抽出v13!$L28,"倍","")),0)/1000-ROW()/1000000)</f>
        <v/>
      </c>
    </row>
    <row r="29" spans="1:55" ht="35.4" customHeight="1">
      <c r="A29" s="623" t="str">
        <f t="shared" si="0"/>
        <v>株探</v>
      </c>
      <c r="B29" s="489">
        <v>3891</v>
      </c>
      <c r="C29" s="490" t="s">
        <v>999</v>
      </c>
      <c r="D29" s="627" t="str" cm="1">
        <f t="array" ref="D29">_xll.RssMarket(B29, "銘柄名称")</f>
        <v>ニッポン高度紙工業</v>
      </c>
      <c r="E29" s="720">
        <v>46233</v>
      </c>
      <c r="F29" s="702" cm="1">
        <f t="array" aca="1" ref="F29" ca="1">IFERROR(_xlfn.LET(_xlpm.r,MATCH(TEXT($B29,"0"),TEXT(銘柄管理!$B$6:$B$305,"0"),0),_xlpm.t,MOD(NOW(),1),_xlpm.c,IF($E29=TODAY(),IF(_xlpm.t&gt;=TIME(15,30,0),NA(),1),IF(MATCH($E29,始値!$E$3:$BT$3,0)=1,1,MATCH($E29,始値!$E$3:$BT$3,0)+1)),_xlpm.v,INDEX(始値!$C$6:$BT$305,_xlpm.r,_xlpm.c),IF(N(_xlpm.v)=0,"",_xlpm.v)),"")</f>
        <v>6630</v>
      </c>
      <c r="G29" s="489">
        <v>100</v>
      </c>
      <c r="H29" s="491" cm="1">
        <f t="array" ref="H29">_xll.RssMarket(B29, "現在値")</f>
        <v>7370</v>
      </c>
      <c r="I29" s="491" cm="1">
        <f t="array" ref="I29">_xll.RssMarket(B29, "出来高加重平均")</f>
        <v>7459.9385000000002</v>
      </c>
      <c r="J29" s="705" cm="1">
        <f t="array" ref="J29">_xll.RssMarket($B29, "前日比")</f>
        <v>570</v>
      </c>
      <c r="K29" s="705">
        <f t="shared" ca="1" si="17"/>
        <v>-74000</v>
      </c>
      <c r="L29" s="710">
        <f t="shared" ca="1" si="18"/>
        <v>-0.11161387631975868</v>
      </c>
      <c r="M29" s="491">
        <f t="shared" ca="1" si="6"/>
        <v>6232</v>
      </c>
      <c r="N29" s="491">
        <f t="shared" ca="1" si="7"/>
        <v>6895</v>
      </c>
      <c r="O29" s="492" t="str">
        <f t="shared" ca="1" si="8"/>
        <v>🔴損切</v>
      </c>
      <c r="P29" s="491">
        <f t="array" aca="1" ref="P29" ca="1">IF(B29="","",IFERROR(MAX(OFFSET(高値!$E$6,MATCH(TEXT(B29,"0"),TEXT(銘柄管理!$B$6:$B$305,"0"),0)-1,0,1,10)),""))</f>
        <v>7780</v>
      </c>
      <c r="Q29" s="491">
        <f t="array" aca="1" ref="Q29" ca="1">IF(B29="","",IFERROR(MIN(OFFSET(安値!$E$6,MATCH(TEXT(B29,"0"),TEXT(銘柄管理!$B$6:$B$305,"0"),0)-1,0,1,10)),""))</f>
        <v>5310</v>
      </c>
      <c r="R29" s="491">
        <f t="shared" ca="1" si="19"/>
        <v>7547</v>
      </c>
      <c r="S29" s="589" t="str">
        <f t="shared" ca="1" si="20"/>
        <v>✅売却済</v>
      </c>
      <c r="T29" s="597">
        <f t="shared" ca="1" si="9"/>
        <v>46237</v>
      </c>
      <c r="U29" s="491">
        <f t="shared" ca="1" si="10"/>
        <v>6895</v>
      </c>
      <c r="V29" s="705">
        <f t="shared" ca="1" si="21"/>
        <v>-26500</v>
      </c>
      <c r="W29" s="493">
        <f t="shared" ca="1" si="11"/>
        <v>5</v>
      </c>
      <c r="X29" s="489" t="str">
        <f t="shared" ca="1" si="12"/>
        <v>損切確定</v>
      </c>
      <c r="Y29" s="488"/>
      <c r="Z29" s="714">
        <v>21</v>
      </c>
      <c r="AA29" s="603" t="s">
        <v>1360</v>
      </c>
      <c r="AD29" s="611" t="s">
        <v>1324</v>
      </c>
      <c r="AE29" s="628">
        <f t="shared" si="13"/>
        <v>46251</v>
      </c>
      <c r="AF29" s="630"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0</v>
      </c>
      <c r="AG29" s="630"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46237</v>
      </c>
      <c r="AH29" s="603" t="str">
        <f t="shared" ca="1" si="14"/>
        <v>損切確定</v>
      </c>
      <c r="AI29" s="603" t="str" cm="1">
        <f t="array" ref="AI29">IFERROR(INDEX(始値!$E$6:$BT$305,MATCH(TEXT($B29,"0"),TEXT(銘柄管理!$B$6:$B$305,"0"),0),MATCH($AE29,始値!$E$3:$BT$3,0)),"")</f>
        <v/>
      </c>
      <c r="AJ29" s="612">
        <f t="shared" ca="1" si="15"/>
        <v>-3.9969834087481143E-2</v>
      </c>
      <c r="AK29" s="633" t="str">
        <f t="shared" ca="1" si="16"/>
        <v>●負</v>
      </c>
      <c r="AL29" s="617"/>
      <c r="AM29" s="619"/>
      <c r="AN29" s="617"/>
      <c r="AO29" s="619"/>
      <c r="AP29" s="619"/>
      <c r="AQ29" s="619"/>
      <c r="AR29" s="617"/>
      <c r="AS29" s="617"/>
      <c r="BB29" s="603" t="str">
        <f>IF(N(買抽出v13!$C29)=0,"",N(買抽出v13!$Q29)+N(買抽出v13!$L29)/1000-ROW()/1000000)</f>
        <v/>
      </c>
      <c r="BC29" s="603" t="str">
        <f>IF(N(売抽出v13!$C29)=0,"",N(売抽出v13!$Q29)+IFERROR(VALUE(SUBSTITUTE(売抽出v13!$L29,"倍","")),0)/1000-ROW()/1000000)</f>
        <v/>
      </c>
    </row>
    <row r="30" spans="1:55" ht="35.4" customHeight="1">
      <c r="A30" s="623" t="str">
        <f t="shared" si="0"/>
        <v>株探</v>
      </c>
      <c r="B30" s="489">
        <v>3397</v>
      </c>
      <c r="C30" s="490" t="s">
        <v>998</v>
      </c>
      <c r="D30" s="627" t="str" cm="1">
        <f t="array" ref="D30">_xll.RssMarket(B30, "銘柄名称")</f>
        <v>トリドールホールディングス</v>
      </c>
      <c r="E30" s="720">
        <v>46233</v>
      </c>
      <c r="F30" s="702" cm="1">
        <f t="array" aca="1" ref="F30" ca="1">IFERROR(_xlfn.LET(_xlpm.r,MATCH(TEXT($B30,"0"),TEXT(銘柄管理!$B$6:$B$305,"0"),0),_xlpm.t,MOD(NOW(),1),_xlpm.c,IF($E30=TODAY(),IF(_xlpm.t&gt;=TIME(15,30,0),NA(),1),IF(MATCH($E30,始値!$E$3:$BT$3,0)=1,1,MATCH($E30,始値!$E$3:$BT$3,0)+1)),_xlpm.v,INDEX(始値!$C$6:$BT$305,_xlpm.r,_xlpm.c),IF(N(_xlpm.v)=0,"",_xlpm.v)),"")</f>
        <v>4351</v>
      </c>
      <c r="G30" s="489">
        <v>100</v>
      </c>
      <c r="H30" s="491" cm="1">
        <f t="array" ref="H30">_xll.RssMarket(B30, "現在値")</f>
        <v>4142</v>
      </c>
      <c r="I30" s="491" cm="1">
        <f t="array" ref="I30">_xll.RssMarket(B30, "出来高加重平均")</f>
        <v>4138.6009999999997</v>
      </c>
      <c r="J30" s="705" cm="1">
        <f t="array" ref="J30">_xll.RssMarket($B30, "前日比")</f>
        <v>-13</v>
      </c>
      <c r="K30" s="705">
        <f t="shared" ca="1" si="17"/>
        <v>-20900</v>
      </c>
      <c r="L30" s="710">
        <f t="shared" ca="1" si="18"/>
        <v>-4.8034934497816595E-2</v>
      </c>
      <c r="M30" s="491">
        <f t="shared" ca="1" si="6"/>
        <v>4612</v>
      </c>
      <c r="N30" s="491">
        <f t="shared" ca="1" si="7"/>
        <v>4177</v>
      </c>
      <c r="O30" s="492" t="str">
        <f t="shared" ca="1" si="8"/>
        <v>🔴損切</v>
      </c>
      <c r="P30" s="491">
        <f t="array" aca="1" ref="P30" ca="1">IF(B30="","",IFERROR(MAX(OFFSET(高値!$E$6,MATCH(TEXT(B30,"0"),TEXT(銘柄管理!$B$6:$B$305,"0"),0)-1,0,1,10)),""))</f>
        <v>4660</v>
      </c>
      <c r="Q30" s="491">
        <f t="array" aca="1" ref="Q30" ca="1">IF(B30="","",IFERROR(MIN(OFFSET(安値!$E$6,MATCH(TEXT(B30,"0"),TEXT(銘柄管理!$B$6:$B$305,"0"),0)-1,0,1,10)),""))</f>
        <v>4009</v>
      </c>
      <c r="R30" s="491">
        <f t="shared" ca="1" si="19"/>
        <v>4520</v>
      </c>
      <c r="S30" s="589" t="str">
        <f t="shared" ca="1" si="20"/>
        <v>✅売却済</v>
      </c>
      <c r="T30" s="597">
        <f t="shared" ca="1" si="9"/>
        <v>46238</v>
      </c>
      <c r="U30" s="491">
        <f t="shared" ca="1" si="10"/>
        <v>4177</v>
      </c>
      <c r="V30" s="705">
        <f t="shared" ca="1" si="21"/>
        <v>-17400</v>
      </c>
      <c r="W30" s="493">
        <f t="shared" ca="1" si="11"/>
        <v>6</v>
      </c>
      <c r="X30" s="489" t="str">
        <f t="shared" ca="1" si="12"/>
        <v>損切確定</v>
      </c>
      <c r="Y30" s="488"/>
      <c r="Z30" s="714">
        <v>21</v>
      </c>
      <c r="AA30" s="603" t="s">
        <v>1354</v>
      </c>
      <c r="AD30" s="611" t="s">
        <v>1325</v>
      </c>
      <c r="AE30" s="628">
        <f t="shared" si="13"/>
        <v>46251</v>
      </c>
      <c r="AF30" s="630"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0</v>
      </c>
      <c r="AG30" s="630"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46238</v>
      </c>
      <c r="AH30" s="603" t="str">
        <f t="shared" ca="1" si="14"/>
        <v>損切確定</v>
      </c>
      <c r="AI30" s="603" t="str" cm="1">
        <f t="array" ref="AI30">IFERROR(INDEX(始値!$E$6:$BT$305,MATCH(TEXT($B30,"0"),TEXT(銘柄管理!$B$6:$B$305,"0"),0),MATCH($AE30,始値!$E$3:$BT$3,0)),"")</f>
        <v/>
      </c>
      <c r="AJ30" s="612">
        <f t="shared" ca="1" si="15"/>
        <v>-3.9990806711100897E-2</v>
      </c>
      <c r="AK30" s="633" t="str">
        <f t="shared" ca="1" si="16"/>
        <v>●負</v>
      </c>
      <c r="AL30" s="617"/>
      <c r="AM30" s="619"/>
      <c r="AN30" s="617"/>
      <c r="AO30" s="619"/>
      <c r="AP30" s="619"/>
      <c r="AQ30" s="619"/>
      <c r="AR30" s="617"/>
      <c r="AS30" s="617"/>
      <c r="BB30" s="603" t="str">
        <f>IF(N(買抽出v13!$C30)=0,"",N(買抽出v13!$Q30)+N(買抽出v13!$L30)/1000-ROW()/1000000)</f>
        <v/>
      </c>
      <c r="BC30" s="603" t="str">
        <f>IF(N(売抽出v13!$C30)=0,"",N(売抽出v13!$Q30)+IFERROR(VALUE(SUBSTITUTE(売抽出v13!$L30,"倍","")),0)/1000-ROW()/1000000)</f>
        <v/>
      </c>
    </row>
    <row r="31" spans="1:55" ht="35.4" customHeight="1">
      <c r="A31" s="623" t="str">
        <f t="shared" si="0"/>
        <v>株探</v>
      </c>
      <c r="B31" s="489">
        <v>7981</v>
      </c>
      <c r="C31" s="490" t="s">
        <v>998</v>
      </c>
      <c r="D31" s="627" t="str" cm="1">
        <f t="array" ref="D31">_xll.RssMarket(B31, "銘柄名称")</f>
        <v>タカラスタンダ－ド</v>
      </c>
      <c r="E31" s="720">
        <v>46233</v>
      </c>
      <c r="F31" s="702" cm="1">
        <f t="array" aca="1" ref="F31" ca="1">IFERROR(_xlfn.LET(_xlpm.r,MATCH(TEXT($B31,"0"),TEXT(銘柄管理!$B$6:$B$305,"0"),0),_xlpm.t,MOD(NOW(),1),_xlpm.c,IF($E31=TODAY(),IF(_xlpm.t&gt;=TIME(15,30,0),NA(),1),IF(MATCH($E31,始値!$E$3:$BT$3,0)=1,1,MATCH($E31,始値!$E$3:$BT$3,0)+1)),_xlpm.v,INDEX(始値!$C$6:$BT$305,_xlpm.r,_xlpm.c),IF(N(_xlpm.v)=0,"",_xlpm.v)),"")</f>
        <v>3025</v>
      </c>
      <c r="G31" s="489">
        <v>100</v>
      </c>
      <c r="H31" s="491" cm="1">
        <f t="array" ref="H31">_xll.RssMarket(B31, "現在値")</f>
        <v>3005</v>
      </c>
      <c r="I31" s="491" cm="1">
        <f t="array" ref="I31">_xll.RssMarket(B31, "出来高加重平均")</f>
        <v>2994.884</v>
      </c>
      <c r="J31" s="705" cm="1">
        <f t="array" ref="J31">_xll.RssMarket($B31, "前日比")</f>
        <v>15</v>
      </c>
      <c r="K31" s="705">
        <f t="shared" ca="1" si="17"/>
        <v>-2000</v>
      </c>
      <c r="L31" s="710">
        <f t="shared" ca="1" si="18"/>
        <v>-6.6115702479338841E-3</v>
      </c>
      <c r="M31" s="491">
        <f t="shared" ca="1" si="6"/>
        <v>3207</v>
      </c>
      <c r="N31" s="491">
        <f t="shared" ca="1" si="7"/>
        <v>2904</v>
      </c>
      <c r="O31" s="492" t="str">
        <f t="shared" ca="1" si="8"/>
        <v>保持継続</v>
      </c>
      <c r="P31" s="491">
        <f t="array" aca="1" ref="P31" ca="1">IF(B31="","",IFERROR(MAX(OFFSET(高値!$E$6,MATCH(TEXT(B31,"0"),TEXT(銘柄管理!$B$6:$B$305,"0"),0)-1,0,1,10)),""))</f>
        <v>3330</v>
      </c>
      <c r="Q31" s="491">
        <f t="array" aca="1" ref="Q31" ca="1">IF(B31="","",IFERROR(MIN(OFFSET(安値!$E$6,MATCH(TEXT(B31,"0"),TEXT(銘柄管理!$B$6:$B$305,"0"),0)-1,0,1,10)),""))</f>
        <v>2960</v>
      </c>
      <c r="R31" s="491">
        <f t="shared" ca="1" si="19"/>
        <v>3230</v>
      </c>
      <c r="S31" s="589" t="str">
        <f t="shared" ca="1" si="20"/>
        <v>📌保有中</v>
      </c>
      <c r="T31" s="597" t="str">
        <f t="shared" ca="1" si="9"/>
        <v/>
      </c>
      <c r="U31" s="491" t="str">
        <f t="shared" ca="1" si="10"/>
        <v/>
      </c>
      <c r="V31" s="705" t="str">
        <f t="shared" ca="1" si="21"/>
        <v/>
      </c>
      <c r="W31" s="493">
        <f t="shared" ca="1" si="11"/>
        <v>7</v>
      </c>
      <c r="X31" s="489" t="str">
        <f t="shared" ca="1" si="12"/>
        <v/>
      </c>
      <c r="Y31" s="488"/>
      <c r="Z31" s="714">
        <v>21</v>
      </c>
      <c r="AA31" s="603" t="s">
        <v>1332</v>
      </c>
      <c r="AD31" s="611" t="s">
        <v>1325</v>
      </c>
      <c r="AE31" s="628">
        <f t="shared" si="13"/>
        <v>46251</v>
      </c>
      <c r="AF31" s="630"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0</v>
      </c>
      <c r="AG31" s="630"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0</v>
      </c>
      <c r="AH31" s="603" t="str">
        <f t="shared" ca="1" si="14"/>
        <v>保有中</v>
      </c>
      <c r="AI31" s="603" t="str" cm="1">
        <f t="array" ref="AI31">IFERROR(INDEX(始値!$E$6:$BT$305,MATCH(TEXT($B31,"0"),TEXT(銘柄管理!$B$6:$B$305,"0"),0),MATCH($AE31,始値!$E$3:$BT$3,0)),"")</f>
        <v/>
      </c>
      <c r="AJ31" s="612" t="str">
        <f t="shared" ca="1" si="15"/>
        <v/>
      </c>
      <c r="AK31" s="633" t="str">
        <f t="shared" ca="1" si="16"/>
        <v/>
      </c>
      <c r="AL31" s="617"/>
      <c r="AM31" s="619"/>
      <c r="AN31" s="617"/>
      <c r="AO31" s="619"/>
      <c r="AP31" s="619"/>
      <c r="AQ31" s="619"/>
      <c r="AR31" s="617"/>
      <c r="AS31" s="617"/>
      <c r="BB31" s="603" t="str">
        <f>IF(N(買抽出v13!$C31)=0,"",N(買抽出v13!$Q31)+N(買抽出v13!$L31)/1000-ROW()/1000000)</f>
        <v/>
      </c>
      <c r="BC31" s="603" t="str">
        <f>IF(N(売抽出v13!$C31)=0,"",N(売抽出v13!$Q31)+IFERROR(VALUE(SUBSTITUTE(売抽出v13!$L31,"倍","")),0)/1000-ROW()/1000000)</f>
        <v/>
      </c>
    </row>
    <row r="32" spans="1:55" ht="35.4" customHeight="1">
      <c r="A32" s="623" t="str">
        <f t="shared" si="0"/>
        <v>株探</v>
      </c>
      <c r="B32" s="489">
        <v>6622</v>
      </c>
      <c r="C32" s="490" t="s">
        <v>999</v>
      </c>
      <c r="D32" s="627" t="str" cm="1">
        <f t="array" ref="D32">_xll.RssMarket(B32, "銘柄名称")</f>
        <v>ダイヘン</v>
      </c>
      <c r="E32" s="720">
        <v>46233</v>
      </c>
      <c r="F32" s="702" cm="1">
        <f t="array" aca="1" ref="F32" ca="1">IFERROR(_xlfn.LET(_xlpm.r,MATCH(TEXT($B32,"0"),TEXT(銘柄管理!$B$6:$B$305,"0"),0),_xlpm.t,MOD(NOW(),1),_xlpm.c,IF($E32=TODAY(),IF(_xlpm.t&gt;=TIME(15,30,0),NA(),1),IF(MATCH($E32,始値!$E$3:$BT$3,0)=1,1,MATCH($E32,始値!$E$3:$BT$3,0)+1)),_xlpm.v,INDEX(始値!$C$6:$BT$305,_xlpm.r,_xlpm.c),IF(N(_xlpm.v)=0,"",_xlpm.v)),"")</f>
        <v>13500</v>
      </c>
      <c r="G32" s="489">
        <v>100</v>
      </c>
      <c r="H32" s="491" cm="1">
        <f t="array" ref="H32">_xll.RssMarket(B32, "現在値")</f>
        <v>15430</v>
      </c>
      <c r="I32" s="491" cm="1">
        <f t="array" ref="I32">_xll.RssMarket(B32, "出来高加重平均")</f>
        <v>15023.5998</v>
      </c>
      <c r="J32" s="705" cm="1">
        <f t="array" ref="J32">_xll.RssMarket($B32, "前日比")</f>
        <v>650</v>
      </c>
      <c r="K32" s="705">
        <f t="shared" ca="1" si="17"/>
        <v>-193000</v>
      </c>
      <c r="L32" s="710">
        <f t="shared" ca="1" si="18"/>
        <v>-0.14296296296296296</v>
      </c>
      <c r="M32" s="491">
        <f t="shared" ca="1" si="6"/>
        <v>12690</v>
      </c>
      <c r="N32" s="491">
        <f t="shared" ca="1" si="7"/>
        <v>14040</v>
      </c>
      <c r="O32" s="492" t="str">
        <f t="shared" ca="1" si="8"/>
        <v>🔴損切</v>
      </c>
      <c r="P32" s="491">
        <f t="array" aca="1" ref="P32" ca="1">IF(B32="","",IFERROR(MAX(OFFSET(高値!$E$6,MATCH(TEXT(B32,"0"),TEXT(銘柄管理!$B$6:$B$305,"0"),0)-1,0,1,10)),""))</f>
        <v>15420</v>
      </c>
      <c r="Q32" s="491">
        <f t="array" aca="1" ref="Q32" ca="1">IF(B32="","",IFERROR(MIN(OFFSET(安値!$E$6,MATCH(TEXT(B32,"0"),TEXT(銘柄管理!$B$6:$B$305,"0"),0)-1,0,1,10)),""))</f>
        <v>11460</v>
      </c>
      <c r="R32" s="491">
        <f t="shared" ca="1" si="19"/>
        <v>14957</v>
      </c>
      <c r="S32" s="589" t="str">
        <f t="shared" ca="1" si="20"/>
        <v>✅売却済</v>
      </c>
      <c r="T32" s="597">
        <f t="shared" ca="1" si="9"/>
        <v>46238</v>
      </c>
      <c r="U32" s="491">
        <f t="shared" ca="1" si="10"/>
        <v>14040</v>
      </c>
      <c r="V32" s="705">
        <f t="shared" ca="1" si="21"/>
        <v>-54000</v>
      </c>
      <c r="W32" s="493">
        <f t="shared" ca="1" si="11"/>
        <v>6</v>
      </c>
      <c r="X32" s="489" t="str">
        <f t="shared" ca="1" si="12"/>
        <v>損切確定</v>
      </c>
      <c r="Y32" s="488"/>
      <c r="Z32" s="714">
        <v>21</v>
      </c>
      <c r="AA32" s="603" t="s">
        <v>1355</v>
      </c>
      <c r="AD32" s="611" t="s">
        <v>1326</v>
      </c>
      <c r="AE32" s="628">
        <f t="shared" si="13"/>
        <v>46251</v>
      </c>
      <c r="AF32" s="630"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0</v>
      </c>
      <c r="AG32" s="630"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46238</v>
      </c>
      <c r="AH32" s="603" t="str">
        <f t="shared" ca="1" si="14"/>
        <v>損切確定</v>
      </c>
      <c r="AI32" s="603" t="str" cm="1">
        <f t="array" ref="AI32">IFERROR(INDEX(始値!$E$6:$BT$305,MATCH(TEXT($B32,"0"),TEXT(銘柄管理!$B$6:$B$305,"0"),0),MATCH($AE32,始値!$E$3:$BT$3,0)),"")</f>
        <v/>
      </c>
      <c r="AJ32" s="612">
        <f t="shared" ca="1" si="15"/>
        <v>-0.04</v>
      </c>
      <c r="AK32" s="633" t="str">
        <f t="shared" ca="1" si="16"/>
        <v>●負</v>
      </c>
      <c r="AL32" s="617"/>
      <c r="AM32" s="619"/>
      <c r="AN32" s="617"/>
      <c r="AO32" s="619"/>
      <c r="AP32" s="619"/>
      <c r="AQ32" s="619"/>
      <c r="AR32" s="617"/>
      <c r="AS32" s="617"/>
      <c r="BB32" s="603" t="str">
        <f>IF(N(買抽出v13!$C32)=0,"",N(買抽出v13!$Q32)+N(買抽出v13!$L32)/1000-ROW()/1000000)</f>
        <v/>
      </c>
      <c r="BC32" s="603" t="str">
        <f>IF(N(売抽出v13!$C32)=0,"",N(売抽出v13!$Q32)+IFERROR(VALUE(SUBSTITUTE(売抽出v13!$L32,"倍","")),0)/1000-ROW()/1000000)</f>
        <v/>
      </c>
    </row>
    <row r="33" spans="1:55" ht="35.4" customHeight="1">
      <c r="A33" s="623" t="str">
        <f t="shared" si="0"/>
        <v>株探</v>
      </c>
      <c r="B33" s="489">
        <v>6928</v>
      </c>
      <c r="C33" s="490" t="s">
        <v>999</v>
      </c>
      <c r="D33" s="627" t="str" cm="1">
        <f t="array" ref="D33">_xll.RssMarket(B33, "銘柄名称")</f>
        <v>エノモト</v>
      </c>
      <c r="E33" s="720">
        <v>46233</v>
      </c>
      <c r="F33" s="702" cm="1">
        <f t="array" aca="1" ref="F33" ca="1">IFERROR(_xlfn.LET(_xlpm.r,MATCH(TEXT($B33,"0"),TEXT(銘柄管理!$B$6:$B$305,"0"),0),_xlpm.t,MOD(NOW(),1),_xlpm.c,IF($E33=TODAY(),IF(_xlpm.t&gt;=TIME(15,30,0),NA(),1),IF(MATCH($E33,始値!$E$3:$BT$3,0)=1,1,MATCH($E33,始値!$E$3:$BT$3,0)+1)),_xlpm.v,INDEX(始値!$C$6:$BT$305,_xlpm.r,_xlpm.c),IF(N(_xlpm.v)=0,"",_xlpm.v)),"")</f>
        <v>2377</v>
      </c>
      <c r="G33" s="489">
        <v>100</v>
      </c>
      <c r="H33" s="491" cm="1">
        <f t="array" ref="H33">_xll.RssMarket(B33, "現在値")</f>
        <v>2669</v>
      </c>
      <c r="I33" s="491" cm="1">
        <f t="array" ref="I33">_xll.RssMarket(B33, "出来高加重平均")</f>
        <v>2633.7040999999999</v>
      </c>
      <c r="J33" s="705" cm="1">
        <f t="array" ref="J33">_xll.RssMarket($B33, "前日比")</f>
        <v>121</v>
      </c>
      <c r="K33" s="705">
        <f t="shared" ca="1" si="17"/>
        <v>-29200</v>
      </c>
      <c r="L33" s="710">
        <f t="shared" ca="1" si="18"/>
        <v>-0.12284392090870845</v>
      </c>
      <c r="M33" s="491">
        <f t="shared" ca="1" si="6"/>
        <v>2234</v>
      </c>
      <c r="N33" s="491">
        <f t="shared" ca="1" si="7"/>
        <v>2472</v>
      </c>
      <c r="O33" s="492" t="str">
        <f t="shared" ca="1" si="8"/>
        <v>🔴損切</v>
      </c>
      <c r="P33" s="491">
        <f t="array" aca="1" ref="P33" ca="1">IF(B33="","",IFERROR(MAX(OFFSET(高値!$E$6,MATCH(TEXT(B33,"0"),TEXT(銘柄管理!$B$6:$B$305,"0"),0)-1,0,1,10)),""))</f>
        <v>2652</v>
      </c>
      <c r="Q33" s="491">
        <f t="array" aca="1" ref="Q33" ca="1">IF(B33="","",IFERROR(MIN(OFFSET(安値!$E$6,MATCH(TEXT(B33,"0"),TEXT(銘柄管理!$B$6:$B$305,"0"),0)-1,0,1,10)),""))</f>
        <v>2130</v>
      </c>
      <c r="R33" s="491">
        <f t="shared" ca="1" si="19"/>
        <v>2572</v>
      </c>
      <c r="S33" s="589" t="str">
        <f t="shared" ca="1" si="20"/>
        <v>✅売却済</v>
      </c>
      <c r="T33" s="597">
        <f t="shared" ca="1" si="9"/>
        <v>46238</v>
      </c>
      <c r="U33" s="491">
        <f t="shared" ca="1" si="10"/>
        <v>2472</v>
      </c>
      <c r="V33" s="705">
        <f t="shared" ca="1" si="21"/>
        <v>-9500</v>
      </c>
      <c r="W33" s="493">
        <f t="shared" ca="1" si="11"/>
        <v>6</v>
      </c>
      <c r="X33" s="489" t="str">
        <f t="shared" ca="1" si="12"/>
        <v>損切確定</v>
      </c>
      <c r="Y33" s="488"/>
      <c r="Z33" s="714">
        <v>18</v>
      </c>
      <c r="AA33" s="603" t="s">
        <v>1361</v>
      </c>
      <c r="AD33" s="611" t="s">
        <v>1326</v>
      </c>
      <c r="AE33" s="628">
        <f t="shared" si="13"/>
        <v>46251</v>
      </c>
      <c r="AF33" s="630"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0</v>
      </c>
      <c r="AG33" s="630"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46238</v>
      </c>
      <c r="AH33" s="603" t="str">
        <f t="shared" ca="1" si="14"/>
        <v>損切確定</v>
      </c>
      <c r="AI33" s="603" t="str" cm="1">
        <f t="array" ref="AI33">IFERROR(INDEX(始値!$E$6:$BT$305,MATCH(TEXT($B33,"0"),TEXT(銘柄管理!$B$6:$B$305,"0"),0),MATCH($AE33,始値!$E$3:$BT$3,0)),"")</f>
        <v/>
      </c>
      <c r="AJ33" s="612">
        <f t="shared" ca="1" si="15"/>
        <v>-3.9966344131257887E-2</v>
      </c>
      <c r="AK33" s="633" t="str">
        <f t="shared" ca="1" si="16"/>
        <v>●負</v>
      </c>
      <c r="AL33" s="617"/>
      <c r="AM33" s="619"/>
      <c r="AN33" s="617"/>
      <c r="AO33" s="619"/>
      <c r="AP33" s="619"/>
      <c r="AQ33" s="619"/>
      <c r="AR33" s="617"/>
      <c r="AS33" s="617"/>
      <c r="BB33" s="603" t="str">
        <f>IF(N(買抽出v13!$C33)=0,"",N(買抽出v13!$Q33)+N(買抽出v13!$L33)/1000-ROW()/1000000)</f>
        <v/>
      </c>
      <c r="BC33" s="603" t="str">
        <f>IF(N(売抽出v13!$C33)=0,"",N(売抽出v13!$Q33)+IFERROR(VALUE(SUBSTITUTE(売抽出v13!$L33,"倍","")),0)/1000-ROW()/1000000)</f>
        <v/>
      </c>
    </row>
    <row r="34" spans="1:55" ht="35.4" customHeight="1">
      <c r="A34" s="623" t="str">
        <f t="shared" si="0"/>
        <v>株探</v>
      </c>
      <c r="B34" s="634">
        <v>6488</v>
      </c>
      <c r="C34" s="490" t="s">
        <v>998</v>
      </c>
      <c r="D34" s="627" t="str" cm="1">
        <f t="array" ref="D34">IF($B34="","",_xll.RssMarket($B34,"銘柄名称"))</f>
        <v>ヨシタケ</v>
      </c>
      <c r="E34" s="720">
        <v>46233</v>
      </c>
      <c r="F34" s="702" cm="1">
        <f t="array" aca="1" ref="F34" ca="1">IFERROR(_xlfn.LET(_xlpm.r,MATCH(TEXT($B34,"0"),TEXT(銘柄管理!$B$6:$B$305,"0"),0),_xlpm.t,MOD(NOW(),1),_xlpm.c,IF($E34=TODAY(),IF(_xlpm.t&gt;=TIME(15,30,0),NA(),1),IF(MATCH($E34,始値!$E$3:$BT$3,0)=1,1,MATCH($E34,始値!$E$3:$BT$3,0)+1)),_xlpm.v,INDEX(始値!$C$6:$BT$305,_xlpm.r,_xlpm.c),IF(N(_xlpm.v)=0,"",_xlpm.v)),"")</f>
        <v>989</v>
      </c>
      <c r="G34" s="635">
        <v>100</v>
      </c>
      <c r="H34" s="491" cm="1">
        <f t="array" ref="H34">IF($B34="","",_xll.RssMarket($B34,"現在値"))</f>
        <v>988</v>
      </c>
      <c r="I34" s="491" cm="1">
        <f t="array" ref="I34">IF($B34="","",_xll.RssMarket($B34,"出来高加重平均"))</f>
        <v>991.96770000000004</v>
      </c>
      <c r="J34" s="705" cm="1">
        <f t="array" ref="J34">IF($B34="","",_xll.RssMarket($B34,"前日比"))</f>
        <v>-2</v>
      </c>
      <c r="K34" s="705">
        <f t="shared" ca="1" si="17"/>
        <v>-100</v>
      </c>
      <c r="L34" s="710">
        <f t="shared" ca="1" si="18"/>
        <v>-1.0111223458038423E-3</v>
      </c>
      <c r="M34" s="491">
        <f t="shared" ca="1" si="6"/>
        <v>1048</v>
      </c>
      <c r="N34" s="491">
        <f t="shared" ca="1" si="7"/>
        <v>949</v>
      </c>
      <c r="O34" s="492" t="str">
        <f t="shared" ca="1" si="8"/>
        <v>保持継続</v>
      </c>
      <c r="P34" s="491" cm="1">
        <f t="array" aca="1" ref="P34" ca="1">IF($B34="","",IFERROR(MAX(OFFSET(高値!$E$6,MATCH(TEXT($B34,"0"),TEXT(銘柄管理!$B$6:$B$305,"0"),0)-1,0,1,10)),""))</f>
        <v>1000</v>
      </c>
      <c r="Q34" s="491" cm="1">
        <f t="array" aca="1" ref="Q34" ca="1">IF($B34="","",IFERROR(MIN(OFFSET(安値!$E$6,MATCH(TEXT($B34,"0"),TEXT(銘柄管理!$B$6:$B$305,"0"),0)-1,0,1,10)),""))</f>
        <v>974</v>
      </c>
      <c r="R34" s="491">
        <f t="shared" ca="1" si="19"/>
        <v>970</v>
      </c>
      <c r="S34" s="589" t="str">
        <f t="shared" ca="1" si="20"/>
        <v>📌保有中</v>
      </c>
      <c r="T34" s="597" t="str">
        <f t="shared" ca="1" si="9"/>
        <v/>
      </c>
      <c r="U34" s="491" t="str">
        <f t="shared" ca="1" si="10"/>
        <v/>
      </c>
      <c r="V34" s="705" t="str">
        <f t="shared" ca="1" si="21"/>
        <v/>
      </c>
      <c r="W34" s="493">
        <f t="shared" ca="1" si="11"/>
        <v>7</v>
      </c>
      <c r="X34" s="489" t="str">
        <f t="shared" ca="1" si="12"/>
        <v/>
      </c>
      <c r="Y34" s="488"/>
      <c r="Z34" s="714">
        <v>18</v>
      </c>
      <c r="AD34" s="611" t="s">
        <v>1325</v>
      </c>
      <c r="AE34" s="628">
        <f t="shared" si="13"/>
        <v>46251</v>
      </c>
      <c r="AF34" s="630"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0</v>
      </c>
      <c r="AG34" s="630"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0</v>
      </c>
      <c r="AH34" s="603" t="str">
        <f t="shared" ca="1" si="14"/>
        <v>保有中</v>
      </c>
      <c r="AI34" s="603" t="str" cm="1">
        <f t="array" ref="AI34">IFERROR(INDEX(始値!$E$6:$BT$305,MATCH(TEXT($B34,"0"),TEXT(銘柄管理!$B$6:$B$305,"0"),0),MATCH($AE34,始値!$E$3:$BT$3,0)),"")</f>
        <v/>
      </c>
      <c r="AJ34" s="612" t="str">
        <f t="shared" ca="1" si="15"/>
        <v/>
      </c>
      <c r="AK34" s="633" t="str">
        <f t="shared" ca="1" si="16"/>
        <v/>
      </c>
      <c r="AL34" s="617"/>
      <c r="AM34" s="619"/>
      <c r="AN34" s="617"/>
      <c r="AO34" s="619"/>
      <c r="AP34" s="619"/>
      <c r="AQ34" s="619"/>
      <c r="AR34" s="617"/>
      <c r="AS34" s="617"/>
      <c r="BB34" s="603" t="str">
        <f>IF(N(買抽出v13!$C34)=0,"",N(買抽出v13!$Q34)+N(買抽出v13!$L34)/1000-ROW()/1000000)</f>
        <v/>
      </c>
      <c r="BC34" s="603" t="str">
        <f>IF(N(売抽出v13!$C34)=0,"",N(売抽出v13!$Q34)+IFERROR(VALUE(SUBSTITUTE(売抽出v13!$L34,"倍","")),0)/1000-ROW()/1000000)</f>
        <v/>
      </c>
    </row>
    <row r="35" spans="1:55" ht="35.4" customHeight="1">
      <c r="A35" s="623" t="str">
        <f t="shared" si="0"/>
        <v>株探</v>
      </c>
      <c r="B35" s="634">
        <v>7952</v>
      </c>
      <c r="C35" s="490" t="s">
        <v>998</v>
      </c>
      <c r="D35" s="627" t="str" cm="1">
        <f t="array" ref="D35">IF($B35="","",_xll.RssMarket($B35,"銘柄名称"))</f>
        <v>河合楽器</v>
      </c>
      <c r="E35" s="720">
        <v>46233</v>
      </c>
      <c r="F35" s="702" cm="1">
        <f t="array" aca="1" ref="F35" ca="1">IFERROR(_xlfn.LET(_xlpm.r,MATCH(TEXT($B35,"0"),TEXT(銘柄管理!$B$6:$B$305,"0"),0),_xlpm.t,MOD(NOW(),1),_xlpm.c,IF($E35=TODAY(),IF(_xlpm.t&gt;=TIME(15,30,0),NA(),1),IF(MATCH($E35,始値!$E$3:$BT$3,0)=1,1,MATCH($E35,始値!$E$3:$BT$3,0)+1)),_xlpm.v,INDEX(始値!$C$6:$BT$305,_xlpm.r,_xlpm.c),IF(N(_xlpm.v)=0,"",_xlpm.v)),"")</f>
        <v>3370</v>
      </c>
      <c r="G35" s="635">
        <v>100</v>
      </c>
      <c r="H35" s="491" cm="1">
        <f t="array" ref="H35">IF($B35="","",_xll.RssMarket($B35,"現在値"))</f>
        <v>3585</v>
      </c>
      <c r="I35" s="491" cm="1">
        <f t="array" ref="I35">IF($B35="","",_xll.RssMarket($B35,"出来高加重平均"))</f>
        <v>3595.5</v>
      </c>
      <c r="J35" s="705" cm="1">
        <f t="array" ref="J35">IF($B35="","",_xll.RssMarket($B35,"前日比"))</f>
        <v>20</v>
      </c>
      <c r="K35" s="705">
        <f t="shared" ca="1" si="17"/>
        <v>21500</v>
      </c>
      <c r="L35" s="710">
        <f t="shared" ca="1" si="18"/>
        <v>6.3798219584569729E-2</v>
      </c>
      <c r="M35" s="491">
        <f t="shared" ca="1" si="6"/>
        <v>3572</v>
      </c>
      <c r="N35" s="491">
        <f t="shared" ca="1" si="7"/>
        <v>3235</v>
      </c>
      <c r="O35" s="492" t="str">
        <f t="shared" ca="1" si="8"/>
        <v>🟢利確</v>
      </c>
      <c r="P35" s="491" cm="1">
        <f t="array" aca="1" ref="P35" ca="1">IF($B35="","",IFERROR(MAX(OFFSET(高値!$E$6,MATCH(TEXT($B35,"0"),TEXT(銘柄管理!$B$6:$B$305,"0"),0)-1,0,1,10)),""))</f>
        <v>3625</v>
      </c>
      <c r="Q35" s="491" cm="1">
        <f t="array" aca="1" ref="Q35" ca="1">IF($B35="","",IFERROR(MIN(OFFSET(安値!$E$6,MATCH(TEXT($B35,"0"),TEXT(銘柄管理!$B$6:$B$305,"0"),0)-1,0,1,10)),""))</f>
        <v>3200</v>
      </c>
      <c r="R35" s="491">
        <f t="shared" ca="1" si="19"/>
        <v>3516</v>
      </c>
      <c r="S35" s="589" t="str">
        <f t="shared" ca="1" si="20"/>
        <v>✅売却済</v>
      </c>
      <c r="T35" s="597">
        <f t="shared" ca="1" si="9"/>
        <v>46238</v>
      </c>
      <c r="U35" s="491">
        <f t="shared" ca="1" si="10"/>
        <v>3572</v>
      </c>
      <c r="V35" s="705">
        <f t="shared" ca="1" si="21"/>
        <v>20200</v>
      </c>
      <c r="W35" s="493">
        <f t="shared" ca="1" si="11"/>
        <v>6</v>
      </c>
      <c r="X35" s="489" t="str">
        <f t="shared" ca="1" si="12"/>
        <v>利益確定</v>
      </c>
      <c r="Y35" s="488"/>
      <c r="Z35" s="714">
        <v>15</v>
      </c>
      <c r="AD35" s="611" t="s">
        <v>1325</v>
      </c>
      <c r="AE35" s="628">
        <f t="shared" si="13"/>
        <v>46251</v>
      </c>
      <c r="AF35" s="630"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46238</v>
      </c>
      <c r="AG35" s="630"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0</v>
      </c>
      <c r="AH35" s="603" t="str">
        <f t="shared" ca="1" si="14"/>
        <v>利益確定</v>
      </c>
      <c r="AI35" s="603" t="str" cm="1">
        <f t="array" ref="AI35">IFERROR(INDEX(始値!$E$6:$BT$305,MATCH(TEXT($B35,"0"),TEXT(銘柄管理!$B$6:$B$305,"0"),0),MATCH($AE35,始値!$E$3:$BT$3,0)),"")</f>
        <v/>
      </c>
      <c r="AJ35" s="612">
        <f t="shared" ca="1" si="15"/>
        <v>5.9940652818991101E-2</v>
      </c>
      <c r="AK35" s="633" t="str">
        <f t="shared" ca="1" si="16"/>
        <v>○勝</v>
      </c>
      <c r="AL35" s="617"/>
      <c r="AM35" s="619"/>
      <c r="AN35" s="617"/>
      <c r="AO35" s="619"/>
      <c r="AP35" s="619"/>
      <c r="AQ35" s="619"/>
      <c r="AR35" s="617"/>
      <c r="AS35" s="617"/>
      <c r="BB35" s="603" t="str">
        <f>IF(N(買抽出v13!$C35)=0,"",N(買抽出v13!$Q35)+N(買抽出v13!$L35)/1000-ROW()/1000000)</f>
        <v/>
      </c>
      <c r="BC35" s="603" t="str">
        <f>IF(N(売抽出v13!$C35)=0,"",N(売抽出v13!$Q35)+IFERROR(VALUE(SUBSTITUTE(売抽出v13!$L35,"倍","")),0)/1000-ROW()/1000000)</f>
        <v/>
      </c>
    </row>
    <row r="36" spans="1:55" ht="35.4" customHeight="1">
      <c r="A36" s="623" t="str">
        <f t="shared" si="0"/>
        <v>株探</v>
      </c>
      <c r="B36" s="634">
        <v>6862</v>
      </c>
      <c r="C36" s="490" t="s">
        <v>999</v>
      </c>
      <c r="D36" s="627" t="str" cm="1">
        <f t="array" ref="D36">IF($B36="","",_xll.RssMarket($B36,"銘柄名称"))</f>
        <v>ミナトホールディングス</v>
      </c>
      <c r="E36" s="720">
        <v>46233</v>
      </c>
      <c r="F36" s="702" cm="1">
        <f t="array" aca="1" ref="F36" ca="1">IFERROR(_xlfn.LET(_xlpm.r,MATCH(TEXT($B36,"0"),TEXT(銘柄管理!$B$6:$B$305,"0"),0),_xlpm.t,MOD(NOW(),1),_xlpm.c,IF($E36=TODAY(),IF(_xlpm.t&gt;=TIME(15,30,0),NA(),1),IF(MATCH($E36,始値!$E$3:$BT$3,0)=1,1,MATCH($E36,始値!$E$3:$BT$3,0)+1)),_xlpm.v,INDEX(始値!$C$6:$BT$305,_xlpm.r,_xlpm.c),IF(N(_xlpm.v)=0,"",_xlpm.v)),"")</f>
        <v>2050</v>
      </c>
      <c r="G36" s="635">
        <v>100</v>
      </c>
      <c r="H36" s="491" cm="1">
        <f t="array" ref="H36">IF($B36="","",_xll.RssMarket($B36,"現在値"))</f>
        <v>2338</v>
      </c>
      <c r="I36" s="491" cm="1">
        <f t="array" ref="I36">IF($B36="","",_xll.RssMarket($B36,"出来高加重平均"))</f>
        <v>2284.4654999999998</v>
      </c>
      <c r="J36" s="705" cm="1">
        <f t="array" ref="J36">IF($B36="","",_xll.RssMarket($B36,"前日比"))</f>
        <v>98</v>
      </c>
      <c r="K36" s="705">
        <f t="shared" ca="1" si="17"/>
        <v>-28800</v>
      </c>
      <c r="L36" s="710">
        <f t="shared" ca="1" si="18"/>
        <v>-0.14048780487804879</v>
      </c>
      <c r="M36" s="491">
        <f t="shared" ca="1" si="6"/>
        <v>1927</v>
      </c>
      <c r="N36" s="491">
        <f t="shared" ca="1" si="7"/>
        <v>2132</v>
      </c>
      <c r="O36" s="492" t="str">
        <f t="shared" ca="1" si="8"/>
        <v>🔴損切</v>
      </c>
      <c r="P36" s="491" cm="1">
        <f t="array" aca="1" ref="P36" ca="1">IF($B36="","",IFERROR(MAX(OFFSET(高値!$E$6,MATCH(TEXT($B36,"0"),TEXT(銘柄管理!$B$6:$B$305,"0"),0)-1,0,1,10)),""))</f>
        <v>2271</v>
      </c>
      <c r="Q36" s="491" cm="1">
        <f t="array" aca="1" ref="Q36" ca="1">IF($B36="","",IFERROR(MIN(OFFSET(安値!$E$6,MATCH(TEXT($B36,"0"),TEXT(銘柄管理!$B$6:$B$305,"0"),0)-1,0,1,10)),""))</f>
        <v>1521</v>
      </c>
      <c r="R36" s="491">
        <f t="shared" ca="1" si="19"/>
        <v>2203</v>
      </c>
      <c r="S36" s="589" t="str">
        <f t="shared" ca="1" si="20"/>
        <v>✅売却済</v>
      </c>
      <c r="T36" s="597">
        <f t="shared" ca="1" si="9"/>
        <v>46238</v>
      </c>
      <c r="U36" s="491">
        <f t="shared" ca="1" si="10"/>
        <v>2132</v>
      </c>
      <c r="V36" s="705">
        <f t="shared" ca="1" si="21"/>
        <v>-8200</v>
      </c>
      <c r="W36" s="493">
        <f t="shared" ca="1" si="11"/>
        <v>6</v>
      </c>
      <c r="X36" s="489" t="str">
        <f t="shared" ca="1" si="12"/>
        <v>損切確定</v>
      </c>
      <c r="Y36" s="488"/>
      <c r="Z36" s="714">
        <v>22</v>
      </c>
      <c r="AD36" s="611" t="s">
        <v>1326</v>
      </c>
      <c r="AE36" s="628">
        <f t="shared" si="13"/>
        <v>46251</v>
      </c>
      <c r="AF36" s="630"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0</v>
      </c>
      <c r="AG36" s="630"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46238</v>
      </c>
      <c r="AH36" s="603" t="str">
        <f t="shared" ca="1" si="14"/>
        <v>損切確定</v>
      </c>
      <c r="AI36" s="603" t="str" cm="1">
        <f t="array" ref="AI36">IFERROR(INDEX(始値!$E$6:$BT$305,MATCH(TEXT($B36,"0"),TEXT(銘柄管理!$B$6:$B$305,"0"),0),MATCH($AE36,始値!$E$3:$BT$3,0)),"")</f>
        <v/>
      </c>
      <c r="AJ36" s="612">
        <f t="shared" ca="1" si="15"/>
        <v>-0.04</v>
      </c>
      <c r="AK36" s="633" t="str">
        <f t="shared" ca="1" si="16"/>
        <v>●負</v>
      </c>
      <c r="AL36" s="617"/>
      <c r="AM36" s="619"/>
      <c r="AN36" s="617"/>
      <c r="AO36" s="619"/>
      <c r="AP36" s="619"/>
      <c r="AQ36" s="619"/>
      <c r="AR36" s="617"/>
      <c r="AS36" s="617"/>
      <c r="BB36" s="603" t="str">
        <f>IF(N(買抽出v13!$C36)=0,"",N(買抽出v13!$Q36)+N(買抽出v13!$L36)/1000-ROW()/1000000)</f>
        <v/>
      </c>
      <c r="BC36" s="603" t="str">
        <f>IF(N(売抽出v13!$C36)=0,"",N(売抽出v13!$Q36)+IFERROR(VALUE(SUBSTITUTE(売抽出v13!$L36,"倍","")),0)/1000-ROW()/1000000)</f>
        <v/>
      </c>
    </row>
    <row r="37" spans="1:55" ht="35.4" customHeight="1">
      <c r="A37" s="623" t="str">
        <f t="shared" si="0"/>
        <v>株探</v>
      </c>
      <c r="B37" s="634">
        <v>4188</v>
      </c>
      <c r="C37" s="490" t="s">
        <v>998</v>
      </c>
      <c r="D37" s="627" t="str" cm="1">
        <f t="array" ref="D37">IF($B37="","",_xll.RssMarket($B37,"銘柄名称"))</f>
        <v>三菱ケミカルグループ</v>
      </c>
      <c r="E37" s="720">
        <v>46237</v>
      </c>
      <c r="F37" s="702" cm="1">
        <f t="array" aca="1" ref="F37" ca="1">IFERROR(_xlfn.LET(_xlpm.r,MATCH(TEXT($B37,"0"),TEXT(銘柄管理!$B$6:$B$305,"0"),0),_xlpm.t,MOD(NOW(),1),_xlpm.c,IF($E37=TODAY(),IF(_xlpm.t&gt;=TIME(15,30,0),NA(),1),IF(MATCH($E37,始値!$E$3:$BT$3,0)=1,1,MATCH($E37,始値!$E$3:$BT$3,0)+1)),_xlpm.v,INDEX(始値!$C$6:$BT$305,_xlpm.r,_xlpm.c),IF(N(_xlpm.v)=0,"",_xlpm.v)),"")</f>
        <v>1131.5</v>
      </c>
      <c r="G37" s="635">
        <v>100</v>
      </c>
      <c r="H37" s="491" cm="1">
        <f t="array" ref="H37">IF($B37="","",_xll.RssMarket($B37,"現在値"))</f>
        <v>1158</v>
      </c>
      <c r="I37" s="491" cm="1">
        <f t="array" ref="I37">IF($B37="","",_xll.RssMarket($B37,"出来高加重平均"))</f>
        <v>1148.4686999999999</v>
      </c>
      <c r="J37" s="705" cm="1">
        <f t="array" ref="J37">IF($B37="","",_xll.RssMarket($B37,"前日比"))</f>
        <v>40.5</v>
      </c>
      <c r="K37" s="705">
        <f t="shared" ca="1" si="17"/>
        <v>2650</v>
      </c>
      <c r="L37" s="710">
        <f t="shared" ca="1" si="18"/>
        <v>2.3420238621299161E-2</v>
      </c>
      <c r="M37" s="491">
        <f t="shared" ca="1" si="6"/>
        <v>1199</v>
      </c>
      <c r="N37" s="491">
        <f t="shared" ca="1" si="7"/>
        <v>1086</v>
      </c>
      <c r="O37" s="492" t="str">
        <f t="shared" ca="1" si="8"/>
        <v>保持継続</v>
      </c>
      <c r="P37" s="491" cm="1">
        <f t="array" aca="1" ref="P37" ca="1">IF($B37="","",IFERROR(MAX(OFFSET(高値!$E$6,MATCH(TEXT($B37,"0"),TEXT(銘柄管理!$B$6:$B$305,"0"),0)-1,0,1,10)),""))</f>
        <v>1232.5</v>
      </c>
      <c r="Q37" s="491" cm="1">
        <f t="array" aca="1" ref="Q37" ca="1">IF($B37="","",IFERROR(MIN(OFFSET(安値!$E$6,MATCH(TEXT($B37,"0"),TEXT(銘柄管理!$B$6:$B$305,"0"),0)-1,0,1,10)),""))</f>
        <v>1100.5</v>
      </c>
      <c r="R37" s="491">
        <f t="shared" ca="1" si="19"/>
        <v>1196</v>
      </c>
      <c r="S37" s="589" t="str">
        <f t="shared" ca="1" si="20"/>
        <v>📌保有中</v>
      </c>
      <c r="T37" s="597" t="str">
        <f t="shared" ca="1" si="9"/>
        <v/>
      </c>
      <c r="U37" s="491" t="str">
        <f t="shared" ca="1" si="10"/>
        <v/>
      </c>
      <c r="V37" s="705" t="str">
        <f t="shared" ca="1" si="21"/>
        <v/>
      </c>
      <c r="W37" s="493">
        <f t="shared" ca="1" si="11"/>
        <v>3</v>
      </c>
      <c r="X37" s="489" t="str">
        <f t="shared" ca="1" si="12"/>
        <v/>
      </c>
      <c r="Y37" s="488"/>
      <c r="Z37" s="714">
        <v>17</v>
      </c>
      <c r="AD37" s="611" t="s">
        <v>1323</v>
      </c>
      <c r="AE37" s="628">
        <f t="shared" si="13"/>
        <v>46253</v>
      </c>
      <c r="AF37" s="630"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0</v>
      </c>
      <c r="AG37" s="630"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0</v>
      </c>
      <c r="AH37" s="603" t="str">
        <f t="shared" ca="1" si="14"/>
        <v>保有中</v>
      </c>
      <c r="AI37" s="603" t="str" cm="1">
        <f t="array" ref="AI37">IFERROR(INDEX(始値!$E$6:$BT$305,MATCH(TEXT($B37,"0"),TEXT(銘柄管理!$B$6:$B$305,"0"),0),MATCH($AE37,始値!$E$3:$BT$3,0)),"")</f>
        <v/>
      </c>
      <c r="AJ37" s="612" t="str">
        <f t="shared" ca="1" si="15"/>
        <v/>
      </c>
      <c r="AK37" s="633" t="str">
        <f t="shared" ca="1" si="16"/>
        <v/>
      </c>
      <c r="AL37" s="617"/>
      <c r="AM37" s="619"/>
      <c r="AN37" s="617"/>
      <c r="AO37" s="619"/>
      <c r="AP37" s="619"/>
      <c r="AQ37" s="619"/>
      <c r="AR37" s="617"/>
      <c r="AS37" s="617"/>
      <c r="BB37" s="603" t="str">
        <f>IF(N(買抽出v13!$C37)=0,"",N(買抽出v13!$Q37)+N(買抽出v13!$L37)/1000-ROW()/1000000)</f>
        <v/>
      </c>
      <c r="BC37" s="603" t="str">
        <f>IF(N(売抽出v13!$C37)=0,"",N(売抽出v13!$Q37)+IFERROR(VALUE(SUBSTITUTE(売抽出v13!$L37,"倍","")),0)/1000-ROW()/1000000)</f>
        <v/>
      </c>
    </row>
    <row r="38" spans="1:55" ht="35.4" customHeight="1">
      <c r="A38" s="623" t="str">
        <f t="shared" si="0"/>
        <v>株探</v>
      </c>
      <c r="B38" s="634">
        <v>2914</v>
      </c>
      <c r="C38" s="490" t="s">
        <v>998</v>
      </c>
      <c r="D38" s="627" t="str" cm="1">
        <f t="array" ref="D38">IF($B38="","",_xll.RssMarket($B38,"銘柄名称"))</f>
        <v>日本たばこ産業</v>
      </c>
      <c r="E38" s="720">
        <v>46237</v>
      </c>
      <c r="F38" s="702" cm="1">
        <f t="array" aca="1" ref="F38" ca="1">IFERROR(_xlfn.LET(_xlpm.r,MATCH(TEXT($B38,"0"),TEXT(銘柄管理!$B$6:$B$305,"0"),0),_xlpm.t,MOD(NOW(),1),_xlpm.c,IF($E38=TODAY(),IF(_xlpm.t&gt;=TIME(15,30,0),NA(),1),IF(MATCH($E38,始値!$E$3:$BT$3,0)=1,1,MATCH($E38,始値!$E$3:$BT$3,0)+1)),_xlpm.v,INDEX(始値!$C$6:$BT$305,_xlpm.r,_xlpm.c),IF(N(_xlpm.v)=0,"",_xlpm.v)),"")</f>
        <v>6900</v>
      </c>
      <c r="G38" s="635">
        <v>100</v>
      </c>
      <c r="H38" s="491" cm="1">
        <f t="array" ref="H38">IF($B38="","",_xll.RssMarket($B38,"現在値"))</f>
        <v>6831</v>
      </c>
      <c r="I38" s="491" cm="1">
        <f t="array" ref="I38">IF($B38="","",_xll.RssMarket($B38,"出来高加重平均"))</f>
        <v>6754.6278000000002</v>
      </c>
      <c r="J38" s="705" cm="1">
        <f t="array" ref="J38">IF($B38="","",_xll.RssMarket($B38,"前日比"))</f>
        <v>12</v>
      </c>
      <c r="K38" s="705">
        <f t="shared" ca="1" si="17"/>
        <v>-6900</v>
      </c>
      <c r="L38" s="710">
        <f t="shared" ca="1" si="18"/>
        <v>-0.01</v>
      </c>
      <c r="M38" s="491">
        <f t="shared" ca="1" si="6"/>
        <v>7314</v>
      </c>
      <c r="N38" s="491">
        <f t="shared" ca="1" si="7"/>
        <v>6624</v>
      </c>
      <c r="O38" s="492" t="str">
        <f t="shared" ca="1" si="8"/>
        <v>保持継続</v>
      </c>
      <c r="P38" s="491" cm="1">
        <f t="array" aca="1" ref="P38" ca="1">IF($B38="","",IFERROR(MAX(OFFSET(高値!$E$6,MATCH(TEXT($B38,"0"),TEXT(銘柄管理!$B$6:$B$305,"0"),0)-1,0,1,10)),""))</f>
        <v>7218</v>
      </c>
      <c r="Q38" s="491" cm="1">
        <f t="array" aca="1" ref="Q38" ca="1">IF($B38="","",IFERROR(MIN(OFFSET(安値!$E$6,MATCH(TEXT($B38,"0"),TEXT(銘柄管理!$B$6:$B$305,"0"),0)-1,0,1,10)),""))</f>
        <v>6325</v>
      </c>
      <c r="R38" s="491">
        <f t="shared" ca="1" si="19"/>
        <v>7001</v>
      </c>
      <c r="S38" s="589" t="str">
        <f t="shared" ca="1" si="20"/>
        <v>📌保有中</v>
      </c>
      <c r="T38" s="597" t="str">
        <f t="shared" ca="1" si="9"/>
        <v/>
      </c>
      <c r="U38" s="491" t="str">
        <f t="shared" ca="1" si="10"/>
        <v/>
      </c>
      <c r="V38" s="705" t="str">
        <f t="shared" ca="1" si="21"/>
        <v/>
      </c>
      <c r="W38" s="493">
        <f t="shared" ca="1" si="11"/>
        <v>3</v>
      </c>
      <c r="X38" s="489" t="str">
        <f t="shared" ca="1" si="12"/>
        <v/>
      </c>
      <c r="Y38" s="488"/>
      <c r="Z38" s="714">
        <v>17</v>
      </c>
      <c r="AD38" s="611" t="s">
        <v>1323</v>
      </c>
      <c r="AE38" s="628">
        <f t="shared" si="13"/>
        <v>46253</v>
      </c>
      <c r="AF38" s="630"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0</v>
      </c>
      <c r="AG38" s="630"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0</v>
      </c>
      <c r="AH38" s="603" t="str">
        <f t="shared" ca="1" si="14"/>
        <v>保有中</v>
      </c>
      <c r="AI38" s="603" t="str" cm="1">
        <f t="array" ref="AI38">IFERROR(INDEX(始値!$E$6:$BT$305,MATCH(TEXT($B38,"0"),TEXT(銘柄管理!$B$6:$B$305,"0"),0),MATCH($AE38,始値!$E$3:$BT$3,0)),"")</f>
        <v/>
      </c>
      <c r="AJ38" s="612" t="str">
        <f t="shared" ca="1" si="15"/>
        <v/>
      </c>
      <c r="AK38" s="633" t="str">
        <f t="shared" ca="1" si="16"/>
        <v/>
      </c>
      <c r="AL38" s="617"/>
      <c r="AM38" s="619"/>
      <c r="AN38" s="617"/>
      <c r="AO38" s="619"/>
      <c r="AP38" s="619"/>
      <c r="AQ38" s="619"/>
      <c r="AR38" s="617"/>
      <c r="AS38" s="617"/>
      <c r="BB38" s="603" t="str">
        <f>IF(N(買抽出v13!$C38)=0,"",N(買抽出v13!$Q38)+N(買抽出v13!$L38)/1000-ROW()/1000000)</f>
        <v/>
      </c>
      <c r="BC38" s="603" t="str">
        <f>IF(N(売抽出v13!$C38)=0,"",N(売抽出v13!$Q38)+IFERROR(VALUE(SUBSTITUTE(売抽出v13!$L38,"倍","")),0)/1000-ROW()/1000000)</f>
        <v/>
      </c>
    </row>
    <row r="39" spans="1:55" ht="35.4" customHeight="1">
      <c r="A39" s="623" t="str">
        <f t="shared" si="0"/>
        <v>株探</v>
      </c>
      <c r="B39" s="634">
        <v>1942</v>
      </c>
      <c r="C39" s="490" t="s">
        <v>999</v>
      </c>
      <c r="D39" s="627" t="str" cm="1">
        <f t="array" ref="D39">IF($B39="","",_xll.RssMarket($B39,"銘柄名称"))</f>
        <v>関電工</v>
      </c>
      <c r="E39" s="720">
        <v>46237</v>
      </c>
      <c r="F39" s="702" cm="1">
        <f t="array" aca="1" ref="F39" ca="1">IFERROR(_xlfn.LET(_xlpm.r,MATCH(TEXT($B39,"0"),TEXT(銘柄管理!$B$6:$B$305,"0"),0),_xlpm.t,MOD(NOW(),1),_xlpm.c,IF($E39=TODAY(),IF(_xlpm.t&gt;=TIME(15,30,0),NA(),1),IF(MATCH($E39,始値!$E$3:$BT$3,0)=1,1,MATCH($E39,始値!$E$3:$BT$3,0)+1)),_xlpm.v,INDEX(始値!$C$6:$BT$305,_xlpm.r,_xlpm.c),IF(N(_xlpm.v)=0,"",_xlpm.v)),"")</f>
        <v>5333</v>
      </c>
      <c r="G39" s="635">
        <v>100</v>
      </c>
      <c r="H39" s="491" cm="1">
        <f t="array" ref="H39">IF($B39="","",_xll.RssMarket($B39,"現在値"))</f>
        <v>5677</v>
      </c>
      <c r="I39" s="491" cm="1">
        <f t="array" ref="I39">IF($B39="","",_xll.RssMarket($B39,"出来高加重平均"))</f>
        <v>5605.0433000000003</v>
      </c>
      <c r="J39" s="705" cm="1">
        <f t="array" ref="J39">IF($B39="","",_xll.RssMarket($B39,"前日比"))</f>
        <v>162</v>
      </c>
      <c r="K39" s="705">
        <f t="shared" ca="1" si="17"/>
        <v>-34400</v>
      </c>
      <c r="L39" s="710">
        <f t="shared" ca="1" si="18"/>
        <v>-6.4504031501968873E-2</v>
      </c>
      <c r="M39" s="491">
        <f t="shared" ca="1" si="6"/>
        <v>5013</v>
      </c>
      <c r="N39" s="491">
        <f t="shared" ca="1" si="7"/>
        <v>5546</v>
      </c>
      <c r="O39" s="492" t="str">
        <f t="shared" ca="1" si="8"/>
        <v>🔴損切</v>
      </c>
      <c r="P39" s="491" cm="1">
        <f t="array" aca="1" ref="P39" ca="1">IF($B39="","",IFERROR(MAX(OFFSET(高値!$E$6,MATCH(TEXT($B39,"0"),TEXT(銘柄管理!$B$6:$B$305,"0"),0)-1,0,1,10)),""))</f>
        <v>6100</v>
      </c>
      <c r="Q39" s="491" cm="1">
        <f t="array" aca="1" ref="Q39" ca="1">IF($B39="","",IFERROR(MIN(OFFSET(安値!$E$6,MATCH(TEXT($B39,"0"),TEXT(銘柄管理!$B$6:$B$305,"0"),0)-1,0,1,10)),""))</f>
        <v>5033</v>
      </c>
      <c r="R39" s="491">
        <f t="shared" ca="1" si="19"/>
        <v>5917</v>
      </c>
      <c r="S39" s="589" t="str">
        <f t="shared" ca="1" si="20"/>
        <v>✅売却済</v>
      </c>
      <c r="T39" s="597">
        <f t="shared" ca="1" si="9"/>
        <v>46239</v>
      </c>
      <c r="U39" s="491">
        <f t="shared" ca="1" si="10"/>
        <v>5546</v>
      </c>
      <c r="V39" s="705">
        <f t="shared" ca="1" si="21"/>
        <v>-21300</v>
      </c>
      <c r="W39" s="493">
        <f t="shared" ca="1" si="11"/>
        <v>3</v>
      </c>
      <c r="X39" s="489" t="str">
        <f t="shared" ca="1" si="12"/>
        <v>損切確定</v>
      </c>
      <c r="Y39" s="488"/>
      <c r="Z39" s="714">
        <v>16</v>
      </c>
      <c r="AD39" s="611" t="s">
        <v>1324</v>
      </c>
      <c r="AE39" s="628">
        <f t="shared" si="13"/>
        <v>46253</v>
      </c>
      <c r="AF39" s="630"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0</v>
      </c>
      <c r="AG39" s="630"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0</v>
      </c>
      <c r="AH39" s="603" t="str">
        <f t="shared" ca="1" si="14"/>
        <v>損切確定</v>
      </c>
      <c r="AI39" s="603" t="str" cm="1">
        <f t="array" ref="AI39">IFERROR(INDEX(始値!$E$6:$BT$305,MATCH(TEXT($B39,"0"),TEXT(銘柄管理!$B$6:$B$305,"0"),0),MATCH($AE39,始値!$E$3:$BT$3,0)),"")</f>
        <v/>
      </c>
      <c r="AJ39" s="612">
        <f t="shared" ca="1" si="15"/>
        <v>-3.9939996249765609E-2</v>
      </c>
      <c r="AK39" s="633" t="str">
        <f t="shared" ca="1" si="16"/>
        <v>●負</v>
      </c>
      <c r="AL39" s="617"/>
      <c r="AM39" s="619"/>
      <c r="AN39" s="617"/>
      <c r="AO39" s="619"/>
      <c r="AP39" s="619"/>
      <c r="AQ39" s="619"/>
      <c r="AR39" s="617"/>
      <c r="AS39" s="617"/>
      <c r="BB39" s="603" t="str">
        <f>IF(N(買抽出v13!$C39)=0,"",N(買抽出v13!$Q39)+N(買抽出v13!$L39)/1000-ROW()/1000000)</f>
        <v/>
      </c>
      <c r="BC39" s="603" t="str">
        <f>IF(N(売抽出v13!$C39)=0,"",N(売抽出v13!$Q39)+IFERROR(VALUE(SUBSTITUTE(売抽出v13!$L39,"倍","")),0)/1000-ROW()/1000000)</f>
        <v/>
      </c>
    </row>
    <row r="40" spans="1:55" ht="35.4" customHeight="1">
      <c r="A40" s="623" t="str">
        <f t="shared" si="0"/>
        <v>株探</v>
      </c>
      <c r="B40" s="634">
        <v>6327</v>
      </c>
      <c r="C40" s="490" t="s">
        <v>999</v>
      </c>
      <c r="D40" s="627" t="str" cm="1">
        <f t="array" ref="D40">IF($B40="","",_xll.RssMarket($B40,"銘柄名称"))</f>
        <v>北川精機</v>
      </c>
      <c r="E40" s="720">
        <v>46237</v>
      </c>
      <c r="F40" s="702" cm="1">
        <f t="array" aca="1" ref="F40" ca="1">IFERROR(_xlfn.LET(_xlpm.r,MATCH(TEXT($B40,"0"),TEXT(銘柄管理!$B$6:$B$305,"0"),0),_xlpm.t,MOD(NOW(),1),_xlpm.c,IF($E40=TODAY(),IF(_xlpm.t&gt;=TIME(15,30,0),NA(),1),IF(MATCH($E40,始値!$E$3:$BT$3,0)=1,1,MATCH($E40,始値!$E$3:$BT$3,0)+1)),_xlpm.v,INDEX(始値!$C$6:$BT$305,_xlpm.r,_xlpm.c),IF(N(_xlpm.v)=0,"",_xlpm.v)),"")</f>
        <v>2900</v>
      </c>
      <c r="G40" s="635">
        <v>100</v>
      </c>
      <c r="H40" s="491" cm="1">
        <f t="array" ref="H40">IF($B40="","",_xll.RssMarket($B40,"現在値"))</f>
        <v>3380</v>
      </c>
      <c r="I40" s="491" cm="1">
        <f t="array" ref="I40">IF($B40="","",_xll.RssMarket($B40,"出来高加重平均"))</f>
        <v>3361.4845</v>
      </c>
      <c r="J40" s="705" cm="1">
        <f t="array" ref="J40">IF($B40="","",_xll.RssMarket($B40,"前日比"))</f>
        <v>245</v>
      </c>
      <c r="K40" s="705">
        <f t="shared" ca="1" si="17"/>
        <v>-48000</v>
      </c>
      <c r="L40" s="710">
        <f t="shared" ca="1" si="18"/>
        <v>-0.16551724137931034</v>
      </c>
      <c r="M40" s="491">
        <f t="shared" ca="1" si="6"/>
        <v>2726</v>
      </c>
      <c r="N40" s="491">
        <f t="shared" ca="1" si="7"/>
        <v>3016</v>
      </c>
      <c r="O40" s="492" t="str">
        <f t="shared" ca="1" si="8"/>
        <v>🔴損切</v>
      </c>
      <c r="P40" s="491" cm="1">
        <f t="array" aca="1" ref="P40" ca="1">IF($B40="","",IFERROR(MAX(OFFSET(高値!$E$6,MATCH(TEXT($B40,"0"),TEXT(銘柄管理!$B$6:$B$305,"0"),0)-1,0,1,10)),""))</f>
        <v>4670</v>
      </c>
      <c r="Q40" s="491" cm="1">
        <f t="array" aca="1" ref="Q40" ca="1">IF($B40="","",IFERROR(MIN(OFFSET(安値!$E$6,MATCH(TEXT($B40,"0"),TEXT(銘柄管理!$B$6:$B$305,"0"),0)-1,0,1,10)),""))</f>
        <v>2615</v>
      </c>
      <c r="R40" s="491">
        <f t="shared" ca="1" si="19"/>
        <v>4530</v>
      </c>
      <c r="S40" s="589" t="str">
        <f t="shared" ca="1" si="20"/>
        <v>✅売却済</v>
      </c>
      <c r="T40" s="597">
        <f t="shared" ca="1" si="9"/>
        <v>46238</v>
      </c>
      <c r="U40" s="491">
        <f t="shared" ca="1" si="10"/>
        <v>3016</v>
      </c>
      <c r="V40" s="705">
        <f t="shared" ca="1" si="21"/>
        <v>-11600</v>
      </c>
      <c r="W40" s="493">
        <f t="shared" ca="1" si="11"/>
        <v>2</v>
      </c>
      <c r="X40" s="489" t="str">
        <f t="shared" ca="1" si="12"/>
        <v>損切確定</v>
      </c>
      <c r="Y40" s="488"/>
      <c r="Z40" s="714">
        <v>16</v>
      </c>
      <c r="AD40" s="611" t="s">
        <v>1324</v>
      </c>
      <c r="AE40" s="628">
        <f t="shared" si="13"/>
        <v>46253</v>
      </c>
      <c r="AF40" s="630"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0</v>
      </c>
      <c r="AG40" s="630"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46238</v>
      </c>
      <c r="AH40" s="603" t="str">
        <f t="shared" ca="1" si="14"/>
        <v>損切確定</v>
      </c>
      <c r="AI40" s="603" t="str" cm="1">
        <f t="array" ref="AI40">IFERROR(INDEX(始値!$E$6:$BT$305,MATCH(TEXT($B40,"0"),TEXT(銘柄管理!$B$6:$B$305,"0"),0),MATCH($AE40,始値!$E$3:$BT$3,0)),"")</f>
        <v/>
      </c>
      <c r="AJ40" s="612">
        <f t="shared" ca="1" si="15"/>
        <v>-0.04</v>
      </c>
      <c r="AK40" s="633" t="str">
        <f t="shared" ca="1" si="16"/>
        <v>●負</v>
      </c>
      <c r="AL40" s="617"/>
      <c r="AM40" s="619"/>
      <c r="AN40" s="617"/>
      <c r="AO40" s="619"/>
      <c r="AP40" s="619"/>
      <c r="AQ40" s="619"/>
      <c r="AR40" s="617"/>
      <c r="AS40" s="617"/>
      <c r="BB40" s="603" t="str">
        <f>IF(N(買抽出v13!$C40)=0,"",N(買抽出v13!$Q40)+N(買抽出v13!$L40)/1000-ROW()/1000000)</f>
        <v/>
      </c>
      <c r="BC40" s="603" t="str">
        <f>IF(N(売抽出v13!$C40)=0,"",N(売抽出v13!$Q40)+IFERROR(VALUE(SUBSTITUTE(売抽出v13!$L40,"倍","")),0)/1000-ROW()/1000000)</f>
        <v/>
      </c>
    </row>
    <row r="41" spans="1:55" ht="35.4" customHeight="1">
      <c r="A41" s="623" t="str">
        <f t="shared" si="0"/>
        <v>株探</v>
      </c>
      <c r="B41" s="634">
        <v>4661</v>
      </c>
      <c r="C41" s="490" t="s">
        <v>998</v>
      </c>
      <c r="D41" s="627" t="str" cm="1">
        <f t="array" ref="D41">IF($B41="","",_xll.RssMarket($B41,"銘柄名称"))</f>
        <v>オリエンタルランド</v>
      </c>
      <c r="E41" s="720">
        <v>46237</v>
      </c>
      <c r="F41" s="702" cm="1">
        <f t="array" aca="1" ref="F41" ca="1">IFERROR(_xlfn.LET(_xlpm.r,MATCH(TEXT($B41,"0"),TEXT(銘柄管理!$B$6:$B$305,"0"),0),_xlpm.t,MOD(NOW(),1),_xlpm.c,IF($E41=TODAY(),IF(_xlpm.t&gt;=TIME(15,30,0),NA(),1),IF(MATCH($E41,始値!$E$3:$BT$3,0)=1,1,MATCH($E41,始値!$E$3:$BT$3,0)+1)),_xlpm.v,INDEX(始値!$C$6:$BT$305,_xlpm.r,_xlpm.c),IF(N(_xlpm.v)=0,"",_xlpm.v)),"")</f>
        <v>3058</v>
      </c>
      <c r="G41" s="635">
        <v>100</v>
      </c>
      <c r="H41" s="491" cm="1">
        <f t="array" ref="H41">IF($B41="","",_xll.RssMarket($B41,"現在値"))</f>
        <v>2865</v>
      </c>
      <c r="I41" s="491" cm="1">
        <f t="array" ref="I41">IF($B41="","",_xll.RssMarket($B41,"出来高加重平均"))</f>
        <v>2885.7676000000001</v>
      </c>
      <c r="J41" s="705" cm="1">
        <f t="array" ref="J41">IF($B41="","",_xll.RssMarket($B41,"前日比"))</f>
        <v>-80</v>
      </c>
      <c r="K41" s="705">
        <f t="shared" ca="1" si="17"/>
        <v>-19300</v>
      </c>
      <c r="L41" s="710">
        <f t="shared" ca="1" si="18"/>
        <v>-6.311314584695879E-2</v>
      </c>
      <c r="M41" s="491">
        <f t="shared" ca="1" si="6"/>
        <v>3241</v>
      </c>
      <c r="N41" s="491">
        <f t="shared" ca="1" si="7"/>
        <v>2936</v>
      </c>
      <c r="O41" s="492" t="str">
        <f t="shared" ca="1" si="8"/>
        <v>🔴損切</v>
      </c>
      <c r="P41" s="491" cm="1">
        <f t="array" aca="1" ref="P41" ca="1">IF($B41="","",IFERROR(MAX(OFFSET(高値!$E$6,MATCH(TEXT($B41,"0"),TEXT(銘柄管理!$B$6:$B$305,"0"),0)-1,0,1,10)),""))</f>
        <v>3167</v>
      </c>
      <c r="Q41" s="491" cm="1">
        <f t="array" aca="1" ref="Q41" ca="1">IF($B41="","",IFERROR(MIN(OFFSET(安値!$E$6,MATCH(TEXT($B41,"0"),TEXT(銘柄管理!$B$6:$B$305,"0"),0)-1,0,1,10)),""))</f>
        <v>2582</v>
      </c>
      <c r="R41" s="491">
        <f t="shared" ca="1" si="19"/>
        <v>3072</v>
      </c>
      <c r="S41" s="589" t="str">
        <f t="shared" ca="1" si="20"/>
        <v>✅売却済</v>
      </c>
      <c r="T41" s="597">
        <f t="shared" ca="1" si="9"/>
        <v>46238</v>
      </c>
      <c r="U41" s="491">
        <f t="shared" ca="1" si="10"/>
        <v>2936</v>
      </c>
      <c r="V41" s="705">
        <f t="shared" ca="1" si="21"/>
        <v>-12200</v>
      </c>
      <c r="W41" s="493">
        <f t="shared" ca="1" si="11"/>
        <v>2</v>
      </c>
      <c r="X41" s="489" t="str">
        <f t="shared" ca="1" si="12"/>
        <v>損切確定</v>
      </c>
      <c r="Y41" s="488"/>
      <c r="Z41" s="714">
        <v>15</v>
      </c>
      <c r="AD41" s="611" t="s">
        <v>1325</v>
      </c>
      <c r="AE41" s="628">
        <f t="shared" si="13"/>
        <v>46253</v>
      </c>
      <c r="AF41" s="630"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0</v>
      </c>
      <c r="AG41" s="630"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46238</v>
      </c>
      <c r="AH41" s="603" t="str">
        <f t="shared" ca="1" si="14"/>
        <v>損切確定</v>
      </c>
      <c r="AI41" s="603" t="str" cm="1">
        <f t="array" ref="AI41">IFERROR(INDEX(始値!$E$6:$BT$305,MATCH(TEXT($B41,"0"),TEXT(銘柄管理!$B$6:$B$305,"0"),0),MATCH($AE41,始値!$E$3:$BT$3,0)),"")</f>
        <v/>
      </c>
      <c r="AJ41" s="612">
        <f t="shared" ca="1" si="15"/>
        <v>-3.9895356442119029E-2</v>
      </c>
      <c r="AK41" s="633" t="str">
        <f t="shared" ca="1" si="16"/>
        <v>●負</v>
      </c>
      <c r="AL41" s="617"/>
      <c r="AM41" s="619"/>
      <c r="AN41" s="617"/>
      <c r="AO41" s="619"/>
      <c r="AP41" s="619"/>
      <c r="AQ41" s="619"/>
      <c r="AR41" s="617"/>
      <c r="AS41" s="617"/>
      <c r="BB41" s="603" t="str">
        <f>IF(N(買抽出v13!$C41)=0,"",N(買抽出v13!$Q41)+N(買抽出v13!$L41)/1000-ROW()/1000000)</f>
        <v/>
      </c>
      <c r="BC41" s="603" t="str">
        <f>IF(N(売抽出v13!$C41)=0,"",N(売抽出v13!$Q41)+IFERROR(VALUE(SUBSTITUTE(売抽出v13!$L41,"倍","")),0)/1000-ROW()/1000000)</f>
        <v/>
      </c>
    </row>
    <row r="42" spans="1:55" ht="35.4" customHeight="1">
      <c r="A42" s="623" t="str">
        <f t="shared" si="0"/>
        <v>株探</v>
      </c>
      <c r="B42" s="634">
        <v>5713</v>
      </c>
      <c r="C42" s="490" t="s">
        <v>998</v>
      </c>
      <c r="D42" s="627" t="str" cm="1">
        <f t="array" ref="D42">IF($B42="","",_xll.RssMarket($B42,"銘柄名称"))</f>
        <v>住友鉱山</v>
      </c>
      <c r="E42" s="720">
        <v>46237</v>
      </c>
      <c r="F42" s="702" cm="1">
        <f t="array" aca="1" ref="F42" ca="1">IFERROR(_xlfn.LET(_xlpm.r,MATCH(TEXT($B42,"0"),TEXT(銘柄管理!$B$6:$B$305,"0"),0),_xlpm.t,MOD(NOW(),1),_xlpm.c,IF($E42=TODAY(),IF(_xlpm.t&gt;=TIME(15,30,0),NA(),1),IF(MATCH($E42,始値!$E$3:$BT$3,0)=1,1,MATCH($E42,始値!$E$3:$BT$3,0)+1)),_xlpm.v,INDEX(始値!$C$6:$BT$305,_xlpm.r,_xlpm.c),IF(N(_xlpm.v)=0,"",_xlpm.v)),"")</f>
        <v>7811</v>
      </c>
      <c r="G42" s="635">
        <v>100</v>
      </c>
      <c r="H42" s="491" cm="1">
        <f t="array" ref="H42">IF($B42="","",_xll.RssMarket($B42,"現在値"))</f>
        <v>8476</v>
      </c>
      <c r="I42" s="491" cm="1">
        <f t="array" ref="I42">IF($B42="","",_xll.RssMarket($B42,"出来高加重平均"))</f>
        <v>8402.2422000000006</v>
      </c>
      <c r="J42" s="705" cm="1">
        <f t="array" ref="J42">IF($B42="","",_xll.RssMarket($B42,"前日比"))</f>
        <v>418</v>
      </c>
      <c r="K42" s="705">
        <f t="shared" ca="1" si="17"/>
        <v>66500</v>
      </c>
      <c r="L42" s="710">
        <f t="shared" ca="1" si="18"/>
        <v>8.5136346178466271E-2</v>
      </c>
      <c r="M42" s="491">
        <f t="shared" ca="1" si="6"/>
        <v>8280</v>
      </c>
      <c r="N42" s="491">
        <f t="shared" ca="1" si="7"/>
        <v>7499</v>
      </c>
      <c r="O42" s="492" t="str">
        <f t="shared" ca="1" si="8"/>
        <v>🟢利確</v>
      </c>
      <c r="P42" s="491" cm="1">
        <f t="array" aca="1" ref="P42" ca="1">IF($B42="","",IFERROR(MAX(OFFSET(高値!$E$6,MATCH(TEXT($B42,"0"),TEXT(銘柄管理!$B$6:$B$305,"0"),0)-1,0,1,10)),""))</f>
        <v>8292</v>
      </c>
      <c r="Q42" s="491" cm="1">
        <f t="array" aca="1" ref="Q42" ca="1">IF($B42="","",IFERROR(MIN(OFFSET(安値!$E$6,MATCH(TEXT($B42,"0"),TEXT(銘柄管理!$B$6:$B$305,"0"),0)-1,0,1,10)),""))</f>
        <v>6969</v>
      </c>
      <c r="R42" s="491">
        <f t="shared" ca="1" si="19"/>
        <v>8043</v>
      </c>
      <c r="S42" s="589" t="str">
        <f t="shared" ca="1" si="20"/>
        <v>✅売却済</v>
      </c>
      <c r="T42" s="597">
        <f t="shared" ca="1" si="9"/>
        <v>46239</v>
      </c>
      <c r="U42" s="491">
        <f t="shared" ca="1" si="10"/>
        <v>8280</v>
      </c>
      <c r="V42" s="705">
        <f t="shared" ca="1" si="21"/>
        <v>46900</v>
      </c>
      <c r="W42" s="493">
        <f t="shared" ca="1" si="11"/>
        <v>3</v>
      </c>
      <c r="X42" s="489" t="str">
        <f t="shared" ca="1" si="12"/>
        <v>利益確定</v>
      </c>
      <c r="Y42" s="488"/>
      <c r="Z42" s="714">
        <v>13</v>
      </c>
      <c r="AD42" s="611" t="s">
        <v>1325</v>
      </c>
      <c r="AE42" s="628">
        <f t="shared" si="13"/>
        <v>46253</v>
      </c>
      <c r="AF42" s="630"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0</v>
      </c>
      <c r="AG42" s="630"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0</v>
      </c>
      <c r="AH42" s="603" t="str">
        <f t="shared" ca="1" si="14"/>
        <v>利益確定</v>
      </c>
      <c r="AI42" s="603" t="str" cm="1">
        <f t="array" ref="AI42">IFERROR(INDEX(始値!$E$6:$BT$305,MATCH(TEXT($B42,"0"),TEXT(銘柄管理!$B$6:$B$305,"0"),0),MATCH($AE42,始値!$E$3:$BT$3,0)),"")</f>
        <v/>
      </c>
      <c r="AJ42" s="612">
        <f t="shared" ca="1" si="15"/>
        <v>6.0043528357444628E-2</v>
      </c>
      <c r="AK42" s="633" t="str">
        <f t="shared" ca="1" si="16"/>
        <v>○勝</v>
      </c>
      <c r="AL42" s="617"/>
      <c r="AM42" s="619"/>
      <c r="AN42" s="617"/>
      <c r="AO42" s="619"/>
      <c r="AP42" s="619"/>
      <c r="AQ42" s="619"/>
      <c r="AR42" s="617"/>
      <c r="AS42" s="617"/>
      <c r="BB42" s="603" t="str">
        <f>IF(N(買抽出v13!$C42)=0,"",N(買抽出v13!$Q42)+N(買抽出v13!$L42)/1000-ROW()/1000000)</f>
        <v/>
      </c>
      <c r="BC42" s="603" t="str">
        <f>IF(N(売抽出v13!$C42)=0,"",N(売抽出v13!$Q42)+IFERROR(VALUE(SUBSTITUTE(売抽出v13!$L42,"倍","")),0)/1000-ROW()/1000000)</f>
        <v/>
      </c>
    </row>
    <row r="43" spans="1:55" ht="35.4" customHeight="1">
      <c r="A43" s="623" t="str">
        <f t="shared" si="0"/>
        <v>株探</v>
      </c>
      <c r="B43" s="634">
        <v>8871</v>
      </c>
      <c r="C43" s="490" t="s">
        <v>999</v>
      </c>
      <c r="D43" s="627" t="str" cm="1">
        <f t="array" ref="D43">IF($B43="","",_xll.RssMarket($B43,"銘柄名称"))</f>
        <v>ゴールドクレスト</v>
      </c>
      <c r="E43" s="720">
        <v>46237</v>
      </c>
      <c r="F43" s="702" cm="1">
        <f t="array" aca="1" ref="F43" ca="1">IFERROR(_xlfn.LET(_xlpm.r,MATCH(TEXT($B43,"0"),TEXT(銘柄管理!$B$6:$B$305,"0"),0),_xlpm.t,MOD(NOW(),1),_xlpm.c,IF($E43=TODAY(),IF(_xlpm.t&gt;=TIME(15,30,0),NA(),1),IF(MATCH($E43,始値!$E$3:$BT$3,0)=1,1,MATCH($E43,始値!$E$3:$BT$3,0)+1)),_xlpm.v,INDEX(始値!$C$6:$BT$305,_xlpm.r,_xlpm.c),IF(N(_xlpm.v)=0,"",_xlpm.v)),"")</f>
        <v>3255</v>
      </c>
      <c r="G43" s="635">
        <v>100</v>
      </c>
      <c r="H43" s="491" cm="1">
        <f t="array" ref="H43">IF($B43="","",_xll.RssMarket($B43,"現在値"))</f>
        <v>3225</v>
      </c>
      <c r="I43" s="491" cm="1">
        <f t="array" ref="I43">IF($B43="","",_xll.RssMarket($B43,"出来高加重平均"))</f>
        <v>3229.8912999999998</v>
      </c>
      <c r="J43" s="705" cm="1">
        <f t="array" ref="J43">IF($B43="","",_xll.RssMarket($B43,"前日比"))</f>
        <v>25</v>
      </c>
      <c r="K43" s="705">
        <f t="shared" ca="1" si="17"/>
        <v>3000</v>
      </c>
      <c r="L43" s="710">
        <f t="shared" ca="1" si="18"/>
        <v>9.2165898617511521E-3</v>
      </c>
      <c r="M43" s="491">
        <f t="shared" ca="1" si="6"/>
        <v>3060</v>
      </c>
      <c r="N43" s="491">
        <f t="shared" ca="1" si="7"/>
        <v>3385</v>
      </c>
      <c r="O43" s="492" t="str">
        <f t="shared" ca="1" si="8"/>
        <v>保持継続</v>
      </c>
      <c r="P43" s="491" cm="1">
        <f t="array" aca="1" ref="P43" ca="1">IF($B43="","",IFERROR(MAX(OFFSET(高値!$E$6,MATCH(TEXT($B43,"0"),TEXT(銘柄管理!$B$6:$B$305,"0"),0)-1,0,1,10)),""))</f>
        <v>3420</v>
      </c>
      <c r="Q43" s="491" cm="1">
        <f t="array" aca="1" ref="Q43" ca="1">IF($B43="","",IFERROR(MIN(OFFSET(安値!$E$6,MATCH(TEXT($B43,"0"),TEXT(銘柄管理!$B$6:$B$305,"0"),0)-1,0,1,10)),""))</f>
        <v>3200</v>
      </c>
      <c r="R43" s="491">
        <f t="shared" ca="1" si="19"/>
        <v>3317</v>
      </c>
      <c r="S43" s="589" t="str">
        <f t="shared" ca="1" si="20"/>
        <v>📌保有中</v>
      </c>
      <c r="T43" s="597" t="str">
        <f t="shared" ca="1" si="9"/>
        <v/>
      </c>
      <c r="U43" s="491" t="str">
        <f t="shared" ca="1" si="10"/>
        <v/>
      </c>
      <c r="V43" s="705" t="str">
        <f t="shared" ca="1" si="21"/>
        <v/>
      </c>
      <c r="W43" s="493">
        <f t="shared" ca="1" si="11"/>
        <v>3</v>
      </c>
      <c r="X43" s="489" t="str">
        <f t="shared" ca="1" si="12"/>
        <v/>
      </c>
      <c r="Y43" s="488"/>
      <c r="Z43" s="714">
        <v>17</v>
      </c>
      <c r="AD43" s="611" t="s">
        <v>1326</v>
      </c>
      <c r="AE43" s="628">
        <f t="shared" si="13"/>
        <v>46253</v>
      </c>
      <c r="AF43" s="630"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0</v>
      </c>
      <c r="AG43" s="630"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0</v>
      </c>
      <c r="AH43" s="603" t="str">
        <f t="shared" ca="1" si="14"/>
        <v>保有中</v>
      </c>
      <c r="AI43" s="603" t="str" cm="1">
        <f t="array" ref="AI43">IFERROR(INDEX(始値!$E$6:$BT$305,MATCH(TEXT($B43,"0"),TEXT(銘柄管理!$B$6:$B$305,"0"),0),MATCH($AE43,始値!$E$3:$BT$3,0)),"")</f>
        <v/>
      </c>
      <c r="AJ43" s="612" t="str">
        <f t="shared" ca="1" si="15"/>
        <v/>
      </c>
      <c r="AK43" s="633" t="str">
        <f t="shared" ca="1" si="16"/>
        <v/>
      </c>
      <c r="AL43" s="617"/>
      <c r="AM43" s="619"/>
      <c r="AN43" s="617"/>
      <c r="AO43" s="619"/>
      <c r="AP43" s="619"/>
      <c r="AQ43" s="619"/>
      <c r="AR43" s="617"/>
      <c r="AS43" s="617"/>
      <c r="BB43" s="603" t="str">
        <f>IF(N(買抽出v13!$C43)=0,"",N(買抽出v13!$Q43)+N(買抽出v13!$L43)/1000-ROW()/1000000)</f>
        <v/>
      </c>
      <c r="BC43" s="603" t="str">
        <f>IF(N(売抽出v13!$C43)=0,"",N(売抽出v13!$Q43)+IFERROR(VALUE(SUBSTITUTE(売抽出v13!$L43,"倍","")),0)/1000-ROW()/1000000)</f>
        <v/>
      </c>
    </row>
    <row r="44" spans="1:55" ht="35.4" customHeight="1">
      <c r="A44" s="623" t="str">
        <f t="shared" si="0"/>
        <v>株探</v>
      </c>
      <c r="B44" s="634">
        <v>6436</v>
      </c>
      <c r="C44" s="490" t="s">
        <v>998</v>
      </c>
      <c r="D44" s="627" t="str" cm="1">
        <f t="array" ref="D44">IF($B44="","",_xll.RssMarket($B44,"銘柄名称"))</f>
        <v>アマノ</v>
      </c>
      <c r="E44" s="720">
        <v>46238</v>
      </c>
      <c r="F44" s="702" cm="1">
        <f t="array" aca="1" ref="F44" ca="1">IFERROR(_xlfn.LET(_xlpm.r,MATCH(TEXT($B44,"0"),TEXT(銘柄管理!$B$6:$B$305,"0"),0),_xlpm.t,MOD(NOW(),1),_xlpm.c,IF($E44=TODAY(),IF(_xlpm.t&gt;=TIME(15,30,0),NA(),1),IF(MATCH($E44,始値!$E$3:$BT$3,0)=1,1,MATCH($E44,始値!$E$3:$BT$3,0)+1)),_xlpm.v,INDEX(始値!$C$6:$BT$305,_xlpm.r,_xlpm.c),IF(N(_xlpm.v)=0,"",_xlpm.v)),"")</f>
        <v>3868</v>
      </c>
      <c r="G44" s="635">
        <v>100</v>
      </c>
      <c r="H44" s="491" cm="1">
        <f t="array" ref="H44">IF($B44="","",_xll.RssMarket($B44,"現在値"))</f>
        <v>3860</v>
      </c>
      <c r="I44" s="491" cm="1">
        <f t="array" ref="I44">IF($B44="","",_xll.RssMarket($B44,"出来高加重平均"))</f>
        <v>3853.5057999999999</v>
      </c>
      <c r="J44" s="705" cm="1">
        <f t="array" ref="J44">IF($B44="","",_xll.RssMarket($B44,"前日比"))</f>
        <v>-19</v>
      </c>
      <c r="K44" s="705">
        <f t="shared" ca="1" si="17"/>
        <v>-800</v>
      </c>
      <c r="L44" s="710">
        <f t="shared" ca="1" si="18"/>
        <v>-2.0682523267838678E-3</v>
      </c>
      <c r="M44" s="491">
        <f t="shared" ca="1" si="6"/>
        <v>4100</v>
      </c>
      <c r="N44" s="491">
        <f t="shared" ca="1" si="7"/>
        <v>3713</v>
      </c>
      <c r="O44" s="492" t="str">
        <f t="shared" ca="1" si="8"/>
        <v>保持継続</v>
      </c>
      <c r="P44" s="491" cm="1">
        <f t="array" aca="1" ref="P44" ca="1">IF($B44="","",IFERROR(MAX(OFFSET(高値!$E$6,MATCH(TEXT($B44,"0"),TEXT(銘柄管理!$B$6:$B$305,"0"),0)-1,0,1,10)),""))</f>
        <v>4077</v>
      </c>
      <c r="Q44" s="491" cm="1">
        <f t="array" aca="1" ref="Q44" ca="1">IF($B44="","",IFERROR(MIN(OFFSET(安値!$E$6,MATCH(TEXT($B44,"0"),TEXT(銘柄管理!$B$6:$B$305,"0"),0)-1,0,1,10)),""))</f>
        <v>3672</v>
      </c>
      <c r="R44" s="491">
        <f t="shared" ca="1" si="19"/>
        <v>3955</v>
      </c>
      <c r="S44" s="589" t="str">
        <f t="shared" ca="1" si="20"/>
        <v>📌保有中</v>
      </c>
      <c r="T44" s="597" t="str">
        <f t="shared" ca="1" si="9"/>
        <v/>
      </c>
      <c r="U44" s="491" t="str">
        <f t="shared" ca="1" si="10"/>
        <v/>
      </c>
      <c r="V44" s="705" t="str">
        <f t="shared" ca="1" si="21"/>
        <v/>
      </c>
      <c r="W44" s="493">
        <f t="shared" ca="1" si="11"/>
        <v>2</v>
      </c>
      <c r="X44" s="489" t="str">
        <f t="shared" ca="1" si="12"/>
        <v/>
      </c>
      <c r="Y44" s="488"/>
      <c r="Z44" s="714">
        <v>14</v>
      </c>
      <c r="AD44" s="611" t="s">
        <v>1325</v>
      </c>
      <c r="AE44" s="628">
        <f t="shared" si="13"/>
        <v>46254</v>
      </c>
      <c r="AF44" s="630"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0</v>
      </c>
      <c r="AG44" s="630"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0</v>
      </c>
      <c r="AH44" s="603" t="str">
        <f t="shared" ca="1" si="14"/>
        <v>保有中</v>
      </c>
      <c r="AI44" s="603" t="str" cm="1">
        <f t="array" ref="AI44">IFERROR(INDEX(始値!$E$6:$BT$305,MATCH(TEXT($B44,"0"),TEXT(銘柄管理!$B$6:$B$305,"0"),0),MATCH($AE44,始値!$E$3:$BT$3,0)),"")</f>
        <v/>
      </c>
      <c r="AJ44" s="612" t="str">
        <f t="shared" ca="1" si="15"/>
        <v/>
      </c>
      <c r="AK44" s="633" t="str">
        <f t="shared" ca="1" si="16"/>
        <v/>
      </c>
      <c r="AL44" s="617"/>
      <c r="AM44" s="619"/>
      <c r="AN44" s="617"/>
      <c r="AO44" s="619"/>
      <c r="AP44" s="619"/>
      <c r="AQ44" s="619"/>
      <c r="AR44" s="617"/>
      <c r="AS44" s="617"/>
      <c r="BB44" s="603" t="str">
        <f>IF(N(買抽出v13!$C44)=0,"",N(買抽出v13!$Q44)+N(買抽出v13!$L44)/1000-ROW()/1000000)</f>
        <v/>
      </c>
      <c r="BC44" s="603" t="str">
        <f>IF(N(売抽出v13!$C44)=0,"",N(売抽出v13!$Q44)+IFERROR(VALUE(SUBSTITUTE(売抽出v13!$L44,"倍","")),0)/1000-ROW()/1000000)</f>
        <v/>
      </c>
    </row>
    <row r="45" spans="1:55" ht="35.4" customHeight="1">
      <c r="A45" s="623" t="str">
        <f t="shared" si="0"/>
        <v>株探</v>
      </c>
      <c r="B45" s="634">
        <v>6027</v>
      </c>
      <c r="C45" s="490" t="s">
        <v>999</v>
      </c>
      <c r="D45" s="627" t="str" cm="1">
        <f t="array" ref="D45">IF($B45="","",_xll.RssMarket($B45,"銘柄名称"))</f>
        <v>弁護士ドットコム</v>
      </c>
      <c r="E45" s="720">
        <v>46238</v>
      </c>
      <c r="F45" s="702" cm="1">
        <f t="array" aca="1" ref="F45" ca="1">IFERROR(_xlfn.LET(_xlpm.r,MATCH(TEXT($B45,"0"),TEXT(銘柄管理!$B$6:$B$305,"0"),0),_xlpm.t,MOD(NOW(),1),_xlpm.c,IF($E45=TODAY(),IF(_xlpm.t&gt;=TIME(15,30,0),NA(),1),IF(MATCH($E45,始値!$E$3:$BT$3,0)=1,1,MATCH($E45,始値!$E$3:$BT$3,0)+1)),_xlpm.v,INDEX(始値!$C$6:$BT$305,_xlpm.r,_xlpm.c),IF(N(_xlpm.v)=0,"",_xlpm.v)),"")</f>
        <v>2318</v>
      </c>
      <c r="G45" s="635">
        <v>100</v>
      </c>
      <c r="H45" s="491" cm="1">
        <f t="array" ref="H45">IF($B45="","",_xll.RssMarket($B45,"現在値"))</f>
        <v>2364</v>
      </c>
      <c r="I45" s="491" cm="1">
        <f t="array" ref="I45">IF($B45="","",_xll.RssMarket($B45,"出来高加重平均"))</f>
        <v>2334.8935000000001</v>
      </c>
      <c r="J45" s="705" cm="1">
        <f t="array" ref="J45">IF($B45="","",_xll.RssMarket($B45,"前日比"))</f>
        <v>74</v>
      </c>
      <c r="K45" s="705">
        <f t="shared" ca="1" si="17"/>
        <v>-4600</v>
      </c>
      <c r="L45" s="710">
        <f t="shared" ca="1" si="18"/>
        <v>-1.9844693701466781E-2</v>
      </c>
      <c r="M45" s="491">
        <f t="shared" ca="1" si="6"/>
        <v>2179</v>
      </c>
      <c r="N45" s="491">
        <f t="shared" ca="1" si="7"/>
        <v>2411</v>
      </c>
      <c r="O45" s="492" t="str">
        <f t="shared" ca="1" si="8"/>
        <v>保持継続</v>
      </c>
      <c r="P45" s="491" cm="1">
        <f t="array" aca="1" ref="P45" ca="1">IF($B45="","",IFERROR(MAX(OFFSET(高値!$E$6,MATCH(TEXT($B45,"0"),TEXT(銘柄管理!$B$6:$B$305,"0"),0)-1,0,1,10)),""))</f>
        <v>2362</v>
      </c>
      <c r="Q45" s="491" cm="1">
        <f t="array" aca="1" ref="Q45" ca="1">IF($B45="","",IFERROR(MIN(OFFSET(安値!$E$6,MATCH(TEXT($B45,"0"),TEXT(銘柄管理!$B$6:$B$305,"0"),0)-1,0,1,10)),""))</f>
        <v>2169</v>
      </c>
      <c r="R45" s="491">
        <f t="shared" ca="1" si="19"/>
        <v>2291</v>
      </c>
      <c r="S45" s="589" t="str">
        <f t="shared" ca="1" si="20"/>
        <v>📌保有中</v>
      </c>
      <c r="T45" s="597" t="str">
        <f t="shared" ca="1" si="9"/>
        <v/>
      </c>
      <c r="U45" s="491" t="str">
        <f t="shared" ca="1" si="10"/>
        <v/>
      </c>
      <c r="V45" s="705" t="str">
        <f t="shared" ca="1" si="21"/>
        <v/>
      </c>
      <c r="W45" s="493">
        <f t="shared" ca="1" si="11"/>
        <v>2</v>
      </c>
      <c r="X45" s="489" t="str">
        <f t="shared" ca="1" si="12"/>
        <v/>
      </c>
      <c r="Y45" s="488"/>
      <c r="Z45" s="714">
        <v>12</v>
      </c>
      <c r="AD45" s="611" t="s">
        <v>1326</v>
      </c>
      <c r="AE45" s="628">
        <f t="shared" si="13"/>
        <v>46254</v>
      </c>
      <c r="AF45" s="630"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0</v>
      </c>
      <c r="AG45" s="630"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0</v>
      </c>
      <c r="AH45" s="603" t="str">
        <f t="shared" ca="1" si="14"/>
        <v>保有中</v>
      </c>
      <c r="AI45" s="603" t="str" cm="1">
        <f t="array" ref="AI45">IFERROR(INDEX(始値!$E$6:$BT$305,MATCH(TEXT($B45,"0"),TEXT(銘柄管理!$B$6:$B$305,"0"),0),MATCH($AE45,始値!$E$3:$BT$3,0)),"")</f>
        <v/>
      </c>
      <c r="AJ45" s="612" t="str">
        <f t="shared" ca="1" si="15"/>
        <v/>
      </c>
      <c r="AK45" s="633" t="str">
        <f t="shared" ca="1" si="16"/>
        <v/>
      </c>
      <c r="AL45" s="617"/>
      <c r="AM45" s="619"/>
      <c r="AN45" s="617"/>
      <c r="AO45" s="619"/>
      <c r="AP45" s="619"/>
      <c r="AQ45" s="619"/>
      <c r="AR45" s="617"/>
      <c r="AS45" s="617"/>
      <c r="BB45" s="603" t="str">
        <f>IF(N(買抽出v13!$C45)=0,"",N(買抽出v13!$Q45)+N(買抽出v13!$L45)/1000-ROW()/1000000)</f>
        <v/>
      </c>
      <c r="BC45" s="603" t="str">
        <f>IF(N(売抽出v13!$C45)=0,"",N(売抽出v13!$Q45)+IFERROR(VALUE(SUBSTITUTE(売抽出v13!$L45,"倍","")),0)/1000-ROW()/1000000)</f>
        <v/>
      </c>
    </row>
    <row r="46" spans="1:55" ht="35.4" customHeight="1">
      <c r="A46" s="623" t="str">
        <f t="shared" si="0"/>
        <v>株探</v>
      </c>
      <c r="B46" s="634">
        <v>6954</v>
      </c>
      <c r="C46" s="490" t="s">
        <v>999</v>
      </c>
      <c r="D46" s="627" t="str" cm="1">
        <f t="array" ref="D46">IF($B46="","",_xll.RssMarket($B46,"銘柄名称"))</f>
        <v>ファナック</v>
      </c>
      <c r="E46" s="720">
        <v>46238</v>
      </c>
      <c r="F46" s="702" cm="1">
        <f t="array" aca="1" ref="F46" ca="1">IFERROR(_xlfn.LET(_xlpm.r,MATCH(TEXT($B46,"0"),TEXT(銘柄管理!$B$6:$B$305,"0"),0),_xlpm.t,MOD(NOW(),1),_xlpm.c,IF($E46=TODAY(),IF(_xlpm.t&gt;=TIME(15,30,0),NA(),1),IF(MATCH($E46,始値!$E$3:$BT$3,0)=1,1,MATCH($E46,始値!$E$3:$BT$3,0)+1)),_xlpm.v,INDEX(始値!$C$6:$BT$305,_xlpm.r,_xlpm.c),IF(N(_xlpm.v)=0,"",_xlpm.v)),"")</f>
        <v>6487</v>
      </c>
      <c r="G46" s="635">
        <v>100</v>
      </c>
      <c r="H46" s="491" cm="1">
        <f t="array" ref="H46">IF($B46="","",_xll.RssMarket($B46,"現在値"))</f>
        <v>6472</v>
      </c>
      <c r="I46" s="491" cm="1">
        <f t="array" ref="I46">IF($B46="","",_xll.RssMarket($B46,"出来高加重平均"))</f>
        <v>6429.1755000000003</v>
      </c>
      <c r="J46" s="705" cm="1">
        <f t="array" ref="J46">IF($B46="","",_xll.RssMarket($B46,"前日比"))</f>
        <v>285</v>
      </c>
      <c r="K46" s="705">
        <f t="shared" ca="1" si="17"/>
        <v>1500</v>
      </c>
      <c r="L46" s="710">
        <f t="shared" ca="1" si="18"/>
        <v>2.3123169415754587E-3</v>
      </c>
      <c r="M46" s="491">
        <f t="shared" ca="1" si="6"/>
        <v>6098</v>
      </c>
      <c r="N46" s="491">
        <f t="shared" ca="1" si="7"/>
        <v>6746</v>
      </c>
      <c r="O46" s="492" t="str">
        <f t="shared" ca="1" si="8"/>
        <v>保持継続</v>
      </c>
      <c r="P46" s="491" cm="1">
        <f t="array" aca="1" ref="P46" ca="1">IF($B46="","",IFERROR(MAX(OFFSET(高値!$E$6,MATCH(TEXT($B46,"0"),TEXT(銘柄管理!$B$6:$B$305,"0"),0)-1,0,1,10)),""))</f>
        <v>7240</v>
      </c>
      <c r="Q46" s="491" cm="1">
        <f t="array" aca="1" ref="Q46" ca="1">IF($B46="","",IFERROR(MIN(OFFSET(安値!$E$6,MATCH(TEXT($B46,"0"),TEXT(銘柄管理!$B$6:$B$305,"0"),0)-1,0,1,10)),""))</f>
        <v>5808</v>
      </c>
      <c r="R46" s="491">
        <f t="shared" ca="1" si="19"/>
        <v>7023</v>
      </c>
      <c r="S46" s="589" t="str">
        <f t="shared" ca="1" si="20"/>
        <v>📌保有中</v>
      </c>
      <c r="T46" s="597" t="str">
        <f t="shared" ca="1" si="9"/>
        <v/>
      </c>
      <c r="U46" s="491" t="str">
        <f t="shared" ca="1" si="10"/>
        <v/>
      </c>
      <c r="V46" s="705" t="str">
        <f t="shared" ca="1" si="21"/>
        <v/>
      </c>
      <c r="W46" s="493">
        <f t="shared" ca="1" si="11"/>
        <v>2</v>
      </c>
      <c r="X46" s="489" t="str">
        <f t="shared" ca="1" si="12"/>
        <v/>
      </c>
      <c r="Y46" s="488"/>
      <c r="Z46" s="714">
        <v>11</v>
      </c>
      <c r="AD46" s="611" t="s">
        <v>1326</v>
      </c>
      <c r="AE46" s="628">
        <f t="shared" si="13"/>
        <v>46254</v>
      </c>
      <c r="AF46" s="630"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0</v>
      </c>
      <c r="AG46" s="630"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0</v>
      </c>
      <c r="AH46" s="603" t="str">
        <f t="shared" ca="1" si="14"/>
        <v>保有中</v>
      </c>
      <c r="AI46" s="603" t="str" cm="1">
        <f t="array" ref="AI46">IFERROR(INDEX(始値!$E$6:$BT$305,MATCH(TEXT($B46,"0"),TEXT(銘柄管理!$B$6:$B$305,"0"),0),MATCH($AE46,始値!$E$3:$BT$3,0)),"")</f>
        <v/>
      </c>
      <c r="AJ46" s="612" t="str">
        <f t="shared" ca="1" si="15"/>
        <v/>
      </c>
      <c r="AK46" s="633" t="str">
        <f t="shared" ca="1" si="16"/>
        <v/>
      </c>
      <c r="AL46" s="617"/>
      <c r="AM46" s="619"/>
      <c r="AN46" s="617"/>
      <c r="AO46" s="619"/>
      <c r="AP46" s="619"/>
      <c r="AQ46" s="619"/>
      <c r="AR46" s="617"/>
      <c r="AS46" s="617"/>
      <c r="BB46" s="603" t="str">
        <f>IF(N(買抽出v13!$C46)=0,"",N(買抽出v13!$Q46)+N(買抽出v13!$L46)/1000-ROW()/1000000)</f>
        <v/>
      </c>
      <c r="BC46" s="603" t="str">
        <f>IF(N(売抽出v13!$C46)=0,"",N(売抽出v13!$Q46)+IFERROR(VALUE(SUBSTITUTE(売抽出v13!$L46,"倍","")),0)/1000-ROW()/1000000)</f>
        <v/>
      </c>
    </row>
    <row r="47" spans="1:55" ht="35.4" customHeight="1">
      <c r="A47" s="623" t="str">
        <f t="shared" si="0"/>
        <v/>
      </c>
      <c r="B47" s="634"/>
      <c r="C47" s="490"/>
      <c r="D47" s="627" t="str" cm="1">
        <f t="array" ref="D47">IF($B47="","",_xll.RssMarket($B47,"銘柄名称"))</f>
        <v/>
      </c>
      <c r="E47" s="720"/>
      <c r="F47" s="702" t="str" cm="1">
        <f t="array" aca="1" ref="F47" ca="1">IFERROR(_xlfn.LET(_xlpm.r,MATCH(TEXT($B47,"0"),TEXT(銘柄管理!$B$6:$B$305,"0"),0),_xlpm.t,MOD(NOW(),1),_xlpm.c,IF($E47=TODAY(),IF(_xlpm.t&gt;=TIME(15,30,0),NA(),1),IF(MATCH($E47,始値!$E$3:$BT$3,0)=1,1,MATCH($E47,始値!$E$3:$BT$3,0)+1)),_xlpm.v,INDEX(始値!$C$6:$BT$305,_xlpm.r,_xlpm.c),IF(N(_xlpm.v)=0,"",_xlpm.v)),"")</f>
        <v/>
      </c>
      <c r="G47" s="635"/>
      <c r="H47" s="491" t="str" cm="1">
        <f t="array" ref="H47">IF($B47="","",_xll.RssMarket($B47,"現在値"))</f>
        <v/>
      </c>
      <c r="I47" s="491" t="str" cm="1">
        <f t="array" ref="I47">IF($B47="","",_xll.RssMarket($B47,"出来高加重平均"))</f>
        <v/>
      </c>
      <c r="J47" s="705" t="str" cm="1">
        <f t="array" ref="J47">IF($B47="","",_xll.RssMarket($B47,"前日比"))</f>
        <v/>
      </c>
      <c r="K47" s="705" t="str">
        <f t="shared" ca="1" si="17"/>
        <v/>
      </c>
      <c r="L47" s="710" t="str">
        <f t="shared" ca="1" si="18"/>
        <v/>
      </c>
      <c r="M47" s="491" t="str">
        <f t="shared" ca="1" si="6"/>
        <v/>
      </c>
      <c r="N47" s="491" t="str">
        <f t="shared" ca="1" si="7"/>
        <v/>
      </c>
      <c r="O47" s="492" t="str">
        <f t="shared" ca="1" si="8"/>
        <v/>
      </c>
      <c r="P47" s="491" t="str" cm="1">
        <f t="array" aca="1" ref="P47" ca="1">IF($B47="","",IFERROR(MAX(OFFSET(高値!$E$6,MATCH(TEXT($B47,"0"),TEXT(銘柄管理!$B$6:$B$305,"0"),0)-1,0,1,10)),""))</f>
        <v/>
      </c>
      <c r="Q47" s="491" t="str" cm="1">
        <f t="array" aca="1" ref="Q47" ca="1">IF($B47="","",IFERROR(MIN(OFFSET(安値!$E$6,MATCH(TEXT($B47,"0"),TEXT(銘柄管理!$B$6:$B$305,"0"),0)-1,0,1,10)),""))</f>
        <v/>
      </c>
      <c r="R47" s="491" t="str">
        <f t="shared" ca="1" si="19"/>
        <v/>
      </c>
      <c r="S47" s="589" t="str">
        <f t="shared" si="20"/>
        <v/>
      </c>
      <c r="T47" s="597" t="str">
        <f t="shared" ca="1" si="9"/>
        <v/>
      </c>
      <c r="U47" s="491" t="str">
        <f t="shared" ca="1" si="10"/>
        <v/>
      </c>
      <c r="V47" s="705" t="str">
        <f t="shared" ca="1" si="21"/>
        <v/>
      </c>
      <c r="W47" s="493" t="str">
        <f t="shared" ca="1" si="11"/>
        <v/>
      </c>
      <c r="X47" s="489" t="str">
        <f t="shared" ca="1" si="12"/>
        <v/>
      </c>
      <c r="Y47" s="488"/>
      <c r="Z47" s="714"/>
      <c r="AD47" s="611"/>
      <c r="AE47" s="628" t="str">
        <f t="shared" si="13"/>
        <v/>
      </c>
      <c r="AF47" s="630" t="str"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
      </c>
      <c r="AG47" s="630" t="str"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
      </c>
      <c r="AH47" s="603" t="str">
        <f t="shared" ca="1" si="14"/>
        <v/>
      </c>
      <c r="AI47" s="603" t="str" cm="1">
        <f t="array" ref="AI47">IFERROR(INDEX(始値!$E$6:$BT$305,MATCH(TEXT($B47,"0"),TEXT(銘柄管理!$B$6:$B$305,"0"),0),MATCH($AE47,始値!$E$3:$BT$3,0)),"")</f>
        <v/>
      </c>
      <c r="AJ47" s="612" t="str">
        <f t="shared" ca="1" si="15"/>
        <v/>
      </c>
      <c r="AK47" s="633" t="str">
        <f t="shared" ca="1" si="16"/>
        <v/>
      </c>
      <c r="BB47" s="603" t="str">
        <f>IF(N(買抽出v13!$C47)=0,"",N(買抽出v13!$Q47)+N(買抽出v13!$L47)/1000-ROW()/1000000)</f>
        <v/>
      </c>
      <c r="BC47" s="603" t="str">
        <f>IF(N(売抽出v13!$C47)=0,"",N(売抽出v13!$Q47)+IFERROR(VALUE(SUBSTITUTE(売抽出v13!$L47,"倍","")),0)/1000-ROW()/1000000)</f>
        <v/>
      </c>
    </row>
    <row r="48" spans="1:55" ht="35.4" customHeight="1">
      <c r="A48" s="623" t="str">
        <f t="shared" si="0"/>
        <v/>
      </c>
      <c r="B48" s="634"/>
      <c r="C48" s="490"/>
      <c r="D48" s="627" t="str" cm="1">
        <f t="array" ref="D48">IF($B48="","",_xll.RssMarket($B48,"銘柄名称"))</f>
        <v/>
      </c>
      <c r="E48" s="720"/>
      <c r="F48" s="702" t="str" cm="1">
        <f t="array" aca="1" ref="F48" ca="1">IFERROR(_xlfn.LET(_xlpm.r,MATCH(TEXT($B48,"0"),TEXT(銘柄管理!$B$6:$B$305,"0"),0),_xlpm.t,MOD(NOW(),1),_xlpm.c,IF($E48=TODAY(),IF(_xlpm.t&gt;=TIME(15,30,0),NA(),1),IF(MATCH($E48,始値!$E$3:$BT$3,0)=1,1,MATCH($E48,始値!$E$3:$BT$3,0)+1)),_xlpm.v,INDEX(始値!$C$6:$BT$305,_xlpm.r,_xlpm.c),IF(N(_xlpm.v)=0,"",_xlpm.v)),"")</f>
        <v/>
      </c>
      <c r="G48" s="635"/>
      <c r="H48" s="491" t="str" cm="1">
        <f t="array" ref="H48">IF($B48="","",_xll.RssMarket($B48,"現在値"))</f>
        <v/>
      </c>
      <c r="I48" s="491" t="str" cm="1">
        <f t="array" ref="I48">IF($B48="","",_xll.RssMarket($B48,"出来高加重平均"))</f>
        <v/>
      </c>
      <c r="J48" s="705" t="str" cm="1">
        <f t="array" ref="J48">IF($B48="","",_xll.RssMarket($B48,"前日比"))</f>
        <v/>
      </c>
      <c r="K48" s="705" t="str">
        <f t="shared" ca="1" si="17"/>
        <v/>
      </c>
      <c r="L48" s="710" t="str">
        <f t="shared" ca="1" si="18"/>
        <v/>
      </c>
      <c r="M48" s="491" t="str">
        <f t="shared" ca="1" si="6"/>
        <v/>
      </c>
      <c r="N48" s="491" t="str">
        <f t="shared" ca="1" si="7"/>
        <v/>
      </c>
      <c r="O48" s="492" t="str">
        <f t="shared" ca="1" si="8"/>
        <v/>
      </c>
      <c r="P48" s="491" t="str" cm="1">
        <f t="array" aca="1" ref="P48" ca="1">IF($B48="","",IFERROR(MAX(OFFSET(高値!$E$6,MATCH(TEXT($B48,"0"),TEXT(銘柄管理!$B$6:$B$305,"0"),0)-1,0,1,10)),""))</f>
        <v/>
      </c>
      <c r="Q48" s="491" t="str" cm="1">
        <f t="array" aca="1" ref="Q48" ca="1">IF($B48="","",IFERROR(MIN(OFFSET(安値!$E$6,MATCH(TEXT($B48,"0"),TEXT(銘柄管理!$B$6:$B$305,"0"),0)-1,0,1,10)),""))</f>
        <v/>
      </c>
      <c r="R48" s="491" t="str">
        <f t="shared" ca="1" si="19"/>
        <v/>
      </c>
      <c r="S48" s="589" t="str">
        <f t="shared" si="20"/>
        <v/>
      </c>
      <c r="T48" s="597" t="str">
        <f t="shared" ca="1" si="9"/>
        <v/>
      </c>
      <c r="U48" s="491" t="str">
        <f t="shared" ca="1" si="10"/>
        <v/>
      </c>
      <c r="V48" s="705" t="str">
        <f t="shared" ca="1" si="21"/>
        <v/>
      </c>
      <c r="W48" s="493" t="str">
        <f t="shared" ca="1" si="11"/>
        <v/>
      </c>
      <c r="X48" s="489" t="str">
        <f t="shared" ca="1" si="12"/>
        <v/>
      </c>
      <c r="Y48" s="488"/>
      <c r="Z48" s="714"/>
      <c r="AD48" s="611"/>
      <c r="AE48" s="628" t="str">
        <f t="shared" si="13"/>
        <v/>
      </c>
      <c r="AF48" s="630" t="str"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
      </c>
      <c r="AG48" s="630" t="str"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
      </c>
      <c r="AH48" s="603" t="str">
        <f t="shared" ca="1" si="14"/>
        <v/>
      </c>
      <c r="AI48" s="603" t="str" cm="1">
        <f t="array" ref="AI48">IFERROR(INDEX(始値!$E$6:$BT$305,MATCH(TEXT($B48,"0"),TEXT(銘柄管理!$B$6:$B$305,"0"),0),MATCH($AE48,始値!$E$3:$BT$3,0)),"")</f>
        <v/>
      </c>
      <c r="AJ48" s="612" t="str">
        <f t="shared" ca="1" si="15"/>
        <v/>
      </c>
      <c r="AK48" s="633" t="str">
        <f t="shared" ca="1" si="16"/>
        <v/>
      </c>
      <c r="AL48" s="488" t="s">
        <v>1250</v>
      </c>
      <c r="BB48" s="603" t="str">
        <f>IF(N(買抽出v13!$C48)=0,"",N(買抽出v13!$Q48)+N(買抽出v13!$L48)/1000-ROW()/1000000)</f>
        <v/>
      </c>
      <c r="BC48" s="603" t="str">
        <f>IF(N(売抽出v13!$C48)=0,"",N(売抽出v13!$Q48)+IFERROR(VALUE(SUBSTITUTE(売抽出v13!$L48,"倍","")),0)/1000-ROW()/1000000)</f>
        <v/>
      </c>
    </row>
    <row r="49" spans="1:55" ht="35.4" customHeight="1">
      <c r="A49" s="623" t="str">
        <f t="shared" si="0"/>
        <v/>
      </c>
      <c r="B49" s="634"/>
      <c r="C49" s="490"/>
      <c r="D49" s="627" t="str" cm="1">
        <f t="array" ref="D49">IF($B49="","",_xll.RssMarket($B49,"銘柄名称"))</f>
        <v/>
      </c>
      <c r="E49" s="720"/>
      <c r="F49" s="702" t="str" cm="1">
        <f t="array" aca="1" ref="F49" ca="1">IFERROR(_xlfn.LET(_xlpm.r,MATCH(TEXT($B49,"0"),TEXT(銘柄管理!$B$6:$B$305,"0"),0),_xlpm.t,MOD(NOW(),1),_xlpm.c,IF($E49=TODAY(),IF(_xlpm.t&gt;=TIME(15,30,0),NA(),1),IF(MATCH($E49,始値!$E$3:$BT$3,0)=1,1,MATCH($E49,始値!$E$3:$BT$3,0)+1)),_xlpm.v,INDEX(始値!$C$6:$BT$305,_xlpm.r,_xlpm.c),IF(N(_xlpm.v)=0,"",_xlpm.v)),"")</f>
        <v/>
      </c>
      <c r="G49" s="635"/>
      <c r="H49" s="491" t="str" cm="1">
        <f t="array" ref="H49">IF($B49="","",_xll.RssMarket($B49,"現在値"))</f>
        <v/>
      </c>
      <c r="I49" s="491" t="str" cm="1">
        <f t="array" ref="I49">IF($B49="","",_xll.RssMarket($B49,"出来高加重平均"))</f>
        <v/>
      </c>
      <c r="J49" s="705" t="str" cm="1">
        <f t="array" ref="J49">IF($B49="","",_xll.RssMarket($B49,"前日比"))</f>
        <v/>
      </c>
      <c r="K49" s="705" t="str">
        <f t="shared" ca="1" si="17"/>
        <v/>
      </c>
      <c r="L49" s="710" t="str">
        <f t="shared" ca="1" si="18"/>
        <v/>
      </c>
      <c r="M49" s="491" t="str">
        <f t="shared" ca="1" si="6"/>
        <v/>
      </c>
      <c r="N49" s="491" t="str">
        <f t="shared" ca="1" si="7"/>
        <v/>
      </c>
      <c r="O49" s="492" t="str">
        <f t="shared" ca="1" si="8"/>
        <v/>
      </c>
      <c r="P49" s="491" t="str" cm="1">
        <f t="array" aca="1" ref="P49" ca="1">IF($B49="","",IFERROR(MAX(OFFSET(高値!$E$6,MATCH(TEXT($B49,"0"),TEXT(銘柄管理!$B$6:$B$305,"0"),0)-1,0,1,10)),""))</f>
        <v/>
      </c>
      <c r="Q49" s="491" t="str" cm="1">
        <f t="array" aca="1" ref="Q49" ca="1">IF($B49="","",IFERROR(MIN(OFFSET(安値!$E$6,MATCH(TEXT($B49,"0"),TEXT(銘柄管理!$B$6:$B$305,"0"),0)-1,0,1,10)),""))</f>
        <v/>
      </c>
      <c r="R49" s="491" t="str">
        <f t="shared" ca="1" si="19"/>
        <v/>
      </c>
      <c r="S49" s="589" t="str">
        <f t="shared" si="20"/>
        <v/>
      </c>
      <c r="T49" s="597" t="str">
        <f t="shared" ca="1" si="9"/>
        <v/>
      </c>
      <c r="U49" s="491" t="str">
        <f t="shared" ca="1" si="10"/>
        <v/>
      </c>
      <c r="V49" s="705" t="str">
        <f t="shared" ca="1" si="21"/>
        <v/>
      </c>
      <c r="W49" s="493" t="str">
        <f t="shared" ca="1" si="11"/>
        <v/>
      </c>
      <c r="X49" s="489" t="str">
        <f t="shared" ca="1" si="12"/>
        <v/>
      </c>
      <c r="Y49" s="488"/>
      <c r="Z49" s="714"/>
      <c r="AD49" s="611"/>
      <c r="AE49" s="628" t="str">
        <f t="shared" si="13"/>
        <v/>
      </c>
      <c r="AF49" s="630" t="str"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
      </c>
      <c r="AG49" s="630" t="str"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
      </c>
      <c r="AH49" s="603" t="str">
        <f t="shared" ca="1" si="14"/>
        <v/>
      </c>
      <c r="AI49" s="603" t="str" cm="1">
        <f t="array" ref="AI49">IFERROR(INDEX(始値!$E$6:$BT$305,MATCH(TEXT($B49,"0"),TEXT(銘柄管理!$B$6:$B$305,"0"),0),MATCH($AE49,始値!$E$3:$BT$3,0)),"")</f>
        <v/>
      </c>
      <c r="AJ49" s="612" t="str">
        <f t="shared" ca="1" si="15"/>
        <v/>
      </c>
      <c r="AK49" s="633" t="str">
        <f t="shared" ca="1" si="16"/>
        <v/>
      </c>
      <c r="AL49" s="613" t="s">
        <v>1337</v>
      </c>
      <c r="BB49" s="603" t="str">
        <f>IF(N(買抽出v13!$C49)=0,"",N(買抽出v13!$Q49)+N(買抽出v13!$L49)/1000-ROW()/1000000)</f>
        <v/>
      </c>
      <c r="BC49" s="603" t="str">
        <f>IF(N(売抽出v13!$C49)=0,"",N(売抽出v13!$Q49)+IFERROR(VALUE(SUBSTITUTE(売抽出v13!$L49,"倍","")),0)/1000-ROW()/1000000)</f>
        <v/>
      </c>
    </row>
    <row r="50" spans="1:55" ht="35.4" customHeight="1">
      <c r="A50" s="623" t="str">
        <f t="shared" si="0"/>
        <v/>
      </c>
      <c r="B50" s="634"/>
      <c r="C50" s="490"/>
      <c r="D50" s="627" t="str" cm="1">
        <f t="array" ref="D50">IF($B50="","",_xll.RssMarket($B50,"銘柄名称"))</f>
        <v/>
      </c>
      <c r="E50" s="720"/>
      <c r="F50" s="702" t="str" cm="1">
        <f t="array" aca="1" ref="F50" ca="1">IFERROR(_xlfn.LET(_xlpm.r,MATCH(TEXT($B50,"0"),TEXT(銘柄管理!$B$6:$B$305,"0"),0),_xlpm.t,MOD(NOW(),1),_xlpm.c,IF($E50=TODAY(),IF(_xlpm.t&gt;=TIME(15,30,0),NA(),1),IF(MATCH($E50,始値!$E$3:$BT$3,0)=1,1,MATCH($E50,始値!$E$3:$BT$3,0)+1)),_xlpm.v,INDEX(始値!$C$6:$BT$305,_xlpm.r,_xlpm.c),IF(N(_xlpm.v)=0,"",_xlpm.v)),"")</f>
        <v/>
      </c>
      <c r="G50" s="635"/>
      <c r="H50" s="491" t="str" cm="1">
        <f t="array" ref="H50">IF($B50="","",_xll.RssMarket($B50,"現在値"))</f>
        <v/>
      </c>
      <c r="I50" s="491" t="str" cm="1">
        <f t="array" ref="I50">IF($B50="","",_xll.RssMarket($B50,"出来高加重平均"))</f>
        <v/>
      </c>
      <c r="J50" s="705" t="str" cm="1">
        <f t="array" ref="J50">IF($B50="","",_xll.RssMarket($B50,"前日比"))</f>
        <v/>
      </c>
      <c r="K50" s="705" t="str">
        <f t="shared" ca="1" si="17"/>
        <v/>
      </c>
      <c r="L50" s="710" t="str">
        <f t="shared" ca="1" si="18"/>
        <v/>
      </c>
      <c r="M50" s="491" t="str">
        <f t="shared" ca="1" si="6"/>
        <v/>
      </c>
      <c r="N50" s="491" t="str">
        <f t="shared" ca="1" si="7"/>
        <v/>
      </c>
      <c r="O50" s="492" t="str">
        <f t="shared" ca="1" si="8"/>
        <v/>
      </c>
      <c r="P50" s="491" t="str" cm="1">
        <f t="array" aca="1" ref="P50" ca="1">IF($B50="","",IFERROR(MAX(OFFSET(高値!$E$6,MATCH(TEXT($B50,"0"),TEXT(銘柄管理!$B$6:$B$305,"0"),0)-1,0,1,10)),""))</f>
        <v/>
      </c>
      <c r="Q50" s="491" t="str" cm="1">
        <f t="array" aca="1" ref="Q50" ca="1">IF($B50="","",IFERROR(MIN(OFFSET(安値!$E$6,MATCH(TEXT($B50,"0"),TEXT(銘柄管理!$B$6:$B$305,"0"),0)-1,0,1,10)),""))</f>
        <v/>
      </c>
      <c r="R50" s="491" t="str">
        <f t="shared" ca="1" si="19"/>
        <v/>
      </c>
      <c r="S50" s="589" t="str">
        <f t="shared" si="20"/>
        <v/>
      </c>
      <c r="T50" s="597" t="str">
        <f t="shared" ca="1" si="9"/>
        <v/>
      </c>
      <c r="U50" s="491" t="str">
        <f t="shared" ca="1" si="10"/>
        <v/>
      </c>
      <c r="V50" s="705" t="str">
        <f t="shared" ca="1" si="21"/>
        <v/>
      </c>
      <c r="W50" s="493" t="str">
        <f t="shared" ca="1" si="11"/>
        <v/>
      </c>
      <c r="X50" s="489" t="str">
        <f t="shared" ca="1" si="12"/>
        <v/>
      </c>
      <c r="Y50" s="488"/>
      <c r="Z50" s="714"/>
      <c r="AD50" s="611"/>
      <c r="AE50" s="628" t="str">
        <f t="shared" si="13"/>
        <v/>
      </c>
      <c r="AF50" s="630" t="str"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
      </c>
      <c r="AG50" s="630" t="str"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
      </c>
      <c r="AH50" s="603" t="str">
        <f t="shared" ca="1" si="14"/>
        <v/>
      </c>
      <c r="AI50" s="603" t="str" cm="1">
        <f t="array" ref="AI50">IFERROR(INDEX(始値!$E$6:$BT$305,MATCH(TEXT($B50,"0"),TEXT(銘柄管理!$B$6:$B$305,"0"),0),MATCH($AE50,始値!$E$3:$BT$3,0)),"")</f>
        <v/>
      </c>
      <c r="AJ50" s="612" t="str">
        <f t="shared" ca="1" si="15"/>
        <v/>
      </c>
      <c r="AK50" s="633" t="str">
        <f t="shared" ca="1" si="16"/>
        <v/>
      </c>
      <c r="AL50" s="613" t="s">
        <v>1338</v>
      </c>
      <c r="BB50" s="603" t="str">
        <f>IF(N(買抽出v13!$C50)=0,"",N(買抽出v13!$Q50)+N(買抽出v13!$L50)/1000-ROW()/1000000)</f>
        <v/>
      </c>
      <c r="BC50" s="603" t="str">
        <f>IF(N(売抽出v13!$C50)=0,"",N(売抽出v13!$Q50)+IFERROR(VALUE(SUBSTITUTE(売抽出v13!$L50,"倍","")),0)/1000-ROW()/1000000)</f>
        <v/>
      </c>
    </row>
    <row r="51" spans="1:55" ht="35.4" customHeight="1">
      <c r="A51" s="623" t="str">
        <f t="shared" si="0"/>
        <v/>
      </c>
      <c r="B51" s="634"/>
      <c r="C51" s="490"/>
      <c r="D51" s="627" t="str" cm="1">
        <f t="array" ref="D51">IF($B51="","",_xll.RssMarket($B51,"銘柄名称"))</f>
        <v/>
      </c>
      <c r="E51" s="720"/>
      <c r="F51" s="702" t="str" cm="1">
        <f t="array" aca="1" ref="F51" ca="1">IFERROR(_xlfn.LET(_xlpm.r,MATCH(TEXT($B51,"0"),TEXT(銘柄管理!$B$6:$B$305,"0"),0),_xlpm.t,MOD(NOW(),1),_xlpm.c,IF($E51=TODAY(),IF(_xlpm.t&gt;=TIME(15,30,0),NA(),1),IF(MATCH($E51,始値!$E$3:$BT$3,0)=1,1,MATCH($E51,始値!$E$3:$BT$3,0)+1)),_xlpm.v,INDEX(始値!$C$6:$BT$305,_xlpm.r,_xlpm.c),IF(N(_xlpm.v)=0,"",_xlpm.v)),"")</f>
        <v/>
      </c>
      <c r="G51" s="635"/>
      <c r="H51" s="491" t="str" cm="1">
        <f t="array" ref="H51">IF($B51="","",_xll.RssMarket($B51,"現在値"))</f>
        <v/>
      </c>
      <c r="I51" s="491" t="str" cm="1">
        <f t="array" ref="I51">IF($B51="","",_xll.RssMarket($B51,"出来高加重平均"))</f>
        <v/>
      </c>
      <c r="J51" s="705" t="str" cm="1">
        <f t="array" ref="J51">IF($B51="","",_xll.RssMarket($B51,"前日比"))</f>
        <v/>
      </c>
      <c r="K51" s="705" t="str">
        <f t="shared" ca="1" si="17"/>
        <v/>
      </c>
      <c r="L51" s="710" t="str">
        <f t="shared" ca="1" si="18"/>
        <v/>
      </c>
      <c r="M51" s="491" t="str">
        <f t="shared" ca="1" si="6"/>
        <v/>
      </c>
      <c r="N51" s="491" t="str">
        <f t="shared" ca="1" si="7"/>
        <v/>
      </c>
      <c r="O51" s="492" t="str">
        <f t="shared" ca="1" si="8"/>
        <v/>
      </c>
      <c r="P51" s="491" t="str" cm="1">
        <f t="array" aca="1" ref="P51" ca="1">IF($B51="","",IFERROR(MAX(OFFSET(高値!$E$6,MATCH(TEXT($B51,"0"),TEXT(銘柄管理!$B$6:$B$305,"0"),0)-1,0,1,10)),""))</f>
        <v/>
      </c>
      <c r="Q51" s="491" t="str" cm="1">
        <f t="array" aca="1" ref="Q51" ca="1">IF($B51="","",IFERROR(MIN(OFFSET(安値!$E$6,MATCH(TEXT($B51,"0"),TEXT(銘柄管理!$B$6:$B$305,"0"),0)-1,0,1,10)),""))</f>
        <v/>
      </c>
      <c r="R51" s="491" t="str">
        <f t="shared" ca="1" si="19"/>
        <v/>
      </c>
      <c r="S51" s="589" t="str">
        <f t="shared" si="20"/>
        <v/>
      </c>
      <c r="T51" s="597" t="str">
        <f t="shared" ca="1" si="9"/>
        <v/>
      </c>
      <c r="U51" s="491" t="str">
        <f t="shared" ca="1" si="10"/>
        <v/>
      </c>
      <c r="V51" s="705" t="str">
        <f t="shared" ca="1" si="21"/>
        <v/>
      </c>
      <c r="W51" s="493" t="str">
        <f t="shared" ca="1" si="11"/>
        <v/>
      </c>
      <c r="X51" s="489" t="str">
        <f t="shared" ca="1" si="12"/>
        <v/>
      </c>
      <c r="Y51" s="488"/>
      <c r="Z51" s="714"/>
      <c r="AD51" s="611"/>
      <c r="AE51" s="628" t="str">
        <f t="shared" si="13"/>
        <v/>
      </c>
      <c r="AF51" s="630" t="str"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
      </c>
      <c r="AG51" s="630" t="str"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
      </c>
      <c r="AH51" s="603" t="str">
        <f t="shared" ca="1" si="14"/>
        <v/>
      </c>
      <c r="AI51" s="603" t="str" cm="1">
        <f t="array" ref="AI51">IFERROR(INDEX(始値!$E$6:$BT$305,MATCH(TEXT($B51,"0"),TEXT(銘柄管理!$B$6:$B$305,"0"),0),MATCH($AE51,始値!$E$3:$BT$3,0)),"")</f>
        <v/>
      </c>
      <c r="AJ51" s="612" t="str">
        <f t="shared" ca="1" si="15"/>
        <v/>
      </c>
      <c r="AK51" s="633" t="str">
        <f t="shared" ca="1" si="16"/>
        <v/>
      </c>
      <c r="AL51" s="613" t="s">
        <v>1339</v>
      </c>
      <c r="BB51" s="603" t="str">
        <f>IF(N(買抽出v13!$C51)=0,"",N(買抽出v13!$Q51)+N(買抽出v13!$L51)/1000-ROW()/1000000)</f>
        <v/>
      </c>
      <c r="BC51" s="603" t="str">
        <f>IF(N(売抽出v13!$C51)=0,"",N(売抽出v13!$Q51)+IFERROR(VALUE(SUBSTITUTE(売抽出v13!$L51,"倍","")),0)/1000-ROW()/1000000)</f>
        <v/>
      </c>
    </row>
    <row r="52" spans="1:55" ht="35.4" customHeight="1">
      <c r="A52" s="623" t="str">
        <f t="shared" si="0"/>
        <v/>
      </c>
      <c r="B52" s="634"/>
      <c r="C52" s="490"/>
      <c r="D52" s="627" t="str" cm="1">
        <f t="array" ref="D52">IF($B52="","",_xll.RssMarket($B52,"銘柄名称"))</f>
        <v/>
      </c>
      <c r="E52" s="720"/>
      <c r="F52" s="702" t="str" cm="1">
        <f t="array" aca="1" ref="F52" ca="1">IFERROR(_xlfn.LET(_xlpm.r,MATCH(TEXT($B52,"0"),TEXT(銘柄管理!$B$6:$B$305,"0"),0),_xlpm.t,MOD(NOW(),1),_xlpm.c,IF($E52=TODAY(),IF(_xlpm.t&gt;=TIME(15,30,0),NA(),1),IF(MATCH($E52,始値!$E$3:$BT$3,0)=1,1,MATCH($E52,始値!$E$3:$BT$3,0)+1)),_xlpm.v,INDEX(始値!$C$6:$BT$305,_xlpm.r,_xlpm.c),IF(N(_xlpm.v)=0,"",_xlpm.v)),"")</f>
        <v/>
      </c>
      <c r="G52" s="635"/>
      <c r="H52" s="491" t="str" cm="1">
        <f t="array" ref="H52">IF($B52="","",_xll.RssMarket($B52,"現在値"))</f>
        <v/>
      </c>
      <c r="I52" s="491" t="str" cm="1">
        <f t="array" ref="I52">IF($B52="","",_xll.RssMarket($B52,"出来高加重平均"))</f>
        <v/>
      </c>
      <c r="J52" s="705" t="str" cm="1">
        <f t="array" ref="J52">IF($B52="","",_xll.RssMarket($B52,"前日比"))</f>
        <v/>
      </c>
      <c r="K52" s="705" t="str">
        <f t="shared" ca="1" si="17"/>
        <v/>
      </c>
      <c r="L52" s="710" t="str">
        <f t="shared" ca="1" si="18"/>
        <v/>
      </c>
      <c r="M52" s="491" t="str">
        <f t="shared" ca="1" si="6"/>
        <v/>
      </c>
      <c r="N52" s="491" t="str">
        <f t="shared" ca="1" si="7"/>
        <v/>
      </c>
      <c r="O52" s="492" t="str">
        <f t="shared" ca="1" si="8"/>
        <v/>
      </c>
      <c r="P52" s="491" t="str" cm="1">
        <f t="array" aca="1" ref="P52" ca="1">IF($B52="","",IFERROR(MAX(OFFSET(高値!$E$6,MATCH(TEXT($B52,"0"),TEXT(銘柄管理!$B$6:$B$305,"0"),0)-1,0,1,10)),""))</f>
        <v/>
      </c>
      <c r="Q52" s="491" t="str" cm="1">
        <f t="array" aca="1" ref="Q52" ca="1">IF($B52="","",IFERROR(MIN(OFFSET(安値!$E$6,MATCH(TEXT($B52,"0"),TEXT(銘柄管理!$B$6:$B$305,"0"),0)-1,0,1,10)),""))</f>
        <v/>
      </c>
      <c r="R52" s="491" t="str">
        <f t="shared" ca="1" si="19"/>
        <v/>
      </c>
      <c r="S52" s="589" t="str">
        <f t="shared" si="20"/>
        <v/>
      </c>
      <c r="T52" s="597" t="str">
        <f t="shared" ca="1" si="9"/>
        <v/>
      </c>
      <c r="U52" s="491" t="str">
        <f t="shared" ca="1" si="10"/>
        <v/>
      </c>
      <c r="V52" s="705" t="str">
        <f t="shared" ca="1" si="21"/>
        <v/>
      </c>
      <c r="W52" s="493" t="str">
        <f t="shared" ca="1" si="11"/>
        <v/>
      </c>
      <c r="X52" s="489" t="str">
        <f t="shared" ca="1" si="12"/>
        <v/>
      </c>
      <c r="Y52" s="488"/>
      <c r="Z52" s="714"/>
      <c r="AD52" s="611"/>
      <c r="AE52" s="628" t="str">
        <f t="shared" si="13"/>
        <v/>
      </c>
      <c r="AF52" s="630" t="str"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
      </c>
      <c r="AG52" s="630" t="str"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
      </c>
      <c r="AH52" s="603" t="str">
        <f t="shared" ca="1" si="14"/>
        <v/>
      </c>
      <c r="AI52" s="603" t="str" cm="1">
        <f t="array" ref="AI52">IFERROR(INDEX(始値!$E$6:$BT$305,MATCH(TEXT($B52,"0"),TEXT(銘柄管理!$B$6:$B$305,"0"),0),MATCH($AE52,始値!$E$3:$BT$3,0)),"")</f>
        <v/>
      </c>
      <c r="AJ52" s="612" t="str">
        <f t="shared" ca="1" si="15"/>
        <v/>
      </c>
      <c r="AK52" s="633" t="str">
        <f t="shared" ca="1" si="16"/>
        <v/>
      </c>
      <c r="AL52" s="613" t="s">
        <v>1340</v>
      </c>
      <c r="BB52" s="603" t="str">
        <f>IF(N(買抽出v13!$C52)=0,"",N(買抽出v13!$Q52)+N(買抽出v13!$L52)/1000-ROW()/1000000)</f>
        <v/>
      </c>
      <c r="BC52" s="603" t="str">
        <f>IF(N(売抽出v13!$C52)=0,"",N(売抽出v13!$Q52)+IFERROR(VALUE(SUBSTITUTE(売抽出v13!$L52,"倍","")),0)/1000-ROW()/1000000)</f>
        <v/>
      </c>
    </row>
    <row r="53" spans="1:55" ht="35.4" customHeight="1">
      <c r="A53" s="623" t="str">
        <f t="shared" si="0"/>
        <v/>
      </c>
      <c r="B53" s="634"/>
      <c r="C53" s="490"/>
      <c r="D53" s="627" t="str" cm="1">
        <f t="array" ref="D53">IF($B53="","",_xll.RssMarket($B53,"銘柄名称"))</f>
        <v/>
      </c>
      <c r="E53" s="720"/>
      <c r="F53" s="702" t="str" cm="1">
        <f t="array" aca="1" ref="F53" ca="1">IFERROR(_xlfn.LET(_xlpm.r,MATCH(TEXT($B53,"0"),TEXT(銘柄管理!$B$6:$B$305,"0"),0),_xlpm.t,MOD(NOW(),1),_xlpm.c,IF($E53=TODAY(),IF(_xlpm.t&gt;=TIME(15,30,0),NA(),1),IF(MATCH($E53,始値!$E$3:$BT$3,0)=1,1,MATCH($E53,始値!$E$3:$BT$3,0)+1)),_xlpm.v,INDEX(始値!$C$6:$BT$305,_xlpm.r,_xlpm.c),IF(N(_xlpm.v)=0,"",_xlpm.v)),"")</f>
        <v/>
      </c>
      <c r="G53" s="635"/>
      <c r="H53" s="491" t="str" cm="1">
        <f t="array" ref="H53">IF($B53="","",_xll.RssMarket($B53,"現在値"))</f>
        <v/>
      </c>
      <c r="I53" s="491" t="str" cm="1">
        <f t="array" ref="I53">IF($B53="","",_xll.RssMarket($B53,"出来高加重平均"))</f>
        <v/>
      </c>
      <c r="J53" s="705" t="str" cm="1">
        <f t="array" ref="J53">IF($B53="","",_xll.RssMarket($B53,"前日比"))</f>
        <v/>
      </c>
      <c r="K53" s="705" t="str">
        <f t="shared" ca="1" si="17"/>
        <v/>
      </c>
      <c r="L53" s="710" t="str">
        <f t="shared" ca="1" si="18"/>
        <v/>
      </c>
      <c r="M53" s="491" t="str">
        <f t="shared" ca="1" si="6"/>
        <v/>
      </c>
      <c r="N53" s="491" t="str">
        <f t="shared" ca="1" si="7"/>
        <v/>
      </c>
      <c r="O53" s="492" t="str">
        <f t="shared" ca="1" si="8"/>
        <v/>
      </c>
      <c r="P53" s="491" t="str" cm="1">
        <f t="array" aca="1" ref="P53" ca="1">IF($B53="","",IFERROR(MAX(OFFSET(高値!$E$6,MATCH(TEXT($B53,"0"),TEXT(銘柄管理!$B$6:$B$305,"0"),0)-1,0,1,10)),""))</f>
        <v/>
      </c>
      <c r="Q53" s="491" t="str" cm="1">
        <f t="array" aca="1" ref="Q53" ca="1">IF($B53="","",IFERROR(MIN(OFFSET(安値!$E$6,MATCH(TEXT($B53,"0"),TEXT(銘柄管理!$B$6:$B$305,"0"),0)-1,0,1,10)),""))</f>
        <v/>
      </c>
      <c r="R53" s="491" t="str">
        <f t="shared" ca="1" si="19"/>
        <v/>
      </c>
      <c r="S53" s="589" t="str">
        <f t="shared" si="20"/>
        <v/>
      </c>
      <c r="T53" s="597" t="str">
        <f t="shared" ca="1" si="9"/>
        <v/>
      </c>
      <c r="U53" s="491" t="str">
        <f t="shared" ca="1" si="10"/>
        <v/>
      </c>
      <c r="V53" s="705" t="str">
        <f t="shared" ca="1" si="21"/>
        <v/>
      </c>
      <c r="W53" s="493" t="str">
        <f t="shared" ca="1" si="11"/>
        <v/>
      </c>
      <c r="X53" s="489" t="str">
        <f t="shared" ca="1" si="12"/>
        <v/>
      </c>
      <c r="Y53" s="488"/>
      <c r="Z53" s="714"/>
      <c r="AD53" s="611"/>
      <c r="AE53" s="628" t="str">
        <f t="shared" si="13"/>
        <v/>
      </c>
      <c r="AF53" s="630"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30"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03" t="str">
        <f t="shared" ca="1" si="14"/>
        <v/>
      </c>
      <c r="AI53" s="603" t="str" cm="1">
        <f t="array" ref="AI53">IFERROR(INDEX(始値!$E$6:$BT$305,MATCH(TEXT($B53,"0"),TEXT(銘柄管理!$B$6:$B$305,"0"),0),MATCH($AE53,始値!$E$3:$BT$3,0)),"")</f>
        <v/>
      </c>
      <c r="AJ53" s="612" t="str">
        <f t="shared" ca="1" si="15"/>
        <v/>
      </c>
      <c r="AK53" s="633" t="str">
        <f t="shared" ca="1" si="16"/>
        <v/>
      </c>
      <c r="AL53" s="613" t="s">
        <v>1341</v>
      </c>
      <c r="BB53" s="603" t="str">
        <f>IF(N(買抽出v13!$C53)=0,"",N(買抽出v13!$Q53)+N(買抽出v13!$L53)/1000-ROW()/1000000)</f>
        <v/>
      </c>
      <c r="BC53" s="603" t="str">
        <f>IF(N(売抽出v13!$C53)=0,"",N(売抽出v13!$Q53)+IFERROR(VALUE(SUBSTITUTE(売抽出v13!$L53,"倍","")),0)/1000-ROW()/1000000)</f>
        <v/>
      </c>
    </row>
    <row r="54" spans="1:55" ht="35.4" customHeight="1">
      <c r="A54" s="623" t="str">
        <f t="shared" si="0"/>
        <v/>
      </c>
      <c r="B54" s="634"/>
      <c r="C54" s="490"/>
      <c r="D54" s="627" t="str" cm="1">
        <f t="array" ref="D54">IF($B54="","",_xll.RssMarket($B54,"銘柄名称"))</f>
        <v/>
      </c>
      <c r="E54" s="720"/>
      <c r="F54" s="702" t="str" cm="1">
        <f t="array" aca="1" ref="F54" ca="1">IFERROR(_xlfn.LET(_xlpm.r,MATCH(TEXT($B54,"0"),TEXT(銘柄管理!$B$6:$B$305,"0"),0),_xlpm.t,MOD(NOW(),1),_xlpm.c,IF($E54=TODAY(),IF(_xlpm.t&gt;=TIME(15,30,0),NA(),1),IF(MATCH($E54,始値!$E$3:$BT$3,0)=1,1,MATCH($E54,始値!$E$3:$BT$3,0)+1)),_xlpm.v,INDEX(始値!$C$6:$BT$305,_xlpm.r,_xlpm.c),IF(N(_xlpm.v)=0,"",_xlpm.v)),"")</f>
        <v/>
      </c>
      <c r="G54" s="635"/>
      <c r="H54" s="491" t="str" cm="1">
        <f t="array" ref="H54">IF($B54="","",_xll.RssMarket($B54,"現在値"))</f>
        <v/>
      </c>
      <c r="I54" s="491" t="str" cm="1">
        <f t="array" ref="I54">IF($B54="","",_xll.RssMarket($B54,"出来高加重平均"))</f>
        <v/>
      </c>
      <c r="J54" s="705" t="str" cm="1">
        <f t="array" ref="J54">IF($B54="","",_xll.RssMarket($B54,"前日比"))</f>
        <v/>
      </c>
      <c r="K54" s="705" t="str">
        <f t="shared" ca="1" si="17"/>
        <v/>
      </c>
      <c r="L54" s="710" t="str">
        <f t="shared" ca="1" si="18"/>
        <v/>
      </c>
      <c r="M54" s="491" t="str">
        <f t="shared" ca="1" si="6"/>
        <v/>
      </c>
      <c r="N54" s="491" t="str">
        <f t="shared" ca="1" si="7"/>
        <v/>
      </c>
      <c r="O54" s="492" t="str">
        <f t="shared" ca="1" si="8"/>
        <v/>
      </c>
      <c r="P54" s="491" t="str" cm="1">
        <f t="array" aca="1" ref="P54" ca="1">IF($B54="","",IFERROR(MAX(OFFSET(高値!$E$6,MATCH(TEXT($B54,"0"),TEXT(銘柄管理!$B$6:$B$305,"0"),0)-1,0,1,10)),""))</f>
        <v/>
      </c>
      <c r="Q54" s="491" t="str" cm="1">
        <f t="array" aca="1" ref="Q54" ca="1">IF($B54="","",IFERROR(MIN(OFFSET(安値!$E$6,MATCH(TEXT($B54,"0"),TEXT(銘柄管理!$B$6:$B$305,"0"),0)-1,0,1,10)),""))</f>
        <v/>
      </c>
      <c r="R54" s="491" t="str">
        <f t="shared" ca="1" si="19"/>
        <v/>
      </c>
      <c r="S54" s="589" t="str">
        <f t="shared" si="20"/>
        <v/>
      </c>
      <c r="T54" s="597" t="str">
        <f t="shared" ca="1" si="9"/>
        <v/>
      </c>
      <c r="U54" s="491" t="str">
        <f t="shared" ca="1" si="10"/>
        <v/>
      </c>
      <c r="V54" s="705" t="str">
        <f t="shared" ca="1" si="21"/>
        <v/>
      </c>
      <c r="W54" s="493" t="str">
        <f t="shared" ca="1" si="11"/>
        <v/>
      </c>
      <c r="X54" s="489" t="str">
        <f t="shared" ca="1" si="12"/>
        <v/>
      </c>
      <c r="Y54" s="488"/>
      <c r="Z54" s="714"/>
      <c r="AD54" s="611"/>
      <c r="AE54" s="628" t="str">
        <f t="shared" si="13"/>
        <v/>
      </c>
      <c r="AF54" s="630"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30"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03" t="str">
        <f t="shared" ca="1" si="14"/>
        <v/>
      </c>
      <c r="AI54" s="603" t="str" cm="1">
        <f t="array" ref="AI54">IFERROR(INDEX(始値!$E$6:$BT$305,MATCH(TEXT($B54,"0"),TEXT(銘柄管理!$B$6:$B$305,"0"),0),MATCH($AE54,始値!$E$3:$BT$3,0)),"")</f>
        <v/>
      </c>
      <c r="AJ54" s="612" t="str">
        <f t="shared" ca="1" si="15"/>
        <v/>
      </c>
      <c r="AK54" s="633" t="str">
        <f t="shared" ca="1" si="16"/>
        <v/>
      </c>
      <c r="BB54" s="603" t="str">
        <f>IF(N(買抽出v13!$C54)=0,"",N(買抽出v13!$Q54)+N(買抽出v13!$L54)/1000-ROW()/1000000)</f>
        <v/>
      </c>
      <c r="BC54" s="603" t="str">
        <f>IF(N(売抽出v13!$C54)=0,"",N(売抽出v13!$Q54)+IFERROR(VALUE(SUBSTITUTE(売抽出v13!$L54,"倍","")),0)/1000-ROW()/1000000)</f>
        <v/>
      </c>
    </row>
    <row r="55" spans="1:55" ht="35.4" customHeight="1">
      <c r="A55" s="623" t="str">
        <f t="shared" si="0"/>
        <v/>
      </c>
      <c r="B55" s="634"/>
      <c r="C55" s="490"/>
      <c r="D55" s="627" t="str" cm="1">
        <f t="array" ref="D55">IF($B55="","",_xll.RssMarket($B55,"銘柄名称"))</f>
        <v/>
      </c>
      <c r="E55" s="720"/>
      <c r="F55" s="702" t="str" cm="1">
        <f t="array" aca="1" ref="F55" ca="1">IFERROR(_xlfn.LET(_xlpm.r,MATCH(TEXT($B55,"0"),TEXT(銘柄管理!$B$6:$B$305,"0"),0),_xlpm.t,MOD(NOW(),1),_xlpm.c,IF($E55=TODAY(),IF(_xlpm.t&gt;=TIME(15,30,0),NA(),1),IF(MATCH($E55,始値!$E$3:$BT$3,0)=1,1,MATCH($E55,始値!$E$3:$BT$3,0)+1)),_xlpm.v,INDEX(始値!$C$6:$BT$305,_xlpm.r,_xlpm.c),IF(N(_xlpm.v)=0,"",_xlpm.v)),"")</f>
        <v/>
      </c>
      <c r="G55" s="635"/>
      <c r="H55" s="491" t="str" cm="1">
        <f t="array" ref="H55">IF($B55="","",_xll.RssMarket($B55,"現在値"))</f>
        <v/>
      </c>
      <c r="I55" s="491" t="str" cm="1">
        <f t="array" ref="I55">IF($B55="","",_xll.RssMarket($B55,"出来高加重平均"))</f>
        <v/>
      </c>
      <c r="J55" s="705" t="str" cm="1">
        <f t="array" ref="J55">IF($B55="","",_xll.RssMarket($B55,"前日比"))</f>
        <v/>
      </c>
      <c r="K55" s="705" t="str">
        <f t="shared" ca="1" si="17"/>
        <v/>
      </c>
      <c r="L55" s="710" t="str">
        <f t="shared" ca="1" si="18"/>
        <v/>
      </c>
      <c r="M55" s="491" t="str">
        <f t="shared" ca="1" si="6"/>
        <v/>
      </c>
      <c r="N55" s="491" t="str">
        <f t="shared" ca="1" si="7"/>
        <v/>
      </c>
      <c r="O55" s="492" t="str">
        <f t="shared" ca="1" si="8"/>
        <v/>
      </c>
      <c r="P55" s="491" t="str" cm="1">
        <f t="array" aca="1" ref="P55" ca="1">IF($B55="","",IFERROR(MAX(OFFSET(高値!$E$6,MATCH(TEXT($B55,"0"),TEXT(銘柄管理!$B$6:$B$305,"0"),0)-1,0,1,10)),""))</f>
        <v/>
      </c>
      <c r="Q55" s="491" t="str" cm="1">
        <f t="array" aca="1" ref="Q55" ca="1">IF($B55="","",IFERROR(MIN(OFFSET(安値!$E$6,MATCH(TEXT($B55,"0"),TEXT(銘柄管理!$B$6:$B$305,"0"),0)-1,0,1,10)),""))</f>
        <v/>
      </c>
      <c r="R55" s="491" t="str">
        <f t="shared" ca="1" si="19"/>
        <v/>
      </c>
      <c r="S55" s="589" t="str">
        <f t="shared" si="20"/>
        <v/>
      </c>
      <c r="T55" s="597" t="str">
        <f t="shared" ca="1" si="9"/>
        <v/>
      </c>
      <c r="U55" s="491" t="str">
        <f t="shared" ca="1" si="10"/>
        <v/>
      </c>
      <c r="V55" s="705" t="str">
        <f t="shared" ca="1" si="21"/>
        <v/>
      </c>
      <c r="W55" s="493" t="str">
        <f t="shared" ca="1" si="11"/>
        <v/>
      </c>
      <c r="X55" s="489" t="str">
        <f t="shared" ca="1" si="12"/>
        <v/>
      </c>
      <c r="Y55" s="488"/>
      <c r="Z55" s="714"/>
      <c r="AD55" s="611"/>
      <c r="AE55" s="628" t="str">
        <f t="shared" si="13"/>
        <v/>
      </c>
      <c r="AF55" s="630"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30"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03" t="str">
        <f t="shared" ca="1" si="14"/>
        <v/>
      </c>
      <c r="AI55" s="603" t="str" cm="1">
        <f t="array" ref="AI55">IFERROR(INDEX(始値!$E$6:$BT$305,MATCH(TEXT($B55,"0"),TEXT(銘柄管理!$B$6:$B$305,"0"),0),MATCH($AE55,始値!$E$3:$BT$3,0)),"")</f>
        <v/>
      </c>
      <c r="AJ55" s="612" t="str">
        <f t="shared" ca="1" si="15"/>
        <v/>
      </c>
      <c r="AK55" s="633" t="str">
        <f t="shared" ca="1" si="16"/>
        <v/>
      </c>
      <c r="BB55" s="603" t="str">
        <f>IF(N(買抽出v13!$C55)=0,"",N(買抽出v13!$Q55)+N(買抽出v13!$L55)/1000-ROW()/1000000)</f>
        <v/>
      </c>
      <c r="BC55" s="603" t="str">
        <f>IF(N(売抽出v13!$C55)=0,"",N(売抽出v13!$Q55)+IFERROR(VALUE(SUBSTITUTE(売抽出v13!$L55,"倍","")),0)/1000-ROW()/1000000)</f>
        <v/>
      </c>
    </row>
    <row r="56" spans="1:55" ht="35.4" customHeight="1">
      <c r="A56" s="623" t="str">
        <f t="shared" si="0"/>
        <v/>
      </c>
      <c r="B56" s="634"/>
      <c r="C56" s="490"/>
      <c r="D56" s="627" t="str" cm="1">
        <f t="array" ref="D56">IF($B56="","",_xll.RssMarket($B56,"銘柄名称"))</f>
        <v/>
      </c>
      <c r="E56" s="720"/>
      <c r="F56" s="702" t="str" cm="1">
        <f t="array" aca="1" ref="F56" ca="1">IFERROR(_xlfn.LET(_xlpm.r,MATCH(TEXT($B56,"0"),TEXT(銘柄管理!$B$6:$B$305,"0"),0),_xlpm.t,MOD(NOW(),1),_xlpm.c,IF($E56=TODAY(),IF(_xlpm.t&gt;=TIME(15,30,0),NA(),1),IF(MATCH($E56,始値!$E$3:$BT$3,0)=1,1,MATCH($E56,始値!$E$3:$BT$3,0)+1)),_xlpm.v,INDEX(始値!$C$6:$BT$305,_xlpm.r,_xlpm.c),IF(N(_xlpm.v)=0,"",_xlpm.v)),"")</f>
        <v/>
      </c>
      <c r="G56" s="635"/>
      <c r="H56" s="491" t="str" cm="1">
        <f t="array" ref="H56">IF($B56="","",_xll.RssMarket($B56,"現在値"))</f>
        <v/>
      </c>
      <c r="I56" s="491" t="str" cm="1">
        <f t="array" ref="I56">IF($B56="","",_xll.RssMarket($B56,"出来高加重平均"))</f>
        <v/>
      </c>
      <c r="J56" s="705" t="str" cm="1">
        <f t="array" ref="J56">IF($B56="","",_xll.RssMarket($B56,"前日比"))</f>
        <v/>
      </c>
      <c r="K56" s="705" t="str">
        <f t="shared" ca="1" si="17"/>
        <v/>
      </c>
      <c r="L56" s="710" t="str">
        <f t="shared" ca="1" si="18"/>
        <v/>
      </c>
      <c r="M56" s="491" t="str">
        <f t="shared" ca="1" si="6"/>
        <v/>
      </c>
      <c r="N56" s="491" t="str">
        <f t="shared" ca="1" si="7"/>
        <v/>
      </c>
      <c r="O56" s="492" t="str">
        <f t="shared" ca="1" si="8"/>
        <v/>
      </c>
      <c r="P56" s="491" t="str" cm="1">
        <f t="array" aca="1" ref="P56" ca="1">IF($B56="","",IFERROR(MAX(OFFSET(高値!$E$6,MATCH(TEXT($B56,"0"),TEXT(銘柄管理!$B$6:$B$305,"0"),0)-1,0,1,10)),""))</f>
        <v/>
      </c>
      <c r="Q56" s="491" t="str" cm="1">
        <f t="array" aca="1" ref="Q56" ca="1">IF($B56="","",IFERROR(MIN(OFFSET(安値!$E$6,MATCH(TEXT($B56,"0"),TEXT(銘柄管理!$B$6:$B$305,"0"),0)-1,0,1,10)),""))</f>
        <v/>
      </c>
      <c r="R56" s="491" t="str">
        <f t="shared" ca="1" si="19"/>
        <v/>
      </c>
      <c r="S56" s="589" t="str">
        <f t="shared" si="20"/>
        <v/>
      </c>
      <c r="T56" s="597" t="str">
        <f t="shared" ca="1" si="9"/>
        <v/>
      </c>
      <c r="U56" s="491" t="str">
        <f t="shared" ca="1" si="10"/>
        <v/>
      </c>
      <c r="V56" s="705" t="str">
        <f t="shared" ca="1" si="21"/>
        <v/>
      </c>
      <c r="W56" s="493" t="str">
        <f t="shared" ca="1" si="11"/>
        <v/>
      </c>
      <c r="X56" s="489" t="str">
        <f t="shared" ca="1" si="12"/>
        <v/>
      </c>
      <c r="Y56" s="488"/>
      <c r="Z56" s="714"/>
      <c r="AD56" s="611"/>
      <c r="AE56" s="628" t="str">
        <f t="shared" si="13"/>
        <v/>
      </c>
      <c r="AF56" s="630"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30"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03" t="str">
        <f t="shared" ca="1" si="14"/>
        <v/>
      </c>
      <c r="AI56" s="603" t="str" cm="1">
        <f t="array" ref="AI56">IFERROR(INDEX(始値!$E$6:$BT$305,MATCH(TEXT($B56,"0"),TEXT(銘柄管理!$B$6:$B$305,"0"),0),MATCH($AE56,始値!$E$3:$BT$3,0)),"")</f>
        <v/>
      </c>
      <c r="AJ56" s="612" t="str">
        <f t="shared" ca="1" si="15"/>
        <v/>
      </c>
      <c r="AK56" s="633" t="str">
        <f t="shared" ca="1" si="16"/>
        <v/>
      </c>
      <c r="AL56" s="488" t="s">
        <v>1288</v>
      </c>
      <c r="BB56" s="603" t="str">
        <f>IF(N(買抽出v13!$C56)=0,"",N(買抽出v13!$Q56)+N(買抽出v13!$L56)/1000-ROW()/1000000)</f>
        <v/>
      </c>
      <c r="BC56" s="603" t="str">
        <f>IF(N(売抽出v13!$C56)=0,"",N(売抽出v13!$Q56)+IFERROR(VALUE(SUBSTITUTE(売抽出v13!$L56,"倍","")),0)/1000-ROW()/1000000)</f>
        <v/>
      </c>
    </row>
    <row r="57" spans="1:55" ht="35.4" customHeight="1">
      <c r="A57" s="623" t="str">
        <f t="shared" si="0"/>
        <v/>
      </c>
      <c r="B57" s="634"/>
      <c r="C57" s="490"/>
      <c r="D57" s="627" t="str" cm="1">
        <f t="array" ref="D57">IF($B57="","",_xll.RssMarket($B57,"銘柄名称"))</f>
        <v/>
      </c>
      <c r="E57" s="720"/>
      <c r="F57" s="702" t="str" cm="1">
        <f t="array" aca="1" ref="F57" ca="1">IFERROR(_xlfn.LET(_xlpm.r,MATCH(TEXT($B57,"0"),TEXT(銘柄管理!$B$6:$B$305,"0"),0),_xlpm.t,MOD(NOW(),1),_xlpm.c,IF($E57=TODAY(),IF(_xlpm.t&gt;=TIME(15,30,0),NA(),1),IF(MATCH($E57,始値!$E$3:$BT$3,0)=1,1,MATCH($E57,始値!$E$3:$BT$3,0)+1)),_xlpm.v,INDEX(始値!$C$6:$BT$305,_xlpm.r,_xlpm.c),IF(N(_xlpm.v)=0,"",_xlpm.v)),"")</f>
        <v/>
      </c>
      <c r="G57" s="635"/>
      <c r="H57" s="491" t="str" cm="1">
        <f t="array" ref="H57">IF($B57="","",_xll.RssMarket($B57,"現在値"))</f>
        <v/>
      </c>
      <c r="I57" s="491" t="str" cm="1">
        <f t="array" ref="I57">IF($B57="","",_xll.RssMarket($B57,"出来高加重平均"))</f>
        <v/>
      </c>
      <c r="J57" s="705" t="str" cm="1">
        <f t="array" ref="J57">IF($B57="","",_xll.RssMarket($B57,"前日比"))</f>
        <v/>
      </c>
      <c r="K57" s="705" t="str">
        <f t="shared" ca="1" si="17"/>
        <v/>
      </c>
      <c r="L57" s="710" t="str">
        <f t="shared" ca="1" si="18"/>
        <v/>
      </c>
      <c r="M57" s="491" t="str">
        <f t="shared" ca="1" si="6"/>
        <v/>
      </c>
      <c r="N57" s="491" t="str">
        <f t="shared" ca="1" si="7"/>
        <v/>
      </c>
      <c r="O57" s="492" t="str">
        <f t="shared" ca="1" si="8"/>
        <v/>
      </c>
      <c r="P57" s="491" t="str" cm="1">
        <f t="array" aca="1" ref="P57" ca="1">IF($B57="","",IFERROR(MAX(OFFSET(高値!$E$6,MATCH(TEXT($B57,"0"),TEXT(銘柄管理!$B$6:$B$305,"0"),0)-1,0,1,10)),""))</f>
        <v/>
      </c>
      <c r="Q57" s="491" t="str" cm="1">
        <f t="array" aca="1" ref="Q57" ca="1">IF($B57="","",IFERROR(MIN(OFFSET(安値!$E$6,MATCH(TEXT($B57,"0"),TEXT(銘柄管理!$B$6:$B$305,"0"),0)-1,0,1,10)),""))</f>
        <v/>
      </c>
      <c r="R57" s="491" t="str">
        <f t="shared" ca="1" si="19"/>
        <v/>
      </c>
      <c r="S57" s="589" t="str">
        <f t="shared" si="20"/>
        <v/>
      </c>
      <c r="T57" s="597" t="str">
        <f t="shared" ca="1" si="9"/>
        <v/>
      </c>
      <c r="U57" s="491" t="str">
        <f t="shared" ca="1" si="10"/>
        <v/>
      </c>
      <c r="V57" s="705" t="str">
        <f t="shared" ca="1" si="21"/>
        <v/>
      </c>
      <c r="W57" s="493" t="str">
        <f t="shared" ca="1" si="11"/>
        <v/>
      </c>
      <c r="X57" s="489" t="str">
        <f t="shared" ca="1" si="12"/>
        <v/>
      </c>
      <c r="Y57" s="488"/>
      <c r="Z57" s="714"/>
      <c r="AD57" s="611"/>
      <c r="AE57" s="628" t="str">
        <f t="shared" si="13"/>
        <v/>
      </c>
      <c r="AF57" s="630"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30"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03" t="str">
        <f t="shared" ca="1" si="14"/>
        <v/>
      </c>
      <c r="AI57" s="603" t="str" cm="1">
        <f t="array" ref="AI57">IFERROR(INDEX(始値!$E$6:$BT$305,MATCH(TEXT($B57,"0"),TEXT(銘柄管理!$B$6:$B$305,"0"),0),MATCH($AE57,始値!$E$3:$BT$3,0)),"")</f>
        <v/>
      </c>
      <c r="AJ57" s="612" t="str">
        <f t="shared" ca="1" si="15"/>
        <v/>
      </c>
      <c r="AK57" s="633" t="str">
        <f t="shared" ca="1" si="16"/>
        <v/>
      </c>
      <c r="AL57" s="613" t="s">
        <v>1289</v>
      </c>
      <c r="BB57" s="603" t="str">
        <f>IF(N(買抽出v13!$C57)=0,"",N(買抽出v13!$Q57)+N(買抽出v13!$L57)/1000-ROW()/1000000)</f>
        <v/>
      </c>
      <c r="BC57" s="603" t="str">
        <f>IF(N(売抽出v13!$C57)=0,"",N(売抽出v13!$Q57)+IFERROR(VALUE(SUBSTITUTE(売抽出v13!$L57,"倍","")),0)/1000-ROW()/1000000)</f>
        <v/>
      </c>
    </row>
    <row r="58" spans="1:55" ht="35.4" customHeight="1">
      <c r="A58" s="623" t="str">
        <f t="shared" si="0"/>
        <v/>
      </c>
      <c r="B58" s="634"/>
      <c r="C58" s="490"/>
      <c r="D58" s="627" t="str" cm="1">
        <f t="array" ref="D58">IF($B58="","",_xll.RssMarket($B58,"銘柄名称"))</f>
        <v/>
      </c>
      <c r="E58" s="720"/>
      <c r="F58" s="702" t="str" cm="1">
        <f t="array" aca="1" ref="F58" ca="1">IFERROR(_xlfn.LET(_xlpm.r,MATCH(TEXT($B58,"0"),TEXT(銘柄管理!$B$6:$B$305,"0"),0),_xlpm.t,MOD(NOW(),1),_xlpm.c,IF($E58=TODAY(),IF(_xlpm.t&gt;=TIME(15,30,0),NA(),1),IF(MATCH($E58,始値!$E$3:$BT$3,0)=1,1,MATCH($E58,始値!$E$3:$BT$3,0)+1)),_xlpm.v,INDEX(始値!$C$6:$BT$305,_xlpm.r,_xlpm.c),IF(N(_xlpm.v)=0,"",_xlpm.v)),"")</f>
        <v/>
      </c>
      <c r="G58" s="635"/>
      <c r="H58" s="491" t="str" cm="1">
        <f t="array" ref="H58">IF($B58="","",_xll.RssMarket($B58,"現在値"))</f>
        <v/>
      </c>
      <c r="I58" s="491" t="str" cm="1">
        <f t="array" ref="I58">IF($B58="","",_xll.RssMarket($B58,"出来高加重平均"))</f>
        <v/>
      </c>
      <c r="J58" s="705" t="str" cm="1">
        <f t="array" ref="J58">IF($B58="","",_xll.RssMarket($B58,"前日比"))</f>
        <v/>
      </c>
      <c r="K58" s="705" t="str">
        <f t="shared" ca="1" si="17"/>
        <v/>
      </c>
      <c r="L58" s="710" t="str">
        <f t="shared" ca="1" si="18"/>
        <v/>
      </c>
      <c r="M58" s="491" t="str">
        <f t="shared" ca="1" si="6"/>
        <v/>
      </c>
      <c r="N58" s="491" t="str">
        <f t="shared" ca="1" si="7"/>
        <v/>
      </c>
      <c r="O58" s="492" t="str">
        <f t="shared" ca="1" si="8"/>
        <v/>
      </c>
      <c r="P58" s="491" t="str" cm="1">
        <f t="array" aca="1" ref="P58" ca="1">IF($B58="","",IFERROR(MAX(OFFSET(高値!$E$6,MATCH(TEXT($B58,"0"),TEXT(銘柄管理!$B$6:$B$305,"0"),0)-1,0,1,10)),""))</f>
        <v/>
      </c>
      <c r="Q58" s="491" t="str" cm="1">
        <f t="array" aca="1" ref="Q58" ca="1">IF($B58="","",IFERROR(MIN(OFFSET(安値!$E$6,MATCH(TEXT($B58,"0"),TEXT(銘柄管理!$B$6:$B$305,"0"),0)-1,0,1,10)),""))</f>
        <v/>
      </c>
      <c r="R58" s="491" t="str">
        <f t="shared" ca="1" si="19"/>
        <v/>
      </c>
      <c r="S58" s="589" t="str">
        <f t="shared" si="20"/>
        <v/>
      </c>
      <c r="T58" s="597" t="str">
        <f t="shared" ca="1" si="9"/>
        <v/>
      </c>
      <c r="U58" s="491" t="str">
        <f t="shared" ca="1" si="10"/>
        <v/>
      </c>
      <c r="V58" s="705" t="str">
        <f t="shared" ca="1" si="21"/>
        <v/>
      </c>
      <c r="W58" s="493" t="str">
        <f t="shared" ca="1" si="11"/>
        <v/>
      </c>
      <c r="X58" s="489" t="str">
        <f t="shared" ca="1" si="12"/>
        <v/>
      </c>
      <c r="Y58" s="488"/>
      <c r="Z58" s="714"/>
      <c r="AD58" s="611"/>
      <c r="AE58" s="628" t="str">
        <f t="shared" si="13"/>
        <v/>
      </c>
      <c r="AF58" s="630"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30"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03" t="str">
        <f t="shared" ca="1" si="14"/>
        <v/>
      </c>
      <c r="AI58" s="603" t="str" cm="1">
        <f t="array" ref="AI58">IFERROR(INDEX(始値!$E$6:$BT$305,MATCH(TEXT($B58,"0"),TEXT(銘柄管理!$B$6:$B$305,"0"),0),MATCH($AE58,始値!$E$3:$BT$3,0)),"")</f>
        <v/>
      </c>
      <c r="AJ58" s="612" t="str">
        <f t="shared" ca="1" si="15"/>
        <v/>
      </c>
      <c r="AK58" s="633" t="str">
        <f t="shared" ca="1" si="16"/>
        <v/>
      </c>
      <c r="AL58" s="613" t="s">
        <v>1290</v>
      </c>
      <c r="BB58" s="603" t="str">
        <f>IF(N(買抽出v13!$C58)=0,"",N(買抽出v13!$Q58)+N(買抽出v13!$L58)/1000-ROW()/1000000)</f>
        <v/>
      </c>
      <c r="BC58" s="603" t="str">
        <f>IF(N(売抽出v13!$C58)=0,"",N(売抽出v13!$Q58)+IFERROR(VALUE(SUBSTITUTE(売抽出v13!$L58,"倍","")),0)/1000-ROW()/1000000)</f>
        <v/>
      </c>
    </row>
    <row r="59" spans="1:55" ht="35.4" customHeight="1">
      <c r="A59" s="623" t="str">
        <f t="shared" si="0"/>
        <v/>
      </c>
      <c r="B59" s="634"/>
      <c r="C59" s="490"/>
      <c r="D59" s="627" t="str" cm="1">
        <f t="array" ref="D59">IF($B59="","",_xll.RssMarket($B59,"銘柄名称"))</f>
        <v/>
      </c>
      <c r="E59" s="720"/>
      <c r="F59" s="702" t="str" cm="1">
        <f t="array" aca="1" ref="F59" ca="1">IFERROR(_xlfn.LET(_xlpm.r,MATCH(TEXT($B59,"0"),TEXT(銘柄管理!$B$6:$B$305,"0"),0),_xlpm.t,MOD(NOW(),1),_xlpm.c,IF($E59=TODAY(),IF(_xlpm.t&gt;=TIME(15,30,0),NA(),1),IF(MATCH($E59,始値!$E$3:$BT$3,0)=1,1,MATCH($E59,始値!$E$3:$BT$3,0)+1)),_xlpm.v,INDEX(始値!$C$6:$BT$305,_xlpm.r,_xlpm.c),IF(N(_xlpm.v)=0,"",_xlpm.v)),"")</f>
        <v/>
      </c>
      <c r="G59" s="635"/>
      <c r="H59" s="491" t="str" cm="1">
        <f t="array" ref="H59">IF($B59="","",_xll.RssMarket($B59,"現在値"))</f>
        <v/>
      </c>
      <c r="I59" s="491" t="str" cm="1">
        <f t="array" ref="I59">IF($B59="","",_xll.RssMarket($B59,"出来高加重平均"))</f>
        <v/>
      </c>
      <c r="J59" s="705" t="str" cm="1">
        <f t="array" ref="J59">IF($B59="","",_xll.RssMarket($B59,"前日比"))</f>
        <v/>
      </c>
      <c r="K59" s="705" t="str">
        <f t="shared" ca="1" si="17"/>
        <v/>
      </c>
      <c r="L59" s="710" t="str">
        <f t="shared" ca="1" si="18"/>
        <v/>
      </c>
      <c r="M59" s="491" t="str">
        <f t="shared" ca="1" si="6"/>
        <v/>
      </c>
      <c r="N59" s="491" t="str">
        <f t="shared" ca="1" si="7"/>
        <v/>
      </c>
      <c r="O59" s="492" t="str">
        <f t="shared" ca="1" si="8"/>
        <v/>
      </c>
      <c r="P59" s="491" t="str" cm="1">
        <f t="array" aca="1" ref="P59" ca="1">IF($B59="","",IFERROR(MAX(OFFSET(高値!$E$6,MATCH(TEXT($B59,"0"),TEXT(銘柄管理!$B$6:$B$305,"0"),0)-1,0,1,10)),""))</f>
        <v/>
      </c>
      <c r="Q59" s="491" t="str" cm="1">
        <f t="array" aca="1" ref="Q59" ca="1">IF($B59="","",IFERROR(MIN(OFFSET(安値!$E$6,MATCH(TEXT($B59,"0"),TEXT(銘柄管理!$B$6:$B$305,"0"),0)-1,0,1,10)),""))</f>
        <v/>
      </c>
      <c r="R59" s="491" t="str">
        <f t="shared" ca="1" si="19"/>
        <v/>
      </c>
      <c r="S59" s="589" t="str">
        <f t="shared" si="20"/>
        <v/>
      </c>
      <c r="T59" s="597" t="str">
        <f t="shared" ca="1" si="9"/>
        <v/>
      </c>
      <c r="U59" s="491" t="str">
        <f t="shared" ca="1" si="10"/>
        <v/>
      </c>
      <c r="V59" s="705" t="str">
        <f t="shared" ca="1" si="21"/>
        <v/>
      </c>
      <c r="W59" s="493" t="str">
        <f t="shared" ca="1" si="11"/>
        <v/>
      </c>
      <c r="X59" s="489" t="str">
        <f t="shared" ca="1" si="12"/>
        <v/>
      </c>
      <c r="Y59" s="488"/>
      <c r="Z59" s="714"/>
      <c r="AD59" s="611"/>
      <c r="AE59" s="628" t="str">
        <f t="shared" si="13"/>
        <v/>
      </c>
      <c r="AF59" s="630"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30"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03" t="str">
        <f t="shared" ca="1" si="14"/>
        <v/>
      </c>
      <c r="AI59" s="603" t="str" cm="1">
        <f t="array" ref="AI59">IFERROR(INDEX(始値!$E$6:$BT$305,MATCH(TEXT($B59,"0"),TEXT(銘柄管理!$B$6:$B$305,"0"),0),MATCH($AE59,始値!$E$3:$BT$3,0)),"")</f>
        <v/>
      </c>
      <c r="AJ59" s="612" t="str">
        <f t="shared" ca="1" si="15"/>
        <v/>
      </c>
      <c r="AK59" s="633" t="str">
        <f t="shared" ca="1" si="16"/>
        <v/>
      </c>
      <c r="AL59" s="613" t="s">
        <v>1291</v>
      </c>
      <c r="BB59" s="603" t="str">
        <f>IF(N(買抽出v13!$C59)=0,"",N(買抽出v13!$Q59)+N(買抽出v13!$L59)/1000-ROW()/1000000)</f>
        <v/>
      </c>
      <c r="BC59" s="603" t="str">
        <f>IF(N(売抽出v13!$C59)=0,"",N(売抽出v13!$Q59)+IFERROR(VALUE(SUBSTITUTE(売抽出v13!$L59,"倍","")),0)/1000-ROW()/1000000)</f>
        <v/>
      </c>
    </row>
    <row r="60" spans="1:55" ht="35.4" customHeight="1">
      <c r="A60" s="623" t="str">
        <f t="shared" si="0"/>
        <v/>
      </c>
      <c r="B60" s="634"/>
      <c r="C60" s="490"/>
      <c r="D60" s="627" t="str" cm="1">
        <f t="array" ref="D60">IF($B60="","",_xll.RssMarket($B60,"銘柄名称"))</f>
        <v/>
      </c>
      <c r="E60" s="720"/>
      <c r="F60" s="702" t="str" cm="1">
        <f t="array" aca="1" ref="F60" ca="1">IFERROR(_xlfn.LET(_xlpm.r,MATCH(TEXT($B60,"0"),TEXT(銘柄管理!$B$6:$B$305,"0"),0),_xlpm.t,MOD(NOW(),1),_xlpm.c,IF($E60=TODAY(),IF(_xlpm.t&gt;=TIME(15,30,0),NA(),1),IF(MATCH($E60,始値!$E$3:$BT$3,0)=1,1,MATCH($E60,始値!$E$3:$BT$3,0)+1)),_xlpm.v,INDEX(始値!$C$6:$BT$305,_xlpm.r,_xlpm.c),IF(N(_xlpm.v)=0,"",_xlpm.v)),"")</f>
        <v/>
      </c>
      <c r="G60" s="635"/>
      <c r="H60" s="491" t="str" cm="1">
        <f t="array" ref="H60">IF($B60="","",_xll.RssMarket($B60,"現在値"))</f>
        <v/>
      </c>
      <c r="I60" s="491" t="str" cm="1">
        <f t="array" ref="I60">IF($B60="","",_xll.RssMarket($B60,"出来高加重平均"))</f>
        <v/>
      </c>
      <c r="J60" s="705" t="str" cm="1">
        <f t="array" ref="J60">IF($B60="","",_xll.RssMarket($B60,"前日比"))</f>
        <v/>
      </c>
      <c r="K60" s="705" t="str">
        <f t="shared" ca="1" si="17"/>
        <v/>
      </c>
      <c r="L60" s="710" t="str">
        <f t="shared" ca="1" si="18"/>
        <v/>
      </c>
      <c r="M60" s="491" t="str">
        <f t="shared" ca="1" si="6"/>
        <v/>
      </c>
      <c r="N60" s="491" t="str">
        <f t="shared" ca="1" si="7"/>
        <v/>
      </c>
      <c r="O60" s="492" t="str">
        <f t="shared" ca="1" si="8"/>
        <v/>
      </c>
      <c r="P60" s="491" t="str" cm="1">
        <f t="array" aca="1" ref="P60" ca="1">IF($B60="","",IFERROR(MAX(OFFSET(高値!$E$6,MATCH(TEXT($B60,"0"),TEXT(銘柄管理!$B$6:$B$305,"0"),0)-1,0,1,10)),""))</f>
        <v/>
      </c>
      <c r="Q60" s="491" t="str" cm="1">
        <f t="array" aca="1" ref="Q60" ca="1">IF($B60="","",IFERROR(MIN(OFFSET(安値!$E$6,MATCH(TEXT($B60,"0"),TEXT(銘柄管理!$B$6:$B$305,"0"),0)-1,0,1,10)),""))</f>
        <v/>
      </c>
      <c r="R60" s="491" t="str">
        <f t="shared" ca="1" si="19"/>
        <v/>
      </c>
      <c r="S60" s="589" t="str">
        <f t="shared" si="20"/>
        <v/>
      </c>
      <c r="T60" s="597" t="str">
        <f t="shared" ca="1" si="9"/>
        <v/>
      </c>
      <c r="U60" s="491" t="str">
        <f t="shared" ca="1" si="10"/>
        <v/>
      </c>
      <c r="V60" s="705" t="str">
        <f t="shared" ca="1" si="21"/>
        <v/>
      </c>
      <c r="W60" s="493" t="str">
        <f t="shared" ca="1" si="11"/>
        <v/>
      </c>
      <c r="X60" s="489" t="str">
        <f t="shared" ca="1" si="12"/>
        <v/>
      </c>
      <c r="Y60" s="488"/>
      <c r="Z60" s="714"/>
      <c r="AD60" s="611"/>
      <c r="AE60" s="628" t="str">
        <f t="shared" si="13"/>
        <v/>
      </c>
      <c r="AF60" s="630"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30"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03" t="str">
        <f t="shared" ca="1" si="14"/>
        <v/>
      </c>
      <c r="AI60" s="603" t="str" cm="1">
        <f t="array" ref="AI60">IFERROR(INDEX(始値!$E$6:$BT$305,MATCH(TEXT($B60,"0"),TEXT(銘柄管理!$B$6:$B$305,"0"),0),MATCH($AE60,始値!$E$3:$BT$3,0)),"")</f>
        <v/>
      </c>
      <c r="AJ60" s="612" t="str">
        <f t="shared" ca="1" si="15"/>
        <v/>
      </c>
      <c r="AK60" s="633" t="str">
        <f t="shared" ca="1" si="16"/>
        <v/>
      </c>
      <c r="AL60" s="613" t="s">
        <v>1342</v>
      </c>
      <c r="BB60" s="603" t="str">
        <f>IF(N(買抽出v13!$C60)=0,"",N(買抽出v13!$Q60)+N(買抽出v13!$L60)/1000-ROW()/1000000)</f>
        <v/>
      </c>
      <c r="BC60" s="603" t="str">
        <f>IF(N(売抽出v13!$C60)=0,"",N(売抽出v13!$Q60)+IFERROR(VALUE(SUBSTITUTE(売抽出v13!$L60,"倍","")),0)/1000-ROW()/1000000)</f>
        <v/>
      </c>
    </row>
    <row r="61" spans="1:55" ht="35.4" customHeight="1">
      <c r="A61" s="623" t="str">
        <f t="shared" si="0"/>
        <v/>
      </c>
      <c r="B61" s="634"/>
      <c r="C61" s="490"/>
      <c r="D61" s="627" t="str" cm="1">
        <f t="array" ref="D61">IF($B61="","",_xll.RssMarket($B61,"銘柄名称"))</f>
        <v/>
      </c>
      <c r="E61" s="720"/>
      <c r="F61" s="702" t="str" cm="1">
        <f t="array" aca="1" ref="F61" ca="1">IFERROR(_xlfn.LET(_xlpm.r,MATCH(TEXT($B61,"0"),TEXT(銘柄管理!$B$6:$B$305,"0"),0),_xlpm.t,MOD(NOW(),1),_xlpm.c,IF($E61=TODAY(),IF(_xlpm.t&gt;=TIME(15,30,0),NA(),1),IF(MATCH($E61,始値!$E$3:$BT$3,0)=1,1,MATCH($E61,始値!$E$3:$BT$3,0)+1)),_xlpm.v,INDEX(始値!$C$6:$BT$305,_xlpm.r,_xlpm.c),IF(N(_xlpm.v)=0,"",_xlpm.v)),"")</f>
        <v/>
      </c>
      <c r="G61" s="635"/>
      <c r="H61" s="491" t="str" cm="1">
        <f t="array" ref="H61">IF($B61="","",_xll.RssMarket($B61,"現在値"))</f>
        <v/>
      </c>
      <c r="I61" s="491" t="str" cm="1">
        <f t="array" ref="I61">IF($B61="","",_xll.RssMarket($B61,"出来高加重平均"))</f>
        <v/>
      </c>
      <c r="J61" s="705" t="str" cm="1">
        <f t="array" ref="J61">IF($B61="","",_xll.RssMarket($B61,"前日比"))</f>
        <v/>
      </c>
      <c r="K61" s="705" t="str">
        <f t="shared" ca="1" si="17"/>
        <v/>
      </c>
      <c r="L61" s="710" t="str">
        <f t="shared" ca="1" si="18"/>
        <v/>
      </c>
      <c r="M61" s="491" t="str">
        <f t="shared" ca="1" si="6"/>
        <v/>
      </c>
      <c r="N61" s="491" t="str">
        <f t="shared" ca="1" si="7"/>
        <v/>
      </c>
      <c r="O61" s="492" t="str">
        <f t="shared" ca="1" si="8"/>
        <v/>
      </c>
      <c r="P61" s="491" t="str" cm="1">
        <f t="array" aca="1" ref="P61" ca="1">IF($B61="","",IFERROR(MAX(OFFSET(高値!$E$6,MATCH(TEXT($B61,"0"),TEXT(銘柄管理!$B$6:$B$305,"0"),0)-1,0,1,10)),""))</f>
        <v/>
      </c>
      <c r="Q61" s="491" t="str" cm="1">
        <f t="array" aca="1" ref="Q61" ca="1">IF($B61="","",IFERROR(MIN(OFFSET(安値!$E$6,MATCH(TEXT($B61,"0"),TEXT(銘柄管理!$B$6:$B$305,"0"),0)-1,0,1,10)),""))</f>
        <v/>
      </c>
      <c r="R61" s="491" t="str">
        <f t="shared" ca="1" si="19"/>
        <v/>
      </c>
      <c r="S61" s="589" t="str">
        <f t="shared" si="20"/>
        <v/>
      </c>
      <c r="T61" s="597" t="str">
        <f t="shared" ca="1" si="9"/>
        <v/>
      </c>
      <c r="U61" s="491" t="str">
        <f t="shared" ca="1" si="10"/>
        <v/>
      </c>
      <c r="V61" s="705" t="str">
        <f t="shared" ca="1" si="21"/>
        <v/>
      </c>
      <c r="W61" s="493" t="str">
        <f t="shared" ca="1" si="11"/>
        <v/>
      </c>
      <c r="X61" s="489" t="str">
        <f t="shared" ca="1" si="12"/>
        <v/>
      </c>
      <c r="Y61" s="488"/>
      <c r="Z61" s="714"/>
      <c r="AD61" s="611"/>
      <c r="AE61" s="628" t="str">
        <f t="shared" si="13"/>
        <v/>
      </c>
      <c r="AF61" s="630"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30"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03" t="str">
        <f t="shared" ca="1" si="14"/>
        <v/>
      </c>
      <c r="AI61" s="603" t="str" cm="1">
        <f t="array" ref="AI61">IFERROR(INDEX(始値!$E$6:$BT$305,MATCH(TEXT($B61,"0"),TEXT(銘柄管理!$B$6:$B$305,"0"),0),MATCH($AE61,始値!$E$3:$BT$3,0)),"")</f>
        <v/>
      </c>
      <c r="AJ61" s="612" t="str">
        <f t="shared" ca="1" si="15"/>
        <v/>
      </c>
      <c r="AK61" s="633" t="str">
        <f t="shared" ca="1" si="16"/>
        <v/>
      </c>
      <c r="AL61" s="613" t="s">
        <v>1322</v>
      </c>
    </row>
    <row r="62" spans="1:55" ht="35.4" customHeight="1">
      <c r="A62" s="623" t="str">
        <f t="shared" si="0"/>
        <v/>
      </c>
      <c r="B62" s="634"/>
      <c r="C62" s="490"/>
      <c r="D62" s="627" t="str" cm="1">
        <f t="array" ref="D62">IF($B62="","",_xll.RssMarket($B62,"銘柄名称"))</f>
        <v/>
      </c>
      <c r="E62" s="720"/>
      <c r="F62" s="702" t="str" cm="1">
        <f t="array" aca="1" ref="F62" ca="1">IFERROR(_xlfn.LET(_xlpm.r,MATCH(TEXT($B62,"0"),TEXT(銘柄管理!$B$6:$B$305,"0"),0),_xlpm.t,MOD(NOW(),1),_xlpm.c,IF($E62=TODAY(),IF(_xlpm.t&gt;=TIME(15,30,0),NA(),1),IF(MATCH($E62,始値!$E$3:$BT$3,0)=1,1,MATCH($E62,始値!$E$3:$BT$3,0)+1)),_xlpm.v,INDEX(始値!$C$6:$BT$305,_xlpm.r,_xlpm.c),IF(N(_xlpm.v)=0,"",_xlpm.v)),"")</f>
        <v/>
      </c>
      <c r="G62" s="635"/>
      <c r="H62" s="491" t="str" cm="1">
        <f t="array" ref="H62">IF($B62="","",_xll.RssMarket($B62,"現在値"))</f>
        <v/>
      </c>
      <c r="I62" s="491" t="str" cm="1">
        <f t="array" ref="I62">IF($B62="","",_xll.RssMarket($B62,"出来高加重平均"))</f>
        <v/>
      </c>
      <c r="J62" s="705" t="str" cm="1">
        <f t="array" ref="J62">IF($B62="","",_xll.RssMarket($B62,"前日比"))</f>
        <v/>
      </c>
      <c r="K62" s="705" t="str">
        <f t="shared" ca="1" si="17"/>
        <v/>
      </c>
      <c r="L62" s="710" t="str">
        <f t="shared" ca="1" si="18"/>
        <v/>
      </c>
      <c r="M62" s="491" t="str">
        <f t="shared" ca="1" si="6"/>
        <v/>
      </c>
      <c r="N62" s="491" t="str">
        <f t="shared" ca="1" si="7"/>
        <v/>
      </c>
      <c r="O62" s="492" t="str">
        <f t="shared" ca="1" si="8"/>
        <v/>
      </c>
      <c r="P62" s="491" t="str" cm="1">
        <f t="array" aca="1" ref="P62" ca="1">IF($B62="","",IFERROR(MAX(OFFSET(高値!$E$6,MATCH(TEXT($B62,"0"),TEXT(銘柄管理!$B$6:$B$305,"0"),0)-1,0,1,10)),""))</f>
        <v/>
      </c>
      <c r="Q62" s="491" t="str" cm="1">
        <f t="array" aca="1" ref="Q62" ca="1">IF($B62="","",IFERROR(MIN(OFFSET(安値!$E$6,MATCH(TEXT($B62,"0"),TEXT(銘柄管理!$B$6:$B$305,"0"),0)-1,0,1,10)),""))</f>
        <v/>
      </c>
      <c r="R62" s="491" t="str">
        <f t="shared" ca="1" si="19"/>
        <v/>
      </c>
      <c r="S62" s="589" t="str">
        <f t="shared" si="20"/>
        <v/>
      </c>
      <c r="T62" s="597" t="str">
        <f t="shared" ca="1" si="9"/>
        <v/>
      </c>
      <c r="U62" s="491" t="str">
        <f t="shared" ca="1" si="10"/>
        <v/>
      </c>
      <c r="V62" s="705" t="str">
        <f t="shared" ca="1" si="21"/>
        <v/>
      </c>
      <c r="W62" s="493" t="str">
        <f t="shared" ca="1" si="11"/>
        <v/>
      </c>
      <c r="X62" s="489" t="str">
        <f t="shared" ca="1" si="12"/>
        <v/>
      </c>
      <c r="Y62" s="488"/>
      <c r="Z62" s="714"/>
      <c r="AD62" s="611"/>
      <c r="AE62" s="628" t="str">
        <f t="shared" si="13"/>
        <v/>
      </c>
      <c r="AF62" s="630"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30"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03" t="str">
        <f t="shared" ca="1" si="14"/>
        <v/>
      </c>
      <c r="AI62" s="603" t="str" cm="1">
        <f t="array" ref="AI62">IFERROR(INDEX(始値!$E$6:$BT$305,MATCH(TEXT($B62,"0"),TEXT(銘柄管理!$B$6:$B$305,"0"),0),MATCH($AE62,始値!$E$3:$BT$3,0)),"")</f>
        <v/>
      </c>
      <c r="AJ62" s="612" t="str">
        <f t="shared" ca="1" si="15"/>
        <v/>
      </c>
      <c r="AK62" s="633" t="str">
        <f t="shared" ca="1" si="16"/>
        <v/>
      </c>
      <c r="AL62" s="621" t="s">
        <v>1343</v>
      </c>
    </row>
    <row r="63" spans="1:55" ht="35.4" customHeight="1">
      <c r="A63" s="623" t="str">
        <f t="shared" si="0"/>
        <v/>
      </c>
      <c r="B63" s="634"/>
      <c r="C63" s="490"/>
      <c r="D63" s="627" t="str" cm="1">
        <f t="array" ref="D63">IF($B63="","",_xll.RssMarket($B63,"銘柄名称"))</f>
        <v/>
      </c>
      <c r="E63" s="720"/>
      <c r="F63" s="702" t="str" cm="1">
        <f t="array" aca="1" ref="F63" ca="1">IFERROR(_xlfn.LET(_xlpm.r,MATCH(TEXT($B63,"0"),TEXT(銘柄管理!$B$6:$B$305,"0"),0),_xlpm.t,MOD(NOW(),1),_xlpm.c,IF($E63=TODAY(),IF(_xlpm.t&gt;=TIME(15,30,0),NA(),1),IF(MATCH($E63,始値!$E$3:$BT$3,0)=1,1,MATCH($E63,始値!$E$3:$BT$3,0)+1)),_xlpm.v,INDEX(始値!$C$6:$BT$305,_xlpm.r,_xlpm.c),IF(N(_xlpm.v)=0,"",_xlpm.v)),"")</f>
        <v/>
      </c>
      <c r="G63" s="635"/>
      <c r="H63" s="491" t="str" cm="1">
        <f t="array" ref="H63">IF($B63="","",_xll.RssMarket($B63,"現在値"))</f>
        <v/>
      </c>
      <c r="I63" s="491" t="str" cm="1">
        <f t="array" ref="I63">IF($B63="","",_xll.RssMarket($B63,"出来高加重平均"))</f>
        <v/>
      </c>
      <c r="J63" s="705" t="str" cm="1">
        <f t="array" ref="J63">IF($B63="","",_xll.RssMarket($B63,"前日比"))</f>
        <v/>
      </c>
      <c r="K63" s="705" t="str">
        <f t="shared" ca="1" si="17"/>
        <v/>
      </c>
      <c r="L63" s="710" t="str">
        <f t="shared" ca="1" si="18"/>
        <v/>
      </c>
      <c r="M63" s="491" t="str">
        <f t="shared" ca="1" si="6"/>
        <v/>
      </c>
      <c r="N63" s="491" t="str">
        <f t="shared" ca="1" si="7"/>
        <v/>
      </c>
      <c r="O63" s="492" t="str">
        <f t="shared" ca="1" si="8"/>
        <v/>
      </c>
      <c r="P63" s="491" t="str" cm="1">
        <f t="array" aca="1" ref="P63" ca="1">IF($B63="","",IFERROR(MAX(OFFSET(高値!$E$6,MATCH(TEXT($B63,"0"),TEXT(銘柄管理!$B$6:$B$305,"0"),0)-1,0,1,10)),""))</f>
        <v/>
      </c>
      <c r="Q63" s="491" t="str" cm="1">
        <f t="array" aca="1" ref="Q63" ca="1">IF($B63="","",IFERROR(MIN(OFFSET(安値!$E$6,MATCH(TEXT($B63,"0"),TEXT(銘柄管理!$B$6:$B$305,"0"),0)-1,0,1,10)),""))</f>
        <v/>
      </c>
      <c r="R63" s="491" t="str">
        <f t="shared" ca="1" si="19"/>
        <v/>
      </c>
      <c r="S63" s="589" t="str">
        <f t="shared" si="20"/>
        <v/>
      </c>
      <c r="T63" s="597" t="str">
        <f t="shared" ca="1" si="9"/>
        <v/>
      </c>
      <c r="U63" s="491" t="str">
        <f t="shared" ca="1" si="10"/>
        <v/>
      </c>
      <c r="V63" s="705" t="str">
        <f t="shared" ca="1" si="21"/>
        <v/>
      </c>
      <c r="W63" s="493" t="str">
        <f t="shared" ca="1" si="11"/>
        <v/>
      </c>
      <c r="X63" s="489" t="str">
        <f t="shared" ca="1" si="12"/>
        <v/>
      </c>
      <c r="Y63" s="488"/>
      <c r="Z63" s="714"/>
      <c r="AD63" s="611"/>
      <c r="AE63" s="628" t="str">
        <f t="shared" si="13"/>
        <v/>
      </c>
      <c r="AF63" s="630"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30"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03" t="str">
        <f t="shared" ca="1" si="14"/>
        <v/>
      </c>
      <c r="AI63" s="603" t="str" cm="1">
        <f t="array" ref="AI63">IFERROR(INDEX(始値!$E$6:$BT$305,MATCH(TEXT($B63,"0"),TEXT(銘柄管理!$B$6:$B$305,"0"),0),MATCH($AE63,始値!$E$3:$BT$3,0)),"")</f>
        <v/>
      </c>
      <c r="AJ63" s="612" t="str">
        <f t="shared" ca="1" si="15"/>
        <v/>
      </c>
      <c r="AK63" s="633" t="str">
        <f t="shared" ca="1" si="16"/>
        <v/>
      </c>
    </row>
    <row r="64" spans="1:55" ht="35.4" customHeight="1">
      <c r="A64" s="623" t="str">
        <f t="shared" si="0"/>
        <v/>
      </c>
      <c r="B64" s="634"/>
      <c r="C64" s="490"/>
      <c r="D64" s="627" t="str" cm="1">
        <f t="array" ref="D64">IF($B64="","",_xll.RssMarket($B64,"銘柄名称"))</f>
        <v/>
      </c>
      <c r="E64" s="720"/>
      <c r="F64" s="702" t="str" cm="1">
        <f t="array" aca="1" ref="F64" ca="1">IFERROR(_xlfn.LET(_xlpm.r,MATCH(TEXT($B64,"0"),TEXT(銘柄管理!$B$6:$B$305,"0"),0),_xlpm.t,MOD(NOW(),1),_xlpm.c,IF($E64=TODAY(),IF(_xlpm.t&gt;=TIME(15,30,0),NA(),1),IF(MATCH($E64,始値!$E$3:$BT$3,0)=1,1,MATCH($E64,始値!$E$3:$BT$3,0)+1)),_xlpm.v,INDEX(始値!$C$6:$BT$305,_xlpm.r,_xlpm.c),IF(N(_xlpm.v)=0,"",_xlpm.v)),"")</f>
        <v/>
      </c>
      <c r="G64" s="635"/>
      <c r="H64" s="491" t="str" cm="1">
        <f t="array" ref="H64">IF($B64="","",_xll.RssMarket($B64,"現在値"))</f>
        <v/>
      </c>
      <c r="I64" s="491" t="str" cm="1">
        <f t="array" ref="I64">IF($B64="","",_xll.RssMarket($B64,"出来高加重平均"))</f>
        <v/>
      </c>
      <c r="J64" s="705" t="str" cm="1">
        <f t="array" ref="J64">IF($B64="","",_xll.RssMarket($B64,"前日比"))</f>
        <v/>
      </c>
      <c r="K64" s="705" t="str">
        <f t="shared" ca="1" si="17"/>
        <v/>
      </c>
      <c r="L64" s="710" t="str">
        <f t="shared" ca="1" si="18"/>
        <v/>
      </c>
      <c r="M64" s="491" t="str">
        <f t="shared" ca="1" si="6"/>
        <v/>
      </c>
      <c r="N64" s="491" t="str">
        <f t="shared" ca="1" si="7"/>
        <v/>
      </c>
      <c r="O64" s="492" t="str">
        <f t="shared" ca="1" si="8"/>
        <v/>
      </c>
      <c r="P64" s="491" t="str" cm="1">
        <f t="array" aca="1" ref="P64" ca="1">IF($B64="","",IFERROR(MAX(OFFSET(高値!$E$6,MATCH(TEXT($B64,"0"),TEXT(銘柄管理!$B$6:$B$305,"0"),0)-1,0,1,10)),""))</f>
        <v/>
      </c>
      <c r="Q64" s="491" t="str" cm="1">
        <f t="array" aca="1" ref="Q64" ca="1">IF($B64="","",IFERROR(MIN(OFFSET(安値!$E$6,MATCH(TEXT($B64,"0"),TEXT(銘柄管理!$B$6:$B$305,"0"),0)-1,0,1,10)),""))</f>
        <v/>
      </c>
      <c r="R64" s="491" t="str">
        <f t="shared" ca="1" si="19"/>
        <v/>
      </c>
      <c r="S64" s="589" t="str">
        <f t="shared" si="20"/>
        <v/>
      </c>
      <c r="T64" s="597" t="str">
        <f t="shared" ca="1" si="9"/>
        <v/>
      </c>
      <c r="U64" s="491" t="str">
        <f t="shared" ca="1" si="10"/>
        <v/>
      </c>
      <c r="V64" s="705" t="str">
        <f t="shared" ca="1" si="21"/>
        <v/>
      </c>
      <c r="W64" s="493" t="str">
        <f t="shared" ca="1" si="11"/>
        <v/>
      </c>
      <c r="X64" s="489" t="str">
        <f t="shared" ca="1" si="12"/>
        <v/>
      </c>
      <c r="Y64" s="488"/>
      <c r="Z64" s="714"/>
      <c r="AD64" s="611"/>
      <c r="AE64" s="628" t="str">
        <f t="shared" si="13"/>
        <v/>
      </c>
      <c r="AF64" s="630"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30"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03" t="str">
        <f t="shared" ca="1" si="14"/>
        <v/>
      </c>
      <c r="AI64" s="603" t="str" cm="1">
        <f t="array" ref="AI64">IFERROR(INDEX(始値!$E$6:$BT$305,MATCH(TEXT($B64,"0"),TEXT(銘柄管理!$B$6:$B$305,"0"),0),MATCH($AE64,始値!$E$3:$BT$3,0)),"")</f>
        <v/>
      </c>
      <c r="AJ64" s="612" t="str">
        <f t="shared" ca="1" si="15"/>
        <v/>
      </c>
      <c r="AK64" s="633" t="str">
        <f t="shared" ca="1" si="16"/>
        <v/>
      </c>
    </row>
    <row r="65" spans="1:37" ht="35.4" customHeight="1">
      <c r="A65" s="623" t="str">
        <f t="shared" si="0"/>
        <v/>
      </c>
      <c r="B65" s="634"/>
      <c r="C65" s="490"/>
      <c r="D65" s="627" t="str" cm="1">
        <f t="array" ref="D65">IF($B65="","",_xll.RssMarket($B65,"銘柄名称"))</f>
        <v/>
      </c>
      <c r="E65" s="720"/>
      <c r="F65" s="702" t="str" cm="1">
        <f t="array" aca="1" ref="F65" ca="1">IFERROR(_xlfn.LET(_xlpm.r,MATCH(TEXT($B65,"0"),TEXT(銘柄管理!$B$6:$B$305,"0"),0),_xlpm.t,MOD(NOW(),1),_xlpm.c,IF($E65=TODAY(),IF(_xlpm.t&gt;=TIME(15,30,0),NA(),1),IF(MATCH($E65,始値!$E$3:$BT$3,0)=1,1,MATCH($E65,始値!$E$3:$BT$3,0)+1)),_xlpm.v,INDEX(始値!$C$6:$BT$305,_xlpm.r,_xlpm.c),IF(N(_xlpm.v)=0,"",_xlpm.v)),"")</f>
        <v/>
      </c>
      <c r="G65" s="635"/>
      <c r="H65" s="491" t="str" cm="1">
        <f t="array" ref="H65">IF($B65="","",_xll.RssMarket($B65,"現在値"))</f>
        <v/>
      </c>
      <c r="I65" s="491" t="str" cm="1">
        <f t="array" ref="I65">IF($B65="","",_xll.RssMarket($B65,"出来高加重平均"))</f>
        <v/>
      </c>
      <c r="J65" s="705" t="str" cm="1">
        <f t="array" ref="J65">IF($B65="","",_xll.RssMarket($B65,"前日比"))</f>
        <v/>
      </c>
      <c r="K65" s="705" t="str">
        <f t="shared" ca="1" si="17"/>
        <v/>
      </c>
      <c r="L65" s="710" t="str">
        <f t="shared" ca="1" si="18"/>
        <v/>
      </c>
      <c r="M65" s="491" t="str">
        <f t="shared" ca="1" si="6"/>
        <v/>
      </c>
      <c r="N65" s="491" t="str">
        <f t="shared" ca="1" si="7"/>
        <v/>
      </c>
      <c r="O65" s="492" t="str">
        <f t="shared" ca="1" si="8"/>
        <v/>
      </c>
      <c r="P65" s="491" t="str" cm="1">
        <f t="array" aca="1" ref="P65" ca="1">IF($B65="","",IFERROR(MAX(OFFSET(高値!$E$6,MATCH(TEXT($B65,"0"),TEXT(銘柄管理!$B$6:$B$305,"0"),0)-1,0,1,10)),""))</f>
        <v/>
      </c>
      <c r="Q65" s="491" t="str" cm="1">
        <f t="array" aca="1" ref="Q65" ca="1">IF($B65="","",IFERROR(MIN(OFFSET(安値!$E$6,MATCH(TEXT($B65,"0"),TEXT(銘柄管理!$B$6:$B$305,"0"),0)-1,0,1,10)),""))</f>
        <v/>
      </c>
      <c r="R65" s="491" t="str">
        <f t="shared" ca="1" si="19"/>
        <v/>
      </c>
      <c r="S65" s="589" t="str">
        <f t="shared" si="20"/>
        <v/>
      </c>
      <c r="T65" s="597" t="str">
        <f t="shared" ca="1" si="9"/>
        <v/>
      </c>
      <c r="U65" s="491" t="str">
        <f t="shared" ca="1" si="10"/>
        <v/>
      </c>
      <c r="V65" s="705" t="str">
        <f t="shared" ca="1" si="21"/>
        <v/>
      </c>
      <c r="W65" s="493" t="str">
        <f t="shared" ca="1" si="11"/>
        <v/>
      </c>
      <c r="X65" s="489" t="str">
        <f t="shared" ca="1" si="12"/>
        <v/>
      </c>
      <c r="Y65" s="488"/>
      <c r="Z65" s="714"/>
      <c r="AD65" s="611"/>
      <c r="AE65" s="628" t="str">
        <f t="shared" si="13"/>
        <v/>
      </c>
      <c r="AF65" s="630"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30"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03" t="str">
        <f t="shared" ca="1" si="14"/>
        <v/>
      </c>
      <c r="AI65" s="603" t="str" cm="1">
        <f t="array" ref="AI65">IFERROR(INDEX(始値!$E$6:$BT$305,MATCH(TEXT($B65,"0"),TEXT(銘柄管理!$B$6:$B$305,"0"),0),MATCH($AE65,始値!$E$3:$BT$3,0)),"")</f>
        <v/>
      </c>
      <c r="AJ65" s="612" t="str">
        <f t="shared" ca="1" si="15"/>
        <v/>
      </c>
      <c r="AK65" s="633" t="str">
        <f t="shared" ca="1" si="16"/>
        <v/>
      </c>
    </row>
    <row r="66" spans="1:37" ht="35.4" customHeight="1">
      <c r="A66" s="623" t="str">
        <f t="shared" si="0"/>
        <v/>
      </c>
      <c r="B66" s="634"/>
      <c r="C66" s="490"/>
      <c r="D66" s="627" t="str" cm="1">
        <f t="array" ref="D66">IF($B66="","",_xll.RssMarket($B66,"銘柄名称"))</f>
        <v/>
      </c>
      <c r="E66" s="720"/>
      <c r="F66" s="702" t="str" cm="1">
        <f t="array" aca="1" ref="F66" ca="1">IFERROR(_xlfn.LET(_xlpm.r,MATCH(TEXT($B66,"0"),TEXT(銘柄管理!$B$6:$B$305,"0"),0),_xlpm.t,MOD(NOW(),1),_xlpm.c,IF($E66=TODAY(),IF(_xlpm.t&gt;=TIME(15,30,0),NA(),1),IF(MATCH($E66,始値!$E$3:$BT$3,0)=1,1,MATCH($E66,始値!$E$3:$BT$3,0)+1)),_xlpm.v,INDEX(始値!$C$6:$BT$305,_xlpm.r,_xlpm.c),IF(N(_xlpm.v)=0,"",_xlpm.v)),"")</f>
        <v/>
      </c>
      <c r="G66" s="635"/>
      <c r="H66" s="491" t="str" cm="1">
        <f t="array" ref="H66">IF($B66="","",_xll.RssMarket($B66,"現在値"))</f>
        <v/>
      </c>
      <c r="I66" s="491" t="str" cm="1">
        <f t="array" ref="I66">IF($B66="","",_xll.RssMarket($B66,"出来高加重平均"))</f>
        <v/>
      </c>
      <c r="J66" s="705" t="str" cm="1">
        <f t="array" ref="J66">IF($B66="","",_xll.RssMarket($B66,"前日比"))</f>
        <v/>
      </c>
      <c r="K66" s="705" t="str">
        <f t="shared" ca="1" si="17"/>
        <v/>
      </c>
      <c r="L66" s="710" t="str">
        <f t="shared" ca="1" si="18"/>
        <v/>
      </c>
      <c r="M66" s="491" t="str">
        <f t="shared" ca="1" si="6"/>
        <v/>
      </c>
      <c r="N66" s="491" t="str">
        <f t="shared" ca="1" si="7"/>
        <v/>
      </c>
      <c r="O66" s="492" t="str">
        <f t="shared" ca="1" si="8"/>
        <v/>
      </c>
      <c r="P66" s="491" t="str" cm="1">
        <f t="array" aca="1" ref="P66" ca="1">IF($B66="","",IFERROR(MAX(OFFSET(高値!$E$6,MATCH(TEXT($B66,"0"),TEXT(銘柄管理!$B$6:$B$305,"0"),0)-1,0,1,10)),""))</f>
        <v/>
      </c>
      <c r="Q66" s="491" t="str" cm="1">
        <f t="array" aca="1" ref="Q66" ca="1">IF($B66="","",IFERROR(MIN(OFFSET(安値!$E$6,MATCH(TEXT($B66,"0"),TEXT(銘柄管理!$B$6:$B$305,"0"),0)-1,0,1,10)),""))</f>
        <v/>
      </c>
      <c r="R66" s="491" t="str">
        <f t="shared" ca="1" si="19"/>
        <v/>
      </c>
      <c r="S66" s="589" t="str">
        <f t="shared" si="20"/>
        <v/>
      </c>
      <c r="T66" s="597" t="str">
        <f t="shared" ca="1" si="9"/>
        <v/>
      </c>
      <c r="U66" s="491" t="str">
        <f t="shared" ca="1" si="10"/>
        <v/>
      </c>
      <c r="V66" s="705" t="str">
        <f t="shared" ca="1" si="21"/>
        <v/>
      </c>
      <c r="W66" s="493" t="str">
        <f t="shared" ca="1" si="11"/>
        <v/>
      </c>
      <c r="X66" s="489" t="str">
        <f t="shared" ca="1" si="12"/>
        <v/>
      </c>
      <c r="Y66" s="488"/>
      <c r="Z66" s="714"/>
      <c r="AD66" s="611"/>
      <c r="AE66" s="628" t="str">
        <f t="shared" si="13"/>
        <v/>
      </c>
      <c r="AF66" s="630"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30"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03" t="str">
        <f t="shared" ca="1" si="14"/>
        <v/>
      </c>
      <c r="AI66" s="603" t="str" cm="1">
        <f t="array" ref="AI66">IFERROR(INDEX(始値!$E$6:$BT$305,MATCH(TEXT($B66,"0"),TEXT(銘柄管理!$B$6:$B$305,"0"),0),MATCH($AE66,始値!$E$3:$BT$3,0)),"")</f>
        <v/>
      </c>
      <c r="AJ66" s="612" t="str">
        <f t="shared" ca="1" si="15"/>
        <v/>
      </c>
      <c r="AK66" s="633" t="str">
        <f t="shared" ca="1" si="16"/>
        <v/>
      </c>
    </row>
    <row r="67" spans="1:37" ht="35.4" customHeight="1">
      <c r="A67" s="623" t="str">
        <f t="shared" si="0"/>
        <v/>
      </c>
      <c r="B67" s="634"/>
      <c r="C67" s="490"/>
      <c r="D67" s="627" t="str" cm="1">
        <f t="array" ref="D67">IF($B67="","",_xll.RssMarket($B67,"銘柄名称"))</f>
        <v/>
      </c>
      <c r="E67" s="720"/>
      <c r="F67" s="702" t="str" cm="1">
        <f t="array" aca="1" ref="F67" ca="1">IFERROR(_xlfn.LET(_xlpm.r,MATCH(TEXT($B67,"0"),TEXT(銘柄管理!$B$6:$B$305,"0"),0),_xlpm.t,MOD(NOW(),1),_xlpm.c,IF($E67=TODAY(),IF(_xlpm.t&gt;=TIME(15,30,0),NA(),1),IF(MATCH($E67,始値!$E$3:$BT$3,0)=1,1,MATCH($E67,始値!$E$3:$BT$3,0)+1)),_xlpm.v,INDEX(始値!$C$6:$BT$305,_xlpm.r,_xlpm.c),IF(N(_xlpm.v)=0,"",_xlpm.v)),"")</f>
        <v/>
      </c>
      <c r="G67" s="635"/>
      <c r="H67" s="491" t="str" cm="1">
        <f t="array" ref="H67">IF($B67="","",_xll.RssMarket($B67,"現在値"))</f>
        <v/>
      </c>
      <c r="I67" s="491" t="str" cm="1">
        <f t="array" ref="I67">IF($B67="","",_xll.RssMarket($B67,"出来高加重平均"))</f>
        <v/>
      </c>
      <c r="J67" s="705" t="str" cm="1">
        <f t="array" ref="J67">IF($B67="","",_xll.RssMarket($B67,"前日比"))</f>
        <v/>
      </c>
      <c r="K67" s="705" t="str">
        <f t="shared" ca="1" si="17"/>
        <v/>
      </c>
      <c r="L67" s="710" t="str">
        <f t="shared" ca="1" si="18"/>
        <v/>
      </c>
      <c r="M67" s="491" t="str">
        <f t="shared" ca="1" si="6"/>
        <v/>
      </c>
      <c r="N67" s="491" t="str">
        <f t="shared" ca="1" si="7"/>
        <v/>
      </c>
      <c r="O67" s="492" t="str">
        <f t="shared" ca="1" si="8"/>
        <v/>
      </c>
      <c r="P67" s="491" t="str" cm="1">
        <f t="array" aca="1" ref="P67" ca="1">IF($B67="","",IFERROR(MAX(OFFSET(高値!$E$6,MATCH(TEXT($B67,"0"),TEXT(銘柄管理!$B$6:$B$305,"0"),0)-1,0,1,10)),""))</f>
        <v/>
      </c>
      <c r="Q67" s="491" t="str" cm="1">
        <f t="array" aca="1" ref="Q67" ca="1">IF($B67="","",IFERROR(MIN(OFFSET(安値!$E$6,MATCH(TEXT($B67,"0"),TEXT(銘柄管理!$B$6:$B$305,"0"),0)-1,0,1,10)),""))</f>
        <v/>
      </c>
      <c r="R67" s="491" t="str">
        <f t="shared" ca="1" si="19"/>
        <v/>
      </c>
      <c r="S67" s="589" t="str">
        <f t="shared" si="20"/>
        <v/>
      </c>
      <c r="T67" s="597" t="str">
        <f t="shared" ca="1" si="9"/>
        <v/>
      </c>
      <c r="U67" s="491" t="str">
        <f t="shared" ca="1" si="10"/>
        <v/>
      </c>
      <c r="V67" s="705" t="str">
        <f t="shared" ca="1" si="21"/>
        <v/>
      </c>
      <c r="W67" s="493" t="str">
        <f t="shared" ca="1" si="11"/>
        <v/>
      </c>
      <c r="X67" s="489" t="str">
        <f t="shared" ca="1" si="12"/>
        <v/>
      </c>
      <c r="Y67" s="488"/>
      <c r="Z67" s="714"/>
      <c r="AD67" s="611"/>
      <c r="AE67" s="628" t="str">
        <f t="shared" si="13"/>
        <v/>
      </c>
      <c r="AF67" s="630"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30"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03" t="str">
        <f t="shared" ca="1" si="14"/>
        <v/>
      </c>
      <c r="AI67" s="603" t="str" cm="1">
        <f t="array" ref="AI67">IFERROR(INDEX(始値!$E$6:$BT$305,MATCH(TEXT($B67,"0"),TEXT(銘柄管理!$B$6:$B$305,"0"),0),MATCH($AE67,始値!$E$3:$BT$3,0)),"")</f>
        <v/>
      </c>
      <c r="AJ67" s="612" t="str">
        <f t="shared" ca="1" si="15"/>
        <v/>
      </c>
      <c r="AK67" s="633" t="str">
        <f t="shared" ca="1" si="16"/>
        <v/>
      </c>
    </row>
    <row r="68" spans="1:37" ht="35.4" customHeight="1">
      <c r="A68" s="623" t="str">
        <f t="shared" ref="A68:A120" si="23">IF(B68="","",HYPERLINK("https://kabutan.jp/stock/?code="&amp;B68,"株探"))</f>
        <v/>
      </c>
      <c r="B68" s="634"/>
      <c r="C68" s="490"/>
      <c r="D68" s="627" t="str" cm="1">
        <f t="array" ref="D68">IF($B68="","",_xll.RssMarket($B68,"銘柄名称"))</f>
        <v/>
      </c>
      <c r="E68" s="720"/>
      <c r="F68" s="702" t="str" cm="1">
        <f t="array" aca="1" ref="F68" ca="1">IFERROR(_xlfn.LET(_xlpm.r,MATCH(TEXT($B68,"0"),TEXT(銘柄管理!$B$6:$B$305,"0"),0),_xlpm.t,MOD(NOW(),1),_xlpm.c,IF($E68=TODAY(),IF(_xlpm.t&gt;=TIME(15,30,0),NA(),1),IF(MATCH($E68,始値!$E$3:$BT$3,0)=1,1,MATCH($E68,始値!$E$3:$BT$3,0)+1)),_xlpm.v,INDEX(始値!$C$6:$BT$305,_xlpm.r,_xlpm.c),IF(N(_xlpm.v)=0,"",_xlpm.v)),"")</f>
        <v/>
      </c>
      <c r="G68" s="635"/>
      <c r="H68" s="491" t="str" cm="1">
        <f t="array" ref="H68">IF($B68="","",_xll.RssMarket($B68,"現在値"))</f>
        <v/>
      </c>
      <c r="I68" s="491" t="str" cm="1">
        <f t="array" ref="I68">IF($B68="","",_xll.RssMarket($B68,"出来高加重平均"))</f>
        <v/>
      </c>
      <c r="J68" s="705" t="str" cm="1">
        <f t="array" ref="J68">IF($B68="","",_xll.RssMarket($B68,"前日比"))</f>
        <v/>
      </c>
      <c r="K68" s="705" t="str">
        <f t="shared" ca="1" si="17"/>
        <v/>
      </c>
      <c r="L68" s="710" t="str">
        <f t="shared" ca="1" si="18"/>
        <v/>
      </c>
      <c r="M68" s="491" t="str">
        <f t="shared" ca="1" si="6"/>
        <v/>
      </c>
      <c r="N68" s="491" t="str">
        <f t="shared" ca="1" si="7"/>
        <v/>
      </c>
      <c r="O68" s="492" t="str">
        <f t="shared" ca="1" si="8"/>
        <v/>
      </c>
      <c r="P68" s="491" t="str" cm="1">
        <f t="array" aca="1" ref="P68" ca="1">IF($B68="","",IFERROR(MAX(OFFSET(高値!$E$6,MATCH(TEXT($B68,"0"),TEXT(銘柄管理!$B$6:$B$305,"0"),0)-1,0,1,10)),""))</f>
        <v/>
      </c>
      <c r="Q68" s="491" t="str" cm="1">
        <f t="array" aca="1" ref="Q68" ca="1">IF($B68="","",IFERROR(MIN(OFFSET(安値!$E$6,MATCH(TEXT($B68,"0"),TEXT(銘柄管理!$B$6:$B$305,"0"),0)-1,0,1,10)),""))</f>
        <v/>
      </c>
      <c r="R68" s="491" t="str">
        <f t="shared" ca="1" si="19"/>
        <v/>
      </c>
      <c r="S68" s="589" t="str">
        <f t="shared" si="20"/>
        <v/>
      </c>
      <c r="T68" s="597" t="str">
        <f t="shared" ca="1" si="9"/>
        <v/>
      </c>
      <c r="U68" s="491" t="str">
        <f t="shared" ca="1" si="10"/>
        <v/>
      </c>
      <c r="V68" s="705" t="str">
        <f t="shared" ca="1" si="21"/>
        <v/>
      </c>
      <c r="W68" s="493" t="str">
        <f t="shared" ca="1" si="11"/>
        <v/>
      </c>
      <c r="X68" s="489" t="str">
        <f t="shared" ca="1" si="12"/>
        <v/>
      </c>
      <c r="Y68" s="488"/>
      <c r="Z68" s="714"/>
      <c r="AD68" s="611"/>
      <c r="AE68" s="628" t="str">
        <f t="shared" si="13"/>
        <v/>
      </c>
      <c r="AF68" s="630"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30"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03" t="str">
        <f t="shared" ca="1" si="14"/>
        <v/>
      </c>
      <c r="AI68" s="603" t="str" cm="1">
        <f t="array" ref="AI68">IFERROR(INDEX(始値!$E$6:$BT$305,MATCH(TEXT($B68,"0"),TEXT(銘柄管理!$B$6:$B$305,"0"),0),MATCH($AE68,始値!$E$3:$BT$3,0)),"")</f>
        <v/>
      </c>
      <c r="AJ68" s="612" t="str">
        <f t="shared" ca="1" si="15"/>
        <v/>
      </c>
      <c r="AK68" s="633" t="str">
        <f t="shared" ca="1" si="16"/>
        <v/>
      </c>
    </row>
    <row r="69" spans="1:37" ht="35.4" customHeight="1">
      <c r="A69" s="623" t="str">
        <f t="shared" si="23"/>
        <v/>
      </c>
      <c r="B69" s="634"/>
      <c r="C69" s="490"/>
      <c r="D69" s="627" t="str" cm="1">
        <f t="array" ref="D69">IF($B69="","",_xll.RssMarket($B69,"銘柄名称"))</f>
        <v/>
      </c>
      <c r="E69" s="720"/>
      <c r="F69" s="702" t="str" cm="1">
        <f t="array" aca="1" ref="F69" ca="1">IFERROR(_xlfn.LET(_xlpm.r,MATCH(TEXT($B69,"0"),TEXT(銘柄管理!$B$6:$B$305,"0"),0),_xlpm.t,MOD(NOW(),1),_xlpm.c,IF($E69=TODAY(),IF(_xlpm.t&gt;=TIME(15,30,0),NA(),1),IF(MATCH($E69,始値!$E$3:$BT$3,0)=1,1,MATCH($E69,始値!$E$3:$BT$3,0)+1)),_xlpm.v,INDEX(始値!$C$6:$BT$305,_xlpm.r,_xlpm.c),IF(N(_xlpm.v)=0,"",_xlpm.v)),"")</f>
        <v/>
      </c>
      <c r="G69" s="635"/>
      <c r="H69" s="491" t="str" cm="1">
        <f t="array" ref="H69">IF($B69="","",_xll.RssMarket($B69,"現在値"))</f>
        <v/>
      </c>
      <c r="I69" s="491" t="str" cm="1">
        <f t="array" ref="I69">IF($B69="","",_xll.RssMarket($B69,"出来高加重平均"))</f>
        <v/>
      </c>
      <c r="J69" s="705" t="str" cm="1">
        <f t="array" ref="J69">IF($B69="","",_xll.RssMarket($B69,"前日比"))</f>
        <v/>
      </c>
      <c r="K69" s="705" t="str">
        <f t="shared" ca="1" si="17"/>
        <v/>
      </c>
      <c r="L69" s="710" t="str">
        <f t="shared" ca="1" si="18"/>
        <v/>
      </c>
      <c r="M69" s="491" t="str">
        <f t="shared" ref="M69:M120" ca="1" si="24">IF($F69="","",ROUND(IF($C69="売",$F69*0.94,$F69*1.06),0))</f>
        <v/>
      </c>
      <c r="N69" s="491" t="str">
        <f t="shared" ref="N69:N120" ca="1" si="25">IF($F69="","",ROUND(IF($C69="売",$F69*1.04,$F69*0.96),0))</f>
        <v/>
      </c>
      <c r="O69" s="492" t="str">
        <f t="shared" ref="O69:O120" ca="1" si="26">IF(OR($B69="",$F69="",$H69=""),"",IF($C69="売",IF($H69&lt;=$M69,"🟢利確",IF($H69&lt;=$F69*0.95,"🟡利確&amp;TR STOP検討",IF($H69&gt;=$N69,"🔴損切",IF($H69&gt;=$F69*1.035,"🔴損切間近",IF($H69&gt;=$F69*1.03,"⚠️+3%注意","保持継続"))))),IF($H69&gt;=$M69,"🟢利確",IF($H69&gt;=$F69*1.05,"🟡利確&amp;TR STOP検討",IF($H69&lt;=$N69,"🔴損切",IF($H69&lt;=$F69*0.965,"🔴損切間近",IF($H69&lt;=$F69*0.97,"⚠️-3%注意","保持継続")))))))</f>
        <v/>
      </c>
      <c r="P69" s="491" t="str" cm="1">
        <f t="array" aca="1" ref="P69" ca="1">IF($B69="","",IFERROR(MAX(OFFSET(高値!$E$6,MATCH(TEXT($B69,"0"),TEXT(銘柄管理!$B$6:$B$305,"0"),0)-1,0,1,10)),""))</f>
        <v/>
      </c>
      <c r="Q69" s="491" t="str" cm="1">
        <f t="array" aca="1" ref="Q69" ca="1">IF($B69="","",IFERROR(MIN(OFFSET(安値!$E$6,MATCH(TEXT($B69,"0"),TEXT(銘柄管理!$B$6:$B$305,"0"),0)-1,0,1,10)),""))</f>
        <v/>
      </c>
      <c r="R69" s="491" t="str">
        <f t="shared" ca="1" si="19"/>
        <v/>
      </c>
      <c r="S69" s="589" t="str">
        <f t="shared" si="20"/>
        <v/>
      </c>
      <c r="T69" s="597" t="str">
        <f t="shared" ref="T69:T120" ca="1" si="27">IF(OR($AH69="",$AH69="保有中"),"",IF($AH69="日数制限",$AE69,IF($AH69="損切確定",IF(N($AG69)=0,TODAY(),$AG69),IF(N($AF69)=0,TODAY(),$AF69))))</f>
        <v/>
      </c>
      <c r="U69" s="491" t="str">
        <f t="shared" ref="U69:U120" ca="1" si="28">IF(OR($AH69="",$AH69="保有中"),"",ROUND(IF($AH69="日数制限",$AI69,IF($AH69="利益確定",$M69,$N69)),0))</f>
        <v/>
      </c>
      <c r="V69" s="705" t="str">
        <f t="shared" ca="1" si="21"/>
        <v/>
      </c>
      <c r="W69" s="493" t="str">
        <f t="shared" ref="W69:W120" ca="1" si="29">IF(OR($E69="",$B69=""),"",IF($T69&lt;&gt;"",$T69-$E69,TODAY()-$E69)+1)</f>
        <v/>
      </c>
      <c r="X69" s="489" t="str">
        <f t="shared" ref="X69:X120" ca="1" si="30">IF(OR($AH69="",$AH69="保有中"),"",$AH69)</f>
        <v/>
      </c>
      <c r="Y69" s="488"/>
      <c r="Z69" s="714"/>
      <c r="AD69" s="611"/>
      <c r="AE69" s="628" t="str">
        <f t="shared" ref="AE69:AE120" si="31">IF($E69="","",WORKDAY($E69,12))</f>
        <v/>
      </c>
      <c r="AF69" s="630"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30"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03" t="str">
        <f t="shared" ref="AH69:AH120" ca="1" si="32">IF(OR($B69="",$M69=""),"",IF(AND(N($AF69)=0,N($AG69)=0),IF(AND(ISNUMBER($H69),$H69&gt;0,IF($C69="売",$H69&gt;=$N69,$H69&lt;=$N69)),"損切確定",IF(AND(ISNUMBER($H69),$H69&gt;0,IF($C69="売",$H69&lt;=$M69,$H69&gt;=$M69)),"利益確定",IF($AE69&lt;=TODAY(),"日数制限","保有中"))),IF(N($AG69)=0,"利益確定",IF(N($AF69)=0,"損切確定",IF($AG69&lt;=$AF69,"損切確定","利益確定")))))</f>
        <v/>
      </c>
      <c r="AI69" s="603" t="str" cm="1">
        <f t="array" ref="AI69">IFERROR(INDEX(始値!$E$6:$BT$305,MATCH(TEXT($B69,"0"),TEXT(銘柄管理!$B$6:$B$305,"0"),0),MATCH($AE69,始値!$E$3:$BT$3,0)),"")</f>
        <v/>
      </c>
      <c r="AJ69" s="612" t="str">
        <f t="shared" ref="AJ69:AJ120" ca="1" si="33">IF(OR($V69="",$F69="",$G69=""),"",$V69/($F69*$G69))</f>
        <v/>
      </c>
      <c r="AK69" s="633" t="str">
        <f t="shared" ref="AK69:AK120" ca="1" si="34">IF($V69="","",IF($V69&gt;0,"○勝",IF($V69&lt;0,"●負","△引分")))</f>
        <v/>
      </c>
    </row>
    <row r="70" spans="1:37" ht="35.4" customHeight="1">
      <c r="A70" s="623" t="str">
        <f t="shared" si="23"/>
        <v/>
      </c>
      <c r="B70" s="634"/>
      <c r="C70" s="490"/>
      <c r="D70" s="627" t="str" cm="1">
        <f t="array" ref="D70">IF($B70="","",_xll.RssMarket($B70,"銘柄名称"))</f>
        <v/>
      </c>
      <c r="E70" s="720"/>
      <c r="F70" s="702" t="str" cm="1">
        <f t="array" aca="1" ref="F70" ca="1">IFERROR(_xlfn.LET(_xlpm.r,MATCH(TEXT($B70,"0"),TEXT(銘柄管理!$B$6:$B$305,"0"),0),_xlpm.t,MOD(NOW(),1),_xlpm.c,IF($E70=TODAY(),IF(_xlpm.t&gt;=TIME(15,30,0),NA(),1),IF(MATCH($E70,始値!$E$3:$BT$3,0)=1,1,MATCH($E70,始値!$E$3:$BT$3,0)+1)),_xlpm.v,INDEX(始値!$C$6:$BT$305,_xlpm.r,_xlpm.c),IF(N(_xlpm.v)=0,"",_xlpm.v)),"")</f>
        <v/>
      </c>
      <c r="G70" s="635"/>
      <c r="H70" s="491" t="str" cm="1">
        <f t="array" ref="H70">IF($B70="","",_xll.RssMarket($B70,"現在値"))</f>
        <v/>
      </c>
      <c r="I70" s="491" t="str" cm="1">
        <f t="array" ref="I70">IF($B70="","",_xll.RssMarket($B70,"出来高加重平均"))</f>
        <v/>
      </c>
      <c r="J70" s="705" t="str" cm="1">
        <f t="array" ref="J70">IF($B70="","",_xll.RssMarket($B70,"前日比"))</f>
        <v/>
      </c>
      <c r="K70" s="705" t="str">
        <f t="shared" ca="1" si="17"/>
        <v/>
      </c>
      <c r="L70" s="710" t="str">
        <f t="shared" ca="1" si="18"/>
        <v/>
      </c>
      <c r="M70" s="491" t="str">
        <f t="shared" ca="1" si="24"/>
        <v/>
      </c>
      <c r="N70" s="491" t="str">
        <f t="shared" ca="1" si="25"/>
        <v/>
      </c>
      <c r="O70" s="492" t="str">
        <f t="shared" ca="1" si="26"/>
        <v/>
      </c>
      <c r="P70" s="491" t="str" cm="1">
        <f t="array" aca="1" ref="P70" ca="1">IF($B70="","",IFERROR(MAX(OFFSET(高値!$E$6,MATCH(TEXT($B70,"0"),TEXT(銘柄管理!$B$6:$B$305,"0"),0)-1,0,1,10)),""))</f>
        <v/>
      </c>
      <c r="Q70" s="491" t="str" cm="1">
        <f t="array" aca="1" ref="Q70" ca="1">IF($B70="","",IFERROR(MIN(OFFSET(安値!$E$6,MATCH(TEXT($B70,"0"),TEXT(銘柄管理!$B$6:$B$305,"0"),0)-1,0,1,10)),""))</f>
        <v/>
      </c>
      <c r="R70" s="491" t="str">
        <f t="shared" ca="1" si="19"/>
        <v/>
      </c>
      <c r="S70" s="589" t="str">
        <f t="shared" si="20"/>
        <v/>
      </c>
      <c r="T70" s="597" t="str">
        <f t="shared" ca="1" si="27"/>
        <v/>
      </c>
      <c r="U70" s="491" t="str">
        <f t="shared" ca="1" si="28"/>
        <v/>
      </c>
      <c r="V70" s="705" t="str">
        <f t="shared" ca="1" si="21"/>
        <v/>
      </c>
      <c r="W70" s="493" t="str">
        <f t="shared" ca="1" si="29"/>
        <v/>
      </c>
      <c r="X70" s="489" t="str">
        <f t="shared" ca="1" si="30"/>
        <v/>
      </c>
      <c r="Y70" s="488"/>
      <c r="Z70" s="714"/>
      <c r="AD70" s="611"/>
      <c r="AE70" s="628" t="str">
        <f t="shared" si="31"/>
        <v/>
      </c>
      <c r="AF70" s="630"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30"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03" t="str">
        <f t="shared" ca="1" si="32"/>
        <v/>
      </c>
      <c r="AI70" s="603" t="str" cm="1">
        <f t="array" ref="AI70">IFERROR(INDEX(始値!$E$6:$BT$305,MATCH(TEXT($B70,"0"),TEXT(銘柄管理!$B$6:$B$305,"0"),0),MATCH($AE70,始値!$E$3:$BT$3,0)),"")</f>
        <v/>
      </c>
      <c r="AJ70" s="612" t="str">
        <f t="shared" ca="1" si="33"/>
        <v/>
      </c>
      <c r="AK70" s="633" t="str">
        <f t="shared" ca="1" si="34"/>
        <v/>
      </c>
    </row>
    <row r="71" spans="1:37" ht="35.4" customHeight="1">
      <c r="A71" s="623" t="str">
        <f t="shared" si="23"/>
        <v/>
      </c>
      <c r="B71" s="634"/>
      <c r="C71" s="490"/>
      <c r="D71" s="627" t="str" cm="1">
        <f t="array" ref="D71">IF($B71="","",_xll.RssMarket($B71,"銘柄名称"))</f>
        <v/>
      </c>
      <c r="E71" s="720"/>
      <c r="F71" s="702" t="str" cm="1">
        <f t="array" aca="1" ref="F71" ca="1">IFERROR(_xlfn.LET(_xlpm.r,MATCH(TEXT($B71,"0"),TEXT(銘柄管理!$B$6:$B$305,"0"),0),_xlpm.t,MOD(NOW(),1),_xlpm.c,IF($E71=TODAY(),IF(_xlpm.t&gt;=TIME(15,30,0),NA(),1),IF(MATCH($E71,始値!$E$3:$BT$3,0)=1,1,MATCH($E71,始値!$E$3:$BT$3,0)+1)),_xlpm.v,INDEX(始値!$C$6:$BT$305,_xlpm.r,_xlpm.c),IF(N(_xlpm.v)=0,"",_xlpm.v)),"")</f>
        <v/>
      </c>
      <c r="G71" s="635"/>
      <c r="H71" s="491" t="str" cm="1">
        <f t="array" ref="H71">IF($B71="","",_xll.RssMarket($B71,"現在値"))</f>
        <v/>
      </c>
      <c r="I71" s="491" t="str" cm="1">
        <f t="array" ref="I71">IF($B71="","",_xll.RssMarket($B71,"出来高加重平均"))</f>
        <v/>
      </c>
      <c r="J71" s="705" t="str" cm="1">
        <f t="array" ref="J71">IF($B71="","",_xll.RssMarket($B71,"前日比"))</f>
        <v/>
      </c>
      <c r="K71" s="705" t="str">
        <f t="shared" ca="1" si="17"/>
        <v/>
      </c>
      <c r="L71" s="710" t="str">
        <f t="shared" ca="1" si="18"/>
        <v/>
      </c>
      <c r="M71" s="491" t="str">
        <f t="shared" ca="1" si="24"/>
        <v/>
      </c>
      <c r="N71" s="491" t="str">
        <f t="shared" ca="1" si="25"/>
        <v/>
      </c>
      <c r="O71" s="492" t="str">
        <f t="shared" ca="1" si="26"/>
        <v/>
      </c>
      <c r="P71" s="491" t="str" cm="1">
        <f t="array" aca="1" ref="P71" ca="1">IF($B71="","",IFERROR(MAX(OFFSET(高値!$E$6,MATCH(TEXT($B71,"0"),TEXT(銘柄管理!$B$6:$B$305,"0"),0)-1,0,1,10)),""))</f>
        <v/>
      </c>
      <c r="Q71" s="491" t="str" cm="1">
        <f t="array" aca="1" ref="Q71" ca="1">IF($B71="","",IFERROR(MIN(OFFSET(安値!$E$6,MATCH(TEXT($B71,"0"),TEXT(銘柄管理!$B$6:$B$305,"0"),0)-1,0,1,10)),""))</f>
        <v/>
      </c>
      <c r="R71" s="491" t="str">
        <f t="shared" ca="1" si="19"/>
        <v/>
      </c>
      <c r="S71" s="589" t="str">
        <f t="shared" si="20"/>
        <v/>
      </c>
      <c r="T71" s="597" t="str">
        <f t="shared" ca="1" si="27"/>
        <v/>
      </c>
      <c r="U71" s="491" t="str">
        <f t="shared" ca="1" si="28"/>
        <v/>
      </c>
      <c r="V71" s="705" t="str">
        <f t="shared" ca="1" si="21"/>
        <v/>
      </c>
      <c r="W71" s="493" t="str">
        <f t="shared" ca="1" si="29"/>
        <v/>
      </c>
      <c r="X71" s="489" t="str">
        <f t="shared" ca="1" si="30"/>
        <v/>
      </c>
      <c r="Y71" s="488"/>
      <c r="Z71" s="714"/>
      <c r="AD71" s="611"/>
      <c r="AE71" s="628" t="str">
        <f t="shared" si="31"/>
        <v/>
      </c>
      <c r="AF71" s="630"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30"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03" t="str">
        <f t="shared" ca="1" si="32"/>
        <v/>
      </c>
      <c r="AI71" s="603" t="str" cm="1">
        <f t="array" ref="AI71">IFERROR(INDEX(始値!$E$6:$BT$305,MATCH(TEXT($B71,"0"),TEXT(銘柄管理!$B$6:$B$305,"0"),0),MATCH($AE71,始値!$E$3:$BT$3,0)),"")</f>
        <v/>
      </c>
      <c r="AJ71" s="612" t="str">
        <f t="shared" ca="1" si="33"/>
        <v/>
      </c>
      <c r="AK71" s="633" t="str">
        <f t="shared" ca="1" si="34"/>
        <v/>
      </c>
    </row>
    <row r="72" spans="1:37" ht="35.4" customHeight="1">
      <c r="A72" s="623" t="str">
        <f t="shared" si="23"/>
        <v/>
      </c>
      <c r="B72" s="634"/>
      <c r="C72" s="490"/>
      <c r="D72" s="627" t="str" cm="1">
        <f t="array" ref="D72">IF($B72="","",_xll.RssMarket($B72,"銘柄名称"))</f>
        <v/>
      </c>
      <c r="E72" s="720"/>
      <c r="F72" s="702" t="str" cm="1">
        <f t="array" aca="1" ref="F72" ca="1">IFERROR(_xlfn.LET(_xlpm.r,MATCH(TEXT($B72,"0"),TEXT(銘柄管理!$B$6:$B$305,"0"),0),_xlpm.t,MOD(NOW(),1),_xlpm.c,IF($E72=TODAY(),IF(_xlpm.t&gt;=TIME(15,30,0),NA(),1),IF(MATCH($E72,始値!$E$3:$BT$3,0)=1,1,MATCH($E72,始値!$E$3:$BT$3,0)+1)),_xlpm.v,INDEX(始値!$C$6:$BT$305,_xlpm.r,_xlpm.c),IF(N(_xlpm.v)=0,"",_xlpm.v)),"")</f>
        <v/>
      </c>
      <c r="G72" s="635"/>
      <c r="H72" s="491" t="str" cm="1">
        <f t="array" ref="H72">IF($B72="","",_xll.RssMarket($B72,"現在値"))</f>
        <v/>
      </c>
      <c r="I72" s="491" t="str" cm="1">
        <f t="array" ref="I72">IF($B72="","",_xll.RssMarket($B72,"出来高加重平均"))</f>
        <v/>
      </c>
      <c r="J72" s="705" t="str" cm="1">
        <f t="array" ref="J72">IF($B72="","",_xll.RssMarket($B72,"前日比"))</f>
        <v/>
      </c>
      <c r="K72" s="705" t="str">
        <f t="shared" ca="1" si="17"/>
        <v/>
      </c>
      <c r="L72" s="710" t="str">
        <f t="shared" ca="1" si="18"/>
        <v/>
      </c>
      <c r="M72" s="491" t="str">
        <f t="shared" ca="1" si="24"/>
        <v/>
      </c>
      <c r="N72" s="491" t="str">
        <f t="shared" ca="1" si="25"/>
        <v/>
      </c>
      <c r="O72" s="492" t="str">
        <f t="shared" ca="1" si="26"/>
        <v/>
      </c>
      <c r="P72" s="491" t="str" cm="1">
        <f t="array" aca="1" ref="P72" ca="1">IF($B72="","",IFERROR(MAX(OFFSET(高値!$E$6,MATCH(TEXT($B72,"0"),TEXT(銘柄管理!$B$6:$B$305,"0"),0)-1,0,1,10)),""))</f>
        <v/>
      </c>
      <c r="Q72" s="491" t="str" cm="1">
        <f t="array" aca="1" ref="Q72" ca="1">IF($B72="","",IFERROR(MIN(OFFSET(安値!$E$6,MATCH(TEXT($B72,"0"),TEXT(銘柄管理!$B$6:$B$305,"0"),0)-1,0,1,10)),""))</f>
        <v/>
      </c>
      <c r="R72" s="491" t="str">
        <f t="shared" ca="1" si="19"/>
        <v/>
      </c>
      <c r="S72" s="589" t="str">
        <f t="shared" si="20"/>
        <v/>
      </c>
      <c r="T72" s="597" t="str">
        <f t="shared" ca="1" si="27"/>
        <v/>
      </c>
      <c r="U72" s="491" t="str">
        <f t="shared" ca="1" si="28"/>
        <v/>
      </c>
      <c r="V72" s="705" t="str">
        <f t="shared" ca="1" si="21"/>
        <v/>
      </c>
      <c r="W72" s="493" t="str">
        <f t="shared" ca="1" si="29"/>
        <v/>
      </c>
      <c r="X72" s="489" t="str">
        <f t="shared" ca="1" si="30"/>
        <v/>
      </c>
      <c r="Y72" s="488"/>
      <c r="Z72" s="714"/>
      <c r="AD72" s="611"/>
      <c r="AE72" s="628" t="str">
        <f t="shared" si="31"/>
        <v/>
      </c>
      <c r="AF72" s="630"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30"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03" t="str">
        <f t="shared" ca="1" si="32"/>
        <v/>
      </c>
      <c r="AI72" s="603" t="str" cm="1">
        <f t="array" ref="AI72">IFERROR(INDEX(始値!$E$6:$BT$305,MATCH(TEXT($B72,"0"),TEXT(銘柄管理!$B$6:$B$305,"0"),0),MATCH($AE72,始値!$E$3:$BT$3,0)),"")</f>
        <v/>
      </c>
      <c r="AJ72" s="612" t="str">
        <f t="shared" ca="1" si="33"/>
        <v/>
      </c>
      <c r="AK72" s="633" t="str">
        <f t="shared" ca="1" si="34"/>
        <v/>
      </c>
    </row>
    <row r="73" spans="1:37" ht="35.4" customHeight="1">
      <c r="A73" s="623" t="str">
        <f t="shared" si="23"/>
        <v/>
      </c>
      <c r="B73" s="634"/>
      <c r="C73" s="490"/>
      <c r="D73" s="627" t="str" cm="1">
        <f t="array" ref="D73">IF($B73="","",_xll.RssMarket($B73,"銘柄名称"))</f>
        <v/>
      </c>
      <c r="E73" s="720"/>
      <c r="F73" s="702" t="str" cm="1">
        <f t="array" aca="1" ref="F73" ca="1">IFERROR(_xlfn.LET(_xlpm.r,MATCH(TEXT($B73,"0"),TEXT(銘柄管理!$B$6:$B$305,"0"),0),_xlpm.t,MOD(NOW(),1),_xlpm.c,IF($E73=TODAY(),IF(_xlpm.t&gt;=TIME(15,30,0),NA(),1),IF(MATCH($E73,始値!$E$3:$BT$3,0)=1,1,MATCH($E73,始値!$E$3:$BT$3,0)+1)),_xlpm.v,INDEX(始値!$C$6:$BT$305,_xlpm.r,_xlpm.c),IF(N(_xlpm.v)=0,"",_xlpm.v)),"")</f>
        <v/>
      </c>
      <c r="G73" s="635"/>
      <c r="H73" s="491" t="str" cm="1">
        <f t="array" ref="H73">IF($B73="","",_xll.RssMarket($B73,"現在値"))</f>
        <v/>
      </c>
      <c r="I73" s="491" t="str" cm="1">
        <f t="array" ref="I73">IF($B73="","",_xll.RssMarket($B73,"出来高加重平均"))</f>
        <v/>
      </c>
      <c r="J73" s="705" t="str" cm="1">
        <f t="array" ref="J73">IF($B73="","",_xll.RssMarket($B73,"前日比"))</f>
        <v/>
      </c>
      <c r="K73" s="705" t="str">
        <f t="shared" ca="1" si="17"/>
        <v/>
      </c>
      <c r="L73" s="710" t="str">
        <f t="shared" ca="1" si="18"/>
        <v/>
      </c>
      <c r="M73" s="491" t="str">
        <f t="shared" ca="1" si="24"/>
        <v/>
      </c>
      <c r="N73" s="491" t="str">
        <f t="shared" ca="1" si="25"/>
        <v/>
      </c>
      <c r="O73" s="492" t="str">
        <f t="shared" ca="1" si="26"/>
        <v/>
      </c>
      <c r="P73" s="491" t="str" cm="1">
        <f t="array" aca="1" ref="P73" ca="1">IF($B73="","",IFERROR(MAX(OFFSET(高値!$E$6,MATCH(TEXT($B73,"0"),TEXT(銘柄管理!$B$6:$B$305,"0"),0)-1,0,1,10)),""))</f>
        <v/>
      </c>
      <c r="Q73" s="491" t="str" cm="1">
        <f t="array" aca="1" ref="Q73" ca="1">IF($B73="","",IFERROR(MIN(OFFSET(安値!$E$6,MATCH(TEXT($B73,"0"),TEXT(銘柄管理!$B$6:$B$305,"0"),0)-1,0,1,10)),""))</f>
        <v/>
      </c>
      <c r="R73" s="491" t="str">
        <f t="shared" ca="1" si="19"/>
        <v/>
      </c>
      <c r="S73" s="589" t="str">
        <f t="shared" si="20"/>
        <v/>
      </c>
      <c r="T73" s="597" t="str">
        <f t="shared" ca="1" si="27"/>
        <v/>
      </c>
      <c r="U73" s="491" t="str">
        <f t="shared" ca="1" si="28"/>
        <v/>
      </c>
      <c r="V73" s="705" t="str">
        <f t="shared" ca="1" si="21"/>
        <v/>
      </c>
      <c r="W73" s="493" t="str">
        <f t="shared" ca="1" si="29"/>
        <v/>
      </c>
      <c r="X73" s="489" t="str">
        <f t="shared" ca="1" si="30"/>
        <v/>
      </c>
      <c r="Y73" s="488"/>
      <c r="Z73" s="714"/>
      <c r="AD73" s="611"/>
      <c r="AE73" s="628" t="str">
        <f t="shared" si="31"/>
        <v/>
      </c>
      <c r="AF73" s="630"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30"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03" t="str">
        <f t="shared" ca="1" si="32"/>
        <v/>
      </c>
      <c r="AI73" s="603" t="str" cm="1">
        <f t="array" ref="AI73">IFERROR(INDEX(始値!$E$6:$BT$305,MATCH(TEXT($B73,"0"),TEXT(銘柄管理!$B$6:$B$305,"0"),0),MATCH($AE73,始値!$E$3:$BT$3,0)),"")</f>
        <v/>
      </c>
      <c r="AJ73" s="612" t="str">
        <f t="shared" ca="1" si="33"/>
        <v/>
      </c>
      <c r="AK73" s="633" t="str">
        <f t="shared" ca="1" si="34"/>
        <v/>
      </c>
    </row>
    <row r="74" spans="1:37" ht="35.4" customHeight="1">
      <c r="A74" s="623" t="str">
        <f t="shared" si="23"/>
        <v/>
      </c>
      <c r="B74" s="634"/>
      <c r="C74" s="490"/>
      <c r="D74" s="627" t="str" cm="1">
        <f t="array" ref="D74">IF($B74="","",_xll.RssMarket($B74,"銘柄名称"))</f>
        <v/>
      </c>
      <c r="E74" s="720"/>
      <c r="F74" s="702" t="str" cm="1">
        <f t="array" aca="1" ref="F74" ca="1">IFERROR(_xlfn.LET(_xlpm.r,MATCH(TEXT($B74,"0"),TEXT(銘柄管理!$B$6:$B$305,"0"),0),_xlpm.t,MOD(NOW(),1),_xlpm.c,IF($E74=TODAY(),IF(_xlpm.t&gt;=TIME(15,30,0),NA(),1),IF(MATCH($E74,始値!$E$3:$BT$3,0)=1,1,MATCH($E74,始値!$E$3:$BT$3,0)+1)),_xlpm.v,INDEX(始値!$C$6:$BT$305,_xlpm.r,_xlpm.c),IF(N(_xlpm.v)=0,"",_xlpm.v)),"")</f>
        <v/>
      </c>
      <c r="G74" s="635"/>
      <c r="H74" s="491" t="str" cm="1">
        <f t="array" ref="H74">IF($B74="","",_xll.RssMarket($B74,"現在値"))</f>
        <v/>
      </c>
      <c r="I74" s="491" t="str" cm="1">
        <f t="array" ref="I74">IF($B74="","",_xll.RssMarket($B74,"出来高加重平均"))</f>
        <v/>
      </c>
      <c r="J74" s="705" t="str" cm="1">
        <f t="array" ref="J74">IF($B74="","",_xll.RssMarket($B74,"前日比"))</f>
        <v/>
      </c>
      <c r="K74" s="705" t="str">
        <f t="shared" ref="K74:K120" ca="1" si="35">IF(OR(F74="",G74="",H74=""),"",IF(C74="売",(F74-H74)*G74,(H74-F74)*G74))</f>
        <v/>
      </c>
      <c r="L74" s="710" t="str">
        <f t="shared" ref="L74:L120" ca="1" si="36">IF(OR(F74="",H74=""),"",IF(C74="売",(F74-H74)/F74,(H74-F74)/F74))</f>
        <v/>
      </c>
      <c r="M74" s="491" t="str">
        <f t="shared" ca="1" si="24"/>
        <v/>
      </c>
      <c r="N74" s="491" t="str">
        <f t="shared" ca="1" si="25"/>
        <v/>
      </c>
      <c r="O74" s="492" t="str">
        <f t="shared" ca="1" si="26"/>
        <v/>
      </c>
      <c r="P74" s="491" t="str" cm="1">
        <f t="array" aca="1" ref="P74" ca="1">IF($B74="","",IFERROR(MAX(OFFSET(高値!$E$6,MATCH(TEXT($B74,"0"),TEXT(銘柄管理!$B$6:$B$305,"0"),0)-1,0,1,10)),""))</f>
        <v/>
      </c>
      <c r="Q74" s="491" t="str" cm="1">
        <f t="array" aca="1" ref="Q74" ca="1">IF($B74="","",IFERROR(MIN(OFFSET(安値!$E$6,MATCH(TEXT($B74,"0"),TEXT(銘柄管理!$B$6:$B$305,"0"),0)-1,0,1,10)),""))</f>
        <v/>
      </c>
      <c r="R74" s="491" t="str">
        <f t="shared" ref="R74:R120" ca="1" si="37">IF(P74="","",ROUND(P74*0.97,0))</f>
        <v/>
      </c>
      <c r="S74" s="589" t="str">
        <f t="shared" ref="S74:S120" si="38">IF(B74="","",IF(T74&lt;&gt;"","✅売却済",IF(OR(H74="",L74=""),"📌保有中",IF(L74&gt;=0.06,"🟢利確推奨",IF(L74&gt;=0.05,"🟡利確直近",IF(L74&gt;=0.045,"🔵トレーリング検討",IF(L74&gt;-0.03,"📌保有中",IF(L74&gt;-0.04,"⚠️損切注意","🔴損切り"))))))))</f>
        <v/>
      </c>
      <c r="T74" s="597" t="str">
        <f t="shared" ca="1" si="27"/>
        <v/>
      </c>
      <c r="U74" s="491" t="str">
        <f t="shared" ca="1" si="28"/>
        <v/>
      </c>
      <c r="V74" s="705" t="str">
        <f t="shared" ref="V74:V120" ca="1" si="39">IF(OR(F74="",G74="",U74=""),"",IF(C74="売",(F74-U74)*G74,(U74-F74)*G74))</f>
        <v/>
      </c>
      <c r="W74" s="493" t="str">
        <f t="shared" ca="1" si="29"/>
        <v/>
      </c>
      <c r="X74" s="489" t="str">
        <f t="shared" ca="1" si="30"/>
        <v/>
      </c>
      <c r="Y74" s="488"/>
      <c r="Z74" s="714"/>
      <c r="AD74" s="611"/>
      <c r="AE74" s="628" t="str">
        <f t="shared" si="31"/>
        <v/>
      </c>
      <c r="AF74" s="630"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30"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03" t="str">
        <f t="shared" ca="1" si="32"/>
        <v/>
      </c>
      <c r="AI74" s="603" t="str" cm="1">
        <f t="array" ref="AI74">IFERROR(INDEX(始値!$E$6:$BT$305,MATCH(TEXT($B74,"0"),TEXT(銘柄管理!$B$6:$B$305,"0"),0),MATCH($AE74,始値!$E$3:$BT$3,0)),"")</f>
        <v/>
      </c>
      <c r="AJ74" s="612" t="str">
        <f t="shared" ca="1" si="33"/>
        <v/>
      </c>
      <c r="AK74" s="633" t="str">
        <f t="shared" ca="1" si="34"/>
        <v/>
      </c>
    </row>
    <row r="75" spans="1:37" ht="35.4" customHeight="1">
      <c r="A75" s="623" t="str">
        <f t="shared" si="23"/>
        <v/>
      </c>
      <c r="B75" s="634"/>
      <c r="C75" s="490"/>
      <c r="D75" s="627" t="str" cm="1">
        <f t="array" ref="D75">IF($B75="","",_xll.RssMarket($B75,"銘柄名称"))</f>
        <v/>
      </c>
      <c r="E75" s="720"/>
      <c r="F75" s="702" t="str" cm="1">
        <f t="array" aca="1" ref="F75" ca="1">IFERROR(_xlfn.LET(_xlpm.r,MATCH(TEXT($B75,"0"),TEXT(銘柄管理!$B$6:$B$305,"0"),0),_xlpm.t,MOD(NOW(),1),_xlpm.c,IF($E75=TODAY(),IF(_xlpm.t&gt;=TIME(15,30,0),NA(),1),IF(MATCH($E75,始値!$E$3:$BT$3,0)=1,1,MATCH($E75,始値!$E$3:$BT$3,0)+1)),_xlpm.v,INDEX(始値!$C$6:$BT$305,_xlpm.r,_xlpm.c),IF(N(_xlpm.v)=0,"",_xlpm.v)),"")</f>
        <v/>
      </c>
      <c r="G75" s="635"/>
      <c r="H75" s="491" t="str" cm="1">
        <f t="array" ref="H75">IF($B75="","",_xll.RssMarket($B75,"現在値"))</f>
        <v/>
      </c>
      <c r="I75" s="491" t="str" cm="1">
        <f t="array" ref="I75">IF($B75="","",_xll.RssMarket($B75,"出来高加重平均"))</f>
        <v/>
      </c>
      <c r="J75" s="705" t="str" cm="1">
        <f t="array" ref="J75">IF($B75="","",_xll.RssMarket($B75,"前日比"))</f>
        <v/>
      </c>
      <c r="K75" s="705" t="str">
        <f t="shared" ca="1" si="35"/>
        <v/>
      </c>
      <c r="L75" s="710" t="str">
        <f t="shared" ca="1" si="36"/>
        <v/>
      </c>
      <c r="M75" s="491" t="str">
        <f t="shared" ca="1" si="24"/>
        <v/>
      </c>
      <c r="N75" s="491" t="str">
        <f t="shared" ca="1" si="25"/>
        <v/>
      </c>
      <c r="O75" s="492" t="str">
        <f t="shared" ca="1" si="26"/>
        <v/>
      </c>
      <c r="P75" s="491" t="str" cm="1">
        <f t="array" aca="1" ref="P75" ca="1">IF($B75="","",IFERROR(MAX(OFFSET(高値!$E$6,MATCH(TEXT($B75,"0"),TEXT(銘柄管理!$B$6:$B$305,"0"),0)-1,0,1,10)),""))</f>
        <v/>
      </c>
      <c r="Q75" s="491" t="str" cm="1">
        <f t="array" aca="1" ref="Q75" ca="1">IF($B75="","",IFERROR(MIN(OFFSET(安値!$E$6,MATCH(TEXT($B75,"0"),TEXT(銘柄管理!$B$6:$B$305,"0"),0)-1,0,1,10)),""))</f>
        <v/>
      </c>
      <c r="R75" s="491" t="str">
        <f t="shared" ca="1" si="37"/>
        <v/>
      </c>
      <c r="S75" s="589" t="str">
        <f t="shared" si="38"/>
        <v/>
      </c>
      <c r="T75" s="597" t="str">
        <f t="shared" ca="1" si="27"/>
        <v/>
      </c>
      <c r="U75" s="491" t="str">
        <f t="shared" ca="1" si="28"/>
        <v/>
      </c>
      <c r="V75" s="705" t="str">
        <f t="shared" ca="1" si="39"/>
        <v/>
      </c>
      <c r="W75" s="493" t="str">
        <f t="shared" ca="1" si="29"/>
        <v/>
      </c>
      <c r="X75" s="489" t="str">
        <f t="shared" ca="1" si="30"/>
        <v/>
      </c>
      <c r="Y75" s="488"/>
      <c r="Z75" s="714"/>
      <c r="AD75" s="611"/>
      <c r="AE75" s="628" t="str">
        <f t="shared" si="31"/>
        <v/>
      </c>
      <c r="AF75" s="630"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30"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03" t="str">
        <f t="shared" ca="1" si="32"/>
        <v/>
      </c>
      <c r="AI75" s="603" t="str" cm="1">
        <f t="array" ref="AI75">IFERROR(INDEX(始値!$E$6:$BT$305,MATCH(TEXT($B75,"0"),TEXT(銘柄管理!$B$6:$B$305,"0"),0),MATCH($AE75,始値!$E$3:$BT$3,0)),"")</f>
        <v/>
      </c>
      <c r="AJ75" s="612" t="str">
        <f t="shared" ca="1" si="33"/>
        <v/>
      </c>
      <c r="AK75" s="633" t="str">
        <f t="shared" ca="1" si="34"/>
        <v/>
      </c>
    </row>
    <row r="76" spans="1:37" ht="35.4" customHeight="1">
      <c r="A76" s="623" t="str">
        <f t="shared" si="23"/>
        <v/>
      </c>
      <c r="B76" s="634"/>
      <c r="C76" s="490"/>
      <c r="D76" s="627" t="str" cm="1">
        <f t="array" ref="D76">IF($B76="","",_xll.RssMarket($B76,"銘柄名称"))</f>
        <v/>
      </c>
      <c r="E76" s="720"/>
      <c r="F76" s="702" t="str" cm="1">
        <f t="array" aca="1" ref="F76" ca="1">IFERROR(_xlfn.LET(_xlpm.r,MATCH(TEXT($B76,"0"),TEXT(銘柄管理!$B$6:$B$305,"0"),0),_xlpm.t,MOD(NOW(),1),_xlpm.c,IF($E76=TODAY(),IF(_xlpm.t&gt;=TIME(15,30,0),NA(),1),IF(MATCH($E76,始値!$E$3:$BT$3,0)=1,1,MATCH($E76,始値!$E$3:$BT$3,0)+1)),_xlpm.v,INDEX(始値!$C$6:$BT$305,_xlpm.r,_xlpm.c),IF(N(_xlpm.v)=0,"",_xlpm.v)),"")</f>
        <v/>
      </c>
      <c r="G76" s="635"/>
      <c r="H76" s="491" t="str" cm="1">
        <f t="array" ref="H76">IF($B76="","",_xll.RssMarket($B76,"現在値"))</f>
        <v/>
      </c>
      <c r="I76" s="491" t="str" cm="1">
        <f t="array" ref="I76">IF($B76="","",_xll.RssMarket($B76,"出来高加重平均"))</f>
        <v/>
      </c>
      <c r="J76" s="705" t="str" cm="1">
        <f t="array" ref="J76">IF($B76="","",_xll.RssMarket($B76,"前日比"))</f>
        <v/>
      </c>
      <c r="K76" s="705" t="str">
        <f t="shared" ca="1" si="35"/>
        <v/>
      </c>
      <c r="L76" s="710" t="str">
        <f t="shared" ca="1" si="36"/>
        <v/>
      </c>
      <c r="M76" s="491" t="str">
        <f t="shared" ca="1" si="24"/>
        <v/>
      </c>
      <c r="N76" s="491" t="str">
        <f t="shared" ca="1" si="25"/>
        <v/>
      </c>
      <c r="O76" s="492" t="str">
        <f t="shared" ca="1" si="26"/>
        <v/>
      </c>
      <c r="P76" s="491" t="str" cm="1">
        <f t="array" aca="1" ref="P76" ca="1">IF($B76="","",IFERROR(MAX(OFFSET(高値!$E$6,MATCH(TEXT($B76,"0"),TEXT(銘柄管理!$B$6:$B$305,"0"),0)-1,0,1,10)),""))</f>
        <v/>
      </c>
      <c r="Q76" s="491" t="str" cm="1">
        <f t="array" aca="1" ref="Q76" ca="1">IF($B76="","",IFERROR(MIN(OFFSET(安値!$E$6,MATCH(TEXT($B76,"0"),TEXT(銘柄管理!$B$6:$B$305,"0"),0)-1,0,1,10)),""))</f>
        <v/>
      </c>
      <c r="R76" s="491" t="str">
        <f t="shared" ca="1" si="37"/>
        <v/>
      </c>
      <c r="S76" s="589" t="str">
        <f t="shared" si="38"/>
        <v/>
      </c>
      <c r="T76" s="597" t="str">
        <f t="shared" ca="1" si="27"/>
        <v/>
      </c>
      <c r="U76" s="491" t="str">
        <f t="shared" ca="1" si="28"/>
        <v/>
      </c>
      <c r="V76" s="705" t="str">
        <f t="shared" ca="1" si="39"/>
        <v/>
      </c>
      <c r="W76" s="493" t="str">
        <f t="shared" ca="1" si="29"/>
        <v/>
      </c>
      <c r="X76" s="489" t="str">
        <f t="shared" ca="1" si="30"/>
        <v/>
      </c>
      <c r="Y76" s="488"/>
      <c r="Z76" s="714"/>
      <c r="AD76" s="611"/>
      <c r="AE76" s="628" t="str">
        <f t="shared" si="31"/>
        <v/>
      </c>
      <c r="AF76" s="630"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30"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03" t="str">
        <f t="shared" ca="1" si="32"/>
        <v/>
      </c>
      <c r="AI76" s="603" t="str" cm="1">
        <f t="array" ref="AI76">IFERROR(INDEX(始値!$E$6:$BT$305,MATCH(TEXT($B76,"0"),TEXT(銘柄管理!$B$6:$B$305,"0"),0),MATCH($AE76,始値!$E$3:$BT$3,0)),"")</f>
        <v/>
      </c>
      <c r="AJ76" s="612" t="str">
        <f t="shared" ca="1" si="33"/>
        <v/>
      </c>
      <c r="AK76" s="633" t="str">
        <f t="shared" ca="1" si="34"/>
        <v/>
      </c>
    </row>
    <row r="77" spans="1:37" ht="35.4" customHeight="1">
      <c r="A77" s="623" t="str">
        <f t="shared" si="23"/>
        <v/>
      </c>
      <c r="B77" s="634"/>
      <c r="C77" s="490"/>
      <c r="D77" s="627" t="str" cm="1">
        <f t="array" ref="D77">IF($B77="","",_xll.RssMarket($B77,"銘柄名称"))</f>
        <v/>
      </c>
      <c r="E77" s="720"/>
      <c r="F77" s="702" t="str" cm="1">
        <f t="array" aca="1" ref="F77" ca="1">IFERROR(_xlfn.LET(_xlpm.r,MATCH(TEXT($B77,"0"),TEXT(銘柄管理!$B$6:$B$305,"0"),0),_xlpm.t,MOD(NOW(),1),_xlpm.c,IF($E77=TODAY(),IF(_xlpm.t&gt;=TIME(15,30,0),NA(),1),IF(MATCH($E77,始値!$E$3:$BT$3,0)=1,1,MATCH($E77,始値!$E$3:$BT$3,0)+1)),_xlpm.v,INDEX(始値!$C$6:$BT$305,_xlpm.r,_xlpm.c),IF(N(_xlpm.v)=0,"",_xlpm.v)),"")</f>
        <v/>
      </c>
      <c r="G77" s="635"/>
      <c r="H77" s="491" t="str" cm="1">
        <f t="array" ref="H77">IF($B77="","",_xll.RssMarket($B77,"現在値"))</f>
        <v/>
      </c>
      <c r="I77" s="491" t="str" cm="1">
        <f t="array" ref="I77">IF($B77="","",_xll.RssMarket($B77,"出来高加重平均"))</f>
        <v/>
      </c>
      <c r="J77" s="705" t="str" cm="1">
        <f t="array" ref="J77">IF($B77="","",_xll.RssMarket($B77,"前日比"))</f>
        <v/>
      </c>
      <c r="K77" s="705" t="str">
        <f t="shared" ca="1" si="35"/>
        <v/>
      </c>
      <c r="L77" s="710" t="str">
        <f t="shared" ca="1" si="36"/>
        <v/>
      </c>
      <c r="M77" s="491" t="str">
        <f t="shared" ca="1" si="24"/>
        <v/>
      </c>
      <c r="N77" s="491" t="str">
        <f t="shared" ca="1" si="25"/>
        <v/>
      </c>
      <c r="O77" s="492" t="str">
        <f t="shared" ca="1" si="26"/>
        <v/>
      </c>
      <c r="P77" s="491" t="str" cm="1">
        <f t="array" aca="1" ref="P77" ca="1">IF($B77="","",IFERROR(MAX(OFFSET(高値!$E$6,MATCH(TEXT($B77,"0"),TEXT(銘柄管理!$B$6:$B$305,"0"),0)-1,0,1,10)),""))</f>
        <v/>
      </c>
      <c r="Q77" s="491" t="str" cm="1">
        <f t="array" aca="1" ref="Q77" ca="1">IF($B77="","",IFERROR(MIN(OFFSET(安値!$E$6,MATCH(TEXT($B77,"0"),TEXT(銘柄管理!$B$6:$B$305,"0"),0)-1,0,1,10)),""))</f>
        <v/>
      </c>
      <c r="R77" s="491" t="str">
        <f t="shared" ca="1" si="37"/>
        <v/>
      </c>
      <c r="S77" s="589" t="str">
        <f t="shared" si="38"/>
        <v/>
      </c>
      <c r="T77" s="597" t="str">
        <f t="shared" ca="1" si="27"/>
        <v/>
      </c>
      <c r="U77" s="491" t="str">
        <f t="shared" ca="1" si="28"/>
        <v/>
      </c>
      <c r="V77" s="705" t="str">
        <f t="shared" ca="1" si="39"/>
        <v/>
      </c>
      <c r="W77" s="493" t="str">
        <f t="shared" ca="1" si="29"/>
        <v/>
      </c>
      <c r="X77" s="489" t="str">
        <f t="shared" ca="1" si="30"/>
        <v/>
      </c>
      <c r="Y77" s="488"/>
      <c r="Z77" s="714"/>
      <c r="AD77" s="611"/>
      <c r="AE77" s="628" t="str">
        <f t="shared" si="31"/>
        <v/>
      </c>
      <c r="AF77" s="630"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30"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03" t="str">
        <f t="shared" ca="1" si="32"/>
        <v/>
      </c>
      <c r="AI77" s="603" t="str" cm="1">
        <f t="array" ref="AI77">IFERROR(INDEX(始値!$E$6:$BT$305,MATCH(TEXT($B77,"0"),TEXT(銘柄管理!$B$6:$B$305,"0"),0),MATCH($AE77,始値!$E$3:$BT$3,0)),"")</f>
        <v/>
      </c>
      <c r="AJ77" s="612" t="str">
        <f t="shared" ca="1" si="33"/>
        <v/>
      </c>
      <c r="AK77" s="633" t="str">
        <f t="shared" ca="1" si="34"/>
        <v/>
      </c>
    </row>
    <row r="78" spans="1:37" ht="35.4" customHeight="1">
      <c r="A78" s="623" t="str">
        <f t="shared" si="23"/>
        <v/>
      </c>
      <c r="B78" s="634"/>
      <c r="C78" s="490"/>
      <c r="D78" s="627" t="str" cm="1">
        <f t="array" ref="D78">IF($B78="","",_xll.RssMarket($B78,"銘柄名称"))</f>
        <v/>
      </c>
      <c r="E78" s="720"/>
      <c r="F78" s="702" t="str" cm="1">
        <f t="array" aca="1" ref="F78" ca="1">IFERROR(_xlfn.LET(_xlpm.r,MATCH(TEXT($B78,"0"),TEXT(銘柄管理!$B$6:$B$305,"0"),0),_xlpm.t,MOD(NOW(),1),_xlpm.c,IF($E78=TODAY(),IF(_xlpm.t&gt;=TIME(15,30,0),NA(),1),IF(MATCH($E78,始値!$E$3:$BT$3,0)=1,1,MATCH($E78,始値!$E$3:$BT$3,0)+1)),_xlpm.v,INDEX(始値!$C$6:$BT$305,_xlpm.r,_xlpm.c),IF(N(_xlpm.v)=0,"",_xlpm.v)),"")</f>
        <v/>
      </c>
      <c r="G78" s="635"/>
      <c r="H78" s="491" t="str" cm="1">
        <f t="array" ref="H78">IF($B78="","",_xll.RssMarket($B78,"現在値"))</f>
        <v/>
      </c>
      <c r="I78" s="491" t="str" cm="1">
        <f t="array" ref="I78">IF($B78="","",_xll.RssMarket($B78,"出来高加重平均"))</f>
        <v/>
      </c>
      <c r="J78" s="705" t="str" cm="1">
        <f t="array" ref="J78">IF($B78="","",_xll.RssMarket($B78,"前日比"))</f>
        <v/>
      </c>
      <c r="K78" s="705" t="str">
        <f t="shared" ca="1" si="35"/>
        <v/>
      </c>
      <c r="L78" s="710" t="str">
        <f t="shared" ca="1" si="36"/>
        <v/>
      </c>
      <c r="M78" s="491" t="str">
        <f t="shared" ca="1" si="24"/>
        <v/>
      </c>
      <c r="N78" s="491" t="str">
        <f t="shared" ca="1" si="25"/>
        <v/>
      </c>
      <c r="O78" s="492" t="str">
        <f t="shared" ca="1" si="26"/>
        <v/>
      </c>
      <c r="P78" s="491" t="str" cm="1">
        <f t="array" aca="1" ref="P78" ca="1">IF($B78="","",IFERROR(MAX(OFFSET(高値!$E$6,MATCH(TEXT($B78,"0"),TEXT(銘柄管理!$B$6:$B$305,"0"),0)-1,0,1,10)),""))</f>
        <v/>
      </c>
      <c r="Q78" s="491" t="str" cm="1">
        <f t="array" aca="1" ref="Q78" ca="1">IF($B78="","",IFERROR(MIN(OFFSET(安値!$E$6,MATCH(TEXT($B78,"0"),TEXT(銘柄管理!$B$6:$B$305,"0"),0)-1,0,1,10)),""))</f>
        <v/>
      </c>
      <c r="R78" s="491" t="str">
        <f t="shared" ca="1" si="37"/>
        <v/>
      </c>
      <c r="S78" s="589" t="str">
        <f t="shared" si="38"/>
        <v/>
      </c>
      <c r="T78" s="597" t="str">
        <f t="shared" ca="1" si="27"/>
        <v/>
      </c>
      <c r="U78" s="491" t="str">
        <f t="shared" ca="1" si="28"/>
        <v/>
      </c>
      <c r="V78" s="705" t="str">
        <f t="shared" ca="1" si="39"/>
        <v/>
      </c>
      <c r="W78" s="493" t="str">
        <f t="shared" ca="1" si="29"/>
        <v/>
      </c>
      <c r="X78" s="489" t="str">
        <f t="shared" ca="1" si="30"/>
        <v/>
      </c>
      <c r="Y78" s="488"/>
      <c r="Z78" s="714"/>
      <c r="AD78" s="611"/>
      <c r="AE78" s="628" t="str">
        <f t="shared" si="31"/>
        <v/>
      </c>
      <c r="AF78" s="630"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30"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03" t="str">
        <f t="shared" ca="1" si="32"/>
        <v/>
      </c>
      <c r="AI78" s="603" t="str" cm="1">
        <f t="array" ref="AI78">IFERROR(INDEX(始値!$E$6:$BT$305,MATCH(TEXT($B78,"0"),TEXT(銘柄管理!$B$6:$B$305,"0"),0),MATCH($AE78,始値!$E$3:$BT$3,0)),"")</f>
        <v/>
      </c>
      <c r="AJ78" s="612" t="str">
        <f t="shared" ca="1" si="33"/>
        <v/>
      </c>
      <c r="AK78" s="633" t="str">
        <f t="shared" ca="1" si="34"/>
        <v/>
      </c>
    </row>
    <row r="79" spans="1:37" ht="35.4" customHeight="1">
      <c r="A79" s="623" t="str">
        <f t="shared" si="23"/>
        <v/>
      </c>
      <c r="B79" s="634"/>
      <c r="C79" s="490"/>
      <c r="D79" s="627" t="str" cm="1">
        <f t="array" ref="D79">IF($B79="","",_xll.RssMarket($B79,"銘柄名称"))</f>
        <v/>
      </c>
      <c r="E79" s="720"/>
      <c r="F79" s="702" t="str" cm="1">
        <f t="array" aca="1" ref="F79" ca="1">IFERROR(_xlfn.LET(_xlpm.r,MATCH(TEXT($B79,"0"),TEXT(銘柄管理!$B$6:$B$305,"0"),0),_xlpm.t,MOD(NOW(),1),_xlpm.c,IF($E79=TODAY(),IF(_xlpm.t&gt;=TIME(15,30,0),NA(),1),IF(MATCH($E79,始値!$E$3:$BT$3,0)=1,1,MATCH($E79,始値!$E$3:$BT$3,0)+1)),_xlpm.v,INDEX(始値!$C$6:$BT$305,_xlpm.r,_xlpm.c),IF(N(_xlpm.v)=0,"",_xlpm.v)),"")</f>
        <v/>
      </c>
      <c r="G79" s="635"/>
      <c r="H79" s="491" t="str" cm="1">
        <f t="array" ref="H79">IF($B79="","",_xll.RssMarket($B79,"現在値"))</f>
        <v/>
      </c>
      <c r="I79" s="491" t="str" cm="1">
        <f t="array" ref="I79">IF($B79="","",_xll.RssMarket($B79,"出来高加重平均"))</f>
        <v/>
      </c>
      <c r="J79" s="705" t="str" cm="1">
        <f t="array" ref="J79">IF($B79="","",_xll.RssMarket($B79,"前日比"))</f>
        <v/>
      </c>
      <c r="K79" s="705" t="str">
        <f t="shared" ca="1" si="35"/>
        <v/>
      </c>
      <c r="L79" s="710" t="str">
        <f t="shared" ca="1" si="36"/>
        <v/>
      </c>
      <c r="M79" s="491" t="str">
        <f t="shared" ca="1" si="24"/>
        <v/>
      </c>
      <c r="N79" s="491" t="str">
        <f t="shared" ca="1" si="25"/>
        <v/>
      </c>
      <c r="O79" s="492" t="str">
        <f t="shared" ca="1" si="26"/>
        <v/>
      </c>
      <c r="P79" s="491" t="str" cm="1">
        <f t="array" aca="1" ref="P79" ca="1">IF($B79="","",IFERROR(MAX(OFFSET(高値!$E$6,MATCH(TEXT($B79,"0"),TEXT(銘柄管理!$B$6:$B$305,"0"),0)-1,0,1,10)),""))</f>
        <v/>
      </c>
      <c r="Q79" s="491" t="str" cm="1">
        <f t="array" aca="1" ref="Q79" ca="1">IF($B79="","",IFERROR(MIN(OFFSET(安値!$E$6,MATCH(TEXT($B79,"0"),TEXT(銘柄管理!$B$6:$B$305,"0"),0)-1,0,1,10)),""))</f>
        <v/>
      </c>
      <c r="R79" s="491" t="str">
        <f t="shared" ca="1" si="37"/>
        <v/>
      </c>
      <c r="S79" s="589" t="str">
        <f t="shared" si="38"/>
        <v/>
      </c>
      <c r="T79" s="597" t="str">
        <f t="shared" ca="1" si="27"/>
        <v/>
      </c>
      <c r="U79" s="491" t="str">
        <f t="shared" ca="1" si="28"/>
        <v/>
      </c>
      <c r="V79" s="705" t="str">
        <f t="shared" ca="1" si="39"/>
        <v/>
      </c>
      <c r="W79" s="493" t="str">
        <f t="shared" ca="1" si="29"/>
        <v/>
      </c>
      <c r="X79" s="489" t="str">
        <f t="shared" ca="1" si="30"/>
        <v/>
      </c>
      <c r="Y79" s="488"/>
      <c r="Z79" s="714"/>
      <c r="AD79" s="611"/>
      <c r="AE79" s="628" t="str">
        <f t="shared" si="31"/>
        <v/>
      </c>
      <c r="AF79" s="630"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30"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03" t="str">
        <f t="shared" ca="1" si="32"/>
        <v/>
      </c>
      <c r="AI79" s="603" t="str" cm="1">
        <f t="array" ref="AI79">IFERROR(INDEX(始値!$E$6:$BT$305,MATCH(TEXT($B79,"0"),TEXT(銘柄管理!$B$6:$B$305,"0"),0),MATCH($AE79,始値!$E$3:$BT$3,0)),"")</f>
        <v/>
      </c>
      <c r="AJ79" s="612" t="str">
        <f t="shared" ca="1" si="33"/>
        <v/>
      </c>
      <c r="AK79" s="633" t="str">
        <f t="shared" ca="1" si="34"/>
        <v/>
      </c>
    </row>
    <row r="80" spans="1:37" ht="35.4" customHeight="1">
      <c r="A80" s="623" t="str">
        <f t="shared" si="23"/>
        <v/>
      </c>
      <c r="B80" s="634"/>
      <c r="C80" s="490"/>
      <c r="D80" s="627" t="str" cm="1">
        <f t="array" ref="D80">IF($B80="","",_xll.RssMarket($B80,"銘柄名称"))</f>
        <v/>
      </c>
      <c r="E80" s="720"/>
      <c r="F80" s="702" t="str" cm="1">
        <f t="array" aca="1" ref="F80" ca="1">IFERROR(_xlfn.LET(_xlpm.r,MATCH(TEXT($B80,"0"),TEXT(銘柄管理!$B$6:$B$305,"0"),0),_xlpm.t,MOD(NOW(),1),_xlpm.c,IF($E80=TODAY(),IF(_xlpm.t&gt;=TIME(15,30,0),NA(),1),IF(MATCH($E80,始値!$E$3:$BT$3,0)=1,1,MATCH($E80,始値!$E$3:$BT$3,0)+1)),_xlpm.v,INDEX(始値!$C$6:$BT$305,_xlpm.r,_xlpm.c),IF(N(_xlpm.v)=0,"",_xlpm.v)),"")</f>
        <v/>
      </c>
      <c r="G80" s="635"/>
      <c r="H80" s="491" t="str" cm="1">
        <f t="array" ref="H80">IF($B80="","",_xll.RssMarket($B80,"現在値"))</f>
        <v/>
      </c>
      <c r="I80" s="491" t="str" cm="1">
        <f t="array" ref="I80">IF($B80="","",_xll.RssMarket($B80,"出来高加重平均"))</f>
        <v/>
      </c>
      <c r="J80" s="705" t="str" cm="1">
        <f t="array" ref="J80">IF($B80="","",_xll.RssMarket($B80,"前日比"))</f>
        <v/>
      </c>
      <c r="K80" s="705" t="str">
        <f t="shared" ca="1" si="35"/>
        <v/>
      </c>
      <c r="L80" s="710" t="str">
        <f t="shared" ca="1" si="36"/>
        <v/>
      </c>
      <c r="M80" s="491" t="str">
        <f t="shared" ca="1" si="24"/>
        <v/>
      </c>
      <c r="N80" s="491" t="str">
        <f t="shared" ca="1" si="25"/>
        <v/>
      </c>
      <c r="O80" s="492" t="str">
        <f t="shared" ca="1" si="26"/>
        <v/>
      </c>
      <c r="P80" s="491" t="str" cm="1">
        <f t="array" aca="1" ref="P80" ca="1">IF($B80="","",IFERROR(MAX(OFFSET(高値!$E$6,MATCH(TEXT($B80,"0"),TEXT(銘柄管理!$B$6:$B$305,"0"),0)-1,0,1,10)),""))</f>
        <v/>
      </c>
      <c r="Q80" s="491" t="str" cm="1">
        <f t="array" aca="1" ref="Q80" ca="1">IF($B80="","",IFERROR(MIN(OFFSET(安値!$E$6,MATCH(TEXT($B80,"0"),TEXT(銘柄管理!$B$6:$B$305,"0"),0)-1,0,1,10)),""))</f>
        <v/>
      </c>
      <c r="R80" s="491" t="str">
        <f t="shared" ca="1" si="37"/>
        <v/>
      </c>
      <c r="S80" s="589" t="str">
        <f t="shared" si="38"/>
        <v/>
      </c>
      <c r="T80" s="597" t="str">
        <f t="shared" ca="1" si="27"/>
        <v/>
      </c>
      <c r="U80" s="491" t="str">
        <f t="shared" ca="1" si="28"/>
        <v/>
      </c>
      <c r="V80" s="705" t="str">
        <f t="shared" ca="1" si="39"/>
        <v/>
      </c>
      <c r="W80" s="493" t="str">
        <f t="shared" ca="1" si="29"/>
        <v/>
      </c>
      <c r="X80" s="489" t="str">
        <f t="shared" ca="1" si="30"/>
        <v/>
      </c>
      <c r="Y80" s="488"/>
      <c r="Z80" s="714"/>
      <c r="AD80" s="611"/>
      <c r="AE80" s="628" t="str">
        <f t="shared" si="31"/>
        <v/>
      </c>
      <c r="AF80" s="630"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30"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03" t="str">
        <f t="shared" ca="1" si="32"/>
        <v/>
      </c>
      <c r="AI80" s="603" t="str" cm="1">
        <f t="array" ref="AI80">IFERROR(INDEX(始値!$E$6:$BT$305,MATCH(TEXT($B80,"0"),TEXT(銘柄管理!$B$6:$B$305,"0"),0),MATCH($AE80,始値!$E$3:$BT$3,0)),"")</f>
        <v/>
      </c>
      <c r="AJ80" s="612" t="str">
        <f t="shared" ca="1" si="33"/>
        <v/>
      </c>
      <c r="AK80" s="633" t="str">
        <f t="shared" ca="1" si="34"/>
        <v/>
      </c>
    </row>
    <row r="81" spans="1:37" ht="35.4" customHeight="1">
      <c r="A81" s="623" t="str">
        <f t="shared" si="23"/>
        <v/>
      </c>
      <c r="B81" s="634"/>
      <c r="C81" s="490"/>
      <c r="D81" s="627" t="str" cm="1">
        <f t="array" ref="D81">IF($B81="","",_xll.RssMarket($B81,"銘柄名称"))</f>
        <v/>
      </c>
      <c r="E81" s="720"/>
      <c r="F81" s="702" t="str" cm="1">
        <f t="array" aca="1" ref="F81" ca="1">IFERROR(_xlfn.LET(_xlpm.r,MATCH(TEXT($B81,"0"),TEXT(銘柄管理!$B$6:$B$305,"0"),0),_xlpm.t,MOD(NOW(),1),_xlpm.c,IF($E81=TODAY(),IF(_xlpm.t&gt;=TIME(15,30,0),NA(),1),IF(MATCH($E81,始値!$E$3:$BT$3,0)=1,1,MATCH($E81,始値!$E$3:$BT$3,0)+1)),_xlpm.v,INDEX(始値!$C$6:$BT$305,_xlpm.r,_xlpm.c),IF(N(_xlpm.v)=0,"",_xlpm.v)),"")</f>
        <v/>
      </c>
      <c r="G81" s="635"/>
      <c r="H81" s="491" t="str" cm="1">
        <f t="array" ref="H81">IF($B81="","",_xll.RssMarket($B81,"現在値"))</f>
        <v/>
      </c>
      <c r="I81" s="491" t="str" cm="1">
        <f t="array" ref="I81">IF($B81="","",_xll.RssMarket($B81,"出来高加重平均"))</f>
        <v/>
      </c>
      <c r="J81" s="705" t="str" cm="1">
        <f t="array" ref="J81">IF($B81="","",_xll.RssMarket($B81,"前日比"))</f>
        <v/>
      </c>
      <c r="K81" s="705" t="str">
        <f t="shared" ca="1" si="35"/>
        <v/>
      </c>
      <c r="L81" s="710" t="str">
        <f t="shared" ca="1" si="36"/>
        <v/>
      </c>
      <c r="M81" s="491" t="str">
        <f t="shared" ca="1" si="24"/>
        <v/>
      </c>
      <c r="N81" s="491" t="str">
        <f t="shared" ca="1" si="25"/>
        <v/>
      </c>
      <c r="O81" s="492" t="str">
        <f t="shared" ca="1" si="26"/>
        <v/>
      </c>
      <c r="P81" s="491" t="str" cm="1">
        <f t="array" aca="1" ref="P81" ca="1">IF($B81="","",IFERROR(MAX(OFFSET(高値!$E$6,MATCH(TEXT($B81,"0"),TEXT(銘柄管理!$B$6:$B$305,"0"),0)-1,0,1,10)),""))</f>
        <v/>
      </c>
      <c r="Q81" s="491" t="str" cm="1">
        <f t="array" aca="1" ref="Q81" ca="1">IF($B81="","",IFERROR(MIN(OFFSET(安値!$E$6,MATCH(TEXT($B81,"0"),TEXT(銘柄管理!$B$6:$B$305,"0"),0)-1,0,1,10)),""))</f>
        <v/>
      </c>
      <c r="R81" s="491" t="str">
        <f t="shared" ca="1" si="37"/>
        <v/>
      </c>
      <c r="S81" s="589" t="str">
        <f t="shared" si="38"/>
        <v/>
      </c>
      <c r="T81" s="597" t="str">
        <f t="shared" ca="1" si="27"/>
        <v/>
      </c>
      <c r="U81" s="491" t="str">
        <f t="shared" ca="1" si="28"/>
        <v/>
      </c>
      <c r="V81" s="705" t="str">
        <f t="shared" ca="1" si="39"/>
        <v/>
      </c>
      <c r="W81" s="493" t="str">
        <f t="shared" ca="1" si="29"/>
        <v/>
      </c>
      <c r="X81" s="489" t="str">
        <f t="shared" ca="1" si="30"/>
        <v/>
      </c>
      <c r="Y81" s="488"/>
      <c r="Z81" s="714"/>
      <c r="AD81" s="611"/>
      <c r="AE81" s="628" t="str">
        <f t="shared" si="31"/>
        <v/>
      </c>
      <c r="AF81" s="630"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30"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03" t="str">
        <f t="shared" ca="1" si="32"/>
        <v/>
      </c>
      <c r="AI81" s="603" t="str" cm="1">
        <f t="array" ref="AI81">IFERROR(INDEX(始値!$E$6:$BT$305,MATCH(TEXT($B81,"0"),TEXT(銘柄管理!$B$6:$B$305,"0"),0),MATCH($AE81,始値!$E$3:$BT$3,0)),"")</f>
        <v/>
      </c>
      <c r="AJ81" s="612" t="str">
        <f t="shared" ca="1" si="33"/>
        <v/>
      </c>
      <c r="AK81" s="633" t="str">
        <f t="shared" ca="1" si="34"/>
        <v/>
      </c>
    </row>
    <row r="82" spans="1:37" ht="35.4" customHeight="1">
      <c r="A82" s="623" t="str">
        <f t="shared" si="23"/>
        <v/>
      </c>
      <c r="B82" s="634"/>
      <c r="C82" s="490"/>
      <c r="D82" s="627" t="str" cm="1">
        <f t="array" ref="D82">IF($B82="","",_xll.RssMarket($B82,"銘柄名称"))</f>
        <v/>
      </c>
      <c r="E82" s="720"/>
      <c r="F82" s="702" t="str" cm="1">
        <f t="array" aca="1" ref="F82" ca="1">IFERROR(_xlfn.LET(_xlpm.r,MATCH(TEXT($B82,"0"),TEXT(銘柄管理!$B$6:$B$305,"0"),0),_xlpm.t,MOD(NOW(),1),_xlpm.c,IF($E82=TODAY(),IF(_xlpm.t&gt;=TIME(15,30,0),NA(),1),IF(MATCH($E82,始値!$E$3:$BT$3,0)=1,1,MATCH($E82,始値!$E$3:$BT$3,0)+1)),_xlpm.v,INDEX(始値!$C$6:$BT$305,_xlpm.r,_xlpm.c),IF(N(_xlpm.v)=0,"",_xlpm.v)),"")</f>
        <v/>
      </c>
      <c r="G82" s="635"/>
      <c r="H82" s="491" t="str" cm="1">
        <f t="array" ref="H82">IF($B82="","",_xll.RssMarket($B82,"現在値"))</f>
        <v/>
      </c>
      <c r="I82" s="491" t="str" cm="1">
        <f t="array" ref="I82">IF($B82="","",_xll.RssMarket($B82,"出来高加重平均"))</f>
        <v/>
      </c>
      <c r="J82" s="705" t="str" cm="1">
        <f t="array" ref="J82">IF($B82="","",_xll.RssMarket($B82,"前日比"))</f>
        <v/>
      </c>
      <c r="K82" s="705" t="str">
        <f t="shared" ca="1" si="35"/>
        <v/>
      </c>
      <c r="L82" s="710" t="str">
        <f t="shared" ca="1" si="36"/>
        <v/>
      </c>
      <c r="M82" s="491" t="str">
        <f t="shared" ca="1" si="24"/>
        <v/>
      </c>
      <c r="N82" s="491" t="str">
        <f t="shared" ca="1" si="25"/>
        <v/>
      </c>
      <c r="O82" s="492" t="str">
        <f t="shared" ca="1" si="26"/>
        <v/>
      </c>
      <c r="P82" s="491" t="str" cm="1">
        <f t="array" aca="1" ref="P82" ca="1">IF($B82="","",IFERROR(MAX(OFFSET(高値!$E$6,MATCH(TEXT($B82,"0"),TEXT(銘柄管理!$B$6:$B$305,"0"),0)-1,0,1,10)),""))</f>
        <v/>
      </c>
      <c r="Q82" s="491" t="str" cm="1">
        <f t="array" aca="1" ref="Q82" ca="1">IF($B82="","",IFERROR(MIN(OFFSET(安値!$E$6,MATCH(TEXT($B82,"0"),TEXT(銘柄管理!$B$6:$B$305,"0"),0)-1,0,1,10)),""))</f>
        <v/>
      </c>
      <c r="R82" s="491" t="str">
        <f t="shared" ca="1" si="37"/>
        <v/>
      </c>
      <c r="S82" s="589" t="str">
        <f t="shared" si="38"/>
        <v/>
      </c>
      <c r="T82" s="597" t="str">
        <f t="shared" ca="1" si="27"/>
        <v/>
      </c>
      <c r="U82" s="491" t="str">
        <f t="shared" ca="1" si="28"/>
        <v/>
      </c>
      <c r="V82" s="705" t="str">
        <f t="shared" ca="1" si="39"/>
        <v/>
      </c>
      <c r="W82" s="493" t="str">
        <f t="shared" ca="1" si="29"/>
        <v/>
      </c>
      <c r="X82" s="489" t="str">
        <f t="shared" ca="1" si="30"/>
        <v/>
      </c>
      <c r="Y82" s="488"/>
      <c r="Z82" s="714"/>
      <c r="AD82" s="611"/>
      <c r="AE82" s="628" t="str">
        <f t="shared" si="31"/>
        <v/>
      </c>
      <c r="AF82" s="630"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30"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03" t="str">
        <f t="shared" ca="1" si="32"/>
        <v/>
      </c>
      <c r="AI82" s="603" t="str" cm="1">
        <f t="array" ref="AI82">IFERROR(INDEX(始値!$E$6:$BT$305,MATCH(TEXT($B82,"0"),TEXT(銘柄管理!$B$6:$B$305,"0"),0),MATCH($AE82,始値!$E$3:$BT$3,0)),"")</f>
        <v/>
      </c>
      <c r="AJ82" s="612" t="str">
        <f t="shared" ca="1" si="33"/>
        <v/>
      </c>
      <c r="AK82" s="633" t="str">
        <f t="shared" ca="1" si="34"/>
        <v/>
      </c>
    </row>
    <row r="83" spans="1:37" ht="35.4" customHeight="1">
      <c r="A83" s="623" t="str">
        <f t="shared" si="23"/>
        <v/>
      </c>
      <c r="B83" s="634"/>
      <c r="C83" s="490"/>
      <c r="D83" s="627" t="str" cm="1">
        <f t="array" ref="D83">IF($B83="","",_xll.RssMarket($B83,"銘柄名称"))</f>
        <v/>
      </c>
      <c r="E83" s="720"/>
      <c r="F83" s="702" t="str" cm="1">
        <f t="array" aca="1" ref="F83" ca="1">IFERROR(_xlfn.LET(_xlpm.r,MATCH(TEXT($B83,"0"),TEXT(銘柄管理!$B$6:$B$305,"0"),0),_xlpm.t,MOD(NOW(),1),_xlpm.c,IF($E83=TODAY(),IF(_xlpm.t&gt;=TIME(15,30,0),NA(),1),IF(MATCH($E83,始値!$E$3:$BT$3,0)=1,1,MATCH($E83,始値!$E$3:$BT$3,0)+1)),_xlpm.v,INDEX(始値!$C$6:$BT$305,_xlpm.r,_xlpm.c),IF(N(_xlpm.v)=0,"",_xlpm.v)),"")</f>
        <v/>
      </c>
      <c r="G83" s="635"/>
      <c r="H83" s="491" t="str" cm="1">
        <f t="array" ref="H83">IF($B83="","",_xll.RssMarket($B83,"現在値"))</f>
        <v/>
      </c>
      <c r="I83" s="491" t="str" cm="1">
        <f t="array" ref="I83">IF($B83="","",_xll.RssMarket($B83,"出来高加重平均"))</f>
        <v/>
      </c>
      <c r="J83" s="705" t="str" cm="1">
        <f t="array" ref="J83">IF($B83="","",_xll.RssMarket($B83,"前日比"))</f>
        <v/>
      </c>
      <c r="K83" s="705" t="str">
        <f t="shared" ca="1" si="35"/>
        <v/>
      </c>
      <c r="L83" s="710" t="str">
        <f t="shared" ca="1" si="36"/>
        <v/>
      </c>
      <c r="M83" s="491" t="str">
        <f t="shared" ca="1" si="24"/>
        <v/>
      </c>
      <c r="N83" s="491" t="str">
        <f t="shared" ca="1" si="25"/>
        <v/>
      </c>
      <c r="O83" s="492" t="str">
        <f t="shared" ca="1" si="26"/>
        <v/>
      </c>
      <c r="P83" s="491" t="str" cm="1">
        <f t="array" aca="1" ref="P83" ca="1">IF($B83="","",IFERROR(MAX(OFFSET(高値!$E$6,MATCH(TEXT($B83,"0"),TEXT(銘柄管理!$B$6:$B$305,"0"),0)-1,0,1,10)),""))</f>
        <v/>
      </c>
      <c r="Q83" s="491" t="str" cm="1">
        <f t="array" aca="1" ref="Q83" ca="1">IF($B83="","",IFERROR(MIN(OFFSET(安値!$E$6,MATCH(TEXT($B83,"0"),TEXT(銘柄管理!$B$6:$B$305,"0"),0)-1,0,1,10)),""))</f>
        <v/>
      </c>
      <c r="R83" s="491" t="str">
        <f t="shared" ca="1" si="37"/>
        <v/>
      </c>
      <c r="S83" s="589" t="str">
        <f t="shared" si="38"/>
        <v/>
      </c>
      <c r="T83" s="597" t="str">
        <f t="shared" ca="1" si="27"/>
        <v/>
      </c>
      <c r="U83" s="491" t="str">
        <f t="shared" ca="1" si="28"/>
        <v/>
      </c>
      <c r="V83" s="705" t="str">
        <f t="shared" ca="1" si="39"/>
        <v/>
      </c>
      <c r="W83" s="493" t="str">
        <f t="shared" ca="1" si="29"/>
        <v/>
      </c>
      <c r="X83" s="489" t="str">
        <f t="shared" ca="1" si="30"/>
        <v/>
      </c>
      <c r="Y83" s="488"/>
      <c r="Z83" s="714"/>
      <c r="AD83" s="611"/>
      <c r="AE83" s="628" t="str">
        <f t="shared" si="31"/>
        <v/>
      </c>
      <c r="AF83" s="630"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30"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03" t="str">
        <f t="shared" ca="1" si="32"/>
        <v/>
      </c>
      <c r="AI83" s="603" t="str" cm="1">
        <f t="array" ref="AI83">IFERROR(INDEX(始値!$E$6:$BT$305,MATCH(TEXT($B83,"0"),TEXT(銘柄管理!$B$6:$B$305,"0"),0),MATCH($AE83,始値!$E$3:$BT$3,0)),"")</f>
        <v/>
      </c>
      <c r="AJ83" s="612" t="str">
        <f t="shared" ca="1" si="33"/>
        <v/>
      </c>
      <c r="AK83" s="633" t="str">
        <f t="shared" ca="1" si="34"/>
        <v/>
      </c>
    </row>
    <row r="84" spans="1:37" ht="35.4" customHeight="1">
      <c r="A84" s="623" t="str">
        <f t="shared" si="23"/>
        <v/>
      </c>
      <c r="B84" s="634"/>
      <c r="C84" s="490"/>
      <c r="D84" s="627" t="str" cm="1">
        <f t="array" ref="D84">IF($B84="","",_xll.RssMarket($B84,"銘柄名称"))</f>
        <v/>
      </c>
      <c r="E84" s="720"/>
      <c r="F84" s="702" t="str" cm="1">
        <f t="array" aca="1" ref="F84" ca="1">IFERROR(_xlfn.LET(_xlpm.r,MATCH(TEXT($B84,"0"),TEXT(銘柄管理!$B$6:$B$305,"0"),0),_xlpm.t,MOD(NOW(),1),_xlpm.c,IF($E84=TODAY(),IF(_xlpm.t&gt;=TIME(15,30,0),NA(),1),IF(MATCH($E84,始値!$E$3:$BT$3,0)=1,1,MATCH($E84,始値!$E$3:$BT$3,0)+1)),_xlpm.v,INDEX(始値!$C$6:$BT$305,_xlpm.r,_xlpm.c),IF(N(_xlpm.v)=0,"",_xlpm.v)),"")</f>
        <v/>
      </c>
      <c r="G84" s="635"/>
      <c r="H84" s="491" t="str" cm="1">
        <f t="array" ref="H84">IF($B84="","",_xll.RssMarket($B84,"現在値"))</f>
        <v/>
      </c>
      <c r="I84" s="491" t="str" cm="1">
        <f t="array" ref="I84">IF($B84="","",_xll.RssMarket($B84,"出来高加重平均"))</f>
        <v/>
      </c>
      <c r="J84" s="705" t="str" cm="1">
        <f t="array" ref="J84">IF($B84="","",_xll.RssMarket($B84,"前日比"))</f>
        <v/>
      </c>
      <c r="K84" s="705" t="str">
        <f t="shared" ca="1" si="35"/>
        <v/>
      </c>
      <c r="L84" s="710" t="str">
        <f t="shared" ca="1" si="36"/>
        <v/>
      </c>
      <c r="M84" s="491" t="str">
        <f t="shared" ca="1" si="24"/>
        <v/>
      </c>
      <c r="N84" s="491" t="str">
        <f t="shared" ca="1" si="25"/>
        <v/>
      </c>
      <c r="O84" s="492" t="str">
        <f t="shared" ca="1" si="26"/>
        <v/>
      </c>
      <c r="P84" s="491" t="str" cm="1">
        <f t="array" aca="1" ref="P84" ca="1">IF($B84="","",IFERROR(MAX(OFFSET(高値!$E$6,MATCH(TEXT($B84,"0"),TEXT(銘柄管理!$B$6:$B$305,"0"),0)-1,0,1,10)),""))</f>
        <v/>
      </c>
      <c r="Q84" s="491" t="str" cm="1">
        <f t="array" aca="1" ref="Q84" ca="1">IF($B84="","",IFERROR(MIN(OFFSET(安値!$E$6,MATCH(TEXT($B84,"0"),TEXT(銘柄管理!$B$6:$B$305,"0"),0)-1,0,1,10)),""))</f>
        <v/>
      </c>
      <c r="R84" s="491" t="str">
        <f t="shared" ca="1" si="37"/>
        <v/>
      </c>
      <c r="S84" s="589" t="str">
        <f t="shared" si="38"/>
        <v/>
      </c>
      <c r="T84" s="597" t="str">
        <f t="shared" ca="1" si="27"/>
        <v/>
      </c>
      <c r="U84" s="491" t="str">
        <f t="shared" ca="1" si="28"/>
        <v/>
      </c>
      <c r="V84" s="705" t="str">
        <f t="shared" ca="1" si="39"/>
        <v/>
      </c>
      <c r="W84" s="493" t="str">
        <f t="shared" ca="1" si="29"/>
        <v/>
      </c>
      <c r="X84" s="489" t="str">
        <f t="shared" ca="1" si="30"/>
        <v/>
      </c>
      <c r="Y84" s="488"/>
      <c r="Z84" s="714"/>
      <c r="AD84" s="611"/>
      <c r="AE84" s="628" t="str">
        <f t="shared" si="31"/>
        <v/>
      </c>
      <c r="AF84" s="630"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30"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03" t="str">
        <f t="shared" ca="1" si="32"/>
        <v/>
      </c>
      <c r="AI84" s="603" t="str" cm="1">
        <f t="array" ref="AI84">IFERROR(INDEX(始値!$E$6:$BT$305,MATCH(TEXT($B84,"0"),TEXT(銘柄管理!$B$6:$B$305,"0"),0),MATCH($AE84,始値!$E$3:$BT$3,0)),"")</f>
        <v/>
      </c>
      <c r="AJ84" s="612" t="str">
        <f t="shared" ca="1" si="33"/>
        <v/>
      </c>
      <c r="AK84" s="633" t="str">
        <f t="shared" ca="1" si="34"/>
        <v/>
      </c>
    </row>
    <row r="85" spans="1:37" ht="35.4" customHeight="1">
      <c r="A85" s="623" t="str">
        <f t="shared" si="23"/>
        <v/>
      </c>
      <c r="B85" s="634"/>
      <c r="C85" s="490"/>
      <c r="D85" s="627" t="str" cm="1">
        <f t="array" ref="D85">IF($B85="","",_xll.RssMarket($B85,"銘柄名称"))</f>
        <v/>
      </c>
      <c r="E85" s="720"/>
      <c r="F85" s="702" t="str" cm="1">
        <f t="array" aca="1" ref="F85" ca="1">IFERROR(_xlfn.LET(_xlpm.r,MATCH(TEXT($B85,"0"),TEXT(銘柄管理!$B$6:$B$305,"0"),0),_xlpm.t,MOD(NOW(),1),_xlpm.c,IF($E85=TODAY(),IF(_xlpm.t&gt;=TIME(15,30,0),NA(),1),IF(MATCH($E85,始値!$E$3:$BT$3,0)=1,1,MATCH($E85,始値!$E$3:$BT$3,0)+1)),_xlpm.v,INDEX(始値!$C$6:$BT$305,_xlpm.r,_xlpm.c),IF(N(_xlpm.v)=0,"",_xlpm.v)),"")</f>
        <v/>
      </c>
      <c r="G85" s="635"/>
      <c r="H85" s="491" t="str" cm="1">
        <f t="array" ref="H85">IF($B85="","",_xll.RssMarket($B85,"現在値"))</f>
        <v/>
      </c>
      <c r="I85" s="491" t="str" cm="1">
        <f t="array" ref="I85">IF($B85="","",_xll.RssMarket($B85,"出来高加重平均"))</f>
        <v/>
      </c>
      <c r="J85" s="705" t="str" cm="1">
        <f t="array" ref="J85">IF($B85="","",_xll.RssMarket($B85,"前日比"))</f>
        <v/>
      </c>
      <c r="K85" s="705" t="str">
        <f t="shared" ca="1" si="35"/>
        <v/>
      </c>
      <c r="L85" s="710" t="str">
        <f t="shared" ca="1" si="36"/>
        <v/>
      </c>
      <c r="M85" s="491" t="str">
        <f t="shared" ca="1" si="24"/>
        <v/>
      </c>
      <c r="N85" s="491" t="str">
        <f t="shared" ca="1" si="25"/>
        <v/>
      </c>
      <c r="O85" s="492" t="str">
        <f t="shared" ca="1" si="26"/>
        <v/>
      </c>
      <c r="P85" s="491" t="str" cm="1">
        <f t="array" aca="1" ref="P85" ca="1">IF($B85="","",IFERROR(MAX(OFFSET(高値!$E$6,MATCH(TEXT($B85,"0"),TEXT(銘柄管理!$B$6:$B$305,"0"),0)-1,0,1,10)),""))</f>
        <v/>
      </c>
      <c r="Q85" s="491" t="str" cm="1">
        <f t="array" aca="1" ref="Q85" ca="1">IF($B85="","",IFERROR(MIN(OFFSET(安値!$E$6,MATCH(TEXT($B85,"0"),TEXT(銘柄管理!$B$6:$B$305,"0"),0)-1,0,1,10)),""))</f>
        <v/>
      </c>
      <c r="R85" s="491" t="str">
        <f t="shared" ca="1" si="37"/>
        <v/>
      </c>
      <c r="S85" s="589" t="str">
        <f t="shared" si="38"/>
        <v/>
      </c>
      <c r="T85" s="597" t="str">
        <f t="shared" ca="1" si="27"/>
        <v/>
      </c>
      <c r="U85" s="491" t="str">
        <f t="shared" ca="1" si="28"/>
        <v/>
      </c>
      <c r="V85" s="705" t="str">
        <f t="shared" ca="1" si="39"/>
        <v/>
      </c>
      <c r="W85" s="493" t="str">
        <f t="shared" ca="1" si="29"/>
        <v/>
      </c>
      <c r="X85" s="489" t="str">
        <f t="shared" ca="1" si="30"/>
        <v/>
      </c>
      <c r="Y85" s="488"/>
      <c r="Z85" s="714"/>
      <c r="AD85" s="611"/>
      <c r="AE85" s="628" t="str">
        <f t="shared" si="31"/>
        <v/>
      </c>
      <c r="AF85" s="630"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30"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03" t="str">
        <f t="shared" ca="1" si="32"/>
        <v/>
      </c>
      <c r="AI85" s="603" t="str" cm="1">
        <f t="array" ref="AI85">IFERROR(INDEX(始値!$E$6:$BT$305,MATCH(TEXT($B85,"0"),TEXT(銘柄管理!$B$6:$B$305,"0"),0),MATCH($AE85,始値!$E$3:$BT$3,0)),"")</f>
        <v/>
      </c>
      <c r="AJ85" s="612" t="str">
        <f t="shared" ca="1" si="33"/>
        <v/>
      </c>
      <c r="AK85" s="633" t="str">
        <f t="shared" ca="1" si="34"/>
        <v/>
      </c>
    </row>
    <row r="86" spans="1:37" ht="35.4" customHeight="1">
      <c r="A86" s="623" t="str">
        <f t="shared" si="23"/>
        <v/>
      </c>
      <c r="B86" s="634"/>
      <c r="C86" s="490"/>
      <c r="D86" s="627" t="str" cm="1">
        <f t="array" ref="D86">IF($B86="","",_xll.RssMarket($B86,"銘柄名称"))</f>
        <v/>
      </c>
      <c r="E86" s="720"/>
      <c r="F86" s="702" t="str" cm="1">
        <f t="array" aca="1" ref="F86" ca="1">IFERROR(_xlfn.LET(_xlpm.r,MATCH(TEXT($B86,"0"),TEXT(銘柄管理!$B$6:$B$305,"0"),0),_xlpm.t,MOD(NOW(),1),_xlpm.c,IF($E86=TODAY(),IF(_xlpm.t&gt;=TIME(15,30,0),NA(),1),IF(MATCH($E86,始値!$E$3:$BT$3,0)=1,1,MATCH($E86,始値!$E$3:$BT$3,0)+1)),_xlpm.v,INDEX(始値!$C$6:$BT$305,_xlpm.r,_xlpm.c),IF(N(_xlpm.v)=0,"",_xlpm.v)),"")</f>
        <v/>
      </c>
      <c r="G86" s="635"/>
      <c r="H86" s="491" t="str" cm="1">
        <f t="array" ref="H86">IF($B86="","",_xll.RssMarket($B86,"現在値"))</f>
        <v/>
      </c>
      <c r="I86" s="491" t="str" cm="1">
        <f t="array" ref="I86">IF($B86="","",_xll.RssMarket($B86,"出来高加重平均"))</f>
        <v/>
      </c>
      <c r="J86" s="705" t="str" cm="1">
        <f t="array" ref="J86">IF($B86="","",_xll.RssMarket($B86,"前日比"))</f>
        <v/>
      </c>
      <c r="K86" s="705" t="str">
        <f t="shared" ca="1" si="35"/>
        <v/>
      </c>
      <c r="L86" s="710" t="str">
        <f t="shared" ca="1" si="36"/>
        <v/>
      </c>
      <c r="M86" s="491" t="str">
        <f t="shared" ca="1" si="24"/>
        <v/>
      </c>
      <c r="N86" s="491" t="str">
        <f t="shared" ca="1" si="25"/>
        <v/>
      </c>
      <c r="O86" s="492" t="str">
        <f t="shared" ca="1" si="26"/>
        <v/>
      </c>
      <c r="P86" s="491" t="str" cm="1">
        <f t="array" aca="1" ref="P86" ca="1">IF($B86="","",IFERROR(MAX(OFFSET(高値!$E$6,MATCH(TEXT($B86,"0"),TEXT(銘柄管理!$B$6:$B$305,"0"),0)-1,0,1,10)),""))</f>
        <v/>
      </c>
      <c r="Q86" s="491" t="str" cm="1">
        <f t="array" aca="1" ref="Q86" ca="1">IF($B86="","",IFERROR(MIN(OFFSET(安値!$E$6,MATCH(TEXT($B86,"0"),TEXT(銘柄管理!$B$6:$B$305,"0"),0)-1,0,1,10)),""))</f>
        <v/>
      </c>
      <c r="R86" s="491" t="str">
        <f t="shared" ca="1" si="37"/>
        <v/>
      </c>
      <c r="S86" s="589" t="str">
        <f t="shared" si="38"/>
        <v/>
      </c>
      <c r="T86" s="597" t="str">
        <f t="shared" ca="1" si="27"/>
        <v/>
      </c>
      <c r="U86" s="491" t="str">
        <f t="shared" ca="1" si="28"/>
        <v/>
      </c>
      <c r="V86" s="705" t="str">
        <f t="shared" ca="1" si="39"/>
        <v/>
      </c>
      <c r="W86" s="493" t="str">
        <f t="shared" ca="1" si="29"/>
        <v/>
      </c>
      <c r="X86" s="489" t="str">
        <f t="shared" ca="1" si="30"/>
        <v/>
      </c>
      <c r="Y86" s="488"/>
      <c r="Z86" s="714"/>
      <c r="AD86" s="611"/>
      <c r="AE86" s="628" t="str">
        <f t="shared" si="31"/>
        <v/>
      </c>
      <c r="AF86" s="630"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30"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03" t="str">
        <f t="shared" ca="1" si="32"/>
        <v/>
      </c>
      <c r="AI86" s="603" t="str" cm="1">
        <f t="array" ref="AI86">IFERROR(INDEX(始値!$E$6:$BT$305,MATCH(TEXT($B86,"0"),TEXT(銘柄管理!$B$6:$B$305,"0"),0),MATCH($AE86,始値!$E$3:$BT$3,0)),"")</f>
        <v/>
      </c>
      <c r="AJ86" s="612" t="str">
        <f t="shared" ca="1" si="33"/>
        <v/>
      </c>
      <c r="AK86" s="633" t="str">
        <f t="shared" ca="1" si="34"/>
        <v/>
      </c>
    </row>
    <row r="87" spans="1:37" ht="35.4" customHeight="1">
      <c r="A87" s="623" t="str">
        <f t="shared" si="23"/>
        <v/>
      </c>
      <c r="B87" s="634"/>
      <c r="C87" s="490"/>
      <c r="D87" s="627" t="str" cm="1">
        <f t="array" ref="D87">IF($B87="","",_xll.RssMarket($B87,"銘柄名称"))</f>
        <v/>
      </c>
      <c r="E87" s="720"/>
      <c r="F87" s="702" t="str" cm="1">
        <f t="array" aca="1" ref="F87" ca="1">IFERROR(_xlfn.LET(_xlpm.r,MATCH(TEXT($B87,"0"),TEXT(銘柄管理!$B$6:$B$305,"0"),0),_xlpm.t,MOD(NOW(),1),_xlpm.c,IF($E87=TODAY(),IF(_xlpm.t&gt;=TIME(15,30,0),NA(),1),IF(MATCH($E87,始値!$E$3:$BT$3,0)=1,1,MATCH($E87,始値!$E$3:$BT$3,0)+1)),_xlpm.v,INDEX(始値!$C$6:$BT$305,_xlpm.r,_xlpm.c),IF(N(_xlpm.v)=0,"",_xlpm.v)),"")</f>
        <v/>
      </c>
      <c r="G87" s="635"/>
      <c r="H87" s="491" t="str" cm="1">
        <f t="array" ref="H87">IF($B87="","",_xll.RssMarket($B87,"現在値"))</f>
        <v/>
      </c>
      <c r="I87" s="491" t="str" cm="1">
        <f t="array" ref="I87">IF($B87="","",_xll.RssMarket($B87,"出来高加重平均"))</f>
        <v/>
      </c>
      <c r="J87" s="705" t="str" cm="1">
        <f t="array" ref="J87">IF($B87="","",_xll.RssMarket($B87,"前日比"))</f>
        <v/>
      </c>
      <c r="K87" s="705" t="str">
        <f t="shared" ca="1" si="35"/>
        <v/>
      </c>
      <c r="L87" s="710" t="str">
        <f t="shared" ca="1" si="36"/>
        <v/>
      </c>
      <c r="M87" s="491" t="str">
        <f t="shared" ca="1" si="24"/>
        <v/>
      </c>
      <c r="N87" s="491" t="str">
        <f t="shared" ca="1" si="25"/>
        <v/>
      </c>
      <c r="O87" s="492" t="str">
        <f t="shared" ca="1" si="26"/>
        <v/>
      </c>
      <c r="P87" s="491" t="str" cm="1">
        <f t="array" aca="1" ref="P87" ca="1">IF($B87="","",IFERROR(MAX(OFFSET(高値!$E$6,MATCH(TEXT($B87,"0"),TEXT(銘柄管理!$B$6:$B$305,"0"),0)-1,0,1,10)),""))</f>
        <v/>
      </c>
      <c r="Q87" s="491" t="str" cm="1">
        <f t="array" aca="1" ref="Q87" ca="1">IF($B87="","",IFERROR(MIN(OFFSET(安値!$E$6,MATCH(TEXT($B87,"0"),TEXT(銘柄管理!$B$6:$B$305,"0"),0)-1,0,1,10)),""))</f>
        <v/>
      </c>
      <c r="R87" s="491" t="str">
        <f t="shared" ca="1" si="37"/>
        <v/>
      </c>
      <c r="S87" s="589" t="str">
        <f t="shared" si="38"/>
        <v/>
      </c>
      <c r="T87" s="597" t="str">
        <f t="shared" ca="1" si="27"/>
        <v/>
      </c>
      <c r="U87" s="491" t="str">
        <f t="shared" ca="1" si="28"/>
        <v/>
      </c>
      <c r="V87" s="705" t="str">
        <f t="shared" ca="1" si="39"/>
        <v/>
      </c>
      <c r="W87" s="493" t="str">
        <f t="shared" ca="1" si="29"/>
        <v/>
      </c>
      <c r="X87" s="489" t="str">
        <f t="shared" ca="1" si="30"/>
        <v/>
      </c>
      <c r="Y87" s="488"/>
      <c r="Z87" s="714"/>
      <c r="AD87" s="611"/>
      <c r="AE87" s="628" t="str">
        <f t="shared" si="31"/>
        <v/>
      </c>
      <c r="AF87" s="630"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30"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03" t="str">
        <f t="shared" ca="1" si="32"/>
        <v/>
      </c>
      <c r="AI87" s="603" t="str" cm="1">
        <f t="array" ref="AI87">IFERROR(INDEX(始値!$E$6:$BT$305,MATCH(TEXT($B87,"0"),TEXT(銘柄管理!$B$6:$B$305,"0"),0),MATCH($AE87,始値!$E$3:$BT$3,0)),"")</f>
        <v/>
      </c>
      <c r="AJ87" s="612" t="str">
        <f t="shared" ca="1" si="33"/>
        <v/>
      </c>
      <c r="AK87" s="633" t="str">
        <f t="shared" ca="1" si="34"/>
        <v/>
      </c>
    </row>
    <row r="88" spans="1:37" ht="35.4" customHeight="1">
      <c r="A88" s="623" t="str">
        <f t="shared" si="23"/>
        <v/>
      </c>
      <c r="B88" s="634"/>
      <c r="C88" s="490"/>
      <c r="D88" s="627" t="str" cm="1">
        <f t="array" ref="D88">IF($B88="","",_xll.RssMarket($B88,"銘柄名称"))</f>
        <v/>
      </c>
      <c r="E88" s="720"/>
      <c r="F88" s="702" t="str" cm="1">
        <f t="array" aca="1" ref="F88" ca="1">IFERROR(_xlfn.LET(_xlpm.r,MATCH(TEXT($B88,"0"),TEXT(銘柄管理!$B$6:$B$305,"0"),0),_xlpm.t,MOD(NOW(),1),_xlpm.c,IF($E88=TODAY(),IF(_xlpm.t&gt;=TIME(15,30,0),NA(),1),IF(MATCH($E88,始値!$E$3:$BT$3,0)=1,1,MATCH($E88,始値!$E$3:$BT$3,0)+1)),_xlpm.v,INDEX(始値!$C$6:$BT$305,_xlpm.r,_xlpm.c),IF(N(_xlpm.v)=0,"",_xlpm.v)),"")</f>
        <v/>
      </c>
      <c r="G88" s="635"/>
      <c r="H88" s="491" t="str" cm="1">
        <f t="array" ref="H88">IF($B88="","",_xll.RssMarket($B88,"現在値"))</f>
        <v/>
      </c>
      <c r="I88" s="491" t="str" cm="1">
        <f t="array" ref="I88">IF($B88="","",_xll.RssMarket($B88,"出来高加重平均"))</f>
        <v/>
      </c>
      <c r="J88" s="705" t="str" cm="1">
        <f t="array" ref="J88">IF($B88="","",_xll.RssMarket($B88,"前日比"))</f>
        <v/>
      </c>
      <c r="K88" s="705" t="str">
        <f t="shared" ca="1" si="35"/>
        <v/>
      </c>
      <c r="L88" s="710" t="str">
        <f t="shared" ca="1" si="36"/>
        <v/>
      </c>
      <c r="M88" s="491" t="str">
        <f t="shared" ca="1" si="24"/>
        <v/>
      </c>
      <c r="N88" s="491" t="str">
        <f t="shared" ca="1" si="25"/>
        <v/>
      </c>
      <c r="O88" s="492" t="str">
        <f t="shared" ca="1" si="26"/>
        <v/>
      </c>
      <c r="P88" s="491" t="str" cm="1">
        <f t="array" aca="1" ref="P88" ca="1">IF($B88="","",IFERROR(MAX(OFFSET(高値!$E$6,MATCH(TEXT($B88,"0"),TEXT(銘柄管理!$B$6:$B$305,"0"),0)-1,0,1,10)),""))</f>
        <v/>
      </c>
      <c r="Q88" s="491" t="str" cm="1">
        <f t="array" aca="1" ref="Q88" ca="1">IF($B88="","",IFERROR(MIN(OFFSET(安値!$E$6,MATCH(TEXT($B88,"0"),TEXT(銘柄管理!$B$6:$B$305,"0"),0)-1,0,1,10)),""))</f>
        <v/>
      </c>
      <c r="R88" s="491" t="str">
        <f t="shared" ca="1" si="37"/>
        <v/>
      </c>
      <c r="S88" s="589" t="str">
        <f t="shared" si="38"/>
        <v/>
      </c>
      <c r="T88" s="597" t="str">
        <f t="shared" ca="1" si="27"/>
        <v/>
      </c>
      <c r="U88" s="491" t="str">
        <f t="shared" ca="1" si="28"/>
        <v/>
      </c>
      <c r="V88" s="705" t="str">
        <f t="shared" ca="1" si="39"/>
        <v/>
      </c>
      <c r="W88" s="493" t="str">
        <f t="shared" ca="1" si="29"/>
        <v/>
      </c>
      <c r="X88" s="489" t="str">
        <f t="shared" ca="1" si="30"/>
        <v/>
      </c>
      <c r="Y88" s="488"/>
      <c r="Z88" s="714"/>
      <c r="AD88" s="611"/>
      <c r="AE88" s="628" t="str">
        <f t="shared" si="31"/>
        <v/>
      </c>
      <c r="AF88" s="630"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30"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03" t="str">
        <f t="shared" ca="1" si="32"/>
        <v/>
      </c>
      <c r="AI88" s="603" t="str" cm="1">
        <f t="array" ref="AI88">IFERROR(INDEX(始値!$E$6:$BT$305,MATCH(TEXT($B88,"0"),TEXT(銘柄管理!$B$6:$B$305,"0"),0),MATCH($AE88,始値!$E$3:$BT$3,0)),"")</f>
        <v/>
      </c>
      <c r="AJ88" s="612" t="str">
        <f t="shared" ca="1" si="33"/>
        <v/>
      </c>
      <c r="AK88" s="633" t="str">
        <f t="shared" ca="1" si="34"/>
        <v/>
      </c>
    </row>
    <row r="89" spans="1:37" ht="35.4" customHeight="1">
      <c r="A89" s="623" t="str">
        <f t="shared" si="23"/>
        <v/>
      </c>
      <c r="B89" s="634"/>
      <c r="C89" s="490"/>
      <c r="D89" s="627" t="str" cm="1">
        <f t="array" ref="D89">IF($B89="","",_xll.RssMarket($B89,"銘柄名称"))</f>
        <v/>
      </c>
      <c r="E89" s="720"/>
      <c r="F89" s="702" t="str" cm="1">
        <f t="array" aca="1" ref="F89" ca="1">IFERROR(_xlfn.LET(_xlpm.r,MATCH(TEXT($B89,"0"),TEXT(銘柄管理!$B$6:$B$305,"0"),0),_xlpm.t,MOD(NOW(),1),_xlpm.c,IF($E89=TODAY(),IF(_xlpm.t&gt;=TIME(15,30,0),NA(),1),IF(MATCH($E89,始値!$E$3:$BT$3,0)=1,1,MATCH($E89,始値!$E$3:$BT$3,0)+1)),_xlpm.v,INDEX(始値!$C$6:$BT$305,_xlpm.r,_xlpm.c),IF(N(_xlpm.v)=0,"",_xlpm.v)),"")</f>
        <v/>
      </c>
      <c r="G89" s="635"/>
      <c r="H89" s="491" t="str" cm="1">
        <f t="array" ref="H89">IF($B89="","",_xll.RssMarket($B89,"現在値"))</f>
        <v/>
      </c>
      <c r="I89" s="491" t="str" cm="1">
        <f t="array" ref="I89">IF($B89="","",_xll.RssMarket($B89,"出来高加重平均"))</f>
        <v/>
      </c>
      <c r="J89" s="705" t="str" cm="1">
        <f t="array" ref="J89">IF($B89="","",_xll.RssMarket($B89,"前日比"))</f>
        <v/>
      </c>
      <c r="K89" s="705" t="str">
        <f t="shared" ca="1" si="35"/>
        <v/>
      </c>
      <c r="L89" s="710" t="str">
        <f t="shared" ca="1" si="36"/>
        <v/>
      </c>
      <c r="M89" s="491" t="str">
        <f t="shared" ca="1" si="24"/>
        <v/>
      </c>
      <c r="N89" s="491" t="str">
        <f t="shared" ca="1" si="25"/>
        <v/>
      </c>
      <c r="O89" s="492" t="str">
        <f t="shared" ca="1" si="26"/>
        <v/>
      </c>
      <c r="P89" s="491" t="str" cm="1">
        <f t="array" aca="1" ref="P89" ca="1">IF($B89="","",IFERROR(MAX(OFFSET(高値!$E$6,MATCH(TEXT($B89,"0"),TEXT(銘柄管理!$B$6:$B$305,"0"),0)-1,0,1,10)),""))</f>
        <v/>
      </c>
      <c r="Q89" s="491" t="str" cm="1">
        <f t="array" aca="1" ref="Q89" ca="1">IF($B89="","",IFERROR(MIN(OFFSET(安値!$E$6,MATCH(TEXT($B89,"0"),TEXT(銘柄管理!$B$6:$B$305,"0"),0)-1,0,1,10)),""))</f>
        <v/>
      </c>
      <c r="R89" s="491" t="str">
        <f t="shared" ca="1" si="37"/>
        <v/>
      </c>
      <c r="S89" s="589" t="str">
        <f t="shared" si="38"/>
        <v/>
      </c>
      <c r="T89" s="597" t="str">
        <f t="shared" ca="1" si="27"/>
        <v/>
      </c>
      <c r="U89" s="491" t="str">
        <f t="shared" ca="1" si="28"/>
        <v/>
      </c>
      <c r="V89" s="705" t="str">
        <f t="shared" ca="1" si="39"/>
        <v/>
      </c>
      <c r="W89" s="493" t="str">
        <f t="shared" ca="1" si="29"/>
        <v/>
      </c>
      <c r="X89" s="489" t="str">
        <f t="shared" ca="1" si="30"/>
        <v/>
      </c>
      <c r="Y89" s="488"/>
      <c r="Z89" s="714"/>
      <c r="AD89" s="611"/>
      <c r="AE89" s="628" t="str">
        <f t="shared" si="31"/>
        <v/>
      </c>
      <c r="AF89" s="630"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30"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03" t="str">
        <f t="shared" ca="1" si="32"/>
        <v/>
      </c>
      <c r="AI89" s="603" t="str" cm="1">
        <f t="array" ref="AI89">IFERROR(INDEX(始値!$E$6:$BT$305,MATCH(TEXT($B89,"0"),TEXT(銘柄管理!$B$6:$B$305,"0"),0),MATCH($AE89,始値!$E$3:$BT$3,0)),"")</f>
        <v/>
      </c>
      <c r="AJ89" s="612" t="str">
        <f t="shared" ca="1" si="33"/>
        <v/>
      </c>
      <c r="AK89" s="633" t="str">
        <f t="shared" ca="1" si="34"/>
        <v/>
      </c>
    </row>
    <row r="90" spans="1:37" ht="35.4" customHeight="1">
      <c r="A90" s="623" t="str">
        <f t="shared" si="23"/>
        <v/>
      </c>
      <c r="B90" s="634"/>
      <c r="C90" s="490"/>
      <c r="D90" s="627" t="str" cm="1">
        <f t="array" ref="D90">IF($B90="","",_xll.RssMarket($B90,"銘柄名称"))</f>
        <v/>
      </c>
      <c r="E90" s="720"/>
      <c r="F90" s="702" t="str" cm="1">
        <f t="array" aca="1" ref="F90" ca="1">IFERROR(_xlfn.LET(_xlpm.r,MATCH(TEXT($B90,"0"),TEXT(銘柄管理!$B$6:$B$305,"0"),0),_xlpm.t,MOD(NOW(),1),_xlpm.c,IF($E90=TODAY(),IF(_xlpm.t&gt;=TIME(15,30,0),NA(),1),IF(MATCH($E90,始値!$E$3:$BT$3,0)=1,1,MATCH($E90,始値!$E$3:$BT$3,0)+1)),_xlpm.v,INDEX(始値!$C$6:$BT$305,_xlpm.r,_xlpm.c),IF(N(_xlpm.v)=0,"",_xlpm.v)),"")</f>
        <v/>
      </c>
      <c r="G90" s="635"/>
      <c r="H90" s="491" t="str" cm="1">
        <f t="array" ref="H90">IF($B90="","",_xll.RssMarket($B90,"現在値"))</f>
        <v/>
      </c>
      <c r="I90" s="491" t="str" cm="1">
        <f t="array" ref="I90">IF($B90="","",_xll.RssMarket($B90,"出来高加重平均"))</f>
        <v/>
      </c>
      <c r="J90" s="705" t="str" cm="1">
        <f t="array" ref="J90">IF($B90="","",_xll.RssMarket($B90,"前日比"))</f>
        <v/>
      </c>
      <c r="K90" s="705" t="str">
        <f t="shared" ca="1" si="35"/>
        <v/>
      </c>
      <c r="L90" s="710" t="str">
        <f t="shared" ca="1" si="36"/>
        <v/>
      </c>
      <c r="M90" s="491" t="str">
        <f t="shared" ca="1" si="24"/>
        <v/>
      </c>
      <c r="N90" s="491" t="str">
        <f t="shared" ca="1" si="25"/>
        <v/>
      </c>
      <c r="O90" s="492" t="str">
        <f t="shared" ca="1" si="26"/>
        <v/>
      </c>
      <c r="P90" s="491" t="str" cm="1">
        <f t="array" aca="1" ref="P90" ca="1">IF($B90="","",IFERROR(MAX(OFFSET(高値!$E$6,MATCH(TEXT($B90,"0"),TEXT(銘柄管理!$B$6:$B$305,"0"),0)-1,0,1,10)),""))</f>
        <v/>
      </c>
      <c r="Q90" s="491" t="str" cm="1">
        <f t="array" aca="1" ref="Q90" ca="1">IF($B90="","",IFERROR(MIN(OFFSET(安値!$E$6,MATCH(TEXT($B90,"0"),TEXT(銘柄管理!$B$6:$B$305,"0"),0)-1,0,1,10)),""))</f>
        <v/>
      </c>
      <c r="R90" s="491" t="str">
        <f t="shared" ca="1" si="37"/>
        <v/>
      </c>
      <c r="S90" s="589" t="str">
        <f t="shared" si="38"/>
        <v/>
      </c>
      <c r="T90" s="597" t="str">
        <f t="shared" ca="1" si="27"/>
        <v/>
      </c>
      <c r="U90" s="491" t="str">
        <f t="shared" ca="1" si="28"/>
        <v/>
      </c>
      <c r="V90" s="705" t="str">
        <f t="shared" ca="1" si="39"/>
        <v/>
      </c>
      <c r="W90" s="493" t="str">
        <f t="shared" ca="1" si="29"/>
        <v/>
      </c>
      <c r="X90" s="489" t="str">
        <f t="shared" ca="1" si="30"/>
        <v/>
      </c>
      <c r="Y90" s="488"/>
      <c r="Z90" s="714"/>
      <c r="AD90" s="611"/>
      <c r="AE90" s="628" t="str">
        <f t="shared" si="31"/>
        <v/>
      </c>
      <c r="AF90" s="630"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30"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03" t="str">
        <f t="shared" ca="1" si="32"/>
        <v/>
      </c>
      <c r="AI90" s="603" t="str" cm="1">
        <f t="array" ref="AI90">IFERROR(INDEX(始値!$E$6:$BT$305,MATCH(TEXT($B90,"0"),TEXT(銘柄管理!$B$6:$B$305,"0"),0),MATCH($AE90,始値!$E$3:$BT$3,0)),"")</f>
        <v/>
      </c>
      <c r="AJ90" s="612" t="str">
        <f t="shared" ca="1" si="33"/>
        <v/>
      </c>
      <c r="AK90" s="633" t="str">
        <f t="shared" ca="1" si="34"/>
        <v/>
      </c>
    </row>
    <row r="91" spans="1:37" ht="35.4" customHeight="1">
      <c r="A91" s="623" t="str">
        <f t="shared" si="23"/>
        <v/>
      </c>
      <c r="B91" s="634"/>
      <c r="C91" s="490"/>
      <c r="D91" s="627" t="str" cm="1">
        <f t="array" ref="D91">IF($B91="","",_xll.RssMarket($B91,"銘柄名称"))</f>
        <v/>
      </c>
      <c r="E91" s="720"/>
      <c r="F91" s="702" t="str" cm="1">
        <f t="array" aca="1" ref="F91" ca="1">IFERROR(_xlfn.LET(_xlpm.r,MATCH(TEXT($B91,"0"),TEXT(銘柄管理!$B$6:$B$305,"0"),0),_xlpm.t,MOD(NOW(),1),_xlpm.c,IF($E91=TODAY(),IF(_xlpm.t&gt;=TIME(15,30,0),NA(),1),IF(MATCH($E91,始値!$E$3:$BT$3,0)=1,1,MATCH($E91,始値!$E$3:$BT$3,0)+1)),_xlpm.v,INDEX(始値!$C$6:$BT$305,_xlpm.r,_xlpm.c),IF(N(_xlpm.v)=0,"",_xlpm.v)),"")</f>
        <v/>
      </c>
      <c r="G91" s="635"/>
      <c r="H91" s="491" t="str" cm="1">
        <f t="array" ref="H91">IF($B91="","",_xll.RssMarket($B91,"現在値"))</f>
        <v/>
      </c>
      <c r="I91" s="491" t="str" cm="1">
        <f t="array" ref="I91">IF($B91="","",_xll.RssMarket($B91,"出来高加重平均"))</f>
        <v/>
      </c>
      <c r="J91" s="705" t="str" cm="1">
        <f t="array" ref="J91">IF($B91="","",_xll.RssMarket($B91,"前日比"))</f>
        <v/>
      </c>
      <c r="K91" s="705" t="str">
        <f t="shared" ca="1" si="35"/>
        <v/>
      </c>
      <c r="L91" s="710" t="str">
        <f t="shared" ca="1" si="36"/>
        <v/>
      </c>
      <c r="M91" s="491" t="str">
        <f t="shared" ca="1" si="24"/>
        <v/>
      </c>
      <c r="N91" s="491" t="str">
        <f t="shared" ca="1" si="25"/>
        <v/>
      </c>
      <c r="O91" s="492" t="str">
        <f t="shared" ca="1" si="26"/>
        <v/>
      </c>
      <c r="P91" s="491" t="str" cm="1">
        <f t="array" aca="1" ref="P91" ca="1">IF($B91="","",IFERROR(MAX(OFFSET(高値!$E$6,MATCH(TEXT($B91,"0"),TEXT(銘柄管理!$B$6:$B$305,"0"),0)-1,0,1,10)),""))</f>
        <v/>
      </c>
      <c r="Q91" s="491" t="str" cm="1">
        <f t="array" aca="1" ref="Q91" ca="1">IF($B91="","",IFERROR(MIN(OFFSET(安値!$E$6,MATCH(TEXT($B91,"0"),TEXT(銘柄管理!$B$6:$B$305,"0"),0)-1,0,1,10)),""))</f>
        <v/>
      </c>
      <c r="R91" s="491" t="str">
        <f t="shared" ca="1" si="37"/>
        <v/>
      </c>
      <c r="S91" s="589" t="str">
        <f t="shared" si="38"/>
        <v/>
      </c>
      <c r="T91" s="597" t="str">
        <f t="shared" ca="1" si="27"/>
        <v/>
      </c>
      <c r="U91" s="491" t="str">
        <f t="shared" ca="1" si="28"/>
        <v/>
      </c>
      <c r="V91" s="705" t="str">
        <f t="shared" ca="1" si="39"/>
        <v/>
      </c>
      <c r="W91" s="493" t="str">
        <f t="shared" ca="1" si="29"/>
        <v/>
      </c>
      <c r="X91" s="489" t="str">
        <f t="shared" ca="1" si="30"/>
        <v/>
      </c>
      <c r="Y91" s="488"/>
      <c r="Z91" s="714"/>
      <c r="AD91" s="611"/>
      <c r="AE91" s="628" t="str">
        <f t="shared" si="31"/>
        <v/>
      </c>
      <c r="AF91" s="630"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30"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03" t="str">
        <f t="shared" ca="1" si="32"/>
        <v/>
      </c>
      <c r="AI91" s="603" t="str" cm="1">
        <f t="array" ref="AI91">IFERROR(INDEX(始値!$E$6:$BT$305,MATCH(TEXT($B91,"0"),TEXT(銘柄管理!$B$6:$B$305,"0"),0),MATCH($AE91,始値!$E$3:$BT$3,0)),"")</f>
        <v/>
      </c>
      <c r="AJ91" s="612" t="str">
        <f t="shared" ca="1" si="33"/>
        <v/>
      </c>
      <c r="AK91" s="633" t="str">
        <f t="shared" ca="1" si="34"/>
        <v/>
      </c>
    </row>
    <row r="92" spans="1:37" ht="35.4" customHeight="1">
      <c r="A92" s="623" t="str">
        <f t="shared" si="23"/>
        <v/>
      </c>
      <c r="B92" s="634"/>
      <c r="C92" s="490"/>
      <c r="D92" s="627" t="str" cm="1">
        <f t="array" ref="D92">IF($B92="","",_xll.RssMarket($B92,"銘柄名称"))</f>
        <v/>
      </c>
      <c r="E92" s="720"/>
      <c r="F92" s="702" t="str" cm="1">
        <f t="array" aca="1" ref="F92" ca="1">IFERROR(_xlfn.LET(_xlpm.r,MATCH(TEXT($B92,"0"),TEXT(銘柄管理!$B$6:$B$305,"0"),0),_xlpm.t,MOD(NOW(),1),_xlpm.c,IF($E92=TODAY(),IF(_xlpm.t&gt;=TIME(15,30,0),NA(),1),IF(MATCH($E92,始値!$E$3:$BT$3,0)=1,1,MATCH($E92,始値!$E$3:$BT$3,0)+1)),_xlpm.v,INDEX(始値!$C$6:$BT$305,_xlpm.r,_xlpm.c),IF(N(_xlpm.v)=0,"",_xlpm.v)),"")</f>
        <v/>
      </c>
      <c r="G92" s="635"/>
      <c r="H92" s="491" t="str" cm="1">
        <f t="array" ref="H92">IF($B92="","",_xll.RssMarket($B92,"現在値"))</f>
        <v/>
      </c>
      <c r="I92" s="491" t="str" cm="1">
        <f t="array" ref="I92">IF($B92="","",_xll.RssMarket($B92,"出来高加重平均"))</f>
        <v/>
      </c>
      <c r="J92" s="705" t="str" cm="1">
        <f t="array" ref="J92">IF($B92="","",_xll.RssMarket($B92,"前日比"))</f>
        <v/>
      </c>
      <c r="K92" s="705" t="str">
        <f t="shared" ca="1" si="35"/>
        <v/>
      </c>
      <c r="L92" s="710" t="str">
        <f t="shared" ca="1" si="36"/>
        <v/>
      </c>
      <c r="M92" s="491" t="str">
        <f t="shared" ca="1" si="24"/>
        <v/>
      </c>
      <c r="N92" s="491" t="str">
        <f t="shared" ca="1" si="25"/>
        <v/>
      </c>
      <c r="O92" s="492" t="str">
        <f t="shared" ca="1" si="26"/>
        <v/>
      </c>
      <c r="P92" s="491" t="str" cm="1">
        <f t="array" aca="1" ref="P92" ca="1">IF($B92="","",IFERROR(MAX(OFFSET(高値!$E$6,MATCH(TEXT($B92,"0"),TEXT(銘柄管理!$B$6:$B$305,"0"),0)-1,0,1,10)),""))</f>
        <v/>
      </c>
      <c r="Q92" s="491" t="str" cm="1">
        <f t="array" aca="1" ref="Q92" ca="1">IF($B92="","",IFERROR(MIN(OFFSET(安値!$E$6,MATCH(TEXT($B92,"0"),TEXT(銘柄管理!$B$6:$B$305,"0"),0)-1,0,1,10)),""))</f>
        <v/>
      </c>
      <c r="R92" s="491" t="str">
        <f t="shared" ca="1" si="37"/>
        <v/>
      </c>
      <c r="S92" s="589" t="str">
        <f t="shared" si="38"/>
        <v/>
      </c>
      <c r="T92" s="597" t="str">
        <f t="shared" ca="1" si="27"/>
        <v/>
      </c>
      <c r="U92" s="491" t="str">
        <f t="shared" ca="1" si="28"/>
        <v/>
      </c>
      <c r="V92" s="705" t="str">
        <f t="shared" ca="1" si="39"/>
        <v/>
      </c>
      <c r="W92" s="493" t="str">
        <f t="shared" ca="1" si="29"/>
        <v/>
      </c>
      <c r="X92" s="489" t="str">
        <f t="shared" ca="1" si="30"/>
        <v/>
      </c>
      <c r="Y92" s="488"/>
      <c r="Z92" s="714"/>
      <c r="AD92" s="611"/>
      <c r="AE92" s="628" t="str">
        <f t="shared" si="31"/>
        <v/>
      </c>
      <c r="AF92" s="630"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30"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03" t="str">
        <f t="shared" ca="1" si="32"/>
        <v/>
      </c>
      <c r="AI92" s="603" t="str" cm="1">
        <f t="array" ref="AI92">IFERROR(INDEX(始値!$E$6:$BT$305,MATCH(TEXT($B92,"0"),TEXT(銘柄管理!$B$6:$B$305,"0"),0),MATCH($AE92,始値!$E$3:$BT$3,0)),"")</f>
        <v/>
      </c>
      <c r="AJ92" s="612" t="str">
        <f t="shared" ca="1" si="33"/>
        <v/>
      </c>
      <c r="AK92" s="633" t="str">
        <f t="shared" ca="1" si="34"/>
        <v/>
      </c>
    </row>
    <row r="93" spans="1:37" ht="35.4" customHeight="1">
      <c r="A93" s="623" t="str">
        <f t="shared" si="23"/>
        <v/>
      </c>
      <c r="B93" s="634"/>
      <c r="C93" s="490"/>
      <c r="D93" s="627" t="str" cm="1">
        <f t="array" ref="D93">IF($B93="","",_xll.RssMarket($B93,"銘柄名称"))</f>
        <v/>
      </c>
      <c r="E93" s="720"/>
      <c r="F93" s="702" t="str" cm="1">
        <f t="array" aca="1" ref="F93" ca="1">IFERROR(_xlfn.LET(_xlpm.r,MATCH(TEXT($B93,"0"),TEXT(銘柄管理!$B$6:$B$305,"0"),0),_xlpm.t,MOD(NOW(),1),_xlpm.c,IF($E93=TODAY(),IF(_xlpm.t&gt;=TIME(15,30,0),NA(),1),IF(MATCH($E93,始値!$E$3:$BT$3,0)=1,1,MATCH($E93,始値!$E$3:$BT$3,0)+1)),_xlpm.v,INDEX(始値!$C$6:$BT$305,_xlpm.r,_xlpm.c),IF(N(_xlpm.v)=0,"",_xlpm.v)),"")</f>
        <v/>
      </c>
      <c r="G93" s="635"/>
      <c r="H93" s="491" t="str" cm="1">
        <f t="array" ref="H93">IF($B93="","",_xll.RssMarket($B93,"現在値"))</f>
        <v/>
      </c>
      <c r="I93" s="491" t="str" cm="1">
        <f t="array" ref="I93">IF($B93="","",_xll.RssMarket($B93,"出来高加重平均"))</f>
        <v/>
      </c>
      <c r="J93" s="705" t="str" cm="1">
        <f t="array" ref="J93">IF($B93="","",_xll.RssMarket($B93,"前日比"))</f>
        <v/>
      </c>
      <c r="K93" s="705" t="str">
        <f t="shared" ca="1" si="35"/>
        <v/>
      </c>
      <c r="L93" s="710" t="str">
        <f t="shared" ca="1" si="36"/>
        <v/>
      </c>
      <c r="M93" s="491" t="str">
        <f t="shared" ca="1" si="24"/>
        <v/>
      </c>
      <c r="N93" s="491" t="str">
        <f t="shared" ca="1" si="25"/>
        <v/>
      </c>
      <c r="O93" s="492" t="str">
        <f t="shared" ca="1" si="26"/>
        <v/>
      </c>
      <c r="P93" s="491" t="str" cm="1">
        <f t="array" aca="1" ref="P93" ca="1">IF($B93="","",IFERROR(MAX(OFFSET(高値!$E$6,MATCH(TEXT($B93,"0"),TEXT(銘柄管理!$B$6:$B$305,"0"),0)-1,0,1,10)),""))</f>
        <v/>
      </c>
      <c r="Q93" s="491" t="str" cm="1">
        <f t="array" aca="1" ref="Q93" ca="1">IF($B93="","",IFERROR(MIN(OFFSET(安値!$E$6,MATCH(TEXT($B93,"0"),TEXT(銘柄管理!$B$6:$B$305,"0"),0)-1,0,1,10)),""))</f>
        <v/>
      </c>
      <c r="R93" s="491" t="str">
        <f t="shared" ca="1" si="37"/>
        <v/>
      </c>
      <c r="S93" s="589" t="str">
        <f t="shared" si="38"/>
        <v/>
      </c>
      <c r="T93" s="597" t="str">
        <f t="shared" ca="1" si="27"/>
        <v/>
      </c>
      <c r="U93" s="491" t="str">
        <f t="shared" ca="1" si="28"/>
        <v/>
      </c>
      <c r="V93" s="705" t="str">
        <f t="shared" ca="1" si="39"/>
        <v/>
      </c>
      <c r="W93" s="493" t="str">
        <f t="shared" ca="1" si="29"/>
        <v/>
      </c>
      <c r="X93" s="489" t="str">
        <f t="shared" ca="1" si="30"/>
        <v/>
      </c>
      <c r="Y93" s="488"/>
      <c r="Z93" s="714"/>
      <c r="AD93" s="611"/>
      <c r="AE93" s="628" t="str">
        <f t="shared" si="31"/>
        <v/>
      </c>
      <c r="AF93" s="630"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30"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03" t="str">
        <f t="shared" ca="1" si="32"/>
        <v/>
      </c>
      <c r="AI93" s="603" t="str" cm="1">
        <f t="array" ref="AI93">IFERROR(INDEX(始値!$E$6:$BT$305,MATCH(TEXT($B93,"0"),TEXT(銘柄管理!$B$6:$B$305,"0"),0),MATCH($AE93,始値!$E$3:$BT$3,0)),"")</f>
        <v/>
      </c>
      <c r="AJ93" s="612" t="str">
        <f t="shared" ca="1" si="33"/>
        <v/>
      </c>
      <c r="AK93" s="633" t="str">
        <f t="shared" ca="1" si="34"/>
        <v/>
      </c>
    </row>
    <row r="94" spans="1:37" ht="35.4" customHeight="1">
      <c r="A94" s="623" t="str">
        <f t="shared" si="23"/>
        <v/>
      </c>
      <c r="B94" s="634"/>
      <c r="C94" s="490"/>
      <c r="D94" s="627" t="str" cm="1">
        <f t="array" ref="D94">IF($B94="","",_xll.RssMarket($B94,"銘柄名称"))</f>
        <v/>
      </c>
      <c r="E94" s="720"/>
      <c r="F94" s="702" t="str" cm="1">
        <f t="array" aca="1" ref="F94" ca="1">IFERROR(_xlfn.LET(_xlpm.r,MATCH(TEXT($B94,"0"),TEXT(銘柄管理!$B$6:$B$305,"0"),0),_xlpm.t,MOD(NOW(),1),_xlpm.c,IF($E94=TODAY(),IF(_xlpm.t&gt;=TIME(15,30,0),NA(),1),IF(MATCH($E94,始値!$E$3:$BT$3,0)=1,1,MATCH($E94,始値!$E$3:$BT$3,0)+1)),_xlpm.v,INDEX(始値!$C$6:$BT$305,_xlpm.r,_xlpm.c),IF(N(_xlpm.v)=0,"",_xlpm.v)),"")</f>
        <v/>
      </c>
      <c r="G94" s="635"/>
      <c r="H94" s="491" t="str" cm="1">
        <f t="array" ref="H94">IF($B94="","",_xll.RssMarket($B94,"現在値"))</f>
        <v/>
      </c>
      <c r="I94" s="491" t="str" cm="1">
        <f t="array" ref="I94">IF($B94="","",_xll.RssMarket($B94,"出来高加重平均"))</f>
        <v/>
      </c>
      <c r="J94" s="705" t="str" cm="1">
        <f t="array" ref="J94">IF($B94="","",_xll.RssMarket($B94,"前日比"))</f>
        <v/>
      </c>
      <c r="K94" s="705" t="str">
        <f t="shared" ca="1" si="35"/>
        <v/>
      </c>
      <c r="L94" s="710" t="str">
        <f t="shared" ca="1" si="36"/>
        <v/>
      </c>
      <c r="M94" s="491" t="str">
        <f t="shared" ca="1" si="24"/>
        <v/>
      </c>
      <c r="N94" s="491" t="str">
        <f t="shared" ca="1" si="25"/>
        <v/>
      </c>
      <c r="O94" s="492" t="str">
        <f t="shared" ca="1" si="26"/>
        <v/>
      </c>
      <c r="P94" s="491" t="str" cm="1">
        <f t="array" aca="1" ref="P94" ca="1">IF($B94="","",IFERROR(MAX(OFFSET(高値!$E$6,MATCH(TEXT($B94,"0"),TEXT(銘柄管理!$B$6:$B$305,"0"),0)-1,0,1,10)),""))</f>
        <v/>
      </c>
      <c r="Q94" s="491" t="str" cm="1">
        <f t="array" aca="1" ref="Q94" ca="1">IF($B94="","",IFERROR(MIN(OFFSET(安値!$E$6,MATCH(TEXT($B94,"0"),TEXT(銘柄管理!$B$6:$B$305,"0"),0)-1,0,1,10)),""))</f>
        <v/>
      </c>
      <c r="R94" s="491" t="str">
        <f t="shared" ca="1" si="37"/>
        <v/>
      </c>
      <c r="S94" s="589" t="str">
        <f t="shared" si="38"/>
        <v/>
      </c>
      <c r="T94" s="597" t="str">
        <f t="shared" ca="1" si="27"/>
        <v/>
      </c>
      <c r="U94" s="491" t="str">
        <f t="shared" ca="1" si="28"/>
        <v/>
      </c>
      <c r="V94" s="705" t="str">
        <f t="shared" ca="1" si="39"/>
        <v/>
      </c>
      <c r="W94" s="493" t="str">
        <f t="shared" ca="1" si="29"/>
        <v/>
      </c>
      <c r="X94" s="489" t="str">
        <f t="shared" ca="1" si="30"/>
        <v/>
      </c>
      <c r="Y94" s="488"/>
      <c r="Z94" s="714"/>
      <c r="AD94" s="611"/>
      <c r="AE94" s="628" t="str">
        <f t="shared" si="31"/>
        <v/>
      </c>
      <c r="AF94" s="630"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30"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03" t="str">
        <f t="shared" ca="1" si="32"/>
        <v/>
      </c>
      <c r="AI94" s="603" t="str" cm="1">
        <f t="array" ref="AI94">IFERROR(INDEX(始値!$E$6:$BT$305,MATCH(TEXT($B94,"0"),TEXT(銘柄管理!$B$6:$B$305,"0"),0),MATCH($AE94,始値!$E$3:$BT$3,0)),"")</f>
        <v/>
      </c>
      <c r="AJ94" s="612" t="str">
        <f t="shared" ca="1" si="33"/>
        <v/>
      </c>
      <c r="AK94" s="633" t="str">
        <f t="shared" ca="1" si="34"/>
        <v/>
      </c>
    </row>
    <row r="95" spans="1:37" ht="35.4" customHeight="1">
      <c r="A95" s="623" t="str">
        <f t="shared" si="23"/>
        <v/>
      </c>
      <c r="B95" s="634"/>
      <c r="C95" s="490"/>
      <c r="D95" s="627" t="str" cm="1">
        <f t="array" ref="D95">IF($B95="","",_xll.RssMarket($B95,"銘柄名称"))</f>
        <v/>
      </c>
      <c r="E95" s="720"/>
      <c r="F95" s="702" t="str" cm="1">
        <f t="array" aca="1" ref="F95" ca="1">IFERROR(_xlfn.LET(_xlpm.r,MATCH(TEXT($B95,"0"),TEXT(銘柄管理!$B$6:$B$305,"0"),0),_xlpm.t,MOD(NOW(),1),_xlpm.c,IF($E95=TODAY(),IF(_xlpm.t&gt;=TIME(15,30,0),NA(),1),IF(MATCH($E95,始値!$E$3:$BT$3,0)=1,1,MATCH($E95,始値!$E$3:$BT$3,0)+1)),_xlpm.v,INDEX(始値!$C$6:$BT$305,_xlpm.r,_xlpm.c),IF(N(_xlpm.v)=0,"",_xlpm.v)),"")</f>
        <v/>
      </c>
      <c r="G95" s="635"/>
      <c r="H95" s="491" t="str" cm="1">
        <f t="array" ref="H95">IF($B95="","",_xll.RssMarket($B95,"現在値"))</f>
        <v/>
      </c>
      <c r="I95" s="491" t="str" cm="1">
        <f t="array" ref="I95">IF($B95="","",_xll.RssMarket($B95,"出来高加重平均"))</f>
        <v/>
      </c>
      <c r="J95" s="705" t="str" cm="1">
        <f t="array" ref="J95">IF($B95="","",_xll.RssMarket($B95,"前日比"))</f>
        <v/>
      </c>
      <c r="K95" s="705" t="str">
        <f t="shared" ca="1" si="35"/>
        <v/>
      </c>
      <c r="L95" s="710" t="str">
        <f t="shared" ca="1" si="36"/>
        <v/>
      </c>
      <c r="M95" s="491" t="str">
        <f t="shared" ca="1" si="24"/>
        <v/>
      </c>
      <c r="N95" s="491" t="str">
        <f t="shared" ca="1" si="25"/>
        <v/>
      </c>
      <c r="O95" s="492" t="str">
        <f t="shared" ca="1" si="26"/>
        <v/>
      </c>
      <c r="P95" s="491" t="str" cm="1">
        <f t="array" aca="1" ref="P95" ca="1">IF($B95="","",IFERROR(MAX(OFFSET(高値!$E$6,MATCH(TEXT($B95,"0"),TEXT(銘柄管理!$B$6:$B$305,"0"),0)-1,0,1,10)),""))</f>
        <v/>
      </c>
      <c r="Q95" s="491" t="str" cm="1">
        <f t="array" aca="1" ref="Q95" ca="1">IF($B95="","",IFERROR(MIN(OFFSET(安値!$E$6,MATCH(TEXT($B95,"0"),TEXT(銘柄管理!$B$6:$B$305,"0"),0)-1,0,1,10)),""))</f>
        <v/>
      </c>
      <c r="R95" s="491" t="str">
        <f t="shared" ca="1" si="37"/>
        <v/>
      </c>
      <c r="S95" s="589" t="str">
        <f t="shared" si="38"/>
        <v/>
      </c>
      <c r="T95" s="597" t="str">
        <f t="shared" ca="1" si="27"/>
        <v/>
      </c>
      <c r="U95" s="491" t="str">
        <f t="shared" ca="1" si="28"/>
        <v/>
      </c>
      <c r="V95" s="705" t="str">
        <f t="shared" ca="1" si="39"/>
        <v/>
      </c>
      <c r="W95" s="493" t="str">
        <f t="shared" ca="1" si="29"/>
        <v/>
      </c>
      <c r="X95" s="489" t="str">
        <f t="shared" ca="1" si="30"/>
        <v/>
      </c>
      <c r="Y95" s="488"/>
      <c r="Z95" s="714"/>
      <c r="AD95" s="611"/>
      <c r="AE95" s="628" t="str">
        <f t="shared" si="31"/>
        <v/>
      </c>
      <c r="AF95" s="630"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30"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03" t="str">
        <f t="shared" ca="1" si="32"/>
        <v/>
      </c>
      <c r="AI95" s="603" t="str" cm="1">
        <f t="array" ref="AI95">IFERROR(INDEX(始値!$E$6:$BT$305,MATCH(TEXT($B95,"0"),TEXT(銘柄管理!$B$6:$B$305,"0"),0),MATCH($AE95,始値!$E$3:$BT$3,0)),"")</f>
        <v/>
      </c>
      <c r="AJ95" s="612" t="str">
        <f t="shared" ca="1" si="33"/>
        <v/>
      </c>
      <c r="AK95" s="633" t="str">
        <f t="shared" ca="1" si="34"/>
        <v/>
      </c>
    </row>
    <row r="96" spans="1:37" ht="35.4" customHeight="1">
      <c r="A96" s="623" t="str">
        <f t="shared" si="23"/>
        <v/>
      </c>
      <c r="B96" s="634"/>
      <c r="C96" s="490"/>
      <c r="D96" s="627" t="str" cm="1">
        <f t="array" ref="D96">IF($B96="","",_xll.RssMarket($B96,"銘柄名称"))</f>
        <v/>
      </c>
      <c r="E96" s="720"/>
      <c r="F96" s="702" t="str" cm="1">
        <f t="array" aca="1" ref="F96" ca="1">IFERROR(_xlfn.LET(_xlpm.r,MATCH(TEXT($B96,"0"),TEXT(銘柄管理!$B$6:$B$305,"0"),0),_xlpm.t,MOD(NOW(),1),_xlpm.c,IF($E96=TODAY(),IF(_xlpm.t&gt;=TIME(15,30,0),NA(),1),IF(MATCH($E96,始値!$E$3:$BT$3,0)=1,1,MATCH($E96,始値!$E$3:$BT$3,0)+1)),_xlpm.v,INDEX(始値!$C$6:$BT$305,_xlpm.r,_xlpm.c),IF(N(_xlpm.v)=0,"",_xlpm.v)),"")</f>
        <v/>
      </c>
      <c r="G96" s="635"/>
      <c r="H96" s="491" t="str" cm="1">
        <f t="array" ref="H96">IF($B96="","",_xll.RssMarket($B96,"現在値"))</f>
        <v/>
      </c>
      <c r="I96" s="491" t="str" cm="1">
        <f t="array" ref="I96">IF($B96="","",_xll.RssMarket($B96,"出来高加重平均"))</f>
        <v/>
      </c>
      <c r="J96" s="705" t="str" cm="1">
        <f t="array" ref="J96">IF($B96="","",_xll.RssMarket($B96,"前日比"))</f>
        <v/>
      </c>
      <c r="K96" s="705" t="str">
        <f t="shared" ca="1" si="35"/>
        <v/>
      </c>
      <c r="L96" s="710" t="str">
        <f t="shared" ca="1" si="36"/>
        <v/>
      </c>
      <c r="M96" s="491" t="str">
        <f t="shared" ca="1" si="24"/>
        <v/>
      </c>
      <c r="N96" s="491" t="str">
        <f t="shared" ca="1" si="25"/>
        <v/>
      </c>
      <c r="O96" s="492" t="str">
        <f t="shared" ca="1" si="26"/>
        <v/>
      </c>
      <c r="P96" s="491" t="str" cm="1">
        <f t="array" aca="1" ref="P96" ca="1">IF($B96="","",IFERROR(MAX(OFFSET(高値!$E$6,MATCH(TEXT($B96,"0"),TEXT(銘柄管理!$B$6:$B$305,"0"),0)-1,0,1,10)),""))</f>
        <v/>
      </c>
      <c r="Q96" s="491" t="str" cm="1">
        <f t="array" aca="1" ref="Q96" ca="1">IF($B96="","",IFERROR(MIN(OFFSET(安値!$E$6,MATCH(TEXT($B96,"0"),TEXT(銘柄管理!$B$6:$B$305,"0"),0)-1,0,1,10)),""))</f>
        <v/>
      </c>
      <c r="R96" s="491" t="str">
        <f t="shared" ca="1" si="37"/>
        <v/>
      </c>
      <c r="S96" s="589" t="str">
        <f t="shared" si="38"/>
        <v/>
      </c>
      <c r="T96" s="597" t="str">
        <f t="shared" ca="1" si="27"/>
        <v/>
      </c>
      <c r="U96" s="491" t="str">
        <f t="shared" ca="1" si="28"/>
        <v/>
      </c>
      <c r="V96" s="705" t="str">
        <f t="shared" ca="1" si="39"/>
        <v/>
      </c>
      <c r="W96" s="493" t="str">
        <f t="shared" ca="1" si="29"/>
        <v/>
      </c>
      <c r="X96" s="489" t="str">
        <f t="shared" ca="1" si="30"/>
        <v/>
      </c>
      <c r="Y96" s="488"/>
      <c r="Z96" s="714"/>
      <c r="AD96" s="611"/>
      <c r="AE96" s="628" t="str">
        <f t="shared" si="31"/>
        <v/>
      </c>
      <c r="AF96" s="630"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30"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03" t="str">
        <f t="shared" ca="1" si="32"/>
        <v/>
      </c>
      <c r="AI96" s="603" t="str" cm="1">
        <f t="array" ref="AI96">IFERROR(INDEX(始値!$E$6:$BT$305,MATCH(TEXT($B96,"0"),TEXT(銘柄管理!$B$6:$B$305,"0"),0),MATCH($AE96,始値!$E$3:$BT$3,0)),"")</f>
        <v/>
      </c>
      <c r="AJ96" s="612" t="str">
        <f t="shared" ca="1" si="33"/>
        <v/>
      </c>
      <c r="AK96" s="633" t="str">
        <f t="shared" ca="1" si="34"/>
        <v/>
      </c>
    </row>
    <row r="97" spans="1:37" ht="35.4" customHeight="1">
      <c r="A97" s="623" t="str">
        <f t="shared" si="23"/>
        <v/>
      </c>
      <c r="B97" s="634"/>
      <c r="C97" s="490"/>
      <c r="D97" s="627" t="str" cm="1">
        <f t="array" ref="D97">IF($B97="","",_xll.RssMarket($B97,"銘柄名称"))</f>
        <v/>
      </c>
      <c r="E97" s="720"/>
      <c r="F97" s="702" t="str" cm="1">
        <f t="array" aca="1" ref="F97" ca="1">IFERROR(_xlfn.LET(_xlpm.r,MATCH(TEXT($B97,"0"),TEXT(銘柄管理!$B$6:$B$305,"0"),0),_xlpm.t,MOD(NOW(),1),_xlpm.c,IF($E97=TODAY(),IF(_xlpm.t&gt;=TIME(15,30,0),NA(),1),IF(MATCH($E97,始値!$E$3:$BT$3,0)=1,1,MATCH($E97,始値!$E$3:$BT$3,0)+1)),_xlpm.v,INDEX(始値!$C$6:$BT$305,_xlpm.r,_xlpm.c),IF(N(_xlpm.v)=0,"",_xlpm.v)),"")</f>
        <v/>
      </c>
      <c r="G97" s="635"/>
      <c r="H97" s="491" t="str" cm="1">
        <f t="array" ref="H97">IF($B97="","",_xll.RssMarket($B97,"現在値"))</f>
        <v/>
      </c>
      <c r="I97" s="491" t="str" cm="1">
        <f t="array" ref="I97">IF($B97="","",_xll.RssMarket($B97,"出来高加重平均"))</f>
        <v/>
      </c>
      <c r="J97" s="705" t="str" cm="1">
        <f t="array" ref="J97">IF($B97="","",_xll.RssMarket($B97,"前日比"))</f>
        <v/>
      </c>
      <c r="K97" s="705" t="str">
        <f t="shared" ca="1" si="35"/>
        <v/>
      </c>
      <c r="L97" s="710" t="str">
        <f t="shared" ca="1" si="36"/>
        <v/>
      </c>
      <c r="M97" s="491" t="str">
        <f t="shared" ca="1" si="24"/>
        <v/>
      </c>
      <c r="N97" s="491" t="str">
        <f t="shared" ca="1" si="25"/>
        <v/>
      </c>
      <c r="O97" s="492" t="str">
        <f t="shared" ca="1" si="26"/>
        <v/>
      </c>
      <c r="P97" s="491" t="str" cm="1">
        <f t="array" aca="1" ref="P97" ca="1">IF($B97="","",IFERROR(MAX(OFFSET(高値!$E$6,MATCH(TEXT($B97,"0"),TEXT(銘柄管理!$B$6:$B$305,"0"),0)-1,0,1,10)),""))</f>
        <v/>
      </c>
      <c r="Q97" s="491" t="str" cm="1">
        <f t="array" aca="1" ref="Q97" ca="1">IF($B97="","",IFERROR(MIN(OFFSET(安値!$E$6,MATCH(TEXT($B97,"0"),TEXT(銘柄管理!$B$6:$B$305,"0"),0)-1,0,1,10)),""))</f>
        <v/>
      </c>
      <c r="R97" s="491" t="str">
        <f t="shared" ca="1" si="37"/>
        <v/>
      </c>
      <c r="S97" s="589" t="str">
        <f t="shared" si="38"/>
        <v/>
      </c>
      <c r="T97" s="597" t="str">
        <f t="shared" ca="1" si="27"/>
        <v/>
      </c>
      <c r="U97" s="491" t="str">
        <f t="shared" ca="1" si="28"/>
        <v/>
      </c>
      <c r="V97" s="705" t="str">
        <f t="shared" ca="1" si="39"/>
        <v/>
      </c>
      <c r="W97" s="493" t="str">
        <f t="shared" ca="1" si="29"/>
        <v/>
      </c>
      <c r="X97" s="489" t="str">
        <f t="shared" ca="1" si="30"/>
        <v/>
      </c>
      <c r="Y97" s="488"/>
      <c r="Z97" s="714"/>
      <c r="AD97" s="611"/>
      <c r="AE97" s="628" t="str">
        <f t="shared" si="31"/>
        <v/>
      </c>
      <c r="AF97" s="630"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30"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03" t="str">
        <f t="shared" ca="1" si="32"/>
        <v/>
      </c>
      <c r="AI97" s="603" t="str" cm="1">
        <f t="array" ref="AI97">IFERROR(INDEX(始値!$E$6:$BT$305,MATCH(TEXT($B97,"0"),TEXT(銘柄管理!$B$6:$B$305,"0"),0),MATCH($AE97,始値!$E$3:$BT$3,0)),"")</f>
        <v/>
      </c>
      <c r="AJ97" s="612" t="str">
        <f t="shared" ca="1" si="33"/>
        <v/>
      </c>
      <c r="AK97" s="633" t="str">
        <f t="shared" ca="1" si="34"/>
        <v/>
      </c>
    </row>
    <row r="98" spans="1:37" ht="35.4" customHeight="1">
      <c r="A98" s="623" t="str">
        <f t="shared" si="23"/>
        <v/>
      </c>
      <c r="B98" s="634"/>
      <c r="C98" s="490"/>
      <c r="D98" s="627" t="str" cm="1">
        <f t="array" ref="D98">IF($B98="","",_xll.RssMarket($B98,"銘柄名称"))</f>
        <v/>
      </c>
      <c r="E98" s="720"/>
      <c r="F98" s="702" t="str" cm="1">
        <f t="array" aca="1" ref="F98" ca="1">IFERROR(_xlfn.LET(_xlpm.r,MATCH(TEXT($B98,"0"),TEXT(銘柄管理!$B$6:$B$305,"0"),0),_xlpm.t,MOD(NOW(),1),_xlpm.c,IF($E98=TODAY(),IF(_xlpm.t&gt;=TIME(15,30,0),NA(),1),IF(MATCH($E98,始値!$E$3:$BT$3,0)=1,1,MATCH($E98,始値!$E$3:$BT$3,0)+1)),_xlpm.v,INDEX(始値!$C$6:$BT$305,_xlpm.r,_xlpm.c),IF(N(_xlpm.v)=0,"",_xlpm.v)),"")</f>
        <v/>
      </c>
      <c r="G98" s="635"/>
      <c r="H98" s="491" t="str" cm="1">
        <f t="array" ref="H98">IF($B98="","",_xll.RssMarket($B98,"現在値"))</f>
        <v/>
      </c>
      <c r="I98" s="491" t="str" cm="1">
        <f t="array" ref="I98">IF($B98="","",_xll.RssMarket($B98,"出来高加重平均"))</f>
        <v/>
      </c>
      <c r="J98" s="705" t="str" cm="1">
        <f t="array" ref="J98">IF($B98="","",_xll.RssMarket($B98,"前日比"))</f>
        <v/>
      </c>
      <c r="K98" s="705" t="str">
        <f t="shared" ca="1" si="35"/>
        <v/>
      </c>
      <c r="L98" s="710" t="str">
        <f t="shared" ca="1" si="36"/>
        <v/>
      </c>
      <c r="M98" s="491" t="str">
        <f t="shared" ca="1" si="24"/>
        <v/>
      </c>
      <c r="N98" s="491" t="str">
        <f t="shared" ca="1" si="25"/>
        <v/>
      </c>
      <c r="O98" s="492" t="str">
        <f t="shared" ca="1" si="26"/>
        <v/>
      </c>
      <c r="P98" s="491" t="str" cm="1">
        <f t="array" aca="1" ref="P98" ca="1">IF($B98="","",IFERROR(MAX(OFFSET(高値!$E$6,MATCH(TEXT($B98,"0"),TEXT(銘柄管理!$B$6:$B$305,"0"),0)-1,0,1,10)),""))</f>
        <v/>
      </c>
      <c r="Q98" s="491" t="str" cm="1">
        <f t="array" aca="1" ref="Q98" ca="1">IF($B98="","",IFERROR(MIN(OFFSET(安値!$E$6,MATCH(TEXT($B98,"0"),TEXT(銘柄管理!$B$6:$B$305,"0"),0)-1,0,1,10)),""))</f>
        <v/>
      </c>
      <c r="R98" s="491" t="str">
        <f t="shared" ca="1" si="37"/>
        <v/>
      </c>
      <c r="S98" s="589" t="str">
        <f t="shared" si="38"/>
        <v/>
      </c>
      <c r="T98" s="597" t="str">
        <f t="shared" ca="1" si="27"/>
        <v/>
      </c>
      <c r="U98" s="491" t="str">
        <f t="shared" ca="1" si="28"/>
        <v/>
      </c>
      <c r="V98" s="705" t="str">
        <f t="shared" ca="1" si="39"/>
        <v/>
      </c>
      <c r="W98" s="493" t="str">
        <f t="shared" ca="1" si="29"/>
        <v/>
      </c>
      <c r="X98" s="489" t="str">
        <f t="shared" ca="1" si="30"/>
        <v/>
      </c>
      <c r="Y98" s="488"/>
      <c r="Z98" s="714"/>
      <c r="AD98" s="611"/>
      <c r="AE98" s="628" t="str">
        <f t="shared" si="31"/>
        <v/>
      </c>
      <c r="AF98" s="630"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30"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03" t="str">
        <f t="shared" ca="1" si="32"/>
        <v/>
      </c>
      <c r="AI98" s="603" t="str" cm="1">
        <f t="array" ref="AI98">IFERROR(INDEX(始値!$E$6:$BT$305,MATCH(TEXT($B98,"0"),TEXT(銘柄管理!$B$6:$B$305,"0"),0),MATCH($AE98,始値!$E$3:$BT$3,0)),"")</f>
        <v/>
      </c>
      <c r="AJ98" s="612" t="str">
        <f t="shared" ca="1" si="33"/>
        <v/>
      </c>
      <c r="AK98" s="633" t="str">
        <f t="shared" ca="1" si="34"/>
        <v/>
      </c>
    </row>
    <row r="99" spans="1:37" ht="35.4" customHeight="1">
      <c r="A99" s="623" t="str">
        <f t="shared" si="23"/>
        <v/>
      </c>
      <c r="B99" s="634"/>
      <c r="C99" s="490"/>
      <c r="D99" s="627" t="str" cm="1">
        <f t="array" ref="D99">IF($B99="","",_xll.RssMarket($B99,"銘柄名称"))</f>
        <v/>
      </c>
      <c r="E99" s="720"/>
      <c r="F99" s="702" t="str" cm="1">
        <f t="array" aca="1" ref="F99" ca="1">IFERROR(_xlfn.LET(_xlpm.r,MATCH(TEXT($B99,"0"),TEXT(銘柄管理!$B$6:$B$305,"0"),0),_xlpm.t,MOD(NOW(),1),_xlpm.c,IF($E99=TODAY(),IF(_xlpm.t&gt;=TIME(15,30,0),NA(),1),IF(MATCH($E99,始値!$E$3:$BT$3,0)=1,1,MATCH($E99,始値!$E$3:$BT$3,0)+1)),_xlpm.v,INDEX(始値!$C$6:$BT$305,_xlpm.r,_xlpm.c),IF(N(_xlpm.v)=0,"",_xlpm.v)),"")</f>
        <v/>
      </c>
      <c r="G99" s="635"/>
      <c r="H99" s="491" t="str" cm="1">
        <f t="array" ref="H99">IF($B99="","",_xll.RssMarket($B99,"現在値"))</f>
        <v/>
      </c>
      <c r="I99" s="491" t="str" cm="1">
        <f t="array" ref="I99">IF($B99="","",_xll.RssMarket($B99,"出来高加重平均"))</f>
        <v/>
      </c>
      <c r="J99" s="705" t="str" cm="1">
        <f t="array" ref="J99">IF($B99="","",_xll.RssMarket($B99,"前日比"))</f>
        <v/>
      </c>
      <c r="K99" s="705" t="str">
        <f t="shared" ca="1" si="35"/>
        <v/>
      </c>
      <c r="L99" s="710" t="str">
        <f t="shared" ca="1" si="36"/>
        <v/>
      </c>
      <c r="M99" s="491" t="str">
        <f t="shared" ca="1" si="24"/>
        <v/>
      </c>
      <c r="N99" s="491" t="str">
        <f t="shared" ca="1" si="25"/>
        <v/>
      </c>
      <c r="O99" s="492" t="str">
        <f t="shared" ca="1" si="26"/>
        <v/>
      </c>
      <c r="P99" s="491" t="str" cm="1">
        <f t="array" aca="1" ref="P99" ca="1">IF($B99="","",IFERROR(MAX(OFFSET(高値!$E$6,MATCH(TEXT($B99,"0"),TEXT(銘柄管理!$B$6:$B$305,"0"),0)-1,0,1,10)),""))</f>
        <v/>
      </c>
      <c r="Q99" s="491" t="str" cm="1">
        <f t="array" aca="1" ref="Q99" ca="1">IF($B99="","",IFERROR(MIN(OFFSET(安値!$E$6,MATCH(TEXT($B99,"0"),TEXT(銘柄管理!$B$6:$B$305,"0"),0)-1,0,1,10)),""))</f>
        <v/>
      </c>
      <c r="R99" s="491" t="str">
        <f t="shared" ca="1" si="37"/>
        <v/>
      </c>
      <c r="S99" s="589" t="str">
        <f t="shared" si="38"/>
        <v/>
      </c>
      <c r="T99" s="597" t="str">
        <f t="shared" ca="1" si="27"/>
        <v/>
      </c>
      <c r="U99" s="491" t="str">
        <f t="shared" ca="1" si="28"/>
        <v/>
      </c>
      <c r="V99" s="705" t="str">
        <f t="shared" ca="1" si="39"/>
        <v/>
      </c>
      <c r="W99" s="493" t="str">
        <f t="shared" ca="1" si="29"/>
        <v/>
      </c>
      <c r="X99" s="489" t="str">
        <f t="shared" ca="1" si="30"/>
        <v/>
      </c>
      <c r="Y99" s="488"/>
      <c r="Z99" s="714"/>
      <c r="AD99" s="611"/>
      <c r="AE99" s="628" t="str">
        <f t="shared" si="31"/>
        <v/>
      </c>
      <c r="AF99" s="630"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30"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03" t="str">
        <f t="shared" ca="1" si="32"/>
        <v/>
      </c>
      <c r="AI99" s="603" t="str" cm="1">
        <f t="array" ref="AI99">IFERROR(INDEX(始値!$E$6:$BT$305,MATCH(TEXT($B99,"0"),TEXT(銘柄管理!$B$6:$B$305,"0"),0),MATCH($AE99,始値!$E$3:$BT$3,0)),"")</f>
        <v/>
      </c>
      <c r="AJ99" s="612" t="str">
        <f t="shared" ca="1" si="33"/>
        <v/>
      </c>
      <c r="AK99" s="633" t="str">
        <f t="shared" ca="1" si="34"/>
        <v/>
      </c>
    </row>
    <row r="100" spans="1:37" ht="35.4" customHeight="1">
      <c r="A100" s="623" t="str">
        <f t="shared" si="23"/>
        <v/>
      </c>
      <c r="B100" s="634"/>
      <c r="C100" s="490"/>
      <c r="D100" s="627" t="str" cm="1">
        <f t="array" ref="D100">IF($B100="","",_xll.RssMarket($B100,"銘柄名称"))</f>
        <v/>
      </c>
      <c r="E100" s="720"/>
      <c r="F100" s="702" t="str" cm="1">
        <f t="array" aca="1" ref="F100" ca="1">IFERROR(_xlfn.LET(_xlpm.r,MATCH(TEXT($B100,"0"),TEXT(銘柄管理!$B$6:$B$305,"0"),0),_xlpm.t,MOD(NOW(),1),_xlpm.c,IF($E100=TODAY(),IF(_xlpm.t&gt;=TIME(15,30,0),NA(),1),IF(MATCH($E100,始値!$E$3:$BT$3,0)=1,1,MATCH($E100,始値!$E$3:$BT$3,0)+1)),_xlpm.v,INDEX(始値!$C$6:$BT$305,_xlpm.r,_xlpm.c),IF(N(_xlpm.v)=0,"",_xlpm.v)),"")</f>
        <v/>
      </c>
      <c r="G100" s="635"/>
      <c r="H100" s="491" t="str" cm="1">
        <f t="array" ref="H100">IF($B100="","",_xll.RssMarket($B100,"現在値"))</f>
        <v/>
      </c>
      <c r="I100" s="491" t="str" cm="1">
        <f t="array" ref="I100">IF($B100="","",_xll.RssMarket($B100,"出来高加重平均"))</f>
        <v/>
      </c>
      <c r="J100" s="705" t="str" cm="1">
        <f t="array" ref="J100">IF($B100="","",_xll.RssMarket($B100,"前日比"))</f>
        <v/>
      </c>
      <c r="K100" s="705" t="str">
        <f t="shared" ca="1" si="35"/>
        <v/>
      </c>
      <c r="L100" s="710" t="str">
        <f t="shared" ca="1" si="36"/>
        <v/>
      </c>
      <c r="M100" s="491" t="str">
        <f t="shared" ca="1" si="24"/>
        <v/>
      </c>
      <c r="N100" s="491" t="str">
        <f t="shared" ca="1" si="25"/>
        <v/>
      </c>
      <c r="O100" s="492" t="str">
        <f t="shared" ca="1" si="26"/>
        <v/>
      </c>
      <c r="P100" s="491" t="str" cm="1">
        <f t="array" aca="1" ref="P100" ca="1">IF($B100="","",IFERROR(MAX(OFFSET(高値!$E$6,MATCH(TEXT($B100,"0"),TEXT(銘柄管理!$B$6:$B$305,"0"),0)-1,0,1,10)),""))</f>
        <v/>
      </c>
      <c r="Q100" s="491" t="str" cm="1">
        <f t="array" aca="1" ref="Q100" ca="1">IF($B100="","",IFERROR(MIN(OFFSET(安値!$E$6,MATCH(TEXT($B100,"0"),TEXT(銘柄管理!$B$6:$B$305,"0"),0)-1,0,1,10)),""))</f>
        <v/>
      </c>
      <c r="R100" s="491" t="str">
        <f t="shared" ca="1" si="37"/>
        <v/>
      </c>
      <c r="S100" s="589" t="str">
        <f t="shared" si="38"/>
        <v/>
      </c>
      <c r="T100" s="597" t="str">
        <f t="shared" ca="1" si="27"/>
        <v/>
      </c>
      <c r="U100" s="491" t="str">
        <f t="shared" ca="1" si="28"/>
        <v/>
      </c>
      <c r="V100" s="705" t="str">
        <f t="shared" ca="1" si="39"/>
        <v/>
      </c>
      <c r="W100" s="493" t="str">
        <f t="shared" ca="1" si="29"/>
        <v/>
      </c>
      <c r="X100" s="489" t="str">
        <f t="shared" ca="1" si="30"/>
        <v/>
      </c>
      <c r="Y100" s="488"/>
      <c r="Z100" s="714"/>
      <c r="AD100" s="611"/>
      <c r="AE100" s="628" t="str">
        <f t="shared" si="31"/>
        <v/>
      </c>
      <c r="AF100" s="630"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30"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03" t="str">
        <f t="shared" ca="1" si="32"/>
        <v/>
      </c>
      <c r="AI100" s="603" t="str" cm="1">
        <f t="array" ref="AI100">IFERROR(INDEX(始値!$E$6:$BT$305,MATCH(TEXT($B100,"0"),TEXT(銘柄管理!$B$6:$B$305,"0"),0),MATCH($AE100,始値!$E$3:$BT$3,0)),"")</f>
        <v/>
      </c>
      <c r="AJ100" s="612" t="str">
        <f t="shared" ca="1" si="33"/>
        <v/>
      </c>
      <c r="AK100" s="633" t="str">
        <f t="shared" ca="1" si="34"/>
        <v/>
      </c>
    </row>
    <row r="101" spans="1:37" ht="35.4" customHeight="1">
      <c r="A101" s="623" t="str">
        <f t="shared" si="23"/>
        <v/>
      </c>
      <c r="B101" s="634"/>
      <c r="C101" s="490"/>
      <c r="D101" s="627" t="str" cm="1">
        <f t="array" ref="D101">IF($B101="","",_xll.RssMarket($B101,"銘柄名称"))</f>
        <v/>
      </c>
      <c r="E101" s="720"/>
      <c r="F101" s="702" t="str" cm="1">
        <f t="array" aca="1" ref="F101" ca="1">IFERROR(_xlfn.LET(_xlpm.r,MATCH(TEXT($B101,"0"),TEXT(銘柄管理!$B$6:$B$305,"0"),0),_xlpm.t,MOD(NOW(),1),_xlpm.c,IF($E101=TODAY(),IF(_xlpm.t&gt;=TIME(15,30,0),NA(),1),IF(MATCH($E101,始値!$E$3:$BT$3,0)=1,1,MATCH($E101,始値!$E$3:$BT$3,0)+1)),_xlpm.v,INDEX(始値!$C$6:$BT$305,_xlpm.r,_xlpm.c),IF(N(_xlpm.v)=0,"",_xlpm.v)),"")</f>
        <v/>
      </c>
      <c r="G101" s="635"/>
      <c r="H101" s="491" t="str" cm="1">
        <f t="array" ref="H101">IF($B101="","",_xll.RssMarket($B101,"現在値"))</f>
        <v/>
      </c>
      <c r="I101" s="491" t="str" cm="1">
        <f t="array" ref="I101">IF($B101="","",_xll.RssMarket($B101,"出来高加重平均"))</f>
        <v/>
      </c>
      <c r="J101" s="705" t="str" cm="1">
        <f t="array" ref="J101">IF($B101="","",_xll.RssMarket($B101,"前日比"))</f>
        <v/>
      </c>
      <c r="K101" s="705" t="str">
        <f t="shared" ca="1" si="35"/>
        <v/>
      </c>
      <c r="L101" s="710" t="str">
        <f t="shared" ca="1" si="36"/>
        <v/>
      </c>
      <c r="M101" s="491" t="str">
        <f t="shared" ca="1" si="24"/>
        <v/>
      </c>
      <c r="N101" s="491" t="str">
        <f t="shared" ca="1" si="25"/>
        <v/>
      </c>
      <c r="O101" s="492" t="str">
        <f t="shared" ca="1" si="26"/>
        <v/>
      </c>
      <c r="P101" s="491" t="str" cm="1">
        <f t="array" aca="1" ref="P101" ca="1">IF($B101="","",IFERROR(MAX(OFFSET(高値!$E$6,MATCH(TEXT($B101,"0"),TEXT(銘柄管理!$B$6:$B$305,"0"),0)-1,0,1,10)),""))</f>
        <v/>
      </c>
      <c r="Q101" s="491" t="str" cm="1">
        <f t="array" aca="1" ref="Q101" ca="1">IF($B101="","",IFERROR(MIN(OFFSET(安値!$E$6,MATCH(TEXT($B101,"0"),TEXT(銘柄管理!$B$6:$B$305,"0"),0)-1,0,1,10)),""))</f>
        <v/>
      </c>
      <c r="R101" s="491" t="str">
        <f t="shared" ca="1" si="37"/>
        <v/>
      </c>
      <c r="S101" s="589" t="str">
        <f t="shared" si="38"/>
        <v/>
      </c>
      <c r="T101" s="597" t="str">
        <f t="shared" ca="1" si="27"/>
        <v/>
      </c>
      <c r="U101" s="491" t="str">
        <f t="shared" ca="1" si="28"/>
        <v/>
      </c>
      <c r="V101" s="705" t="str">
        <f t="shared" ca="1" si="39"/>
        <v/>
      </c>
      <c r="W101" s="493" t="str">
        <f t="shared" ca="1" si="29"/>
        <v/>
      </c>
      <c r="X101" s="489" t="str">
        <f t="shared" ca="1" si="30"/>
        <v/>
      </c>
      <c r="Y101" s="488"/>
      <c r="Z101" s="714"/>
      <c r="AD101" s="611"/>
      <c r="AE101" s="628" t="str">
        <f t="shared" si="31"/>
        <v/>
      </c>
      <c r="AF101" s="630"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30"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03" t="str">
        <f t="shared" ca="1" si="32"/>
        <v/>
      </c>
      <c r="AI101" s="603" t="str" cm="1">
        <f t="array" ref="AI101">IFERROR(INDEX(始値!$E$6:$BT$305,MATCH(TEXT($B101,"0"),TEXT(銘柄管理!$B$6:$B$305,"0"),0),MATCH($AE101,始値!$E$3:$BT$3,0)),"")</f>
        <v/>
      </c>
      <c r="AJ101" s="612" t="str">
        <f t="shared" ca="1" si="33"/>
        <v/>
      </c>
      <c r="AK101" s="633" t="str">
        <f t="shared" ca="1" si="34"/>
        <v/>
      </c>
    </row>
    <row r="102" spans="1:37" ht="35.4" customHeight="1">
      <c r="A102" s="623" t="str">
        <f t="shared" si="23"/>
        <v/>
      </c>
      <c r="B102" s="634"/>
      <c r="C102" s="490"/>
      <c r="D102" s="627" t="str" cm="1">
        <f t="array" ref="D102">IF($B102="","",_xll.RssMarket($B102,"銘柄名称"))</f>
        <v/>
      </c>
      <c r="E102" s="720"/>
      <c r="F102" s="702" t="str" cm="1">
        <f t="array" aca="1" ref="F102" ca="1">IFERROR(_xlfn.LET(_xlpm.r,MATCH(TEXT($B102,"0"),TEXT(銘柄管理!$B$6:$B$305,"0"),0),_xlpm.t,MOD(NOW(),1),_xlpm.c,IF($E102=TODAY(),IF(_xlpm.t&gt;=TIME(15,30,0),NA(),1),IF(MATCH($E102,始値!$E$3:$BT$3,0)=1,1,MATCH($E102,始値!$E$3:$BT$3,0)+1)),_xlpm.v,INDEX(始値!$C$6:$BT$305,_xlpm.r,_xlpm.c),IF(N(_xlpm.v)=0,"",_xlpm.v)),"")</f>
        <v/>
      </c>
      <c r="G102" s="635"/>
      <c r="H102" s="491" t="str" cm="1">
        <f t="array" ref="H102">IF($B102="","",_xll.RssMarket($B102,"現在値"))</f>
        <v/>
      </c>
      <c r="I102" s="491" t="str" cm="1">
        <f t="array" ref="I102">IF($B102="","",_xll.RssMarket($B102,"出来高加重平均"))</f>
        <v/>
      </c>
      <c r="J102" s="705" t="str" cm="1">
        <f t="array" ref="J102">IF($B102="","",_xll.RssMarket($B102,"前日比"))</f>
        <v/>
      </c>
      <c r="K102" s="705" t="str">
        <f t="shared" ca="1" si="35"/>
        <v/>
      </c>
      <c r="L102" s="710" t="str">
        <f t="shared" ca="1" si="36"/>
        <v/>
      </c>
      <c r="M102" s="491" t="str">
        <f t="shared" ca="1" si="24"/>
        <v/>
      </c>
      <c r="N102" s="491" t="str">
        <f t="shared" ca="1" si="25"/>
        <v/>
      </c>
      <c r="O102" s="492" t="str">
        <f t="shared" ca="1" si="26"/>
        <v/>
      </c>
      <c r="P102" s="491" t="str" cm="1">
        <f t="array" aca="1" ref="P102" ca="1">IF($B102="","",IFERROR(MAX(OFFSET(高値!$E$6,MATCH(TEXT($B102,"0"),TEXT(銘柄管理!$B$6:$B$305,"0"),0)-1,0,1,10)),""))</f>
        <v/>
      </c>
      <c r="Q102" s="491" t="str" cm="1">
        <f t="array" aca="1" ref="Q102" ca="1">IF($B102="","",IFERROR(MIN(OFFSET(安値!$E$6,MATCH(TEXT($B102,"0"),TEXT(銘柄管理!$B$6:$B$305,"0"),0)-1,0,1,10)),""))</f>
        <v/>
      </c>
      <c r="R102" s="491" t="str">
        <f t="shared" ca="1" si="37"/>
        <v/>
      </c>
      <c r="S102" s="589" t="str">
        <f t="shared" si="38"/>
        <v/>
      </c>
      <c r="T102" s="597" t="str">
        <f t="shared" ca="1" si="27"/>
        <v/>
      </c>
      <c r="U102" s="491" t="str">
        <f t="shared" ca="1" si="28"/>
        <v/>
      </c>
      <c r="V102" s="705" t="str">
        <f t="shared" ca="1" si="39"/>
        <v/>
      </c>
      <c r="W102" s="493" t="str">
        <f t="shared" ca="1" si="29"/>
        <v/>
      </c>
      <c r="X102" s="489" t="str">
        <f t="shared" ca="1" si="30"/>
        <v/>
      </c>
      <c r="Y102" s="488"/>
      <c r="Z102" s="714"/>
      <c r="AD102" s="611"/>
      <c r="AE102" s="628" t="str">
        <f t="shared" si="31"/>
        <v/>
      </c>
      <c r="AF102" s="630"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30"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03" t="str">
        <f t="shared" ca="1" si="32"/>
        <v/>
      </c>
      <c r="AI102" s="603" t="str" cm="1">
        <f t="array" ref="AI102">IFERROR(INDEX(始値!$E$6:$BT$305,MATCH(TEXT($B102,"0"),TEXT(銘柄管理!$B$6:$B$305,"0"),0),MATCH($AE102,始値!$E$3:$BT$3,0)),"")</f>
        <v/>
      </c>
      <c r="AJ102" s="612" t="str">
        <f t="shared" ca="1" si="33"/>
        <v/>
      </c>
      <c r="AK102" s="633" t="str">
        <f t="shared" ca="1" si="34"/>
        <v/>
      </c>
    </row>
    <row r="103" spans="1:37" ht="35.4" customHeight="1">
      <c r="A103" s="623" t="str">
        <f t="shared" si="23"/>
        <v/>
      </c>
      <c r="B103" s="634"/>
      <c r="C103" s="490"/>
      <c r="D103" s="627" t="str" cm="1">
        <f t="array" ref="D103">IF($B103="","",_xll.RssMarket($B103,"銘柄名称"))</f>
        <v/>
      </c>
      <c r="E103" s="720"/>
      <c r="F103" s="702" t="str" cm="1">
        <f t="array" aca="1" ref="F103" ca="1">IFERROR(_xlfn.LET(_xlpm.r,MATCH(TEXT($B103,"0"),TEXT(銘柄管理!$B$6:$B$305,"0"),0),_xlpm.t,MOD(NOW(),1),_xlpm.c,IF($E103=TODAY(),IF(_xlpm.t&gt;=TIME(15,30,0),NA(),1),IF(MATCH($E103,始値!$E$3:$BT$3,0)=1,1,MATCH($E103,始値!$E$3:$BT$3,0)+1)),_xlpm.v,INDEX(始値!$C$6:$BT$305,_xlpm.r,_xlpm.c),IF(N(_xlpm.v)=0,"",_xlpm.v)),"")</f>
        <v/>
      </c>
      <c r="G103" s="635"/>
      <c r="H103" s="491" t="str" cm="1">
        <f t="array" ref="H103">IF($B103="","",_xll.RssMarket($B103,"現在値"))</f>
        <v/>
      </c>
      <c r="I103" s="491" t="str" cm="1">
        <f t="array" ref="I103">IF($B103="","",_xll.RssMarket($B103,"出来高加重平均"))</f>
        <v/>
      </c>
      <c r="J103" s="705" t="str" cm="1">
        <f t="array" ref="J103">IF($B103="","",_xll.RssMarket($B103,"前日比"))</f>
        <v/>
      </c>
      <c r="K103" s="705" t="str">
        <f t="shared" ca="1" si="35"/>
        <v/>
      </c>
      <c r="L103" s="710" t="str">
        <f t="shared" ca="1" si="36"/>
        <v/>
      </c>
      <c r="M103" s="491" t="str">
        <f t="shared" ca="1" si="24"/>
        <v/>
      </c>
      <c r="N103" s="491" t="str">
        <f t="shared" ca="1" si="25"/>
        <v/>
      </c>
      <c r="O103" s="492" t="str">
        <f t="shared" ca="1" si="26"/>
        <v/>
      </c>
      <c r="P103" s="491" t="str" cm="1">
        <f t="array" aca="1" ref="P103" ca="1">IF($B103="","",IFERROR(MAX(OFFSET(高値!$E$6,MATCH(TEXT($B103,"0"),TEXT(銘柄管理!$B$6:$B$305,"0"),0)-1,0,1,10)),""))</f>
        <v/>
      </c>
      <c r="Q103" s="491" t="str" cm="1">
        <f t="array" aca="1" ref="Q103" ca="1">IF($B103="","",IFERROR(MIN(OFFSET(安値!$E$6,MATCH(TEXT($B103,"0"),TEXT(銘柄管理!$B$6:$B$305,"0"),0)-1,0,1,10)),""))</f>
        <v/>
      </c>
      <c r="R103" s="491" t="str">
        <f t="shared" ca="1" si="37"/>
        <v/>
      </c>
      <c r="S103" s="589" t="str">
        <f t="shared" si="38"/>
        <v/>
      </c>
      <c r="T103" s="597" t="str">
        <f t="shared" ca="1" si="27"/>
        <v/>
      </c>
      <c r="U103" s="491" t="str">
        <f t="shared" ca="1" si="28"/>
        <v/>
      </c>
      <c r="V103" s="705" t="str">
        <f t="shared" ca="1" si="39"/>
        <v/>
      </c>
      <c r="W103" s="493" t="str">
        <f t="shared" ca="1" si="29"/>
        <v/>
      </c>
      <c r="X103" s="489" t="str">
        <f t="shared" ca="1" si="30"/>
        <v/>
      </c>
      <c r="Y103" s="488"/>
      <c r="Z103" s="714"/>
      <c r="AD103" s="611"/>
      <c r="AE103" s="628" t="str">
        <f t="shared" si="31"/>
        <v/>
      </c>
      <c r="AF103" s="630"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30"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03" t="str">
        <f t="shared" ca="1" si="32"/>
        <v/>
      </c>
      <c r="AI103" s="603" t="str" cm="1">
        <f t="array" ref="AI103">IFERROR(INDEX(始値!$E$6:$BT$305,MATCH(TEXT($B103,"0"),TEXT(銘柄管理!$B$6:$B$305,"0"),0),MATCH($AE103,始値!$E$3:$BT$3,0)),"")</f>
        <v/>
      </c>
      <c r="AJ103" s="612" t="str">
        <f t="shared" ca="1" si="33"/>
        <v/>
      </c>
      <c r="AK103" s="633" t="str">
        <f t="shared" ca="1" si="34"/>
        <v/>
      </c>
    </row>
    <row r="104" spans="1:37" ht="35.4" customHeight="1">
      <c r="A104" s="623" t="str">
        <f t="shared" si="23"/>
        <v/>
      </c>
      <c r="B104" s="634"/>
      <c r="C104" s="490"/>
      <c r="D104" s="627" t="str" cm="1">
        <f t="array" ref="D104">IF($B104="","",_xll.RssMarket($B104,"銘柄名称"))</f>
        <v/>
      </c>
      <c r="E104" s="720"/>
      <c r="F104" s="702" t="str" cm="1">
        <f t="array" aca="1" ref="F104" ca="1">IFERROR(_xlfn.LET(_xlpm.r,MATCH(TEXT($B104,"0"),TEXT(銘柄管理!$B$6:$B$305,"0"),0),_xlpm.t,MOD(NOW(),1),_xlpm.c,IF($E104=TODAY(),IF(_xlpm.t&gt;=TIME(15,30,0),NA(),1),IF(MATCH($E104,始値!$E$3:$BT$3,0)=1,1,MATCH($E104,始値!$E$3:$BT$3,0)+1)),_xlpm.v,INDEX(始値!$C$6:$BT$305,_xlpm.r,_xlpm.c),IF(N(_xlpm.v)=0,"",_xlpm.v)),"")</f>
        <v/>
      </c>
      <c r="G104" s="635"/>
      <c r="H104" s="491" t="str" cm="1">
        <f t="array" ref="H104">IF($B104="","",_xll.RssMarket($B104,"現在値"))</f>
        <v/>
      </c>
      <c r="I104" s="491" t="str" cm="1">
        <f t="array" ref="I104">IF($B104="","",_xll.RssMarket($B104,"出来高加重平均"))</f>
        <v/>
      </c>
      <c r="J104" s="705" t="str" cm="1">
        <f t="array" ref="J104">IF($B104="","",_xll.RssMarket($B104,"前日比"))</f>
        <v/>
      </c>
      <c r="K104" s="705" t="str">
        <f t="shared" ca="1" si="35"/>
        <v/>
      </c>
      <c r="L104" s="710" t="str">
        <f t="shared" ca="1" si="36"/>
        <v/>
      </c>
      <c r="M104" s="491" t="str">
        <f t="shared" ca="1" si="24"/>
        <v/>
      </c>
      <c r="N104" s="491" t="str">
        <f t="shared" ca="1" si="25"/>
        <v/>
      </c>
      <c r="O104" s="492" t="str">
        <f t="shared" ca="1" si="26"/>
        <v/>
      </c>
      <c r="P104" s="491" t="str" cm="1">
        <f t="array" aca="1" ref="P104" ca="1">IF($B104="","",IFERROR(MAX(OFFSET(高値!$E$6,MATCH(TEXT($B104,"0"),TEXT(銘柄管理!$B$6:$B$305,"0"),0)-1,0,1,10)),""))</f>
        <v/>
      </c>
      <c r="Q104" s="491" t="str" cm="1">
        <f t="array" aca="1" ref="Q104" ca="1">IF($B104="","",IFERROR(MIN(OFFSET(安値!$E$6,MATCH(TEXT($B104,"0"),TEXT(銘柄管理!$B$6:$B$305,"0"),0)-1,0,1,10)),""))</f>
        <v/>
      </c>
      <c r="R104" s="491" t="str">
        <f t="shared" ca="1" si="37"/>
        <v/>
      </c>
      <c r="S104" s="589" t="str">
        <f t="shared" si="38"/>
        <v/>
      </c>
      <c r="T104" s="597" t="str">
        <f t="shared" ca="1" si="27"/>
        <v/>
      </c>
      <c r="U104" s="491" t="str">
        <f t="shared" ca="1" si="28"/>
        <v/>
      </c>
      <c r="V104" s="705" t="str">
        <f t="shared" ca="1" si="39"/>
        <v/>
      </c>
      <c r="W104" s="493" t="str">
        <f t="shared" ca="1" si="29"/>
        <v/>
      </c>
      <c r="X104" s="489" t="str">
        <f t="shared" ca="1" si="30"/>
        <v/>
      </c>
      <c r="Y104" s="488"/>
      <c r="Z104" s="714"/>
      <c r="AD104" s="611"/>
      <c r="AE104" s="628" t="str">
        <f t="shared" si="31"/>
        <v/>
      </c>
      <c r="AF104" s="630"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30"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03" t="str">
        <f t="shared" ca="1" si="32"/>
        <v/>
      </c>
      <c r="AI104" s="603" t="str" cm="1">
        <f t="array" ref="AI104">IFERROR(INDEX(始値!$E$6:$BT$305,MATCH(TEXT($B104,"0"),TEXT(銘柄管理!$B$6:$B$305,"0"),0),MATCH($AE104,始値!$E$3:$BT$3,0)),"")</f>
        <v/>
      </c>
      <c r="AJ104" s="612" t="str">
        <f t="shared" ca="1" si="33"/>
        <v/>
      </c>
      <c r="AK104" s="633" t="str">
        <f t="shared" ca="1" si="34"/>
        <v/>
      </c>
    </row>
    <row r="105" spans="1:37" ht="35.4" customHeight="1">
      <c r="A105" s="623" t="str">
        <f t="shared" si="23"/>
        <v/>
      </c>
      <c r="B105" s="634"/>
      <c r="C105" s="490"/>
      <c r="D105" s="627" t="str" cm="1">
        <f t="array" ref="D105">IF($B105="","",_xll.RssMarket($B105,"銘柄名称"))</f>
        <v/>
      </c>
      <c r="E105" s="720"/>
      <c r="F105" s="702" t="str" cm="1">
        <f t="array" aca="1" ref="F105" ca="1">IFERROR(_xlfn.LET(_xlpm.r,MATCH(TEXT($B105,"0"),TEXT(銘柄管理!$B$6:$B$305,"0"),0),_xlpm.t,MOD(NOW(),1),_xlpm.c,IF($E105=TODAY(),IF(_xlpm.t&gt;=TIME(15,30,0),NA(),1),IF(MATCH($E105,始値!$E$3:$BT$3,0)=1,1,MATCH($E105,始値!$E$3:$BT$3,0)+1)),_xlpm.v,INDEX(始値!$C$6:$BT$305,_xlpm.r,_xlpm.c),IF(N(_xlpm.v)=0,"",_xlpm.v)),"")</f>
        <v/>
      </c>
      <c r="G105" s="635"/>
      <c r="H105" s="491" t="str" cm="1">
        <f t="array" ref="H105">IF($B105="","",_xll.RssMarket($B105,"現在値"))</f>
        <v/>
      </c>
      <c r="I105" s="491" t="str" cm="1">
        <f t="array" ref="I105">IF($B105="","",_xll.RssMarket($B105,"出来高加重平均"))</f>
        <v/>
      </c>
      <c r="J105" s="705" t="str" cm="1">
        <f t="array" ref="J105">IF($B105="","",_xll.RssMarket($B105,"前日比"))</f>
        <v/>
      </c>
      <c r="K105" s="705" t="str">
        <f t="shared" ca="1" si="35"/>
        <v/>
      </c>
      <c r="L105" s="710" t="str">
        <f t="shared" ca="1" si="36"/>
        <v/>
      </c>
      <c r="M105" s="491" t="str">
        <f t="shared" ca="1" si="24"/>
        <v/>
      </c>
      <c r="N105" s="491" t="str">
        <f t="shared" ca="1" si="25"/>
        <v/>
      </c>
      <c r="O105" s="492" t="str">
        <f t="shared" ca="1" si="26"/>
        <v/>
      </c>
      <c r="P105" s="491" t="str" cm="1">
        <f t="array" aca="1" ref="P105" ca="1">IF($B105="","",IFERROR(MAX(OFFSET(高値!$E$6,MATCH(TEXT($B105,"0"),TEXT(銘柄管理!$B$6:$B$305,"0"),0)-1,0,1,10)),""))</f>
        <v/>
      </c>
      <c r="Q105" s="491" t="str" cm="1">
        <f t="array" aca="1" ref="Q105" ca="1">IF($B105="","",IFERROR(MIN(OFFSET(安値!$E$6,MATCH(TEXT($B105,"0"),TEXT(銘柄管理!$B$6:$B$305,"0"),0)-1,0,1,10)),""))</f>
        <v/>
      </c>
      <c r="R105" s="491" t="str">
        <f t="shared" ca="1" si="37"/>
        <v/>
      </c>
      <c r="S105" s="589" t="str">
        <f t="shared" si="38"/>
        <v/>
      </c>
      <c r="T105" s="597" t="str">
        <f t="shared" ca="1" si="27"/>
        <v/>
      </c>
      <c r="U105" s="491" t="str">
        <f t="shared" ca="1" si="28"/>
        <v/>
      </c>
      <c r="V105" s="705" t="str">
        <f t="shared" ca="1" si="39"/>
        <v/>
      </c>
      <c r="W105" s="493" t="str">
        <f t="shared" ca="1" si="29"/>
        <v/>
      </c>
      <c r="X105" s="489" t="str">
        <f t="shared" ca="1" si="30"/>
        <v/>
      </c>
      <c r="Y105" s="488"/>
      <c r="Z105" s="714"/>
      <c r="AD105" s="611"/>
      <c r="AE105" s="628" t="str">
        <f t="shared" si="31"/>
        <v/>
      </c>
      <c r="AF105" s="630"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30"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03" t="str">
        <f t="shared" ca="1" si="32"/>
        <v/>
      </c>
      <c r="AI105" s="603" t="str" cm="1">
        <f t="array" ref="AI105">IFERROR(INDEX(始値!$E$6:$BT$305,MATCH(TEXT($B105,"0"),TEXT(銘柄管理!$B$6:$B$305,"0"),0),MATCH($AE105,始値!$E$3:$BT$3,0)),"")</f>
        <v/>
      </c>
      <c r="AJ105" s="612" t="str">
        <f t="shared" ca="1" si="33"/>
        <v/>
      </c>
      <c r="AK105" s="633" t="str">
        <f t="shared" ca="1" si="34"/>
        <v/>
      </c>
    </row>
    <row r="106" spans="1:37" ht="35.4" customHeight="1">
      <c r="A106" s="623" t="str">
        <f t="shared" si="23"/>
        <v/>
      </c>
      <c r="B106" s="634"/>
      <c r="C106" s="490"/>
      <c r="D106" s="627" t="str" cm="1">
        <f t="array" ref="D106">IF($B106="","",_xll.RssMarket($B106,"銘柄名称"))</f>
        <v/>
      </c>
      <c r="E106" s="720"/>
      <c r="F106" s="702" t="str" cm="1">
        <f t="array" aca="1" ref="F106" ca="1">IFERROR(_xlfn.LET(_xlpm.r,MATCH(TEXT($B106,"0"),TEXT(銘柄管理!$B$6:$B$305,"0"),0),_xlpm.t,MOD(NOW(),1),_xlpm.c,IF($E106=TODAY(),IF(_xlpm.t&gt;=TIME(15,30,0),NA(),1),IF(MATCH($E106,始値!$E$3:$BT$3,0)=1,1,MATCH($E106,始値!$E$3:$BT$3,0)+1)),_xlpm.v,INDEX(始値!$C$6:$BT$305,_xlpm.r,_xlpm.c),IF(N(_xlpm.v)=0,"",_xlpm.v)),"")</f>
        <v/>
      </c>
      <c r="G106" s="635"/>
      <c r="H106" s="491" t="str" cm="1">
        <f t="array" ref="H106">IF($B106="","",_xll.RssMarket($B106,"現在値"))</f>
        <v/>
      </c>
      <c r="I106" s="491" t="str" cm="1">
        <f t="array" ref="I106">IF($B106="","",_xll.RssMarket($B106,"出来高加重平均"))</f>
        <v/>
      </c>
      <c r="J106" s="705" t="str" cm="1">
        <f t="array" ref="J106">IF($B106="","",_xll.RssMarket($B106,"前日比"))</f>
        <v/>
      </c>
      <c r="K106" s="705" t="str">
        <f t="shared" ca="1" si="35"/>
        <v/>
      </c>
      <c r="L106" s="710" t="str">
        <f t="shared" ca="1" si="36"/>
        <v/>
      </c>
      <c r="M106" s="491" t="str">
        <f t="shared" ca="1" si="24"/>
        <v/>
      </c>
      <c r="N106" s="491" t="str">
        <f t="shared" ca="1" si="25"/>
        <v/>
      </c>
      <c r="O106" s="492" t="str">
        <f t="shared" ca="1" si="26"/>
        <v/>
      </c>
      <c r="P106" s="491" t="str" cm="1">
        <f t="array" aca="1" ref="P106" ca="1">IF($B106="","",IFERROR(MAX(OFFSET(高値!$E$6,MATCH(TEXT($B106,"0"),TEXT(銘柄管理!$B$6:$B$305,"0"),0)-1,0,1,10)),""))</f>
        <v/>
      </c>
      <c r="Q106" s="491" t="str" cm="1">
        <f t="array" aca="1" ref="Q106" ca="1">IF($B106="","",IFERROR(MIN(OFFSET(安値!$E$6,MATCH(TEXT($B106,"0"),TEXT(銘柄管理!$B$6:$B$305,"0"),0)-1,0,1,10)),""))</f>
        <v/>
      </c>
      <c r="R106" s="491" t="str">
        <f t="shared" ca="1" si="37"/>
        <v/>
      </c>
      <c r="S106" s="589" t="str">
        <f t="shared" si="38"/>
        <v/>
      </c>
      <c r="T106" s="597" t="str">
        <f t="shared" ca="1" si="27"/>
        <v/>
      </c>
      <c r="U106" s="491" t="str">
        <f t="shared" ca="1" si="28"/>
        <v/>
      </c>
      <c r="V106" s="705" t="str">
        <f t="shared" ca="1" si="39"/>
        <v/>
      </c>
      <c r="W106" s="493" t="str">
        <f t="shared" ca="1" si="29"/>
        <v/>
      </c>
      <c r="X106" s="489" t="str">
        <f t="shared" ca="1" si="30"/>
        <v/>
      </c>
      <c r="Y106" s="488"/>
      <c r="Z106" s="714"/>
      <c r="AD106" s="611"/>
      <c r="AE106" s="628" t="str">
        <f t="shared" si="31"/>
        <v/>
      </c>
      <c r="AF106" s="630"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30"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03" t="str">
        <f t="shared" ca="1" si="32"/>
        <v/>
      </c>
      <c r="AI106" s="603" t="str" cm="1">
        <f t="array" ref="AI106">IFERROR(INDEX(始値!$E$6:$BT$305,MATCH(TEXT($B106,"0"),TEXT(銘柄管理!$B$6:$B$305,"0"),0),MATCH($AE106,始値!$E$3:$BT$3,0)),"")</f>
        <v/>
      </c>
      <c r="AJ106" s="612" t="str">
        <f t="shared" ca="1" si="33"/>
        <v/>
      </c>
      <c r="AK106" s="633" t="str">
        <f t="shared" ca="1" si="34"/>
        <v/>
      </c>
    </row>
    <row r="107" spans="1:37" ht="35.4" customHeight="1">
      <c r="A107" s="623" t="str">
        <f t="shared" si="23"/>
        <v/>
      </c>
      <c r="B107" s="634"/>
      <c r="C107" s="490"/>
      <c r="D107" s="627" t="str" cm="1">
        <f t="array" ref="D107">IF($B107="","",_xll.RssMarket($B107,"銘柄名称"))</f>
        <v/>
      </c>
      <c r="E107" s="720"/>
      <c r="F107" s="702" t="str" cm="1">
        <f t="array" aca="1" ref="F107" ca="1">IFERROR(_xlfn.LET(_xlpm.r,MATCH(TEXT($B107,"0"),TEXT(銘柄管理!$B$6:$B$305,"0"),0),_xlpm.t,MOD(NOW(),1),_xlpm.c,IF($E107=TODAY(),IF(_xlpm.t&gt;=TIME(15,30,0),NA(),1),IF(MATCH($E107,始値!$E$3:$BT$3,0)=1,1,MATCH($E107,始値!$E$3:$BT$3,0)+1)),_xlpm.v,INDEX(始値!$C$6:$BT$305,_xlpm.r,_xlpm.c),IF(N(_xlpm.v)=0,"",_xlpm.v)),"")</f>
        <v/>
      </c>
      <c r="G107" s="635"/>
      <c r="H107" s="491" t="str" cm="1">
        <f t="array" ref="H107">IF($B107="","",_xll.RssMarket($B107,"現在値"))</f>
        <v/>
      </c>
      <c r="I107" s="491" t="str" cm="1">
        <f t="array" ref="I107">IF($B107="","",_xll.RssMarket($B107,"出来高加重平均"))</f>
        <v/>
      </c>
      <c r="J107" s="705" t="str" cm="1">
        <f t="array" ref="J107">IF($B107="","",_xll.RssMarket($B107,"前日比"))</f>
        <v/>
      </c>
      <c r="K107" s="705" t="str">
        <f t="shared" ca="1" si="35"/>
        <v/>
      </c>
      <c r="L107" s="710" t="str">
        <f t="shared" ca="1" si="36"/>
        <v/>
      </c>
      <c r="M107" s="491" t="str">
        <f t="shared" ca="1" si="24"/>
        <v/>
      </c>
      <c r="N107" s="491" t="str">
        <f t="shared" ca="1" si="25"/>
        <v/>
      </c>
      <c r="O107" s="492" t="str">
        <f t="shared" ca="1" si="26"/>
        <v/>
      </c>
      <c r="P107" s="491" t="str" cm="1">
        <f t="array" aca="1" ref="P107" ca="1">IF($B107="","",IFERROR(MAX(OFFSET(高値!$E$6,MATCH(TEXT($B107,"0"),TEXT(銘柄管理!$B$6:$B$305,"0"),0)-1,0,1,10)),""))</f>
        <v/>
      </c>
      <c r="Q107" s="491" t="str" cm="1">
        <f t="array" aca="1" ref="Q107" ca="1">IF($B107="","",IFERROR(MIN(OFFSET(安値!$E$6,MATCH(TEXT($B107,"0"),TEXT(銘柄管理!$B$6:$B$305,"0"),0)-1,0,1,10)),""))</f>
        <v/>
      </c>
      <c r="R107" s="491" t="str">
        <f t="shared" ca="1" si="37"/>
        <v/>
      </c>
      <c r="S107" s="589" t="str">
        <f t="shared" si="38"/>
        <v/>
      </c>
      <c r="T107" s="597" t="str">
        <f t="shared" ca="1" si="27"/>
        <v/>
      </c>
      <c r="U107" s="491" t="str">
        <f t="shared" ca="1" si="28"/>
        <v/>
      </c>
      <c r="V107" s="705" t="str">
        <f t="shared" ca="1" si="39"/>
        <v/>
      </c>
      <c r="W107" s="493" t="str">
        <f t="shared" ca="1" si="29"/>
        <v/>
      </c>
      <c r="X107" s="489" t="str">
        <f t="shared" ca="1" si="30"/>
        <v/>
      </c>
      <c r="Y107" s="488"/>
      <c r="Z107" s="714"/>
      <c r="AD107" s="611"/>
      <c r="AE107" s="628" t="str">
        <f t="shared" si="31"/>
        <v/>
      </c>
      <c r="AF107" s="630"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30"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03" t="str">
        <f t="shared" ca="1" si="32"/>
        <v/>
      </c>
      <c r="AI107" s="603" t="str" cm="1">
        <f t="array" ref="AI107">IFERROR(INDEX(始値!$E$6:$BT$305,MATCH(TEXT($B107,"0"),TEXT(銘柄管理!$B$6:$B$305,"0"),0),MATCH($AE107,始値!$E$3:$BT$3,0)),"")</f>
        <v/>
      </c>
      <c r="AJ107" s="612" t="str">
        <f t="shared" ca="1" si="33"/>
        <v/>
      </c>
      <c r="AK107" s="633" t="str">
        <f t="shared" ca="1" si="34"/>
        <v/>
      </c>
    </row>
    <row r="108" spans="1:37" ht="35.4" customHeight="1">
      <c r="A108" s="623" t="str">
        <f t="shared" si="23"/>
        <v/>
      </c>
      <c r="B108" s="634"/>
      <c r="C108" s="490"/>
      <c r="D108" s="627" t="str" cm="1">
        <f t="array" ref="D108">IF($B108="","",_xll.RssMarket($B108,"銘柄名称"))</f>
        <v/>
      </c>
      <c r="E108" s="720"/>
      <c r="F108" s="702" t="str" cm="1">
        <f t="array" aca="1" ref="F108" ca="1">IFERROR(_xlfn.LET(_xlpm.r,MATCH(TEXT($B108,"0"),TEXT(銘柄管理!$B$6:$B$305,"0"),0),_xlpm.t,MOD(NOW(),1),_xlpm.c,IF($E108=TODAY(),IF(_xlpm.t&gt;=TIME(15,30,0),NA(),1),IF(MATCH($E108,始値!$E$3:$BT$3,0)=1,1,MATCH($E108,始値!$E$3:$BT$3,0)+1)),_xlpm.v,INDEX(始値!$C$6:$BT$305,_xlpm.r,_xlpm.c),IF(N(_xlpm.v)=0,"",_xlpm.v)),"")</f>
        <v/>
      </c>
      <c r="G108" s="635"/>
      <c r="H108" s="491" t="str" cm="1">
        <f t="array" ref="H108">IF($B108="","",_xll.RssMarket($B108,"現在値"))</f>
        <v/>
      </c>
      <c r="I108" s="491" t="str" cm="1">
        <f t="array" ref="I108">IF($B108="","",_xll.RssMarket($B108,"出来高加重平均"))</f>
        <v/>
      </c>
      <c r="J108" s="705" t="str" cm="1">
        <f t="array" ref="J108">IF($B108="","",_xll.RssMarket($B108,"前日比"))</f>
        <v/>
      </c>
      <c r="K108" s="705" t="str">
        <f t="shared" ca="1" si="35"/>
        <v/>
      </c>
      <c r="L108" s="710" t="str">
        <f t="shared" ca="1" si="36"/>
        <v/>
      </c>
      <c r="M108" s="491" t="str">
        <f t="shared" ca="1" si="24"/>
        <v/>
      </c>
      <c r="N108" s="491" t="str">
        <f t="shared" ca="1" si="25"/>
        <v/>
      </c>
      <c r="O108" s="492" t="str">
        <f t="shared" ca="1" si="26"/>
        <v/>
      </c>
      <c r="P108" s="491" t="str" cm="1">
        <f t="array" aca="1" ref="P108" ca="1">IF($B108="","",IFERROR(MAX(OFFSET(高値!$E$6,MATCH(TEXT($B108,"0"),TEXT(銘柄管理!$B$6:$B$305,"0"),0)-1,0,1,10)),""))</f>
        <v/>
      </c>
      <c r="Q108" s="491" t="str" cm="1">
        <f t="array" aca="1" ref="Q108" ca="1">IF($B108="","",IFERROR(MIN(OFFSET(安値!$E$6,MATCH(TEXT($B108,"0"),TEXT(銘柄管理!$B$6:$B$305,"0"),0)-1,0,1,10)),""))</f>
        <v/>
      </c>
      <c r="R108" s="491" t="str">
        <f t="shared" ca="1" si="37"/>
        <v/>
      </c>
      <c r="S108" s="589" t="str">
        <f t="shared" si="38"/>
        <v/>
      </c>
      <c r="T108" s="597" t="str">
        <f t="shared" ca="1" si="27"/>
        <v/>
      </c>
      <c r="U108" s="491" t="str">
        <f t="shared" ca="1" si="28"/>
        <v/>
      </c>
      <c r="V108" s="705" t="str">
        <f t="shared" ca="1" si="39"/>
        <v/>
      </c>
      <c r="W108" s="493" t="str">
        <f t="shared" ca="1" si="29"/>
        <v/>
      </c>
      <c r="X108" s="489" t="str">
        <f t="shared" ca="1" si="30"/>
        <v/>
      </c>
      <c r="Y108" s="488"/>
      <c r="Z108" s="714"/>
      <c r="AD108" s="611"/>
      <c r="AE108" s="628" t="str">
        <f t="shared" si="31"/>
        <v/>
      </c>
      <c r="AF108" s="630"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30"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03" t="str">
        <f t="shared" ca="1" si="32"/>
        <v/>
      </c>
      <c r="AI108" s="603" t="str" cm="1">
        <f t="array" ref="AI108">IFERROR(INDEX(始値!$E$6:$BT$305,MATCH(TEXT($B108,"0"),TEXT(銘柄管理!$B$6:$B$305,"0"),0),MATCH($AE108,始値!$E$3:$BT$3,0)),"")</f>
        <v/>
      </c>
      <c r="AJ108" s="612" t="str">
        <f t="shared" ca="1" si="33"/>
        <v/>
      </c>
      <c r="AK108" s="633" t="str">
        <f t="shared" ca="1" si="34"/>
        <v/>
      </c>
    </row>
    <row r="109" spans="1:37" ht="35.4" customHeight="1">
      <c r="A109" s="623" t="str">
        <f t="shared" si="23"/>
        <v/>
      </c>
      <c r="B109" s="634"/>
      <c r="C109" s="490"/>
      <c r="D109" s="627" t="str" cm="1">
        <f t="array" ref="D109">IF($B109="","",_xll.RssMarket($B109,"銘柄名称"))</f>
        <v/>
      </c>
      <c r="E109" s="720"/>
      <c r="F109" s="702" t="str" cm="1">
        <f t="array" aca="1" ref="F109" ca="1">IFERROR(_xlfn.LET(_xlpm.r,MATCH(TEXT($B109,"0"),TEXT(銘柄管理!$B$6:$B$305,"0"),0),_xlpm.t,MOD(NOW(),1),_xlpm.c,IF($E109=TODAY(),IF(_xlpm.t&gt;=TIME(15,30,0),NA(),1),IF(MATCH($E109,始値!$E$3:$BT$3,0)=1,1,MATCH($E109,始値!$E$3:$BT$3,0)+1)),_xlpm.v,INDEX(始値!$C$6:$BT$305,_xlpm.r,_xlpm.c),IF(N(_xlpm.v)=0,"",_xlpm.v)),"")</f>
        <v/>
      </c>
      <c r="G109" s="635"/>
      <c r="H109" s="491" t="str" cm="1">
        <f t="array" ref="H109">IF($B109="","",_xll.RssMarket($B109,"現在値"))</f>
        <v/>
      </c>
      <c r="I109" s="491" t="str" cm="1">
        <f t="array" ref="I109">IF($B109="","",_xll.RssMarket($B109,"出来高加重平均"))</f>
        <v/>
      </c>
      <c r="J109" s="705" t="str" cm="1">
        <f t="array" ref="J109">IF($B109="","",_xll.RssMarket($B109,"前日比"))</f>
        <v/>
      </c>
      <c r="K109" s="705" t="str">
        <f t="shared" ca="1" si="35"/>
        <v/>
      </c>
      <c r="L109" s="710" t="str">
        <f t="shared" ca="1" si="36"/>
        <v/>
      </c>
      <c r="M109" s="491" t="str">
        <f t="shared" ca="1" si="24"/>
        <v/>
      </c>
      <c r="N109" s="491" t="str">
        <f t="shared" ca="1" si="25"/>
        <v/>
      </c>
      <c r="O109" s="492" t="str">
        <f t="shared" ca="1" si="26"/>
        <v/>
      </c>
      <c r="P109" s="491" t="str" cm="1">
        <f t="array" aca="1" ref="P109" ca="1">IF($B109="","",IFERROR(MAX(OFFSET(高値!$E$6,MATCH(TEXT($B109,"0"),TEXT(銘柄管理!$B$6:$B$305,"0"),0)-1,0,1,10)),""))</f>
        <v/>
      </c>
      <c r="Q109" s="491" t="str" cm="1">
        <f t="array" aca="1" ref="Q109" ca="1">IF($B109="","",IFERROR(MIN(OFFSET(安値!$E$6,MATCH(TEXT($B109,"0"),TEXT(銘柄管理!$B$6:$B$305,"0"),0)-1,0,1,10)),""))</f>
        <v/>
      </c>
      <c r="R109" s="491" t="str">
        <f t="shared" ca="1" si="37"/>
        <v/>
      </c>
      <c r="S109" s="589" t="str">
        <f t="shared" si="38"/>
        <v/>
      </c>
      <c r="T109" s="597" t="str">
        <f t="shared" ca="1" si="27"/>
        <v/>
      </c>
      <c r="U109" s="491" t="str">
        <f t="shared" ca="1" si="28"/>
        <v/>
      </c>
      <c r="V109" s="705" t="str">
        <f t="shared" ca="1" si="39"/>
        <v/>
      </c>
      <c r="W109" s="493" t="str">
        <f t="shared" ca="1" si="29"/>
        <v/>
      </c>
      <c r="X109" s="489" t="str">
        <f t="shared" ca="1" si="30"/>
        <v/>
      </c>
      <c r="Y109" s="488"/>
      <c r="Z109" s="714"/>
      <c r="AD109" s="611"/>
      <c r="AE109" s="628" t="str">
        <f t="shared" si="31"/>
        <v/>
      </c>
      <c r="AF109" s="630"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30"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03" t="str">
        <f t="shared" ca="1" si="32"/>
        <v/>
      </c>
      <c r="AI109" s="603" t="str" cm="1">
        <f t="array" ref="AI109">IFERROR(INDEX(始値!$E$6:$BT$305,MATCH(TEXT($B109,"0"),TEXT(銘柄管理!$B$6:$B$305,"0"),0),MATCH($AE109,始値!$E$3:$BT$3,0)),"")</f>
        <v/>
      </c>
      <c r="AJ109" s="612" t="str">
        <f t="shared" ca="1" si="33"/>
        <v/>
      </c>
      <c r="AK109" s="633" t="str">
        <f t="shared" ca="1" si="34"/>
        <v/>
      </c>
    </row>
    <row r="110" spans="1:37" ht="35.4" customHeight="1">
      <c r="A110" s="623" t="str">
        <f t="shared" si="23"/>
        <v/>
      </c>
      <c r="B110" s="634"/>
      <c r="C110" s="490"/>
      <c r="D110" s="627" t="str" cm="1">
        <f t="array" ref="D110">IF($B110="","",_xll.RssMarket($B110,"銘柄名称"))</f>
        <v/>
      </c>
      <c r="E110" s="720"/>
      <c r="F110" s="702" t="str" cm="1">
        <f t="array" aca="1" ref="F110" ca="1">IFERROR(_xlfn.LET(_xlpm.r,MATCH(TEXT($B110,"0"),TEXT(銘柄管理!$B$6:$B$305,"0"),0),_xlpm.t,MOD(NOW(),1),_xlpm.c,IF($E110=TODAY(),IF(_xlpm.t&gt;=TIME(15,30,0),NA(),1),IF(MATCH($E110,始値!$E$3:$BT$3,0)=1,1,MATCH($E110,始値!$E$3:$BT$3,0)+1)),_xlpm.v,INDEX(始値!$C$6:$BT$305,_xlpm.r,_xlpm.c),IF(N(_xlpm.v)=0,"",_xlpm.v)),"")</f>
        <v/>
      </c>
      <c r="G110" s="635"/>
      <c r="H110" s="491" t="str" cm="1">
        <f t="array" ref="H110">IF($B110="","",_xll.RssMarket($B110,"現在値"))</f>
        <v/>
      </c>
      <c r="I110" s="491" t="str" cm="1">
        <f t="array" ref="I110">IF($B110="","",_xll.RssMarket($B110,"出来高加重平均"))</f>
        <v/>
      </c>
      <c r="J110" s="705" t="str" cm="1">
        <f t="array" ref="J110">IF($B110="","",_xll.RssMarket($B110,"前日比"))</f>
        <v/>
      </c>
      <c r="K110" s="705" t="str">
        <f t="shared" ca="1" si="35"/>
        <v/>
      </c>
      <c r="L110" s="710" t="str">
        <f t="shared" ca="1" si="36"/>
        <v/>
      </c>
      <c r="M110" s="491" t="str">
        <f t="shared" ca="1" si="24"/>
        <v/>
      </c>
      <c r="N110" s="491" t="str">
        <f t="shared" ca="1" si="25"/>
        <v/>
      </c>
      <c r="O110" s="492" t="str">
        <f t="shared" ca="1" si="26"/>
        <v/>
      </c>
      <c r="P110" s="491" t="str" cm="1">
        <f t="array" aca="1" ref="P110" ca="1">IF($B110="","",IFERROR(MAX(OFFSET(高値!$E$6,MATCH(TEXT($B110,"0"),TEXT(銘柄管理!$B$6:$B$305,"0"),0)-1,0,1,10)),""))</f>
        <v/>
      </c>
      <c r="Q110" s="491" t="str" cm="1">
        <f t="array" aca="1" ref="Q110" ca="1">IF($B110="","",IFERROR(MIN(OFFSET(安値!$E$6,MATCH(TEXT($B110,"0"),TEXT(銘柄管理!$B$6:$B$305,"0"),0)-1,0,1,10)),""))</f>
        <v/>
      </c>
      <c r="R110" s="491" t="str">
        <f t="shared" ca="1" si="37"/>
        <v/>
      </c>
      <c r="S110" s="589" t="str">
        <f t="shared" si="38"/>
        <v/>
      </c>
      <c r="T110" s="597" t="str">
        <f t="shared" ca="1" si="27"/>
        <v/>
      </c>
      <c r="U110" s="491" t="str">
        <f t="shared" ca="1" si="28"/>
        <v/>
      </c>
      <c r="V110" s="705" t="str">
        <f t="shared" ca="1" si="39"/>
        <v/>
      </c>
      <c r="W110" s="493" t="str">
        <f t="shared" ca="1" si="29"/>
        <v/>
      </c>
      <c r="X110" s="489" t="str">
        <f t="shared" ca="1" si="30"/>
        <v/>
      </c>
      <c r="Y110" s="488"/>
      <c r="Z110" s="714"/>
      <c r="AD110" s="611"/>
      <c r="AE110" s="628" t="str">
        <f t="shared" si="31"/>
        <v/>
      </c>
      <c r="AF110" s="630"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30"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03" t="str">
        <f t="shared" ca="1" si="32"/>
        <v/>
      </c>
      <c r="AI110" s="603" t="str" cm="1">
        <f t="array" ref="AI110">IFERROR(INDEX(始値!$E$6:$BT$305,MATCH(TEXT($B110,"0"),TEXT(銘柄管理!$B$6:$B$305,"0"),0),MATCH($AE110,始値!$E$3:$BT$3,0)),"")</f>
        <v/>
      </c>
      <c r="AJ110" s="612" t="str">
        <f t="shared" ca="1" si="33"/>
        <v/>
      </c>
      <c r="AK110" s="633" t="str">
        <f t="shared" ca="1" si="34"/>
        <v/>
      </c>
    </row>
    <row r="111" spans="1:37" ht="35.4" customHeight="1">
      <c r="A111" s="623" t="str">
        <f t="shared" si="23"/>
        <v/>
      </c>
      <c r="B111" s="634"/>
      <c r="C111" s="490"/>
      <c r="D111" s="627" t="str" cm="1">
        <f t="array" ref="D111">IF($B111="","",_xll.RssMarket($B111,"銘柄名称"))</f>
        <v/>
      </c>
      <c r="E111" s="720"/>
      <c r="F111" s="702" t="str" cm="1">
        <f t="array" aca="1" ref="F111" ca="1">IFERROR(_xlfn.LET(_xlpm.r,MATCH(TEXT($B111,"0"),TEXT(銘柄管理!$B$6:$B$305,"0"),0),_xlpm.t,MOD(NOW(),1),_xlpm.c,IF($E111=TODAY(),IF(_xlpm.t&gt;=TIME(15,30,0),NA(),1),IF(MATCH($E111,始値!$E$3:$BT$3,0)=1,1,MATCH($E111,始値!$E$3:$BT$3,0)+1)),_xlpm.v,INDEX(始値!$C$6:$BT$305,_xlpm.r,_xlpm.c),IF(N(_xlpm.v)=0,"",_xlpm.v)),"")</f>
        <v/>
      </c>
      <c r="G111" s="635"/>
      <c r="H111" s="491" t="str" cm="1">
        <f t="array" ref="H111">IF($B111="","",_xll.RssMarket($B111,"現在値"))</f>
        <v/>
      </c>
      <c r="I111" s="491" t="str" cm="1">
        <f t="array" ref="I111">IF($B111="","",_xll.RssMarket($B111,"出来高加重平均"))</f>
        <v/>
      </c>
      <c r="J111" s="705" t="str" cm="1">
        <f t="array" ref="J111">IF($B111="","",_xll.RssMarket($B111,"前日比"))</f>
        <v/>
      </c>
      <c r="K111" s="705" t="str">
        <f t="shared" ca="1" si="35"/>
        <v/>
      </c>
      <c r="L111" s="710" t="str">
        <f t="shared" ca="1" si="36"/>
        <v/>
      </c>
      <c r="M111" s="491" t="str">
        <f t="shared" ca="1" si="24"/>
        <v/>
      </c>
      <c r="N111" s="491" t="str">
        <f t="shared" ca="1" si="25"/>
        <v/>
      </c>
      <c r="O111" s="492" t="str">
        <f t="shared" ca="1" si="26"/>
        <v/>
      </c>
      <c r="P111" s="491" t="str" cm="1">
        <f t="array" aca="1" ref="P111" ca="1">IF($B111="","",IFERROR(MAX(OFFSET(高値!$E$6,MATCH(TEXT($B111,"0"),TEXT(銘柄管理!$B$6:$B$305,"0"),0)-1,0,1,10)),""))</f>
        <v/>
      </c>
      <c r="Q111" s="491" t="str" cm="1">
        <f t="array" aca="1" ref="Q111" ca="1">IF($B111="","",IFERROR(MIN(OFFSET(安値!$E$6,MATCH(TEXT($B111,"0"),TEXT(銘柄管理!$B$6:$B$305,"0"),0)-1,0,1,10)),""))</f>
        <v/>
      </c>
      <c r="R111" s="491" t="str">
        <f t="shared" ca="1" si="37"/>
        <v/>
      </c>
      <c r="S111" s="589" t="str">
        <f t="shared" si="38"/>
        <v/>
      </c>
      <c r="T111" s="597" t="str">
        <f t="shared" ca="1" si="27"/>
        <v/>
      </c>
      <c r="U111" s="491" t="str">
        <f t="shared" ca="1" si="28"/>
        <v/>
      </c>
      <c r="V111" s="705" t="str">
        <f t="shared" ca="1" si="39"/>
        <v/>
      </c>
      <c r="W111" s="493" t="str">
        <f t="shared" ca="1" si="29"/>
        <v/>
      </c>
      <c r="X111" s="489" t="str">
        <f t="shared" ca="1" si="30"/>
        <v/>
      </c>
      <c r="Y111" s="488"/>
      <c r="Z111" s="714"/>
      <c r="AD111" s="611"/>
      <c r="AE111" s="628" t="str">
        <f t="shared" si="31"/>
        <v/>
      </c>
      <c r="AF111" s="630"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30"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03" t="str">
        <f t="shared" ca="1" si="32"/>
        <v/>
      </c>
      <c r="AI111" s="603" t="str" cm="1">
        <f t="array" ref="AI111">IFERROR(INDEX(始値!$E$6:$BT$305,MATCH(TEXT($B111,"0"),TEXT(銘柄管理!$B$6:$B$305,"0"),0),MATCH($AE111,始値!$E$3:$BT$3,0)),"")</f>
        <v/>
      </c>
      <c r="AJ111" s="612" t="str">
        <f t="shared" ca="1" si="33"/>
        <v/>
      </c>
      <c r="AK111" s="633" t="str">
        <f t="shared" ca="1" si="34"/>
        <v/>
      </c>
    </row>
    <row r="112" spans="1:37" ht="35.4" customHeight="1">
      <c r="A112" s="623" t="str">
        <f t="shared" si="23"/>
        <v/>
      </c>
      <c r="B112" s="634"/>
      <c r="C112" s="490"/>
      <c r="D112" s="627" t="str" cm="1">
        <f t="array" ref="D112">IF($B112="","",_xll.RssMarket($B112,"銘柄名称"))</f>
        <v/>
      </c>
      <c r="E112" s="720"/>
      <c r="F112" s="702" t="str" cm="1">
        <f t="array" aca="1" ref="F112" ca="1">IFERROR(_xlfn.LET(_xlpm.r,MATCH(TEXT($B112,"0"),TEXT(銘柄管理!$B$6:$B$305,"0"),0),_xlpm.t,MOD(NOW(),1),_xlpm.c,IF($E112=TODAY(),IF(_xlpm.t&gt;=TIME(15,30,0),NA(),1),IF(MATCH($E112,始値!$E$3:$BT$3,0)=1,1,MATCH($E112,始値!$E$3:$BT$3,0)+1)),_xlpm.v,INDEX(始値!$C$6:$BT$305,_xlpm.r,_xlpm.c),IF(N(_xlpm.v)=0,"",_xlpm.v)),"")</f>
        <v/>
      </c>
      <c r="G112" s="635"/>
      <c r="H112" s="491" t="str" cm="1">
        <f t="array" ref="H112">IF($B112="","",_xll.RssMarket($B112,"現在値"))</f>
        <v/>
      </c>
      <c r="I112" s="491" t="str" cm="1">
        <f t="array" ref="I112">IF($B112="","",_xll.RssMarket($B112,"出来高加重平均"))</f>
        <v/>
      </c>
      <c r="J112" s="705" t="str" cm="1">
        <f t="array" ref="J112">IF($B112="","",_xll.RssMarket($B112,"前日比"))</f>
        <v/>
      </c>
      <c r="K112" s="705" t="str">
        <f t="shared" ca="1" si="35"/>
        <v/>
      </c>
      <c r="L112" s="710" t="str">
        <f t="shared" ca="1" si="36"/>
        <v/>
      </c>
      <c r="M112" s="491" t="str">
        <f t="shared" ca="1" si="24"/>
        <v/>
      </c>
      <c r="N112" s="491" t="str">
        <f t="shared" ca="1" si="25"/>
        <v/>
      </c>
      <c r="O112" s="492" t="str">
        <f t="shared" ca="1" si="26"/>
        <v/>
      </c>
      <c r="P112" s="491" t="str" cm="1">
        <f t="array" aca="1" ref="P112" ca="1">IF($B112="","",IFERROR(MAX(OFFSET(高値!$E$6,MATCH(TEXT($B112,"0"),TEXT(銘柄管理!$B$6:$B$305,"0"),0)-1,0,1,10)),""))</f>
        <v/>
      </c>
      <c r="Q112" s="491" t="str" cm="1">
        <f t="array" aca="1" ref="Q112" ca="1">IF($B112="","",IFERROR(MIN(OFFSET(安値!$E$6,MATCH(TEXT($B112,"0"),TEXT(銘柄管理!$B$6:$B$305,"0"),0)-1,0,1,10)),""))</f>
        <v/>
      </c>
      <c r="R112" s="491" t="str">
        <f t="shared" ca="1" si="37"/>
        <v/>
      </c>
      <c r="S112" s="589" t="str">
        <f t="shared" si="38"/>
        <v/>
      </c>
      <c r="T112" s="597" t="str">
        <f t="shared" ca="1" si="27"/>
        <v/>
      </c>
      <c r="U112" s="491" t="str">
        <f t="shared" ca="1" si="28"/>
        <v/>
      </c>
      <c r="V112" s="705" t="str">
        <f t="shared" ca="1" si="39"/>
        <v/>
      </c>
      <c r="W112" s="493" t="str">
        <f t="shared" ca="1" si="29"/>
        <v/>
      </c>
      <c r="X112" s="489" t="str">
        <f t="shared" ca="1" si="30"/>
        <v/>
      </c>
      <c r="Y112" s="488"/>
      <c r="Z112" s="714"/>
      <c r="AD112" s="611"/>
      <c r="AE112" s="628" t="str">
        <f t="shared" si="31"/>
        <v/>
      </c>
      <c r="AF112" s="630"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30"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03" t="str">
        <f t="shared" ca="1" si="32"/>
        <v/>
      </c>
      <c r="AI112" s="603" t="str" cm="1">
        <f t="array" ref="AI112">IFERROR(INDEX(始値!$E$6:$BT$305,MATCH(TEXT($B112,"0"),TEXT(銘柄管理!$B$6:$B$305,"0"),0),MATCH($AE112,始値!$E$3:$BT$3,0)),"")</f>
        <v/>
      </c>
      <c r="AJ112" s="612" t="str">
        <f t="shared" ca="1" si="33"/>
        <v/>
      </c>
      <c r="AK112" s="633" t="str">
        <f t="shared" ca="1" si="34"/>
        <v/>
      </c>
    </row>
    <row r="113" spans="1:37" ht="35.4" customHeight="1">
      <c r="A113" s="623" t="str">
        <f t="shared" si="23"/>
        <v/>
      </c>
      <c r="B113" s="634"/>
      <c r="C113" s="490"/>
      <c r="D113" s="627" t="str" cm="1">
        <f t="array" ref="D113">IF($B113="","",_xll.RssMarket($B113,"銘柄名称"))</f>
        <v/>
      </c>
      <c r="E113" s="720"/>
      <c r="F113" s="702" t="str" cm="1">
        <f t="array" aca="1" ref="F113" ca="1">IFERROR(_xlfn.LET(_xlpm.r,MATCH(TEXT($B113,"0"),TEXT(銘柄管理!$B$6:$B$305,"0"),0),_xlpm.t,MOD(NOW(),1),_xlpm.c,IF($E113=TODAY(),IF(_xlpm.t&gt;=TIME(15,30,0),NA(),1),IF(MATCH($E113,始値!$E$3:$BT$3,0)=1,1,MATCH($E113,始値!$E$3:$BT$3,0)+1)),_xlpm.v,INDEX(始値!$C$6:$BT$305,_xlpm.r,_xlpm.c),IF(N(_xlpm.v)=0,"",_xlpm.v)),"")</f>
        <v/>
      </c>
      <c r="G113" s="635"/>
      <c r="H113" s="491" t="str" cm="1">
        <f t="array" ref="H113">IF($B113="","",_xll.RssMarket($B113,"現在値"))</f>
        <v/>
      </c>
      <c r="I113" s="491" t="str" cm="1">
        <f t="array" ref="I113">IF($B113="","",_xll.RssMarket($B113,"出来高加重平均"))</f>
        <v/>
      </c>
      <c r="J113" s="705" t="str" cm="1">
        <f t="array" ref="J113">IF($B113="","",_xll.RssMarket($B113,"前日比"))</f>
        <v/>
      </c>
      <c r="K113" s="705" t="str">
        <f t="shared" ca="1" si="35"/>
        <v/>
      </c>
      <c r="L113" s="710" t="str">
        <f t="shared" ca="1" si="36"/>
        <v/>
      </c>
      <c r="M113" s="491" t="str">
        <f t="shared" ca="1" si="24"/>
        <v/>
      </c>
      <c r="N113" s="491" t="str">
        <f t="shared" ca="1" si="25"/>
        <v/>
      </c>
      <c r="O113" s="492" t="str">
        <f t="shared" ca="1" si="26"/>
        <v/>
      </c>
      <c r="P113" s="491" t="str" cm="1">
        <f t="array" aca="1" ref="P113" ca="1">IF($B113="","",IFERROR(MAX(OFFSET(高値!$E$6,MATCH(TEXT($B113,"0"),TEXT(銘柄管理!$B$6:$B$305,"0"),0)-1,0,1,10)),""))</f>
        <v/>
      </c>
      <c r="Q113" s="491" t="str" cm="1">
        <f t="array" aca="1" ref="Q113" ca="1">IF($B113="","",IFERROR(MIN(OFFSET(安値!$E$6,MATCH(TEXT($B113,"0"),TEXT(銘柄管理!$B$6:$B$305,"0"),0)-1,0,1,10)),""))</f>
        <v/>
      </c>
      <c r="R113" s="491" t="str">
        <f t="shared" ca="1" si="37"/>
        <v/>
      </c>
      <c r="S113" s="589" t="str">
        <f t="shared" si="38"/>
        <v/>
      </c>
      <c r="T113" s="597" t="str">
        <f t="shared" ca="1" si="27"/>
        <v/>
      </c>
      <c r="U113" s="491" t="str">
        <f t="shared" ca="1" si="28"/>
        <v/>
      </c>
      <c r="V113" s="705" t="str">
        <f t="shared" ca="1" si="39"/>
        <v/>
      </c>
      <c r="W113" s="493" t="str">
        <f t="shared" ca="1" si="29"/>
        <v/>
      </c>
      <c r="X113" s="489" t="str">
        <f t="shared" ca="1" si="30"/>
        <v/>
      </c>
      <c r="Y113" s="488"/>
      <c r="Z113" s="714"/>
      <c r="AD113" s="611"/>
      <c r="AE113" s="628" t="str">
        <f t="shared" si="31"/>
        <v/>
      </c>
      <c r="AF113" s="630"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30"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03" t="str">
        <f t="shared" ca="1" si="32"/>
        <v/>
      </c>
      <c r="AI113" s="603" t="str" cm="1">
        <f t="array" ref="AI113">IFERROR(INDEX(始値!$E$6:$BT$305,MATCH(TEXT($B113,"0"),TEXT(銘柄管理!$B$6:$B$305,"0"),0),MATCH($AE113,始値!$E$3:$BT$3,0)),"")</f>
        <v/>
      </c>
      <c r="AJ113" s="612" t="str">
        <f t="shared" ca="1" si="33"/>
        <v/>
      </c>
      <c r="AK113" s="633" t="str">
        <f t="shared" ca="1" si="34"/>
        <v/>
      </c>
    </row>
    <row r="114" spans="1:37" ht="35.4" customHeight="1">
      <c r="A114" s="623" t="str">
        <f t="shared" si="23"/>
        <v/>
      </c>
      <c r="B114" s="634"/>
      <c r="C114" s="490"/>
      <c r="D114" s="627" t="str" cm="1">
        <f t="array" ref="D114">IF($B114="","",_xll.RssMarket($B114,"銘柄名称"))</f>
        <v/>
      </c>
      <c r="E114" s="720"/>
      <c r="F114" s="702" t="str" cm="1">
        <f t="array" aca="1" ref="F114" ca="1">IFERROR(_xlfn.LET(_xlpm.r,MATCH(TEXT($B114,"0"),TEXT(銘柄管理!$B$6:$B$305,"0"),0),_xlpm.t,MOD(NOW(),1),_xlpm.c,IF($E114=TODAY(),IF(_xlpm.t&gt;=TIME(15,30,0),NA(),1),IF(MATCH($E114,始値!$E$3:$BT$3,0)=1,1,MATCH($E114,始値!$E$3:$BT$3,0)+1)),_xlpm.v,INDEX(始値!$C$6:$BT$305,_xlpm.r,_xlpm.c),IF(N(_xlpm.v)=0,"",_xlpm.v)),"")</f>
        <v/>
      </c>
      <c r="G114" s="635"/>
      <c r="H114" s="491" t="str" cm="1">
        <f t="array" ref="H114">IF($B114="","",_xll.RssMarket($B114,"現在値"))</f>
        <v/>
      </c>
      <c r="I114" s="491" t="str" cm="1">
        <f t="array" ref="I114">IF($B114="","",_xll.RssMarket($B114,"出来高加重平均"))</f>
        <v/>
      </c>
      <c r="J114" s="705" t="str" cm="1">
        <f t="array" ref="J114">IF($B114="","",_xll.RssMarket($B114,"前日比"))</f>
        <v/>
      </c>
      <c r="K114" s="705" t="str">
        <f t="shared" ca="1" si="35"/>
        <v/>
      </c>
      <c r="L114" s="710" t="str">
        <f t="shared" ca="1" si="36"/>
        <v/>
      </c>
      <c r="M114" s="491" t="str">
        <f t="shared" ca="1" si="24"/>
        <v/>
      </c>
      <c r="N114" s="491" t="str">
        <f t="shared" ca="1" si="25"/>
        <v/>
      </c>
      <c r="O114" s="492" t="str">
        <f t="shared" ca="1" si="26"/>
        <v/>
      </c>
      <c r="P114" s="491" t="str" cm="1">
        <f t="array" aca="1" ref="P114" ca="1">IF($B114="","",IFERROR(MAX(OFFSET(高値!$E$6,MATCH(TEXT($B114,"0"),TEXT(銘柄管理!$B$6:$B$305,"0"),0)-1,0,1,10)),""))</f>
        <v/>
      </c>
      <c r="Q114" s="491" t="str" cm="1">
        <f t="array" aca="1" ref="Q114" ca="1">IF($B114="","",IFERROR(MIN(OFFSET(安値!$E$6,MATCH(TEXT($B114,"0"),TEXT(銘柄管理!$B$6:$B$305,"0"),0)-1,0,1,10)),""))</f>
        <v/>
      </c>
      <c r="R114" s="491" t="str">
        <f t="shared" ca="1" si="37"/>
        <v/>
      </c>
      <c r="S114" s="589" t="str">
        <f t="shared" si="38"/>
        <v/>
      </c>
      <c r="T114" s="597" t="str">
        <f t="shared" ca="1" si="27"/>
        <v/>
      </c>
      <c r="U114" s="491" t="str">
        <f t="shared" ca="1" si="28"/>
        <v/>
      </c>
      <c r="V114" s="705" t="str">
        <f t="shared" ca="1" si="39"/>
        <v/>
      </c>
      <c r="W114" s="493" t="str">
        <f t="shared" ca="1" si="29"/>
        <v/>
      </c>
      <c r="X114" s="489" t="str">
        <f t="shared" ca="1" si="30"/>
        <v/>
      </c>
      <c r="Y114" s="488"/>
      <c r="Z114" s="714"/>
      <c r="AD114" s="611"/>
      <c r="AE114" s="628" t="str">
        <f t="shared" si="31"/>
        <v/>
      </c>
      <c r="AF114" s="630"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30"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03" t="str">
        <f t="shared" ca="1" si="32"/>
        <v/>
      </c>
      <c r="AI114" s="603" t="str" cm="1">
        <f t="array" ref="AI114">IFERROR(INDEX(始値!$E$6:$BT$305,MATCH(TEXT($B114,"0"),TEXT(銘柄管理!$B$6:$B$305,"0"),0),MATCH($AE114,始値!$E$3:$BT$3,0)),"")</f>
        <v/>
      </c>
      <c r="AJ114" s="612" t="str">
        <f t="shared" ca="1" si="33"/>
        <v/>
      </c>
      <c r="AK114" s="633" t="str">
        <f t="shared" ca="1" si="34"/>
        <v/>
      </c>
    </row>
    <row r="115" spans="1:37" ht="35.4" customHeight="1">
      <c r="A115" s="623" t="str">
        <f t="shared" si="23"/>
        <v/>
      </c>
      <c r="B115" s="634"/>
      <c r="C115" s="490"/>
      <c r="D115" s="627" t="str" cm="1">
        <f t="array" ref="D115">IF($B115="","",_xll.RssMarket($B115,"銘柄名称"))</f>
        <v/>
      </c>
      <c r="E115" s="720"/>
      <c r="F115" s="702" t="str" cm="1">
        <f t="array" aca="1" ref="F115" ca="1">IFERROR(_xlfn.LET(_xlpm.r,MATCH(TEXT($B115,"0"),TEXT(銘柄管理!$B$6:$B$305,"0"),0),_xlpm.t,MOD(NOW(),1),_xlpm.c,IF($E115=TODAY(),IF(_xlpm.t&gt;=TIME(15,30,0),NA(),1),IF(MATCH($E115,始値!$E$3:$BT$3,0)=1,1,MATCH($E115,始値!$E$3:$BT$3,0)+1)),_xlpm.v,INDEX(始値!$C$6:$BT$305,_xlpm.r,_xlpm.c),IF(N(_xlpm.v)=0,"",_xlpm.v)),"")</f>
        <v/>
      </c>
      <c r="G115" s="635"/>
      <c r="H115" s="491" t="str" cm="1">
        <f t="array" ref="H115">IF($B115="","",_xll.RssMarket($B115,"現在値"))</f>
        <v/>
      </c>
      <c r="I115" s="491" t="str" cm="1">
        <f t="array" ref="I115">IF($B115="","",_xll.RssMarket($B115,"出来高加重平均"))</f>
        <v/>
      </c>
      <c r="J115" s="705" t="str" cm="1">
        <f t="array" ref="J115">IF($B115="","",_xll.RssMarket($B115,"前日比"))</f>
        <v/>
      </c>
      <c r="K115" s="705" t="str">
        <f t="shared" ca="1" si="35"/>
        <v/>
      </c>
      <c r="L115" s="710" t="str">
        <f t="shared" ca="1" si="36"/>
        <v/>
      </c>
      <c r="M115" s="491" t="str">
        <f t="shared" ca="1" si="24"/>
        <v/>
      </c>
      <c r="N115" s="491" t="str">
        <f t="shared" ca="1" si="25"/>
        <v/>
      </c>
      <c r="O115" s="492" t="str">
        <f t="shared" ca="1" si="26"/>
        <v/>
      </c>
      <c r="P115" s="491" t="str" cm="1">
        <f t="array" aca="1" ref="P115" ca="1">IF($B115="","",IFERROR(MAX(OFFSET(高値!$E$6,MATCH(TEXT($B115,"0"),TEXT(銘柄管理!$B$6:$B$305,"0"),0)-1,0,1,10)),""))</f>
        <v/>
      </c>
      <c r="Q115" s="491" t="str" cm="1">
        <f t="array" aca="1" ref="Q115" ca="1">IF($B115="","",IFERROR(MIN(OFFSET(安値!$E$6,MATCH(TEXT($B115,"0"),TEXT(銘柄管理!$B$6:$B$305,"0"),0)-1,0,1,10)),""))</f>
        <v/>
      </c>
      <c r="R115" s="491" t="str">
        <f t="shared" ca="1" si="37"/>
        <v/>
      </c>
      <c r="S115" s="589" t="str">
        <f t="shared" si="38"/>
        <v/>
      </c>
      <c r="T115" s="597" t="str">
        <f t="shared" ca="1" si="27"/>
        <v/>
      </c>
      <c r="U115" s="491" t="str">
        <f t="shared" ca="1" si="28"/>
        <v/>
      </c>
      <c r="V115" s="705" t="str">
        <f t="shared" ca="1" si="39"/>
        <v/>
      </c>
      <c r="W115" s="493" t="str">
        <f t="shared" ca="1" si="29"/>
        <v/>
      </c>
      <c r="X115" s="489" t="str">
        <f t="shared" ca="1" si="30"/>
        <v/>
      </c>
      <c r="Y115" s="488"/>
      <c r="Z115" s="714"/>
      <c r="AD115" s="611"/>
      <c r="AE115" s="628" t="str">
        <f t="shared" si="31"/>
        <v/>
      </c>
      <c r="AF115" s="630"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30"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03" t="str">
        <f t="shared" ca="1" si="32"/>
        <v/>
      </c>
      <c r="AI115" s="603" t="str" cm="1">
        <f t="array" ref="AI115">IFERROR(INDEX(始値!$E$6:$BT$305,MATCH(TEXT($B115,"0"),TEXT(銘柄管理!$B$6:$B$305,"0"),0),MATCH($AE115,始値!$E$3:$BT$3,0)),"")</f>
        <v/>
      </c>
      <c r="AJ115" s="612" t="str">
        <f t="shared" ca="1" si="33"/>
        <v/>
      </c>
      <c r="AK115" s="633" t="str">
        <f t="shared" ca="1" si="34"/>
        <v/>
      </c>
    </row>
    <row r="116" spans="1:37" ht="35.4" customHeight="1">
      <c r="A116" s="623" t="str">
        <f t="shared" si="23"/>
        <v/>
      </c>
      <c r="B116" s="634"/>
      <c r="C116" s="490"/>
      <c r="D116" s="627" t="str" cm="1">
        <f t="array" ref="D116">IF($B116="","",_xll.RssMarket($B116,"銘柄名称"))</f>
        <v/>
      </c>
      <c r="E116" s="720"/>
      <c r="F116" s="702" t="str" cm="1">
        <f t="array" aca="1" ref="F116" ca="1">IFERROR(_xlfn.LET(_xlpm.r,MATCH(TEXT($B116,"0"),TEXT(銘柄管理!$B$6:$B$305,"0"),0),_xlpm.t,MOD(NOW(),1),_xlpm.c,IF($E116=TODAY(),IF(_xlpm.t&gt;=TIME(15,30,0),NA(),1),IF(MATCH($E116,始値!$E$3:$BT$3,0)=1,1,MATCH($E116,始値!$E$3:$BT$3,0)+1)),_xlpm.v,INDEX(始値!$C$6:$BT$305,_xlpm.r,_xlpm.c),IF(N(_xlpm.v)=0,"",_xlpm.v)),"")</f>
        <v/>
      </c>
      <c r="G116" s="635"/>
      <c r="H116" s="491" t="str" cm="1">
        <f t="array" ref="H116">IF($B116="","",_xll.RssMarket($B116,"現在値"))</f>
        <v/>
      </c>
      <c r="I116" s="491" t="str" cm="1">
        <f t="array" ref="I116">IF($B116="","",_xll.RssMarket($B116,"出来高加重平均"))</f>
        <v/>
      </c>
      <c r="J116" s="705" t="str" cm="1">
        <f t="array" ref="J116">IF($B116="","",_xll.RssMarket($B116,"前日比"))</f>
        <v/>
      </c>
      <c r="K116" s="705" t="str">
        <f t="shared" ca="1" si="35"/>
        <v/>
      </c>
      <c r="L116" s="710" t="str">
        <f t="shared" ca="1" si="36"/>
        <v/>
      </c>
      <c r="M116" s="491" t="str">
        <f t="shared" ca="1" si="24"/>
        <v/>
      </c>
      <c r="N116" s="491" t="str">
        <f t="shared" ca="1" si="25"/>
        <v/>
      </c>
      <c r="O116" s="492" t="str">
        <f t="shared" ca="1" si="26"/>
        <v/>
      </c>
      <c r="P116" s="491" t="str" cm="1">
        <f t="array" aca="1" ref="P116" ca="1">IF($B116="","",IFERROR(MAX(OFFSET(高値!$E$6,MATCH(TEXT($B116,"0"),TEXT(銘柄管理!$B$6:$B$305,"0"),0)-1,0,1,10)),""))</f>
        <v/>
      </c>
      <c r="Q116" s="491" t="str" cm="1">
        <f t="array" aca="1" ref="Q116" ca="1">IF($B116="","",IFERROR(MIN(OFFSET(安値!$E$6,MATCH(TEXT($B116,"0"),TEXT(銘柄管理!$B$6:$B$305,"0"),0)-1,0,1,10)),""))</f>
        <v/>
      </c>
      <c r="R116" s="491" t="str">
        <f t="shared" ca="1" si="37"/>
        <v/>
      </c>
      <c r="S116" s="589" t="str">
        <f t="shared" si="38"/>
        <v/>
      </c>
      <c r="T116" s="597" t="str">
        <f t="shared" ca="1" si="27"/>
        <v/>
      </c>
      <c r="U116" s="491" t="str">
        <f t="shared" ca="1" si="28"/>
        <v/>
      </c>
      <c r="V116" s="705" t="str">
        <f t="shared" ca="1" si="39"/>
        <v/>
      </c>
      <c r="W116" s="493" t="str">
        <f t="shared" ca="1" si="29"/>
        <v/>
      </c>
      <c r="X116" s="489" t="str">
        <f t="shared" ca="1" si="30"/>
        <v/>
      </c>
      <c r="Y116" s="488"/>
      <c r="Z116" s="714"/>
      <c r="AD116" s="611"/>
      <c r="AE116" s="628" t="str">
        <f t="shared" si="31"/>
        <v/>
      </c>
      <c r="AF116" s="630"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30"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03" t="str">
        <f t="shared" ca="1" si="32"/>
        <v/>
      </c>
      <c r="AI116" s="603" t="str" cm="1">
        <f t="array" ref="AI116">IFERROR(INDEX(始値!$E$6:$BT$305,MATCH(TEXT($B116,"0"),TEXT(銘柄管理!$B$6:$B$305,"0"),0),MATCH($AE116,始値!$E$3:$BT$3,0)),"")</f>
        <v/>
      </c>
      <c r="AJ116" s="612" t="str">
        <f t="shared" ca="1" si="33"/>
        <v/>
      </c>
      <c r="AK116" s="633" t="str">
        <f t="shared" ca="1" si="34"/>
        <v/>
      </c>
    </row>
    <row r="117" spans="1:37" ht="35.4" customHeight="1">
      <c r="A117" s="623" t="str">
        <f t="shared" si="23"/>
        <v/>
      </c>
      <c r="B117" s="634"/>
      <c r="C117" s="490"/>
      <c r="D117" s="627" t="str" cm="1">
        <f t="array" ref="D117">IF($B117="","",_xll.RssMarket($B117,"銘柄名称"))</f>
        <v/>
      </c>
      <c r="E117" s="720"/>
      <c r="F117" s="702" t="str" cm="1">
        <f t="array" aca="1" ref="F117" ca="1">IFERROR(_xlfn.LET(_xlpm.r,MATCH(TEXT($B117,"0"),TEXT(銘柄管理!$B$6:$B$305,"0"),0),_xlpm.t,MOD(NOW(),1),_xlpm.c,IF($E117=TODAY(),IF(_xlpm.t&gt;=TIME(15,30,0),NA(),1),IF(MATCH($E117,始値!$E$3:$BT$3,0)=1,1,MATCH($E117,始値!$E$3:$BT$3,0)+1)),_xlpm.v,INDEX(始値!$C$6:$BT$305,_xlpm.r,_xlpm.c),IF(N(_xlpm.v)=0,"",_xlpm.v)),"")</f>
        <v/>
      </c>
      <c r="G117" s="635"/>
      <c r="H117" s="491" t="str" cm="1">
        <f t="array" ref="H117">IF($B117="","",_xll.RssMarket($B117,"現在値"))</f>
        <v/>
      </c>
      <c r="I117" s="491" t="str" cm="1">
        <f t="array" ref="I117">IF($B117="","",_xll.RssMarket($B117,"出来高加重平均"))</f>
        <v/>
      </c>
      <c r="J117" s="705" t="str" cm="1">
        <f t="array" ref="J117">IF($B117="","",_xll.RssMarket($B117,"前日比"))</f>
        <v/>
      </c>
      <c r="K117" s="705" t="str">
        <f t="shared" ca="1" si="35"/>
        <v/>
      </c>
      <c r="L117" s="710" t="str">
        <f t="shared" ca="1" si="36"/>
        <v/>
      </c>
      <c r="M117" s="491" t="str">
        <f t="shared" ca="1" si="24"/>
        <v/>
      </c>
      <c r="N117" s="491" t="str">
        <f t="shared" ca="1" si="25"/>
        <v/>
      </c>
      <c r="O117" s="492" t="str">
        <f t="shared" ca="1" si="26"/>
        <v/>
      </c>
      <c r="P117" s="491" t="str" cm="1">
        <f t="array" aca="1" ref="P117" ca="1">IF($B117="","",IFERROR(MAX(OFFSET(高値!$E$6,MATCH(TEXT($B117,"0"),TEXT(銘柄管理!$B$6:$B$305,"0"),0)-1,0,1,10)),""))</f>
        <v/>
      </c>
      <c r="Q117" s="491" t="str" cm="1">
        <f t="array" aca="1" ref="Q117" ca="1">IF($B117="","",IFERROR(MIN(OFFSET(安値!$E$6,MATCH(TEXT($B117,"0"),TEXT(銘柄管理!$B$6:$B$305,"0"),0)-1,0,1,10)),""))</f>
        <v/>
      </c>
      <c r="R117" s="491" t="str">
        <f t="shared" ca="1" si="37"/>
        <v/>
      </c>
      <c r="S117" s="589" t="str">
        <f t="shared" si="38"/>
        <v/>
      </c>
      <c r="T117" s="597" t="str">
        <f t="shared" ca="1" si="27"/>
        <v/>
      </c>
      <c r="U117" s="491" t="str">
        <f t="shared" ca="1" si="28"/>
        <v/>
      </c>
      <c r="V117" s="705" t="str">
        <f t="shared" ca="1" si="39"/>
        <v/>
      </c>
      <c r="W117" s="493" t="str">
        <f t="shared" ca="1" si="29"/>
        <v/>
      </c>
      <c r="X117" s="489" t="str">
        <f t="shared" ca="1" si="30"/>
        <v/>
      </c>
      <c r="Y117" s="488"/>
      <c r="Z117" s="714"/>
      <c r="AD117" s="611"/>
      <c r="AE117" s="628" t="str">
        <f t="shared" si="31"/>
        <v/>
      </c>
      <c r="AF117" s="630"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30"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03" t="str">
        <f t="shared" ca="1" si="32"/>
        <v/>
      </c>
      <c r="AI117" s="603" t="str" cm="1">
        <f t="array" ref="AI117">IFERROR(INDEX(始値!$E$6:$BT$305,MATCH(TEXT($B117,"0"),TEXT(銘柄管理!$B$6:$B$305,"0"),0),MATCH($AE117,始値!$E$3:$BT$3,0)),"")</f>
        <v/>
      </c>
      <c r="AJ117" s="612" t="str">
        <f t="shared" ca="1" si="33"/>
        <v/>
      </c>
      <c r="AK117" s="633" t="str">
        <f t="shared" ca="1" si="34"/>
        <v/>
      </c>
    </row>
    <row r="118" spans="1:37" ht="35.4" customHeight="1">
      <c r="A118" s="623" t="str">
        <f t="shared" si="23"/>
        <v/>
      </c>
      <c r="B118" s="634"/>
      <c r="C118" s="490"/>
      <c r="D118" s="627" t="str" cm="1">
        <f t="array" ref="D118">IF($B118="","",_xll.RssMarket($B118,"銘柄名称"))</f>
        <v/>
      </c>
      <c r="E118" s="720"/>
      <c r="F118" s="702" t="str" cm="1">
        <f t="array" aca="1" ref="F118" ca="1">IFERROR(_xlfn.LET(_xlpm.r,MATCH(TEXT($B118,"0"),TEXT(銘柄管理!$B$6:$B$305,"0"),0),_xlpm.t,MOD(NOW(),1),_xlpm.c,IF($E118=TODAY(),IF(_xlpm.t&gt;=TIME(15,30,0),NA(),1),IF(MATCH($E118,始値!$E$3:$BT$3,0)=1,1,MATCH($E118,始値!$E$3:$BT$3,0)+1)),_xlpm.v,INDEX(始値!$C$6:$BT$305,_xlpm.r,_xlpm.c),IF(N(_xlpm.v)=0,"",_xlpm.v)),"")</f>
        <v/>
      </c>
      <c r="G118" s="635"/>
      <c r="H118" s="491" t="str" cm="1">
        <f t="array" ref="H118">IF($B118="","",_xll.RssMarket($B118,"現在値"))</f>
        <v/>
      </c>
      <c r="I118" s="491" t="str" cm="1">
        <f t="array" ref="I118">IF($B118="","",_xll.RssMarket($B118,"出来高加重平均"))</f>
        <v/>
      </c>
      <c r="J118" s="705" t="str" cm="1">
        <f t="array" ref="J118">IF($B118="","",_xll.RssMarket($B118,"前日比"))</f>
        <v/>
      </c>
      <c r="K118" s="705" t="str">
        <f t="shared" ca="1" si="35"/>
        <v/>
      </c>
      <c r="L118" s="710" t="str">
        <f t="shared" ca="1" si="36"/>
        <v/>
      </c>
      <c r="M118" s="491" t="str">
        <f t="shared" ca="1" si="24"/>
        <v/>
      </c>
      <c r="N118" s="491" t="str">
        <f t="shared" ca="1" si="25"/>
        <v/>
      </c>
      <c r="O118" s="492" t="str">
        <f t="shared" ca="1" si="26"/>
        <v/>
      </c>
      <c r="P118" s="491" t="str" cm="1">
        <f t="array" aca="1" ref="P118" ca="1">IF($B118="","",IFERROR(MAX(OFFSET(高値!$E$6,MATCH(TEXT($B118,"0"),TEXT(銘柄管理!$B$6:$B$305,"0"),0)-1,0,1,10)),""))</f>
        <v/>
      </c>
      <c r="Q118" s="491" t="str" cm="1">
        <f t="array" aca="1" ref="Q118" ca="1">IF($B118="","",IFERROR(MIN(OFFSET(安値!$E$6,MATCH(TEXT($B118,"0"),TEXT(銘柄管理!$B$6:$B$305,"0"),0)-1,0,1,10)),""))</f>
        <v/>
      </c>
      <c r="R118" s="491" t="str">
        <f t="shared" ca="1" si="37"/>
        <v/>
      </c>
      <c r="S118" s="589" t="str">
        <f t="shared" si="38"/>
        <v/>
      </c>
      <c r="T118" s="597" t="str">
        <f t="shared" ca="1" si="27"/>
        <v/>
      </c>
      <c r="U118" s="491" t="str">
        <f t="shared" ca="1" si="28"/>
        <v/>
      </c>
      <c r="V118" s="705" t="str">
        <f t="shared" ca="1" si="39"/>
        <v/>
      </c>
      <c r="W118" s="493" t="str">
        <f t="shared" ca="1" si="29"/>
        <v/>
      </c>
      <c r="X118" s="489" t="str">
        <f t="shared" ca="1" si="30"/>
        <v/>
      </c>
      <c r="Y118" s="488"/>
      <c r="Z118" s="714"/>
      <c r="AD118" s="611"/>
      <c r="AE118" s="628" t="str">
        <f t="shared" si="31"/>
        <v/>
      </c>
      <c r="AF118" s="630"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30"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03" t="str">
        <f t="shared" ca="1" si="32"/>
        <v/>
      </c>
      <c r="AI118" s="603" t="str" cm="1">
        <f t="array" ref="AI118">IFERROR(INDEX(始値!$E$6:$BT$305,MATCH(TEXT($B118,"0"),TEXT(銘柄管理!$B$6:$B$305,"0"),0),MATCH($AE118,始値!$E$3:$BT$3,0)),"")</f>
        <v/>
      </c>
      <c r="AJ118" s="612" t="str">
        <f t="shared" ca="1" si="33"/>
        <v/>
      </c>
      <c r="AK118" s="633" t="str">
        <f t="shared" ca="1" si="34"/>
        <v/>
      </c>
    </row>
    <row r="119" spans="1:37" ht="35.4" customHeight="1">
      <c r="A119" s="623" t="str">
        <f t="shared" si="23"/>
        <v/>
      </c>
      <c r="B119" s="634"/>
      <c r="C119" s="490"/>
      <c r="D119" s="627" t="str" cm="1">
        <f t="array" ref="D119">IF($B119="","",_xll.RssMarket($B119,"銘柄名称"))</f>
        <v/>
      </c>
      <c r="E119" s="720"/>
      <c r="F119" s="702" t="str" cm="1">
        <f t="array" aca="1" ref="F119" ca="1">IFERROR(_xlfn.LET(_xlpm.r,MATCH(TEXT($B119,"0"),TEXT(銘柄管理!$B$6:$B$305,"0"),0),_xlpm.t,MOD(NOW(),1),_xlpm.c,IF($E119=TODAY(),IF(_xlpm.t&gt;=TIME(15,30,0),NA(),1),IF(MATCH($E119,始値!$E$3:$BT$3,0)=1,1,MATCH($E119,始値!$E$3:$BT$3,0)+1)),_xlpm.v,INDEX(始値!$C$6:$BT$305,_xlpm.r,_xlpm.c),IF(N(_xlpm.v)=0,"",_xlpm.v)),"")</f>
        <v/>
      </c>
      <c r="G119" s="635"/>
      <c r="H119" s="491" t="str" cm="1">
        <f t="array" ref="H119">IF($B119="","",_xll.RssMarket($B119,"現在値"))</f>
        <v/>
      </c>
      <c r="I119" s="491" t="str" cm="1">
        <f t="array" ref="I119">IF($B119="","",_xll.RssMarket($B119,"出来高加重平均"))</f>
        <v/>
      </c>
      <c r="J119" s="705" t="str" cm="1">
        <f t="array" ref="J119">IF($B119="","",_xll.RssMarket($B119,"前日比"))</f>
        <v/>
      </c>
      <c r="K119" s="705" t="str">
        <f t="shared" ca="1" si="35"/>
        <v/>
      </c>
      <c r="L119" s="710" t="str">
        <f t="shared" ca="1" si="36"/>
        <v/>
      </c>
      <c r="M119" s="491" t="str">
        <f t="shared" ca="1" si="24"/>
        <v/>
      </c>
      <c r="N119" s="491" t="str">
        <f t="shared" ca="1" si="25"/>
        <v/>
      </c>
      <c r="O119" s="492" t="str">
        <f t="shared" ca="1" si="26"/>
        <v/>
      </c>
      <c r="P119" s="491" t="str" cm="1">
        <f t="array" aca="1" ref="P119" ca="1">IF($B119="","",IFERROR(MAX(OFFSET(高値!$E$6,MATCH(TEXT($B119,"0"),TEXT(銘柄管理!$B$6:$B$305,"0"),0)-1,0,1,10)),""))</f>
        <v/>
      </c>
      <c r="Q119" s="491" t="str" cm="1">
        <f t="array" aca="1" ref="Q119" ca="1">IF($B119="","",IFERROR(MIN(OFFSET(安値!$E$6,MATCH(TEXT($B119,"0"),TEXT(銘柄管理!$B$6:$B$305,"0"),0)-1,0,1,10)),""))</f>
        <v/>
      </c>
      <c r="R119" s="491" t="str">
        <f t="shared" ca="1" si="37"/>
        <v/>
      </c>
      <c r="S119" s="589" t="str">
        <f t="shared" si="38"/>
        <v/>
      </c>
      <c r="T119" s="597" t="str">
        <f t="shared" ca="1" si="27"/>
        <v/>
      </c>
      <c r="U119" s="491" t="str">
        <f t="shared" ca="1" si="28"/>
        <v/>
      </c>
      <c r="V119" s="705" t="str">
        <f t="shared" ca="1" si="39"/>
        <v/>
      </c>
      <c r="W119" s="493" t="str">
        <f t="shared" ca="1" si="29"/>
        <v/>
      </c>
      <c r="X119" s="489" t="str">
        <f t="shared" ca="1" si="30"/>
        <v/>
      </c>
      <c r="Y119" s="488"/>
      <c r="Z119" s="714"/>
      <c r="AD119" s="611"/>
      <c r="AE119" s="628" t="str">
        <f t="shared" si="31"/>
        <v/>
      </c>
      <c r="AF119" s="630"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30"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03" t="str">
        <f t="shared" ca="1" si="32"/>
        <v/>
      </c>
      <c r="AI119" s="603" t="str" cm="1">
        <f t="array" ref="AI119">IFERROR(INDEX(始値!$E$6:$BT$305,MATCH(TEXT($B119,"0"),TEXT(銘柄管理!$B$6:$B$305,"0"),0),MATCH($AE119,始値!$E$3:$BT$3,0)),"")</f>
        <v/>
      </c>
      <c r="AJ119" s="612" t="str">
        <f t="shared" ca="1" si="33"/>
        <v/>
      </c>
      <c r="AK119" s="633" t="str">
        <f t="shared" ca="1" si="34"/>
        <v/>
      </c>
    </row>
    <row r="120" spans="1:37" ht="35.4" customHeight="1">
      <c r="A120" s="623" t="str">
        <f t="shared" si="23"/>
        <v/>
      </c>
      <c r="B120" s="634"/>
      <c r="C120" s="490"/>
      <c r="D120" s="627" t="str" cm="1">
        <f t="array" ref="D120">IF($B120="","",_xll.RssMarket($B120,"銘柄名称"))</f>
        <v/>
      </c>
      <c r="E120" s="720"/>
      <c r="F120" s="702" t="str" cm="1">
        <f t="array" aca="1" ref="F120" ca="1">IFERROR(_xlfn.LET(_xlpm.r,MATCH(TEXT($B120,"0"),TEXT(銘柄管理!$B$6:$B$305,"0"),0),_xlpm.t,MOD(NOW(),1),_xlpm.c,IF($E120=TODAY(),IF(_xlpm.t&gt;=TIME(15,30,0),NA(),1),IF(MATCH($E120,始値!$E$3:$BT$3,0)=1,1,MATCH($E120,始値!$E$3:$BT$3,0)+1)),_xlpm.v,INDEX(始値!$C$6:$BT$305,_xlpm.r,_xlpm.c),IF(N(_xlpm.v)=0,"",_xlpm.v)),"")</f>
        <v/>
      </c>
      <c r="G120" s="635"/>
      <c r="H120" s="491" t="str" cm="1">
        <f t="array" ref="H120">IF($B120="","",_xll.RssMarket($B120,"現在値"))</f>
        <v/>
      </c>
      <c r="I120" s="491" t="str" cm="1">
        <f t="array" ref="I120">IF($B120="","",_xll.RssMarket($B120,"出来高加重平均"))</f>
        <v/>
      </c>
      <c r="J120" s="705" t="str" cm="1">
        <f t="array" ref="J120">IF($B120="","",_xll.RssMarket($B120,"前日比"))</f>
        <v/>
      </c>
      <c r="K120" s="705" t="str">
        <f t="shared" ca="1" si="35"/>
        <v/>
      </c>
      <c r="L120" s="710" t="str">
        <f t="shared" ca="1" si="36"/>
        <v/>
      </c>
      <c r="M120" s="491" t="str">
        <f t="shared" ca="1" si="24"/>
        <v/>
      </c>
      <c r="N120" s="491" t="str">
        <f t="shared" ca="1" si="25"/>
        <v/>
      </c>
      <c r="O120" s="492" t="str">
        <f t="shared" ca="1" si="26"/>
        <v/>
      </c>
      <c r="P120" s="491" t="str" cm="1">
        <f t="array" aca="1" ref="P120" ca="1">IF($B120="","",IFERROR(MAX(OFFSET(高値!$E$6,MATCH(TEXT($B120,"0"),TEXT(銘柄管理!$B$6:$B$305,"0"),0)-1,0,1,10)),""))</f>
        <v/>
      </c>
      <c r="Q120" s="491" t="str" cm="1">
        <f t="array" aca="1" ref="Q120" ca="1">IF($B120="","",IFERROR(MIN(OFFSET(安値!$E$6,MATCH(TEXT($B120,"0"),TEXT(銘柄管理!$B$6:$B$305,"0"),0)-1,0,1,10)),""))</f>
        <v/>
      </c>
      <c r="R120" s="491" t="str">
        <f t="shared" ca="1" si="37"/>
        <v/>
      </c>
      <c r="S120" s="589" t="str">
        <f t="shared" si="38"/>
        <v/>
      </c>
      <c r="T120" s="597" t="str">
        <f t="shared" ca="1" si="27"/>
        <v/>
      </c>
      <c r="U120" s="491" t="str">
        <f t="shared" ca="1" si="28"/>
        <v/>
      </c>
      <c r="V120" s="705" t="str">
        <f t="shared" ca="1" si="39"/>
        <v/>
      </c>
      <c r="W120" s="493" t="str">
        <f t="shared" ca="1" si="29"/>
        <v/>
      </c>
      <c r="X120" s="489" t="str">
        <f t="shared" ca="1" si="30"/>
        <v/>
      </c>
      <c r="Y120" s="488"/>
      <c r="Z120" s="714"/>
      <c r="AD120" s="611"/>
      <c r="AE120" s="628" t="str">
        <f t="shared" si="31"/>
        <v/>
      </c>
      <c r="AF120" s="630"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30"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03" t="str">
        <f t="shared" ca="1" si="32"/>
        <v/>
      </c>
      <c r="AI120" s="603" t="str" cm="1">
        <f t="array" ref="AI120">IFERROR(INDEX(始値!$E$6:$BT$305,MATCH(TEXT($B120,"0"),TEXT(銘柄管理!$B$6:$B$305,"0"),0),MATCH($AE120,始値!$E$3:$BT$3,0)),"")</f>
        <v/>
      </c>
      <c r="AJ120" s="612" t="str">
        <f t="shared" ca="1" si="33"/>
        <v/>
      </c>
      <c r="AK120" s="633" t="str">
        <f t="shared" ca="1" si="34"/>
        <v/>
      </c>
    </row>
    <row r="121" spans="1:37" ht="35.4" customHeight="1">
      <c r="A121" s="623" t="str">
        <f t="shared" ref="A121:A131" si="40">IF(B121="","",HYPERLINK("https://kabutan.jp/stock/?code="&amp;B121,"株探"))</f>
        <v/>
      </c>
      <c r="B121" s="489"/>
      <c r="C121" s="489"/>
      <c r="D121" s="489" t="str" cm="1">
        <f t="array" ref="D121">_xll.RssMarket(B121, "銘柄名称")</f>
        <v/>
      </c>
      <c r="E121" s="720"/>
      <c r="F121" s="702" t="str" cm="1">
        <f t="array" aca="1" ref="F121" ca="1">IFERROR(_xlfn.LET(_xlpm.r,MATCH(TEXT($B121,"0"),TEXT(銘柄管理!$B$6:$B$305,"0"),0),_xlpm.t,MOD(NOW(),1),_xlpm.c,IF($E121=TODAY(),IF(_xlpm.t&gt;=TIME(15,30,0),NA(),1),IF(MATCH($E121,始値!$E$3:$BT$3,0)=1,1,MATCH($E121,始値!$E$3:$BT$3,0)+1)),_xlpm.v,INDEX(始値!$C$6:$BT$305,_xlpm.r,_xlpm.c),IF(N(_xlpm.v)=0,"",_xlpm.v)),"")</f>
        <v/>
      </c>
      <c r="G121" s="489"/>
      <c r="H121" s="491" t="str" cm="1">
        <f t="array" ref="H121">_xll.RssMarket(B121, "現在値")</f>
        <v/>
      </c>
      <c r="I121" s="491" t="str" cm="1">
        <f t="array" ref="I121">_xll.RssMarket(B121, "出来高加重平均")</f>
        <v/>
      </c>
      <c r="J121" s="705" t="str" cm="1">
        <f t="array" ref="J121">_xll.RssMarket($B121, "前日比")</f>
        <v/>
      </c>
      <c r="K121" s="705" t="str">
        <f t="shared" ref="K121:K137" ca="1" si="41">IF(OR(F121="",G121="",H121=""),"",IF(C121="売",(F121-H121)*G121,(H121-F121)*G121))</f>
        <v/>
      </c>
      <c r="L121" s="710" t="str">
        <f t="shared" ref="L121:L137" ca="1" si="42">IF(OR(F121="",H121=""),"",IF(C121="売",(F121-H121)/F121,(H121-F121)/F121))</f>
        <v/>
      </c>
      <c r="M121" s="491" t="str">
        <f t="shared" ref="M121:M132" ca="1" si="43">IF($F121="","",ROUND(IF($C121="売",$F121*0.94,$F121*1.06),0))</f>
        <v/>
      </c>
      <c r="N121" s="491" t="str">
        <f t="shared" ref="N121:N132" ca="1" si="44">IF($F121="","",ROUND(IF($C121="売",$F121*1.04,$F121*0.96),0))</f>
        <v/>
      </c>
      <c r="O121" s="492" t="str">
        <f t="shared" ref="O121:O132" ca="1" si="45">IF(OR($B121="",$F121="",$H121=""),"",IF($C121="売",IF($H121&lt;=$M121,"🟢利確",IF($H121&lt;=$F121*0.95,"🟡利確&amp;TR STOP検討",IF($H121&gt;=$N121,"🔴損切",IF($H121&gt;=$F121*1.035,"🔴損切間近",IF($H121&gt;=$F121*1.03,"⚠️+3%注意","保持継続"))))),IF($H121&gt;=$M121,"🟢利確",IF($H121&gt;=$F121*1.05,"🟡利確&amp;TR STOP検討",IF($H121&lt;=$N121,"🔴損切",IF($H121&lt;=$F121*0.965,"🔴損切間近",IF($H121&lt;=$F121*0.97,"⚠️-3%注意","保持継続")))))))</f>
        <v/>
      </c>
      <c r="P121" s="491" t="str">
        <f t="array" aca="1" ref="P121" ca="1">IF(B121="","",IFERROR(MAX(OFFSET(高値!$E$6,MATCH(TEXT(B121,"0"),TEXT(銘柄管理!$B$6:$B$305,"0"),0)-1,0,1,10)),""))</f>
        <v/>
      </c>
      <c r="Q121" s="491" t="str">
        <f t="array" aca="1" ref="Q121" ca="1">IF(B121="","",IFERROR(MIN(OFFSET(安値!$E$6,MATCH(TEXT(B121,"0"),TEXT(銘柄管理!$B$6:$B$305,"0"),0)-1,0,1,10)),""))</f>
        <v/>
      </c>
      <c r="R121" s="491" t="str">
        <f t="shared" ref="R121:R137" ca="1" si="46">IF(P121="","",ROUND(P121*0.97,0))</f>
        <v/>
      </c>
      <c r="S121" s="589" t="str">
        <f t="shared" ref="S121:S137" si="47">IF(B121="","",IF(T121&lt;&gt;"","✅売却済",IF(OR(H121="",L121=""),"📌保有中",IF(L121&gt;=0.06,"🟢利確推奨",IF(L121&gt;=0.05,"🟡利確直近",IF(L121&gt;=0.045,"🔵トレーリング検討",IF(L121&gt;-0.03,"📌保有中",IF(L121&gt;-0.04,"⚠️損切注意","🔴損切り"))))))))</f>
        <v/>
      </c>
      <c r="T121" s="597" t="str">
        <f t="shared" ref="T121:T132" ca="1" si="48">IF(OR($AH121="",$AH121="保有中"),"",IF($AH121="日数制限",$AE121,IF($AH121="損切確定",IF(N($AG121)=0,TODAY(),$AG121),IF(N($AF121)=0,TODAY(),$AF121))))</f>
        <v/>
      </c>
      <c r="U121" s="491" t="str">
        <f t="shared" ref="U121:U132" ca="1" si="49">IF(OR($AH121="",$AH121="保有中"),"",ROUND(IF($AH121="日数制限",$AI121,IF($AH121="利益確定",$M121,$N121)),0))</f>
        <v/>
      </c>
      <c r="V121" s="705" t="str">
        <f t="shared" ref="V121:V137" ca="1" si="50">IF(OR(F121="",G121="",U121=""),"",IF(C121="売",(F121-U121)*G121,(U121-F121)*G121))</f>
        <v/>
      </c>
      <c r="W121" s="493" t="str">
        <f t="shared" ref="W121:W132" ca="1" si="51">IF(OR($E121="",$B121=""),"",IF($T121&lt;&gt;"",$T121-$E121,TODAY()-$E121)+1)</f>
        <v/>
      </c>
      <c r="X121" s="489" t="str">
        <f t="shared" ref="X121:X132" ca="1" si="52">IF(OR($AH121="",$AH121="保有中"),"",$AH121)</f>
        <v/>
      </c>
      <c r="Y121" s="488"/>
      <c r="Z121" s="714"/>
      <c r="AD121" s="611"/>
      <c r="AE121" s="603" t="str">
        <f t="shared" ref="AE121:AE132" si="53">IF($E121="","",WORKDAY($E121,12))</f>
        <v/>
      </c>
      <c r="AF121" s="603"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03"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03" t="str">
        <f t="shared" ref="AH121:AH132" ca="1" si="54">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3" t="str" cm="1">
        <f t="array" ref="AI121">IFERROR(INDEX(始値!$E$6:$BT$305,MATCH(TEXT($B121,"0"),TEXT(銘柄管理!$B$6:$B$305,"0"),0),MATCH($AE121,始値!$E$3:$BT$3,0)),"")</f>
        <v/>
      </c>
      <c r="AJ121" s="603" t="str">
        <f t="shared" ref="AJ121:AJ132" ca="1" si="55">IF(OR($V121="",$F121="",$G121=""),"",$V121/($F121*$G121))</f>
        <v/>
      </c>
      <c r="AK121" s="603" t="str">
        <f t="shared" ref="AK121:AK132" ca="1" si="56">IF($V121="","",IF($V121&gt;0,"○勝",IF($V121&lt;0,"●負","△引分")))</f>
        <v/>
      </c>
    </row>
    <row r="122" spans="1:37" ht="35.4" customHeight="1">
      <c r="A122" s="623" t="str">
        <f t="shared" si="40"/>
        <v/>
      </c>
      <c r="B122" s="489"/>
      <c r="C122" s="489"/>
      <c r="D122" s="489" t="str" cm="1">
        <f t="array" ref="D122">_xll.RssMarket(B122, "銘柄名称")</f>
        <v/>
      </c>
      <c r="E122" s="720"/>
      <c r="F122" s="702" t="str" cm="1">
        <f t="array" aca="1" ref="F122" ca="1">IFERROR(_xlfn.LET(_xlpm.r,MATCH(TEXT($B122,"0"),TEXT(銘柄管理!$B$6:$B$305,"0"),0),_xlpm.t,MOD(NOW(),1),_xlpm.c,IF($E122=TODAY(),IF(_xlpm.t&gt;=TIME(15,30,0),NA(),1),IF(MATCH($E122,始値!$E$3:$BT$3,0)=1,1,MATCH($E122,始値!$E$3:$BT$3,0)+1)),_xlpm.v,INDEX(始値!$C$6:$BT$305,_xlpm.r,_xlpm.c),IF(N(_xlpm.v)=0,"",_xlpm.v)),"")</f>
        <v/>
      </c>
      <c r="G122" s="489"/>
      <c r="H122" s="491" t="str" cm="1">
        <f t="array" ref="H122">_xll.RssMarket(B122, "現在値")</f>
        <v/>
      </c>
      <c r="I122" s="491" t="str" cm="1">
        <f t="array" ref="I122">_xll.RssMarket(B122, "出来高加重平均")</f>
        <v/>
      </c>
      <c r="J122" s="705" t="str" cm="1">
        <f t="array" ref="J122">_xll.RssMarket($B122, "前日比")</f>
        <v/>
      </c>
      <c r="K122" s="705" t="str">
        <f t="shared" ca="1" si="41"/>
        <v/>
      </c>
      <c r="L122" s="710" t="str">
        <f t="shared" ca="1" si="42"/>
        <v/>
      </c>
      <c r="M122" s="491" t="str">
        <f t="shared" ca="1" si="43"/>
        <v/>
      </c>
      <c r="N122" s="491" t="str">
        <f t="shared" ca="1" si="44"/>
        <v/>
      </c>
      <c r="O122" s="492" t="str">
        <f t="shared" ca="1" si="45"/>
        <v/>
      </c>
      <c r="P122" s="491" t="str">
        <f t="array" aca="1" ref="P122" ca="1">IF(B122="","",IFERROR(MAX(OFFSET(高値!$E$6,MATCH(TEXT(B122,"0"),TEXT(銘柄管理!$B$6:$B$305,"0"),0)-1,0,1,10)),""))</f>
        <v/>
      </c>
      <c r="Q122" s="491" t="str">
        <f t="array" aca="1" ref="Q122" ca="1">IF(B122="","",IFERROR(MIN(OFFSET(安値!$E$6,MATCH(TEXT(B122,"0"),TEXT(銘柄管理!$B$6:$B$305,"0"),0)-1,0,1,10)),""))</f>
        <v/>
      </c>
      <c r="R122" s="491" t="str">
        <f t="shared" ca="1" si="46"/>
        <v/>
      </c>
      <c r="S122" s="589" t="str">
        <f t="shared" si="47"/>
        <v/>
      </c>
      <c r="T122" s="597" t="str">
        <f t="shared" ca="1" si="48"/>
        <v/>
      </c>
      <c r="U122" s="491" t="str">
        <f t="shared" ca="1" si="49"/>
        <v/>
      </c>
      <c r="V122" s="705" t="str">
        <f t="shared" ca="1" si="50"/>
        <v/>
      </c>
      <c r="W122" s="493" t="str">
        <f t="shared" ca="1" si="51"/>
        <v/>
      </c>
      <c r="X122" s="489" t="str">
        <f t="shared" ca="1" si="52"/>
        <v/>
      </c>
      <c r="Y122" s="488"/>
      <c r="Z122" s="714"/>
      <c r="AD122" s="611"/>
      <c r="AE122" s="603" t="str">
        <f t="shared" si="53"/>
        <v/>
      </c>
      <c r="AF122" s="603"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03"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03" t="str">
        <f t="shared" ca="1" si="54"/>
        <v/>
      </c>
      <c r="AI122" s="603" t="str" cm="1">
        <f t="array" ref="AI122">IFERROR(INDEX(始値!$E$6:$BT$305,MATCH(TEXT($B122,"0"),TEXT(銘柄管理!$B$6:$B$305,"0"),0),MATCH($AE122,始値!$E$3:$BT$3,0)),"")</f>
        <v/>
      </c>
      <c r="AJ122" s="603" t="str">
        <f t="shared" ca="1" si="55"/>
        <v/>
      </c>
      <c r="AK122" s="603" t="str">
        <f t="shared" ca="1" si="56"/>
        <v/>
      </c>
    </row>
    <row r="123" spans="1:37" ht="35.4" customHeight="1">
      <c r="A123" s="623" t="str">
        <f t="shared" si="40"/>
        <v/>
      </c>
      <c r="B123" s="489"/>
      <c r="C123" s="489"/>
      <c r="D123" s="489" t="str" cm="1">
        <f t="array" ref="D123">_xll.RssMarket(B123, "銘柄名称")</f>
        <v/>
      </c>
      <c r="E123" s="720"/>
      <c r="F123" s="702" t="str" cm="1">
        <f t="array" aca="1" ref="F123" ca="1">IFERROR(_xlfn.LET(_xlpm.r,MATCH(TEXT($B123,"0"),TEXT(銘柄管理!$B$6:$B$305,"0"),0),_xlpm.t,MOD(NOW(),1),_xlpm.c,IF($E123=TODAY(),IF(_xlpm.t&gt;=TIME(15,30,0),NA(),1),IF(MATCH($E123,始値!$E$3:$BT$3,0)=1,1,MATCH($E123,始値!$E$3:$BT$3,0)+1)),_xlpm.v,INDEX(始値!$C$6:$BT$305,_xlpm.r,_xlpm.c),IF(N(_xlpm.v)=0,"",_xlpm.v)),"")</f>
        <v/>
      </c>
      <c r="G123" s="489"/>
      <c r="H123" s="491" t="str" cm="1">
        <f t="array" ref="H123">_xll.RssMarket(B123, "現在値")</f>
        <v/>
      </c>
      <c r="I123" s="491" t="str" cm="1">
        <f t="array" ref="I123">_xll.RssMarket(B123, "出来高加重平均")</f>
        <v/>
      </c>
      <c r="J123" s="705" t="str" cm="1">
        <f t="array" ref="J123">_xll.RssMarket($B123, "前日比")</f>
        <v/>
      </c>
      <c r="K123" s="705" t="str">
        <f t="shared" ca="1" si="41"/>
        <v/>
      </c>
      <c r="L123" s="710" t="str">
        <f t="shared" ca="1" si="42"/>
        <v/>
      </c>
      <c r="M123" s="491" t="str">
        <f t="shared" ca="1" si="43"/>
        <v/>
      </c>
      <c r="N123" s="491" t="str">
        <f t="shared" ca="1" si="44"/>
        <v/>
      </c>
      <c r="O123" s="492" t="str">
        <f t="shared" ca="1" si="45"/>
        <v/>
      </c>
      <c r="P123" s="491" t="str">
        <f t="array" aca="1" ref="P123" ca="1">IF(B123="","",IFERROR(MAX(OFFSET(高値!$E$6,MATCH(TEXT(B123,"0"),TEXT(銘柄管理!$B$6:$B$305,"0"),0)-1,0,1,10)),""))</f>
        <v/>
      </c>
      <c r="Q123" s="491" t="str">
        <f t="array" aca="1" ref="Q123" ca="1">IF(B123="","",IFERROR(MIN(OFFSET(安値!$E$6,MATCH(TEXT(B123,"0"),TEXT(銘柄管理!$B$6:$B$305,"0"),0)-1,0,1,10)),""))</f>
        <v/>
      </c>
      <c r="R123" s="491" t="str">
        <f t="shared" ca="1" si="46"/>
        <v/>
      </c>
      <c r="S123" s="589" t="str">
        <f t="shared" si="47"/>
        <v/>
      </c>
      <c r="T123" s="597" t="str">
        <f t="shared" ca="1" si="48"/>
        <v/>
      </c>
      <c r="U123" s="491" t="str">
        <f t="shared" ca="1" si="49"/>
        <v/>
      </c>
      <c r="V123" s="705" t="str">
        <f t="shared" ca="1" si="50"/>
        <v/>
      </c>
      <c r="W123" s="493" t="str">
        <f t="shared" ca="1" si="51"/>
        <v/>
      </c>
      <c r="X123" s="489" t="str">
        <f t="shared" ca="1" si="52"/>
        <v/>
      </c>
      <c r="Y123" s="488"/>
      <c r="Z123" s="714"/>
      <c r="AD123" s="611"/>
      <c r="AE123" s="603" t="str">
        <f t="shared" si="53"/>
        <v/>
      </c>
      <c r="AF123" s="603"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03"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03" t="str">
        <f t="shared" ca="1" si="54"/>
        <v/>
      </c>
      <c r="AI123" s="603" t="str" cm="1">
        <f t="array" ref="AI123">IFERROR(INDEX(始値!$E$6:$BT$305,MATCH(TEXT($B123,"0"),TEXT(銘柄管理!$B$6:$B$305,"0"),0),MATCH($AE123,始値!$E$3:$BT$3,0)),"")</f>
        <v/>
      </c>
      <c r="AJ123" s="603" t="str">
        <f t="shared" ca="1" si="55"/>
        <v/>
      </c>
      <c r="AK123" s="603" t="str">
        <f t="shared" ca="1" si="56"/>
        <v/>
      </c>
    </row>
    <row r="124" spans="1:37" ht="35.4" customHeight="1">
      <c r="A124" s="623" t="str">
        <f t="shared" si="40"/>
        <v/>
      </c>
      <c r="B124" s="489"/>
      <c r="C124" s="489"/>
      <c r="D124" s="489" t="str" cm="1">
        <f t="array" ref="D124">_xll.RssMarket(B124, "銘柄名称")</f>
        <v/>
      </c>
      <c r="E124" s="720"/>
      <c r="F124" s="702" t="str" cm="1">
        <f t="array" aca="1" ref="F124" ca="1">IFERROR(_xlfn.LET(_xlpm.r,MATCH(TEXT($B124,"0"),TEXT(銘柄管理!$B$6:$B$305,"0"),0),_xlpm.t,MOD(NOW(),1),_xlpm.c,IF($E124=TODAY(),IF(_xlpm.t&gt;=TIME(15,30,0),NA(),1),IF(MATCH($E124,始値!$E$3:$BT$3,0)=1,1,MATCH($E124,始値!$E$3:$BT$3,0)+1)),_xlpm.v,INDEX(始値!$C$6:$BT$305,_xlpm.r,_xlpm.c),IF(N(_xlpm.v)=0,"",_xlpm.v)),"")</f>
        <v/>
      </c>
      <c r="G124" s="489"/>
      <c r="H124" s="491" t="str" cm="1">
        <f t="array" ref="H124">_xll.RssMarket(B124, "現在値")</f>
        <v/>
      </c>
      <c r="I124" s="491" t="str" cm="1">
        <f t="array" ref="I124">_xll.RssMarket(B124, "出来高加重平均")</f>
        <v/>
      </c>
      <c r="J124" s="705" t="str" cm="1">
        <f t="array" ref="J124">_xll.RssMarket($B124, "前日比")</f>
        <v/>
      </c>
      <c r="K124" s="705" t="str">
        <f t="shared" ca="1" si="41"/>
        <v/>
      </c>
      <c r="L124" s="710" t="str">
        <f t="shared" ca="1" si="42"/>
        <v/>
      </c>
      <c r="M124" s="491" t="str">
        <f t="shared" ca="1" si="43"/>
        <v/>
      </c>
      <c r="N124" s="491" t="str">
        <f t="shared" ca="1" si="44"/>
        <v/>
      </c>
      <c r="O124" s="492" t="str">
        <f t="shared" ca="1" si="45"/>
        <v/>
      </c>
      <c r="P124" s="491" t="str">
        <f t="array" aca="1" ref="P124" ca="1">IF(B124="","",IFERROR(MAX(OFFSET(高値!$E$6,MATCH(TEXT(B124,"0"),TEXT(銘柄管理!$B$6:$B$305,"0"),0)-1,0,1,10)),""))</f>
        <v/>
      </c>
      <c r="Q124" s="491" t="str">
        <f t="array" aca="1" ref="Q124" ca="1">IF(B124="","",IFERROR(MIN(OFFSET(安値!$E$6,MATCH(TEXT(B124,"0"),TEXT(銘柄管理!$B$6:$B$305,"0"),0)-1,0,1,10)),""))</f>
        <v/>
      </c>
      <c r="R124" s="491" t="str">
        <f t="shared" ca="1" si="46"/>
        <v/>
      </c>
      <c r="S124" s="589" t="str">
        <f t="shared" si="47"/>
        <v/>
      </c>
      <c r="T124" s="597" t="str">
        <f t="shared" ca="1" si="48"/>
        <v/>
      </c>
      <c r="U124" s="491" t="str">
        <f t="shared" ca="1" si="49"/>
        <v/>
      </c>
      <c r="V124" s="705" t="str">
        <f t="shared" ca="1" si="50"/>
        <v/>
      </c>
      <c r="W124" s="493" t="str">
        <f t="shared" ca="1" si="51"/>
        <v/>
      </c>
      <c r="X124" s="489" t="str">
        <f t="shared" ca="1" si="52"/>
        <v/>
      </c>
      <c r="Y124" s="488"/>
      <c r="Z124" s="714"/>
      <c r="AD124" s="611"/>
      <c r="AE124" s="603" t="str">
        <f t="shared" si="53"/>
        <v/>
      </c>
      <c r="AF124" s="603"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03"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03" t="str">
        <f t="shared" ca="1" si="54"/>
        <v/>
      </c>
      <c r="AI124" s="603" t="str" cm="1">
        <f t="array" ref="AI124">IFERROR(INDEX(始値!$E$6:$BT$305,MATCH(TEXT($B124,"0"),TEXT(銘柄管理!$B$6:$B$305,"0"),0),MATCH($AE124,始値!$E$3:$BT$3,0)),"")</f>
        <v/>
      </c>
      <c r="AJ124" s="603" t="str">
        <f t="shared" ca="1" si="55"/>
        <v/>
      </c>
      <c r="AK124" s="603" t="str">
        <f t="shared" ca="1" si="56"/>
        <v/>
      </c>
    </row>
    <row r="125" spans="1:37" ht="35.4" customHeight="1">
      <c r="A125" s="623" t="str">
        <f t="shared" si="40"/>
        <v/>
      </c>
      <c r="B125" s="489"/>
      <c r="C125" s="489"/>
      <c r="D125" s="489" t="str" cm="1">
        <f t="array" ref="D125">_xll.RssMarket(B125, "銘柄名称")</f>
        <v/>
      </c>
      <c r="E125" s="720"/>
      <c r="F125" s="702" t="str" cm="1">
        <f t="array" aca="1" ref="F125" ca="1">IFERROR(_xlfn.LET(_xlpm.r,MATCH(TEXT($B125,"0"),TEXT(銘柄管理!$B$6:$B$305,"0"),0),_xlpm.t,MOD(NOW(),1),_xlpm.c,IF($E125=TODAY(),IF(_xlpm.t&gt;=TIME(15,30,0),NA(),1),IF(MATCH($E125,始値!$E$3:$BT$3,0)=1,1,MATCH($E125,始値!$E$3:$BT$3,0)+1)),_xlpm.v,INDEX(始値!$C$6:$BT$305,_xlpm.r,_xlpm.c),IF(N(_xlpm.v)=0,"",_xlpm.v)),"")</f>
        <v/>
      </c>
      <c r="G125" s="489"/>
      <c r="H125" s="491" t="str" cm="1">
        <f t="array" ref="H125">_xll.RssMarket(B125, "現在値")</f>
        <v/>
      </c>
      <c r="I125" s="491" t="str" cm="1">
        <f t="array" ref="I125">_xll.RssMarket(B125, "出来高加重平均")</f>
        <v/>
      </c>
      <c r="J125" s="705" t="str" cm="1">
        <f t="array" ref="J125">_xll.RssMarket($B125, "前日比")</f>
        <v/>
      </c>
      <c r="K125" s="705" t="str">
        <f t="shared" ca="1" si="41"/>
        <v/>
      </c>
      <c r="L125" s="710" t="str">
        <f t="shared" ca="1" si="42"/>
        <v/>
      </c>
      <c r="M125" s="491" t="str">
        <f t="shared" ca="1" si="43"/>
        <v/>
      </c>
      <c r="N125" s="491" t="str">
        <f t="shared" ca="1" si="44"/>
        <v/>
      </c>
      <c r="O125" s="492" t="str">
        <f t="shared" ca="1" si="45"/>
        <v/>
      </c>
      <c r="P125" s="491" t="str">
        <f t="array" aca="1" ref="P125" ca="1">IF(B125="","",IFERROR(MAX(OFFSET(高値!$E$6,MATCH(TEXT(B125,"0"),TEXT(銘柄管理!$B$6:$B$305,"0"),0)-1,0,1,10)),""))</f>
        <v/>
      </c>
      <c r="Q125" s="491" t="str">
        <f t="array" aca="1" ref="Q125" ca="1">IF(B125="","",IFERROR(MIN(OFFSET(安値!$E$6,MATCH(TEXT(B125,"0"),TEXT(銘柄管理!$B$6:$B$305,"0"),0)-1,0,1,10)),""))</f>
        <v/>
      </c>
      <c r="R125" s="491" t="str">
        <f t="shared" ca="1" si="46"/>
        <v/>
      </c>
      <c r="S125" s="589" t="str">
        <f t="shared" si="47"/>
        <v/>
      </c>
      <c r="T125" s="597" t="str">
        <f t="shared" ca="1" si="48"/>
        <v/>
      </c>
      <c r="U125" s="491" t="str">
        <f t="shared" ca="1" si="49"/>
        <v/>
      </c>
      <c r="V125" s="705" t="str">
        <f t="shared" ca="1" si="50"/>
        <v/>
      </c>
      <c r="W125" s="493" t="str">
        <f t="shared" ca="1" si="51"/>
        <v/>
      </c>
      <c r="X125" s="489" t="str">
        <f t="shared" ca="1" si="52"/>
        <v/>
      </c>
      <c r="Y125" s="488"/>
      <c r="Z125" s="714"/>
      <c r="AD125" s="611"/>
      <c r="AE125" s="603" t="str">
        <f t="shared" si="53"/>
        <v/>
      </c>
      <c r="AF125" s="603"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03"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03" t="str">
        <f t="shared" ca="1" si="54"/>
        <v/>
      </c>
      <c r="AI125" s="603" t="str" cm="1">
        <f t="array" ref="AI125">IFERROR(INDEX(始値!$E$6:$BT$305,MATCH(TEXT($B125,"0"),TEXT(銘柄管理!$B$6:$B$305,"0"),0),MATCH($AE125,始値!$E$3:$BT$3,0)),"")</f>
        <v/>
      </c>
      <c r="AJ125" s="603" t="str">
        <f t="shared" ca="1" si="55"/>
        <v/>
      </c>
      <c r="AK125" s="603" t="str">
        <f t="shared" ca="1" si="56"/>
        <v/>
      </c>
    </row>
    <row r="126" spans="1:37" ht="35.4" customHeight="1">
      <c r="A126" s="623" t="str">
        <f t="shared" si="40"/>
        <v/>
      </c>
      <c r="B126" s="489"/>
      <c r="C126" s="489"/>
      <c r="D126" s="489" t="str" cm="1">
        <f t="array" ref="D126">_xll.RssMarket(B126, "銘柄名称")</f>
        <v/>
      </c>
      <c r="E126" s="720"/>
      <c r="F126" s="702" t="str" cm="1">
        <f t="array" aca="1" ref="F126" ca="1">IFERROR(_xlfn.LET(_xlpm.r,MATCH(TEXT($B126,"0"),TEXT(銘柄管理!$B$6:$B$305,"0"),0),_xlpm.t,MOD(NOW(),1),_xlpm.c,IF($E126=TODAY(),IF(_xlpm.t&gt;=TIME(15,30,0),NA(),1),IF(MATCH($E126,始値!$E$3:$BT$3,0)=1,1,MATCH($E126,始値!$E$3:$BT$3,0)+1)),_xlpm.v,INDEX(始値!$C$6:$BT$305,_xlpm.r,_xlpm.c),IF(N(_xlpm.v)=0,"",_xlpm.v)),"")</f>
        <v/>
      </c>
      <c r="G126" s="489"/>
      <c r="H126" s="491" t="str" cm="1">
        <f t="array" ref="H126">_xll.RssMarket(B126, "現在値")</f>
        <v/>
      </c>
      <c r="I126" s="491" t="str" cm="1">
        <f t="array" ref="I126">_xll.RssMarket(B126, "出来高加重平均")</f>
        <v/>
      </c>
      <c r="J126" s="705" t="str" cm="1">
        <f t="array" ref="J126">_xll.RssMarket($B126, "前日比")</f>
        <v/>
      </c>
      <c r="K126" s="705" t="str">
        <f t="shared" ca="1" si="41"/>
        <v/>
      </c>
      <c r="L126" s="710" t="str">
        <f t="shared" ca="1" si="42"/>
        <v/>
      </c>
      <c r="M126" s="491" t="str">
        <f t="shared" ca="1" si="43"/>
        <v/>
      </c>
      <c r="N126" s="491" t="str">
        <f t="shared" ca="1" si="44"/>
        <v/>
      </c>
      <c r="O126" s="492" t="str">
        <f t="shared" ca="1" si="45"/>
        <v/>
      </c>
      <c r="P126" s="491" t="str">
        <f t="array" aca="1" ref="P126" ca="1">IF(B126="","",IFERROR(MAX(OFFSET(高値!$E$6,MATCH(TEXT(B126,"0"),TEXT(銘柄管理!$B$6:$B$305,"0"),0)-1,0,1,10)),""))</f>
        <v/>
      </c>
      <c r="Q126" s="491" t="str">
        <f t="array" aca="1" ref="Q126" ca="1">IF(B126="","",IFERROR(MIN(OFFSET(安値!$E$6,MATCH(TEXT(B126,"0"),TEXT(銘柄管理!$B$6:$B$305,"0"),0)-1,0,1,10)),""))</f>
        <v/>
      </c>
      <c r="R126" s="491" t="str">
        <f t="shared" ca="1" si="46"/>
        <v/>
      </c>
      <c r="S126" s="589" t="str">
        <f t="shared" si="47"/>
        <v/>
      </c>
      <c r="T126" s="597" t="str">
        <f t="shared" ca="1" si="48"/>
        <v/>
      </c>
      <c r="U126" s="491" t="str">
        <f t="shared" ca="1" si="49"/>
        <v/>
      </c>
      <c r="V126" s="705" t="str">
        <f t="shared" ca="1" si="50"/>
        <v/>
      </c>
      <c r="W126" s="493" t="str">
        <f t="shared" ca="1" si="51"/>
        <v/>
      </c>
      <c r="X126" s="489" t="str">
        <f t="shared" ca="1" si="52"/>
        <v/>
      </c>
      <c r="Y126" s="488"/>
      <c r="Z126" s="714"/>
      <c r="AD126" s="611"/>
      <c r="AE126" s="603" t="str">
        <f t="shared" si="53"/>
        <v/>
      </c>
      <c r="AF126" s="603"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03"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03" t="str">
        <f t="shared" ca="1" si="54"/>
        <v/>
      </c>
      <c r="AI126" s="603" t="str" cm="1">
        <f t="array" ref="AI126">IFERROR(INDEX(始値!$E$6:$BT$305,MATCH(TEXT($B126,"0"),TEXT(銘柄管理!$B$6:$B$305,"0"),0),MATCH($AE126,始値!$E$3:$BT$3,0)),"")</f>
        <v/>
      </c>
      <c r="AJ126" s="603" t="str">
        <f t="shared" ca="1" si="55"/>
        <v/>
      </c>
      <c r="AK126" s="603" t="str">
        <f t="shared" ca="1" si="56"/>
        <v/>
      </c>
    </row>
    <row r="127" spans="1:37" ht="35.4" customHeight="1">
      <c r="A127" s="623" t="str">
        <f t="shared" si="40"/>
        <v/>
      </c>
      <c r="B127" s="489"/>
      <c r="C127" s="489"/>
      <c r="D127" s="489" t="str" cm="1">
        <f t="array" ref="D127">_xll.RssMarket(B127, "銘柄名称")</f>
        <v/>
      </c>
      <c r="E127" s="720"/>
      <c r="F127" s="702" t="str" cm="1">
        <f t="array" aca="1" ref="F127" ca="1">IFERROR(_xlfn.LET(_xlpm.r,MATCH(TEXT($B127,"0"),TEXT(銘柄管理!$B$6:$B$305,"0"),0),_xlpm.t,MOD(NOW(),1),_xlpm.c,IF($E127=TODAY(),IF(_xlpm.t&gt;=TIME(15,30,0),NA(),1),IF(MATCH($E127,始値!$E$3:$BT$3,0)=1,1,MATCH($E127,始値!$E$3:$BT$3,0)+1)),_xlpm.v,INDEX(始値!$C$6:$BT$305,_xlpm.r,_xlpm.c),IF(N(_xlpm.v)=0,"",_xlpm.v)),"")</f>
        <v/>
      </c>
      <c r="G127" s="489"/>
      <c r="H127" s="491" t="str" cm="1">
        <f t="array" ref="H127">_xll.RssMarket(B127, "現在値")</f>
        <v/>
      </c>
      <c r="I127" s="491" t="str" cm="1">
        <f t="array" ref="I127">_xll.RssMarket(B127, "出来高加重平均")</f>
        <v/>
      </c>
      <c r="J127" s="705" t="str" cm="1">
        <f t="array" ref="J127">_xll.RssMarket($B127, "前日比")</f>
        <v/>
      </c>
      <c r="K127" s="705" t="str">
        <f t="shared" ca="1" si="41"/>
        <v/>
      </c>
      <c r="L127" s="710" t="str">
        <f t="shared" ca="1" si="42"/>
        <v/>
      </c>
      <c r="M127" s="491" t="str">
        <f t="shared" ca="1" si="43"/>
        <v/>
      </c>
      <c r="N127" s="491" t="str">
        <f t="shared" ca="1" si="44"/>
        <v/>
      </c>
      <c r="O127" s="492" t="str">
        <f t="shared" ca="1" si="45"/>
        <v/>
      </c>
      <c r="P127" s="491" t="str">
        <f t="array" aca="1" ref="P127" ca="1">IF(B127="","",IFERROR(MAX(OFFSET(高値!$E$6,MATCH(TEXT(B127,"0"),TEXT(銘柄管理!$B$6:$B$305,"0"),0)-1,0,1,10)),""))</f>
        <v/>
      </c>
      <c r="Q127" s="491" t="str">
        <f t="array" aca="1" ref="Q127" ca="1">IF(B127="","",IFERROR(MIN(OFFSET(安値!$E$6,MATCH(TEXT(B127,"0"),TEXT(銘柄管理!$B$6:$B$305,"0"),0)-1,0,1,10)),""))</f>
        <v/>
      </c>
      <c r="R127" s="491" t="str">
        <f t="shared" ca="1" si="46"/>
        <v/>
      </c>
      <c r="S127" s="589" t="str">
        <f t="shared" si="47"/>
        <v/>
      </c>
      <c r="T127" s="597" t="str">
        <f t="shared" ca="1" si="48"/>
        <v/>
      </c>
      <c r="U127" s="491" t="str">
        <f t="shared" ca="1" si="49"/>
        <v/>
      </c>
      <c r="V127" s="705" t="str">
        <f t="shared" ca="1" si="50"/>
        <v/>
      </c>
      <c r="W127" s="493" t="str">
        <f t="shared" ca="1" si="51"/>
        <v/>
      </c>
      <c r="X127" s="489" t="str">
        <f t="shared" ca="1" si="52"/>
        <v/>
      </c>
      <c r="Y127" s="488"/>
      <c r="Z127" s="714"/>
      <c r="AD127" s="611"/>
      <c r="AE127" s="603" t="str">
        <f t="shared" si="53"/>
        <v/>
      </c>
      <c r="AF127" s="603"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03"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03" t="str">
        <f t="shared" ca="1" si="54"/>
        <v/>
      </c>
      <c r="AI127" s="603" t="str" cm="1">
        <f t="array" ref="AI127">IFERROR(INDEX(始値!$E$6:$BT$305,MATCH(TEXT($B127,"0"),TEXT(銘柄管理!$B$6:$B$305,"0"),0),MATCH($AE127,始値!$E$3:$BT$3,0)),"")</f>
        <v/>
      </c>
      <c r="AJ127" s="603" t="str">
        <f t="shared" ca="1" si="55"/>
        <v/>
      </c>
      <c r="AK127" s="603" t="str">
        <f t="shared" ca="1" si="56"/>
        <v/>
      </c>
    </row>
    <row r="128" spans="1:37" ht="35.4" customHeight="1">
      <c r="A128" s="623" t="str">
        <f t="shared" si="40"/>
        <v/>
      </c>
      <c r="B128" s="489"/>
      <c r="C128" s="489"/>
      <c r="D128" s="489" t="str" cm="1">
        <f t="array" ref="D128">_xll.RssMarket(B128, "銘柄名称")</f>
        <v/>
      </c>
      <c r="E128" s="720"/>
      <c r="F128" s="702" t="str" cm="1">
        <f t="array" aca="1" ref="F128" ca="1">IFERROR(_xlfn.LET(_xlpm.r,MATCH(TEXT($B128,"0"),TEXT(銘柄管理!$B$6:$B$305,"0"),0),_xlpm.t,MOD(NOW(),1),_xlpm.c,IF($E128=TODAY(),IF(_xlpm.t&gt;=TIME(15,30,0),NA(),1),IF(MATCH($E128,始値!$E$3:$BT$3,0)=1,1,MATCH($E128,始値!$E$3:$BT$3,0)+1)),_xlpm.v,INDEX(始値!$C$6:$BT$305,_xlpm.r,_xlpm.c),IF(N(_xlpm.v)=0,"",_xlpm.v)),"")</f>
        <v/>
      </c>
      <c r="G128" s="489"/>
      <c r="H128" s="491" t="str" cm="1">
        <f t="array" ref="H128">_xll.RssMarket(B128, "現在値")</f>
        <v/>
      </c>
      <c r="I128" s="491" t="str" cm="1">
        <f t="array" ref="I128">_xll.RssMarket(B128, "出来高加重平均")</f>
        <v/>
      </c>
      <c r="J128" s="705" t="str" cm="1">
        <f t="array" ref="J128">_xll.RssMarket($B128, "前日比")</f>
        <v/>
      </c>
      <c r="K128" s="705" t="str">
        <f t="shared" ca="1" si="41"/>
        <v/>
      </c>
      <c r="L128" s="710" t="str">
        <f t="shared" ca="1" si="42"/>
        <v/>
      </c>
      <c r="M128" s="491" t="str">
        <f t="shared" ca="1" si="43"/>
        <v/>
      </c>
      <c r="N128" s="491" t="str">
        <f t="shared" ca="1" si="44"/>
        <v/>
      </c>
      <c r="O128" s="492" t="str">
        <f t="shared" ca="1" si="45"/>
        <v/>
      </c>
      <c r="P128" s="491" t="str">
        <f t="array" aca="1" ref="P128" ca="1">IF(B128="","",IFERROR(MAX(OFFSET(高値!$E$6,MATCH(TEXT(B128,"0"),TEXT(銘柄管理!$B$6:$B$305,"0"),0)-1,0,1,10)),""))</f>
        <v/>
      </c>
      <c r="Q128" s="491" t="str">
        <f t="array" aca="1" ref="Q128" ca="1">IF(B128="","",IFERROR(MIN(OFFSET(安値!$E$6,MATCH(TEXT(B128,"0"),TEXT(銘柄管理!$B$6:$B$305,"0"),0)-1,0,1,10)),""))</f>
        <v/>
      </c>
      <c r="R128" s="491" t="str">
        <f t="shared" ca="1" si="46"/>
        <v/>
      </c>
      <c r="S128" s="589" t="str">
        <f t="shared" si="47"/>
        <v/>
      </c>
      <c r="T128" s="597" t="str">
        <f t="shared" ca="1" si="48"/>
        <v/>
      </c>
      <c r="U128" s="491" t="str">
        <f t="shared" ca="1" si="49"/>
        <v/>
      </c>
      <c r="V128" s="705" t="str">
        <f t="shared" ca="1" si="50"/>
        <v/>
      </c>
      <c r="W128" s="493" t="str">
        <f t="shared" ca="1" si="51"/>
        <v/>
      </c>
      <c r="X128" s="489" t="str">
        <f t="shared" ca="1" si="52"/>
        <v/>
      </c>
      <c r="Y128" s="488"/>
      <c r="Z128" s="714"/>
      <c r="AD128" s="611"/>
      <c r="AE128" s="603" t="str">
        <f t="shared" si="53"/>
        <v/>
      </c>
      <c r="AF128" s="603"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03"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03" t="str">
        <f t="shared" ca="1" si="54"/>
        <v/>
      </c>
      <c r="AI128" s="603" t="str" cm="1">
        <f t="array" ref="AI128">IFERROR(INDEX(始値!$E$6:$BT$305,MATCH(TEXT($B128,"0"),TEXT(銘柄管理!$B$6:$B$305,"0"),0),MATCH($AE128,始値!$E$3:$BT$3,0)),"")</f>
        <v/>
      </c>
      <c r="AJ128" s="603" t="str">
        <f t="shared" ca="1" si="55"/>
        <v/>
      </c>
      <c r="AK128" s="603" t="str">
        <f t="shared" ca="1" si="56"/>
        <v/>
      </c>
    </row>
    <row r="129" spans="1:37" ht="35.4" customHeight="1">
      <c r="A129" s="623" t="str">
        <f t="shared" si="40"/>
        <v/>
      </c>
      <c r="B129" s="489"/>
      <c r="C129" s="489"/>
      <c r="D129" s="489" t="str" cm="1">
        <f t="array" ref="D129">_xll.RssMarket(B129, "銘柄名称")</f>
        <v/>
      </c>
      <c r="E129" s="720"/>
      <c r="F129" s="702" t="str" cm="1">
        <f t="array" aca="1" ref="F129" ca="1">IFERROR(_xlfn.LET(_xlpm.r,MATCH(TEXT($B129,"0"),TEXT(銘柄管理!$B$6:$B$305,"0"),0),_xlpm.t,MOD(NOW(),1),_xlpm.c,IF($E129=TODAY(),IF(_xlpm.t&gt;=TIME(15,30,0),NA(),1),IF(MATCH($E129,始値!$E$3:$BT$3,0)=1,1,MATCH($E129,始値!$E$3:$BT$3,0)+1)),_xlpm.v,INDEX(始値!$C$6:$BT$305,_xlpm.r,_xlpm.c),IF(N(_xlpm.v)=0,"",_xlpm.v)),"")</f>
        <v/>
      </c>
      <c r="G129" s="489"/>
      <c r="H129" s="491" t="str" cm="1">
        <f t="array" ref="H129">_xll.RssMarket(B129, "現在値")</f>
        <v/>
      </c>
      <c r="I129" s="491" t="str" cm="1">
        <f t="array" ref="I129">_xll.RssMarket(B129, "出来高加重平均")</f>
        <v/>
      </c>
      <c r="J129" s="705" t="str" cm="1">
        <f t="array" ref="J129">_xll.RssMarket($B129, "前日比")</f>
        <v/>
      </c>
      <c r="K129" s="705" t="str">
        <f t="shared" ca="1" si="41"/>
        <v/>
      </c>
      <c r="L129" s="710" t="str">
        <f t="shared" ca="1" si="42"/>
        <v/>
      </c>
      <c r="M129" s="491" t="str">
        <f t="shared" ca="1" si="43"/>
        <v/>
      </c>
      <c r="N129" s="491" t="str">
        <f t="shared" ca="1" si="44"/>
        <v/>
      </c>
      <c r="O129" s="492" t="str">
        <f t="shared" ca="1" si="45"/>
        <v/>
      </c>
      <c r="P129" s="491" t="str">
        <f t="array" aca="1" ref="P129" ca="1">IF(B129="","",IFERROR(MAX(OFFSET(高値!$E$6,MATCH(TEXT(B129,"0"),TEXT(銘柄管理!$B$6:$B$305,"0"),0)-1,0,1,10)),""))</f>
        <v/>
      </c>
      <c r="Q129" s="491" t="str">
        <f t="array" aca="1" ref="Q129" ca="1">IF(B129="","",IFERROR(MIN(OFFSET(安値!$E$6,MATCH(TEXT(B129,"0"),TEXT(銘柄管理!$B$6:$B$305,"0"),0)-1,0,1,10)),""))</f>
        <v/>
      </c>
      <c r="R129" s="491" t="str">
        <f t="shared" ca="1" si="46"/>
        <v/>
      </c>
      <c r="S129" s="589" t="str">
        <f t="shared" si="47"/>
        <v/>
      </c>
      <c r="T129" s="597" t="str">
        <f t="shared" ca="1" si="48"/>
        <v/>
      </c>
      <c r="U129" s="491" t="str">
        <f t="shared" ca="1" si="49"/>
        <v/>
      </c>
      <c r="V129" s="705" t="str">
        <f t="shared" ca="1" si="50"/>
        <v/>
      </c>
      <c r="W129" s="493" t="str">
        <f t="shared" ca="1" si="51"/>
        <v/>
      </c>
      <c r="X129" s="489" t="str">
        <f t="shared" ca="1" si="52"/>
        <v/>
      </c>
      <c r="Y129" s="488"/>
      <c r="Z129" s="714"/>
      <c r="AD129" s="611"/>
      <c r="AE129" s="603" t="str">
        <f t="shared" si="53"/>
        <v/>
      </c>
      <c r="AF129" s="603"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03"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03" t="str">
        <f t="shared" ca="1" si="54"/>
        <v/>
      </c>
      <c r="AI129" s="603" t="str" cm="1">
        <f t="array" ref="AI129">IFERROR(INDEX(始値!$E$6:$BT$305,MATCH(TEXT($B129,"0"),TEXT(銘柄管理!$B$6:$B$305,"0"),0),MATCH($AE129,始値!$E$3:$BT$3,0)),"")</f>
        <v/>
      </c>
      <c r="AJ129" s="603" t="str">
        <f t="shared" ca="1" si="55"/>
        <v/>
      </c>
      <c r="AK129" s="603" t="str">
        <f t="shared" ca="1" si="56"/>
        <v/>
      </c>
    </row>
    <row r="130" spans="1:37" ht="35.4" customHeight="1">
      <c r="A130" s="623" t="str">
        <f t="shared" si="40"/>
        <v/>
      </c>
      <c r="B130" s="489"/>
      <c r="C130" s="489"/>
      <c r="D130" s="489" t="str" cm="1">
        <f t="array" ref="D130">_xll.RssMarket(B130, "銘柄名称")</f>
        <v/>
      </c>
      <c r="E130" s="720"/>
      <c r="F130" s="702" t="str" cm="1">
        <f t="array" aca="1" ref="F130" ca="1">IFERROR(_xlfn.LET(_xlpm.r,MATCH(TEXT($B130,"0"),TEXT(銘柄管理!$B$6:$B$305,"0"),0),_xlpm.t,MOD(NOW(),1),_xlpm.c,IF($E130=TODAY(),IF(_xlpm.t&gt;=TIME(15,30,0),NA(),1),IF(MATCH($E130,始値!$E$3:$BT$3,0)=1,1,MATCH($E130,始値!$E$3:$BT$3,0)+1)),_xlpm.v,INDEX(始値!$C$6:$BT$305,_xlpm.r,_xlpm.c),IF(N(_xlpm.v)=0,"",_xlpm.v)),"")</f>
        <v/>
      </c>
      <c r="G130" s="489"/>
      <c r="H130" s="491" t="str" cm="1">
        <f t="array" ref="H130">_xll.RssMarket(B130, "現在値")</f>
        <v/>
      </c>
      <c r="I130" s="491" t="str" cm="1">
        <f t="array" ref="I130">_xll.RssMarket(B130, "出来高加重平均")</f>
        <v/>
      </c>
      <c r="J130" s="705" t="str" cm="1">
        <f t="array" ref="J130">_xll.RssMarket($B130, "前日比")</f>
        <v/>
      </c>
      <c r="K130" s="705" t="str">
        <f t="shared" ca="1" si="41"/>
        <v/>
      </c>
      <c r="L130" s="710" t="str">
        <f t="shared" ca="1" si="42"/>
        <v/>
      </c>
      <c r="M130" s="491" t="str">
        <f t="shared" ca="1" si="43"/>
        <v/>
      </c>
      <c r="N130" s="491" t="str">
        <f t="shared" ca="1" si="44"/>
        <v/>
      </c>
      <c r="O130" s="492" t="str">
        <f t="shared" ca="1" si="45"/>
        <v/>
      </c>
      <c r="P130" s="491" t="str">
        <f t="array" aca="1" ref="P130" ca="1">IF(B130="","",IFERROR(MAX(OFFSET(高値!$E$6,MATCH(TEXT(B130,"0"),TEXT(銘柄管理!$B$6:$B$305,"0"),0)-1,0,1,10)),""))</f>
        <v/>
      </c>
      <c r="Q130" s="491" t="str">
        <f t="array" aca="1" ref="Q130" ca="1">IF(B130="","",IFERROR(MIN(OFFSET(安値!$E$6,MATCH(TEXT(B130,"0"),TEXT(銘柄管理!$B$6:$B$305,"0"),0)-1,0,1,10)),""))</f>
        <v/>
      </c>
      <c r="R130" s="491" t="str">
        <f t="shared" ca="1" si="46"/>
        <v/>
      </c>
      <c r="S130" s="589" t="str">
        <f t="shared" si="47"/>
        <v/>
      </c>
      <c r="T130" s="597" t="str">
        <f t="shared" ca="1" si="48"/>
        <v/>
      </c>
      <c r="U130" s="491" t="str">
        <f t="shared" ca="1" si="49"/>
        <v/>
      </c>
      <c r="V130" s="705" t="str">
        <f t="shared" ca="1" si="50"/>
        <v/>
      </c>
      <c r="W130" s="493" t="str">
        <f t="shared" ca="1" si="51"/>
        <v/>
      </c>
      <c r="X130" s="489" t="str">
        <f t="shared" ca="1" si="52"/>
        <v/>
      </c>
      <c r="Y130" s="488"/>
      <c r="Z130" s="714"/>
      <c r="AD130" s="611"/>
      <c r="AE130" s="603" t="str">
        <f t="shared" si="53"/>
        <v/>
      </c>
      <c r="AF130" s="603"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03"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03" t="str">
        <f t="shared" ca="1" si="54"/>
        <v/>
      </c>
      <c r="AI130" s="603" t="str" cm="1">
        <f t="array" ref="AI130">IFERROR(INDEX(始値!$E$6:$BT$305,MATCH(TEXT($B130,"0"),TEXT(銘柄管理!$B$6:$B$305,"0"),0),MATCH($AE130,始値!$E$3:$BT$3,0)),"")</f>
        <v/>
      </c>
      <c r="AJ130" s="603" t="str">
        <f t="shared" ca="1" si="55"/>
        <v/>
      </c>
      <c r="AK130" s="603" t="str">
        <f t="shared" ca="1" si="56"/>
        <v/>
      </c>
    </row>
    <row r="131" spans="1:37" ht="35.4" customHeight="1">
      <c r="A131" s="623" t="str">
        <f t="shared" si="40"/>
        <v/>
      </c>
      <c r="B131" s="489"/>
      <c r="C131" s="489"/>
      <c r="D131" s="489" t="str" cm="1">
        <f t="array" ref="D131">_xll.RssMarket(B131, "銘柄名称")</f>
        <v/>
      </c>
      <c r="E131" s="720"/>
      <c r="F131" s="702" t="str" cm="1">
        <f t="array" aca="1" ref="F131" ca="1">IFERROR(_xlfn.LET(_xlpm.r,MATCH(TEXT($B131,"0"),TEXT(銘柄管理!$B$6:$B$305,"0"),0),_xlpm.t,MOD(NOW(),1),_xlpm.c,IF($E131=TODAY(),IF(_xlpm.t&gt;=TIME(15,30,0),NA(),1),IF(MATCH($E131,始値!$E$3:$BT$3,0)=1,1,MATCH($E131,始値!$E$3:$BT$3,0)+1)),_xlpm.v,INDEX(始値!$C$6:$BT$305,_xlpm.r,_xlpm.c),IF(N(_xlpm.v)=0,"",_xlpm.v)),"")</f>
        <v/>
      </c>
      <c r="G131" s="489"/>
      <c r="H131" s="491" t="str" cm="1">
        <f t="array" ref="H131">_xll.RssMarket(B131, "現在値")</f>
        <v/>
      </c>
      <c r="I131" s="491" t="str" cm="1">
        <f t="array" ref="I131">_xll.RssMarket(B131, "出来高加重平均")</f>
        <v/>
      </c>
      <c r="J131" s="705" t="str" cm="1">
        <f t="array" ref="J131">_xll.RssMarket($B131, "前日比")</f>
        <v/>
      </c>
      <c r="K131" s="705" t="str">
        <f t="shared" ca="1" si="41"/>
        <v/>
      </c>
      <c r="L131" s="710" t="str">
        <f t="shared" ca="1" si="42"/>
        <v/>
      </c>
      <c r="M131" s="491" t="str">
        <f t="shared" ca="1" si="43"/>
        <v/>
      </c>
      <c r="N131" s="491" t="str">
        <f t="shared" ca="1" si="44"/>
        <v/>
      </c>
      <c r="O131" s="492" t="str">
        <f t="shared" ca="1" si="45"/>
        <v/>
      </c>
      <c r="P131" s="491" t="str">
        <f t="array" aca="1" ref="P131" ca="1">IF(B131="","",IFERROR(MAX(OFFSET(高値!$E$6,MATCH(TEXT(B131,"0"),TEXT(銘柄管理!$B$6:$B$305,"0"),0)-1,0,1,10)),""))</f>
        <v/>
      </c>
      <c r="Q131" s="491" t="str">
        <f t="array" aca="1" ref="Q131" ca="1">IF(B131="","",IFERROR(MIN(OFFSET(安値!$E$6,MATCH(TEXT(B131,"0"),TEXT(銘柄管理!$B$6:$B$305,"0"),0)-1,0,1,10)),""))</f>
        <v/>
      </c>
      <c r="R131" s="491" t="str">
        <f t="shared" ca="1" si="46"/>
        <v/>
      </c>
      <c r="S131" s="589" t="str">
        <f t="shared" si="47"/>
        <v/>
      </c>
      <c r="T131" s="597" t="str">
        <f t="shared" ca="1" si="48"/>
        <v/>
      </c>
      <c r="U131" s="491" t="str">
        <f t="shared" ca="1" si="49"/>
        <v/>
      </c>
      <c r="V131" s="705" t="str">
        <f t="shared" ca="1" si="50"/>
        <v/>
      </c>
      <c r="W131" s="493" t="str">
        <f t="shared" ca="1" si="51"/>
        <v/>
      </c>
      <c r="X131" s="489" t="str">
        <f t="shared" ca="1" si="52"/>
        <v/>
      </c>
      <c r="Y131" s="488"/>
      <c r="Z131" s="714"/>
      <c r="AD131" s="611"/>
      <c r="AE131" s="603" t="str">
        <f t="shared" si="53"/>
        <v/>
      </c>
      <c r="AF131" s="603"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03"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03" t="str">
        <f t="shared" ca="1" si="54"/>
        <v/>
      </c>
      <c r="AI131" s="603" t="str" cm="1">
        <f t="array" ref="AI131">IFERROR(INDEX(始値!$E$6:$BT$305,MATCH(TEXT($B131,"0"),TEXT(銘柄管理!$B$6:$B$305,"0"),0),MATCH($AE131,始値!$E$3:$BT$3,0)),"")</f>
        <v/>
      </c>
      <c r="AJ131" s="603" t="str">
        <f t="shared" ca="1" si="55"/>
        <v/>
      </c>
      <c r="AK131" s="603" t="str">
        <f t="shared" ca="1" si="56"/>
        <v/>
      </c>
    </row>
    <row r="132" spans="1:37" ht="35.4" customHeight="1">
      <c r="A132" s="623" t="str">
        <f t="shared" ref="A132:A195" si="57">IF(B132="","",HYPERLINK("https://kabutan.jp/stock/?code="&amp;B132,"株探"))</f>
        <v/>
      </c>
      <c r="B132" s="489"/>
      <c r="C132" s="489"/>
      <c r="D132" s="489" t="str" cm="1">
        <f t="array" ref="D132">_xll.RssMarket(B132, "銘柄名称")</f>
        <v/>
      </c>
      <c r="E132" s="720"/>
      <c r="F132" s="702" t="str" cm="1">
        <f t="array" aca="1" ref="F132" ca="1">IFERROR(_xlfn.LET(_xlpm.r,MATCH(TEXT($B132,"0"),TEXT(銘柄管理!$B$6:$B$305,"0"),0),_xlpm.t,MOD(NOW(),1),_xlpm.c,IF($E132=TODAY(),IF(_xlpm.t&gt;=TIME(15,30,0),NA(),1),IF(MATCH($E132,始値!$E$3:$BT$3,0)=1,1,MATCH($E132,始値!$E$3:$BT$3,0)+1)),_xlpm.v,INDEX(始値!$C$6:$BT$305,_xlpm.r,_xlpm.c),IF(N(_xlpm.v)=0,"",_xlpm.v)),"")</f>
        <v/>
      </c>
      <c r="G132" s="489"/>
      <c r="H132" s="491" t="str" cm="1">
        <f t="array" ref="H132">_xll.RssMarket(B132, "現在値")</f>
        <v/>
      </c>
      <c r="I132" s="491" t="str" cm="1">
        <f t="array" ref="I132">_xll.RssMarket(B132, "出来高加重平均")</f>
        <v/>
      </c>
      <c r="J132" s="705" t="str" cm="1">
        <f t="array" ref="J132">_xll.RssMarket($B132, "前日比")</f>
        <v/>
      </c>
      <c r="K132" s="705" t="str">
        <f t="shared" ca="1" si="41"/>
        <v/>
      </c>
      <c r="L132" s="710" t="str">
        <f t="shared" ca="1" si="42"/>
        <v/>
      </c>
      <c r="M132" s="491" t="str">
        <f t="shared" ca="1" si="43"/>
        <v/>
      </c>
      <c r="N132" s="491" t="str">
        <f t="shared" ca="1" si="44"/>
        <v/>
      </c>
      <c r="O132" s="492" t="str">
        <f t="shared" ca="1" si="45"/>
        <v/>
      </c>
      <c r="P132" s="491" t="str">
        <f t="array" aca="1" ref="P132" ca="1">IF(B132="","",IFERROR(MAX(OFFSET(高値!$E$6,MATCH(TEXT(B132,"0"),TEXT(銘柄管理!$B$6:$B$305,"0"),0)-1,0,1,10)),""))</f>
        <v/>
      </c>
      <c r="Q132" s="491" t="str">
        <f t="array" aca="1" ref="Q132" ca="1">IF(B132="","",IFERROR(MIN(OFFSET(安値!$E$6,MATCH(TEXT(B132,"0"),TEXT(銘柄管理!$B$6:$B$305,"0"),0)-1,0,1,10)),""))</f>
        <v/>
      </c>
      <c r="R132" s="491" t="str">
        <f t="shared" ca="1" si="46"/>
        <v/>
      </c>
      <c r="S132" s="589" t="str">
        <f t="shared" si="47"/>
        <v/>
      </c>
      <c r="T132" s="597" t="str">
        <f t="shared" ca="1" si="48"/>
        <v/>
      </c>
      <c r="U132" s="491" t="str">
        <f t="shared" ca="1" si="49"/>
        <v/>
      </c>
      <c r="V132" s="705" t="str">
        <f t="shared" ca="1" si="50"/>
        <v/>
      </c>
      <c r="W132" s="493" t="str">
        <f t="shared" ca="1" si="51"/>
        <v/>
      </c>
      <c r="X132" s="489" t="str">
        <f t="shared" ca="1" si="52"/>
        <v/>
      </c>
      <c r="Y132" s="488"/>
      <c r="Z132" s="714"/>
      <c r="AD132" s="611"/>
      <c r="AE132" s="603" t="str">
        <f t="shared" si="53"/>
        <v/>
      </c>
      <c r="AF132" s="603"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03"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03" t="str">
        <f t="shared" ca="1" si="54"/>
        <v/>
      </c>
      <c r="AI132" s="603" t="str" cm="1">
        <f t="array" ref="AI132">IFERROR(INDEX(始値!$E$6:$BT$305,MATCH(TEXT($B132,"0"),TEXT(銘柄管理!$B$6:$B$305,"0"),0),MATCH($AE132,始値!$E$3:$BT$3,0)),"")</f>
        <v/>
      </c>
      <c r="AJ132" s="603" t="str">
        <f t="shared" ca="1" si="55"/>
        <v/>
      </c>
      <c r="AK132" s="603" t="str">
        <f t="shared" ca="1" si="56"/>
        <v/>
      </c>
    </row>
    <row r="133" spans="1:37" ht="35.4" customHeight="1">
      <c r="A133" s="623" t="str">
        <f t="shared" si="57"/>
        <v/>
      </c>
      <c r="B133" s="489"/>
      <c r="C133" s="489"/>
      <c r="D133" s="489" t="str" cm="1">
        <f t="array" ref="D133">_xll.RssMarket(B133, "銘柄名称")</f>
        <v/>
      </c>
      <c r="E133" s="720"/>
      <c r="F133" s="702" t="str" cm="1">
        <f t="array" aca="1" ref="F133" ca="1">IFERROR(_xlfn.LET(_xlpm.r,MATCH(TEXT($B133,"0"),TEXT(銘柄管理!$B$6:$B$305,"0"),0),_xlpm.t,MOD(NOW(),1),_xlpm.c,IF($E133=TODAY(),IF(_xlpm.t&gt;=TIME(15,30,0),NA(),1),IF(MATCH($E133,始値!$E$3:$BT$3,0)=1,1,MATCH($E133,始値!$E$3:$BT$3,0)+1)),_xlpm.v,INDEX(始値!$C$6:$BT$305,_xlpm.r,_xlpm.c),IF(N(_xlpm.v)=0,"",_xlpm.v)),"")</f>
        <v/>
      </c>
      <c r="G133" s="489"/>
      <c r="H133" s="491" t="str" cm="1">
        <f t="array" ref="H133">_xll.RssMarket(B133, "現在値")</f>
        <v/>
      </c>
      <c r="I133" s="491" t="str" cm="1">
        <f t="array" ref="I133">_xll.RssMarket(B133, "出来高加重平均")</f>
        <v/>
      </c>
      <c r="J133" s="705" t="str" cm="1">
        <f t="array" ref="J133">_xll.RssMarket($B133, "前日比")</f>
        <v/>
      </c>
      <c r="K133" s="705" t="str">
        <f t="shared" ca="1" si="41"/>
        <v/>
      </c>
      <c r="L133" s="710" t="str">
        <f t="shared" ca="1" si="42"/>
        <v/>
      </c>
      <c r="M133" s="491" t="str">
        <f t="shared" ref="M133:M196" ca="1" si="58">IF($F133="","",ROUND(IF($C133="売",$F133*0.94,$F133*1.06),0))</f>
        <v/>
      </c>
      <c r="N133" s="491" t="str">
        <f t="shared" ref="N133:N196" ca="1" si="59">IF($F133="","",ROUND(IF($C133="売",$F133*1.04,$F133*0.96),0))</f>
        <v/>
      </c>
      <c r="O133" s="492" t="str">
        <f t="shared" ref="O133:O196" ca="1" si="60">IF(OR($B133="",$F133="",$H133=""),"",IF($C133="売",IF($H133&lt;=$M133,"🟢利確",IF($H133&lt;=$F133*0.95,"🟡利確&amp;TR STOP検討",IF($H133&gt;=$N133,"🔴損切",IF($H133&gt;=$F133*1.035,"🔴損切間近",IF($H133&gt;=$F133*1.03,"⚠️+3%注意","保持継続"))))),IF($H133&gt;=$M133,"🟢利確",IF($H133&gt;=$F133*1.05,"🟡利確&amp;TR STOP検討",IF($H133&lt;=$N133,"🔴損切",IF($H133&lt;=$F133*0.965,"🔴損切間近",IF($H133&lt;=$F133*0.97,"⚠️-3%注意","保持継続")))))))</f>
        <v/>
      </c>
      <c r="P133" s="491" t="str">
        <f t="array" aca="1" ref="P133" ca="1">IF(B133="","",IFERROR(MAX(OFFSET(高値!$E$6,MATCH(TEXT(B133,"0"),TEXT(銘柄管理!$B$6:$B$305,"0"),0)-1,0,1,10)),""))</f>
        <v/>
      </c>
      <c r="Q133" s="491" t="str">
        <f t="array" aca="1" ref="Q133" ca="1">IF(B133="","",IFERROR(MIN(OFFSET(安値!$E$6,MATCH(TEXT(B133,"0"),TEXT(銘柄管理!$B$6:$B$305,"0"),0)-1,0,1,10)),""))</f>
        <v/>
      </c>
      <c r="R133" s="491" t="str">
        <f t="shared" ca="1" si="46"/>
        <v/>
      </c>
      <c r="S133" s="589" t="str">
        <f t="shared" si="47"/>
        <v/>
      </c>
      <c r="T133" s="597" t="str">
        <f t="shared" ref="T133:T196" ca="1" si="61">IF(OR($AH133="",$AH133="保有中"),"",IF($AH133="日数制限",$AE133,IF($AH133="損切確定",IF(N($AG133)=0,TODAY(),$AG133),IF(N($AF133)=0,TODAY(),$AF133))))</f>
        <v/>
      </c>
      <c r="U133" s="491" t="str">
        <f t="shared" ref="U133:U196" ca="1" si="62">IF(OR($AH133="",$AH133="保有中"),"",ROUND(IF($AH133="日数制限",$AI133,IF($AH133="利益確定",$M133,$N133)),0))</f>
        <v/>
      </c>
      <c r="V133" s="705" t="str">
        <f t="shared" ca="1" si="50"/>
        <v/>
      </c>
      <c r="W133" s="493" t="str">
        <f t="shared" ref="W133:W196" ca="1" si="63">IF(OR($E133="",$B133=""),"",IF($T133&lt;&gt;"",$T133-$E133,TODAY()-$E133)+1)</f>
        <v/>
      </c>
      <c r="X133" s="489" t="str">
        <f t="shared" ref="X133:X196" ca="1" si="64">IF(OR($AH133="",$AH133="保有中"),"",$AH133)</f>
        <v/>
      </c>
      <c r="Y133" s="488"/>
      <c r="Z133" s="714"/>
      <c r="AD133" s="611"/>
      <c r="AE133" s="603" t="str">
        <f t="shared" ref="AE133:AE196" si="65">IF($E133="","",WORKDAY($E133,12))</f>
        <v/>
      </c>
      <c r="AF133" s="603"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03"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03" t="str">
        <f t="shared" ref="AH133:AH196" ca="1" si="66">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3" t="str" cm="1">
        <f t="array" ref="AI133">IFERROR(INDEX(始値!$E$6:$BT$305,MATCH(TEXT($B133,"0"),TEXT(銘柄管理!$B$6:$B$305,"0"),0),MATCH($AE133,始値!$E$3:$BT$3,0)),"")</f>
        <v/>
      </c>
      <c r="AJ133" s="603" t="str">
        <f t="shared" ref="AJ133:AJ196" ca="1" si="67">IF(OR($V133="",$F133="",$G133=""),"",$V133/($F133*$G133))</f>
        <v/>
      </c>
      <c r="AK133" s="603" t="str">
        <f t="shared" ref="AK133:AK196" ca="1" si="68">IF($V133="","",IF($V133&gt;0,"○勝",IF($V133&lt;0,"●負","△引分")))</f>
        <v/>
      </c>
    </row>
    <row r="134" spans="1:37" ht="35.4" customHeight="1">
      <c r="A134" s="623" t="str">
        <f t="shared" si="57"/>
        <v/>
      </c>
      <c r="B134" s="489"/>
      <c r="C134" s="489"/>
      <c r="D134" s="489" t="str" cm="1">
        <f t="array" ref="D134">_xll.RssMarket(B134, "銘柄名称")</f>
        <v/>
      </c>
      <c r="E134" s="720"/>
      <c r="F134" s="702" t="str" cm="1">
        <f t="array" aca="1" ref="F134" ca="1">IFERROR(_xlfn.LET(_xlpm.r,MATCH(TEXT($B134,"0"),TEXT(銘柄管理!$B$6:$B$305,"0"),0),_xlpm.t,MOD(NOW(),1),_xlpm.c,IF($E134=TODAY(),IF(_xlpm.t&gt;=TIME(15,30,0),NA(),1),IF(MATCH($E134,始値!$E$3:$BT$3,0)=1,1,MATCH($E134,始値!$E$3:$BT$3,0)+1)),_xlpm.v,INDEX(始値!$C$6:$BT$305,_xlpm.r,_xlpm.c),IF(N(_xlpm.v)=0,"",_xlpm.v)),"")</f>
        <v/>
      </c>
      <c r="G134" s="489"/>
      <c r="H134" s="491" t="str" cm="1">
        <f t="array" ref="H134">_xll.RssMarket(B134, "現在値")</f>
        <v/>
      </c>
      <c r="I134" s="491" t="str" cm="1">
        <f t="array" ref="I134">_xll.RssMarket(B134, "出来高加重平均")</f>
        <v/>
      </c>
      <c r="J134" s="705" t="str" cm="1">
        <f t="array" ref="J134">_xll.RssMarket($B134, "前日比")</f>
        <v/>
      </c>
      <c r="K134" s="705" t="str">
        <f t="shared" ca="1" si="41"/>
        <v/>
      </c>
      <c r="L134" s="710" t="str">
        <f t="shared" ca="1" si="42"/>
        <v/>
      </c>
      <c r="M134" s="491" t="str">
        <f t="shared" ca="1" si="58"/>
        <v/>
      </c>
      <c r="N134" s="491" t="str">
        <f t="shared" ca="1" si="59"/>
        <v/>
      </c>
      <c r="O134" s="492" t="str">
        <f t="shared" ca="1" si="60"/>
        <v/>
      </c>
      <c r="P134" s="491" t="str">
        <f t="array" aca="1" ref="P134" ca="1">IF(B134="","",IFERROR(MAX(OFFSET(高値!$E$6,MATCH(TEXT(B134,"0"),TEXT(銘柄管理!$B$6:$B$305,"0"),0)-1,0,1,10)),""))</f>
        <v/>
      </c>
      <c r="Q134" s="491" t="str">
        <f t="array" aca="1" ref="Q134" ca="1">IF(B134="","",IFERROR(MIN(OFFSET(安値!$E$6,MATCH(TEXT(B134,"0"),TEXT(銘柄管理!$B$6:$B$305,"0"),0)-1,0,1,10)),""))</f>
        <v/>
      </c>
      <c r="R134" s="491" t="str">
        <f t="shared" ca="1" si="46"/>
        <v/>
      </c>
      <c r="S134" s="589" t="str">
        <f t="shared" si="47"/>
        <v/>
      </c>
      <c r="T134" s="597" t="str">
        <f t="shared" ca="1" si="61"/>
        <v/>
      </c>
      <c r="U134" s="491" t="str">
        <f t="shared" ca="1" si="62"/>
        <v/>
      </c>
      <c r="V134" s="705" t="str">
        <f t="shared" ca="1" si="50"/>
        <v/>
      </c>
      <c r="W134" s="493" t="str">
        <f t="shared" ca="1" si="63"/>
        <v/>
      </c>
      <c r="X134" s="489" t="str">
        <f t="shared" ca="1" si="64"/>
        <v/>
      </c>
      <c r="Y134" s="488"/>
      <c r="Z134" s="714"/>
      <c r="AD134" s="611"/>
      <c r="AE134" s="603" t="str">
        <f t="shared" si="65"/>
        <v/>
      </c>
      <c r="AF134" s="603"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03"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03" t="str">
        <f t="shared" ca="1" si="66"/>
        <v/>
      </c>
      <c r="AI134" s="603" t="str" cm="1">
        <f t="array" ref="AI134">IFERROR(INDEX(始値!$E$6:$BT$305,MATCH(TEXT($B134,"0"),TEXT(銘柄管理!$B$6:$B$305,"0"),0),MATCH($AE134,始値!$E$3:$BT$3,0)),"")</f>
        <v/>
      </c>
      <c r="AJ134" s="603" t="str">
        <f t="shared" ca="1" si="67"/>
        <v/>
      </c>
      <c r="AK134" s="603" t="str">
        <f t="shared" ca="1" si="68"/>
        <v/>
      </c>
    </row>
    <row r="135" spans="1:37" ht="35.4" customHeight="1">
      <c r="A135" s="623" t="str">
        <f t="shared" si="57"/>
        <v/>
      </c>
      <c r="B135" s="489"/>
      <c r="C135" s="489"/>
      <c r="D135" s="489" t="str" cm="1">
        <f t="array" ref="D135">_xll.RssMarket(B135, "銘柄名称")</f>
        <v/>
      </c>
      <c r="E135" s="720"/>
      <c r="F135" s="702" t="str" cm="1">
        <f t="array" aca="1" ref="F135" ca="1">IFERROR(_xlfn.LET(_xlpm.r,MATCH(TEXT($B135,"0"),TEXT(銘柄管理!$B$6:$B$305,"0"),0),_xlpm.t,MOD(NOW(),1),_xlpm.c,IF($E135=TODAY(),IF(_xlpm.t&gt;=TIME(15,30,0),NA(),1),IF(MATCH($E135,始値!$E$3:$BT$3,0)=1,1,MATCH($E135,始値!$E$3:$BT$3,0)+1)),_xlpm.v,INDEX(始値!$C$6:$BT$305,_xlpm.r,_xlpm.c),IF(N(_xlpm.v)=0,"",_xlpm.v)),"")</f>
        <v/>
      </c>
      <c r="G135" s="489"/>
      <c r="H135" s="491" t="str" cm="1">
        <f t="array" ref="H135">_xll.RssMarket(B135, "現在値")</f>
        <v/>
      </c>
      <c r="I135" s="491" t="str" cm="1">
        <f t="array" ref="I135">_xll.RssMarket(B135, "出来高加重平均")</f>
        <v/>
      </c>
      <c r="J135" s="705" t="str" cm="1">
        <f t="array" ref="J135">_xll.RssMarket($B135, "前日比")</f>
        <v/>
      </c>
      <c r="K135" s="705" t="str">
        <f t="shared" ca="1" si="41"/>
        <v/>
      </c>
      <c r="L135" s="710" t="str">
        <f t="shared" ca="1" si="42"/>
        <v/>
      </c>
      <c r="M135" s="491" t="str">
        <f t="shared" ca="1" si="58"/>
        <v/>
      </c>
      <c r="N135" s="491" t="str">
        <f t="shared" ca="1" si="59"/>
        <v/>
      </c>
      <c r="O135" s="492" t="str">
        <f t="shared" ca="1" si="60"/>
        <v/>
      </c>
      <c r="P135" s="491" t="str">
        <f t="array" aca="1" ref="P135" ca="1">IF(B135="","",IFERROR(MAX(OFFSET(高値!$E$6,MATCH(TEXT(B135,"0"),TEXT(銘柄管理!$B$6:$B$305,"0"),0)-1,0,1,10)),""))</f>
        <v/>
      </c>
      <c r="Q135" s="491" t="str">
        <f t="array" aca="1" ref="Q135" ca="1">IF(B135="","",IFERROR(MIN(OFFSET(安値!$E$6,MATCH(TEXT(B135,"0"),TEXT(銘柄管理!$B$6:$B$305,"0"),0)-1,0,1,10)),""))</f>
        <v/>
      </c>
      <c r="R135" s="491" t="str">
        <f t="shared" ca="1" si="46"/>
        <v/>
      </c>
      <c r="S135" s="589" t="str">
        <f t="shared" si="47"/>
        <v/>
      </c>
      <c r="T135" s="597" t="str">
        <f t="shared" ca="1" si="61"/>
        <v/>
      </c>
      <c r="U135" s="491" t="str">
        <f t="shared" ca="1" si="62"/>
        <v/>
      </c>
      <c r="V135" s="705" t="str">
        <f t="shared" ca="1" si="50"/>
        <v/>
      </c>
      <c r="W135" s="493" t="str">
        <f t="shared" ca="1" si="63"/>
        <v/>
      </c>
      <c r="X135" s="489" t="str">
        <f t="shared" ca="1" si="64"/>
        <v/>
      </c>
      <c r="Y135" s="488"/>
      <c r="Z135" s="714"/>
      <c r="AD135" s="611"/>
      <c r="AE135" s="603" t="str">
        <f t="shared" si="65"/>
        <v/>
      </c>
      <c r="AF135" s="603"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03"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03" t="str">
        <f t="shared" ca="1" si="66"/>
        <v/>
      </c>
      <c r="AI135" s="603" t="str" cm="1">
        <f t="array" ref="AI135">IFERROR(INDEX(始値!$E$6:$BT$305,MATCH(TEXT($B135,"0"),TEXT(銘柄管理!$B$6:$B$305,"0"),0),MATCH($AE135,始値!$E$3:$BT$3,0)),"")</f>
        <v/>
      </c>
      <c r="AJ135" s="603" t="str">
        <f t="shared" ca="1" si="67"/>
        <v/>
      </c>
      <c r="AK135" s="603" t="str">
        <f t="shared" ca="1" si="68"/>
        <v/>
      </c>
    </row>
    <row r="136" spans="1:37" ht="35.4" customHeight="1">
      <c r="A136" s="623" t="str">
        <f t="shared" si="57"/>
        <v/>
      </c>
      <c r="B136" s="489"/>
      <c r="C136" s="489"/>
      <c r="D136" s="489" t="str" cm="1">
        <f t="array" ref="D136">_xll.RssMarket(B136, "銘柄名称")</f>
        <v/>
      </c>
      <c r="E136" s="720"/>
      <c r="F136" s="702" t="str" cm="1">
        <f t="array" aca="1" ref="F136" ca="1">IFERROR(_xlfn.LET(_xlpm.r,MATCH(TEXT($B136,"0"),TEXT(銘柄管理!$B$6:$B$305,"0"),0),_xlpm.t,MOD(NOW(),1),_xlpm.c,IF($E136=TODAY(),IF(_xlpm.t&gt;=TIME(15,30,0),NA(),1),IF(MATCH($E136,始値!$E$3:$BT$3,0)=1,1,MATCH($E136,始値!$E$3:$BT$3,0)+1)),_xlpm.v,INDEX(始値!$C$6:$BT$305,_xlpm.r,_xlpm.c),IF(N(_xlpm.v)=0,"",_xlpm.v)),"")</f>
        <v/>
      </c>
      <c r="G136" s="489"/>
      <c r="H136" s="491" t="str" cm="1">
        <f t="array" ref="H136">_xll.RssMarket(B136, "現在値")</f>
        <v/>
      </c>
      <c r="I136" s="491" t="str" cm="1">
        <f t="array" ref="I136">_xll.RssMarket(B136, "出来高加重平均")</f>
        <v/>
      </c>
      <c r="J136" s="705" t="str" cm="1">
        <f t="array" ref="J136">_xll.RssMarket($B136, "前日比")</f>
        <v/>
      </c>
      <c r="K136" s="705" t="str">
        <f t="shared" ca="1" si="41"/>
        <v/>
      </c>
      <c r="L136" s="710" t="str">
        <f t="shared" ca="1" si="42"/>
        <v/>
      </c>
      <c r="M136" s="491" t="str">
        <f t="shared" ca="1" si="58"/>
        <v/>
      </c>
      <c r="N136" s="491" t="str">
        <f t="shared" ca="1" si="59"/>
        <v/>
      </c>
      <c r="O136" s="492" t="str">
        <f t="shared" ca="1" si="60"/>
        <v/>
      </c>
      <c r="P136" s="491" t="str">
        <f t="array" aca="1" ref="P136" ca="1">IF(B136="","",IFERROR(MAX(OFFSET(高値!$E$6,MATCH(TEXT(B136,"0"),TEXT(銘柄管理!$B$6:$B$305,"0"),0)-1,0,1,10)),""))</f>
        <v/>
      </c>
      <c r="Q136" s="491" t="str">
        <f t="array" aca="1" ref="Q136" ca="1">IF(B136="","",IFERROR(MIN(OFFSET(安値!$E$6,MATCH(TEXT(B136,"0"),TEXT(銘柄管理!$B$6:$B$305,"0"),0)-1,0,1,10)),""))</f>
        <v/>
      </c>
      <c r="R136" s="491" t="str">
        <f t="shared" ca="1" si="46"/>
        <v/>
      </c>
      <c r="S136" s="589" t="str">
        <f t="shared" si="47"/>
        <v/>
      </c>
      <c r="T136" s="597" t="str">
        <f t="shared" ca="1" si="61"/>
        <v/>
      </c>
      <c r="U136" s="491" t="str">
        <f t="shared" ca="1" si="62"/>
        <v/>
      </c>
      <c r="V136" s="705" t="str">
        <f t="shared" ca="1" si="50"/>
        <v/>
      </c>
      <c r="W136" s="493" t="str">
        <f t="shared" ca="1" si="63"/>
        <v/>
      </c>
      <c r="X136" s="489" t="str">
        <f t="shared" ca="1" si="64"/>
        <v/>
      </c>
      <c r="Y136" s="488"/>
      <c r="Z136" s="714"/>
      <c r="AD136" s="611"/>
      <c r="AE136" s="603" t="str">
        <f t="shared" si="65"/>
        <v/>
      </c>
      <c r="AF136" s="603"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03"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03" t="str">
        <f t="shared" ca="1" si="66"/>
        <v/>
      </c>
      <c r="AI136" s="603" t="str" cm="1">
        <f t="array" ref="AI136">IFERROR(INDEX(始値!$E$6:$BT$305,MATCH(TEXT($B136,"0"),TEXT(銘柄管理!$B$6:$B$305,"0"),0),MATCH($AE136,始値!$E$3:$BT$3,0)),"")</f>
        <v/>
      </c>
      <c r="AJ136" s="603" t="str">
        <f t="shared" ca="1" si="67"/>
        <v/>
      </c>
      <c r="AK136" s="603" t="str">
        <f t="shared" ca="1" si="68"/>
        <v/>
      </c>
    </row>
    <row r="137" spans="1:37" ht="35.4" customHeight="1">
      <c r="A137" s="623" t="str">
        <f t="shared" si="57"/>
        <v/>
      </c>
      <c r="B137" s="489"/>
      <c r="C137" s="489"/>
      <c r="D137" s="489" t="str" cm="1">
        <f t="array" ref="D137">_xll.RssMarket(B137, "銘柄名称")</f>
        <v/>
      </c>
      <c r="E137" s="720"/>
      <c r="F137" s="702" t="str" cm="1">
        <f t="array" aca="1" ref="F137" ca="1">IFERROR(_xlfn.LET(_xlpm.r,MATCH(TEXT($B137,"0"),TEXT(銘柄管理!$B$6:$B$305,"0"),0),_xlpm.t,MOD(NOW(),1),_xlpm.c,IF($E137=TODAY(),IF(_xlpm.t&gt;=TIME(15,30,0),NA(),1),IF(MATCH($E137,始値!$E$3:$BT$3,0)=1,1,MATCH($E137,始値!$E$3:$BT$3,0)+1)),_xlpm.v,INDEX(始値!$C$6:$BT$305,_xlpm.r,_xlpm.c),IF(N(_xlpm.v)=0,"",_xlpm.v)),"")</f>
        <v/>
      </c>
      <c r="G137" s="489"/>
      <c r="H137" s="491" t="str" cm="1">
        <f t="array" ref="H137">_xll.RssMarket(B137, "現在値")</f>
        <v/>
      </c>
      <c r="I137" s="491" t="str" cm="1">
        <f t="array" ref="I137">_xll.RssMarket(B137, "出来高加重平均")</f>
        <v/>
      </c>
      <c r="J137" s="705" t="str" cm="1">
        <f t="array" ref="J137">_xll.RssMarket($B137, "前日比")</f>
        <v/>
      </c>
      <c r="K137" s="705" t="str">
        <f t="shared" ca="1" si="41"/>
        <v/>
      </c>
      <c r="L137" s="710" t="str">
        <f t="shared" ca="1" si="42"/>
        <v/>
      </c>
      <c r="M137" s="491" t="str">
        <f t="shared" ca="1" si="58"/>
        <v/>
      </c>
      <c r="N137" s="491" t="str">
        <f t="shared" ca="1" si="59"/>
        <v/>
      </c>
      <c r="O137" s="492" t="str">
        <f t="shared" ca="1" si="60"/>
        <v/>
      </c>
      <c r="P137" s="491" t="str">
        <f t="array" aca="1" ref="P137" ca="1">IF(B137="","",IFERROR(MAX(OFFSET(高値!$E$6,MATCH(TEXT(B137,"0"),TEXT(銘柄管理!$B$6:$B$305,"0"),0)-1,0,1,10)),""))</f>
        <v/>
      </c>
      <c r="Q137" s="491" t="str">
        <f t="array" aca="1" ref="Q137" ca="1">IF(B137="","",IFERROR(MIN(OFFSET(安値!$E$6,MATCH(TEXT(B137,"0"),TEXT(銘柄管理!$B$6:$B$305,"0"),0)-1,0,1,10)),""))</f>
        <v/>
      </c>
      <c r="R137" s="491" t="str">
        <f t="shared" ca="1" si="46"/>
        <v/>
      </c>
      <c r="S137" s="589" t="str">
        <f t="shared" si="47"/>
        <v/>
      </c>
      <c r="T137" s="597" t="str">
        <f t="shared" ca="1" si="61"/>
        <v/>
      </c>
      <c r="U137" s="491" t="str">
        <f t="shared" ca="1" si="62"/>
        <v/>
      </c>
      <c r="V137" s="705" t="str">
        <f t="shared" ca="1" si="50"/>
        <v/>
      </c>
      <c r="W137" s="493" t="str">
        <f t="shared" ca="1" si="63"/>
        <v/>
      </c>
      <c r="X137" s="489" t="str">
        <f t="shared" ca="1" si="64"/>
        <v/>
      </c>
      <c r="Y137" s="488"/>
      <c r="Z137" s="714"/>
      <c r="AD137" s="611"/>
      <c r="AE137" s="603" t="str">
        <f t="shared" si="65"/>
        <v/>
      </c>
      <c r="AF137" s="603"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03"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03" t="str">
        <f t="shared" ca="1" si="66"/>
        <v/>
      </c>
      <c r="AI137" s="603" t="str" cm="1">
        <f t="array" ref="AI137">IFERROR(INDEX(始値!$E$6:$BT$305,MATCH(TEXT($B137,"0"),TEXT(銘柄管理!$B$6:$B$305,"0"),0),MATCH($AE137,始値!$E$3:$BT$3,0)),"")</f>
        <v/>
      </c>
      <c r="AJ137" s="603" t="str">
        <f t="shared" ca="1" si="67"/>
        <v/>
      </c>
      <c r="AK137" s="603" t="str">
        <f t="shared" ca="1" si="68"/>
        <v/>
      </c>
    </row>
    <row r="138" spans="1:37" ht="35.4" customHeight="1">
      <c r="A138" s="623" t="str">
        <f t="shared" si="57"/>
        <v/>
      </c>
      <c r="B138" s="489"/>
      <c r="C138" s="489"/>
      <c r="D138" s="489" t="str" cm="1">
        <f t="array" ref="D138">_xll.RssMarket(B138, "銘柄名称")</f>
        <v/>
      </c>
      <c r="E138" s="720"/>
      <c r="F138" s="702" t="str" cm="1">
        <f t="array" aca="1" ref="F138" ca="1">IFERROR(_xlfn.LET(_xlpm.r,MATCH(TEXT($B138,"0"),TEXT(銘柄管理!$B$6:$B$305,"0"),0),_xlpm.t,MOD(NOW(),1),_xlpm.c,IF($E138=TODAY(),IF(_xlpm.t&gt;=TIME(15,30,0),NA(),1),IF(MATCH($E138,始値!$E$3:$BT$3,0)=1,1,MATCH($E138,始値!$E$3:$BT$3,0)+1)),_xlpm.v,INDEX(始値!$C$6:$BT$305,_xlpm.r,_xlpm.c),IF(N(_xlpm.v)=0,"",_xlpm.v)),"")</f>
        <v/>
      </c>
      <c r="G138" s="489"/>
      <c r="H138" s="491" t="str" cm="1">
        <f t="array" ref="H138">_xll.RssMarket(B138, "現在値")</f>
        <v/>
      </c>
      <c r="I138" s="491" t="str" cm="1">
        <f t="array" ref="I138">_xll.RssMarket(B138, "出来高加重平均")</f>
        <v/>
      </c>
      <c r="J138" s="705" t="str" cm="1">
        <f t="array" ref="J138">_xll.RssMarket($B138, "前日比")</f>
        <v/>
      </c>
      <c r="K138" s="705" t="str">
        <f t="shared" ref="K138:K201" ca="1" si="69">IF(OR(F138="",G138="",H138=""),"",IF(C138="売",(F138-H138)*G138,(H138-F138)*G138))</f>
        <v/>
      </c>
      <c r="L138" s="710" t="str">
        <f t="shared" ref="L138:L201" ca="1" si="70">IF(OR(F138="",H138=""),"",IF(C138="売",(F138-H138)/F138,(H138-F138)/F138))</f>
        <v/>
      </c>
      <c r="M138" s="491" t="str">
        <f t="shared" ca="1" si="58"/>
        <v/>
      </c>
      <c r="N138" s="491" t="str">
        <f t="shared" ca="1" si="59"/>
        <v/>
      </c>
      <c r="O138" s="492" t="str">
        <f t="shared" ca="1" si="60"/>
        <v/>
      </c>
      <c r="P138" s="491" t="str">
        <f t="array" aca="1" ref="P138" ca="1">IF(B138="","",IFERROR(MAX(OFFSET(高値!$E$6,MATCH(TEXT(B138,"0"),TEXT(銘柄管理!$B$6:$B$305,"0"),0)-1,0,1,10)),""))</f>
        <v/>
      </c>
      <c r="Q138" s="491" t="str">
        <f t="array" aca="1" ref="Q138" ca="1">IF(B138="","",IFERROR(MIN(OFFSET(安値!$E$6,MATCH(TEXT(B138,"0"),TEXT(銘柄管理!$B$6:$B$305,"0"),0)-1,0,1,10)),""))</f>
        <v/>
      </c>
      <c r="R138" s="491" t="str">
        <f t="shared" ref="R138:R201" ca="1" si="71">IF(P138="","",ROUND(P138*0.97,0))</f>
        <v/>
      </c>
      <c r="S138" s="589" t="str">
        <f t="shared" ref="S138:S201" si="72">IF(B138="","",IF(T138&lt;&gt;"","✅売却済",IF(OR(H138="",L138=""),"📌保有中",IF(L138&gt;=0.06,"🟢利確推奨",IF(L138&gt;=0.05,"🟡利確直近",IF(L138&gt;=0.045,"🔵トレーリング検討",IF(L138&gt;-0.03,"📌保有中",IF(L138&gt;-0.04,"⚠️損切注意","🔴損切り"))))))))</f>
        <v/>
      </c>
      <c r="T138" s="597" t="str">
        <f t="shared" ca="1" si="61"/>
        <v/>
      </c>
      <c r="U138" s="491" t="str">
        <f t="shared" ca="1" si="62"/>
        <v/>
      </c>
      <c r="V138" s="705" t="str">
        <f t="shared" ref="V138:V201" ca="1" si="73">IF(OR(F138="",G138="",U138=""),"",IF(C138="売",(F138-U138)*G138,(U138-F138)*G138))</f>
        <v/>
      </c>
      <c r="W138" s="493" t="str">
        <f t="shared" ca="1" si="63"/>
        <v/>
      </c>
      <c r="X138" s="489" t="str">
        <f t="shared" ca="1" si="64"/>
        <v/>
      </c>
      <c r="Y138" s="488"/>
      <c r="Z138" s="714"/>
      <c r="AD138" s="611"/>
      <c r="AE138" s="603" t="str">
        <f t="shared" si="65"/>
        <v/>
      </c>
      <c r="AF138" s="603"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03"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03" t="str">
        <f t="shared" ca="1" si="66"/>
        <v/>
      </c>
      <c r="AI138" s="603" t="str" cm="1">
        <f t="array" ref="AI138">IFERROR(INDEX(始値!$E$6:$BT$305,MATCH(TEXT($B138,"0"),TEXT(銘柄管理!$B$6:$B$305,"0"),0),MATCH($AE138,始値!$E$3:$BT$3,0)),"")</f>
        <v/>
      </c>
      <c r="AJ138" s="603" t="str">
        <f t="shared" ca="1" si="67"/>
        <v/>
      </c>
      <c r="AK138" s="603" t="str">
        <f t="shared" ca="1" si="68"/>
        <v/>
      </c>
    </row>
    <row r="139" spans="1:37" ht="35.4" customHeight="1">
      <c r="A139" s="623" t="str">
        <f t="shared" si="57"/>
        <v/>
      </c>
      <c r="B139" s="489"/>
      <c r="C139" s="489"/>
      <c r="D139" s="489" t="str" cm="1">
        <f t="array" ref="D139">_xll.RssMarket(B139, "銘柄名称")</f>
        <v/>
      </c>
      <c r="E139" s="720"/>
      <c r="F139" s="702" t="str" cm="1">
        <f t="array" aca="1" ref="F139" ca="1">IFERROR(_xlfn.LET(_xlpm.r,MATCH(TEXT($B139,"0"),TEXT(銘柄管理!$B$6:$B$305,"0"),0),_xlpm.t,MOD(NOW(),1),_xlpm.c,IF($E139=TODAY(),IF(_xlpm.t&gt;=TIME(15,30,0),NA(),1),IF(MATCH($E139,始値!$E$3:$BT$3,0)=1,1,MATCH($E139,始値!$E$3:$BT$3,0)+1)),_xlpm.v,INDEX(始値!$C$6:$BT$305,_xlpm.r,_xlpm.c),IF(N(_xlpm.v)=0,"",_xlpm.v)),"")</f>
        <v/>
      </c>
      <c r="G139" s="489"/>
      <c r="H139" s="491" t="str" cm="1">
        <f t="array" ref="H139">_xll.RssMarket(B139, "現在値")</f>
        <v/>
      </c>
      <c r="I139" s="491" t="str" cm="1">
        <f t="array" ref="I139">_xll.RssMarket(B139, "出来高加重平均")</f>
        <v/>
      </c>
      <c r="J139" s="705" t="str" cm="1">
        <f t="array" ref="J139">_xll.RssMarket($B139, "前日比")</f>
        <v/>
      </c>
      <c r="K139" s="705" t="str">
        <f t="shared" ca="1" si="69"/>
        <v/>
      </c>
      <c r="L139" s="710" t="str">
        <f t="shared" ca="1" si="70"/>
        <v/>
      </c>
      <c r="M139" s="491" t="str">
        <f t="shared" ca="1" si="58"/>
        <v/>
      </c>
      <c r="N139" s="491" t="str">
        <f t="shared" ca="1" si="59"/>
        <v/>
      </c>
      <c r="O139" s="492" t="str">
        <f t="shared" ca="1" si="60"/>
        <v/>
      </c>
      <c r="P139" s="491" t="str">
        <f t="array" aca="1" ref="P139" ca="1">IF(B139="","",IFERROR(MAX(OFFSET(高値!$E$6,MATCH(TEXT(B139,"0"),TEXT(銘柄管理!$B$6:$B$305,"0"),0)-1,0,1,10)),""))</f>
        <v/>
      </c>
      <c r="Q139" s="491" t="str">
        <f t="array" aca="1" ref="Q139" ca="1">IF(B139="","",IFERROR(MIN(OFFSET(安値!$E$6,MATCH(TEXT(B139,"0"),TEXT(銘柄管理!$B$6:$B$305,"0"),0)-1,0,1,10)),""))</f>
        <v/>
      </c>
      <c r="R139" s="491" t="str">
        <f t="shared" ca="1" si="71"/>
        <v/>
      </c>
      <c r="S139" s="589" t="str">
        <f t="shared" si="72"/>
        <v/>
      </c>
      <c r="T139" s="597" t="str">
        <f t="shared" ca="1" si="61"/>
        <v/>
      </c>
      <c r="U139" s="491" t="str">
        <f t="shared" ca="1" si="62"/>
        <v/>
      </c>
      <c r="V139" s="705" t="str">
        <f t="shared" ca="1" si="73"/>
        <v/>
      </c>
      <c r="W139" s="493" t="str">
        <f t="shared" ca="1" si="63"/>
        <v/>
      </c>
      <c r="X139" s="489" t="str">
        <f t="shared" ca="1" si="64"/>
        <v/>
      </c>
      <c r="Y139" s="488"/>
      <c r="Z139" s="714"/>
      <c r="AD139" s="611"/>
      <c r="AE139" s="603" t="str">
        <f t="shared" si="65"/>
        <v/>
      </c>
      <c r="AF139" s="603"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03"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03" t="str">
        <f t="shared" ca="1" si="66"/>
        <v/>
      </c>
      <c r="AI139" s="603" t="str" cm="1">
        <f t="array" ref="AI139">IFERROR(INDEX(始値!$E$6:$BT$305,MATCH(TEXT($B139,"0"),TEXT(銘柄管理!$B$6:$B$305,"0"),0),MATCH($AE139,始値!$E$3:$BT$3,0)),"")</f>
        <v/>
      </c>
      <c r="AJ139" s="603" t="str">
        <f t="shared" ca="1" si="67"/>
        <v/>
      </c>
      <c r="AK139" s="603" t="str">
        <f t="shared" ca="1" si="68"/>
        <v/>
      </c>
    </row>
    <row r="140" spans="1:37" ht="35.4" customHeight="1">
      <c r="A140" s="623" t="str">
        <f t="shared" si="57"/>
        <v/>
      </c>
      <c r="B140" s="489"/>
      <c r="C140" s="489"/>
      <c r="D140" s="489" t="str" cm="1">
        <f t="array" ref="D140">_xll.RssMarket(B140, "銘柄名称")</f>
        <v/>
      </c>
      <c r="E140" s="720"/>
      <c r="F140" s="702" t="str" cm="1">
        <f t="array" aca="1" ref="F140" ca="1">IFERROR(_xlfn.LET(_xlpm.r,MATCH(TEXT($B140,"0"),TEXT(銘柄管理!$B$6:$B$305,"0"),0),_xlpm.t,MOD(NOW(),1),_xlpm.c,IF($E140=TODAY(),IF(_xlpm.t&gt;=TIME(15,30,0),NA(),1),IF(MATCH($E140,始値!$E$3:$BT$3,0)=1,1,MATCH($E140,始値!$E$3:$BT$3,0)+1)),_xlpm.v,INDEX(始値!$C$6:$BT$305,_xlpm.r,_xlpm.c),IF(N(_xlpm.v)=0,"",_xlpm.v)),"")</f>
        <v/>
      </c>
      <c r="G140" s="489"/>
      <c r="H140" s="491" t="str" cm="1">
        <f t="array" ref="H140">_xll.RssMarket(B140, "現在値")</f>
        <v/>
      </c>
      <c r="I140" s="491" t="str" cm="1">
        <f t="array" ref="I140">_xll.RssMarket(B140, "出来高加重平均")</f>
        <v/>
      </c>
      <c r="J140" s="705" t="str" cm="1">
        <f t="array" ref="J140">_xll.RssMarket($B140, "前日比")</f>
        <v/>
      </c>
      <c r="K140" s="705" t="str">
        <f t="shared" ca="1" si="69"/>
        <v/>
      </c>
      <c r="L140" s="710" t="str">
        <f t="shared" ca="1" si="70"/>
        <v/>
      </c>
      <c r="M140" s="491" t="str">
        <f t="shared" ca="1" si="58"/>
        <v/>
      </c>
      <c r="N140" s="491" t="str">
        <f t="shared" ca="1" si="59"/>
        <v/>
      </c>
      <c r="O140" s="492" t="str">
        <f t="shared" ca="1" si="60"/>
        <v/>
      </c>
      <c r="P140" s="491" t="str">
        <f t="array" aca="1" ref="P140" ca="1">IF(B140="","",IFERROR(MAX(OFFSET(高値!$E$6,MATCH(TEXT(B140,"0"),TEXT(銘柄管理!$B$6:$B$305,"0"),0)-1,0,1,10)),""))</f>
        <v/>
      </c>
      <c r="Q140" s="491" t="str">
        <f t="array" aca="1" ref="Q140" ca="1">IF(B140="","",IFERROR(MIN(OFFSET(安値!$E$6,MATCH(TEXT(B140,"0"),TEXT(銘柄管理!$B$6:$B$305,"0"),0)-1,0,1,10)),""))</f>
        <v/>
      </c>
      <c r="R140" s="491" t="str">
        <f t="shared" ca="1" si="71"/>
        <v/>
      </c>
      <c r="S140" s="589" t="str">
        <f t="shared" si="72"/>
        <v/>
      </c>
      <c r="T140" s="597" t="str">
        <f t="shared" ca="1" si="61"/>
        <v/>
      </c>
      <c r="U140" s="491" t="str">
        <f t="shared" ca="1" si="62"/>
        <v/>
      </c>
      <c r="V140" s="705" t="str">
        <f t="shared" ca="1" si="73"/>
        <v/>
      </c>
      <c r="W140" s="493" t="str">
        <f t="shared" ca="1" si="63"/>
        <v/>
      </c>
      <c r="X140" s="489" t="str">
        <f t="shared" ca="1" si="64"/>
        <v/>
      </c>
      <c r="Y140" s="488"/>
      <c r="Z140" s="714"/>
      <c r="AD140" s="611"/>
      <c r="AE140" s="603" t="str">
        <f t="shared" si="65"/>
        <v/>
      </c>
      <c r="AF140" s="603"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03"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03" t="str">
        <f t="shared" ca="1" si="66"/>
        <v/>
      </c>
      <c r="AI140" s="603" t="str" cm="1">
        <f t="array" ref="AI140">IFERROR(INDEX(始値!$E$6:$BT$305,MATCH(TEXT($B140,"0"),TEXT(銘柄管理!$B$6:$B$305,"0"),0),MATCH($AE140,始値!$E$3:$BT$3,0)),"")</f>
        <v/>
      </c>
      <c r="AJ140" s="603" t="str">
        <f t="shared" ca="1" si="67"/>
        <v/>
      </c>
      <c r="AK140" s="603" t="str">
        <f t="shared" ca="1" si="68"/>
        <v/>
      </c>
    </row>
    <row r="141" spans="1:37" ht="35.4" customHeight="1">
      <c r="A141" s="623" t="str">
        <f t="shared" si="57"/>
        <v/>
      </c>
      <c r="B141" s="489"/>
      <c r="C141" s="489"/>
      <c r="D141" s="489" t="str" cm="1">
        <f t="array" ref="D141">_xll.RssMarket(B141, "銘柄名称")</f>
        <v/>
      </c>
      <c r="E141" s="720"/>
      <c r="F141" s="702" t="str" cm="1">
        <f t="array" aca="1" ref="F141" ca="1">IFERROR(_xlfn.LET(_xlpm.r,MATCH(TEXT($B141,"0"),TEXT(銘柄管理!$B$6:$B$305,"0"),0),_xlpm.t,MOD(NOW(),1),_xlpm.c,IF($E141=TODAY(),IF(_xlpm.t&gt;=TIME(15,30,0),NA(),1),IF(MATCH($E141,始値!$E$3:$BT$3,0)=1,1,MATCH($E141,始値!$E$3:$BT$3,0)+1)),_xlpm.v,INDEX(始値!$C$6:$BT$305,_xlpm.r,_xlpm.c),IF(N(_xlpm.v)=0,"",_xlpm.v)),"")</f>
        <v/>
      </c>
      <c r="G141" s="489"/>
      <c r="H141" s="491" t="str" cm="1">
        <f t="array" ref="H141">_xll.RssMarket(B141, "現在値")</f>
        <v/>
      </c>
      <c r="I141" s="491" t="str" cm="1">
        <f t="array" ref="I141">_xll.RssMarket(B141, "出来高加重平均")</f>
        <v/>
      </c>
      <c r="J141" s="705" t="str" cm="1">
        <f t="array" ref="J141">_xll.RssMarket($B141, "前日比")</f>
        <v/>
      </c>
      <c r="K141" s="705" t="str">
        <f t="shared" ca="1" si="69"/>
        <v/>
      </c>
      <c r="L141" s="710" t="str">
        <f t="shared" ca="1" si="70"/>
        <v/>
      </c>
      <c r="M141" s="491" t="str">
        <f t="shared" ca="1" si="58"/>
        <v/>
      </c>
      <c r="N141" s="491" t="str">
        <f t="shared" ca="1" si="59"/>
        <v/>
      </c>
      <c r="O141" s="492" t="str">
        <f t="shared" ca="1" si="60"/>
        <v/>
      </c>
      <c r="P141" s="491" t="str">
        <f t="array" aca="1" ref="P141" ca="1">IF(B141="","",IFERROR(MAX(OFFSET(高値!$E$6,MATCH(TEXT(B141,"0"),TEXT(銘柄管理!$B$6:$B$305,"0"),0)-1,0,1,10)),""))</f>
        <v/>
      </c>
      <c r="Q141" s="491" t="str">
        <f t="array" aca="1" ref="Q141" ca="1">IF(B141="","",IFERROR(MIN(OFFSET(安値!$E$6,MATCH(TEXT(B141,"0"),TEXT(銘柄管理!$B$6:$B$305,"0"),0)-1,0,1,10)),""))</f>
        <v/>
      </c>
      <c r="R141" s="491" t="str">
        <f t="shared" ca="1" si="71"/>
        <v/>
      </c>
      <c r="S141" s="589" t="str">
        <f t="shared" si="72"/>
        <v/>
      </c>
      <c r="T141" s="597" t="str">
        <f t="shared" ca="1" si="61"/>
        <v/>
      </c>
      <c r="U141" s="491" t="str">
        <f t="shared" ca="1" si="62"/>
        <v/>
      </c>
      <c r="V141" s="705" t="str">
        <f t="shared" ca="1" si="73"/>
        <v/>
      </c>
      <c r="W141" s="493" t="str">
        <f t="shared" ca="1" si="63"/>
        <v/>
      </c>
      <c r="X141" s="489" t="str">
        <f t="shared" ca="1" si="64"/>
        <v/>
      </c>
      <c r="Y141" s="488"/>
      <c r="Z141" s="714"/>
      <c r="AD141" s="611"/>
      <c r="AE141" s="603" t="str">
        <f t="shared" si="65"/>
        <v/>
      </c>
      <c r="AF141" s="603"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03"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03" t="str">
        <f t="shared" ca="1" si="66"/>
        <v/>
      </c>
      <c r="AI141" s="603" t="str" cm="1">
        <f t="array" ref="AI141">IFERROR(INDEX(始値!$E$6:$BT$305,MATCH(TEXT($B141,"0"),TEXT(銘柄管理!$B$6:$B$305,"0"),0),MATCH($AE141,始値!$E$3:$BT$3,0)),"")</f>
        <v/>
      </c>
      <c r="AJ141" s="603" t="str">
        <f t="shared" ca="1" si="67"/>
        <v/>
      </c>
      <c r="AK141" s="603" t="str">
        <f t="shared" ca="1" si="68"/>
        <v/>
      </c>
    </row>
    <row r="142" spans="1:37" ht="35.4" customHeight="1">
      <c r="A142" s="623" t="str">
        <f t="shared" si="57"/>
        <v/>
      </c>
      <c r="B142" s="489"/>
      <c r="C142" s="489"/>
      <c r="D142" s="489" t="str" cm="1">
        <f t="array" ref="D142">_xll.RssMarket(B142, "銘柄名称")</f>
        <v/>
      </c>
      <c r="E142" s="720"/>
      <c r="F142" s="702" t="str" cm="1">
        <f t="array" aca="1" ref="F142" ca="1">IFERROR(_xlfn.LET(_xlpm.r,MATCH(TEXT($B142,"0"),TEXT(銘柄管理!$B$6:$B$305,"0"),0),_xlpm.t,MOD(NOW(),1),_xlpm.c,IF($E142=TODAY(),IF(_xlpm.t&gt;=TIME(15,30,0),NA(),1),IF(MATCH($E142,始値!$E$3:$BT$3,0)=1,1,MATCH($E142,始値!$E$3:$BT$3,0)+1)),_xlpm.v,INDEX(始値!$C$6:$BT$305,_xlpm.r,_xlpm.c),IF(N(_xlpm.v)=0,"",_xlpm.v)),"")</f>
        <v/>
      </c>
      <c r="G142" s="489"/>
      <c r="H142" s="491" t="str" cm="1">
        <f t="array" ref="H142">_xll.RssMarket(B142, "現在値")</f>
        <v/>
      </c>
      <c r="I142" s="491" t="str" cm="1">
        <f t="array" ref="I142">_xll.RssMarket(B142, "出来高加重平均")</f>
        <v/>
      </c>
      <c r="J142" s="705" t="str" cm="1">
        <f t="array" ref="J142">_xll.RssMarket($B142, "前日比")</f>
        <v/>
      </c>
      <c r="K142" s="705" t="str">
        <f t="shared" ca="1" si="69"/>
        <v/>
      </c>
      <c r="L142" s="710" t="str">
        <f t="shared" ca="1" si="70"/>
        <v/>
      </c>
      <c r="M142" s="491" t="str">
        <f t="shared" ca="1" si="58"/>
        <v/>
      </c>
      <c r="N142" s="491" t="str">
        <f t="shared" ca="1" si="59"/>
        <v/>
      </c>
      <c r="O142" s="492" t="str">
        <f t="shared" ca="1" si="60"/>
        <v/>
      </c>
      <c r="P142" s="491" t="str">
        <f t="array" aca="1" ref="P142" ca="1">IF(B142="","",IFERROR(MAX(OFFSET(高値!$E$6,MATCH(TEXT(B142,"0"),TEXT(銘柄管理!$B$6:$B$305,"0"),0)-1,0,1,10)),""))</f>
        <v/>
      </c>
      <c r="Q142" s="491" t="str">
        <f t="array" aca="1" ref="Q142" ca="1">IF(B142="","",IFERROR(MIN(OFFSET(安値!$E$6,MATCH(TEXT(B142,"0"),TEXT(銘柄管理!$B$6:$B$305,"0"),0)-1,0,1,10)),""))</f>
        <v/>
      </c>
      <c r="R142" s="491" t="str">
        <f t="shared" ca="1" si="71"/>
        <v/>
      </c>
      <c r="S142" s="589" t="str">
        <f t="shared" si="72"/>
        <v/>
      </c>
      <c r="T142" s="597" t="str">
        <f t="shared" ca="1" si="61"/>
        <v/>
      </c>
      <c r="U142" s="491" t="str">
        <f t="shared" ca="1" si="62"/>
        <v/>
      </c>
      <c r="V142" s="705" t="str">
        <f t="shared" ca="1" si="73"/>
        <v/>
      </c>
      <c r="W142" s="493" t="str">
        <f t="shared" ca="1" si="63"/>
        <v/>
      </c>
      <c r="X142" s="489" t="str">
        <f t="shared" ca="1" si="64"/>
        <v/>
      </c>
      <c r="Y142" s="488"/>
      <c r="Z142" s="714"/>
      <c r="AD142" s="611"/>
      <c r="AE142" s="603" t="str">
        <f t="shared" si="65"/>
        <v/>
      </c>
      <c r="AF142" s="603"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03"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03" t="str">
        <f t="shared" ca="1" si="66"/>
        <v/>
      </c>
      <c r="AI142" s="603" t="str" cm="1">
        <f t="array" ref="AI142">IFERROR(INDEX(始値!$E$6:$BT$305,MATCH(TEXT($B142,"0"),TEXT(銘柄管理!$B$6:$B$305,"0"),0),MATCH($AE142,始値!$E$3:$BT$3,0)),"")</f>
        <v/>
      </c>
      <c r="AJ142" s="603" t="str">
        <f t="shared" ca="1" si="67"/>
        <v/>
      </c>
      <c r="AK142" s="603" t="str">
        <f t="shared" ca="1" si="68"/>
        <v/>
      </c>
    </row>
    <row r="143" spans="1:37" ht="35.4" customHeight="1">
      <c r="A143" s="623" t="str">
        <f t="shared" si="57"/>
        <v/>
      </c>
      <c r="B143" s="489"/>
      <c r="C143" s="489"/>
      <c r="D143" s="489" t="str" cm="1">
        <f t="array" ref="D143">_xll.RssMarket(B143, "銘柄名称")</f>
        <v/>
      </c>
      <c r="E143" s="720"/>
      <c r="F143" s="702" t="str" cm="1">
        <f t="array" aca="1" ref="F143" ca="1">IFERROR(_xlfn.LET(_xlpm.r,MATCH(TEXT($B143,"0"),TEXT(銘柄管理!$B$6:$B$305,"0"),0),_xlpm.t,MOD(NOW(),1),_xlpm.c,IF($E143=TODAY(),IF(_xlpm.t&gt;=TIME(15,30,0),NA(),1),IF(MATCH($E143,始値!$E$3:$BT$3,0)=1,1,MATCH($E143,始値!$E$3:$BT$3,0)+1)),_xlpm.v,INDEX(始値!$C$6:$BT$305,_xlpm.r,_xlpm.c),IF(N(_xlpm.v)=0,"",_xlpm.v)),"")</f>
        <v/>
      </c>
      <c r="G143" s="489"/>
      <c r="H143" s="491" t="str" cm="1">
        <f t="array" ref="H143">_xll.RssMarket(B143, "現在値")</f>
        <v/>
      </c>
      <c r="I143" s="491" t="str" cm="1">
        <f t="array" ref="I143">_xll.RssMarket(B143, "出来高加重平均")</f>
        <v/>
      </c>
      <c r="J143" s="705" t="str" cm="1">
        <f t="array" ref="J143">_xll.RssMarket($B143, "前日比")</f>
        <v/>
      </c>
      <c r="K143" s="705" t="str">
        <f t="shared" ca="1" si="69"/>
        <v/>
      </c>
      <c r="L143" s="710" t="str">
        <f t="shared" ca="1" si="70"/>
        <v/>
      </c>
      <c r="M143" s="491" t="str">
        <f t="shared" ca="1" si="58"/>
        <v/>
      </c>
      <c r="N143" s="491" t="str">
        <f t="shared" ca="1" si="59"/>
        <v/>
      </c>
      <c r="O143" s="492" t="str">
        <f t="shared" ca="1" si="60"/>
        <v/>
      </c>
      <c r="P143" s="491" t="str">
        <f t="array" aca="1" ref="P143" ca="1">IF(B143="","",IFERROR(MAX(OFFSET(高値!$E$6,MATCH(TEXT(B143,"0"),TEXT(銘柄管理!$B$6:$B$305,"0"),0)-1,0,1,10)),""))</f>
        <v/>
      </c>
      <c r="Q143" s="491" t="str">
        <f t="array" aca="1" ref="Q143" ca="1">IF(B143="","",IFERROR(MIN(OFFSET(安値!$E$6,MATCH(TEXT(B143,"0"),TEXT(銘柄管理!$B$6:$B$305,"0"),0)-1,0,1,10)),""))</f>
        <v/>
      </c>
      <c r="R143" s="491" t="str">
        <f t="shared" ca="1" si="71"/>
        <v/>
      </c>
      <c r="S143" s="589" t="str">
        <f t="shared" si="72"/>
        <v/>
      </c>
      <c r="T143" s="597" t="str">
        <f t="shared" ca="1" si="61"/>
        <v/>
      </c>
      <c r="U143" s="491" t="str">
        <f t="shared" ca="1" si="62"/>
        <v/>
      </c>
      <c r="V143" s="705" t="str">
        <f t="shared" ca="1" si="73"/>
        <v/>
      </c>
      <c r="W143" s="493" t="str">
        <f t="shared" ca="1" si="63"/>
        <v/>
      </c>
      <c r="X143" s="489" t="str">
        <f t="shared" ca="1" si="64"/>
        <v/>
      </c>
      <c r="Y143" s="488"/>
      <c r="Z143" s="714"/>
      <c r="AD143" s="611"/>
      <c r="AE143" s="603" t="str">
        <f t="shared" si="65"/>
        <v/>
      </c>
      <c r="AF143" s="603"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03"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03" t="str">
        <f t="shared" ca="1" si="66"/>
        <v/>
      </c>
      <c r="AI143" s="603" t="str" cm="1">
        <f t="array" ref="AI143">IFERROR(INDEX(始値!$E$6:$BT$305,MATCH(TEXT($B143,"0"),TEXT(銘柄管理!$B$6:$B$305,"0"),0),MATCH($AE143,始値!$E$3:$BT$3,0)),"")</f>
        <v/>
      </c>
      <c r="AJ143" s="603" t="str">
        <f t="shared" ca="1" si="67"/>
        <v/>
      </c>
      <c r="AK143" s="603" t="str">
        <f t="shared" ca="1" si="68"/>
        <v/>
      </c>
    </row>
    <row r="144" spans="1:37" ht="35.4" customHeight="1">
      <c r="A144" s="623" t="str">
        <f t="shared" si="57"/>
        <v/>
      </c>
      <c r="B144" s="489"/>
      <c r="C144" s="489"/>
      <c r="D144" s="489" t="str" cm="1">
        <f t="array" ref="D144">_xll.RssMarket(B144, "銘柄名称")</f>
        <v/>
      </c>
      <c r="E144" s="720"/>
      <c r="F144" s="702" t="str" cm="1">
        <f t="array" aca="1" ref="F144" ca="1">IFERROR(_xlfn.LET(_xlpm.r,MATCH(TEXT($B144,"0"),TEXT(銘柄管理!$B$6:$B$305,"0"),0),_xlpm.t,MOD(NOW(),1),_xlpm.c,IF($E144=TODAY(),IF(_xlpm.t&gt;=TIME(15,30,0),NA(),1),IF(MATCH($E144,始値!$E$3:$BT$3,0)=1,1,MATCH($E144,始値!$E$3:$BT$3,0)+1)),_xlpm.v,INDEX(始値!$C$6:$BT$305,_xlpm.r,_xlpm.c),IF(N(_xlpm.v)=0,"",_xlpm.v)),"")</f>
        <v/>
      </c>
      <c r="G144" s="489"/>
      <c r="H144" s="491" t="str" cm="1">
        <f t="array" ref="H144">_xll.RssMarket(B144, "現在値")</f>
        <v/>
      </c>
      <c r="I144" s="491" t="str" cm="1">
        <f t="array" ref="I144">_xll.RssMarket(B144, "出来高加重平均")</f>
        <v/>
      </c>
      <c r="J144" s="705" t="str" cm="1">
        <f t="array" ref="J144">_xll.RssMarket($B144, "前日比")</f>
        <v/>
      </c>
      <c r="K144" s="705" t="str">
        <f t="shared" ca="1" si="69"/>
        <v/>
      </c>
      <c r="L144" s="710" t="str">
        <f t="shared" ca="1" si="70"/>
        <v/>
      </c>
      <c r="M144" s="491" t="str">
        <f t="shared" ca="1" si="58"/>
        <v/>
      </c>
      <c r="N144" s="491" t="str">
        <f t="shared" ca="1" si="59"/>
        <v/>
      </c>
      <c r="O144" s="492" t="str">
        <f t="shared" ca="1" si="60"/>
        <v/>
      </c>
      <c r="P144" s="491" t="str">
        <f t="array" aca="1" ref="P144" ca="1">IF(B144="","",IFERROR(MAX(OFFSET(高値!$E$6,MATCH(TEXT(B144,"0"),TEXT(銘柄管理!$B$6:$B$305,"0"),0)-1,0,1,10)),""))</f>
        <v/>
      </c>
      <c r="Q144" s="491" t="str">
        <f t="array" aca="1" ref="Q144" ca="1">IF(B144="","",IFERROR(MIN(OFFSET(安値!$E$6,MATCH(TEXT(B144,"0"),TEXT(銘柄管理!$B$6:$B$305,"0"),0)-1,0,1,10)),""))</f>
        <v/>
      </c>
      <c r="R144" s="491" t="str">
        <f t="shared" ca="1" si="71"/>
        <v/>
      </c>
      <c r="S144" s="589" t="str">
        <f t="shared" si="72"/>
        <v/>
      </c>
      <c r="T144" s="597" t="str">
        <f t="shared" ca="1" si="61"/>
        <v/>
      </c>
      <c r="U144" s="491" t="str">
        <f t="shared" ca="1" si="62"/>
        <v/>
      </c>
      <c r="V144" s="705" t="str">
        <f t="shared" ca="1" si="73"/>
        <v/>
      </c>
      <c r="W144" s="493" t="str">
        <f t="shared" ca="1" si="63"/>
        <v/>
      </c>
      <c r="X144" s="489" t="str">
        <f t="shared" ca="1" si="64"/>
        <v/>
      </c>
      <c r="Y144" s="488"/>
      <c r="Z144" s="714"/>
      <c r="AD144" s="611"/>
      <c r="AE144" s="603" t="str">
        <f t="shared" si="65"/>
        <v/>
      </c>
      <c r="AF144" s="603"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03"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03" t="str">
        <f t="shared" ca="1" si="66"/>
        <v/>
      </c>
      <c r="AI144" s="603" t="str" cm="1">
        <f t="array" ref="AI144">IFERROR(INDEX(始値!$E$6:$BT$305,MATCH(TEXT($B144,"0"),TEXT(銘柄管理!$B$6:$B$305,"0"),0),MATCH($AE144,始値!$E$3:$BT$3,0)),"")</f>
        <v/>
      </c>
      <c r="AJ144" s="603" t="str">
        <f t="shared" ca="1" si="67"/>
        <v/>
      </c>
      <c r="AK144" s="603" t="str">
        <f t="shared" ca="1" si="68"/>
        <v/>
      </c>
    </row>
    <row r="145" spans="1:37" ht="35.4" customHeight="1">
      <c r="A145" s="623" t="str">
        <f t="shared" si="57"/>
        <v/>
      </c>
      <c r="B145" s="489"/>
      <c r="C145" s="489"/>
      <c r="D145" s="489" t="str" cm="1">
        <f t="array" ref="D145">_xll.RssMarket(B145, "銘柄名称")</f>
        <v/>
      </c>
      <c r="E145" s="720"/>
      <c r="F145" s="702" t="str" cm="1">
        <f t="array" aca="1" ref="F145" ca="1">IFERROR(_xlfn.LET(_xlpm.r,MATCH(TEXT($B145,"0"),TEXT(銘柄管理!$B$6:$B$305,"0"),0),_xlpm.t,MOD(NOW(),1),_xlpm.c,IF($E145=TODAY(),IF(_xlpm.t&gt;=TIME(15,30,0),NA(),1),IF(MATCH($E145,始値!$E$3:$BT$3,0)=1,1,MATCH($E145,始値!$E$3:$BT$3,0)+1)),_xlpm.v,INDEX(始値!$C$6:$BT$305,_xlpm.r,_xlpm.c),IF(N(_xlpm.v)=0,"",_xlpm.v)),"")</f>
        <v/>
      </c>
      <c r="G145" s="489"/>
      <c r="H145" s="491" t="str" cm="1">
        <f t="array" ref="H145">_xll.RssMarket(B145, "現在値")</f>
        <v/>
      </c>
      <c r="I145" s="491" t="str" cm="1">
        <f t="array" ref="I145">_xll.RssMarket(B145, "出来高加重平均")</f>
        <v/>
      </c>
      <c r="J145" s="705" t="str" cm="1">
        <f t="array" ref="J145">_xll.RssMarket($B145, "前日比")</f>
        <v/>
      </c>
      <c r="K145" s="705" t="str">
        <f t="shared" ca="1" si="69"/>
        <v/>
      </c>
      <c r="L145" s="710" t="str">
        <f t="shared" ca="1" si="70"/>
        <v/>
      </c>
      <c r="M145" s="491" t="str">
        <f t="shared" ca="1" si="58"/>
        <v/>
      </c>
      <c r="N145" s="491" t="str">
        <f t="shared" ca="1" si="59"/>
        <v/>
      </c>
      <c r="O145" s="492" t="str">
        <f t="shared" ca="1" si="60"/>
        <v/>
      </c>
      <c r="P145" s="491" t="str">
        <f t="array" aca="1" ref="P145" ca="1">IF(B145="","",IFERROR(MAX(OFFSET(高値!$E$6,MATCH(TEXT(B145,"0"),TEXT(銘柄管理!$B$6:$B$305,"0"),0)-1,0,1,10)),""))</f>
        <v/>
      </c>
      <c r="Q145" s="491" t="str">
        <f t="array" aca="1" ref="Q145" ca="1">IF(B145="","",IFERROR(MIN(OFFSET(安値!$E$6,MATCH(TEXT(B145,"0"),TEXT(銘柄管理!$B$6:$B$305,"0"),0)-1,0,1,10)),""))</f>
        <v/>
      </c>
      <c r="R145" s="491" t="str">
        <f t="shared" ca="1" si="71"/>
        <v/>
      </c>
      <c r="S145" s="589" t="str">
        <f t="shared" si="72"/>
        <v/>
      </c>
      <c r="T145" s="597" t="str">
        <f t="shared" ca="1" si="61"/>
        <v/>
      </c>
      <c r="U145" s="491" t="str">
        <f t="shared" ca="1" si="62"/>
        <v/>
      </c>
      <c r="V145" s="705" t="str">
        <f t="shared" ca="1" si="73"/>
        <v/>
      </c>
      <c r="W145" s="493" t="str">
        <f t="shared" ca="1" si="63"/>
        <v/>
      </c>
      <c r="X145" s="489" t="str">
        <f t="shared" ca="1" si="64"/>
        <v/>
      </c>
      <c r="Y145" s="488"/>
      <c r="Z145" s="714"/>
      <c r="AD145" s="611"/>
      <c r="AE145" s="603" t="str">
        <f t="shared" si="65"/>
        <v/>
      </c>
      <c r="AF145" s="603"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03"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03" t="str">
        <f t="shared" ca="1" si="66"/>
        <v/>
      </c>
      <c r="AI145" s="603" t="str" cm="1">
        <f t="array" ref="AI145">IFERROR(INDEX(始値!$E$6:$BT$305,MATCH(TEXT($B145,"0"),TEXT(銘柄管理!$B$6:$B$305,"0"),0),MATCH($AE145,始値!$E$3:$BT$3,0)),"")</f>
        <v/>
      </c>
      <c r="AJ145" s="603" t="str">
        <f t="shared" ca="1" si="67"/>
        <v/>
      </c>
      <c r="AK145" s="603" t="str">
        <f t="shared" ca="1" si="68"/>
        <v/>
      </c>
    </row>
    <row r="146" spans="1:37" ht="35.4" customHeight="1">
      <c r="A146" s="623" t="str">
        <f t="shared" si="57"/>
        <v/>
      </c>
      <c r="B146" s="489"/>
      <c r="C146" s="489"/>
      <c r="D146" s="489" t="str" cm="1">
        <f t="array" ref="D146">_xll.RssMarket(B146, "銘柄名称")</f>
        <v/>
      </c>
      <c r="E146" s="720"/>
      <c r="F146" s="702" t="str" cm="1">
        <f t="array" aca="1" ref="F146" ca="1">IFERROR(_xlfn.LET(_xlpm.r,MATCH(TEXT($B146,"0"),TEXT(銘柄管理!$B$6:$B$305,"0"),0),_xlpm.t,MOD(NOW(),1),_xlpm.c,IF($E146=TODAY(),IF(_xlpm.t&gt;=TIME(15,30,0),NA(),1),IF(MATCH($E146,始値!$E$3:$BT$3,0)=1,1,MATCH($E146,始値!$E$3:$BT$3,0)+1)),_xlpm.v,INDEX(始値!$C$6:$BT$305,_xlpm.r,_xlpm.c),IF(N(_xlpm.v)=0,"",_xlpm.v)),"")</f>
        <v/>
      </c>
      <c r="G146" s="489"/>
      <c r="H146" s="491" t="str" cm="1">
        <f t="array" ref="H146">_xll.RssMarket(B146, "現在値")</f>
        <v/>
      </c>
      <c r="I146" s="491" t="str" cm="1">
        <f t="array" ref="I146">_xll.RssMarket(B146, "出来高加重平均")</f>
        <v/>
      </c>
      <c r="J146" s="705" t="str" cm="1">
        <f t="array" ref="J146">_xll.RssMarket($B146, "前日比")</f>
        <v/>
      </c>
      <c r="K146" s="705" t="str">
        <f t="shared" ca="1" si="69"/>
        <v/>
      </c>
      <c r="L146" s="710" t="str">
        <f t="shared" ca="1" si="70"/>
        <v/>
      </c>
      <c r="M146" s="491" t="str">
        <f t="shared" ca="1" si="58"/>
        <v/>
      </c>
      <c r="N146" s="491" t="str">
        <f t="shared" ca="1" si="59"/>
        <v/>
      </c>
      <c r="O146" s="492" t="str">
        <f t="shared" ca="1" si="60"/>
        <v/>
      </c>
      <c r="P146" s="491" t="str">
        <f t="array" aca="1" ref="P146" ca="1">IF(B146="","",IFERROR(MAX(OFFSET(高値!$E$6,MATCH(TEXT(B146,"0"),TEXT(銘柄管理!$B$6:$B$305,"0"),0)-1,0,1,10)),""))</f>
        <v/>
      </c>
      <c r="Q146" s="491" t="str">
        <f t="array" aca="1" ref="Q146" ca="1">IF(B146="","",IFERROR(MIN(OFFSET(安値!$E$6,MATCH(TEXT(B146,"0"),TEXT(銘柄管理!$B$6:$B$305,"0"),0)-1,0,1,10)),""))</f>
        <v/>
      </c>
      <c r="R146" s="491" t="str">
        <f t="shared" ca="1" si="71"/>
        <v/>
      </c>
      <c r="S146" s="589" t="str">
        <f t="shared" si="72"/>
        <v/>
      </c>
      <c r="T146" s="597" t="str">
        <f t="shared" ca="1" si="61"/>
        <v/>
      </c>
      <c r="U146" s="491" t="str">
        <f t="shared" ca="1" si="62"/>
        <v/>
      </c>
      <c r="V146" s="705" t="str">
        <f t="shared" ca="1" si="73"/>
        <v/>
      </c>
      <c r="W146" s="493" t="str">
        <f t="shared" ca="1" si="63"/>
        <v/>
      </c>
      <c r="X146" s="489" t="str">
        <f t="shared" ca="1" si="64"/>
        <v/>
      </c>
      <c r="Y146" s="488"/>
      <c r="Z146" s="714"/>
      <c r="AD146" s="611"/>
      <c r="AE146" s="603" t="str">
        <f t="shared" si="65"/>
        <v/>
      </c>
      <c r="AF146" s="603"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03"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03" t="str">
        <f t="shared" ca="1" si="66"/>
        <v/>
      </c>
      <c r="AI146" s="603" t="str" cm="1">
        <f t="array" ref="AI146">IFERROR(INDEX(始値!$E$6:$BT$305,MATCH(TEXT($B146,"0"),TEXT(銘柄管理!$B$6:$B$305,"0"),0),MATCH($AE146,始値!$E$3:$BT$3,0)),"")</f>
        <v/>
      </c>
      <c r="AJ146" s="603" t="str">
        <f t="shared" ca="1" si="67"/>
        <v/>
      </c>
      <c r="AK146" s="603" t="str">
        <f t="shared" ca="1" si="68"/>
        <v/>
      </c>
    </row>
    <row r="147" spans="1:37" ht="35.4" customHeight="1">
      <c r="A147" s="623" t="str">
        <f t="shared" si="57"/>
        <v/>
      </c>
      <c r="B147" s="489"/>
      <c r="C147" s="489"/>
      <c r="D147" s="489" t="str" cm="1">
        <f t="array" ref="D147">_xll.RssMarket(B147, "銘柄名称")</f>
        <v/>
      </c>
      <c r="E147" s="720"/>
      <c r="F147" s="702" t="str" cm="1">
        <f t="array" aca="1" ref="F147" ca="1">IFERROR(_xlfn.LET(_xlpm.r,MATCH(TEXT($B147,"0"),TEXT(銘柄管理!$B$6:$B$305,"0"),0),_xlpm.t,MOD(NOW(),1),_xlpm.c,IF($E147=TODAY(),IF(_xlpm.t&gt;=TIME(15,30,0),NA(),1),IF(MATCH($E147,始値!$E$3:$BT$3,0)=1,1,MATCH($E147,始値!$E$3:$BT$3,0)+1)),_xlpm.v,INDEX(始値!$C$6:$BT$305,_xlpm.r,_xlpm.c),IF(N(_xlpm.v)=0,"",_xlpm.v)),"")</f>
        <v/>
      </c>
      <c r="G147" s="489"/>
      <c r="H147" s="491" t="str" cm="1">
        <f t="array" ref="H147">_xll.RssMarket(B147, "現在値")</f>
        <v/>
      </c>
      <c r="I147" s="491" t="str" cm="1">
        <f t="array" ref="I147">_xll.RssMarket(B147, "出来高加重平均")</f>
        <v/>
      </c>
      <c r="J147" s="705" t="str" cm="1">
        <f t="array" ref="J147">_xll.RssMarket($B147, "前日比")</f>
        <v/>
      </c>
      <c r="K147" s="705" t="str">
        <f t="shared" ca="1" si="69"/>
        <v/>
      </c>
      <c r="L147" s="710" t="str">
        <f t="shared" ca="1" si="70"/>
        <v/>
      </c>
      <c r="M147" s="491" t="str">
        <f t="shared" ca="1" si="58"/>
        <v/>
      </c>
      <c r="N147" s="491" t="str">
        <f t="shared" ca="1" si="59"/>
        <v/>
      </c>
      <c r="O147" s="492" t="str">
        <f t="shared" ca="1" si="60"/>
        <v/>
      </c>
      <c r="P147" s="491" t="str">
        <f t="array" aca="1" ref="P147" ca="1">IF(B147="","",IFERROR(MAX(OFFSET(高値!$E$6,MATCH(TEXT(B147,"0"),TEXT(銘柄管理!$B$6:$B$305,"0"),0)-1,0,1,10)),""))</f>
        <v/>
      </c>
      <c r="Q147" s="491" t="str">
        <f t="array" aca="1" ref="Q147" ca="1">IF(B147="","",IFERROR(MIN(OFFSET(安値!$E$6,MATCH(TEXT(B147,"0"),TEXT(銘柄管理!$B$6:$B$305,"0"),0)-1,0,1,10)),""))</f>
        <v/>
      </c>
      <c r="R147" s="491" t="str">
        <f t="shared" ca="1" si="71"/>
        <v/>
      </c>
      <c r="S147" s="589" t="str">
        <f t="shared" si="72"/>
        <v/>
      </c>
      <c r="T147" s="597" t="str">
        <f t="shared" ca="1" si="61"/>
        <v/>
      </c>
      <c r="U147" s="491" t="str">
        <f t="shared" ca="1" si="62"/>
        <v/>
      </c>
      <c r="V147" s="705" t="str">
        <f t="shared" ca="1" si="73"/>
        <v/>
      </c>
      <c r="W147" s="493" t="str">
        <f t="shared" ca="1" si="63"/>
        <v/>
      </c>
      <c r="X147" s="489" t="str">
        <f t="shared" ca="1" si="64"/>
        <v/>
      </c>
      <c r="Y147" s="488"/>
      <c r="Z147" s="714"/>
      <c r="AD147" s="611"/>
      <c r="AE147" s="603" t="str">
        <f t="shared" si="65"/>
        <v/>
      </c>
      <c r="AF147" s="603"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03"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03" t="str">
        <f t="shared" ca="1" si="66"/>
        <v/>
      </c>
      <c r="AI147" s="603" t="str" cm="1">
        <f t="array" ref="AI147">IFERROR(INDEX(始値!$E$6:$BT$305,MATCH(TEXT($B147,"0"),TEXT(銘柄管理!$B$6:$B$305,"0"),0),MATCH($AE147,始値!$E$3:$BT$3,0)),"")</f>
        <v/>
      </c>
      <c r="AJ147" s="603" t="str">
        <f t="shared" ca="1" si="67"/>
        <v/>
      </c>
      <c r="AK147" s="603" t="str">
        <f t="shared" ca="1" si="68"/>
        <v/>
      </c>
    </row>
    <row r="148" spans="1:37" ht="35.4" customHeight="1">
      <c r="A148" s="623" t="str">
        <f t="shared" si="57"/>
        <v/>
      </c>
      <c r="B148" s="489"/>
      <c r="C148" s="489"/>
      <c r="D148" s="489" t="str" cm="1">
        <f t="array" ref="D148">_xll.RssMarket(B148, "銘柄名称")</f>
        <v/>
      </c>
      <c r="E148" s="720"/>
      <c r="F148" s="702" t="str" cm="1">
        <f t="array" aca="1" ref="F148" ca="1">IFERROR(_xlfn.LET(_xlpm.r,MATCH(TEXT($B148,"0"),TEXT(銘柄管理!$B$6:$B$305,"0"),0),_xlpm.t,MOD(NOW(),1),_xlpm.c,IF($E148=TODAY(),IF(_xlpm.t&gt;=TIME(15,30,0),NA(),1),IF(MATCH($E148,始値!$E$3:$BT$3,0)=1,1,MATCH($E148,始値!$E$3:$BT$3,0)+1)),_xlpm.v,INDEX(始値!$C$6:$BT$305,_xlpm.r,_xlpm.c),IF(N(_xlpm.v)=0,"",_xlpm.v)),"")</f>
        <v/>
      </c>
      <c r="G148" s="489"/>
      <c r="H148" s="491" t="str" cm="1">
        <f t="array" ref="H148">_xll.RssMarket(B148, "現在値")</f>
        <v/>
      </c>
      <c r="I148" s="491" t="str" cm="1">
        <f t="array" ref="I148">_xll.RssMarket(B148, "出来高加重平均")</f>
        <v/>
      </c>
      <c r="J148" s="705" t="str" cm="1">
        <f t="array" ref="J148">_xll.RssMarket($B148, "前日比")</f>
        <v/>
      </c>
      <c r="K148" s="705" t="str">
        <f t="shared" ca="1" si="69"/>
        <v/>
      </c>
      <c r="L148" s="710" t="str">
        <f t="shared" ca="1" si="70"/>
        <v/>
      </c>
      <c r="M148" s="491" t="str">
        <f t="shared" ca="1" si="58"/>
        <v/>
      </c>
      <c r="N148" s="491" t="str">
        <f t="shared" ca="1" si="59"/>
        <v/>
      </c>
      <c r="O148" s="492" t="str">
        <f t="shared" ca="1" si="60"/>
        <v/>
      </c>
      <c r="P148" s="491" t="str">
        <f t="array" aca="1" ref="P148" ca="1">IF(B148="","",IFERROR(MAX(OFFSET(高値!$E$6,MATCH(TEXT(B148,"0"),TEXT(銘柄管理!$B$6:$B$305,"0"),0)-1,0,1,10)),""))</f>
        <v/>
      </c>
      <c r="Q148" s="491" t="str">
        <f t="array" aca="1" ref="Q148" ca="1">IF(B148="","",IFERROR(MIN(OFFSET(安値!$E$6,MATCH(TEXT(B148,"0"),TEXT(銘柄管理!$B$6:$B$305,"0"),0)-1,0,1,10)),""))</f>
        <v/>
      </c>
      <c r="R148" s="491" t="str">
        <f t="shared" ca="1" si="71"/>
        <v/>
      </c>
      <c r="S148" s="589" t="str">
        <f t="shared" si="72"/>
        <v/>
      </c>
      <c r="T148" s="597" t="str">
        <f t="shared" ca="1" si="61"/>
        <v/>
      </c>
      <c r="U148" s="491" t="str">
        <f t="shared" ca="1" si="62"/>
        <v/>
      </c>
      <c r="V148" s="705" t="str">
        <f t="shared" ca="1" si="73"/>
        <v/>
      </c>
      <c r="W148" s="493" t="str">
        <f t="shared" ca="1" si="63"/>
        <v/>
      </c>
      <c r="X148" s="489" t="str">
        <f t="shared" ca="1" si="64"/>
        <v/>
      </c>
      <c r="Y148" s="488"/>
      <c r="Z148" s="714"/>
      <c r="AD148" s="611"/>
      <c r="AE148" s="603" t="str">
        <f t="shared" si="65"/>
        <v/>
      </c>
      <c r="AF148" s="603"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03"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03" t="str">
        <f t="shared" ca="1" si="66"/>
        <v/>
      </c>
      <c r="AI148" s="603" t="str" cm="1">
        <f t="array" ref="AI148">IFERROR(INDEX(始値!$E$6:$BT$305,MATCH(TEXT($B148,"0"),TEXT(銘柄管理!$B$6:$B$305,"0"),0),MATCH($AE148,始値!$E$3:$BT$3,0)),"")</f>
        <v/>
      </c>
      <c r="AJ148" s="603" t="str">
        <f t="shared" ca="1" si="67"/>
        <v/>
      </c>
      <c r="AK148" s="603" t="str">
        <f t="shared" ca="1" si="68"/>
        <v/>
      </c>
    </row>
    <row r="149" spans="1:37" ht="35.4" customHeight="1">
      <c r="A149" s="623" t="str">
        <f t="shared" si="57"/>
        <v/>
      </c>
      <c r="B149" s="489"/>
      <c r="C149" s="489"/>
      <c r="D149" s="489" t="str" cm="1">
        <f t="array" ref="D149">_xll.RssMarket(B149, "銘柄名称")</f>
        <v/>
      </c>
      <c r="E149" s="720"/>
      <c r="F149" s="702" t="str" cm="1">
        <f t="array" aca="1" ref="F149" ca="1">IFERROR(_xlfn.LET(_xlpm.r,MATCH(TEXT($B149,"0"),TEXT(銘柄管理!$B$6:$B$305,"0"),0),_xlpm.t,MOD(NOW(),1),_xlpm.c,IF($E149=TODAY(),IF(_xlpm.t&gt;=TIME(15,30,0),NA(),1),IF(MATCH($E149,始値!$E$3:$BT$3,0)=1,1,MATCH($E149,始値!$E$3:$BT$3,0)+1)),_xlpm.v,INDEX(始値!$C$6:$BT$305,_xlpm.r,_xlpm.c),IF(N(_xlpm.v)=0,"",_xlpm.v)),"")</f>
        <v/>
      </c>
      <c r="G149" s="489"/>
      <c r="H149" s="491" t="str" cm="1">
        <f t="array" ref="H149">_xll.RssMarket(B149, "現在値")</f>
        <v/>
      </c>
      <c r="I149" s="491" t="str" cm="1">
        <f t="array" ref="I149">_xll.RssMarket(B149, "出来高加重平均")</f>
        <v/>
      </c>
      <c r="J149" s="705" t="str" cm="1">
        <f t="array" ref="J149">_xll.RssMarket($B149, "前日比")</f>
        <v/>
      </c>
      <c r="K149" s="705" t="str">
        <f t="shared" ca="1" si="69"/>
        <v/>
      </c>
      <c r="L149" s="710" t="str">
        <f t="shared" ca="1" si="70"/>
        <v/>
      </c>
      <c r="M149" s="491" t="str">
        <f t="shared" ca="1" si="58"/>
        <v/>
      </c>
      <c r="N149" s="491" t="str">
        <f t="shared" ca="1" si="59"/>
        <v/>
      </c>
      <c r="O149" s="492" t="str">
        <f t="shared" ca="1" si="60"/>
        <v/>
      </c>
      <c r="P149" s="491" t="str">
        <f t="array" aca="1" ref="P149" ca="1">IF(B149="","",IFERROR(MAX(OFFSET(高値!$E$6,MATCH(TEXT(B149,"0"),TEXT(銘柄管理!$B$6:$B$305,"0"),0)-1,0,1,10)),""))</f>
        <v/>
      </c>
      <c r="Q149" s="491" t="str">
        <f t="array" aca="1" ref="Q149" ca="1">IF(B149="","",IFERROR(MIN(OFFSET(安値!$E$6,MATCH(TEXT(B149,"0"),TEXT(銘柄管理!$B$6:$B$305,"0"),0)-1,0,1,10)),""))</f>
        <v/>
      </c>
      <c r="R149" s="491" t="str">
        <f t="shared" ca="1" si="71"/>
        <v/>
      </c>
      <c r="S149" s="589" t="str">
        <f t="shared" si="72"/>
        <v/>
      </c>
      <c r="T149" s="597" t="str">
        <f t="shared" ca="1" si="61"/>
        <v/>
      </c>
      <c r="U149" s="491" t="str">
        <f t="shared" ca="1" si="62"/>
        <v/>
      </c>
      <c r="V149" s="705" t="str">
        <f t="shared" ca="1" si="73"/>
        <v/>
      </c>
      <c r="W149" s="493" t="str">
        <f t="shared" ca="1" si="63"/>
        <v/>
      </c>
      <c r="X149" s="489" t="str">
        <f t="shared" ca="1" si="64"/>
        <v/>
      </c>
      <c r="Y149" s="488"/>
      <c r="Z149" s="714"/>
      <c r="AD149" s="611"/>
      <c r="AE149" s="603" t="str">
        <f t="shared" si="65"/>
        <v/>
      </c>
      <c r="AF149" s="603"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03"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03" t="str">
        <f t="shared" ca="1" si="66"/>
        <v/>
      </c>
      <c r="AI149" s="603" t="str" cm="1">
        <f t="array" ref="AI149">IFERROR(INDEX(始値!$E$6:$BT$305,MATCH(TEXT($B149,"0"),TEXT(銘柄管理!$B$6:$B$305,"0"),0),MATCH($AE149,始値!$E$3:$BT$3,0)),"")</f>
        <v/>
      </c>
      <c r="AJ149" s="603" t="str">
        <f t="shared" ca="1" si="67"/>
        <v/>
      </c>
      <c r="AK149" s="603" t="str">
        <f t="shared" ca="1" si="68"/>
        <v/>
      </c>
    </row>
    <row r="150" spans="1:37" ht="35.4" customHeight="1">
      <c r="A150" s="623" t="str">
        <f t="shared" si="57"/>
        <v/>
      </c>
      <c r="B150" s="489"/>
      <c r="C150" s="489"/>
      <c r="D150" s="489" t="str" cm="1">
        <f t="array" ref="D150">_xll.RssMarket(B150, "銘柄名称")</f>
        <v/>
      </c>
      <c r="E150" s="720"/>
      <c r="F150" s="702" t="str" cm="1">
        <f t="array" aca="1" ref="F150" ca="1">IFERROR(_xlfn.LET(_xlpm.r,MATCH(TEXT($B150,"0"),TEXT(銘柄管理!$B$6:$B$305,"0"),0),_xlpm.t,MOD(NOW(),1),_xlpm.c,IF($E150=TODAY(),IF(_xlpm.t&gt;=TIME(15,30,0),NA(),1),IF(MATCH($E150,始値!$E$3:$BT$3,0)=1,1,MATCH($E150,始値!$E$3:$BT$3,0)+1)),_xlpm.v,INDEX(始値!$C$6:$BT$305,_xlpm.r,_xlpm.c),IF(N(_xlpm.v)=0,"",_xlpm.v)),"")</f>
        <v/>
      </c>
      <c r="G150" s="489"/>
      <c r="H150" s="491" t="str" cm="1">
        <f t="array" ref="H150">_xll.RssMarket(B150, "現在値")</f>
        <v/>
      </c>
      <c r="I150" s="491" t="str" cm="1">
        <f t="array" ref="I150">_xll.RssMarket(B150, "出来高加重平均")</f>
        <v/>
      </c>
      <c r="J150" s="705" t="str" cm="1">
        <f t="array" ref="J150">_xll.RssMarket($B150, "前日比")</f>
        <v/>
      </c>
      <c r="K150" s="705" t="str">
        <f t="shared" ca="1" si="69"/>
        <v/>
      </c>
      <c r="L150" s="710" t="str">
        <f t="shared" ca="1" si="70"/>
        <v/>
      </c>
      <c r="M150" s="491" t="str">
        <f t="shared" ca="1" si="58"/>
        <v/>
      </c>
      <c r="N150" s="491" t="str">
        <f t="shared" ca="1" si="59"/>
        <v/>
      </c>
      <c r="O150" s="492" t="str">
        <f t="shared" ca="1" si="60"/>
        <v/>
      </c>
      <c r="P150" s="491" t="str">
        <f t="array" aca="1" ref="P150" ca="1">IF(B150="","",IFERROR(MAX(OFFSET(高値!$E$6,MATCH(TEXT(B150,"0"),TEXT(銘柄管理!$B$6:$B$305,"0"),0)-1,0,1,10)),""))</f>
        <v/>
      </c>
      <c r="Q150" s="491" t="str">
        <f t="array" aca="1" ref="Q150" ca="1">IF(B150="","",IFERROR(MIN(OFFSET(安値!$E$6,MATCH(TEXT(B150,"0"),TEXT(銘柄管理!$B$6:$B$305,"0"),0)-1,0,1,10)),""))</f>
        <v/>
      </c>
      <c r="R150" s="491" t="str">
        <f t="shared" ca="1" si="71"/>
        <v/>
      </c>
      <c r="S150" s="589" t="str">
        <f t="shared" si="72"/>
        <v/>
      </c>
      <c r="T150" s="597" t="str">
        <f t="shared" ca="1" si="61"/>
        <v/>
      </c>
      <c r="U150" s="491" t="str">
        <f t="shared" ca="1" si="62"/>
        <v/>
      </c>
      <c r="V150" s="705" t="str">
        <f t="shared" ca="1" si="73"/>
        <v/>
      </c>
      <c r="W150" s="493" t="str">
        <f t="shared" ca="1" si="63"/>
        <v/>
      </c>
      <c r="X150" s="489" t="str">
        <f t="shared" ca="1" si="64"/>
        <v/>
      </c>
      <c r="Y150" s="488"/>
      <c r="Z150" s="714"/>
      <c r="AD150" s="611"/>
      <c r="AE150" s="603" t="str">
        <f t="shared" si="65"/>
        <v/>
      </c>
      <c r="AF150" s="603"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03"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03" t="str">
        <f t="shared" ca="1" si="66"/>
        <v/>
      </c>
      <c r="AI150" s="603" t="str" cm="1">
        <f t="array" ref="AI150">IFERROR(INDEX(始値!$E$6:$BT$305,MATCH(TEXT($B150,"0"),TEXT(銘柄管理!$B$6:$B$305,"0"),0),MATCH($AE150,始値!$E$3:$BT$3,0)),"")</f>
        <v/>
      </c>
      <c r="AJ150" s="603" t="str">
        <f t="shared" ca="1" si="67"/>
        <v/>
      </c>
      <c r="AK150" s="603" t="str">
        <f t="shared" ca="1" si="68"/>
        <v/>
      </c>
    </row>
    <row r="151" spans="1:37" ht="35.4" customHeight="1">
      <c r="A151" s="623" t="str">
        <f t="shared" si="57"/>
        <v/>
      </c>
      <c r="B151" s="489"/>
      <c r="C151" s="489"/>
      <c r="D151" s="489" t="str" cm="1">
        <f t="array" ref="D151">_xll.RssMarket(B151, "銘柄名称")</f>
        <v/>
      </c>
      <c r="E151" s="720"/>
      <c r="F151" s="702" t="str" cm="1">
        <f t="array" aca="1" ref="F151" ca="1">IFERROR(_xlfn.LET(_xlpm.r,MATCH(TEXT($B151,"0"),TEXT(銘柄管理!$B$6:$B$305,"0"),0),_xlpm.t,MOD(NOW(),1),_xlpm.c,IF($E151=TODAY(),IF(_xlpm.t&gt;=TIME(15,30,0),NA(),1),IF(MATCH($E151,始値!$E$3:$BT$3,0)=1,1,MATCH($E151,始値!$E$3:$BT$3,0)+1)),_xlpm.v,INDEX(始値!$C$6:$BT$305,_xlpm.r,_xlpm.c),IF(N(_xlpm.v)=0,"",_xlpm.v)),"")</f>
        <v/>
      </c>
      <c r="G151" s="489"/>
      <c r="H151" s="491" t="str" cm="1">
        <f t="array" ref="H151">_xll.RssMarket(B151, "現在値")</f>
        <v/>
      </c>
      <c r="I151" s="491" t="str" cm="1">
        <f t="array" ref="I151">_xll.RssMarket(B151, "出来高加重平均")</f>
        <v/>
      </c>
      <c r="J151" s="705" t="str" cm="1">
        <f t="array" ref="J151">_xll.RssMarket($B151, "前日比")</f>
        <v/>
      </c>
      <c r="K151" s="705" t="str">
        <f t="shared" ca="1" si="69"/>
        <v/>
      </c>
      <c r="L151" s="710" t="str">
        <f t="shared" ca="1" si="70"/>
        <v/>
      </c>
      <c r="M151" s="491" t="str">
        <f t="shared" ca="1" si="58"/>
        <v/>
      </c>
      <c r="N151" s="491" t="str">
        <f t="shared" ca="1" si="59"/>
        <v/>
      </c>
      <c r="O151" s="492" t="str">
        <f t="shared" ca="1" si="60"/>
        <v/>
      </c>
      <c r="P151" s="491" t="str">
        <f t="array" aca="1" ref="P151" ca="1">IF(B151="","",IFERROR(MAX(OFFSET(高値!$E$6,MATCH(TEXT(B151,"0"),TEXT(銘柄管理!$B$6:$B$305,"0"),0)-1,0,1,10)),""))</f>
        <v/>
      </c>
      <c r="Q151" s="491" t="str">
        <f t="array" aca="1" ref="Q151" ca="1">IF(B151="","",IFERROR(MIN(OFFSET(安値!$E$6,MATCH(TEXT(B151,"0"),TEXT(銘柄管理!$B$6:$B$305,"0"),0)-1,0,1,10)),""))</f>
        <v/>
      </c>
      <c r="R151" s="491" t="str">
        <f t="shared" ca="1" si="71"/>
        <v/>
      </c>
      <c r="S151" s="589" t="str">
        <f t="shared" si="72"/>
        <v/>
      </c>
      <c r="T151" s="597" t="str">
        <f t="shared" ca="1" si="61"/>
        <v/>
      </c>
      <c r="U151" s="491" t="str">
        <f t="shared" ca="1" si="62"/>
        <v/>
      </c>
      <c r="V151" s="705" t="str">
        <f t="shared" ca="1" si="73"/>
        <v/>
      </c>
      <c r="W151" s="493" t="str">
        <f t="shared" ca="1" si="63"/>
        <v/>
      </c>
      <c r="X151" s="489" t="str">
        <f t="shared" ca="1" si="64"/>
        <v/>
      </c>
      <c r="Y151" s="488"/>
      <c r="Z151" s="714"/>
      <c r="AD151" s="611"/>
      <c r="AE151" s="603" t="str">
        <f t="shared" si="65"/>
        <v/>
      </c>
      <c r="AF151" s="603"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03"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03" t="str">
        <f t="shared" ca="1" si="66"/>
        <v/>
      </c>
      <c r="AI151" s="603" t="str" cm="1">
        <f t="array" ref="AI151">IFERROR(INDEX(始値!$E$6:$BT$305,MATCH(TEXT($B151,"0"),TEXT(銘柄管理!$B$6:$B$305,"0"),0),MATCH($AE151,始値!$E$3:$BT$3,0)),"")</f>
        <v/>
      </c>
      <c r="AJ151" s="603" t="str">
        <f t="shared" ca="1" si="67"/>
        <v/>
      </c>
      <c r="AK151" s="603" t="str">
        <f t="shared" ca="1" si="68"/>
        <v/>
      </c>
    </row>
    <row r="152" spans="1:37" ht="35.4" customHeight="1">
      <c r="A152" s="623" t="str">
        <f t="shared" si="57"/>
        <v/>
      </c>
      <c r="B152" s="489"/>
      <c r="C152" s="489"/>
      <c r="D152" s="489" t="str" cm="1">
        <f t="array" ref="D152">_xll.RssMarket(B152, "銘柄名称")</f>
        <v/>
      </c>
      <c r="E152" s="720"/>
      <c r="F152" s="702" t="str" cm="1">
        <f t="array" aca="1" ref="F152" ca="1">IFERROR(_xlfn.LET(_xlpm.r,MATCH(TEXT($B152,"0"),TEXT(銘柄管理!$B$6:$B$305,"0"),0),_xlpm.t,MOD(NOW(),1),_xlpm.c,IF($E152=TODAY(),IF(_xlpm.t&gt;=TIME(15,30,0),NA(),1),IF(MATCH($E152,始値!$E$3:$BT$3,0)=1,1,MATCH($E152,始値!$E$3:$BT$3,0)+1)),_xlpm.v,INDEX(始値!$C$6:$BT$305,_xlpm.r,_xlpm.c),IF(N(_xlpm.v)=0,"",_xlpm.v)),"")</f>
        <v/>
      </c>
      <c r="G152" s="489"/>
      <c r="H152" s="491" t="str" cm="1">
        <f t="array" ref="H152">_xll.RssMarket(B152, "現在値")</f>
        <v/>
      </c>
      <c r="I152" s="491" t="str" cm="1">
        <f t="array" ref="I152">_xll.RssMarket(B152, "出来高加重平均")</f>
        <v/>
      </c>
      <c r="J152" s="705" t="str" cm="1">
        <f t="array" ref="J152">_xll.RssMarket($B152, "前日比")</f>
        <v/>
      </c>
      <c r="K152" s="705" t="str">
        <f t="shared" ca="1" si="69"/>
        <v/>
      </c>
      <c r="L152" s="710" t="str">
        <f t="shared" ca="1" si="70"/>
        <v/>
      </c>
      <c r="M152" s="491" t="str">
        <f t="shared" ca="1" si="58"/>
        <v/>
      </c>
      <c r="N152" s="491" t="str">
        <f t="shared" ca="1" si="59"/>
        <v/>
      </c>
      <c r="O152" s="492" t="str">
        <f t="shared" ca="1" si="60"/>
        <v/>
      </c>
      <c r="P152" s="491" t="str">
        <f t="array" aca="1" ref="P152" ca="1">IF(B152="","",IFERROR(MAX(OFFSET(高値!$E$6,MATCH(TEXT(B152,"0"),TEXT(銘柄管理!$B$6:$B$305,"0"),0)-1,0,1,10)),""))</f>
        <v/>
      </c>
      <c r="Q152" s="491" t="str">
        <f t="array" aca="1" ref="Q152" ca="1">IF(B152="","",IFERROR(MIN(OFFSET(安値!$E$6,MATCH(TEXT(B152,"0"),TEXT(銘柄管理!$B$6:$B$305,"0"),0)-1,0,1,10)),""))</f>
        <v/>
      </c>
      <c r="R152" s="491" t="str">
        <f t="shared" ca="1" si="71"/>
        <v/>
      </c>
      <c r="S152" s="589" t="str">
        <f t="shared" si="72"/>
        <v/>
      </c>
      <c r="T152" s="597" t="str">
        <f t="shared" ca="1" si="61"/>
        <v/>
      </c>
      <c r="U152" s="491" t="str">
        <f t="shared" ca="1" si="62"/>
        <v/>
      </c>
      <c r="V152" s="705" t="str">
        <f t="shared" ca="1" si="73"/>
        <v/>
      </c>
      <c r="W152" s="493" t="str">
        <f t="shared" ca="1" si="63"/>
        <v/>
      </c>
      <c r="X152" s="489" t="str">
        <f t="shared" ca="1" si="64"/>
        <v/>
      </c>
      <c r="Y152" s="488"/>
      <c r="Z152" s="714"/>
      <c r="AD152" s="611"/>
      <c r="AE152" s="603" t="str">
        <f t="shared" si="65"/>
        <v/>
      </c>
      <c r="AF152" s="603"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03"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03" t="str">
        <f t="shared" ca="1" si="66"/>
        <v/>
      </c>
      <c r="AI152" s="603" t="str" cm="1">
        <f t="array" ref="AI152">IFERROR(INDEX(始値!$E$6:$BT$305,MATCH(TEXT($B152,"0"),TEXT(銘柄管理!$B$6:$B$305,"0"),0),MATCH($AE152,始値!$E$3:$BT$3,0)),"")</f>
        <v/>
      </c>
      <c r="AJ152" s="603" t="str">
        <f t="shared" ca="1" si="67"/>
        <v/>
      </c>
      <c r="AK152" s="603" t="str">
        <f t="shared" ca="1" si="68"/>
        <v/>
      </c>
    </row>
    <row r="153" spans="1:37" ht="35.4" customHeight="1">
      <c r="A153" s="623" t="str">
        <f t="shared" si="57"/>
        <v/>
      </c>
      <c r="B153" s="489"/>
      <c r="C153" s="489"/>
      <c r="D153" s="489" t="str" cm="1">
        <f t="array" ref="D153">_xll.RssMarket(B153, "銘柄名称")</f>
        <v/>
      </c>
      <c r="E153" s="720"/>
      <c r="F153" s="702" t="str" cm="1">
        <f t="array" aca="1" ref="F153" ca="1">IFERROR(_xlfn.LET(_xlpm.r,MATCH(TEXT($B153,"0"),TEXT(銘柄管理!$B$6:$B$305,"0"),0),_xlpm.t,MOD(NOW(),1),_xlpm.c,IF($E153=TODAY(),IF(_xlpm.t&gt;=TIME(15,30,0),NA(),1),IF(MATCH($E153,始値!$E$3:$BT$3,0)=1,1,MATCH($E153,始値!$E$3:$BT$3,0)+1)),_xlpm.v,INDEX(始値!$C$6:$BT$305,_xlpm.r,_xlpm.c),IF(N(_xlpm.v)=0,"",_xlpm.v)),"")</f>
        <v/>
      </c>
      <c r="G153" s="489"/>
      <c r="H153" s="491" t="str" cm="1">
        <f t="array" ref="H153">_xll.RssMarket(B153, "現在値")</f>
        <v/>
      </c>
      <c r="I153" s="491" t="str" cm="1">
        <f t="array" ref="I153">_xll.RssMarket(B153, "出来高加重平均")</f>
        <v/>
      </c>
      <c r="J153" s="705" t="str" cm="1">
        <f t="array" ref="J153">_xll.RssMarket($B153, "前日比")</f>
        <v/>
      </c>
      <c r="K153" s="705" t="str">
        <f t="shared" ca="1" si="69"/>
        <v/>
      </c>
      <c r="L153" s="710" t="str">
        <f t="shared" ca="1" si="70"/>
        <v/>
      </c>
      <c r="M153" s="491" t="str">
        <f t="shared" ca="1" si="58"/>
        <v/>
      </c>
      <c r="N153" s="491" t="str">
        <f t="shared" ca="1" si="59"/>
        <v/>
      </c>
      <c r="O153" s="492" t="str">
        <f t="shared" ca="1" si="60"/>
        <v/>
      </c>
      <c r="P153" s="491" t="str">
        <f t="array" aca="1" ref="P153" ca="1">IF(B153="","",IFERROR(MAX(OFFSET(高値!$E$6,MATCH(TEXT(B153,"0"),TEXT(銘柄管理!$B$6:$B$305,"0"),0)-1,0,1,10)),""))</f>
        <v/>
      </c>
      <c r="Q153" s="491" t="str">
        <f t="array" aca="1" ref="Q153" ca="1">IF(B153="","",IFERROR(MIN(OFFSET(安値!$E$6,MATCH(TEXT(B153,"0"),TEXT(銘柄管理!$B$6:$B$305,"0"),0)-1,0,1,10)),""))</f>
        <v/>
      </c>
      <c r="R153" s="491" t="str">
        <f t="shared" ca="1" si="71"/>
        <v/>
      </c>
      <c r="S153" s="589" t="str">
        <f t="shared" si="72"/>
        <v/>
      </c>
      <c r="T153" s="597" t="str">
        <f t="shared" ca="1" si="61"/>
        <v/>
      </c>
      <c r="U153" s="491" t="str">
        <f t="shared" ca="1" si="62"/>
        <v/>
      </c>
      <c r="V153" s="705" t="str">
        <f t="shared" ca="1" si="73"/>
        <v/>
      </c>
      <c r="W153" s="493" t="str">
        <f t="shared" ca="1" si="63"/>
        <v/>
      </c>
      <c r="X153" s="489" t="str">
        <f t="shared" ca="1" si="64"/>
        <v/>
      </c>
      <c r="Y153" s="488"/>
      <c r="Z153" s="714"/>
      <c r="AD153" s="611"/>
      <c r="AE153" s="603" t="str">
        <f t="shared" si="65"/>
        <v/>
      </c>
      <c r="AF153" s="603"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03"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03" t="str">
        <f t="shared" ca="1" si="66"/>
        <v/>
      </c>
      <c r="AI153" s="603" t="str" cm="1">
        <f t="array" ref="AI153">IFERROR(INDEX(始値!$E$6:$BT$305,MATCH(TEXT($B153,"0"),TEXT(銘柄管理!$B$6:$B$305,"0"),0),MATCH($AE153,始値!$E$3:$BT$3,0)),"")</f>
        <v/>
      </c>
      <c r="AJ153" s="603" t="str">
        <f t="shared" ca="1" si="67"/>
        <v/>
      </c>
      <c r="AK153" s="603" t="str">
        <f t="shared" ca="1" si="68"/>
        <v/>
      </c>
    </row>
    <row r="154" spans="1:37" ht="35.4" customHeight="1">
      <c r="A154" s="623" t="str">
        <f t="shared" si="57"/>
        <v/>
      </c>
      <c r="B154" s="489"/>
      <c r="C154" s="489"/>
      <c r="D154" s="489" t="str" cm="1">
        <f t="array" ref="D154">_xll.RssMarket(B154, "銘柄名称")</f>
        <v/>
      </c>
      <c r="E154" s="720"/>
      <c r="F154" s="702" t="str" cm="1">
        <f t="array" aca="1" ref="F154" ca="1">IFERROR(_xlfn.LET(_xlpm.r,MATCH(TEXT($B154,"0"),TEXT(銘柄管理!$B$6:$B$305,"0"),0),_xlpm.t,MOD(NOW(),1),_xlpm.c,IF($E154=TODAY(),IF(_xlpm.t&gt;=TIME(15,30,0),NA(),1),IF(MATCH($E154,始値!$E$3:$BT$3,0)=1,1,MATCH($E154,始値!$E$3:$BT$3,0)+1)),_xlpm.v,INDEX(始値!$C$6:$BT$305,_xlpm.r,_xlpm.c),IF(N(_xlpm.v)=0,"",_xlpm.v)),"")</f>
        <v/>
      </c>
      <c r="G154" s="489"/>
      <c r="H154" s="491" t="str" cm="1">
        <f t="array" ref="H154">_xll.RssMarket(B154, "現在値")</f>
        <v/>
      </c>
      <c r="I154" s="491" t="str" cm="1">
        <f t="array" ref="I154">_xll.RssMarket(B154, "出来高加重平均")</f>
        <v/>
      </c>
      <c r="J154" s="705" t="str" cm="1">
        <f t="array" ref="J154">_xll.RssMarket($B154, "前日比")</f>
        <v/>
      </c>
      <c r="K154" s="705" t="str">
        <f t="shared" ca="1" si="69"/>
        <v/>
      </c>
      <c r="L154" s="710" t="str">
        <f t="shared" ca="1" si="70"/>
        <v/>
      </c>
      <c r="M154" s="491" t="str">
        <f t="shared" ca="1" si="58"/>
        <v/>
      </c>
      <c r="N154" s="491" t="str">
        <f t="shared" ca="1" si="59"/>
        <v/>
      </c>
      <c r="O154" s="492" t="str">
        <f t="shared" ca="1" si="60"/>
        <v/>
      </c>
      <c r="P154" s="491" t="str">
        <f t="array" aca="1" ref="P154" ca="1">IF(B154="","",IFERROR(MAX(OFFSET(高値!$E$6,MATCH(TEXT(B154,"0"),TEXT(銘柄管理!$B$6:$B$305,"0"),0)-1,0,1,10)),""))</f>
        <v/>
      </c>
      <c r="Q154" s="491" t="str">
        <f t="array" aca="1" ref="Q154" ca="1">IF(B154="","",IFERROR(MIN(OFFSET(安値!$E$6,MATCH(TEXT(B154,"0"),TEXT(銘柄管理!$B$6:$B$305,"0"),0)-1,0,1,10)),""))</f>
        <v/>
      </c>
      <c r="R154" s="491" t="str">
        <f t="shared" ca="1" si="71"/>
        <v/>
      </c>
      <c r="S154" s="589" t="str">
        <f t="shared" si="72"/>
        <v/>
      </c>
      <c r="T154" s="597" t="str">
        <f t="shared" ca="1" si="61"/>
        <v/>
      </c>
      <c r="U154" s="491" t="str">
        <f t="shared" ca="1" si="62"/>
        <v/>
      </c>
      <c r="V154" s="705" t="str">
        <f t="shared" ca="1" si="73"/>
        <v/>
      </c>
      <c r="W154" s="493" t="str">
        <f t="shared" ca="1" si="63"/>
        <v/>
      </c>
      <c r="X154" s="489" t="str">
        <f t="shared" ca="1" si="64"/>
        <v/>
      </c>
      <c r="Y154" s="488"/>
      <c r="Z154" s="714"/>
      <c r="AD154" s="611"/>
      <c r="AE154" s="603" t="str">
        <f t="shared" si="65"/>
        <v/>
      </c>
      <c r="AF154" s="603"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03"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03" t="str">
        <f t="shared" ca="1" si="66"/>
        <v/>
      </c>
      <c r="AI154" s="603" t="str" cm="1">
        <f t="array" ref="AI154">IFERROR(INDEX(始値!$E$6:$BT$305,MATCH(TEXT($B154,"0"),TEXT(銘柄管理!$B$6:$B$305,"0"),0),MATCH($AE154,始値!$E$3:$BT$3,0)),"")</f>
        <v/>
      </c>
      <c r="AJ154" s="603" t="str">
        <f t="shared" ca="1" si="67"/>
        <v/>
      </c>
      <c r="AK154" s="603" t="str">
        <f t="shared" ca="1" si="68"/>
        <v/>
      </c>
    </row>
    <row r="155" spans="1:37" ht="35.4" customHeight="1">
      <c r="A155" s="623" t="str">
        <f t="shared" si="57"/>
        <v/>
      </c>
      <c r="B155" s="489"/>
      <c r="C155" s="489"/>
      <c r="D155" s="489" t="str" cm="1">
        <f t="array" ref="D155">_xll.RssMarket(B155, "銘柄名称")</f>
        <v/>
      </c>
      <c r="E155" s="720"/>
      <c r="F155" s="702" t="str" cm="1">
        <f t="array" aca="1" ref="F155" ca="1">IFERROR(_xlfn.LET(_xlpm.r,MATCH(TEXT($B155,"0"),TEXT(銘柄管理!$B$6:$B$305,"0"),0),_xlpm.t,MOD(NOW(),1),_xlpm.c,IF($E155=TODAY(),IF(_xlpm.t&gt;=TIME(15,30,0),NA(),1),IF(MATCH($E155,始値!$E$3:$BT$3,0)=1,1,MATCH($E155,始値!$E$3:$BT$3,0)+1)),_xlpm.v,INDEX(始値!$C$6:$BT$305,_xlpm.r,_xlpm.c),IF(N(_xlpm.v)=0,"",_xlpm.v)),"")</f>
        <v/>
      </c>
      <c r="G155" s="489"/>
      <c r="H155" s="491" t="str" cm="1">
        <f t="array" ref="H155">_xll.RssMarket(B155, "現在値")</f>
        <v/>
      </c>
      <c r="I155" s="491" t="str" cm="1">
        <f t="array" ref="I155">_xll.RssMarket(B155, "出来高加重平均")</f>
        <v/>
      </c>
      <c r="J155" s="705" t="str" cm="1">
        <f t="array" ref="J155">_xll.RssMarket($B155, "前日比")</f>
        <v/>
      </c>
      <c r="K155" s="705" t="str">
        <f t="shared" ca="1" si="69"/>
        <v/>
      </c>
      <c r="L155" s="710" t="str">
        <f t="shared" ca="1" si="70"/>
        <v/>
      </c>
      <c r="M155" s="491" t="str">
        <f t="shared" ca="1" si="58"/>
        <v/>
      </c>
      <c r="N155" s="491" t="str">
        <f t="shared" ca="1" si="59"/>
        <v/>
      </c>
      <c r="O155" s="492" t="str">
        <f t="shared" ca="1" si="60"/>
        <v/>
      </c>
      <c r="P155" s="491" t="str">
        <f t="array" aca="1" ref="P155" ca="1">IF(B155="","",IFERROR(MAX(OFFSET(高値!$E$6,MATCH(TEXT(B155,"0"),TEXT(銘柄管理!$B$6:$B$305,"0"),0)-1,0,1,10)),""))</f>
        <v/>
      </c>
      <c r="Q155" s="491" t="str">
        <f t="array" aca="1" ref="Q155" ca="1">IF(B155="","",IFERROR(MIN(OFFSET(安値!$E$6,MATCH(TEXT(B155,"0"),TEXT(銘柄管理!$B$6:$B$305,"0"),0)-1,0,1,10)),""))</f>
        <v/>
      </c>
      <c r="R155" s="491" t="str">
        <f t="shared" ca="1" si="71"/>
        <v/>
      </c>
      <c r="S155" s="589" t="str">
        <f t="shared" si="72"/>
        <v/>
      </c>
      <c r="T155" s="597" t="str">
        <f t="shared" ca="1" si="61"/>
        <v/>
      </c>
      <c r="U155" s="491" t="str">
        <f t="shared" ca="1" si="62"/>
        <v/>
      </c>
      <c r="V155" s="705" t="str">
        <f t="shared" ca="1" si="73"/>
        <v/>
      </c>
      <c r="W155" s="493" t="str">
        <f t="shared" ca="1" si="63"/>
        <v/>
      </c>
      <c r="X155" s="489" t="str">
        <f t="shared" ca="1" si="64"/>
        <v/>
      </c>
      <c r="Y155" s="488"/>
      <c r="Z155" s="714"/>
      <c r="AD155" s="611"/>
      <c r="AE155" s="603" t="str">
        <f t="shared" si="65"/>
        <v/>
      </c>
      <c r="AF155" s="603"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03"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03" t="str">
        <f t="shared" ca="1" si="66"/>
        <v/>
      </c>
      <c r="AI155" s="603" t="str" cm="1">
        <f t="array" ref="AI155">IFERROR(INDEX(始値!$E$6:$BT$305,MATCH(TEXT($B155,"0"),TEXT(銘柄管理!$B$6:$B$305,"0"),0),MATCH($AE155,始値!$E$3:$BT$3,0)),"")</f>
        <v/>
      </c>
      <c r="AJ155" s="603" t="str">
        <f t="shared" ca="1" si="67"/>
        <v/>
      </c>
      <c r="AK155" s="603" t="str">
        <f t="shared" ca="1" si="68"/>
        <v/>
      </c>
    </row>
    <row r="156" spans="1:37" ht="35.4" customHeight="1">
      <c r="A156" s="623" t="str">
        <f t="shared" si="57"/>
        <v/>
      </c>
      <c r="B156" s="489"/>
      <c r="C156" s="489"/>
      <c r="D156" s="489" t="str" cm="1">
        <f t="array" ref="D156">_xll.RssMarket(B156, "銘柄名称")</f>
        <v/>
      </c>
      <c r="E156" s="720"/>
      <c r="F156" s="702" t="str" cm="1">
        <f t="array" aca="1" ref="F156" ca="1">IFERROR(_xlfn.LET(_xlpm.r,MATCH(TEXT($B156,"0"),TEXT(銘柄管理!$B$6:$B$305,"0"),0),_xlpm.t,MOD(NOW(),1),_xlpm.c,IF($E156=TODAY(),IF(_xlpm.t&gt;=TIME(15,30,0),NA(),1),IF(MATCH($E156,始値!$E$3:$BT$3,0)=1,1,MATCH($E156,始値!$E$3:$BT$3,0)+1)),_xlpm.v,INDEX(始値!$C$6:$BT$305,_xlpm.r,_xlpm.c),IF(N(_xlpm.v)=0,"",_xlpm.v)),"")</f>
        <v/>
      </c>
      <c r="G156" s="489"/>
      <c r="H156" s="491" t="str" cm="1">
        <f t="array" ref="H156">_xll.RssMarket(B156, "現在値")</f>
        <v/>
      </c>
      <c r="I156" s="491" t="str" cm="1">
        <f t="array" ref="I156">_xll.RssMarket(B156, "出来高加重平均")</f>
        <v/>
      </c>
      <c r="J156" s="705" t="str" cm="1">
        <f t="array" ref="J156">_xll.RssMarket($B156, "前日比")</f>
        <v/>
      </c>
      <c r="K156" s="705" t="str">
        <f t="shared" ca="1" si="69"/>
        <v/>
      </c>
      <c r="L156" s="710" t="str">
        <f t="shared" ca="1" si="70"/>
        <v/>
      </c>
      <c r="M156" s="491" t="str">
        <f t="shared" ca="1" si="58"/>
        <v/>
      </c>
      <c r="N156" s="491" t="str">
        <f t="shared" ca="1" si="59"/>
        <v/>
      </c>
      <c r="O156" s="492" t="str">
        <f t="shared" ca="1" si="60"/>
        <v/>
      </c>
      <c r="P156" s="491" t="str">
        <f t="array" aca="1" ref="P156" ca="1">IF(B156="","",IFERROR(MAX(OFFSET(高値!$E$6,MATCH(TEXT(B156,"0"),TEXT(銘柄管理!$B$6:$B$305,"0"),0)-1,0,1,10)),""))</f>
        <v/>
      </c>
      <c r="Q156" s="491" t="str">
        <f t="array" aca="1" ref="Q156" ca="1">IF(B156="","",IFERROR(MIN(OFFSET(安値!$E$6,MATCH(TEXT(B156,"0"),TEXT(銘柄管理!$B$6:$B$305,"0"),0)-1,0,1,10)),""))</f>
        <v/>
      </c>
      <c r="R156" s="491" t="str">
        <f t="shared" ca="1" si="71"/>
        <v/>
      </c>
      <c r="S156" s="589" t="str">
        <f t="shared" si="72"/>
        <v/>
      </c>
      <c r="T156" s="597" t="str">
        <f t="shared" ca="1" si="61"/>
        <v/>
      </c>
      <c r="U156" s="491" t="str">
        <f t="shared" ca="1" si="62"/>
        <v/>
      </c>
      <c r="V156" s="705" t="str">
        <f t="shared" ca="1" si="73"/>
        <v/>
      </c>
      <c r="W156" s="493" t="str">
        <f t="shared" ca="1" si="63"/>
        <v/>
      </c>
      <c r="X156" s="489" t="str">
        <f t="shared" ca="1" si="64"/>
        <v/>
      </c>
      <c r="Y156" s="488"/>
      <c r="Z156" s="714"/>
      <c r="AD156" s="611"/>
      <c r="AE156" s="603" t="str">
        <f t="shared" si="65"/>
        <v/>
      </c>
      <c r="AF156" s="603"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03"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03" t="str">
        <f t="shared" ca="1" si="66"/>
        <v/>
      </c>
      <c r="AI156" s="603" t="str" cm="1">
        <f t="array" ref="AI156">IFERROR(INDEX(始値!$E$6:$BT$305,MATCH(TEXT($B156,"0"),TEXT(銘柄管理!$B$6:$B$305,"0"),0),MATCH($AE156,始値!$E$3:$BT$3,0)),"")</f>
        <v/>
      </c>
      <c r="AJ156" s="603" t="str">
        <f t="shared" ca="1" si="67"/>
        <v/>
      </c>
      <c r="AK156" s="603" t="str">
        <f t="shared" ca="1" si="68"/>
        <v/>
      </c>
    </row>
    <row r="157" spans="1:37" ht="35.4" customHeight="1">
      <c r="A157" s="623" t="str">
        <f t="shared" si="57"/>
        <v/>
      </c>
      <c r="B157" s="489"/>
      <c r="C157" s="489"/>
      <c r="D157" s="489" t="str" cm="1">
        <f t="array" ref="D157">_xll.RssMarket(B157, "銘柄名称")</f>
        <v/>
      </c>
      <c r="E157" s="720"/>
      <c r="F157" s="702" t="str" cm="1">
        <f t="array" aca="1" ref="F157" ca="1">IFERROR(_xlfn.LET(_xlpm.r,MATCH(TEXT($B157,"0"),TEXT(銘柄管理!$B$6:$B$305,"0"),0),_xlpm.t,MOD(NOW(),1),_xlpm.c,IF($E157=TODAY(),IF(_xlpm.t&gt;=TIME(15,30,0),NA(),1),IF(MATCH($E157,始値!$E$3:$BT$3,0)=1,1,MATCH($E157,始値!$E$3:$BT$3,0)+1)),_xlpm.v,INDEX(始値!$C$6:$BT$305,_xlpm.r,_xlpm.c),IF(N(_xlpm.v)=0,"",_xlpm.v)),"")</f>
        <v/>
      </c>
      <c r="G157" s="489"/>
      <c r="H157" s="491" t="str" cm="1">
        <f t="array" ref="H157">_xll.RssMarket(B157, "現在値")</f>
        <v/>
      </c>
      <c r="I157" s="491" t="str" cm="1">
        <f t="array" ref="I157">_xll.RssMarket(B157, "出来高加重平均")</f>
        <v/>
      </c>
      <c r="J157" s="705" t="str" cm="1">
        <f t="array" ref="J157">_xll.RssMarket($B157, "前日比")</f>
        <v/>
      </c>
      <c r="K157" s="705" t="str">
        <f t="shared" ca="1" si="69"/>
        <v/>
      </c>
      <c r="L157" s="710" t="str">
        <f t="shared" ca="1" si="70"/>
        <v/>
      </c>
      <c r="M157" s="491" t="str">
        <f t="shared" ca="1" si="58"/>
        <v/>
      </c>
      <c r="N157" s="491" t="str">
        <f t="shared" ca="1" si="59"/>
        <v/>
      </c>
      <c r="O157" s="492" t="str">
        <f t="shared" ca="1" si="60"/>
        <v/>
      </c>
      <c r="P157" s="491" t="str">
        <f t="array" aca="1" ref="P157" ca="1">IF(B157="","",IFERROR(MAX(OFFSET(高値!$E$6,MATCH(TEXT(B157,"0"),TEXT(銘柄管理!$B$6:$B$305,"0"),0)-1,0,1,10)),""))</f>
        <v/>
      </c>
      <c r="Q157" s="491" t="str">
        <f t="array" aca="1" ref="Q157" ca="1">IF(B157="","",IFERROR(MIN(OFFSET(安値!$E$6,MATCH(TEXT(B157,"0"),TEXT(銘柄管理!$B$6:$B$305,"0"),0)-1,0,1,10)),""))</f>
        <v/>
      </c>
      <c r="R157" s="491" t="str">
        <f t="shared" ca="1" si="71"/>
        <v/>
      </c>
      <c r="S157" s="589" t="str">
        <f t="shared" si="72"/>
        <v/>
      </c>
      <c r="T157" s="597" t="str">
        <f t="shared" ca="1" si="61"/>
        <v/>
      </c>
      <c r="U157" s="491" t="str">
        <f t="shared" ca="1" si="62"/>
        <v/>
      </c>
      <c r="V157" s="705" t="str">
        <f t="shared" ca="1" si="73"/>
        <v/>
      </c>
      <c r="W157" s="493" t="str">
        <f t="shared" ca="1" si="63"/>
        <v/>
      </c>
      <c r="X157" s="489" t="str">
        <f t="shared" ca="1" si="64"/>
        <v/>
      </c>
      <c r="Y157" s="488"/>
      <c r="Z157" s="714"/>
      <c r="AD157" s="611"/>
      <c r="AE157" s="603" t="str">
        <f t="shared" si="65"/>
        <v/>
      </c>
      <c r="AF157" s="603"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03"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03" t="str">
        <f t="shared" ca="1" si="66"/>
        <v/>
      </c>
      <c r="AI157" s="603" t="str" cm="1">
        <f t="array" ref="AI157">IFERROR(INDEX(始値!$E$6:$BT$305,MATCH(TEXT($B157,"0"),TEXT(銘柄管理!$B$6:$B$305,"0"),0),MATCH($AE157,始値!$E$3:$BT$3,0)),"")</f>
        <v/>
      </c>
      <c r="AJ157" s="603" t="str">
        <f t="shared" ca="1" si="67"/>
        <v/>
      </c>
      <c r="AK157" s="603" t="str">
        <f t="shared" ca="1" si="68"/>
        <v/>
      </c>
    </row>
    <row r="158" spans="1:37" ht="35.4" customHeight="1">
      <c r="A158" s="623" t="str">
        <f t="shared" si="57"/>
        <v/>
      </c>
      <c r="B158" s="489"/>
      <c r="C158" s="489"/>
      <c r="D158" s="489" t="str" cm="1">
        <f t="array" ref="D158">_xll.RssMarket(B158, "銘柄名称")</f>
        <v/>
      </c>
      <c r="E158" s="720"/>
      <c r="F158" s="702" t="str" cm="1">
        <f t="array" aca="1" ref="F158" ca="1">IFERROR(_xlfn.LET(_xlpm.r,MATCH(TEXT($B158,"0"),TEXT(銘柄管理!$B$6:$B$305,"0"),0),_xlpm.t,MOD(NOW(),1),_xlpm.c,IF($E158=TODAY(),IF(_xlpm.t&gt;=TIME(15,30,0),NA(),1),IF(MATCH($E158,始値!$E$3:$BT$3,0)=1,1,MATCH($E158,始値!$E$3:$BT$3,0)+1)),_xlpm.v,INDEX(始値!$C$6:$BT$305,_xlpm.r,_xlpm.c),IF(N(_xlpm.v)=0,"",_xlpm.v)),"")</f>
        <v/>
      </c>
      <c r="G158" s="489"/>
      <c r="H158" s="491" t="str" cm="1">
        <f t="array" ref="H158">_xll.RssMarket(B158, "現在値")</f>
        <v/>
      </c>
      <c r="I158" s="491" t="str" cm="1">
        <f t="array" ref="I158">_xll.RssMarket(B158, "出来高加重平均")</f>
        <v/>
      </c>
      <c r="J158" s="705" t="str" cm="1">
        <f t="array" ref="J158">_xll.RssMarket($B158, "前日比")</f>
        <v/>
      </c>
      <c r="K158" s="705" t="str">
        <f t="shared" ca="1" si="69"/>
        <v/>
      </c>
      <c r="L158" s="710" t="str">
        <f t="shared" ca="1" si="70"/>
        <v/>
      </c>
      <c r="M158" s="491" t="str">
        <f t="shared" ca="1" si="58"/>
        <v/>
      </c>
      <c r="N158" s="491" t="str">
        <f t="shared" ca="1" si="59"/>
        <v/>
      </c>
      <c r="O158" s="492" t="str">
        <f t="shared" ca="1" si="60"/>
        <v/>
      </c>
      <c r="P158" s="491" t="str">
        <f t="array" aca="1" ref="P158" ca="1">IF(B158="","",IFERROR(MAX(OFFSET(高値!$E$6,MATCH(TEXT(B158,"0"),TEXT(銘柄管理!$B$6:$B$305,"0"),0)-1,0,1,10)),""))</f>
        <v/>
      </c>
      <c r="Q158" s="491" t="str">
        <f t="array" aca="1" ref="Q158" ca="1">IF(B158="","",IFERROR(MIN(OFFSET(安値!$E$6,MATCH(TEXT(B158,"0"),TEXT(銘柄管理!$B$6:$B$305,"0"),0)-1,0,1,10)),""))</f>
        <v/>
      </c>
      <c r="R158" s="491" t="str">
        <f t="shared" ca="1" si="71"/>
        <v/>
      </c>
      <c r="S158" s="589" t="str">
        <f t="shared" si="72"/>
        <v/>
      </c>
      <c r="T158" s="597" t="str">
        <f t="shared" ca="1" si="61"/>
        <v/>
      </c>
      <c r="U158" s="491" t="str">
        <f t="shared" ca="1" si="62"/>
        <v/>
      </c>
      <c r="V158" s="705" t="str">
        <f t="shared" ca="1" si="73"/>
        <v/>
      </c>
      <c r="W158" s="493" t="str">
        <f t="shared" ca="1" si="63"/>
        <v/>
      </c>
      <c r="X158" s="489" t="str">
        <f t="shared" ca="1" si="64"/>
        <v/>
      </c>
      <c r="Y158" s="488"/>
      <c r="Z158" s="714"/>
      <c r="AD158" s="611"/>
      <c r="AE158" s="603" t="str">
        <f t="shared" si="65"/>
        <v/>
      </c>
      <c r="AF158" s="603"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03"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03" t="str">
        <f t="shared" ca="1" si="66"/>
        <v/>
      </c>
      <c r="AI158" s="603" t="str" cm="1">
        <f t="array" ref="AI158">IFERROR(INDEX(始値!$E$6:$BT$305,MATCH(TEXT($B158,"0"),TEXT(銘柄管理!$B$6:$B$305,"0"),0),MATCH($AE158,始値!$E$3:$BT$3,0)),"")</f>
        <v/>
      </c>
      <c r="AJ158" s="603" t="str">
        <f t="shared" ca="1" si="67"/>
        <v/>
      </c>
      <c r="AK158" s="603" t="str">
        <f t="shared" ca="1" si="68"/>
        <v/>
      </c>
    </row>
    <row r="159" spans="1:37" ht="35.4" customHeight="1">
      <c r="A159" s="623" t="str">
        <f t="shared" si="57"/>
        <v/>
      </c>
      <c r="B159" s="489"/>
      <c r="C159" s="489"/>
      <c r="D159" s="489" t="str" cm="1">
        <f t="array" ref="D159">_xll.RssMarket(B159, "銘柄名称")</f>
        <v/>
      </c>
      <c r="E159" s="720"/>
      <c r="F159" s="702" t="str" cm="1">
        <f t="array" aca="1" ref="F159" ca="1">IFERROR(_xlfn.LET(_xlpm.r,MATCH(TEXT($B159,"0"),TEXT(銘柄管理!$B$6:$B$305,"0"),0),_xlpm.t,MOD(NOW(),1),_xlpm.c,IF($E159=TODAY(),IF(_xlpm.t&gt;=TIME(15,30,0),NA(),1),IF(MATCH($E159,始値!$E$3:$BT$3,0)=1,1,MATCH($E159,始値!$E$3:$BT$3,0)+1)),_xlpm.v,INDEX(始値!$C$6:$BT$305,_xlpm.r,_xlpm.c),IF(N(_xlpm.v)=0,"",_xlpm.v)),"")</f>
        <v/>
      </c>
      <c r="G159" s="489"/>
      <c r="H159" s="491" t="str" cm="1">
        <f t="array" ref="H159">_xll.RssMarket(B159, "現在値")</f>
        <v/>
      </c>
      <c r="I159" s="491" t="str" cm="1">
        <f t="array" ref="I159">_xll.RssMarket(B159, "出来高加重平均")</f>
        <v/>
      </c>
      <c r="J159" s="705" t="str" cm="1">
        <f t="array" ref="J159">_xll.RssMarket($B159, "前日比")</f>
        <v/>
      </c>
      <c r="K159" s="705" t="str">
        <f t="shared" ca="1" si="69"/>
        <v/>
      </c>
      <c r="L159" s="710" t="str">
        <f t="shared" ca="1" si="70"/>
        <v/>
      </c>
      <c r="M159" s="491" t="str">
        <f t="shared" ca="1" si="58"/>
        <v/>
      </c>
      <c r="N159" s="491" t="str">
        <f t="shared" ca="1" si="59"/>
        <v/>
      </c>
      <c r="O159" s="492" t="str">
        <f t="shared" ca="1" si="60"/>
        <v/>
      </c>
      <c r="P159" s="491" t="str">
        <f t="array" aca="1" ref="P159" ca="1">IF(B159="","",IFERROR(MAX(OFFSET(高値!$E$6,MATCH(TEXT(B159,"0"),TEXT(銘柄管理!$B$6:$B$305,"0"),0)-1,0,1,10)),""))</f>
        <v/>
      </c>
      <c r="Q159" s="491" t="str">
        <f t="array" aca="1" ref="Q159" ca="1">IF(B159="","",IFERROR(MIN(OFFSET(安値!$E$6,MATCH(TEXT(B159,"0"),TEXT(銘柄管理!$B$6:$B$305,"0"),0)-1,0,1,10)),""))</f>
        <v/>
      </c>
      <c r="R159" s="491" t="str">
        <f t="shared" ca="1" si="71"/>
        <v/>
      </c>
      <c r="S159" s="589" t="str">
        <f t="shared" si="72"/>
        <v/>
      </c>
      <c r="T159" s="597" t="str">
        <f t="shared" ca="1" si="61"/>
        <v/>
      </c>
      <c r="U159" s="491" t="str">
        <f t="shared" ca="1" si="62"/>
        <v/>
      </c>
      <c r="V159" s="705" t="str">
        <f t="shared" ca="1" si="73"/>
        <v/>
      </c>
      <c r="W159" s="493" t="str">
        <f t="shared" ca="1" si="63"/>
        <v/>
      </c>
      <c r="X159" s="489" t="str">
        <f t="shared" ca="1" si="64"/>
        <v/>
      </c>
      <c r="Y159" s="488"/>
      <c r="Z159" s="714"/>
      <c r="AD159" s="611"/>
      <c r="AE159" s="603" t="str">
        <f t="shared" si="65"/>
        <v/>
      </c>
      <c r="AF159" s="603"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03"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03" t="str">
        <f t="shared" ca="1" si="66"/>
        <v/>
      </c>
      <c r="AI159" s="603" t="str" cm="1">
        <f t="array" ref="AI159">IFERROR(INDEX(始値!$E$6:$BT$305,MATCH(TEXT($B159,"0"),TEXT(銘柄管理!$B$6:$B$305,"0"),0),MATCH($AE159,始値!$E$3:$BT$3,0)),"")</f>
        <v/>
      </c>
      <c r="AJ159" s="603" t="str">
        <f t="shared" ca="1" si="67"/>
        <v/>
      </c>
      <c r="AK159" s="603" t="str">
        <f t="shared" ca="1" si="68"/>
        <v/>
      </c>
    </row>
    <row r="160" spans="1:37" ht="35.4" customHeight="1">
      <c r="A160" s="623" t="str">
        <f t="shared" si="57"/>
        <v/>
      </c>
      <c r="B160" s="489"/>
      <c r="C160" s="489"/>
      <c r="D160" s="489" t="str" cm="1">
        <f t="array" ref="D160">_xll.RssMarket(B160, "銘柄名称")</f>
        <v/>
      </c>
      <c r="E160" s="720"/>
      <c r="F160" s="702" t="str" cm="1">
        <f t="array" aca="1" ref="F160" ca="1">IFERROR(_xlfn.LET(_xlpm.r,MATCH(TEXT($B160,"0"),TEXT(銘柄管理!$B$6:$B$305,"0"),0),_xlpm.t,MOD(NOW(),1),_xlpm.c,IF($E160=TODAY(),IF(_xlpm.t&gt;=TIME(15,30,0),NA(),1),IF(MATCH($E160,始値!$E$3:$BT$3,0)=1,1,MATCH($E160,始値!$E$3:$BT$3,0)+1)),_xlpm.v,INDEX(始値!$C$6:$BT$305,_xlpm.r,_xlpm.c),IF(N(_xlpm.v)=0,"",_xlpm.v)),"")</f>
        <v/>
      </c>
      <c r="G160" s="489"/>
      <c r="H160" s="491" t="str" cm="1">
        <f t="array" ref="H160">_xll.RssMarket(B160, "現在値")</f>
        <v/>
      </c>
      <c r="I160" s="491" t="str" cm="1">
        <f t="array" ref="I160">_xll.RssMarket(B160, "出来高加重平均")</f>
        <v/>
      </c>
      <c r="J160" s="705" t="str" cm="1">
        <f t="array" ref="J160">_xll.RssMarket($B160, "前日比")</f>
        <v/>
      </c>
      <c r="K160" s="705" t="str">
        <f t="shared" ca="1" si="69"/>
        <v/>
      </c>
      <c r="L160" s="710" t="str">
        <f t="shared" ca="1" si="70"/>
        <v/>
      </c>
      <c r="M160" s="491" t="str">
        <f t="shared" ca="1" si="58"/>
        <v/>
      </c>
      <c r="N160" s="491" t="str">
        <f t="shared" ca="1" si="59"/>
        <v/>
      </c>
      <c r="O160" s="492" t="str">
        <f t="shared" ca="1" si="60"/>
        <v/>
      </c>
      <c r="P160" s="491" t="str">
        <f t="array" aca="1" ref="P160" ca="1">IF(B160="","",IFERROR(MAX(OFFSET(高値!$E$6,MATCH(TEXT(B160,"0"),TEXT(銘柄管理!$B$6:$B$305,"0"),0)-1,0,1,10)),""))</f>
        <v/>
      </c>
      <c r="Q160" s="491" t="str">
        <f t="array" aca="1" ref="Q160" ca="1">IF(B160="","",IFERROR(MIN(OFFSET(安値!$E$6,MATCH(TEXT(B160,"0"),TEXT(銘柄管理!$B$6:$B$305,"0"),0)-1,0,1,10)),""))</f>
        <v/>
      </c>
      <c r="R160" s="491" t="str">
        <f t="shared" ca="1" si="71"/>
        <v/>
      </c>
      <c r="S160" s="589" t="str">
        <f t="shared" si="72"/>
        <v/>
      </c>
      <c r="T160" s="597" t="str">
        <f t="shared" ca="1" si="61"/>
        <v/>
      </c>
      <c r="U160" s="491" t="str">
        <f t="shared" ca="1" si="62"/>
        <v/>
      </c>
      <c r="V160" s="705" t="str">
        <f t="shared" ca="1" si="73"/>
        <v/>
      </c>
      <c r="W160" s="493" t="str">
        <f t="shared" ca="1" si="63"/>
        <v/>
      </c>
      <c r="X160" s="489" t="str">
        <f t="shared" ca="1" si="64"/>
        <v/>
      </c>
      <c r="Y160" s="488"/>
      <c r="Z160" s="714"/>
      <c r="AD160" s="611"/>
      <c r="AE160" s="603" t="str">
        <f t="shared" si="65"/>
        <v/>
      </c>
      <c r="AF160" s="603"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03"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03" t="str">
        <f t="shared" ca="1" si="66"/>
        <v/>
      </c>
      <c r="AI160" s="603" t="str" cm="1">
        <f t="array" ref="AI160">IFERROR(INDEX(始値!$E$6:$BT$305,MATCH(TEXT($B160,"0"),TEXT(銘柄管理!$B$6:$B$305,"0"),0),MATCH($AE160,始値!$E$3:$BT$3,0)),"")</f>
        <v/>
      </c>
      <c r="AJ160" s="603" t="str">
        <f t="shared" ca="1" si="67"/>
        <v/>
      </c>
      <c r="AK160" s="603" t="str">
        <f t="shared" ca="1" si="68"/>
        <v/>
      </c>
    </row>
    <row r="161" spans="1:37" ht="35.4" customHeight="1">
      <c r="A161" s="623" t="str">
        <f t="shared" si="57"/>
        <v/>
      </c>
      <c r="B161" s="489"/>
      <c r="C161" s="489"/>
      <c r="D161" s="489" t="str" cm="1">
        <f t="array" ref="D161">_xll.RssMarket(B161, "銘柄名称")</f>
        <v/>
      </c>
      <c r="E161" s="720"/>
      <c r="F161" s="702" t="str" cm="1">
        <f t="array" aca="1" ref="F161" ca="1">IFERROR(_xlfn.LET(_xlpm.r,MATCH(TEXT($B161,"0"),TEXT(銘柄管理!$B$6:$B$305,"0"),0),_xlpm.t,MOD(NOW(),1),_xlpm.c,IF($E161=TODAY(),IF(_xlpm.t&gt;=TIME(15,30,0),NA(),1),IF(MATCH($E161,始値!$E$3:$BT$3,0)=1,1,MATCH($E161,始値!$E$3:$BT$3,0)+1)),_xlpm.v,INDEX(始値!$C$6:$BT$305,_xlpm.r,_xlpm.c),IF(N(_xlpm.v)=0,"",_xlpm.v)),"")</f>
        <v/>
      </c>
      <c r="G161" s="489"/>
      <c r="H161" s="491" t="str" cm="1">
        <f t="array" ref="H161">_xll.RssMarket(B161, "現在値")</f>
        <v/>
      </c>
      <c r="I161" s="491" t="str" cm="1">
        <f t="array" ref="I161">_xll.RssMarket(B161, "出来高加重平均")</f>
        <v/>
      </c>
      <c r="J161" s="705" t="str" cm="1">
        <f t="array" ref="J161">_xll.RssMarket($B161, "前日比")</f>
        <v/>
      </c>
      <c r="K161" s="705" t="str">
        <f t="shared" ca="1" si="69"/>
        <v/>
      </c>
      <c r="L161" s="710" t="str">
        <f t="shared" ca="1" si="70"/>
        <v/>
      </c>
      <c r="M161" s="491" t="str">
        <f t="shared" ca="1" si="58"/>
        <v/>
      </c>
      <c r="N161" s="491" t="str">
        <f t="shared" ca="1" si="59"/>
        <v/>
      </c>
      <c r="O161" s="492" t="str">
        <f t="shared" ca="1" si="60"/>
        <v/>
      </c>
      <c r="P161" s="491" t="str">
        <f t="array" aca="1" ref="P161" ca="1">IF(B161="","",IFERROR(MAX(OFFSET(高値!$E$6,MATCH(TEXT(B161,"0"),TEXT(銘柄管理!$B$6:$B$305,"0"),0)-1,0,1,10)),""))</f>
        <v/>
      </c>
      <c r="Q161" s="491" t="str">
        <f t="array" aca="1" ref="Q161" ca="1">IF(B161="","",IFERROR(MIN(OFFSET(安値!$E$6,MATCH(TEXT(B161,"0"),TEXT(銘柄管理!$B$6:$B$305,"0"),0)-1,0,1,10)),""))</f>
        <v/>
      </c>
      <c r="R161" s="491" t="str">
        <f t="shared" ca="1" si="71"/>
        <v/>
      </c>
      <c r="S161" s="589" t="str">
        <f t="shared" si="72"/>
        <v/>
      </c>
      <c r="T161" s="597" t="str">
        <f t="shared" ca="1" si="61"/>
        <v/>
      </c>
      <c r="U161" s="491" t="str">
        <f t="shared" ca="1" si="62"/>
        <v/>
      </c>
      <c r="V161" s="705" t="str">
        <f t="shared" ca="1" si="73"/>
        <v/>
      </c>
      <c r="W161" s="493" t="str">
        <f t="shared" ca="1" si="63"/>
        <v/>
      </c>
      <c r="X161" s="489" t="str">
        <f t="shared" ca="1" si="64"/>
        <v/>
      </c>
      <c r="Y161" s="488"/>
      <c r="Z161" s="714"/>
      <c r="AD161" s="611"/>
      <c r="AE161" s="603" t="str">
        <f t="shared" si="65"/>
        <v/>
      </c>
      <c r="AF161" s="603"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03"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03" t="str">
        <f t="shared" ca="1" si="66"/>
        <v/>
      </c>
      <c r="AI161" s="603" t="str" cm="1">
        <f t="array" ref="AI161">IFERROR(INDEX(始値!$E$6:$BT$305,MATCH(TEXT($B161,"0"),TEXT(銘柄管理!$B$6:$B$305,"0"),0),MATCH($AE161,始値!$E$3:$BT$3,0)),"")</f>
        <v/>
      </c>
      <c r="AJ161" s="603" t="str">
        <f t="shared" ca="1" si="67"/>
        <v/>
      </c>
      <c r="AK161" s="603" t="str">
        <f t="shared" ca="1" si="68"/>
        <v/>
      </c>
    </row>
    <row r="162" spans="1:37" ht="35.4" customHeight="1">
      <c r="A162" s="623" t="str">
        <f t="shared" si="57"/>
        <v/>
      </c>
      <c r="B162" s="489"/>
      <c r="C162" s="489"/>
      <c r="D162" s="489" t="str" cm="1">
        <f t="array" ref="D162">_xll.RssMarket(B162, "銘柄名称")</f>
        <v/>
      </c>
      <c r="E162" s="720"/>
      <c r="F162" s="702" t="str" cm="1">
        <f t="array" aca="1" ref="F162" ca="1">IFERROR(_xlfn.LET(_xlpm.r,MATCH(TEXT($B162,"0"),TEXT(銘柄管理!$B$6:$B$305,"0"),0),_xlpm.t,MOD(NOW(),1),_xlpm.c,IF($E162=TODAY(),IF(_xlpm.t&gt;=TIME(15,30,0),NA(),1),IF(MATCH($E162,始値!$E$3:$BT$3,0)=1,1,MATCH($E162,始値!$E$3:$BT$3,0)+1)),_xlpm.v,INDEX(始値!$C$6:$BT$305,_xlpm.r,_xlpm.c),IF(N(_xlpm.v)=0,"",_xlpm.v)),"")</f>
        <v/>
      </c>
      <c r="G162" s="489"/>
      <c r="H162" s="491" t="str" cm="1">
        <f t="array" ref="H162">_xll.RssMarket(B162, "現在値")</f>
        <v/>
      </c>
      <c r="I162" s="491" t="str" cm="1">
        <f t="array" ref="I162">_xll.RssMarket(B162, "出来高加重平均")</f>
        <v/>
      </c>
      <c r="J162" s="705" t="str" cm="1">
        <f t="array" ref="J162">_xll.RssMarket($B162, "前日比")</f>
        <v/>
      </c>
      <c r="K162" s="705" t="str">
        <f t="shared" ca="1" si="69"/>
        <v/>
      </c>
      <c r="L162" s="710" t="str">
        <f t="shared" ca="1" si="70"/>
        <v/>
      </c>
      <c r="M162" s="491" t="str">
        <f t="shared" ca="1" si="58"/>
        <v/>
      </c>
      <c r="N162" s="491" t="str">
        <f t="shared" ca="1" si="59"/>
        <v/>
      </c>
      <c r="O162" s="492" t="str">
        <f t="shared" ca="1" si="60"/>
        <v/>
      </c>
      <c r="P162" s="491" t="str">
        <f t="array" aca="1" ref="P162" ca="1">IF(B162="","",IFERROR(MAX(OFFSET(高値!$E$6,MATCH(TEXT(B162,"0"),TEXT(銘柄管理!$B$6:$B$305,"0"),0)-1,0,1,10)),""))</f>
        <v/>
      </c>
      <c r="Q162" s="491" t="str">
        <f t="array" aca="1" ref="Q162" ca="1">IF(B162="","",IFERROR(MIN(OFFSET(安値!$E$6,MATCH(TEXT(B162,"0"),TEXT(銘柄管理!$B$6:$B$305,"0"),0)-1,0,1,10)),""))</f>
        <v/>
      </c>
      <c r="R162" s="491" t="str">
        <f t="shared" ca="1" si="71"/>
        <v/>
      </c>
      <c r="S162" s="589" t="str">
        <f t="shared" si="72"/>
        <v/>
      </c>
      <c r="T162" s="597" t="str">
        <f t="shared" ca="1" si="61"/>
        <v/>
      </c>
      <c r="U162" s="491" t="str">
        <f t="shared" ca="1" si="62"/>
        <v/>
      </c>
      <c r="V162" s="705" t="str">
        <f t="shared" ca="1" si="73"/>
        <v/>
      </c>
      <c r="W162" s="493" t="str">
        <f t="shared" ca="1" si="63"/>
        <v/>
      </c>
      <c r="X162" s="489" t="str">
        <f t="shared" ca="1" si="64"/>
        <v/>
      </c>
      <c r="Y162" s="488"/>
      <c r="Z162" s="714"/>
      <c r="AD162" s="611"/>
      <c r="AE162" s="603" t="str">
        <f t="shared" si="65"/>
        <v/>
      </c>
      <c r="AF162" s="603"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03"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03" t="str">
        <f t="shared" ca="1" si="66"/>
        <v/>
      </c>
      <c r="AI162" s="603" t="str" cm="1">
        <f t="array" ref="AI162">IFERROR(INDEX(始値!$E$6:$BT$305,MATCH(TEXT($B162,"0"),TEXT(銘柄管理!$B$6:$B$305,"0"),0),MATCH($AE162,始値!$E$3:$BT$3,0)),"")</f>
        <v/>
      </c>
      <c r="AJ162" s="603" t="str">
        <f t="shared" ca="1" si="67"/>
        <v/>
      </c>
      <c r="AK162" s="603" t="str">
        <f t="shared" ca="1" si="68"/>
        <v/>
      </c>
    </row>
    <row r="163" spans="1:37" ht="35.4" customHeight="1">
      <c r="A163" s="623" t="str">
        <f t="shared" si="57"/>
        <v/>
      </c>
      <c r="B163" s="489"/>
      <c r="C163" s="489"/>
      <c r="D163" s="489" t="str" cm="1">
        <f t="array" ref="D163">_xll.RssMarket(B163, "銘柄名称")</f>
        <v/>
      </c>
      <c r="E163" s="720"/>
      <c r="F163" s="702" t="str" cm="1">
        <f t="array" aca="1" ref="F163" ca="1">IFERROR(_xlfn.LET(_xlpm.r,MATCH(TEXT($B163,"0"),TEXT(銘柄管理!$B$6:$B$305,"0"),0),_xlpm.t,MOD(NOW(),1),_xlpm.c,IF($E163=TODAY(),IF(_xlpm.t&gt;=TIME(15,30,0),NA(),1),IF(MATCH($E163,始値!$E$3:$BT$3,0)=1,1,MATCH($E163,始値!$E$3:$BT$3,0)+1)),_xlpm.v,INDEX(始値!$C$6:$BT$305,_xlpm.r,_xlpm.c),IF(N(_xlpm.v)=0,"",_xlpm.v)),"")</f>
        <v/>
      </c>
      <c r="G163" s="489"/>
      <c r="H163" s="491" t="str" cm="1">
        <f t="array" ref="H163">_xll.RssMarket(B163, "現在値")</f>
        <v/>
      </c>
      <c r="I163" s="491" t="str" cm="1">
        <f t="array" ref="I163">_xll.RssMarket(B163, "出来高加重平均")</f>
        <v/>
      </c>
      <c r="J163" s="705" t="str" cm="1">
        <f t="array" ref="J163">_xll.RssMarket($B163, "前日比")</f>
        <v/>
      </c>
      <c r="K163" s="705" t="str">
        <f t="shared" ca="1" si="69"/>
        <v/>
      </c>
      <c r="L163" s="710" t="str">
        <f t="shared" ca="1" si="70"/>
        <v/>
      </c>
      <c r="M163" s="491" t="str">
        <f t="shared" ca="1" si="58"/>
        <v/>
      </c>
      <c r="N163" s="491" t="str">
        <f t="shared" ca="1" si="59"/>
        <v/>
      </c>
      <c r="O163" s="492" t="str">
        <f t="shared" ca="1" si="60"/>
        <v/>
      </c>
      <c r="P163" s="491" t="str">
        <f t="array" aca="1" ref="P163" ca="1">IF(B163="","",IFERROR(MAX(OFFSET(高値!$E$6,MATCH(TEXT(B163,"0"),TEXT(銘柄管理!$B$6:$B$305,"0"),0)-1,0,1,10)),""))</f>
        <v/>
      </c>
      <c r="Q163" s="491" t="str">
        <f t="array" aca="1" ref="Q163" ca="1">IF(B163="","",IFERROR(MIN(OFFSET(安値!$E$6,MATCH(TEXT(B163,"0"),TEXT(銘柄管理!$B$6:$B$305,"0"),0)-1,0,1,10)),""))</f>
        <v/>
      </c>
      <c r="R163" s="491" t="str">
        <f t="shared" ca="1" si="71"/>
        <v/>
      </c>
      <c r="S163" s="589" t="str">
        <f t="shared" si="72"/>
        <v/>
      </c>
      <c r="T163" s="597" t="str">
        <f t="shared" ca="1" si="61"/>
        <v/>
      </c>
      <c r="U163" s="491" t="str">
        <f t="shared" ca="1" si="62"/>
        <v/>
      </c>
      <c r="V163" s="705" t="str">
        <f t="shared" ca="1" si="73"/>
        <v/>
      </c>
      <c r="W163" s="493" t="str">
        <f t="shared" ca="1" si="63"/>
        <v/>
      </c>
      <c r="X163" s="489" t="str">
        <f t="shared" ca="1" si="64"/>
        <v/>
      </c>
      <c r="Y163" s="488"/>
      <c r="Z163" s="714"/>
      <c r="AD163" s="611"/>
      <c r="AE163" s="603" t="str">
        <f t="shared" si="65"/>
        <v/>
      </c>
      <c r="AF163" s="603"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03"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03" t="str">
        <f t="shared" ca="1" si="66"/>
        <v/>
      </c>
      <c r="AI163" s="603" t="str" cm="1">
        <f t="array" ref="AI163">IFERROR(INDEX(始値!$E$6:$BT$305,MATCH(TEXT($B163,"0"),TEXT(銘柄管理!$B$6:$B$305,"0"),0),MATCH($AE163,始値!$E$3:$BT$3,0)),"")</f>
        <v/>
      </c>
      <c r="AJ163" s="603" t="str">
        <f t="shared" ca="1" si="67"/>
        <v/>
      </c>
      <c r="AK163" s="603" t="str">
        <f t="shared" ca="1" si="68"/>
        <v/>
      </c>
    </row>
    <row r="164" spans="1:37" ht="35.4" customHeight="1">
      <c r="A164" s="623" t="str">
        <f t="shared" si="57"/>
        <v/>
      </c>
      <c r="B164" s="489"/>
      <c r="C164" s="489"/>
      <c r="D164" s="489" t="str" cm="1">
        <f t="array" ref="D164">_xll.RssMarket(B164, "銘柄名称")</f>
        <v/>
      </c>
      <c r="E164" s="720"/>
      <c r="F164" s="702" t="str" cm="1">
        <f t="array" aca="1" ref="F164" ca="1">IFERROR(_xlfn.LET(_xlpm.r,MATCH(TEXT($B164,"0"),TEXT(銘柄管理!$B$6:$B$305,"0"),0),_xlpm.t,MOD(NOW(),1),_xlpm.c,IF($E164=TODAY(),IF(_xlpm.t&gt;=TIME(15,30,0),NA(),1),IF(MATCH($E164,始値!$E$3:$BT$3,0)=1,1,MATCH($E164,始値!$E$3:$BT$3,0)+1)),_xlpm.v,INDEX(始値!$C$6:$BT$305,_xlpm.r,_xlpm.c),IF(N(_xlpm.v)=0,"",_xlpm.v)),"")</f>
        <v/>
      </c>
      <c r="G164" s="489"/>
      <c r="H164" s="491" t="str" cm="1">
        <f t="array" ref="H164">_xll.RssMarket(B164, "現在値")</f>
        <v/>
      </c>
      <c r="I164" s="491" t="str" cm="1">
        <f t="array" ref="I164">_xll.RssMarket(B164, "出来高加重平均")</f>
        <v/>
      </c>
      <c r="J164" s="705" t="str" cm="1">
        <f t="array" ref="J164">_xll.RssMarket($B164, "前日比")</f>
        <v/>
      </c>
      <c r="K164" s="705" t="str">
        <f t="shared" ca="1" si="69"/>
        <v/>
      </c>
      <c r="L164" s="710" t="str">
        <f t="shared" ca="1" si="70"/>
        <v/>
      </c>
      <c r="M164" s="491" t="str">
        <f t="shared" ca="1" si="58"/>
        <v/>
      </c>
      <c r="N164" s="491" t="str">
        <f t="shared" ca="1" si="59"/>
        <v/>
      </c>
      <c r="O164" s="492" t="str">
        <f t="shared" ca="1" si="60"/>
        <v/>
      </c>
      <c r="P164" s="491" t="str">
        <f t="array" aca="1" ref="P164" ca="1">IF(B164="","",IFERROR(MAX(OFFSET(高値!$E$6,MATCH(TEXT(B164,"0"),TEXT(銘柄管理!$B$6:$B$305,"0"),0)-1,0,1,10)),""))</f>
        <v/>
      </c>
      <c r="Q164" s="491" t="str">
        <f t="array" aca="1" ref="Q164" ca="1">IF(B164="","",IFERROR(MIN(OFFSET(安値!$E$6,MATCH(TEXT(B164,"0"),TEXT(銘柄管理!$B$6:$B$305,"0"),0)-1,0,1,10)),""))</f>
        <v/>
      </c>
      <c r="R164" s="491" t="str">
        <f t="shared" ca="1" si="71"/>
        <v/>
      </c>
      <c r="S164" s="589" t="str">
        <f t="shared" si="72"/>
        <v/>
      </c>
      <c r="T164" s="597" t="str">
        <f t="shared" ca="1" si="61"/>
        <v/>
      </c>
      <c r="U164" s="491" t="str">
        <f t="shared" ca="1" si="62"/>
        <v/>
      </c>
      <c r="V164" s="705" t="str">
        <f t="shared" ca="1" si="73"/>
        <v/>
      </c>
      <c r="W164" s="493" t="str">
        <f t="shared" ca="1" si="63"/>
        <v/>
      </c>
      <c r="X164" s="489" t="str">
        <f t="shared" ca="1" si="64"/>
        <v/>
      </c>
      <c r="Y164" s="488"/>
      <c r="Z164" s="714"/>
      <c r="AD164" s="611"/>
      <c r="AE164" s="603" t="str">
        <f t="shared" si="65"/>
        <v/>
      </c>
      <c r="AF164" s="603"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03"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03" t="str">
        <f t="shared" ca="1" si="66"/>
        <v/>
      </c>
      <c r="AI164" s="603" t="str" cm="1">
        <f t="array" ref="AI164">IFERROR(INDEX(始値!$E$6:$BT$305,MATCH(TEXT($B164,"0"),TEXT(銘柄管理!$B$6:$B$305,"0"),0),MATCH($AE164,始値!$E$3:$BT$3,0)),"")</f>
        <v/>
      </c>
      <c r="AJ164" s="603" t="str">
        <f t="shared" ca="1" si="67"/>
        <v/>
      </c>
      <c r="AK164" s="603" t="str">
        <f t="shared" ca="1" si="68"/>
        <v/>
      </c>
    </row>
    <row r="165" spans="1:37" ht="35.4" customHeight="1">
      <c r="A165" s="623" t="str">
        <f t="shared" si="57"/>
        <v/>
      </c>
      <c r="B165" s="489"/>
      <c r="C165" s="489"/>
      <c r="D165" s="489" t="str" cm="1">
        <f t="array" ref="D165">_xll.RssMarket(B165, "銘柄名称")</f>
        <v/>
      </c>
      <c r="E165" s="720"/>
      <c r="F165" s="702" t="str" cm="1">
        <f t="array" aca="1" ref="F165" ca="1">IFERROR(_xlfn.LET(_xlpm.r,MATCH(TEXT($B165,"0"),TEXT(銘柄管理!$B$6:$B$305,"0"),0),_xlpm.t,MOD(NOW(),1),_xlpm.c,IF($E165=TODAY(),IF(_xlpm.t&gt;=TIME(15,30,0),NA(),1),IF(MATCH($E165,始値!$E$3:$BT$3,0)=1,1,MATCH($E165,始値!$E$3:$BT$3,0)+1)),_xlpm.v,INDEX(始値!$C$6:$BT$305,_xlpm.r,_xlpm.c),IF(N(_xlpm.v)=0,"",_xlpm.v)),"")</f>
        <v/>
      </c>
      <c r="G165" s="489"/>
      <c r="H165" s="491" t="str" cm="1">
        <f t="array" ref="H165">_xll.RssMarket(B165, "現在値")</f>
        <v/>
      </c>
      <c r="I165" s="491" t="str" cm="1">
        <f t="array" ref="I165">_xll.RssMarket(B165, "出来高加重平均")</f>
        <v/>
      </c>
      <c r="J165" s="705" t="str" cm="1">
        <f t="array" ref="J165">_xll.RssMarket($B165, "前日比")</f>
        <v/>
      </c>
      <c r="K165" s="705" t="str">
        <f t="shared" ca="1" si="69"/>
        <v/>
      </c>
      <c r="L165" s="710" t="str">
        <f t="shared" ca="1" si="70"/>
        <v/>
      </c>
      <c r="M165" s="491" t="str">
        <f t="shared" ca="1" si="58"/>
        <v/>
      </c>
      <c r="N165" s="491" t="str">
        <f t="shared" ca="1" si="59"/>
        <v/>
      </c>
      <c r="O165" s="492" t="str">
        <f t="shared" ca="1" si="60"/>
        <v/>
      </c>
      <c r="P165" s="491" t="str">
        <f t="array" aca="1" ref="P165" ca="1">IF(B165="","",IFERROR(MAX(OFFSET(高値!$E$6,MATCH(TEXT(B165,"0"),TEXT(銘柄管理!$B$6:$B$305,"0"),0)-1,0,1,10)),""))</f>
        <v/>
      </c>
      <c r="Q165" s="491" t="str">
        <f t="array" aca="1" ref="Q165" ca="1">IF(B165="","",IFERROR(MIN(OFFSET(安値!$E$6,MATCH(TEXT(B165,"0"),TEXT(銘柄管理!$B$6:$B$305,"0"),0)-1,0,1,10)),""))</f>
        <v/>
      </c>
      <c r="R165" s="491" t="str">
        <f t="shared" ca="1" si="71"/>
        <v/>
      </c>
      <c r="S165" s="589" t="str">
        <f t="shared" si="72"/>
        <v/>
      </c>
      <c r="T165" s="597" t="str">
        <f t="shared" ca="1" si="61"/>
        <v/>
      </c>
      <c r="U165" s="491" t="str">
        <f t="shared" ca="1" si="62"/>
        <v/>
      </c>
      <c r="V165" s="705" t="str">
        <f t="shared" ca="1" si="73"/>
        <v/>
      </c>
      <c r="W165" s="493" t="str">
        <f t="shared" ca="1" si="63"/>
        <v/>
      </c>
      <c r="X165" s="489" t="str">
        <f t="shared" ca="1" si="64"/>
        <v/>
      </c>
      <c r="Y165" s="488"/>
      <c r="Z165" s="714"/>
      <c r="AD165" s="611"/>
      <c r="AE165" s="603" t="str">
        <f t="shared" si="65"/>
        <v/>
      </c>
      <c r="AF165" s="603"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03"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03" t="str">
        <f t="shared" ca="1" si="66"/>
        <v/>
      </c>
      <c r="AI165" s="603" t="str" cm="1">
        <f t="array" ref="AI165">IFERROR(INDEX(始値!$E$6:$BT$305,MATCH(TEXT($B165,"0"),TEXT(銘柄管理!$B$6:$B$305,"0"),0),MATCH($AE165,始値!$E$3:$BT$3,0)),"")</f>
        <v/>
      </c>
      <c r="AJ165" s="603" t="str">
        <f t="shared" ca="1" si="67"/>
        <v/>
      </c>
      <c r="AK165" s="603" t="str">
        <f t="shared" ca="1" si="68"/>
        <v/>
      </c>
    </row>
    <row r="166" spans="1:37" ht="35.4" customHeight="1">
      <c r="A166" s="623" t="str">
        <f t="shared" si="57"/>
        <v/>
      </c>
      <c r="B166" s="489"/>
      <c r="C166" s="489"/>
      <c r="D166" s="489" t="str" cm="1">
        <f t="array" ref="D166">_xll.RssMarket(B166, "銘柄名称")</f>
        <v/>
      </c>
      <c r="E166" s="720"/>
      <c r="F166" s="702" t="str" cm="1">
        <f t="array" aca="1" ref="F166" ca="1">IFERROR(_xlfn.LET(_xlpm.r,MATCH(TEXT($B166,"0"),TEXT(銘柄管理!$B$6:$B$305,"0"),0),_xlpm.t,MOD(NOW(),1),_xlpm.c,IF($E166=TODAY(),IF(_xlpm.t&gt;=TIME(15,30,0),NA(),1),IF(MATCH($E166,始値!$E$3:$BT$3,0)=1,1,MATCH($E166,始値!$E$3:$BT$3,0)+1)),_xlpm.v,INDEX(始値!$C$6:$BT$305,_xlpm.r,_xlpm.c),IF(N(_xlpm.v)=0,"",_xlpm.v)),"")</f>
        <v/>
      </c>
      <c r="G166" s="489"/>
      <c r="H166" s="491" t="str" cm="1">
        <f t="array" ref="H166">_xll.RssMarket(B166, "現在値")</f>
        <v/>
      </c>
      <c r="I166" s="491" t="str" cm="1">
        <f t="array" ref="I166">_xll.RssMarket(B166, "出来高加重平均")</f>
        <v/>
      </c>
      <c r="J166" s="705" t="str" cm="1">
        <f t="array" ref="J166">_xll.RssMarket($B166, "前日比")</f>
        <v/>
      </c>
      <c r="K166" s="705" t="str">
        <f t="shared" ca="1" si="69"/>
        <v/>
      </c>
      <c r="L166" s="710" t="str">
        <f t="shared" ca="1" si="70"/>
        <v/>
      </c>
      <c r="M166" s="491" t="str">
        <f t="shared" ca="1" si="58"/>
        <v/>
      </c>
      <c r="N166" s="491" t="str">
        <f t="shared" ca="1" si="59"/>
        <v/>
      </c>
      <c r="O166" s="492" t="str">
        <f t="shared" ca="1" si="60"/>
        <v/>
      </c>
      <c r="P166" s="491" t="str">
        <f t="array" aca="1" ref="P166" ca="1">IF(B166="","",IFERROR(MAX(OFFSET(高値!$E$6,MATCH(TEXT(B166,"0"),TEXT(銘柄管理!$B$6:$B$305,"0"),0)-1,0,1,10)),""))</f>
        <v/>
      </c>
      <c r="Q166" s="491" t="str">
        <f t="array" aca="1" ref="Q166" ca="1">IF(B166="","",IFERROR(MIN(OFFSET(安値!$E$6,MATCH(TEXT(B166,"0"),TEXT(銘柄管理!$B$6:$B$305,"0"),0)-1,0,1,10)),""))</f>
        <v/>
      </c>
      <c r="R166" s="491" t="str">
        <f t="shared" ca="1" si="71"/>
        <v/>
      </c>
      <c r="S166" s="589" t="str">
        <f t="shared" si="72"/>
        <v/>
      </c>
      <c r="T166" s="597" t="str">
        <f t="shared" ca="1" si="61"/>
        <v/>
      </c>
      <c r="U166" s="491" t="str">
        <f t="shared" ca="1" si="62"/>
        <v/>
      </c>
      <c r="V166" s="705" t="str">
        <f t="shared" ca="1" si="73"/>
        <v/>
      </c>
      <c r="W166" s="493" t="str">
        <f t="shared" ca="1" si="63"/>
        <v/>
      </c>
      <c r="X166" s="489" t="str">
        <f t="shared" ca="1" si="64"/>
        <v/>
      </c>
      <c r="Y166" s="488"/>
      <c r="Z166" s="714"/>
      <c r="AD166" s="611"/>
      <c r="AE166" s="603" t="str">
        <f t="shared" si="65"/>
        <v/>
      </c>
      <c r="AF166" s="603"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03"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03" t="str">
        <f t="shared" ca="1" si="66"/>
        <v/>
      </c>
      <c r="AI166" s="603" t="str" cm="1">
        <f t="array" ref="AI166">IFERROR(INDEX(始値!$E$6:$BT$305,MATCH(TEXT($B166,"0"),TEXT(銘柄管理!$B$6:$B$305,"0"),0),MATCH($AE166,始値!$E$3:$BT$3,0)),"")</f>
        <v/>
      </c>
      <c r="AJ166" s="603" t="str">
        <f t="shared" ca="1" si="67"/>
        <v/>
      </c>
      <c r="AK166" s="603" t="str">
        <f t="shared" ca="1" si="68"/>
        <v/>
      </c>
    </row>
    <row r="167" spans="1:37" ht="35.4" customHeight="1">
      <c r="A167" s="623" t="str">
        <f t="shared" si="57"/>
        <v/>
      </c>
      <c r="B167" s="489"/>
      <c r="C167" s="489"/>
      <c r="D167" s="489" t="str" cm="1">
        <f t="array" ref="D167">_xll.RssMarket(B167, "銘柄名称")</f>
        <v/>
      </c>
      <c r="E167" s="720"/>
      <c r="F167" s="702" t="str" cm="1">
        <f t="array" aca="1" ref="F167" ca="1">IFERROR(_xlfn.LET(_xlpm.r,MATCH(TEXT($B167,"0"),TEXT(銘柄管理!$B$6:$B$305,"0"),0),_xlpm.t,MOD(NOW(),1),_xlpm.c,IF($E167=TODAY(),IF(_xlpm.t&gt;=TIME(15,30,0),NA(),1),IF(MATCH($E167,始値!$E$3:$BT$3,0)=1,1,MATCH($E167,始値!$E$3:$BT$3,0)+1)),_xlpm.v,INDEX(始値!$C$6:$BT$305,_xlpm.r,_xlpm.c),IF(N(_xlpm.v)=0,"",_xlpm.v)),"")</f>
        <v/>
      </c>
      <c r="G167" s="489"/>
      <c r="H167" s="491" t="str" cm="1">
        <f t="array" ref="H167">_xll.RssMarket(B167, "現在値")</f>
        <v/>
      </c>
      <c r="I167" s="491" t="str" cm="1">
        <f t="array" ref="I167">_xll.RssMarket(B167, "出来高加重平均")</f>
        <v/>
      </c>
      <c r="J167" s="705" t="str" cm="1">
        <f t="array" ref="J167">_xll.RssMarket($B167, "前日比")</f>
        <v/>
      </c>
      <c r="K167" s="705" t="str">
        <f t="shared" ca="1" si="69"/>
        <v/>
      </c>
      <c r="L167" s="710" t="str">
        <f t="shared" ca="1" si="70"/>
        <v/>
      </c>
      <c r="M167" s="491" t="str">
        <f t="shared" ca="1" si="58"/>
        <v/>
      </c>
      <c r="N167" s="491" t="str">
        <f t="shared" ca="1" si="59"/>
        <v/>
      </c>
      <c r="O167" s="492" t="str">
        <f t="shared" ca="1" si="60"/>
        <v/>
      </c>
      <c r="P167" s="491" t="str">
        <f t="array" aca="1" ref="P167" ca="1">IF(B167="","",IFERROR(MAX(OFFSET(高値!$E$6,MATCH(TEXT(B167,"0"),TEXT(銘柄管理!$B$6:$B$305,"0"),0)-1,0,1,10)),""))</f>
        <v/>
      </c>
      <c r="Q167" s="491" t="str">
        <f t="array" aca="1" ref="Q167" ca="1">IF(B167="","",IFERROR(MIN(OFFSET(安値!$E$6,MATCH(TEXT(B167,"0"),TEXT(銘柄管理!$B$6:$B$305,"0"),0)-1,0,1,10)),""))</f>
        <v/>
      </c>
      <c r="R167" s="491" t="str">
        <f t="shared" ca="1" si="71"/>
        <v/>
      </c>
      <c r="S167" s="589" t="str">
        <f t="shared" si="72"/>
        <v/>
      </c>
      <c r="T167" s="597" t="str">
        <f t="shared" ca="1" si="61"/>
        <v/>
      </c>
      <c r="U167" s="491" t="str">
        <f t="shared" ca="1" si="62"/>
        <v/>
      </c>
      <c r="V167" s="705" t="str">
        <f t="shared" ca="1" si="73"/>
        <v/>
      </c>
      <c r="W167" s="493" t="str">
        <f t="shared" ca="1" si="63"/>
        <v/>
      </c>
      <c r="X167" s="489" t="str">
        <f t="shared" ca="1" si="64"/>
        <v/>
      </c>
      <c r="Y167" s="488"/>
      <c r="Z167" s="714"/>
      <c r="AD167" s="611"/>
      <c r="AE167" s="603" t="str">
        <f t="shared" si="65"/>
        <v/>
      </c>
      <c r="AF167" s="603"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03"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03" t="str">
        <f t="shared" ca="1" si="66"/>
        <v/>
      </c>
      <c r="AI167" s="603" t="str" cm="1">
        <f t="array" ref="AI167">IFERROR(INDEX(始値!$E$6:$BT$305,MATCH(TEXT($B167,"0"),TEXT(銘柄管理!$B$6:$B$305,"0"),0),MATCH($AE167,始値!$E$3:$BT$3,0)),"")</f>
        <v/>
      </c>
      <c r="AJ167" s="603" t="str">
        <f t="shared" ca="1" si="67"/>
        <v/>
      </c>
      <c r="AK167" s="603" t="str">
        <f t="shared" ca="1" si="68"/>
        <v/>
      </c>
    </row>
    <row r="168" spans="1:37" ht="35.4" customHeight="1">
      <c r="A168" s="623" t="str">
        <f t="shared" si="57"/>
        <v/>
      </c>
      <c r="B168" s="489"/>
      <c r="C168" s="489"/>
      <c r="D168" s="489" t="str" cm="1">
        <f t="array" ref="D168">_xll.RssMarket(B168, "銘柄名称")</f>
        <v/>
      </c>
      <c r="E168" s="720"/>
      <c r="F168" s="702" t="str" cm="1">
        <f t="array" aca="1" ref="F168" ca="1">IFERROR(_xlfn.LET(_xlpm.r,MATCH(TEXT($B168,"0"),TEXT(銘柄管理!$B$6:$B$305,"0"),0),_xlpm.t,MOD(NOW(),1),_xlpm.c,IF($E168=TODAY(),IF(_xlpm.t&gt;=TIME(15,30,0),NA(),1),IF(MATCH($E168,始値!$E$3:$BT$3,0)=1,1,MATCH($E168,始値!$E$3:$BT$3,0)+1)),_xlpm.v,INDEX(始値!$C$6:$BT$305,_xlpm.r,_xlpm.c),IF(N(_xlpm.v)=0,"",_xlpm.v)),"")</f>
        <v/>
      </c>
      <c r="G168" s="489"/>
      <c r="H168" s="491" t="str" cm="1">
        <f t="array" ref="H168">_xll.RssMarket(B168, "現在値")</f>
        <v/>
      </c>
      <c r="I168" s="491" t="str" cm="1">
        <f t="array" ref="I168">_xll.RssMarket(B168, "出来高加重平均")</f>
        <v/>
      </c>
      <c r="J168" s="705" t="str" cm="1">
        <f t="array" ref="J168">_xll.RssMarket($B168, "前日比")</f>
        <v/>
      </c>
      <c r="K168" s="705" t="str">
        <f t="shared" ca="1" si="69"/>
        <v/>
      </c>
      <c r="L168" s="710" t="str">
        <f t="shared" ca="1" si="70"/>
        <v/>
      </c>
      <c r="M168" s="491" t="str">
        <f t="shared" ca="1" si="58"/>
        <v/>
      </c>
      <c r="N168" s="491" t="str">
        <f t="shared" ca="1" si="59"/>
        <v/>
      </c>
      <c r="O168" s="492" t="str">
        <f t="shared" ca="1" si="60"/>
        <v/>
      </c>
      <c r="P168" s="491" t="str">
        <f t="array" aca="1" ref="P168" ca="1">IF(B168="","",IFERROR(MAX(OFFSET(高値!$E$6,MATCH(TEXT(B168,"0"),TEXT(銘柄管理!$B$6:$B$305,"0"),0)-1,0,1,10)),""))</f>
        <v/>
      </c>
      <c r="Q168" s="491" t="str">
        <f t="array" aca="1" ref="Q168" ca="1">IF(B168="","",IFERROR(MIN(OFFSET(安値!$E$6,MATCH(TEXT(B168,"0"),TEXT(銘柄管理!$B$6:$B$305,"0"),0)-1,0,1,10)),""))</f>
        <v/>
      </c>
      <c r="R168" s="491" t="str">
        <f t="shared" ca="1" si="71"/>
        <v/>
      </c>
      <c r="S168" s="589" t="str">
        <f t="shared" si="72"/>
        <v/>
      </c>
      <c r="T168" s="597" t="str">
        <f t="shared" ca="1" si="61"/>
        <v/>
      </c>
      <c r="U168" s="491" t="str">
        <f t="shared" ca="1" si="62"/>
        <v/>
      </c>
      <c r="V168" s="705" t="str">
        <f t="shared" ca="1" si="73"/>
        <v/>
      </c>
      <c r="W168" s="493" t="str">
        <f t="shared" ca="1" si="63"/>
        <v/>
      </c>
      <c r="X168" s="489" t="str">
        <f t="shared" ca="1" si="64"/>
        <v/>
      </c>
      <c r="Y168" s="488"/>
      <c r="Z168" s="714"/>
      <c r="AD168" s="611"/>
      <c r="AE168" s="603" t="str">
        <f t="shared" si="65"/>
        <v/>
      </c>
      <c r="AF168" s="603"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03"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03" t="str">
        <f t="shared" ca="1" si="66"/>
        <v/>
      </c>
      <c r="AI168" s="603" t="str" cm="1">
        <f t="array" ref="AI168">IFERROR(INDEX(始値!$E$6:$BT$305,MATCH(TEXT($B168,"0"),TEXT(銘柄管理!$B$6:$B$305,"0"),0),MATCH($AE168,始値!$E$3:$BT$3,0)),"")</f>
        <v/>
      </c>
      <c r="AJ168" s="603" t="str">
        <f t="shared" ca="1" si="67"/>
        <v/>
      </c>
      <c r="AK168" s="603" t="str">
        <f t="shared" ca="1" si="68"/>
        <v/>
      </c>
    </row>
    <row r="169" spans="1:37" ht="35.4" customHeight="1">
      <c r="A169" s="623" t="str">
        <f t="shared" si="57"/>
        <v/>
      </c>
      <c r="B169" s="489"/>
      <c r="C169" s="489"/>
      <c r="D169" s="489" t="str" cm="1">
        <f t="array" ref="D169">_xll.RssMarket(B169, "銘柄名称")</f>
        <v/>
      </c>
      <c r="E169" s="720"/>
      <c r="F169" s="702" t="str" cm="1">
        <f t="array" aca="1" ref="F169" ca="1">IFERROR(_xlfn.LET(_xlpm.r,MATCH(TEXT($B169,"0"),TEXT(銘柄管理!$B$6:$B$305,"0"),0),_xlpm.t,MOD(NOW(),1),_xlpm.c,IF($E169=TODAY(),IF(_xlpm.t&gt;=TIME(15,30,0),NA(),1),IF(MATCH($E169,始値!$E$3:$BT$3,0)=1,1,MATCH($E169,始値!$E$3:$BT$3,0)+1)),_xlpm.v,INDEX(始値!$C$6:$BT$305,_xlpm.r,_xlpm.c),IF(N(_xlpm.v)=0,"",_xlpm.v)),"")</f>
        <v/>
      </c>
      <c r="G169" s="489"/>
      <c r="H169" s="491" t="str" cm="1">
        <f t="array" ref="H169">_xll.RssMarket(B169, "現在値")</f>
        <v/>
      </c>
      <c r="I169" s="491" t="str" cm="1">
        <f t="array" ref="I169">_xll.RssMarket(B169, "出来高加重平均")</f>
        <v/>
      </c>
      <c r="J169" s="705" t="str" cm="1">
        <f t="array" ref="J169">_xll.RssMarket($B169, "前日比")</f>
        <v/>
      </c>
      <c r="K169" s="705" t="str">
        <f t="shared" ca="1" si="69"/>
        <v/>
      </c>
      <c r="L169" s="710" t="str">
        <f t="shared" ca="1" si="70"/>
        <v/>
      </c>
      <c r="M169" s="491" t="str">
        <f t="shared" ca="1" si="58"/>
        <v/>
      </c>
      <c r="N169" s="491" t="str">
        <f t="shared" ca="1" si="59"/>
        <v/>
      </c>
      <c r="O169" s="492" t="str">
        <f t="shared" ca="1" si="60"/>
        <v/>
      </c>
      <c r="P169" s="491" t="str">
        <f t="array" aca="1" ref="P169" ca="1">IF(B169="","",IFERROR(MAX(OFFSET(高値!$E$6,MATCH(TEXT(B169,"0"),TEXT(銘柄管理!$B$6:$B$305,"0"),0)-1,0,1,10)),""))</f>
        <v/>
      </c>
      <c r="Q169" s="491" t="str">
        <f t="array" aca="1" ref="Q169" ca="1">IF(B169="","",IFERROR(MIN(OFFSET(安値!$E$6,MATCH(TEXT(B169,"0"),TEXT(銘柄管理!$B$6:$B$305,"0"),0)-1,0,1,10)),""))</f>
        <v/>
      </c>
      <c r="R169" s="491" t="str">
        <f t="shared" ca="1" si="71"/>
        <v/>
      </c>
      <c r="S169" s="589" t="str">
        <f t="shared" si="72"/>
        <v/>
      </c>
      <c r="T169" s="597" t="str">
        <f t="shared" ca="1" si="61"/>
        <v/>
      </c>
      <c r="U169" s="491" t="str">
        <f t="shared" ca="1" si="62"/>
        <v/>
      </c>
      <c r="V169" s="705" t="str">
        <f t="shared" ca="1" si="73"/>
        <v/>
      </c>
      <c r="W169" s="493" t="str">
        <f t="shared" ca="1" si="63"/>
        <v/>
      </c>
      <c r="X169" s="489" t="str">
        <f t="shared" ca="1" si="64"/>
        <v/>
      </c>
      <c r="Y169" s="488"/>
      <c r="Z169" s="714"/>
      <c r="AD169" s="611"/>
      <c r="AE169" s="603" t="str">
        <f t="shared" si="65"/>
        <v/>
      </c>
      <c r="AF169" s="603"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03"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03" t="str">
        <f t="shared" ca="1" si="66"/>
        <v/>
      </c>
      <c r="AI169" s="603" t="str" cm="1">
        <f t="array" ref="AI169">IFERROR(INDEX(始値!$E$6:$BT$305,MATCH(TEXT($B169,"0"),TEXT(銘柄管理!$B$6:$B$305,"0"),0),MATCH($AE169,始値!$E$3:$BT$3,0)),"")</f>
        <v/>
      </c>
      <c r="AJ169" s="603" t="str">
        <f t="shared" ca="1" si="67"/>
        <v/>
      </c>
      <c r="AK169" s="603" t="str">
        <f t="shared" ca="1" si="68"/>
        <v/>
      </c>
    </row>
    <row r="170" spans="1:37" ht="35.4" customHeight="1">
      <c r="A170" s="623" t="str">
        <f t="shared" si="57"/>
        <v/>
      </c>
      <c r="B170" s="489"/>
      <c r="C170" s="489"/>
      <c r="D170" s="489" t="str" cm="1">
        <f t="array" ref="D170">_xll.RssMarket(B170, "銘柄名称")</f>
        <v/>
      </c>
      <c r="E170" s="720"/>
      <c r="F170" s="702" t="str" cm="1">
        <f t="array" aca="1" ref="F170" ca="1">IFERROR(_xlfn.LET(_xlpm.r,MATCH(TEXT($B170,"0"),TEXT(銘柄管理!$B$6:$B$305,"0"),0),_xlpm.t,MOD(NOW(),1),_xlpm.c,IF($E170=TODAY(),IF(_xlpm.t&gt;=TIME(15,30,0),NA(),1),IF(MATCH($E170,始値!$E$3:$BT$3,0)=1,1,MATCH($E170,始値!$E$3:$BT$3,0)+1)),_xlpm.v,INDEX(始値!$C$6:$BT$305,_xlpm.r,_xlpm.c),IF(N(_xlpm.v)=0,"",_xlpm.v)),"")</f>
        <v/>
      </c>
      <c r="G170" s="489"/>
      <c r="H170" s="491" t="str" cm="1">
        <f t="array" ref="H170">_xll.RssMarket(B170, "現在値")</f>
        <v/>
      </c>
      <c r="I170" s="491" t="str" cm="1">
        <f t="array" ref="I170">_xll.RssMarket(B170, "出来高加重平均")</f>
        <v/>
      </c>
      <c r="J170" s="705" t="str" cm="1">
        <f t="array" ref="J170">_xll.RssMarket($B170, "前日比")</f>
        <v/>
      </c>
      <c r="K170" s="705" t="str">
        <f t="shared" ca="1" si="69"/>
        <v/>
      </c>
      <c r="L170" s="710" t="str">
        <f t="shared" ca="1" si="70"/>
        <v/>
      </c>
      <c r="M170" s="491" t="str">
        <f t="shared" ca="1" si="58"/>
        <v/>
      </c>
      <c r="N170" s="491" t="str">
        <f t="shared" ca="1" si="59"/>
        <v/>
      </c>
      <c r="O170" s="492" t="str">
        <f t="shared" ca="1" si="60"/>
        <v/>
      </c>
      <c r="P170" s="491" t="str">
        <f t="array" aca="1" ref="P170" ca="1">IF(B170="","",IFERROR(MAX(OFFSET(高値!$E$6,MATCH(TEXT(B170,"0"),TEXT(銘柄管理!$B$6:$B$305,"0"),0)-1,0,1,10)),""))</f>
        <v/>
      </c>
      <c r="Q170" s="491" t="str">
        <f t="array" aca="1" ref="Q170" ca="1">IF(B170="","",IFERROR(MIN(OFFSET(安値!$E$6,MATCH(TEXT(B170,"0"),TEXT(銘柄管理!$B$6:$B$305,"0"),0)-1,0,1,10)),""))</f>
        <v/>
      </c>
      <c r="R170" s="491" t="str">
        <f t="shared" ca="1" si="71"/>
        <v/>
      </c>
      <c r="S170" s="589" t="str">
        <f t="shared" si="72"/>
        <v/>
      </c>
      <c r="T170" s="597" t="str">
        <f t="shared" ca="1" si="61"/>
        <v/>
      </c>
      <c r="U170" s="491" t="str">
        <f t="shared" ca="1" si="62"/>
        <v/>
      </c>
      <c r="V170" s="705" t="str">
        <f t="shared" ca="1" si="73"/>
        <v/>
      </c>
      <c r="W170" s="493" t="str">
        <f t="shared" ca="1" si="63"/>
        <v/>
      </c>
      <c r="X170" s="489" t="str">
        <f t="shared" ca="1" si="64"/>
        <v/>
      </c>
      <c r="Y170" s="488"/>
      <c r="Z170" s="714"/>
      <c r="AD170" s="611"/>
      <c r="AE170" s="603" t="str">
        <f t="shared" si="65"/>
        <v/>
      </c>
      <c r="AF170" s="603"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03"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03" t="str">
        <f t="shared" ca="1" si="66"/>
        <v/>
      </c>
      <c r="AI170" s="603" t="str" cm="1">
        <f t="array" ref="AI170">IFERROR(INDEX(始値!$E$6:$BT$305,MATCH(TEXT($B170,"0"),TEXT(銘柄管理!$B$6:$B$305,"0"),0),MATCH($AE170,始値!$E$3:$BT$3,0)),"")</f>
        <v/>
      </c>
      <c r="AJ170" s="603" t="str">
        <f t="shared" ca="1" si="67"/>
        <v/>
      </c>
      <c r="AK170" s="603" t="str">
        <f t="shared" ca="1" si="68"/>
        <v/>
      </c>
    </row>
    <row r="171" spans="1:37" ht="35.4" customHeight="1">
      <c r="A171" s="623" t="str">
        <f t="shared" si="57"/>
        <v/>
      </c>
      <c r="B171" s="489"/>
      <c r="C171" s="489"/>
      <c r="D171" s="489" t="str" cm="1">
        <f t="array" ref="D171">_xll.RssMarket(B171, "銘柄名称")</f>
        <v/>
      </c>
      <c r="E171" s="720"/>
      <c r="F171" s="702" t="str" cm="1">
        <f t="array" aca="1" ref="F171" ca="1">IFERROR(_xlfn.LET(_xlpm.r,MATCH(TEXT($B171,"0"),TEXT(銘柄管理!$B$6:$B$305,"0"),0),_xlpm.t,MOD(NOW(),1),_xlpm.c,IF($E171=TODAY(),IF(_xlpm.t&gt;=TIME(15,30,0),NA(),1),IF(MATCH($E171,始値!$E$3:$BT$3,0)=1,1,MATCH($E171,始値!$E$3:$BT$3,0)+1)),_xlpm.v,INDEX(始値!$C$6:$BT$305,_xlpm.r,_xlpm.c),IF(N(_xlpm.v)=0,"",_xlpm.v)),"")</f>
        <v/>
      </c>
      <c r="G171" s="489"/>
      <c r="H171" s="491" t="str" cm="1">
        <f t="array" ref="H171">_xll.RssMarket(B171, "現在値")</f>
        <v/>
      </c>
      <c r="I171" s="491" t="str" cm="1">
        <f t="array" ref="I171">_xll.RssMarket(B171, "出来高加重平均")</f>
        <v/>
      </c>
      <c r="J171" s="705" t="str" cm="1">
        <f t="array" ref="J171">_xll.RssMarket($B171, "前日比")</f>
        <v/>
      </c>
      <c r="K171" s="705" t="str">
        <f t="shared" ca="1" si="69"/>
        <v/>
      </c>
      <c r="L171" s="710" t="str">
        <f t="shared" ca="1" si="70"/>
        <v/>
      </c>
      <c r="M171" s="491" t="str">
        <f t="shared" ca="1" si="58"/>
        <v/>
      </c>
      <c r="N171" s="491" t="str">
        <f t="shared" ca="1" si="59"/>
        <v/>
      </c>
      <c r="O171" s="492" t="str">
        <f t="shared" ca="1" si="60"/>
        <v/>
      </c>
      <c r="P171" s="491" t="str">
        <f t="array" aca="1" ref="P171" ca="1">IF(B171="","",IFERROR(MAX(OFFSET(高値!$E$6,MATCH(TEXT(B171,"0"),TEXT(銘柄管理!$B$6:$B$305,"0"),0)-1,0,1,10)),""))</f>
        <v/>
      </c>
      <c r="Q171" s="491" t="str">
        <f t="array" aca="1" ref="Q171" ca="1">IF(B171="","",IFERROR(MIN(OFFSET(安値!$E$6,MATCH(TEXT(B171,"0"),TEXT(銘柄管理!$B$6:$B$305,"0"),0)-1,0,1,10)),""))</f>
        <v/>
      </c>
      <c r="R171" s="491" t="str">
        <f t="shared" ca="1" si="71"/>
        <v/>
      </c>
      <c r="S171" s="589" t="str">
        <f t="shared" si="72"/>
        <v/>
      </c>
      <c r="T171" s="597" t="str">
        <f t="shared" ca="1" si="61"/>
        <v/>
      </c>
      <c r="U171" s="491" t="str">
        <f t="shared" ca="1" si="62"/>
        <v/>
      </c>
      <c r="V171" s="705" t="str">
        <f t="shared" ca="1" si="73"/>
        <v/>
      </c>
      <c r="W171" s="493" t="str">
        <f t="shared" ca="1" si="63"/>
        <v/>
      </c>
      <c r="X171" s="489" t="str">
        <f t="shared" ca="1" si="64"/>
        <v/>
      </c>
      <c r="Y171" s="488"/>
      <c r="Z171" s="714"/>
      <c r="AD171" s="611"/>
      <c r="AE171" s="603" t="str">
        <f t="shared" si="65"/>
        <v/>
      </c>
      <c r="AF171" s="603"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03"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03" t="str">
        <f t="shared" ca="1" si="66"/>
        <v/>
      </c>
      <c r="AI171" s="603" t="str" cm="1">
        <f t="array" ref="AI171">IFERROR(INDEX(始値!$E$6:$BT$305,MATCH(TEXT($B171,"0"),TEXT(銘柄管理!$B$6:$B$305,"0"),0),MATCH($AE171,始値!$E$3:$BT$3,0)),"")</f>
        <v/>
      </c>
      <c r="AJ171" s="603" t="str">
        <f t="shared" ca="1" si="67"/>
        <v/>
      </c>
      <c r="AK171" s="603" t="str">
        <f t="shared" ca="1" si="68"/>
        <v/>
      </c>
    </row>
    <row r="172" spans="1:37" ht="35.4" customHeight="1">
      <c r="A172" s="623" t="str">
        <f t="shared" si="57"/>
        <v/>
      </c>
      <c r="B172" s="489"/>
      <c r="C172" s="489"/>
      <c r="D172" s="489" t="str" cm="1">
        <f t="array" ref="D172">_xll.RssMarket(B172, "銘柄名称")</f>
        <v/>
      </c>
      <c r="E172" s="720"/>
      <c r="F172" s="702" t="str" cm="1">
        <f t="array" aca="1" ref="F172" ca="1">IFERROR(_xlfn.LET(_xlpm.r,MATCH(TEXT($B172,"0"),TEXT(銘柄管理!$B$6:$B$305,"0"),0),_xlpm.t,MOD(NOW(),1),_xlpm.c,IF($E172=TODAY(),IF(_xlpm.t&gt;=TIME(15,30,0),NA(),1),IF(MATCH($E172,始値!$E$3:$BT$3,0)=1,1,MATCH($E172,始値!$E$3:$BT$3,0)+1)),_xlpm.v,INDEX(始値!$C$6:$BT$305,_xlpm.r,_xlpm.c),IF(N(_xlpm.v)=0,"",_xlpm.v)),"")</f>
        <v/>
      </c>
      <c r="G172" s="489"/>
      <c r="H172" s="491" t="str" cm="1">
        <f t="array" ref="H172">_xll.RssMarket(B172, "現在値")</f>
        <v/>
      </c>
      <c r="I172" s="491" t="str" cm="1">
        <f t="array" ref="I172">_xll.RssMarket(B172, "出来高加重平均")</f>
        <v/>
      </c>
      <c r="J172" s="705" t="str" cm="1">
        <f t="array" ref="J172">_xll.RssMarket($B172, "前日比")</f>
        <v/>
      </c>
      <c r="K172" s="705" t="str">
        <f t="shared" ca="1" si="69"/>
        <v/>
      </c>
      <c r="L172" s="710" t="str">
        <f t="shared" ca="1" si="70"/>
        <v/>
      </c>
      <c r="M172" s="491" t="str">
        <f t="shared" ca="1" si="58"/>
        <v/>
      </c>
      <c r="N172" s="491" t="str">
        <f t="shared" ca="1" si="59"/>
        <v/>
      </c>
      <c r="O172" s="492" t="str">
        <f t="shared" ca="1" si="60"/>
        <v/>
      </c>
      <c r="P172" s="491" t="str">
        <f t="array" aca="1" ref="P172" ca="1">IF(B172="","",IFERROR(MAX(OFFSET(高値!$E$6,MATCH(TEXT(B172,"0"),TEXT(銘柄管理!$B$6:$B$305,"0"),0)-1,0,1,10)),""))</f>
        <v/>
      </c>
      <c r="Q172" s="491" t="str">
        <f t="array" aca="1" ref="Q172" ca="1">IF(B172="","",IFERROR(MIN(OFFSET(安値!$E$6,MATCH(TEXT(B172,"0"),TEXT(銘柄管理!$B$6:$B$305,"0"),0)-1,0,1,10)),""))</f>
        <v/>
      </c>
      <c r="R172" s="491" t="str">
        <f t="shared" ca="1" si="71"/>
        <v/>
      </c>
      <c r="S172" s="589" t="str">
        <f t="shared" si="72"/>
        <v/>
      </c>
      <c r="T172" s="597" t="str">
        <f t="shared" ca="1" si="61"/>
        <v/>
      </c>
      <c r="U172" s="491" t="str">
        <f t="shared" ca="1" si="62"/>
        <v/>
      </c>
      <c r="V172" s="705" t="str">
        <f t="shared" ca="1" si="73"/>
        <v/>
      </c>
      <c r="W172" s="493" t="str">
        <f t="shared" ca="1" si="63"/>
        <v/>
      </c>
      <c r="X172" s="489" t="str">
        <f t="shared" ca="1" si="64"/>
        <v/>
      </c>
      <c r="Y172" s="488"/>
      <c r="Z172" s="714"/>
      <c r="AD172" s="611"/>
      <c r="AE172" s="603" t="str">
        <f t="shared" si="65"/>
        <v/>
      </c>
      <c r="AF172" s="603"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03"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03" t="str">
        <f t="shared" ca="1" si="66"/>
        <v/>
      </c>
      <c r="AI172" s="603" t="str" cm="1">
        <f t="array" ref="AI172">IFERROR(INDEX(始値!$E$6:$BT$305,MATCH(TEXT($B172,"0"),TEXT(銘柄管理!$B$6:$B$305,"0"),0),MATCH($AE172,始値!$E$3:$BT$3,0)),"")</f>
        <v/>
      </c>
      <c r="AJ172" s="603" t="str">
        <f t="shared" ca="1" si="67"/>
        <v/>
      </c>
      <c r="AK172" s="603" t="str">
        <f t="shared" ca="1" si="68"/>
        <v/>
      </c>
    </row>
    <row r="173" spans="1:37" ht="35.4" customHeight="1">
      <c r="A173" s="624" t="str">
        <f t="shared" si="57"/>
        <v/>
      </c>
      <c r="B173" s="444"/>
      <c r="C173" s="444"/>
      <c r="D173" s="444" t="str" cm="1">
        <f t="array" ref="D173">_xll.RssMarket(B173, "銘柄名称")</f>
        <v/>
      </c>
      <c r="E173" s="720"/>
      <c r="F173" s="702"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706" t="str" cm="1">
        <f t="array" ref="J173">_xll.RssMarket($B173, "前日比")</f>
        <v/>
      </c>
      <c r="K173" s="706" t="str">
        <f t="shared" ca="1" si="69"/>
        <v/>
      </c>
      <c r="L173" s="711" t="str">
        <f t="shared" ca="1" si="70"/>
        <v/>
      </c>
      <c r="M173" s="445" t="str">
        <f t="shared" ca="1" si="58"/>
        <v/>
      </c>
      <c r="N173" s="445" t="str">
        <f t="shared" ca="1" si="59"/>
        <v/>
      </c>
      <c r="O173" s="477" t="str">
        <f t="shared" ca="1" si="60"/>
        <v/>
      </c>
      <c r="P173" s="445" t="str">
        <f t="array" aca="1" ref="P173" ca="1">IF(B173="","",IFERROR(MAX(OFFSET(高値!$E$6,MATCH(TEXT(B173,"0"),TEXT(銘柄管理!$B$6:$B$305,"0"),0)-1,0,1,10)),""))</f>
        <v/>
      </c>
      <c r="Q173" s="445" t="str">
        <f t="array" aca="1" ref="Q173" ca="1">IF(B173="","",IFERROR(MIN(OFFSET(安値!$E$6,MATCH(TEXT(B173,"0"),TEXT(銘柄管理!$B$6:$B$305,"0"),0)-1,0,1,10)),""))</f>
        <v/>
      </c>
      <c r="R173" s="445" t="str">
        <f t="shared" ca="1" si="71"/>
        <v/>
      </c>
      <c r="S173" s="590" t="str">
        <f t="shared" si="72"/>
        <v/>
      </c>
      <c r="T173" s="598" t="str">
        <f t="shared" ca="1" si="61"/>
        <v/>
      </c>
      <c r="U173" s="445" t="str">
        <f t="shared" ca="1" si="62"/>
        <v/>
      </c>
      <c r="V173" s="706" t="str">
        <f t="shared" ca="1" si="73"/>
        <v/>
      </c>
      <c r="W173" s="446" t="str">
        <f t="shared" ca="1" si="63"/>
        <v/>
      </c>
      <c r="X173" s="444" t="str">
        <f t="shared" ca="1" si="64"/>
        <v/>
      </c>
      <c r="Y173" s="488"/>
      <c r="Z173" s="714"/>
      <c r="AD173" s="611"/>
      <c r="AE173" s="603" t="str">
        <f t="shared" si="65"/>
        <v/>
      </c>
      <c r="AF173" s="603"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03"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03" t="str">
        <f t="shared" ca="1" si="66"/>
        <v/>
      </c>
      <c r="AI173" s="603" t="str" cm="1">
        <f t="array" ref="AI173">IFERROR(INDEX(始値!$E$6:$BT$305,MATCH(TEXT($B173,"0"),TEXT(銘柄管理!$B$6:$B$305,"0"),0),MATCH($AE173,始値!$E$3:$BT$3,0)),"")</f>
        <v/>
      </c>
      <c r="AJ173" s="603" t="str">
        <f t="shared" ca="1" si="67"/>
        <v/>
      </c>
      <c r="AK173" s="603" t="str">
        <f t="shared" ca="1" si="68"/>
        <v/>
      </c>
    </row>
    <row r="174" spans="1:37" ht="35.4" customHeight="1">
      <c r="A174" s="624" t="str">
        <f t="shared" si="57"/>
        <v/>
      </c>
      <c r="B174" s="444"/>
      <c r="C174" s="444"/>
      <c r="D174" s="444" t="str" cm="1">
        <f t="array" ref="D174">_xll.RssMarket(B174, "銘柄名称")</f>
        <v/>
      </c>
      <c r="E174" s="720"/>
      <c r="F174" s="702"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706" t="str" cm="1">
        <f t="array" ref="J174">_xll.RssMarket($B174, "前日比")</f>
        <v/>
      </c>
      <c r="K174" s="706" t="str">
        <f t="shared" ca="1" si="69"/>
        <v/>
      </c>
      <c r="L174" s="711" t="str">
        <f t="shared" ca="1" si="70"/>
        <v/>
      </c>
      <c r="M174" s="445" t="str">
        <f t="shared" ca="1" si="58"/>
        <v/>
      </c>
      <c r="N174" s="445" t="str">
        <f t="shared" ca="1" si="59"/>
        <v/>
      </c>
      <c r="O174" s="477" t="str">
        <f t="shared" ca="1" si="60"/>
        <v/>
      </c>
      <c r="P174" s="445" t="str">
        <f t="array" aca="1" ref="P174" ca="1">IF(B174="","",IFERROR(MAX(OFFSET(高値!$E$6,MATCH(TEXT(B174,"0"),TEXT(銘柄管理!$B$6:$B$305,"0"),0)-1,0,1,10)),""))</f>
        <v/>
      </c>
      <c r="Q174" s="445" t="str">
        <f t="array" aca="1" ref="Q174" ca="1">IF(B174="","",IFERROR(MIN(OFFSET(安値!$E$6,MATCH(TEXT(B174,"0"),TEXT(銘柄管理!$B$6:$B$305,"0"),0)-1,0,1,10)),""))</f>
        <v/>
      </c>
      <c r="R174" s="445" t="str">
        <f t="shared" ca="1" si="71"/>
        <v/>
      </c>
      <c r="S174" s="590" t="str">
        <f t="shared" si="72"/>
        <v/>
      </c>
      <c r="T174" s="598" t="str">
        <f t="shared" ca="1" si="61"/>
        <v/>
      </c>
      <c r="U174" s="445" t="str">
        <f t="shared" ca="1" si="62"/>
        <v/>
      </c>
      <c r="V174" s="706" t="str">
        <f t="shared" ca="1" si="73"/>
        <v/>
      </c>
      <c r="W174" s="446" t="str">
        <f t="shared" ca="1" si="63"/>
        <v/>
      </c>
      <c r="X174" s="444" t="str">
        <f t="shared" ca="1" si="64"/>
        <v/>
      </c>
      <c r="Y174" s="488"/>
      <c r="Z174" s="714"/>
      <c r="AD174" s="611"/>
      <c r="AE174" s="603" t="str">
        <f t="shared" si="65"/>
        <v/>
      </c>
      <c r="AF174" s="603"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03"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03" t="str">
        <f t="shared" ca="1" si="66"/>
        <v/>
      </c>
      <c r="AI174" s="603" t="str" cm="1">
        <f t="array" ref="AI174">IFERROR(INDEX(始値!$E$6:$BT$305,MATCH(TEXT($B174,"0"),TEXT(銘柄管理!$B$6:$B$305,"0"),0),MATCH($AE174,始値!$E$3:$BT$3,0)),"")</f>
        <v/>
      </c>
      <c r="AJ174" s="603" t="str">
        <f t="shared" ca="1" si="67"/>
        <v/>
      </c>
      <c r="AK174" s="603" t="str">
        <f t="shared" ca="1" si="68"/>
        <v/>
      </c>
    </row>
    <row r="175" spans="1:37" ht="35.4" customHeight="1">
      <c r="A175" s="624" t="str">
        <f t="shared" si="57"/>
        <v/>
      </c>
      <c r="B175" s="444"/>
      <c r="C175" s="444"/>
      <c r="D175" s="444" t="str" cm="1">
        <f t="array" ref="D175">_xll.RssMarket(B175, "銘柄名称")</f>
        <v/>
      </c>
      <c r="E175" s="720"/>
      <c r="F175" s="702"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706" t="str" cm="1">
        <f t="array" ref="J175">_xll.RssMarket($B175, "前日比")</f>
        <v/>
      </c>
      <c r="K175" s="706" t="str">
        <f t="shared" ca="1" si="69"/>
        <v/>
      </c>
      <c r="L175" s="711" t="str">
        <f t="shared" ca="1" si="70"/>
        <v/>
      </c>
      <c r="M175" s="445" t="str">
        <f t="shared" ca="1" si="58"/>
        <v/>
      </c>
      <c r="N175" s="445" t="str">
        <f t="shared" ca="1" si="59"/>
        <v/>
      </c>
      <c r="O175" s="477" t="str">
        <f t="shared" ca="1" si="60"/>
        <v/>
      </c>
      <c r="P175" s="445" t="str">
        <f t="array" aca="1" ref="P175" ca="1">IF(B175="","",IFERROR(MAX(OFFSET(高値!$E$6,MATCH(TEXT(B175,"0"),TEXT(銘柄管理!$B$6:$B$305,"0"),0)-1,0,1,10)),""))</f>
        <v/>
      </c>
      <c r="Q175" s="445" t="str">
        <f t="array" aca="1" ref="Q175" ca="1">IF(B175="","",IFERROR(MIN(OFFSET(安値!$E$6,MATCH(TEXT(B175,"0"),TEXT(銘柄管理!$B$6:$B$305,"0"),0)-1,0,1,10)),""))</f>
        <v/>
      </c>
      <c r="R175" s="445" t="str">
        <f t="shared" ca="1" si="71"/>
        <v/>
      </c>
      <c r="S175" s="590" t="str">
        <f t="shared" si="72"/>
        <v/>
      </c>
      <c r="T175" s="598" t="str">
        <f t="shared" ca="1" si="61"/>
        <v/>
      </c>
      <c r="U175" s="445" t="str">
        <f t="shared" ca="1" si="62"/>
        <v/>
      </c>
      <c r="V175" s="706" t="str">
        <f t="shared" ca="1" si="73"/>
        <v/>
      </c>
      <c r="W175" s="446" t="str">
        <f t="shared" ca="1" si="63"/>
        <v/>
      </c>
      <c r="X175" s="444" t="str">
        <f t="shared" ca="1" si="64"/>
        <v/>
      </c>
      <c r="Y175" s="488"/>
      <c r="Z175" s="714"/>
      <c r="AD175" s="611"/>
      <c r="AE175" s="603" t="str">
        <f t="shared" si="65"/>
        <v/>
      </c>
      <c r="AF175" s="603"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03"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03" t="str">
        <f t="shared" ca="1" si="66"/>
        <v/>
      </c>
      <c r="AI175" s="603" t="str" cm="1">
        <f t="array" ref="AI175">IFERROR(INDEX(始値!$E$6:$BT$305,MATCH(TEXT($B175,"0"),TEXT(銘柄管理!$B$6:$B$305,"0"),0),MATCH($AE175,始値!$E$3:$BT$3,0)),"")</f>
        <v/>
      </c>
      <c r="AJ175" s="603" t="str">
        <f t="shared" ca="1" si="67"/>
        <v/>
      </c>
      <c r="AK175" s="603" t="str">
        <f t="shared" ca="1" si="68"/>
        <v/>
      </c>
    </row>
    <row r="176" spans="1:37" ht="35.4" customHeight="1">
      <c r="A176" s="625" t="str">
        <f t="shared" si="57"/>
        <v/>
      </c>
      <c r="B176" s="480"/>
      <c r="C176" s="480"/>
      <c r="D176" s="480" t="str" cm="1">
        <f t="array" ref="D176">_xll.RssMarket(B176, "銘柄名称")</f>
        <v/>
      </c>
      <c r="E176" s="721"/>
      <c r="F176" s="702" t="str" cm="1">
        <f t="array" aca="1" ref="F176" ca="1">IFERROR(_xlfn.LET(_xlpm.r,MATCH(TEXT($B176,"0"),TEXT(銘柄管理!$B$6:$B$305,"0"),0),_xlpm.t,MOD(NOW(),1),_xlpm.c,IF($E176=TODAY(),IF(_xlpm.t&gt;=TIME(15,30,0),NA(),1),IF(MATCH($E176,始値!$E$3:$BT$3,0)=1,1,MATCH($E176,始値!$E$3:$BT$3,0)+1)),_xlpm.v,INDEX(始値!$C$6:$BT$305,_xlpm.r,_xlpm.c),IF(N(_xlpm.v)=0,"",_xlpm.v)),"")</f>
        <v/>
      </c>
      <c r="G176" s="480"/>
      <c r="H176" s="480" t="str" cm="1">
        <f t="array" ref="H176">_xll.RssMarket(B176, "現在値")</f>
        <v/>
      </c>
      <c r="I176" s="480" t="str" cm="1">
        <f t="array" ref="I176">_xll.RssMarket(B176, "出来高加重平均")</f>
        <v/>
      </c>
      <c r="J176" s="706" t="str" cm="1">
        <f t="array" ref="J176">_xll.RssMarket($B176, "前日比")</f>
        <v/>
      </c>
      <c r="K176" s="707" t="str">
        <f t="shared" ca="1" si="69"/>
        <v/>
      </c>
      <c r="L176" s="712" t="str">
        <f t="shared" ca="1" si="70"/>
        <v/>
      </c>
      <c r="M176" s="601" t="str">
        <f t="shared" ca="1" si="58"/>
        <v/>
      </c>
      <c r="N176" s="601" t="str">
        <f t="shared" ca="1" si="59"/>
        <v/>
      </c>
      <c r="O176" s="478" t="str">
        <f t="shared" ca="1" si="60"/>
        <v/>
      </c>
      <c r="P176" s="445" t="str">
        <f t="array" aca="1" ref="P176" ca="1">IF(B176="","",IFERROR(MAX(OFFSET(高値!$E$6,MATCH(TEXT(B176,"0"),TEXT(銘柄管理!$B$6:$B$305,"0"),0)-1,0,1,10)),""))</f>
        <v/>
      </c>
      <c r="Q176" s="445" t="str">
        <f t="array" aca="1" ref="Q176" ca="1">IF(B176="","",IFERROR(MIN(OFFSET(安値!$E$6,MATCH(TEXT(B176,"0"),TEXT(銘柄管理!$B$6:$B$305,"0"),0)-1,0,1,10)),""))</f>
        <v/>
      </c>
      <c r="R176" s="480" t="str">
        <f t="shared" ca="1" si="71"/>
        <v/>
      </c>
      <c r="S176" s="480" t="str">
        <f t="shared" si="72"/>
        <v/>
      </c>
      <c r="T176" s="599" t="str">
        <f t="shared" ca="1" si="61"/>
        <v/>
      </c>
      <c r="U176" s="601" t="str">
        <f t="shared" ca="1" si="62"/>
        <v/>
      </c>
      <c r="V176" s="707" t="str">
        <f t="shared" ca="1" si="73"/>
        <v/>
      </c>
      <c r="W176" s="480" t="str">
        <f t="shared" ca="1" si="63"/>
        <v/>
      </c>
      <c r="X176" s="480" t="str">
        <f t="shared" ca="1" si="64"/>
        <v/>
      </c>
      <c r="Y176" s="488"/>
      <c r="Z176" s="714"/>
      <c r="AD176" s="611"/>
      <c r="AE176" s="603" t="str">
        <f t="shared" si="65"/>
        <v/>
      </c>
      <c r="AF176" s="603"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03"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03" t="str">
        <f t="shared" ca="1" si="66"/>
        <v/>
      </c>
      <c r="AI176" s="603" t="str" cm="1">
        <f t="array" ref="AI176">IFERROR(INDEX(始値!$E$6:$BT$305,MATCH(TEXT($B176,"0"),TEXT(銘柄管理!$B$6:$B$305,"0"),0),MATCH($AE176,始値!$E$3:$BT$3,0)),"")</f>
        <v/>
      </c>
      <c r="AJ176" s="603" t="str">
        <f t="shared" ca="1" si="67"/>
        <v/>
      </c>
      <c r="AK176" s="603" t="str">
        <f t="shared" ca="1" si="68"/>
        <v/>
      </c>
    </row>
    <row r="177" spans="1:37" ht="35.4" customHeight="1">
      <c r="A177" s="625" t="str">
        <f t="shared" si="57"/>
        <v/>
      </c>
      <c r="B177" s="480"/>
      <c r="C177" s="480"/>
      <c r="D177" s="480" t="str" cm="1">
        <f t="array" ref="D177">_xll.RssMarket(B177, "銘柄名称")</f>
        <v/>
      </c>
      <c r="E177" s="721"/>
      <c r="F177" s="702" t="str" cm="1">
        <f t="array" aca="1" ref="F177" ca="1">IFERROR(_xlfn.LET(_xlpm.r,MATCH(TEXT($B177,"0"),TEXT(銘柄管理!$B$6:$B$305,"0"),0),_xlpm.t,MOD(NOW(),1),_xlpm.c,IF($E177=TODAY(),IF(_xlpm.t&gt;=TIME(15,30,0),NA(),1),IF(MATCH($E177,始値!$E$3:$BT$3,0)=1,1,MATCH($E177,始値!$E$3:$BT$3,0)+1)),_xlpm.v,INDEX(始値!$C$6:$BT$305,_xlpm.r,_xlpm.c),IF(N(_xlpm.v)=0,"",_xlpm.v)),"")</f>
        <v/>
      </c>
      <c r="G177" s="480"/>
      <c r="H177" s="480" t="str" cm="1">
        <f t="array" ref="H177">_xll.RssMarket(B177, "現在値")</f>
        <v/>
      </c>
      <c r="I177" s="480" t="str" cm="1">
        <f t="array" ref="I177">_xll.RssMarket(B177, "出来高加重平均")</f>
        <v/>
      </c>
      <c r="J177" s="706" t="str" cm="1">
        <f t="array" ref="J177">_xll.RssMarket($B177, "前日比")</f>
        <v/>
      </c>
      <c r="K177" s="707" t="str">
        <f t="shared" ca="1" si="69"/>
        <v/>
      </c>
      <c r="L177" s="712" t="str">
        <f t="shared" ca="1" si="70"/>
        <v/>
      </c>
      <c r="M177" s="601" t="str">
        <f t="shared" ca="1" si="58"/>
        <v/>
      </c>
      <c r="N177" s="601" t="str">
        <f t="shared" ca="1" si="59"/>
        <v/>
      </c>
      <c r="O177" s="478" t="str">
        <f t="shared" ca="1" si="60"/>
        <v/>
      </c>
      <c r="P177" s="445" t="str">
        <f t="array" aca="1" ref="P177" ca="1">IF(B177="","",IFERROR(MAX(OFFSET(高値!$E$6,MATCH(TEXT(B177,"0"),TEXT(銘柄管理!$B$6:$B$305,"0"),0)-1,0,1,10)),""))</f>
        <v/>
      </c>
      <c r="Q177" s="445" t="str">
        <f t="array" aca="1" ref="Q177" ca="1">IF(B177="","",IFERROR(MIN(OFFSET(安値!$E$6,MATCH(TEXT(B177,"0"),TEXT(銘柄管理!$B$6:$B$305,"0"),0)-1,0,1,10)),""))</f>
        <v/>
      </c>
      <c r="R177" s="480" t="str">
        <f t="shared" ca="1" si="71"/>
        <v/>
      </c>
      <c r="S177" s="480" t="str">
        <f t="shared" si="72"/>
        <v/>
      </c>
      <c r="T177" s="599" t="str">
        <f t="shared" ca="1" si="61"/>
        <v/>
      </c>
      <c r="U177" s="601" t="str">
        <f t="shared" ca="1" si="62"/>
        <v/>
      </c>
      <c r="V177" s="707" t="str">
        <f t="shared" ca="1" si="73"/>
        <v/>
      </c>
      <c r="W177" s="480" t="str">
        <f t="shared" ca="1" si="63"/>
        <v/>
      </c>
      <c r="X177" s="480" t="str">
        <f t="shared" ca="1" si="64"/>
        <v/>
      </c>
      <c r="Y177" s="488"/>
      <c r="Z177" s="714"/>
      <c r="AD177" s="611"/>
      <c r="AE177" s="603" t="str">
        <f t="shared" si="65"/>
        <v/>
      </c>
      <c r="AF177" s="603"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03"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03" t="str">
        <f t="shared" ca="1" si="66"/>
        <v/>
      </c>
      <c r="AI177" s="603" t="str" cm="1">
        <f t="array" ref="AI177">IFERROR(INDEX(始値!$E$6:$BT$305,MATCH(TEXT($B177,"0"),TEXT(銘柄管理!$B$6:$B$305,"0"),0),MATCH($AE177,始値!$E$3:$BT$3,0)),"")</f>
        <v/>
      </c>
      <c r="AJ177" s="603" t="str">
        <f t="shared" ca="1" si="67"/>
        <v/>
      </c>
      <c r="AK177" s="603" t="str">
        <f t="shared" ca="1" si="68"/>
        <v/>
      </c>
    </row>
    <row r="178" spans="1:37" ht="35.4" customHeight="1">
      <c r="A178" s="625" t="str">
        <f t="shared" si="57"/>
        <v/>
      </c>
      <c r="B178" s="480"/>
      <c r="C178" s="480"/>
      <c r="D178" s="480" t="str" cm="1">
        <f t="array" ref="D178">_xll.RssMarket(B178, "銘柄名称")</f>
        <v/>
      </c>
      <c r="E178" s="721"/>
      <c r="F178" s="702" t="str" cm="1">
        <f t="array" aca="1" ref="F178" ca="1">IFERROR(_xlfn.LET(_xlpm.r,MATCH(TEXT($B178,"0"),TEXT(銘柄管理!$B$6:$B$305,"0"),0),_xlpm.t,MOD(NOW(),1),_xlpm.c,IF($E178=TODAY(),IF(_xlpm.t&gt;=TIME(15,30,0),NA(),1),IF(MATCH($E178,始値!$E$3:$BT$3,0)=1,1,MATCH($E178,始値!$E$3:$BT$3,0)+1)),_xlpm.v,INDEX(始値!$C$6:$BT$305,_xlpm.r,_xlpm.c),IF(N(_xlpm.v)=0,"",_xlpm.v)),"")</f>
        <v/>
      </c>
      <c r="G178" s="480"/>
      <c r="H178" s="480" t="str" cm="1">
        <f t="array" ref="H178">_xll.RssMarket(B178, "現在値")</f>
        <v/>
      </c>
      <c r="I178" s="480" t="str" cm="1">
        <f t="array" ref="I178">_xll.RssMarket(B178, "出来高加重平均")</f>
        <v/>
      </c>
      <c r="J178" s="706" t="str" cm="1">
        <f t="array" ref="J178">_xll.RssMarket($B178, "前日比")</f>
        <v/>
      </c>
      <c r="K178" s="707" t="str">
        <f t="shared" ca="1" si="69"/>
        <v/>
      </c>
      <c r="L178" s="712" t="str">
        <f t="shared" ca="1" si="70"/>
        <v/>
      </c>
      <c r="M178" s="601" t="str">
        <f t="shared" ca="1" si="58"/>
        <v/>
      </c>
      <c r="N178" s="601" t="str">
        <f t="shared" ca="1" si="59"/>
        <v/>
      </c>
      <c r="O178" s="478" t="str">
        <f t="shared" ca="1" si="60"/>
        <v/>
      </c>
      <c r="P178" s="445" t="str">
        <f t="array" aca="1" ref="P178" ca="1">IF(B178="","",IFERROR(MAX(OFFSET(高値!$E$6,MATCH(TEXT(B178,"0"),TEXT(銘柄管理!$B$6:$B$305,"0"),0)-1,0,1,10)),""))</f>
        <v/>
      </c>
      <c r="Q178" s="445" t="str">
        <f t="array" aca="1" ref="Q178" ca="1">IF(B178="","",IFERROR(MIN(OFFSET(安値!$E$6,MATCH(TEXT(B178,"0"),TEXT(銘柄管理!$B$6:$B$305,"0"),0)-1,0,1,10)),""))</f>
        <v/>
      </c>
      <c r="R178" s="480" t="str">
        <f t="shared" ca="1" si="71"/>
        <v/>
      </c>
      <c r="S178" s="480" t="str">
        <f t="shared" si="72"/>
        <v/>
      </c>
      <c r="T178" s="599" t="str">
        <f t="shared" ca="1" si="61"/>
        <v/>
      </c>
      <c r="U178" s="601" t="str">
        <f t="shared" ca="1" si="62"/>
        <v/>
      </c>
      <c r="V178" s="707" t="str">
        <f t="shared" ca="1" si="73"/>
        <v/>
      </c>
      <c r="W178" s="480" t="str">
        <f t="shared" ca="1" si="63"/>
        <v/>
      </c>
      <c r="X178" s="480" t="str">
        <f t="shared" ca="1" si="64"/>
        <v/>
      </c>
      <c r="Y178" s="488"/>
      <c r="Z178" s="714"/>
      <c r="AD178" s="611"/>
      <c r="AE178" s="603" t="str">
        <f t="shared" si="65"/>
        <v/>
      </c>
      <c r="AF178" s="603"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03"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03" t="str">
        <f t="shared" ca="1" si="66"/>
        <v/>
      </c>
      <c r="AI178" s="603" t="str" cm="1">
        <f t="array" ref="AI178">IFERROR(INDEX(始値!$E$6:$BT$305,MATCH(TEXT($B178,"0"),TEXT(銘柄管理!$B$6:$B$305,"0"),0),MATCH($AE178,始値!$E$3:$BT$3,0)),"")</f>
        <v/>
      </c>
      <c r="AJ178" s="603" t="str">
        <f t="shared" ca="1" si="67"/>
        <v/>
      </c>
      <c r="AK178" s="603" t="str">
        <f t="shared" ca="1" si="68"/>
        <v/>
      </c>
    </row>
    <row r="179" spans="1:37" ht="17.25" customHeight="1">
      <c r="A179" s="625" t="str">
        <f t="shared" si="57"/>
        <v/>
      </c>
      <c r="B179" s="480"/>
      <c r="C179" s="480"/>
      <c r="D179" s="480" t="str" cm="1">
        <f t="array" ref="D179">_xll.RssMarket(B179, "銘柄名称")</f>
        <v/>
      </c>
      <c r="E179" s="721"/>
      <c r="F179" s="702" t="str" cm="1">
        <f t="array" aca="1" ref="F179" ca="1">IFERROR(_xlfn.LET(_xlpm.r,MATCH(TEXT($B179,"0"),TEXT(銘柄管理!$B$6:$B$305,"0"),0),_xlpm.t,MOD(NOW(),1),_xlpm.c,IF($E179=TODAY(),IF(_xlpm.t&gt;=TIME(15,30,0),NA(),1),IF(MATCH($E179,始値!$E$3:$BT$3,0)=1,1,MATCH($E179,始値!$E$3:$BT$3,0)+1)),_xlpm.v,INDEX(始値!$C$6:$BT$305,_xlpm.r,_xlpm.c),IF(N(_xlpm.v)=0,"",_xlpm.v)),"")</f>
        <v/>
      </c>
      <c r="G179" s="480"/>
      <c r="H179" s="480" t="str" cm="1">
        <f t="array" ref="H179">_xll.RssMarket(B179, "現在値")</f>
        <v/>
      </c>
      <c r="I179" s="480" t="str" cm="1">
        <f t="array" ref="I179">_xll.RssMarket(B179, "出来高加重平均")</f>
        <v/>
      </c>
      <c r="J179" s="706" t="str" cm="1">
        <f t="array" ref="J179">_xll.RssMarket($B179, "前日比")</f>
        <v/>
      </c>
      <c r="K179" s="707" t="str">
        <f t="shared" ca="1" si="69"/>
        <v/>
      </c>
      <c r="L179" s="712" t="str">
        <f t="shared" ca="1" si="70"/>
        <v/>
      </c>
      <c r="M179" s="601" t="str">
        <f t="shared" ca="1" si="58"/>
        <v/>
      </c>
      <c r="N179" s="601" t="str">
        <f t="shared" ca="1" si="59"/>
        <v/>
      </c>
      <c r="O179" s="478" t="str">
        <f t="shared" ca="1" si="60"/>
        <v/>
      </c>
      <c r="P179" s="445" t="str">
        <f t="array" aca="1" ref="P179" ca="1">IF(B179="","",IFERROR(MAX(OFFSET(高値!$E$6,MATCH(TEXT(B179,"0"),TEXT(銘柄管理!$B$6:$B$305,"0"),0)-1,0,1,10)),""))</f>
        <v/>
      </c>
      <c r="Q179" s="445" t="str">
        <f t="array" aca="1" ref="Q179" ca="1">IF(B179="","",IFERROR(MIN(OFFSET(安値!$E$6,MATCH(TEXT(B179,"0"),TEXT(銘柄管理!$B$6:$B$305,"0"),0)-1,0,1,10)),""))</f>
        <v/>
      </c>
      <c r="R179" s="480" t="str">
        <f t="shared" ca="1" si="71"/>
        <v/>
      </c>
      <c r="S179" s="480" t="str">
        <f t="shared" si="72"/>
        <v/>
      </c>
      <c r="T179" s="599" t="str">
        <f t="shared" ca="1" si="61"/>
        <v/>
      </c>
      <c r="U179" s="601" t="str">
        <f t="shared" ca="1" si="62"/>
        <v/>
      </c>
      <c r="V179" s="707" t="str">
        <f t="shared" ca="1" si="73"/>
        <v/>
      </c>
      <c r="W179" s="480" t="str">
        <f t="shared" ca="1" si="63"/>
        <v/>
      </c>
      <c r="X179" s="480" t="str">
        <f t="shared" ca="1" si="64"/>
        <v/>
      </c>
      <c r="Y179" s="488"/>
      <c r="Z179" s="714"/>
      <c r="AD179" s="611"/>
      <c r="AE179" s="603" t="str">
        <f t="shared" si="65"/>
        <v/>
      </c>
      <c r="AF179" s="603"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03"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03" t="str">
        <f t="shared" ca="1" si="66"/>
        <v/>
      </c>
      <c r="AI179" s="603" t="str" cm="1">
        <f t="array" ref="AI179">IFERROR(INDEX(始値!$E$6:$BT$305,MATCH(TEXT($B179,"0"),TEXT(銘柄管理!$B$6:$B$305,"0"),0),MATCH($AE179,始値!$E$3:$BT$3,0)),"")</f>
        <v/>
      </c>
      <c r="AJ179" s="603" t="str">
        <f t="shared" ca="1" si="67"/>
        <v/>
      </c>
      <c r="AK179" s="603" t="str">
        <f t="shared" ca="1" si="68"/>
        <v/>
      </c>
    </row>
    <row r="180" spans="1:37" ht="17.25" customHeight="1">
      <c r="A180" s="625" t="str">
        <f t="shared" si="57"/>
        <v/>
      </c>
      <c r="B180" s="480"/>
      <c r="C180" s="480"/>
      <c r="D180" s="480" t="str" cm="1">
        <f t="array" ref="D180">_xll.RssMarket(B180, "銘柄名称")</f>
        <v/>
      </c>
      <c r="E180" s="721"/>
      <c r="F180" s="702" t="str" cm="1">
        <f t="array" aca="1" ref="F180" ca="1">IFERROR(_xlfn.LET(_xlpm.r,MATCH(TEXT($B180,"0"),TEXT(銘柄管理!$B$6:$B$305,"0"),0),_xlpm.t,MOD(NOW(),1),_xlpm.c,IF($E180=TODAY(),IF(_xlpm.t&gt;=TIME(15,30,0),NA(),1),IF(MATCH($E180,始値!$E$3:$BT$3,0)=1,1,MATCH($E180,始値!$E$3:$BT$3,0)+1)),_xlpm.v,INDEX(始値!$C$6:$BT$305,_xlpm.r,_xlpm.c),IF(N(_xlpm.v)=0,"",_xlpm.v)),"")</f>
        <v/>
      </c>
      <c r="G180" s="480"/>
      <c r="H180" s="480" t="str" cm="1">
        <f t="array" ref="H180">_xll.RssMarket(B180, "現在値")</f>
        <v/>
      </c>
      <c r="I180" s="480" t="str" cm="1">
        <f t="array" ref="I180">_xll.RssMarket(B180, "出来高加重平均")</f>
        <v/>
      </c>
      <c r="J180" s="706" t="str" cm="1">
        <f t="array" ref="J180">_xll.RssMarket($B180, "前日比")</f>
        <v/>
      </c>
      <c r="K180" s="707" t="str">
        <f t="shared" ca="1" si="69"/>
        <v/>
      </c>
      <c r="L180" s="712" t="str">
        <f t="shared" ca="1" si="70"/>
        <v/>
      </c>
      <c r="M180" s="601" t="str">
        <f t="shared" ca="1" si="58"/>
        <v/>
      </c>
      <c r="N180" s="601" t="str">
        <f t="shared" ca="1" si="59"/>
        <v/>
      </c>
      <c r="O180" s="478" t="str">
        <f t="shared" ca="1" si="60"/>
        <v/>
      </c>
      <c r="P180" s="445" t="str">
        <f t="array" aca="1" ref="P180" ca="1">IF(B180="","",IFERROR(MAX(OFFSET(高値!$E$6,MATCH(TEXT(B180,"0"),TEXT(銘柄管理!$B$6:$B$305,"0"),0)-1,0,1,10)),""))</f>
        <v/>
      </c>
      <c r="Q180" s="445" t="str">
        <f t="array" aca="1" ref="Q180" ca="1">IF(B180="","",IFERROR(MIN(OFFSET(安値!$E$6,MATCH(TEXT(B180,"0"),TEXT(銘柄管理!$B$6:$B$305,"0"),0)-1,0,1,10)),""))</f>
        <v/>
      </c>
      <c r="R180" s="480" t="str">
        <f t="shared" ca="1" si="71"/>
        <v/>
      </c>
      <c r="S180" s="480" t="str">
        <f t="shared" si="72"/>
        <v/>
      </c>
      <c r="T180" s="599" t="str">
        <f t="shared" ca="1" si="61"/>
        <v/>
      </c>
      <c r="U180" s="601" t="str">
        <f t="shared" ca="1" si="62"/>
        <v/>
      </c>
      <c r="V180" s="707" t="str">
        <f t="shared" ca="1" si="73"/>
        <v/>
      </c>
      <c r="W180" s="480" t="str">
        <f t="shared" ca="1" si="63"/>
        <v/>
      </c>
      <c r="X180" s="480" t="str">
        <f t="shared" ca="1" si="64"/>
        <v/>
      </c>
      <c r="Y180" s="488"/>
      <c r="Z180" s="714"/>
      <c r="AD180" s="611"/>
      <c r="AE180" s="603" t="str">
        <f t="shared" si="65"/>
        <v/>
      </c>
      <c r="AF180" s="603"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03"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03" t="str">
        <f t="shared" ca="1" si="66"/>
        <v/>
      </c>
      <c r="AI180" s="603" t="str" cm="1">
        <f t="array" ref="AI180">IFERROR(INDEX(始値!$E$6:$BT$305,MATCH(TEXT($B180,"0"),TEXT(銘柄管理!$B$6:$B$305,"0"),0),MATCH($AE180,始値!$E$3:$BT$3,0)),"")</f>
        <v/>
      </c>
      <c r="AJ180" s="603" t="str">
        <f t="shared" ca="1" si="67"/>
        <v/>
      </c>
      <c r="AK180" s="603" t="str">
        <f t="shared" ca="1" si="68"/>
        <v/>
      </c>
    </row>
    <row r="181" spans="1:37" ht="17.25" customHeight="1">
      <c r="A181" s="625" t="str">
        <f t="shared" si="57"/>
        <v/>
      </c>
      <c r="B181" s="480"/>
      <c r="C181" s="480"/>
      <c r="D181" s="480" t="str" cm="1">
        <f t="array" ref="D181">_xll.RssMarket(B181, "銘柄名称")</f>
        <v/>
      </c>
      <c r="E181" s="721"/>
      <c r="F181" s="702" t="str" cm="1">
        <f t="array" aca="1" ref="F181" ca="1">IFERROR(_xlfn.LET(_xlpm.r,MATCH(TEXT($B181,"0"),TEXT(銘柄管理!$B$6:$B$305,"0"),0),_xlpm.t,MOD(NOW(),1),_xlpm.c,IF($E181=TODAY(),IF(_xlpm.t&gt;=TIME(15,30,0),NA(),1),IF(MATCH($E181,始値!$E$3:$BT$3,0)=1,1,MATCH($E181,始値!$E$3:$BT$3,0)+1)),_xlpm.v,INDEX(始値!$C$6:$BT$305,_xlpm.r,_xlpm.c),IF(N(_xlpm.v)=0,"",_xlpm.v)),"")</f>
        <v/>
      </c>
      <c r="G181" s="480"/>
      <c r="H181" s="480" t="str" cm="1">
        <f t="array" ref="H181">_xll.RssMarket(B181, "現在値")</f>
        <v/>
      </c>
      <c r="I181" s="480" t="str" cm="1">
        <f t="array" ref="I181">_xll.RssMarket(B181, "出来高加重平均")</f>
        <v/>
      </c>
      <c r="J181" s="706" t="str" cm="1">
        <f t="array" ref="J181">_xll.RssMarket($B181, "前日比")</f>
        <v/>
      </c>
      <c r="K181" s="707" t="str">
        <f t="shared" ca="1" si="69"/>
        <v/>
      </c>
      <c r="L181" s="712" t="str">
        <f t="shared" ca="1" si="70"/>
        <v/>
      </c>
      <c r="M181" s="601" t="str">
        <f t="shared" ca="1" si="58"/>
        <v/>
      </c>
      <c r="N181" s="601" t="str">
        <f t="shared" ca="1" si="59"/>
        <v/>
      </c>
      <c r="O181" s="478" t="str">
        <f t="shared" ca="1" si="60"/>
        <v/>
      </c>
      <c r="P181" s="445" t="str">
        <f t="array" aca="1" ref="P181" ca="1">IF(B181="","",IFERROR(MAX(OFFSET(高値!$E$6,MATCH(TEXT(B181,"0"),TEXT(銘柄管理!$B$6:$B$305,"0"),0)-1,0,1,10)),""))</f>
        <v/>
      </c>
      <c r="Q181" s="445" t="str">
        <f t="array" aca="1" ref="Q181" ca="1">IF(B181="","",IFERROR(MIN(OFFSET(安値!$E$6,MATCH(TEXT(B181,"0"),TEXT(銘柄管理!$B$6:$B$305,"0"),0)-1,0,1,10)),""))</f>
        <v/>
      </c>
      <c r="R181" s="480" t="str">
        <f t="shared" ca="1" si="71"/>
        <v/>
      </c>
      <c r="S181" s="480" t="str">
        <f t="shared" si="72"/>
        <v/>
      </c>
      <c r="T181" s="599" t="str">
        <f t="shared" ca="1" si="61"/>
        <v/>
      </c>
      <c r="U181" s="601" t="str">
        <f t="shared" ca="1" si="62"/>
        <v/>
      </c>
      <c r="V181" s="707" t="str">
        <f t="shared" ca="1" si="73"/>
        <v/>
      </c>
      <c r="W181" s="480" t="str">
        <f t="shared" ca="1" si="63"/>
        <v/>
      </c>
      <c r="X181" s="480" t="str">
        <f t="shared" ca="1" si="64"/>
        <v/>
      </c>
      <c r="Y181" s="488"/>
      <c r="Z181" s="714"/>
      <c r="AD181" s="611"/>
      <c r="AE181" s="603" t="str">
        <f t="shared" si="65"/>
        <v/>
      </c>
      <c r="AF181" s="603"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03"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03" t="str">
        <f t="shared" ca="1" si="66"/>
        <v/>
      </c>
      <c r="AI181" s="603" t="str" cm="1">
        <f t="array" ref="AI181">IFERROR(INDEX(始値!$E$6:$BT$305,MATCH(TEXT($B181,"0"),TEXT(銘柄管理!$B$6:$B$305,"0"),0),MATCH($AE181,始値!$E$3:$BT$3,0)),"")</f>
        <v/>
      </c>
      <c r="AJ181" s="603" t="str">
        <f t="shared" ca="1" si="67"/>
        <v/>
      </c>
      <c r="AK181" s="603" t="str">
        <f t="shared" ca="1" si="68"/>
        <v/>
      </c>
    </row>
    <row r="182" spans="1:37" ht="17.25" customHeight="1">
      <c r="A182" s="625" t="str">
        <f t="shared" si="57"/>
        <v/>
      </c>
      <c r="B182" s="480"/>
      <c r="C182" s="480"/>
      <c r="D182" s="480" t="str" cm="1">
        <f t="array" ref="D182">_xll.RssMarket(B182, "銘柄名称")</f>
        <v/>
      </c>
      <c r="E182" s="721"/>
      <c r="F182" s="702" t="str" cm="1">
        <f t="array" aca="1" ref="F182" ca="1">IFERROR(_xlfn.LET(_xlpm.r,MATCH(TEXT($B182,"0"),TEXT(銘柄管理!$B$6:$B$305,"0"),0),_xlpm.t,MOD(NOW(),1),_xlpm.c,IF($E182=TODAY(),IF(_xlpm.t&gt;=TIME(15,30,0),NA(),1),IF(MATCH($E182,始値!$E$3:$BT$3,0)=1,1,MATCH($E182,始値!$E$3:$BT$3,0)+1)),_xlpm.v,INDEX(始値!$C$6:$BT$305,_xlpm.r,_xlpm.c),IF(N(_xlpm.v)=0,"",_xlpm.v)),"")</f>
        <v/>
      </c>
      <c r="G182" s="480"/>
      <c r="H182" s="480" t="str" cm="1">
        <f t="array" ref="H182">_xll.RssMarket(B182, "現在値")</f>
        <v/>
      </c>
      <c r="I182" s="480" t="str" cm="1">
        <f t="array" ref="I182">_xll.RssMarket(B182, "出来高加重平均")</f>
        <v/>
      </c>
      <c r="J182" s="706" t="str" cm="1">
        <f t="array" ref="J182">_xll.RssMarket($B182, "前日比")</f>
        <v/>
      </c>
      <c r="K182" s="707" t="str">
        <f t="shared" ca="1" si="69"/>
        <v/>
      </c>
      <c r="L182" s="712" t="str">
        <f t="shared" ca="1" si="70"/>
        <v/>
      </c>
      <c r="M182" s="601" t="str">
        <f t="shared" ca="1" si="58"/>
        <v/>
      </c>
      <c r="N182" s="601" t="str">
        <f t="shared" ca="1" si="59"/>
        <v/>
      </c>
      <c r="O182" s="478" t="str">
        <f t="shared" ca="1" si="60"/>
        <v/>
      </c>
      <c r="P182" s="445" t="str">
        <f t="array" aca="1" ref="P182" ca="1">IF(B182="","",IFERROR(MAX(OFFSET(高値!$E$6,MATCH(TEXT(B182,"0"),TEXT(銘柄管理!$B$6:$B$305,"0"),0)-1,0,1,10)),""))</f>
        <v/>
      </c>
      <c r="Q182" s="445" t="str">
        <f t="array" aca="1" ref="Q182" ca="1">IF(B182="","",IFERROR(MIN(OFFSET(安値!$E$6,MATCH(TEXT(B182,"0"),TEXT(銘柄管理!$B$6:$B$305,"0"),0)-1,0,1,10)),""))</f>
        <v/>
      </c>
      <c r="R182" s="480" t="str">
        <f t="shared" ca="1" si="71"/>
        <v/>
      </c>
      <c r="S182" s="480" t="str">
        <f t="shared" si="72"/>
        <v/>
      </c>
      <c r="T182" s="599" t="str">
        <f t="shared" ca="1" si="61"/>
        <v/>
      </c>
      <c r="U182" s="601" t="str">
        <f t="shared" ca="1" si="62"/>
        <v/>
      </c>
      <c r="V182" s="707" t="str">
        <f t="shared" ca="1" si="73"/>
        <v/>
      </c>
      <c r="W182" s="480" t="str">
        <f t="shared" ca="1" si="63"/>
        <v/>
      </c>
      <c r="X182" s="480" t="str">
        <f t="shared" ca="1" si="64"/>
        <v/>
      </c>
      <c r="Y182" s="488"/>
      <c r="Z182" s="714"/>
      <c r="AD182" s="611"/>
      <c r="AE182" s="603" t="str">
        <f t="shared" si="65"/>
        <v/>
      </c>
      <c r="AF182" s="603"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03"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03" t="str">
        <f t="shared" ca="1" si="66"/>
        <v/>
      </c>
      <c r="AI182" s="603" t="str" cm="1">
        <f t="array" ref="AI182">IFERROR(INDEX(始値!$E$6:$BT$305,MATCH(TEXT($B182,"0"),TEXT(銘柄管理!$B$6:$B$305,"0"),0),MATCH($AE182,始値!$E$3:$BT$3,0)),"")</f>
        <v/>
      </c>
      <c r="AJ182" s="603" t="str">
        <f t="shared" ca="1" si="67"/>
        <v/>
      </c>
      <c r="AK182" s="603" t="str">
        <f t="shared" ca="1" si="68"/>
        <v/>
      </c>
    </row>
    <row r="183" spans="1:37" ht="17.25" customHeight="1">
      <c r="A183" s="625" t="str">
        <f t="shared" si="57"/>
        <v/>
      </c>
      <c r="B183" s="480"/>
      <c r="C183" s="480"/>
      <c r="D183" s="480" t="str" cm="1">
        <f t="array" ref="D183">_xll.RssMarket(B183, "銘柄名称")</f>
        <v/>
      </c>
      <c r="E183" s="721"/>
      <c r="F183" s="702" t="str" cm="1">
        <f t="array" aca="1" ref="F183" ca="1">IFERROR(_xlfn.LET(_xlpm.r,MATCH(TEXT($B183,"0"),TEXT(銘柄管理!$B$6:$B$305,"0"),0),_xlpm.t,MOD(NOW(),1),_xlpm.c,IF($E183=TODAY(),IF(_xlpm.t&gt;=TIME(15,30,0),NA(),1),IF(MATCH($E183,始値!$E$3:$BT$3,0)=1,1,MATCH($E183,始値!$E$3:$BT$3,0)+1)),_xlpm.v,INDEX(始値!$C$6:$BT$305,_xlpm.r,_xlpm.c),IF(N(_xlpm.v)=0,"",_xlpm.v)),"")</f>
        <v/>
      </c>
      <c r="G183" s="480"/>
      <c r="H183" s="480" t="str" cm="1">
        <f t="array" ref="H183">_xll.RssMarket(B183, "現在値")</f>
        <v/>
      </c>
      <c r="I183" s="480" t="str" cm="1">
        <f t="array" ref="I183">_xll.RssMarket(B183, "出来高加重平均")</f>
        <v/>
      </c>
      <c r="J183" s="706" t="str" cm="1">
        <f t="array" ref="J183">_xll.RssMarket($B183, "前日比")</f>
        <v/>
      </c>
      <c r="K183" s="707" t="str">
        <f t="shared" ca="1" si="69"/>
        <v/>
      </c>
      <c r="L183" s="712" t="str">
        <f t="shared" ca="1" si="70"/>
        <v/>
      </c>
      <c r="M183" s="601" t="str">
        <f t="shared" ca="1" si="58"/>
        <v/>
      </c>
      <c r="N183" s="601" t="str">
        <f t="shared" ca="1" si="59"/>
        <v/>
      </c>
      <c r="O183" s="478" t="str">
        <f t="shared" ca="1" si="60"/>
        <v/>
      </c>
      <c r="P183" s="445" t="str">
        <f t="array" aca="1" ref="P183" ca="1">IF(B183="","",IFERROR(MAX(OFFSET(高値!$E$6,MATCH(TEXT(B183,"0"),TEXT(銘柄管理!$B$6:$B$305,"0"),0)-1,0,1,10)),""))</f>
        <v/>
      </c>
      <c r="Q183" s="445" t="str">
        <f t="array" aca="1" ref="Q183" ca="1">IF(B183="","",IFERROR(MIN(OFFSET(安値!$E$6,MATCH(TEXT(B183,"0"),TEXT(銘柄管理!$B$6:$B$305,"0"),0)-1,0,1,10)),""))</f>
        <v/>
      </c>
      <c r="R183" s="480" t="str">
        <f t="shared" ca="1" si="71"/>
        <v/>
      </c>
      <c r="S183" s="480" t="str">
        <f t="shared" si="72"/>
        <v/>
      </c>
      <c r="T183" s="599" t="str">
        <f t="shared" ca="1" si="61"/>
        <v/>
      </c>
      <c r="U183" s="601" t="str">
        <f t="shared" ca="1" si="62"/>
        <v/>
      </c>
      <c r="V183" s="707" t="str">
        <f t="shared" ca="1" si="73"/>
        <v/>
      </c>
      <c r="W183" s="480" t="str">
        <f t="shared" ca="1" si="63"/>
        <v/>
      </c>
      <c r="X183" s="480" t="str">
        <f t="shared" ca="1" si="64"/>
        <v/>
      </c>
      <c r="Y183" s="488"/>
      <c r="Z183" s="714"/>
      <c r="AD183" s="611"/>
      <c r="AE183" s="603" t="str">
        <f t="shared" si="65"/>
        <v/>
      </c>
      <c r="AF183" s="603"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03"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03" t="str">
        <f t="shared" ca="1" si="66"/>
        <v/>
      </c>
      <c r="AI183" s="603" t="str" cm="1">
        <f t="array" ref="AI183">IFERROR(INDEX(始値!$E$6:$BT$305,MATCH(TEXT($B183,"0"),TEXT(銘柄管理!$B$6:$B$305,"0"),0),MATCH($AE183,始値!$E$3:$BT$3,0)),"")</f>
        <v/>
      </c>
      <c r="AJ183" s="603" t="str">
        <f t="shared" ca="1" si="67"/>
        <v/>
      </c>
      <c r="AK183" s="603" t="str">
        <f t="shared" ca="1" si="68"/>
        <v/>
      </c>
    </row>
    <row r="184" spans="1:37" ht="17.25" customHeight="1">
      <c r="A184" s="625" t="str">
        <f t="shared" si="57"/>
        <v/>
      </c>
      <c r="B184" s="480"/>
      <c r="C184" s="480"/>
      <c r="D184" s="480" t="str" cm="1">
        <f t="array" ref="D184">_xll.RssMarket(B184, "銘柄名称")</f>
        <v/>
      </c>
      <c r="E184" s="721"/>
      <c r="F184" s="702" t="str" cm="1">
        <f t="array" aca="1" ref="F184" ca="1">IFERROR(_xlfn.LET(_xlpm.r,MATCH(TEXT($B184,"0"),TEXT(銘柄管理!$B$6:$B$305,"0"),0),_xlpm.t,MOD(NOW(),1),_xlpm.c,IF($E184=TODAY(),IF(_xlpm.t&gt;=TIME(15,30,0),NA(),1),IF(MATCH($E184,始値!$E$3:$BT$3,0)=1,1,MATCH($E184,始値!$E$3:$BT$3,0)+1)),_xlpm.v,INDEX(始値!$C$6:$BT$305,_xlpm.r,_xlpm.c),IF(N(_xlpm.v)=0,"",_xlpm.v)),"")</f>
        <v/>
      </c>
      <c r="G184" s="480"/>
      <c r="H184" s="480" t="str" cm="1">
        <f t="array" ref="H184">_xll.RssMarket(B184, "現在値")</f>
        <v/>
      </c>
      <c r="I184" s="480" t="str" cm="1">
        <f t="array" ref="I184">_xll.RssMarket(B184, "出来高加重平均")</f>
        <v/>
      </c>
      <c r="J184" s="706" t="str" cm="1">
        <f t="array" ref="J184">_xll.RssMarket($B184, "前日比")</f>
        <v/>
      </c>
      <c r="K184" s="707" t="str">
        <f t="shared" ca="1" si="69"/>
        <v/>
      </c>
      <c r="L184" s="712" t="str">
        <f t="shared" ca="1" si="70"/>
        <v/>
      </c>
      <c r="M184" s="601" t="str">
        <f t="shared" ca="1" si="58"/>
        <v/>
      </c>
      <c r="N184" s="601" t="str">
        <f t="shared" ca="1" si="59"/>
        <v/>
      </c>
      <c r="O184" s="478" t="str">
        <f t="shared" ca="1" si="60"/>
        <v/>
      </c>
      <c r="P184" s="445" t="str">
        <f t="array" aca="1" ref="P184" ca="1">IF(B184="","",IFERROR(MAX(OFFSET(高値!$E$6,MATCH(TEXT(B184,"0"),TEXT(銘柄管理!$B$6:$B$305,"0"),0)-1,0,1,10)),""))</f>
        <v/>
      </c>
      <c r="Q184" s="445" t="str">
        <f t="array" aca="1" ref="Q184" ca="1">IF(B184="","",IFERROR(MIN(OFFSET(安値!$E$6,MATCH(TEXT(B184,"0"),TEXT(銘柄管理!$B$6:$B$305,"0"),0)-1,0,1,10)),""))</f>
        <v/>
      </c>
      <c r="R184" s="480" t="str">
        <f t="shared" ca="1" si="71"/>
        <v/>
      </c>
      <c r="S184" s="480" t="str">
        <f t="shared" si="72"/>
        <v/>
      </c>
      <c r="T184" s="599" t="str">
        <f t="shared" ca="1" si="61"/>
        <v/>
      </c>
      <c r="U184" s="601" t="str">
        <f t="shared" ca="1" si="62"/>
        <v/>
      </c>
      <c r="V184" s="707" t="str">
        <f t="shared" ca="1" si="73"/>
        <v/>
      </c>
      <c r="W184" s="480" t="str">
        <f t="shared" ca="1" si="63"/>
        <v/>
      </c>
      <c r="X184" s="480" t="str">
        <f t="shared" ca="1" si="64"/>
        <v/>
      </c>
      <c r="Y184" s="488"/>
      <c r="Z184" s="714"/>
      <c r="AD184" s="611"/>
      <c r="AE184" s="603" t="str">
        <f t="shared" si="65"/>
        <v/>
      </c>
      <c r="AF184" s="603"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03"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03" t="str">
        <f t="shared" ca="1" si="66"/>
        <v/>
      </c>
      <c r="AI184" s="603" t="str" cm="1">
        <f t="array" ref="AI184">IFERROR(INDEX(始値!$E$6:$BT$305,MATCH(TEXT($B184,"0"),TEXT(銘柄管理!$B$6:$B$305,"0"),0),MATCH($AE184,始値!$E$3:$BT$3,0)),"")</f>
        <v/>
      </c>
      <c r="AJ184" s="603" t="str">
        <f t="shared" ca="1" si="67"/>
        <v/>
      </c>
      <c r="AK184" s="603" t="str">
        <f t="shared" ca="1" si="68"/>
        <v/>
      </c>
    </row>
    <row r="185" spans="1:37" ht="17.25" customHeight="1">
      <c r="A185" s="625" t="str">
        <f t="shared" si="57"/>
        <v/>
      </c>
      <c r="B185" s="480"/>
      <c r="C185" s="480"/>
      <c r="D185" s="480" t="str" cm="1">
        <f t="array" ref="D185">_xll.RssMarket(B185, "銘柄名称")</f>
        <v/>
      </c>
      <c r="E185" s="721"/>
      <c r="F185" s="702" t="str" cm="1">
        <f t="array" aca="1" ref="F185" ca="1">IFERROR(_xlfn.LET(_xlpm.r,MATCH(TEXT($B185,"0"),TEXT(銘柄管理!$B$6:$B$305,"0"),0),_xlpm.t,MOD(NOW(),1),_xlpm.c,IF($E185=TODAY(),IF(_xlpm.t&gt;=TIME(15,30,0),NA(),1),IF(MATCH($E185,始値!$E$3:$BT$3,0)=1,1,MATCH($E185,始値!$E$3:$BT$3,0)+1)),_xlpm.v,INDEX(始値!$C$6:$BT$305,_xlpm.r,_xlpm.c),IF(N(_xlpm.v)=0,"",_xlpm.v)),"")</f>
        <v/>
      </c>
      <c r="G185" s="480"/>
      <c r="H185" s="480" t="str" cm="1">
        <f t="array" ref="H185">_xll.RssMarket(B185, "現在値")</f>
        <v/>
      </c>
      <c r="I185" s="480" t="str" cm="1">
        <f t="array" ref="I185">_xll.RssMarket(B185, "出来高加重平均")</f>
        <v/>
      </c>
      <c r="J185" s="706" t="str" cm="1">
        <f t="array" ref="J185">_xll.RssMarket($B185, "前日比")</f>
        <v/>
      </c>
      <c r="K185" s="707" t="str">
        <f t="shared" ca="1" si="69"/>
        <v/>
      </c>
      <c r="L185" s="712" t="str">
        <f t="shared" ca="1" si="70"/>
        <v/>
      </c>
      <c r="M185" s="601" t="str">
        <f t="shared" ca="1" si="58"/>
        <v/>
      </c>
      <c r="N185" s="601" t="str">
        <f t="shared" ca="1" si="59"/>
        <v/>
      </c>
      <c r="O185" s="478" t="str">
        <f t="shared" ca="1" si="60"/>
        <v/>
      </c>
      <c r="P185" s="445" t="str">
        <f t="array" aca="1" ref="P185" ca="1">IF(B185="","",IFERROR(MAX(OFFSET(高値!$E$6,MATCH(TEXT(B185,"0"),TEXT(銘柄管理!$B$6:$B$305,"0"),0)-1,0,1,10)),""))</f>
        <v/>
      </c>
      <c r="Q185" s="445" t="str">
        <f t="array" aca="1" ref="Q185" ca="1">IF(B185="","",IFERROR(MIN(OFFSET(安値!$E$6,MATCH(TEXT(B185,"0"),TEXT(銘柄管理!$B$6:$B$305,"0"),0)-1,0,1,10)),""))</f>
        <v/>
      </c>
      <c r="R185" s="480" t="str">
        <f t="shared" ca="1" si="71"/>
        <v/>
      </c>
      <c r="S185" s="480" t="str">
        <f t="shared" si="72"/>
        <v/>
      </c>
      <c r="T185" s="599" t="str">
        <f t="shared" ca="1" si="61"/>
        <v/>
      </c>
      <c r="U185" s="601" t="str">
        <f t="shared" ca="1" si="62"/>
        <v/>
      </c>
      <c r="V185" s="707" t="str">
        <f t="shared" ca="1" si="73"/>
        <v/>
      </c>
      <c r="W185" s="480" t="str">
        <f t="shared" ca="1" si="63"/>
        <v/>
      </c>
      <c r="X185" s="480" t="str">
        <f t="shared" ca="1" si="64"/>
        <v/>
      </c>
      <c r="Y185" s="488"/>
      <c r="Z185" s="714"/>
      <c r="AD185" s="611"/>
      <c r="AE185" s="603" t="str">
        <f t="shared" si="65"/>
        <v/>
      </c>
      <c r="AF185" s="603"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03"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03" t="str">
        <f t="shared" ca="1" si="66"/>
        <v/>
      </c>
      <c r="AI185" s="603" t="str" cm="1">
        <f t="array" ref="AI185">IFERROR(INDEX(始値!$E$6:$BT$305,MATCH(TEXT($B185,"0"),TEXT(銘柄管理!$B$6:$B$305,"0"),0),MATCH($AE185,始値!$E$3:$BT$3,0)),"")</f>
        <v/>
      </c>
      <c r="AJ185" s="603" t="str">
        <f t="shared" ca="1" si="67"/>
        <v/>
      </c>
      <c r="AK185" s="603" t="str">
        <f t="shared" ca="1" si="68"/>
        <v/>
      </c>
    </row>
    <row r="186" spans="1:37" ht="17.25" customHeight="1">
      <c r="A186" s="625" t="str">
        <f t="shared" si="57"/>
        <v/>
      </c>
      <c r="B186" s="480"/>
      <c r="C186" s="480"/>
      <c r="D186" s="480" t="str" cm="1">
        <f t="array" ref="D186">_xll.RssMarket(B186, "銘柄名称")</f>
        <v/>
      </c>
      <c r="E186" s="721"/>
      <c r="F186" s="702" t="str" cm="1">
        <f t="array" aca="1" ref="F186" ca="1">IFERROR(_xlfn.LET(_xlpm.r,MATCH(TEXT($B186,"0"),TEXT(銘柄管理!$B$6:$B$305,"0"),0),_xlpm.t,MOD(NOW(),1),_xlpm.c,IF($E186=TODAY(),IF(_xlpm.t&gt;=TIME(15,30,0),NA(),1),IF(MATCH($E186,始値!$E$3:$BT$3,0)=1,1,MATCH($E186,始値!$E$3:$BT$3,0)+1)),_xlpm.v,INDEX(始値!$C$6:$BT$305,_xlpm.r,_xlpm.c),IF(N(_xlpm.v)=0,"",_xlpm.v)),"")</f>
        <v/>
      </c>
      <c r="G186" s="480"/>
      <c r="H186" s="480" t="str" cm="1">
        <f t="array" ref="H186">_xll.RssMarket(B186, "現在値")</f>
        <v/>
      </c>
      <c r="I186" s="480" t="str" cm="1">
        <f t="array" ref="I186">_xll.RssMarket(B186, "出来高加重平均")</f>
        <v/>
      </c>
      <c r="J186" s="706" t="str" cm="1">
        <f t="array" ref="J186">_xll.RssMarket($B186, "前日比")</f>
        <v/>
      </c>
      <c r="K186" s="707" t="str">
        <f t="shared" ca="1" si="69"/>
        <v/>
      </c>
      <c r="L186" s="712" t="str">
        <f t="shared" ca="1" si="70"/>
        <v/>
      </c>
      <c r="M186" s="601" t="str">
        <f t="shared" ca="1" si="58"/>
        <v/>
      </c>
      <c r="N186" s="601" t="str">
        <f t="shared" ca="1" si="59"/>
        <v/>
      </c>
      <c r="O186" s="478" t="str">
        <f t="shared" ca="1" si="60"/>
        <v/>
      </c>
      <c r="P186" s="445" t="str">
        <f t="array" aca="1" ref="P186" ca="1">IF(B186="","",IFERROR(MAX(OFFSET(高値!$E$6,MATCH(TEXT(B186,"0"),TEXT(銘柄管理!$B$6:$B$305,"0"),0)-1,0,1,10)),""))</f>
        <v/>
      </c>
      <c r="Q186" s="445" t="str">
        <f t="array" aca="1" ref="Q186" ca="1">IF(B186="","",IFERROR(MIN(OFFSET(安値!$E$6,MATCH(TEXT(B186,"0"),TEXT(銘柄管理!$B$6:$B$305,"0"),0)-1,0,1,10)),""))</f>
        <v/>
      </c>
      <c r="R186" s="480" t="str">
        <f t="shared" ca="1" si="71"/>
        <v/>
      </c>
      <c r="S186" s="480" t="str">
        <f t="shared" si="72"/>
        <v/>
      </c>
      <c r="T186" s="599" t="str">
        <f t="shared" ca="1" si="61"/>
        <v/>
      </c>
      <c r="U186" s="601" t="str">
        <f t="shared" ca="1" si="62"/>
        <v/>
      </c>
      <c r="V186" s="707" t="str">
        <f t="shared" ca="1" si="73"/>
        <v/>
      </c>
      <c r="W186" s="480" t="str">
        <f t="shared" ca="1" si="63"/>
        <v/>
      </c>
      <c r="X186" s="480" t="str">
        <f t="shared" ca="1" si="64"/>
        <v/>
      </c>
      <c r="Y186" s="488"/>
      <c r="Z186" s="714"/>
      <c r="AD186" s="611"/>
      <c r="AE186" s="603" t="str">
        <f t="shared" si="65"/>
        <v/>
      </c>
      <c r="AF186" s="603"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03"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03" t="str">
        <f t="shared" ca="1" si="66"/>
        <v/>
      </c>
      <c r="AI186" s="603" t="str" cm="1">
        <f t="array" ref="AI186">IFERROR(INDEX(始値!$E$6:$BT$305,MATCH(TEXT($B186,"0"),TEXT(銘柄管理!$B$6:$B$305,"0"),0),MATCH($AE186,始値!$E$3:$BT$3,0)),"")</f>
        <v/>
      </c>
      <c r="AJ186" s="603" t="str">
        <f t="shared" ca="1" si="67"/>
        <v/>
      </c>
      <c r="AK186" s="603" t="str">
        <f t="shared" ca="1" si="68"/>
        <v/>
      </c>
    </row>
    <row r="187" spans="1:37" ht="17.25" customHeight="1">
      <c r="A187" s="625" t="str">
        <f t="shared" si="57"/>
        <v/>
      </c>
      <c r="B187" s="480"/>
      <c r="C187" s="480"/>
      <c r="D187" s="480" t="str" cm="1">
        <f t="array" ref="D187">_xll.RssMarket(B187, "銘柄名称")</f>
        <v/>
      </c>
      <c r="E187" s="721"/>
      <c r="F187" s="702" t="str" cm="1">
        <f t="array" aca="1" ref="F187" ca="1">IFERROR(_xlfn.LET(_xlpm.r,MATCH(TEXT($B187,"0"),TEXT(銘柄管理!$B$6:$B$305,"0"),0),_xlpm.t,MOD(NOW(),1),_xlpm.c,IF($E187=TODAY(),IF(_xlpm.t&gt;=TIME(15,30,0),NA(),1),IF(MATCH($E187,始値!$E$3:$BT$3,0)=1,1,MATCH($E187,始値!$E$3:$BT$3,0)+1)),_xlpm.v,INDEX(始値!$C$6:$BT$305,_xlpm.r,_xlpm.c),IF(N(_xlpm.v)=0,"",_xlpm.v)),"")</f>
        <v/>
      </c>
      <c r="G187" s="480"/>
      <c r="H187" s="480" t="str" cm="1">
        <f t="array" ref="H187">_xll.RssMarket(B187, "現在値")</f>
        <v/>
      </c>
      <c r="I187" s="480" t="str" cm="1">
        <f t="array" ref="I187">_xll.RssMarket(B187, "出来高加重平均")</f>
        <v/>
      </c>
      <c r="J187" s="706" t="str" cm="1">
        <f t="array" ref="J187">_xll.RssMarket($B187, "前日比")</f>
        <v/>
      </c>
      <c r="K187" s="707" t="str">
        <f t="shared" ca="1" si="69"/>
        <v/>
      </c>
      <c r="L187" s="712" t="str">
        <f t="shared" ca="1" si="70"/>
        <v/>
      </c>
      <c r="M187" s="601" t="str">
        <f t="shared" ca="1" si="58"/>
        <v/>
      </c>
      <c r="N187" s="601" t="str">
        <f t="shared" ca="1" si="59"/>
        <v/>
      </c>
      <c r="O187" s="478" t="str">
        <f t="shared" ca="1" si="60"/>
        <v/>
      </c>
      <c r="P187" s="445" t="str">
        <f t="array" aca="1" ref="P187" ca="1">IF(B187="","",IFERROR(MAX(OFFSET(高値!$E$6,MATCH(TEXT(B187,"0"),TEXT(銘柄管理!$B$6:$B$305,"0"),0)-1,0,1,10)),""))</f>
        <v/>
      </c>
      <c r="Q187" s="445" t="str">
        <f t="array" aca="1" ref="Q187" ca="1">IF(B187="","",IFERROR(MIN(OFFSET(安値!$E$6,MATCH(TEXT(B187,"0"),TEXT(銘柄管理!$B$6:$B$305,"0"),0)-1,0,1,10)),""))</f>
        <v/>
      </c>
      <c r="R187" s="480" t="str">
        <f t="shared" ca="1" si="71"/>
        <v/>
      </c>
      <c r="S187" s="480" t="str">
        <f t="shared" si="72"/>
        <v/>
      </c>
      <c r="T187" s="599" t="str">
        <f t="shared" ca="1" si="61"/>
        <v/>
      </c>
      <c r="U187" s="601" t="str">
        <f t="shared" ca="1" si="62"/>
        <v/>
      </c>
      <c r="V187" s="707" t="str">
        <f t="shared" ca="1" si="73"/>
        <v/>
      </c>
      <c r="W187" s="480" t="str">
        <f t="shared" ca="1" si="63"/>
        <v/>
      </c>
      <c r="X187" s="480" t="str">
        <f t="shared" ca="1" si="64"/>
        <v/>
      </c>
      <c r="Y187" s="488"/>
      <c r="Z187" s="714"/>
      <c r="AD187" s="611"/>
      <c r="AE187" s="603" t="str">
        <f t="shared" si="65"/>
        <v/>
      </c>
      <c r="AF187" s="603"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03"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03" t="str">
        <f t="shared" ca="1" si="66"/>
        <v/>
      </c>
      <c r="AI187" s="603" t="str" cm="1">
        <f t="array" ref="AI187">IFERROR(INDEX(始値!$E$6:$BT$305,MATCH(TEXT($B187,"0"),TEXT(銘柄管理!$B$6:$B$305,"0"),0),MATCH($AE187,始値!$E$3:$BT$3,0)),"")</f>
        <v/>
      </c>
      <c r="AJ187" s="603" t="str">
        <f t="shared" ca="1" si="67"/>
        <v/>
      </c>
      <c r="AK187" s="603" t="str">
        <f t="shared" ca="1" si="68"/>
        <v/>
      </c>
    </row>
    <row r="188" spans="1:37" ht="17.25" customHeight="1">
      <c r="A188" s="625" t="str">
        <f t="shared" si="57"/>
        <v/>
      </c>
      <c r="B188" s="480"/>
      <c r="C188" s="480"/>
      <c r="D188" s="480" t="str" cm="1">
        <f t="array" ref="D188">_xll.RssMarket(B188, "銘柄名称")</f>
        <v/>
      </c>
      <c r="E188" s="721"/>
      <c r="F188" s="702" t="str" cm="1">
        <f t="array" aca="1" ref="F188" ca="1">IFERROR(_xlfn.LET(_xlpm.r,MATCH(TEXT($B188,"0"),TEXT(銘柄管理!$B$6:$B$305,"0"),0),_xlpm.t,MOD(NOW(),1),_xlpm.c,IF($E188=TODAY(),IF(_xlpm.t&gt;=TIME(15,30,0),NA(),1),IF(MATCH($E188,始値!$E$3:$BT$3,0)=1,1,MATCH($E188,始値!$E$3:$BT$3,0)+1)),_xlpm.v,INDEX(始値!$C$6:$BT$305,_xlpm.r,_xlpm.c),IF(N(_xlpm.v)=0,"",_xlpm.v)),"")</f>
        <v/>
      </c>
      <c r="G188" s="480"/>
      <c r="H188" s="480" t="str" cm="1">
        <f t="array" ref="H188">_xll.RssMarket(B188, "現在値")</f>
        <v/>
      </c>
      <c r="I188" s="480" t="str" cm="1">
        <f t="array" ref="I188">_xll.RssMarket(B188, "出来高加重平均")</f>
        <v/>
      </c>
      <c r="J188" s="706" t="str" cm="1">
        <f t="array" ref="J188">_xll.RssMarket($B188, "前日比")</f>
        <v/>
      </c>
      <c r="K188" s="707" t="str">
        <f t="shared" ca="1" si="69"/>
        <v/>
      </c>
      <c r="L188" s="712" t="str">
        <f t="shared" ca="1" si="70"/>
        <v/>
      </c>
      <c r="M188" s="601" t="str">
        <f t="shared" ca="1" si="58"/>
        <v/>
      </c>
      <c r="N188" s="601" t="str">
        <f t="shared" ca="1" si="59"/>
        <v/>
      </c>
      <c r="O188" s="478" t="str">
        <f t="shared" ca="1" si="60"/>
        <v/>
      </c>
      <c r="P188" s="445" t="str">
        <f t="array" aca="1" ref="P188" ca="1">IF(B188="","",IFERROR(MAX(OFFSET(高値!$E$6,MATCH(TEXT(B188,"0"),TEXT(銘柄管理!$B$6:$B$305,"0"),0)-1,0,1,10)),""))</f>
        <v/>
      </c>
      <c r="Q188" s="445" t="str">
        <f t="array" aca="1" ref="Q188" ca="1">IF(B188="","",IFERROR(MIN(OFFSET(安値!$E$6,MATCH(TEXT(B188,"0"),TEXT(銘柄管理!$B$6:$B$305,"0"),0)-1,0,1,10)),""))</f>
        <v/>
      </c>
      <c r="R188" s="480" t="str">
        <f t="shared" ca="1" si="71"/>
        <v/>
      </c>
      <c r="S188" s="480" t="str">
        <f t="shared" si="72"/>
        <v/>
      </c>
      <c r="T188" s="599" t="str">
        <f t="shared" ca="1" si="61"/>
        <v/>
      </c>
      <c r="U188" s="601" t="str">
        <f t="shared" ca="1" si="62"/>
        <v/>
      </c>
      <c r="V188" s="707" t="str">
        <f t="shared" ca="1" si="73"/>
        <v/>
      </c>
      <c r="W188" s="480" t="str">
        <f t="shared" ca="1" si="63"/>
        <v/>
      </c>
      <c r="X188" s="480" t="str">
        <f t="shared" ca="1" si="64"/>
        <v/>
      </c>
      <c r="Y188" s="488"/>
      <c r="Z188" s="714"/>
      <c r="AD188" s="611"/>
      <c r="AE188" s="603" t="str">
        <f t="shared" si="65"/>
        <v/>
      </c>
      <c r="AF188" s="603"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03"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03" t="str">
        <f t="shared" ca="1" si="66"/>
        <v/>
      </c>
      <c r="AI188" s="603" t="str" cm="1">
        <f t="array" ref="AI188">IFERROR(INDEX(始値!$E$6:$BT$305,MATCH(TEXT($B188,"0"),TEXT(銘柄管理!$B$6:$B$305,"0"),0),MATCH($AE188,始値!$E$3:$BT$3,0)),"")</f>
        <v/>
      </c>
      <c r="AJ188" s="603" t="str">
        <f t="shared" ca="1" si="67"/>
        <v/>
      </c>
      <c r="AK188" s="603" t="str">
        <f t="shared" ca="1" si="68"/>
        <v/>
      </c>
    </row>
    <row r="189" spans="1:37" ht="17.25" customHeight="1">
      <c r="A189" s="625" t="str">
        <f t="shared" si="57"/>
        <v/>
      </c>
      <c r="B189" s="480"/>
      <c r="C189" s="480"/>
      <c r="D189" s="480" t="str" cm="1">
        <f t="array" ref="D189">_xll.RssMarket(B189, "銘柄名称")</f>
        <v/>
      </c>
      <c r="E189" s="721"/>
      <c r="F189" s="702" t="str" cm="1">
        <f t="array" aca="1" ref="F189" ca="1">IFERROR(_xlfn.LET(_xlpm.r,MATCH(TEXT($B189,"0"),TEXT(銘柄管理!$B$6:$B$305,"0"),0),_xlpm.t,MOD(NOW(),1),_xlpm.c,IF($E189=TODAY(),IF(_xlpm.t&gt;=TIME(15,30,0),NA(),1),IF(MATCH($E189,始値!$E$3:$BT$3,0)=1,1,MATCH($E189,始値!$E$3:$BT$3,0)+1)),_xlpm.v,INDEX(始値!$C$6:$BT$305,_xlpm.r,_xlpm.c),IF(N(_xlpm.v)=0,"",_xlpm.v)),"")</f>
        <v/>
      </c>
      <c r="G189" s="480"/>
      <c r="H189" s="480" t="str" cm="1">
        <f t="array" ref="H189">_xll.RssMarket(B189, "現在値")</f>
        <v/>
      </c>
      <c r="I189" s="480" t="str" cm="1">
        <f t="array" ref="I189">_xll.RssMarket(B189, "出来高加重平均")</f>
        <v/>
      </c>
      <c r="J189" s="706" t="str" cm="1">
        <f t="array" ref="J189">_xll.RssMarket($B189, "前日比")</f>
        <v/>
      </c>
      <c r="K189" s="707" t="str">
        <f t="shared" ca="1" si="69"/>
        <v/>
      </c>
      <c r="L189" s="712" t="str">
        <f t="shared" ca="1" si="70"/>
        <v/>
      </c>
      <c r="M189" s="601" t="str">
        <f t="shared" ca="1" si="58"/>
        <v/>
      </c>
      <c r="N189" s="601" t="str">
        <f t="shared" ca="1" si="59"/>
        <v/>
      </c>
      <c r="O189" s="478" t="str">
        <f t="shared" ca="1" si="60"/>
        <v/>
      </c>
      <c r="P189" s="445" t="str">
        <f t="array" aca="1" ref="P189" ca="1">IF(B189="","",IFERROR(MAX(OFFSET(高値!$E$6,MATCH(TEXT(B189,"0"),TEXT(銘柄管理!$B$6:$B$305,"0"),0)-1,0,1,10)),""))</f>
        <v/>
      </c>
      <c r="Q189" s="445" t="str">
        <f t="array" aca="1" ref="Q189" ca="1">IF(B189="","",IFERROR(MIN(OFFSET(安値!$E$6,MATCH(TEXT(B189,"0"),TEXT(銘柄管理!$B$6:$B$305,"0"),0)-1,0,1,10)),""))</f>
        <v/>
      </c>
      <c r="R189" s="480" t="str">
        <f t="shared" ca="1" si="71"/>
        <v/>
      </c>
      <c r="S189" s="480" t="str">
        <f t="shared" si="72"/>
        <v/>
      </c>
      <c r="T189" s="599" t="str">
        <f t="shared" ca="1" si="61"/>
        <v/>
      </c>
      <c r="U189" s="601" t="str">
        <f t="shared" ca="1" si="62"/>
        <v/>
      </c>
      <c r="V189" s="707" t="str">
        <f t="shared" ca="1" si="73"/>
        <v/>
      </c>
      <c r="W189" s="480" t="str">
        <f t="shared" ca="1" si="63"/>
        <v/>
      </c>
      <c r="X189" s="480" t="str">
        <f t="shared" ca="1" si="64"/>
        <v/>
      </c>
      <c r="Y189" s="488"/>
      <c r="Z189" s="714"/>
      <c r="AD189" s="611"/>
      <c r="AE189" s="603" t="str">
        <f t="shared" si="65"/>
        <v/>
      </c>
      <c r="AF189" s="603"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03"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03" t="str">
        <f t="shared" ca="1" si="66"/>
        <v/>
      </c>
      <c r="AI189" s="603" t="str" cm="1">
        <f t="array" ref="AI189">IFERROR(INDEX(始値!$E$6:$BT$305,MATCH(TEXT($B189,"0"),TEXT(銘柄管理!$B$6:$B$305,"0"),0),MATCH($AE189,始値!$E$3:$BT$3,0)),"")</f>
        <v/>
      </c>
      <c r="AJ189" s="603" t="str">
        <f t="shared" ca="1" si="67"/>
        <v/>
      </c>
      <c r="AK189" s="603" t="str">
        <f t="shared" ca="1" si="68"/>
        <v/>
      </c>
    </row>
    <row r="190" spans="1:37" ht="17.25" customHeight="1">
      <c r="A190" s="625" t="str">
        <f t="shared" si="57"/>
        <v/>
      </c>
      <c r="B190" s="480"/>
      <c r="C190" s="480"/>
      <c r="D190" s="480" t="str" cm="1">
        <f t="array" ref="D190">_xll.RssMarket(B190, "銘柄名称")</f>
        <v/>
      </c>
      <c r="E190" s="721"/>
      <c r="F190" s="702" t="str" cm="1">
        <f t="array" aca="1" ref="F190" ca="1">IFERROR(_xlfn.LET(_xlpm.r,MATCH(TEXT($B190,"0"),TEXT(銘柄管理!$B$6:$B$305,"0"),0),_xlpm.t,MOD(NOW(),1),_xlpm.c,IF($E190=TODAY(),IF(_xlpm.t&gt;=TIME(15,30,0),NA(),1),IF(MATCH($E190,始値!$E$3:$BT$3,0)=1,1,MATCH($E190,始値!$E$3:$BT$3,0)+1)),_xlpm.v,INDEX(始値!$C$6:$BT$305,_xlpm.r,_xlpm.c),IF(N(_xlpm.v)=0,"",_xlpm.v)),"")</f>
        <v/>
      </c>
      <c r="G190" s="480"/>
      <c r="H190" s="480" t="str" cm="1">
        <f t="array" ref="H190">_xll.RssMarket(B190, "現在値")</f>
        <v/>
      </c>
      <c r="I190" s="480" t="str" cm="1">
        <f t="array" ref="I190">_xll.RssMarket(B190, "出来高加重平均")</f>
        <v/>
      </c>
      <c r="J190" s="706" t="str" cm="1">
        <f t="array" ref="J190">_xll.RssMarket($B190, "前日比")</f>
        <v/>
      </c>
      <c r="K190" s="707" t="str">
        <f t="shared" ca="1" si="69"/>
        <v/>
      </c>
      <c r="L190" s="712" t="str">
        <f t="shared" ca="1" si="70"/>
        <v/>
      </c>
      <c r="M190" s="601" t="str">
        <f t="shared" ca="1" si="58"/>
        <v/>
      </c>
      <c r="N190" s="601" t="str">
        <f t="shared" ca="1" si="59"/>
        <v/>
      </c>
      <c r="O190" s="478" t="str">
        <f t="shared" ca="1" si="60"/>
        <v/>
      </c>
      <c r="P190" s="445" t="str">
        <f t="array" aca="1" ref="P190" ca="1">IF(B190="","",IFERROR(MAX(OFFSET(高値!$E$6,MATCH(TEXT(B190,"0"),TEXT(銘柄管理!$B$6:$B$305,"0"),0)-1,0,1,10)),""))</f>
        <v/>
      </c>
      <c r="Q190" s="445" t="str">
        <f t="array" aca="1" ref="Q190" ca="1">IF(B190="","",IFERROR(MIN(OFFSET(安値!$E$6,MATCH(TEXT(B190,"0"),TEXT(銘柄管理!$B$6:$B$305,"0"),0)-1,0,1,10)),""))</f>
        <v/>
      </c>
      <c r="R190" s="480" t="str">
        <f t="shared" ca="1" si="71"/>
        <v/>
      </c>
      <c r="S190" s="480" t="str">
        <f t="shared" si="72"/>
        <v/>
      </c>
      <c r="T190" s="599" t="str">
        <f t="shared" ca="1" si="61"/>
        <v/>
      </c>
      <c r="U190" s="601" t="str">
        <f t="shared" ca="1" si="62"/>
        <v/>
      </c>
      <c r="V190" s="707" t="str">
        <f t="shared" ca="1" si="73"/>
        <v/>
      </c>
      <c r="W190" s="480" t="str">
        <f t="shared" ca="1" si="63"/>
        <v/>
      </c>
      <c r="X190" s="480" t="str">
        <f t="shared" ca="1" si="64"/>
        <v/>
      </c>
      <c r="Y190" s="488"/>
      <c r="Z190" s="714"/>
      <c r="AD190" s="611"/>
      <c r="AE190" s="603" t="str">
        <f t="shared" si="65"/>
        <v/>
      </c>
      <c r="AF190" s="603"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03"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03" t="str">
        <f t="shared" ca="1" si="66"/>
        <v/>
      </c>
      <c r="AI190" s="603" t="str" cm="1">
        <f t="array" ref="AI190">IFERROR(INDEX(始値!$E$6:$BT$305,MATCH(TEXT($B190,"0"),TEXT(銘柄管理!$B$6:$B$305,"0"),0),MATCH($AE190,始値!$E$3:$BT$3,0)),"")</f>
        <v/>
      </c>
      <c r="AJ190" s="603" t="str">
        <f t="shared" ca="1" si="67"/>
        <v/>
      </c>
      <c r="AK190" s="603" t="str">
        <f t="shared" ca="1" si="68"/>
        <v/>
      </c>
    </row>
    <row r="191" spans="1:37" ht="17.25" customHeight="1">
      <c r="A191" s="625" t="str">
        <f t="shared" si="57"/>
        <v/>
      </c>
      <c r="B191" s="480"/>
      <c r="C191" s="480"/>
      <c r="D191" s="480" t="str" cm="1">
        <f t="array" ref="D191">_xll.RssMarket(B191, "銘柄名称")</f>
        <v/>
      </c>
      <c r="E191" s="721"/>
      <c r="F191" s="702" t="str" cm="1">
        <f t="array" aca="1" ref="F191" ca="1">IFERROR(_xlfn.LET(_xlpm.r,MATCH(TEXT($B191,"0"),TEXT(銘柄管理!$B$6:$B$305,"0"),0),_xlpm.t,MOD(NOW(),1),_xlpm.c,IF($E191=TODAY(),IF(_xlpm.t&gt;=TIME(15,30,0),NA(),1),IF(MATCH($E191,始値!$E$3:$BT$3,0)=1,1,MATCH($E191,始値!$E$3:$BT$3,0)+1)),_xlpm.v,INDEX(始値!$C$6:$BT$305,_xlpm.r,_xlpm.c),IF(N(_xlpm.v)=0,"",_xlpm.v)),"")</f>
        <v/>
      </c>
      <c r="G191" s="480"/>
      <c r="H191" s="480" t="str" cm="1">
        <f t="array" ref="H191">_xll.RssMarket(B191, "現在値")</f>
        <v/>
      </c>
      <c r="I191" s="480" t="str" cm="1">
        <f t="array" ref="I191">_xll.RssMarket(B191, "出来高加重平均")</f>
        <v/>
      </c>
      <c r="J191" s="706" t="str" cm="1">
        <f t="array" ref="J191">_xll.RssMarket($B191, "前日比")</f>
        <v/>
      </c>
      <c r="K191" s="707" t="str">
        <f t="shared" ca="1" si="69"/>
        <v/>
      </c>
      <c r="L191" s="712" t="str">
        <f t="shared" ca="1" si="70"/>
        <v/>
      </c>
      <c r="M191" s="601" t="str">
        <f t="shared" ca="1" si="58"/>
        <v/>
      </c>
      <c r="N191" s="601" t="str">
        <f t="shared" ca="1" si="59"/>
        <v/>
      </c>
      <c r="O191" s="478" t="str">
        <f t="shared" ca="1" si="60"/>
        <v/>
      </c>
      <c r="P191" s="445" t="str">
        <f t="array" aca="1" ref="P191" ca="1">IF(B191="","",IFERROR(MAX(OFFSET(高値!$E$6,MATCH(TEXT(B191,"0"),TEXT(銘柄管理!$B$6:$B$305,"0"),0)-1,0,1,10)),""))</f>
        <v/>
      </c>
      <c r="Q191" s="445" t="str">
        <f t="array" aca="1" ref="Q191" ca="1">IF(B191="","",IFERROR(MIN(OFFSET(安値!$E$6,MATCH(TEXT(B191,"0"),TEXT(銘柄管理!$B$6:$B$305,"0"),0)-1,0,1,10)),""))</f>
        <v/>
      </c>
      <c r="R191" s="480" t="str">
        <f t="shared" ca="1" si="71"/>
        <v/>
      </c>
      <c r="S191" s="480" t="str">
        <f t="shared" si="72"/>
        <v/>
      </c>
      <c r="T191" s="599" t="str">
        <f t="shared" ca="1" si="61"/>
        <v/>
      </c>
      <c r="U191" s="601" t="str">
        <f t="shared" ca="1" si="62"/>
        <v/>
      </c>
      <c r="V191" s="707" t="str">
        <f t="shared" ca="1" si="73"/>
        <v/>
      </c>
      <c r="W191" s="480" t="str">
        <f t="shared" ca="1" si="63"/>
        <v/>
      </c>
      <c r="X191" s="480" t="str">
        <f t="shared" ca="1" si="64"/>
        <v/>
      </c>
      <c r="Y191" s="488"/>
      <c r="Z191" s="714"/>
      <c r="AD191" s="611"/>
      <c r="AE191" s="603" t="str">
        <f t="shared" si="65"/>
        <v/>
      </c>
      <c r="AF191" s="603"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03"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03" t="str">
        <f t="shared" ca="1" si="66"/>
        <v/>
      </c>
      <c r="AI191" s="603" t="str" cm="1">
        <f t="array" ref="AI191">IFERROR(INDEX(始値!$E$6:$BT$305,MATCH(TEXT($B191,"0"),TEXT(銘柄管理!$B$6:$B$305,"0"),0),MATCH($AE191,始値!$E$3:$BT$3,0)),"")</f>
        <v/>
      </c>
      <c r="AJ191" s="603" t="str">
        <f t="shared" ca="1" si="67"/>
        <v/>
      </c>
      <c r="AK191" s="603" t="str">
        <f t="shared" ca="1" si="68"/>
        <v/>
      </c>
    </row>
    <row r="192" spans="1:37" ht="17.25" customHeight="1">
      <c r="A192" s="625" t="str">
        <f t="shared" si="57"/>
        <v/>
      </c>
      <c r="B192" s="480"/>
      <c r="C192" s="480"/>
      <c r="D192" s="480" t="str" cm="1">
        <f t="array" ref="D192">_xll.RssMarket(B192, "銘柄名称")</f>
        <v/>
      </c>
      <c r="E192" s="721"/>
      <c r="F192" s="702" t="str" cm="1">
        <f t="array" aca="1" ref="F192" ca="1">IFERROR(_xlfn.LET(_xlpm.r,MATCH(TEXT($B192,"0"),TEXT(銘柄管理!$B$6:$B$305,"0"),0),_xlpm.t,MOD(NOW(),1),_xlpm.c,IF($E192=TODAY(),IF(_xlpm.t&gt;=TIME(15,30,0),NA(),1),IF(MATCH($E192,始値!$E$3:$BT$3,0)=1,1,MATCH($E192,始値!$E$3:$BT$3,0)+1)),_xlpm.v,INDEX(始値!$C$6:$BT$305,_xlpm.r,_xlpm.c),IF(N(_xlpm.v)=0,"",_xlpm.v)),"")</f>
        <v/>
      </c>
      <c r="G192" s="480"/>
      <c r="H192" s="480" t="str" cm="1">
        <f t="array" ref="H192">_xll.RssMarket(B192, "現在値")</f>
        <v/>
      </c>
      <c r="I192" s="480" t="str" cm="1">
        <f t="array" ref="I192">_xll.RssMarket(B192, "出来高加重平均")</f>
        <v/>
      </c>
      <c r="J192" s="706" t="str" cm="1">
        <f t="array" ref="J192">_xll.RssMarket($B192, "前日比")</f>
        <v/>
      </c>
      <c r="K192" s="707" t="str">
        <f t="shared" ca="1" si="69"/>
        <v/>
      </c>
      <c r="L192" s="712" t="str">
        <f t="shared" ca="1" si="70"/>
        <v/>
      </c>
      <c r="M192" s="601" t="str">
        <f t="shared" ca="1" si="58"/>
        <v/>
      </c>
      <c r="N192" s="601" t="str">
        <f t="shared" ca="1" si="59"/>
        <v/>
      </c>
      <c r="O192" s="478" t="str">
        <f t="shared" ca="1" si="60"/>
        <v/>
      </c>
      <c r="P192" s="445" t="str">
        <f t="array" aca="1" ref="P192" ca="1">IF(B192="","",IFERROR(MAX(OFFSET(高値!$E$6,MATCH(TEXT(B192,"0"),TEXT(銘柄管理!$B$6:$B$305,"0"),0)-1,0,1,10)),""))</f>
        <v/>
      </c>
      <c r="Q192" s="445" t="str">
        <f t="array" aca="1" ref="Q192" ca="1">IF(B192="","",IFERROR(MIN(OFFSET(安値!$E$6,MATCH(TEXT(B192,"0"),TEXT(銘柄管理!$B$6:$B$305,"0"),0)-1,0,1,10)),""))</f>
        <v/>
      </c>
      <c r="R192" s="480" t="str">
        <f t="shared" ca="1" si="71"/>
        <v/>
      </c>
      <c r="S192" s="480" t="str">
        <f t="shared" si="72"/>
        <v/>
      </c>
      <c r="T192" s="599" t="str">
        <f t="shared" ca="1" si="61"/>
        <v/>
      </c>
      <c r="U192" s="601" t="str">
        <f t="shared" ca="1" si="62"/>
        <v/>
      </c>
      <c r="V192" s="707" t="str">
        <f t="shared" ca="1" si="73"/>
        <v/>
      </c>
      <c r="W192" s="480" t="str">
        <f t="shared" ca="1" si="63"/>
        <v/>
      </c>
      <c r="X192" s="480" t="str">
        <f t="shared" ca="1" si="64"/>
        <v/>
      </c>
      <c r="Y192" s="488"/>
      <c r="Z192" s="714"/>
      <c r="AD192" s="611"/>
      <c r="AE192" s="603" t="str">
        <f t="shared" si="65"/>
        <v/>
      </c>
      <c r="AF192" s="603"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03"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03" t="str">
        <f t="shared" ca="1" si="66"/>
        <v/>
      </c>
      <c r="AI192" s="603" t="str" cm="1">
        <f t="array" ref="AI192">IFERROR(INDEX(始値!$E$6:$BT$305,MATCH(TEXT($B192,"0"),TEXT(銘柄管理!$B$6:$B$305,"0"),0),MATCH($AE192,始値!$E$3:$BT$3,0)),"")</f>
        <v/>
      </c>
      <c r="AJ192" s="603" t="str">
        <f t="shared" ca="1" si="67"/>
        <v/>
      </c>
      <c r="AK192" s="603" t="str">
        <f t="shared" ca="1" si="68"/>
        <v/>
      </c>
    </row>
    <row r="193" spans="1:37" ht="17.25" customHeight="1">
      <c r="A193" s="625" t="str">
        <f t="shared" si="57"/>
        <v/>
      </c>
      <c r="B193" s="480"/>
      <c r="C193" s="480"/>
      <c r="D193" s="480" t="str" cm="1">
        <f t="array" ref="D193">_xll.RssMarket(B193, "銘柄名称")</f>
        <v/>
      </c>
      <c r="E193" s="721"/>
      <c r="F193" s="702" t="str" cm="1">
        <f t="array" aca="1" ref="F193" ca="1">IFERROR(_xlfn.LET(_xlpm.r,MATCH(TEXT($B193,"0"),TEXT(銘柄管理!$B$6:$B$305,"0"),0),_xlpm.t,MOD(NOW(),1),_xlpm.c,IF($E193=TODAY(),IF(_xlpm.t&gt;=TIME(15,30,0),NA(),1),IF(MATCH($E193,始値!$E$3:$BT$3,0)=1,1,MATCH($E193,始値!$E$3:$BT$3,0)+1)),_xlpm.v,INDEX(始値!$C$6:$BT$305,_xlpm.r,_xlpm.c),IF(N(_xlpm.v)=0,"",_xlpm.v)),"")</f>
        <v/>
      </c>
      <c r="G193" s="480"/>
      <c r="H193" s="480" t="str" cm="1">
        <f t="array" ref="H193">_xll.RssMarket(B193, "現在値")</f>
        <v/>
      </c>
      <c r="I193" s="480" t="str" cm="1">
        <f t="array" ref="I193">_xll.RssMarket(B193, "出来高加重平均")</f>
        <v/>
      </c>
      <c r="J193" s="706" t="str" cm="1">
        <f t="array" ref="J193">_xll.RssMarket($B193, "前日比")</f>
        <v/>
      </c>
      <c r="K193" s="707" t="str">
        <f t="shared" ca="1" si="69"/>
        <v/>
      </c>
      <c r="L193" s="712" t="str">
        <f t="shared" ca="1" si="70"/>
        <v/>
      </c>
      <c r="M193" s="601" t="str">
        <f t="shared" ca="1" si="58"/>
        <v/>
      </c>
      <c r="N193" s="601" t="str">
        <f t="shared" ca="1" si="59"/>
        <v/>
      </c>
      <c r="O193" s="478" t="str">
        <f t="shared" ca="1" si="60"/>
        <v/>
      </c>
      <c r="P193" s="445" t="str">
        <f t="array" aca="1" ref="P193" ca="1">IF(B193="","",IFERROR(MAX(OFFSET(高値!$E$6,MATCH(TEXT(B193,"0"),TEXT(銘柄管理!$B$6:$B$305,"0"),0)-1,0,1,10)),""))</f>
        <v/>
      </c>
      <c r="Q193" s="445" t="str">
        <f t="array" aca="1" ref="Q193" ca="1">IF(B193="","",IFERROR(MIN(OFFSET(安値!$E$6,MATCH(TEXT(B193,"0"),TEXT(銘柄管理!$B$6:$B$305,"0"),0)-1,0,1,10)),""))</f>
        <v/>
      </c>
      <c r="R193" s="480" t="str">
        <f t="shared" ca="1" si="71"/>
        <v/>
      </c>
      <c r="S193" s="480" t="str">
        <f t="shared" si="72"/>
        <v/>
      </c>
      <c r="T193" s="599" t="str">
        <f t="shared" ca="1" si="61"/>
        <v/>
      </c>
      <c r="U193" s="601" t="str">
        <f t="shared" ca="1" si="62"/>
        <v/>
      </c>
      <c r="V193" s="707" t="str">
        <f t="shared" ca="1" si="73"/>
        <v/>
      </c>
      <c r="W193" s="480" t="str">
        <f t="shared" ca="1" si="63"/>
        <v/>
      </c>
      <c r="X193" s="480" t="str">
        <f t="shared" ca="1" si="64"/>
        <v/>
      </c>
      <c r="Y193" s="488"/>
      <c r="Z193" s="714"/>
      <c r="AD193" s="611"/>
      <c r="AE193" s="603" t="str">
        <f t="shared" si="65"/>
        <v/>
      </c>
      <c r="AF193" s="603"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03"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03" t="str">
        <f t="shared" ca="1" si="66"/>
        <v/>
      </c>
      <c r="AI193" s="603" t="str" cm="1">
        <f t="array" ref="AI193">IFERROR(INDEX(始値!$E$6:$BT$305,MATCH(TEXT($B193,"0"),TEXT(銘柄管理!$B$6:$B$305,"0"),0),MATCH($AE193,始値!$E$3:$BT$3,0)),"")</f>
        <v/>
      </c>
      <c r="AJ193" s="603" t="str">
        <f t="shared" ca="1" si="67"/>
        <v/>
      </c>
      <c r="AK193" s="603" t="str">
        <f t="shared" ca="1" si="68"/>
        <v/>
      </c>
    </row>
    <row r="194" spans="1:37" ht="17.25" customHeight="1">
      <c r="A194" s="625" t="str">
        <f t="shared" si="57"/>
        <v/>
      </c>
      <c r="B194" s="480"/>
      <c r="C194" s="480"/>
      <c r="D194" s="480" t="str" cm="1">
        <f t="array" ref="D194">_xll.RssMarket(B194, "銘柄名称")</f>
        <v/>
      </c>
      <c r="E194" s="721"/>
      <c r="F194" s="702" t="str" cm="1">
        <f t="array" aca="1" ref="F194" ca="1">IFERROR(_xlfn.LET(_xlpm.r,MATCH(TEXT($B194,"0"),TEXT(銘柄管理!$B$6:$B$305,"0"),0),_xlpm.t,MOD(NOW(),1),_xlpm.c,IF($E194=TODAY(),IF(_xlpm.t&gt;=TIME(15,30,0),NA(),1),IF(MATCH($E194,始値!$E$3:$BT$3,0)=1,1,MATCH($E194,始値!$E$3:$BT$3,0)+1)),_xlpm.v,INDEX(始値!$C$6:$BT$305,_xlpm.r,_xlpm.c),IF(N(_xlpm.v)=0,"",_xlpm.v)),"")</f>
        <v/>
      </c>
      <c r="G194" s="480"/>
      <c r="H194" s="480" t="str" cm="1">
        <f t="array" ref="H194">_xll.RssMarket(B194, "現在値")</f>
        <v/>
      </c>
      <c r="I194" s="480" t="str" cm="1">
        <f t="array" ref="I194">_xll.RssMarket(B194, "出来高加重平均")</f>
        <v/>
      </c>
      <c r="J194" s="706" t="str" cm="1">
        <f t="array" ref="J194">_xll.RssMarket($B194, "前日比")</f>
        <v/>
      </c>
      <c r="K194" s="707" t="str">
        <f t="shared" ca="1" si="69"/>
        <v/>
      </c>
      <c r="L194" s="712" t="str">
        <f t="shared" ca="1" si="70"/>
        <v/>
      </c>
      <c r="M194" s="601" t="str">
        <f t="shared" ca="1" si="58"/>
        <v/>
      </c>
      <c r="N194" s="601" t="str">
        <f t="shared" ca="1" si="59"/>
        <v/>
      </c>
      <c r="O194" s="478" t="str">
        <f t="shared" ca="1" si="60"/>
        <v/>
      </c>
      <c r="P194" s="445" t="str">
        <f t="array" aca="1" ref="P194" ca="1">IF(B194="","",IFERROR(MAX(OFFSET(高値!$E$6,MATCH(TEXT(B194,"0"),TEXT(銘柄管理!$B$6:$B$305,"0"),0)-1,0,1,10)),""))</f>
        <v/>
      </c>
      <c r="Q194" s="445" t="str">
        <f t="array" aca="1" ref="Q194" ca="1">IF(B194="","",IFERROR(MIN(OFFSET(安値!$E$6,MATCH(TEXT(B194,"0"),TEXT(銘柄管理!$B$6:$B$305,"0"),0)-1,0,1,10)),""))</f>
        <v/>
      </c>
      <c r="R194" s="480" t="str">
        <f t="shared" ca="1" si="71"/>
        <v/>
      </c>
      <c r="S194" s="480" t="str">
        <f t="shared" si="72"/>
        <v/>
      </c>
      <c r="T194" s="599" t="str">
        <f t="shared" ca="1" si="61"/>
        <v/>
      </c>
      <c r="U194" s="601" t="str">
        <f t="shared" ca="1" si="62"/>
        <v/>
      </c>
      <c r="V194" s="707" t="str">
        <f t="shared" ca="1" si="73"/>
        <v/>
      </c>
      <c r="W194" s="480" t="str">
        <f t="shared" ca="1" si="63"/>
        <v/>
      </c>
      <c r="X194" s="480" t="str">
        <f t="shared" ca="1" si="64"/>
        <v/>
      </c>
      <c r="Y194" s="488"/>
      <c r="Z194" s="714"/>
      <c r="AD194" s="611"/>
      <c r="AE194" s="603" t="str">
        <f t="shared" si="65"/>
        <v/>
      </c>
      <c r="AF194" s="603"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03"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03" t="str">
        <f t="shared" ca="1" si="66"/>
        <v/>
      </c>
      <c r="AI194" s="603" t="str" cm="1">
        <f t="array" ref="AI194">IFERROR(INDEX(始値!$E$6:$BT$305,MATCH(TEXT($B194,"0"),TEXT(銘柄管理!$B$6:$B$305,"0"),0),MATCH($AE194,始値!$E$3:$BT$3,0)),"")</f>
        <v/>
      </c>
      <c r="AJ194" s="603" t="str">
        <f t="shared" ca="1" si="67"/>
        <v/>
      </c>
      <c r="AK194" s="603" t="str">
        <f t="shared" ca="1" si="68"/>
        <v/>
      </c>
    </row>
    <row r="195" spans="1:37" ht="17.25" customHeight="1">
      <c r="A195" s="625" t="str">
        <f t="shared" si="57"/>
        <v/>
      </c>
      <c r="B195" s="480"/>
      <c r="C195" s="480"/>
      <c r="D195" s="480" t="str" cm="1">
        <f t="array" ref="D195">_xll.RssMarket(B195, "銘柄名称")</f>
        <v/>
      </c>
      <c r="E195" s="721"/>
      <c r="F195" s="702" t="str" cm="1">
        <f t="array" aca="1" ref="F195" ca="1">IFERROR(_xlfn.LET(_xlpm.r,MATCH(TEXT($B195,"0"),TEXT(銘柄管理!$B$6:$B$305,"0"),0),_xlpm.t,MOD(NOW(),1),_xlpm.c,IF($E195=TODAY(),IF(_xlpm.t&gt;=TIME(15,30,0),NA(),1),IF(MATCH($E195,始値!$E$3:$BT$3,0)=1,1,MATCH($E195,始値!$E$3:$BT$3,0)+1)),_xlpm.v,INDEX(始値!$C$6:$BT$305,_xlpm.r,_xlpm.c),IF(N(_xlpm.v)=0,"",_xlpm.v)),"")</f>
        <v/>
      </c>
      <c r="G195" s="480"/>
      <c r="H195" s="480" t="str" cm="1">
        <f t="array" ref="H195">_xll.RssMarket(B195, "現在値")</f>
        <v/>
      </c>
      <c r="I195" s="480" t="str" cm="1">
        <f t="array" ref="I195">_xll.RssMarket(B195, "出来高加重平均")</f>
        <v/>
      </c>
      <c r="J195" s="706" t="str" cm="1">
        <f t="array" ref="J195">_xll.RssMarket($B195, "前日比")</f>
        <v/>
      </c>
      <c r="K195" s="707" t="str">
        <f t="shared" ca="1" si="69"/>
        <v/>
      </c>
      <c r="L195" s="712" t="str">
        <f t="shared" ca="1" si="70"/>
        <v/>
      </c>
      <c r="M195" s="601" t="str">
        <f t="shared" ca="1" si="58"/>
        <v/>
      </c>
      <c r="N195" s="601" t="str">
        <f t="shared" ca="1" si="59"/>
        <v/>
      </c>
      <c r="O195" s="478" t="str">
        <f t="shared" ca="1" si="60"/>
        <v/>
      </c>
      <c r="P195" s="445" t="str">
        <f t="array" aca="1" ref="P195" ca="1">IF(B195="","",IFERROR(MAX(OFFSET(高値!$E$6,MATCH(TEXT(B195,"0"),TEXT(銘柄管理!$B$6:$B$305,"0"),0)-1,0,1,10)),""))</f>
        <v/>
      </c>
      <c r="Q195" s="445" t="str">
        <f t="array" aca="1" ref="Q195" ca="1">IF(B195="","",IFERROR(MIN(OFFSET(安値!$E$6,MATCH(TEXT(B195,"0"),TEXT(銘柄管理!$B$6:$B$305,"0"),0)-1,0,1,10)),""))</f>
        <v/>
      </c>
      <c r="R195" s="480" t="str">
        <f t="shared" ca="1" si="71"/>
        <v/>
      </c>
      <c r="S195" s="480" t="str">
        <f t="shared" si="72"/>
        <v/>
      </c>
      <c r="T195" s="599" t="str">
        <f t="shared" ca="1" si="61"/>
        <v/>
      </c>
      <c r="U195" s="601" t="str">
        <f t="shared" ca="1" si="62"/>
        <v/>
      </c>
      <c r="V195" s="707" t="str">
        <f t="shared" ca="1" si="73"/>
        <v/>
      </c>
      <c r="W195" s="480" t="str">
        <f t="shared" ca="1" si="63"/>
        <v/>
      </c>
      <c r="X195" s="480" t="str">
        <f t="shared" ca="1" si="64"/>
        <v/>
      </c>
      <c r="Y195" s="488"/>
      <c r="Z195" s="714"/>
      <c r="AD195" s="611"/>
      <c r="AE195" s="603" t="str">
        <f t="shared" si="65"/>
        <v/>
      </c>
      <c r="AF195" s="603"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03"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03" t="str">
        <f t="shared" ca="1" si="66"/>
        <v/>
      </c>
      <c r="AI195" s="603" t="str" cm="1">
        <f t="array" ref="AI195">IFERROR(INDEX(始値!$E$6:$BT$305,MATCH(TEXT($B195,"0"),TEXT(銘柄管理!$B$6:$B$305,"0"),0),MATCH($AE195,始値!$E$3:$BT$3,0)),"")</f>
        <v/>
      </c>
      <c r="AJ195" s="603" t="str">
        <f t="shared" ca="1" si="67"/>
        <v/>
      </c>
      <c r="AK195" s="603" t="str">
        <f t="shared" ca="1" si="68"/>
        <v/>
      </c>
    </row>
    <row r="196" spans="1:37" ht="17.25" customHeight="1">
      <c r="A196" s="625" t="str">
        <f t="shared" ref="A196:A259" si="74">IF(B196="","",HYPERLINK("https://kabutan.jp/stock/?code="&amp;B196,"株探"))</f>
        <v/>
      </c>
      <c r="B196" s="480"/>
      <c r="C196" s="480"/>
      <c r="D196" s="480" t="str" cm="1">
        <f t="array" ref="D196">_xll.RssMarket(B196, "銘柄名称")</f>
        <v/>
      </c>
      <c r="E196" s="721"/>
      <c r="F196" s="702" t="str" cm="1">
        <f t="array" aca="1" ref="F196" ca="1">IFERROR(_xlfn.LET(_xlpm.r,MATCH(TEXT($B196,"0"),TEXT(銘柄管理!$B$6:$B$305,"0"),0),_xlpm.t,MOD(NOW(),1),_xlpm.c,IF($E196=TODAY(),IF(_xlpm.t&gt;=TIME(15,30,0),NA(),1),IF(MATCH($E196,始値!$E$3:$BT$3,0)=1,1,MATCH($E196,始値!$E$3:$BT$3,0)+1)),_xlpm.v,INDEX(始値!$C$6:$BT$305,_xlpm.r,_xlpm.c),IF(N(_xlpm.v)=0,"",_xlpm.v)),"")</f>
        <v/>
      </c>
      <c r="G196" s="480"/>
      <c r="H196" s="480" t="str" cm="1">
        <f t="array" ref="H196">_xll.RssMarket(B196, "現在値")</f>
        <v/>
      </c>
      <c r="I196" s="480" t="str" cm="1">
        <f t="array" ref="I196">_xll.RssMarket(B196, "出来高加重平均")</f>
        <v/>
      </c>
      <c r="J196" s="706" t="str" cm="1">
        <f t="array" ref="J196">_xll.RssMarket($B196, "前日比")</f>
        <v/>
      </c>
      <c r="K196" s="707" t="str">
        <f t="shared" ca="1" si="69"/>
        <v/>
      </c>
      <c r="L196" s="712" t="str">
        <f t="shared" ca="1" si="70"/>
        <v/>
      </c>
      <c r="M196" s="601" t="str">
        <f t="shared" ca="1" si="58"/>
        <v/>
      </c>
      <c r="N196" s="601" t="str">
        <f t="shared" ca="1" si="59"/>
        <v/>
      </c>
      <c r="O196" s="478" t="str">
        <f t="shared" ca="1" si="60"/>
        <v/>
      </c>
      <c r="P196" s="445" t="str">
        <f t="array" aca="1" ref="P196" ca="1">IF(B196="","",IFERROR(MAX(OFFSET(高値!$E$6,MATCH(TEXT(B196,"0"),TEXT(銘柄管理!$B$6:$B$305,"0"),0)-1,0,1,10)),""))</f>
        <v/>
      </c>
      <c r="Q196" s="445" t="str">
        <f t="array" aca="1" ref="Q196" ca="1">IF(B196="","",IFERROR(MIN(OFFSET(安値!$E$6,MATCH(TEXT(B196,"0"),TEXT(銘柄管理!$B$6:$B$305,"0"),0)-1,0,1,10)),""))</f>
        <v/>
      </c>
      <c r="R196" s="480" t="str">
        <f t="shared" ca="1" si="71"/>
        <v/>
      </c>
      <c r="S196" s="480" t="str">
        <f t="shared" si="72"/>
        <v/>
      </c>
      <c r="T196" s="599" t="str">
        <f t="shared" ca="1" si="61"/>
        <v/>
      </c>
      <c r="U196" s="601" t="str">
        <f t="shared" ca="1" si="62"/>
        <v/>
      </c>
      <c r="V196" s="707" t="str">
        <f t="shared" ca="1" si="73"/>
        <v/>
      </c>
      <c r="W196" s="480" t="str">
        <f t="shared" ca="1" si="63"/>
        <v/>
      </c>
      <c r="X196" s="480" t="str">
        <f t="shared" ca="1" si="64"/>
        <v/>
      </c>
      <c r="Y196" s="488"/>
      <c r="Z196" s="714"/>
      <c r="AD196" s="611"/>
      <c r="AE196" s="603" t="str">
        <f t="shared" si="65"/>
        <v/>
      </c>
      <c r="AF196" s="603"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03"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03" t="str">
        <f t="shared" ca="1" si="66"/>
        <v/>
      </c>
      <c r="AI196" s="603" t="str" cm="1">
        <f t="array" ref="AI196">IFERROR(INDEX(始値!$E$6:$BT$305,MATCH(TEXT($B196,"0"),TEXT(銘柄管理!$B$6:$B$305,"0"),0),MATCH($AE196,始値!$E$3:$BT$3,0)),"")</f>
        <v/>
      </c>
      <c r="AJ196" s="603" t="str">
        <f t="shared" ca="1" si="67"/>
        <v/>
      </c>
      <c r="AK196" s="603" t="str">
        <f t="shared" ca="1" si="68"/>
        <v/>
      </c>
    </row>
    <row r="197" spans="1:37" ht="17.25" customHeight="1">
      <c r="A197" s="625" t="str">
        <f t="shared" si="74"/>
        <v/>
      </c>
      <c r="B197" s="480"/>
      <c r="C197" s="480"/>
      <c r="D197" s="480" t="str" cm="1">
        <f t="array" ref="D197">_xll.RssMarket(B197, "銘柄名称")</f>
        <v/>
      </c>
      <c r="E197" s="721"/>
      <c r="F197" s="702" t="str" cm="1">
        <f t="array" aca="1" ref="F197" ca="1">IFERROR(_xlfn.LET(_xlpm.r,MATCH(TEXT($B197,"0"),TEXT(銘柄管理!$B$6:$B$305,"0"),0),_xlpm.t,MOD(NOW(),1),_xlpm.c,IF($E197=TODAY(),IF(_xlpm.t&gt;=TIME(15,30,0),NA(),1),IF(MATCH($E197,始値!$E$3:$BT$3,0)=1,1,MATCH($E197,始値!$E$3:$BT$3,0)+1)),_xlpm.v,INDEX(始値!$C$6:$BT$305,_xlpm.r,_xlpm.c),IF(N(_xlpm.v)=0,"",_xlpm.v)),"")</f>
        <v/>
      </c>
      <c r="G197" s="480"/>
      <c r="H197" s="480" t="str" cm="1">
        <f t="array" ref="H197">_xll.RssMarket(B197, "現在値")</f>
        <v/>
      </c>
      <c r="I197" s="480" t="str" cm="1">
        <f t="array" ref="I197">_xll.RssMarket(B197, "出来高加重平均")</f>
        <v/>
      </c>
      <c r="J197" s="706" t="str" cm="1">
        <f t="array" ref="J197">_xll.RssMarket($B197, "前日比")</f>
        <v/>
      </c>
      <c r="K197" s="707" t="str">
        <f t="shared" ca="1" si="69"/>
        <v/>
      </c>
      <c r="L197" s="712" t="str">
        <f t="shared" ca="1" si="70"/>
        <v/>
      </c>
      <c r="M197" s="601" t="str">
        <f t="shared" ref="M197:M260" ca="1" si="75">IF($F197="","",ROUND(IF($C197="売",$F197*0.94,$F197*1.06),0))</f>
        <v/>
      </c>
      <c r="N197" s="601" t="str">
        <f t="shared" ref="N197:N260" ca="1" si="76">IF($F197="","",ROUND(IF($C197="売",$F197*1.04,$F197*0.96),0))</f>
        <v/>
      </c>
      <c r="O197" s="478" t="str">
        <f t="shared" ref="O197:O260" ca="1" si="77">IF(OR($B197="",$F197="",$H197=""),"",IF($C197="売",IF($H197&lt;=$M197,"🟢利確",IF($H197&lt;=$F197*0.95,"🟡利確&amp;TR STOP検討",IF($H197&gt;=$N197,"🔴損切",IF($H197&gt;=$F197*1.035,"🔴損切間近",IF($H197&gt;=$F197*1.03,"⚠️+3%注意","保持継続"))))),IF($H197&gt;=$M197,"🟢利確",IF($H197&gt;=$F197*1.05,"🟡利確&amp;TR STOP検討",IF($H197&lt;=$N197,"🔴損切",IF($H197&lt;=$F197*0.965,"🔴損切間近",IF($H197&lt;=$F197*0.97,"⚠️-3%注意","保持継続")))))))</f>
        <v/>
      </c>
      <c r="P197" s="445" t="str">
        <f t="array" aca="1" ref="P197" ca="1">IF(B197="","",IFERROR(MAX(OFFSET(高値!$E$6,MATCH(TEXT(B197,"0"),TEXT(銘柄管理!$B$6:$B$305,"0"),0)-1,0,1,10)),""))</f>
        <v/>
      </c>
      <c r="Q197" s="445" t="str">
        <f t="array" aca="1" ref="Q197" ca="1">IF(B197="","",IFERROR(MIN(OFFSET(安値!$E$6,MATCH(TEXT(B197,"0"),TEXT(銘柄管理!$B$6:$B$305,"0"),0)-1,0,1,10)),""))</f>
        <v/>
      </c>
      <c r="R197" s="480" t="str">
        <f t="shared" ca="1" si="71"/>
        <v/>
      </c>
      <c r="S197" s="480" t="str">
        <f t="shared" si="72"/>
        <v/>
      </c>
      <c r="T197" s="599" t="str">
        <f t="shared" ref="T197:T260" ca="1" si="78">IF(OR($AH197="",$AH197="保有中"),"",IF($AH197="日数制限",$AE197,IF($AH197="損切確定",IF(N($AG197)=0,TODAY(),$AG197),IF(N($AF197)=0,TODAY(),$AF197))))</f>
        <v/>
      </c>
      <c r="U197" s="601" t="str">
        <f t="shared" ref="U197:U260" ca="1" si="79">IF(OR($AH197="",$AH197="保有中"),"",ROUND(IF($AH197="日数制限",$AI197,IF($AH197="利益確定",$M197,$N197)),0))</f>
        <v/>
      </c>
      <c r="V197" s="707" t="str">
        <f t="shared" ca="1" si="73"/>
        <v/>
      </c>
      <c r="W197" s="480" t="str">
        <f t="shared" ref="W197:W260" ca="1" si="80">IF(OR($E197="",$B197=""),"",IF($T197&lt;&gt;"",$T197-$E197,TODAY()-$E197)+1)</f>
        <v/>
      </c>
      <c r="X197" s="480" t="str">
        <f t="shared" ref="X197:X260" ca="1" si="81">IF(OR($AH197="",$AH197="保有中"),"",$AH197)</f>
        <v/>
      </c>
      <c r="Y197" s="488"/>
      <c r="Z197" s="714"/>
      <c r="AD197" s="611"/>
      <c r="AE197" s="603" t="str">
        <f t="shared" ref="AE197:AE260" si="82">IF($E197="","",WORKDAY($E197,12))</f>
        <v/>
      </c>
      <c r="AF197" s="603"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03"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03" t="str">
        <f t="shared" ref="AH197:AH260" ca="1" si="83">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3" t="str" cm="1">
        <f t="array" ref="AI197">IFERROR(INDEX(始値!$E$6:$BT$305,MATCH(TEXT($B197,"0"),TEXT(銘柄管理!$B$6:$B$305,"0"),0),MATCH($AE197,始値!$E$3:$BT$3,0)),"")</f>
        <v/>
      </c>
      <c r="AJ197" s="603" t="str">
        <f t="shared" ref="AJ197:AJ260" ca="1" si="84">IF(OR($V197="",$F197="",$G197=""),"",$V197/($F197*$G197))</f>
        <v/>
      </c>
      <c r="AK197" s="603" t="str">
        <f t="shared" ref="AK197:AK260" ca="1" si="85">IF($V197="","",IF($V197&gt;0,"○勝",IF($V197&lt;0,"●負","△引分")))</f>
        <v/>
      </c>
    </row>
    <row r="198" spans="1:37" ht="17.25" customHeight="1">
      <c r="A198" s="625" t="str">
        <f t="shared" si="74"/>
        <v/>
      </c>
      <c r="B198" s="480"/>
      <c r="C198" s="480"/>
      <c r="D198" s="480" t="str" cm="1">
        <f t="array" ref="D198">_xll.RssMarket(B198, "銘柄名称")</f>
        <v/>
      </c>
      <c r="E198" s="721"/>
      <c r="F198" s="702" t="str" cm="1">
        <f t="array" aca="1" ref="F198" ca="1">IFERROR(_xlfn.LET(_xlpm.r,MATCH(TEXT($B198,"0"),TEXT(銘柄管理!$B$6:$B$305,"0"),0),_xlpm.t,MOD(NOW(),1),_xlpm.c,IF($E198=TODAY(),IF(_xlpm.t&gt;=TIME(15,30,0),NA(),1),IF(MATCH($E198,始値!$E$3:$BT$3,0)=1,1,MATCH($E198,始値!$E$3:$BT$3,0)+1)),_xlpm.v,INDEX(始値!$C$6:$BT$305,_xlpm.r,_xlpm.c),IF(N(_xlpm.v)=0,"",_xlpm.v)),"")</f>
        <v/>
      </c>
      <c r="G198" s="480"/>
      <c r="H198" s="480" t="str" cm="1">
        <f t="array" ref="H198">_xll.RssMarket(B198, "現在値")</f>
        <v/>
      </c>
      <c r="I198" s="480" t="str" cm="1">
        <f t="array" ref="I198">_xll.RssMarket(B198, "出来高加重平均")</f>
        <v/>
      </c>
      <c r="J198" s="706" t="str" cm="1">
        <f t="array" ref="J198">_xll.RssMarket($B198, "前日比")</f>
        <v/>
      </c>
      <c r="K198" s="707" t="str">
        <f t="shared" ca="1" si="69"/>
        <v/>
      </c>
      <c r="L198" s="712" t="str">
        <f t="shared" ca="1" si="70"/>
        <v/>
      </c>
      <c r="M198" s="601" t="str">
        <f t="shared" ca="1" si="75"/>
        <v/>
      </c>
      <c r="N198" s="601" t="str">
        <f t="shared" ca="1" si="76"/>
        <v/>
      </c>
      <c r="O198" s="478" t="str">
        <f t="shared" ca="1" si="77"/>
        <v/>
      </c>
      <c r="P198" s="445" t="str">
        <f t="array" aca="1" ref="P198" ca="1">IF(B198="","",IFERROR(MAX(OFFSET(高値!$E$6,MATCH(TEXT(B198,"0"),TEXT(銘柄管理!$B$6:$B$305,"0"),0)-1,0,1,10)),""))</f>
        <v/>
      </c>
      <c r="Q198" s="445" t="str">
        <f t="array" aca="1" ref="Q198" ca="1">IF(B198="","",IFERROR(MIN(OFFSET(安値!$E$6,MATCH(TEXT(B198,"0"),TEXT(銘柄管理!$B$6:$B$305,"0"),0)-1,0,1,10)),""))</f>
        <v/>
      </c>
      <c r="R198" s="480" t="str">
        <f t="shared" ca="1" si="71"/>
        <v/>
      </c>
      <c r="S198" s="480" t="str">
        <f t="shared" si="72"/>
        <v/>
      </c>
      <c r="T198" s="599" t="str">
        <f t="shared" ca="1" si="78"/>
        <v/>
      </c>
      <c r="U198" s="601" t="str">
        <f t="shared" ca="1" si="79"/>
        <v/>
      </c>
      <c r="V198" s="707" t="str">
        <f t="shared" ca="1" si="73"/>
        <v/>
      </c>
      <c r="W198" s="480" t="str">
        <f t="shared" ca="1" si="80"/>
        <v/>
      </c>
      <c r="X198" s="480" t="str">
        <f t="shared" ca="1" si="81"/>
        <v/>
      </c>
      <c r="Y198" s="488"/>
      <c r="Z198" s="714"/>
      <c r="AD198" s="611"/>
      <c r="AE198" s="603" t="str">
        <f t="shared" si="82"/>
        <v/>
      </c>
      <c r="AF198" s="603"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03"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03" t="str">
        <f t="shared" ca="1" si="83"/>
        <v/>
      </c>
      <c r="AI198" s="603" t="str" cm="1">
        <f t="array" ref="AI198">IFERROR(INDEX(始値!$E$6:$BT$305,MATCH(TEXT($B198,"0"),TEXT(銘柄管理!$B$6:$B$305,"0"),0),MATCH($AE198,始値!$E$3:$BT$3,0)),"")</f>
        <v/>
      </c>
      <c r="AJ198" s="603" t="str">
        <f t="shared" ca="1" si="84"/>
        <v/>
      </c>
      <c r="AK198" s="603" t="str">
        <f t="shared" ca="1" si="85"/>
        <v/>
      </c>
    </row>
    <row r="199" spans="1:37" ht="17.25" customHeight="1">
      <c r="A199" s="625" t="str">
        <f t="shared" si="74"/>
        <v/>
      </c>
      <c r="B199" s="480"/>
      <c r="C199" s="480"/>
      <c r="D199" s="480" t="str" cm="1">
        <f t="array" ref="D199">_xll.RssMarket(B199, "銘柄名称")</f>
        <v/>
      </c>
      <c r="E199" s="721"/>
      <c r="F199" s="702" t="str" cm="1">
        <f t="array" aca="1" ref="F199" ca="1">IFERROR(_xlfn.LET(_xlpm.r,MATCH(TEXT($B199,"0"),TEXT(銘柄管理!$B$6:$B$305,"0"),0),_xlpm.t,MOD(NOW(),1),_xlpm.c,IF($E199=TODAY(),IF(_xlpm.t&gt;=TIME(15,30,0),NA(),1),IF(MATCH($E199,始値!$E$3:$BT$3,0)=1,1,MATCH($E199,始値!$E$3:$BT$3,0)+1)),_xlpm.v,INDEX(始値!$C$6:$BT$305,_xlpm.r,_xlpm.c),IF(N(_xlpm.v)=0,"",_xlpm.v)),"")</f>
        <v/>
      </c>
      <c r="G199" s="480"/>
      <c r="H199" s="480" t="str" cm="1">
        <f t="array" ref="H199">_xll.RssMarket(B199, "現在値")</f>
        <v/>
      </c>
      <c r="I199" s="480" t="str" cm="1">
        <f t="array" ref="I199">_xll.RssMarket(B199, "出来高加重平均")</f>
        <v/>
      </c>
      <c r="J199" s="706" t="str" cm="1">
        <f t="array" ref="J199">_xll.RssMarket($B199, "前日比")</f>
        <v/>
      </c>
      <c r="K199" s="707" t="str">
        <f t="shared" ca="1" si="69"/>
        <v/>
      </c>
      <c r="L199" s="712" t="str">
        <f t="shared" ca="1" si="70"/>
        <v/>
      </c>
      <c r="M199" s="601" t="str">
        <f t="shared" ca="1" si="75"/>
        <v/>
      </c>
      <c r="N199" s="601" t="str">
        <f t="shared" ca="1" si="76"/>
        <v/>
      </c>
      <c r="O199" s="478" t="str">
        <f t="shared" ca="1" si="77"/>
        <v/>
      </c>
      <c r="P199" s="445" t="str">
        <f t="array" aca="1" ref="P199" ca="1">IF(B199="","",IFERROR(MAX(OFFSET(高値!$E$6,MATCH(TEXT(B199,"0"),TEXT(銘柄管理!$B$6:$B$305,"0"),0)-1,0,1,10)),""))</f>
        <v/>
      </c>
      <c r="Q199" s="445" t="str">
        <f t="array" aca="1" ref="Q199" ca="1">IF(B199="","",IFERROR(MIN(OFFSET(安値!$E$6,MATCH(TEXT(B199,"0"),TEXT(銘柄管理!$B$6:$B$305,"0"),0)-1,0,1,10)),""))</f>
        <v/>
      </c>
      <c r="R199" s="480" t="str">
        <f t="shared" ca="1" si="71"/>
        <v/>
      </c>
      <c r="S199" s="480" t="str">
        <f t="shared" si="72"/>
        <v/>
      </c>
      <c r="T199" s="599" t="str">
        <f t="shared" ca="1" si="78"/>
        <v/>
      </c>
      <c r="U199" s="601" t="str">
        <f t="shared" ca="1" si="79"/>
        <v/>
      </c>
      <c r="V199" s="707" t="str">
        <f t="shared" ca="1" si="73"/>
        <v/>
      </c>
      <c r="W199" s="480" t="str">
        <f t="shared" ca="1" si="80"/>
        <v/>
      </c>
      <c r="X199" s="480" t="str">
        <f t="shared" ca="1" si="81"/>
        <v/>
      </c>
      <c r="Y199" s="488"/>
      <c r="Z199" s="714"/>
      <c r="AD199" s="611"/>
      <c r="AE199" s="603" t="str">
        <f t="shared" si="82"/>
        <v/>
      </c>
      <c r="AF199" s="603"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03"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03" t="str">
        <f t="shared" ca="1" si="83"/>
        <v/>
      </c>
      <c r="AI199" s="603" t="str" cm="1">
        <f t="array" ref="AI199">IFERROR(INDEX(始値!$E$6:$BT$305,MATCH(TEXT($B199,"0"),TEXT(銘柄管理!$B$6:$B$305,"0"),0),MATCH($AE199,始値!$E$3:$BT$3,0)),"")</f>
        <v/>
      </c>
      <c r="AJ199" s="603" t="str">
        <f t="shared" ca="1" si="84"/>
        <v/>
      </c>
      <c r="AK199" s="603" t="str">
        <f t="shared" ca="1" si="85"/>
        <v/>
      </c>
    </row>
    <row r="200" spans="1:37" ht="17.25" customHeight="1">
      <c r="A200" s="625" t="str">
        <f t="shared" si="74"/>
        <v/>
      </c>
      <c r="B200" s="480"/>
      <c r="C200" s="480"/>
      <c r="D200" s="480" t="str" cm="1">
        <f t="array" ref="D200">_xll.RssMarket(B200, "銘柄名称")</f>
        <v/>
      </c>
      <c r="E200" s="721"/>
      <c r="F200" s="702" t="str" cm="1">
        <f t="array" aca="1" ref="F200" ca="1">IFERROR(_xlfn.LET(_xlpm.r,MATCH(TEXT($B200,"0"),TEXT(銘柄管理!$B$6:$B$305,"0"),0),_xlpm.t,MOD(NOW(),1),_xlpm.c,IF($E200=TODAY(),IF(_xlpm.t&gt;=TIME(15,30,0),NA(),1),IF(MATCH($E200,始値!$E$3:$BT$3,0)=1,1,MATCH($E200,始値!$E$3:$BT$3,0)+1)),_xlpm.v,INDEX(始値!$C$6:$BT$305,_xlpm.r,_xlpm.c),IF(N(_xlpm.v)=0,"",_xlpm.v)),"")</f>
        <v/>
      </c>
      <c r="G200" s="480"/>
      <c r="H200" s="480" t="str" cm="1">
        <f t="array" ref="H200">_xll.RssMarket(B200, "現在値")</f>
        <v/>
      </c>
      <c r="I200" s="480" t="str" cm="1">
        <f t="array" ref="I200">_xll.RssMarket(B200, "出来高加重平均")</f>
        <v/>
      </c>
      <c r="J200" s="706" t="str" cm="1">
        <f t="array" ref="J200">_xll.RssMarket($B200, "前日比")</f>
        <v/>
      </c>
      <c r="K200" s="707" t="str">
        <f t="shared" ca="1" si="69"/>
        <v/>
      </c>
      <c r="L200" s="712" t="str">
        <f t="shared" ca="1" si="70"/>
        <v/>
      </c>
      <c r="M200" s="601" t="str">
        <f t="shared" ca="1" si="75"/>
        <v/>
      </c>
      <c r="N200" s="601" t="str">
        <f t="shared" ca="1" si="76"/>
        <v/>
      </c>
      <c r="O200" s="478" t="str">
        <f t="shared" ca="1" si="77"/>
        <v/>
      </c>
      <c r="P200" s="445" t="str">
        <f t="array" aca="1" ref="P200" ca="1">IF(B200="","",IFERROR(MAX(OFFSET(高値!$E$6,MATCH(TEXT(B200,"0"),TEXT(銘柄管理!$B$6:$B$305,"0"),0)-1,0,1,10)),""))</f>
        <v/>
      </c>
      <c r="Q200" s="445" t="str">
        <f t="array" aca="1" ref="Q200" ca="1">IF(B200="","",IFERROR(MIN(OFFSET(安値!$E$6,MATCH(TEXT(B200,"0"),TEXT(銘柄管理!$B$6:$B$305,"0"),0)-1,0,1,10)),""))</f>
        <v/>
      </c>
      <c r="R200" s="480" t="str">
        <f t="shared" ca="1" si="71"/>
        <v/>
      </c>
      <c r="S200" s="480" t="str">
        <f t="shared" si="72"/>
        <v/>
      </c>
      <c r="T200" s="599" t="str">
        <f t="shared" ca="1" si="78"/>
        <v/>
      </c>
      <c r="U200" s="601" t="str">
        <f t="shared" ca="1" si="79"/>
        <v/>
      </c>
      <c r="V200" s="707" t="str">
        <f t="shared" ca="1" si="73"/>
        <v/>
      </c>
      <c r="W200" s="480" t="str">
        <f t="shared" ca="1" si="80"/>
        <v/>
      </c>
      <c r="X200" s="480" t="str">
        <f t="shared" ca="1" si="81"/>
        <v/>
      </c>
      <c r="Y200" s="488"/>
      <c r="Z200" s="714"/>
      <c r="AD200" s="611"/>
      <c r="AE200" s="603" t="str">
        <f t="shared" si="82"/>
        <v/>
      </c>
      <c r="AF200" s="603"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03"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03" t="str">
        <f t="shared" ca="1" si="83"/>
        <v/>
      </c>
      <c r="AI200" s="603" t="str" cm="1">
        <f t="array" ref="AI200">IFERROR(INDEX(始値!$E$6:$BT$305,MATCH(TEXT($B200,"0"),TEXT(銘柄管理!$B$6:$B$305,"0"),0),MATCH($AE200,始値!$E$3:$BT$3,0)),"")</f>
        <v/>
      </c>
      <c r="AJ200" s="603" t="str">
        <f t="shared" ca="1" si="84"/>
        <v/>
      </c>
      <c r="AK200" s="603" t="str">
        <f t="shared" ca="1" si="85"/>
        <v/>
      </c>
    </row>
    <row r="201" spans="1:37" ht="17.25" customHeight="1">
      <c r="A201" s="625" t="str">
        <f t="shared" si="74"/>
        <v/>
      </c>
      <c r="B201" s="480"/>
      <c r="C201" s="480"/>
      <c r="D201" s="480" t="str" cm="1">
        <f t="array" ref="D201">_xll.RssMarket(B201, "銘柄名称")</f>
        <v/>
      </c>
      <c r="E201" s="721"/>
      <c r="F201" s="702" t="str" cm="1">
        <f t="array" aca="1" ref="F201" ca="1">IFERROR(_xlfn.LET(_xlpm.r,MATCH(TEXT($B201,"0"),TEXT(銘柄管理!$B$6:$B$305,"0"),0),_xlpm.t,MOD(NOW(),1),_xlpm.c,IF($E201=TODAY(),IF(_xlpm.t&gt;=TIME(15,30,0),NA(),1),IF(MATCH($E201,始値!$E$3:$BT$3,0)=1,1,MATCH($E201,始値!$E$3:$BT$3,0)+1)),_xlpm.v,INDEX(始値!$C$6:$BT$305,_xlpm.r,_xlpm.c),IF(N(_xlpm.v)=0,"",_xlpm.v)),"")</f>
        <v/>
      </c>
      <c r="G201" s="480"/>
      <c r="H201" s="480" t="str" cm="1">
        <f t="array" ref="H201">_xll.RssMarket(B201, "現在値")</f>
        <v/>
      </c>
      <c r="I201" s="480" t="str" cm="1">
        <f t="array" ref="I201">_xll.RssMarket(B201, "出来高加重平均")</f>
        <v/>
      </c>
      <c r="J201" s="706" t="str" cm="1">
        <f t="array" ref="J201">_xll.RssMarket($B201, "前日比")</f>
        <v/>
      </c>
      <c r="K201" s="707" t="str">
        <f t="shared" ca="1" si="69"/>
        <v/>
      </c>
      <c r="L201" s="712" t="str">
        <f t="shared" ca="1" si="70"/>
        <v/>
      </c>
      <c r="M201" s="601" t="str">
        <f t="shared" ca="1" si="75"/>
        <v/>
      </c>
      <c r="N201" s="601" t="str">
        <f t="shared" ca="1" si="76"/>
        <v/>
      </c>
      <c r="O201" s="478" t="str">
        <f t="shared" ca="1" si="77"/>
        <v/>
      </c>
      <c r="P201" s="445" t="str">
        <f t="array" aca="1" ref="P201" ca="1">IF(B201="","",IFERROR(MAX(OFFSET(高値!$E$6,MATCH(TEXT(B201,"0"),TEXT(銘柄管理!$B$6:$B$305,"0"),0)-1,0,1,10)),""))</f>
        <v/>
      </c>
      <c r="Q201" s="445" t="str">
        <f t="array" aca="1" ref="Q201" ca="1">IF(B201="","",IFERROR(MIN(OFFSET(安値!$E$6,MATCH(TEXT(B201,"0"),TEXT(銘柄管理!$B$6:$B$305,"0"),0)-1,0,1,10)),""))</f>
        <v/>
      </c>
      <c r="R201" s="480" t="str">
        <f t="shared" ca="1" si="71"/>
        <v/>
      </c>
      <c r="S201" s="480" t="str">
        <f t="shared" si="72"/>
        <v/>
      </c>
      <c r="T201" s="599" t="str">
        <f t="shared" ca="1" si="78"/>
        <v/>
      </c>
      <c r="U201" s="601" t="str">
        <f t="shared" ca="1" si="79"/>
        <v/>
      </c>
      <c r="V201" s="707" t="str">
        <f t="shared" ca="1" si="73"/>
        <v/>
      </c>
      <c r="W201" s="480" t="str">
        <f t="shared" ca="1" si="80"/>
        <v/>
      </c>
      <c r="X201" s="480" t="str">
        <f t="shared" ca="1" si="81"/>
        <v/>
      </c>
      <c r="Y201" s="488"/>
      <c r="Z201" s="714"/>
      <c r="AD201" s="611"/>
      <c r="AE201" s="603" t="str">
        <f t="shared" si="82"/>
        <v/>
      </c>
      <c r="AF201" s="603"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03"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03" t="str">
        <f t="shared" ca="1" si="83"/>
        <v/>
      </c>
      <c r="AI201" s="603" t="str" cm="1">
        <f t="array" ref="AI201">IFERROR(INDEX(始値!$E$6:$BT$305,MATCH(TEXT($B201,"0"),TEXT(銘柄管理!$B$6:$B$305,"0"),0),MATCH($AE201,始値!$E$3:$BT$3,0)),"")</f>
        <v/>
      </c>
      <c r="AJ201" s="603" t="str">
        <f t="shared" ca="1" si="84"/>
        <v/>
      </c>
      <c r="AK201" s="603" t="str">
        <f t="shared" ca="1" si="85"/>
        <v/>
      </c>
    </row>
    <row r="202" spans="1:37" ht="17.25" customHeight="1">
      <c r="A202" s="625" t="str">
        <f t="shared" si="74"/>
        <v/>
      </c>
      <c r="B202" s="480"/>
      <c r="C202" s="480"/>
      <c r="D202" s="480" t="str" cm="1">
        <f t="array" ref="D202">_xll.RssMarket(B202, "銘柄名称")</f>
        <v/>
      </c>
      <c r="E202" s="721"/>
      <c r="F202" s="702" t="str" cm="1">
        <f t="array" aca="1" ref="F202" ca="1">IFERROR(_xlfn.LET(_xlpm.r,MATCH(TEXT($B202,"0"),TEXT(銘柄管理!$B$6:$B$305,"0"),0),_xlpm.t,MOD(NOW(),1),_xlpm.c,IF($E202=TODAY(),IF(_xlpm.t&gt;=TIME(15,30,0),NA(),1),IF(MATCH($E202,始値!$E$3:$BT$3,0)=1,1,MATCH($E202,始値!$E$3:$BT$3,0)+1)),_xlpm.v,INDEX(始値!$C$6:$BT$305,_xlpm.r,_xlpm.c),IF(N(_xlpm.v)=0,"",_xlpm.v)),"")</f>
        <v/>
      </c>
      <c r="G202" s="480"/>
      <c r="H202" s="480" t="str" cm="1">
        <f t="array" ref="H202">_xll.RssMarket(B202, "現在値")</f>
        <v/>
      </c>
      <c r="I202" s="480" t="str" cm="1">
        <f t="array" ref="I202">_xll.RssMarket(B202, "出来高加重平均")</f>
        <v/>
      </c>
      <c r="J202" s="706" t="str" cm="1">
        <f t="array" ref="J202">_xll.RssMarket($B202, "前日比")</f>
        <v/>
      </c>
      <c r="K202" s="707" t="str">
        <f t="shared" ref="K202:K265" ca="1" si="86">IF(OR(F202="",G202="",H202=""),"",IF(C202="売",(F202-H202)*G202,(H202-F202)*G202))</f>
        <v/>
      </c>
      <c r="L202" s="712" t="str">
        <f t="shared" ref="L202:L265" ca="1" si="87">IF(OR(F202="",H202=""),"",IF(C202="売",(F202-H202)/F202,(H202-F202)/F202))</f>
        <v/>
      </c>
      <c r="M202" s="601" t="str">
        <f t="shared" ca="1" si="75"/>
        <v/>
      </c>
      <c r="N202" s="601" t="str">
        <f t="shared" ca="1" si="76"/>
        <v/>
      </c>
      <c r="O202" s="478" t="str">
        <f t="shared" ca="1" si="77"/>
        <v/>
      </c>
      <c r="P202" s="445" t="str">
        <f t="array" aca="1" ref="P202" ca="1">IF(B202="","",IFERROR(MAX(OFFSET(高値!$E$6,MATCH(TEXT(B202,"0"),TEXT(銘柄管理!$B$6:$B$305,"0"),0)-1,0,1,10)),""))</f>
        <v/>
      </c>
      <c r="Q202" s="445" t="str">
        <f t="array" aca="1" ref="Q202" ca="1">IF(B202="","",IFERROR(MIN(OFFSET(安値!$E$6,MATCH(TEXT(B202,"0"),TEXT(銘柄管理!$B$6:$B$305,"0"),0)-1,0,1,10)),""))</f>
        <v/>
      </c>
      <c r="R202" s="480" t="str">
        <f t="shared" ref="R202:R265" ca="1" si="88">IF(P202="","",ROUND(P202*0.97,0))</f>
        <v/>
      </c>
      <c r="S202" s="480" t="str">
        <f t="shared" ref="S202:S265" si="89">IF(B202="","",IF(T202&lt;&gt;"","✅売却済",IF(OR(H202="",L202=""),"📌保有中",IF(L202&gt;=0.06,"🟢利確推奨",IF(L202&gt;=0.05,"🟡利確直近",IF(L202&gt;=0.045,"🔵トレーリング検討",IF(L202&gt;-0.03,"📌保有中",IF(L202&gt;-0.04,"⚠️損切注意","🔴損切り"))))))))</f>
        <v/>
      </c>
      <c r="T202" s="599" t="str">
        <f t="shared" ca="1" si="78"/>
        <v/>
      </c>
      <c r="U202" s="601" t="str">
        <f t="shared" ca="1" si="79"/>
        <v/>
      </c>
      <c r="V202" s="707" t="str">
        <f t="shared" ref="V202:V265" ca="1" si="90">IF(OR(F202="",G202="",U202=""),"",IF(C202="売",(F202-U202)*G202,(U202-F202)*G202))</f>
        <v/>
      </c>
      <c r="W202" s="480" t="str">
        <f t="shared" ca="1" si="80"/>
        <v/>
      </c>
      <c r="X202" s="480" t="str">
        <f t="shared" ca="1" si="81"/>
        <v/>
      </c>
      <c r="Y202" s="488"/>
      <c r="Z202" s="714"/>
      <c r="AD202" s="611"/>
      <c r="AE202" s="603" t="str">
        <f t="shared" si="82"/>
        <v/>
      </c>
      <c r="AF202" s="603"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03"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03" t="str">
        <f t="shared" ca="1" si="83"/>
        <v/>
      </c>
      <c r="AI202" s="603" t="str" cm="1">
        <f t="array" ref="AI202">IFERROR(INDEX(始値!$E$6:$BT$305,MATCH(TEXT($B202,"0"),TEXT(銘柄管理!$B$6:$B$305,"0"),0),MATCH($AE202,始値!$E$3:$BT$3,0)),"")</f>
        <v/>
      </c>
      <c r="AJ202" s="603" t="str">
        <f t="shared" ca="1" si="84"/>
        <v/>
      </c>
      <c r="AK202" s="603" t="str">
        <f t="shared" ca="1" si="85"/>
        <v/>
      </c>
    </row>
    <row r="203" spans="1:37" ht="17.25" customHeight="1">
      <c r="A203" s="625" t="str">
        <f t="shared" si="74"/>
        <v/>
      </c>
      <c r="B203" s="480"/>
      <c r="C203" s="480"/>
      <c r="D203" s="480" t="str" cm="1">
        <f t="array" ref="D203">_xll.RssMarket(B203, "銘柄名称")</f>
        <v/>
      </c>
      <c r="E203" s="721"/>
      <c r="F203" s="702" t="str" cm="1">
        <f t="array" aca="1" ref="F203" ca="1">IFERROR(_xlfn.LET(_xlpm.r,MATCH(TEXT($B203,"0"),TEXT(銘柄管理!$B$6:$B$305,"0"),0),_xlpm.t,MOD(NOW(),1),_xlpm.c,IF($E203=TODAY(),IF(_xlpm.t&gt;=TIME(15,30,0),NA(),1),IF(MATCH($E203,始値!$E$3:$BT$3,0)=1,1,MATCH($E203,始値!$E$3:$BT$3,0)+1)),_xlpm.v,INDEX(始値!$C$6:$BT$305,_xlpm.r,_xlpm.c),IF(N(_xlpm.v)=0,"",_xlpm.v)),"")</f>
        <v/>
      </c>
      <c r="G203" s="480"/>
      <c r="H203" s="480" t="str" cm="1">
        <f t="array" ref="H203">_xll.RssMarket(B203, "現在値")</f>
        <v/>
      </c>
      <c r="I203" s="480" t="str" cm="1">
        <f t="array" ref="I203">_xll.RssMarket(B203, "出来高加重平均")</f>
        <v/>
      </c>
      <c r="J203" s="706" t="str" cm="1">
        <f t="array" ref="J203">_xll.RssMarket($B203, "前日比")</f>
        <v/>
      </c>
      <c r="K203" s="707" t="str">
        <f t="shared" ca="1" si="86"/>
        <v/>
      </c>
      <c r="L203" s="712" t="str">
        <f t="shared" ca="1" si="87"/>
        <v/>
      </c>
      <c r="M203" s="601" t="str">
        <f t="shared" ca="1" si="75"/>
        <v/>
      </c>
      <c r="N203" s="601" t="str">
        <f t="shared" ca="1" si="76"/>
        <v/>
      </c>
      <c r="O203" s="478" t="str">
        <f t="shared" ca="1" si="77"/>
        <v/>
      </c>
      <c r="P203" s="445" t="str">
        <f t="array" aca="1" ref="P203" ca="1">IF(B203="","",IFERROR(MAX(OFFSET(高値!$E$6,MATCH(TEXT(B203,"0"),TEXT(銘柄管理!$B$6:$B$305,"0"),0)-1,0,1,10)),""))</f>
        <v/>
      </c>
      <c r="Q203" s="445" t="str">
        <f t="array" aca="1" ref="Q203" ca="1">IF(B203="","",IFERROR(MIN(OFFSET(安値!$E$6,MATCH(TEXT(B203,"0"),TEXT(銘柄管理!$B$6:$B$305,"0"),0)-1,0,1,10)),""))</f>
        <v/>
      </c>
      <c r="R203" s="480" t="str">
        <f t="shared" ca="1" si="88"/>
        <v/>
      </c>
      <c r="S203" s="480" t="str">
        <f t="shared" si="89"/>
        <v/>
      </c>
      <c r="T203" s="599" t="str">
        <f t="shared" ca="1" si="78"/>
        <v/>
      </c>
      <c r="U203" s="601" t="str">
        <f t="shared" ca="1" si="79"/>
        <v/>
      </c>
      <c r="V203" s="707" t="str">
        <f t="shared" ca="1" si="90"/>
        <v/>
      </c>
      <c r="W203" s="480" t="str">
        <f t="shared" ca="1" si="80"/>
        <v/>
      </c>
      <c r="X203" s="480" t="str">
        <f t="shared" ca="1" si="81"/>
        <v/>
      </c>
      <c r="Y203" s="488"/>
      <c r="Z203" s="714"/>
      <c r="AD203" s="611"/>
      <c r="AE203" s="603" t="str">
        <f t="shared" si="82"/>
        <v/>
      </c>
      <c r="AF203" s="603"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03"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03" t="str">
        <f t="shared" ca="1" si="83"/>
        <v/>
      </c>
      <c r="AI203" s="603" t="str" cm="1">
        <f t="array" ref="AI203">IFERROR(INDEX(始値!$E$6:$BT$305,MATCH(TEXT($B203,"0"),TEXT(銘柄管理!$B$6:$B$305,"0"),0),MATCH($AE203,始値!$E$3:$BT$3,0)),"")</f>
        <v/>
      </c>
      <c r="AJ203" s="603" t="str">
        <f t="shared" ca="1" si="84"/>
        <v/>
      </c>
      <c r="AK203" s="603" t="str">
        <f t="shared" ca="1" si="85"/>
        <v/>
      </c>
    </row>
    <row r="204" spans="1:37" ht="17.25" customHeight="1">
      <c r="A204" s="625" t="str">
        <f t="shared" si="74"/>
        <v/>
      </c>
      <c r="B204" s="480"/>
      <c r="C204" s="480"/>
      <c r="D204" s="480" t="str" cm="1">
        <f t="array" ref="D204">_xll.RssMarket(B204, "銘柄名称")</f>
        <v/>
      </c>
      <c r="E204" s="721"/>
      <c r="F204" s="702" t="str" cm="1">
        <f t="array" aca="1" ref="F204" ca="1">IFERROR(_xlfn.LET(_xlpm.r,MATCH(TEXT($B204,"0"),TEXT(銘柄管理!$B$6:$B$305,"0"),0),_xlpm.t,MOD(NOW(),1),_xlpm.c,IF($E204=TODAY(),IF(_xlpm.t&gt;=TIME(15,30,0),NA(),1),IF(MATCH($E204,始値!$E$3:$BT$3,0)=1,1,MATCH($E204,始値!$E$3:$BT$3,0)+1)),_xlpm.v,INDEX(始値!$C$6:$BT$305,_xlpm.r,_xlpm.c),IF(N(_xlpm.v)=0,"",_xlpm.v)),"")</f>
        <v/>
      </c>
      <c r="G204" s="480"/>
      <c r="H204" s="480" t="str" cm="1">
        <f t="array" ref="H204">_xll.RssMarket(B204, "現在値")</f>
        <v/>
      </c>
      <c r="I204" s="480" t="str" cm="1">
        <f t="array" ref="I204">_xll.RssMarket(B204, "出来高加重平均")</f>
        <v/>
      </c>
      <c r="J204" s="706" t="str" cm="1">
        <f t="array" ref="J204">_xll.RssMarket($B204, "前日比")</f>
        <v/>
      </c>
      <c r="K204" s="707" t="str">
        <f t="shared" ca="1" si="86"/>
        <v/>
      </c>
      <c r="L204" s="712" t="str">
        <f t="shared" ca="1" si="87"/>
        <v/>
      </c>
      <c r="M204" s="601" t="str">
        <f t="shared" ca="1" si="75"/>
        <v/>
      </c>
      <c r="N204" s="601" t="str">
        <f t="shared" ca="1" si="76"/>
        <v/>
      </c>
      <c r="O204" s="478" t="str">
        <f t="shared" ca="1" si="77"/>
        <v/>
      </c>
      <c r="P204" s="445" t="str">
        <f t="array" aca="1" ref="P204" ca="1">IF(B204="","",IFERROR(MAX(OFFSET(高値!$E$6,MATCH(TEXT(B204,"0"),TEXT(銘柄管理!$B$6:$B$305,"0"),0)-1,0,1,10)),""))</f>
        <v/>
      </c>
      <c r="Q204" s="445" t="str">
        <f t="array" aca="1" ref="Q204" ca="1">IF(B204="","",IFERROR(MIN(OFFSET(安値!$E$6,MATCH(TEXT(B204,"0"),TEXT(銘柄管理!$B$6:$B$305,"0"),0)-1,0,1,10)),""))</f>
        <v/>
      </c>
      <c r="R204" s="480" t="str">
        <f t="shared" ca="1" si="88"/>
        <v/>
      </c>
      <c r="S204" s="480" t="str">
        <f t="shared" si="89"/>
        <v/>
      </c>
      <c r="T204" s="599" t="str">
        <f t="shared" ca="1" si="78"/>
        <v/>
      </c>
      <c r="U204" s="601" t="str">
        <f t="shared" ca="1" si="79"/>
        <v/>
      </c>
      <c r="V204" s="707" t="str">
        <f t="shared" ca="1" si="90"/>
        <v/>
      </c>
      <c r="W204" s="480" t="str">
        <f t="shared" ca="1" si="80"/>
        <v/>
      </c>
      <c r="X204" s="480" t="str">
        <f t="shared" ca="1" si="81"/>
        <v/>
      </c>
      <c r="Y204" s="488"/>
      <c r="Z204" s="714"/>
      <c r="AD204" s="611"/>
      <c r="AE204" s="603" t="str">
        <f t="shared" si="82"/>
        <v/>
      </c>
      <c r="AF204" s="603"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03"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03" t="str">
        <f t="shared" ca="1" si="83"/>
        <v/>
      </c>
      <c r="AI204" s="603" t="str" cm="1">
        <f t="array" ref="AI204">IFERROR(INDEX(始値!$E$6:$BT$305,MATCH(TEXT($B204,"0"),TEXT(銘柄管理!$B$6:$B$305,"0"),0),MATCH($AE204,始値!$E$3:$BT$3,0)),"")</f>
        <v/>
      </c>
      <c r="AJ204" s="603" t="str">
        <f t="shared" ca="1" si="84"/>
        <v/>
      </c>
      <c r="AK204" s="603" t="str">
        <f t="shared" ca="1" si="85"/>
        <v/>
      </c>
    </row>
    <row r="205" spans="1:37" ht="17.25" customHeight="1">
      <c r="A205" s="625" t="str">
        <f t="shared" si="74"/>
        <v/>
      </c>
      <c r="B205" s="480"/>
      <c r="C205" s="480"/>
      <c r="D205" s="480" t="str" cm="1">
        <f t="array" ref="D205">_xll.RssMarket(B205, "銘柄名称")</f>
        <v/>
      </c>
      <c r="E205" s="721"/>
      <c r="F205" s="702" t="str" cm="1">
        <f t="array" aca="1" ref="F205" ca="1">IFERROR(_xlfn.LET(_xlpm.r,MATCH(TEXT($B205,"0"),TEXT(銘柄管理!$B$6:$B$305,"0"),0),_xlpm.t,MOD(NOW(),1),_xlpm.c,IF($E205=TODAY(),IF(_xlpm.t&gt;=TIME(15,30,0),NA(),1),IF(MATCH($E205,始値!$E$3:$BT$3,0)=1,1,MATCH($E205,始値!$E$3:$BT$3,0)+1)),_xlpm.v,INDEX(始値!$C$6:$BT$305,_xlpm.r,_xlpm.c),IF(N(_xlpm.v)=0,"",_xlpm.v)),"")</f>
        <v/>
      </c>
      <c r="G205" s="480"/>
      <c r="H205" s="480" t="str" cm="1">
        <f t="array" ref="H205">_xll.RssMarket(B205, "現在値")</f>
        <v/>
      </c>
      <c r="I205" s="480" t="str" cm="1">
        <f t="array" ref="I205">_xll.RssMarket(B205, "出来高加重平均")</f>
        <v/>
      </c>
      <c r="J205" s="706" t="str" cm="1">
        <f t="array" ref="J205">_xll.RssMarket($B205, "前日比")</f>
        <v/>
      </c>
      <c r="K205" s="707" t="str">
        <f t="shared" ca="1" si="86"/>
        <v/>
      </c>
      <c r="L205" s="712" t="str">
        <f t="shared" ca="1" si="87"/>
        <v/>
      </c>
      <c r="M205" s="601" t="str">
        <f t="shared" ca="1" si="75"/>
        <v/>
      </c>
      <c r="N205" s="601" t="str">
        <f t="shared" ca="1" si="76"/>
        <v/>
      </c>
      <c r="O205" s="478" t="str">
        <f t="shared" ca="1" si="77"/>
        <v/>
      </c>
      <c r="P205" s="445" t="str">
        <f t="array" aca="1" ref="P205" ca="1">IF(B205="","",IFERROR(MAX(OFFSET(高値!$E$6,MATCH(TEXT(B205,"0"),TEXT(銘柄管理!$B$6:$B$305,"0"),0)-1,0,1,10)),""))</f>
        <v/>
      </c>
      <c r="Q205" s="445" t="str">
        <f t="array" aca="1" ref="Q205" ca="1">IF(B205="","",IFERROR(MIN(OFFSET(安値!$E$6,MATCH(TEXT(B205,"0"),TEXT(銘柄管理!$B$6:$B$305,"0"),0)-1,0,1,10)),""))</f>
        <v/>
      </c>
      <c r="R205" s="480" t="str">
        <f t="shared" ca="1" si="88"/>
        <v/>
      </c>
      <c r="S205" s="480" t="str">
        <f t="shared" si="89"/>
        <v/>
      </c>
      <c r="T205" s="599" t="str">
        <f t="shared" ca="1" si="78"/>
        <v/>
      </c>
      <c r="U205" s="601" t="str">
        <f t="shared" ca="1" si="79"/>
        <v/>
      </c>
      <c r="V205" s="707" t="str">
        <f t="shared" ca="1" si="90"/>
        <v/>
      </c>
      <c r="W205" s="480" t="str">
        <f t="shared" ca="1" si="80"/>
        <v/>
      </c>
      <c r="X205" s="480" t="str">
        <f t="shared" ca="1" si="81"/>
        <v/>
      </c>
      <c r="Y205" s="488"/>
      <c r="Z205" s="714"/>
      <c r="AD205" s="611"/>
      <c r="AE205" s="603" t="str">
        <f t="shared" si="82"/>
        <v/>
      </c>
      <c r="AF205" s="603"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03"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03" t="str">
        <f t="shared" ca="1" si="83"/>
        <v/>
      </c>
      <c r="AI205" s="603" t="str" cm="1">
        <f t="array" ref="AI205">IFERROR(INDEX(始値!$E$6:$BT$305,MATCH(TEXT($B205,"0"),TEXT(銘柄管理!$B$6:$B$305,"0"),0),MATCH($AE205,始値!$E$3:$BT$3,0)),"")</f>
        <v/>
      </c>
      <c r="AJ205" s="603" t="str">
        <f t="shared" ca="1" si="84"/>
        <v/>
      </c>
      <c r="AK205" s="603" t="str">
        <f t="shared" ca="1" si="85"/>
        <v/>
      </c>
    </row>
    <row r="206" spans="1:37" ht="17.25" customHeight="1">
      <c r="A206" s="625" t="str">
        <f t="shared" si="74"/>
        <v/>
      </c>
      <c r="B206" s="480"/>
      <c r="C206" s="480"/>
      <c r="D206" s="480" t="str" cm="1">
        <f t="array" ref="D206">_xll.RssMarket(B206, "銘柄名称")</f>
        <v/>
      </c>
      <c r="E206" s="721"/>
      <c r="F206" s="702" t="str" cm="1">
        <f t="array" aca="1" ref="F206" ca="1">IFERROR(_xlfn.LET(_xlpm.r,MATCH(TEXT($B206,"0"),TEXT(銘柄管理!$B$6:$B$305,"0"),0),_xlpm.t,MOD(NOW(),1),_xlpm.c,IF($E206=TODAY(),IF(_xlpm.t&gt;=TIME(15,30,0),NA(),1),IF(MATCH($E206,始値!$E$3:$BT$3,0)=1,1,MATCH($E206,始値!$E$3:$BT$3,0)+1)),_xlpm.v,INDEX(始値!$C$6:$BT$305,_xlpm.r,_xlpm.c),IF(N(_xlpm.v)=0,"",_xlpm.v)),"")</f>
        <v/>
      </c>
      <c r="G206" s="480"/>
      <c r="H206" s="480" t="str" cm="1">
        <f t="array" ref="H206">_xll.RssMarket(B206, "現在値")</f>
        <v/>
      </c>
      <c r="I206" s="480" t="str" cm="1">
        <f t="array" ref="I206">_xll.RssMarket(B206, "出来高加重平均")</f>
        <v/>
      </c>
      <c r="J206" s="706" t="str" cm="1">
        <f t="array" ref="J206">_xll.RssMarket($B206, "前日比")</f>
        <v/>
      </c>
      <c r="K206" s="707" t="str">
        <f t="shared" ca="1" si="86"/>
        <v/>
      </c>
      <c r="L206" s="712" t="str">
        <f t="shared" ca="1" si="87"/>
        <v/>
      </c>
      <c r="M206" s="601" t="str">
        <f t="shared" ca="1" si="75"/>
        <v/>
      </c>
      <c r="N206" s="601" t="str">
        <f t="shared" ca="1" si="76"/>
        <v/>
      </c>
      <c r="O206" s="478" t="str">
        <f t="shared" ca="1" si="77"/>
        <v/>
      </c>
      <c r="P206" s="445" t="str">
        <f t="array" aca="1" ref="P206" ca="1">IF(B206="","",IFERROR(MAX(OFFSET(高値!$E$6,MATCH(TEXT(B206,"0"),TEXT(銘柄管理!$B$6:$B$305,"0"),0)-1,0,1,10)),""))</f>
        <v/>
      </c>
      <c r="Q206" s="445" t="str">
        <f t="array" aca="1" ref="Q206" ca="1">IF(B206="","",IFERROR(MIN(OFFSET(安値!$E$6,MATCH(TEXT(B206,"0"),TEXT(銘柄管理!$B$6:$B$305,"0"),0)-1,0,1,10)),""))</f>
        <v/>
      </c>
      <c r="R206" s="480" t="str">
        <f t="shared" ca="1" si="88"/>
        <v/>
      </c>
      <c r="S206" s="480" t="str">
        <f t="shared" si="89"/>
        <v/>
      </c>
      <c r="T206" s="599" t="str">
        <f t="shared" ca="1" si="78"/>
        <v/>
      </c>
      <c r="U206" s="601" t="str">
        <f t="shared" ca="1" si="79"/>
        <v/>
      </c>
      <c r="V206" s="707" t="str">
        <f t="shared" ca="1" si="90"/>
        <v/>
      </c>
      <c r="W206" s="480" t="str">
        <f t="shared" ca="1" si="80"/>
        <v/>
      </c>
      <c r="X206" s="480" t="str">
        <f t="shared" ca="1" si="81"/>
        <v/>
      </c>
      <c r="Y206" s="488"/>
      <c r="Z206" s="714"/>
      <c r="AD206" s="611"/>
      <c r="AE206" s="603" t="str">
        <f t="shared" si="82"/>
        <v/>
      </c>
      <c r="AF206" s="603"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03"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03" t="str">
        <f t="shared" ca="1" si="83"/>
        <v/>
      </c>
      <c r="AI206" s="603" t="str" cm="1">
        <f t="array" ref="AI206">IFERROR(INDEX(始値!$E$6:$BT$305,MATCH(TEXT($B206,"0"),TEXT(銘柄管理!$B$6:$B$305,"0"),0),MATCH($AE206,始値!$E$3:$BT$3,0)),"")</f>
        <v/>
      </c>
      <c r="AJ206" s="603" t="str">
        <f t="shared" ca="1" si="84"/>
        <v/>
      </c>
      <c r="AK206" s="603" t="str">
        <f t="shared" ca="1" si="85"/>
        <v/>
      </c>
    </row>
    <row r="207" spans="1:37" ht="17.25" customHeight="1">
      <c r="A207" s="625" t="str">
        <f t="shared" si="74"/>
        <v/>
      </c>
      <c r="B207" s="480"/>
      <c r="C207" s="480"/>
      <c r="D207" s="480" t="str" cm="1">
        <f t="array" ref="D207">_xll.RssMarket(B207, "銘柄名称")</f>
        <v/>
      </c>
      <c r="E207" s="721"/>
      <c r="F207" s="702" t="str" cm="1">
        <f t="array" aca="1" ref="F207" ca="1">IFERROR(_xlfn.LET(_xlpm.r,MATCH(TEXT($B207,"0"),TEXT(銘柄管理!$B$6:$B$305,"0"),0),_xlpm.t,MOD(NOW(),1),_xlpm.c,IF($E207=TODAY(),IF(_xlpm.t&gt;=TIME(15,30,0),NA(),1),IF(MATCH($E207,始値!$E$3:$BT$3,0)=1,1,MATCH($E207,始値!$E$3:$BT$3,0)+1)),_xlpm.v,INDEX(始値!$C$6:$BT$305,_xlpm.r,_xlpm.c),IF(N(_xlpm.v)=0,"",_xlpm.v)),"")</f>
        <v/>
      </c>
      <c r="G207" s="480"/>
      <c r="H207" s="480" t="str" cm="1">
        <f t="array" ref="H207">_xll.RssMarket(B207, "現在値")</f>
        <v/>
      </c>
      <c r="I207" s="480" t="str" cm="1">
        <f t="array" ref="I207">_xll.RssMarket(B207, "出来高加重平均")</f>
        <v/>
      </c>
      <c r="J207" s="706" t="str" cm="1">
        <f t="array" ref="J207">_xll.RssMarket($B207, "前日比")</f>
        <v/>
      </c>
      <c r="K207" s="707" t="str">
        <f t="shared" ca="1" si="86"/>
        <v/>
      </c>
      <c r="L207" s="712" t="str">
        <f t="shared" ca="1" si="87"/>
        <v/>
      </c>
      <c r="M207" s="601" t="str">
        <f t="shared" ca="1" si="75"/>
        <v/>
      </c>
      <c r="N207" s="601" t="str">
        <f t="shared" ca="1" si="76"/>
        <v/>
      </c>
      <c r="O207" s="478" t="str">
        <f t="shared" ca="1" si="77"/>
        <v/>
      </c>
      <c r="P207" s="445" t="str">
        <f t="array" aca="1" ref="P207" ca="1">IF(B207="","",IFERROR(MAX(OFFSET(高値!$E$6,MATCH(TEXT(B207,"0"),TEXT(銘柄管理!$B$6:$B$305,"0"),0)-1,0,1,10)),""))</f>
        <v/>
      </c>
      <c r="Q207" s="445" t="str">
        <f t="array" aca="1" ref="Q207" ca="1">IF(B207="","",IFERROR(MIN(OFFSET(安値!$E$6,MATCH(TEXT(B207,"0"),TEXT(銘柄管理!$B$6:$B$305,"0"),0)-1,0,1,10)),""))</f>
        <v/>
      </c>
      <c r="R207" s="480" t="str">
        <f t="shared" ca="1" si="88"/>
        <v/>
      </c>
      <c r="S207" s="480" t="str">
        <f t="shared" si="89"/>
        <v/>
      </c>
      <c r="T207" s="599" t="str">
        <f t="shared" ca="1" si="78"/>
        <v/>
      </c>
      <c r="U207" s="601" t="str">
        <f t="shared" ca="1" si="79"/>
        <v/>
      </c>
      <c r="V207" s="707" t="str">
        <f t="shared" ca="1" si="90"/>
        <v/>
      </c>
      <c r="W207" s="480" t="str">
        <f t="shared" ca="1" si="80"/>
        <v/>
      </c>
      <c r="X207" s="480" t="str">
        <f t="shared" ca="1" si="81"/>
        <v/>
      </c>
      <c r="Y207" s="488"/>
      <c r="Z207" s="714"/>
      <c r="AD207" s="611"/>
      <c r="AE207" s="603" t="str">
        <f t="shared" si="82"/>
        <v/>
      </c>
      <c r="AF207" s="603"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03"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03" t="str">
        <f t="shared" ca="1" si="83"/>
        <v/>
      </c>
      <c r="AI207" s="603" t="str" cm="1">
        <f t="array" ref="AI207">IFERROR(INDEX(始値!$E$6:$BT$305,MATCH(TEXT($B207,"0"),TEXT(銘柄管理!$B$6:$B$305,"0"),0),MATCH($AE207,始値!$E$3:$BT$3,0)),"")</f>
        <v/>
      </c>
      <c r="AJ207" s="603" t="str">
        <f t="shared" ca="1" si="84"/>
        <v/>
      </c>
      <c r="AK207" s="603" t="str">
        <f t="shared" ca="1" si="85"/>
        <v/>
      </c>
    </row>
    <row r="208" spans="1:37" ht="17.25" customHeight="1">
      <c r="A208" s="625" t="str">
        <f t="shared" si="74"/>
        <v/>
      </c>
      <c r="B208" s="480"/>
      <c r="C208" s="480"/>
      <c r="D208" s="480" t="str" cm="1">
        <f t="array" ref="D208">_xll.RssMarket(B208, "銘柄名称")</f>
        <v/>
      </c>
      <c r="E208" s="721"/>
      <c r="F208" s="702" t="str" cm="1">
        <f t="array" aca="1" ref="F208" ca="1">IFERROR(_xlfn.LET(_xlpm.r,MATCH(TEXT($B208,"0"),TEXT(銘柄管理!$B$6:$B$305,"0"),0),_xlpm.t,MOD(NOW(),1),_xlpm.c,IF($E208=TODAY(),IF(_xlpm.t&gt;=TIME(15,30,0),NA(),1),IF(MATCH($E208,始値!$E$3:$BT$3,0)=1,1,MATCH($E208,始値!$E$3:$BT$3,0)+1)),_xlpm.v,INDEX(始値!$C$6:$BT$305,_xlpm.r,_xlpm.c),IF(N(_xlpm.v)=0,"",_xlpm.v)),"")</f>
        <v/>
      </c>
      <c r="G208" s="480"/>
      <c r="H208" s="480" t="str" cm="1">
        <f t="array" ref="H208">_xll.RssMarket(B208, "現在値")</f>
        <v/>
      </c>
      <c r="I208" s="480" t="str" cm="1">
        <f t="array" ref="I208">_xll.RssMarket(B208, "出来高加重平均")</f>
        <v/>
      </c>
      <c r="J208" s="706" t="str" cm="1">
        <f t="array" ref="J208">_xll.RssMarket($B208, "前日比")</f>
        <v/>
      </c>
      <c r="K208" s="707" t="str">
        <f t="shared" ca="1" si="86"/>
        <v/>
      </c>
      <c r="L208" s="712" t="str">
        <f t="shared" ca="1" si="87"/>
        <v/>
      </c>
      <c r="M208" s="601" t="str">
        <f t="shared" ca="1" si="75"/>
        <v/>
      </c>
      <c r="N208" s="601" t="str">
        <f t="shared" ca="1" si="76"/>
        <v/>
      </c>
      <c r="O208" s="478" t="str">
        <f t="shared" ca="1" si="77"/>
        <v/>
      </c>
      <c r="P208" s="445" t="str">
        <f t="array" aca="1" ref="P208" ca="1">IF(B208="","",IFERROR(MAX(OFFSET(高値!$E$6,MATCH(TEXT(B208,"0"),TEXT(銘柄管理!$B$6:$B$305,"0"),0)-1,0,1,10)),""))</f>
        <v/>
      </c>
      <c r="Q208" s="445" t="str">
        <f t="array" aca="1" ref="Q208" ca="1">IF(B208="","",IFERROR(MIN(OFFSET(安値!$E$6,MATCH(TEXT(B208,"0"),TEXT(銘柄管理!$B$6:$B$305,"0"),0)-1,0,1,10)),""))</f>
        <v/>
      </c>
      <c r="R208" s="480" t="str">
        <f t="shared" ca="1" si="88"/>
        <v/>
      </c>
      <c r="S208" s="480" t="str">
        <f t="shared" si="89"/>
        <v/>
      </c>
      <c r="T208" s="599" t="str">
        <f t="shared" ca="1" si="78"/>
        <v/>
      </c>
      <c r="U208" s="601" t="str">
        <f t="shared" ca="1" si="79"/>
        <v/>
      </c>
      <c r="V208" s="707" t="str">
        <f t="shared" ca="1" si="90"/>
        <v/>
      </c>
      <c r="W208" s="480" t="str">
        <f t="shared" ca="1" si="80"/>
        <v/>
      </c>
      <c r="X208" s="480" t="str">
        <f t="shared" ca="1" si="81"/>
        <v/>
      </c>
      <c r="Y208" s="488"/>
      <c r="Z208" s="714"/>
      <c r="AD208" s="611"/>
      <c r="AE208" s="603" t="str">
        <f t="shared" si="82"/>
        <v/>
      </c>
      <c r="AF208" s="603"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03"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03" t="str">
        <f t="shared" ca="1" si="83"/>
        <v/>
      </c>
      <c r="AI208" s="603" t="str" cm="1">
        <f t="array" ref="AI208">IFERROR(INDEX(始値!$E$6:$BT$305,MATCH(TEXT($B208,"0"),TEXT(銘柄管理!$B$6:$B$305,"0"),0),MATCH($AE208,始値!$E$3:$BT$3,0)),"")</f>
        <v/>
      </c>
      <c r="AJ208" s="603" t="str">
        <f t="shared" ca="1" si="84"/>
        <v/>
      </c>
      <c r="AK208" s="603" t="str">
        <f t="shared" ca="1" si="85"/>
        <v/>
      </c>
    </row>
    <row r="209" spans="1:37" ht="17.25" customHeight="1">
      <c r="A209" s="625" t="str">
        <f t="shared" si="74"/>
        <v/>
      </c>
      <c r="B209" s="480"/>
      <c r="C209" s="480"/>
      <c r="D209" s="480" t="str" cm="1">
        <f t="array" ref="D209">_xll.RssMarket(B209, "銘柄名称")</f>
        <v/>
      </c>
      <c r="E209" s="721"/>
      <c r="F209" s="702" t="str" cm="1">
        <f t="array" aca="1" ref="F209" ca="1">IFERROR(_xlfn.LET(_xlpm.r,MATCH(TEXT($B209,"0"),TEXT(銘柄管理!$B$6:$B$305,"0"),0),_xlpm.t,MOD(NOW(),1),_xlpm.c,IF($E209=TODAY(),IF(_xlpm.t&gt;=TIME(15,30,0),NA(),1),IF(MATCH($E209,始値!$E$3:$BT$3,0)=1,1,MATCH($E209,始値!$E$3:$BT$3,0)+1)),_xlpm.v,INDEX(始値!$C$6:$BT$305,_xlpm.r,_xlpm.c),IF(N(_xlpm.v)=0,"",_xlpm.v)),"")</f>
        <v/>
      </c>
      <c r="G209" s="480"/>
      <c r="H209" s="480" t="str" cm="1">
        <f t="array" ref="H209">_xll.RssMarket(B209, "現在値")</f>
        <v/>
      </c>
      <c r="I209" s="480" t="str" cm="1">
        <f t="array" ref="I209">_xll.RssMarket(B209, "出来高加重平均")</f>
        <v/>
      </c>
      <c r="J209" s="706" t="str" cm="1">
        <f t="array" ref="J209">_xll.RssMarket($B209, "前日比")</f>
        <v/>
      </c>
      <c r="K209" s="707" t="str">
        <f t="shared" ca="1" si="86"/>
        <v/>
      </c>
      <c r="L209" s="712" t="str">
        <f t="shared" ca="1" si="87"/>
        <v/>
      </c>
      <c r="M209" s="601" t="str">
        <f t="shared" ca="1" si="75"/>
        <v/>
      </c>
      <c r="N209" s="601" t="str">
        <f t="shared" ca="1" si="76"/>
        <v/>
      </c>
      <c r="O209" s="478" t="str">
        <f t="shared" ca="1" si="77"/>
        <v/>
      </c>
      <c r="P209" s="445" t="str">
        <f t="array" aca="1" ref="P209" ca="1">IF(B209="","",IFERROR(MAX(OFFSET(高値!$E$6,MATCH(TEXT(B209,"0"),TEXT(銘柄管理!$B$6:$B$305,"0"),0)-1,0,1,10)),""))</f>
        <v/>
      </c>
      <c r="Q209" s="445" t="str">
        <f t="array" aca="1" ref="Q209" ca="1">IF(B209="","",IFERROR(MIN(OFFSET(安値!$E$6,MATCH(TEXT(B209,"0"),TEXT(銘柄管理!$B$6:$B$305,"0"),0)-1,0,1,10)),""))</f>
        <v/>
      </c>
      <c r="R209" s="480" t="str">
        <f t="shared" ca="1" si="88"/>
        <v/>
      </c>
      <c r="S209" s="480" t="str">
        <f t="shared" si="89"/>
        <v/>
      </c>
      <c r="T209" s="599" t="str">
        <f t="shared" ca="1" si="78"/>
        <v/>
      </c>
      <c r="U209" s="601" t="str">
        <f t="shared" ca="1" si="79"/>
        <v/>
      </c>
      <c r="V209" s="707" t="str">
        <f t="shared" ca="1" si="90"/>
        <v/>
      </c>
      <c r="W209" s="480" t="str">
        <f t="shared" ca="1" si="80"/>
        <v/>
      </c>
      <c r="X209" s="480" t="str">
        <f t="shared" ca="1" si="81"/>
        <v/>
      </c>
      <c r="Y209" s="488"/>
      <c r="Z209" s="714"/>
      <c r="AD209" s="611"/>
      <c r="AE209" s="603" t="str">
        <f t="shared" si="82"/>
        <v/>
      </c>
      <c r="AF209" s="603"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03"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03" t="str">
        <f t="shared" ca="1" si="83"/>
        <v/>
      </c>
      <c r="AI209" s="603" t="str" cm="1">
        <f t="array" ref="AI209">IFERROR(INDEX(始値!$E$6:$BT$305,MATCH(TEXT($B209,"0"),TEXT(銘柄管理!$B$6:$B$305,"0"),0),MATCH($AE209,始値!$E$3:$BT$3,0)),"")</f>
        <v/>
      </c>
      <c r="AJ209" s="603" t="str">
        <f t="shared" ca="1" si="84"/>
        <v/>
      </c>
      <c r="AK209" s="603" t="str">
        <f t="shared" ca="1" si="85"/>
        <v/>
      </c>
    </row>
    <row r="210" spans="1:37" ht="17.25" customHeight="1">
      <c r="A210" s="625" t="str">
        <f t="shared" si="74"/>
        <v/>
      </c>
      <c r="B210" s="480"/>
      <c r="C210" s="480"/>
      <c r="D210" s="480" t="str" cm="1">
        <f t="array" ref="D210">_xll.RssMarket(B210, "銘柄名称")</f>
        <v/>
      </c>
      <c r="E210" s="721"/>
      <c r="F210" s="702" t="str" cm="1">
        <f t="array" aca="1" ref="F210" ca="1">IFERROR(_xlfn.LET(_xlpm.r,MATCH(TEXT($B210,"0"),TEXT(銘柄管理!$B$6:$B$305,"0"),0),_xlpm.t,MOD(NOW(),1),_xlpm.c,IF($E210=TODAY(),IF(_xlpm.t&gt;=TIME(15,30,0),NA(),1),IF(MATCH($E210,始値!$E$3:$BT$3,0)=1,1,MATCH($E210,始値!$E$3:$BT$3,0)+1)),_xlpm.v,INDEX(始値!$C$6:$BT$305,_xlpm.r,_xlpm.c),IF(N(_xlpm.v)=0,"",_xlpm.v)),"")</f>
        <v/>
      </c>
      <c r="G210" s="480"/>
      <c r="H210" s="480" t="str" cm="1">
        <f t="array" ref="H210">_xll.RssMarket(B210, "現在値")</f>
        <v/>
      </c>
      <c r="I210" s="480" t="str" cm="1">
        <f t="array" ref="I210">_xll.RssMarket(B210, "出来高加重平均")</f>
        <v/>
      </c>
      <c r="J210" s="706" t="str" cm="1">
        <f t="array" ref="J210">_xll.RssMarket($B210, "前日比")</f>
        <v/>
      </c>
      <c r="K210" s="707" t="str">
        <f t="shared" ca="1" si="86"/>
        <v/>
      </c>
      <c r="L210" s="712" t="str">
        <f t="shared" ca="1" si="87"/>
        <v/>
      </c>
      <c r="M210" s="601" t="str">
        <f t="shared" ca="1" si="75"/>
        <v/>
      </c>
      <c r="N210" s="601" t="str">
        <f t="shared" ca="1" si="76"/>
        <v/>
      </c>
      <c r="O210" s="478" t="str">
        <f t="shared" ca="1" si="77"/>
        <v/>
      </c>
      <c r="P210" s="445" t="str">
        <f t="array" aca="1" ref="P210" ca="1">IF(B210="","",IFERROR(MAX(OFFSET(高値!$E$6,MATCH(TEXT(B210,"0"),TEXT(銘柄管理!$B$6:$B$305,"0"),0)-1,0,1,10)),""))</f>
        <v/>
      </c>
      <c r="Q210" s="445" t="str">
        <f t="array" aca="1" ref="Q210" ca="1">IF(B210="","",IFERROR(MIN(OFFSET(安値!$E$6,MATCH(TEXT(B210,"0"),TEXT(銘柄管理!$B$6:$B$305,"0"),0)-1,0,1,10)),""))</f>
        <v/>
      </c>
      <c r="R210" s="480" t="str">
        <f t="shared" ca="1" si="88"/>
        <v/>
      </c>
      <c r="S210" s="480" t="str">
        <f t="shared" si="89"/>
        <v/>
      </c>
      <c r="T210" s="599" t="str">
        <f t="shared" ca="1" si="78"/>
        <v/>
      </c>
      <c r="U210" s="601" t="str">
        <f t="shared" ca="1" si="79"/>
        <v/>
      </c>
      <c r="V210" s="707" t="str">
        <f t="shared" ca="1" si="90"/>
        <v/>
      </c>
      <c r="W210" s="480" t="str">
        <f t="shared" ca="1" si="80"/>
        <v/>
      </c>
      <c r="X210" s="480" t="str">
        <f t="shared" ca="1" si="81"/>
        <v/>
      </c>
      <c r="Y210" s="488"/>
      <c r="Z210" s="714"/>
      <c r="AD210" s="611"/>
      <c r="AE210" s="603" t="str">
        <f t="shared" si="82"/>
        <v/>
      </c>
      <c r="AF210" s="603"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03"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03" t="str">
        <f t="shared" ca="1" si="83"/>
        <v/>
      </c>
      <c r="AI210" s="603" t="str" cm="1">
        <f t="array" ref="AI210">IFERROR(INDEX(始値!$E$6:$BT$305,MATCH(TEXT($B210,"0"),TEXT(銘柄管理!$B$6:$B$305,"0"),0),MATCH($AE210,始値!$E$3:$BT$3,0)),"")</f>
        <v/>
      </c>
      <c r="AJ210" s="603" t="str">
        <f t="shared" ca="1" si="84"/>
        <v/>
      </c>
      <c r="AK210" s="603" t="str">
        <f t="shared" ca="1" si="85"/>
        <v/>
      </c>
    </row>
    <row r="211" spans="1:37" ht="17.25" customHeight="1">
      <c r="A211" s="625" t="str">
        <f t="shared" si="74"/>
        <v/>
      </c>
      <c r="B211" s="480"/>
      <c r="C211" s="480"/>
      <c r="D211" s="480" t="str" cm="1">
        <f t="array" ref="D211">_xll.RssMarket(B211, "銘柄名称")</f>
        <v/>
      </c>
      <c r="E211" s="721"/>
      <c r="F211" s="702" t="str" cm="1">
        <f t="array" aca="1" ref="F211" ca="1">IFERROR(_xlfn.LET(_xlpm.r,MATCH(TEXT($B211,"0"),TEXT(銘柄管理!$B$6:$B$305,"0"),0),_xlpm.t,MOD(NOW(),1),_xlpm.c,IF($E211=TODAY(),IF(_xlpm.t&gt;=TIME(15,30,0),NA(),1),IF(MATCH($E211,始値!$E$3:$BT$3,0)=1,1,MATCH($E211,始値!$E$3:$BT$3,0)+1)),_xlpm.v,INDEX(始値!$C$6:$BT$305,_xlpm.r,_xlpm.c),IF(N(_xlpm.v)=0,"",_xlpm.v)),"")</f>
        <v/>
      </c>
      <c r="G211" s="480"/>
      <c r="H211" s="480" t="str" cm="1">
        <f t="array" ref="H211">_xll.RssMarket(B211, "現在値")</f>
        <v/>
      </c>
      <c r="I211" s="480" t="str" cm="1">
        <f t="array" ref="I211">_xll.RssMarket(B211, "出来高加重平均")</f>
        <v/>
      </c>
      <c r="J211" s="706" t="str" cm="1">
        <f t="array" ref="J211">_xll.RssMarket($B211, "前日比")</f>
        <v/>
      </c>
      <c r="K211" s="707" t="str">
        <f t="shared" ca="1" si="86"/>
        <v/>
      </c>
      <c r="L211" s="712" t="str">
        <f t="shared" ca="1" si="87"/>
        <v/>
      </c>
      <c r="M211" s="601" t="str">
        <f t="shared" ca="1" si="75"/>
        <v/>
      </c>
      <c r="N211" s="601" t="str">
        <f t="shared" ca="1" si="76"/>
        <v/>
      </c>
      <c r="O211" s="478" t="str">
        <f t="shared" ca="1" si="77"/>
        <v/>
      </c>
      <c r="P211" s="445" t="str">
        <f t="array" aca="1" ref="P211" ca="1">IF(B211="","",IFERROR(MAX(OFFSET(高値!$E$6,MATCH(TEXT(B211,"0"),TEXT(銘柄管理!$B$6:$B$305,"0"),0)-1,0,1,10)),""))</f>
        <v/>
      </c>
      <c r="Q211" s="445" t="str">
        <f t="array" aca="1" ref="Q211" ca="1">IF(B211="","",IFERROR(MIN(OFFSET(安値!$E$6,MATCH(TEXT(B211,"0"),TEXT(銘柄管理!$B$6:$B$305,"0"),0)-1,0,1,10)),""))</f>
        <v/>
      </c>
      <c r="R211" s="480" t="str">
        <f t="shared" ca="1" si="88"/>
        <v/>
      </c>
      <c r="S211" s="480" t="str">
        <f t="shared" si="89"/>
        <v/>
      </c>
      <c r="T211" s="599" t="str">
        <f t="shared" ca="1" si="78"/>
        <v/>
      </c>
      <c r="U211" s="601" t="str">
        <f t="shared" ca="1" si="79"/>
        <v/>
      </c>
      <c r="V211" s="707" t="str">
        <f t="shared" ca="1" si="90"/>
        <v/>
      </c>
      <c r="W211" s="480" t="str">
        <f t="shared" ca="1" si="80"/>
        <v/>
      </c>
      <c r="X211" s="480" t="str">
        <f t="shared" ca="1" si="81"/>
        <v/>
      </c>
      <c r="Y211" s="488"/>
      <c r="Z211" s="714"/>
      <c r="AD211" s="611"/>
      <c r="AE211" s="603" t="str">
        <f t="shared" si="82"/>
        <v/>
      </c>
      <c r="AF211" s="603"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03"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03" t="str">
        <f t="shared" ca="1" si="83"/>
        <v/>
      </c>
      <c r="AI211" s="603" t="str" cm="1">
        <f t="array" ref="AI211">IFERROR(INDEX(始値!$E$6:$BT$305,MATCH(TEXT($B211,"0"),TEXT(銘柄管理!$B$6:$B$305,"0"),0),MATCH($AE211,始値!$E$3:$BT$3,0)),"")</f>
        <v/>
      </c>
      <c r="AJ211" s="603" t="str">
        <f t="shared" ca="1" si="84"/>
        <v/>
      </c>
      <c r="AK211" s="603" t="str">
        <f t="shared" ca="1" si="85"/>
        <v/>
      </c>
    </row>
    <row r="212" spans="1:37" ht="17.25" customHeight="1">
      <c r="A212" s="625" t="str">
        <f t="shared" si="74"/>
        <v/>
      </c>
      <c r="B212" s="480"/>
      <c r="C212" s="480"/>
      <c r="D212" s="480" t="str" cm="1">
        <f t="array" ref="D212">_xll.RssMarket(B212, "銘柄名称")</f>
        <v/>
      </c>
      <c r="E212" s="721"/>
      <c r="F212" s="702" t="str" cm="1">
        <f t="array" aca="1" ref="F212" ca="1">IFERROR(_xlfn.LET(_xlpm.r,MATCH(TEXT($B212,"0"),TEXT(銘柄管理!$B$6:$B$305,"0"),0),_xlpm.t,MOD(NOW(),1),_xlpm.c,IF($E212=TODAY(),IF(_xlpm.t&gt;=TIME(15,30,0),NA(),1),IF(MATCH($E212,始値!$E$3:$BT$3,0)=1,1,MATCH($E212,始値!$E$3:$BT$3,0)+1)),_xlpm.v,INDEX(始値!$C$6:$BT$305,_xlpm.r,_xlpm.c),IF(N(_xlpm.v)=0,"",_xlpm.v)),"")</f>
        <v/>
      </c>
      <c r="G212" s="480"/>
      <c r="H212" s="480" t="str" cm="1">
        <f t="array" ref="H212">_xll.RssMarket(B212, "現在値")</f>
        <v/>
      </c>
      <c r="I212" s="480" t="str" cm="1">
        <f t="array" ref="I212">_xll.RssMarket(B212, "出来高加重平均")</f>
        <v/>
      </c>
      <c r="J212" s="706" t="str" cm="1">
        <f t="array" ref="J212">_xll.RssMarket($B212, "前日比")</f>
        <v/>
      </c>
      <c r="K212" s="707" t="str">
        <f t="shared" ca="1" si="86"/>
        <v/>
      </c>
      <c r="L212" s="712" t="str">
        <f t="shared" ca="1" si="87"/>
        <v/>
      </c>
      <c r="M212" s="601" t="str">
        <f t="shared" ca="1" si="75"/>
        <v/>
      </c>
      <c r="N212" s="601" t="str">
        <f t="shared" ca="1" si="76"/>
        <v/>
      </c>
      <c r="O212" s="478" t="str">
        <f t="shared" ca="1" si="77"/>
        <v/>
      </c>
      <c r="P212" s="445" t="str">
        <f t="array" aca="1" ref="P212" ca="1">IF(B212="","",IFERROR(MAX(OFFSET(高値!$E$6,MATCH(TEXT(B212,"0"),TEXT(銘柄管理!$B$6:$B$305,"0"),0)-1,0,1,10)),""))</f>
        <v/>
      </c>
      <c r="Q212" s="445" t="str">
        <f t="array" aca="1" ref="Q212" ca="1">IF(B212="","",IFERROR(MIN(OFFSET(安値!$E$6,MATCH(TEXT(B212,"0"),TEXT(銘柄管理!$B$6:$B$305,"0"),0)-1,0,1,10)),""))</f>
        <v/>
      </c>
      <c r="R212" s="480" t="str">
        <f t="shared" ca="1" si="88"/>
        <v/>
      </c>
      <c r="S212" s="480" t="str">
        <f t="shared" si="89"/>
        <v/>
      </c>
      <c r="T212" s="599" t="str">
        <f t="shared" ca="1" si="78"/>
        <v/>
      </c>
      <c r="U212" s="601" t="str">
        <f t="shared" ca="1" si="79"/>
        <v/>
      </c>
      <c r="V212" s="707" t="str">
        <f t="shared" ca="1" si="90"/>
        <v/>
      </c>
      <c r="W212" s="480" t="str">
        <f t="shared" ca="1" si="80"/>
        <v/>
      </c>
      <c r="X212" s="480" t="str">
        <f t="shared" ca="1" si="81"/>
        <v/>
      </c>
      <c r="Y212" s="488"/>
      <c r="Z212" s="714"/>
      <c r="AD212" s="611"/>
      <c r="AE212" s="603" t="str">
        <f t="shared" si="82"/>
        <v/>
      </c>
      <c r="AF212" s="603"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03"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03" t="str">
        <f t="shared" ca="1" si="83"/>
        <v/>
      </c>
      <c r="AI212" s="603" t="str" cm="1">
        <f t="array" ref="AI212">IFERROR(INDEX(始値!$E$6:$BT$305,MATCH(TEXT($B212,"0"),TEXT(銘柄管理!$B$6:$B$305,"0"),0),MATCH($AE212,始値!$E$3:$BT$3,0)),"")</f>
        <v/>
      </c>
      <c r="AJ212" s="603" t="str">
        <f t="shared" ca="1" si="84"/>
        <v/>
      </c>
      <c r="AK212" s="603" t="str">
        <f t="shared" ca="1" si="85"/>
        <v/>
      </c>
    </row>
    <row r="213" spans="1:37" ht="17.25" customHeight="1">
      <c r="A213" s="625" t="str">
        <f t="shared" si="74"/>
        <v/>
      </c>
      <c r="B213" s="480"/>
      <c r="C213" s="480"/>
      <c r="D213" s="480" t="str" cm="1">
        <f t="array" ref="D213">_xll.RssMarket(B213, "銘柄名称")</f>
        <v/>
      </c>
      <c r="E213" s="721"/>
      <c r="F213" s="702" t="str" cm="1">
        <f t="array" aca="1" ref="F213" ca="1">IFERROR(_xlfn.LET(_xlpm.r,MATCH(TEXT($B213,"0"),TEXT(銘柄管理!$B$6:$B$305,"0"),0),_xlpm.t,MOD(NOW(),1),_xlpm.c,IF($E213=TODAY(),IF(_xlpm.t&gt;=TIME(15,30,0),NA(),1),IF(MATCH($E213,始値!$E$3:$BT$3,0)=1,1,MATCH($E213,始値!$E$3:$BT$3,0)+1)),_xlpm.v,INDEX(始値!$C$6:$BT$305,_xlpm.r,_xlpm.c),IF(N(_xlpm.v)=0,"",_xlpm.v)),"")</f>
        <v/>
      </c>
      <c r="G213" s="480"/>
      <c r="H213" s="480" t="str" cm="1">
        <f t="array" ref="H213">_xll.RssMarket(B213, "現在値")</f>
        <v/>
      </c>
      <c r="I213" s="480" t="str" cm="1">
        <f t="array" ref="I213">_xll.RssMarket(B213, "出来高加重平均")</f>
        <v/>
      </c>
      <c r="J213" s="706" t="str" cm="1">
        <f t="array" ref="J213">_xll.RssMarket($B213, "前日比")</f>
        <v/>
      </c>
      <c r="K213" s="707" t="str">
        <f t="shared" ca="1" si="86"/>
        <v/>
      </c>
      <c r="L213" s="712" t="str">
        <f t="shared" ca="1" si="87"/>
        <v/>
      </c>
      <c r="M213" s="601" t="str">
        <f t="shared" ca="1" si="75"/>
        <v/>
      </c>
      <c r="N213" s="601" t="str">
        <f t="shared" ca="1" si="76"/>
        <v/>
      </c>
      <c r="O213" s="478" t="str">
        <f t="shared" ca="1" si="77"/>
        <v/>
      </c>
      <c r="P213" s="445" t="str">
        <f t="array" aca="1" ref="P213" ca="1">IF(B213="","",IFERROR(MAX(OFFSET(高値!$E$6,MATCH(TEXT(B213,"0"),TEXT(銘柄管理!$B$6:$B$305,"0"),0)-1,0,1,10)),""))</f>
        <v/>
      </c>
      <c r="Q213" s="445" t="str">
        <f t="array" aca="1" ref="Q213" ca="1">IF(B213="","",IFERROR(MIN(OFFSET(安値!$E$6,MATCH(TEXT(B213,"0"),TEXT(銘柄管理!$B$6:$B$305,"0"),0)-1,0,1,10)),""))</f>
        <v/>
      </c>
      <c r="R213" s="480" t="str">
        <f t="shared" ca="1" si="88"/>
        <v/>
      </c>
      <c r="S213" s="480" t="str">
        <f t="shared" si="89"/>
        <v/>
      </c>
      <c r="T213" s="599" t="str">
        <f t="shared" ca="1" si="78"/>
        <v/>
      </c>
      <c r="U213" s="601" t="str">
        <f t="shared" ca="1" si="79"/>
        <v/>
      </c>
      <c r="V213" s="707" t="str">
        <f t="shared" ca="1" si="90"/>
        <v/>
      </c>
      <c r="W213" s="480" t="str">
        <f t="shared" ca="1" si="80"/>
        <v/>
      </c>
      <c r="X213" s="480" t="str">
        <f t="shared" ca="1" si="81"/>
        <v/>
      </c>
      <c r="Y213" s="488"/>
      <c r="Z213" s="714"/>
      <c r="AD213" s="611"/>
      <c r="AE213" s="603" t="str">
        <f t="shared" si="82"/>
        <v/>
      </c>
      <c r="AF213" s="603"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03"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03" t="str">
        <f t="shared" ca="1" si="83"/>
        <v/>
      </c>
      <c r="AI213" s="603" t="str" cm="1">
        <f t="array" ref="AI213">IFERROR(INDEX(始値!$E$6:$BT$305,MATCH(TEXT($B213,"0"),TEXT(銘柄管理!$B$6:$B$305,"0"),0),MATCH($AE213,始値!$E$3:$BT$3,0)),"")</f>
        <v/>
      </c>
      <c r="AJ213" s="603" t="str">
        <f t="shared" ca="1" si="84"/>
        <v/>
      </c>
      <c r="AK213" s="603" t="str">
        <f t="shared" ca="1" si="85"/>
        <v/>
      </c>
    </row>
    <row r="214" spans="1:37" ht="17.25" customHeight="1">
      <c r="A214" s="625" t="str">
        <f t="shared" si="74"/>
        <v/>
      </c>
      <c r="B214" s="480"/>
      <c r="C214" s="480"/>
      <c r="D214" s="480" t="str" cm="1">
        <f t="array" ref="D214">_xll.RssMarket(B214, "銘柄名称")</f>
        <v/>
      </c>
      <c r="E214" s="721"/>
      <c r="F214" s="702" t="str" cm="1">
        <f t="array" aca="1" ref="F214" ca="1">IFERROR(_xlfn.LET(_xlpm.r,MATCH(TEXT($B214,"0"),TEXT(銘柄管理!$B$6:$B$305,"0"),0),_xlpm.t,MOD(NOW(),1),_xlpm.c,IF($E214=TODAY(),IF(_xlpm.t&gt;=TIME(15,30,0),NA(),1),IF(MATCH($E214,始値!$E$3:$BT$3,0)=1,1,MATCH($E214,始値!$E$3:$BT$3,0)+1)),_xlpm.v,INDEX(始値!$C$6:$BT$305,_xlpm.r,_xlpm.c),IF(N(_xlpm.v)=0,"",_xlpm.v)),"")</f>
        <v/>
      </c>
      <c r="G214" s="480"/>
      <c r="H214" s="480" t="str" cm="1">
        <f t="array" ref="H214">_xll.RssMarket(B214, "現在値")</f>
        <v/>
      </c>
      <c r="I214" s="480" t="str" cm="1">
        <f t="array" ref="I214">_xll.RssMarket(B214, "出来高加重平均")</f>
        <v/>
      </c>
      <c r="J214" s="706" t="str" cm="1">
        <f t="array" ref="J214">_xll.RssMarket($B214, "前日比")</f>
        <v/>
      </c>
      <c r="K214" s="707" t="str">
        <f t="shared" ca="1" si="86"/>
        <v/>
      </c>
      <c r="L214" s="712" t="str">
        <f t="shared" ca="1" si="87"/>
        <v/>
      </c>
      <c r="M214" s="601" t="str">
        <f t="shared" ca="1" si="75"/>
        <v/>
      </c>
      <c r="N214" s="601" t="str">
        <f t="shared" ca="1" si="76"/>
        <v/>
      </c>
      <c r="O214" s="478" t="str">
        <f t="shared" ca="1" si="77"/>
        <v/>
      </c>
      <c r="P214" s="445" t="str">
        <f t="array" aca="1" ref="P214" ca="1">IF(B214="","",IFERROR(MAX(OFFSET(高値!$E$6,MATCH(TEXT(B214,"0"),TEXT(銘柄管理!$B$6:$B$305,"0"),0)-1,0,1,10)),""))</f>
        <v/>
      </c>
      <c r="Q214" s="445" t="str">
        <f t="array" aca="1" ref="Q214" ca="1">IF(B214="","",IFERROR(MIN(OFFSET(安値!$E$6,MATCH(TEXT(B214,"0"),TEXT(銘柄管理!$B$6:$B$305,"0"),0)-1,0,1,10)),""))</f>
        <v/>
      </c>
      <c r="R214" s="480" t="str">
        <f t="shared" ca="1" si="88"/>
        <v/>
      </c>
      <c r="S214" s="480" t="str">
        <f t="shared" si="89"/>
        <v/>
      </c>
      <c r="T214" s="599" t="str">
        <f t="shared" ca="1" si="78"/>
        <v/>
      </c>
      <c r="U214" s="601" t="str">
        <f t="shared" ca="1" si="79"/>
        <v/>
      </c>
      <c r="V214" s="707" t="str">
        <f t="shared" ca="1" si="90"/>
        <v/>
      </c>
      <c r="W214" s="480" t="str">
        <f t="shared" ca="1" si="80"/>
        <v/>
      </c>
      <c r="X214" s="480" t="str">
        <f t="shared" ca="1" si="81"/>
        <v/>
      </c>
      <c r="Y214" s="488"/>
      <c r="Z214" s="714"/>
      <c r="AD214" s="611"/>
      <c r="AE214" s="603" t="str">
        <f t="shared" si="82"/>
        <v/>
      </c>
      <c r="AF214" s="603"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03"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03" t="str">
        <f t="shared" ca="1" si="83"/>
        <v/>
      </c>
      <c r="AI214" s="603" t="str" cm="1">
        <f t="array" ref="AI214">IFERROR(INDEX(始値!$E$6:$BT$305,MATCH(TEXT($B214,"0"),TEXT(銘柄管理!$B$6:$B$305,"0"),0),MATCH($AE214,始値!$E$3:$BT$3,0)),"")</f>
        <v/>
      </c>
      <c r="AJ214" s="603" t="str">
        <f t="shared" ca="1" si="84"/>
        <v/>
      </c>
      <c r="AK214" s="603" t="str">
        <f t="shared" ca="1" si="85"/>
        <v/>
      </c>
    </row>
    <row r="215" spans="1:37" ht="17.25" customHeight="1">
      <c r="A215" s="625" t="str">
        <f t="shared" si="74"/>
        <v/>
      </c>
      <c r="B215" s="480"/>
      <c r="C215" s="480"/>
      <c r="D215" s="480" t="str" cm="1">
        <f t="array" ref="D215">_xll.RssMarket(B215, "銘柄名称")</f>
        <v/>
      </c>
      <c r="E215" s="721"/>
      <c r="F215" s="702" t="str" cm="1">
        <f t="array" aca="1" ref="F215" ca="1">IFERROR(_xlfn.LET(_xlpm.r,MATCH(TEXT($B215,"0"),TEXT(銘柄管理!$B$6:$B$305,"0"),0),_xlpm.t,MOD(NOW(),1),_xlpm.c,IF($E215=TODAY(),IF(_xlpm.t&gt;=TIME(15,30,0),NA(),1),IF(MATCH($E215,始値!$E$3:$BT$3,0)=1,1,MATCH($E215,始値!$E$3:$BT$3,0)+1)),_xlpm.v,INDEX(始値!$C$6:$BT$305,_xlpm.r,_xlpm.c),IF(N(_xlpm.v)=0,"",_xlpm.v)),"")</f>
        <v/>
      </c>
      <c r="G215" s="480"/>
      <c r="H215" s="480" t="str" cm="1">
        <f t="array" ref="H215">_xll.RssMarket(B215, "現在値")</f>
        <v/>
      </c>
      <c r="I215" s="480" t="str" cm="1">
        <f t="array" ref="I215">_xll.RssMarket(B215, "出来高加重平均")</f>
        <v/>
      </c>
      <c r="J215" s="706" t="str" cm="1">
        <f t="array" ref="J215">_xll.RssMarket($B215, "前日比")</f>
        <v/>
      </c>
      <c r="K215" s="707" t="str">
        <f t="shared" ca="1" si="86"/>
        <v/>
      </c>
      <c r="L215" s="712" t="str">
        <f t="shared" ca="1" si="87"/>
        <v/>
      </c>
      <c r="M215" s="601" t="str">
        <f t="shared" ca="1" si="75"/>
        <v/>
      </c>
      <c r="N215" s="601" t="str">
        <f t="shared" ca="1" si="76"/>
        <v/>
      </c>
      <c r="O215" s="478" t="str">
        <f t="shared" ca="1" si="77"/>
        <v/>
      </c>
      <c r="P215" s="445" t="str">
        <f t="array" aca="1" ref="P215" ca="1">IF(B215="","",IFERROR(MAX(OFFSET(高値!$E$6,MATCH(TEXT(B215,"0"),TEXT(銘柄管理!$B$6:$B$305,"0"),0)-1,0,1,10)),""))</f>
        <v/>
      </c>
      <c r="Q215" s="445" t="str">
        <f t="array" aca="1" ref="Q215" ca="1">IF(B215="","",IFERROR(MIN(OFFSET(安値!$E$6,MATCH(TEXT(B215,"0"),TEXT(銘柄管理!$B$6:$B$305,"0"),0)-1,0,1,10)),""))</f>
        <v/>
      </c>
      <c r="R215" s="480" t="str">
        <f t="shared" ca="1" si="88"/>
        <v/>
      </c>
      <c r="S215" s="480" t="str">
        <f t="shared" si="89"/>
        <v/>
      </c>
      <c r="T215" s="599" t="str">
        <f t="shared" ca="1" si="78"/>
        <v/>
      </c>
      <c r="U215" s="601" t="str">
        <f t="shared" ca="1" si="79"/>
        <v/>
      </c>
      <c r="V215" s="707" t="str">
        <f t="shared" ca="1" si="90"/>
        <v/>
      </c>
      <c r="W215" s="480" t="str">
        <f t="shared" ca="1" si="80"/>
        <v/>
      </c>
      <c r="X215" s="480" t="str">
        <f t="shared" ca="1" si="81"/>
        <v/>
      </c>
      <c r="Y215" s="488"/>
      <c r="Z215" s="714"/>
      <c r="AD215" s="611"/>
      <c r="AE215" s="603" t="str">
        <f t="shared" si="82"/>
        <v/>
      </c>
      <c r="AF215" s="603"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03"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03" t="str">
        <f t="shared" ca="1" si="83"/>
        <v/>
      </c>
      <c r="AI215" s="603" t="str" cm="1">
        <f t="array" ref="AI215">IFERROR(INDEX(始値!$E$6:$BT$305,MATCH(TEXT($B215,"0"),TEXT(銘柄管理!$B$6:$B$305,"0"),0),MATCH($AE215,始値!$E$3:$BT$3,0)),"")</f>
        <v/>
      </c>
      <c r="AJ215" s="603" t="str">
        <f t="shared" ca="1" si="84"/>
        <v/>
      </c>
      <c r="AK215" s="603" t="str">
        <f t="shared" ca="1" si="85"/>
        <v/>
      </c>
    </row>
    <row r="216" spans="1:37" ht="17.25" customHeight="1">
      <c r="A216" s="625" t="str">
        <f t="shared" si="74"/>
        <v/>
      </c>
      <c r="B216" s="480"/>
      <c r="C216" s="480"/>
      <c r="D216" s="480" t="str" cm="1">
        <f t="array" ref="D216">_xll.RssMarket(B216, "銘柄名称")</f>
        <v/>
      </c>
      <c r="E216" s="721"/>
      <c r="F216" s="702" t="str" cm="1">
        <f t="array" aca="1" ref="F216" ca="1">IFERROR(_xlfn.LET(_xlpm.r,MATCH(TEXT($B216,"0"),TEXT(銘柄管理!$B$6:$B$305,"0"),0),_xlpm.t,MOD(NOW(),1),_xlpm.c,IF($E216=TODAY(),IF(_xlpm.t&gt;=TIME(15,30,0),NA(),1),IF(MATCH($E216,始値!$E$3:$BT$3,0)=1,1,MATCH($E216,始値!$E$3:$BT$3,0)+1)),_xlpm.v,INDEX(始値!$C$6:$BT$305,_xlpm.r,_xlpm.c),IF(N(_xlpm.v)=0,"",_xlpm.v)),"")</f>
        <v/>
      </c>
      <c r="G216" s="480"/>
      <c r="H216" s="480" t="str" cm="1">
        <f t="array" ref="H216">_xll.RssMarket(B216, "現在値")</f>
        <v/>
      </c>
      <c r="I216" s="480" t="str" cm="1">
        <f t="array" ref="I216">_xll.RssMarket(B216, "出来高加重平均")</f>
        <v/>
      </c>
      <c r="J216" s="706" t="str" cm="1">
        <f t="array" ref="J216">_xll.RssMarket($B216, "前日比")</f>
        <v/>
      </c>
      <c r="K216" s="707" t="str">
        <f t="shared" ca="1" si="86"/>
        <v/>
      </c>
      <c r="L216" s="712" t="str">
        <f t="shared" ca="1" si="87"/>
        <v/>
      </c>
      <c r="M216" s="601" t="str">
        <f t="shared" ca="1" si="75"/>
        <v/>
      </c>
      <c r="N216" s="601" t="str">
        <f t="shared" ca="1" si="76"/>
        <v/>
      </c>
      <c r="O216" s="478" t="str">
        <f t="shared" ca="1" si="77"/>
        <v/>
      </c>
      <c r="P216" s="445" t="str">
        <f t="array" aca="1" ref="P216" ca="1">IF(B216="","",IFERROR(MAX(OFFSET(高値!$E$6,MATCH(TEXT(B216,"0"),TEXT(銘柄管理!$B$6:$B$305,"0"),0)-1,0,1,10)),""))</f>
        <v/>
      </c>
      <c r="Q216" s="445" t="str">
        <f t="array" aca="1" ref="Q216" ca="1">IF(B216="","",IFERROR(MIN(OFFSET(安値!$E$6,MATCH(TEXT(B216,"0"),TEXT(銘柄管理!$B$6:$B$305,"0"),0)-1,0,1,10)),""))</f>
        <v/>
      </c>
      <c r="R216" s="480" t="str">
        <f t="shared" ca="1" si="88"/>
        <v/>
      </c>
      <c r="S216" s="480" t="str">
        <f t="shared" si="89"/>
        <v/>
      </c>
      <c r="T216" s="599" t="str">
        <f t="shared" ca="1" si="78"/>
        <v/>
      </c>
      <c r="U216" s="601" t="str">
        <f t="shared" ca="1" si="79"/>
        <v/>
      </c>
      <c r="V216" s="707" t="str">
        <f t="shared" ca="1" si="90"/>
        <v/>
      </c>
      <c r="W216" s="480" t="str">
        <f t="shared" ca="1" si="80"/>
        <v/>
      </c>
      <c r="X216" s="480" t="str">
        <f t="shared" ca="1" si="81"/>
        <v/>
      </c>
      <c r="Y216" s="488"/>
      <c r="Z216" s="714"/>
      <c r="AD216" s="611"/>
      <c r="AE216" s="603" t="str">
        <f t="shared" si="82"/>
        <v/>
      </c>
      <c r="AF216" s="603"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03"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03" t="str">
        <f t="shared" ca="1" si="83"/>
        <v/>
      </c>
      <c r="AI216" s="603" t="str" cm="1">
        <f t="array" ref="AI216">IFERROR(INDEX(始値!$E$6:$BT$305,MATCH(TEXT($B216,"0"),TEXT(銘柄管理!$B$6:$B$305,"0"),0),MATCH($AE216,始値!$E$3:$BT$3,0)),"")</f>
        <v/>
      </c>
      <c r="AJ216" s="603" t="str">
        <f t="shared" ca="1" si="84"/>
        <v/>
      </c>
      <c r="AK216" s="603" t="str">
        <f t="shared" ca="1" si="85"/>
        <v/>
      </c>
    </row>
    <row r="217" spans="1:37" ht="17.25" customHeight="1">
      <c r="A217" s="625" t="str">
        <f t="shared" si="74"/>
        <v/>
      </c>
      <c r="B217" s="480"/>
      <c r="C217" s="480"/>
      <c r="D217" s="480" t="str" cm="1">
        <f t="array" ref="D217">_xll.RssMarket(B217, "銘柄名称")</f>
        <v/>
      </c>
      <c r="E217" s="721"/>
      <c r="F217" s="702" t="str" cm="1">
        <f t="array" aca="1" ref="F217" ca="1">IFERROR(_xlfn.LET(_xlpm.r,MATCH(TEXT($B217,"0"),TEXT(銘柄管理!$B$6:$B$305,"0"),0),_xlpm.t,MOD(NOW(),1),_xlpm.c,IF($E217=TODAY(),IF(_xlpm.t&gt;=TIME(15,30,0),NA(),1),IF(MATCH($E217,始値!$E$3:$BT$3,0)=1,1,MATCH($E217,始値!$E$3:$BT$3,0)+1)),_xlpm.v,INDEX(始値!$C$6:$BT$305,_xlpm.r,_xlpm.c),IF(N(_xlpm.v)=0,"",_xlpm.v)),"")</f>
        <v/>
      </c>
      <c r="G217" s="480"/>
      <c r="H217" s="480" t="str" cm="1">
        <f t="array" ref="H217">_xll.RssMarket(B217, "現在値")</f>
        <v/>
      </c>
      <c r="I217" s="480" t="str" cm="1">
        <f t="array" ref="I217">_xll.RssMarket(B217, "出来高加重平均")</f>
        <v/>
      </c>
      <c r="J217" s="706" t="str" cm="1">
        <f t="array" ref="J217">_xll.RssMarket($B217, "前日比")</f>
        <v/>
      </c>
      <c r="K217" s="707" t="str">
        <f t="shared" ca="1" si="86"/>
        <v/>
      </c>
      <c r="L217" s="712" t="str">
        <f t="shared" ca="1" si="87"/>
        <v/>
      </c>
      <c r="M217" s="601" t="str">
        <f t="shared" ca="1" si="75"/>
        <v/>
      </c>
      <c r="N217" s="601" t="str">
        <f t="shared" ca="1" si="76"/>
        <v/>
      </c>
      <c r="O217" s="478" t="str">
        <f t="shared" ca="1" si="77"/>
        <v/>
      </c>
      <c r="P217" s="445" t="str">
        <f t="array" aca="1" ref="P217" ca="1">IF(B217="","",IFERROR(MAX(OFFSET(高値!$E$6,MATCH(TEXT(B217,"0"),TEXT(銘柄管理!$B$6:$B$305,"0"),0)-1,0,1,10)),""))</f>
        <v/>
      </c>
      <c r="Q217" s="445" t="str">
        <f t="array" aca="1" ref="Q217" ca="1">IF(B217="","",IFERROR(MIN(OFFSET(安値!$E$6,MATCH(TEXT(B217,"0"),TEXT(銘柄管理!$B$6:$B$305,"0"),0)-1,0,1,10)),""))</f>
        <v/>
      </c>
      <c r="R217" s="480" t="str">
        <f t="shared" ca="1" si="88"/>
        <v/>
      </c>
      <c r="S217" s="480" t="str">
        <f t="shared" si="89"/>
        <v/>
      </c>
      <c r="T217" s="599" t="str">
        <f t="shared" ca="1" si="78"/>
        <v/>
      </c>
      <c r="U217" s="601" t="str">
        <f t="shared" ca="1" si="79"/>
        <v/>
      </c>
      <c r="V217" s="707" t="str">
        <f t="shared" ca="1" si="90"/>
        <v/>
      </c>
      <c r="W217" s="480" t="str">
        <f t="shared" ca="1" si="80"/>
        <v/>
      </c>
      <c r="X217" s="480" t="str">
        <f t="shared" ca="1" si="81"/>
        <v/>
      </c>
      <c r="Y217" s="488"/>
      <c r="Z217" s="714"/>
      <c r="AD217" s="611"/>
      <c r="AE217" s="603" t="str">
        <f t="shared" si="82"/>
        <v/>
      </c>
      <c r="AF217" s="603"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03"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03" t="str">
        <f t="shared" ca="1" si="83"/>
        <v/>
      </c>
      <c r="AI217" s="603" t="str" cm="1">
        <f t="array" ref="AI217">IFERROR(INDEX(始値!$E$6:$BT$305,MATCH(TEXT($B217,"0"),TEXT(銘柄管理!$B$6:$B$305,"0"),0),MATCH($AE217,始値!$E$3:$BT$3,0)),"")</f>
        <v/>
      </c>
      <c r="AJ217" s="603" t="str">
        <f t="shared" ca="1" si="84"/>
        <v/>
      </c>
      <c r="AK217" s="603" t="str">
        <f t="shared" ca="1" si="85"/>
        <v/>
      </c>
    </row>
    <row r="218" spans="1:37" ht="17.25" customHeight="1">
      <c r="A218" s="625" t="str">
        <f t="shared" si="74"/>
        <v/>
      </c>
      <c r="B218" s="480"/>
      <c r="C218" s="480"/>
      <c r="D218" s="480" t="str" cm="1">
        <f t="array" ref="D218">_xll.RssMarket(B218, "銘柄名称")</f>
        <v/>
      </c>
      <c r="E218" s="721"/>
      <c r="F218" s="702" t="str" cm="1">
        <f t="array" aca="1" ref="F218" ca="1">IFERROR(_xlfn.LET(_xlpm.r,MATCH(TEXT($B218,"0"),TEXT(銘柄管理!$B$6:$B$305,"0"),0),_xlpm.t,MOD(NOW(),1),_xlpm.c,IF($E218=TODAY(),IF(_xlpm.t&gt;=TIME(15,30,0),NA(),1),IF(MATCH($E218,始値!$E$3:$BT$3,0)=1,1,MATCH($E218,始値!$E$3:$BT$3,0)+1)),_xlpm.v,INDEX(始値!$C$6:$BT$305,_xlpm.r,_xlpm.c),IF(N(_xlpm.v)=0,"",_xlpm.v)),"")</f>
        <v/>
      </c>
      <c r="G218" s="480"/>
      <c r="H218" s="480" t="str" cm="1">
        <f t="array" ref="H218">_xll.RssMarket(B218, "現在値")</f>
        <v/>
      </c>
      <c r="I218" s="480" t="str" cm="1">
        <f t="array" ref="I218">_xll.RssMarket(B218, "出来高加重平均")</f>
        <v/>
      </c>
      <c r="J218" s="706" t="str" cm="1">
        <f t="array" ref="J218">_xll.RssMarket($B218, "前日比")</f>
        <v/>
      </c>
      <c r="K218" s="707" t="str">
        <f t="shared" ca="1" si="86"/>
        <v/>
      </c>
      <c r="L218" s="712" t="str">
        <f t="shared" ca="1" si="87"/>
        <v/>
      </c>
      <c r="M218" s="601" t="str">
        <f t="shared" ca="1" si="75"/>
        <v/>
      </c>
      <c r="N218" s="601" t="str">
        <f t="shared" ca="1" si="76"/>
        <v/>
      </c>
      <c r="O218" s="478" t="str">
        <f t="shared" ca="1" si="77"/>
        <v/>
      </c>
      <c r="P218" s="445" t="str">
        <f t="array" aca="1" ref="P218" ca="1">IF(B218="","",IFERROR(MAX(OFFSET(高値!$E$6,MATCH(TEXT(B218,"0"),TEXT(銘柄管理!$B$6:$B$305,"0"),0)-1,0,1,10)),""))</f>
        <v/>
      </c>
      <c r="Q218" s="445" t="str">
        <f t="array" aca="1" ref="Q218" ca="1">IF(B218="","",IFERROR(MIN(OFFSET(安値!$E$6,MATCH(TEXT(B218,"0"),TEXT(銘柄管理!$B$6:$B$305,"0"),0)-1,0,1,10)),""))</f>
        <v/>
      </c>
      <c r="R218" s="480" t="str">
        <f t="shared" ca="1" si="88"/>
        <v/>
      </c>
      <c r="S218" s="480" t="str">
        <f t="shared" si="89"/>
        <v/>
      </c>
      <c r="T218" s="599" t="str">
        <f t="shared" ca="1" si="78"/>
        <v/>
      </c>
      <c r="U218" s="601" t="str">
        <f t="shared" ca="1" si="79"/>
        <v/>
      </c>
      <c r="V218" s="707" t="str">
        <f t="shared" ca="1" si="90"/>
        <v/>
      </c>
      <c r="W218" s="480" t="str">
        <f t="shared" ca="1" si="80"/>
        <v/>
      </c>
      <c r="X218" s="480" t="str">
        <f t="shared" ca="1" si="81"/>
        <v/>
      </c>
      <c r="Y218" s="488"/>
      <c r="Z218" s="714"/>
      <c r="AD218" s="611"/>
      <c r="AE218" s="603" t="str">
        <f t="shared" si="82"/>
        <v/>
      </c>
      <c r="AF218" s="603"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03"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03" t="str">
        <f t="shared" ca="1" si="83"/>
        <v/>
      </c>
      <c r="AI218" s="603" t="str" cm="1">
        <f t="array" ref="AI218">IFERROR(INDEX(始値!$E$6:$BT$305,MATCH(TEXT($B218,"0"),TEXT(銘柄管理!$B$6:$B$305,"0"),0),MATCH($AE218,始値!$E$3:$BT$3,0)),"")</f>
        <v/>
      </c>
      <c r="AJ218" s="603" t="str">
        <f t="shared" ca="1" si="84"/>
        <v/>
      </c>
      <c r="AK218" s="603" t="str">
        <f t="shared" ca="1" si="85"/>
        <v/>
      </c>
    </row>
    <row r="219" spans="1:37" ht="17.25" customHeight="1">
      <c r="A219" s="625" t="str">
        <f t="shared" si="74"/>
        <v/>
      </c>
      <c r="B219" s="480"/>
      <c r="C219" s="480"/>
      <c r="D219" s="480" t="str" cm="1">
        <f t="array" ref="D219">_xll.RssMarket(B219, "銘柄名称")</f>
        <v/>
      </c>
      <c r="E219" s="721"/>
      <c r="F219" s="702" t="str" cm="1">
        <f t="array" aca="1" ref="F219" ca="1">IFERROR(_xlfn.LET(_xlpm.r,MATCH(TEXT($B219,"0"),TEXT(銘柄管理!$B$6:$B$305,"0"),0),_xlpm.t,MOD(NOW(),1),_xlpm.c,IF($E219=TODAY(),IF(_xlpm.t&gt;=TIME(15,30,0),NA(),1),IF(MATCH($E219,始値!$E$3:$BT$3,0)=1,1,MATCH($E219,始値!$E$3:$BT$3,0)+1)),_xlpm.v,INDEX(始値!$C$6:$BT$305,_xlpm.r,_xlpm.c),IF(N(_xlpm.v)=0,"",_xlpm.v)),"")</f>
        <v/>
      </c>
      <c r="G219" s="480"/>
      <c r="H219" s="480" t="str" cm="1">
        <f t="array" ref="H219">_xll.RssMarket(B219, "現在値")</f>
        <v/>
      </c>
      <c r="I219" s="480" t="str" cm="1">
        <f t="array" ref="I219">_xll.RssMarket(B219, "出来高加重平均")</f>
        <v/>
      </c>
      <c r="J219" s="706" t="str" cm="1">
        <f t="array" ref="J219">_xll.RssMarket($B219, "前日比")</f>
        <v/>
      </c>
      <c r="K219" s="707" t="str">
        <f t="shared" ca="1" si="86"/>
        <v/>
      </c>
      <c r="L219" s="712" t="str">
        <f t="shared" ca="1" si="87"/>
        <v/>
      </c>
      <c r="M219" s="601" t="str">
        <f t="shared" ca="1" si="75"/>
        <v/>
      </c>
      <c r="N219" s="601" t="str">
        <f t="shared" ca="1" si="76"/>
        <v/>
      </c>
      <c r="O219" s="478" t="str">
        <f t="shared" ca="1" si="77"/>
        <v/>
      </c>
      <c r="P219" s="445" t="str">
        <f t="array" aca="1" ref="P219" ca="1">IF(B219="","",IFERROR(MAX(OFFSET(高値!$E$6,MATCH(TEXT(B219,"0"),TEXT(銘柄管理!$B$6:$B$305,"0"),0)-1,0,1,10)),""))</f>
        <v/>
      </c>
      <c r="Q219" s="445" t="str">
        <f t="array" aca="1" ref="Q219" ca="1">IF(B219="","",IFERROR(MIN(OFFSET(安値!$E$6,MATCH(TEXT(B219,"0"),TEXT(銘柄管理!$B$6:$B$305,"0"),0)-1,0,1,10)),""))</f>
        <v/>
      </c>
      <c r="R219" s="480" t="str">
        <f t="shared" ca="1" si="88"/>
        <v/>
      </c>
      <c r="S219" s="480" t="str">
        <f t="shared" si="89"/>
        <v/>
      </c>
      <c r="T219" s="599" t="str">
        <f t="shared" ca="1" si="78"/>
        <v/>
      </c>
      <c r="U219" s="601" t="str">
        <f t="shared" ca="1" si="79"/>
        <v/>
      </c>
      <c r="V219" s="707" t="str">
        <f t="shared" ca="1" si="90"/>
        <v/>
      </c>
      <c r="W219" s="480" t="str">
        <f t="shared" ca="1" si="80"/>
        <v/>
      </c>
      <c r="X219" s="480" t="str">
        <f t="shared" ca="1" si="81"/>
        <v/>
      </c>
      <c r="Y219" s="488"/>
      <c r="Z219" s="714"/>
      <c r="AD219" s="611"/>
      <c r="AE219" s="603" t="str">
        <f t="shared" si="82"/>
        <v/>
      </c>
      <c r="AF219" s="603"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03"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03" t="str">
        <f t="shared" ca="1" si="83"/>
        <v/>
      </c>
      <c r="AI219" s="603" t="str" cm="1">
        <f t="array" ref="AI219">IFERROR(INDEX(始値!$E$6:$BT$305,MATCH(TEXT($B219,"0"),TEXT(銘柄管理!$B$6:$B$305,"0"),0),MATCH($AE219,始値!$E$3:$BT$3,0)),"")</f>
        <v/>
      </c>
      <c r="AJ219" s="603" t="str">
        <f t="shared" ca="1" si="84"/>
        <v/>
      </c>
      <c r="AK219" s="603" t="str">
        <f t="shared" ca="1" si="85"/>
        <v/>
      </c>
    </row>
    <row r="220" spans="1:37" ht="17.25" customHeight="1">
      <c r="A220" s="625" t="str">
        <f t="shared" si="74"/>
        <v/>
      </c>
      <c r="B220" s="480"/>
      <c r="C220" s="480"/>
      <c r="D220" s="480" t="str" cm="1">
        <f t="array" ref="D220">_xll.RssMarket(B220, "銘柄名称")</f>
        <v/>
      </c>
      <c r="E220" s="721"/>
      <c r="F220" s="702" t="str" cm="1">
        <f t="array" aca="1" ref="F220" ca="1">IFERROR(_xlfn.LET(_xlpm.r,MATCH(TEXT($B220,"0"),TEXT(銘柄管理!$B$6:$B$305,"0"),0),_xlpm.t,MOD(NOW(),1),_xlpm.c,IF($E220=TODAY(),IF(_xlpm.t&gt;=TIME(15,30,0),NA(),1),IF(MATCH($E220,始値!$E$3:$BT$3,0)=1,1,MATCH($E220,始値!$E$3:$BT$3,0)+1)),_xlpm.v,INDEX(始値!$C$6:$BT$305,_xlpm.r,_xlpm.c),IF(N(_xlpm.v)=0,"",_xlpm.v)),"")</f>
        <v/>
      </c>
      <c r="G220" s="480"/>
      <c r="H220" s="480" t="str" cm="1">
        <f t="array" ref="H220">_xll.RssMarket(B220, "現在値")</f>
        <v/>
      </c>
      <c r="I220" s="480" t="str" cm="1">
        <f t="array" ref="I220">_xll.RssMarket(B220, "出来高加重平均")</f>
        <v/>
      </c>
      <c r="J220" s="706" t="str" cm="1">
        <f t="array" ref="J220">_xll.RssMarket($B220, "前日比")</f>
        <v/>
      </c>
      <c r="K220" s="707" t="str">
        <f t="shared" ca="1" si="86"/>
        <v/>
      </c>
      <c r="L220" s="712" t="str">
        <f t="shared" ca="1" si="87"/>
        <v/>
      </c>
      <c r="M220" s="601" t="str">
        <f t="shared" ca="1" si="75"/>
        <v/>
      </c>
      <c r="N220" s="601" t="str">
        <f t="shared" ca="1" si="76"/>
        <v/>
      </c>
      <c r="O220" s="478" t="str">
        <f t="shared" ca="1" si="77"/>
        <v/>
      </c>
      <c r="P220" s="445" t="str">
        <f t="array" aca="1" ref="P220" ca="1">IF(B220="","",IFERROR(MAX(OFFSET(高値!$E$6,MATCH(TEXT(B220,"0"),TEXT(銘柄管理!$B$6:$B$305,"0"),0)-1,0,1,10)),""))</f>
        <v/>
      </c>
      <c r="Q220" s="445" t="str">
        <f t="array" aca="1" ref="Q220" ca="1">IF(B220="","",IFERROR(MIN(OFFSET(安値!$E$6,MATCH(TEXT(B220,"0"),TEXT(銘柄管理!$B$6:$B$305,"0"),0)-1,0,1,10)),""))</f>
        <v/>
      </c>
      <c r="R220" s="480" t="str">
        <f t="shared" ca="1" si="88"/>
        <v/>
      </c>
      <c r="S220" s="480" t="str">
        <f t="shared" si="89"/>
        <v/>
      </c>
      <c r="T220" s="599" t="str">
        <f t="shared" ca="1" si="78"/>
        <v/>
      </c>
      <c r="U220" s="601" t="str">
        <f t="shared" ca="1" si="79"/>
        <v/>
      </c>
      <c r="V220" s="707" t="str">
        <f t="shared" ca="1" si="90"/>
        <v/>
      </c>
      <c r="W220" s="480" t="str">
        <f t="shared" ca="1" si="80"/>
        <v/>
      </c>
      <c r="X220" s="480" t="str">
        <f t="shared" ca="1" si="81"/>
        <v/>
      </c>
      <c r="Y220" s="488"/>
      <c r="Z220" s="714"/>
      <c r="AD220" s="611"/>
      <c r="AE220" s="603" t="str">
        <f t="shared" si="82"/>
        <v/>
      </c>
      <c r="AF220" s="603"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03"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03" t="str">
        <f t="shared" ca="1" si="83"/>
        <v/>
      </c>
      <c r="AI220" s="603" t="str" cm="1">
        <f t="array" ref="AI220">IFERROR(INDEX(始値!$E$6:$BT$305,MATCH(TEXT($B220,"0"),TEXT(銘柄管理!$B$6:$B$305,"0"),0),MATCH($AE220,始値!$E$3:$BT$3,0)),"")</f>
        <v/>
      </c>
      <c r="AJ220" s="603" t="str">
        <f t="shared" ca="1" si="84"/>
        <v/>
      </c>
      <c r="AK220" s="603" t="str">
        <f t="shared" ca="1" si="85"/>
        <v/>
      </c>
    </row>
    <row r="221" spans="1:37" ht="17.25" customHeight="1">
      <c r="A221" s="625" t="str">
        <f t="shared" si="74"/>
        <v/>
      </c>
      <c r="B221" s="480"/>
      <c r="C221" s="480"/>
      <c r="D221" s="480" t="str" cm="1">
        <f t="array" ref="D221">_xll.RssMarket(B221, "銘柄名称")</f>
        <v/>
      </c>
      <c r="E221" s="721"/>
      <c r="F221" s="702" t="str" cm="1">
        <f t="array" aca="1" ref="F221" ca="1">IFERROR(_xlfn.LET(_xlpm.r,MATCH(TEXT($B221,"0"),TEXT(銘柄管理!$B$6:$B$305,"0"),0),_xlpm.t,MOD(NOW(),1),_xlpm.c,IF($E221=TODAY(),IF(_xlpm.t&gt;=TIME(15,30,0),NA(),1),IF(MATCH($E221,始値!$E$3:$BT$3,0)=1,1,MATCH($E221,始値!$E$3:$BT$3,0)+1)),_xlpm.v,INDEX(始値!$C$6:$BT$305,_xlpm.r,_xlpm.c),IF(N(_xlpm.v)=0,"",_xlpm.v)),"")</f>
        <v/>
      </c>
      <c r="G221" s="480"/>
      <c r="H221" s="480" t="str" cm="1">
        <f t="array" ref="H221">_xll.RssMarket(B221, "現在値")</f>
        <v/>
      </c>
      <c r="I221" s="480" t="str" cm="1">
        <f t="array" ref="I221">_xll.RssMarket(B221, "出来高加重平均")</f>
        <v/>
      </c>
      <c r="J221" s="706" t="str" cm="1">
        <f t="array" ref="J221">_xll.RssMarket($B221, "前日比")</f>
        <v/>
      </c>
      <c r="K221" s="707" t="str">
        <f t="shared" ca="1" si="86"/>
        <v/>
      </c>
      <c r="L221" s="712" t="str">
        <f t="shared" ca="1" si="87"/>
        <v/>
      </c>
      <c r="M221" s="601" t="str">
        <f t="shared" ca="1" si="75"/>
        <v/>
      </c>
      <c r="N221" s="601" t="str">
        <f t="shared" ca="1" si="76"/>
        <v/>
      </c>
      <c r="O221" s="478" t="str">
        <f t="shared" ca="1" si="77"/>
        <v/>
      </c>
      <c r="P221" s="445" t="str">
        <f t="array" aca="1" ref="P221" ca="1">IF(B221="","",IFERROR(MAX(OFFSET(高値!$E$6,MATCH(TEXT(B221,"0"),TEXT(銘柄管理!$B$6:$B$305,"0"),0)-1,0,1,10)),""))</f>
        <v/>
      </c>
      <c r="Q221" s="445" t="str">
        <f t="array" aca="1" ref="Q221" ca="1">IF(B221="","",IFERROR(MIN(OFFSET(安値!$E$6,MATCH(TEXT(B221,"0"),TEXT(銘柄管理!$B$6:$B$305,"0"),0)-1,0,1,10)),""))</f>
        <v/>
      </c>
      <c r="R221" s="480" t="str">
        <f t="shared" ca="1" si="88"/>
        <v/>
      </c>
      <c r="S221" s="480" t="str">
        <f t="shared" si="89"/>
        <v/>
      </c>
      <c r="T221" s="599" t="str">
        <f t="shared" ca="1" si="78"/>
        <v/>
      </c>
      <c r="U221" s="601" t="str">
        <f t="shared" ca="1" si="79"/>
        <v/>
      </c>
      <c r="V221" s="707" t="str">
        <f t="shared" ca="1" si="90"/>
        <v/>
      </c>
      <c r="W221" s="480" t="str">
        <f t="shared" ca="1" si="80"/>
        <v/>
      </c>
      <c r="X221" s="480" t="str">
        <f t="shared" ca="1" si="81"/>
        <v/>
      </c>
      <c r="Y221" s="488"/>
      <c r="Z221" s="714"/>
      <c r="AD221" s="611"/>
      <c r="AE221" s="603" t="str">
        <f t="shared" si="82"/>
        <v/>
      </c>
      <c r="AF221" s="603"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03"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03" t="str">
        <f t="shared" ca="1" si="83"/>
        <v/>
      </c>
      <c r="AI221" s="603" t="str" cm="1">
        <f t="array" ref="AI221">IFERROR(INDEX(始値!$E$6:$BT$305,MATCH(TEXT($B221,"0"),TEXT(銘柄管理!$B$6:$B$305,"0"),0),MATCH($AE221,始値!$E$3:$BT$3,0)),"")</f>
        <v/>
      </c>
      <c r="AJ221" s="603" t="str">
        <f t="shared" ca="1" si="84"/>
        <v/>
      </c>
      <c r="AK221" s="603" t="str">
        <f t="shared" ca="1" si="85"/>
        <v/>
      </c>
    </row>
    <row r="222" spans="1:37" ht="17.25" customHeight="1">
      <c r="A222" s="625" t="str">
        <f t="shared" si="74"/>
        <v/>
      </c>
      <c r="B222" s="480"/>
      <c r="C222" s="480"/>
      <c r="D222" s="480" t="str" cm="1">
        <f t="array" ref="D222">_xll.RssMarket(B222, "銘柄名称")</f>
        <v/>
      </c>
      <c r="E222" s="721"/>
      <c r="F222" s="702" t="str" cm="1">
        <f t="array" aca="1" ref="F222" ca="1">IFERROR(_xlfn.LET(_xlpm.r,MATCH(TEXT($B222,"0"),TEXT(銘柄管理!$B$6:$B$305,"0"),0),_xlpm.t,MOD(NOW(),1),_xlpm.c,IF($E222=TODAY(),IF(_xlpm.t&gt;=TIME(15,30,0),NA(),1),IF(MATCH($E222,始値!$E$3:$BT$3,0)=1,1,MATCH($E222,始値!$E$3:$BT$3,0)+1)),_xlpm.v,INDEX(始値!$C$6:$BT$305,_xlpm.r,_xlpm.c),IF(N(_xlpm.v)=0,"",_xlpm.v)),"")</f>
        <v/>
      </c>
      <c r="G222" s="480"/>
      <c r="H222" s="480" t="str" cm="1">
        <f t="array" ref="H222">_xll.RssMarket(B222, "現在値")</f>
        <v/>
      </c>
      <c r="I222" s="480" t="str" cm="1">
        <f t="array" ref="I222">_xll.RssMarket(B222, "出来高加重平均")</f>
        <v/>
      </c>
      <c r="J222" s="706" t="str" cm="1">
        <f t="array" ref="J222">_xll.RssMarket($B222, "前日比")</f>
        <v/>
      </c>
      <c r="K222" s="707" t="str">
        <f t="shared" ca="1" si="86"/>
        <v/>
      </c>
      <c r="L222" s="712" t="str">
        <f t="shared" ca="1" si="87"/>
        <v/>
      </c>
      <c r="M222" s="601" t="str">
        <f t="shared" ca="1" si="75"/>
        <v/>
      </c>
      <c r="N222" s="601" t="str">
        <f t="shared" ca="1" si="76"/>
        <v/>
      </c>
      <c r="O222" s="478" t="str">
        <f t="shared" ca="1" si="77"/>
        <v/>
      </c>
      <c r="P222" s="445" t="str">
        <f t="array" aca="1" ref="P222" ca="1">IF(B222="","",IFERROR(MAX(OFFSET(高値!$E$6,MATCH(TEXT(B222,"0"),TEXT(銘柄管理!$B$6:$B$305,"0"),0)-1,0,1,10)),""))</f>
        <v/>
      </c>
      <c r="Q222" s="445" t="str">
        <f t="array" aca="1" ref="Q222" ca="1">IF(B222="","",IFERROR(MIN(OFFSET(安値!$E$6,MATCH(TEXT(B222,"0"),TEXT(銘柄管理!$B$6:$B$305,"0"),0)-1,0,1,10)),""))</f>
        <v/>
      </c>
      <c r="R222" s="480" t="str">
        <f t="shared" ca="1" si="88"/>
        <v/>
      </c>
      <c r="S222" s="480" t="str">
        <f t="shared" si="89"/>
        <v/>
      </c>
      <c r="T222" s="599" t="str">
        <f t="shared" ca="1" si="78"/>
        <v/>
      </c>
      <c r="U222" s="601" t="str">
        <f t="shared" ca="1" si="79"/>
        <v/>
      </c>
      <c r="V222" s="707" t="str">
        <f t="shared" ca="1" si="90"/>
        <v/>
      </c>
      <c r="W222" s="480" t="str">
        <f t="shared" ca="1" si="80"/>
        <v/>
      </c>
      <c r="X222" s="480" t="str">
        <f t="shared" ca="1" si="81"/>
        <v/>
      </c>
      <c r="Y222" s="488"/>
      <c r="Z222" s="714"/>
      <c r="AD222" s="611"/>
      <c r="AE222" s="603" t="str">
        <f t="shared" si="82"/>
        <v/>
      </c>
      <c r="AF222" s="603"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03"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03" t="str">
        <f t="shared" ca="1" si="83"/>
        <v/>
      </c>
      <c r="AI222" s="603" t="str" cm="1">
        <f t="array" ref="AI222">IFERROR(INDEX(始値!$E$6:$BT$305,MATCH(TEXT($B222,"0"),TEXT(銘柄管理!$B$6:$B$305,"0"),0),MATCH($AE222,始値!$E$3:$BT$3,0)),"")</f>
        <v/>
      </c>
      <c r="AJ222" s="603" t="str">
        <f t="shared" ca="1" si="84"/>
        <v/>
      </c>
      <c r="AK222" s="603" t="str">
        <f t="shared" ca="1" si="85"/>
        <v/>
      </c>
    </row>
    <row r="223" spans="1:37" ht="17.25" customHeight="1">
      <c r="A223" s="625" t="str">
        <f t="shared" si="74"/>
        <v/>
      </c>
      <c r="B223" s="480"/>
      <c r="C223" s="480"/>
      <c r="D223" s="480" t="str" cm="1">
        <f t="array" ref="D223">_xll.RssMarket(B223, "銘柄名称")</f>
        <v/>
      </c>
      <c r="E223" s="721"/>
      <c r="F223" s="702" t="str" cm="1">
        <f t="array" aca="1" ref="F223" ca="1">IFERROR(_xlfn.LET(_xlpm.r,MATCH(TEXT($B223,"0"),TEXT(銘柄管理!$B$6:$B$305,"0"),0),_xlpm.t,MOD(NOW(),1),_xlpm.c,IF($E223=TODAY(),IF(_xlpm.t&gt;=TIME(15,30,0),NA(),1),IF(MATCH($E223,始値!$E$3:$BT$3,0)=1,1,MATCH($E223,始値!$E$3:$BT$3,0)+1)),_xlpm.v,INDEX(始値!$C$6:$BT$305,_xlpm.r,_xlpm.c),IF(N(_xlpm.v)=0,"",_xlpm.v)),"")</f>
        <v/>
      </c>
      <c r="G223" s="480"/>
      <c r="H223" s="480" t="str" cm="1">
        <f t="array" ref="H223">_xll.RssMarket(B223, "現在値")</f>
        <v/>
      </c>
      <c r="I223" s="480" t="str" cm="1">
        <f t="array" ref="I223">_xll.RssMarket(B223, "出来高加重平均")</f>
        <v/>
      </c>
      <c r="J223" s="706" t="str" cm="1">
        <f t="array" ref="J223">_xll.RssMarket($B223, "前日比")</f>
        <v/>
      </c>
      <c r="K223" s="707" t="str">
        <f t="shared" ca="1" si="86"/>
        <v/>
      </c>
      <c r="L223" s="712" t="str">
        <f t="shared" ca="1" si="87"/>
        <v/>
      </c>
      <c r="M223" s="601" t="str">
        <f t="shared" ca="1" si="75"/>
        <v/>
      </c>
      <c r="N223" s="601" t="str">
        <f t="shared" ca="1" si="76"/>
        <v/>
      </c>
      <c r="O223" s="478" t="str">
        <f t="shared" ca="1" si="77"/>
        <v/>
      </c>
      <c r="P223" s="445" t="str">
        <f t="array" aca="1" ref="P223" ca="1">IF(B223="","",IFERROR(MAX(OFFSET(高値!$E$6,MATCH(TEXT(B223,"0"),TEXT(銘柄管理!$B$6:$B$305,"0"),0)-1,0,1,10)),""))</f>
        <v/>
      </c>
      <c r="Q223" s="445" t="str">
        <f t="array" aca="1" ref="Q223" ca="1">IF(B223="","",IFERROR(MIN(OFFSET(安値!$E$6,MATCH(TEXT(B223,"0"),TEXT(銘柄管理!$B$6:$B$305,"0"),0)-1,0,1,10)),""))</f>
        <v/>
      </c>
      <c r="R223" s="480" t="str">
        <f t="shared" ca="1" si="88"/>
        <v/>
      </c>
      <c r="S223" s="480" t="str">
        <f t="shared" si="89"/>
        <v/>
      </c>
      <c r="T223" s="599" t="str">
        <f t="shared" ca="1" si="78"/>
        <v/>
      </c>
      <c r="U223" s="601" t="str">
        <f t="shared" ca="1" si="79"/>
        <v/>
      </c>
      <c r="V223" s="707" t="str">
        <f t="shared" ca="1" si="90"/>
        <v/>
      </c>
      <c r="W223" s="480" t="str">
        <f t="shared" ca="1" si="80"/>
        <v/>
      </c>
      <c r="X223" s="480" t="str">
        <f t="shared" ca="1" si="81"/>
        <v/>
      </c>
      <c r="Y223" s="488"/>
      <c r="Z223" s="714"/>
      <c r="AD223" s="611"/>
      <c r="AE223" s="603" t="str">
        <f t="shared" si="82"/>
        <v/>
      </c>
      <c r="AF223" s="603"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03"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03" t="str">
        <f t="shared" ca="1" si="83"/>
        <v/>
      </c>
      <c r="AI223" s="603" t="str" cm="1">
        <f t="array" ref="AI223">IFERROR(INDEX(始値!$E$6:$BT$305,MATCH(TEXT($B223,"0"),TEXT(銘柄管理!$B$6:$B$305,"0"),0),MATCH($AE223,始値!$E$3:$BT$3,0)),"")</f>
        <v/>
      </c>
      <c r="AJ223" s="603" t="str">
        <f t="shared" ca="1" si="84"/>
        <v/>
      </c>
      <c r="AK223" s="603" t="str">
        <f t="shared" ca="1" si="85"/>
        <v/>
      </c>
    </row>
    <row r="224" spans="1:37" ht="17.25" customHeight="1">
      <c r="A224" s="625" t="str">
        <f t="shared" si="74"/>
        <v/>
      </c>
      <c r="B224" s="480"/>
      <c r="C224" s="480"/>
      <c r="D224" s="480" t="str" cm="1">
        <f t="array" ref="D224">_xll.RssMarket(B224, "銘柄名称")</f>
        <v/>
      </c>
      <c r="E224" s="721"/>
      <c r="F224" s="702" t="str" cm="1">
        <f t="array" aca="1" ref="F224" ca="1">IFERROR(_xlfn.LET(_xlpm.r,MATCH(TEXT($B224,"0"),TEXT(銘柄管理!$B$6:$B$305,"0"),0),_xlpm.t,MOD(NOW(),1),_xlpm.c,IF($E224=TODAY(),IF(_xlpm.t&gt;=TIME(15,30,0),NA(),1),IF(MATCH($E224,始値!$E$3:$BT$3,0)=1,1,MATCH($E224,始値!$E$3:$BT$3,0)+1)),_xlpm.v,INDEX(始値!$C$6:$BT$305,_xlpm.r,_xlpm.c),IF(N(_xlpm.v)=0,"",_xlpm.v)),"")</f>
        <v/>
      </c>
      <c r="G224" s="480"/>
      <c r="H224" s="480" t="str" cm="1">
        <f t="array" ref="H224">_xll.RssMarket(B224, "現在値")</f>
        <v/>
      </c>
      <c r="I224" s="480" t="str" cm="1">
        <f t="array" ref="I224">_xll.RssMarket(B224, "出来高加重平均")</f>
        <v/>
      </c>
      <c r="J224" s="706" t="str" cm="1">
        <f t="array" ref="J224">_xll.RssMarket($B224, "前日比")</f>
        <v/>
      </c>
      <c r="K224" s="707" t="str">
        <f t="shared" ca="1" si="86"/>
        <v/>
      </c>
      <c r="L224" s="712" t="str">
        <f t="shared" ca="1" si="87"/>
        <v/>
      </c>
      <c r="M224" s="601" t="str">
        <f t="shared" ca="1" si="75"/>
        <v/>
      </c>
      <c r="N224" s="601" t="str">
        <f t="shared" ca="1" si="76"/>
        <v/>
      </c>
      <c r="O224" s="478" t="str">
        <f t="shared" ca="1" si="77"/>
        <v/>
      </c>
      <c r="P224" s="445" t="str">
        <f t="array" aca="1" ref="P224" ca="1">IF(B224="","",IFERROR(MAX(OFFSET(高値!$E$6,MATCH(TEXT(B224,"0"),TEXT(銘柄管理!$B$6:$B$305,"0"),0)-1,0,1,10)),""))</f>
        <v/>
      </c>
      <c r="Q224" s="445" t="str">
        <f t="array" aca="1" ref="Q224" ca="1">IF(B224="","",IFERROR(MIN(OFFSET(安値!$E$6,MATCH(TEXT(B224,"0"),TEXT(銘柄管理!$B$6:$B$305,"0"),0)-1,0,1,10)),""))</f>
        <v/>
      </c>
      <c r="R224" s="480" t="str">
        <f t="shared" ca="1" si="88"/>
        <v/>
      </c>
      <c r="S224" s="480" t="str">
        <f t="shared" si="89"/>
        <v/>
      </c>
      <c r="T224" s="599" t="str">
        <f t="shared" ca="1" si="78"/>
        <v/>
      </c>
      <c r="U224" s="601" t="str">
        <f t="shared" ca="1" si="79"/>
        <v/>
      </c>
      <c r="V224" s="707" t="str">
        <f t="shared" ca="1" si="90"/>
        <v/>
      </c>
      <c r="W224" s="480" t="str">
        <f t="shared" ca="1" si="80"/>
        <v/>
      </c>
      <c r="X224" s="480" t="str">
        <f t="shared" ca="1" si="81"/>
        <v/>
      </c>
      <c r="Y224" s="488"/>
      <c r="Z224" s="714"/>
      <c r="AD224" s="611"/>
      <c r="AE224" s="603" t="str">
        <f t="shared" si="82"/>
        <v/>
      </c>
      <c r="AF224" s="603"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03"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03" t="str">
        <f t="shared" ca="1" si="83"/>
        <v/>
      </c>
      <c r="AI224" s="603" t="str" cm="1">
        <f t="array" ref="AI224">IFERROR(INDEX(始値!$E$6:$BT$305,MATCH(TEXT($B224,"0"),TEXT(銘柄管理!$B$6:$B$305,"0"),0),MATCH($AE224,始値!$E$3:$BT$3,0)),"")</f>
        <v/>
      </c>
      <c r="AJ224" s="603" t="str">
        <f t="shared" ca="1" si="84"/>
        <v/>
      </c>
      <c r="AK224" s="603" t="str">
        <f t="shared" ca="1" si="85"/>
        <v/>
      </c>
    </row>
    <row r="225" spans="1:37" ht="17.25" customHeight="1">
      <c r="A225" s="625" t="str">
        <f t="shared" si="74"/>
        <v/>
      </c>
      <c r="B225" s="480"/>
      <c r="C225" s="480"/>
      <c r="D225" s="480" t="str" cm="1">
        <f t="array" ref="D225">_xll.RssMarket(B225, "銘柄名称")</f>
        <v/>
      </c>
      <c r="E225" s="721"/>
      <c r="F225" s="702" t="str" cm="1">
        <f t="array" aca="1" ref="F225" ca="1">IFERROR(_xlfn.LET(_xlpm.r,MATCH(TEXT($B225,"0"),TEXT(銘柄管理!$B$6:$B$305,"0"),0),_xlpm.t,MOD(NOW(),1),_xlpm.c,IF($E225=TODAY(),IF(_xlpm.t&gt;=TIME(15,30,0),NA(),1),IF(MATCH($E225,始値!$E$3:$BT$3,0)=1,1,MATCH($E225,始値!$E$3:$BT$3,0)+1)),_xlpm.v,INDEX(始値!$C$6:$BT$305,_xlpm.r,_xlpm.c),IF(N(_xlpm.v)=0,"",_xlpm.v)),"")</f>
        <v/>
      </c>
      <c r="G225" s="480"/>
      <c r="H225" s="480" t="str" cm="1">
        <f t="array" ref="H225">_xll.RssMarket(B225, "現在値")</f>
        <v/>
      </c>
      <c r="I225" s="480" t="str" cm="1">
        <f t="array" ref="I225">_xll.RssMarket(B225, "出来高加重平均")</f>
        <v/>
      </c>
      <c r="J225" s="706" t="str" cm="1">
        <f t="array" ref="J225">_xll.RssMarket($B225, "前日比")</f>
        <v/>
      </c>
      <c r="K225" s="707" t="str">
        <f t="shared" ca="1" si="86"/>
        <v/>
      </c>
      <c r="L225" s="712" t="str">
        <f t="shared" ca="1" si="87"/>
        <v/>
      </c>
      <c r="M225" s="601" t="str">
        <f t="shared" ca="1" si="75"/>
        <v/>
      </c>
      <c r="N225" s="601" t="str">
        <f t="shared" ca="1" si="76"/>
        <v/>
      </c>
      <c r="O225" s="478" t="str">
        <f t="shared" ca="1" si="77"/>
        <v/>
      </c>
      <c r="P225" s="445" t="str">
        <f t="array" aca="1" ref="P225" ca="1">IF(B225="","",IFERROR(MAX(OFFSET(高値!$E$6,MATCH(TEXT(B225,"0"),TEXT(銘柄管理!$B$6:$B$305,"0"),0)-1,0,1,10)),""))</f>
        <v/>
      </c>
      <c r="Q225" s="445" t="str">
        <f t="array" aca="1" ref="Q225" ca="1">IF(B225="","",IFERROR(MIN(OFFSET(安値!$E$6,MATCH(TEXT(B225,"0"),TEXT(銘柄管理!$B$6:$B$305,"0"),0)-1,0,1,10)),""))</f>
        <v/>
      </c>
      <c r="R225" s="480" t="str">
        <f t="shared" ca="1" si="88"/>
        <v/>
      </c>
      <c r="S225" s="480" t="str">
        <f t="shared" si="89"/>
        <v/>
      </c>
      <c r="T225" s="599" t="str">
        <f t="shared" ca="1" si="78"/>
        <v/>
      </c>
      <c r="U225" s="601" t="str">
        <f t="shared" ca="1" si="79"/>
        <v/>
      </c>
      <c r="V225" s="707" t="str">
        <f t="shared" ca="1" si="90"/>
        <v/>
      </c>
      <c r="W225" s="480" t="str">
        <f t="shared" ca="1" si="80"/>
        <v/>
      </c>
      <c r="X225" s="480" t="str">
        <f t="shared" ca="1" si="81"/>
        <v/>
      </c>
      <c r="Y225" s="488"/>
      <c r="Z225" s="714"/>
      <c r="AD225" s="611"/>
      <c r="AE225" s="603" t="str">
        <f t="shared" si="82"/>
        <v/>
      </c>
      <c r="AF225" s="603"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03"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03" t="str">
        <f t="shared" ca="1" si="83"/>
        <v/>
      </c>
      <c r="AI225" s="603" t="str" cm="1">
        <f t="array" ref="AI225">IFERROR(INDEX(始値!$E$6:$BT$305,MATCH(TEXT($B225,"0"),TEXT(銘柄管理!$B$6:$B$305,"0"),0),MATCH($AE225,始値!$E$3:$BT$3,0)),"")</f>
        <v/>
      </c>
      <c r="AJ225" s="603" t="str">
        <f t="shared" ca="1" si="84"/>
        <v/>
      </c>
      <c r="AK225" s="603" t="str">
        <f t="shared" ca="1" si="85"/>
        <v/>
      </c>
    </row>
    <row r="226" spans="1:37" ht="17.25" customHeight="1">
      <c r="A226" s="625" t="str">
        <f t="shared" si="74"/>
        <v/>
      </c>
      <c r="B226" s="480"/>
      <c r="C226" s="480"/>
      <c r="D226" s="480" t="str" cm="1">
        <f t="array" ref="D226">_xll.RssMarket(B226, "銘柄名称")</f>
        <v/>
      </c>
      <c r="E226" s="721"/>
      <c r="F226" s="702" t="str" cm="1">
        <f t="array" aca="1" ref="F226" ca="1">IFERROR(_xlfn.LET(_xlpm.r,MATCH(TEXT($B226,"0"),TEXT(銘柄管理!$B$6:$B$305,"0"),0),_xlpm.t,MOD(NOW(),1),_xlpm.c,IF($E226=TODAY(),IF(_xlpm.t&gt;=TIME(15,30,0),NA(),1),IF(MATCH($E226,始値!$E$3:$BT$3,0)=1,1,MATCH($E226,始値!$E$3:$BT$3,0)+1)),_xlpm.v,INDEX(始値!$C$6:$BT$305,_xlpm.r,_xlpm.c),IF(N(_xlpm.v)=0,"",_xlpm.v)),"")</f>
        <v/>
      </c>
      <c r="G226" s="480"/>
      <c r="H226" s="480" t="str" cm="1">
        <f t="array" ref="H226">_xll.RssMarket(B226, "現在値")</f>
        <v/>
      </c>
      <c r="I226" s="480" t="str" cm="1">
        <f t="array" ref="I226">_xll.RssMarket(B226, "出来高加重平均")</f>
        <v/>
      </c>
      <c r="J226" s="706" t="str" cm="1">
        <f t="array" ref="J226">_xll.RssMarket($B226, "前日比")</f>
        <v/>
      </c>
      <c r="K226" s="707" t="str">
        <f t="shared" ca="1" si="86"/>
        <v/>
      </c>
      <c r="L226" s="712" t="str">
        <f t="shared" ca="1" si="87"/>
        <v/>
      </c>
      <c r="M226" s="601" t="str">
        <f t="shared" ca="1" si="75"/>
        <v/>
      </c>
      <c r="N226" s="601" t="str">
        <f t="shared" ca="1" si="76"/>
        <v/>
      </c>
      <c r="O226" s="478" t="str">
        <f t="shared" ca="1" si="77"/>
        <v/>
      </c>
      <c r="P226" s="445" t="str">
        <f t="array" aca="1" ref="P226" ca="1">IF(B226="","",IFERROR(MAX(OFFSET(高値!$E$6,MATCH(TEXT(B226,"0"),TEXT(銘柄管理!$B$6:$B$305,"0"),0)-1,0,1,10)),""))</f>
        <v/>
      </c>
      <c r="Q226" s="445" t="str">
        <f t="array" aca="1" ref="Q226" ca="1">IF(B226="","",IFERROR(MIN(OFFSET(安値!$E$6,MATCH(TEXT(B226,"0"),TEXT(銘柄管理!$B$6:$B$305,"0"),0)-1,0,1,10)),""))</f>
        <v/>
      </c>
      <c r="R226" s="480" t="str">
        <f t="shared" ca="1" si="88"/>
        <v/>
      </c>
      <c r="S226" s="480" t="str">
        <f t="shared" si="89"/>
        <v/>
      </c>
      <c r="T226" s="599" t="str">
        <f t="shared" ca="1" si="78"/>
        <v/>
      </c>
      <c r="U226" s="601" t="str">
        <f t="shared" ca="1" si="79"/>
        <v/>
      </c>
      <c r="V226" s="707" t="str">
        <f t="shared" ca="1" si="90"/>
        <v/>
      </c>
      <c r="W226" s="480" t="str">
        <f t="shared" ca="1" si="80"/>
        <v/>
      </c>
      <c r="X226" s="480" t="str">
        <f t="shared" ca="1" si="81"/>
        <v/>
      </c>
      <c r="Y226" s="488"/>
      <c r="Z226" s="714"/>
      <c r="AD226" s="611"/>
      <c r="AE226" s="603" t="str">
        <f t="shared" si="82"/>
        <v/>
      </c>
      <c r="AF226" s="603"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03"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03" t="str">
        <f t="shared" ca="1" si="83"/>
        <v/>
      </c>
      <c r="AI226" s="603" t="str" cm="1">
        <f t="array" ref="AI226">IFERROR(INDEX(始値!$E$6:$BT$305,MATCH(TEXT($B226,"0"),TEXT(銘柄管理!$B$6:$B$305,"0"),0),MATCH($AE226,始値!$E$3:$BT$3,0)),"")</f>
        <v/>
      </c>
      <c r="AJ226" s="603" t="str">
        <f t="shared" ca="1" si="84"/>
        <v/>
      </c>
      <c r="AK226" s="603" t="str">
        <f t="shared" ca="1" si="85"/>
        <v/>
      </c>
    </row>
    <row r="227" spans="1:37" ht="17.25" customHeight="1">
      <c r="A227" s="625" t="str">
        <f t="shared" si="74"/>
        <v/>
      </c>
      <c r="B227" s="480"/>
      <c r="C227" s="480"/>
      <c r="D227" s="480" t="str" cm="1">
        <f t="array" ref="D227">_xll.RssMarket(B227, "銘柄名称")</f>
        <v/>
      </c>
      <c r="E227" s="721"/>
      <c r="F227" s="702" t="str" cm="1">
        <f t="array" aca="1" ref="F227" ca="1">IFERROR(_xlfn.LET(_xlpm.r,MATCH(TEXT($B227,"0"),TEXT(銘柄管理!$B$6:$B$305,"0"),0),_xlpm.t,MOD(NOW(),1),_xlpm.c,IF($E227=TODAY(),IF(_xlpm.t&gt;=TIME(15,30,0),NA(),1),IF(MATCH($E227,始値!$E$3:$BT$3,0)=1,1,MATCH($E227,始値!$E$3:$BT$3,0)+1)),_xlpm.v,INDEX(始値!$C$6:$BT$305,_xlpm.r,_xlpm.c),IF(N(_xlpm.v)=0,"",_xlpm.v)),"")</f>
        <v/>
      </c>
      <c r="G227" s="480"/>
      <c r="H227" s="480" t="str" cm="1">
        <f t="array" ref="H227">_xll.RssMarket(B227, "現在値")</f>
        <v/>
      </c>
      <c r="I227" s="480" t="str" cm="1">
        <f t="array" ref="I227">_xll.RssMarket(B227, "出来高加重平均")</f>
        <v/>
      </c>
      <c r="J227" s="706" t="str" cm="1">
        <f t="array" ref="J227">_xll.RssMarket($B227, "前日比")</f>
        <v/>
      </c>
      <c r="K227" s="707" t="str">
        <f t="shared" ca="1" si="86"/>
        <v/>
      </c>
      <c r="L227" s="712" t="str">
        <f t="shared" ca="1" si="87"/>
        <v/>
      </c>
      <c r="M227" s="601" t="str">
        <f t="shared" ca="1" si="75"/>
        <v/>
      </c>
      <c r="N227" s="601" t="str">
        <f t="shared" ca="1" si="76"/>
        <v/>
      </c>
      <c r="O227" s="478" t="str">
        <f t="shared" ca="1" si="77"/>
        <v/>
      </c>
      <c r="P227" s="445" t="str">
        <f t="array" aca="1" ref="P227" ca="1">IF(B227="","",IFERROR(MAX(OFFSET(高値!$E$6,MATCH(TEXT(B227,"0"),TEXT(銘柄管理!$B$6:$B$305,"0"),0)-1,0,1,10)),""))</f>
        <v/>
      </c>
      <c r="Q227" s="445" t="str">
        <f t="array" aca="1" ref="Q227" ca="1">IF(B227="","",IFERROR(MIN(OFFSET(安値!$E$6,MATCH(TEXT(B227,"0"),TEXT(銘柄管理!$B$6:$B$305,"0"),0)-1,0,1,10)),""))</f>
        <v/>
      </c>
      <c r="R227" s="480" t="str">
        <f t="shared" ca="1" si="88"/>
        <v/>
      </c>
      <c r="S227" s="480" t="str">
        <f t="shared" si="89"/>
        <v/>
      </c>
      <c r="T227" s="599" t="str">
        <f t="shared" ca="1" si="78"/>
        <v/>
      </c>
      <c r="U227" s="601" t="str">
        <f t="shared" ca="1" si="79"/>
        <v/>
      </c>
      <c r="V227" s="707" t="str">
        <f t="shared" ca="1" si="90"/>
        <v/>
      </c>
      <c r="W227" s="480" t="str">
        <f t="shared" ca="1" si="80"/>
        <v/>
      </c>
      <c r="X227" s="480" t="str">
        <f t="shared" ca="1" si="81"/>
        <v/>
      </c>
      <c r="Y227" s="488"/>
      <c r="Z227" s="714"/>
      <c r="AD227" s="611"/>
      <c r="AE227" s="603" t="str">
        <f t="shared" si="82"/>
        <v/>
      </c>
      <c r="AF227" s="603"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03"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03" t="str">
        <f t="shared" ca="1" si="83"/>
        <v/>
      </c>
      <c r="AI227" s="603" t="str" cm="1">
        <f t="array" ref="AI227">IFERROR(INDEX(始値!$E$6:$BT$305,MATCH(TEXT($B227,"0"),TEXT(銘柄管理!$B$6:$B$305,"0"),0),MATCH($AE227,始値!$E$3:$BT$3,0)),"")</f>
        <v/>
      </c>
      <c r="AJ227" s="603" t="str">
        <f t="shared" ca="1" si="84"/>
        <v/>
      </c>
      <c r="AK227" s="603" t="str">
        <f t="shared" ca="1" si="85"/>
        <v/>
      </c>
    </row>
    <row r="228" spans="1:37" ht="17.25" customHeight="1">
      <c r="A228" s="625" t="str">
        <f t="shared" si="74"/>
        <v/>
      </c>
      <c r="B228" s="480"/>
      <c r="C228" s="480"/>
      <c r="D228" s="480" t="str" cm="1">
        <f t="array" ref="D228">_xll.RssMarket(B228, "銘柄名称")</f>
        <v/>
      </c>
      <c r="E228" s="721"/>
      <c r="F228" s="702" t="str" cm="1">
        <f t="array" aca="1" ref="F228" ca="1">IFERROR(_xlfn.LET(_xlpm.r,MATCH(TEXT($B228,"0"),TEXT(銘柄管理!$B$6:$B$305,"0"),0),_xlpm.t,MOD(NOW(),1),_xlpm.c,IF($E228=TODAY(),IF(_xlpm.t&gt;=TIME(15,30,0),NA(),1),IF(MATCH($E228,始値!$E$3:$BT$3,0)=1,1,MATCH($E228,始値!$E$3:$BT$3,0)+1)),_xlpm.v,INDEX(始値!$C$6:$BT$305,_xlpm.r,_xlpm.c),IF(N(_xlpm.v)=0,"",_xlpm.v)),"")</f>
        <v/>
      </c>
      <c r="G228" s="480"/>
      <c r="H228" s="480" t="str" cm="1">
        <f t="array" ref="H228">_xll.RssMarket(B228, "現在値")</f>
        <v/>
      </c>
      <c r="I228" s="480" t="str" cm="1">
        <f t="array" ref="I228">_xll.RssMarket(B228, "出来高加重平均")</f>
        <v/>
      </c>
      <c r="J228" s="706" t="str" cm="1">
        <f t="array" ref="J228">_xll.RssMarket($B228, "前日比")</f>
        <v/>
      </c>
      <c r="K228" s="707" t="str">
        <f t="shared" ca="1" si="86"/>
        <v/>
      </c>
      <c r="L228" s="712" t="str">
        <f t="shared" ca="1" si="87"/>
        <v/>
      </c>
      <c r="M228" s="601" t="str">
        <f t="shared" ca="1" si="75"/>
        <v/>
      </c>
      <c r="N228" s="601" t="str">
        <f t="shared" ca="1" si="76"/>
        <v/>
      </c>
      <c r="O228" s="478" t="str">
        <f t="shared" ca="1" si="77"/>
        <v/>
      </c>
      <c r="P228" s="445" t="str">
        <f t="array" aca="1" ref="P228" ca="1">IF(B228="","",IFERROR(MAX(OFFSET(高値!$E$6,MATCH(TEXT(B228,"0"),TEXT(銘柄管理!$B$6:$B$305,"0"),0)-1,0,1,10)),""))</f>
        <v/>
      </c>
      <c r="Q228" s="445" t="str">
        <f t="array" aca="1" ref="Q228" ca="1">IF(B228="","",IFERROR(MIN(OFFSET(安値!$E$6,MATCH(TEXT(B228,"0"),TEXT(銘柄管理!$B$6:$B$305,"0"),0)-1,0,1,10)),""))</f>
        <v/>
      </c>
      <c r="R228" s="480" t="str">
        <f t="shared" ca="1" si="88"/>
        <v/>
      </c>
      <c r="S228" s="480" t="str">
        <f t="shared" si="89"/>
        <v/>
      </c>
      <c r="T228" s="599" t="str">
        <f t="shared" ca="1" si="78"/>
        <v/>
      </c>
      <c r="U228" s="601" t="str">
        <f t="shared" ca="1" si="79"/>
        <v/>
      </c>
      <c r="V228" s="707" t="str">
        <f t="shared" ca="1" si="90"/>
        <v/>
      </c>
      <c r="W228" s="480" t="str">
        <f t="shared" ca="1" si="80"/>
        <v/>
      </c>
      <c r="X228" s="480" t="str">
        <f t="shared" ca="1" si="81"/>
        <v/>
      </c>
      <c r="Y228" s="488"/>
      <c r="Z228" s="714"/>
      <c r="AD228" s="611"/>
      <c r="AE228" s="603" t="str">
        <f t="shared" si="82"/>
        <v/>
      </c>
      <c r="AF228" s="603"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03"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03" t="str">
        <f t="shared" ca="1" si="83"/>
        <v/>
      </c>
      <c r="AI228" s="603" t="str" cm="1">
        <f t="array" ref="AI228">IFERROR(INDEX(始値!$E$6:$BT$305,MATCH(TEXT($B228,"0"),TEXT(銘柄管理!$B$6:$B$305,"0"),0),MATCH($AE228,始値!$E$3:$BT$3,0)),"")</f>
        <v/>
      </c>
      <c r="AJ228" s="603" t="str">
        <f t="shared" ca="1" si="84"/>
        <v/>
      </c>
      <c r="AK228" s="603" t="str">
        <f t="shared" ca="1" si="85"/>
        <v/>
      </c>
    </row>
    <row r="229" spans="1:37" ht="17.25" customHeight="1">
      <c r="A229" s="625" t="str">
        <f t="shared" si="74"/>
        <v/>
      </c>
      <c r="B229" s="480"/>
      <c r="C229" s="480"/>
      <c r="D229" s="480" t="str" cm="1">
        <f t="array" ref="D229">_xll.RssMarket(B229, "銘柄名称")</f>
        <v/>
      </c>
      <c r="E229" s="721"/>
      <c r="F229" s="702" t="str" cm="1">
        <f t="array" aca="1" ref="F229" ca="1">IFERROR(_xlfn.LET(_xlpm.r,MATCH(TEXT($B229,"0"),TEXT(銘柄管理!$B$6:$B$305,"0"),0),_xlpm.t,MOD(NOW(),1),_xlpm.c,IF($E229=TODAY(),IF(_xlpm.t&gt;=TIME(15,30,0),NA(),1),IF(MATCH($E229,始値!$E$3:$BT$3,0)=1,1,MATCH($E229,始値!$E$3:$BT$3,0)+1)),_xlpm.v,INDEX(始値!$C$6:$BT$305,_xlpm.r,_xlpm.c),IF(N(_xlpm.v)=0,"",_xlpm.v)),"")</f>
        <v/>
      </c>
      <c r="G229" s="480"/>
      <c r="H229" s="480" t="str" cm="1">
        <f t="array" ref="H229">_xll.RssMarket(B229, "現在値")</f>
        <v/>
      </c>
      <c r="I229" s="480" t="str" cm="1">
        <f t="array" ref="I229">_xll.RssMarket(B229, "出来高加重平均")</f>
        <v/>
      </c>
      <c r="J229" s="706" t="str" cm="1">
        <f t="array" ref="J229">_xll.RssMarket($B229, "前日比")</f>
        <v/>
      </c>
      <c r="K229" s="707" t="str">
        <f t="shared" ca="1" si="86"/>
        <v/>
      </c>
      <c r="L229" s="712" t="str">
        <f t="shared" ca="1" si="87"/>
        <v/>
      </c>
      <c r="M229" s="601" t="str">
        <f t="shared" ca="1" si="75"/>
        <v/>
      </c>
      <c r="N229" s="601" t="str">
        <f t="shared" ca="1" si="76"/>
        <v/>
      </c>
      <c r="O229" s="478" t="str">
        <f t="shared" ca="1" si="77"/>
        <v/>
      </c>
      <c r="P229" s="445" t="str">
        <f t="array" aca="1" ref="P229" ca="1">IF(B229="","",IFERROR(MAX(OFFSET(高値!$E$6,MATCH(TEXT(B229,"0"),TEXT(銘柄管理!$B$6:$B$305,"0"),0)-1,0,1,10)),""))</f>
        <v/>
      </c>
      <c r="Q229" s="445" t="str">
        <f t="array" aca="1" ref="Q229" ca="1">IF(B229="","",IFERROR(MIN(OFFSET(安値!$E$6,MATCH(TEXT(B229,"0"),TEXT(銘柄管理!$B$6:$B$305,"0"),0)-1,0,1,10)),""))</f>
        <v/>
      </c>
      <c r="R229" s="480" t="str">
        <f t="shared" ca="1" si="88"/>
        <v/>
      </c>
      <c r="S229" s="480" t="str">
        <f t="shared" si="89"/>
        <v/>
      </c>
      <c r="T229" s="599" t="str">
        <f t="shared" ca="1" si="78"/>
        <v/>
      </c>
      <c r="U229" s="601" t="str">
        <f t="shared" ca="1" si="79"/>
        <v/>
      </c>
      <c r="V229" s="707" t="str">
        <f t="shared" ca="1" si="90"/>
        <v/>
      </c>
      <c r="W229" s="480" t="str">
        <f t="shared" ca="1" si="80"/>
        <v/>
      </c>
      <c r="X229" s="480" t="str">
        <f t="shared" ca="1" si="81"/>
        <v/>
      </c>
      <c r="Y229" s="488"/>
      <c r="Z229" s="714"/>
      <c r="AD229" s="611"/>
      <c r="AE229" s="603" t="str">
        <f t="shared" si="82"/>
        <v/>
      </c>
      <c r="AF229" s="603"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03"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03" t="str">
        <f t="shared" ca="1" si="83"/>
        <v/>
      </c>
      <c r="AI229" s="603" t="str" cm="1">
        <f t="array" ref="AI229">IFERROR(INDEX(始値!$E$6:$BT$305,MATCH(TEXT($B229,"0"),TEXT(銘柄管理!$B$6:$B$305,"0"),0),MATCH($AE229,始値!$E$3:$BT$3,0)),"")</f>
        <v/>
      </c>
      <c r="AJ229" s="603" t="str">
        <f t="shared" ca="1" si="84"/>
        <v/>
      </c>
      <c r="AK229" s="603" t="str">
        <f t="shared" ca="1" si="85"/>
        <v/>
      </c>
    </row>
    <row r="230" spans="1:37" ht="17.25" customHeight="1">
      <c r="A230" s="625" t="str">
        <f t="shared" si="74"/>
        <v/>
      </c>
      <c r="B230" s="480"/>
      <c r="C230" s="480"/>
      <c r="D230" s="480" t="str" cm="1">
        <f t="array" ref="D230">_xll.RssMarket(B230, "銘柄名称")</f>
        <v/>
      </c>
      <c r="E230" s="721"/>
      <c r="F230" s="702" t="str" cm="1">
        <f t="array" aca="1" ref="F230" ca="1">IFERROR(_xlfn.LET(_xlpm.r,MATCH(TEXT($B230,"0"),TEXT(銘柄管理!$B$6:$B$305,"0"),0),_xlpm.t,MOD(NOW(),1),_xlpm.c,IF($E230=TODAY(),IF(_xlpm.t&gt;=TIME(15,30,0),NA(),1),IF(MATCH($E230,始値!$E$3:$BT$3,0)=1,1,MATCH($E230,始値!$E$3:$BT$3,0)+1)),_xlpm.v,INDEX(始値!$C$6:$BT$305,_xlpm.r,_xlpm.c),IF(N(_xlpm.v)=0,"",_xlpm.v)),"")</f>
        <v/>
      </c>
      <c r="G230" s="480"/>
      <c r="H230" s="480" t="str" cm="1">
        <f t="array" ref="H230">_xll.RssMarket(B230, "現在値")</f>
        <v/>
      </c>
      <c r="I230" s="480" t="str" cm="1">
        <f t="array" ref="I230">_xll.RssMarket(B230, "出来高加重平均")</f>
        <v/>
      </c>
      <c r="J230" s="706" t="str" cm="1">
        <f t="array" ref="J230">_xll.RssMarket($B230, "前日比")</f>
        <v/>
      </c>
      <c r="K230" s="707" t="str">
        <f t="shared" ca="1" si="86"/>
        <v/>
      </c>
      <c r="L230" s="712" t="str">
        <f t="shared" ca="1" si="87"/>
        <v/>
      </c>
      <c r="M230" s="601" t="str">
        <f t="shared" ca="1" si="75"/>
        <v/>
      </c>
      <c r="N230" s="601" t="str">
        <f t="shared" ca="1" si="76"/>
        <v/>
      </c>
      <c r="O230" s="478" t="str">
        <f t="shared" ca="1" si="77"/>
        <v/>
      </c>
      <c r="P230" s="445" t="str">
        <f t="array" aca="1" ref="P230" ca="1">IF(B230="","",IFERROR(MAX(OFFSET(高値!$E$6,MATCH(TEXT(B230,"0"),TEXT(銘柄管理!$B$6:$B$305,"0"),0)-1,0,1,10)),""))</f>
        <v/>
      </c>
      <c r="Q230" s="445" t="str">
        <f t="array" aca="1" ref="Q230" ca="1">IF(B230="","",IFERROR(MIN(OFFSET(安値!$E$6,MATCH(TEXT(B230,"0"),TEXT(銘柄管理!$B$6:$B$305,"0"),0)-1,0,1,10)),""))</f>
        <v/>
      </c>
      <c r="R230" s="480" t="str">
        <f t="shared" ca="1" si="88"/>
        <v/>
      </c>
      <c r="S230" s="480" t="str">
        <f t="shared" si="89"/>
        <v/>
      </c>
      <c r="T230" s="599" t="str">
        <f t="shared" ca="1" si="78"/>
        <v/>
      </c>
      <c r="U230" s="601" t="str">
        <f t="shared" ca="1" si="79"/>
        <v/>
      </c>
      <c r="V230" s="707" t="str">
        <f t="shared" ca="1" si="90"/>
        <v/>
      </c>
      <c r="W230" s="480" t="str">
        <f t="shared" ca="1" si="80"/>
        <v/>
      </c>
      <c r="X230" s="480" t="str">
        <f t="shared" ca="1" si="81"/>
        <v/>
      </c>
      <c r="Y230" s="488"/>
      <c r="Z230" s="714"/>
      <c r="AD230" s="611"/>
      <c r="AE230" s="603" t="str">
        <f t="shared" si="82"/>
        <v/>
      </c>
      <c r="AF230" s="603"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03"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03" t="str">
        <f t="shared" ca="1" si="83"/>
        <v/>
      </c>
      <c r="AI230" s="603" t="str" cm="1">
        <f t="array" ref="AI230">IFERROR(INDEX(始値!$E$6:$BT$305,MATCH(TEXT($B230,"0"),TEXT(銘柄管理!$B$6:$B$305,"0"),0),MATCH($AE230,始値!$E$3:$BT$3,0)),"")</f>
        <v/>
      </c>
      <c r="AJ230" s="603" t="str">
        <f t="shared" ca="1" si="84"/>
        <v/>
      </c>
      <c r="AK230" s="603" t="str">
        <f t="shared" ca="1" si="85"/>
        <v/>
      </c>
    </row>
    <row r="231" spans="1:37" ht="17.25" customHeight="1">
      <c r="A231" s="625" t="str">
        <f t="shared" si="74"/>
        <v/>
      </c>
      <c r="B231" s="480"/>
      <c r="C231" s="480"/>
      <c r="D231" s="480" t="str" cm="1">
        <f t="array" ref="D231">_xll.RssMarket(B231, "銘柄名称")</f>
        <v/>
      </c>
      <c r="E231" s="721"/>
      <c r="F231" s="702" t="str" cm="1">
        <f t="array" aca="1" ref="F231" ca="1">IFERROR(_xlfn.LET(_xlpm.r,MATCH(TEXT($B231,"0"),TEXT(銘柄管理!$B$6:$B$305,"0"),0),_xlpm.t,MOD(NOW(),1),_xlpm.c,IF($E231=TODAY(),IF(_xlpm.t&gt;=TIME(15,30,0),NA(),1),IF(MATCH($E231,始値!$E$3:$BT$3,0)=1,1,MATCH($E231,始値!$E$3:$BT$3,0)+1)),_xlpm.v,INDEX(始値!$C$6:$BT$305,_xlpm.r,_xlpm.c),IF(N(_xlpm.v)=0,"",_xlpm.v)),"")</f>
        <v/>
      </c>
      <c r="G231" s="480"/>
      <c r="H231" s="480" t="str" cm="1">
        <f t="array" ref="H231">_xll.RssMarket(B231, "現在値")</f>
        <v/>
      </c>
      <c r="I231" s="480" t="str" cm="1">
        <f t="array" ref="I231">_xll.RssMarket(B231, "出来高加重平均")</f>
        <v/>
      </c>
      <c r="J231" s="706" t="str" cm="1">
        <f t="array" ref="J231">_xll.RssMarket($B231, "前日比")</f>
        <v/>
      </c>
      <c r="K231" s="707" t="str">
        <f t="shared" ca="1" si="86"/>
        <v/>
      </c>
      <c r="L231" s="712" t="str">
        <f t="shared" ca="1" si="87"/>
        <v/>
      </c>
      <c r="M231" s="601" t="str">
        <f t="shared" ca="1" si="75"/>
        <v/>
      </c>
      <c r="N231" s="601" t="str">
        <f t="shared" ca="1" si="76"/>
        <v/>
      </c>
      <c r="O231" s="478" t="str">
        <f t="shared" ca="1" si="77"/>
        <v/>
      </c>
      <c r="P231" s="445" t="str">
        <f t="array" aca="1" ref="P231" ca="1">IF(B231="","",IFERROR(MAX(OFFSET(高値!$E$6,MATCH(TEXT(B231,"0"),TEXT(銘柄管理!$B$6:$B$305,"0"),0)-1,0,1,10)),""))</f>
        <v/>
      </c>
      <c r="Q231" s="445" t="str">
        <f t="array" aca="1" ref="Q231" ca="1">IF(B231="","",IFERROR(MIN(OFFSET(安値!$E$6,MATCH(TEXT(B231,"0"),TEXT(銘柄管理!$B$6:$B$305,"0"),0)-1,0,1,10)),""))</f>
        <v/>
      </c>
      <c r="R231" s="480" t="str">
        <f t="shared" ca="1" si="88"/>
        <v/>
      </c>
      <c r="S231" s="480" t="str">
        <f t="shared" si="89"/>
        <v/>
      </c>
      <c r="T231" s="599" t="str">
        <f t="shared" ca="1" si="78"/>
        <v/>
      </c>
      <c r="U231" s="601" t="str">
        <f t="shared" ca="1" si="79"/>
        <v/>
      </c>
      <c r="V231" s="707" t="str">
        <f t="shared" ca="1" si="90"/>
        <v/>
      </c>
      <c r="W231" s="480" t="str">
        <f t="shared" ca="1" si="80"/>
        <v/>
      </c>
      <c r="X231" s="480" t="str">
        <f t="shared" ca="1" si="81"/>
        <v/>
      </c>
      <c r="Y231" s="488"/>
      <c r="Z231" s="714"/>
      <c r="AD231" s="611"/>
      <c r="AE231" s="603" t="str">
        <f t="shared" si="82"/>
        <v/>
      </c>
      <c r="AF231" s="603"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03"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03" t="str">
        <f t="shared" ca="1" si="83"/>
        <v/>
      </c>
      <c r="AI231" s="603" t="str" cm="1">
        <f t="array" ref="AI231">IFERROR(INDEX(始値!$E$6:$BT$305,MATCH(TEXT($B231,"0"),TEXT(銘柄管理!$B$6:$B$305,"0"),0),MATCH($AE231,始値!$E$3:$BT$3,0)),"")</f>
        <v/>
      </c>
      <c r="AJ231" s="603" t="str">
        <f t="shared" ca="1" si="84"/>
        <v/>
      </c>
      <c r="AK231" s="603" t="str">
        <f t="shared" ca="1" si="85"/>
        <v/>
      </c>
    </row>
    <row r="232" spans="1:37" ht="17.25" customHeight="1">
      <c r="A232" s="625" t="str">
        <f t="shared" si="74"/>
        <v/>
      </c>
      <c r="B232" s="480"/>
      <c r="C232" s="480"/>
      <c r="D232" s="480" t="str" cm="1">
        <f t="array" ref="D232">_xll.RssMarket(B232, "銘柄名称")</f>
        <v/>
      </c>
      <c r="E232" s="721"/>
      <c r="F232" s="702" t="str" cm="1">
        <f t="array" aca="1" ref="F232" ca="1">IFERROR(_xlfn.LET(_xlpm.r,MATCH(TEXT($B232,"0"),TEXT(銘柄管理!$B$6:$B$305,"0"),0),_xlpm.t,MOD(NOW(),1),_xlpm.c,IF($E232=TODAY(),IF(_xlpm.t&gt;=TIME(15,30,0),NA(),1),IF(MATCH($E232,始値!$E$3:$BT$3,0)=1,1,MATCH($E232,始値!$E$3:$BT$3,0)+1)),_xlpm.v,INDEX(始値!$C$6:$BT$305,_xlpm.r,_xlpm.c),IF(N(_xlpm.v)=0,"",_xlpm.v)),"")</f>
        <v/>
      </c>
      <c r="G232" s="480"/>
      <c r="H232" s="480" t="str" cm="1">
        <f t="array" ref="H232">_xll.RssMarket(B232, "現在値")</f>
        <v/>
      </c>
      <c r="I232" s="480" t="str" cm="1">
        <f t="array" ref="I232">_xll.RssMarket(B232, "出来高加重平均")</f>
        <v/>
      </c>
      <c r="J232" s="706" t="str" cm="1">
        <f t="array" ref="J232">_xll.RssMarket($B232, "前日比")</f>
        <v/>
      </c>
      <c r="K232" s="707" t="str">
        <f t="shared" ca="1" si="86"/>
        <v/>
      </c>
      <c r="L232" s="712" t="str">
        <f t="shared" ca="1" si="87"/>
        <v/>
      </c>
      <c r="M232" s="601" t="str">
        <f t="shared" ca="1" si="75"/>
        <v/>
      </c>
      <c r="N232" s="601" t="str">
        <f t="shared" ca="1" si="76"/>
        <v/>
      </c>
      <c r="O232" s="478" t="str">
        <f t="shared" ca="1" si="77"/>
        <v/>
      </c>
      <c r="P232" s="445" t="str">
        <f t="array" aca="1" ref="P232" ca="1">IF(B232="","",IFERROR(MAX(OFFSET(高値!$E$6,MATCH(TEXT(B232,"0"),TEXT(銘柄管理!$B$6:$B$305,"0"),0)-1,0,1,10)),""))</f>
        <v/>
      </c>
      <c r="Q232" s="445" t="str">
        <f t="array" aca="1" ref="Q232" ca="1">IF(B232="","",IFERROR(MIN(OFFSET(安値!$E$6,MATCH(TEXT(B232,"0"),TEXT(銘柄管理!$B$6:$B$305,"0"),0)-1,0,1,10)),""))</f>
        <v/>
      </c>
      <c r="R232" s="480" t="str">
        <f t="shared" ca="1" si="88"/>
        <v/>
      </c>
      <c r="S232" s="480" t="str">
        <f t="shared" si="89"/>
        <v/>
      </c>
      <c r="T232" s="599" t="str">
        <f t="shared" ca="1" si="78"/>
        <v/>
      </c>
      <c r="U232" s="601" t="str">
        <f t="shared" ca="1" si="79"/>
        <v/>
      </c>
      <c r="V232" s="707" t="str">
        <f t="shared" ca="1" si="90"/>
        <v/>
      </c>
      <c r="W232" s="480" t="str">
        <f t="shared" ca="1" si="80"/>
        <v/>
      </c>
      <c r="X232" s="480" t="str">
        <f t="shared" ca="1" si="81"/>
        <v/>
      </c>
      <c r="Y232" s="488"/>
      <c r="Z232" s="714"/>
      <c r="AD232" s="611"/>
      <c r="AE232" s="603" t="str">
        <f t="shared" si="82"/>
        <v/>
      </c>
      <c r="AF232" s="603"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03"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03" t="str">
        <f t="shared" ca="1" si="83"/>
        <v/>
      </c>
      <c r="AI232" s="603" t="str" cm="1">
        <f t="array" ref="AI232">IFERROR(INDEX(始値!$E$6:$BT$305,MATCH(TEXT($B232,"0"),TEXT(銘柄管理!$B$6:$B$305,"0"),0),MATCH($AE232,始値!$E$3:$BT$3,0)),"")</f>
        <v/>
      </c>
      <c r="AJ232" s="603" t="str">
        <f t="shared" ca="1" si="84"/>
        <v/>
      </c>
      <c r="AK232" s="603" t="str">
        <f t="shared" ca="1" si="85"/>
        <v/>
      </c>
    </row>
    <row r="233" spans="1:37" ht="17.25" customHeight="1">
      <c r="A233" s="625" t="str">
        <f t="shared" si="74"/>
        <v/>
      </c>
      <c r="B233" s="480"/>
      <c r="C233" s="480"/>
      <c r="D233" s="480" t="str" cm="1">
        <f t="array" ref="D233">_xll.RssMarket(B233, "銘柄名称")</f>
        <v/>
      </c>
      <c r="E233" s="721"/>
      <c r="F233" s="702" t="str" cm="1">
        <f t="array" aca="1" ref="F233" ca="1">IFERROR(_xlfn.LET(_xlpm.r,MATCH(TEXT($B233,"0"),TEXT(銘柄管理!$B$6:$B$305,"0"),0),_xlpm.t,MOD(NOW(),1),_xlpm.c,IF($E233=TODAY(),IF(_xlpm.t&gt;=TIME(15,30,0),NA(),1),IF(MATCH($E233,始値!$E$3:$BT$3,0)=1,1,MATCH($E233,始値!$E$3:$BT$3,0)+1)),_xlpm.v,INDEX(始値!$C$6:$BT$305,_xlpm.r,_xlpm.c),IF(N(_xlpm.v)=0,"",_xlpm.v)),"")</f>
        <v/>
      </c>
      <c r="G233" s="480"/>
      <c r="H233" s="480" t="str" cm="1">
        <f t="array" ref="H233">_xll.RssMarket(B233, "現在値")</f>
        <v/>
      </c>
      <c r="I233" s="480" t="str" cm="1">
        <f t="array" ref="I233">_xll.RssMarket(B233, "出来高加重平均")</f>
        <v/>
      </c>
      <c r="J233" s="706" t="str" cm="1">
        <f t="array" ref="J233">_xll.RssMarket($B233, "前日比")</f>
        <v/>
      </c>
      <c r="K233" s="707" t="str">
        <f t="shared" ca="1" si="86"/>
        <v/>
      </c>
      <c r="L233" s="712" t="str">
        <f t="shared" ca="1" si="87"/>
        <v/>
      </c>
      <c r="M233" s="601" t="str">
        <f t="shared" ca="1" si="75"/>
        <v/>
      </c>
      <c r="N233" s="601" t="str">
        <f t="shared" ca="1" si="76"/>
        <v/>
      </c>
      <c r="O233" s="478" t="str">
        <f t="shared" ca="1" si="77"/>
        <v/>
      </c>
      <c r="P233" s="445" t="str">
        <f t="array" aca="1" ref="P233" ca="1">IF(B233="","",IFERROR(MAX(OFFSET(高値!$E$6,MATCH(TEXT(B233,"0"),TEXT(銘柄管理!$B$6:$B$305,"0"),0)-1,0,1,10)),""))</f>
        <v/>
      </c>
      <c r="Q233" s="445" t="str">
        <f t="array" aca="1" ref="Q233" ca="1">IF(B233="","",IFERROR(MIN(OFFSET(安値!$E$6,MATCH(TEXT(B233,"0"),TEXT(銘柄管理!$B$6:$B$305,"0"),0)-1,0,1,10)),""))</f>
        <v/>
      </c>
      <c r="R233" s="480" t="str">
        <f t="shared" ca="1" si="88"/>
        <v/>
      </c>
      <c r="S233" s="480" t="str">
        <f t="shared" si="89"/>
        <v/>
      </c>
      <c r="T233" s="599" t="str">
        <f t="shared" ca="1" si="78"/>
        <v/>
      </c>
      <c r="U233" s="601" t="str">
        <f t="shared" ca="1" si="79"/>
        <v/>
      </c>
      <c r="V233" s="707" t="str">
        <f t="shared" ca="1" si="90"/>
        <v/>
      </c>
      <c r="W233" s="480" t="str">
        <f t="shared" ca="1" si="80"/>
        <v/>
      </c>
      <c r="X233" s="480" t="str">
        <f t="shared" ca="1" si="81"/>
        <v/>
      </c>
      <c r="Y233" s="488"/>
      <c r="Z233" s="714"/>
      <c r="AD233" s="611"/>
      <c r="AE233" s="603" t="str">
        <f t="shared" si="82"/>
        <v/>
      </c>
      <c r="AF233" s="603"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03"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03" t="str">
        <f t="shared" ca="1" si="83"/>
        <v/>
      </c>
      <c r="AI233" s="603" t="str" cm="1">
        <f t="array" ref="AI233">IFERROR(INDEX(始値!$E$6:$BT$305,MATCH(TEXT($B233,"0"),TEXT(銘柄管理!$B$6:$B$305,"0"),0),MATCH($AE233,始値!$E$3:$BT$3,0)),"")</f>
        <v/>
      </c>
      <c r="AJ233" s="603" t="str">
        <f t="shared" ca="1" si="84"/>
        <v/>
      </c>
      <c r="AK233" s="603" t="str">
        <f t="shared" ca="1" si="85"/>
        <v/>
      </c>
    </row>
    <row r="234" spans="1:37" ht="17.25" customHeight="1">
      <c r="A234" s="625" t="str">
        <f t="shared" si="74"/>
        <v/>
      </c>
      <c r="B234" s="480"/>
      <c r="C234" s="480"/>
      <c r="D234" s="480" t="str" cm="1">
        <f t="array" ref="D234">_xll.RssMarket(B234, "銘柄名称")</f>
        <v/>
      </c>
      <c r="E234" s="721"/>
      <c r="F234" s="702" t="str" cm="1">
        <f t="array" aca="1" ref="F234" ca="1">IFERROR(_xlfn.LET(_xlpm.r,MATCH(TEXT($B234,"0"),TEXT(銘柄管理!$B$6:$B$305,"0"),0),_xlpm.t,MOD(NOW(),1),_xlpm.c,IF($E234=TODAY(),IF(_xlpm.t&gt;=TIME(15,30,0),NA(),1),IF(MATCH($E234,始値!$E$3:$BT$3,0)=1,1,MATCH($E234,始値!$E$3:$BT$3,0)+1)),_xlpm.v,INDEX(始値!$C$6:$BT$305,_xlpm.r,_xlpm.c),IF(N(_xlpm.v)=0,"",_xlpm.v)),"")</f>
        <v/>
      </c>
      <c r="G234" s="480"/>
      <c r="H234" s="480" t="str" cm="1">
        <f t="array" ref="H234">_xll.RssMarket(B234, "現在値")</f>
        <v/>
      </c>
      <c r="I234" s="480" t="str" cm="1">
        <f t="array" ref="I234">_xll.RssMarket(B234, "出来高加重平均")</f>
        <v/>
      </c>
      <c r="J234" s="706" t="str" cm="1">
        <f t="array" ref="J234">_xll.RssMarket($B234, "前日比")</f>
        <v/>
      </c>
      <c r="K234" s="707" t="str">
        <f t="shared" ca="1" si="86"/>
        <v/>
      </c>
      <c r="L234" s="712" t="str">
        <f t="shared" ca="1" si="87"/>
        <v/>
      </c>
      <c r="M234" s="601" t="str">
        <f t="shared" ca="1" si="75"/>
        <v/>
      </c>
      <c r="N234" s="601" t="str">
        <f t="shared" ca="1" si="76"/>
        <v/>
      </c>
      <c r="O234" s="478" t="str">
        <f t="shared" ca="1" si="77"/>
        <v/>
      </c>
      <c r="P234" s="445" t="str">
        <f t="array" aca="1" ref="P234" ca="1">IF(B234="","",IFERROR(MAX(OFFSET(高値!$E$6,MATCH(TEXT(B234,"0"),TEXT(銘柄管理!$B$6:$B$305,"0"),0)-1,0,1,10)),""))</f>
        <v/>
      </c>
      <c r="Q234" s="445" t="str">
        <f t="array" aca="1" ref="Q234" ca="1">IF(B234="","",IFERROR(MIN(OFFSET(安値!$E$6,MATCH(TEXT(B234,"0"),TEXT(銘柄管理!$B$6:$B$305,"0"),0)-1,0,1,10)),""))</f>
        <v/>
      </c>
      <c r="R234" s="480" t="str">
        <f t="shared" ca="1" si="88"/>
        <v/>
      </c>
      <c r="S234" s="480" t="str">
        <f t="shared" si="89"/>
        <v/>
      </c>
      <c r="T234" s="599" t="str">
        <f t="shared" ca="1" si="78"/>
        <v/>
      </c>
      <c r="U234" s="601" t="str">
        <f t="shared" ca="1" si="79"/>
        <v/>
      </c>
      <c r="V234" s="707" t="str">
        <f t="shared" ca="1" si="90"/>
        <v/>
      </c>
      <c r="W234" s="480" t="str">
        <f t="shared" ca="1" si="80"/>
        <v/>
      </c>
      <c r="X234" s="480" t="str">
        <f t="shared" ca="1" si="81"/>
        <v/>
      </c>
      <c r="Y234" s="488"/>
      <c r="Z234" s="714"/>
      <c r="AD234" s="611"/>
      <c r="AE234" s="603" t="str">
        <f t="shared" si="82"/>
        <v/>
      </c>
      <c r="AF234" s="603"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03"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03" t="str">
        <f t="shared" ca="1" si="83"/>
        <v/>
      </c>
      <c r="AI234" s="603" t="str" cm="1">
        <f t="array" ref="AI234">IFERROR(INDEX(始値!$E$6:$BT$305,MATCH(TEXT($B234,"0"),TEXT(銘柄管理!$B$6:$B$305,"0"),0),MATCH($AE234,始値!$E$3:$BT$3,0)),"")</f>
        <v/>
      </c>
      <c r="AJ234" s="603" t="str">
        <f t="shared" ca="1" si="84"/>
        <v/>
      </c>
      <c r="AK234" s="603" t="str">
        <f t="shared" ca="1" si="85"/>
        <v/>
      </c>
    </row>
    <row r="235" spans="1:37" ht="17.25" customHeight="1">
      <c r="A235" s="625" t="str">
        <f t="shared" si="74"/>
        <v/>
      </c>
      <c r="B235" s="480"/>
      <c r="C235" s="480"/>
      <c r="D235" s="480" t="str" cm="1">
        <f t="array" ref="D235">_xll.RssMarket(B235, "銘柄名称")</f>
        <v/>
      </c>
      <c r="E235" s="721"/>
      <c r="F235" s="702" t="str" cm="1">
        <f t="array" aca="1" ref="F235" ca="1">IFERROR(_xlfn.LET(_xlpm.r,MATCH(TEXT($B235,"0"),TEXT(銘柄管理!$B$6:$B$305,"0"),0),_xlpm.t,MOD(NOW(),1),_xlpm.c,IF($E235=TODAY(),IF(_xlpm.t&gt;=TIME(15,30,0),NA(),1),IF(MATCH($E235,始値!$E$3:$BT$3,0)=1,1,MATCH($E235,始値!$E$3:$BT$3,0)+1)),_xlpm.v,INDEX(始値!$C$6:$BT$305,_xlpm.r,_xlpm.c),IF(N(_xlpm.v)=0,"",_xlpm.v)),"")</f>
        <v/>
      </c>
      <c r="G235" s="480"/>
      <c r="H235" s="480" t="str" cm="1">
        <f t="array" ref="H235">_xll.RssMarket(B235, "現在値")</f>
        <v/>
      </c>
      <c r="I235" s="480" t="str" cm="1">
        <f t="array" ref="I235">_xll.RssMarket(B235, "出来高加重平均")</f>
        <v/>
      </c>
      <c r="J235" s="706" t="str" cm="1">
        <f t="array" ref="J235">_xll.RssMarket($B235, "前日比")</f>
        <v/>
      </c>
      <c r="K235" s="707" t="str">
        <f t="shared" ca="1" si="86"/>
        <v/>
      </c>
      <c r="L235" s="712" t="str">
        <f t="shared" ca="1" si="87"/>
        <v/>
      </c>
      <c r="M235" s="601" t="str">
        <f t="shared" ca="1" si="75"/>
        <v/>
      </c>
      <c r="N235" s="601" t="str">
        <f t="shared" ca="1" si="76"/>
        <v/>
      </c>
      <c r="O235" s="478" t="str">
        <f t="shared" ca="1" si="77"/>
        <v/>
      </c>
      <c r="P235" s="445" t="str">
        <f t="array" aca="1" ref="P235" ca="1">IF(B235="","",IFERROR(MAX(OFFSET(高値!$E$6,MATCH(TEXT(B235,"0"),TEXT(銘柄管理!$B$6:$B$305,"0"),0)-1,0,1,10)),""))</f>
        <v/>
      </c>
      <c r="Q235" s="445" t="str">
        <f t="array" aca="1" ref="Q235" ca="1">IF(B235="","",IFERROR(MIN(OFFSET(安値!$E$6,MATCH(TEXT(B235,"0"),TEXT(銘柄管理!$B$6:$B$305,"0"),0)-1,0,1,10)),""))</f>
        <v/>
      </c>
      <c r="R235" s="480" t="str">
        <f t="shared" ca="1" si="88"/>
        <v/>
      </c>
      <c r="S235" s="480" t="str">
        <f t="shared" si="89"/>
        <v/>
      </c>
      <c r="T235" s="599" t="str">
        <f t="shared" ca="1" si="78"/>
        <v/>
      </c>
      <c r="U235" s="601" t="str">
        <f t="shared" ca="1" si="79"/>
        <v/>
      </c>
      <c r="V235" s="707" t="str">
        <f t="shared" ca="1" si="90"/>
        <v/>
      </c>
      <c r="W235" s="480" t="str">
        <f t="shared" ca="1" si="80"/>
        <v/>
      </c>
      <c r="X235" s="480" t="str">
        <f t="shared" ca="1" si="81"/>
        <v/>
      </c>
      <c r="Y235" s="488"/>
      <c r="Z235" s="714"/>
      <c r="AD235" s="611"/>
      <c r="AE235" s="603" t="str">
        <f t="shared" si="82"/>
        <v/>
      </c>
      <c r="AF235" s="603"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03"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03" t="str">
        <f t="shared" ca="1" si="83"/>
        <v/>
      </c>
      <c r="AI235" s="603" t="str" cm="1">
        <f t="array" ref="AI235">IFERROR(INDEX(始値!$E$6:$BT$305,MATCH(TEXT($B235,"0"),TEXT(銘柄管理!$B$6:$B$305,"0"),0),MATCH($AE235,始値!$E$3:$BT$3,0)),"")</f>
        <v/>
      </c>
      <c r="AJ235" s="603" t="str">
        <f t="shared" ca="1" si="84"/>
        <v/>
      </c>
      <c r="AK235" s="603" t="str">
        <f t="shared" ca="1" si="85"/>
        <v/>
      </c>
    </row>
    <row r="236" spans="1:37" ht="17.25" customHeight="1">
      <c r="A236" s="625" t="str">
        <f t="shared" si="74"/>
        <v/>
      </c>
      <c r="B236" s="480"/>
      <c r="C236" s="480"/>
      <c r="D236" s="480" t="str" cm="1">
        <f t="array" ref="D236">_xll.RssMarket(B236, "銘柄名称")</f>
        <v/>
      </c>
      <c r="E236" s="721"/>
      <c r="F236" s="702" t="str" cm="1">
        <f t="array" aca="1" ref="F236" ca="1">IFERROR(_xlfn.LET(_xlpm.r,MATCH(TEXT($B236,"0"),TEXT(銘柄管理!$B$6:$B$305,"0"),0),_xlpm.t,MOD(NOW(),1),_xlpm.c,IF($E236=TODAY(),IF(_xlpm.t&gt;=TIME(15,30,0),NA(),1),IF(MATCH($E236,始値!$E$3:$BT$3,0)=1,1,MATCH($E236,始値!$E$3:$BT$3,0)+1)),_xlpm.v,INDEX(始値!$C$6:$BT$305,_xlpm.r,_xlpm.c),IF(N(_xlpm.v)=0,"",_xlpm.v)),"")</f>
        <v/>
      </c>
      <c r="G236" s="480"/>
      <c r="H236" s="480" t="str" cm="1">
        <f t="array" ref="H236">_xll.RssMarket(B236, "現在値")</f>
        <v/>
      </c>
      <c r="I236" s="480" t="str" cm="1">
        <f t="array" ref="I236">_xll.RssMarket(B236, "出来高加重平均")</f>
        <v/>
      </c>
      <c r="J236" s="706" t="str" cm="1">
        <f t="array" ref="J236">_xll.RssMarket($B236, "前日比")</f>
        <v/>
      </c>
      <c r="K236" s="707" t="str">
        <f t="shared" ca="1" si="86"/>
        <v/>
      </c>
      <c r="L236" s="712" t="str">
        <f t="shared" ca="1" si="87"/>
        <v/>
      </c>
      <c r="M236" s="601" t="str">
        <f t="shared" ca="1" si="75"/>
        <v/>
      </c>
      <c r="N236" s="601" t="str">
        <f t="shared" ca="1" si="76"/>
        <v/>
      </c>
      <c r="O236" s="478" t="str">
        <f t="shared" ca="1" si="77"/>
        <v/>
      </c>
      <c r="P236" s="445" t="str">
        <f t="array" aca="1" ref="P236" ca="1">IF(B236="","",IFERROR(MAX(OFFSET(高値!$E$6,MATCH(TEXT(B236,"0"),TEXT(銘柄管理!$B$6:$B$305,"0"),0)-1,0,1,10)),""))</f>
        <v/>
      </c>
      <c r="Q236" s="445" t="str">
        <f t="array" aca="1" ref="Q236" ca="1">IF(B236="","",IFERROR(MIN(OFFSET(安値!$E$6,MATCH(TEXT(B236,"0"),TEXT(銘柄管理!$B$6:$B$305,"0"),0)-1,0,1,10)),""))</f>
        <v/>
      </c>
      <c r="R236" s="480" t="str">
        <f t="shared" ca="1" si="88"/>
        <v/>
      </c>
      <c r="S236" s="480" t="str">
        <f t="shared" si="89"/>
        <v/>
      </c>
      <c r="T236" s="599" t="str">
        <f t="shared" ca="1" si="78"/>
        <v/>
      </c>
      <c r="U236" s="601" t="str">
        <f t="shared" ca="1" si="79"/>
        <v/>
      </c>
      <c r="V236" s="707" t="str">
        <f t="shared" ca="1" si="90"/>
        <v/>
      </c>
      <c r="W236" s="480" t="str">
        <f t="shared" ca="1" si="80"/>
        <v/>
      </c>
      <c r="X236" s="480" t="str">
        <f t="shared" ca="1" si="81"/>
        <v/>
      </c>
      <c r="Y236" s="488"/>
      <c r="Z236" s="714"/>
      <c r="AD236" s="611"/>
      <c r="AE236" s="603" t="str">
        <f t="shared" si="82"/>
        <v/>
      </c>
      <c r="AF236" s="603"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03"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03" t="str">
        <f t="shared" ca="1" si="83"/>
        <v/>
      </c>
      <c r="AI236" s="603" t="str" cm="1">
        <f t="array" ref="AI236">IFERROR(INDEX(始値!$E$6:$BT$305,MATCH(TEXT($B236,"0"),TEXT(銘柄管理!$B$6:$B$305,"0"),0),MATCH($AE236,始値!$E$3:$BT$3,0)),"")</f>
        <v/>
      </c>
      <c r="AJ236" s="603" t="str">
        <f t="shared" ca="1" si="84"/>
        <v/>
      </c>
      <c r="AK236" s="603" t="str">
        <f t="shared" ca="1" si="85"/>
        <v/>
      </c>
    </row>
    <row r="237" spans="1:37" ht="17.25" customHeight="1">
      <c r="A237" s="625" t="str">
        <f t="shared" si="74"/>
        <v/>
      </c>
      <c r="B237" s="480"/>
      <c r="C237" s="480"/>
      <c r="D237" s="480" t="str" cm="1">
        <f t="array" ref="D237">_xll.RssMarket(B237, "銘柄名称")</f>
        <v/>
      </c>
      <c r="E237" s="721"/>
      <c r="F237" s="702" t="str" cm="1">
        <f t="array" aca="1" ref="F237" ca="1">IFERROR(_xlfn.LET(_xlpm.r,MATCH(TEXT($B237,"0"),TEXT(銘柄管理!$B$6:$B$305,"0"),0),_xlpm.t,MOD(NOW(),1),_xlpm.c,IF($E237=TODAY(),IF(_xlpm.t&gt;=TIME(15,30,0),NA(),1),IF(MATCH($E237,始値!$E$3:$BT$3,0)=1,1,MATCH($E237,始値!$E$3:$BT$3,0)+1)),_xlpm.v,INDEX(始値!$C$6:$BT$305,_xlpm.r,_xlpm.c),IF(N(_xlpm.v)=0,"",_xlpm.v)),"")</f>
        <v/>
      </c>
      <c r="G237" s="480"/>
      <c r="H237" s="480" t="str" cm="1">
        <f t="array" ref="H237">_xll.RssMarket(B237, "現在値")</f>
        <v/>
      </c>
      <c r="I237" s="480" t="str" cm="1">
        <f t="array" ref="I237">_xll.RssMarket(B237, "出来高加重平均")</f>
        <v/>
      </c>
      <c r="J237" s="706" t="str" cm="1">
        <f t="array" ref="J237">_xll.RssMarket($B237, "前日比")</f>
        <v/>
      </c>
      <c r="K237" s="707" t="str">
        <f t="shared" ca="1" si="86"/>
        <v/>
      </c>
      <c r="L237" s="712" t="str">
        <f t="shared" ca="1" si="87"/>
        <v/>
      </c>
      <c r="M237" s="601" t="str">
        <f t="shared" ca="1" si="75"/>
        <v/>
      </c>
      <c r="N237" s="601" t="str">
        <f t="shared" ca="1" si="76"/>
        <v/>
      </c>
      <c r="O237" s="478" t="str">
        <f t="shared" ca="1" si="77"/>
        <v/>
      </c>
      <c r="P237" s="445" t="str">
        <f t="array" aca="1" ref="P237" ca="1">IF(B237="","",IFERROR(MAX(OFFSET(高値!$E$6,MATCH(TEXT(B237,"0"),TEXT(銘柄管理!$B$6:$B$305,"0"),0)-1,0,1,10)),""))</f>
        <v/>
      </c>
      <c r="Q237" s="445" t="str">
        <f t="array" aca="1" ref="Q237" ca="1">IF(B237="","",IFERROR(MIN(OFFSET(安値!$E$6,MATCH(TEXT(B237,"0"),TEXT(銘柄管理!$B$6:$B$305,"0"),0)-1,0,1,10)),""))</f>
        <v/>
      </c>
      <c r="R237" s="480" t="str">
        <f t="shared" ca="1" si="88"/>
        <v/>
      </c>
      <c r="S237" s="480" t="str">
        <f t="shared" si="89"/>
        <v/>
      </c>
      <c r="T237" s="599" t="str">
        <f t="shared" ca="1" si="78"/>
        <v/>
      </c>
      <c r="U237" s="601" t="str">
        <f t="shared" ca="1" si="79"/>
        <v/>
      </c>
      <c r="V237" s="707" t="str">
        <f t="shared" ca="1" si="90"/>
        <v/>
      </c>
      <c r="W237" s="480" t="str">
        <f t="shared" ca="1" si="80"/>
        <v/>
      </c>
      <c r="X237" s="480" t="str">
        <f t="shared" ca="1" si="81"/>
        <v/>
      </c>
      <c r="Y237" s="488"/>
      <c r="Z237" s="714"/>
      <c r="AD237" s="611"/>
      <c r="AE237" s="603" t="str">
        <f t="shared" si="82"/>
        <v/>
      </c>
      <c r="AF237" s="603"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03"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03" t="str">
        <f t="shared" ca="1" si="83"/>
        <v/>
      </c>
      <c r="AI237" s="603" t="str" cm="1">
        <f t="array" ref="AI237">IFERROR(INDEX(始値!$E$6:$BT$305,MATCH(TEXT($B237,"0"),TEXT(銘柄管理!$B$6:$B$305,"0"),0),MATCH($AE237,始値!$E$3:$BT$3,0)),"")</f>
        <v/>
      </c>
      <c r="AJ237" s="603" t="str">
        <f t="shared" ca="1" si="84"/>
        <v/>
      </c>
      <c r="AK237" s="603" t="str">
        <f t="shared" ca="1" si="85"/>
        <v/>
      </c>
    </row>
    <row r="238" spans="1:37" ht="17.25" customHeight="1">
      <c r="A238" s="625" t="str">
        <f t="shared" si="74"/>
        <v/>
      </c>
      <c r="B238" s="480"/>
      <c r="C238" s="480"/>
      <c r="D238" s="480" t="str" cm="1">
        <f t="array" ref="D238">_xll.RssMarket(B238, "銘柄名称")</f>
        <v/>
      </c>
      <c r="E238" s="721"/>
      <c r="F238" s="702" t="str" cm="1">
        <f t="array" aca="1" ref="F238" ca="1">IFERROR(_xlfn.LET(_xlpm.r,MATCH(TEXT($B238,"0"),TEXT(銘柄管理!$B$6:$B$305,"0"),0),_xlpm.t,MOD(NOW(),1),_xlpm.c,IF($E238=TODAY(),IF(_xlpm.t&gt;=TIME(15,30,0),NA(),1),IF(MATCH($E238,始値!$E$3:$BT$3,0)=1,1,MATCH($E238,始値!$E$3:$BT$3,0)+1)),_xlpm.v,INDEX(始値!$C$6:$BT$305,_xlpm.r,_xlpm.c),IF(N(_xlpm.v)=0,"",_xlpm.v)),"")</f>
        <v/>
      </c>
      <c r="G238" s="480"/>
      <c r="H238" s="480" t="str" cm="1">
        <f t="array" ref="H238">_xll.RssMarket(B238, "現在値")</f>
        <v/>
      </c>
      <c r="I238" s="480" t="str" cm="1">
        <f t="array" ref="I238">_xll.RssMarket(B238, "出来高加重平均")</f>
        <v/>
      </c>
      <c r="J238" s="706" t="str" cm="1">
        <f t="array" ref="J238">_xll.RssMarket($B238, "前日比")</f>
        <v/>
      </c>
      <c r="K238" s="707" t="str">
        <f t="shared" ca="1" si="86"/>
        <v/>
      </c>
      <c r="L238" s="712" t="str">
        <f t="shared" ca="1" si="87"/>
        <v/>
      </c>
      <c r="M238" s="601" t="str">
        <f t="shared" ca="1" si="75"/>
        <v/>
      </c>
      <c r="N238" s="601" t="str">
        <f t="shared" ca="1" si="76"/>
        <v/>
      </c>
      <c r="O238" s="478" t="str">
        <f t="shared" ca="1" si="77"/>
        <v/>
      </c>
      <c r="P238" s="445" t="str">
        <f t="array" aca="1" ref="P238" ca="1">IF(B238="","",IFERROR(MAX(OFFSET(高値!$E$6,MATCH(TEXT(B238,"0"),TEXT(銘柄管理!$B$6:$B$305,"0"),0)-1,0,1,10)),""))</f>
        <v/>
      </c>
      <c r="Q238" s="445" t="str">
        <f t="array" aca="1" ref="Q238" ca="1">IF(B238="","",IFERROR(MIN(OFFSET(安値!$E$6,MATCH(TEXT(B238,"0"),TEXT(銘柄管理!$B$6:$B$305,"0"),0)-1,0,1,10)),""))</f>
        <v/>
      </c>
      <c r="R238" s="480" t="str">
        <f t="shared" ca="1" si="88"/>
        <v/>
      </c>
      <c r="S238" s="480" t="str">
        <f t="shared" si="89"/>
        <v/>
      </c>
      <c r="T238" s="599" t="str">
        <f t="shared" ca="1" si="78"/>
        <v/>
      </c>
      <c r="U238" s="601" t="str">
        <f t="shared" ca="1" si="79"/>
        <v/>
      </c>
      <c r="V238" s="707" t="str">
        <f t="shared" ca="1" si="90"/>
        <v/>
      </c>
      <c r="W238" s="480" t="str">
        <f t="shared" ca="1" si="80"/>
        <v/>
      </c>
      <c r="X238" s="480" t="str">
        <f t="shared" ca="1" si="81"/>
        <v/>
      </c>
      <c r="Y238" s="488"/>
      <c r="Z238" s="714"/>
      <c r="AD238" s="611"/>
      <c r="AE238" s="603" t="str">
        <f t="shared" si="82"/>
        <v/>
      </c>
      <c r="AF238" s="603"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03"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03" t="str">
        <f t="shared" ca="1" si="83"/>
        <v/>
      </c>
      <c r="AI238" s="603" t="str" cm="1">
        <f t="array" ref="AI238">IFERROR(INDEX(始値!$E$6:$BT$305,MATCH(TEXT($B238,"0"),TEXT(銘柄管理!$B$6:$B$305,"0"),0),MATCH($AE238,始値!$E$3:$BT$3,0)),"")</f>
        <v/>
      </c>
      <c r="AJ238" s="603" t="str">
        <f t="shared" ca="1" si="84"/>
        <v/>
      </c>
      <c r="AK238" s="603" t="str">
        <f t="shared" ca="1" si="85"/>
        <v/>
      </c>
    </row>
    <row r="239" spans="1:37" ht="17.25" customHeight="1">
      <c r="A239" s="625" t="str">
        <f t="shared" si="74"/>
        <v/>
      </c>
      <c r="B239" s="480"/>
      <c r="C239" s="480"/>
      <c r="D239" s="480" t="str" cm="1">
        <f t="array" ref="D239">_xll.RssMarket(B239, "銘柄名称")</f>
        <v/>
      </c>
      <c r="E239" s="721"/>
      <c r="F239" s="702" t="str" cm="1">
        <f t="array" aca="1" ref="F239" ca="1">IFERROR(_xlfn.LET(_xlpm.r,MATCH(TEXT($B239,"0"),TEXT(銘柄管理!$B$6:$B$305,"0"),0),_xlpm.t,MOD(NOW(),1),_xlpm.c,IF($E239=TODAY(),IF(_xlpm.t&gt;=TIME(15,30,0),NA(),1),IF(MATCH($E239,始値!$E$3:$BT$3,0)=1,1,MATCH($E239,始値!$E$3:$BT$3,0)+1)),_xlpm.v,INDEX(始値!$C$6:$BT$305,_xlpm.r,_xlpm.c),IF(N(_xlpm.v)=0,"",_xlpm.v)),"")</f>
        <v/>
      </c>
      <c r="G239" s="480"/>
      <c r="H239" s="480" t="str" cm="1">
        <f t="array" ref="H239">_xll.RssMarket(B239, "現在値")</f>
        <v/>
      </c>
      <c r="I239" s="480" t="str" cm="1">
        <f t="array" ref="I239">_xll.RssMarket(B239, "出来高加重平均")</f>
        <v/>
      </c>
      <c r="J239" s="706" t="str" cm="1">
        <f t="array" ref="J239">_xll.RssMarket($B239, "前日比")</f>
        <v/>
      </c>
      <c r="K239" s="707" t="str">
        <f t="shared" ca="1" si="86"/>
        <v/>
      </c>
      <c r="L239" s="712" t="str">
        <f t="shared" ca="1" si="87"/>
        <v/>
      </c>
      <c r="M239" s="601" t="str">
        <f t="shared" ca="1" si="75"/>
        <v/>
      </c>
      <c r="N239" s="601" t="str">
        <f t="shared" ca="1" si="76"/>
        <v/>
      </c>
      <c r="O239" s="478" t="str">
        <f t="shared" ca="1" si="77"/>
        <v/>
      </c>
      <c r="P239" s="445" t="str">
        <f t="array" aca="1" ref="P239" ca="1">IF(B239="","",IFERROR(MAX(OFFSET(高値!$E$6,MATCH(TEXT(B239,"0"),TEXT(銘柄管理!$B$6:$B$305,"0"),0)-1,0,1,10)),""))</f>
        <v/>
      </c>
      <c r="Q239" s="445" t="str">
        <f t="array" aca="1" ref="Q239" ca="1">IF(B239="","",IFERROR(MIN(OFFSET(安値!$E$6,MATCH(TEXT(B239,"0"),TEXT(銘柄管理!$B$6:$B$305,"0"),0)-1,0,1,10)),""))</f>
        <v/>
      </c>
      <c r="R239" s="480" t="str">
        <f t="shared" ca="1" si="88"/>
        <v/>
      </c>
      <c r="S239" s="480" t="str">
        <f t="shared" si="89"/>
        <v/>
      </c>
      <c r="T239" s="599" t="str">
        <f t="shared" ca="1" si="78"/>
        <v/>
      </c>
      <c r="U239" s="601" t="str">
        <f t="shared" ca="1" si="79"/>
        <v/>
      </c>
      <c r="V239" s="707" t="str">
        <f t="shared" ca="1" si="90"/>
        <v/>
      </c>
      <c r="W239" s="480" t="str">
        <f t="shared" ca="1" si="80"/>
        <v/>
      </c>
      <c r="X239" s="480" t="str">
        <f t="shared" ca="1" si="81"/>
        <v/>
      </c>
      <c r="Y239" s="488"/>
      <c r="Z239" s="714"/>
      <c r="AD239" s="611"/>
      <c r="AE239" s="603" t="str">
        <f t="shared" si="82"/>
        <v/>
      </c>
      <c r="AF239" s="603"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03"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03" t="str">
        <f t="shared" ca="1" si="83"/>
        <v/>
      </c>
      <c r="AI239" s="603" t="str" cm="1">
        <f t="array" ref="AI239">IFERROR(INDEX(始値!$E$6:$BT$305,MATCH(TEXT($B239,"0"),TEXT(銘柄管理!$B$6:$B$305,"0"),0),MATCH($AE239,始値!$E$3:$BT$3,0)),"")</f>
        <v/>
      </c>
      <c r="AJ239" s="603" t="str">
        <f t="shared" ca="1" si="84"/>
        <v/>
      </c>
      <c r="AK239" s="603" t="str">
        <f t="shared" ca="1" si="85"/>
        <v/>
      </c>
    </row>
    <row r="240" spans="1:37" ht="17.25" customHeight="1">
      <c r="A240" s="625" t="str">
        <f t="shared" si="74"/>
        <v/>
      </c>
      <c r="B240" s="480"/>
      <c r="C240" s="480"/>
      <c r="D240" s="480" t="str" cm="1">
        <f t="array" ref="D240">_xll.RssMarket(B240, "銘柄名称")</f>
        <v/>
      </c>
      <c r="E240" s="721"/>
      <c r="F240" s="702" t="str" cm="1">
        <f t="array" aca="1" ref="F240" ca="1">IFERROR(_xlfn.LET(_xlpm.r,MATCH(TEXT($B240,"0"),TEXT(銘柄管理!$B$6:$B$305,"0"),0),_xlpm.t,MOD(NOW(),1),_xlpm.c,IF($E240=TODAY(),IF(_xlpm.t&gt;=TIME(15,30,0),NA(),1),IF(MATCH($E240,始値!$E$3:$BT$3,0)=1,1,MATCH($E240,始値!$E$3:$BT$3,0)+1)),_xlpm.v,INDEX(始値!$C$6:$BT$305,_xlpm.r,_xlpm.c),IF(N(_xlpm.v)=0,"",_xlpm.v)),"")</f>
        <v/>
      </c>
      <c r="G240" s="480"/>
      <c r="H240" s="480" t="str" cm="1">
        <f t="array" ref="H240">_xll.RssMarket(B240, "現在値")</f>
        <v/>
      </c>
      <c r="I240" s="480" t="str" cm="1">
        <f t="array" ref="I240">_xll.RssMarket(B240, "出来高加重平均")</f>
        <v/>
      </c>
      <c r="J240" s="706" t="str" cm="1">
        <f t="array" ref="J240">_xll.RssMarket($B240, "前日比")</f>
        <v/>
      </c>
      <c r="K240" s="707" t="str">
        <f t="shared" ca="1" si="86"/>
        <v/>
      </c>
      <c r="L240" s="712" t="str">
        <f t="shared" ca="1" si="87"/>
        <v/>
      </c>
      <c r="M240" s="601" t="str">
        <f t="shared" ca="1" si="75"/>
        <v/>
      </c>
      <c r="N240" s="601" t="str">
        <f t="shared" ca="1" si="76"/>
        <v/>
      </c>
      <c r="O240" s="478" t="str">
        <f t="shared" ca="1" si="77"/>
        <v/>
      </c>
      <c r="P240" s="445" t="str">
        <f t="array" aca="1" ref="P240" ca="1">IF(B240="","",IFERROR(MAX(OFFSET(高値!$E$6,MATCH(TEXT(B240,"0"),TEXT(銘柄管理!$B$6:$B$305,"0"),0)-1,0,1,10)),""))</f>
        <v/>
      </c>
      <c r="Q240" s="445" t="str">
        <f t="array" aca="1" ref="Q240" ca="1">IF(B240="","",IFERROR(MIN(OFFSET(安値!$E$6,MATCH(TEXT(B240,"0"),TEXT(銘柄管理!$B$6:$B$305,"0"),0)-1,0,1,10)),""))</f>
        <v/>
      </c>
      <c r="R240" s="480" t="str">
        <f t="shared" ca="1" si="88"/>
        <v/>
      </c>
      <c r="S240" s="480" t="str">
        <f t="shared" si="89"/>
        <v/>
      </c>
      <c r="T240" s="599" t="str">
        <f t="shared" ca="1" si="78"/>
        <v/>
      </c>
      <c r="U240" s="601" t="str">
        <f t="shared" ca="1" si="79"/>
        <v/>
      </c>
      <c r="V240" s="707" t="str">
        <f t="shared" ca="1" si="90"/>
        <v/>
      </c>
      <c r="W240" s="480" t="str">
        <f t="shared" ca="1" si="80"/>
        <v/>
      </c>
      <c r="X240" s="480" t="str">
        <f t="shared" ca="1" si="81"/>
        <v/>
      </c>
      <c r="Y240" s="488"/>
      <c r="Z240" s="714"/>
      <c r="AD240" s="611"/>
      <c r="AE240" s="603" t="str">
        <f t="shared" si="82"/>
        <v/>
      </c>
      <c r="AF240" s="603"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03"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03" t="str">
        <f t="shared" ca="1" si="83"/>
        <v/>
      </c>
      <c r="AI240" s="603" t="str" cm="1">
        <f t="array" ref="AI240">IFERROR(INDEX(始値!$E$6:$BT$305,MATCH(TEXT($B240,"0"),TEXT(銘柄管理!$B$6:$B$305,"0"),0),MATCH($AE240,始値!$E$3:$BT$3,0)),"")</f>
        <v/>
      </c>
      <c r="AJ240" s="603" t="str">
        <f t="shared" ca="1" si="84"/>
        <v/>
      </c>
      <c r="AK240" s="603" t="str">
        <f t="shared" ca="1" si="85"/>
        <v/>
      </c>
    </row>
    <row r="241" spans="1:37" ht="17.25" customHeight="1">
      <c r="A241" s="625" t="str">
        <f t="shared" si="74"/>
        <v/>
      </c>
      <c r="B241" s="480"/>
      <c r="C241" s="480"/>
      <c r="D241" s="480" t="str" cm="1">
        <f t="array" ref="D241">_xll.RssMarket(B241, "銘柄名称")</f>
        <v/>
      </c>
      <c r="E241" s="721"/>
      <c r="F241" s="702" t="str" cm="1">
        <f t="array" aca="1" ref="F241" ca="1">IFERROR(_xlfn.LET(_xlpm.r,MATCH(TEXT($B241,"0"),TEXT(銘柄管理!$B$6:$B$305,"0"),0),_xlpm.t,MOD(NOW(),1),_xlpm.c,IF($E241=TODAY(),IF(_xlpm.t&gt;=TIME(15,30,0),NA(),1),IF(MATCH($E241,始値!$E$3:$BT$3,0)=1,1,MATCH($E241,始値!$E$3:$BT$3,0)+1)),_xlpm.v,INDEX(始値!$C$6:$BT$305,_xlpm.r,_xlpm.c),IF(N(_xlpm.v)=0,"",_xlpm.v)),"")</f>
        <v/>
      </c>
      <c r="G241" s="480"/>
      <c r="H241" s="480" t="str" cm="1">
        <f t="array" ref="H241">_xll.RssMarket(B241, "現在値")</f>
        <v/>
      </c>
      <c r="I241" s="480" t="str" cm="1">
        <f t="array" ref="I241">_xll.RssMarket(B241, "出来高加重平均")</f>
        <v/>
      </c>
      <c r="J241" s="706" t="str" cm="1">
        <f t="array" ref="J241">_xll.RssMarket($B241, "前日比")</f>
        <v/>
      </c>
      <c r="K241" s="707" t="str">
        <f t="shared" ca="1" si="86"/>
        <v/>
      </c>
      <c r="L241" s="712" t="str">
        <f t="shared" ca="1" si="87"/>
        <v/>
      </c>
      <c r="M241" s="601" t="str">
        <f t="shared" ca="1" si="75"/>
        <v/>
      </c>
      <c r="N241" s="601" t="str">
        <f t="shared" ca="1" si="76"/>
        <v/>
      </c>
      <c r="O241" s="478" t="str">
        <f t="shared" ca="1" si="77"/>
        <v/>
      </c>
      <c r="P241" s="445" t="str">
        <f t="array" aca="1" ref="P241" ca="1">IF(B241="","",IFERROR(MAX(OFFSET(高値!$E$6,MATCH(TEXT(B241,"0"),TEXT(銘柄管理!$B$6:$B$305,"0"),0)-1,0,1,10)),""))</f>
        <v/>
      </c>
      <c r="Q241" s="445" t="str">
        <f t="array" aca="1" ref="Q241" ca="1">IF(B241="","",IFERROR(MIN(OFFSET(安値!$E$6,MATCH(TEXT(B241,"0"),TEXT(銘柄管理!$B$6:$B$305,"0"),0)-1,0,1,10)),""))</f>
        <v/>
      </c>
      <c r="R241" s="480" t="str">
        <f t="shared" ca="1" si="88"/>
        <v/>
      </c>
      <c r="S241" s="480" t="str">
        <f t="shared" si="89"/>
        <v/>
      </c>
      <c r="T241" s="599" t="str">
        <f t="shared" ca="1" si="78"/>
        <v/>
      </c>
      <c r="U241" s="601" t="str">
        <f t="shared" ca="1" si="79"/>
        <v/>
      </c>
      <c r="V241" s="707" t="str">
        <f t="shared" ca="1" si="90"/>
        <v/>
      </c>
      <c r="W241" s="480" t="str">
        <f t="shared" ca="1" si="80"/>
        <v/>
      </c>
      <c r="X241" s="480" t="str">
        <f t="shared" ca="1" si="81"/>
        <v/>
      </c>
      <c r="Y241" s="488"/>
      <c r="Z241" s="714"/>
      <c r="AD241" s="611"/>
      <c r="AE241" s="603" t="str">
        <f t="shared" si="82"/>
        <v/>
      </c>
      <c r="AF241" s="603"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03"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03" t="str">
        <f t="shared" ca="1" si="83"/>
        <v/>
      </c>
      <c r="AI241" s="603" t="str" cm="1">
        <f t="array" ref="AI241">IFERROR(INDEX(始値!$E$6:$BT$305,MATCH(TEXT($B241,"0"),TEXT(銘柄管理!$B$6:$B$305,"0"),0),MATCH($AE241,始値!$E$3:$BT$3,0)),"")</f>
        <v/>
      </c>
      <c r="AJ241" s="603" t="str">
        <f t="shared" ca="1" si="84"/>
        <v/>
      </c>
      <c r="AK241" s="603" t="str">
        <f t="shared" ca="1" si="85"/>
        <v/>
      </c>
    </row>
    <row r="242" spans="1:37" ht="17.25" customHeight="1">
      <c r="A242" s="625" t="str">
        <f t="shared" si="74"/>
        <v/>
      </c>
      <c r="B242" s="480"/>
      <c r="C242" s="480"/>
      <c r="D242" s="480" t="str" cm="1">
        <f t="array" ref="D242">_xll.RssMarket(B242, "銘柄名称")</f>
        <v/>
      </c>
      <c r="E242" s="721"/>
      <c r="F242" s="702" t="str" cm="1">
        <f t="array" aca="1" ref="F242" ca="1">IFERROR(_xlfn.LET(_xlpm.r,MATCH(TEXT($B242,"0"),TEXT(銘柄管理!$B$6:$B$305,"0"),0),_xlpm.t,MOD(NOW(),1),_xlpm.c,IF($E242=TODAY(),IF(_xlpm.t&gt;=TIME(15,30,0),NA(),1),IF(MATCH($E242,始値!$E$3:$BT$3,0)=1,1,MATCH($E242,始値!$E$3:$BT$3,0)+1)),_xlpm.v,INDEX(始値!$C$6:$BT$305,_xlpm.r,_xlpm.c),IF(N(_xlpm.v)=0,"",_xlpm.v)),"")</f>
        <v/>
      </c>
      <c r="G242" s="480"/>
      <c r="H242" s="480" t="str" cm="1">
        <f t="array" ref="H242">_xll.RssMarket(B242, "現在値")</f>
        <v/>
      </c>
      <c r="I242" s="480" t="str" cm="1">
        <f t="array" ref="I242">_xll.RssMarket(B242, "出来高加重平均")</f>
        <v/>
      </c>
      <c r="J242" s="706" t="str" cm="1">
        <f t="array" ref="J242">_xll.RssMarket($B242, "前日比")</f>
        <v/>
      </c>
      <c r="K242" s="707" t="str">
        <f t="shared" ca="1" si="86"/>
        <v/>
      </c>
      <c r="L242" s="712" t="str">
        <f t="shared" ca="1" si="87"/>
        <v/>
      </c>
      <c r="M242" s="601" t="str">
        <f t="shared" ca="1" si="75"/>
        <v/>
      </c>
      <c r="N242" s="601" t="str">
        <f t="shared" ca="1" si="76"/>
        <v/>
      </c>
      <c r="O242" s="478" t="str">
        <f t="shared" ca="1" si="77"/>
        <v/>
      </c>
      <c r="P242" s="445" t="str">
        <f t="array" aca="1" ref="P242" ca="1">IF(B242="","",IFERROR(MAX(OFFSET(高値!$E$6,MATCH(TEXT(B242,"0"),TEXT(銘柄管理!$B$6:$B$305,"0"),0)-1,0,1,10)),""))</f>
        <v/>
      </c>
      <c r="Q242" s="445" t="str">
        <f t="array" aca="1" ref="Q242" ca="1">IF(B242="","",IFERROR(MIN(OFFSET(安値!$E$6,MATCH(TEXT(B242,"0"),TEXT(銘柄管理!$B$6:$B$305,"0"),0)-1,0,1,10)),""))</f>
        <v/>
      </c>
      <c r="R242" s="480" t="str">
        <f t="shared" ca="1" si="88"/>
        <v/>
      </c>
      <c r="S242" s="480" t="str">
        <f t="shared" si="89"/>
        <v/>
      </c>
      <c r="T242" s="599" t="str">
        <f t="shared" ca="1" si="78"/>
        <v/>
      </c>
      <c r="U242" s="601" t="str">
        <f t="shared" ca="1" si="79"/>
        <v/>
      </c>
      <c r="V242" s="707" t="str">
        <f t="shared" ca="1" si="90"/>
        <v/>
      </c>
      <c r="W242" s="480" t="str">
        <f t="shared" ca="1" si="80"/>
        <v/>
      </c>
      <c r="X242" s="480" t="str">
        <f t="shared" ca="1" si="81"/>
        <v/>
      </c>
      <c r="Y242" s="488"/>
      <c r="Z242" s="714"/>
      <c r="AD242" s="611"/>
      <c r="AE242" s="603" t="str">
        <f t="shared" si="82"/>
        <v/>
      </c>
      <c r="AF242" s="603"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03"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03" t="str">
        <f t="shared" ca="1" si="83"/>
        <v/>
      </c>
      <c r="AI242" s="603" t="str" cm="1">
        <f t="array" ref="AI242">IFERROR(INDEX(始値!$E$6:$BT$305,MATCH(TEXT($B242,"0"),TEXT(銘柄管理!$B$6:$B$305,"0"),0),MATCH($AE242,始値!$E$3:$BT$3,0)),"")</f>
        <v/>
      </c>
      <c r="AJ242" s="603" t="str">
        <f t="shared" ca="1" si="84"/>
        <v/>
      </c>
      <c r="AK242" s="603" t="str">
        <f t="shared" ca="1" si="85"/>
        <v/>
      </c>
    </row>
    <row r="243" spans="1:37" ht="17.25" customHeight="1">
      <c r="A243" s="625" t="str">
        <f t="shared" si="74"/>
        <v/>
      </c>
      <c r="B243" s="480"/>
      <c r="C243" s="480"/>
      <c r="D243" s="480" t="str" cm="1">
        <f t="array" ref="D243">_xll.RssMarket(B243, "銘柄名称")</f>
        <v/>
      </c>
      <c r="E243" s="721"/>
      <c r="F243" s="702" t="str" cm="1">
        <f t="array" aca="1" ref="F243" ca="1">IFERROR(_xlfn.LET(_xlpm.r,MATCH(TEXT($B243,"0"),TEXT(銘柄管理!$B$6:$B$305,"0"),0),_xlpm.t,MOD(NOW(),1),_xlpm.c,IF($E243=TODAY(),IF(_xlpm.t&gt;=TIME(15,30,0),NA(),1),IF(MATCH($E243,始値!$E$3:$BT$3,0)=1,1,MATCH($E243,始値!$E$3:$BT$3,0)+1)),_xlpm.v,INDEX(始値!$C$6:$BT$305,_xlpm.r,_xlpm.c),IF(N(_xlpm.v)=0,"",_xlpm.v)),"")</f>
        <v/>
      </c>
      <c r="G243" s="480"/>
      <c r="H243" s="480" t="str" cm="1">
        <f t="array" ref="H243">_xll.RssMarket(B243, "現在値")</f>
        <v/>
      </c>
      <c r="I243" s="480" t="str" cm="1">
        <f t="array" ref="I243">_xll.RssMarket(B243, "出来高加重平均")</f>
        <v/>
      </c>
      <c r="J243" s="706" t="str" cm="1">
        <f t="array" ref="J243">_xll.RssMarket($B243, "前日比")</f>
        <v/>
      </c>
      <c r="K243" s="707" t="str">
        <f t="shared" ca="1" si="86"/>
        <v/>
      </c>
      <c r="L243" s="712" t="str">
        <f t="shared" ca="1" si="87"/>
        <v/>
      </c>
      <c r="M243" s="601" t="str">
        <f t="shared" ca="1" si="75"/>
        <v/>
      </c>
      <c r="N243" s="601" t="str">
        <f t="shared" ca="1" si="76"/>
        <v/>
      </c>
      <c r="O243" s="478" t="str">
        <f t="shared" ca="1" si="77"/>
        <v/>
      </c>
      <c r="P243" s="445" t="str">
        <f t="array" aca="1" ref="P243" ca="1">IF(B243="","",IFERROR(MAX(OFFSET(高値!$E$6,MATCH(TEXT(B243,"0"),TEXT(銘柄管理!$B$6:$B$305,"0"),0)-1,0,1,10)),""))</f>
        <v/>
      </c>
      <c r="Q243" s="445" t="str">
        <f t="array" aca="1" ref="Q243" ca="1">IF(B243="","",IFERROR(MIN(OFFSET(安値!$E$6,MATCH(TEXT(B243,"0"),TEXT(銘柄管理!$B$6:$B$305,"0"),0)-1,0,1,10)),""))</f>
        <v/>
      </c>
      <c r="R243" s="480" t="str">
        <f t="shared" ca="1" si="88"/>
        <v/>
      </c>
      <c r="S243" s="480" t="str">
        <f t="shared" si="89"/>
        <v/>
      </c>
      <c r="T243" s="599" t="str">
        <f t="shared" ca="1" si="78"/>
        <v/>
      </c>
      <c r="U243" s="601" t="str">
        <f t="shared" ca="1" si="79"/>
        <v/>
      </c>
      <c r="V243" s="707" t="str">
        <f t="shared" ca="1" si="90"/>
        <v/>
      </c>
      <c r="W243" s="480" t="str">
        <f t="shared" ca="1" si="80"/>
        <v/>
      </c>
      <c r="X243" s="480" t="str">
        <f t="shared" ca="1" si="81"/>
        <v/>
      </c>
      <c r="Y243" s="488"/>
      <c r="Z243" s="714"/>
      <c r="AD243" s="611"/>
      <c r="AE243" s="603" t="str">
        <f t="shared" si="82"/>
        <v/>
      </c>
      <c r="AF243" s="603"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03"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03" t="str">
        <f t="shared" ca="1" si="83"/>
        <v/>
      </c>
      <c r="AI243" s="603" t="str" cm="1">
        <f t="array" ref="AI243">IFERROR(INDEX(始値!$E$6:$BT$305,MATCH(TEXT($B243,"0"),TEXT(銘柄管理!$B$6:$B$305,"0"),0),MATCH($AE243,始値!$E$3:$BT$3,0)),"")</f>
        <v/>
      </c>
      <c r="AJ243" s="603" t="str">
        <f t="shared" ca="1" si="84"/>
        <v/>
      </c>
      <c r="AK243" s="603" t="str">
        <f t="shared" ca="1" si="85"/>
        <v/>
      </c>
    </row>
    <row r="244" spans="1:37" ht="17.25" customHeight="1">
      <c r="A244" s="625" t="str">
        <f t="shared" si="74"/>
        <v/>
      </c>
      <c r="B244" s="480"/>
      <c r="C244" s="480"/>
      <c r="D244" s="480" t="str" cm="1">
        <f t="array" ref="D244">_xll.RssMarket(B244, "銘柄名称")</f>
        <v/>
      </c>
      <c r="E244" s="721"/>
      <c r="F244" s="702" t="str" cm="1">
        <f t="array" aca="1" ref="F244" ca="1">IFERROR(_xlfn.LET(_xlpm.r,MATCH(TEXT($B244,"0"),TEXT(銘柄管理!$B$6:$B$305,"0"),0),_xlpm.t,MOD(NOW(),1),_xlpm.c,IF($E244=TODAY(),IF(_xlpm.t&gt;=TIME(15,30,0),NA(),1),IF(MATCH($E244,始値!$E$3:$BT$3,0)=1,1,MATCH($E244,始値!$E$3:$BT$3,0)+1)),_xlpm.v,INDEX(始値!$C$6:$BT$305,_xlpm.r,_xlpm.c),IF(N(_xlpm.v)=0,"",_xlpm.v)),"")</f>
        <v/>
      </c>
      <c r="G244" s="480"/>
      <c r="H244" s="480" t="str" cm="1">
        <f t="array" ref="H244">_xll.RssMarket(B244, "現在値")</f>
        <v/>
      </c>
      <c r="I244" s="480" t="str" cm="1">
        <f t="array" ref="I244">_xll.RssMarket(B244, "出来高加重平均")</f>
        <v/>
      </c>
      <c r="J244" s="706" t="str" cm="1">
        <f t="array" ref="J244">_xll.RssMarket($B244, "前日比")</f>
        <v/>
      </c>
      <c r="K244" s="707" t="str">
        <f t="shared" ca="1" si="86"/>
        <v/>
      </c>
      <c r="L244" s="712" t="str">
        <f t="shared" ca="1" si="87"/>
        <v/>
      </c>
      <c r="M244" s="601" t="str">
        <f t="shared" ca="1" si="75"/>
        <v/>
      </c>
      <c r="N244" s="601" t="str">
        <f t="shared" ca="1" si="76"/>
        <v/>
      </c>
      <c r="O244" s="478" t="str">
        <f t="shared" ca="1" si="77"/>
        <v/>
      </c>
      <c r="P244" s="445" t="str">
        <f t="array" aca="1" ref="P244" ca="1">IF(B244="","",IFERROR(MAX(OFFSET(高値!$E$6,MATCH(TEXT(B244,"0"),TEXT(銘柄管理!$B$6:$B$305,"0"),0)-1,0,1,10)),""))</f>
        <v/>
      </c>
      <c r="Q244" s="445" t="str">
        <f t="array" aca="1" ref="Q244" ca="1">IF(B244="","",IFERROR(MIN(OFFSET(安値!$E$6,MATCH(TEXT(B244,"0"),TEXT(銘柄管理!$B$6:$B$305,"0"),0)-1,0,1,10)),""))</f>
        <v/>
      </c>
      <c r="R244" s="480" t="str">
        <f t="shared" ca="1" si="88"/>
        <v/>
      </c>
      <c r="S244" s="480" t="str">
        <f t="shared" si="89"/>
        <v/>
      </c>
      <c r="T244" s="599" t="str">
        <f t="shared" ca="1" si="78"/>
        <v/>
      </c>
      <c r="U244" s="601" t="str">
        <f t="shared" ca="1" si="79"/>
        <v/>
      </c>
      <c r="V244" s="707" t="str">
        <f t="shared" ca="1" si="90"/>
        <v/>
      </c>
      <c r="W244" s="480" t="str">
        <f t="shared" ca="1" si="80"/>
        <v/>
      </c>
      <c r="X244" s="480" t="str">
        <f t="shared" ca="1" si="81"/>
        <v/>
      </c>
      <c r="Y244" s="488"/>
      <c r="Z244" s="714"/>
      <c r="AD244" s="611"/>
      <c r="AE244" s="603" t="str">
        <f t="shared" si="82"/>
        <v/>
      </c>
      <c r="AF244" s="603"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03"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03" t="str">
        <f t="shared" ca="1" si="83"/>
        <v/>
      </c>
      <c r="AI244" s="603" t="str" cm="1">
        <f t="array" ref="AI244">IFERROR(INDEX(始値!$E$6:$BT$305,MATCH(TEXT($B244,"0"),TEXT(銘柄管理!$B$6:$B$305,"0"),0),MATCH($AE244,始値!$E$3:$BT$3,0)),"")</f>
        <v/>
      </c>
      <c r="AJ244" s="603" t="str">
        <f t="shared" ca="1" si="84"/>
        <v/>
      </c>
      <c r="AK244" s="603" t="str">
        <f t="shared" ca="1" si="85"/>
        <v/>
      </c>
    </row>
    <row r="245" spans="1:37" ht="17.25" customHeight="1">
      <c r="A245" s="625" t="str">
        <f t="shared" si="74"/>
        <v/>
      </c>
      <c r="B245" s="480"/>
      <c r="C245" s="480"/>
      <c r="D245" s="480" t="str" cm="1">
        <f t="array" ref="D245">_xll.RssMarket(B245, "銘柄名称")</f>
        <v/>
      </c>
      <c r="E245" s="721"/>
      <c r="F245" s="702" t="str" cm="1">
        <f t="array" aca="1" ref="F245" ca="1">IFERROR(_xlfn.LET(_xlpm.r,MATCH(TEXT($B245,"0"),TEXT(銘柄管理!$B$6:$B$305,"0"),0),_xlpm.t,MOD(NOW(),1),_xlpm.c,IF($E245=TODAY(),IF(_xlpm.t&gt;=TIME(15,30,0),NA(),1),IF(MATCH($E245,始値!$E$3:$BT$3,0)=1,1,MATCH($E245,始値!$E$3:$BT$3,0)+1)),_xlpm.v,INDEX(始値!$C$6:$BT$305,_xlpm.r,_xlpm.c),IF(N(_xlpm.v)=0,"",_xlpm.v)),"")</f>
        <v/>
      </c>
      <c r="G245" s="480"/>
      <c r="H245" s="480" t="str" cm="1">
        <f t="array" ref="H245">_xll.RssMarket(B245, "現在値")</f>
        <v/>
      </c>
      <c r="I245" s="480" t="str" cm="1">
        <f t="array" ref="I245">_xll.RssMarket(B245, "出来高加重平均")</f>
        <v/>
      </c>
      <c r="J245" s="706" t="str" cm="1">
        <f t="array" ref="J245">_xll.RssMarket($B245, "前日比")</f>
        <v/>
      </c>
      <c r="K245" s="707" t="str">
        <f t="shared" ca="1" si="86"/>
        <v/>
      </c>
      <c r="L245" s="712" t="str">
        <f t="shared" ca="1" si="87"/>
        <v/>
      </c>
      <c r="M245" s="601" t="str">
        <f t="shared" ca="1" si="75"/>
        <v/>
      </c>
      <c r="N245" s="601" t="str">
        <f t="shared" ca="1" si="76"/>
        <v/>
      </c>
      <c r="O245" s="478" t="str">
        <f t="shared" ca="1" si="77"/>
        <v/>
      </c>
      <c r="P245" s="445" t="str">
        <f t="array" aca="1" ref="P245" ca="1">IF(B245="","",IFERROR(MAX(OFFSET(高値!$E$6,MATCH(TEXT(B245,"0"),TEXT(銘柄管理!$B$6:$B$305,"0"),0)-1,0,1,10)),""))</f>
        <v/>
      </c>
      <c r="Q245" s="445" t="str">
        <f t="array" aca="1" ref="Q245" ca="1">IF(B245="","",IFERROR(MIN(OFFSET(安値!$E$6,MATCH(TEXT(B245,"0"),TEXT(銘柄管理!$B$6:$B$305,"0"),0)-1,0,1,10)),""))</f>
        <v/>
      </c>
      <c r="R245" s="480" t="str">
        <f t="shared" ca="1" si="88"/>
        <v/>
      </c>
      <c r="S245" s="480" t="str">
        <f t="shared" si="89"/>
        <v/>
      </c>
      <c r="T245" s="599" t="str">
        <f t="shared" ca="1" si="78"/>
        <v/>
      </c>
      <c r="U245" s="601" t="str">
        <f t="shared" ca="1" si="79"/>
        <v/>
      </c>
      <c r="V245" s="707" t="str">
        <f t="shared" ca="1" si="90"/>
        <v/>
      </c>
      <c r="W245" s="480" t="str">
        <f t="shared" ca="1" si="80"/>
        <v/>
      </c>
      <c r="X245" s="480" t="str">
        <f t="shared" ca="1" si="81"/>
        <v/>
      </c>
      <c r="Y245" s="488"/>
      <c r="Z245" s="714"/>
      <c r="AD245" s="611"/>
      <c r="AE245" s="603" t="str">
        <f t="shared" si="82"/>
        <v/>
      </c>
      <c r="AF245" s="603"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03"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03" t="str">
        <f t="shared" ca="1" si="83"/>
        <v/>
      </c>
      <c r="AI245" s="603" t="str" cm="1">
        <f t="array" ref="AI245">IFERROR(INDEX(始値!$E$6:$BT$305,MATCH(TEXT($B245,"0"),TEXT(銘柄管理!$B$6:$B$305,"0"),0),MATCH($AE245,始値!$E$3:$BT$3,0)),"")</f>
        <v/>
      </c>
      <c r="AJ245" s="603" t="str">
        <f t="shared" ca="1" si="84"/>
        <v/>
      </c>
      <c r="AK245" s="603" t="str">
        <f t="shared" ca="1" si="85"/>
        <v/>
      </c>
    </row>
    <row r="246" spans="1:37" ht="17.25" customHeight="1">
      <c r="A246" s="625" t="str">
        <f t="shared" si="74"/>
        <v/>
      </c>
      <c r="B246" s="480"/>
      <c r="C246" s="480"/>
      <c r="D246" s="480" t="str" cm="1">
        <f t="array" ref="D246">_xll.RssMarket(B246, "銘柄名称")</f>
        <v/>
      </c>
      <c r="E246" s="721"/>
      <c r="F246" s="702" t="str" cm="1">
        <f t="array" aca="1" ref="F246" ca="1">IFERROR(_xlfn.LET(_xlpm.r,MATCH(TEXT($B246,"0"),TEXT(銘柄管理!$B$6:$B$305,"0"),0),_xlpm.t,MOD(NOW(),1),_xlpm.c,IF($E246=TODAY(),IF(_xlpm.t&gt;=TIME(15,30,0),NA(),1),IF(MATCH($E246,始値!$E$3:$BT$3,0)=1,1,MATCH($E246,始値!$E$3:$BT$3,0)+1)),_xlpm.v,INDEX(始値!$C$6:$BT$305,_xlpm.r,_xlpm.c),IF(N(_xlpm.v)=0,"",_xlpm.v)),"")</f>
        <v/>
      </c>
      <c r="G246" s="480"/>
      <c r="H246" s="480" t="str" cm="1">
        <f t="array" ref="H246">_xll.RssMarket(B246, "現在値")</f>
        <v/>
      </c>
      <c r="I246" s="480" t="str" cm="1">
        <f t="array" ref="I246">_xll.RssMarket(B246, "出来高加重平均")</f>
        <v/>
      </c>
      <c r="J246" s="706" t="str" cm="1">
        <f t="array" ref="J246">_xll.RssMarket($B246, "前日比")</f>
        <v/>
      </c>
      <c r="K246" s="707" t="str">
        <f t="shared" ca="1" si="86"/>
        <v/>
      </c>
      <c r="L246" s="712" t="str">
        <f t="shared" ca="1" si="87"/>
        <v/>
      </c>
      <c r="M246" s="601" t="str">
        <f t="shared" ca="1" si="75"/>
        <v/>
      </c>
      <c r="N246" s="601" t="str">
        <f t="shared" ca="1" si="76"/>
        <v/>
      </c>
      <c r="O246" s="478" t="str">
        <f t="shared" ca="1" si="77"/>
        <v/>
      </c>
      <c r="P246" s="445" t="str">
        <f t="array" aca="1" ref="P246" ca="1">IF(B246="","",IFERROR(MAX(OFFSET(高値!$E$6,MATCH(TEXT(B246,"0"),TEXT(銘柄管理!$B$6:$B$305,"0"),0)-1,0,1,10)),""))</f>
        <v/>
      </c>
      <c r="Q246" s="445" t="str">
        <f t="array" aca="1" ref="Q246" ca="1">IF(B246="","",IFERROR(MIN(OFFSET(安値!$E$6,MATCH(TEXT(B246,"0"),TEXT(銘柄管理!$B$6:$B$305,"0"),0)-1,0,1,10)),""))</f>
        <v/>
      </c>
      <c r="R246" s="480" t="str">
        <f t="shared" ca="1" si="88"/>
        <v/>
      </c>
      <c r="S246" s="480" t="str">
        <f t="shared" si="89"/>
        <v/>
      </c>
      <c r="T246" s="599" t="str">
        <f t="shared" ca="1" si="78"/>
        <v/>
      </c>
      <c r="U246" s="601" t="str">
        <f t="shared" ca="1" si="79"/>
        <v/>
      </c>
      <c r="V246" s="707" t="str">
        <f t="shared" ca="1" si="90"/>
        <v/>
      </c>
      <c r="W246" s="480" t="str">
        <f t="shared" ca="1" si="80"/>
        <v/>
      </c>
      <c r="X246" s="480" t="str">
        <f t="shared" ca="1" si="81"/>
        <v/>
      </c>
      <c r="Y246" s="488"/>
      <c r="Z246" s="714"/>
      <c r="AD246" s="611"/>
      <c r="AE246" s="603" t="str">
        <f t="shared" si="82"/>
        <v/>
      </c>
      <c r="AF246" s="603"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03"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03" t="str">
        <f t="shared" ca="1" si="83"/>
        <v/>
      </c>
      <c r="AI246" s="603" t="str" cm="1">
        <f t="array" ref="AI246">IFERROR(INDEX(始値!$E$6:$BT$305,MATCH(TEXT($B246,"0"),TEXT(銘柄管理!$B$6:$B$305,"0"),0),MATCH($AE246,始値!$E$3:$BT$3,0)),"")</f>
        <v/>
      </c>
      <c r="AJ246" s="603" t="str">
        <f t="shared" ca="1" si="84"/>
        <v/>
      </c>
      <c r="AK246" s="603" t="str">
        <f t="shared" ca="1" si="85"/>
        <v/>
      </c>
    </row>
    <row r="247" spans="1:37" ht="17.25" customHeight="1">
      <c r="A247" s="625" t="str">
        <f t="shared" si="74"/>
        <v/>
      </c>
      <c r="B247" s="480"/>
      <c r="C247" s="480"/>
      <c r="D247" s="480" t="str" cm="1">
        <f t="array" ref="D247">_xll.RssMarket(B247, "銘柄名称")</f>
        <v/>
      </c>
      <c r="E247" s="721"/>
      <c r="F247" s="702" t="str" cm="1">
        <f t="array" aca="1" ref="F247" ca="1">IFERROR(_xlfn.LET(_xlpm.r,MATCH(TEXT($B247,"0"),TEXT(銘柄管理!$B$6:$B$305,"0"),0),_xlpm.t,MOD(NOW(),1),_xlpm.c,IF($E247=TODAY(),IF(_xlpm.t&gt;=TIME(15,30,0),NA(),1),IF(MATCH($E247,始値!$E$3:$BT$3,0)=1,1,MATCH($E247,始値!$E$3:$BT$3,0)+1)),_xlpm.v,INDEX(始値!$C$6:$BT$305,_xlpm.r,_xlpm.c),IF(N(_xlpm.v)=0,"",_xlpm.v)),"")</f>
        <v/>
      </c>
      <c r="G247" s="480"/>
      <c r="H247" s="480" t="str" cm="1">
        <f t="array" ref="H247">_xll.RssMarket(B247, "現在値")</f>
        <v/>
      </c>
      <c r="I247" s="480" t="str" cm="1">
        <f t="array" ref="I247">_xll.RssMarket(B247, "出来高加重平均")</f>
        <v/>
      </c>
      <c r="J247" s="706" t="str" cm="1">
        <f t="array" ref="J247">_xll.RssMarket($B247, "前日比")</f>
        <v/>
      </c>
      <c r="K247" s="707" t="str">
        <f t="shared" ca="1" si="86"/>
        <v/>
      </c>
      <c r="L247" s="712" t="str">
        <f t="shared" ca="1" si="87"/>
        <v/>
      </c>
      <c r="M247" s="601" t="str">
        <f t="shared" ca="1" si="75"/>
        <v/>
      </c>
      <c r="N247" s="601" t="str">
        <f t="shared" ca="1" si="76"/>
        <v/>
      </c>
      <c r="O247" s="478" t="str">
        <f t="shared" ca="1" si="77"/>
        <v/>
      </c>
      <c r="P247" s="445" t="str">
        <f t="array" aca="1" ref="P247" ca="1">IF(B247="","",IFERROR(MAX(OFFSET(高値!$E$6,MATCH(TEXT(B247,"0"),TEXT(銘柄管理!$B$6:$B$305,"0"),0)-1,0,1,10)),""))</f>
        <v/>
      </c>
      <c r="Q247" s="445" t="str">
        <f t="array" aca="1" ref="Q247" ca="1">IF(B247="","",IFERROR(MIN(OFFSET(安値!$E$6,MATCH(TEXT(B247,"0"),TEXT(銘柄管理!$B$6:$B$305,"0"),0)-1,0,1,10)),""))</f>
        <v/>
      </c>
      <c r="R247" s="480" t="str">
        <f t="shared" ca="1" si="88"/>
        <v/>
      </c>
      <c r="S247" s="480" t="str">
        <f t="shared" si="89"/>
        <v/>
      </c>
      <c r="T247" s="599" t="str">
        <f t="shared" ca="1" si="78"/>
        <v/>
      </c>
      <c r="U247" s="601" t="str">
        <f t="shared" ca="1" si="79"/>
        <v/>
      </c>
      <c r="V247" s="707" t="str">
        <f t="shared" ca="1" si="90"/>
        <v/>
      </c>
      <c r="W247" s="480" t="str">
        <f t="shared" ca="1" si="80"/>
        <v/>
      </c>
      <c r="X247" s="480" t="str">
        <f t="shared" ca="1" si="81"/>
        <v/>
      </c>
      <c r="Y247" s="488"/>
      <c r="Z247" s="714"/>
      <c r="AD247" s="611"/>
      <c r="AE247" s="603" t="str">
        <f t="shared" si="82"/>
        <v/>
      </c>
      <c r="AF247" s="603"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03"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03" t="str">
        <f t="shared" ca="1" si="83"/>
        <v/>
      </c>
      <c r="AI247" s="603" t="str" cm="1">
        <f t="array" ref="AI247">IFERROR(INDEX(始値!$E$6:$BT$305,MATCH(TEXT($B247,"0"),TEXT(銘柄管理!$B$6:$B$305,"0"),0),MATCH($AE247,始値!$E$3:$BT$3,0)),"")</f>
        <v/>
      </c>
      <c r="AJ247" s="603" t="str">
        <f t="shared" ca="1" si="84"/>
        <v/>
      </c>
      <c r="AK247" s="603" t="str">
        <f t="shared" ca="1" si="85"/>
        <v/>
      </c>
    </row>
    <row r="248" spans="1:37" ht="17.25" customHeight="1">
      <c r="A248" s="625" t="str">
        <f t="shared" si="74"/>
        <v/>
      </c>
      <c r="B248" s="480"/>
      <c r="C248" s="480"/>
      <c r="D248" s="480" t="str" cm="1">
        <f t="array" ref="D248">_xll.RssMarket(B248, "銘柄名称")</f>
        <v/>
      </c>
      <c r="E248" s="721"/>
      <c r="F248" s="702" t="str" cm="1">
        <f t="array" aca="1" ref="F248" ca="1">IFERROR(_xlfn.LET(_xlpm.r,MATCH(TEXT($B248,"0"),TEXT(銘柄管理!$B$6:$B$305,"0"),0),_xlpm.t,MOD(NOW(),1),_xlpm.c,IF($E248=TODAY(),IF(_xlpm.t&gt;=TIME(15,30,0),NA(),1),IF(MATCH($E248,始値!$E$3:$BT$3,0)=1,1,MATCH($E248,始値!$E$3:$BT$3,0)+1)),_xlpm.v,INDEX(始値!$C$6:$BT$305,_xlpm.r,_xlpm.c),IF(N(_xlpm.v)=0,"",_xlpm.v)),"")</f>
        <v/>
      </c>
      <c r="G248" s="480"/>
      <c r="H248" s="480" t="str" cm="1">
        <f t="array" ref="H248">_xll.RssMarket(B248, "現在値")</f>
        <v/>
      </c>
      <c r="I248" s="480" t="str" cm="1">
        <f t="array" ref="I248">_xll.RssMarket(B248, "出来高加重平均")</f>
        <v/>
      </c>
      <c r="J248" s="706" t="str" cm="1">
        <f t="array" ref="J248">_xll.RssMarket($B248, "前日比")</f>
        <v/>
      </c>
      <c r="K248" s="707" t="str">
        <f t="shared" ca="1" si="86"/>
        <v/>
      </c>
      <c r="L248" s="712" t="str">
        <f t="shared" ca="1" si="87"/>
        <v/>
      </c>
      <c r="M248" s="601" t="str">
        <f t="shared" ca="1" si="75"/>
        <v/>
      </c>
      <c r="N248" s="601" t="str">
        <f t="shared" ca="1" si="76"/>
        <v/>
      </c>
      <c r="O248" s="478" t="str">
        <f t="shared" ca="1" si="77"/>
        <v/>
      </c>
      <c r="P248" s="445" t="str">
        <f t="array" aca="1" ref="P248" ca="1">IF(B248="","",IFERROR(MAX(OFFSET(高値!$E$6,MATCH(TEXT(B248,"0"),TEXT(銘柄管理!$B$6:$B$305,"0"),0)-1,0,1,10)),""))</f>
        <v/>
      </c>
      <c r="Q248" s="445" t="str">
        <f t="array" aca="1" ref="Q248" ca="1">IF(B248="","",IFERROR(MIN(OFFSET(安値!$E$6,MATCH(TEXT(B248,"0"),TEXT(銘柄管理!$B$6:$B$305,"0"),0)-1,0,1,10)),""))</f>
        <v/>
      </c>
      <c r="R248" s="480" t="str">
        <f t="shared" ca="1" si="88"/>
        <v/>
      </c>
      <c r="S248" s="480" t="str">
        <f t="shared" si="89"/>
        <v/>
      </c>
      <c r="T248" s="599" t="str">
        <f t="shared" ca="1" si="78"/>
        <v/>
      </c>
      <c r="U248" s="601" t="str">
        <f t="shared" ca="1" si="79"/>
        <v/>
      </c>
      <c r="V248" s="707" t="str">
        <f t="shared" ca="1" si="90"/>
        <v/>
      </c>
      <c r="W248" s="480" t="str">
        <f t="shared" ca="1" si="80"/>
        <v/>
      </c>
      <c r="X248" s="480" t="str">
        <f t="shared" ca="1" si="81"/>
        <v/>
      </c>
      <c r="Y248" s="488"/>
      <c r="Z248" s="714"/>
      <c r="AD248" s="611"/>
      <c r="AE248" s="603" t="str">
        <f t="shared" si="82"/>
        <v/>
      </c>
      <c r="AF248" s="603"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03"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03" t="str">
        <f t="shared" ca="1" si="83"/>
        <v/>
      </c>
      <c r="AI248" s="603" t="str" cm="1">
        <f t="array" ref="AI248">IFERROR(INDEX(始値!$E$6:$BT$305,MATCH(TEXT($B248,"0"),TEXT(銘柄管理!$B$6:$B$305,"0"),0),MATCH($AE248,始値!$E$3:$BT$3,0)),"")</f>
        <v/>
      </c>
      <c r="AJ248" s="603" t="str">
        <f t="shared" ca="1" si="84"/>
        <v/>
      </c>
      <c r="AK248" s="603" t="str">
        <f t="shared" ca="1" si="85"/>
        <v/>
      </c>
    </row>
    <row r="249" spans="1:37" ht="17.25" customHeight="1">
      <c r="A249" s="625" t="str">
        <f t="shared" si="74"/>
        <v/>
      </c>
      <c r="B249" s="480"/>
      <c r="C249" s="480"/>
      <c r="D249" s="480" t="str" cm="1">
        <f t="array" ref="D249">_xll.RssMarket(B249, "銘柄名称")</f>
        <v/>
      </c>
      <c r="E249" s="721"/>
      <c r="F249" s="702" t="str" cm="1">
        <f t="array" aca="1" ref="F249" ca="1">IFERROR(_xlfn.LET(_xlpm.r,MATCH(TEXT($B249,"0"),TEXT(銘柄管理!$B$6:$B$305,"0"),0),_xlpm.t,MOD(NOW(),1),_xlpm.c,IF($E249=TODAY(),IF(_xlpm.t&gt;=TIME(15,30,0),NA(),1),IF(MATCH($E249,始値!$E$3:$BT$3,0)=1,1,MATCH($E249,始値!$E$3:$BT$3,0)+1)),_xlpm.v,INDEX(始値!$C$6:$BT$305,_xlpm.r,_xlpm.c),IF(N(_xlpm.v)=0,"",_xlpm.v)),"")</f>
        <v/>
      </c>
      <c r="G249" s="480"/>
      <c r="H249" s="480" t="str" cm="1">
        <f t="array" ref="H249">_xll.RssMarket(B249, "現在値")</f>
        <v/>
      </c>
      <c r="I249" s="480" t="str" cm="1">
        <f t="array" ref="I249">_xll.RssMarket(B249, "出来高加重平均")</f>
        <v/>
      </c>
      <c r="J249" s="706" t="str" cm="1">
        <f t="array" ref="J249">_xll.RssMarket($B249, "前日比")</f>
        <v/>
      </c>
      <c r="K249" s="707" t="str">
        <f t="shared" ca="1" si="86"/>
        <v/>
      </c>
      <c r="L249" s="712" t="str">
        <f t="shared" ca="1" si="87"/>
        <v/>
      </c>
      <c r="M249" s="601" t="str">
        <f t="shared" ca="1" si="75"/>
        <v/>
      </c>
      <c r="N249" s="601" t="str">
        <f t="shared" ca="1" si="76"/>
        <v/>
      </c>
      <c r="O249" s="478" t="str">
        <f t="shared" ca="1" si="77"/>
        <v/>
      </c>
      <c r="P249" s="445" t="str">
        <f t="array" aca="1" ref="P249" ca="1">IF(B249="","",IFERROR(MAX(OFFSET(高値!$E$6,MATCH(TEXT(B249,"0"),TEXT(銘柄管理!$B$6:$B$305,"0"),0)-1,0,1,10)),""))</f>
        <v/>
      </c>
      <c r="Q249" s="445" t="str">
        <f t="array" aca="1" ref="Q249" ca="1">IF(B249="","",IFERROR(MIN(OFFSET(安値!$E$6,MATCH(TEXT(B249,"0"),TEXT(銘柄管理!$B$6:$B$305,"0"),0)-1,0,1,10)),""))</f>
        <v/>
      </c>
      <c r="R249" s="480" t="str">
        <f t="shared" ca="1" si="88"/>
        <v/>
      </c>
      <c r="S249" s="480" t="str">
        <f t="shared" si="89"/>
        <v/>
      </c>
      <c r="T249" s="599" t="str">
        <f t="shared" ca="1" si="78"/>
        <v/>
      </c>
      <c r="U249" s="601" t="str">
        <f t="shared" ca="1" si="79"/>
        <v/>
      </c>
      <c r="V249" s="707" t="str">
        <f t="shared" ca="1" si="90"/>
        <v/>
      </c>
      <c r="W249" s="480" t="str">
        <f t="shared" ca="1" si="80"/>
        <v/>
      </c>
      <c r="X249" s="480" t="str">
        <f t="shared" ca="1" si="81"/>
        <v/>
      </c>
      <c r="Y249" s="488"/>
      <c r="Z249" s="714"/>
      <c r="AD249" s="611"/>
      <c r="AE249" s="603" t="str">
        <f t="shared" si="82"/>
        <v/>
      </c>
      <c r="AF249" s="603"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03"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03" t="str">
        <f t="shared" ca="1" si="83"/>
        <v/>
      </c>
      <c r="AI249" s="603" t="str" cm="1">
        <f t="array" ref="AI249">IFERROR(INDEX(始値!$E$6:$BT$305,MATCH(TEXT($B249,"0"),TEXT(銘柄管理!$B$6:$B$305,"0"),0),MATCH($AE249,始値!$E$3:$BT$3,0)),"")</f>
        <v/>
      </c>
      <c r="AJ249" s="603" t="str">
        <f t="shared" ca="1" si="84"/>
        <v/>
      </c>
      <c r="AK249" s="603" t="str">
        <f t="shared" ca="1" si="85"/>
        <v/>
      </c>
    </row>
    <row r="250" spans="1:37" ht="17.25" customHeight="1">
      <c r="A250" s="625" t="str">
        <f t="shared" si="74"/>
        <v/>
      </c>
      <c r="B250" s="480"/>
      <c r="C250" s="480"/>
      <c r="D250" s="480" t="str" cm="1">
        <f t="array" ref="D250">_xll.RssMarket(B250, "銘柄名称")</f>
        <v/>
      </c>
      <c r="E250" s="721"/>
      <c r="F250" s="702" t="str" cm="1">
        <f t="array" aca="1" ref="F250" ca="1">IFERROR(_xlfn.LET(_xlpm.r,MATCH(TEXT($B250,"0"),TEXT(銘柄管理!$B$6:$B$305,"0"),0),_xlpm.t,MOD(NOW(),1),_xlpm.c,IF($E250=TODAY(),IF(_xlpm.t&gt;=TIME(15,30,0),NA(),1),IF(MATCH($E250,始値!$E$3:$BT$3,0)=1,1,MATCH($E250,始値!$E$3:$BT$3,0)+1)),_xlpm.v,INDEX(始値!$C$6:$BT$305,_xlpm.r,_xlpm.c),IF(N(_xlpm.v)=0,"",_xlpm.v)),"")</f>
        <v/>
      </c>
      <c r="G250" s="480"/>
      <c r="H250" s="480" t="str" cm="1">
        <f t="array" ref="H250">_xll.RssMarket(B250, "現在値")</f>
        <v/>
      </c>
      <c r="I250" s="480" t="str" cm="1">
        <f t="array" ref="I250">_xll.RssMarket(B250, "出来高加重平均")</f>
        <v/>
      </c>
      <c r="J250" s="706" t="str" cm="1">
        <f t="array" ref="J250">_xll.RssMarket($B250, "前日比")</f>
        <v/>
      </c>
      <c r="K250" s="707" t="str">
        <f t="shared" ca="1" si="86"/>
        <v/>
      </c>
      <c r="L250" s="712" t="str">
        <f t="shared" ca="1" si="87"/>
        <v/>
      </c>
      <c r="M250" s="601" t="str">
        <f t="shared" ca="1" si="75"/>
        <v/>
      </c>
      <c r="N250" s="601" t="str">
        <f t="shared" ca="1" si="76"/>
        <v/>
      </c>
      <c r="O250" s="478" t="str">
        <f t="shared" ca="1" si="77"/>
        <v/>
      </c>
      <c r="P250" s="445" t="str">
        <f t="array" aca="1" ref="P250" ca="1">IF(B250="","",IFERROR(MAX(OFFSET(高値!$E$6,MATCH(TEXT(B250,"0"),TEXT(銘柄管理!$B$6:$B$305,"0"),0)-1,0,1,10)),""))</f>
        <v/>
      </c>
      <c r="Q250" s="445" t="str">
        <f t="array" aca="1" ref="Q250" ca="1">IF(B250="","",IFERROR(MIN(OFFSET(安値!$E$6,MATCH(TEXT(B250,"0"),TEXT(銘柄管理!$B$6:$B$305,"0"),0)-1,0,1,10)),""))</f>
        <v/>
      </c>
      <c r="R250" s="480" t="str">
        <f t="shared" ca="1" si="88"/>
        <v/>
      </c>
      <c r="S250" s="480" t="str">
        <f t="shared" si="89"/>
        <v/>
      </c>
      <c r="T250" s="599" t="str">
        <f t="shared" ca="1" si="78"/>
        <v/>
      </c>
      <c r="U250" s="601" t="str">
        <f t="shared" ca="1" si="79"/>
        <v/>
      </c>
      <c r="V250" s="707" t="str">
        <f t="shared" ca="1" si="90"/>
        <v/>
      </c>
      <c r="W250" s="480" t="str">
        <f t="shared" ca="1" si="80"/>
        <v/>
      </c>
      <c r="X250" s="480" t="str">
        <f t="shared" ca="1" si="81"/>
        <v/>
      </c>
      <c r="Y250" s="488"/>
      <c r="Z250" s="714"/>
      <c r="AD250" s="611"/>
      <c r="AE250" s="603" t="str">
        <f t="shared" si="82"/>
        <v/>
      </c>
      <c r="AF250" s="603"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03"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03" t="str">
        <f t="shared" ca="1" si="83"/>
        <v/>
      </c>
      <c r="AI250" s="603" t="str" cm="1">
        <f t="array" ref="AI250">IFERROR(INDEX(始値!$E$6:$BT$305,MATCH(TEXT($B250,"0"),TEXT(銘柄管理!$B$6:$B$305,"0"),0),MATCH($AE250,始値!$E$3:$BT$3,0)),"")</f>
        <v/>
      </c>
      <c r="AJ250" s="603" t="str">
        <f t="shared" ca="1" si="84"/>
        <v/>
      </c>
      <c r="AK250" s="603" t="str">
        <f t="shared" ca="1" si="85"/>
        <v/>
      </c>
    </row>
    <row r="251" spans="1:37" ht="17.25" customHeight="1">
      <c r="A251" s="625" t="str">
        <f t="shared" si="74"/>
        <v/>
      </c>
      <c r="B251" s="480"/>
      <c r="C251" s="480"/>
      <c r="D251" s="480" t="str" cm="1">
        <f t="array" ref="D251">_xll.RssMarket(B251, "銘柄名称")</f>
        <v/>
      </c>
      <c r="E251" s="721"/>
      <c r="F251" s="702" t="str" cm="1">
        <f t="array" aca="1" ref="F251" ca="1">IFERROR(_xlfn.LET(_xlpm.r,MATCH(TEXT($B251,"0"),TEXT(銘柄管理!$B$6:$B$305,"0"),0),_xlpm.t,MOD(NOW(),1),_xlpm.c,IF($E251=TODAY(),IF(_xlpm.t&gt;=TIME(15,30,0),NA(),1),IF(MATCH($E251,始値!$E$3:$BT$3,0)=1,1,MATCH($E251,始値!$E$3:$BT$3,0)+1)),_xlpm.v,INDEX(始値!$C$6:$BT$305,_xlpm.r,_xlpm.c),IF(N(_xlpm.v)=0,"",_xlpm.v)),"")</f>
        <v/>
      </c>
      <c r="G251" s="480"/>
      <c r="H251" s="480" t="str" cm="1">
        <f t="array" ref="H251">_xll.RssMarket(B251, "現在値")</f>
        <v/>
      </c>
      <c r="I251" s="480" t="str" cm="1">
        <f t="array" ref="I251">_xll.RssMarket(B251, "出来高加重平均")</f>
        <v/>
      </c>
      <c r="J251" s="706" t="str" cm="1">
        <f t="array" ref="J251">_xll.RssMarket($B251, "前日比")</f>
        <v/>
      </c>
      <c r="K251" s="707" t="str">
        <f t="shared" ca="1" si="86"/>
        <v/>
      </c>
      <c r="L251" s="712" t="str">
        <f t="shared" ca="1" si="87"/>
        <v/>
      </c>
      <c r="M251" s="601" t="str">
        <f t="shared" ca="1" si="75"/>
        <v/>
      </c>
      <c r="N251" s="601" t="str">
        <f t="shared" ca="1" si="76"/>
        <v/>
      </c>
      <c r="O251" s="478" t="str">
        <f t="shared" ca="1" si="77"/>
        <v/>
      </c>
      <c r="P251" s="445" t="str">
        <f t="array" aca="1" ref="P251" ca="1">IF(B251="","",IFERROR(MAX(OFFSET(高値!$E$6,MATCH(TEXT(B251,"0"),TEXT(銘柄管理!$B$6:$B$305,"0"),0)-1,0,1,10)),""))</f>
        <v/>
      </c>
      <c r="Q251" s="445" t="str">
        <f t="array" aca="1" ref="Q251" ca="1">IF(B251="","",IFERROR(MIN(OFFSET(安値!$E$6,MATCH(TEXT(B251,"0"),TEXT(銘柄管理!$B$6:$B$305,"0"),0)-1,0,1,10)),""))</f>
        <v/>
      </c>
      <c r="R251" s="480" t="str">
        <f t="shared" ca="1" si="88"/>
        <v/>
      </c>
      <c r="S251" s="480" t="str">
        <f t="shared" si="89"/>
        <v/>
      </c>
      <c r="T251" s="599" t="str">
        <f t="shared" ca="1" si="78"/>
        <v/>
      </c>
      <c r="U251" s="601" t="str">
        <f t="shared" ca="1" si="79"/>
        <v/>
      </c>
      <c r="V251" s="707" t="str">
        <f t="shared" ca="1" si="90"/>
        <v/>
      </c>
      <c r="W251" s="480" t="str">
        <f t="shared" ca="1" si="80"/>
        <v/>
      </c>
      <c r="X251" s="480" t="str">
        <f t="shared" ca="1" si="81"/>
        <v/>
      </c>
      <c r="Y251" s="488"/>
      <c r="Z251" s="714"/>
      <c r="AD251" s="611"/>
      <c r="AE251" s="603" t="str">
        <f t="shared" si="82"/>
        <v/>
      </c>
      <c r="AF251" s="603"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03"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03" t="str">
        <f t="shared" ca="1" si="83"/>
        <v/>
      </c>
      <c r="AI251" s="603" t="str" cm="1">
        <f t="array" ref="AI251">IFERROR(INDEX(始値!$E$6:$BT$305,MATCH(TEXT($B251,"0"),TEXT(銘柄管理!$B$6:$B$305,"0"),0),MATCH($AE251,始値!$E$3:$BT$3,0)),"")</f>
        <v/>
      </c>
      <c r="AJ251" s="603" t="str">
        <f t="shared" ca="1" si="84"/>
        <v/>
      </c>
      <c r="AK251" s="603" t="str">
        <f t="shared" ca="1" si="85"/>
        <v/>
      </c>
    </row>
    <row r="252" spans="1:37" ht="17.25" customHeight="1">
      <c r="A252" s="625" t="str">
        <f t="shared" si="74"/>
        <v/>
      </c>
      <c r="B252" s="480"/>
      <c r="C252" s="480"/>
      <c r="D252" s="480" t="str" cm="1">
        <f t="array" ref="D252">_xll.RssMarket(B252, "銘柄名称")</f>
        <v/>
      </c>
      <c r="E252" s="721"/>
      <c r="F252" s="702" t="str" cm="1">
        <f t="array" aca="1" ref="F252" ca="1">IFERROR(_xlfn.LET(_xlpm.r,MATCH(TEXT($B252,"0"),TEXT(銘柄管理!$B$6:$B$305,"0"),0),_xlpm.t,MOD(NOW(),1),_xlpm.c,IF($E252=TODAY(),IF(_xlpm.t&gt;=TIME(15,30,0),NA(),1),IF(MATCH($E252,始値!$E$3:$BT$3,0)=1,1,MATCH($E252,始値!$E$3:$BT$3,0)+1)),_xlpm.v,INDEX(始値!$C$6:$BT$305,_xlpm.r,_xlpm.c),IF(N(_xlpm.v)=0,"",_xlpm.v)),"")</f>
        <v/>
      </c>
      <c r="G252" s="480"/>
      <c r="H252" s="480" t="str" cm="1">
        <f t="array" ref="H252">_xll.RssMarket(B252, "現在値")</f>
        <v/>
      </c>
      <c r="I252" s="480" t="str" cm="1">
        <f t="array" ref="I252">_xll.RssMarket(B252, "出来高加重平均")</f>
        <v/>
      </c>
      <c r="J252" s="706" t="str" cm="1">
        <f t="array" ref="J252">_xll.RssMarket($B252, "前日比")</f>
        <v/>
      </c>
      <c r="K252" s="707" t="str">
        <f t="shared" ca="1" si="86"/>
        <v/>
      </c>
      <c r="L252" s="712" t="str">
        <f t="shared" ca="1" si="87"/>
        <v/>
      </c>
      <c r="M252" s="601" t="str">
        <f t="shared" ca="1" si="75"/>
        <v/>
      </c>
      <c r="N252" s="601" t="str">
        <f t="shared" ca="1" si="76"/>
        <v/>
      </c>
      <c r="O252" s="478" t="str">
        <f t="shared" ca="1" si="77"/>
        <v/>
      </c>
      <c r="P252" s="445" t="str">
        <f t="array" aca="1" ref="P252" ca="1">IF(B252="","",IFERROR(MAX(OFFSET(高値!$E$6,MATCH(TEXT(B252,"0"),TEXT(銘柄管理!$B$6:$B$305,"0"),0)-1,0,1,10)),""))</f>
        <v/>
      </c>
      <c r="Q252" s="445" t="str">
        <f t="array" aca="1" ref="Q252" ca="1">IF(B252="","",IFERROR(MIN(OFFSET(安値!$E$6,MATCH(TEXT(B252,"0"),TEXT(銘柄管理!$B$6:$B$305,"0"),0)-1,0,1,10)),""))</f>
        <v/>
      </c>
      <c r="R252" s="480" t="str">
        <f t="shared" ca="1" si="88"/>
        <v/>
      </c>
      <c r="S252" s="480" t="str">
        <f t="shared" si="89"/>
        <v/>
      </c>
      <c r="T252" s="599" t="str">
        <f t="shared" ca="1" si="78"/>
        <v/>
      </c>
      <c r="U252" s="601" t="str">
        <f t="shared" ca="1" si="79"/>
        <v/>
      </c>
      <c r="V252" s="707" t="str">
        <f t="shared" ca="1" si="90"/>
        <v/>
      </c>
      <c r="W252" s="480" t="str">
        <f t="shared" ca="1" si="80"/>
        <v/>
      </c>
      <c r="X252" s="480" t="str">
        <f t="shared" ca="1" si="81"/>
        <v/>
      </c>
      <c r="Y252" s="488"/>
      <c r="Z252" s="714"/>
      <c r="AD252" s="611"/>
      <c r="AE252" s="603" t="str">
        <f t="shared" si="82"/>
        <v/>
      </c>
      <c r="AF252" s="603"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03"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03" t="str">
        <f t="shared" ca="1" si="83"/>
        <v/>
      </c>
      <c r="AI252" s="603" t="str" cm="1">
        <f t="array" ref="AI252">IFERROR(INDEX(始値!$E$6:$BT$305,MATCH(TEXT($B252,"0"),TEXT(銘柄管理!$B$6:$B$305,"0"),0),MATCH($AE252,始値!$E$3:$BT$3,0)),"")</f>
        <v/>
      </c>
      <c r="AJ252" s="603" t="str">
        <f t="shared" ca="1" si="84"/>
        <v/>
      </c>
      <c r="AK252" s="603" t="str">
        <f t="shared" ca="1" si="85"/>
        <v/>
      </c>
    </row>
    <row r="253" spans="1:37" ht="17.25" customHeight="1">
      <c r="A253" s="625" t="str">
        <f t="shared" si="74"/>
        <v/>
      </c>
      <c r="B253" s="480"/>
      <c r="C253" s="480"/>
      <c r="D253" s="480" t="str" cm="1">
        <f t="array" ref="D253">_xll.RssMarket(B253, "銘柄名称")</f>
        <v/>
      </c>
      <c r="E253" s="721"/>
      <c r="F253" s="702" t="str" cm="1">
        <f t="array" aca="1" ref="F253" ca="1">IFERROR(_xlfn.LET(_xlpm.r,MATCH(TEXT($B253,"0"),TEXT(銘柄管理!$B$6:$B$305,"0"),0),_xlpm.t,MOD(NOW(),1),_xlpm.c,IF($E253=TODAY(),IF(_xlpm.t&gt;=TIME(15,30,0),NA(),1),IF(MATCH($E253,始値!$E$3:$BT$3,0)=1,1,MATCH($E253,始値!$E$3:$BT$3,0)+1)),_xlpm.v,INDEX(始値!$C$6:$BT$305,_xlpm.r,_xlpm.c),IF(N(_xlpm.v)=0,"",_xlpm.v)),"")</f>
        <v/>
      </c>
      <c r="G253" s="480"/>
      <c r="H253" s="480" t="str" cm="1">
        <f t="array" ref="H253">_xll.RssMarket(B253, "現在値")</f>
        <v/>
      </c>
      <c r="I253" s="480" t="str" cm="1">
        <f t="array" ref="I253">_xll.RssMarket(B253, "出来高加重平均")</f>
        <v/>
      </c>
      <c r="J253" s="706" t="str" cm="1">
        <f t="array" ref="J253">_xll.RssMarket($B253, "前日比")</f>
        <v/>
      </c>
      <c r="K253" s="707" t="str">
        <f t="shared" ca="1" si="86"/>
        <v/>
      </c>
      <c r="L253" s="712" t="str">
        <f t="shared" ca="1" si="87"/>
        <v/>
      </c>
      <c r="M253" s="601" t="str">
        <f t="shared" ca="1" si="75"/>
        <v/>
      </c>
      <c r="N253" s="601" t="str">
        <f t="shared" ca="1" si="76"/>
        <v/>
      </c>
      <c r="O253" s="478" t="str">
        <f t="shared" ca="1" si="77"/>
        <v/>
      </c>
      <c r="P253" s="445" t="str">
        <f t="array" aca="1" ref="P253" ca="1">IF(B253="","",IFERROR(MAX(OFFSET(高値!$E$6,MATCH(TEXT(B253,"0"),TEXT(銘柄管理!$B$6:$B$305,"0"),0)-1,0,1,10)),""))</f>
        <v/>
      </c>
      <c r="Q253" s="445" t="str">
        <f t="array" aca="1" ref="Q253" ca="1">IF(B253="","",IFERROR(MIN(OFFSET(安値!$E$6,MATCH(TEXT(B253,"0"),TEXT(銘柄管理!$B$6:$B$305,"0"),0)-1,0,1,10)),""))</f>
        <v/>
      </c>
      <c r="R253" s="480" t="str">
        <f t="shared" ca="1" si="88"/>
        <v/>
      </c>
      <c r="S253" s="480" t="str">
        <f t="shared" si="89"/>
        <v/>
      </c>
      <c r="T253" s="599" t="str">
        <f t="shared" ca="1" si="78"/>
        <v/>
      </c>
      <c r="U253" s="601" t="str">
        <f t="shared" ca="1" si="79"/>
        <v/>
      </c>
      <c r="V253" s="707" t="str">
        <f t="shared" ca="1" si="90"/>
        <v/>
      </c>
      <c r="W253" s="480" t="str">
        <f t="shared" ca="1" si="80"/>
        <v/>
      </c>
      <c r="X253" s="480" t="str">
        <f t="shared" ca="1" si="81"/>
        <v/>
      </c>
      <c r="Y253" s="488"/>
      <c r="Z253" s="714"/>
      <c r="AD253" s="611"/>
      <c r="AE253" s="603" t="str">
        <f t="shared" si="82"/>
        <v/>
      </c>
      <c r="AF253" s="603"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03"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03" t="str">
        <f t="shared" ca="1" si="83"/>
        <v/>
      </c>
      <c r="AI253" s="603" t="str" cm="1">
        <f t="array" ref="AI253">IFERROR(INDEX(始値!$E$6:$BT$305,MATCH(TEXT($B253,"0"),TEXT(銘柄管理!$B$6:$B$305,"0"),0),MATCH($AE253,始値!$E$3:$BT$3,0)),"")</f>
        <v/>
      </c>
      <c r="AJ253" s="603" t="str">
        <f t="shared" ca="1" si="84"/>
        <v/>
      </c>
      <c r="AK253" s="603" t="str">
        <f t="shared" ca="1" si="85"/>
        <v/>
      </c>
    </row>
    <row r="254" spans="1:37" ht="17.25" customHeight="1">
      <c r="A254" s="625" t="str">
        <f t="shared" si="74"/>
        <v/>
      </c>
      <c r="B254" s="480"/>
      <c r="C254" s="480"/>
      <c r="D254" s="480" t="str" cm="1">
        <f t="array" ref="D254">_xll.RssMarket(B254, "銘柄名称")</f>
        <v/>
      </c>
      <c r="E254" s="721"/>
      <c r="F254" s="702" t="str" cm="1">
        <f t="array" aca="1" ref="F254" ca="1">IFERROR(_xlfn.LET(_xlpm.r,MATCH(TEXT($B254,"0"),TEXT(銘柄管理!$B$6:$B$305,"0"),0),_xlpm.t,MOD(NOW(),1),_xlpm.c,IF($E254=TODAY(),IF(_xlpm.t&gt;=TIME(15,30,0),NA(),1),IF(MATCH($E254,始値!$E$3:$BT$3,0)=1,1,MATCH($E254,始値!$E$3:$BT$3,0)+1)),_xlpm.v,INDEX(始値!$C$6:$BT$305,_xlpm.r,_xlpm.c),IF(N(_xlpm.v)=0,"",_xlpm.v)),"")</f>
        <v/>
      </c>
      <c r="G254" s="480"/>
      <c r="H254" s="480" t="str" cm="1">
        <f t="array" ref="H254">_xll.RssMarket(B254, "現在値")</f>
        <v/>
      </c>
      <c r="I254" s="480" t="str" cm="1">
        <f t="array" ref="I254">_xll.RssMarket(B254, "出来高加重平均")</f>
        <v/>
      </c>
      <c r="J254" s="706" t="str" cm="1">
        <f t="array" ref="J254">_xll.RssMarket($B254, "前日比")</f>
        <v/>
      </c>
      <c r="K254" s="707" t="str">
        <f t="shared" ca="1" si="86"/>
        <v/>
      </c>
      <c r="L254" s="712" t="str">
        <f t="shared" ca="1" si="87"/>
        <v/>
      </c>
      <c r="M254" s="601" t="str">
        <f t="shared" ca="1" si="75"/>
        <v/>
      </c>
      <c r="N254" s="601" t="str">
        <f t="shared" ca="1" si="76"/>
        <v/>
      </c>
      <c r="O254" s="478" t="str">
        <f t="shared" ca="1" si="77"/>
        <v/>
      </c>
      <c r="P254" s="445" t="str">
        <f t="array" aca="1" ref="P254" ca="1">IF(B254="","",IFERROR(MAX(OFFSET(高値!$E$6,MATCH(TEXT(B254,"0"),TEXT(銘柄管理!$B$6:$B$305,"0"),0)-1,0,1,10)),""))</f>
        <v/>
      </c>
      <c r="Q254" s="445" t="str">
        <f t="array" aca="1" ref="Q254" ca="1">IF(B254="","",IFERROR(MIN(OFFSET(安値!$E$6,MATCH(TEXT(B254,"0"),TEXT(銘柄管理!$B$6:$B$305,"0"),0)-1,0,1,10)),""))</f>
        <v/>
      </c>
      <c r="R254" s="480" t="str">
        <f t="shared" ca="1" si="88"/>
        <v/>
      </c>
      <c r="S254" s="480" t="str">
        <f t="shared" si="89"/>
        <v/>
      </c>
      <c r="T254" s="599" t="str">
        <f t="shared" ca="1" si="78"/>
        <v/>
      </c>
      <c r="U254" s="601" t="str">
        <f t="shared" ca="1" si="79"/>
        <v/>
      </c>
      <c r="V254" s="707" t="str">
        <f t="shared" ca="1" si="90"/>
        <v/>
      </c>
      <c r="W254" s="480" t="str">
        <f t="shared" ca="1" si="80"/>
        <v/>
      </c>
      <c r="X254" s="480" t="str">
        <f t="shared" ca="1" si="81"/>
        <v/>
      </c>
      <c r="Y254" s="488"/>
      <c r="Z254" s="714"/>
      <c r="AD254" s="611"/>
      <c r="AE254" s="603" t="str">
        <f t="shared" si="82"/>
        <v/>
      </c>
      <c r="AF254" s="603"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03"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03" t="str">
        <f t="shared" ca="1" si="83"/>
        <v/>
      </c>
      <c r="AI254" s="603" t="str" cm="1">
        <f t="array" ref="AI254">IFERROR(INDEX(始値!$E$6:$BT$305,MATCH(TEXT($B254,"0"),TEXT(銘柄管理!$B$6:$B$305,"0"),0),MATCH($AE254,始値!$E$3:$BT$3,0)),"")</f>
        <v/>
      </c>
      <c r="AJ254" s="603" t="str">
        <f t="shared" ca="1" si="84"/>
        <v/>
      </c>
      <c r="AK254" s="603" t="str">
        <f t="shared" ca="1" si="85"/>
        <v/>
      </c>
    </row>
    <row r="255" spans="1:37" ht="17.25" customHeight="1">
      <c r="A255" s="625" t="str">
        <f t="shared" si="74"/>
        <v/>
      </c>
      <c r="B255" s="480"/>
      <c r="C255" s="480"/>
      <c r="D255" s="480" t="str" cm="1">
        <f t="array" ref="D255">_xll.RssMarket(B255, "銘柄名称")</f>
        <v/>
      </c>
      <c r="E255" s="721"/>
      <c r="F255" s="702" t="str" cm="1">
        <f t="array" aca="1" ref="F255" ca="1">IFERROR(_xlfn.LET(_xlpm.r,MATCH(TEXT($B255,"0"),TEXT(銘柄管理!$B$6:$B$305,"0"),0),_xlpm.t,MOD(NOW(),1),_xlpm.c,IF($E255=TODAY(),IF(_xlpm.t&gt;=TIME(15,30,0),NA(),1),IF(MATCH($E255,始値!$E$3:$BT$3,0)=1,1,MATCH($E255,始値!$E$3:$BT$3,0)+1)),_xlpm.v,INDEX(始値!$C$6:$BT$305,_xlpm.r,_xlpm.c),IF(N(_xlpm.v)=0,"",_xlpm.v)),"")</f>
        <v/>
      </c>
      <c r="G255" s="480"/>
      <c r="H255" s="480" t="str" cm="1">
        <f t="array" ref="H255">_xll.RssMarket(B255, "現在値")</f>
        <v/>
      </c>
      <c r="I255" s="480" t="str" cm="1">
        <f t="array" ref="I255">_xll.RssMarket(B255, "出来高加重平均")</f>
        <v/>
      </c>
      <c r="J255" s="706" t="str" cm="1">
        <f t="array" ref="J255">_xll.RssMarket($B255, "前日比")</f>
        <v/>
      </c>
      <c r="K255" s="707" t="str">
        <f t="shared" ca="1" si="86"/>
        <v/>
      </c>
      <c r="L255" s="712" t="str">
        <f t="shared" ca="1" si="87"/>
        <v/>
      </c>
      <c r="M255" s="601" t="str">
        <f t="shared" ca="1" si="75"/>
        <v/>
      </c>
      <c r="N255" s="601" t="str">
        <f t="shared" ca="1" si="76"/>
        <v/>
      </c>
      <c r="O255" s="478" t="str">
        <f t="shared" ca="1" si="77"/>
        <v/>
      </c>
      <c r="P255" s="445" t="str">
        <f t="array" aca="1" ref="P255" ca="1">IF(B255="","",IFERROR(MAX(OFFSET(高値!$E$6,MATCH(TEXT(B255,"0"),TEXT(銘柄管理!$B$6:$B$305,"0"),0)-1,0,1,10)),""))</f>
        <v/>
      </c>
      <c r="Q255" s="445" t="str">
        <f t="array" aca="1" ref="Q255" ca="1">IF(B255="","",IFERROR(MIN(OFFSET(安値!$E$6,MATCH(TEXT(B255,"0"),TEXT(銘柄管理!$B$6:$B$305,"0"),0)-1,0,1,10)),""))</f>
        <v/>
      </c>
      <c r="R255" s="480" t="str">
        <f t="shared" ca="1" si="88"/>
        <v/>
      </c>
      <c r="S255" s="480" t="str">
        <f t="shared" si="89"/>
        <v/>
      </c>
      <c r="T255" s="599" t="str">
        <f t="shared" ca="1" si="78"/>
        <v/>
      </c>
      <c r="U255" s="601" t="str">
        <f t="shared" ca="1" si="79"/>
        <v/>
      </c>
      <c r="V255" s="707" t="str">
        <f t="shared" ca="1" si="90"/>
        <v/>
      </c>
      <c r="W255" s="480" t="str">
        <f t="shared" ca="1" si="80"/>
        <v/>
      </c>
      <c r="X255" s="480" t="str">
        <f t="shared" ca="1" si="81"/>
        <v/>
      </c>
      <c r="Y255" s="488"/>
      <c r="Z255" s="714"/>
      <c r="AD255" s="611"/>
      <c r="AE255" s="603" t="str">
        <f t="shared" si="82"/>
        <v/>
      </c>
      <c r="AF255" s="603"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03"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03" t="str">
        <f t="shared" ca="1" si="83"/>
        <v/>
      </c>
      <c r="AI255" s="603" t="str" cm="1">
        <f t="array" ref="AI255">IFERROR(INDEX(始値!$E$6:$BT$305,MATCH(TEXT($B255,"0"),TEXT(銘柄管理!$B$6:$B$305,"0"),0),MATCH($AE255,始値!$E$3:$BT$3,0)),"")</f>
        <v/>
      </c>
      <c r="AJ255" s="603" t="str">
        <f t="shared" ca="1" si="84"/>
        <v/>
      </c>
      <c r="AK255" s="603" t="str">
        <f t="shared" ca="1" si="85"/>
        <v/>
      </c>
    </row>
    <row r="256" spans="1:37" ht="17.25" customHeight="1">
      <c r="A256" s="625" t="str">
        <f t="shared" si="74"/>
        <v/>
      </c>
      <c r="B256" s="480"/>
      <c r="C256" s="480"/>
      <c r="D256" s="480" t="str" cm="1">
        <f t="array" ref="D256">_xll.RssMarket(B256, "銘柄名称")</f>
        <v/>
      </c>
      <c r="E256" s="721"/>
      <c r="F256" s="702" t="str" cm="1">
        <f t="array" aca="1" ref="F256" ca="1">IFERROR(_xlfn.LET(_xlpm.r,MATCH(TEXT($B256,"0"),TEXT(銘柄管理!$B$6:$B$305,"0"),0),_xlpm.t,MOD(NOW(),1),_xlpm.c,IF($E256=TODAY(),IF(_xlpm.t&gt;=TIME(15,30,0),NA(),1),IF(MATCH($E256,始値!$E$3:$BT$3,0)=1,1,MATCH($E256,始値!$E$3:$BT$3,0)+1)),_xlpm.v,INDEX(始値!$C$6:$BT$305,_xlpm.r,_xlpm.c),IF(N(_xlpm.v)=0,"",_xlpm.v)),"")</f>
        <v/>
      </c>
      <c r="G256" s="480"/>
      <c r="H256" s="480" t="str" cm="1">
        <f t="array" ref="H256">_xll.RssMarket(B256, "現在値")</f>
        <v/>
      </c>
      <c r="I256" s="480" t="str" cm="1">
        <f t="array" ref="I256">_xll.RssMarket(B256, "出来高加重平均")</f>
        <v/>
      </c>
      <c r="J256" s="706" t="str" cm="1">
        <f t="array" ref="J256">_xll.RssMarket($B256, "前日比")</f>
        <v/>
      </c>
      <c r="K256" s="707" t="str">
        <f t="shared" ca="1" si="86"/>
        <v/>
      </c>
      <c r="L256" s="712" t="str">
        <f t="shared" ca="1" si="87"/>
        <v/>
      </c>
      <c r="M256" s="601" t="str">
        <f t="shared" ca="1" si="75"/>
        <v/>
      </c>
      <c r="N256" s="601" t="str">
        <f t="shared" ca="1" si="76"/>
        <v/>
      </c>
      <c r="O256" s="478" t="str">
        <f t="shared" ca="1" si="77"/>
        <v/>
      </c>
      <c r="P256" s="445" t="str">
        <f t="array" aca="1" ref="P256" ca="1">IF(B256="","",IFERROR(MAX(OFFSET(高値!$E$6,MATCH(TEXT(B256,"0"),TEXT(銘柄管理!$B$6:$B$305,"0"),0)-1,0,1,10)),""))</f>
        <v/>
      </c>
      <c r="Q256" s="445" t="str">
        <f t="array" aca="1" ref="Q256" ca="1">IF(B256="","",IFERROR(MIN(OFFSET(安値!$E$6,MATCH(TEXT(B256,"0"),TEXT(銘柄管理!$B$6:$B$305,"0"),0)-1,0,1,10)),""))</f>
        <v/>
      </c>
      <c r="R256" s="480" t="str">
        <f t="shared" ca="1" si="88"/>
        <v/>
      </c>
      <c r="S256" s="480" t="str">
        <f t="shared" si="89"/>
        <v/>
      </c>
      <c r="T256" s="599" t="str">
        <f t="shared" ca="1" si="78"/>
        <v/>
      </c>
      <c r="U256" s="601" t="str">
        <f t="shared" ca="1" si="79"/>
        <v/>
      </c>
      <c r="V256" s="707" t="str">
        <f t="shared" ca="1" si="90"/>
        <v/>
      </c>
      <c r="W256" s="480" t="str">
        <f t="shared" ca="1" si="80"/>
        <v/>
      </c>
      <c r="X256" s="480" t="str">
        <f t="shared" ca="1" si="81"/>
        <v/>
      </c>
      <c r="Y256" s="488"/>
      <c r="Z256" s="714"/>
      <c r="AD256" s="611"/>
      <c r="AE256" s="603" t="str">
        <f t="shared" si="82"/>
        <v/>
      </c>
      <c r="AF256" s="603"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03"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03" t="str">
        <f t="shared" ca="1" si="83"/>
        <v/>
      </c>
      <c r="AI256" s="603" t="str" cm="1">
        <f t="array" ref="AI256">IFERROR(INDEX(始値!$E$6:$BT$305,MATCH(TEXT($B256,"0"),TEXT(銘柄管理!$B$6:$B$305,"0"),0),MATCH($AE256,始値!$E$3:$BT$3,0)),"")</f>
        <v/>
      </c>
      <c r="AJ256" s="603" t="str">
        <f t="shared" ca="1" si="84"/>
        <v/>
      </c>
      <c r="AK256" s="603" t="str">
        <f t="shared" ca="1" si="85"/>
        <v/>
      </c>
    </row>
    <row r="257" spans="1:37" ht="17.25" customHeight="1">
      <c r="A257" s="625" t="str">
        <f t="shared" si="74"/>
        <v/>
      </c>
      <c r="B257" s="480"/>
      <c r="C257" s="480"/>
      <c r="D257" s="480" t="str" cm="1">
        <f t="array" ref="D257">_xll.RssMarket(B257, "銘柄名称")</f>
        <v/>
      </c>
      <c r="E257" s="721"/>
      <c r="F257" s="702" t="str" cm="1">
        <f t="array" aca="1" ref="F257" ca="1">IFERROR(_xlfn.LET(_xlpm.r,MATCH(TEXT($B257,"0"),TEXT(銘柄管理!$B$6:$B$305,"0"),0),_xlpm.t,MOD(NOW(),1),_xlpm.c,IF($E257=TODAY(),IF(_xlpm.t&gt;=TIME(15,30,0),NA(),1),IF(MATCH($E257,始値!$E$3:$BT$3,0)=1,1,MATCH($E257,始値!$E$3:$BT$3,0)+1)),_xlpm.v,INDEX(始値!$C$6:$BT$305,_xlpm.r,_xlpm.c),IF(N(_xlpm.v)=0,"",_xlpm.v)),"")</f>
        <v/>
      </c>
      <c r="G257" s="480"/>
      <c r="H257" s="480" t="str" cm="1">
        <f t="array" ref="H257">_xll.RssMarket(B257, "現在値")</f>
        <v/>
      </c>
      <c r="I257" s="480" t="str" cm="1">
        <f t="array" ref="I257">_xll.RssMarket(B257, "出来高加重平均")</f>
        <v/>
      </c>
      <c r="J257" s="706" t="str" cm="1">
        <f t="array" ref="J257">_xll.RssMarket($B257, "前日比")</f>
        <v/>
      </c>
      <c r="K257" s="707" t="str">
        <f t="shared" ca="1" si="86"/>
        <v/>
      </c>
      <c r="L257" s="712" t="str">
        <f t="shared" ca="1" si="87"/>
        <v/>
      </c>
      <c r="M257" s="601" t="str">
        <f t="shared" ca="1" si="75"/>
        <v/>
      </c>
      <c r="N257" s="601" t="str">
        <f t="shared" ca="1" si="76"/>
        <v/>
      </c>
      <c r="O257" s="478" t="str">
        <f t="shared" ca="1" si="77"/>
        <v/>
      </c>
      <c r="P257" s="445" t="str">
        <f t="array" aca="1" ref="P257" ca="1">IF(B257="","",IFERROR(MAX(OFFSET(高値!$E$6,MATCH(TEXT(B257,"0"),TEXT(銘柄管理!$B$6:$B$305,"0"),0)-1,0,1,10)),""))</f>
        <v/>
      </c>
      <c r="Q257" s="445" t="str">
        <f t="array" aca="1" ref="Q257" ca="1">IF(B257="","",IFERROR(MIN(OFFSET(安値!$E$6,MATCH(TEXT(B257,"0"),TEXT(銘柄管理!$B$6:$B$305,"0"),0)-1,0,1,10)),""))</f>
        <v/>
      </c>
      <c r="R257" s="480" t="str">
        <f t="shared" ca="1" si="88"/>
        <v/>
      </c>
      <c r="S257" s="480" t="str">
        <f t="shared" si="89"/>
        <v/>
      </c>
      <c r="T257" s="599" t="str">
        <f t="shared" ca="1" si="78"/>
        <v/>
      </c>
      <c r="U257" s="601" t="str">
        <f t="shared" ca="1" si="79"/>
        <v/>
      </c>
      <c r="V257" s="707" t="str">
        <f t="shared" ca="1" si="90"/>
        <v/>
      </c>
      <c r="W257" s="480" t="str">
        <f t="shared" ca="1" si="80"/>
        <v/>
      </c>
      <c r="X257" s="480" t="str">
        <f t="shared" ca="1" si="81"/>
        <v/>
      </c>
      <c r="Y257" s="488"/>
      <c r="Z257" s="714"/>
      <c r="AD257" s="611"/>
      <c r="AE257" s="603" t="str">
        <f t="shared" si="82"/>
        <v/>
      </c>
      <c r="AF257" s="603"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03"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03" t="str">
        <f t="shared" ca="1" si="83"/>
        <v/>
      </c>
      <c r="AI257" s="603" t="str" cm="1">
        <f t="array" ref="AI257">IFERROR(INDEX(始値!$E$6:$BT$305,MATCH(TEXT($B257,"0"),TEXT(銘柄管理!$B$6:$B$305,"0"),0),MATCH($AE257,始値!$E$3:$BT$3,0)),"")</f>
        <v/>
      </c>
      <c r="AJ257" s="603" t="str">
        <f t="shared" ca="1" si="84"/>
        <v/>
      </c>
      <c r="AK257" s="603" t="str">
        <f t="shared" ca="1" si="85"/>
        <v/>
      </c>
    </row>
    <row r="258" spans="1:37" ht="17.25" customHeight="1">
      <c r="A258" s="625" t="str">
        <f t="shared" si="74"/>
        <v/>
      </c>
      <c r="B258" s="480"/>
      <c r="C258" s="480"/>
      <c r="D258" s="480" t="str" cm="1">
        <f t="array" ref="D258">_xll.RssMarket(B258, "銘柄名称")</f>
        <v/>
      </c>
      <c r="E258" s="721"/>
      <c r="F258" s="702" t="str" cm="1">
        <f t="array" aca="1" ref="F258" ca="1">IFERROR(_xlfn.LET(_xlpm.r,MATCH(TEXT($B258,"0"),TEXT(銘柄管理!$B$6:$B$305,"0"),0),_xlpm.t,MOD(NOW(),1),_xlpm.c,IF($E258=TODAY(),IF(_xlpm.t&gt;=TIME(15,30,0),NA(),1),IF(MATCH($E258,始値!$E$3:$BT$3,0)=1,1,MATCH($E258,始値!$E$3:$BT$3,0)+1)),_xlpm.v,INDEX(始値!$C$6:$BT$305,_xlpm.r,_xlpm.c),IF(N(_xlpm.v)=0,"",_xlpm.v)),"")</f>
        <v/>
      </c>
      <c r="G258" s="480"/>
      <c r="H258" s="480" t="str" cm="1">
        <f t="array" ref="H258">_xll.RssMarket(B258, "現在値")</f>
        <v/>
      </c>
      <c r="I258" s="480" t="str" cm="1">
        <f t="array" ref="I258">_xll.RssMarket(B258, "出来高加重平均")</f>
        <v/>
      </c>
      <c r="J258" s="706" t="str" cm="1">
        <f t="array" ref="J258">_xll.RssMarket($B258, "前日比")</f>
        <v/>
      </c>
      <c r="K258" s="707" t="str">
        <f t="shared" ca="1" si="86"/>
        <v/>
      </c>
      <c r="L258" s="712" t="str">
        <f t="shared" ca="1" si="87"/>
        <v/>
      </c>
      <c r="M258" s="601" t="str">
        <f t="shared" ca="1" si="75"/>
        <v/>
      </c>
      <c r="N258" s="601" t="str">
        <f t="shared" ca="1" si="76"/>
        <v/>
      </c>
      <c r="O258" s="478" t="str">
        <f t="shared" ca="1" si="77"/>
        <v/>
      </c>
      <c r="P258" s="445" t="str">
        <f t="array" aca="1" ref="P258" ca="1">IF(B258="","",IFERROR(MAX(OFFSET(高値!$E$6,MATCH(TEXT(B258,"0"),TEXT(銘柄管理!$B$6:$B$305,"0"),0)-1,0,1,10)),""))</f>
        <v/>
      </c>
      <c r="Q258" s="445" t="str">
        <f t="array" aca="1" ref="Q258" ca="1">IF(B258="","",IFERROR(MIN(OFFSET(安値!$E$6,MATCH(TEXT(B258,"0"),TEXT(銘柄管理!$B$6:$B$305,"0"),0)-1,0,1,10)),""))</f>
        <v/>
      </c>
      <c r="R258" s="480" t="str">
        <f t="shared" ca="1" si="88"/>
        <v/>
      </c>
      <c r="S258" s="480" t="str">
        <f t="shared" si="89"/>
        <v/>
      </c>
      <c r="T258" s="599" t="str">
        <f t="shared" ca="1" si="78"/>
        <v/>
      </c>
      <c r="U258" s="601" t="str">
        <f t="shared" ca="1" si="79"/>
        <v/>
      </c>
      <c r="V258" s="707" t="str">
        <f t="shared" ca="1" si="90"/>
        <v/>
      </c>
      <c r="W258" s="480" t="str">
        <f t="shared" ca="1" si="80"/>
        <v/>
      </c>
      <c r="X258" s="480" t="str">
        <f t="shared" ca="1" si="81"/>
        <v/>
      </c>
      <c r="Y258" s="488"/>
      <c r="Z258" s="714"/>
      <c r="AD258" s="611"/>
      <c r="AE258" s="603" t="str">
        <f t="shared" si="82"/>
        <v/>
      </c>
      <c r="AF258" s="603"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03"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03" t="str">
        <f t="shared" ca="1" si="83"/>
        <v/>
      </c>
      <c r="AI258" s="603" t="str" cm="1">
        <f t="array" ref="AI258">IFERROR(INDEX(始値!$E$6:$BT$305,MATCH(TEXT($B258,"0"),TEXT(銘柄管理!$B$6:$B$305,"0"),0),MATCH($AE258,始値!$E$3:$BT$3,0)),"")</f>
        <v/>
      </c>
      <c r="AJ258" s="603" t="str">
        <f t="shared" ca="1" si="84"/>
        <v/>
      </c>
      <c r="AK258" s="603" t="str">
        <f t="shared" ca="1" si="85"/>
        <v/>
      </c>
    </row>
    <row r="259" spans="1:37" ht="17.25" customHeight="1">
      <c r="A259" s="625" t="str">
        <f t="shared" si="74"/>
        <v/>
      </c>
      <c r="B259" s="480"/>
      <c r="C259" s="480"/>
      <c r="D259" s="480" t="str" cm="1">
        <f t="array" ref="D259">_xll.RssMarket(B259, "銘柄名称")</f>
        <v/>
      </c>
      <c r="E259" s="721"/>
      <c r="F259" s="702" t="str" cm="1">
        <f t="array" aca="1" ref="F259" ca="1">IFERROR(_xlfn.LET(_xlpm.r,MATCH(TEXT($B259,"0"),TEXT(銘柄管理!$B$6:$B$305,"0"),0),_xlpm.t,MOD(NOW(),1),_xlpm.c,IF($E259=TODAY(),IF(_xlpm.t&gt;=TIME(15,30,0),NA(),1),IF(MATCH($E259,始値!$E$3:$BT$3,0)=1,1,MATCH($E259,始値!$E$3:$BT$3,0)+1)),_xlpm.v,INDEX(始値!$C$6:$BT$305,_xlpm.r,_xlpm.c),IF(N(_xlpm.v)=0,"",_xlpm.v)),"")</f>
        <v/>
      </c>
      <c r="G259" s="480"/>
      <c r="H259" s="480" t="str" cm="1">
        <f t="array" ref="H259">_xll.RssMarket(B259, "現在値")</f>
        <v/>
      </c>
      <c r="I259" s="480" t="str" cm="1">
        <f t="array" ref="I259">_xll.RssMarket(B259, "出来高加重平均")</f>
        <v/>
      </c>
      <c r="J259" s="706" t="str" cm="1">
        <f t="array" ref="J259">_xll.RssMarket($B259, "前日比")</f>
        <v/>
      </c>
      <c r="K259" s="707" t="str">
        <f t="shared" ca="1" si="86"/>
        <v/>
      </c>
      <c r="L259" s="712" t="str">
        <f t="shared" ca="1" si="87"/>
        <v/>
      </c>
      <c r="M259" s="601" t="str">
        <f t="shared" ca="1" si="75"/>
        <v/>
      </c>
      <c r="N259" s="601" t="str">
        <f t="shared" ca="1" si="76"/>
        <v/>
      </c>
      <c r="O259" s="478" t="str">
        <f t="shared" ca="1" si="77"/>
        <v/>
      </c>
      <c r="P259" s="445" t="str">
        <f t="array" aca="1" ref="P259" ca="1">IF(B259="","",IFERROR(MAX(OFFSET(高値!$E$6,MATCH(TEXT(B259,"0"),TEXT(銘柄管理!$B$6:$B$305,"0"),0)-1,0,1,10)),""))</f>
        <v/>
      </c>
      <c r="Q259" s="445" t="str">
        <f t="array" aca="1" ref="Q259" ca="1">IF(B259="","",IFERROR(MIN(OFFSET(安値!$E$6,MATCH(TEXT(B259,"0"),TEXT(銘柄管理!$B$6:$B$305,"0"),0)-1,0,1,10)),""))</f>
        <v/>
      </c>
      <c r="R259" s="480" t="str">
        <f t="shared" ca="1" si="88"/>
        <v/>
      </c>
      <c r="S259" s="480" t="str">
        <f t="shared" si="89"/>
        <v/>
      </c>
      <c r="T259" s="599" t="str">
        <f t="shared" ca="1" si="78"/>
        <v/>
      </c>
      <c r="U259" s="601" t="str">
        <f t="shared" ca="1" si="79"/>
        <v/>
      </c>
      <c r="V259" s="707" t="str">
        <f t="shared" ca="1" si="90"/>
        <v/>
      </c>
      <c r="W259" s="480" t="str">
        <f t="shared" ca="1" si="80"/>
        <v/>
      </c>
      <c r="X259" s="480" t="str">
        <f t="shared" ca="1" si="81"/>
        <v/>
      </c>
      <c r="Y259" s="488"/>
      <c r="Z259" s="714"/>
      <c r="AD259" s="611"/>
      <c r="AE259" s="603" t="str">
        <f t="shared" si="82"/>
        <v/>
      </c>
      <c r="AF259" s="603"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03"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03" t="str">
        <f t="shared" ca="1" si="83"/>
        <v/>
      </c>
      <c r="AI259" s="603" t="str" cm="1">
        <f t="array" ref="AI259">IFERROR(INDEX(始値!$E$6:$BT$305,MATCH(TEXT($B259,"0"),TEXT(銘柄管理!$B$6:$B$305,"0"),0),MATCH($AE259,始値!$E$3:$BT$3,0)),"")</f>
        <v/>
      </c>
      <c r="AJ259" s="603" t="str">
        <f t="shared" ca="1" si="84"/>
        <v/>
      </c>
      <c r="AK259" s="603" t="str">
        <f t="shared" ca="1" si="85"/>
        <v/>
      </c>
    </row>
    <row r="260" spans="1:37" ht="17.25" customHeight="1">
      <c r="A260" s="625" t="str">
        <f t="shared" ref="A260:A323" si="91">IF(B260="","",HYPERLINK("https://kabutan.jp/stock/?code="&amp;B260,"株探"))</f>
        <v/>
      </c>
      <c r="B260" s="480"/>
      <c r="C260" s="480"/>
      <c r="D260" s="480" t="str" cm="1">
        <f t="array" ref="D260">_xll.RssMarket(B260, "銘柄名称")</f>
        <v/>
      </c>
      <c r="E260" s="721"/>
      <c r="F260" s="702" t="str" cm="1">
        <f t="array" aca="1" ref="F260" ca="1">IFERROR(_xlfn.LET(_xlpm.r,MATCH(TEXT($B260,"0"),TEXT(銘柄管理!$B$6:$B$305,"0"),0),_xlpm.t,MOD(NOW(),1),_xlpm.c,IF($E260=TODAY(),IF(_xlpm.t&gt;=TIME(15,30,0),NA(),1),IF(MATCH($E260,始値!$E$3:$BT$3,0)=1,1,MATCH($E260,始値!$E$3:$BT$3,0)+1)),_xlpm.v,INDEX(始値!$C$6:$BT$305,_xlpm.r,_xlpm.c),IF(N(_xlpm.v)=0,"",_xlpm.v)),"")</f>
        <v/>
      </c>
      <c r="G260" s="480"/>
      <c r="H260" s="480" t="str" cm="1">
        <f t="array" ref="H260">_xll.RssMarket(B260, "現在値")</f>
        <v/>
      </c>
      <c r="I260" s="480" t="str" cm="1">
        <f t="array" ref="I260">_xll.RssMarket(B260, "出来高加重平均")</f>
        <v/>
      </c>
      <c r="J260" s="706" t="str" cm="1">
        <f t="array" ref="J260">_xll.RssMarket($B260, "前日比")</f>
        <v/>
      </c>
      <c r="K260" s="707" t="str">
        <f t="shared" ca="1" si="86"/>
        <v/>
      </c>
      <c r="L260" s="712" t="str">
        <f t="shared" ca="1" si="87"/>
        <v/>
      </c>
      <c r="M260" s="601" t="str">
        <f t="shared" ca="1" si="75"/>
        <v/>
      </c>
      <c r="N260" s="601" t="str">
        <f t="shared" ca="1" si="76"/>
        <v/>
      </c>
      <c r="O260" s="478" t="str">
        <f t="shared" ca="1" si="77"/>
        <v/>
      </c>
      <c r="P260" s="445" t="str">
        <f t="array" aca="1" ref="P260" ca="1">IF(B260="","",IFERROR(MAX(OFFSET(高値!$E$6,MATCH(TEXT(B260,"0"),TEXT(銘柄管理!$B$6:$B$305,"0"),0)-1,0,1,10)),""))</f>
        <v/>
      </c>
      <c r="Q260" s="445" t="str">
        <f t="array" aca="1" ref="Q260" ca="1">IF(B260="","",IFERROR(MIN(OFFSET(安値!$E$6,MATCH(TEXT(B260,"0"),TEXT(銘柄管理!$B$6:$B$305,"0"),0)-1,0,1,10)),""))</f>
        <v/>
      </c>
      <c r="R260" s="480" t="str">
        <f t="shared" ca="1" si="88"/>
        <v/>
      </c>
      <c r="S260" s="480" t="str">
        <f t="shared" si="89"/>
        <v/>
      </c>
      <c r="T260" s="599" t="str">
        <f t="shared" ca="1" si="78"/>
        <v/>
      </c>
      <c r="U260" s="601" t="str">
        <f t="shared" ca="1" si="79"/>
        <v/>
      </c>
      <c r="V260" s="707" t="str">
        <f t="shared" ca="1" si="90"/>
        <v/>
      </c>
      <c r="W260" s="480" t="str">
        <f t="shared" ca="1" si="80"/>
        <v/>
      </c>
      <c r="X260" s="480" t="str">
        <f t="shared" ca="1" si="81"/>
        <v/>
      </c>
      <c r="Y260" s="488"/>
      <c r="Z260" s="714"/>
      <c r="AD260" s="611"/>
      <c r="AE260" s="603" t="str">
        <f t="shared" si="82"/>
        <v/>
      </c>
      <c r="AF260" s="603"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03"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03" t="str">
        <f t="shared" ca="1" si="83"/>
        <v/>
      </c>
      <c r="AI260" s="603" t="str" cm="1">
        <f t="array" ref="AI260">IFERROR(INDEX(始値!$E$6:$BT$305,MATCH(TEXT($B260,"0"),TEXT(銘柄管理!$B$6:$B$305,"0"),0),MATCH($AE260,始値!$E$3:$BT$3,0)),"")</f>
        <v/>
      </c>
      <c r="AJ260" s="603" t="str">
        <f t="shared" ca="1" si="84"/>
        <v/>
      </c>
      <c r="AK260" s="603" t="str">
        <f t="shared" ca="1" si="85"/>
        <v/>
      </c>
    </row>
    <row r="261" spans="1:37" ht="17.25" customHeight="1">
      <c r="A261" s="625" t="str">
        <f t="shared" si="91"/>
        <v/>
      </c>
      <c r="B261" s="480"/>
      <c r="C261" s="480"/>
      <c r="D261" s="480" t="str" cm="1">
        <f t="array" ref="D261">_xll.RssMarket(B261, "銘柄名称")</f>
        <v/>
      </c>
      <c r="E261" s="721"/>
      <c r="F261" s="702" t="str" cm="1">
        <f t="array" aca="1" ref="F261" ca="1">IFERROR(_xlfn.LET(_xlpm.r,MATCH(TEXT($B261,"0"),TEXT(銘柄管理!$B$6:$B$305,"0"),0),_xlpm.t,MOD(NOW(),1),_xlpm.c,IF($E261=TODAY(),IF(_xlpm.t&gt;=TIME(15,30,0),NA(),1),IF(MATCH($E261,始値!$E$3:$BT$3,0)=1,1,MATCH($E261,始値!$E$3:$BT$3,0)+1)),_xlpm.v,INDEX(始値!$C$6:$BT$305,_xlpm.r,_xlpm.c),IF(N(_xlpm.v)=0,"",_xlpm.v)),"")</f>
        <v/>
      </c>
      <c r="G261" s="480"/>
      <c r="H261" s="480" t="str" cm="1">
        <f t="array" ref="H261">_xll.RssMarket(B261, "現在値")</f>
        <v/>
      </c>
      <c r="I261" s="480" t="str" cm="1">
        <f t="array" ref="I261">_xll.RssMarket(B261, "出来高加重平均")</f>
        <v/>
      </c>
      <c r="J261" s="706" t="str" cm="1">
        <f t="array" ref="J261">_xll.RssMarket($B261, "前日比")</f>
        <v/>
      </c>
      <c r="K261" s="707" t="str">
        <f t="shared" ca="1" si="86"/>
        <v/>
      </c>
      <c r="L261" s="712" t="str">
        <f t="shared" ca="1" si="87"/>
        <v/>
      </c>
      <c r="M261" s="601" t="str">
        <f t="shared" ref="M261:M324" ca="1" si="92">IF($F261="","",ROUND(IF($C261="売",$F261*0.94,$F261*1.06),0))</f>
        <v/>
      </c>
      <c r="N261" s="601" t="str">
        <f t="shared" ref="N261:N324" ca="1" si="93">IF($F261="","",ROUND(IF($C261="売",$F261*1.04,$F261*0.96),0))</f>
        <v/>
      </c>
      <c r="O261" s="478" t="str">
        <f t="shared" ref="O261:O324" ca="1" si="94">IF(OR($B261="",$F261="",$H261=""),"",IF($C261="売",IF($H261&lt;=$M261,"🟢利確",IF($H261&lt;=$F261*0.95,"🟡利確&amp;TR STOP検討",IF($H261&gt;=$N261,"🔴損切",IF($H261&gt;=$F261*1.035,"🔴損切間近",IF($H261&gt;=$F261*1.03,"⚠️+3%注意","保持継続"))))),IF($H261&gt;=$M261,"🟢利確",IF($H261&gt;=$F261*1.05,"🟡利確&amp;TR STOP検討",IF($H261&lt;=$N261,"🔴損切",IF($H261&lt;=$F261*0.965,"🔴損切間近",IF($H261&lt;=$F261*0.97,"⚠️-3%注意","保持継続")))))))</f>
        <v/>
      </c>
      <c r="P261" s="445" t="str">
        <f t="array" aca="1" ref="P261" ca="1">IF(B261="","",IFERROR(MAX(OFFSET(高値!$E$6,MATCH(TEXT(B261,"0"),TEXT(銘柄管理!$B$6:$B$305,"0"),0)-1,0,1,10)),""))</f>
        <v/>
      </c>
      <c r="Q261" s="445" t="str">
        <f t="array" aca="1" ref="Q261" ca="1">IF(B261="","",IFERROR(MIN(OFFSET(安値!$E$6,MATCH(TEXT(B261,"0"),TEXT(銘柄管理!$B$6:$B$305,"0"),0)-1,0,1,10)),""))</f>
        <v/>
      </c>
      <c r="R261" s="480" t="str">
        <f t="shared" ca="1" si="88"/>
        <v/>
      </c>
      <c r="S261" s="480" t="str">
        <f t="shared" si="89"/>
        <v/>
      </c>
      <c r="T261" s="599" t="str">
        <f t="shared" ref="T261:T324" ca="1" si="95">IF(OR($AH261="",$AH261="保有中"),"",IF($AH261="日数制限",$AE261,IF($AH261="損切確定",IF(N($AG261)=0,TODAY(),$AG261),IF(N($AF261)=0,TODAY(),$AF261))))</f>
        <v/>
      </c>
      <c r="U261" s="601" t="str">
        <f t="shared" ref="U261:U324" ca="1" si="96">IF(OR($AH261="",$AH261="保有中"),"",ROUND(IF($AH261="日数制限",$AI261,IF($AH261="利益確定",$M261,$N261)),0))</f>
        <v/>
      </c>
      <c r="V261" s="707" t="str">
        <f t="shared" ca="1" si="90"/>
        <v/>
      </c>
      <c r="W261" s="480" t="str">
        <f t="shared" ref="W261:W324" ca="1" si="97">IF(OR($E261="",$B261=""),"",IF($T261&lt;&gt;"",$T261-$E261,TODAY()-$E261)+1)</f>
        <v/>
      </c>
      <c r="X261" s="480" t="str">
        <f t="shared" ref="X261:X324" ca="1" si="98">IF(OR($AH261="",$AH261="保有中"),"",$AH261)</f>
        <v/>
      </c>
      <c r="Y261" s="488"/>
      <c r="Z261" s="714"/>
      <c r="AD261" s="611"/>
      <c r="AE261" s="603" t="str">
        <f t="shared" ref="AE261:AE324" si="99">IF($E261="","",WORKDAY($E261,12))</f>
        <v/>
      </c>
      <c r="AF261" s="603"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03"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03" t="str">
        <f t="shared" ref="AH261:AH324" ca="1" si="100">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3" t="str" cm="1">
        <f t="array" ref="AI261">IFERROR(INDEX(始値!$E$6:$BT$305,MATCH(TEXT($B261,"0"),TEXT(銘柄管理!$B$6:$B$305,"0"),0),MATCH($AE261,始値!$E$3:$BT$3,0)),"")</f>
        <v/>
      </c>
      <c r="AJ261" s="603" t="str">
        <f t="shared" ref="AJ261:AJ324" ca="1" si="101">IF(OR($V261="",$F261="",$G261=""),"",$V261/($F261*$G261))</f>
        <v/>
      </c>
      <c r="AK261" s="603" t="str">
        <f t="shared" ref="AK261:AK324" ca="1" si="102">IF($V261="","",IF($V261&gt;0,"○勝",IF($V261&lt;0,"●負","△引分")))</f>
        <v/>
      </c>
    </row>
    <row r="262" spans="1:37" ht="17.25" customHeight="1">
      <c r="A262" s="625" t="str">
        <f t="shared" si="91"/>
        <v/>
      </c>
      <c r="B262" s="480"/>
      <c r="C262" s="480"/>
      <c r="D262" s="480" t="str" cm="1">
        <f t="array" ref="D262">_xll.RssMarket(B262, "銘柄名称")</f>
        <v/>
      </c>
      <c r="E262" s="721"/>
      <c r="F262" s="702" t="str" cm="1">
        <f t="array" aca="1" ref="F262" ca="1">IFERROR(_xlfn.LET(_xlpm.r,MATCH(TEXT($B262,"0"),TEXT(銘柄管理!$B$6:$B$305,"0"),0),_xlpm.t,MOD(NOW(),1),_xlpm.c,IF($E262=TODAY(),IF(_xlpm.t&gt;=TIME(15,30,0),NA(),1),IF(MATCH($E262,始値!$E$3:$BT$3,0)=1,1,MATCH($E262,始値!$E$3:$BT$3,0)+1)),_xlpm.v,INDEX(始値!$C$6:$BT$305,_xlpm.r,_xlpm.c),IF(N(_xlpm.v)=0,"",_xlpm.v)),"")</f>
        <v/>
      </c>
      <c r="G262" s="480"/>
      <c r="H262" s="480" t="str" cm="1">
        <f t="array" ref="H262">_xll.RssMarket(B262, "現在値")</f>
        <v/>
      </c>
      <c r="I262" s="480" t="str" cm="1">
        <f t="array" ref="I262">_xll.RssMarket(B262, "出来高加重平均")</f>
        <v/>
      </c>
      <c r="J262" s="706" t="str" cm="1">
        <f t="array" ref="J262">_xll.RssMarket($B262, "前日比")</f>
        <v/>
      </c>
      <c r="K262" s="707" t="str">
        <f t="shared" ca="1" si="86"/>
        <v/>
      </c>
      <c r="L262" s="712" t="str">
        <f t="shared" ca="1" si="87"/>
        <v/>
      </c>
      <c r="M262" s="601" t="str">
        <f t="shared" ca="1" si="92"/>
        <v/>
      </c>
      <c r="N262" s="601" t="str">
        <f t="shared" ca="1" si="93"/>
        <v/>
      </c>
      <c r="O262" s="478" t="str">
        <f t="shared" ca="1" si="94"/>
        <v/>
      </c>
      <c r="P262" s="445" t="str">
        <f t="array" aca="1" ref="P262" ca="1">IF(B262="","",IFERROR(MAX(OFFSET(高値!$E$6,MATCH(TEXT(B262,"0"),TEXT(銘柄管理!$B$6:$B$305,"0"),0)-1,0,1,10)),""))</f>
        <v/>
      </c>
      <c r="Q262" s="445" t="str">
        <f t="array" aca="1" ref="Q262" ca="1">IF(B262="","",IFERROR(MIN(OFFSET(安値!$E$6,MATCH(TEXT(B262,"0"),TEXT(銘柄管理!$B$6:$B$305,"0"),0)-1,0,1,10)),""))</f>
        <v/>
      </c>
      <c r="R262" s="480" t="str">
        <f t="shared" ca="1" si="88"/>
        <v/>
      </c>
      <c r="S262" s="480" t="str">
        <f t="shared" si="89"/>
        <v/>
      </c>
      <c r="T262" s="599" t="str">
        <f t="shared" ca="1" si="95"/>
        <v/>
      </c>
      <c r="U262" s="601" t="str">
        <f t="shared" ca="1" si="96"/>
        <v/>
      </c>
      <c r="V262" s="707" t="str">
        <f t="shared" ca="1" si="90"/>
        <v/>
      </c>
      <c r="W262" s="480" t="str">
        <f t="shared" ca="1" si="97"/>
        <v/>
      </c>
      <c r="X262" s="480" t="str">
        <f t="shared" ca="1" si="98"/>
        <v/>
      </c>
      <c r="Y262" s="488"/>
      <c r="Z262" s="714"/>
      <c r="AD262" s="611"/>
      <c r="AE262" s="603" t="str">
        <f t="shared" si="99"/>
        <v/>
      </c>
      <c r="AF262" s="603"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03"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03" t="str">
        <f t="shared" ca="1" si="100"/>
        <v/>
      </c>
      <c r="AI262" s="603" t="str" cm="1">
        <f t="array" ref="AI262">IFERROR(INDEX(始値!$E$6:$BT$305,MATCH(TEXT($B262,"0"),TEXT(銘柄管理!$B$6:$B$305,"0"),0),MATCH($AE262,始値!$E$3:$BT$3,0)),"")</f>
        <v/>
      </c>
      <c r="AJ262" s="603" t="str">
        <f t="shared" ca="1" si="101"/>
        <v/>
      </c>
      <c r="AK262" s="603" t="str">
        <f t="shared" ca="1" si="102"/>
        <v/>
      </c>
    </row>
    <row r="263" spans="1:37" ht="17.25" customHeight="1">
      <c r="A263" s="625" t="str">
        <f t="shared" si="91"/>
        <v/>
      </c>
      <c r="B263" s="480"/>
      <c r="C263" s="480"/>
      <c r="D263" s="480" t="str" cm="1">
        <f t="array" ref="D263">_xll.RssMarket(B263, "銘柄名称")</f>
        <v/>
      </c>
      <c r="E263" s="721"/>
      <c r="F263" s="702" t="str" cm="1">
        <f t="array" aca="1" ref="F263" ca="1">IFERROR(_xlfn.LET(_xlpm.r,MATCH(TEXT($B263,"0"),TEXT(銘柄管理!$B$6:$B$305,"0"),0),_xlpm.t,MOD(NOW(),1),_xlpm.c,IF($E263=TODAY(),IF(_xlpm.t&gt;=TIME(15,30,0),NA(),1),IF(MATCH($E263,始値!$E$3:$BT$3,0)=1,1,MATCH($E263,始値!$E$3:$BT$3,0)+1)),_xlpm.v,INDEX(始値!$C$6:$BT$305,_xlpm.r,_xlpm.c),IF(N(_xlpm.v)=0,"",_xlpm.v)),"")</f>
        <v/>
      </c>
      <c r="G263" s="480"/>
      <c r="H263" s="480" t="str" cm="1">
        <f t="array" ref="H263">_xll.RssMarket(B263, "現在値")</f>
        <v/>
      </c>
      <c r="I263" s="480" t="str" cm="1">
        <f t="array" ref="I263">_xll.RssMarket(B263, "出来高加重平均")</f>
        <v/>
      </c>
      <c r="J263" s="706" t="str" cm="1">
        <f t="array" ref="J263">_xll.RssMarket($B263, "前日比")</f>
        <v/>
      </c>
      <c r="K263" s="707" t="str">
        <f t="shared" ca="1" si="86"/>
        <v/>
      </c>
      <c r="L263" s="712" t="str">
        <f t="shared" ca="1" si="87"/>
        <v/>
      </c>
      <c r="M263" s="601" t="str">
        <f t="shared" ca="1" si="92"/>
        <v/>
      </c>
      <c r="N263" s="601" t="str">
        <f t="shared" ca="1" si="93"/>
        <v/>
      </c>
      <c r="O263" s="478" t="str">
        <f t="shared" ca="1" si="94"/>
        <v/>
      </c>
      <c r="P263" s="445" t="str">
        <f t="array" aca="1" ref="P263" ca="1">IF(B263="","",IFERROR(MAX(OFFSET(高値!$E$6,MATCH(TEXT(B263,"0"),TEXT(銘柄管理!$B$6:$B$305,"0"),0)-1,0,1,10)),""))</f>
        <v/>
      </c>
      <c r="Q263" s="445" t="str">
        <f t="array" aca="1" ref="Q263" ca="1">IF(B263="","",IFERROR(MIN(OFFSET(安値!$E$6,MATCH(TEXT(B263,"0"),TEXT(銘柄管理!$B$6:$B$305,"0"),0)-1,0,1,10)),""))</f>
        <v/>
      </c>
      <c r="R263" s="480" t="str">
        <f t="shared" ca="1" si="88"/>
        <v/>
      </c>
      <c r="S263" s="480" t="str">
        <f t="shared" si="89"/>
        <v/>
      </c>
      <c r="T263" s="599" t="str">
        <f t="shared" ca="1" si="95"/>
        <v/>
      </c>
      <c r="U263" s="601" t="str">
        <f t="shared" ca="1" si="96"/>
        <v/>
      </c>
      <c r="V263" s="707" t="str">
        <f t="shared" ca="1" si="90"/>
        <v/>
      </c>
      <c r="W263" s="480" t="str">
        <f t="shared" ca="1" si="97"/>
        <v/>
      </c>
      <c r="X263" s="480" t="str">
        <f t="shared" ca="1" si="98"/>
        <v/>
      </c>
      <c r="Y263" s="488"/>
      <c r="Z263" s="714"/>
      <c r="AD263" s="611"/>
      <c r="AE263" s="603" t="str">
        <f t="shared" si="99"/>
        <v/>
      </c>
      <c r="AF263" s="603"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03"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03" t="str">
        <f t="shared" ca="1" si="100"/>
        <v/>
      </c>
      <c r="AI263" s="603" t="str" cm="1">
        <f t="array" ref="AI263">IFERROR(INDEX(始値!$E$6:$BT$305,MATCH(TEXT($B263,"0"),TEXT(銘柄管理!$B$6:$B$305,"0"),0),MATCH($AE263,始値!$E$3:$BT$3,0)),"")</f>
        <v/>
      </c>
      <c r="AJ263" s="603" t="str">
        <f t="shared" ca="1" si="101"/>
        <v/>
      </c>
      <c r="AK263" s="603" t="str">
        <f t="shared" ca="1" si="102"/>
        <v/>
      </c>
    </row>
    <row r="264" spans="1:37" ht="17.25" customHeight="1">
      <c r="A264" s="625" t="str">
        <f t="shared" si="91"/>
        <v/>
      </c>
      <c r="B264" s="480"/>
      <c r="C264" s="480"/>
      <c r="D264" s="480" t="str" cm="1">
        <f t="array" ref="D264">_xll.RssMarket(B264, "銘柄名称")</f>
        <v/>
      </c>
      <c r="E264" s="721"/>
      <c r="F264" s="702" t="str" cm="1">
        <f t="array" aca="1" ref="F264" ca="1">IFERROR(_xlfn.LET(_xlpm.r,MATCH(TEXT($B264,"0"),TEXT(銘柄管理!$B$6:$B$305,"0"),0),_xlpm.t,MOD(NOW(),1),_xlpm.c,IF($E264=TODAY(),IF(_xlpm.t&gt;=TIME(15,30,0),NA(),1),IF(MATCH($E264,始値!$E$3:$BT$3,0)=1,1,MATCH($E264,始値!$E$3:$BT$3,0)+1)),_xlpm.v,INDEX(始値!$C$6:$BT$305,_xlpm.r,_xlpm.c),IF(N(_xlpm.v)=0,"",_xlpm.v)),"")</f>
        <v/>
      </c>
      <c r="G264" s="480"/>
      <c r="H264" s="480" t="str" cm="1">
        <f t="array" ref="H264">_xll.RssMarket(B264, "現在値")</f>
        <v/>
      </c>
      <c r="I264" s="480" t="str" cm="1">
        <f t="array" ref="I264">_xll.RssMarket(B264, "出来高加重平均")</f>
        <v/>
      </c>
      <c r="J264" s="706" t="str" cm="1">
        <f t="array" ref="J264">_xll.RssMarket($B264, "前日比")</f>
        <v/>
      </c>
      <c r="K264" s="707" t="str">
        <f t="shared" ca="1" si="86"/>
        <v/>
      </c>
      <c r="L264" s="712" t="str">
        <f t="shared" ca="1" si="87"/>
        <v/>
      </c>
      <c r="M264" s="601" t="str">
        <f t="shared" ca="1" si="92"/>
        <v/>
      </c>
      <c r="N264" s="601" t="str">
        <f t="shared" ca="1" si="93"/>
        <v/>
      </c>
      <c r="O264" s="478" t="str">
        <f t="shared" ca="1" si="94"/>
        <v/>
      </c>
      <c r="P264" s="445" t="str">
        <f t="array" aca="1" ref="P264" ca="1">IF(B264="","",IFERROR(MAX(OFFSET(高値!$E$6,MATCH(TEXT(B264,"0"),TEXT(銘柄管理!$B$6:$B$305,"0"),0)-1,0,1,10)),""))</f>
        <v/>
      </c>
      <c r="Q264" s="445" t="str">
        <f t="array" aca="1" ref="Q264" ca="1">IF(B264="","",IFERROR(MIN(OFFSET(安値!$E$6,MATCH(TEXT(B264,"0"),TEXT(銘柄管理!$B$6:$B$305,"0"),0)-1,0,1,10)),""))</f>
        <v/>
      </c>
      <c r="R264" s="480" t="str">
        <f t="shared" ca="1" si="88"/>
        <v/>
      </c>
      <c r="S264" s="480" t="str">
        <f t="shared" si="89"/>
        <v/>
      </c>
      <c r="T264" s="599" t="str">
        <f t="shared" ca="1" si="95"/>
        <v/>
      </c>
      <c r="U264" s="601" t="str">
        <f t="shared" ca="1" si="96"/>
        <v/>
      </c>
      <c r="V264" s="707" t="str">
        <f t="shared" ca="1" si="90"/>
        <v/>
      </c>
      <c r="W264" s="480" t="str">
        <f t="shared" ca="1" si="97"/>
        <v/>
      </c>
      <c r="X264" s="480" t="str">
        <f t="shared" ca="1" si="98"/>
        <v/>
      </c>
      <c r="Y264" s="488"/>
      <c r="Z264" s="714"/>
      <c r="AD264" s="611"/>
      <c r="AE264" s="603" t="str">
        <f t="shared" si="99"/>
        <v/>
      </c>
      <c r="AF264" s="603"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03"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03" t="str">
        <f t="shared" ca="1" si="100"/>
        <v/>
      </c>
      <c r="AI264" s="603" t="str" cm="1">
        <f t="array" ref="AI264">IFERROR(INDEX(始値!$E$6:$BT$305,MATCH(TEXT($B264,"0"),TEXT(銘柄管理!$B$6:$B$305,"0"),0),MATCH($AE264,始値!$E$3:$BT$3,0)),"")</f>
        <v/>
      </c>
      <c r="AJ264" s="603" t="str">
        <f t="shared" ca="1" si="101"/>
        <v/>
      </c>
      <c r="AK264" s="603" t="str">
        <f t="shared" ca="1" si="102"/>
        <v/>
      </c>
    </row>
    <row r="265" spans="1:37" ht="17.25" customHeight="1">
      <c r="A265" s="625" t="str">
        <f t="shared" si="91"/>
        <v/>
      </c>
      <c r="B265" s="480"/>
      <c r="C265" s="480"/>
      <c r="D265" s="480" t="str" cm="1">
        <f t="array" ref="D265">_xll.RssMarket(B265, "銘柄名称")</f>
        <v/>
      </c>
      <c r="E265" s="721"/>
      <c r="F265" s="702" t="str" cm="1">
        <f t="array" aca="1" ref="F265" ca="1">IFERROR(_xlfn.LET(_xlpm.r,MATCH(TEXT($B265,"0"),TEXT(銘柄管理!$B$6:$B$305,"0"),0),_xlpm.t,MOD(NOW(),1),_xlpm.c,IF($E265=TODAY(),IF(_xlpm.t&gt;=TIME(15,30,0),NA(),1),IF(MATCH($E265,始値!$E$3:$BT$3,0)=1,1,MATCH($E265,始値!$E$3:$BT$3,0)+1)),_xlpm.v,INDEX(始値!$C$6:$BT$305,_xlpm.r,_xlpm.c),IF(N(_xlpm.v)=0,"",_xlpm.v)),"")</f>
        <v/>
      </c>
      <c r="G265" s="480"/>
      <c r="H265" s="480" t="str" cm="1">
        <f t="array" ref="H265">_xll.RssMarket(B265, "現在値")</f>
        <v/>
      </c>
      <c r="I265" s="480" t="str" cm="1">
        <f t="array" ref="I265">_xll.RssMarket(B265, "出来高加重平均")</f>
        <v/>
      </c>
      <c r="J265" s="706" t="str" cm="1">
        <f t="array" ref="J265">_xll.RssMarket($B265, "前日比")</f>
        <v/>
      </c>
      <c r="K265" s="707" t="str">
        <f t="shared" ca="1" si="86"/>
        <v/>
      </c>
      <c r="L265" s="712" t="str">
        <f t="shared" ca="1" si="87"/>
        <v/>
      </c>
      <c r="M265" s="601" t="str">
        <f t="shared" ca="1" si="92"/>
        <v/>
      </c>
      <c r="N265" s="601" t="str">
        <f t="shared" ca="1" si="93"/>
        <v/>
      </c>
      <c r="O265" s="478" t="str">
        <f t="shared" ca="1" si="94"/>
        <v/>
      </c>
      <c r="P265" s="445" t="str">
        <f t="array" aca="1" ref="P265" ca="1">IF(B265="","",IFERROR(MAX(OFFSET(高値!$E$6,MATCH(TEXT(B265,"0"),TEXT(銘柄管理!$B$6:$B$305,"0"),0)-1,0,1,10)),""))</f>
        <v/>
      </c>
      <c r="Q265" s="445" t="str">
        <f t="array" aca="1" ref="Q265" ca="1">IF(B265="","",IFERROR(MIN(OFFSET(安値!$E$6,MATCH(TEXT(B265,"0"),TEXT(銘柄管理!$B$6:$B$305,"0"),0)-1,0,1,10)),""))</f>
        <v/>
      </c>
      <c r="R265" s="480" t="str">
        <f t="shared" ca="1" si="88"/>
        <v/>
      </c>
      <c r="S265" s="480" t="str">
        <f t="shared" si="89"/>
        <v/>
      </c>
      <c r="T265" s="599" t="str">
        <f t="shared" ca="1" si="95"/>
        <v/>
      </c>
      <c r="U265" s="601" t="str">
        <f t="shared" ca="1" si="96"/>
        <v/>
      </c>
      <c r="V265" s="707" t="str">
        <f t="shared" ca="1" si="90"/>
        <v/>
      </c>
      <c r="W265" s="480" t="str">
        <f t="shared" ca="1" si="97"/>
        <v/>
      </c>
      <c r="X265" s="480" t="str">
        <f t="shared" ca="1" si="98"/>
        <v/>
      </c>
      <c r="Y265" s="488"/>
      <c r="Z265" s="714"/>
      <c r="AD265" s="611"/>
      <c r="AE265" s="603" t="str">
        <f t="shared" si="99"/>
        <v/>
      </c>
      <c r="AF265" s="603"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03"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03" t="str">
        <f t="shared" ca="1" si="100"/>
        <v/>
      </c>
      <c r="AI265" s="603" t="str" cm="1">
        <f t="array" ref="AI265">IFERROR(INDEX(始値!$E$6:$BT$305,MATCH(TEXT($B265,"0"),TEXT(銘柄管理!$B$6:$B$305,"0"),0),MATCH($AE265,始値!$E$3:$BT$3,0)),"")</f>
        <v/>
      </c>
      <c r="AJ265" s="603" t="str">
        <f t="shared" ca="1" si="101"/>
        <v/>
      </c>
      <c r="AK265" s="603" t="str">
        <f t="shared" ca="1" si="102"/>
        <v/>
      </c>
    </row>
    <row r="266" spans="1:37" ht="17.25" customHeight="1">
      <c r="A266" s="625" t="str">
        <f t="shared" si="91"/>
        <v/>
      </c>
      <c r="B266" s="480"/>
      <c r="C266" s="480"/>
      <c r="D266" s="480" t="str" cm="1">
        <f t="array" ref="D266">_xll.RssMarket(B266, "銘柄名称")</f>
        <v/>
      </c>
      <c r="E266" s="721"/>
      <c r="F266" s="702" t="str" cm="1">
        <f t="array" aca="1" ref="F266" ca="1">IFERROR(_xlfn.LET(_xlpm.r,MATCH(TEXT($B266,"0"),TEXT(銘柄管理!$B$6:$B$305,"0"),0),_xlpm.t,MOD(NOW(),1),_xlpm.c,IF($E266=TODAY(),IF(_xlpm.t&gt;=TIME(15,30,0),NA(),1),IF(MATCH($E266,始値!$E$3:$BT$3,0)=1,1,MATCH($E266,始値!$E$3:$BT$3,0)+1)),_xlpm.v,INDEX(始値!$C$6:$BT$305,_xlpm.r,_xlpm.c),IF(N(_xlpm.v)=0,"",_xlpm.v)),"")</f>
        <v/>
      </c>
      <c r="G266" s="480"/>
      <c r="H266" s="480" t="str" cm="1">
        <f t="array" ref="H266">_xll.RssMarket(B266, "現在値")</f>
        <v/>
      </c>
      <c r="I266" s="480" t="str" cm="1">
        <f t="array" ref="I266">_xll.RssMarket(B266, "出来高加重平均")</f>
        <v/>
      </c>
      <c r="J266" s="706" t="str" cm="1">
        <f t="array" ref="J266">_xll.RssMarket($B266, "前日比")</f>
        <v/>
      </c>
      <c r="K266" s="707" t="str">
        <f t="shared" ref="K266:K329" ca="1" si="103">IF(OR(F266="",G266="",H266=""),"",IF(C266="売",(F266-H266)*G266,(H266-F266)*G266))</f>
        <v/>
      </c>
      <c r="L266" s="712" t="str">
        <f t="shared" ref="L266:L329" ca="1" si="104">IF(OR(F266="",H266=""),"",IF(C266="売",(F266-H266)/F266,(H266-F266)/F266))</f>
        <v/>
      </c>
      <c r="M266" s="601" t="str">
        <f t="shared" ca="1" si="92"/>
        <v/>
      </c>
      <c r="N266" s="601" t="str">
        <f t="shared" ca="1" si="93"/>
        <v/>
      </c>
      <c r="O266" s="478" t="str">
        <f t="shared" ca="1" si="94"/>
        <v/>
      </c>
      <c r="P266" s="445" t="str">
        <f t="array" aca="1" ref="P266" ca="1">IF(B266="","",IFERROR(MAX(OFFSET(高値!$E$6,MATCH(TEXT(B266,"0"),TEXT(銘柄管理!$B$6:$B$305,"0"),0)-1,0,1,10)),""))</f>
        <v/>
      </c>
      <c r="Q266" s="445" t="str">
        <f t="array" aca="1" ref="Q266" ca="1">IF(B266="","",IFERROR(MIN(OFFSET(安値!$E$6,MATCH(TEXT(B266,"0"),TEXT(銘柄管理!$B$6:$B$305,"0"),0)-1,0,1,10)),""))</f>
        <v/>
      </c>
      <c r="R266" s="480" t="str">
        <f t="shared" ref="R266:R329" ca="1" si="105">IF(P266="","",ROUND(P266*0.97,0))</f>
        <v/>
      </c>
      <c r="S266" s="480" t="str">
        <f t="shared" ref="S266:S329" si="106">IF(B266="","",IF(T266&lt;&gt;"","✅売却済",IF(OR(H266="",L266=""),"📌保有中",IF(L266&gt;=0.06,"🟢利確推奨",IF(L266&gt;=0.05,"🟡利確直近",IF(L266&gt;=0.045,"🔵トレーリング検討",IF(L266&gt;-0.03,"📌保有中",IF(L266&gt;-0.04,"⚠️損切注意","🔴損切り"))))))))</f>
        <v/>
      </c>
      <c r="T266" s="599" t="str">
        <f t="shared" ca="1" si="95"/>
        <v/>
      </c>
      <c r="U266" s="601" t="str">
        <f t="shared" ca="1" si="96"/>
        <v/>
      </c>
      <c r="V266" s="707" t="str">
        <f t="shared" ref="V266:V329" ca="1" si="107">IF(OR(F266="",G266="",U266=""),"",IF(C266="売",(F266-U266)*G266,(U266-F266)*G266))</f>
        <v/>
      </c>
      <c r="W266" s="480" t="str">
        <f t="shared" ca="1" si="97"/>
        <v/>
      </c>
      <c r="X266" s="480" t="str">
        <f t="shared" ca="1" si="98"/>
        <v/>
      </c>
      <c r="Y266" s="488"/>
      <c r="Z266" s="714"/>
      <c r="AD266" s="611"/>
      <c r="AE266" s="603" t="str">
        <f t="shared" si="99"/>
        <v/>
      </c>
      <c r="AF266" s="603"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03"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03" t="str">
        <f t="shared" ca="1" si="100"/>
        <v/>
      </c>
      <c r="AI266" s="603" t="str" cm="1">
        <f t="array" ref="AI266">IFERROR(INDEX(始値!$E$6:$BT$305,MATCH(TEXT($B266,"0"),TEXT(銘柄管理!$B$6:$B$305,"0"),0),MATCH($AE266,始値!$E$3:$BT$3,0)),"")</f>
        <v/>
      </c>
      <c r="AJ266" s="603" t="str">
        <f t="shared" ca="1" si="101"/>
        <v/>
      </c>
      <c r="AK266" s="603" t="str">
        <f t="shared" ca="1" si="102"/>
        <v/>
      </c>
    </row>
    <row r="267" spans="1:37" ht="17.25" customHeight="1">
      <c r="A267" s="625" t="str">
        <f t="shared" si="91"/>
        <v/>
      </c>
      <c r="B267" s="480"/>
      <c r="C267" s="480"/>
      <c r="D267" s="480" t="str" cm="1">
        <f t="array" ref="D267">_xll.RssMarket(B267, "銘柄名称")</f>
        <v/>
      </c>
      <c r="E267" s="721"/>
      <c r="F267" s="702" t="str" cm="1">
        <f t="array" aca="1" ref="F267" ca="1">IFERROR(_xlfn.LET(_xlpm.r,MATCH(TEXT($B267,"0"),TEXT(銘柄管理!$B$6:$B$305,"0"),0),_xlpm.t,MOD(NOW(),1),_xlpm.c,IF($E267=TODAY(),IF(_xlpm.t&gt;=TIME(15,30,0),NA(),1),IF(MATCH($E267,始値!$E$3:$BT$3,0)=1,1,MATCH($E267,始値!$E$3:$BT$3,0)+1)),_xlpm.v,INDEX(始値!$C$6:$BT$305,_xlpm.r,_xlpm.c),IF(N(_xlpm.v)=0,"",_xlpm.v)),"")</f>
        <v/>
      </c>
      <c r="G267" s="480"/>
      <c r="H267" s="480" t="str" cm="1">
        <f t="array" ref="H267">_xll.RssMarket(B267, "現在値")</f>
        <v/>
      </c>
      <c r="I267" s="480" t="str" cm="1">
        <f t="array" ref="I267">_xll.RssMarket(B267, "出来高加重平均")</f>
        <v/>
      </c>
      <c r="J267" s="706" t="str" cm="1">
        <f t="array" ref="J267">_xll.RssMarket($B267, "前日比")</f>
        <v/>
      </c>
      <c r="K267" s="707" t="str">
        <f t="shared" ca="1" si="103"/>
        <v/>
      </c>
      <c r="L267" s="712" t="str">
        <f t="shared" ca="1" si="104"/>
        <v/>
      </c>
      <c r="M267" s="601" t="str">
        <f t="shared" ca="1" si="92"/>
        <v/>
      </c>
      <c r="N267" s="601" t="str">
        <f t="shared" ca="1" si="93"/>
        <v/>
      </c>
      <c r="O267" s="478" t="str">
        <f t="shared" ca="1" si="94"/>
        <v/>
      </c>
      <c r="P267" s="445" t="str">
        <f t="array" aca="1" ref="P267" ca="1">IF(B267="","",IFERROR(MAX(OFFSET(高値!$E$6,MATCH(TEXT(B267,"0"),TEXT(銘柄管理!$B$6:$B$305,"0"),0)-1,0,1,10)),""))</f>
        <v/>
      </c>
      <c r="Q267" s="445" t="str">
        <f t="array" aca="1" ref="Q267" ca="1">IF(B267="","",IFERROR(MIN(OFFSET(安値!$E$6,MATCH(TEXT(B267,"0"),TEXT(銘柄管理!$B$6:$B$305,"0"),0)-1,0,1,10)),""))</f>
        <v/>
      </c>
      <c r="R267" s="480" t="str">
        <f t="shared" ca="1" si="105"/>
        <v/>
      </c>
      <c r="S267" s="480" t="str">
        <f t="shared" si="106"/>
        <v/>
      </c>
      <c r="T267" s="599" t="str">
        <f t="shared" ca="1" si="95"/>
        <v/>
      </c>
      <c r="U267" s="601" t="str">
        <f t="shared" ca="1" si="96"/>
        <v/>
      </c>
      <c r="V267" s="707" t="str">
        <f t="shared" ca="1" si="107"/>
        <v/>
      </c>
      <c r="W267" s="480" t="str">
        <f t="shared" ca="1" si="97"/>
        <v/>
      </c>
      <c r="X267" s="480" t="str">
        <f t="shared" ca="1" si="98"/>
        <v/>
      </c>
      <c r="Y267" s="488"/>
      <c r="Z267" s="714"/>
      <c r="AD267" s="611"/>
      <c r="AE267" s="603" t="str">
        <f t="shared" si="99"/>
        <v/>
      </c>
      <c r="AF267" s="603"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03"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03" t="str">
        <f t="shared" ca="1" si="100"/>
        <v/>
      </c>
      <c r="AI267" s="603" t="str" cm="1">
        <f t="array" ref="AI267">IFERROR(INDEX(始値!$E$6:$BT$305,MATCH(TEXT($B267,"0"),TEXT(銘柄管理!$B$6:$B$305,"0"),0),MATCH($AE267,始値!$E$3:$BT$3,0)),"")</f>
        <v/>
      </c>
      <c r="AJ267" s="603" t="str">
        <f t="shared" ca="1" si="101"/>
        <v/>
      </c>
      <c r="AK267" s="603" t="str">
        <f t="shared" ca="1" si="102"/>
        <v/>
      </c>
    </row>
    <row r="268" spans="1:37" ht="17.25" customHeight="1">
      <c r="A268" s="625" t="str">
        <f t="shared" si="91"/>
        <v/>
      </c>
      <c r="B268" s="480"/>
      <c r="C268" s="480"/>
      <c r="D268" s="480" t="str" cm="1">
        <f t="array" ref="D268">_xll.RssMarket(B268, "銘柄名称")</f>
        <v/>
      </c>
      <c r="E268" s="721"/>
      <c r="F268" s="702" t="str" cm="1">
        <f t="array" aca="1" ref="F268" ca="1">IFERROR(_xlfn.LET(_xlpm.r,MATCH(TEXT($B268,"0"),TEXT(銘柄管理!$B$6:$B$305,"0"),0),_xlpm.t,MOD(NOW(),1),_xlpm.c,IF($E268=TODAY(),IF(_xlpm.t&gt;=TIME(15,30,0),NA(),1),IF(MATCH($E268,始値!$E$3:$BT$3,0)=1,1,MATCH($E268,始値!$E$3:$BT$3,0)+1)),_xlpm.v,INDEX(始値!$C$6:$BT$305,_xlpm.r,_xlpm.c),IF(N(_xlpm.v)=0,"",_xlpm.v)),"")</f>
        <v/>
      </c>
      <c r="G268" s="480"/>
      <c r="H268" s="480" t="str" cm="1">
        <f t="array" ref="H268">_xll.RssMarket(B268, "現在値")</f>
        <v/>
      </c>
      <c r="I268" s="480" t="str" cm="1">
        <f t="array" ref="I268">_xll.RssMarket(B268, "出来高加重平均")</f>
        <v/>
      </c>
      <c r="J268" s="706" t="str" cm="1">
        <f t="array" ref="J268">_xll.RssMarket($B268, "前日比")</f>
        <v/>
      </c>
      <c r="K268" s="707" t="str">
        <f t="shared" ca="1" si="103"/>
        <v/>
      </c>
      <c r="L268" s="712" t="str">
        <f t="shared" ca="1" si="104"/>
        <v/>
      </c>
      <c r="M268" s="601" t="str">
        <f t="shared" ca="1" si="92"/>
        <v/>
      </c>
      <c r="N268" s="601" t="str">
        <f t="shared" ca="1" si="93"/>
        <v/>
      </c>
      <c r="O268" s="478" t="str">
        <f t="shared" ca="1" si="94"/>
        <v/>
      </c>
      <c r="P268" s="445" t="str">
        <f t="array" aca="1" ref="P268" ca="1">IF(B268="","",IFERROR(MAX(OFFSET(高値!$E$6,MATCH(TEXT(B268,"0"),TEXT(銘柄管理!$B$6:$B$305,"0"),0)-1,0,1,10)),""))</f>
        <v/>
      </c>
      <c r="Q268" s="445" t="str">
        <f t="array" aca="1" ref="Q268" ca="1">IF(B268="","",IFERROR(MIN(OFFSET(安値!$E$6,MATCH(TEXT(B268,"0"),TEXT(銘柄管理!$B$6:$B$305,"0"),0)-1,0,1,10)),""))</f>
        <v/>
      </c>
      <c r="R268" s="480" t="str">
        <f t="shared" ca="1" si="105"/>
        <v/>
      </c>
      <c r="S268" s="480" t="str">
        <f t="shared" si="106"/>
        <v/>
      </c>
      <c r="T268" s="599" t="str">
        <f t="shared" ca="1" si="95"/>
        <v/>
      </c>
      <c r="U268" s="601" t="str">
        <f t="shared" ca="1" si="96"/>
        <v/>
      </c>
      <c r="V268" s="707" t="str">
        <f t="shared" ca="1" si="107"/>
        <v/>
      </c>
      <c r="W268" s="480" t="str">
        <f t="shared" ca="1" si="97"/>
        <v/>
      </c>
      <c r="X268" s="480" t="str">
        <f t="shared" ca="1" si="98"/>
        <v/>
      </c>
      <c r="Y268" s="488"/>
      <c r="Z268" s="714"/>
      <c r="AD268" s="611"/>
      <c r="AE268" s="603" t="str">
        <f t="shared" si="99"/>
        <v/>
      </c>
      <c r="AF268" s="603"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03"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03" t="str">
        <f t="shared" ca="1" si="100"/>
        <v/>
      </c>
      <c r="AI268" s="603" t="str" cm="1">
        <f t="array" ref="AI268">IFERROR(INDEX(始値!$E$6:$BT$305,MATCH(TEXT($B268,"0"),TEXT(銘柄管理!$B$6:$B$305,"0"),0),MATCH($AE268,始値!$E$3:$BT$3,0)),"")</f>
        <v/>
      </c>
      <c r="AJ268" s="603" t="str">
        <f t="shared" ca="1" si="101"/>
        <v/>
      </c>
      <c r="AK268" s="603" t="str">
        <f t="shared" ca="1" si="102"/>
        <v/>
      </c>
    </row>
    <row r="269" spans="1:37" ht="17.25" customHeight="1">
      <c r="A269" s="625" t="str">
        <f t="shared" si="91"/>
        <v/>
      </c>
      <c r="B269" s="480"/>
      <c r="C269" s="480"/>
      <c r="D269" s="480" t="str" cm="1">
        <f t="array" ref="D269">_xll.RssMarket(B269, "銘柄名称")</f>
        <v/>
      </c>
      <c r="E269" s="721"/>
      <c r="F269" s="702" t="str" cm="1">
        <f t="array" aca="1" ref="F269" ca="1">IFERROR(_xlfn.LET(_xlpm.r,MATCH(TEXT($B269,"0"),TEXT(銘柄管理!$B$6:$B$305,"0"),0),_xlpm.t,MOD(NOW(),1),_xlpm.c,IF($E269=TODAY(),IF(_xlpm.t&gt;=TIME(15,30,0),NA(),1),IF(MATCH($E269,始値!$E$3:$BT$3,0)=1,1,MATCH($E269,始値!$E$3:$BT$3,0)+1)),_xlpm.v,INDEX(始値!$C$6:$BT$305,_xlpm.r,_xlpm.c),IF(N(_xlpm.v)=0,"",_xlpm.v)),"")</f>
        <v/>
      </c>
      <c r="G269" s="480"/>
      <c r="H269" s="480" t="str" cm="1">
        <f t="array" ref="H269">_xll.RssMarket(B269, "現在値")</f>
        <v/>
      </c>
      <c r="I269" s="480" t="str" cm="1">
        <f t="array" ref="I269">_xll.RssMarket(B269, "出来高加重平均")</f>
        <v/>
      </c>
      <c r="J269" s="706" t="str" cm="1">
        <f t="array" ref="J269">_xll.RssMarket($B269, "前日比")</f>
        <v/>
      </c>
      <c r="K269" s="707" t="str">
        <f t="shared" ca="1" si="103"/>
        <v/>
      </c>
      <c r="L269" s="712" t="str">
        <f t="shared" ca="1" si="104"/>
        <v/>
      </c>
      <c r="M269" s="601" t="str">
        <f t="shared" ca="1" si="92"/>
        <v/>
      </c>
      <c r="N269" s="601" t="str">
        <f t="shared" ca="1" si="93"/>
        <v/>
      </c>
      <c r="O269" s="478" t="str">
        <f t="shared" ca="1" si="94"/>
        <v/>
      </c>
      <c r="P269" s="445" t="str">
        <f t="array" aca="1" ref="P269" ca="1">IF(B269="","",IFERROR(MAX(OFFSET(高値!$E$6,MATCH(TEXT(B269,"0"),TEXT(銘柄管理!$B$6:$B$305,"0"),0)-1,0,1,10)),""))</f>
        <v/>
      </c>
      <c r="Q269" s="445" t="str">
        <f t="array" aca="1" ref="Q269" ca="1">IF(B269="","",IFERROR(MIN(OFFSET(安値!$E$6,MATCH(TEXT(B269,"0"),TEXT(銘柄管理!$B$6:$B$305,"0"),0)-1,0,1,10)),""))</f>
        <v/>
      </c>
      <c r="R269" s="480" t="str">
        <f t="shared" ca="1" si="105"/>
        <v/>
      </c>
      <c r="S269" s="480" t="str">
        <f t="shared" si="106"/>
        <v/>
      </c>
      <c r="T269" s="599" t="str">
        <f t="shared" ca="1" si="95"/>
        <v/>
      </c>
      <c r="U269" s="601" t="str">
        <f t="shared" ca="1" si="96"/>
        <v/>
      </c>
      <c r="V269" s="707" t="str">
        <f t="shared" ca="1" si="107"/>
        <v/>
      </c>
      <c r="W269" s="480" t="str">
        <f t="shared" ca="1" si="97"/>
        <v/>
      </c>
      <c r="X269" s="480" t="str">
        <f t="shared" ca="1" si="98"/>
        <v/>
      </c>
      <c r="Y269" s="488"/>
      <c r="Z269" s="714"/>
      <c r="AD269" s="611"/>
      <c r="AE269" s="603" t="str">
        <f t="shared" si="99"/>
        <v/>
      </c>
      <c r="AF269" s="603"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03"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03" t="str">
        <f t="shared" ca="1" si="100"/>
        <v/>
      </c>
      <c r="AI269" s="603" t="str" cm="1">
        <f t="array" ref="AI269">IFERROR(INDEX(始値!$E$6:$BT$305,MATCH(TEXT($B269,"0"),TEXT(銘柄管理!$B$6:$B$305,"0"),0),MATCH($AE269,始値!$E$3:$BT$3,0)),"")</f>
        <v/>
      </c>
      <c r="AJ269" s="603" t="str">
        <f t="shared" ca="1" si="101"/>
        <v/>
      </c>
      <c r="AK269" s="603" t="str">
        <f t="shared" ca="1" si="102"/>
        <v/>
      </c>
    </row>
    <row r="270" spans="1:37" ht="17.25" customHeight="1">
      <c r="A270" s="625" t="str">
        <f t="shared" si="91"/>
        <v/>
      </c>
      <c r="B270" s="480"/>
      <c r="C270" s="480"/>
      <c r="D270" s="480" t="str" cm="1">
        <f t="array" ref="D270">_xll.RssMarket(B270, "銘柄名称")</f>
        <v/>
      </c>
      <c r="E270" s="721"/>
      <c r="F270" s="702" t="str" cm="1">
        <f t="array" aca="1" ref="F270" ca="1">IFERROR(_xlfn.LET(_xlpm.r,MATCH(TEXT($B270,"0"),TEXT(銘柄管理!$B$6:$B$305,"0"),0),_xlpm.t,MOD(NOW(),1),_xlpm.c,IF($E270=TODAY(),IF(_xlpm.t&gt;=TIME(15,30,0),NA(),1),IF(MATCH($E270,始値!$E$3:$BT$3,0)=1,1,MATCH($E270,始値!$E$3:$BT$3,0)+1)),_xlpm.v,INDEX(始値!$C$6:$BT$305,_xlpm.r,_xlpm.c),IF(N(_xlpm.v)=0,"",_xlpm.v)),"")</f>
        <v/>
      </c>
      <c r="G270" s="480"/>
      <c r="H270" s="480" t="str" cm="1">
        <f t="array" ref="H270">_xll.RssMarket(B270, "現在値")</f>
        <v/>
      </c>
      <c r="I270" s="480" t="str" cm="1">
        <f t="array" ref="I270">_xll.RssMarket(B270, "出来高加重平均")</f>
        <v/>
      </c>
      <c r="J270" s="706" t="str" cm="1">
        <f t="array" ref="J270">_xll.RssMarket($B270, "前日比")</f>
        <v/>
      </c>
      <c r="K270" s="707" t="str">
        <f t="shared" ca="1" si="103"/>
        <v/>
      </c>
      <c r="L270" s="712" t="str">
        <f t="shared" ca="1" si="104"/>
        <v/>
      </c>
      <c r="M270" s="601" t="str">
        <f t="shared" ca="1" si="92"/>
        <v/>
      </c>
      <c r="N270" s="601" t="str">
        <f t="shared" ca="1" si="93"/>
        <v/>
      </c>
      <c r="O270" s="478" t="str">
        <f t="shared" ca="1" si="94"/>
        <v/>
      </c>
      <c r="P270" s="445" t="str">
        <f t="array" aca="1" ref="P270" ca="1">IF(B270="","",IFERROR(MAX(OFFSET(高値!$E$6,MATCH(TEXT(B270,"0"),TEXT(銘柄管理!$B$6:$B$305,"0"),0)-1,0,1,10)),""))</f>
        <v/>
      </c>
      <c r="Q270" s="445" t="str">
        <f t="array" aca="1" ref="Q270" ca="1">IF(B270="","",IFERROR(MIN(OFFSET(安値!$E$6,MATCH(TEXT(B270,"0"),TEXT(銘柄管理!$B$6:$B$305,"0"),0)-1,0,1,10)),""))</f>
        <v/>
      </c>
      <c r="R270" s="480" t="str">
        <f t="shared" ca="1" si="105"/>
        <v/>
      </c>
      <c r="S270" s="480" t="str">
        <f t="shared" si="106"/>
        <v/>
      </c>
      <c r="T270" s="599" t="str">
        <f t="shared" ca="1" si="95"/>
        <v/>
      </c>
      <c r="U270" s="601" t="str">
        <f t="shared" ca="1" si="96"/>
        <v/>
      </c>
      <c r="V270" s="707" t="str">
        <f t="shared" ca="1" si="107"/>
        <v/>
      </c>
      <c r="W270" s="480" t="str">
        <f t="shared" ca="1" si="97"/>
        <v/>
      </c>
      <c r="X270" s="480" t="str">
        <f t="shared" ca="1" si="98"/>
        <v/>
      </c>
      <c r="Y270" s="488"/>
      <c r="Z270" s="714"/>
      <c r="AD270" s="611"/>
      <c r="AE270" s="603" t="str">
        <f t="shared" si="99"/>
        <v/>
      </c>
      <c r="AF270" s="603"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03"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03" t="str">
        <f t="shared" ca="1" si="100"/>
        <v/>
      </c>
      <c r="AI270" s="603" t="str" cm="1">
        <f t="array" ref="AI270">IFERROR(INDEX(始値!$E$6:$BT$305,MATCH(TEXT($B270,"0"),TEXT(銘柄管理!$B$6:$B$305,"0"),0),MATCH($AE270,始値!$E$3:$BT$3,0)),"")</f>
        <v/>
      </c>
      <c r="AJ270" s="603" t="str">
        <f t="shared" ca="1" si="101"/>
        <v/>
      </c>
      <c r="AK270" s="603" t="str">
        <f t="shared" ca="1" si="102"/>
        <v/>
      </c>
    </row>
    <row r="271" spans="1:37" ht="17.25" customHeight="1">
      <c r="A271" s="625" t="str">
        <f t="shared" si="91"/>
        <v/>
      </c>
      <c r="B271" s="480"/>
      <c r="C271" s="480"/>
      <c r="D271" s="480" t="str" cm="1">
        <f t="array" ref="D271">_xll.RssMarket(B271, "銘柄名称")</f>
        <v/>
      </c>
      <c r="E271" s="721"/>
      <c r="F271" s="702" t="str" cm="1">
        <f t="array" aca="1" ref="F271" ca="1">IFERROR(_xlfn.LET(_xlpm.r,MATCH(TEXT($B271,"0"),TEXT(銘柄管理!$B$6:$B$305,"0"),0),_xlpm.t,MOD(NOW(),1),_xlpm.c,IF($E271=TODAY(),IF(_xlpm.t&gt;=TIME(15,30,0),NA(),1),IF(MATCH($E271,始値!$E$3:$BT$3,0)=1,1,MATCH($E271,始値!$E$3:$BT$3,0)+1)),_xlpm.v,INDEX(始値!$C$6:$BT$305,_xlpm.r,_xlpm.c),IF(N(_xlpm.v)=0,"",_xlpm.v)),"")</f>
        <v/>
      </c>
      <c r="G271" s="480"/>
      <c r="H271" s="480" t="str" cm="1">
        <f t="array" ref="H271">_xll.RssMarket(B271, "現在値")</f>
        <v/>
      </c>
      <c r="I271" s="480" t="str" cm="1">
        <f t="array" ref="I271">_xll.RssMarket(B271, "出来高加重平均")</f>
        <v/>
      </c>
      <c r="J271" s="706" t="str" cm="1">
        <f t="array" ref="J271">_xll.RssMarket($B271, "前日比")</f>
        <v/>
      </c>
      <c r="K271" s="707" t="str">
        <f t="shared" ca="1" si="103"/>
        <v/>
      </c>
      <c r="L271" s="712" t="str">
        <f t="shared" ca="1" si="104"/>
        <v/>
      </c>
      <c r="M271" s="601" t="str">
        <f t="shared" ca="1" si="92"/>
        <v/>
      </c>
      <c r="N271" s="601" t="str">
        <f t="shared" ca="1" si="93"/>
        <v/>
      </c>
      <c r="O271" s="478" t="str">
        <f t="shared" ca="1" si="94"/>
        <v/>
      </c>
      <c r="P271" s="445" t="str">
        <f t="array" aca="1" ref="P271" ca="1">IF(B271="","",IFERROR(MAX(OFFSET(高値!$E$6,MATCH(TEXT(B271,"0"),TEXT(銘柄管理!$B$6:$B$305,"0"),0)-1,0,1,10)),""))</f>
        <v/>
      </c>
      <c r="Q271" s="445" t="str">
        <f t="array" aca="1" ref="Q271" ca="1">IF(B271="","",IFERROR(MIN(OFFSET(安値!$E$6,MATCH(TEXT(B271,"0"),TEXT(銘柄管理!$B$6:$B$305,"0"),0)-1,0,1,10)),""))</f>
        <v/>
      </c>
      <c r="R271" s="480" t="str">
        <f t="shared" ca="1" si="105"/>
        <v/>
      </c>
      <c r="S271" s="480" t="str">
        <f t="shared" si="106"/>
        <v/>
      </c>
      <c r="T271" s="599" t="str">
        <f t="shared" ca="1" si="95"/>
        <v/>
      </c>
      <c r="U271" s="601" t="str">
        <f t="shared" ca="1" si="96"/>
        <v/>
      </c>
      <c r="V271" s="707" t="str">
        <f t="shared" ca="1" si="107"/>
        <v/>
      </c>
      <c r="W271" s="480" t="str">
        <f t="shared" ca="1" si="97"/>
        <v/>
      </c>
      <c r="X271" s="480" t="str">
        <f t="shared" ca="1" si="98"/>
        <v/>
      </c>
      <c r="Y271" s="488"/>
      <c r="Z271" s="714"/>
      <c r="AD271" s="611"/>
      <c r="AE271" s="603" t="str">
        <f t="shared" si="99"/>
        <v/>
      </c>
      <c r="AF271" s="603"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03"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03" t="str">
        <f t="shared" ca="1" si="100"/>
        <v/>
      </c>
      <c r="AI271" s="603" t="str" cm="1">
        <f t="array" ref="AI271">IFERROR(INDEX(始値!$E$6:$BT$305,MATCH(TEXT($B271,"0"),TEXT(銘柄管理!$B$6:$B$305,"0"),0),MATCH($AE271,始値!$E$3:$BT$3,0)),"")</f>
        <v/>
      </c>
      <c r="AJ271" s="603" t="str">
        <f t="shared" ca="1" si="101"/>
        <v/>
      </c>
      <c r="AK271" s="603" t="str">
        <f t="shared" ca="1" si="102"/>
        <v/>
      </c>
    </row>
    <row r="272" spans="1:37" ht="17.25" customHeight="1">
      <c r="A272" s="625" t="str">
        <f t="shared" si="91"/>
        <v/>
      </c>
      <c r="B272" s="480"/>
      <c r="C272" s="480"/>
      <c r="D272" s="480" t="str" cm="1">
        <f t="array" ref="D272">_xll.RssMarket(B272, "銘柄名称")</f>
        <v/>
      </c>
      <c r="E272" s="721"/>
      <c r="F272" s="702" t="str" cm="1">
        <f t="array" aca="1" ref="F272" ca="1">IFERROR(_xlfn.LET(_xlpm.r,MATCH(TEXT($B272,"0"),TEXT(銘柄管理!$B$6:$B$305,"0"),0),_xlpm.t,MOD(NOW(),1),_xlpm.c,IF($E272=TODAY(),IF(_xlpm.t&gt;=TIME(15,30,0),NA(),1),IF(MATCH($E272,始値!$E$3:$BT$3,0)=1,1,MATCH($E272,始値!$E$3:$BT$3,0)+1)),_xlpm.v,INDEX(始値!$C$6:$BT$305,_xlpm.r,_xlpm.c),IF(N(_xlpm.v)=0,"",_xlpm.v)),"")</f>
        <v/>
      </c>
      <c r="G272" s="480"/>
      <c r="H272" s="480" t="str" cm="1">
        <f t="array" ref="H272">_xll.RssMarket(B272, "現在値")</f>
        <v/>
      </c>
      <c r="I272" s="480" t="str" cm="1">
        <f t="array" ref="I272">_xll.RssMarket(B272, "出来高加重平均")</f>
        <v/>
      </c>
      <c r="J272" s="706" t="str" cm="1">
        <f t="array" ref="J272">_xll.RssMarket($B272, "前日比")</f>
        <v/>
      </c>
      <c r="K272" s="707" t="str">
        <f t="shared" ca="1" si="103"/>
        <v/>
      </c>
      <c r="L272" s="712" t="str">
        <f t="shared" ca="1" si="104"/>
        <v/>
      </c>
      <c r="M272" s="601" t="str">
        <f t="shared" ca="1" si="92"/>
        <v/>
      </c>
      <c r="N272" s="601" t="str">
        <f t="shared" ca="1" si="93"/>
        <v/>
      </c>
      <c r="O272" s="478" t="str">
        <f t="shared" ca="1" si="94"/>
        <v/>
      </c>
      <c r="P272" s="445" t="str">
        <f t="array" aca="1" ref="P272" ca="1">IF(B272="","",IFERROR(MAX(OFFSET(高値!$E$6,MATCH(TEXT(B272,"0"),TEXT(銘柄管理!$B$6:$B$305,"0"),0)-1,0,1,10)),""))</f>
        <v/>
      </c>
      <c r="Q272" s="445" t="str">
        <f t="array" aca="1" ref="Q272" ca="1">IF(B272="","",IFERROR(MIN(OFFSET(安値!$E$6,MATCH(TEXT(B272,"0"),TEXT(銘柄管理!$B$6:$B$305,"0"),0)-1,0,1,10)),""))</f>
        <v/>
      </c>
      <c r="R272" s="480" t="str">
        <f t="shared" ca="1" si="105"/>
        <v/>
      </c>
      <c r="S272" s="480" t="str">
        <f t="shared" si="106"/>
        <v/>
      </c>
      <c r="T272" s="599" t="str">
        <f t="shared" ca="1" si="95"/>
        <v/>
      </c>
      <c r="U272" s="601" t="str">
        <f t="shared" ca="1" si="96"/>
        <v/>
      </c>
      <c r="V272" s="707" t="str">
        <f t="shared" ca="1" si="107"/>
        <v/>
      </c>
      <c r="W272" s="480" t="str">
        <f t="shared" ca="1" si="97"/>
        <v/>
      </c>
      <c r="X272" s="480" t="str">
        <f t="shared" ca="1" si="98"/>
        <v/>
      </c>
      <c r="Y272" s="488"/>
      <c r="Z272" s="714"/>
      <c r="AD272" s="611"/>
      <c r="AE272" s="603" t="str">
        <f t="shared" si="99"/>
        <v/>
      </c>
      <c r="AF272" s="603"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03"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03" t="str">
        <f t="shared" ca="1" si="100"/>
        <v/>
      </c>
      <c r="AI272" s="603" t="str" cm="1">
        <f t="array" ref="AI272">IFERROR(INDEX(始値!$E$6:$BT$305,MATCH(TEXT($B272,"0"),TEXT(銘柄管理!$B$6:$B$305,"0"),0),MATCH($AE272,始値!$E$3:$BT$3,0)),"")</f>
        <v/>
      </c>
      <c r="AJ272" s="603" t="str">
        <f t="shared" ca="1" si="101"/>
        <v/>
      </c>
      <c r="AK272" s="603" t="str">
        <f t="shared" ca="1" si="102"/>
        <v/>
      </c>
    </row>
    <row r="273" spans="1:37" ht="17.25" customHeight="1">
      <c r="A273" s="625" t="str">
        <f t="shared" si="91"/>
        <v/>
      </c>
      <c r="B273" s="480"/>
      <c r="C273" s="480"/>
      <c r="D273" s="480" t="str" cm="1">
        <f t="array" ref="D273">_xll.RssMarket(B273, "銘柄名称")</f>
        <v/>
      </c>
      <c r="E273" s="721"/>
      <c r="F273" s="702" t="str" cm="1">
        <f t="array" aca="1" ref="F273" ca="1">IFERROR(_xlfn.LET(_xlpm.r,MATCH(TEXT($B273,"0"),TEXT(銘柄管理!$B$6:$B$305,"0"),0),_xlpm.t,MOD(NOW(),1),_xlpm.c,IF($E273=TODAY(),IF(_xlpm.t&gt;=TIME(15,30,0),NA(),1),IF(MATCH($E273,始値!$E$3:$BT$3,0)=1,1,MATCH($E273,始値!$E$3:$BT$3,0)+1)),_xlpm.v,INDEX(始値!$C$6:$BT$305,_xlpm.r,_xlpm.c),IF(N(_xlpm.v)=0,"",_xlpm.v)),"")</f>
        <v/>
      </c>
      <c r="G273" s="480"/>
      <c r="H273" s="480" t="str" cm="1">
        <f t="array" ref="H273">_xll.RssMarket(B273, "現在値")</f>
        <v/>
      </c>
      <c r="I273" s="480" t="str" cm="1">
        <f t="array" ref="I273">_xll.RssMarket(B273, "出来高加重平均")</f>
        <v/>
      </c>
      <c r="J273" s="706" t="str" cm="1">
        <f t="array" ref="J273">_xll.RssMarket($B273, "前日比")</f>
        <v/>
      </c>
      <c r="K273" s="707" t="str">
        <f t="shared" ca="1" si="103"/>
        <v/>
      </c>
      <c r="L273" s="712" t="str">
        <f t="shared" ca="1" si="104"/>
        <v/>
      </c>
      <c r="M273" s="601" t="str">
        <f t="shared" ca="1" si="92"/>
        <v/>
      </c>
      <c r="N273" s="601" t="str">
        <f t="shared" ca="1" si="93"/>
        <v/>
      </c>
      <c r="O273" s="478" t="str">
        <f t="shared" ca="1" si="94"/>
        <v/>
      </c>
      <c r="P273" s="445" t="str">
        <f t="array" aca="1" ref="P273" ca="1">IF(B273="","",IFERROR(MAX(OFFSET(高値!$E$6,MATCH(TEXT(B273,"0"),TEXT(銘柄管理!$B$6:$B$305,"0"),0)-1,0,1,10)),""))</f>
        <v/>
      </c>
      <c r="Q273" s="445" t="str">
        <f t="array" aca="1" ref="Q273" ca="1">IF(B273="","",IFERROR(MIN(OFFSET(安値!$E$6,MATCH(TEXT(B273,"0"),TEXT(銘柄管理!$B$6:$B$305,"0"),0)-1,0,1,10)),""))</f>
        <v/>
      </c>
      <c r="R273" s="480" t="str">
        <f t="shared" ca="1" si="105"/>
        <v/>
      </c>
      <c r="S273" s="480" t="str">
        <f t="shared" si="106"/>
        <v/>
      </c>
      <c r="T273" s="599" t="str">
        <f t="shared" ca="1" si="95"/>
        <v/>
      </c>
      <c r="U273" s="601" t="str">
        <f t="shared" ca="1" si="96"/>
        <v/>
      </c>
      <c r="V273" s="707" t="str">
        <f t="shared" ca="1" si="107"/>
        <v/>
      </c>
      <c r="W273" s="480" t="str">
        <f t="shared" ca="1" si="97"/>
        <v/>
      </c>
      <c r="X273" s="480" t="str">
        <f t="shared" ca="1" si="98"/>
        <v/>
      </c>
      <c r="Y273" s="488"/>
      <c r="Z273" s="714"/>
      <c r="AD273" s="611"/>
      <c r="AE273" s="603" t="str">
        <f t="shared" si="99"/>
        <v/>
      </c>
      <c r="AF273" s="603"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03"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03" t="str">
        <f t="shared" ca="1" si="100"/>
        <v/>
      </c>
      <c r="AI273" s="603" t="str" cm="1">
        <f t="array" ref="AI273">IFERROR(INDEX(始値!$E$6:$BT$305,MATCH(TEXT($B273,"0"),TEXT(銘柄管理!$B$6:$B$305,"0"),0),MATCH($AE273,始値!$E$3:$BT$3,0)),"")</f>
        <v/>
      </c>
      <c r="AJ273" s="603" t="str">
        <f t="shared" ca="1" si="101"/>
        <v/>
      </c>
      <c r="AK273" s="603" t="str">
        <f t="shared" ca="1" si="102"/>
        <v/>
      </c>
    </row>
    <row r="274" spans="1:37" ht="17.25" customHeight="1">
      <c r="A274" s="625" t="str">
        <f t="shared" si="91"/>
        <v/>
      </c>
      <c r="B274" s="480"/>
      <c r="C274" s="480"/>
      <c r="D274" s="480" t="str" cm="1">
        <f t="array" ref="D274">_xll.RssMarket(B274, "銘柄名称")</f>
        <v/>
      </c>
      <c r="E274" s="721"/>
      <c r="F274" s="702" t="str" cm="1">
        <f t="array" aca="1" ref="F274" ca="1">IFERROR(_xlfn.LET(_xlpm.r,MATCH(TEXT($B274,"0"),TEXT(銘柄管理!$B$6:$B$305,"0"),0),_xlpm.t,MOD(NOW(),1),_xlpm.c,IF($E274=TODAY(),IF(_xlpm.t&gt;=TIME(15,30,0),NA(),1),IF(MATCH($E274,始値!$E$3:$BT$3,0)=1,1,MATCH($E274,始値!$E$3:$BT$3,0)+1)),_xlpm.v,INDEX(始値!$C$6:$BT$305,_xlpm.r,_xlpm.c),IF(N(_xlpm.v)=0,"",_xlpm.v)),"")</f>
        <v/>
      </c>
      <c r="G274" s="480"/>
      <c r="H274" s="480" t="str" cm="1">
        <f t="array" ref="H274">_xll.RssMarket(B274, "現在値")</f>
        <v/>
      </c>
      <c r="I274" s="480" t="str" cm="1">
        <f t="array" ref="I274">_xll.RssMarket(B274, "出来高加重平均")</f>
        <v/>
      </c>
      <c r="J274" s="706" t="str" cm="1">
        <f t="array" ref="J274">_xll.RssMarket($B274, "前日比")</f>
        <v/>
      </c>
      <c r="K274" s="707" t="str">
        <f t="shared" ca="1" si="103"/>
        <v/>
      </c>
      <c r="L274" s="712" t="str">
        <f t="shared" ca="1" si="104"/>
        <v/>
      </c>
      <c r="M274" s="601" t="str">
        <f t="shared" ca="1" si="92"/>
        <v/>
      </c>
      <c r="N274" s="601" t="str">
        <f t="shared" ca="1" si="93"/>
        <v/>
      </c>
      <c r="O274" s="478" t="str">
        <f t="shared" ca="1" si="94"/>
        <v/>
      </c>
      <c r="P274" s="445" t="str">
        <f t="array" aca="1" ref="P274" ca="1">IF(B274="","",IFERROR(MAX(OFFSET(高値!$E$6,MATCH(TEXT(B274,"0"),TEXT(銘柄管理!$B$6:$B$305,"0"),0)-1,0,1,10)),""))</f>
        <v/>
      </c>
      <c r="Q274" s="445" t="str">
        <f t="array" aca="1" ref="Q274" ca="1">IF(B274="","",IFERROR(MIN(OFFSET(安値!$E$6,MATCH(TEXT(B274,"0"),TEXT(銘柄管理!$B$6:$B$305,"0"),0)-1,0,1,10)),""))</f>
        <v/>
      </c>
      <c r="R274" s="480" t="str">
        <f t="shared" ca="1" si="105"/>
        <v/>
      </c>
      <c r="S274" s="480" t="str">
        <f t="shared" si="106"/>
        <v/>
      </c>
      <c r="T274" s="599" t="str">
        <f t="shared" ca="1" si="95"/>
        <v/>
      </c>
      <c r="U274" s="601" t="str">
        <f t="shared" ca="1" si="96"/>
        <v/>
      </c>
      <c r="V274" s="707" t="str">
        <f t="shared" ca="1" si="107"/>
        <v/>
      </c>
      <c r="W274" s="480" t="str">
        <f t="shared" ca="1" si="97"/>
        <v/>
      </c>
      <c r="X274" s="480" t="str">
        <f t="shared" ca="1" si="98"/>
        <v/>
      </c>
      <c r="Y274" s="488"/>
      <c r="Z274" s="714"/>
      <c r="AD274" s="611"/>
      <c r="AE274" s="603" t="str">
        <f t="shared" si="99"/>
        <v/>
      </c>
      <c r="AF274" s="603"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03"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03" t="str">
        <f t="shared" ca="1" si="100"/>
        <v/>
      </c>
      <c r="AI274" s="603" t="str" cm="1">
        <f t="array" ref="AI274">IFERROR(INDEX(始値!$E$6:$BT$305,MATCH(TEXT($B274,"0"),TEXT(銘柄管理!$B$6:$B$305,"0"),0),MATCH($AE274,始値!$E$3:$BT$3,0)),"")</f>
        <v/>
      </c>
      <c r="AJ274" s="603" t="str">
        <f t="shared" ca="1" si="101"/>
        <v/>
      </c>
      <c r="AK274" s="603" t="str">
        <f t="shared" ca="1" si="102"/>
        <v/>
      </c>
    </row>
    <row r="275" spans="1:37" ht="17.25" customHeight="1">
      <c r="A275" s="625" t="str">
        <f t="shared" si="91"/>
        <v/>
      </c>
      <c r="B275" s="480"/>
      <c r="C275" s="480"/>
      <c r="D275" s="480" t="str" cm="1">
        <f t="array" ref="D275">_xll.RssMarket(B275, "銘柄名称")</f>
        <v/>
      </c>
      <c r="E275" s="721"/>
      <c r="F275" s="702" t="str" cm="1">
        <f t="array" aca="1" ref="F275" ca="1">IFERROR(_xlfn.LET(_xlpm.r,MATCH(TEXT($B275,"0"),TEXT(銘柄管理!$B$6:$B$305,"0"),0),_xlpm.t,MOD(NOW(),1),_xlpm.c,IF($E275=TODAY(),IF(_xlpm.t&gt;=TIME(15,30,0),NA(),1),IF(MATCH($E275,始値!$E$3:$BT$3,0)=1,1,MATCH($E275,始値!$E$3:$BT$3,0)+1)),_xlpm.v,INDEX(始値!$C$6:$BT$305,_xlpm.r,_xlpm.c),IF(N(_xlpm.v)=0,"",_xlpm.v)),"")</f>
        <v/>
      </c>
      <c r="G275" s="480"/>
      <c r="H275" s="480" t="str" cm="1">
        <f t="array" ref="H275">_xll.RssMarket(B275, "現在値")</f>
        <v/>
      </c>
      <c r="I275" s="480" t="str" cm="1">
        <f t="array" ref="I275">_xll.RssMarket(B275, "出来高加重平均")</f>
        <v/>
      </c>
      <c r="J275" s="706" t="str" cm="1">
        <f t="array" ref="J275">_xll.RssMarket($B275, "前日比")</f>
        <v/>
      </c>
      <c r="K275" s="707" t="str">
        <f t="shared" ca="1" si="103"/>
        <v/>
      </c>
      <c r="L275" s="712" t="str">
        <f t="shared" ca="1" si="104"/>
        <v/>
      </c>
      <c r="M275" s="601" t="str">
        <f t="shared" ca="1" si="92"/>
        <v/>
      </c>
      <c r="N275" s="601" t="str">
        <f t="shared" ca="1" si="93"/>
        <v/>
      </c>
      <c r="O275" s="478" t="str">
        <f t="shared" ca="1" si="94"/>
        <v/>
      </c>
      <c r="P275" s="445" t="str">
        <f t="array" aca="1" ref="P275" ca="1">IF(B275="","",IFERROR(MAX(OFFSET(高値!$E$6,MATCH(TEXT(B275,"0"),TEXT(銘柄管理!$B$6:$B$305,"0"),0)-1,0,1,10)),""))</f>
        <v/>
      </c>
      <c r="Q275" s="445" t="str">
        <f t="array" aca="1" ref="Q275" ca="1">IF(B275="","",IFERROR(MIN(OFFSET(安値!$E$6,MATCH(TEXT(B275,"0"),TEXT(銘柄管理!$B$6:$B$305,"0"),0)-1,0,1,10)),""))</f>
        <v/>
      </c>
      <c r="R275" s="480" t="str">
        <f t="shared" ca="1" si="105"/>
        <v/>
      </c>
      <c r="S275" s="480" t="str">
        <f t="shared" si="106"/>
        <v/>
      </c>
      <c r="T275" s="599" t="str">
        <f t="shared" ca="1" si="95"/>
        <v/>
      </c>
      <c r="U275" s="601" t="str">
        <f t="shared" ca="1" si="96"/>
        <v/>
      </c>
      <c r="V275" s="707" t="str">
        <f t="shared" ca="1" si="107"/>
        <v/>
      </c>
      <c r="W275" s="480" t="str">
        <f t="shared" ca="1" si="97"/>
        <v/>
      </c>
      <c r="X275" s="480" t="str">
        <f t="shared" ca="1" si="98"/>
        <v/>
      </c>
      <c r="Y275" s="488"/>
      <c r="Z275" s="714"/>
      <c r="AD275" s="611"/>
      <c r="AE275" s="603" t="str">
        <f t="shared" si="99"/>
        <v/>
      </c>
      <c r="AF275" s="603"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03"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03" t="str">
        <f t="shared" ca="1" si="100"/>
        <v/>
      </c>
      <c r="AI275" s="603" t="str" cm="1">
        <f t="array" ref="AI275">IFERROR(INDEX(始値!$E$6:$BT$305,MATCH(TEXT($B275,"0"),TEXT(銘柄管理!$B$6:$B$305,"0"),0),MATCH($AE275,始値!$E$3:$BT$3,0)),"")</f>
        <v/>
      </c>
      <c r="AJ275" s="603" t="str">
        <f t="shared" ca="1" si="101"/>
        <v/>
      </c>
      <c r="AK275" s="603" t="str">
        <f t="shared" ca="1" si="102"/>
        <v/>
      </c>
    </row>
    <row r="276" spans="1:37" ht="17.25" customHeight="1">
      <c r="A276" s="625" t="str">
        <f t="shared" si="91"/>
        <v/>
      </c>
      <c r="B276" s="480"/>
      <c r="C276" s="480"/>
      <c r="D276" s="480" t="str" cm="1">
        <f t="array" ref="D276">_xll.RssMarket(B276, "銘柄名称")</f>
        <v/>
      </c>
      <c r="E276" s="721"/>
      <c r="F276" s="702" t="str" cm="1">
        <f t="array" aca="1" ref="F276" ca="1">IFERROR(_xlfn.LET(_xlpm.r,MATCH(TEXT($B276,"0"),TEXT(銘柄管理!$B$6:$B$305,"0"),0),_xlpm.t,MOD(NOW(),1),_xlpm.c,IF($E276=TODAY(),IF(_xlpm.t&gt;=TIME(15,30,0),NA(),1),IF(MATCH($E276,始値!$E$3:$BT$3,0)=1,1,MATCH($E276,始値!$E$3:$BT$3,0)+1)),_xlpm.v,INDEX(始値!$C$6:$BT$305,_xlpm.r,_xlpm.c),IF(N(_xlpm.v)=0,"",_xlpm.v)),"")</f>
        <v/>
      </c>
      <c r="G276" s="480"/>
      <c r="H276" s="480" t="str" cm="1">
        <f t="array" ref="H276">_xll.RssMarket(B276, "現在値")</f>
        <v/>
      </c>
      <c r="I276" s="480" t="str" cm="1">
        <f t="array" ref="I276">_xll.RssMarket(B276, "出来高加重平均")</f>
        <v/>
      </c>
      <c r="J276" s="706" t="str" cm="1">
        <f t="array" ref="J276">_xll.RssMarket($B276, "前日比")</f>
        <v/>
      </c>
      <c r="K276" s="707" t="str">
        <f t="shared" ca="1" si="103"/>
        <v/>
      </c>
      <c r="L276" s="712" t="str">
        <f t="shared" ca="1" si="104"/>
        <v/>
      </c>
      <c r="M276" s="601" t="str">
        <f t="shared" ca="1" si="92"/>
        <v/>
      </c>
      <c r="N276" s="601" t="str">
        <f t="shared" ca="1" si="93"/>
        <v/>
      </c>
      <c r="O276" s="478" t="str">
        <f t="shared" ca="1" si="94"/>
        <v/>
      </c>
      <c r="P276" s="445" t="str">
        <f t="array" aca="1" ref="P276" ca="1">IF(B276="","",IFERROR(MAX(OFFSET(高値!$E$6,MATCH(TEXT(B276,"0"),TEXT(銘柄管理!$B$6:$B$305,"0"),0)-1,0,1,10)),""))</f>
        <v/>
      </c>
      <c r="Q276" s="445" t="str">
        <f t="array" aca="1" ref="Q276" ca="1">IF(B276="","",IFERROR(MIN(OFFSET(安値!$E$6,MATCH(TEXT(B276,"0"),TEXT(銘柄管理!$B$6:$B$305,"0"),0)-1,0,1,10)),""))</f>
        <v/>
      </c>
      <c r="R276" s="480" t="str">
        <f t="shared" ca="1" si="105"/>
        <v/>
      </c>
      <c r="S276" s="480" t="str">
        <f t="shared" si="106"/>
        <v/>
      </c>
      <c r="T276" s="599" t="str">
        <f t="shared" ca="1" si="95"/>
        <v/>
      </c>
      <c r="U276" s="601" t="str">
        <f t="shared" ca="1" si="96"/>
        <v/>
      </c>
      <c r="V276" s="707" t="str">
        <f t="shared" ca="1" si="107"/>
        <v/>
      </c>
      <c r="W276" s="480" t="str">
        <f t="shared" ca="1" si="97"/>
        <v/>
      </c>
      <c r="X276" s="480" t="str">
        <f t="shared" ca="1" si="98"/>
        <v/>
      </c>
      <c r="Y276" s="488"/>
      <c r="Z276" s="714"/>
      <c r="AD276" s="611"/>
      <c r="AE276" s="603" t="str">
        <f t="shared" si="99"/>
        <v/>
      </c>
      <c r="AF276" s="603"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03"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03" t="str">
        <f t="shared" ca="1" si="100"/>
        <v/>
      </c>
      <c r="AI276" s="603" t="str" cm="1">
        <f t="array" ref="AI276">IFERROR(INDEX(始値!$E$6:$BT$305,MATCH(TEXT($B276,"0"),TEXT(銘柄管理!$B$6:$B$305,"0"),0),MATCH($AE276,始値!$E$3:$BT$3,0)),"")</f>
        <v/>
      </c>
      <c r="AJ276" s="603" t="str">
        <f t="shared" ca="1" si="101"/>
        <v/>
      </c>
      <c r="AK276" s="603" t="str">
        <f t="shared" ca="1" si="102"/>
        <v/>
      </c>
    </row>
    <row r="277" spans="1:37" ht="17.25" customHeight="1">
      <c r="A277" s="625" t="str">
        <f t="shared" si="91"/>
        <v/>
      </c>
      <c r="B277" s="480"/>
      <c r="C277" s="480"/>
      <c r="D277" s="480" t="str" cm="1">
        <f t="array" ref="D277">_xll.RssMarket(B277, "銘柄名称")</f>
        <v/>
      </c>
      <c r="E277" s="721"/>
      <c r="F277" s="702" t="str" cm="1">
        <f t="array" aca="1" ref="F277" ca="1">IFERROR(_xlfn.LET(_xlpm.r,MATCH(TEXT($B277,"0"),TEXT(銘柄管理!$B$6:$B$305,"0"),0),_xlpm.t,MOD(NOW(),1),_xlpm.c,IF($E277=TODAY(),IF(_xlpm.t&gt;=TIME(15,30,0),NA(),1),IF(MATCH($E277,始値!$E$3:$BT$3,0)=1,1,MATCH($E277,始値!$E$3:$BT$3,0)+1)),_xlpm.v,INDEX(始値!$C$6:$BT$305,_xlpm.r,_xlpm.c),IF(N(_xlpm.v)=0,"",_xlpm.v)),"")</f>
        <v/>
      </c>
      <c r="G277" s="480"/>
      <c r="H277" s="480" t="str" cm="1">
        <f t="array" ref="H277">_xll.RssMarket(B277, "現在値")</f>
        <v/>
      </c>
      <c r="I277" s="480" t="str" cm="1">
        <f t="array" ref="I277">_xll.RssMarket(B277, "出来高加重平均")</f>
        <v/>
      </c>
      <c r="J277" s="706" t="str" cm="1">
        <f t="array" ref="J277">_xll.RssMarket($B277, "前日比")</f>
        <v/>
      </c>
      <c r="K277" s="707" t="str">
        <f t="shared" ca="1" si="103"/>
        <v/>
      </c>
      <c r="L277" s="712" t="str">
        <f t="shared" ca="1" si="104"/>
        <v/>
      </c>
      <c r="M277" s="601" t="str">
        <f t="shared" ca="1" si="92"/>
        <v/>
      </c>
      <c r="N277" s="601" t="str">
        <f t="shared" ca="1" si="93"/>
        <v/>
      </c>
      <c r="O277" s="478" t="str">
        <f t="shared" ca="1" si="94"/>
        <v/>
      </c>
      <c r="P277" s="445" t="str">
        <f t="array" aca="1" ref="P277" ca="1">IF(B277="","",IFERROR(MAX(OFFSET(高値!$E$6,MATCH(TEXT(B277,"0"),TEXT(銘柄管理!$B$6:$B$305,"0"),0)-1,0,1,10)),""))</f>
        <v/>
      </c>
      <c r="Q277" s="445" t="str">
        <f t="array" aca="1" ref="Q277" ca="1">IF(B277="","",IFERROR(MIN(OFFSET(安値!$E$6,MATCH(TEXT(B277,"0"),TEXT(銘柄管理!$B$6:$B$305,"0"),0)-1,0,1,10)),""))</f>
        <v/>
      </c>
      <c r="R277" s="480" t="str">
        <f t="shared" ca="1" si="105"/>
        <v/>
      </c>
      <c r="S277" s="480" t="str">
        <f t="shared" si="106"/>
        <v/>
      </c>
      <c r="T277" s="599" t="str">
        <f t="shared" ca="1" si="95"/>
        <v/>
      </c>
      <c r="U277" s="601" t="str">
        <f t="shared" ca="1" si="96"/>
        <v/>
      </c>
      <c r="V277" s="707" t="str">
        <f t="shared" ca="1" si="107"/>
        <v/>
      </c>
      <c r="W277" s="480" t="str">
        <f t="shared" ca="1" si="97"/>
        <v/>
      </c>
      <c r="X277" s="480" t="str">
        <f t="shared" ca="1" si="98"/>
        <v/>
      </c>
      <c r="Y277" s="488"/>
      <c r="Z277" s="714"/>
      <c r="AD277" s="611"/>
      <c r="AE277" s="603" t="str">
        <f t="shared" si="99"/>
        <v/>
      </c>
      <c r="AF277" s="603"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03"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03" t="str">
        <f t="shared" ca="1" si="100"/>
        <v/>
      </c>
      <c r="AI277" s="603" t="str" cm="1">
        <f t="array" ref="AI277">IFERROR(INDEX(始値!$E$6:$BT$305,MATCH(TEXT($B277,"0"),TEXT(銘柄管理!$B$6:$B$305,"0"),0),MATCH($AE277,始値!$E$3:$BT$3,0)),"")</f>
        <v/>
      </c>
      <c r="AJ277" s="603" t="str">
        <f t="shared" ca="1" si="101"/>
        <v/>
      </c>
      <c r="AK277" s="603" t="str">
        <f t="shared" ca="1" si="102"/>
        <v/>
      </c>
    </row>
    <row r="278" spans="1:37" ht="17.25" customHeight="1">
      <c r="A278" s="625" t="str">
        <f t="shared" si="91"/>
        <v/>
      </c>
      <c r="B278" s="480"/>
      <c r="C278" s="480"/>
      <c r="D278" s="480" t="str" cm="1">
        <f t="array" ref="D278">_xll.RssMarket(B278, "銘柄名称")</f>
        <v/>
      </c>
      <c r="E278" s="721"/>
      <c r="F278" s="702" t="str" cm="1">
        <f t="array" aca="1" ref="F278" ca="1">IFERROR(_xlfn.LET(_xlpm.r,MATCH(TEXT($B278,"0"),TEXT(銘柄管理!$B$6:$B$305,"0"),0),_xlpm.t,MOD(NOW(),1),_xlpm.c,IF($E278=TODAY(),IF(_xlpm.t&gt;=TIME(15,30,0),NA(),1),IF(MATCH($E278,始値!$E$3:$BT$3,0)=1,1,MATCH($E278,始値!$E$3:$BT$3,0)+1)),_xlpm.v,INDEX(始値!$C$6:$BT$305,_xlpm.r,_xlpm.c),IF(N(_xlpm.v)=0,"",_xlpm.v)),"")</f>
        <v/>
      </c>
      <c r="G278" s="480"/>
      <c r="H278" s="480" t="str" cm="1">
        <f t="array" ref="H278">_xll.RssMarket(B278, "現在値")</f>
        <v/>
      </c>
      <c r="I278" s="480" t="str" cm="1">
        <f t="array" ref="I278">_xll.RssMarket(B278, "出来高加重平均")</f>
        <v/>
      </c>
      <c r="J278" s="706" t="str" cm="1">
        <f t="array" ref="J278">_xll.RssMarket($B278, "前日比")</f>
        <v/>
      </c>
      <c r="K278" s="707" t="str">
        <f t="shared" ca="1" si="103"/>
        <v/>
      </c>
      <c r="L278" s="712" t="str">
        <f t="shared" ca="1" si="104"/>
        <v/>
      </c>
      <c r="M278" s="601" t="str">
        <f t="shared" ca="1" si="92"/>
        <v/>
      </c>
      <c r="N278" s="601" t="str">
        <f t="shared" ca="1" si="93"/>
        <v/>
      </c>
      <c r="O278" s="478" t="str">
        <f t="shared" ca="1" si="94"/>
        <v/>
      </c>
      <c r="P278" s="445" t="str">
        <f t="array" aca="1" ref="P278" ca="1">IF(B278="","",IFERROR(MAX(OFFSET(高値!$E$6,MATCH(TEXT(B278,"0"),TEXT(銘柄管理!$B$6:$B$305,"0"),0)-1,0,1,10)),""))</f>
        <v/>
      </c>
      <c r="Q278" s="445" t="str">
        <f t="array" aca="1" ref="Q278" ca="1">IF(B278="","",IFERROR(MIN(OFFSET(安値!$E$6,MATCH(TEXT(B278,"0"),TEXT(銘柄管理!$B$6:$B$305,"0"),0)-1,0,1,10)),""))</f>
        <v/>
      </c>
      <c r="R278" s="480" t="str">
        <f t="shared" ca="1" si="105"/>
        <v/>
      </c>
      <c r="S278" s="480" t="str">
        <f t="shared" si="106"/>
        <v/>
      </c>
      <c r="T278" s="599" t="str">
        <f t="shared" ca="1" si="95"/>
        <v/>
      </c>
      <c r="U278" s="601" t="str">
        <f t="shared" ca="1" si="96"/>
        <v/>
      </c>
      <c r="V278" s="707" t="str">
        <f t="shared" ca="1" si="107"/>
        <v/>
      </c>
      <c r="W278" s="480" t="str">
        <f t="shared" ca="1" si="97"/>
        <v/>
      </c>
      <c r="X278" s="480" t="str">
        <f t="shared" ca="1" si="98"/>
        <v/>
      </c>
      <c r="Y278" s="488"/>
      <c r="Z278" s="714"/>
      <c r="AD278" s="611"/>
      <c r="AE278" s="603" t="str">
        <f t="shared" si="99"/>
        <v/>
      </c>
      <c r="AF278" s="603"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03"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03" t="str">
        <f t="shared" ca="1" si="100"/>
        <v/>
      </c>
      <c r="AI278" s="603" t="str" cm="1">
        <f t="array" ref="AI278">IFERROR(INDEX(始値!$E$6:$BT$305,MATCH(TEXT($B278,"0"),TEXT(銘柄管理!$B$6:$B$305,"0"),0),MATCH($AE278,始値!$E$3:$BT$3,0)),"")</f>
        <v/>
      </c>
      <c r="AJ278" s="603" t="str">
        <f t="shared" ca="1" si="101"/>
        <v/>
      </c>
      <c r="AK278" s="603" t="str">
        <f t="shared" ca="1" si="102"/>
        <v/>
      </c>
    </row>
    <row r="279" spans="1:37" ht="17.25" customHeight="1">
      <c r="A279" s="625" t="str">
        <f t="shared" si="91"/>
        <v/>
      </c>
      <c r="B279" s="480"/>
      <c r="C279" s="480"/>
      <c r="D279" s="480" t="str" cm="1">
        <f t="array" ref="D279">_xll.RssMarket(B279, "銘柄名称")</f>
        <v/>
      </c>
      <c r="E279" s="721"/>
      <c r="F279" s="702" t="str" cm="1">
        <f t="array" aca="1" ref="F279" ca="1">IFERROR(_xlfn.LET(_xlpm.r,MATCH(TEXT($B279,"0"),TEXT(銘柄管理!$B$6:$B$305,"0"),0),_xlpm.t,MOD(NOW(),1),_xlpm.c,IF($E279=TODAY(),IF(_xlpm.t&gt;=TIME(15,30,0),NA(),1),IF(MATCH($E279,始値!$E$3:$BT$3,0)=1,1,MATCH($E279,始値!$E$3:$BT$3,0)+1)),_xlpm.v,INDEX(始値!$C$6:$BT$305,_xlpm.r,_xlpm.c),IF(N(_xlpm.v)=0,"",_xlpm.v)),"")</f>
        <v/>
      </c>
      <c r="G279" s="480"/>
      <c r="H279" s="480" t="str" cm="1">
        <f t="array" ref="H279">_xll.RssMarket(B279, "現在値")</f>
        <v/>
      </c>
      <c r="I279" s="480" t="str" cm="1">
        <f t="array" ref="I279">_xll.RssMarket(B279, "出来高加重平均")</f>
        <v/>
      </c>
      <c r="J279" s="706" t="str" cm="1">
        <f t="array" ref="J279">_xll.RssMarket($B279, "前日比")</f>
        <v/>
      </c>
      <c r="K279" s="707" t="str">
        <f t="shared" ca="1" si="103"/>
        <v/>
      </c>
      <c r="L279" s="712" t="str">
        <f t="shared" ca="1" si="104"/>
        <v/>
      </c>
      <c r="M279" s="601" t="str">
        <f t="shared" ca="1" si="92"/>
        <v/>
      </c>
      <c r="N279" s="601" t="str">
        <f t="shared" ca="1" si="93"/>
        <v/>
      </c>
      <c r="O279" s="478" t="str">
        <f t="shared" ca="1" si="94"/>
        <v/>
      </c>
      <c r="P279" s="445" t="str">
        <f t="array" aca="1" ref="P279" ca="1">IF(B279="","",IFERROR(MAX(OFFSET(高値!$E$6,MATCH(TEXT(B279,"0"),TEXT(銘柄管理!$B$6:$B$305,"0"),0)-1,0,1,10)),""))</f>
        <v/>
      </c>
      <c r="Q279" s="445" t="str">
        <f t="array" aca="1" ref="Q279" ca="1">IF(B279="","",IFERROR(MIN(OFFSET(安値!$E$6,MATCH(TEXT(B279,"0"),TEXT(銘柄管理!$B$6:$B$305,"0"),0)-1,0,1,10)),""))</f>
        <v/>
      </c>
      <c r="R279" s="480" t="str">
        <f t="shared" ca="1" si="105"/>
        <v/>
      </c>
      <c r="S279" s="480" t="str">
        <f t="shared" si="106"/>
        <v/>
      </c>
      <c r="T279" s="599" t="str">
        <f t="shared" ca="1" si="95"/>
        <v/>
      </c>
      <c r="U279" s="601" t="str">
        <f t="shared" ca="1" si="96"/>
        <v/>
      </c>
      <c r="V279" s="707" t="str">
        <f t="shared" ca="1" si="107"/>
        <v/>
      </c>
      <c r="W279" s="480" t="str">
        <f t="shared" ca="1" si="97"/>
        <v/>
      </c>
      <c r="X279" s="480" t="str">
        <f t="shared" ca="1" si="98"/>
        <v/>
      </c>
      <c r="Y279" s="488"/>
      <c r="Z279" s="714"/>
      <c r="AD279" s="611"/>
      <c r="AE279" s="603" t="str">
        <f t="shared" si="99"/>
        <v/>
      </c>
      <c r="AF279" s="603"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03"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03" t="str">
        <f t="shared" ca="1" si="100"/>
        <v/>
      </c>
      <c r="AI279" s="603" t="str" cm="1">
        <f t="array" ref="AI279">IFERROR(INDEX(始値!$E$6:$BT$305,MATCH(TEXT($B279,"0"),TEXT(銘柄管理!$B$6:$B$305,"0"),0),MATCH($AE279,始値!$E$3:$BT$3,0)),"")</f>
        <v/>
      </c>
      <c r="AJ279" s="603" t="str">
        <f t="shared" ca="1" si="101"/>
        <v/>
      </c>
      <c r="AK279" s="603" t="str">
        <f t="shared" ca="1" si="102"/>
        <v/>
      </c>
    </row>
    <row r="280" spans="1:37" ht="17.25" customHeight="1">
      <c r="A280" s="625" t="str">
        <f t="shared" si="91"/>
        <v/>
      </c>
      <c r="B280" s="480"/>
      <c r="C280" s="480"/>
      <c r="D280" s="480" t="str" cm="1">
        <f t="array" ref="D280">_xll.RssMarket(B280, "銘柄名称")</f>
        <v/>
      </c>
      <c r="E280" s="721"/>
      <c r="F280" s="702" t="str" cm="1">
        <f t="array" aca="1" ref="F280" ca="1">IFERROR(_xlfn.LET(_xlpm.r,MATCH(TEXT($B280,"0"),TEXT(銘柄管理!$B$6:$B$305,"0"),0),_xlpm.t,MOD(NOW(),1),_xlpm.c,IF($E280=TODAY(),IF(_xlpm.t&gt;=TIME(15,30,0),NA(),1),IF(MATCH($E280,始値!$E$3:$BT$3,0)=1,1,MATCH($E280,始値!$E$3:$BT$3,0)+1)),_xlpm.v,INDEX(始値!$C$6:$BT$305,_xlpm.r,_xlpm.c),IF(N(_xlpm.v)=0,"",_xlpm.v)),"")</f>
        <v/>
      </c>
      <c r="G280" s="480"/>
      <c r="H280" s="480" t="str" cm="1">
        <f t="array" ref="H280">_xll.RssMarket(B280, "現在値")</f>
        <v/>
      </c>
      <c r="I280" s="480" t="str" cm="1">
        <f t="array" ref="I280">_xll.RssMarket(B280, "出来高加重平均")</f>
        <v/>
      </c>
      <c r="J280" s="706" t="str" cm="1">
        <f t="array" ref="J280">_xll.RssMarket($B280, "前日比")</f>
        <v/>
      </c>
      <c r="K280" s="707" t="str">
        <f t="shared" ca="1" si="103"/>
        <v/>
      </c>
      <c r="L280" s="712" t="str">
        <f t="shared" ca="1" si="104"/>
        <v/>
      </c>
      <c r="M280" s="601" t="str">
        <f t="shared" ca="1" si="92"/>
        <v/>
      </c>
      <c r="N280" s="601" t="str">
        <f t="shared" ca="1" si="93"/>
        <v/>
      </c>
      <c r="O280" s="478" t="str">
        <f t="shared" ca="1" si="94"/>
        <v/>
      </c>
      <c r="P280" s="445" t="str">
        <f t="array" aca="1" ref="P280" ca="1">IF(B280="","",IFERROR(MAX(OFFSET(高値!$E$6,MATCH(TEXT(B280,"0"),TEXT(銘柄管理!$B$6:$B$305,"0"),0)-1,0,1,10)),""))</f>
        <v/>
      </c>
      <c r="Q280" s="445" t="str">
        <f t="array" aca="1" ref="Q280" ca="1">IF(B280="","",IFERROR(MIN(OFFSET(安値!$E$6,MATCH(TEXT(B280,"0"),TEXT(銘柄管理!$B$6:$B$305,"0"),0)-1,0,1,10)),""))</f>
        <v/>
      </c>
      <c r="R280" s="480" t="str">
        <f t="shared" ca="1" si="105"/>
        <v/>
      </c>
      <c r="S280" s="480" t="str">
        <f t="shared" si="106"/>
        <v/>
      </c>
      <c r="T280" s="599" t="str">
        <f t="shared" ca="1" si="95"/>
        <v/>
      </c>
      <c r="U280" s="601" t="str">
        <f t="shared" ca="1" si="96"/>
        <v/>
      </c>
      <c r="V280" s="707" t="str">
        <f t="shared" ca="1" si="107"/>
        <v/>
      </c>
      <c r="W280" s="480" t="str">
        <f t="shared" ca="1" si="97"/>
        <v/>
      </c>
      <c r="X280" s="480" t="str">
        <f t="shared" ca="1" si="98"/>
        <v/>
      </c>
      <c r="Y280" s="488"/>
      <c r="Z280" s="714"/>
      <c r="AD280" s="611"/>
      <c r="AE280" s="603" t="str">
        <f t="shared" si="99"/>
        <v/>
      </c>
      <c r="AF280" s="603"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03"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03" t="str">
        <f t="shared" ca="1" si="100"/>
        <v/>
      </c>
      <c r="AI280" s="603" t="str" cm="1">
        <f t="array" ref="AI280">IFERROR(INDEX(始値!$E$6:$BT$305,MATCH(TEXT($B280,"0"),TEXT(銘柄管理!$B$6:$B$305,"0"),0),MATCH($AE280,始値!$E$3:$BT$3,0)),"")</f>
        <v/>
      </c>
      <c r="AJ280" s="603" t="str">
        <f t="shared" ca="1" si="101"/>
        <v/>
      </c>
      <c r="AK280" s="603" t="str">
        <f t="shared" ca="1" si="102"/>
        <v/>
      </c>
    </row>
    <row r="281" spans="1:37" ht="17.25" customHeight="1">
      <c r="A281" s="625" t="str">
        <f t="shared" si="91"/>
        <v/>
      </c>
      <c r="B281" s="480"/>
      <c r="C281" s="480"/>
      <c r="D281" s="480" t="str" cm="1">
        <f t="array" ref="D281">_xll.RssMarket(B281, "銘柄名称")</f>
        <v/>
      </c>
      <c r="E281" s="721"/>
      <c r="F281" s="702" t="str" cm="1">
        <f t="array" aca="1" ref="F281" ca="1">IFERROR(_xlfn.LET(_xlpm.r,MATCH(TEXT($B281,"0"),TEXT(銘柄管理!$B$6:$B$305,"0"),0),_xlpm.t,MOD(NOW(),1),_xlpm.c,IF($E281=TODAY(),IF(_xlpm.t&gt;=TIME(15,30,0),NA(),1),IF(MATCH($E281,始値!$E$3:$BT$3,0)=1,1,MATCH($E281,始値!$E$3:$BT$3,0)+1)),_xlpm.v,INDEX(始値!$C$6:$BT$305,_xlpm.r,_xlpm.c),IF(N(_xlpm.v)=0,"",_xlpm.v)),"")</f>
        <v/>
      </c>
      <c r="G281" s="480"/>
      <c r="H281" s="480" t="str" cm="1">
        <f t="array" ref="H281">_xll.RssMarket(B281, "現在値")</f>
        <v/>
      </c>
      <c r="I281" s="480" t="str" cm="1">
        <f t="array" ref="I281">_xll.RssMarket(B281, "出来高加重平均")</f>
        <v/>
      </c>
      <c r="J281" s="706" t="str" cm="1">
        <f t="array" ref="J281">_xll.RssMarket($B281, "前日比")</f>
        <v/>
      </c>
      <c r="K281" s="707" t="str">
        <f t="shared" ca="1" si="103"/>
        <v/>
      </c>
      <c r="L281" s="712" t="str">
        <f t="shared" ca="1" si="104"/>
        <v/>
      </c>
      <c r="M281" s="601" t="str">
        <f t="shared" ca="1" si="92"/>
        <v/>
      </c>
      <c r="N281" s="601" t="str">
        <f t="shared" ca="1" si="93"/>
        <v/>
      </c>
      <c r="O281" s="478" t="str">
        <f t="shared" ca="1" si="94"/>
        <v/>
      </c>
      <c r="P281" s="445" t="str">
        <f t="array" aca="1" ref="P281" ca="1">IF(B281="","",IFERROR(MAX(OFFSET(高値!$E$6,MATCH(TEXT(B281,"0"),TEXT(銘柄管理!$B$6:$B$305,"0"),0)-1,0,1,10)),""))</f>
        <v/>
      </c>
      <c r="Q281" s="445" t="str">
        <f t="array" aca="1" ref="Q281" ca="1">IF(B281="","",IFERROR(MIN(OFFSET(安値!$E$6,MATCH(TEXT(B281,"0"),TEXT(銘柄管理!$B$6:$B$305,"0"),0)-1,0,1,10)),""))</f>
        <v/>
      </c>
      <c r="R281" s="480" t="str">
        <f t="shared" ca="1" si="105"/>
        <v/>
      </c>
      <c r="S281" s="480" t="str">
        <f t="shared" si="106"/>
        <v/>
      </c>
      <c r="T281" s="599" t="str">
        <f t="shared" ca="1" si="95"/>
        <v/>
      </c>
      <c r="U281" s="601" t="str">
        <f t="shared" ca="1" si="96"/>
        <v/>
      </c>
      <c r="V281" s="707" t="str">
        <f t="shared" ca="1" si="107"/>
        <v/>
      </c>
      <c r="W281" s="480" t="str">
        <f t="shared" ca="1" si="97"/>
        <v/>
      </c>
      <c r="X281" s="480" t="str">
        <f t="shared" ca="1" si="98"/>
        <v/>
      </c>
      <c r="Y281" s="488"/>
      <c r="Z281" s="714"/>
      <c r="AD281" s="611"/>
      <c r="AE281" s="603" t="str">
        <f t="shared" si="99"/>
        <v/>
      </c>
      <c r="AF281" s="603"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03"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03" t="str">
        <f t="shared" ca="1" si="100"/>
        <v/>
      </c>
      <c r="AI281" s="603" t="str" cm="1">
        <f t="array" ref="AI281">IFERROR(INDEX(始値!$E$6:$BT$305,MATCH(TEXT($B281,"0"),TEXT(銘柄管理!$B$6:$B$305,"0"),0),MATCH($AE281,始値!$E$3:$BT$3,0)),"")</f>
        <v/>
      </c>
      <c r="AJ281" s="603" t="str">
        <f t="shared" ca="1" si="101"/>
        <v/>
      </c>
      <c r="AK281" s="603" t="str">
        <f t="shared" ca="1" si="102"/>
        <v/>
      </c>
    </row>
    <row r="282" spans="1:37" ht="17.25" customHeight="1">
      <c r="A282" s="625" t="str">
        <f t="shared" si="91"/>
        <v/>
      </c>
      <c r="B282" s="480"/>
      <c r="C282" s="480"/>
      <c r="D282" s="480" t="str" cm="1">
        <f t="array" ref="D282">_xll.RssMarket(B282, "銘柄名称")</f>
        <v/>
      </c>
      <c r="E282" s="721"/>
      <c r="F282" s="702" t="str" cm="1">
        <f t="array" aca="1" ref="F282" ca="1">IFERROR(_xlfn.LET(_xlpm.r,MATCH(TEXT($B282,"0"),TEXT(銘柄管理!$B$6:$B$305,"0"),0),_xlpm.t,MOD(NOW(),1),_xlpm.c,IF($E282=TODAY(),IF(_xlpm.t&gt;=TIME(15,30,0),NA(),1),IF(MATCH($E282,始値!$E$3:$BT$3,0)=1,1,MATCH($E282,始値!$E$3:$BT$3,0)+1)),_xlpm.v,INDEX(始値!$C$6:$BT$305,_xlpm.r,_xlpm.c),IF(N(_xlpm.v)=0,"",_xlpm.v)),"")</f>
        <v/>
      </c>
      <c r="G282" s="480"/>
      <c r="H282" s="480" t="str" cm="1">
        <f t="array" ref="H282">_xll.RssMarket(B282, "現在値")</f>
        <v/>
      </c>
      <c r="I282" s="480" t="str" cm="1">
        <f t="array" ref="I282">_xll.RssMarket(B282, "出来高加重平均")</f>
        <v/>
      </c>
      <c r="J282" s="706" t="str" cm="1">
        <f t="array" ref="J282">_xll.RssMarket($B282, "前日比")</f>
        <v/>
      </c>
      <c r="K282" s="707" t="str">
        <f t="shared" ca="1" si="103"/>
        <v/>
      </c>
      <c r="L282" s="712" t="str">
        <f t="shared" ca="1" si="104"/>
        <v/>
      </c>
      <c r="M282" s="601" t="str">
        <f t="shared" ca="1" si="92"/>
        <v/>
      </c>
      <c r="N282" s="601" t="str">
        <f t="shared" ca="1" si="93"/>
        <v/>
      </c>
      <c r="O282" s="478" t="str">
        <f t="shared" ca="1" si="94"/>
        <v/>
      </c>
      <c r="P282" s="445" t="str">
        <f t="array" aca="1" ref="P282" ca="1">IF(B282="","",IFERROR(MAX(OFFSET(高値!$E$6,MATCH(TEXT(B282,"0"),TEXT(銘柄管理!$B$6:$B$305,"0"),0)-1,0,1,10)),""))</f>
        <v/>
      </c>
      <c r="Q282" s="445" t="str">
        <f t="array" aca="1" ref="Q282" ca="1">IF(B282="","",IFERROR(MIN(OFFSET(安値!$E$6,MATCH(TEXT(B282,"0"),TEXT(銘柄管理!$B$6:$B$305,"0"),0)-1,0,1,10)),""))</f>
        <v/>
      </c>
      <c r="R282" s="480" t="str">
        <f t="shared" ca="1" si="105"/>
        <v/>
      </c>
      <c r="S282" s="480" t="str">
        <f t="shared" si="106"/>
        <v/>
      </c>
      <c r="T282" s="599" t="str">
        <f t="shared" ca="1" si="95"/>
        <v/>
      </c>
      <c r="U282" s="601" t="str">
        <f t="shared" ca="1" si="96"/>
        <v/>
      </c>
      <c r="V282" s="707" t="str">
        <f t="shared" ca="1" si="107"/>
        <v/>
      </c>
      <c r="W282" s="480" t="str">
        <f t="shared" ca="1" si="97"/>
        <v/>
      </c>
      <c r="X282" s="480" t="str">
        <f t="shared" ca="1" si="98"/>
        <v/>
      </c>
      <c r="Y282" s="488"/>
      <c r="Z282" s="714"/>
      <c r="AD282" s="611"/>
      <c r="AE282" s="603" t="str">
        <f t="shared" si="99"/>
        <v/>
      </c>
      <c r="AF282" s="603"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03"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03" t="str">
        <f t="shared" ca="1" si="100"/>
        <v/>
      </c>
      <c r="AI282" s="603" t="str" cm="1">
        <f t="array" ref="AI282">IFERROR(INDEX(始値!$E$6:$BT$305,MATCH(TEXT($B282,"0"),TEXT(銘柄管理!$B$6:$B$305,"0"),0),MATCH($AE282,始値!$E$3:$BT$3,0)),"")</f>
        <v/>
      </c>
      <c r="AJ282" s="603" t="str">
        <f t="shared" ca="1" si="101"/>
        <v/>
      </c>
      <c r="AK282" s="603" t="str">
        <f t="shared" ca="1" si="102"/>
        <v/>
      </c>
    </row>
    <row r="283" spans="1:37" ht="17.25" customHeight="1">
      <c r="A283" s="625" t="str">
        <f t="shared" si="91"/>
        <v/>
      </c>
      <c r="B283" s="480"/>
      <c r="C283" s="480"/>
      <c r="D283" s="480" t="str" cm="1">
        <f t="array" ref="D283">_xll.RssMarket(B283, "銘柄名称")</f>
        <v/>
      </c>
      <c r="E283" s="721"/>
      <c r="F283" s="702" t="str" cm="1">
        <f t="array" aca="1" ref="F283" ca="1">IFERROR(_xlfn.LET(_xlpm.r,MATCH(TEXT($B283,"0"),TEXT(銘柄管理!$B$6:$B$305,"0"),0),_xlpm.t,MOD(NOW(),1),_xlpm.c,IF($E283=TODAY(),IF(_xlpm.t&gt;=TIME(15,30,0),NA(),1),IF(MATCH($E283,始値!$E$3:$BT$3,0)=1,1,MATCH($E283,始値!$E$3:$BT$3,0)+1)),_xlpm.v,INDEX(始値!$C$6:$BT$305,_xlpm.r,_xlpm.c),IF(N(_xlpm.v)=0,"",_xlpm.v)),"")</f>
        <v/>
      </c>
      <c r="G283" s="480"/>
      <c r="H283" s="480" t="str" cm="1">
        <f t="array" ref="H283">_xll.RssMarket(B283, "現在値")</f>
        <v/>
      </c>
      <c r="I283" s="480" t="str" cm="1">
        <f t="array" ref="I283">_xll.RssMarket(B283, "出来高加重平均")</f>
        <v/>
      </c>
      <c r="J283" s="706" t="str" cm="1">
        <f t="array" ref="J283">_xll.RssMarket($B283, "前日比")</f>
        <v/>
      </c>
      <c r="K283" s="707" t="str">
        <f t="shared" ca="1" si="103"/>
        <v/>
      </c>
      <c r="L283" s="712" t="str">
        <f t="shared" ca="1" si="104"/>
        <v/>
      </c>
      <c r="M283" s="601" t="str">
        <f t="shared" ca="1" si="92"/>
        <v/>
      </c>
      <c r="N283" s="601" t="str">
        <f t="shared" ca="1" si="93"/>
        <v/>
      </c>
      <c r="O283" s="478" t="str">
        <f t="shared" ca="1" si="94"/>
        <v/>
      </c>
      <c r="P283" s="445" t="str">
        <f t="array" aca="1" ref="P283" ca="1">IF(B283="","",IFERROR(MAX(OFFSET(高値!$E$6,MATCH(TEXT(B283,"0"),TEXT(銘柄管理!$B$6:$B$305,"0"),0)-1,0,1,10)),""))</f>
        <v/>
      </c>
      <c r="Q283" s="445" t="str">
        <f t="array" aca="1" ref="Q283" ca="1">IF(B283="","",IFERROR(MIN(OFFSET(安値!$E$6,MATCH(TEXT(B283,"0"),TEXT(銘柄管理!$B$6:$B$305,"0"),0)-1,0,1,10)),""))</f>
        <v/>
      </c>
      <c r="R283" s="480" t="str">
        <f t="shared" ca="1" si="105"/>
        <v/>
      </c>
      <c r="S283" s="480" t="str">
        <f t="shared" si="106"/>
        <v/>
      </c>
      <c r="T283" s="599" t="str">
        <f t="shared" ca="1" si="95"/>
        <v/>
      </c>
      <c r="U283" s="601" t="str">
        <f t="shared" ca="1" si="96"/>
        <v/>
      </c>
      <c r="V283" s="707" t="str">
        <f t="shared" ca="1" si="107"/>
        <v/>
      </c>
      <c r="W283" s="480" t="str">
        <f t="shared" ca="1" si="97"/>
        <v/>
      </c>
      <c r="X283" s="480" t="str">
        <f t="shared" ca="1" si="98"/>
        <v/>
      </c>
      <c r="Y283" s="488"/>
      <c r="Z283" s="714"/>
      <c r="AD283" s="611"/>
      <c r="AE283" s="603" t="str">
        <f t="shared" si="99"/>
        <v/>
      </c>
      <c r="AF283" s="603"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03"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03" t="str">
        <f t="shared" ca="1" si="100"/>
        <v/>
      </c>
      <c r="AI283" s="603" t="str" cm="1">
        <f t="array" ref="AI283">IFERROR(INDEX(始値!$E$6:$BT$305,MATCH(TEXT($B283,"0"),TEXT(銘柄管理!$B$6:$B$305,"0"),0),MATCH($AE283,始値!$E$3:$BT$3,0)),"")</f>
        <v/>
      </c>
      <c r="AJ283" s="603" t="str">
        <f t="shared" ca="1" si="101"/>
        <v/>
      </c>
      <c r="AK283" s="603" t="str">
        <f t="shared" ca="1" si="102"/>
        <v/>
      </c>
    </row>
    <row r="284" spans="1:37" ht="17.25" customHeight="1">
      <c r="A284" s="625" t="str">
        <f t="shared" si="91"/>
        <v/>
      </c>
      <c r="B284" s="480"/>
      <c r="C284" s="480"/>
      <c r="D284" s="480" t="str" cm="1">
        <f t="array" ref="D284">_xll.RssMarket(B284, "銘柄名称")</f>
        <v/>
      </c>
      <c r="E284" s="721"/>
      <c r="F284" s="702" t="str" cm="1">
        <f t="array" aca="1" ref="F284" ca="1">IFERROR(_xlfn.LET(_xlpm.r,MATCH(TEXT($B284,"0"),TEXT(銘柄管理!$B$6:$B$305,"0"),0),_xlpm.t,MOD(NOW(),1),_xlpm.c,IF($E284=TODAY(),IF(_xlpm.t&gt;=TIME(15,30,0),NA(),1),IF(MATCH($E284,始値!$E$3:$BT$3,0)=1,1,MATCH($E284,始値!$E$3:$BT$3,0)+1)),_xlpm.v,INDEX(始値!$C$6:$BT$305,_xlpm.r,_xlpm.c),IF(N(_xlpm.v)=0,"",_xlpm.v)),"")</f>
        <v/>
      </c>
      <c r="G284" s="480"/>
      <c r="H284" s="480" t="str" cm="1">
        <f t="array" ref="H284">_xll.RssMarket(B284, "現在値")</f>
        <v/>
      </c>
      <c r="I284" s="480" t="str" cm="1">
        <f t="array" ref="I284">_xll.RssMarket(B284, "出来高加重平均")</f>
        <v/>
      </c>
      <c r="J284" s="706" t="str" cm="1">
        <f t="array" ref="J284">_xll.RssMarket($B284, "前日比")</f>
        <v/>
      </c>
      <c r="K284" s="707" t="str">
        <f t="shared" ca="1" si="103"/>
        <v/>
      </c>
      <c r="L284" s="712" t="str">
        <f t="shared" ca="1" si="104"/>
        <v/>
      </c>
      <c r="M284" s="601" t="str">
        <f t="shared" ca="1" si="92"/>
        <v/>
      </c>
      <c r="N284" s="601" t="str">
        <f t="shared" ca="1" si="93"/>
        <v/>
      </c>
      <c r="O284" s="478" t="str">
        <f t="shared" ca="1" si="94"/>
        <v/>
      </c>
      <c r="P284" s="445" t="str">
        <f t="array" aca="1" ref="P284" ca="1">IF(B284="","",IFERROR(MAX(OFFSET(高値!$E$6,MATCH(TEXT(B284,"0"),TEXT(銘柄管理!$B$6:$B$305,"0"),0)-1,0,1,10)),""))</f>
        <v/>
      </c>
      <c r="Q284" s="445" t="str">
        <f t="array" aca="1" ref="Q284" ca="1">IF(B284="","",IFERROR(MIN(OFFSET(安値!$E$6,MATCH(TEXT(B284,"0"),TEXT(銘柄管理!$B$6:$B$305,"0"),0)-1,0,1,10)),""))</f>
        <v/>
      </c>
      <c r="R284" s="480" t="str">
        <f t="shared" ca="1" si="105"/>
        <v/>
      </c>
      <c r="S284" s="480" t="str">
        <f t="shared" si="106"/>
        <v/>
      </c>
      <c r="T284" s="599" t="str">
        <f t="shared" ca="1" si="95"/>
        <v/>
      </c>
      <c r="U284" s="601" t="str">
        <f t="shared" ca="1" si="96"/>
        <v/>
      </c>
      <c r="V284" s="707" t="str">
        <f t="shared" ca="1" si="107"/>
        <v/>
      </c>
      <c r="W284" s="480" t="str">
        <f t="shared" ca="1" si="97"/>
        <v/>
      </c>
      <c r="X284" s="480" t="str">
        <f t="shared" ca="1" si="98"/>
        <v/>
      </c>
      <c r="Y284" s="488"/>
      <c r="Z284" s="714"/>
      <c r="AD284" s="611"/>
      <c r="AE284" s="603" t="str">
        <f t="shared" si="99"/>
        <v/>
      </c>
      <c r="AF284" s="603"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03"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03" t="str">
        <f t="shared" ca="1" si="100"/>
        <v/>
      </c>
      <c r="AI284" s="603" t="str" cm="1">
        <f t="array" ref="AI284">IFERROR(INDEX(始値!$E$6:$BT$305,MATCH(TEXT($B284,"0"),TEXT(銘柄管理!$B$6:$B$305,"0"),0),MATCH($AE284,始値!$E$3:$BT$3,0)),"")</f>
        <v/>
      </c>
      <c r="AJ284" s="603" t="str">
        <f t="shared" ca="1" si="101"/>
        <v/>
      </c>
      <c r="AK284" s="603" t="str">
        <f t="shared" ca="1" si="102"/>
        <v/>
      </c>
    </row>
    <row r="285" spans="1:37" ht="17.25" customHeight="1">
      <c r="A285" s="625" t="str">
        <f t="shared" si="91"/>
        <v/>
      </c>
      <c r="B285" s="480"/>
      <c r="C285" s="480"/>
      <c r="D285" s="480" t="str" cm="1">
        <f t="array" ref="D285">_xll.RssMarket(B285, "銘柄名称")</f>
        <v/>
      </c>
      <c r="E285" s="721"/>
      <c r="F285" s="702" t="str" cm="1">
        <f t="array" aca="1" ref="F285" ca="1">IFERROR(_xlfn.LET(_xlpm.r,MATCH(TEXT($B285,"0"),TEXT(銘柄管理!$B$6:$B$305,"0"),0),_xlpm.t,MOD(NOW(),1),_xlpm.c,IF($E285=TODAY(),IF(_xlpm.t&gt;=TIME(15,30,0),NA(),1),IF(MATCH($E285,始値!$E$3:$BT$3,0)=1,1,MATCH($E285,始値!$E$3:$BT$3,0)+1)),_xlpm.v,INDEX(始値!$C$6:$BT$305,_xlpm.r,_xlpm.c),IF(N(_xlpm.v)=0,"",_xlpm.v)),"")</f>
        <v/>
      </c>
      <c r="G285" s="480"/>
      <c r="H285" s="480" t="str" cm="1">
        <f t="array" ref="H285">_xll.RssMarket(B285, "現在値")</f>
        <v/>
      </c>
      <c r="I285" s="480" t="str" cm="1">
        <f t="array" ref="I285">_xll.RssMarket(B285, "出来高加重平均")</f>
        <v/>
      </c>
      <c r="J285" s="706" t="str" cm="1">
        <f t="array" ref="J285">_xll.RssMarket($B285, "前日比")</f>
        <v/>
      </c>
      <c r="K285" s="707" t="str">
        <f t="shared" ca="1" si="103"/>
        <v/>
      </c>
      <c r="L285" s="712" t="str">
        <f t="shared" ca="1" si="104"/>
        <v/>
      </c>
      <c r="M285" s="601" t="str">
        <f t="shared" ca="1" si="92"/>
        <v/>
      </c>
      <c r="N285" s="601" t="str">
        <f t="shared" ca="1" si="93"/>
        <v/>
      </c>
      <c r="O285" s="478" t="str">
        <f t="shared" ca="1" si="94"/>
        <v/>
      </c>
      <c r="P285" s="445" t="str">
        <f t="array" aca="1" ref="P285" ca="1">IF(B285="","",IFERROR(MAX(OFFSET(高値!$E$6,MATCH(TEXT(B285,"0"),TEXT(銘柄管理!$B$6:$B$305,"0"),0)-1,0,1,10)),""))</f>
        <v/>
      </c>
      <c r="Q285" s="445" t="str">
        <f t="array" aca="1" ref="Q285" ca="1">IF(B285="","",IFERROR(MIN(OFFSET(安値!$E$6,MATCH(TEXT(B285,"0"),TEXT(銘柄管理!$B$6:$B$305,"0"),0)-1,0,1,10)),""))</f>
        <v/>
      </c>
      <c r="R285" s="480" t="str">
        <f t="shared" ca="1" si="105"/>
        <v/>
      </c>
      <c r="S285" s="480" t="str">
        <f t="shared" si="106"/>
        <v/>
      </c>
      <c r="T285" s="599" t="str">
        <f t="shared" ca="1" si="95"/>
        <v/>
      </c>
      <c r="U285" s="601" t="str">
        <f t="shared" ca="1" si="96"/>
        <v/>
      </c>
      <c r="V285" s="707" t="str">
        <f t="shared" ca="1" si="107"/>
        <v/>
      </c>
      <c r="W285" s="480" t="str">
        <f t="shared" ca="1" si="97"/>
        <v/>
      </c>
      <c r="X285" s="480" t="str">
        <f t="shared" ca="1" si="98"/>
        <v/>
      </c>
      <c r="Y285" s="488"/>
      <c r="Z285" s="714"/>
      <c r="AD285" s="611"/>
      <c r="AE285" s="603" t="str">
        <f t="shared" si="99"/>
        <v/>
      </c>
      <c r="AF285" s="603"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03"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03" t="str">
        <f t="shared" ca="1" si="100"/>
        <v/>
      </c>
      <c r="AI285" s="603" t="str" cm="1">
        <f t="array" ref="AI285">IFERROR(INDEX(始値!$E$6:$BT$305,MATCH(TEXT($B285,"0"),TEXT(銘柄管理!$B$6:$B$305,"0"),0),MATCH($AE285,始値!$E$3:$BT$3,0)),"")</f>
        <v/>
      </c>
      <c r="AJ285" s="603" t="str">
        <f t="shared" ca="1" si="101"/>
        <v/>
      </c>
      <c r="AK285" s="603" t="str">
        <f t="shared" ca="1" si="102"/>
        <v/>
      </c>
    </row>
    <row r="286" spans="1:37" ht="17.25" customHeight="1">
      <c r="A286" s="625" t="str">
        <f t="shared" si="91"/>
        <v/>
      </c>
      <c r="B286" s="480"/>
      <c r="C286" s="480"/>
      <c r="D286" s="480" t="str" cm="1">
        <f t="array" ref="D286">_xll.RssMarket(B286, "銘柄名称")</f>
        <v/>
      </c>
      <c r="E286" s="721"/>
      <c r="F286" s="702" t="str" cm="1">
        <f t="array" aca="1" ref="F286" ca="1">IFERROR(_xlfn.LET(_xlpm.r,MATCH(TEXT($B286,"0"),TEXT(銘柄管理!$B$6:$B$305,"0"),0),_xlpm.t,MOD(NOW(),1),_xlpm.c,IF($E286=TODAY(),IF(_xlpm.t&gt;=TIME(15,30,0),NA(),1),IF(MATCH($E286,始値!$E$3:$BT$3,0)=1,1,MATCH($E286,始値!$E$3:$BT$3,0)+1)),_xlpm.v,INDEX(始値!$C$6:$BT$305,_xlpm.r,_xlpm.c),IF(N(_xlpm.v)=0,"",_xlpm.v)),"")</f>
        <v/>
      </c>
      <c r="G286" s="480"/>
      <c r="H286" s="480" t="str" cm="1">
        <f t="array" ref="H286">_xll.RssMarket(B286, "現在値")</f>
        <v/>
      </c>
      <c r="I286" s="480" t="str" cm="1">
        <f t="array" ref="I286">_xll.RssMarket(B286, "出来高加重平均")</f>
        <v/>
      </c>
      <c r="J286" s="706" t="str" cm="1">
        <f t="array" ref="J286">_xll.RssMarket($B286, "前日比")</f>
        <v/>
      </c>
      <c r="K286" s="707" t="str">
        <f t="shared" ca="1" si="103"/>
        <v/>
      </c>
      <c r="L286" s="712" t="str">
        <f t="shared" ca="1" si="104"/>
        <v/>
      </c>
      <c r="M286" s="601" t="str">
        <f t="shared" ca="1" si="92"/>
        <v/>
      </c>
      <c r="N286" s="601" t="str">
        <f t="shared" ca="1" si="93"/>
        <v/>
      </c>
      <c r="O286" s="478" t="str">
        <f t="shared" ca="1" si="94"/>
        <v/>
      </c>
      <c r="P286" s="445" t="str">
        <f t="array" aca="1" ref="P286" ca="1">IF(B286="","",IFERROR(MAX(OFFSET(高値!$E$6,MATCH(TEXT(B286,"0"),TEXT(銘柄管理!$B$6:$B$305,"0"),0)-1,0,1,10)),""))</f>
        <v/>
      </c>
      <c r="Q286" s="445" t="str">
        <f t="array" aca="1" ref="Q286" ca="1">IF(B286="","",IFERROR(MIN(OFFSET(安値!$E$6,MATCH(TEXT(B286,"0"),TEXT(銘柄管理!$B$6:$B$305,"0"),0)-1,0,1,10)),""))</f>
        <v/>
      </c>
      <c r="R286" s="480" t="str">
        <f t="shared" ca="1" si="105"/>
        <v/>
      </c>
      <c r="S286" s="480" t="str">
        <f t="shared" si="106"/>
        <v/>
      </c>
      <c r="T286" s="599" t="str">
        <f t="shared" ca="1" si="95"/>
        <v/>
      </c>
      <c r="U286" s="601" t="str">
        <f t="shared" ca="1" si="96"/>
        <v/>
      </c>
      <c r="V286" s="707" t="str">
        <f t="shared" ca="1" si="107"/>
        <v/>
      </c>
      <c r="W286" s="480" t="str">
        <f t="shared" ca="1" si="97"/>
        <v/>
      </c>
      <c r="X286" s="480" t="str">
        <f t="shared" ca="1" si="98"/>
        <v/>
      </c>
      <c r="Y286" s="488"/>
      <c r="Z286" s="714"/>
      <c r="AD286" s="611"/>
      <c r="AE286" s="603" t="str">
        <f t="shared" si="99"/>
        <v/>
      </c>
      <c r="AF286" s="603"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03"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03" t="str">
        <f t="shared" ca="1" si="100"/>
        <v/>
      </c>
      <c r="AI286" s="603" t="str" cm="1">
        <f t="array" ref="AI286">IFERROR(INDEX(始値!$E$6:$BT$305,MATCH(TEXT($B286,"0"),TEXT(銘柄管理!$B$6:$B$305,"0"),0),MATCH($AE286,始値!$E$3:$BT$3,0)),"")</f>
        <v/>
      </c>
      <c r="AJ286" s="603" t="str">
        <f t="shared" ca="1" si="101"/>
        <v/>
      </c>
      <c r="AK286" s="603" t="str">
        <f t="shared" ca="1" si="102"/>
        <v/>
      </c>
    </row>
    <row r="287" spans="1:37" ht="17.25" customHeight="1">
      <c r="A287" s="625" t="str">
        <f t="shared" si="91"/>
        <v/>
      </c>
      <c r="B287" s="480"/>
      <c r="C287" s="480"/>
      <c r="D287" s="480" t="str" cm="1">
        <f t="array" ref="D287">_xll.RssMarket(B287, "銘柄名称")</f>
        <v/>
      </c>
      <c r="E287" s="721"/>
      <c r="F287" s="702" t="str" cm="1">
        <f t="array" aca="1" ref="F287" ca="1">IFERROR(_xlfn.LET(_xlpm.r,MATCH(TEXT($B287,"0"),TEXT(銘柄管理!$B$6:$B$305,"0"),0),_xlpm.t,MOD(NOW(),1),_xlpm.c,IF($E287=TODAY(),IF(_xlpm.t&gt;=TIME(15,30,0),NA(),1),IF(MATCH($E287,始値!$E$3:$BT$3,0)=1,1,MATCH($E287,始値!$E$3:$BT$3,0)+1)),_xlpm.v,INDEX(始値!$C$6:$BT$305,_xlpm.r,_xlpm.c),IF(N(_xlpm.v)=0,"",_xlpm.v)),"")</f>
        <v/>
      </c>
      <c r="G287" s="480"/>
      <c r="H287" s="480" t="str" cm="1">
        <f t="array" ref="H287">_xll.RssMarket(B287, "現在値")</f>
        <v/>
      </c>
      <c r="I287" s="480" t="str" cm="1">
        <f t="array" ref="I287">_xll.RssMarket(B287, "出来高加重平均")</f>
        <v/>
      </c>
      <c r="J287" s="706" t="str" cm="1">
        <f t="array" ref="J287">_xll.RssMarket($B287, "前日比")</f>
        <v/>
      </c>
      <c r="K287" s="707" t="str">
        <f t="shared" ca="1" si="103"/>
        <v/>
      </c>
      <c r="L287" s="712" t="str">
        <f t="shared" ca="1" si="104"/>
        <v/>
      </c>
      <c r="M287" s="601" t="str">
        <f t="shared" ca="1" si="92"/>
        <v/>
      </c>
      <c r="N287" s="601" t="str">
        <f t="shared" ca="1" si="93"/>
        <v/>
      </c>
      <c r="O287" s="478" t="str">
        <f t="shared" ca="1" si="94"/>
        <v/>
      </c>
      <c r="P287" s="445" t="str">
        <f t="array" aca="1" ref="P287" ca="1">IF(B287="","",IFERROR(MAX(OFFSET(高値!$E$6,MATCH(TEXT(B287,"0"),TEXT(銘柄管理!$B$6:$B$305,"0"),0)-1,0,1,10)),""))</f>
        <v/>
      </c>
      <c r="Q287" s="445" t="str">
        <f t="array" aca="1" ref="Q287" ca="1">IF(B287="","",IFERROR(MIN(OFFSET(安値!$E$6,MATCH(TEXT(B287,"0"),TEXT(銘柄管理!$B$6:$B$305,"0"),0)-1,0,1,10)),""))</f>
        <v/>
      </c>
      <c r="R287" s="480" t="str">
        <f t="shared" ca="1" si="105"/>
        <v/>
      </c>
      <c r="S287" s="480" t="str">
        <f t="shared" si="106"/>
        <v/>
      </c>
      <c r="T287" s="599" t="str">
        <f t="shared" ca="1" si="95"/>
        <v/>
      </c>
      <c r="U287" s="601" t="str">
        <f t="shared" ca="1" si="96"/>
        <v/>
      </c>
      <c r="V287" s="707" t="str">
        <f t="shared" ca="1" si="107"/>
        <v/>
      </c>
      <c r="W287" s="480" t="str">
        <f t="shared" ca="1" si="97"/>
        <v/>
      </c>
      <c r="X287" s="480" t="str">
        <f t="shared" ca="1" si="98"/>
        <v/>
      </c>
      <c r="Y287" s="488"/>
      <c r="Z287" s="714"/>
      <c r="AD287" s="611"/>
      <c r="AE287" s="603" t="str">
        <f t="shared" si="99"/>
        <v/>
      </c>
      <c r="AF287" s="603"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03"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03" t="str">
        <f t="shared" ca="1" si="100"/>
        <v/>
      </c>
      <c r="AI287" s="603" t="str" cm="1">
        <f t="array" ref="AI287">IFERROR(INDEX(始値!$E$6:$BT$305,MATCH(TEXT($B287,"0"),TEXT(銘柄管理!$B$6:$B$305,"0"),0),MATCH($AE287,始値!$E$3:$BT$3,0)),"")</f>
        <v/>
      </c>
      <c r="AJ287" s="603" t="str">
        <f t="shared" ca="1" si="101"/>
        <v/>
      </c>
      <c r="AK287" s="603" t="str">
        <f t="shared" ca="1" si="102"/>
        <v/>
      </c>
    </row>
    <row r="288" spans="1:37" ht="17.25" customHeight="1">
      <c r="A288" s="625" t="str">
        <f t="shared" si="91"/>
        <v/>
      </c>
      <c r="B288" s="480"/>
      <c r="C288" s="480"/>
      <c r="D288" s="480" t="str" cm="1">
        <f t="array" ref="D288">_xll.RssMarket(B288, "銘柄名称")</f>
        <v/>
      </c>
      <c r="E288" s="721"/>
      <c r="F288" s="702" t="str" cm="1">
        <f t="array" aca="1" ref="F288" ca="1">IFERROR(_xlfn.LET(_xlpm.r,MATCH(TEXT($B288,"0"),TEXT(銘柄管理!$B$6:$B$305,"0"),0),_xlpm.t,MOD(NOW(),1),_xlpm.c,IF($E288=TODAY(),IF(_xlpm.t&gt;=TIME(15,30,0),NA(),1),IF(MATCH($E288,始値!$E$3:$BT$3,0)=1,1,MATCH($E288,始値!$E$3:$BT$3,0)+1)),_xlpm.v,INDEX(始値!$C$6:$BT$305,_xlpm.r,_xlpm.c),IF(N(_xlpm.v)=0,"",_xlpm.v)),"")</f>
        <v/>
      </c>
      <c r="G288" s="480"/>
      <c r="H288" s="480" t="str" cm="1">
        <f t="array" ref="H288">_xll.RssMarket(B288, "現在値")</f>
        <v/>
      </c>
      <c r="I288" s="480" t="str" cm="1">
        <f t="array" ref="I288">_xll.RssMarket(B288, "出来高加重平均")</f>
        <v/>
      </c>
      <c r="J288" s="706" t="str" cm="1">
        <f t="array" ref="J288">_xll.RssMarket($B288, "前日比")</f>
        <v/>
      </c>
      <c r="K288" s="707" t="str">
        <f t="shared" ca="1" si="103"/>
        <v/>
      </c>
      <c r="L288" s="712" t="str">
        <f t="shared" ca="1" si="104"/>
        <v/>
      </c>
      <c r="M288" s="601" t="str">
        <f t="shared" ca="1" si="92"/>
        <v/>
      </c>
      <c r="N288" s="601" t="str">
        <f t="shared" ca="1" si="93"/>
        <v/>
      </c>
      <c r="O288" s="478" t="str">
        <f t="shared" ca="1" si="94"/>
        <v/>
      </c>
      <c r="P288" s="445" t="str">
        <f t="array" aca="1" ref="P288" ca="1">IF(B288="","",IFERROR(MAX(OFFSET(高値!$E$6,MATCH(TEXT(B288,"0"),TEXT(銘柄管理!$B$6:$B$305,"0"),0)-1,0,1,10)),""))</f>
        <v/>
      </c>
      <c r="Q288" s="445" t="str">
        <f t="array" aca="1" ref="Q288" ca="1">IF(B288="","",IFERROR(MIN(OFFSET(安値!$E$6,MATCH(TEXT(B288,"0"),TEXT(銘柄管理!$B$6:$B$305,"0"),0)-1,0,1,10)),""))</f>
        <v/>
      </c>
      <c r="R288" s="480" t="str">
        <f t="shared" ca="1" si="105"/>
        <v/>
      </c>
      <c r="S288" s="480" t="str">
        <f t="shared" si="106"/>
        <v/>
      </c>
      <c r="T288" s="599" t="str">
        <f t="shared" ca="1" si="95"/>
        <v/>
      </c>
      <c r="U288" s="601" t="str">
        <f t="shared" ca="1" si="96"/>
        <v/>
      </c>
      <c r="V288" s="707" t="str">
        <f t="shared" ca="1" si="107"/>
        <v/>
      </c>
      <c r="W288" s="480" t="str">
        <f t="shared" ca="1" si="97"/>
        <v/>
      </c>
      <c r="X288" s="480" t="str">
        <f t="shared" ca="1" si="98"/>
        <v/>
      </c>
      <c r="Y288" s="488"/>
      <c r="Z288" s="714"/>
      <c r="AD288" s="611"/>
      <c r="AE288" s="603" t="str">
        <f t="shared" si="99"/>
        <v/>
      </c>
      <c r="AF288" s="603"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03"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03" t="str">
        <f t="shared" ca="1" si="100"/>
        <v/>
      </c>
      <c r="AI288" s="603" t="str" cm="1">
        <f t="array" ref="AI288">IFERROR(INDEX(始値!$E$6:$BT$305,MATCH(TEXT($B288,"0"),TEXT(銘柄管理!$B$6:$B$305,"0"),0),MATCH($AE288,始値!$E$3:$BT$3,0)),"")</f>
        <v/>
      </c>
      <c r="AJ288" s="603" t="str">
        <f t="shared" ca="1" si="101"/>
        <v/>
      </c>
      <c r="AK288" s="603" t="str">
        <f t="shared" ca="1" si="102"/>
        <v/>
      </c>
    </row>
    <row r="289" spans="1:37" ht="17.25" customHeight="1">
      <c r="A289" s="625" t="str">
        <f t="shared" si="91"/>
        <v/>
      </c>
      <c r="B289" s="480"/>
      <c r="C289" s="480"/>
      <c r="D289" s="480" t="str" cm="1">
        <f t="array" ref="D289">_xll.RssMarket(B289, "銘柄名称")</f>
        <v/>
      </c>
      <c r="E289" s="721"/>
      <c r="F289" s="702" t="str" cm="1">
        <f t="array" aca="1" ref="F289" ca="1">IFERROR(_xlfn.LET(_xlpm.r,MATCH(TEXT($B289,"0"),TEXT(銘柄管理!$B$6:$B$305,"0"),0),_xlpm.t,MOD(NOW(),1),_xlpm.c,IF($E289=TODAY(),IF(_xlpm.t&gt;=TIME(15,30,0),NA(),1),IF(MATCH($E289,始値!$E$3:$BT$3,0)=1,1,MATCH($E289,始値!$E$3:$BT$3,0)+1)),_xlpm.v,INDEX(始値!$C$6:$BT$305,_xlpm.r,_xlpm.c),IF(N(_xlpm.v)=0,"",_xlpm.v)),"")</f>
        <v/>
      </c>
      <c r="G289" s="480"/>
      <c r="H289" s="480" t="str" cm="1">
        <f t="array" ref="H289">_xll.RssMarket(B289, "現在値")</f>
        <v/>
      </c>
      <c r="I289" s="480" t="str" cm="1">
        <f t="array" ref="I289">_xll.RssMarket(B289, "出来高加重平均")</f>
        <v/>
      </c>
      <c r="J289" s="706" t="str" cm="1">
        <f t="array" ref="J289">_xll.RssMarket($B289, "前日比")</f>
        <v/>
      </c>
      <c r="K289" s="707" t="str">
        <f t="shared" ca="1" si="103"/>
        <v/>
      </c>
      <c r="L289" s="712" t="str">
        <f t="shared" ca="1" si="104"/>
        <v/>
      </c>
      <c r="M289" s="601" t="str">
        <f t="shared" ca="1" si="92"/>
        <v/>
      </c>
      <c r="N289" s="601" t="str">
        <f t="shared" ca="1" si="93"/>
        <v/>
      </c>
      <c r="O289" s="478" t="str">
        <f t="shared" ca="1" si="94"/>
        <v/>
      </c>
      <c r="P289" s="445" t="str">
        <f t="array" aca="1" ref="P289" ca="1">IF(B289="","",IFERROR(MAX(OFFSET(高値!$E$6,MATCH(TEXT(B289,"0"),TEXT(銘柄管理!$B$6:$B$305,"0"),0)-1,0,1,10)),""))</f>
        <v/>
      </c>
      <c r="Q289" s="445" t="str">
        <f t="array" aca="1" ref="Q289" ca="1">IF(B289="","",IFERROR(MIN(OFFSET(安値!$E$6,MATCH(TEXT(B289,"0"),TEXT(銘柄管理!$B$6:$B$305,"0"),0)-1,0,1,10)),""))</f>
        <v/>
      </c>
      <c r="R289" s="480" t="str">
        <f t="shared" ca="1" si="105"/>
        <v/>
      </c>
      <c r="S289" s="480" t="str">
        <f t="shared" si="106"/>
        <v/>
      </c>
      <c r="T289" s="599" t="str">
        <f t="shared" ca="1" si="95"/>
        <v/>
      </c>
      <c r="U289" s="601" t="str">
        <f t="shared" ca="1" si="96"/>
        <v/>
      </c>
      <c r="V289" s="707" t="str">
        <f t="shared" ca="1" si="107"/>
        <v/>
      </c>
      <c r="W289" s="480" t="str">
        <f t="shared" ca="1" si="97"/>
        <v/>
      </c>
      <c r="X289" s="480" t="str">
        <f t="shared" ca="1" si="98"/>
        <v/>
      </c>
      <c r="Y289" s="488"/>
      <c r="Z289" s="714"/>
      <c r="AD289" s="611"/>
      <c r="AE289" s="603" t="str">
        <f t="shared" si="99"/>
        <v/>
      </c>
      <c r="AF289" s="603"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03"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03" t="str">
        <f t="shared" ca="1" si="100"/>
        <v/>
      </c>
      <c r="AI289" s="603" t="str" cm="1">
        <f t="array" ref="AI289">IFERROR(INDEX(始値!$E$6:$BT$305,MATCH(TEXT($B289,"0"),TEXT(銘柄管理!$B$6:$B$305,"0"),0),MATCH($AE289,始値!$E$3:$BT$3,0)),"")</f>
        <v/>
      </c>
      <c r="AJ289" s="603" t="str">
        <f t="shared" ca="1" si="101"/>
        <v/>
      </c>
      <c r="AK289" s="603" t="str">
        <f t="shared" ca="1" si="102"/>
        <v/>
      </c>
    </row>
    <row r="290" spans="1:37" ht="17.25" customHeight="1">
      <c r="A290" s="625" t="str">
        <f t="shared" si="91"/>
        <v/>
      </c>
      <c r="B290" s="480"/>
      <c r="C290" s="480"/>
      <c r="D290" s="480" t="str" cm="1">
        <f t="array" ref="D290">_xll.RssMarket(B290, "銘柄名称")</f>
        <v/>
      </c>
      <c r="E290" s="721"/>
      <c r="F290" s="702" t="str" cm="1">
        <f t="array" aca="1" ref="F290" ca="1">IFERROR(_xlfn.LET(_xlpm.r,MATCH(TEXT($B290,"0"),TEXT(銘柄管理!$B$6:$B$305,"0"),0),_xlpm.t,MOD(NOW(),1),_xlpm.c,IF($E290=TODAY(),IF(_xlpm.t&gt;=TIME(15,30,0),NA(),1),IF(MATCH($E290,始値!$E$3:$BT$3,0)=1,1,MATCH($E290,始値!$E$3:$BT$3,0)+1)),_xlpm.v,INDEX(始値!$C$6:$BT$305,_xlpm.r,_xlpm.c),IF(N(_xlpm.v)=0,"",_xlpm.v)),"")</f>
        <v/>
      </c>
      <c r="G290" s="480"/>
      <c r="H290" s="480" t="str" cm="1">
        <f t="array" ref="H290">_xll.RssMarket(B290, "現在値")</f>
        <v/>
      </c>
      <c r="I290" s="480" t="str" cm="1">
        <f t="array" ref="I290">_xll.RssMarket(B290, "出来高加重平均")</f>
        <v/>
      </c>
      <c r="J290" s="706" t="str" cm="1">
        <f t="array" ref="J290">_xll.RssMarket($B290, "前日比")</f>
        <v/>
      </c>
      <c r="K290" s="707" t="str">
        <f t="shared" ca="1" si="103"/>
        <v/>
      </c>
      <c r="L290" s="712" t="str">
        <f t="shared" ca="1" si="104"/>
        <v/>
      </c>
      <c r="M290" s="601" t="str">
        <f t="shared" ca="1" si="92"/>
        <v/>
      </c>
      <c r="N290" s="601" t="str">
        <f t="shared" ca="1" si="93"/>
        <v/>
      </c>
      <c r="O290" s="478" t="str">
        <f t="shared" ca="1" si="94"/>
        <v/>
      </c>
      <c r="P290" s="445" t="str">
        <f t="array" aca="1" ref="P290" ca="1">IF(B290="","",IFERROR(MAX(OFFSET(高値!$E$6,MATCH(TEXT(B290,"0"),TEXT(銘柄管理!$B$6:$B$305,"0"),0)-1,0,1,10)),""))</f>
        <v/>
      </c>
      <c r="Q290" s="445" t="str">
        <f t="array" aca="1" ref="Q290" ca="1">IF(B290="","",IFERROR(MIN(OFFSET(安値!$E$6,MATCH(TEXT(B290,"0"),TEXT(銘柄管理!$B$6:$B$305,"0"),0)-1,0,1,10)),""))</f>
        <v/>
      </c>
      <c r="R290" s="480" t="str">
        <f t="shared" ca="1" si="105"/>
        <v/>
      </c>
      <c r="S290" s="480" t="str">
        <f t="shared" si="106"/>
        <v/>
      </c>
      <c r="T290" s="599" t="str">
        <f t="shared" ca="1" si="95"/>
        <v/>
      </c>
      <c r="U290" s="601" t="str">
        <f t="shared" ca="1" si="96"/>
        <v/>
      </c>
      <c r="V290" s="707" t="str">
        <f t="shared" ca="1" si="107"/>
        <v/>
      </c>
      <c r="W290" s="480" t="str">
        <f t="shared" ca="1" si="97"/>
        <v/>
      </c>
      <c r="X290" s="480" t="str">
        <f t="shared" ca="1" si="98"/>
        <v/>
      </c>
      <c r="Y290" s="488"/>
      <c r="Z290" s="714"/>
      <c r="AD290" s="611"/>
      <c r="AE290" s="603" t="str">
        <f t="shared" si="99"/>
        <v/>
      </c>
      <c r="AF290" s="603"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03"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03" t="str">
        <f t="shared" ca="1" si="100"/>
        <v/>
      </c>
      <c r="AI290" s="603" t="str" cm="1">
        <f t="array" ref="AI290">IFERROR(INDEX(始値!$E$6:$BT$305,MATCH(TEXT($B290,"0"),TEXT(銘柄管理!$B$6:$B$305,"0"),0),MATCH($AE290,始値!$E$3:$BT$3,0)),"")</f>
        <v/>
      </c>
      <c r="AJ290" s="603" t="str">
        <f t="shared" ca="1" si="101"/>
        <v/>
      </c>
      <c r="AK290" s="603" t="str">
        <f t="shared" ca="1" si="102"/>
        <v/>
      </c>
    </row>
    <row r="291" spans="1:37" ht="17.25" customHeight="1">
      <c r="A291" s="625" t="str">
        <f t="shared" si="91"/>
        <v/>
      </c>
      <c r="B291" s="480"/>
      <c r="C291" s="480"/>
      <c r="D291" s="480" t="str" cm="1">
        <f t="array" ref="D291">_xll.RssMarket(B291, "銘柄名称")</f>
        <v/>
      </c>
      <c r="E291" s="721"/>
      <c r="F291" s="702" t="str" cm="1">
        <f t="array" aca="1" ref="F291" ca="1">IFERROR(_xlfn.LET(_xlpm.r,MATCH(TEXT($B291,"0"),TEXT(銘柄管理!$B$6:$B$305,"0"),0),_xlpm.t,MOD(NOW(),1),_xlpm.c,IF($E291=TODAY(),IF(_xlpm.t&gt;=TIME(15,30,0),NA(),1),IF(MATCH($E291,始値!$E$3:$BT$3,0)=1,1,MATCH($E291,始値!$E$3:$BT$3,0)+1)),_xlpm.v,INDEX(始値!$C$6:$BT$305,_xlpm.r,_xlpm.c),IF(N(_xlpm.v)=0,"",_xlpm.v)),"")</f>
        <v/>
      </c>
      <c r="G291" s="480"/>
      <c r="H291" s="480" t="str" cm="1">
        <f t="array" ref="H291">_xll.RssMarket(B291, "現在値")</f>
        <v/>
      </c>
      <c r="I291" s="480" t="str" cm="1">
        <f t="array" ref="I291">_xll.RssMarket(B291, "出来高加重平均")</f>
        <v/>
      </c>
      <c r="J291" s="706" t="str" cm="1">
        <f t="array" ref="J291">_xll.RssMarket($B291, "前日比")</f>
        <v/>
      </c>
      <c r="K291" s="707" t="str">
        <f t="shared" ca="1" si="103"/>
        <v/>
      </c>
      <c r="L291" s="712" t="str">
        <f t="shared" ca="1" si="104"/>
        <v/>
      </c>
      <c r="M291" s="601" t="str">
        <f t="shared" ca="1" si="92"/>
        <v/>
      </c>
      <c r="N291" s="601" t="str">
        <f t="shared" ca="1" si="93"/>
        <v/>
      </c>
      <c r="O291" s="478" t="str">
        <f t="shared" ca="1" si="94"/>
        <v/>
      </c>
      <c r="P291" s="445" t="str">
        <f t="array" aca="1" ref="P291" ca="1">IF(B291="","",IFERROR(MAX(OFFSET(高値!$E$6,MATCH(TEXT(B291,"0"),TEXT(銘柄管理!$B$6:$B$305,"0"),0)-1,0,1,10)),""))</f>
        <v/>
      </c>
      <c r="Q291" s="445" t="str">
        <f t="array" aca="1" ref="Q291" ca="1">IF(B291="","",IFERROR(MIN(OFFSET(安値!$E$6,MATCH(TEXT(B291,"0"),TEXT(銘柄管理!$B$6:$B$305,"0"),0)-1,0,1,10)),""))</f>
        <v/>
      </c>
      <c r="R291" s="480" t="str">
        <f t="shared" ca="1" si="105"/>
        <v/>
      </c>
      <c r="S291" s="480" t="str">
        <f t="shared" si="106"/>
        <v/>
      </c>
      <c r="T291" s="599" t="str">
        <f t="shared" ca="1" si="95"/>
        <v/>
      </c>
      <c r="U291" s="601" t="str">
        <f t="shared" ca="1" si="96"/>
        <v/>
      </c>
      <c r="V291" s="707" t="str">
        <f t="shared" ca="1" si="107"/>
        <v/>
      </c>
      <c r="W291" s="480" t="str">
        <f t="shared" ca="1" si="97"/>
        <v/>
      </c>
      <c r="X291" s="480" t="str">
        <f t="shared" ca="1" si="98"/>
        <v/>
      </c>
      <c r="Y291" s="488"/>
      <c r="Z291" s="714"/>
      <c r="AD291" s="611"/>
      <c r="AE291" s="603" t="str">
        <f t="shared" si="99"/>
        <v/>
      </c>
      <c r="AF291" s="603"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03"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03" t="str">
        <f t="shared" ca="1" si="100"/>
        <v/>
      </c>
      <c r="AI291" s="603" t="str" cm="1">
        <f t="array" ref="AI291">IFERROR(INDEX(始値!$E$6:$BT$305,MATCH(TEXT($B291,"0"),TEXT(銘柄管理!$B$6:$B$305,"0"),0),MATCH($AE291,始値!$E$3:$BT$3,0)),"")</f>
        <v/>
      </c>
      <c r="AJ291" s="603" t="str">
        <f t="shared" ca="1" si="101"/>
        <v/>
      </c>
      <c r="AK291" s="603" t="str">
        <f t="shared" ca="1" si="102"/>
        <v/>
      </c>
    </row>
    <row r="292" spans="1:37" ht="17.25" customHeight="1">
      <c r="A292" s="625" t="str">
        <f t="shared" si="91"/>
        <v/>
      </c>
      <c r="B292" s="480"/>
      <c r="C292" s="480"/>
      <c r="D292" s="480" t="str" cm="1">
        <f t="array" ref="D292">_xll.RssMarket(B292, "銘柄名称")</f>
        <v/>
      </c>
      <c r="E292" s="721"/>
      <c r="F292" s="702" t="str" cm="1">
        <f t="array" aca="1" ref="F292" ca="1">IFERROR(_xlfn.LET(_xlpm.r,MATCH(TEXT($B292,"0"),TEXT(銘柄管理!$B$6:$B$305,"0"),0),_xlpm.t,MOD(NOW(),1),_xlpm.c,IF($E292=TODAY(),IF(_xlpm.t&gt;=TIME(15,30,0),NA(),1),IF(MATCH($E292,始値!$E$3:$BT$3,0)=1,1,MATCH($E292,始値!$E$3:$BT$3,0)+1)),_xlpm.v,INDEX(始値!$C$6:$BT$305,_xlpm.r,_xlpm.c),IF(N(_xlpm.v)=0,"",_xlpm.v)),"")</f>
        <v/>
      </c>
      <c r="G292" s="480"/>
      <c r="H292" s="480" t="str" cm="1">
        <f t="array" ref="H292">_xll.RssMarket(B292, "現在値")</f>
        <v/>
      </c>
      <c r="I292" s="480" t="str" cm="1">
        <f t="array" ref="I292">_xll.RssMarket(B292, "出来高加重平均")</f>
        <v/>
      </c>
      <c r="J292" s="706" t="str" cm="1">
        <f t="array" ref="J292">_xll.RssMarket($B292, "前日比")</f>
        <v/>
      </c>
      <c r="K292" s="707" t="str">
        <f t="shared" ca="1" si="103"/>
        <v/>
      </c>
      <c r="L292" s="712" t="str">
        <f t="shared" ca="1" si="104"/>
        <v/>
      </c>
      <c r="M292" s="601" t="str">
        <f t="shared" ca="1" si="92"/>
        <v/>
      </c>
      <c r="N292" s="601" t="str">
        <f t="shared" ca="1" si="93"/>
        <v/>
      </c>
      <c r="O292" s="478" t="str">
        <f t="shared" ca="1" si="94"/>
        <v/>
      </c>
      <c r="P292" s="445" t="str">
        <f t="array" aca="1" ref="P292" ca="1">IF(B292="","",IFERROR(MAX(OFFSET(高値!$E$6,MATCH(TEXT(B292,"0"),TEXT(銘柄管理!$B$6:$B$305,"0"),0)-1,0,1,10)),""))</f>
        <v/>
      </c>
      <c r="Q292" s="445" t="str">
        <f t="array" aca="1" ref="Q292" ca="1">IF(B292="","",IFERROR(MIN(OFFSET(安値!$E$6,MATCH(TEXT(B292,"0"),TEXT(銘柄管理!$B$6:$B$305,"0"),0)-1,0,1,10)),""))</f>
        <v/>
      </c>
      <c r="R292" s="480" t="str">
        <f t="shared" ca="1" si="105"/>
        <v/>
      </c>
      <c r="S292" s="480" t="str">
        <f t="shared" si="106"/>
        <v/>
      </c>
      <c r="T292" s="599" t="str">
        <f t="shared" ca="1" si="95"/>
        <v/>
      </c>
      <c r="U292" s="601" t="str">
        <f t="shared" ca="1" si="96"/>
        <v/>
      </c>
      <c r="V292" s="707" t="str">
        <f t="shared" ca="1" si="107"/>
        <v/>
      </c>
      <c r="W292" s="480" t="str">
        <f t="shared" ca="1" si="97"/>
        <v/>
      </c>
      <c r="X292" s="480" t="str">
        <f t="shared" ca="1" si="98"/>
        <v/>
      </c>
      <c r="Y292" s="488"/>
      <c r="Z292" s="714"/>
      <c r="AD292" s="611"/>
      <c r="AE292" s="603" t="str">
        <f t="shared" si="99"/>
        <v/>
      </c>
      <c r="AF292" s="603"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03"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03" t="str">
        <f t="shared" ca="1" si="100"/>
        <v/>
      </c>
      <c r="AI292" s="603" t="str" cm="1">
        <f t="array" ref="AI292">IFERROR(INDEX(始値!$E$6:$BT$305,MATCH(TEXT($B292,"0"),TEXT(銘柄管理!$B$6:$B$305,"0"),0),MATCH($AE292,始値!$E$3:$BT$3,0)),"")</f>
        <v/>
      </c>
      <c r="AJ292" s="603" t="str">
        <f t="shared" ca="1" si="101"/>
        <v/>
      </c>
      <c r="AK292" s="603" t="str">
        <f t="shared" ca="1" si="102"/>
        <v/>
      </c>
    </row>
    <row r="293" spans="1:37" ht="17.25" customHeight="1">
      <c r="A293" s="625" t="str">
        <f t="shared" si="91"/>
        <v/>
      </c>
      <c r="B293" s="480"/>
      <c r="C293" s="480"/>
      <c r="D293" s="480" t="str" cm="1">
        <f t="array" ref="D293">_xll.RssMarket(B293, "銘柄名称")</f>
        <v/>
      </c>
      <c r="E293" s="721"/>
      <c r="F293" s="702" t="str" cm="1">
        <f t="array" aca="1" ref="F293" ca="1">IFERROR(_xlfn.LET(_xlpm.r,MATCH(TEXT($B293,"0"),TEXT(銘柄管理!$B$6:$B$305,"0"),0),_xlpm.t,MOD(NOW(),1),_xlpm.c,IF($E293=TODAY(),IF(_xlpm.t&gt;=TIME(15,30,0),NA(),1),IF(MATCH($E293,始値!$E$3:$BT$3,0)=1,1,MATCH($E293,始値!$E$3:$BT$3,0)+1)),_xlpm.v,INDEX(始値!$C$6:$BT$305,_xlpm.r,_xlpm.c),IF(N(_xlpm.v)=0,"",_xlpm.v)),"")</f>
        <v/>
      </c>
      <c r="G293" s="480"/>
      <c r="H293" s="480" t="str" cm="1">
        <f t="array" ref="H293">_xll.RssMarket(B293, "現在値")</f>
        <v/>
      </c>
      <c r="I293" s="480" t="str" cm="1">
        <f t="array" ref="I293">_xll.RssMarket(B293, "出来高加重平均")</f>
        <v/>
      </c>
      <c r="J293" s="706" t="str" cm="1">
        <f t="array" ref="J293">_xll.RssMarket($B293, "前日比")</f>
        <v/>
      </c>
      <c r="K293" s="707" t="str">
        <f t="shared" ca="1" si="103"/>
        <v/>
      </c>
      <c r="L293" s="712" t="str">
        <f t="shared" ca="1" si="104"/>
        <v/>
      </c>
      <c r="M293" s="601" t="str">
        <f t="shared" ca="1" si="92"/>
        <v/>
      </c>
      <c r="N293" s="601" t="str">
        <f t="shared" ca="1" si="93"/>
        <v/>
      </c>
      <c r="O293" s="478" t="str">
        <f t="shared" ca="1" si="94"/>
        <v/>
      </c>
      <c r="P293" s="445" t="str">
        <f t="array" aca="1" ref="P293" ca="1">IF(B293="","",IFERROR(MAX(OFFSET(高値!$E$6,MATCH(TEXT(B293,"0"),TEXT(銘柄管理!$B$6:$B$305,"0"),0)-1,0,1,10)),""))</f>
        <v/>
      </c>
      <c r="Q293" s="445" t="str">
        <f t="array" aca="1" ref="Q293" ca="1">IF(B293="","",IFERROR(MIN(OFFSET(安値!$E$6,MATCH(TEXT(B293,"0"),TEXT(銘柄管理!$B$6:$B$305,"0"),0)-1,0,1,10)),""))</f>
        <v/>
      </c>
      <c r="R293" s="480" t="str">
        <f t="shared" ca="1" si="105"/>
        <v/>
      </c>
      <c r="S293" s="480" t="str">
        <f t="shared" si="106"/>
        <v/>
      </c>
      <c r="T293" s="599" t="str">
        <f t="shared" ca="1" si="95"/>
        <v/>
      </c>
      <c r="U293" s="601" t="str">
        <f t="shared" ca="1" si="96"/>
        <v/>
      </c>
      <c r="V293" s="707" t="str">
        <f t="shared" ca="1" si="107"/>
        <v/>
      </c>
      <c r="W293" s="480" t="str">
        <f t="shared" ca="1" si="97"/>
        <v/>
      </c>
      <c r="X293" s="480" t="str">
        <f t="shared" ca="1" si="98"/>
        <v/>
      </c>
      <c r="Y293" s="488"/>
      <c r="Z293" s="714"/>
      <c r="AD293" s="611"/>
      <c r="AE293" s="603" t="str">
        <f t="shared" si="99"/>
        <v/>
      </c>
      <c r="AF293" s="603"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03"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03" t="str">
        <f t="shared" ca="1" si="100"/>
        <v/>
      </c>
      <c r="AI293" s="603" t="str" cm="1">
        <f t="array" ref="AI293">IFERROR(INDEX(始値!$E$6:$BT$305,MATCH(TEXT($B293,"0"),TEXT(銘柄管理!$B$6:$B$305,"0"),0),MATCH($AE293,始値!$E$3:$BT$3,0)),"")</f>
        <v/>
      </c>
      <c r="AJ293" s="603" t="str">
        <f t="shared" ca="1" si="101"/>
        <v/>
      </c>
      <c r="AK293" s="603" t="str">
        <f t="shared" ca="1" si="102"/>
        <v/>
      </c>
    </row>
    <row r="294" spans="1:37" ht="17.25" customHeight="1">
      <c r="A294" s="625" t="str">
        <f t="shared" si="91"/>
        <v/>
      </c>
      <c r="B294" s="480"/>
      <c r="C294" s="480"/>
      <c r="D294" s="480" t="str" cm="1">
        <f t="array" ref="D294">_xll.RssMarket(B294, "銘柄名称")</f>
        <v/>
      </c>
      <c r="E294" s="721"/>
      <c r="F294" s="702" t="str" cm="1">
        <f t="array" aca="1" ref="F294" ca="1">IFERROR(_xlfn.LET(_xlpm.r,MATCH(TEXT($B294,"0"),TEXT(銘柄管理!$B$6:$B$305,"0"),0),_xlpm.t,MOD(NOW(),1),_xlpm.c,IF($E294=TODAY(),IF(_xlpm.t&gt;=TIME(15,30,0),NA(),1),IF(MATCH($E294,始値!$E$3:$BT$3,0)=1,1,MATCH($E294,始値!$E$3:$BT$3,0)+1)),_xlpm.v,INDEX(始値!$C$6:$BT$305,_xlpm.r,_xlpm.c),IF(N(_xlpm.v)=0,"",_xlpm.v)),"")</f>
        <v/>
      </c>
      <c r="G294" s="480"/>
      <c r="H294" s="480" t="str" cm="1">
        <f t="array" ref="H294">_xll.RssMarket(B294, "現在値")</f>
        <v/>
      </c>
      <c r="I294" s="480" t="str" cm="1">
        <f t="array" ref="I294">_xll.RssMarket(B294, "出来高加重平均")</f>
        <v/>
      </c>
      <c r="J294" s="706" t="str" cm="1">
        <f t="array" ref="J294">_xll.RssMarket($B294, "前日比")</f>
        <v/>
      </c>
      <c r="K294" s="707" t="str">
        <f t="shared" ca="1" si="103"/>
        <v/>
      </c>
      <c r="L294" s="712" t="str">
        <f t="shared" ca="1" si="104"/>
        <v/>
      </c>
      <c r="M294" s="601" t="str">
        <f t="shared" ca="1" si="92"/>
        <v/>
      </c>
      <c r="N294" s="601" t="str">
        <f t="shared" ca="1" si="93"/>
        <v/>
      </c>
      <c r="O294" s="478" t="str">
        <f t="shared" ca="1" si="94"/>
        <v/>
      </c>
      <c r="P294" s="445" t="str">
        <f t="array" aca="1" ref="P294" ca="1">IF(B294="","",IFERROR(MAX(OFFSET(高値!$E$6,MATCH(TEXT(B294,"0"),TEXT(銘柄管理!$B$6:$B$305,"0"),0)-1,0,1,10)),""))</f>
        <v/>
      </c>
      <c r="Q294" s="445" t="str">
        <f t="array" aca="1" ref="Q294" ca="1">IF(B294="","",IFERROR(MIN(OFFSET(安値!$E$6,MATCH(TEXT(B294,"0"),TEXT(銘柄管理!$B$6:$B$305,"0"),0)-1,0,1,10)),""))</f>
        <v/>
      </c>
      <c r="R294" s="480" t="str">
        <f t="shared" ca="1" si="105"/>
        <v/>
      </c>
      <c r="S294" s="480" t="str">
        <f t="shared" si="106"/>
        <v/>
      </c>
      <c r="T294" s="599" t="str">
        <f t="shared" ca="1" si="95"/>
        <v/>
      </c>
      <c r="U294" s="601" t="str">
        <f t="shared" ca="1" si="96"/>
        <v/>
      </c>
      <c r="V294" s="707" t="str">
        <f t="shared" ca="1" si="107"/>
        <v/>
      </c>
      <c r="W294" s="480" t="str">
        <f t="shared" ca="1" si="97"/>
        <v/>
      </c>
      <c r="X294" s="480" t="str">
        <f t="shared" ca="1" si="98"/>
        <v/>
      </c>
      <c r="Y294" s="488"/>
      <c r="Z294" s="714"/>
      <c r="AD294" s="611"/>
      <c r="AE294" s="603" t="str">
        <f t="shared" si="99"/>
        <v/>
      </c>
      <c r="AF294" s="603"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03"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03" t="str">
        <f t="shared" ca="1" si="100"/>
        <v/>
      </c>
      <c r="AI294" s="603" t="str" cm="1">
        <f t="array" ref="AI294">IFERROR(INDEX(始値!$E$6:$BT$305,MATCH(TEXT($B294,"0"),TEXT(銘柄管理!$B$6:$B$305,"0"),0),MATCH($AE294,始値!$E$3:$BT$3,0)),"")</f>
        <v/>
      </c>
      <c r="AJ294" s="603" t="str">
        <f t="shared" ca="1" si="101"/>
        <v/>
      </c>
      <c r="AK294" s="603" t="str">
        <f t="shared" ca="1" si="102"/>
        <v/>
      </c>
    </row>
    <row r="295" spans="1:37" ht="17.25" customHeight="1">
      <c r="A295" s="625" t="str">
        <f t="shared" si="91"/>
        <v/>
      </c>
      <c r="B295" s="480"/>
      <c r="C295" s="480"/>
      <c r="D295" s="480" t="str" cm="1">
        <f t="array" ref="D295">_xll.RssMarket(B295, "銘柄名称")</f>
        <v/>
      </c>
      <c r="E295" s="721"/>
      <c r="F295" s="702" t="str" cm="1">
        <f t="array" aca="1" ref="F295" ca="1">IFERROR(_xlfn.LET(_xlpm.r,MATCH(TEXT($B295,"0"),TEXT(銘柄管理!$B$6:$B$305,"0"),0),_xlpm.t,MOD(NOW(),1),_xlpm.c,IF($E295=TODAY(),IF(_xlpm.t&gt;=TIME(15,30,0),NA(),1),IF(MATCH($E295,始値!$E$3:$BT$3,0)=1,1,MATCH($E295,始値!$E$3:$BT$3,0)+1)),_xlpm.v,INDEX(始値!$C$6:$BT$305,_xlpm.r,_xlpm.c),IF(N(_xlpm.v)=0,"",_xlpm.v)),"")</f>
        <v/>
      </c>
      <c r="G295" s="480"/>
      <c r="H295" s="480" t="str" cm="1">
        <f t="array" ref="H295">_xll.RssMarket(B295, "現在値")</f>
        <v/>
      </c>
      <c r="I295" s="480" t="str" cm="1">
        <f t="array" ref="I295">_xll.RssMarket(B295, "出来高加重平均")</f>
        <v/>
      </c>
      <c r="J295" s="706" t="str" cm="1">
        <f t="array" ref="J295">_xll.RssMarket($B295, "前日比")</f>
        <v/>
      </c>
      <c r="K295" s="707" t="str">
        <f t="shared" ca="1" si="103"/>
        <v/>
      </c>
      <c r="L295" s="712" t="str">
        <f t="shared" ca="1" si="104"/>
        <v/>
      </c>
      <c r="M295" s="601" t="str">
        <f t="shared" ca="1" si="92"/>
        <v/>
      </c>
      <c r="N295" s="601" t="str">
        <f t="shared" ca="1" si="93"/>
        <v/>
      </c>
      <c r="O295" s="478" t="str">
        <f t="shared" ca="1" si="94"/>
        <v/>
      </c>
      <c r="P295" s="445" t="str">
        <f t="array" aca="1" ref="P295" ca="1">IF(B295="","",IFERROR(MAX(OFFSET(高値!$E$6,MATCH(TEXT(B295,"0"),TEXT(銘柄管理!$B$6:$B$305,"0"),0)-1,0,1,10)),""))</f>
        <v/>
      </c>
      <c r="Q295" s="445" t="str">
        <f t="array" aca="1" ref="Q295" ca="1">IF(B295="","",IFERROR(MIN(OFFSET(安値!$E$6,MATCH(TEXT(B295,"0"),TEXT(銘柄管理!$B$6:$B$305,"0"),0)-1,0,1,10)),""))</f>
        <v/>
      </c>
      <c r="R295" s="480" t="str">
        <f t="shared" ca="1" si="105"/>
        <v/>
      </c>
      <c r="S295" s="480" t="str">
        <f t="shared" si="106"/>
        <v/>
      </c>
      <c r="T295" s="599" t="str">
        <f t="shared" ca="1" si="95"/>
        <v/>
      </c>
      <c r="U295" s="601" t="str">
        <f t="shared" ca="1" si="96"/>
        <v/>
      </c>
      <c r="V295" s="707" t="str">
        <f t="shared" ca="1" si="107"/>
        <v/>
      </c>
      <c r="W295" s="480" t="str">
        <f t="shared" ca="1" si="97"/>
        <v/>
      </c>
      <c r="X295" s="480" t="str">
        <f t="shared" ca="1" si="98"/>
        <v/>
      </c>
      <c r="Y295" s="488"/>
      <c r="Z295" s="714"/>
      <c r="AD295" s="611"/>
      <c r="AE295" s="603" t="str">
        <f t="shared" si="99"/>
        <v/>
      </c>
      <c r="AF295" s="603"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03"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03" t="str">
        <f t="shared" ca="1" si="100"/>
        <v/>
      </c>
      <c r="AI295" s="603" t="str" cm="1">
        <f t="array" ref="AI295">IFERROR(INDEX(始値!$E$6:$BT$305,MATCH(TEXT($B295,"0"),TEXT(銘柄管理!$B$6:$B$305,"0"),0),MATCH($AE295,始値!$E$3:$BT$3,0)),"")</f>
        <v/>
      </c>
      <c r="AJ295" s="603" t="str">
        <f t="shared" ca="1" si="101"/>
        <v/>
      </c>
      <c r="AK295" s="603" t="str">
        <f t="shared" ca="1" si="102"/>
        <v/>
      </c>
    </row>
    <row r="296" spans="1:37" ht="17.25" customHeight="1">
      <c r="A296" s="625" t="str">
        <f t="shared" si="91"/>
        <v/>
      </c>
      <c r="B296" s="480"/>
      <c r="C296" s="480"/>
      <c r="D296" s="480" t="str" cm="1">
        <f t="array" ref="D296">_xll.RssMarket(B296, "銘柄名称")</f>
        <v/>
      </c>
      <c r="E296" s="721"/>
      <c r="F296" s="702" t="str" cm="1">
        <f t="array" aca="1" ref="F296" ca="1">IFERROR(_xlfn.LET(_xlpm.r,MATCH(TEXT($B296,"0"),TEXT(銘柄管理!$B$6:$B$305,"0"),0),_xlpm.t,MOD(NOW(),1),_xlpm.c,IF($E296=TODAY(),IF(_xlpm.t&gt;=TIME(15,30,0),NA(),1),IF(MATCH($E296,始値!$E$3:$BT$3,0)=1,1,MATCH($E296,始値!$E$3:$BT$3,0)+1)),_xlpm.v,INDEX(始値!$C$6:$BT$305,_xlpm.r,_xlpm.c),IF(N(_xlpm.v)=0,"",_xlpm.v)),"")</f>
        <v/>
      </c>
      <c r="G296" s="480"/>
      <c r="H296" s="480" t="str" cm="1">
        <f t="array" ref="H296">_xll.RssMarket(B296, "現在値")</f>
        <v/>
      </c>
      <c r="I296" s="480" t="str" cm="1">
        <f t="array" ref="I296">_xll.RssMarket(B296, "出来高加重平均")</f>
        <v/>
      </c>
      <c r="J296" s="706" t="str" cm="1">
        <f t="array" ref="J296">_xll.RssMarket($B296, "前日比")</f>
        <v/>
      </c>
      <c r="K296" s="707" t="str">
        <f t="shared" ca="1" si="103"/>
        <v/>
      </c>
      <c r="L296" s="712" t="str">
        <f t="shared" ca="1" si="104"/>
        <v/>
      </c>
      <c r="M296" s="601" t="str">
        <f t="shared" ca="1" si="92"/>
        <v/>
      </c>
      <c r="N296" s="601" t="str">
        <f t="shared" ca="1" si="93"/>
        <v/>
      </c>
      <c r="O296" s="478" t="str">
        <f t="shared" ca="1" si="94"/>
        <v/>
      </c>
      <c r="P296" s="445" t="str">
        <f t="array" aca="1" ref="P296" ca="1">IF(B296="","",IFERROR(MAX(OFFSET(高値!$E$6,MATCH(TEXT(B296,"0"),TEXT(銘柄管理!$B$6:$B$305,"0"),0)-1,0,1,10)),""))</f>
        <v/>
      </c>
      <c r="Q296" s="445" t="str">
        <f t="array" aca="1" ref="Q296" ca="1">IF(B296="","",IFERROR(MIN(OFFSET(安値!$E$6,MATCH(TEXT(B296,"0"),TEXT(銘柄管理!$B$6:$B$305,"0"),0)-1,0,1,10)),""))</f>
        <v/>
      </c>
      <c r="R296" s="480" t="str">
        <f t="shared" ca="1" si="105"/>
        <v/>
      </c>
      <c r="S296" s="480" t="str">
        <f t="shared" si="106"/>
        <v/>
      </c>
      <c r="T296" s="599" t="str">
        <f t="shared" ca="1" si="95"/>
        <v/>
      </c>
      <c r="U296" s="601" t="str">
        <f t="shared" ca="1" si="96"/>
        <v/>
      </c>
      <c r="V296" s="707" t="str">
        <f t="shared" ca="1" si="107"/>
        <v/>
      </c>
      <c r="W296" s="480" t="str">
        <f t="shared" ca="1" si="97"/>
        <v/>
      </c>
      <c r="X296" s="480" t="str">
        <f t="shared" ca="1" si="98"/>
        <v/>
      </c>
      <c r="Y296" s="488"/>
      <c r="Z296" s="714"/>
      <c r="AD296" s="611"/>
      <c r="AE296" s="603" t="str">
        <f t="shared" si="99"/>
        <v/>
      </c>
      <c r="AF296" s="603"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03"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03" t="str">
        <f t="shared" ca="1" si="100"/>
        <v/>
      </c>
      <c r="AI296" s="603" t="str" cm="1">
        <f t="array" ref="AI296">IFERROR(INDEX(始値!$E$6:$BT$305,MATCH(TEXT($B296,"0"),TEXT(銘柄管理!$B$6:$B$305,"0"),0),MATCH($AE296,始値!$E$3:$BT$3,0)),"")</f>
        <v/>
      </c>
      <c r="AJ296" s="603" t="str">
        <f t="shared" ca="1" si="101"/>
        <v/>
      </c>
      <c r="AK296" s="603" t="str">
        <f t="shared" ca="1" si="102"/>
        <v/>
      </c>
    </row>
    <row r="297" spans="1:37" ht="17.25" customHeight="1">
      <c r="A297" s="625" t="str">
        <f t="shared" si="91"/>
        <v/>
      </c>
      <c r="B297" s="480"/>
      <c r="C297" s="480"/>
      <c r="D297" s="480" t="str" cm="1">
        <f t="array" ref="D297">_xll.RssMarket(B297, "銘柄名称")</f>
        <v/>
      </c>
      <c r="E297" s="721"/>
      <c r="F297" s="702" t="str" cm="1">
        <f t="array" aca="1" ref="F297" ca="1">IFERROR(_xlfn.LET(_xlpm.r,MATCH(TEXT($B297,"0"),TEXT(銘柄管理!$B$6:$B$305,"0"),0),_xlpm.t,MOD(NOW(),1),_xlpm.c,IF($E297=TODAY(),IF(_xlpm.t&gt;=TIME(15,30,0),NA(),1),IF(MATCH($E297,始値!$E$3:$BT$3,0)=1,1,MATCH($E297,始値!$E$3:$BT$3,0)+1)),_xlpm.v,INDEX(始値!$C$6:$BT$305,_xlpm.r,_xlpm.c),IF(N(_xlpm.v)=0,"",_xlpm.v)),"")</f>
        <v/>
      </c>
      <c r="G297" s="480"/>
      <c r="H297" s="480" t="str" cm="1">
        <f t="array" ref="H297">_xll.RssMarket(B297, "現在値")</f>
        <v/>
      </c>
      <c r="I297" s="480" t="str" cm="1">
        <f t="array" ref="I297">_xll.RssMarket(B297, "出来高加重平均")</f>
        <v/>
      </c>
      <c r="J297" s="706" t="str" cm="1">
        <f t="array" ref="J297">_xll.RssMarket($B297, "前日比")</f>
        <v/>
      </c>
      <c r="K297" s="707" t="str">
        <f t="shared" ca="1" si="103"/>
        <v/>
      </c>
      <c r="L297" s="712" t="str">
        <f t="shared" ca="1" si="104"/>
        <v/>
      </c>
      <c r="M297" s="601" t="str">
        <f t="shared" ca="1" si="92"/>
        <v/>
      </c>
      <c r="N297" s="601" t="str">
        <f t="shared" ca="1" si="93"/>
        <v/>
      </c>
      <c r="O297" s="478" t="str">
        <f t="shared" ca="1" si="94"/>
        <v/>
      </c>
      <c r="P297" s="445" t="str">
        <f t="array" aca="1" ref="P297" ca="1">IF(B297="","",IFERROR(MAX(OFFSET(高値!$E$6,MATCH(TEXT(B297,"0"),TEXT(銘柄管理!$B$6:$B$305,"0"),0)-1,0,1,10)),""))</f>
        <v/>
      </c>
      <c r="Q297" s="445" t="str">
        <f t="array" aca="1" ref="Q297" ca="1">IF(B297="","",IFERROR(MIN(OFFSET(安値!$E$6,MATCH(TEXT(B297,"0"),TEXT(銘柄管理!$B$6:$B$305,"0"),0)-1,0,1,10)),""))</f>
        <v/>
      </c>
      <c r="R297" s="480" t="str">
        <f t="shared" ca="1" si="105"/>
        <v/>
      </c>
      <c r="S297" s="480" t="str">
        <f t="shared" si="106"/>
        <v/>
      </c>
      <c r="T297" s="599" t="str">
        <f t="shared" ca="1" si="95"/>
        <v/>
      </c>
      <c r="U297" s="601" t="str">
        <f t="shared" ca="1" si="96"/>
        <v/>
      </c>
      <c r="V297" s="707" t="str">
        <f t="shared" ca="1" si="107"/>
        <v/>
      </c>
      <c r="W297" s="480" t="str">
        <f t="shared" ca="1" si="97"/>
        <v/>
      </c>
      <c r="X297" s="480" t="str">
        <f t="shared" ca="1" si="98"/>
        <v/>
      </c>
      <c r="Y297" s="488"/>
      <c r="Z297" s="714"/>
      <c r="AD297" s="611"/>
      <c r="AE297" s="603" t="str">
        <f t="shared" si="99"/>
        <v/>
      </c>
      <c r="AF297" s="603"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03"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03" t="str">
        <f t="shared" ca="1" si="100"/>
        <v/>
      </c>
      <c r="AI297" s="603" t="str" cm="1">
        <f t="array" ref="AI297">IFERROR(INDEX(始値!$E$6:$BT$305,MATCH(TEXT($B297,"0"),TEXT(銘柄管理!$B$6:$B$305,"0"),0),MATCH($AE297,始値!$E$3:$BT$3,0)),"")</f>
        <v/>
      </c>
      <c r="AJ297" s="603" t="str">
        <f t="shared" ca="1" si="101"/>
        <v/>
      </c>
      <c r="AK297" s="603" t="str">
        <f t="shared" ca="1" si="102"/>
        <v/>
      </c>
    </row>
    <row r="298" spans="1:37" ht="17.25" customHeight="1">
      <c r="A298" s="625" t="str">
        <f t="shared" si="91"/>
        <v/>
      </c>
      <c r="B298" s="480"/>
      <c r="C298" s="480"/>
      <c r="D298" s="480" t="str" cm="1">
        <f t="array" ref="D298">_xll.RssMarket(B298, "銘柄名称")</f>
        <v/>
      </c>
      <c r="E298" s="721"/>
      <c r="F298" s="702" t="str" cm="1">
        <f t="array" aca="1" ref="F298" ca="1">IFERROR(_xlfn.LET(_xlpm.r,MATCH(TEXT($B298,"0"),TEXT(銘柄管理!$B$6:$B$305,"0"),0),_xlpm.t,MOD(NOW(),1),_xlpm.c,IF($E298=TODAY(),IF(_xlpm.t&gt;=TIME(15,30,0),NA(),1),IF(MATCH($E298,始値!$E$3:$BT$3,0)=1,1,MATCH($E298,始値!$E$3:$BT$3,0)+1)),_xlpm.v,INDEX(始値!$C$6:$BT$305,_xlpm.r,_xlpm.c),IF(N(_xlpm.v)=0,"",_xlpm.v)),"")</f>
        <v/>
      </c>
      <c r="G298" s="480"/>
      <c r="H298" s="480" t="str" cm="1">
        <f t="array" ref="H298">_xll.RssMarket(B298, "現在値")</f>
        <v/>
      </c>
      <c r="I298" s="480" t="str" cm="1">
        <f t="array" ref="I298">_xll.RssMarket(B298, "出来高加重平均")</f>
        <v/>
      </c>
      <c r="J298" s="706" t="str" cm="1">
        <f t="array" ref="J298">_xll.RssMarket($B298, "前日比")</f>
        <v/>
      </c>
      <c r="K298" s="707" t="str">
        <f t="shared" ca="1" si="103"/>
        <v/>
      </c>
      <c r="L298" s="712" t="str">
        <f t="shared" ca="1" si="104"/>
        <v/>
      </c>
      <c r="M298" s="601" t="str">
        <f t="shared" ca="1" si="92"/>
        <v/>
      </c>
      <c r="N298" s="601" t="str">
        <f t="shared" ca="1" si="93"/>
        <v/>
      </c>
      <c r="O298" s="478" t="str">
        <f t="shared" ca="1" si="94"/>
        <v/>
      </c>
      <c r="P298" s="445" t="str">
        <f t="array" aca="1" ref="P298" ca="1">IF(B298="","",IFERROR(MAX(OFFSET(高値!$E$6,MATCH(TEXT(B298,"0"),TEXT(銘柄管理!$B$6:$B$305,"0"),0)-1,0,1,10)),""))</f>
        <v/>
      </c>
      <c r="Q298" s="445" t="str">
        <f t="array" aca="1" ref="Q298" ca="1">IF(B298="","",IFERROR(MIN(OFFSET(安値!$E$6,MATCH(TEXT(B298,"0"),TEXT(銘柄管理!$B$6:$B$305,"0"),0)-1,0,1,10)),""))</f>
        <v/>
      </c>
      <c r="R298" s="480" t="str">
        <f t="shared" ca="1" si="105"/>
        <v/>
      </c>
      <c r="S298" s="480" t="str">
        <f t="shared" si="106"/>
        <v/>
      </c>
      <c r="T298" s="599" t="str">
        <f t="shared" ca="1" si="95"/>
        <v/>
      </c>
      <c r="U298" s="601" t="str">
        <f t="shared" ca="1" si="96"/>
        <v/>
      </c>
      <c r="V298" s="707" t="str">
        <f t="shared" ca="1" si="107"/>
        <v/>
      </c>
      <c r="W298" s="480" t="str">
        <f t="shared" ca="1" si="97"/>
        <v/>
      </c>
      <c r="X298" s="480" t="str">
        <f t="shared" ca="1" si="98"/>
        <v/>
      </c>
      <c r="Y298" s="488"/>
      <c r="Z298" s="714"/>
      <c r="AD298" s="611"/>
      <c r="AE298" s="603" t="str">
        <f t="shared" si="99"/>
        <v/>
      </c>
      <c r="AF298" s="603"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03"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03" t="str">
        <f t="shared" ca="1" si="100"/>
        <v/>
      </c>
      <c r="AI298" s="603" t="str" cm="1">
        <f t="array" ref="AI298">IFERROR(INDEX(始値!$E$6:$BT$305,MATCH(TEXT($B298,"0"),TEXT(銘柄管理!$B$6:$B$305,"0"),0),MATCH($AE298,始値!$E$3:$BT$3,0)),"")</f>
        <v/>
      </c>
      <c r="AJ298" s="603" t="str">
        <f t="shared" ca="1" si="101"/>
        <v/>
      </c>
      <c r="AK298" s="603" t="str">
        <f t="shared" ca="1" si="102"/>
        <v/>
      </c>
    </row>
    <row r="299" spans="1:37" ht="36" customHeight="1">
      <c r="A299" s="625" t="str">
        <f t="shared" si="91"/>
        <v/>
      </c>
      <c r="B299" s="480"/>
      <c r="C299" s="480"/>
      <c r="D299" s="480" t="str" cm="1">
        <f t="array" ref="D299">_xll.RssMarket(B299, "銘柄名称")</f>
        <v/>
      </c>
      <c r="E299" s="721"/>
      <c r="F299" s="702" t="str" cm="1">
        <f t="array" aca="1" ref="F299" ca="1">IFERROR(_xlfn.LET(_xlpm.r,MATCH(TEXT($B299,"0"),TEXT(銘柄管理!$B$6:$B$305,"0"),0),_xlpm.t,MOD(NOW(),1),_xlpm.c,IF($E299=TODAY(),IF(_xlpm.t&gt;=TIME(15,30,0),NA(),1),IF(MATCH($E299,始値!$E$3:$BT$3,0)=1,1,MATCH($E299,始値!$E$3:$BT$3,0)+1)),_xlpm.v,INDEX(始値!$C$6:$BT$305,_xlpm.r,_xlpm.c),IF(N(_xlpm.v)=0,"",_xlpm.v)),"")</f>
        <v/>
      </c>
      <c r="G299" s="480"/>
      <c r="H299" s="480" t="str" cm="1">
        <f t="array" ref="H299">_xll.RssMarket(B299, "現在値")</f>
        <v/>
      </c>
      <c r="I299" s="480" t="str" cm="1">
        <f t="array" ref="I299">_xll.RssMarket(B299, "出来高加重平均")</f>
        <v/>
      </c>
      <c r="J299" s="706" t="str" cm="1">
        <f t="array" ref="J299">_xll.RssMarket($B299, "前日比")</f>
        <v/>
      </c>
      <c r="K299" s="707" t="str">
        <f t="shared" ca="1" si="103"/>
        <v/>
      </c>
      <c r="L299" s="712" t="str">
        <f t="shared" ca="1" si="104"/>
        <v/>
      </c>
      <c r="M299" s="601" t="str">
        <f t="shared" ca="1" si="92"/>
        <v/>
      </c>
      <c r="N299" s="601" t="str">
        <f t="shared" ca="1" si="93"/>
        <v/>
      </c>
      <c r="O299" s="478" t="str">
        <f t="shared" ca="1" si="94"/>
        <v/>
      </c>
      <c r="P299" s="445" t="str">
        <f t="array" aca="1" ref="P299" ca="1">IF(B299="","",IFERROR(MAX(OFFSET(高値!$E$6,MATCH(TEXT(B299,"0"),TEXT(銘柄管理!$B$6:$B$305,"0"),0)-1,0,1,10)),""))</f>
        <v/>
      </c>
      <c r="Q299" s="445" t="str">
        <f t="array" aca="1" ref="Q299" ca="1">IF(B299="","",IFERROR(MIN(OFFSET(安値!$E$6,MATCH(TEXT(B299,"0"),TEXT(銘柄管理!$B$6:$B$305,"0"),0)-1,0,1,10)),""))</f>
        <v/>
      </c>
      <c r="R299" s="480" t="str">
        <f t="shared" ca="1" si="105"/>
        <v/>
      </c>
      <c r="S299" s="480" t="str">
        <f t="shared" si="106"/>
        <v/>
      </c>
      <c r="T299" s="599" t="str">
        <f t="shared" ca="1" si="95"/>
        <v/>
      </c>
      <c r="U299" s="601" t="str">
        <f t="shared" ca="1" si="96"/>
        <v/>
      </c>
      <c r="V299" s="707" t="str">
        <f t="shared" ca="1" si="107"/>
        <v/>
      </c>
      <c r="W299" s="480" t="str">
        <f t="shared" ca="1" si="97"/>
        <v/>
      </c>
      <c r="X299" s="480" t="str">
        <f t="shared" ca="1" si="98"/>
        <v/>
      </c>
      <c r="Y299" s="488"/>
      <c r="Z299" s="714"/>
      <c r="AD299" s="611"/>
      <c r="AE299" s="603" t="str">
        <f t="shared" si="99"/>
        <v/>
      </c>
      <c r="AF299" s="603"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03"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03" t="str">
        <f t="shared" ca="1" si="100"/>
        <v/>
      </c>
      <c r="AI299" s="603" t="str" cm="1">
        <f t="array" ref="AI299">IFERROR(INDEX(始値!$E$6:$BT$305,MATCH(TEXT($B299,"0"),TEXT(銘柄管理!$B$6:$B$305,"0"),0),MATCH($AE299,始値!$E$3:$BT$3,0)),"")</f>
        <v/>
      </c>
      <c r="AJ299" s="603" t="str">
        <f t="shared" ca="1" si="101"/>
        <v/>
      </c>
      <c r="AK299" s="603" t="str">
        <f t="shared" ca="1" si="102"/>
        <v/>
      </c>
    </row>
    <row r="300" spans="1:37" ht="37.799999999999997" customHeight="1">
      <c r="A300" s="625" t="str">
        <f t="shared" si="91"/>
        <v/>
      </c>
      <c r="B300" s="480"/>
      <c r="C300" s="480"/>
      <c r="D300" s="480" t="str" cm="1">
        <f t="array" ref="D300">_xll.RssMarket(B300, "銘柄名称")</f>
        <v/>
      </c>
      <c r="E300" s="721"/>
      <c r="F300" s="702" t="str" cm="1">
        <f t="array" aca="1" ref="F300" ca="1">IFERROR(_xlfn.LET(_xlpm.r,MATCH(TEXT($B300,"0"),TEXT(銘柄管理!$B$6:$B$305,"0"),0),_xlpm.t,MOD(NOW(),1),_xlpm.c,IF($E300=TODAY(),IF(_xlpm.t&gt;=TIME(15,30,0),NA(),1),IF(MATCH($E300,始値!$E$3:$BT$3,0)=1,1,MATCH($E300,始値!$E$3:$BT$3,0)+1)),_xlpm.v,INDEX(始値!$C$6:$BT$305,_xlpm.r,_xlpm.c),IF(N(_xlpm.v)=0,"",_xlpm.v)),"")</f>
        <v/>
      </c>
      <c r="G300" s="480"/>
      <c r="H300" s="480" t="str" cm="1">
        <f t="array" ref="H300">_xll.RssMarket(B300, "現在値")</f>
        <v/>
      </c>
      <c r="I300" s="480" t="str" cm="1">
        <f t="array" ref="I300">_xll.RssMarket(B300, "出来高加重平均")</f>
        <v/>
      </c>
      <c r="J300" s="706" t="str" cm="1">
        <f t="array" ref="J300">_xll.RssMarket($B300, "前日比")</f>
        <v/>
      </c>
      <c r="K300" s="707" t="str">
        <f t="shared" ca="1" si="103"/>
        <v/>
      </c>
      <c r="L300" s="712" t="str">
        <f t="shared" ca="1" si="104"/>
        <v/>
      </c>
      <c r="M300" s="601" t="str">
        <f t="shared" ca="1" si="92"/>
        <v/>
      </c>
      <c r="N300" s="601" t="str">
        <f t="shared" ca="1" si="93"/>
        <v/>
      </c>
      <c r="O300" s="478" t="str">
        <f t="shared" ca="1" si="94"/>
        <v/>
      </c>
      <c r="P300" s="445" t="str">
        <f t="array" aca="1" ref="P300" ca="1">IF(B300="","",IFERROR(MAX(OFFSET(高値!$E$6,MATCH(TEXT(B300,"0"),TEXT(銘柄管理!$B$6:$B$305,"0"),0)-1,0,1,10)),""))</f>
        <v/>
      </c>
      <c r="Q300" s="445" t="str">
        <f t="array" aca="1" ref="Q300" ca="1">IF(B300="","",IFERROR(MIN(OFFSET(安値!$E$6,MATCH(TEXT(B300,"0"),TEXT(銘柄管理!$B$6:$B$305,"0"),0)-1,0,1,10)),""))</f>
        <v/>
      </c>
      <c r="R300" s="480" t="str">
        <f t="shared" ca="1" si="105"/>
        <v/>
      </c>
      <c r="S300" s="480" t="str">
        <f t="shared" si="106"/>
        <v/>
      </c>
      <c r="T300" s="599" t="str">
        <f t="shared" ca="1" si="95"/>
        <v/>
      </c>
      <c r="U300" s="601" t="str">
        <f t="shared" ca="1" si="96"/>
        <v/>
      </c>
      <c r="V300" s="707" t="str">
        <f t="shared" ca="1" si="107"/>
        <v/>
      </c>
      <c r="W300" s="480" t="str">
        <f t="shared" ca="1" si="97"/>
        <v/>
      </c>
      <c r="X300" s="480" t="str">
        <f t="shared" ca="1" si="98"/>
        <v/>
      </c>
      <c r="Y300" s="488"/>
      <c r="Z300" s="714"/>
      <c r="AD300" s="611"/>
      <c r="AE300" s="603" t="str">
        <f t="shared" si="99"/>
        <v/>
      </c>
      <c r="AF300" s="603"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03"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03" t="str">
        <f t="shared" ca="1" si="100"/>
        <v/>
      </c>
      <c r="AI300" s="603" t="str" cm="1">
        <f t="array" ref="AI300">IFERROR(INDEX(始値!$E$6:$BT$305,MATCH(TEXT($B300,"0"),TEXT(銘柄管理!$B$6:$B$305,"0"),0),MATCH($AE300,始値!$E$3:$BT$3,0)),"")</f>
        <v/>
      </c>
      <c r="AJ300" s="603" t="str">
        <f t="shared" ca="1" si="101"/>
        <v/>
      </c>
      <c r="AK300" s="603" t="str">
        <f t="shared" ca="1" si="102"/>
        <v/>
      </c>
    </row>
    <row r="301" spans="1:37" ht="17.25" customHeight="1">
      <c r="A301" s="625" t="str">
        <f t="shared" si="91"/>
        <v/>
      </c>
      <c r="B301" s="480"/>
      <c r="C301" s="480"/>
      <c r="D301" s="480" t="str" cm="1">
        <f t="array" ref="D301">_xll.RssMarket(B301, "銘柄名称")</f>
        <v/>
      </c>
      <c r="E301" s="721"/>
      <c r="F301" s="702" t="str" cm="1">
        <f t="array" aca="1" ref="F301" ca="1">IFERROR(_xlfn.LET(_xlpm.r,MATCH(TEXT($B301,"0"),TEXT(銘柄管理!$B$6:$B$305,"0"),0),_xlpm.t,MOD(NOW(),1),_xlpm.c,IF($E301=TODAY(),IF(_xlpm.t&gt;=TIME(15,30,0),NA(),1),IF(MATCH($E301,始値!$E$3:$BT$3,0)=1,1,MATCH($E301,始値!$E$3:$BT$3,0)+1)),_xlpm.v,INDEX(始値!$C$6:$BT$305,_xlpm.r,_xlpm.c),IF(N(_xlpm.v)=0,"",_xlpm.v)),"")</f>
        <v/>
      </c>
      <c r="G301" s="480"/>
      <c r="H301" s="480" t="str" cm="1">
        <f t="array" ref="H301">_xll.RssMarket(B301, "現在値")</f>
        <v/>
      </c>
      <c r="I301" s="480" t="str" cm="1">
        <f t="array" ref="I301">_xll.RssMarket(B301, "出来高加重平均")</f>
        <v/>
      </c>
      <c r="J301" s="706" t="str" cm="1">
        <f t="array" ref="J301">_xll.RssMarket($B301, "前日比")</f>
        <v/>
      </c>
      <c r="K301" s="707" t="str">
        <f t="shared" ca="1" si="103"/>
        <v/>
      </c>
      <c r="L301" s="712" t="str">
        <f t="shared" ca="1" si="104"/>
        <v/>
      </c>
      <c r="M301" s="601" t="str">
        <f t="shared" ca="1" si="92"/>
        <v/>
      </c>
      <c r="N301" s="601" t="str">
        <f t="shared" ca="1" si="93"/>
        <v/>
      </c>
      <c r="O301" s="478" t="str">
        <f t="shared" ca="1" si="94"/>
        <v/>
      </c>
      <c r="P301" s="445" t="str">
        <f t="array" aca="1" ref="P301" ca="1">IF(B301="","",IFERROR(MAX(OFFSET(高値!$E$6,MATCH(TEXT(B301,"0"),TEXT(銘柄管理!$B$6:$B$305,"0"),0)-1,0,1,10)),""))</f>
        <v/>
      </c>
      <c r="Q301" s="445" t="str">
        <f t="array" aca="1" ref="Q301" ca="1">IF(B301="","",IFERROR(MIN(OFFSET(安値!$E$6,MATCH(TEXT(B301,"0"),TEXT(銘柄管理!$B$6:$B$305,"0"),0)-1,0,1,10)),""))</f>
        <v/>
      </c>
      <c r="R301" s="480" t="str">
        <f t="shared" ca="1" si="105"/>
        <v/>
      </c>
      <c r="S301" s="480" t="str">
        <f t="shared" si="106"/>
        <v/>
      </c>
      <c r="T301" s="599" t="str">
        <f t="shared" ca="1" si="95"/>
        <v/>
      </c>
      <c r="U301" s="601" t="str">
        <f t="shared" ca="1" si="96"/>
        <v/>
      </c>
      <c r="V301" s="707" t="str">
        <f t="shared" ca="1" si="107"/>
        <v/>
      </c>
      <c r="W301" s="480" t="str">
        <f t="shared" ca="1" si="97"/>
        <v/>
      </c>
      <c r="X301" s="480" t="str">
        <f t="shared" ca="1" si="98"/>
        <v/>
      </c>
      <c r="Y301" s="488"/>
      <c r="Z301" s="714"/>
      <c r="AD301" s="611"/>
      <c r="AE301" s="603" t="str">
        <f t="shared" si="99"/>
        <v/>
      </c>
      <c r="AF301" s="603"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03"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03" t="str">
        <f t="shared" ca="1" si="100"/>
        <v/>
      </c>
      <c r="AI301" s="603" t="str" cm="1">
        <f t="array" ref="AI301">IFERROR(INDEX(始値!$E$6:$BT$305,MATCH(TEXT($B301,"0"),TEXT(銘柄管理!$B$6:$B$305,"0"),0),MATCH($AE301,始値!$E$3:$BT$3,0)),"")</f>
        <v/>
      </c>
      <c r="AJ301" s="603" t="str">
        <f t="shared" ca="1" si="101"/>
        <v/>
      </c>
      <c r="AK301" s="603" t="str">
        <f t="shared" ca="1" si="102"/>
        <v/>
      </c>
    </row>
    <row r="302" spans="1:37" ht="17.25" customHeight="1">
      <c r="A302" s="625" t="str">
        <f t="shared" si="91"/>
        <v/>
      </c>
      <c r="B302" s="480"/>
      <c r="C302" s="480"/>
      <c r="D302" s="480" t="str" cm="1">
        <f t="array" ref="D302">_xll.RssMarket(B302, "銘柄名称")</f>
        <v/>
      </c>
      <c r="E302" s="721"/>
      <c r="F302" s="702" t="str" cm="1">
        <f t="array" aca="1" ref="F302" ca="1">IFERROR(_xlfn.LET(_xlpm.r,MATCH(TEXT($B302,"0"),TEXT(銘柄管理!$B$6:$B$305,"0"),0),_xlpm.t,MOD(NOW(),1),_xlpm.c,IF($E302=TODAY(),IF(_xlpm.t&gt;=TIME(15,30,0),NA(),1),IF(MATCH($E302,始値!$E$3:$BT$3,0)=1,1,MATCH($E302,始値!$E$3:$BT$3,0)+1)),_xlpm.v,INDEX(始値!$C$6:$BT$305,_xlpm.r,_xlpm.c),IF(N(_xlpm.v)=0,"",_xlpm.v)),"")</f>
        <v/>
      </c>
      <c r="G302" s="480"/>
      <c r="H302" s="480" t="str" cm="1">
        <f t="array" ref="H302">_xll.RssMarket(B302, "現在値")</f>
        <v/>
      </c>
      <c r="I302" s="480" t="str" cm="1">
        <f t="array" ref="I302">_xll.RssMarket(B302, "出来高加重平均")</f>
        <v/>
      </c>
      <c r="J302" s="706" t="str" cm="1">
        <f t="array" ref="J302">_xll.RssMarket($B302, "前日比")</f>
        <v/>
      </c>
      <c r="K302" s="707" t="str">
        <f t="shared" ca="1" si="103"/>
        <v/>
      </c>
      <c r="L302" s="712" t="str">
        <f t="shared" ca="1" si="104"/>
        <v/>
      </c>
      <c r="M302" s="601" t="str">
        <f t="shared" ca="1" si="92"/>
        <v/>
      </c>
      <c r="N302" s="601" t="str">
        <f t="shared" ca="1" si="93"/>
        <v/>
      </c>
      <c r="O302" s="478" t="str">
        <f t="shared" ca="1" si="94"/>
        <v/>
      </c>
      <c r="P302" s="445" t="str">
        <f t="array" aca="1" ref="P302" ca="1">IF(B302="","",IFERROR(MAX(OFFSET(高値!$E$6,MATCH(TEXT(B302,"0"),TEXT(銘柄管理!$B$6:$B$305,"0"),0)-1,0,1,10)),""))</f>
        <v/>
      </c>
      <c r="Q302" s="445" t="str">
        <f t="array" aca="1" ref="Q302" ca="1">IF(B302="","",IFERROR(MIN(OFFSET(安値!$E$6,MATCH(TEXT(B302,"0"),TEXT(銘柄管理!$B$6:$B$305,"0"),0)-1,0,1,10)),""))</f>
        <v/>
      </c>
      <c r="R302" s="480" t="str">
        <f t="shared" ca="1" si="105"/>
        <v/>
      </c>
      <c r="S302" s="480" t="str">
        <f t="shared" si="106"/>
        <v/>
      </c>
      <c r="T302" s="599" t="str">
        <f t="shared" ca="1" si="95"/>
        <v/>
      </c>
      <c r="U302" s="601" t="str">
        <f t="shared" ca="1" si="96"/>
        <v/>
      </c>
      <c r="V302" s="707" t="str">
        <f t="shared" ca="1" si="107"/>
        <v/>
      </c>
      <c r="W302" s="480" t="str">
        <f t="shared" ca="1" si="97"/>
        <v/>
      </c>
      <c r="X302" s="480" t="str">
        <f t="shared" ca="1" si="98"/>
        <v/>
      </c>
      <c r="Y302" s="488"/>
      <c r="Z302" s="714"/>
      <c r="AD302" s="611"/>
      <c r="AE302" s="603" t="str">
        <f t="shared" si="99"/>
        <v/>
      </c>
      <c r="AF302" s="603"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03"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03" t="str">
        <f t="shared" ca="1" si="100"/>
        <v/>
      </c>
      <c r="AI302" s="603" t="str" cm="1">
        <f t="array" ref="AI302">IFERROR(INDEX(始値!$E$6:$BT$305,MATCH(TEXT($B302,"0"),TEXT(銘柄管理!$B$6:$B$305,"0"),0),MATCH($AE302,始値!$E$3:$BT$3,0)),"")</f>
        <v/>
      </c>
      <c r="AJ302" s="603" t="str">
        <f t="shared" ca="1" si="101"/>
        <v/>
      </c>
      <c r="AK302" s="603" t="str">
        <f t="shared" ca="1" si="102"/>
        <v/>
      </c>
    </row>
    <row r="303" spans="1:37" ht="17.25" customHeight="1">
      <c r="A303" s="625" t="str">
        <f t="shared" si="91"/>
        <v/>
      </c>
      <c r="B303" s="480"/>
      <c r="C303" s="480"/>
      <c r="D303" s="480" t="str" cm="1">
        <f t="array" ref="D303">_xll.RssMarket(B303, "銘柄名称")</f>
        <v/>
      </c>
      <c r="E303" s="721"/>
      <c r="F303" s="702" t="str" cm="1">
        <f t="array" aca="1" ref="F303" ca="1">IFERROR(_xlfn.LET(_xlpm.r,MATCH(TEXT($B303,"0"),TEXT(銘柄管理!$B$6:$B$305,"0"),0),_xlpm.t,MOD(NOW(),1),_xlpm.c,IF($E303=TODAY(),IF(_xlpm.t&gt;=TIME(15,30,0),NA(),1),IF(MATCH($E303,始値!$E$3:$BT$3,0)=1,1,MATCH($E303,始値!$E$3:$BT$3,0)+1)),_xlpm.v,INDEX(始値!$C$6:$BT$305,_xlpm.r,_xlpm.c),IF(N(_xlpm.v)=0,"",_xlpm.v)),"")</f>
        <v/>
      </c>
      <c r="G303" s="480"/>
      <c r="H303" s="480" t="str" cm="1">
        <f t="array" ref="H303">_xll.RssMarket(B303, "現在値")</f>
        <v/>
      </c>
      <c r="I303" s="480" t="str" cm="1">
        <f t="array" ref="I303">_xll.RssMarket(B303, "出来高加重平均")</f>
        <v/>
      </c>
      <c r="J303" s="706" t="str" cm="1">
        <f t="array" ref="J303">_xll.RssMarket($B303, "前日比")</f>
        <v/>
      </c>
      <c r="K303" s="707" t="str">
        <f t="shared" ca="1" si="103"/>
        <v/>
      </c>
      <c r="L303" s="712" t="str">
        <f t="shared" ca="1" si="104"/>
        <v/>
      </c>
      <c r="M303" s="601" t="str">
        <f t="shared" ca="1" si="92"/>
        <v/>
      </c>
      <c r="N303" s="601" t="str">
        <f t="shared" ca="1" si="93"/>
        <v/>
      </c>
      <c r="O303" s="478" t="str">
        <f t="shared" ca="1" si="94"/>
        <v/>
      </c>
      <c r="P303" s="445" t="str">
        <f t="array" aca="1" ref="P303" ca="1">IF(B303="","",IFERROR(MAX(OFFSET(高値!$E$6,MATCH(TEXT(B303,"0"),TEXT(銘柄管理!$B$6:$B$305,"0"),0)-1,0,1,10)),""))</f>
        <v/>
      </c>
      <c r="Q303" s="445" t="str">
        <f t="array" aca="1" ref="Q303" ca="1">IF(B303="","",IFERROR(MIN(OFFSET(安値!$E$6,MATCH(TEXT(B303,"0"),TEXT(銘柄管理!$B$6:$B$305,"0"),0)-1,0,1,10)),""))</f>
        <v/>
      </c>
      <c r="R303" s="480" t="str">
        <f t="shared" ca="1" si="105"/>
        <v/>
      </c>
      <c r="S303" s="480" t="str">
        <f t="shared" si="106"/>
        <v/>
      </c>
      <c r="T303" s="599" t="str">
        <f t="shared" ca="1" si="95"/>
        <v/>
      </c>
      <c r="U303" s="601" t="str">
        <f t="shared" ca="1" si="96"/>
        <v/>
      </c>
      <c r="V303" s="707" t="str">
        <f t="shared" ca="1" si="107"/>
        <v/>
      </c>
      <c r="W303" s="480" t="str">
        <f t="shared" ca="1" si="97"/>
        <v/>
      </c>
      <c r="X303" s="480" t="str">
        <f t="shared" ca="1" si="98"/>
        <v/>
      </c>
      <c r="Y303" s="488"/>
      <c r="Z303" s="714"/>
      <c r="AD303" s="611"/>
      <c r="AE303" s="603" t="str">
        <f t="shared" si="99"/>
        <v/>
      </c>
      <c r="AF303" s="603"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03"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03" t="str">
        <f t="shared" ca="1" si="100"/>
        <v/>
      </c>
      <c r="AI303" s="603" t="str" cm="1">
        <f t="array" ref="AI303">IFERROR(INDEX(始値!$E$6:$BT$305,MATCH(TEXT($B303,"0"),TEXT(銘柄管理!$B$6:$B$305,"0"),0),MATCH($AE303,始値!$E$3:$BT$3,0)),"")</f>
        <v/>
      </c>
      <c r="AJ303" s="603" t="str">
        <f t="shared" ca="1" si="101"/>
        <v/>
      </c>
      <c r="AK303" s="603" t="str">
        <f t="shared" ca="1" si="102"/>
        <v/>
      </c>
    </row>
    <row r="304" spans="1:37" ht="17.25" customHeight="1">
      <c r="A304" s="625" t="str">
        <f t="shared" si="91"/>
        <v/>
      </c>
      <c r="B304" s="480"/>
      <c r="C304" s="480"/>
      <c r="D304" s="480" t="str" cm="1">
        <f t="array" ref="D304">_xll.RssMarket(B304, "銘柄名称")</f>
        <v/>
      </c>
      <c r="E304" s="721"/>
      <c r="F304" s="702" t="str" cm="1">
        <f t="array" aca="1" ref="F304" ca="1">IFERROR(_xlfn.LET(_xlpm.r,MATCH(TEXT($B304,"0"),TEXT(銘柄管理!$B$6:$B$305,"0"),0),_xlpm.t,MOD(NOW(),1),_xlpm.c,IF($E304=TODAY(),IF(_xlpm.t&gt;=TIME(15,30,0),NA(),1),IF(MATCH($E304,始値!$E$3:$BT$3,0)=1,1,MATCH($E304,始値!$E$3:$BT$3,0)+1)),_xlpm.v,INDEX(始値!$C$6:$BT$305,_xlpm.r,_xlpm.c),IF(N(_xlpm.v)=0,"",_xlpm.v)),"")</f>
        <v/>
      </c>
      <c r="G304" s="480"/>
      <c r="H304" s="480" t="str" cm="1">
        <f t="array" ref="H304">_xll.RssMarket(B304, "現在値")</f>
        <v/>
      </c>
      <c r="I304" s="480" t="str" cm="1">
        <f t="array" ref="I304">_xll.RssMarket(B304, "出来高加重平均")</f>
        <v/>
      </c>
      <c r="J304" s="706" t="str" cm="1">
        <f t="array" ref="J304">_xll.RssMarket($B304, "前日比")</f>
        <v/>
      </c>
      <c r="K304" s="707" t="str">
        <f t="shared" ca="1" si="103"/>
        <v/>
      </c>
      <c r="L304" s="712" t="str">
        <f t="shared" ca="1" si="104"/>
        <v/>
      </c>
      <c r="M304" s="601" t="str">
        <f t="shared" ca="1" si="92"/>
        <v/>
      </c>
      <c r="N304" s="601" t="str">
        <f t="shared" ca="1" si="93"/>
        <v/>
      </c>
      <c r="O304" s="478" t="str">
        <f t="shared" ca="1" si="94"/>
        <v/>
      </c>
      <c r="P304" s="445" t="str">
        <f t="array" aca="1" ref="P304" ca="1">IF(B304="","",IFERROR(MAX(OFFSET(高値!$E$6,MATCH(TEXT(B304,"0"),TEXT(銘柄管理!$B$6:$B$305,"0"),0)-1,0,1,10)),""))</f>
        <v/>
      </c>
      <c r="Q304" s="445" t="str">
        <f t="array" aca="1" ref="Q304" ca="1">IF(B304="","",IFERROR(MIN(OFFSET(安値!$E$6,MATCH(TEXT(B304,"0"),TEXT(銘柄管理!$B$6:$B$305,"0"),0)-1,0,1,10)),""))</f>
        <v/>
      </c>
      <c r="R304" s="480" t="str">
        <f t="shared" ca="1" si="105"/>
        <v/>
      </c>
      <c r="S304" s="480" t="str">
        <f t="shared" si="106"/>
        <v/>
      </c>
      <c r="T304" s="599" t="str">
        <f t="shared" ca="1" si="95"/>
        <v/>
      </c>
      <c r="U304" s="601" t="str">
        <f t="shared" ca="1" si="96"/>
        <v/>
      </c>
      <c r="V304" s="707" t="str">
        <f t="shared" ca="1" si="107"/>
        <v/>
      </c>
      <c r="W304" s="480" t="str">
        <f t="shared" ca="1" si="97"/>
        <v/>
      </c>
      <c r="X304" s="480" t="str">
        <f t="shared" ca="1" si="98"/>
        <v/>
      </c>
      <c r="Y304" s="488"/>
      <c r="Z304" s="714"/>
      <c r="AD304" s="611"/>
      <c r="AE304" s="603" t="str">
        <f t="shared" si="99"/>
        <v/>
      </c>
      <c r="AF304" s="603"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03"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03" t="str">
        <f t="shared" ca="1" si="100"/>
        <v/>
      </c>
      <c r="AI304" s="603" t="str" cm="1">
        <f t="array" ref="AI304">IFERROR(INDEX(始値!$E$6:$BT$305,MATCH(TEXT($B304,"0"),TEXT(銘柄管理!$B$6:$B$305,"0"),0),MATCH($AE304,始値!$E$3:$BT$3,0)),"")</f>
        <v/>
      </c>
      <c r="AJ304" s="603" t="str">
        <f t="shared" ca="1" si="101"/>
        <v/>
      </c>
      <c r="AK304" s="603" t="str">
        <f t="shared" ca="1" si="102"/>
        <v/>
      </c>
    </row>
    <row r="305" spans="1:37" ht="17.25" customHeight="1">
      <c r="A305" s="625" t="str">
        <f t="shared" si="91"/>
        <v/>
      </c>
      <c r="B305" s="480"/>
      <c r="C305" s="480"/>
      <c r="D305" s="480" t="str" cm="1">
        <f t="array" ref="D305">_xll.RssMarket(B305, "銘柄名称")</f>
        <v/>
      </c>
      <c r="E305" s="721"/>
      <c r="F305" s="702" t="str" cm="1">
        <f t="array" aca="1" ref="F305" ca="1">IFERROR(_xlfn.LET(_xlpm.r,MATCH(TEXT($B305,"0"),TEXT(銘柄管理!$B$6:$B$305,"0"),0),_xlpm.t,MOD(NOW(),1),_xlpm.c,IF($E305=TODAY(),IF(_xlpm.t&gt;=TIME(15,30,0),NA(),1),IF(MATCH($E305,始値!$E$3:$BT$3,0)=1,1,MATCH($E305,始値!$E$3:$BT$3,0)+1)),_xlpm.v,INDEX(始値!$C$6:$BT$305,_xlpm.r,_xlpm.c),IF(N(_xlpm.v)=0,"",_xlpm.v)),"")</f>
        <v/>
      </c>
      <c r="G305" s="480"/>
      <c r="H305" s="480" t="str" cm="1">
        <f t="array" ref="H305">_xll.RssMarket(B305, "現在値")</f>
        <v/>
      </c>
      <c r="I305" s="480" t="str" cm="1">
        <f t="array" ref="I305">_xll.RssMarket(B305, "出来高加重平均")</f>
        <v/>
      </c>
      <c r="J305" s="706" t="str" cm="1">
        <f t="array" ref="J305">_xll.RssMarket($B305, "前日比")</f>
        <v/>
      </c>
      <c r="K305" s="707" t="str">
        <f t="shared" ca="1" si="103"/>
        <v/>
      </c>
      <c r="L305" s="712" t="str">
        <f t="shared" ca="1" si="104"/>
        <v/>
      </c>
      <c r="M305" s="601" t="str">
        <f t="shared" ca="1" si="92"/>
        <v/>
      </c>
      <c r="N305" s="601" t="str">
        <f t="shared" ca="1" si="93"/>
        <v/>
      </c>
      <c r="O305" s="478" t="str">
        <f t="shared" ca="1" si="94"/>
        <v/>
      </c>
      <c r="P305" s="445" t="str">
        <f t="array" aca="1" ref="P305" ca="1">IF(B305="","",IFERROR(MAX(OFFSET(高値!$E$6,MATCH(TEXT(B305,"0"),TEXT(銘柄管理!$B$6:$B$305,"0"),0)-1,0,1,10)),""))</f>
        <v/>
      </c>
      <c r="Q305" s="445" t="str">
        <f t="array" aca="1" ref="Q305" ca="1">IF(B305="","",IFERROR(MIN(OFFSET(安値!$E$6,MATCH(TEXT(B305,"0"),TEXT(銘柄管理!$B$6:$B$305,"0"),0)-1,0,1,10)),""))</f>
        <v/>
      </c>
      <c r="R305" s="480" t="str">
        <f t="shared" ca="1" si="105"/>
        <v/>
      </c>
      <c r="S305" s="480" t="str">
        <f t="shared" si="106"/>
        <v/>
      </c>
      <c r="T305" s="599" t="str">
        <f t="shared" ca="1" si="95"/>
        <v/>
      </c>
      <c r="U305" s="601" t="str">
        <f t="shared" ca="1" si="96"/>
        <v/>
      </c>
      <c r="V305" s="707" t="str">
        <f t="shared" ca="1" si="107"/>
        <v/>
      </c>
      <c r="W305" s="480" t="str">
        <f t="shared" ca="1" si="97"/>
        <v/>
      </c>
      <c r="X305" s="480" t="str">
        <f t="shared" ca="1" si="98"/>
        <v/>
      </c>
      <c r="Y305" s="488"/>
      <c r="Z305" s="714"/>
      <c r="AD305" s="611"/>
      <c r="AE305" s="603" t="str">
        <f t="shared" si="99"/>
        <v/>
      </c>
      <c r="AF305" s="603"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03"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03" t="str">
        <f t="shared" ca="1" si="100"/>
        <v/>
      </c>
      <c r="AI305" s="603" t="str" cm="1">
        <f t="array" ref="AI305">IFERROR(INDEX(始値!$E$6:$BT$305,MATCH(TEXT($B305,"0"),TEXT(銘柄管理!$B$6:$B$305,"0"),0),MATCH($AE305,始値!$E$3:$BT$3,0)),"")</f>
        <v/>
      </c>
      <c r="AJ305" s="603" t="str">
        <f t="shared" ca="1" si="101"/>
        <v/>
      </c>
      <c r="AK305" s="603" t="str">
        <f t="shared" ca="1" si="102"/>
        <v/>
      </c>
    </row>
    <row r="306" spans="1:37" ht="17.25" customHeight="1">
      <c r="A306" s="625" t="str">
        <f t="shared" si="91"/>
        <v/>
      </c>
      <c r="B306" s="480"/>
      <c r="C306" s="480"/>
      <c r="D306" s="480" t="str" cm="1">
        <f t="array" ref="D306">_xll.RssMarket(B306, "銘柄名称")</f>
        <v/>
      </c>
      <c r="E306" s="721"/>
      <c r="F306" s="702" t="str" cm="1">
        <f t="array" aca="1" ref="F306" ca="1">IFERROR(_xlfn.LET(_xlpm.r,MATCH(TEXT($B306,"0"),TEXT(銘柄管理!$B$6:$B$305,"0"),0),_xlpm.t,MOD(NOW(),1),_xlpm.c,IF($E306=TODAY(),IF(_xlpm.t&gt;=TIME(15,30,0),NA(),1),IF(MATCH($E306,始値!$E$3:$BT$3,0)=1,1,MATCH($E306,始値!$E$3:$BT$3,0)+1)),_xlpm.v,INDEX(始値!$C$6:$BT$305,_xlpm.r,_xlpm.c),IF(N(_xlpm.v)=0,"",_xlpm.v)),"")</f>
        <v/>
      </c>
      <c r="G306" s="480"/>
      <c r="H306" s="480" t="str" cm="1">
        <f t="array" ref="H306">_xll.RssMarket(B306, "現在値")</f>
        <v/>
      </c>
      <c r="I306" s="480" t="str" cm="1">
        <f t="array" ref="I306">_xll.RssMarket(B306, "出来高加重平均")</f>
        <v/>
      </c>
      <c r="J306" s="706" t="str" cm="1">
        <f t="array" ref="J306">_xll.RssMarket($B306, "前日比")</f>
        <v/>
      </c>
      <c r="K306" s="707" t="str">
        <f t="shared" ca="1" si="103"/>
        <v/>
      </c>
      <c r="L306" s="712" t="str">
        <f t="shared" ca="1" si="104"/>
        <v/>
      </c>
      <c r="M306" s="601" t="str">
        <f t="shared" ca="1" si="92"/>
        <v/>
      </c>
      <c r="N306" s="601" t="str">
        <f t="shared" ca="1" si="93"/>
        <v/>
      </c>
      <c r="O306" s="478" t="str">
        <f t="shared" ca="1" si="94"/>
        <v/>
      </c>
      <c r="P306" s="445" t="str">
        <f t="array" aca="1" ref="P306" ca="1">IF(B306="","",IFERROR(MAX(OFFSET(高値!$E$6,MATCH(TEXT(B306,"0"),TEXT(銘柄管理!$B$6:$B$305,"0"),0)-1,0,1,10)),""))</f>
        <v/>
      </c>
      <c r="Q306" s="445" t="str">
        <f t="array" aca="1" ref="Q306" ca="1">IF(B306="","",IFERROR(MIN(OFFSET(安値!$E$6,MATCH(TEXT(B306,"0"),TEXT(銘柄管理!$B$6:$B$305,"0"),0)-1,0,1,10)),""))</f>
        <v/>
      </c>
      <c r="R306" s="480" t="str">
        <f t="shared" ca="1" si="105"/>
        <v/>
      </c>
      <c r="S306" s="480" t="str">
        <f t="shared" si="106"/>
        <v/>
      </c>
      <c r="T306" s="599" t="str">
        <f t="shared" ca="1" si="95"/>
        <v/>
      </c>
      <c r="U306" s="601" t="str">
        <f t="shared" ca="1" si="96"/>
        <v/>
      </c>
      <c r="V306" s="707" t="str">
        <f t="shared" ca="1" si="107"/>
        <v/>
      </c>
      <c r="W306" s="480" t="str">
        <f t="shared" ca="1" si="97"/>
        <v/>
      </c>
      <c r="X306" s="480" t="str">
        <f t="shared" ca="1" si="98"/>
        <v/>
      </c>
      <c r="Y306" s="488"/>
      <c r="Z306" s="714"/>
      <c r="AD306" s="611"/>
      <c r="AE306" s="603" t="str">
        <f t="shared" si="99"/>
        <v/>
      </c>
      <c r="AF306" s="603"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03"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03" t="str">
        <f t="shared" ca="1" si="100"/>
        <v/>
      </c>
      <c r="AI306" s="603" t="str" cm="1">
        <f t="array" ref="AI306">IFERROR(INDEX(始値!$E$6:$BT$305,MATCH(TEXT($B306,"0"),TEXT(銘柄管理!$B$6:$B$305,"0"),0),MATCH($AE306,始値!$E$3:$BT$3,0)),"")</f>
        <v/>
      </c>
      <c r="AJ306" s="603" t="str">
        <f t="shared" ca="1" si="101"/>
        <v/>
      </c>
      <c r="AK306" s="603" t="str">
        <f t="shared" ca="1" si="102"/>
        <v/>
      </c>
    </row>
    <row r="307" spans="1:37" ht="17.25" customHeight="1">
      <c r="A307" s="625" t="str">
        <f t="shared" si="91"/>
        <v/>
      </c>
      <c r="B307" s="480"/>
      <c r="C307" s="480"/>
      <c r="D307" s="480" t="str" cm="1">
        <f t="array" ref="D307">_xll.RssMarket(B307, "銘柄名称")</f>
        <v/>
      </c>
      <c r="E307" s="721"/>
      <c r="F307" s="702" t="str" cm="1">
        <f t="array" aca="1" ref="F307" ca="1">IFERROR(_xlfn.LET(_xlpm.r,MATCH(TEXT($B307,"0"),TEXT(銘柄管理!$B$6:$B$305,"0"),0),_xlpm.t,MOD(NOW(),1),_xlpm.c,IF($E307=TODAY(),IF(_xlpm.t&gt;=TIME(15,30,0),NA(),1),IF(MATCH($E307,始値!$E$3:$BT$3,0)=1,1,MATCH($E307,始値!$E$3:$BT$3,0)+1)),_xlpm.v,INDEX(始値!$C$6:$BT$305,_xlpm.r,_xlpm.c),IF(N(_xlpm.v)=0,"",_xlpm.v)),"")</f>
        <v/>
      </c>
      <c r="G307" s="480"/>
      <c r="H307" s="480" t="str" cm="1">
        <f t="array" ref="H307">_xll.RssMarket(B307, "現在値")</f>
        <v/>
      </c>
      <c r="I307" s="480" t="str" cm="1">
        <f t="array" ref="I307">_xll.RssMarket(B307, "出来高加重平均")</f>
        <v/>
      </c>
      <c r="J307" s="706" t="str" cm="1">
        <f t="array" ref="J307">_xll.RssMarket($B307, "前日比")</f>
        <v/>
      </c>
      <c r="K307" s="707" t="str">
        <f t="shared" ca="1" si="103"/>
        <v/>
      </c>
      <c r="L307" s="712" t="str">
        <f t="shared" ca="1" si="104"/>
        <v/>
      </c>
      <c r="M307" s="601" t="str">
        <f t="shared" ca="1" si="92"/>
        <v/>
      </c>
      <c r="N307" s="601" t="str">
        <f t="shared" ca="1" si="93"/>
        <v/>
      </c>
      <c r="O307" s="478" t="str">
        <f t="shared" ca="1" si="94"/>
        <v/>
      </c>
      <c r="P307" s="445" t="str">
        <f t="array" aca="1" ref="P307" ca="1">IF(B307="","",IFERROR(MAX(OFFSET(高値!$E$6,MATCH(TEXT(B307,"0"),TEXT(銘柄管理!$B$6:$B$305,"0"),0)-1,0,1,10)),""))</f>
        <v/>
      </c>
      <c r="Q307" s="445" t="str">
        <f t="array" aca="1" ref="Q307" ca="1">IF(B307="","",IFERROR(MIN(OFFSET(安値!$E$6,MATCH(TEXT(B307,"0"),TEXT(銘柄管理!$B$6:$B$305,"0"),0)-1,0,1,10)),""))</f>
        <v/>
      </c>
      <c r="R307" s="480" t="str">
        <f t="shared" ca="1" si="105"/>
        <v/>
      </c>
      <c r="S307" s="480" t="str">
        <f t="shared" si="106"/>
        <v/>
      </c>
      <c r="T307" s="599" t="str">
        <f t="shared" ca="1" si="95"/>
        <v/>
      </c>
      <c r="U307" s="601" t="str">
        <f t="shared" ca="1" si="96"/>
        <v/>
      </c>
      <c r="V307" s="707" t="str">
        <f t="shared" ca="1" si="107"/>
        <v/>
      </c>
      <c r="W307" s="480" t="str">
        <f t="shared" ca="1" si="97"/>
        <v/>
      </c>
      <c r="X307" s="480" t="str">
        <f t="shared" ca="1" si="98"/>
        <v/>
      </c>
      <c r="Y307" s="488"/>
      <c r="Z307" s="714"/>
      <c r="AD307" s="611"/>
      <c r="AE307" s="603" t="str">
        <f t="shared" si="99"/>
        <v/>
      </c>
      <c r="AF307" s="603"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03"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03" t="str">
        <f t="shared" ca="1" si="100"/>
        <v/>
      </c>
      <c r="AI307" s="603" t="str" cm="1">
        <f t="array" ref="AI307">IFERROR(INDEX(始値!$E$6:$BT$305,MATCH(TEXT($B307,"0"),TEXT(銘柄管理!$B$6:$B$305,"0"),0),MATCH($AE307,始値!$E$3:$BT$3,0)),"")</f>
        <v/>
      </c>
      <c r="AJ307" s="603" t="str">
        <f t="shared" ca="1" si="101"/>
        <v/>
      </c>
      <c r="AK307" s="603" t="str">
        <f t="shared" ca="1" si="102"/>
        <v/>
      </c>
    </row>
    <row r="308" spans="1:37" ht="17.25" customHeight="1">
      <c r="A308" s="625" t="str">
        <f t="shared" si="91"/>
        <v/>
      </c>
      <c r="B308" s="480"/>
      <c r="C308" s="480"/>
      <c r="D308" s="480" t="str" cm="1">
        <f t="array" ref="D308">_xll.RssMarket(B308, "銘柄名称")</f>
        <v/>
      </c>
      <c r="E308" s="721"/>
      <c r="F308" s="702" t="str" cm="1">
        <f t="array" aca="1" ref="F308" ca="1">IFERROR(_xlfn.LET(_xlpm.r,MATCH(TEXT($B308,"0"),TEXT(銘柄管理!$B$6:$B$305,"0"),0),_xlpm.t,MOD(NOW(),1),_xlpm.c,IF($E308=TODAY(),IF(_xlpm.t&gt;=TIME(15,30,0),NA(),1),IF(MATCH($E308,始値!$E$3:$BT$3,0)=1,1,MATCH($E308,始値!$E$3:$BT$3,0)+1)),_xlpm.v,INDEX(始値!$C$6:$BT$305,_xlpm.r,_xlpm.c),IF(N(_xlpm.v)=0,"",_xlpm.v)),"")</f>
        <v/>
      </c>
      <c r="G308" s="480"/>
      <c r="H308" s="480" t="str" cm="1">
        <f t="array" ref="H308">_xll.RssMarket(B308, "現在値")</f>
        <v/>
      </c>
      <c r="I308" s="480" t="str" cm="1">
        <f t="array" ref="I308">_xll.RssMarket(B308, "出来高加重平均")</f>
        <v/>
      </c>
      <c r="J308" s="706" t="str" cm="1">
        <f t="array" ref="J308">_xll.RssMarket($B308, "前日比")</f>
        <v/>
      </c>
      <c r="K308" s="707" t="str">
        <f t="shared" ca="1" si="103"/>
        <v/>
      </c>
      <c r="L308" s="712" t="str">
        <f t="shared" ca="1" si="104"/>
        <v/>
      </c>
      <c r="M308" s="601" t="str">
        <f t="shared" ca="1" si="92"/>
        <v/>
      </c>
      <c r="N308" s="601" t="str">
        <f t="shared" ca="1" si="93"/>
        <v/>
      </c>
      <c r="O308" s="478" t="str">
        <f t="shared" ca="1" si="94"/>
        <v/>
      </c>
      <c r="P308" s="445" t="str">
        <f t="array" aca="1" ref="P308" ca="1">IF(B308="","",IFERROR(MAX(OFFSET(高値!$E$6,MATCH(TEXT(B308,"0"),TEXT(銘柄管理!$B$6:$B$305,"0"),0)-1,0,1,10)),""))</f>
        <v/>
      </c>
      <c r="Q308" s="445" t="str">
        <f t="array" aca="1" ref="Q308" ca="1">IF(B308="","",IFERROR(MIN(OFFSET(安値!$E$6,MATCH(TEXT(B308,"0"),TEXT(銘柄管理!$B$6:$B$305,"0"),0)-1,0,1,10)),""))</f>
        <v/>
      </c>
      <c r="R308" s="480" t="str">
        <f t="shared" ca="1" si="105"/>
        <v/>
      </c>
      <c r="S308" s="480" t="str">
        <f t="shared" si="106"/>
        <v/>
      </c>
      <c r="T308" s="599" t="str">
        <f t="shared" ca="1" si="95"/>
        <v/>
      </c>
      <c r="U308" s="601" t="str">
        <f t="shared" ca="1" si="96"/>
        <v/>
      </c>
      <c r="V308" s="707" t="str">
        <f t="shared" ca="1" si="107"/>
        <v/>
      </c>
      <c r="W308" s="480" t="str">
        <f t="shared" ca="1" si="97"/>
        <v/>
      </c>
      <c r="X308" s="480" t="str">
        <f t="shared" ca="1" si="98"/>
        <v/>
      </c>
      <c r="Y308" s="488"/>
      <c r="Z308" s="714"/>
      <c r="AD308" s="611"/>
      <c r="AE308" s="603" t="str">
        <f t="shared" si="99"/>
        <v/>
      </c>
      <c r="AF308" s="603"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03"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03" t="str">
        <f t="shared" ca="1" si="100"/>
        <v/>
      </c>
      <c r="AI308" s="603" t="str" cm="1">
        <f t="array" ref="AI308">IFERROR(INDEX(始値!$E$6:$BT$305,MATCH(TEXT($B308,"0"),TEXT(銘柄管理!$B$6:$B$305,"0"),0),MATCH($AE308,始値!$E$3:$BT$3,0)),"")</f>
        <v/>
      </c>
      <c r="AJ308" s="603" t="str">
        <f t="shared" ca="1" si="101"/>
        <v/>
      </c>
      <c r="AK308" s="603" t="str">
        <f t="shared" ca="1" si="102"/>
        <v/>
      </c>
    </row>
    <row r="309" spans="1:37" ht="17.25" customHeight="1">
      <c r="A309" s="625" t="str">
        <f t="shared" si="91"/>
        <v/>
      </c>
      <c r="B309" s="480"/>
      <c r="C309" s="480"/>
      <c r="D309" s="480" t="str" cm="1">
        <f t="array" ref="D309">_xll.RssMarket(B309, "銘柄名称")</f>
        <v/>
      </c>
      <c r="E309" s="721"/>
      <c r="F309" s="702" t="str" cm="1">
        <f t="array" aca="1" ref="F309" ca="1">IFERROR(_xlfn.LET(_xlpm.r,MATCH(TEXT($B309,"0"),TEXT(銘柄管理!$B$6:$B$305,"0"),0),_xlpm.t,MOD(NOW(),1),_xlpm.c,IF($E309=TODAY(),IF(_xlpm.t&gt;=TIME(15,30,0),NA(),1),IF(MATCH($E309,始値!$E$3:$BT$3,0)=1,1,MATCH($E309,始値!$E$3:$BT$3,0)+1)),_xlpm.v,INDEX(始値!$C$6:$BT$305,_xlpm.r,_xlpm.c),IF(N(_xlpm.v)=0,"",_xlpm.v)),"")</f>
        <v/>
      </c>
      <c r="G309" s="480"/>
      <c r="H309" s="480" t="str" cm="1">
        <f t="array" ref="H309">_xll.RssMarket(B309, "現在値")</f>
        <v/>
      </c>
      <c r="I309" s="480" t="str" cm="1">
        <f t="array" ref="I309">_xll.RssMarket(B309, "出来高加重平均")</f>
        <v/>
      </c>
      <c r="J309" s="706" t="str" cm="1">
        <f t="array" ref="J309">_xll.RssMarket($B309, "前日比")</f>
        <v/>
      </c>
      <c r="K309" s="707" t="str">
        <f t="shared" ca="1" si="103"/>
        <v/>
      </c>
      <c r="L309" s="712" t="str">
        <f t="shared" ca="1" si="104"/>
        <v/>
      </c>
      <c r="M309" s="601" t="str">
        <f t="shared" ca="1" si="92"/>
        <v/>
      </c>
      <c r="N309" s="601" t="str">
        <f t="shared" ca="1" si="93"/>
        <v/>
      </c>
      <c r="O309" s="478" t="str">
        <f t="shared" ca="1" si="94"/>
        <v/>
      </c>
      <c r="P309" s="445" t="str">
        <f t="array" aca="1" ref="P309" ca="1">IF(B309="","",IFERROR(MAX(OFFSET(高値!$E$6,MATCH(TEXT(B309,"0"),TEXT(銘柄管理!$B$6:$B$305,"0"),0)-1,0,1,10)),""))</f>
        <v/>
      </c>
      <c r="Q309" s="445" t="str">
        <f t="array" aca="1" ref="Q309" ca="1">IF(B309="","",IFERROR(MIN(OFFSET(安値!$E$6,MATCH(TEXT(B309,"0"),TEXT(銘柄管理!$B$6:$B$305,"0"),0)-1,0,1,10)),""))</f>
        <v/>
      </c>
      <c r="R309" s="480" t="str">
        <f t="shared" ca="1" si="105"/>
        <v/>
      </c>
      <c r="S309" s="480" t="str">
        <f t="shared" si="106"/>
        <v/>
      </c>
      <c r="T309" s="599" t="str">
        <f t="shared" ca="1" si="95"/>
        <v/>
      </c>
      <c r="U309" s="601" t="str">
        <f t="shared" ca="1" si="96"/>
        <v/>
      </c>
      <c r="V309" s="707" t="str">
        <f t="shared" ca="1" si="107"/>
        <v/>
      </c>
      <c r="W309" s="480" t="str">
        <f t="shared" ca="1" si="97"/>
        <v/>
      </c>
      <c r="X309" s="480" t="str">
        <f t="shared" ca="1" si="98"/>
        <v/>
      </c>
      <c r="Y309" s="488"/>
      <c r="Z309" s="714"/>
      <c r="AD309" s="611"/>
      <c r="AE309" s="603" t="str">
        <f t="shared" si="99"/>
        <v/>
      </c>
      <c r="AF309" s="603"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03"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03" t="str">
        <f t="shared" ca="1" si="100"/>
        <v/>
      </c>
      <c r="AI309" s="603" t="str" cm="1">
        <f t="array" ref="AI309">IFERROR(INDEX(始値!$E$6:$BT$305,MATCH(TEXT($B309,"0"),TEXT(銘柄管理!$B$6:$B$305,"0"),0),MATCH($AE309,始値!$E$3:$BT$3,0)),"")</f>
        <v/>
      </c>
      <c r="AJ309" s="603" t="str">
        <f t="shared" ca="1" si="101"/>
        <v/>
      </c>
      <c r="AK309" s="603" t="str">
        <f t="shared" ca="1" si="102"/>
        <v/>
      </c>
    </row>
    <row r="310" spans="1:37" ht="17.25" customHeight="1">
      <c r="A310" s="625" t="str">
        <f t="shared" si="91"/>
        <v/>
      </c>
      <c r="B310" s="480"/>
      <c r="C310" s="480"/>
      <c r="D310" s="480" t="str" cm="1">
        <f t="array" ref="D310">_xll.RssMarket(B310, "銘柄名称")</f>
        <v/>
      </c>
      <c r="E310" s="721"/>
      <c r="F310" s="702" t="str" cm="1">
        <f t="array" aca="1" ref="F310" ca="1">IFERROR(_xlfn.LET(_xlpm.r,MATCH(TEXT($B310,"0"),TEXT(銘柄管理!$B$6:$B$305,"0"),0),_xlpm.t,MOD(NOW(),1),_xlpm.c,IF($E310=TODAY(),IF(_xlpm.t&gt;=TIME(15,30,0),NA(),1),IF(MATCH($E310,始値!$E$3:$BT$3,0)=1,1,MATCH($E310,始値!$E$3:$BT$3,0)+1)),_xlpm.v,INDEX(始値!$C$6:$BT$305,_xlpm.r,_xlpm.c),IF(N(_xlpm.v)=0,"",_xlpm.v)),"")</f>
        <v/>
      </c>
      <c r="G310" s="480"/>
      <c r="H310" s="480" t="str" cm="1">
        <f t="array" ref="H310">_xll.RssMarket(B310, "現在値")</f>
        <v/>
      </c>
      <c r="I310" s="480" t="str" cm="1">
        <f t="array" ref="I310">_xll.RssMarket(B310, "出来高加重平均")</f>
        <v/>
      </c>
      <c r="J310" s="706" t="str" cm="1">
        <f t="array" ref="J310">_xll.RssMarket($B310, "前日比")</f>
        <v/>
      </c>
      <c r="K310" s="707" t="str">
        <f t="shared" ca="1" si="103"/>
        <v/>
      </c>
      <c r="L310" s="712" t="str">
        <f t="shared" ca="1" si="104"/>
        <v/>
      </c>
      <c r="M310" s="601" t="str">
        <f t="shared" ca="1" si="92"/>
        <v/>
      </c>
      <c r="N310" s="601" t="str">
        <f t="shared" ca="1" si="93"/>
        <v/>
      </c>
      <c r="O310" s="478" t="str">
        <f t="shared" ca="1" si="94"/>
        <v/>
      </c>
      <c r="P310" s="445" t="str">
        <f t="array" aca="1" ref="P310" ca="1">IF(B310="","",IFERROR(MAX(OFFSET(高値!$E$6,MATCH(TEXT(B310,"0"),TEXT(銘柄管理!$B$6:$B$305,"0"),0)-1,0,1,10)),""))</f>
        <v/>
      </c>
      <c r="Q310" s="445" t="str">
        <f t="array" aca="1" ref="Q310" ca="1">IF(B310="","",IFERROR(MIN(OFFSET(安値!$E$6,MATCH(TEXT(B310,"0"),TEXT(銘柄管理!$B$6:$B$305,"0"),0)-1,0,1,10)),""))</f>
        <v/>
      </c>
      <c r="R310" s="480" t="str">
        <f t="shared" ca="1" si="105"/>
        <v/>
      </c>
      <c r="S310" s="480" t="str">
        <f t="shared" si="106"/>
        <v/>
      </c>
      <c r="T310" s="599" t="str">
        <f t="shared" ca="1" si="95"/>
        <v/>
      </c>
      <c r="U310" s="601" t="str">
        <f t="shared" ca="1" si="96"/>
        <v/>
      </c>
      <c r="V310" s="707" t="str">
        <f t="shared" ca="1" si="107"/>
        <v/>
      </c>
      <c r="W310" s="480" t="str">
        <f t="shared" ca="1" si="97"/>
        <v/>
      </c>
      <c r="X310" s="480" t="str">
        <f t="shared" ca="1" si="98"/>
        <v/>
      </c>
      <c r="Y310" s="488"/>
      <c r="Z310" s="714"/>
      <c r="AD310" s="611"/>
      <c r="AE310" s="603" t="str">
        <f t="shared" si="99"/>
        <v/>
      </c>
      <c r="AF310" s="603"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03"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03" t="str">
        <f t="shared" ca="1" si="100"/>
        <v/>
      </c>
      <c r="AI310" s="603" t="str" cm="1">
        <f t="array" ref="AI310">IFERROR(INDEX(始値!$E$6:$BT$305,MATCH(TEXT($B310,"0"),TEXT(銘柄管理!$B$6:$B$305,"0"),0),MATCH($AE310,始値!$E$3:$BT$3,0)),"")</f>
        <v/>
      </c>
      <c r="AJ310" s="603" t="str">
        <f t="shared" ca="1" si="101"/>
        <v/>
      </c>
      <c r="AK310" s="603" t="str">
        <f t="shared" ca="1" si="102"/>
        <v/>
      </c>
    </row>
    <row r="311" spans="1:37" ht="17.25" customHeight="1">
      <c r="A311" s="625" t="str">
        <f t="shared" si="91"/>
        <v/>
      </c>
      <c r="B311" s="480"/>
      <c r="C311" s="480"/>
      <c r="D311" s="480" t="str" cm="1">
        <f t="array" ref="D311">_xll.RssMarket(B311, "銘柄名称")</f>
        <v/>
      </c>
      <c r="E311" s="721"/>
      <c r="F311" s="702" t="str" cm="1">
        <f t="array" aca="1" ref="F311" ca="1">IFERROR(_xlfn.LET(_xlpm.r,MATCH(TEXT($B311,"0"),TEXT(銘柄管理!$B$6:$B$305,"0"),0),_xlpm.t,MOD(NOW(),1),_xlpm.c,IF($E311=TODAY(),IF(_xlpm.t&gt;=TIME(15,30,0),NA(),1),IF(MATCH($E311,始値!$E$3:$BT$3,0)=1,1,MATCH($E311,始値!$E$3:$BT$3,0)+1)),_xlpm.v,INDEX(始値!$C$6:$BT$305,_xlpm.r,_xlpm.c),IF(N(_xlpm.v)=0,"",_xlpm.v)),"")</f>
        <v/>
      </c>
      <c r="G311" s="480"/>
      <c r="H311" s="480" t="str" cm="1">
        <f t="array" ref="H311">_xll.RssMarket(B311, "現在値")</f>
        <v/>
      </c>
      <c r="I311" s="480" t="str" cm="1">
        <f t="array" ref="I311">_xll.RssMarket(B311, "出来高加重平均")</f>
        <v/>
      </c>
      <c r="J311" s="706" t="str" cm="1">
        <f t="array" ref="J311">_xll.RssMarket($B311, "前日比")</f>
        <v/>
      </c>
      <c r="K311" s="707" t="str">
        <f t="shared" ca="1" si="103"/>
        <v/>
      </c>
      <c r="L311" s="712" t="str">
        <f t="shared" ca="1" si="104"/>
        <v/>
      </c>
      <c r="M311" s="601" t="str">
        <f t="shared" ca="1" si="92"/>
        <v/>
      </c>
      <c r="N311" s="601" t="str">
        <f t="shared" ca="1" si="93"/>
        <v/>
      </c>
      <c r="O311" s="478" t="str">
        <f t="shared" ca="1" si="94"/>
        <v/>
      </c>
      <c r="P311" s="445" t="str">
        <f t="array" aca="1" ref="P311" ca="1">IF(B311="","",IFERROR(MAX(OFFSET(高値!$E$6,MATCH(TEXT(B311,"0"),TEXT(銘柄管理!$B$6:$B$305,"0"),0)-1,0,1,10)),""))</f>
        <v/>
      </c>
      <c r="Q311" s="445" t="str">
        <f t="array" aca="1" ref="Q311" ca="1">IF(B311="","",IFERROR(MIN(OFFSET(安値!$E$6,MATCH(TEXT(B311,"0"),TEXT(銘柄管理!$B$6:$B$305,"0"),0)-1,0,1,10)),""))</f>
        <v/>
      </c>
      <c r="R311" s="480" t="str">
        <f t="shared" ca="1" si="105"/>
        <v/>
      </c>
      <c r="S311" s="480" t="str">
        <f t="shared" si="106"/>
        <v/>
      </c>
      <c r="T311" s="599" t="str">
        <f t="shared" ca="1" si="95"/>
        <v/>
      </c>
      <c r="U311" s="601" t="str">
        <f t="shared" ca="1" si="96"/>
        <v/>
      </c>
      <c r="V311" s="707" t="str">
        <f t="shared" ca="1" si="107"/>
        <v/>
      </c>
      <c r="W311" s="480" t="str">
        <f t="shared" ca="1" si="97"/>
        <v/>
      </c>
      <c r="X311" s="480" t="str">
        <f t="shared" ca="1" si="98"/>
        <v/>
      </c>
      <c r="Y311" s="488"/>
      <c r="Z311" s="714"/>
      <c r="AD311" s="611"/>
      <c r="AE311" s="603" t="str">
        <f t="shared" si="99"/>
        <v/>
      </c>
      <c r="AF311" s="603"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03"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03" t="str">
        <f t="shared" ca="1" si="100"/>
        <v/>
      </c>
      <c r="AI311" s="603" t="str" cm="1">
        <f t="array" ref="AI311">IFERROR(INDEX(始値!$E$6:$BT$305,MATCH(TEXT($B311,"0"),TEXT(銘柄管理!$B$6:$B$305,"0"),0),MATCH($AE311,始値!$E$3:$BT$3,0)),"")</f>
        <v/>
      </c>
      <c r="AJ311" s="603" t="str">
        <f t="shared" ca="1" si="101"/>
        <v/>
      </c>
      <c r="AK311" s="603" t="str">
        <f t="shared" ca="1" si="102"/>
        <v/>
      </c>
    </row>
    <row r="312" spans="1:37" ht="17.25" customHeight="1">
      <c r="A312" s="625" t="str">
        <f t="shared" si="91"/>
        <v/>
      </c>
      <c r="B312" s="480"/>
      <c r="C312" s="480"/>
      <c r="D312" s="480" t="str" cm="1">
        <f t="array" ref="D312">_xll.RssMarket(B312, "銘柄名称")</f>
        <v/>
      </c>
      <c r="E312" s="721"/>
      <c r="F312" s="702" t="str" cm="1">
        <f t="array" aca="1" ref="F312" ca="1">IFERROR(_xlfn.LET(_xlpm.r,MATCH(TEXT($B312,"0"),TEXT(銘柄管理!$B$6:$B$305,"0"),0),_xlpm.t,MOD(NOW(),1),_xlpm.c,IF($E312=TODAY(),IF(_xlpm.t&gt;=TIME(15,30,0),NA(),1),IF(MATCH($E312,始値!$E$3:$BT$3,0)=1,1,MATCH($E312,始値!$E$3:$BT$3,0)+1)),_xlpm.v,INDEX(始値!$C$6:$BT$305,_xlpm.r,_xlpm.c),IF(N(_xlpm.v)=0,"",_xlpm.v)),"")</f>
        <v/>
      </c>
      <c r="G312" s="480"/>
      <c r="H312" s="480" t="str" cm="1">
        <f t="array" ref="H312">_xll.RssMarket(B312, "現在値")</f>
        <v/>
      </c>
      <c r="I312" s="480" t="str" cm="1">
        <f t="array" ref="I312">_xll.RssMarket(B312, "出来高加重平均")</f>
        <v/>
      </c>
      <c r="J312" s="706" t="str" cm="1">
        <f t="array" ref="J312">_xll.RssMarket($B312, "前日比")</f>
        <v/>
      </c>
      <c r="K312" s="707" t="str">
        <f t="shared" ca="1" si="103"/>
        <v/>
      </c>
      <c r="L312" s="712" t="str">
        <f t="shared" ca="1" si="104"/>
        <v/>
      </c>
      <c r="M312" s="601" t="str">
        <f t="shared" ca="1" si="92"/>
        <v/>
      </c>
      <c r="N312" s="601" t="str">
        <f t="shared" ca="1" si="93"/>
        <v/>
      </c>
      <c r="O312" s="478" t="str">
        <f t="shared" ca="1" si="94"/>
        <v/>
      </c>
      <c r="P312" s="445" t="str">
        <f t="array" aca="1" ref="P312" ca="1">IF(B312="","",IFERROR(MAX(OFFSET(高値!$E$6,MATCH(TEXT(B312,"0"),TEXT(銘柄管理!$B$6:$B$305,"0"),0)-1,0,1,10)),""))</f>
        <v/>
      </c>
      <c r="Q312" s="445" t="str">
        <f t="array" aca="1" ref="Q312" ca="1">IF(B312="","",IFERROR(MIN(OFFSET(安値!$E$6,MATCH(TEXT(B312,"0"),TEXT(銘柄管理!$B$6:$B$305,"0"),0)-1,0,1,10)),""))</f>
        <v/>
      </c>
      <c r="R312" s="480" t="str">
        <f t="shared" ca="1" si="105"/>
        <v/>
      </c>
      <c r="S312" s="480" t="str">
        <f t="shared" si="106"/>
        <v/>
      </c>
      <c r="T312" s="599" t="str">
        <f t="shared" ca="1" si="95"/>
        <v/>
      </c>
      <c r="U312" s="601" t="str">
        <f t="shared" ca="1" si="96"/>
        <v/>
      </c>
      <c r="V312" s="707" t="str">
        <f t="shared" ca="1" si="107"/>
        <v/>
      </c>
      <c r="W312" s="480" t="str">
        <f t="shared" ca="1" si="97"/>
        <v/>
      </c>
      <c r="X312" s="480" t="str">
        <f t="shared" ca="1" si="98"/>
        <v/>
      </c>
      <c r="Y312" s="488"/>
      <c r="Z312" s="714"/>
      <c r="AD312" s="611"/>
      <c r="AE312" s="603" t="str">
        <f t="shared" si="99"/>
        <v/>
      </c>
      <c r="AF312" s="603"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03"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03" t="str">
        <f t="shared" ca="1" si="100"/>
        <v/>
      </c>
      <c r="AI312" s="603" t="str" cm="1">
        <f t="array" ref="AI312">IFERROR(INDEX(始値!$E$6:$BT$305,MATCH(TEXT($B312,"0"),TEXT(銘柄管理!$B$6:$B$305,"0"),0),MATCH($AE312,始値!$E$3:$BT$3,0)),"")</f>
        <v/>
      </c>
      <c r="AJ312" s="603" t="str">
        <f t="shared" ca="1" si="101"/>
        <v/>
      </c>
      <c r="AK312" s="603" t="str">
        <f t="shared" ca="1" si="102"/>
        <v/>
      </c>
    </row>
    <row r="313" spans="1:37" ht="17.25" customHeight="1">
      <c r="A313" s="625" t="str">
        <f t="shared" si="91"/>
        <v/>
      </c>
      <c r="B313" s="480"/>
      <c r="C313" s="480"/>
      <c r="D313" s="480" t="str" cm="1">
        <f t="array" ref="D313">_xll.RssMarket(B313, "銘柄名称")</f>
        <v/>
      </c>
      <c r="E313" s="721"/>
      <c r="F313" s="702" t="str" cm="1">
        <f t="array" aca="1" ref="F313" ca="1">IFERROR(_xlfn.LET(_xlpm.r,MATCH(TEXT($B313,"0"),TEXT(銘柄管理!$B$6:$B$305,"0"),0),_xlpm.t,MOD(NOW(),1),_xlpm.c,IF($E313=TODAY(),IF(_xlpm.t&gt;=TIME(15,30,0),NA(),1),IF(MATCH($E313,始値!$E$3:$BT$3,0)=1,1,MATCH($E313,始値!$E$3:$BT$3,0)+1)),_xlpm.v,INDEX(始値!$C$6:$BT$305,_xlpm.r,_xlpm.c),IF(N(_xlpm.v)=0,"",_xlpm.v)),"")</f>
        <v/>
      </c>
      <c r="G313" s="480"/>
      <c r="H313" s="480" t="str" cm="1">
        <f t="array" ref="H313">_xll.RssMarket(B313, "現在値")</f>
        <v/>
      </c>
      <c r="I313" s="480" t="str" cm="1">
        <f t="array" ref="I313">_xll.RssMarket(B313, "出来高加重平均")</f>
        <v/>
      </c>
      <c r="J313" s="706" t="str" cm="1">
        <f t="array" ref="J313">_xll.RssMarket($B313, "前日比")</f>
        <v/>
      </c>
      <c r="K313" s="707" t="str">
        <f t="shared" ca="1" si="103"/>
        <v/>
      </c>
      <c r="L313" s="712" t="str">
        <f t="shared" ca="1" si="104"/>
        <v/>
      </c>
      <c r="M313" s="601" t="str">
        <f t="shared" ca="1" si="92"/>
        <v/>
      </c>
      <c r="N313" s="601" t="str">
        <f t="shared" ca="1" si="93"/>
        <v/>
      </c>
      <c r="O313" s="478" t="str">
        <f t="shared" ca="1" si="94"/>
        <v/>
      </c>
      <c r="P313" s="445" t="str">
        <f t="array" aca="1" ref="P313" ca="1">IF(B313="","",IFERROR(MAX(OFFSET(高値!$E$6,MATCH(TEXT(B313,"0"),TEXT(銘柄管理!$B$6:$B$305,"0"),0)-1,0,1,10)),""))</f>
        <v/>
      </c>
      <c r="Q313" s="445" t="str">
        <f t="array" aca="1" ref="Q313" ca="1">IF(B313="","",IFERROR(MIN(OFFSET(安値!$E$6,MATCH(TEXT(B313,"0"),TEXT(銘柄管理!$B$6:$B$305,"0"),0)-1,0,1,10)),""))</f>
        <v/>
      </c>
      <c r="R313" s="480" t="str">
        <f t="shared" ca="1" si="105"/>
        <v/>
      </c>
      <c r="S313" s="480" t="str">
        <f t="shared" si="106"/>
        <v/>
      </c>
      <c r="T313" s="599" t="str">
        <f t="shared" ca="1" si="95"/>
        <v/>
      </c>
      <c r="U313" s="601" t="str">
        <f t="shared" ca="1" si="96"/>
        <v/>
      </c>
      <c r="V313" s="707" t="str">
        <f t="shared" ca="1" si="107"/>
        <v/>
      </c>
      <c r="W313" s="480" t="str">
        <f t="shared" ca="1" si="97"/>
        <v/>
      </c>
      <c r="X313" s="480" t="str">
        <f t="shared" ca="1" si="98"/>
        <v/>
      </c>
      <c r="Y313" s="488"/>
      <c r="Z313" s="714"/>
      <c r="AD313" s="611"/>
      <c r="AE313" s="603" t="str">
        <f t="shared" si="99"/>
        <v/>
      </c>
      <c r="AF313" s="603"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03"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03" t="str">
        <f t="shared" ca="1" si="100"/>
        <v/>
      </c>
      <c r="AI313" s="603" t="str" cm="1">
        <f t="array" ref="AI313">IFERROR(INDEX(始値!$E$6:$BT$305,MATCH(TEXT($B313,"0"),TEXT(銘柄管理!$B$6:$B$305,"0"),0),MATCH($AE313,始値!$E$3:$BT$3,0)),"")</f>
        <v/>
      </c>
      <c r="AJ313" s="603" t="str">
        <f t="shared" ca="1" si="101"/>
        <v/>
      </c>
      <c r="AK313" s="603" t="str">
        <f t="shared" ca="1" si="102"/>
        <v/>
      </c>
    </row>
    <row r="314" spans="1:37" ht="17.25" customHeight="1">
      <c r="A314" s="625" t="str">
        <f t="shared" si="91"/>
        <v/>
      </c>
      <c r="B314" s="480"/>
      <c r="C314" s="480"/>
      <c r="D314" s="480" t="str" cm="1">
        <f t="array" ref="D314">_xll.RssMarket(B314, "銘柄名称")</f>
        <v/>
      </c>
      <c r="E314" s="721"/>
      <c r="F314" s="702" t="str" cm="1">
        <f t="array" aca="1" ref="F314" ca="1">IFERROR(_xlfn.LET(_xlpm.r,MATCH(TEXT($B314,"0"),TEXT(銘柄管理!$B$6:$B$305,"0"),0),_xlpm.t,MOD(NOW(),1),_xlpm.c,IF($E314=TODAY(),IF(_xlpm.t&gt;=TIME(15,30,0),NA(),1),IF(MATCH($E314,始値!$E$3:$BT$3,0)=1,1,MATCH($E314,始値!$E$3:$BT$3,0)+1)),_xlpm.v,INDEX(始値!$C$6:$BT$305,_xlpm.r,_xlpm.c),IF(N(_xlpm.v)=0,"",_xlpm.v)),"")</f>
        <v/>
      </c>
      <c r="G314" s="480"/>
      <c r="H314" s="480" t="str" cm="1">
        <f t="array" ref="H314">_xll.RssMarket(B314, "現在値")</f>
        <v/>
      </c>
      <c r="I314" s="480" t="str" cm="1">
        <f t="array" ref="I314">_xll.RssMarket(B314, "出来高加重平均")</f>
        <v/>
      </c>
      <c r="J314" s="706" t="str" cm="1">
        <f t="array" ref="J314">_xll.RssMarket($B314, "前日比")</f>
        <v/>
      </c>
      <c r="K314" s="707" t="str">
        <f t="shared" ca="1" si="103"/>
        <v/>
      </c>
      <c r="L314" s="712" t="str">
        <f t="shared" ca="1" si="104"/>
        <v/>
      </c>
      <c r="M314" s="601" t="str">
        <f t="shared" ca="1" si="92"/>
        <v/>
      </c>
      <c r="N314" s="601" t="str">
        <f t="shared" ca="1" si="93"/>
        <v/>
      </c>
      <c r="O314" s="478" t="str">
        <f t="shared" ca="1" si="94"/>
        <v/>
      </c>
      <c r="P314" s="445" t="str">
        <f t="array" aca="1" ref="P314" ca="1">IF(B314="","",IFERROR(MAX(OFFSET(高値!$E$6,MATCH(TEXT(B314,"0"),TEXT(銘柄管理!$B$6:$B$305,"0"),0)-1,0,1,10)),""))</f>
        <v/>
      </c>
      <c r="Q314" s="445" t="str">
        <f t="array" aca="1" ref="Q314" ca="1">IF(B314="","",IFERROR(MIN(OFFSET(安値!$E$6,MATCH(TEXT(B314,"0"),TEXT(銘柄管理!$B$6:$B$305,"0"),0)-1,0,1,10)),""))</f>
        <v/>
      </c>
      <c r="R314" s="480" t="str">
        <f t="shared" ca="1" si="105"/>
        <v/>
      </c>
      <c r="S314" s="480" t="str">
        <f t="shared" si="106"/>
        <v/>
      </c>
      <c r="T314" s="599" t="str">
        <f t="shared" ca="1" si="95"/>
        <v/>
      </c>
      <c r="U314" s="601" t="str">
        <f t="shared" ca="1" si="96"/>
        <v/>
      </c>
      <c r="V314" s="707" t="str">
        <f t="shared" ca="1" si="107"/>
        <v/>
      </c>
      <c r="W314" s="480" t="str">
        <f t="shared" ca="1" si="97"/>
        <v/>
      </c>
      <c r="X314" s="480" t="str">
        <f t="shared" ca="1" si="98"/>
        <v/>
      </c>
      <c r="Y314" s="488"/>
      <c r="Z314" s="714"/>
      <c r="AD314" s="611"/>
      <c r="AE314" s="603" t="str">
        <f t="shared" si="99"/>
        <v/>
      </c>
      <c r="AF314" s="603"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03"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03" t="str">
        <f t="shared" ca="1" si="100"/>
        <v/>
      </c>
      <c r="AI314" s="603" t="str" cm="1">
        <f t="array" ref="AI314">IFERROR(INDEX(始値!$E$6:$BT$305,MATCH(TEXT($B314,"0"),TEXT(銘柄管理!$B$6:$B$305,"0"),0),MATCH($AE314,始値!$E$3:$BT$3,0)),"")</f>
        <v/>
      </c>
      <c r="AJ314" s="603" t="str">
        <f t="shared" ca="1" si="101"/>
        <v/>
      </c>
      <c r="AK314" s="603" t="str">
        <f t="shared" ca="1" si="102"/>
        <v/>
      </c>
    </row>
    <row r="315" spans="1:37" ht="17.25" customHeight="1">
      <c r="A315" s="625" t="str">
        <f t="shared" si="91"/>
        <v/>
      </c>
      <c r="B315" s="480"/>
      <c r="C315" s="480"/>
      <c r="D315" s="480" t="str" cm="1">
        <f t="array" ref="D315">_xll.RssMarket(B315, "銘柄名称")</f>
        <v/>
      </c>
      <c r="E315" s="721"/>
      <c r="F315" s="702" t="str" cm="1">
        <f t="array" aca="1" ref="F315" ca="1">IFERROR(_xlfn.LET(_xlpm.r,MATCH(TEXT($B315,"0"),TEXT(銘柄管理!$B$6:$B$305,"0"),0),_xlpm.t,MOD(NOW(),1),_xlpm.c,IF($E315=TODAY(),IF(_xlpm.t&gt;=TIME(15,30,0),NA(),1),IF(MATCH($E315,始値!$E$3:$BT$3,0)=1,1,MATCH($E315,始値!$E$3:$BT$3,0)+1)),_xlpm.v,INDEX(始値!$C$6:$BT$305,_xlpm.r,_xlpm.c),IF(N(_xlpm.v)=0,"",_xlpm.v)),"")</f>
        <v/>
      </c>
      <c r="G315" s="480"/>
      <c r="H315" s="480" t="str" cm="1">
        <f t="array" ref="H315">_xll.RssMarket(B315, "現在値")</f>
        <v/>
      </c>
      <c r="I315" s="480" t="str" cm="1">
        <f t="array" ref="I315">_xll.RssMarket(B315, "出来高加重平均")</f>
        <v/>
      </c>
      <c r="J315" s="706" t="str" cm="1">
        <f t="array" ref="J315">_xll.RssMarket($B315, "前日比")</f>
        <v/>
      </c>
      <c r="K315" s="707" t="str">
        <f t="shared" ca="1" si="103"/>
        <v/>
      </c>
      <c r="L315" s="712" t="str">
        <f t="shared" ca="1" si="104"/>
        <v/>
      </c>
      <c r="M315" s="601" t="str">
        <f t="shared" ca="1" si="92"/>
        <v/>
      </c>
      <c r="N315" s="601" t="str">
        <f t="shared" ca="1" si="93"/>
        <v/>
      </c>
      <c r="O315" s="478" t="str">
        <f t="shared" ca="1" si="94"/>
        <v/>
      </c>
      <c r="P315" s="445" t="str">
        <f t="array" aca="1" ref="P315" ca="1">IF(B315="","",IFERROR(MAX(OFFSET(高値!$E$6,MATCH(TEXT(B315,"0"),TEXT(銘柄管理!$B$6:$B$305,"0"),0)-1,0,1,10)),""))</f>
        <v/>
      </c>
      <c r="Q315" s="445" t="str">
        <f t="array" aca="1" ref="Q315" ca="1">IF(B315="","",IFERROR(MIN(OFFSET(安値!$E$6,MATCH(TEXT(B315,"0"),TEXT(銘柄管理!$B$6:$B$305,"0"),0)-1,0,1,10)),""))</f>
        <v/>
      </c>
      <c r="R315" s="480" t="str">
        <f t="shared" ca="1" si="105"/>
        <v/>
      </c>
      <c r="S315" s="480" t="str">
        <f t="shared" si="106"/>
        <v/>
      </c>
      <c r="T315" s="599" t="str">
        <f t="shared" ca="1" si="95"/>
        <v/>
      </c>
      <c r="U315" s="601" t="str">
        <f t="shared" ca="1" si="96"/>
        <v/>
      </c>
      <c r="V315" s="707" t="str">
        <f t="shared" ca="1" si="107"/>
        <v/>
      </c>
      <c r="W315" s="480" t="str">
        <f t="shared" ca="1" si="97"/>
        <v/>
      </c>
      <c r="X315" s="480" t="str">
        <f t="shared" ca="1" si="98"/>
        <v/>
      </c>
      <c r="Y315" s="488"/>
      <c r="Z315" s="714"/>
      <c r="AD315" s="611"/>
      <c r="AE315" s="603" t="str">
        <f t="shared" si="99"/>
        <v/>
      </c>
      <c r="AF315" s="603"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03"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03" t="str">
        <f t="shared" ca="1" si="100"/>
        <v/>
      </c>
      <c r="AI315" s="603" t="str" cm="1">
        <f t="array" ref="AI315">IFERROR(INDEX(始値!$E$6:$BT$305,MATCH(TEXT($B315,"0"),TEXT(銘柄管理!$B$6:$B$305,"0"),0),MATCH($AE315,始値!$E$3:$BT$3,0)),"")</f>
        <v/>
      </c>
      <c r="AJ315" s="603" t="str">
        <f t="shared" ca="1" si="101"/>
        <v/>
      </c>
      <c r="AK315" s="603" t="str">
        <f t="shared" ca="1" si="102"/>
        <v/>
      </c>
    </row>
    <row r="316" spans="1:37" ht="17.25" customHeight="1">
      <c r="A316" s="625" t="str">
        <f t="shared" si="91"/>
        <v/>
      </c>
      <c r="B316" s="480"/>
      <c r="C316" s="480"/>
      <c r="D316" s="480" t="str" cm="1">
        <f t="array" ref="D316">_xll.RssMarket(B316, "銘柄名称")</f>
        <v/>
      </c>
      <c r="E316" s="721"/>
      <c r="F316" s="702" t="str" cm="1">
        <f t="array" aca="1" ref="F316" ca="1">IFERROR(_xlfn.LET(_xlpm.r,MATCH(TEXT($B316,"0"),TEXT(銘柄管理!$B$6:$B$305,"0"),0),_xlpm.t,MOD(NOW(),1),_xlpm.c,IF($E316=TODAY(),IF(_xlpm.t&gt;=TIME(15,30,0),NA(),1),IF(MATCH($E316,始値!$E$3:$BT$3,0)=1,1,MATCH($E316,始値!$E$3:$BT$3,0)+1)),_xlpm.v,INDEX(始値!$C$6:$BT$305,_xlpm.r,_xlpm.c),IF(N(_xlpm.v)=0,"",_xlpm.v)),"")</f>
        <v/>
      </c>
      <c r="G316" s="480"/>
      <c r="H316" s="480" t="str" cm="1">
        <f t="array" ref="H316">_xll.RssMarket(B316, "現在値")</f>
        <v/>
      </c>
      <c r="I316" s="480" t="str" cm="1">
        <f t="array" ref="I316">_xll.RssMarket(B316, "出来高加重平均")</f>
        <v/>
      </c>
      <c r="J316" s="706" t="str" cm="1">
        <f t="array" ref="J316">_xll.RssMarket($B316, "前日比")</f>
        <v/>
      </c>
      <c r="K316" s="707" t="str">
        <f t="shared" ca="1" si="103"/>
        <v/>
      </c>
      <c r="L316" s="712" t="str">
        <f t="shared" ca="1" si="104"/>
        <v/>
      </c>
      <c r="M316" s="601" t="str">
        <f t="shared" ca="1" si="92"/>
        <v/>
      </c>
      <c r="N316" s="601" t="str">
        <f t="shared" ca="1" si="93"/>
        <v/>
      </c>
      <c r="O316" s="478" t="str">
        <f t="shared" ca="1" si="94"/>
        <v/>
      </c>
      <c r="P316" s="445" t="str">
        <f t="array" aca="1" ref="P316" ca="1">IF(B316="","",IFERROR(MAX(OFFSET(高値!$E$6,MATCH(TEXT(B316,"0"),TEXT(銘柄管理!$B$6:$B$305,"0"),0)-1,0,1,10)),""))</f>
        <v/>
      </c>
      <c r="Q316" s="445" t="str">
        <f t="array" aca="1" ref="Q316" ca="1">IF(B316="","",IFERROR(MIN(OFFSET(安値!$E$6,MATCH(TEXT(B316,"0"),TEXT(銘柄管理!$B$6:$B$305,"0"),0)-1,0,1,10)),""))</f>
        <v/>
      </c>
      <c r="R316" s="480" t="str">
        <f t="shared" ca="1" si="105"/>
        <v/>
      </c>
      <c r="S316" s="480" t="str">
        <f t="shared" si="106"/>
        <v/>
      </c>
      <c r="T316" s="599" t="str">
        <f t="shared" ca="1" si="95"/>
        <v/>
      </c>
      <c r="U316" s="601" t="str">
        <f t="shared" ca="1" si="96"/>
        <v/>
      </c>
      <c r="V316" s="707" t="str">
        <f t="shared" ca="1" si="107"/>
        <v/>
      </c>
      <c r="W316" s="480" t="str">
        <f t="shared" ca="1" si="97"/>
        <v/>
      </c>
      <c r="X316" s="480" t="str">
        <f t="shared" ca="1" si="98"/>
        <v/>
      </c>
      <c r="Y316" s="488"/>
      <c r="Z316" s="714"/>
      <c r="AD316" s="611"/>
      <c r="AE316" s="603" t="str">
        <f t="shared" si="99"/>
        <v/>
      </c>
      <c r="AF316" s="603"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03"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03" t="str">
        <f t="shared" ca="1" si="100"/>
        <v/>
      </c>
      <c r="AI316" s="603" t="str" cm="1">
        <f t="array" ref="AI316">IFERROR(INDEX(始値!$E$6:$BT$305,MATCH(TEXT($B316,"0"),TEXT(銘柄管理!$B$6:$B$305,"0"),0),MATCH($AE316,始値!$E$3:$BT$3,0)),"")</f>
        <v/>
      </c>
      <c r="AJ316" s="603" t="str">
        <f t="shared" ca="1" si="101"/>
        <v/>
      </c>
      <c r="AK316" s="603" t="str">
        <f t="shared" ca="1" si="102"/>
        <v/>
      </c>
    </row>
    <row r="317" spans="1:37" ht="17.25" customHeight="1">
      <c r="A317" s="625" t="str">
        <f t="shared" si="91"/>
        <v/>
      </c>
      <c r="B317" s="480"/>
      <c r="C317" s="480"/>
      <c r="D317" s="480" t="str" cm="1">
        <f t="array" ref="D317">_xll.RssMarket(B317, "銘柄名称")</f>
        <v/>
      </c>
      <c r="E317" s="721"/>
      <c r="F317" s="702" t="str" cm="1">
        <f t="array" aca="1" ref="F317" ca="1">IFERROR(_xlfn.LET(_xlpm.r,MATCH(TEXT($B317,"0"),TEXT(銘柄管理!$B$6:$B$305,"0"),0),_xlpm.t,MOD(NOW(),1),_xlpm.c,IF($E317=TODAY(),IF(_xlpm.t&gt;=TIME(15,30,0),NA(),1),IF(MATCH($E317,始値!$E$3:$BT$3,0)=1,1,MATCH($E317,始値!$E$3:$BT$3,0)+1)),_xlpm.v,INDEX(始値!$C$6:$BT$305,_xlpm.r,_xlpm.c),IF(N(_xlpm.v)=0,"",_xlpm.v)),"")</f>
        <v/>
      </c>
      <c r="G317" s="480"/>
      <c r="H317" s="480" t="str" cm="1">
        <f t="array" ref="H317">_xll.RssMarket(B317, "現在値")</f>
        <v/>
      </c>
      <c r="I317" s="480" t="str" cm="1">
        <f t="array" ref="I317">_xll.RssMarket(B317, "出来高加重平均")</f>
        <v/>
      </c>
      <c r="J317" s="706" t="str" cm="1">
        <f t="array" ref="J317">_xll.RssMarket($B317, "前日比")</f>
        <v/>
      </c>
      <c r="K317" s="707" t="str">
        <f t="shared" ca="1" si="103"/>
        <v/>
      </c>
      <c r="L317" s="712" t="str">
        <f t="shared" ca="1" si="104"/>
        <v/>
      </c>
      <c r="M317" s="601" t="str">
        <f t="shared" ca="1" si="92"/>
        <v/>
      </c>
      <c r="N317" s="601" t="str">
        <f t="shared" ca="1" si="93"/>
        <v/>
      </c>
      <c r="O317" s="478" t="str">
        <f t="shared" ca="1" si="94"/>
        <v/>
      </c>
      <c r="P317" s="445" t="str">
        <f t="array" aca="1" ref="P317" ca="1">IF(B317="","",IFERROR(MAX(OFFSET(高値!$E$6,MATCH(TEXT(B317,"0"),TEXT(銘柄管理!$B$6:$B$305,"0"),0)-1,0,1,10)),""))</f>
        <v/>
      </c>
      <c r="Q317" s="445" t="str">
        <f t="array" aca="1" ref="Q317" ca="1">IF(B317="","",IFERROR(MIN(OFFSET(安値!$E$6,MATCH(TEXT(B317,"0"),TEXT(銘柄管理!$B$6:$B$305,"0"),0)-1,0,1,10)),""))</f>
        <v/>
      </c>
      <c r="R317" s="480" t="str">
        <f t="shared" ca="1" si="105"/>
        <v/>
      </c>
      <c r="S317" s="480" t="str">
        <f t="shared" si="106"/>
        <v/>
      </c>
      <c r="T317" s="599" t="str">
        <f t="shared" ca="1" si="95"/>
        <v/>
      </c>
      <c r="U317" s="601" t="str">
        <f t="shared" ca="1" si="96"/>
        <v/>
      </c>
      <c r="V317" s="707" t="str">
        <f t="shared" ca="1" si="107"/>
        <v/>
      </c>
      <c r="W317" s="480" t="str">
        <f t="shared" ca="1" si="97"/>
        <v/>
      </c>
      <c r="X317" s="480" t="str">
        <f t="shared" ca="1" si="98"/>
        <v/>
      </c>
      <c r="Y317" s="488"/>
      <c r="Z317" s="714"/>
      <c r="AD317" s="611"/>
      <c r="AE317" s="603" t="str">
        <f t="shared" si="99"/>
        <v/>
      </c>
      <c r="AF317" s="603"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03"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03" t="str">
        <f t="shared" ca="1" si="100"/>
        <v/>
      </c>
      <c r="AI317" s="603" t="str" cm="1">
        <f t="array" ref="AI317">IFERROR(INDEX(始値!$E$6:$BT$305,MATCH(TEXT($B317,"0"),TEXT(銘柄管理!$B$6:$B$305,"0"),0),MATCH($AE317,始値!$E$3:$BT$3,0)),"")</f>
        <v/>
      </c>
      <c r="AJ317" s="603" t="str">
        <f t="shared" ca="1" si="101"/>
        <v/>
      </c>
      <c r="AK317" s="603" t="str">
        <f t="shared" ca="1" si="102"/>
        <v/>
      </c>
    </row>
    <row r="318" spans="1:37" ht="17.25" customHeight="1">
      <c r="A318" s="625" t="str">
        <f t="shared" si="91"/>
        <v/>
      </c>
      <c r="B318" s="480"/>
      <c r="C318" s="480"/>
      <c r="D318" s="480" t="str" cm="1">
        <f t="array" ref="D318">_xll.RssMarket(B318, "銘柄名称")</f>
        <v/>
      </c>
      <c r="E318" s="721"/>
      <c r="F318" s="702" t="str" cm="1">
        <f t="array" aca="1" ref="F318" ca="1">IFERROR(_xlfn.LET(_xlpm.r,MATCH(TEXT($B318,"0"),TEXT(銘柄管理!$B$6:$B$305,"0"),0),_xlpm.t,MOD(NOW(),1),_xlpm.c,IF($E318=TODAY(),IF(_xlpm.t&gt;=TIME(15,30,0),NA(),1),IF(MATCH($E318,始値!$E$3:$BT$3,0)=1,1,MATCH($E318,始値!$E$3:$BT$3,0)+1)),_xlpm.v,INDEX(始値!$C$6:$BT$305,_xlpm.r,_xlpm.c),IF(N(_xlpm.v)=0,"",_xlpm.v)),"")</f>
        <v/>
      </c>
      <c r="G318" s="480"/>
      <c r="H318" s="480" t="str" cm="1">
        <f t="array" ref="H318">_xll.RssMarket(B318, "現在値")</f>
        <v/>
      </c>
      <c r="I318" s="480" t="str" cm="1">
        <f t="array" ref="I318">_xll.RssMarket(B318, "出来高加重平均")</f>
        <v/>
      </c>
      <c r="J318" s="706" t="str" cm="1">
        <f t="array" ref="J318">_xll.RssMarket($B318, "前日比")</f>
        <v/>
      </c>
      <c r="K318" s="707" t="str">
        <f t="shared" ca="1" si="103"/>
        <v/>
      </c>
      <c r="L318" s="712" t="str">
        <f t="shared" ca="1" si="104"/>
        <v/>
      </c>
      <c r="M318" s="601" t="str">
        <f t="shared" ca="1" si="92"/>
        <v/>
      </c>
      <c r="N318" s="601" t="str">
        <f t="shared" ca="1" si="93"/>
        <v/>
      </c>
      <c r="O318" s="478" t="str">
        <f t="shared" ca="1" si="94"/>
        <v/>
      </c>
      <c r="P318" s="445" t="str">
        <f t="array" aca="1" ref="P318" ca="1">IF(B318="","",IFERROR(MAX(OFFSET(高値!$E$6,MATCH(TEXT(B318,"0"),TEXT(銘柄管理!$B$6:$B$305,"0"),0)-1,0,1,10)),""))</f>
        <v/>
      </c>
      <c r="Q318" s="445" t="str">
        <f t="array" aca="1" ref="Q318" ca="1">IF(B318="","",IFERROR(MIN(OFFSET(安値!$E$6,MATCH(TEXT(B318,"0"),TEXT(銘柄管理!$B$6:$B$305,"0"),0)-1,0,1,10)),""))</f>
        <v/>
      </c>
      <c r="R318" s="480" t="str">
        <f t="shared" ca="1" si="105"/>
        <v/>
      </c>
      <c r="S318" s="480" t="str">
        <f t="shared" si="106"/>
        <v/>
      </c>
      <c r="T318" s="599" t="str">
        <f t="shared" ca="1" si="95"/>
        <v/>
      </c>
      <c r="U318" s="601" t="str">
        <f t="shared" ca="1" si="96"/>
        <v/>
      </c>
      <c r="V318" s="707" t="str">
        <f t="shared" ca="1" si="107"/>
        <v/>
      </c>
      <c r="W318" s="480" t="str">
        <f t="shared" ca="1" si="97"/>
        <v/>
      </c>
      <c r="X318" s="480" t="str">
        <f t="shared" ca="1" si="98"/>
        <v/>
      </c>
      <c r="Y318" s="488"/>
      <c r="Z318" s="714"/>
      <c r="AD318" s="611"/>
      <c r="AE318" s="603" t="str">
        <f t="shared" si="99"/>
        <v/>
      </c>
      <c r="AF318" s="603"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03"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03" t="str">
        <f t="shared" ca="1" si="100"/>
        <v/>
      </c>
      <c r="AI318" s="603" t="str" cm="1">
        <f t="array" ref="AI318">IFERROR(INDEX(始値!$E$6:$BT$305,MATCH(TEXT($B318,"0"),TEXT(銘柄管理!$B$6:$B$305,"0"),0),MATCH($AE318,始値!$E$3:$BT$3,0)),"")</f>
        <v/>
      </c>
      <c r="AJ318" s="603" t="str">
        <f t="shared" ca="1" si="101"/>
        <v/>
      </c>
      <c r="AK318" s="603" t="str">
        <f t="shared" ca="1" si="102"/>
        <v/>
      </c>
    </row>
    <row r="319" spans="1:37" ht="17.25" customHeight="1">
      <c r="A319" s="625" t="str">
        <f t="shared" si="91"/>
        <v/>
      </c>
      <c r="B319" s="480"/>
      <c r="C319" s="480"/>
      <c r="D319" s="480" t="str" cm="1">
        <f t="array" ref="D319">_xll.RssMarket(B319, "銘柄名称")</f>
        <v/>
      </c>
      <c r="E319" s="721"/>
      <c r="F319" s="702" t="str" cm="1">
        <f t="array" aca="1" ref="F319" ca="1">IFERROR(_xlfn.LET(_xlpm.r,MATCH(TEXT($B319,"0"),TEXT(銘柄管理!$B$6:$B$305,"0"),0),_xlpm.t,MOD(NOW(),1),_xlpm.c,IF($E319=TODAY(),IF(_xlpm.t&gt;=TIME(15,30,0),NA(),1),IF(MATCH($E319,始値!$E$3:$BT$3,0)=1,1,MATCH($E319,始値!$E$3:$BT$3,0)+1)),_xlpm.v,INDEX(始値!$C$6:$BT$305,_xlpm.r,_xlpm.c),IF(N(_xlpm.v)=0,"",_xlpm.v)),"")</f>
        <v/>
      </c>
      <c r="G319" s="480"/>
      <c r="H319" s="480" t="str" cm="1">
        <f t="array" ref="H319">_xll.RssMarket(B319, "現在値")</f>
        <v/>
      </c>
      <c r="I319" s="480" t="str" cm="1">
        <f t="array" ref="I319">_xll.RssMarket(B319, "出来高加重平均")</f>
        <v/>
      </c>
      <c r="J319" s="706" t="str" cm="1">
        <f t="array" ref="J319">_xll.RssMarket($B319, "前日比")</f>
        <v/>
      </c>
      <c r="K319" s="707" t="str">
        <f t="shared" ca="1" si="103"/>
        <v/>
      </c>
      <c r="L319" s="712" t="str">
        <f t="shared" ca="1" si="104"/>
        <v/>
      </c>
      <c r="M319" s="601" t="str">
        <f t="shared" ca="1" si="92"/>
        <v/>
      </c>
      <c r="N319" s="601" t="str">
        <f t="shared" ca="1" si="93"/>
        <v/>
      </c>
      <c r="O319" s="478" t="str">
        <f t="shared" ca="1" si="94"/>
        <v/>
      </c>
      <c r="P319" s="445" t="str">
        <f t="array" aca="1" ref="P319" ca="1">IF(B319="","",IFERROR(MAX(OFFSET(高値!$E$6,MATCH(TEXT(B319,"0"),TEXT(銘柄管理!$B$6:$B$305,"0"),0)-1,0,1,10)),""))</f>
        <v/>
      </c>
      <c r="Q319" s="445" t="str">
        <f t="array" aca="1" ref="Q319" ca="1">IF(B319="","",IFERROR(MIN(OFFSET(安値!$E$6,MATCH(TEXT(B319,"0"),TEXT(銘柄管理!$B$6:$B$305,"0"),0)-1,0,1,10)),""))</f>
        <v/>
      </c>
      <c r="R319" s="480" t="str">
        <f t="shared" ca="1" si="105"/>
        <v/>
      </c>
      <c r="S319" s="480" t="str">
        <f t="shared" si="106"/>
        <v/>
      </c>
      <c r="T319" s="599" t="str">
        <f t="shared" ca="1" si="95"/>
        <v/>
      </c>
      <c r="U319" s="601" t="str">
        <f t="shared" ca="1" si="96"/>
        <v/>
      </c>
      <c r="V319" s="707" t="str">
        <f t="shared" ca="1" si="107"/>
        <v/>
      </c>
      <c r="W319" s="480" t="str">
        <f t="shared" ca="1" si="97"/>
        <v/>
      </c>
      <c r="X319" s="480" t="str">
        <f t="shared" ca="1" si="98"/>
        <v/>
      </c>
      <c r="Y319" s="488"/>
      <c r="Z319" s="714"/>
      <c r="AD319" s="611"/>
      <c r="AE319" s="603" t="str">
        <f t="shared" si="99"/>
        <v/>
      </c>
      <c r="AF319" s="603"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03"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03" t="str">
        <f t="shared" ca="1" si="100"/>
        <v/>
      </c>
      <c r="AI319" s="603" t="str" cm="1">
        <f t="array" ref="AI319">IFERROR(INDEX(始値!$E$6:$BT$305,MATCH(TEXT($B319,"0"),TEXT(銘柄管理!$B$6:$B$305,"0"),0),MATCH($AE319,始値!$E$3:$BT$3,0)),"")</f>
        <v/>
      </c>
      <c r="AJ319" s="603" t="str">
        <f t="shared" ca="1" si="101"/>
        <v/>
      </c>
      <c r="AK319" s="603" t="str">
        <f t="shared" ca="1" si="102"/>
        <v/>
      </c>
    </row>
    <row r="320" spans="1:37" ht="17.25" customHeight="1">
      <c r="A320" s="625" t="str">
        <f t="shared" si="91"/>
        <v/>
      </c>
      <c r="B320" s="480"/>
      <c r="C320" s="480"/>
      <c r="D320" s="480" t="str" cm="1">
        <f t="array" ref="D320">_xll.RssMarket(B320, "銘柄名称")</f>
        <v/>
      </c>
      <c r="E320" s="721"/>
      <c r="F320" s="702" t="str" cm="1">
        <f t="array" aca="1" ref="F320" ca="1">IFERROR(_xlfn.LET(_xlpm.r,MATCH(TEXT($B320,"0"),TEXT(銘柄管理!$B$6:$B$305,"0"),0),_xlpm.t,MOD(NOW(),1),_xlpm.c,IF($E320=TODAY(),IF(_xlpm.t&gt;=TIME(15,30,0),NA(),1),IF(MATCH($E320,始値!$E$3:$BT$3,0)=1,1,MATCH($E320,始値!$E$3:$BT$3,0)+1)),_xlpm.v,INDEX(始値!$C$6:$BT$305,_xlpm.r,_xlpm.c),IF(N(_xlpm.v)=0,"",_xlpm.v)),"")</f>
        <v/>
      </c>
      <c r="G320" s="480"/>
      <c r="H320" s="480" t="str" cm="1">
        <f t="array" ref="H320">_xll.RssMarket(B320, "現在値")</f>
        <v/>
      </c>
      <c r="I320" s="480" t="str" cm="1">
        <f t="array" ref="I320">_xll.RssMarket(B320, "出来高加重平均")</f>
        <v/>
      </c>
      <c r="J320" s="706" t="str" cm="1">
        <f t="array" ref="J320">_xll.RssMarket($B320, "前日比")</f>
        <v/>
      </c>
      <c r="K320" s="707" t="str">
        <f t="shared" ca="1" si="103"/>
        <v/>
      </c>
      <c r="L320" s="712" t="str">
        <f t="shared" ca="1" si="104"/>
        <v/>
      </c>
      <c r="M320" s="601" t="str">
        <f t="shared" ca="1" si="92"/>
        <v/>
      </c>
      <c r="N320" s="601" t="str">
        <f t="shared" ca="1" si="93"/>
        <v/>
      </c>
      <c r="O320" s="478" t="str">
        <f t="shared" ca="1" si="94"/>
        <v/>
      </c>
      <c r="P320" s="445" t="str">
        <f t="array" aca="1" ref="P320" ca="1">IF(B320="","",IFERROR(MAX(OFFSET(高値!$E$6,MATCH(TEXT(B320,"0"),TEXT(銘柄管理!$B$6:$B$305,"0"),0)-1,0,1,10)),""))</f>
        <v/>
      </c>
      <c r="Q320" s="445" t="str">
        <f t="array" aca="1" ref="Q320" ca="1">IF(B320="","",IFERROR(MIN(OFFSET(安値!$E$6,MATCH(TEXT(B320,"0"),TEXT(銘柄管理!$B$6:$B$305,"0"),0)-1,0,1,10)),""))</f>
        <v/>
      </c>
      <c r="R320" s="480" t="str">
        <f t="shared" ca="1" si="105"/>
        <v/>
      </c>
      <c r="S320" s="480" t="str">
        <f t="shared" si="106"/>
        <v/>
      </c>
      <c r="T320" s="599" t="str">
        <f t="shared" ca="1" si="95"/>
        <v/>
      </c>
      <c r="U320" s="601" t="str">
        <f t="shared" ca="1" si="96"/>
        <v/>
      </c>
      <c r="V320" s="707" t="str">
        <f t="shared" ca="1" si="107"/>
        <v/>
      </c>
      <c r="W320" s="480" t="str">
        <f t="shared" ca="1" si="97"/>
        <v/>
      </c>
      <c r="X320" s="480" t="str">
        <f t="shared" ca="1" si="98"/>
        <v/>
      </c>
      <c r="Y320" s="488"/>
      <c r="Z320" s="714"/>
      <c r="AD320" s="611"/>
      <c r="AE320" s="603" t="str">
        <f t="shared" si="99"/>
        <v/>
      </c>
      <c r="AF320" s="603"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03"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03" t="str">
        <f t="shared" ca="1" si="100"/>
        <v/>
      </c>
      <c r="AI320" s="603" t="str" cm="1">
        <f t="array" ref="AI320">IFERROR(INDEX(始値!$E$6:$BT$305,MATCH(TEXT($B320,"0"),TEXT(銘柄管理!$B$6:$B$305,"0"),0),MATCH($AE320,始値!$E$3:$BT$3,0)),"")</f>
        <v/>
      </c>
      <c r="AJ320" s="603" t="str">
        <f t="shared" ca="1" si="101"/>
        <v/>
      </c>
      <c r="AK320" s="603" t="str">
        <f t="shared" ca="1" si="102"/>
        <v/>
      </c>
    </row>
    <row r="321" spans="1:37" ht="17.25" customHeight="1">
      <c r="A321" s="626" t="str">
        <f t="shared" si="91"/>
        <v/>
      </c>
      <c r="D321" s="440" t="str" cm="1">
        <f t="array" ref="D321">_xll.RssMarket(B321, "銘柄名称")</f>
        <v/>
      </c>
      <c r="E321" s="721"/>
      <c r="F321" s="702"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706" t="str" cm="1">
        <f t="array" ref="J321">_xll.RssMarket($B321, "前日比")</f>
        <v/>
      </c>
      <c r="K321" s="708" t="str">
        <f t="shared" ca="1" si="103"/>
        <v/>
      </c>
      <c r="L321" s="713" t="str">
        <f t="shared" ca="1" si="104"/>
        <v/>
      </c>
      <c r="M321" s="602" t="str">
        <f t="shared" ca="1" si="92"/>
        <v/>
      </c>
      <c r="N321" s="602" t="str">
        <f t="shared" ca="1" si="93"/>
        <v/>
      </c>
      <c r="O321" s="478" t="str">
        <f t="shared" ca="1" si="94"/>
        <v/>
      </c>
      <c r="P321" s="445" t="str">
        <f t="array" aca="1" ref="P321" ca="1">IF(B321="","",IFERROR(MAX(OFFSET(高値!$E$6,MATCH(TEXT(B321,"0"),TEXT(銘柄管理!$B$6:$B$305,"0"),0)-1,0,1,10)),""))</f>
        <v/>
      </c>
      <c r="Q321" s="445" t="str">
        <f t="array" aca="1" ref="Q321" ca="1">IF(B321="","",IFERROR(MIN(OFFSET(安値!$E$6,MATCH(TEXT(B321,"0"),TEXT(銘柄管理!$B$6:$B$305,"0"),0)-1,0,1,10)),""))</f>
        <v/>
      </c>
      <c r="R321" s="440" t="str">
        <f t="shared" ca="1" si="105"/>
        <v/>
      </c>
      <c r="S321" s="440" t="str">
        <f t="shared" si="106"/>
        <v/>
      </c>
      <c r="T321" s="600" t="str">
        <f t="shared" ca="1" si="95"/>
        <v/>
      </c>
      <c r="U321" s="602" t="str">
        <f t="shared" ca="1" si="96"/>
        <v/>
      </c>
      <c r="V321" s="708" t="str">
        <f t="shared" ca="1" si="107"/>
        <v/>
      </c>
      <c r="W321" s="440" t="str">
        <f t="shared" ca="1" si="97"/>
        <v/>
      </c>
      <c r="X321" s="440" t="str">
        <f t="shared" ca="1" si="98"/>
        <v/>
      </c>
      <c r="AD321" s="611"/>
      <c r="AE321" s="603" t="str">
        <f t="shared" si="99"/>
        <v/>
      </c>
      <c r="AF321" s="603"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03"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03" t="str">
        <f t="shared" ca="1" si="100"/>
        <v/>
      </c>
      <c r="AI321" s="603" t="str" cm="1">
        <f t="array" ref="AI321">IFERROR(INDEX(始値!$E$6:$BT$305,MATCH(TEXT($B321,"0"),TEXT(銘柄管理!$B$6:$B$305,"0"),0),MATCH($AE321,始値!$E$3:$BT$3,0)),"")</f>
        <v/>
      </c>
      <c r="AJ321" s="603" t="str">
        <f t="shared" ca="1" si="101"/>
        <v/>
      </c>
      <c r="AK321" s="603" t="str">
        <f t="shared" ca="1" si="102"/>
        <v/>
      </c>
    </row>
    <row r="322" spans="1:37" ht="17.25" customHeight="1">
      <c r="A322" s="626" t="str">
        <f t="shared" si="91"/>
        <v/>
      </c>
      <c r="D322" s="440" t="str" cm="1">
        <f t="array" ref="D322">_xll.RssMarket(B322, "銘柄名称")</f>
        <v/>
      </c>
      <c r="E322" s="721"/>
      <c r="F322" s="702"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706" t="str" cm="1">
        <f t="array" ref="J322">_xll.RssMarket($B322, "前日比")</f>
        <v/>
      </c>
      <c r="K322" s="708" t="str">
        <f t="shared" ca="1" si="103"/>
        <v/>
      </c>
      <c r="L322" s="713" t="str">
        <f t="shared" ca="1" si="104"/>
        <v/>
      </c>
      <c r="M322" s="602" t="str">
        <f t="shared" ca="1" si="92"/>
        <v/>
      </c>
      <c r="N322" s="602" t="str">
        <f t="shared" ca="1" si="93"/>
        <v/>
      </c>
      <c r="O322" s="478" t="str">
        <f t="shared" ca="1" si="94"/>
        <v/>
      </c>
      <c r="P322" s="445" t="str">
        <f t="array" aca="1" ref="P322" ca="1">IF(B322="","",IFERROR(MAX(OFFSET(高値!$E$6,MATCH(TEXT(B322,"0"),TEXT(銘柄管理!$B$6:$B$305,"0"),0)-1,0,1,10)),""))</f>
        <v/>
      </c>
      <c r="Q322" s="445" t="str">
        <f t="array" aca="1" ref="Q322" ca="1">IF(B322="","",IFERROR(MIN(OFFSET(安値!$E$6,MATCH(TEXT(B322,"0"),TEXT(銘柄管理!$B$6:$B$305,"0"),0)-1,0,1,10)),""))</f>
        <v/>
      </c>
      <c r="R322" s="440" t="str">
        <f t="shared" ca="1" si="105"/>
        <v/>
      </c>
      <c r="S322" s="440" t="str">
        <f t="shared" si="106"/>
        <v/>
      </c>
      <c r="T322" s="600" t="str">
        <f t="shared" ca="1" si="95"/>
        <v/>
      </c>
      <c r="U322" s="602" t="str">
        <f t="shared" ca="1" si="96"/>
        <v/>
      </c>
      <c r="V322" s="708" t="str">
        <f t="shared" ca="1" si="107"/>
        <v/>
      </c>
      <c r="W322" s="440" t="str">
        <f t="shared" ca="1" si="97"/>
        <v/>
      </c>
      <c r="X322" s="440" t="str">
        <f t="shared" ca="1" si="98"/>
        <v/>
      </c>
      <c r="AD322" s="611"/>
      <c r="AE322" s="603" t="str">
        <f t="shared" si="99"/>
        <v/>
      </c>
      <c r="AF322" s="603"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03"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03" t="str">
        <f t="shared" ca="1" si="100"/>
        <v/>
      </c>
      <c r="AI322" s="603" t="str" cm="1">
        <f t="array" ref="AI322">IFERROR(INDEX(始値!$E$6:$BT$305,MATCH(TEXT($B322,"0"),TEXT(銘柄管理!$B$6:$B$305,"0"),0),MATCH($AE322,始値!$E$3:$BT$3,0)),"")</f>
        <v/>
      </c>
      <c r="AJ322" s="603" t="str">
        <f t="shared" ca="1" si="101"/>
        <v/>
      </c>
      <c r="AK322" s="603" t="str">
        <f t="shared" ca="1" si="102"/>
        <v/>
      </c>
    </row>
    <row r="323" spans="1:37" ht="17.25" customHeight="1">
      <c r="A323" s="626" t="str">
        <f t="shared" si="91"/>
        <v/>
      </c>
      <c r="D323" s="440" t="str" cm="1">
        <f t="array" ref="D323">_xll.RssMarket(B323, "銘柄名称")</f>
        <v/>
      </c>
      <c r="E323" s="721"/>
      <c r="F323" s="702"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706" t="str" cm="1">
        <f t="array" ref="J323">_xll.RssMarket($B323, "前日比")</f>
        <v/>
      </c>
      <c r="K323" s="708" t="str">
        <f t="shared" ca="1" si="103"/>
        <v/>
      </c>
      <c r="L323" s="713" t="str">
        <f t="shared" ca="1" si="104"/>
        <v/>
      </c>
      <c r="M323" s="602" t="str">
        <f t="shared" ca="1" si="92"/>
        <v/>
      </c>
      <c r="N323" s="602" t="str">
        <f t="shared" ca="1" si="93"/>
        <v/>
      </c>
      <c r="O323" s="478" t="str">
        <f t="shared" ca="1" si="94"/>
        <v/>
      </c>
      <c r="P323" s="445" t="str">
        <f t="array" aca="1" ref="P323" ca="1">IF(B323="","",IFERROR(MAX(OFFSET(高値!$E$6,MATCH(TEXT(B323,"0"),TEXT(銘柄管理!$B$6:$B$305,"0"),0)-1,0,1,10)),""))</f>
        <v/>
      </c>
      <c r="Q323" s="445" t="str">
        <f t="array" aca="1" ref="Q323" ca="1">IF(B323="","",IFERROR(MIN(OFFSET(安値!$E$6,MATCH(TEXT(B323,"0"),TEXT(銘柄管理!$B$6:$B$305,"0"),0)-1,0,1,10)),""))</f>
        <v/>
      </c>
      <c r="R323" s="440" t="str">
        <f t="shared" ca="1" si="105"/>
        <v/>
      </c>
      <c r="S323" s="440" t="str">
        <f t="shared" si="106"/>
        <v/>
      </c>
      <c r="T323" s="600" t="str">
        <f t="shared" ca="1" si="95"/>
        <v/>
      </c>
      <c r="U323" s="602" t="str">
        <f t="shared" ca="1" si="96"/>
        <v/>
      </c>
      <c r="V323" s="708" t="str">
        <f t="shared" ca="1" si="107"/>
        <v/>
      </c>
      <c r="W323" s="440" t="str">
        <f t="shared" ca="1" si="97"/>
        <v/>
      </c>
      <c r="X323" s="440" t="str">
        <f t="shared" ca="1" si="98"/>
        <v/>
      </c>
      <c r="AD323" s="611"/>
      <c r="AE323" s="603" t="str">
        <f t="shared" si="99"/>
        <v/>
      </c>
      <c r="AF323" s="603"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03"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03" t="str">
        <f t="shared" ca="1" si="100"/>
        <v/>
      </c>
      <c r="AI323" s="603" t="str" cm="1">
        <f t="array" ref="AI323">IFERROR(INDEX(始値!$E$6:$BT$305,MATCH(TEXT($B323,"0"),TEXT(銘柄管理!$B$6:$B$305,"0"),0),MATCH($AE323,始値!$E$3:$BT$3,0)),"")</f>
        <v/>
      </c>
      <c r="AJ323" s="603" t="str">
        <f t="shared" ca="1" si="101"/>
        <v/>
      </c>
      <c r="AK323" s="603" t="str">
        <f t="shared" ca="1" si="102"/>
        <v/>
      </c>
    </row>
    <row r="324" spans="1:37" ht="17.25" customHeight="1">
      <c r="A324" s="626" t="str">
        <f t="shared" ref="A324:A387" si="108">IF(B324="","",HYPERLINK("https://kabutan.jp/stock/?code="&amp;B324,"株探"))</f>
        <v/>
      </c>
      <c r="D324" s="440" t="str" cm="1">
        <f t="array" ref="D324">_xll.RssMarket(B324, "銘柄名称")</f>
        <v/>
      </c>
      <c r="E324" s="721"/>
      <c r="F324" s="702"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706" t="str" cm="1">
        <f t="array" ref="J324">_xll.RssMarket($B324, "前日比")</f>
        <v/>
      </c>
      <c r="K324" s="708" t="str">
        <f t="shared" ca="1" si="103"/>
        <v/>
      </c>
      <c r="L324" s="713" t="str">
        <f t="shared" ca="1" si="104"/>
        <v/>
      </c>
      <c r="M324" s="602" t="str">
        <f t="shared" ca="1" si="92"/>
        <v/>
      </c>
      <c r="N324" s="602" t="str">
        <f t="shared" ca="1" si="93"/>
        <v/>
      </c>
      <c r="O324" s="478" t="str">
        <f t="shared" ca="1" si="94"/>
        <v/>
      </c>
      <c r="P324" s="445" t="str">
        <f t="array" aca="1" ref="P324" ca="1">IF(B324="","",IFERROR(MAX(OFFSET(高値!$E$6,MATCH(TEXT(B324,"0"),TEXT(銘柄管理!$B$6:$B$305,"0"),0)-1,0,1,10)),""))</f>
        <v/>
      </c>
      <c r="Q324" s="445" t="str">
        <f t="array" aca="1" ref="Q324" ca="1">IF(B324="","",IFERROR(MIN(OFFSET(安値!$E$6,MATCH(TEXT(B324,"0"),TEXT(銘柄管理!$B$6:$B$305,"0"),0)-1,0,1,10)),""))</f>
        <v/>
      </c>
      <c r="R324" s="440" t="str">
        <f t="shared" ca="1" si="105"/>
        <v/>
      </c>
      <c r="S324" s="440" t="str">
        <f t="shared" si="106"/>
        <v/>
      </c>
      <c r="T324" s="600" t="str">
        <f t="shared" ca="1" si="95"/>
        <v/>
      </c>
      <c r="U324" s="602" t="str">
        <f t="shared" ca="1" si="96"/>
        <v/>
      </c>
      <c r="V324" s="708" t="str">
        <f t="shared" ca="1" si="107"/>
        <v/>
      </c>
      <c r="W324" s="440" t="str">
        <f t="shared" ca="1" si="97"/>
        <v/>
      </c>
      <c r="X324" s="440" t="str">
        <f t="shared" ca="1" si="98"/>
        <v/>
      </c>
      <c r="AD324" s="611"/>
      <c r="AE324" s="603" t="str">
        <f t="shared" si="99"/>
        <v/>
      </c>
      <c r="AF324" s="603"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03"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03" t="str">
        <f t="shared" ca="1" si="100"/>
        <v/>
      </c>
      <c r="AI324" s="603" t="str" cm="1">
        <f t="array" ref="AI324">IFERROR(INDEX(始値!$E$6:$BT$305,MATCH(TEXT($B324,"0"),TEXT(銘柄管理!$B$6:$B$305,"0"),0),MATCH($AE324,始値!$E$3:$BT$3,0)),"")</f>
        <v/>
      </c>
      <c r="AJ324" s="603" t="str">
        <f t="shared" ca="1" si="101"/>
        <v/>
      </c>
      <c r="AK324" s="603" t="str">
        <f t="shared" ca="1" si="102"/>
        <v/>
      </c>
    </row>
    <row r="325" spans="1:37" ht="17.25" customHeight="1">
      <c r="A325" s="626" t="str">
        <f t="shared" si="108"/>
        <v/>
      </c>
      <c r="D325" s="440" t="str" cm="1">
        <f t="array" ref="D325">_xll.RssMarket(B325, "銘柄名称")</f>
        <v/>
      </c>
      <c r="E325" s="721"/>
      <c r="F325" s="702"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706" t="str" cm="1">
        <f t="array" ref="J325">_xll.RssMarket($B325, "前日比")</f>
        <v/>
      </c>
      <c r="K325" s="708" t="str">
        <f t="shared" ca="1" si="103"/>
        <v/>
      </c>
      <c r="L325" s="713" t="str">
        <f t="shared" ca="1" si="104"/>
        <v/>
      </c>
      <c r="M325" s="602" t="str">
        <f t="shared" ref="M325:M388" ca="1" si="109">IF($F325="","",ROUND(IF($C325="売",$F325*0.94,$F325*1.06),0))</f>
        <v/>
      </c>
      <c r="N325" s="602" t="str">
        <f t="shared" ref="N325:N388" ca="1" si="110">IF($F325="","",ROUND(IF($C325="売",$F325*1.04,$F325*0.96),0))</f>
        <v/>
      </c>
      <c r="O325" s="478" t="str">
        <f t="shared" ref="O325:O388" ca="1" si="111">IF(OR($B325="",$F325="",$H325=""),"",IF($C325="売",IF($H325&lt;=$M325,"🟢利確",IF($H325&lt;=$F325*0.95,"🟡利確&amp;TR STOP検討",IF($H325&gt;=$N325,"🔴損切",IF($H325&gt;=$F325*1.035,"🔴損切間近",IF($H325&gt;=$F325*1.03,"⚠️+3%注意","保持継続"))))),IF($H325&gt;=$M325,"🟢利確",IF($H325&gt;=$F325*1.05,"🟡利確&amp;TR STOP検討",IF($H325&lt;=$N325,"🔴損切",IF($H325&lt;=$F325*0.965,"🔴損切間近",IF($H325&lt;=$F325*0.97,"⚠️-3%注意","保持継続")))))))</f>
        <v/>
      </c>
      <c r="P325" s="445" t="str">
        <f t="array" aca="1" ref="P325" ca="1">IF(B325="","",IFERROR(MAX(OFFSET(高値!$E$6,MATCH(TEXT(B325,"0"),TEXT(銘柄管理!$B$6:$B$305,"0"),0)-1,0,1,10)),""))</f>
        <v/>
      </c>
      <c r="Q325" s="445" t="str">
        <f t="array" aca="1" ref="Q325" ca="1">IF(B325="","",IFERROR(MIN(OFFSET(安値!$E$6,MATCH(TEXT(B325,"0"),TEXT(銘柄管理!$B$6:$B$305,"0"),0)-1,0,1,10)),""))</f>
        <v/>
      </c>
      <c r="R325" s="440" t="str">
        <f t="shared" ca="1" si="105"/>
        <v/>
      </c>
      <c r="S325" s="440" t="str">
        <f t="shared" si="106"/>
        <v/>
      </c>
      <c r="T325" s="600" t="str">
        <f t="shared" ref="T325:T388" ca="1" si="112">IF(OR($AH325="",$AH325="保有中"),"",IF($AH325="日数制限",$AE325,IF($AH325="損切確定",IF(N($AG325)=0,TODAY(),$AG325),IF(N($AF325)=0,TODAY(),$AF325))))</f>
        <v/>
      </c>
      <c r="U325" s="602" t="str">
        <f t="shared" ref="U325:U388" ca="1" si="113">IF(OR($AH325="",$AH325="保有中"),"",ROUND(IF($AH325="日数制限",$AI325,IF($AH325="利益確定",$M325,$N325)),0))</f>
        <v/>
      </c>
      <c r="V325" s="708" t="str">
        <f t="shared" ca="1" si="107"/>
        <v/>
      </c>
      <c r="W325" s="440" t="str">
        <f t="shared" ref="W325:W388" ca="1" si="114">IF(OR($E325="",$B325=""),"",IF($T325&lt;&gt;"",$T325-$E325,TODAY()-$E325)+1)</f>
        <v/>
      </c>
      <c r="X325" s="440" t="str">
        <f t="shared" ref="X325:X388" ca="1" si="115">IF(OR($AH325="",$AH325="保有中"),"",$AH325)</f>
        <v/>
      </c>
      <c r="AD325" s="611"/>
      <c r="AE325" s="603" t="str">
        <f t="shared" ref="AE325:AE388" si="116">IF($E325="","",WORKDAY($E325,12))</f>
        <v/>
      </c>
      <c r="AF325" s="603"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03"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03" t="str">
        <f t="shared" ref="AH325:AH388" ca="1" si="117">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3" t="str" cm="1">
        <f t="array" ref="AI325">IFERROR(INDEX(始値!$E$6:$BT$305,MATCH(TEXT($B325,"0"),TEXT(銘柄管理!$B$6:$B$305,"0"),0),MATCH($AE325,始値!$E$3:$BT$3,0)),"")</f>
        <v/>
      </c>
      <c r="AJ325" s="603" t="str">
        <f t="shared" ref="AJ325:AJ388" ca="1" si="118">IF(OR($V325="",$F325="",$G325=""),"",$V325/($F325*$G325))</f>
        <v/>
      </c>
      <c r="AK325" s="603" t="str">
        <f t="shared" ref="AK325:AK388" ca="1" si="119">IF($V325="","",IF($V325&gt;0,"○勝",IF($V325&lt;0,"●負","△引分")))</f>
        <v/>
      </c>
    </row>
    <row r="326" spans="1:37" ht="17.25" customHeight="1">
      <c r="A326" s="626" t="str">
        <f t="shared" si="108"/>
        <v/>
      </c>
      <c r="D326" s="440" t="str" cm="1">
        <f t="array" ref="D326">_xll.RssMarket(B326, "銘柄名称")</f>
        <v/>
      </c>
      <c r="E326" s="721"/>
      <c r="F326" s="702"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706" t="str" cm="1">
        <f t="array" ref="J326">_xll.RssMarket($B326, "前日比")</f>
        <v/>
      </c>
      <c r="K326" s="708" t="str">
        <f t="shared" ca="1" si="103"/>
        <v/>
      </c>
      <c r="L326" s="713" t="str">
        <f t="shared" ca="1" si="104"/>
        <v/>
      </c>
      <c r="M326" s="602" t="str">
        <f t="shared" ca="1" si="109"/>
        <v/>
      </c>
      <c r="N326" s="602" t="str">
        <f t="shared" ca="1" si="110"/>
        <v/>
      </c>
      <c r="O326" s="478" t="str">
        <f t="shared" ca="1" si="111"/>
        <v/>
      </c>
      <c r="P326" s="445" t="str">
        <f t="array" aca="1" ref="P326" ca="1">IF(B326="","",IFERROR(MAX(OFFSET(高値!$E$6,MATCH(TEXT(B326,"0"),TEXT(銘柄管理!$B$6:$B$305,"0"),0)-1,0,1,10)),""))</f>
        <v/>
      </c>
      <c r="Q326" s="445" t="str">
        <f t="array" aca="1" ref="Q326" ca="1">IF(B326="","",IFERROR(MIN(OFFSET(安値!$E$6,MATCH(TEXT(B326,"0"),TEXT(銘柄管理!$B$6:$B$305,"0"),0)-1,0,1,10)),""))</f>
        <v/>
      </c>
      <c r="R326" s="440" t="str">
        <f t="shared" ca="1" si="105"/>
        <v/>
      </c>
      <c r="S326" s="440" t="str">
        <f t="shared" si="106"/>
        <v/>
      </c>
      <c r="T326" s="600" t="str">
        <f t="shared" ca="1" si="112"/>
        <v/>
      </c>
      <c r="U326" s="602" t="str">
        <f t="shared" ca="1" si="113"/>
        <v/>
      </c>
      <c r="V326" s="708" t="str">
        <f t="shared" ca="1" si="107"/>
        <v/>
      </c>
      <c r="W326" s="440" t="str">
        <f t="shared" ca="1" si="114"/>
        <v/>
      </c>
      <c r="X326" s="440" t="str">
        <f t="shared" ca="1" si="115"/>
        <v/>
      </c>
      <c r="AD326" s="611"/>
      <c r="AE326" s="603" t="str">
        <f t="shared" si="116"/>
        <v/>
      </c>
      <c r="AF326" s="603"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03"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03" t="str">
        <f t="shared" ca="1" si="117"/>
        <v/>
      </c>
      <c r="AI326" s="603" t="str" cm="1">
        <f t="array" ref="AI326">IFERROR(INDEX(始値!$E$6:$BT$305,MATCH(TEXT($B326,"0"),TEXT(銘柄管理!$B$6:$B$305,"0"),0),MATCH($AE326,始値!$E$3:$BT$3,0)),"")</f>
        <v/>
      </c>
      <c r="AJ326" s="603" t="str">
        <f t="shared" ca="1" si="118"/>
        <v/>
      </c>
      <c r="AK326" s="603" t="str">
        <f t="shared" ca="1" si="119"/>
        <v/>
      </c>
    </row>
    <row r="327" spans="1:37" ht="17.25" customHeight="1">
      <c r="A327" s="626" t="str">
        <f t="shared" si="108"/>
        <v/>
      </c>
      <c r="D327" s="440" t="str" cm="1">
        <f t="array" ref="D327">_xll.RssMarket(B327, "銘柄名称")</f>
        <v/>
      </c>
      <c r="E327" s="721"/>
      <c r="F327" s="702"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706" t="str" cm="1">
        <f t="array" ref="J327">_xll.RssMarket($B327, "前日比")</f>
        <v/>
      </c>
      <c r="K327" s="708" t="str">
        <f t="shared" ca="1" si="103"/>
        <v/>
      </c>
      <c r="L327" s="713" t="str">
        <f t="shared" ca="1" si="104"/>
        <v/>
      </c>
      <c r="M327" s="602" t="str">
        <f t="shared" ca="1" si="109"/>
        <v/>
      </c>
      <c r="N327" s="602" t="str">
        <f t="shared" ca="1" si="110"/>
        <v/>
      </c>
      <c r="O327" s="478" t="str">
        <f t="shared" ca="1" si="111"/>
        <v/>
      </c>
      <c r="P327" s="445" t="str">
        <f t="array" aca="1" ref="P327" ca="1">IF(B327="","",IFERROR(MAX(OFFSET(高値!$E$6,MATCH(TEXT(B327,"0"),TEXT(銘柄管理!$B$6:$B$305,"0"),0)-1,0,1,10)),""))</f>
        <v/>
      </c>
      <c r="Q327" s="445" t="str">
        <f t="array" aca="1" ref="Q327" ca="1">IF(B327="","",IFERROR(MIN(OFFSET(安値!$E$6,MATCH(TEXT(B327,"0"),TEXT(銘柄管理!$B$6:$B$305,"0"),0)-1,0,1,10)),""))</f>
        <v/>
      </c>
      <c r="R327" s="440" t="str">
        <f t="shared" ca="1" si="105"/>
        <v/>
      </c>
      <c r="S327" s="440" t="str">
        <f t="shared" si="106"/>
        <v/>
      </c>
      <c r="T327" s="600" t="str">
        <f t="shared" ca="1" si="112"/>
        <v/>
      </c>
      <c r="U327" s="602" t="str">
        <f t="shared" ca="1" si="113"/>
        <v/>
      </c>
      <c r="V327" s="708" t="str">
        <f t="shared" ca="1" si="107"/>
        <v/>
      </c>
      <c r="W327" s="440" t="str">
        <f t="shared" ca="1" si="114"/>
        <v/>
      </c>
      <c r="X327" s="440" t="str">
        <f t="shared" ca="1" si="115"/>
        <v/>
      </c>
      <c r="AD327" s="611"/>
      <c r="AE327" s="603" t="str">
        <f t="shared" si="116"/>
        <v/>
      </c>
      <c r="AF327" s="603"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03"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03" t="str">
        <f t="shared" ca="1" si="117"/>
        <v/>
      </c>
      <c r="AI327" s="603" t="str" cm="1">
        <f t="array" ref="AI327">IFERROR(INDEX(始値!$E$6:$BT$305,MATCH(TEXT($B327,"0"),TEXT(銘柄管理!$B$6:$B$305,"0"),0),MATCH($AE327,始値!$E$3:$BT$3,0)),"")</f>
        <v/>
      </c>
      <c r="AJ327" s="603" t="str">
        <f t="shared" ca="1" si="118"/>
        <v/>
      </c>
      <c r="AK327" s="603" t="str">
        <f t="shared" ca="1" si="119"/>
        <v/>
      </c>
    </row>
    <row r="328" spans="1:37" ht="17.25" customHeight="1">
      <c r="A328" s="626" t="str">
        <f t="shared" si="108"/>
        <v/>
      </c>
      <c r="D328" s="440" t="str" cm="1">
        <f t="array" ref="D328">_xll.RssMarket(B328, "銘柄名称")</f>
        <v/>
      </c>
      <c r="E328" s="721"/>
      <c r="F328" s="702"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706" t="str" cm="1">
        <f t="array" ref="J328">_xll.RssMarket($B328, "前日比")</f>
        <v/>
      </c>
      <c r="K328" s="708" t="str">
        <f t="shared" ca="1" si="103"/>
        <v/>
      </c>
      <c r="L328" s="713" t="str">
        <f t="shared" ca="1" si="104"/>
        <v/>
      </c>
      <c r="M328" s="602" t="str">
        <f t="shared" ca="1" si="109"/>
        <v/>
      </c>
      <c r="N328" s="602" t="str">
        <f t="shared" ca="1" si="110"/>
        <v/>
      </c>
      <c r="O328" s="478" t="str">
        <f t="shared" ca="1" si="111"/>
        <v/>
      </c>
      <c r="P328" s="445" t="str">
        <f t="array" aca="1" ref="P328" ca="1">IF(B328="","",IFERROR(MAX(OFFSET(高値!$E$6,MATCH(TEXT(B328,"0"),TEXT(銘柄管理!$B$6:$B$305,"0"),0)-1,0,1,10)),""))</f>
        <v/>
      </c>
      <c r="Q328" s="445" t="str">
        <f t="array" aca="1" ref="Q328" ca="1">IF(B328="","",IFERROR(MIN(OFFSET(安値!$E$6,MATCH(TEXT(B328,"0"),TEXT(銘柄管理!$B$6:$B$305,"0"),0)-1,0,1,10)),""))</f>
        <v/>
      </c>
      <c r="R328" s="440" t="str">
        <f t="shared" ca="1" si="105"/>
        <v/>
      </c>
      <c r="S328" s="440" t="str">
        <f t="shared" si="106"/>
        <v/>
      </c>
      <c r="T328" s="600" t="str">
        <f t="shared" ca="1" si="112"/>
        <v/>
      </c>
      <c r="U328" s="602" t="str">
        <f t="shared" ca="1" si="113"/>
        <v/>
      </c>
      <c r="V328" s="708" t="str">
        <f t="shared" ca="1" si="107"/>
        <v/>
      </c>
      <c r="W328" s="440" t="str">
        <f t="shared" ca="1" si="114"/>
        <v/>
      </c>
      <c r="X328" s="440" t="str">
        <f t="shared" ca="1" si="115"/>
        <v/>
      </c>
      <c r="AD328" s="611"/>
      <c r="AE328" s="603" t="str">
        <f t="shared" si="116"/>
        <v/>
      </c>
      <c r="AF328" s="603"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03"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03" t="str">
        <f t="shared" ca="1" si="117"/>
        <v/>
      </c>
      <c r="AI328" s="603" t="str" cm="1">
        <f t="array" ref="AI328">IFERROR(INDEX(始値!$E$6:$BT$305,MATCH(TEXT($B328,"0"),TEXT(銘柄管理!$B$6:$B$305,"0"),0),MATCH($AE328,始値!$E$3:$BT$3,0)),"")</f>
        <v/>
      </c>
      <c r="AJ328" s="603" t="str">
        <f t="shared" ca="1" si="118"/>
        <v/>
      </c>
      <c r="AK328" s="603" t="str">
        <f t="shared" ca="1" si="119"/>
        <v/>
      </c>
    </row>
    <row r="329" spans="1:37" ht="17.25" customHeight="1">
      <c r="A329" s="626" t="str">
        <f t="shared" si="108"/>
        <v/>
      </c>
      <c r="D329" s="440" t="str" cm="1">
        <f t="array" ref="D329">_xll.RssMarket(B329, "銘柄名称")</f>
        <v/>
      </c>
      <c r="E329" s="721"/>
      <c r="F329" s="702"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706" t="str" cm="1">
        <f t="array" ref="J329">_xll.RssMarket($B329, "前日比")</f>
        <v/>
      </c>
      <c r="K329" s="708" t="str">
        <f t="shared" ca="1" si="103"/>
        <v/>
      </c>
      <c r="L329" s="713" t="str">
        <f t="shared" ca="1" si="104"/>
        <v/>
      </c>
      <c r="M329" s="602" t="str">
        <f t="shared" ca="1" si="109"/>
        <v/>
      </c>
      <c r="N329" s="602" t="str">
        <f t="shared" ca="1" si="110"/>
        <v/>
      </c>
      <c r="O329" s="478" t="str">
        <f t="shared" ca="1" si="111"/>
        <v/>
      </c>
      <c r="P329" s="445" t="str">
        <f t="array" aca="1" ref="P329" ca="1">IF(B329="","",IFERROR(MAX(OFFSET(高値!$E$6,MATCH(TEXT(B329,"0"),TEXT(銘柄管理!$B$6:$B$305,"0"),0)-1,0,1,10)),""))</f>
        <v/>
      </c>
      <c r="Q329" s="445" t="str">
        <f t="array" aca="1" ref="Q329" ca="1">IF(B329="","",IFERROR(MIN(OFFSET(安値!$E$6,MATCH(TEXT(B329,"0"),TEXT(銘柄管理!$B$6:$B$305,"0"),0)-1,0,1,10)),""))</f>
        <v/>
      </c>
      <c r="R329" s="440" t="str">
        <f t="shared" ca="1" si="105"/>
        <v/>
      </c>
      <c r="S329" s="440" t="str">
        <f t="shared" si="106"/>
        <v/>
      </c>
      <c r="T329" s="600" t="str">
        <f t="shared" ca="1" si="112"/>
        <v/>
      </c>
      <c r="U329" s="602" t="str">
        <f t="shared" ca="1" si="113"/>
        <v/>
      </c>
      <c r="V329" s="708" t="str">
        <f t="shared" ca="1" si="107"/>
        <v/>
      </c>
      <c r="W329" s="440" t="str">
        <f t="shared" ca="1" si="114"/>
        <v/>
      </c>
      <c r="X329" s="440" t="str">
        <f t="shared" ca="1" si="115"/>
        <v/>
      </c>
      <c r="AD329" s="611"/>
      <c r="AE329" s="603" t="str">
        <f t="shared" si="116"/>
        <v/>
      </c>
      <c r="AF329" s="603"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03"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03" t="str">
        <f t="shared" ca="1" si="117"/>
        <v/>
      </c>
      <c r="AI329" s="603" t="str" cm="1">
        <f t="array" ref="AI329">IFERROR(INDEX(始値!$E$6:$BT$305,MATCH(TEXT($B329,"0"),TEXT(銘柄管理!$B$6:$B$305,"0"),0),MATCH($AE329,始値!$E$3:$BT$3,0)),"")</f>
        <v/>
      </c>
      <c r="AJ329" s="603" t="str">
        <f t="shared" ca="1" si="118"/>
        <v/>
      </c>
      <c r="AK329" s="603" t="str">
        <f t="shared" ca="1" si="119"/>
        <v/>
      </c>
    </row>
    <row r="330" spans="1:37" ht="17.25" customHeight="1">
      <c r="A330" s="626" t="str">
        <f t="shared" si="108"/>
        <v/>
      </c>
      <c r="D330" s="440" t="str" cm="1">
        <f t="array" ref="D330">_xll.RssMarket(B330, "銘柄名称")</f>
        <v/>
      </c>
      <c r="E330" s="721"/>
      <c r="F330" s="702"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706" t="str" cm="1">
        <f t="array" ref="J330">_xll.RssMarket($B330, "前日比")</f>
        <v/>
      </c>
      <c r="K330" s="708" t="str">
        <f t="shared" ref="K330:K393" ca="1" si="120">IF(OR(F330="",G330="",H330=""),"",IF(C330="売",(F330-H330)*G330,(H330-F330)*G330))</f>
        <v/>
      </c>
      <c r="L330" s="713" t="str">
        <f t="shared" ref="L330:L393" ca="1" si="121">IF(OR(F330="",H330=""),"",IF(C330="売",(F330-H330)/F330,(H330-F330)/F330))</f>
        <v/>
      </c>
      <c r="M330" s="602" t="str">
        <f t="shared" ca="1" si="109"/>
        <v/>
      </c>
      <c r="N330" s="602" t="str">
        <f t="shared" ca="1" si="110"/>
        <v/>
      </c>
      <c r="O330" s="478" t="str">
        <f t="shared" ca="1" si="111"/>
        <v/>
      </c>
      <c r="P330" s="445" t="str">
        <f t="array" aca="1" ref="P330" ca="1">IF(B330="","",IFERROR(MAX(OFFSET(高値!$E$6,MATCH(TEXT(B330,"0"),TEXT(銘柄管理!$B$6:$B$305,"0"),0)-1,0,1,10)),""))</f>
        <v/>
      </c>
      <c r="Q330" s="445" t="str">
        <f t="array" aca="1" ref="Q330" ca="1">IF(B330="","",IFERROR(MIN(OFFSET(安値!$E$6,MATCH(TEXT(B330,"0"),TEXT(銘柄管理!$B$6:$B$305,"0"),0)-1,0,1,10)),""))</f>
        <v/>
      </c>
      <c r="R330" s="440" t="str">
        <f t="shared" ref="R330:R393" ca="1" si="122">IF(P330="","",ROUND(P330*0.97,0))</f>
        <v/>
      </c>
      <c r="S330" s="440" t="str">
        <f t="shared" ref="S330:S393" si="123">IF(B330="","",IF(T330&lt;&gt;"","✅売却済",IF(OR(H330="",L330=""),"📌保有中",IF(L330&gt;=0.06,"🟢利確推奨",IF(L330&gt;=0.05,"🟡利確直近",IF(L330&gt;=0.045,"🔵トレーリング検討",IF(L330&gt;-0.03,"📌保有中",IF(L330&gt;-0.04,"⚠️損切注意","🔴損切り"))))))))</f>
        <v/>
      </c>
      <c r="T330" s="600" t="str">
        <f t="shared" ca="1" si="112"/>
        <v/>
      </c>
      <c r="U330" s="602" t="str">
        <f t="shared" ca="1" si="113"/>
        <v/>
      </c>
      <c r="V330" s="708" t="str">
        <f t="shared" ref="V330:V393" ca="1" si="124">IF(OR(F330="",G330="",U330=""),"",IF(C330="売",(F330-U330)*G330,(U330-F330)*G330))</f>
        <v/>
      </c>
      <c r="W330" s="440" t="str">
        <f t="shared" ca="1" si="114"/>
        <v/>
      </c>
      <c r="X330" s="440" t="str">
        <f t="shared" ca="1" si="115"/>
        <v/>
      </c>
      <c r="AD330" s="611"/>
      <c r="AE330" s="603" t="str">
        <f t="shared" si="116"/>
        <v/>
      </c>
      <c r="AF330" s="603"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03"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03" t="str">
        <f t="shared" ca="1" si="117"/>
        <v/>
      </c>
      <c r="AI330" s="603" t="str" cm="1">
        <f t="array" ref="AI330">IFERROR(INDEX(始値!$E$6:$BT$305,MATCH(TEXT($B330,"0"),TEXT(銘柄管理!$B$6:$B$305,"0"),0),MATCH($AE330,始値!$E$3:$BT$3,0)),"")</f>
        <v/>
      </c>
      <c r="AJ330" s="603" t="str">
        <f t="shared" ca="1" si="118"/>
        <v/>
      </c>
      <c r="AK330" s="603" t="str">
        <f t="shared" ca="1" si="119"/>
        <v/>
      </c>
    </row>
    <row r="331" spans="1:37" ht="17.25" customHeight="1">
      <c r="A331" s="626" t="str">
        <f t="shared" si="108"/>
        <v/>
      </c>
      <c r="D331" s="440" t="str" cm="1">
        <f t="array" ref="D331">_xll.RssMarket(B331, "銘柄名称")</f>
        <v/>
      </c>
      <c r="E331" s="721"/>
      <c r="F331" s="702"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706" t="str" cm="1">
        <f t="array" ref="J331">_xll.RssMarket($B331, "前日比")</f>
        <v/>
      </c>
      <c r="K331" s="708" t="str">
        <f t="shared" ca="1" si="120"/>
        <v/>
      </c>
      <c r="L331" s="713" t="str">
        <f t="shared" ca="1" si="121"/>
        <v/>
      </c>
      <c r="M331" s="602" t="str">
        <f t="shared" ca="1" si="109"/>
        <v/>
      </c>
      <c r="N331" s="602" t="str">
        <f t="shared" ca="1" si="110"/>
        <v/>
      </c>
      <c r="O331" s="478" t="str">
        <f t="shared" ca="1" si="111"/>
        <v/>
      </c>
      <c r="P331" s="445" t="str">
        <f t="array" aca="1" ref="P331" ca="1">IF(B331="","",IFERROR(MAX(OFFSET(高値!$E$6,MATCH(TEXT(B331,"0"),TEXT(銘柄管理!$B$6:$B$305,"0"),0)-1,0,1,10)),""))</f>
        <v/>
      </c>
      <c r="Q331" s="445" t="str">
        <f t="array" aca="1" ref="Q331" ca="1">IF(B331="","",IFERROR(MIN(OFFSET(安値!$E$6,MATCH(TEXT(B331,"0"),TEXT(銘柄管理!$B$6:$B$305,"0"),0)-1,0,1,10)),""))</f>
        <v/>
      </c>
      <c r="R331" s="440" t="str">
        <f t="shared" ca="1" si="122"/>
        <v/>
      </c>
      <c r="S331" s="440" t="str">
        <f t="shared" si="123"/>
        <v/>
      </c>
      <c r="T331" s="600" t="str">
        <f t="shared" ca="1" si="112"/>
        <v/>
      </c>
      <c r="U331" s="602" t="str">
        <f t="shared" ca="1" si="113"/>
        <v/>
      </c>
      <c r="V331" s="708" t="str">
        <f t="shared" ca="1" si="124"/>
        <v/>
      </c>
      <c r="W331" s="440" t="str">
        <f t="shared" ca="1" si="114"/>
        <v/>
      </c>
      <c r="X331" s="440" t="str">
        <f t="shared" ca="1" si="115"/>
        <v/>
      </c>
      <c r="AD331" s="611"/>
      <c r="AE331" s="603" t="str">
        <f t="shared" si="116"/>
        <v/>
      </c>
      <c r="AF331" s="603"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03"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03" t="str">
        <f t="shared" ca="1" si="117"/>
        <v/>
      </c>
      <c r="AI331" s="603" t="str" cm="1">
        <f t="array" ref="AI331">IFERROR(INDEX(始値!$E$6:$BT$305,MATCH(TEXT($B331,"0"),TEXT(銘柄管理!$B$6:$B$305,"0"),0),MATCH($AE331,始値!$E$3:$BT$3,0)),"")</f>
        <v/>
      </c>
      <c r="AJ331" s="603" t="str">
        <f t="shared" ca="1" si="118"/>
        <v/>
      </c>
      <c r="AK331" s="603" t="str">
        <f t="shared" ca="1" si="119"/>
        <v/>
      </c>
    </row>
    <row r="332" spans="1:37" ht="17.25" customHeight="1">
      <c r="A332" s="626" t="str">
        <f t="shared" si="108"/>
        <v/>
      </c>
      <c r="D332" s="440" t="str" cm="1">
        <f t="array" ref="D332">_xll.RssMarket(B332, "銘柄名称")</f>
        <v/>
      </c>
      <c r="E332" s="721"/>
      <c r="F332" s="702"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706" t="str" cm="1">
        <f t="array" ref="J332">_xll.RssMarket($B332, "前日比")</f>
        <v/>
      </c>
      <c r="K332" s="708" t="str">
        <f t="shared" ca="1" si="120"/>
        <v/>
      </c>
      <c r="L332" s="713" t="str">
        <f t="shared" ca="1" si="121"/>
        <v/>
      </c>
      <c r="M332" s="602" t="str">
        <f t="shared" ca="1" si="109"/>
        <v/>
      </c>
      <c r="N332" s="602" t="str">
        <f t="shared" ca="1" si="110"/>
        <v/>
      </c>
      <c r="O332" s="478" t="str">
        <f t="shared" ca="1" si="111"/>
        <v/>
      </c>
      <c r="P332" s="445" t="str">
        <f t="array" aca="1" ref="P332" ca="1">IF(B332="","",IFERROR(MAX(OFFSET(高値!$E$6,MATCH(TEXT(B332,"0"),TEXT(銘柄管理!$B$6:$B$305,"0"),0)-1,0,1,10)),""))</f>
        <v/>
      </c>
      <c r="Q332" s="445" t="str">
        <f t="array" aca="1" ref="Q332" ca="1">IF(B332="","",IFERROR(MIN(OFFSET(安値!$E$6,MATCH(TEXT(B332,"0"),TEXT(銘柄管理!$B$6:$B$305,"0"),0)-1,0,1,10)),""))</f>
        <v/>
      </c>
      <c r="R332" s="440" t="str">
        <f t="shared" ca="1" si="122"/>
        <v/>
      </c>
      <c r="S332" s="440" t="str">
        <f t="shared" si="123"/>
        <v/>
      </c>
      <c r="T332" s="600" t="str">
        <f t="shared" ca="1" si="112"/>
        <v/>
      </c>
      <c r="U332" s="602" t="str">
        <f t="shared" ca="1" si="113"/>
        <v/>
      </c>
      <c r="V332" s="708" t="str">
        <f t="shared" ca="1" si="124"/>
        <v/>
      </c>
      <c r="W332" s="440" t="str">
        <f t="shared" ca="1" si="114"/>
        <v/>
      </c>
      <c r="X332" s="440" t="str">
        <f t="shared" ca="1" si="115"/>
        <v/>
      </c>
      <c r="AD332" s="611"/>
      <c r="AE332" s="603" t="str">
        <f t="shared" si="116"/>
        <v/>
      </c>
      <c r="AF332" s="603"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03"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03" t="str">
        <f t="shared" ca="1" si="117"/>
        <v/>
      </c>
      <c r="AI332" s="603" t="str" cm="1">
        <f t="array" ref="AI332">IFERROR(INDEX(始値!$E$6:$BT$305,MATCH(TEXT($B332,"0"),TEXT(銘柄管理!$B$6:$B$305,"0"),0),MATCH($AE332,始値!$E$3:$BT$3,0)),"")</f>
        <v/>
      </c>
      <c r="AJ332" s="603" t="str">
        <f t="shared" ca="1" si="118"/>
        <v/>
      </c>
      <c r="AK332" s="603" t="str">
        <f t="shared" ca="1" si="119"/>
        <v/>
      </c>
    </row>
    <row r="333" spans="1:37" ht="17.25" customHeight="1">
      <c r="A333" s="626" t="str">
        <f t="shared" si="108"/>
        <v/>
      </c>
      <c r="D333" s="440" t="str" cm="1">
        <f t="array" ref="D333">_xll.RssMarket(B333, "銘柄名称")</f>
        <v/>
      </c>
      <c r="E333" s="721"/>
      <c r="F333" s="702"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706" t="str" cm="1">
        <f t="array" ref="J333">_xll.RssMarket($B333, "前日比")</f>
        <v/>
      </c>
      <c r="K333" s="708" t="str">
        <f t="shared" ca="1" si="120"/>
        <v/>
      </c>
      <c r="L333" s="713" t="str">
        <f t="shared" ca="1" si="121"/>
        <v/>
      </c>
      <c r="M333" s="602" t="str">
        <f t="shared" ca="1" si="109"/>
        <v/>
      </c>
      <c r="N333" s="602" t="str">
        <f t="shared" ca="1" si="110"/>
        <v/>
      </c>
      <c r="O333" s="478" t="str">
        <f t="shared" ca="1" si="111"/>
        <v/>
      </c>
      <c r="P333" s="445" t="str">
        <f t="array" aca="1" ref="P333" ca="1">IF(B333="","",IFERROR(MAX(OFFSET(高値!$E$6,MATCH(TEXT(B333,"0"),TEXT(銘柄管理!$B$6:$B$305,"0"),0)-1,0,1,10)),""))</f>
        <v/>
      </c>
      <c r="Q333" s="445" t="str">
        <f t="array" aca="1" ref="Q333" ca="1">IF(B333="","",IFERROR(MIN(OFFSET(安値!$E$6,MATCH(TEXT(B333,"0"),TEXT(銘柄管理!$B$6:$B$305,"0"),0)-1,0,1,10)),""))</f>
        <v/>
      </c>
      <c r="R333" s="440" t="str">
        <f t="shared" ca="1" si="122"/>
        <v/>
      </c>
      <c r="S333" s="440" t="str">
        <f t="shared" si="123"/>
        <v/>
      </c>
      <c r="T333" s="600" t="str">
        <f t="shared" ca="1" si="112"/>
        <v/>
      </c>
      <c r="U333" s="602" t="str">
        <f t="shared" ca="1" si="113"/>
        <v/>
      </c>
      <c r="V333" s="708" t="str">
        <f t="shared" ca="1" si="124"/>
        <v/>
      </c>
      <c r="W333" s="440" t="str">
        <f t="shared" ca="1" si="114"/>
        <v/>
      </c>
      <c r="X333" s="440" t="str">
        <f t="shared" ca="1" si="115"/>
        <v/>
      </c>
      <c r="AD333" s="611"/>
      <c r="AE333" s="603" t="str">
        <f t="shared" si="116"/>
        <v/>
      </c>
      <c r="AF333" s="603"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03"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03" t="str">
        <f t="shared" ca="1" si="117"/>
        <v/>
      </c>
      <c r="AI333" s="603" t="str" cm="1">
        <f t="array" ref="AI333">IFERROR(INDEX(始値!$E$6:$BT$305,MATCH(TEXT($B333,"0"),TEXT(銘柄管理!$B$6:$B$305,"0"),0),MATCH($AE333,始値!$E$3:$BT$3,0)),"")</f>
        <v/>
      </c>
      <c r="AJ333" s="603" t="str">
        <f t="shared" ca="1" si="118"/>
        <v/>
      </c>
      <c r="AK333" s="603" t="str">
        <f t="shared" ca="1" si="119"/>
        <v/>
      </c>
    </row>
    <row r="334" spans="1:37" ht="17.25" customHeight="1">
      <c r="A334" s="626" t="str">
        <f t="shared" si="108"/>
        <v/>
      </c>
      <c r="D334" s="440" t="str" cm="1">
        <f t="array" ref="D334">_xll.RssMarket(B334, "銘柄名称")</f>
        <v/>
      </c>
      <c r="E334" s="721"/>
      <c r="F334" s="702"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706" t="str" cm="1">
        <f t="array" ref="J334">_xll.RssMarket($B334, "前日比")</f>
        <v/>
      </c>
      <c r="K334" s="708" t="str">
        <f t="shared" ca="1" si="120"/>
        <v/>
      </c>
      <c r="L334" s="713" t="str">
        <f t="shared" ca="1" si="121"/>
        <v/>
      </c>
      <c r="M334" s="602" t="str">
        <f t="shared" ca="1" si="109"/>
        <v/>
      </c>
      <c r="N334" s="602" t="str">
        <f t="shared" ca="1" si="110"/>
        <v/>
      </c>
      <c r="O334" s="478" t="str">
        <f t="shared" ca="1" si="111"/>
        <v/>
      </c>
      <c r="P334" s="445" t="str">
        <f t="array" aca="1" ref="P334" ca="1">IF(B334="","",IFERROR(MAX(OFFSET(高値!$E$6,MATCH(TEXT(B334,"0"),TEXT(銘柄管理!$B$6:$B$305,"0"),0)-1,0,1,10)),""))</f>
        <v/>
      </c>
      <c r="Q334" s="445" t="str">
        <f t="array" aca="1" ref="Q334" ca="1">IF(B334="","",IFERROR(MIN(OFFSET(安値!$E$6,MATCH(TEXT(B334,"0"),TEXT(銘柄管理!$B$6:$B$305,"0"),0)-1,0,1,10)),""))</f>
        <v/>
      </c>
      <c r="R334" s="440" t="str">
        <f t="shared" ca="1" si="122"/>
        <v/>
      </c>
      <c r="S334" s="440" t="str">
        <f t="shared" si="123"/>
        <v/>
      </c>
      <c r="T334" s="600" t="str">
        <f t="shared" ca="1" si="112"/>
        <v/>
      </c>
      <c r="U334" s="602" t="str">
        <f t="shared" ca="1" si="113"/>
        <v/>
      </c>
      <c r="V334" s="708" t="str">
        <f t="shared" ca="1" si="124"/>
        <v/>
      </c>
      <c r="W334" s="440" t="str">
        <f t="shared" ca="1" si="114"/>
        <v/>
      </c>
      <c r="X334" s="440" t="str">
        <f t="shared" ca="1" si="115"/>
        <v/>
      </c>
      <c r="AD334" s="611"/>
      <c r="AE334" s="603" t="str">
        <f t="shared" si="116"/>
        <v/>
      </c>
      <c r="AF334" s="603"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03"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03" t="str">
        <f t="shared" ca="1" si="117"/>
        <v/>
      </c>
      <c r="AI334" s="603" t="str" cm="1">
        <f t="array" ref="AI334">IFERROR(INDEX(始値!$E$6:$BT$305,MATCH(TEXT($B334,"0"),TEXT(銘柄管理!$B$6:$B$305,"0"),0),MATCH($AE334,始値!$E$3:$BT$3,0)),"")</f>
        <v/>
      </c>
      <c r="AJ334" s="603" t="str">
        <f t="shared" ca="1" si="118"/>
        <v/>
      </c>
      <c r="AK334" s="603" t="str">
        <f t="shared" ca="1" si="119"/>
        <v/>
      </c>
    </row>
    <row r="335" spans="1:37" ht="17.25" customHeight="1">
      <c r="A335" s="626" t="str">
        <f t="shared" si="108"/>
        <v/>
      </c>
      <c r="D335" s="440" t="str" cm="1">
        <f t="array" ref="D335">_xll.RssMarket(B335, "銘柄名称")</f>
        <v/>
      </c>
      <c r="E335" s="721"/>
      <c r="F335" s="702"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706" t="str" cm="1">
        <f t="array" ref="J335">_xll.RssMarket($B335, "前日比")</f>
        <v/>
      </c>
      <c r="K335" s="708" t="str">
        <f t="shared" ca="1" si="120"/>
        <v/>
      </c>
      <c r="L335" s="713" t="str">
        <f t="shared" ca="1" si="121"/>
        <v/>
      </c>
      <c r="M335" s="602" t="str">
        <f t="shared" ca="1" si="109"/>
        <v/>
      </c>
      <c r="N335" s="602" t="str">
        <f t="shared" ca="1" si="110"/>
        <v/>
      </c>
      <c r="O335" s="478" t="str">
        <f t="shared" ca="1" si="111"/>
        <v/>
      </c>
      <c r="P335" s="445" t="str">
        <f t="array" aca="1" ref="P335" ca="1">IF(B335="","",IFERROR(MAX(OFFSET(高値!$E$6,MATCH(TEXT(B335,"0"),TEXT(銘柄管理!$B$6:$B$305,"0"),0)-1,0,1,10)),""))</f>
        <v/>
      </c>
      <c r="Q335" s="445" t="str">
        <f t="array" aca="1" ref="Q335" ca="1">IF(B335="","",IFERROR(MIN(OFFSET(安値!$E$6,MATCH(TEXT(B335,"0"),TEXT(銘柄管理!$B$6:$B$305,"0"),0)-1,0,1,10)),""))</f>
        <v/>
      </c>
      <c r="R335" s="440" t="str">
        <f t="shared" ca="1" si="122"/>
        <v/>
      </c>
      <c r="S335" s="440" t="str">
        <f t="shared" si="123"/>
        <v/>
      </c>
      <c r="T335" s="600" t="str">
        <f t="shared" ca="1" si="112"/>
        <v/>
      </c>
      <c r="U335" s="602" t="str">
        <f t="shared" ca="1" si="113"/>
        <v/>
      </c>
      <c r="V335" s="708" t="str">
        <f t="shared" ca="1" si="124"/>
        <v/>
      </c>
      <c r="W335" s="440" t="str">
        <f t="shared" ca="1" si="114"/>
        <v/>
      </c>
      <c r="X335" s="440" t="str">
        <f t="shared" ca="1" si="115"/>
        <v/>
      </c>
      <c r="AD335" s="611"/>
      <c r="AE335" s="603" t="str">
        <f t="shared" si="116"/>
        <v/>
      </c>
      <c r="AF335" s="603"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03"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03" t="str">
        <f t="shared" ca="1" si="117"/>
        <v/>
      </c>
      <c r="AI335" s="603" t="str" cm="1">
        <f t="array" ref="AI335">IFERROR(INDEX(始値!$E$6:$BT$305,MATCH(TEXT($B335,"0"),TEXT(銘柄管理!$B$6:$B$305,"0"),0),MATCH($AE335,始値!$E$3:$BT$3,0)),"")</f>
        <v/>
      </c>
      <c r="AJ335" s="603" t="str">
        <f t="shared" ca="1" si="118"/>
        <v/>
      </c>
      <c r="AK335" s="603" t="str">
        <f t="shared" ca="1" si="119"/>
        <v/>
      </c>
    </row>
    <row r="336" spans="1:37" ht="17.25" customHeight="1">
      <c r="A336" s="626" t="str">
        <f t="shared" si="108"/>
        <v/>
      </c>
      <c r="D336" s="440" t="str" cm="1">
        <f t="array" ref="D336">_xll.RssMarket(B336, "銘柄名称")</f>
        <v/>
      </c>
      <c r="E336" s="721"/>
      <c r="F336" s="702"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706" t="str" cm="1">
        <f t="array" ref="J336">_xll.RssMarket($B336, "前日比")</f>
        <v/>
      </c>
      <c r="K336" s="708" t="str">
        <f t="shared" ca="1" si="120"/>
        <v/>
      </c>
      <c r="L336" s="713" t="str">
        <f t="shared" ca="1" si="121"/>
        <v/>
      </c>
      <c r="M336" s="602" t="str">
        <f t="shared" ca="1" si="109"/>
        <v/>
      </c>
      <c r="N336" s="602" t="str">
        <f t="shared" ca="1" si="110"/>
        <v/>
      </c>
      <c r="O336" s="478" t="str">
        <f t="shared" ca="1" si="111"/>
        <v/>
      </c>
      <c r="P336" s="445" t="str">
        <f t="array" aca="1" ref="P336" ca="1">IF(B336="","",IFERROR(MAX(OFFSET(高値!$E$6,MATCH(TEXT(B336,"0"),TEXT(銘柄管理!$B$6:$B$305,"0"),0)-1,0,1,10)),""))</f>
        <v/>
      </c>
      <c r="Q336" s="445" t="str">
        <f t="array" aca="1" ref="Q336" ca="1">IF(B336="","",IFERROR(MIN(OFFSET(安値!$E$6,MATCH(TEXT(B336,"0"),TEXT(銘柄管理!$B$6:$B$305,"0"),0)-1,0,1,10)),""))</f>
        <v/>
      </c>
      <c r="R336" s="440" t="str">
        <f t="shared" ca="1" si="122"/>
        <v/>
      </c>
      <c r="S336" s="440" t="str">
        <f t="shared" si="123"/>
        <v/>
      </c>
      <c r="T336" s="600" t="str">
        <f t="shared" ca="1" si="112"/>
        <v/>
      </c>
      <c r="U336" s="602" t="str">
        <f t="shared" ca="1" si="113"/>
        <v/>
      </c>
      <c r="V336" s="708" t="str">
        <f t="shared" ca="1" si="124"/>
        <v/>
      </c>
      <c r="W336" s="440" t="str">
        <f t="shared" ca="1" si="114"/>
        <v/>
      </c>
      <c r="X336" s="440" t="str">
        <f t="shared" ca="1" si="115"/>
        <v/>
      </c>
      <c r="AD336" s="611"/>
      <c r="AE336" s="603" t="str">
        <f t="shared" si="116"/>
        <v/>
      </c>
      <c r="AF336" s="603"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03"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03" t="str">
        <f t="shared" ca="1" si="117"/>
        <v/>
      </c>
      <c r="AI336" s="603" t="str" cm="1">
        <f t="array" ref="AI336">IFERROR(INDEX(始値!$E$6:$BT$305,MATCH(TEXT($B336,"0"),TEXT(銘柄管理!$B$6:$B$305,"0"),0),MATCH($AE336,始値!$E$3:$BT$3,0)),"")</f>
        <v/>
      </c>
      <c r="AJ336" s="603" t="str">
        <f t="shared" ca="1" si="118"/>
        <v/>
      </c>
      <c r="AK336" s="603" t="str">
        <f t="shared" ca="1" si="119"/>
        <v/>
      </c>
    </row>
    <row r="337" spans="1:37" ht="17.25" customHeight="1">
      <c r="A337" s="626" t="str">
        <f t="shared" si="108"/>
        <v/>
      </c>
      <c r="D337" s="440" t="str" cm="1">
        <f t="array" ref="D337">_xll.RssMarket(B337, "銘柄名称")</f>
        <v/>
      </c>
      <c r="E337" s="721"/>
      <c r="F337" s="702"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706" t="str" cm="1">
        <f t="array" ref="J337">_xll.RssMarket($B337, "前日比")</f>
        <v/>
      </c>
      <c r="K337" s="708" t="str">
        <f t="shared" ca="1" si="120"/>
        <v/>
      </c>
      <c r="L337" s="713" t="str">
        <f t="shared" ca="1" si="121"/>
        <v/>
      </c>
      <c r="M337" s="602" t="str">
        <f t="shared" ca="1" si="109"/>
        <v/>
      </c>
      <c r="N337" s="602" t="str">
        <f t="shared" ca="1" si="110"/>
        <v/>
      </c>
      <c r="O337" s="478" t="str">
        <f t="shared" ca="1" si="111"/>
        <v/>
      </c>
      <c r="P337" s="445" t="str">
        <f t="array" aca="1" ref="P337" ca="1">IF(B337="","",IFERROR(MAX(OFFSET(高値!$E$6,MATCH(TEXT(B337,"0"),TEXT(銘柄管理!$B$6:$B$305,"0"),0)-1,0,1,10)),""))</f>
        <v/>
      </c>
      <c r="Q337" s="445" t="str">
        <f t="array" aca="1" ref="Q337" ca="1">IF(B337="","",IFERROR(MIN(OFFSET(安値!$E$6,MATCH(TEXT(B337,"0"),TEXT(銘柄管理!$B$6:$B$305,"0"),0)-1,0,1,10)),""))</f>
        <v/>
      </c>
      <c r="R337" s="440" t="str">
        <f t="shared" ca="1" si="122"/>
        <v/>
      </c>
      <c r="S337" s="440" t="str">
        <f t="shared" si="123"/>
        <v/>
      </c>
      <c r="T337" s="600" t="str">
        <f t="shared" ca="1" si="112"/>
        <v/>
      </c>
      <c r="U337" s="602" t="str">
        <f t="shared" ca="1" si="113"/>
        <v/>
      </c>
      <c r="V337" s="708" t="str">
        <f t="shared" ca="1" si="124"/>
        <v/>
      </c>
      <c r="W337" s="440" t="str">
        <f t="shared" ca="1" si="114"/>
        <v/>
      </c>
      <c r="X337" s="440" t="str">
        <f t="shared" ca="1" si="115"/>
        <v/>
      </c>
      <c r="AD337" s="611"/>
      <c r="AE337" s="603" t="str">
        <f t="shared" si="116"/>
        <v/>
      </c>
      <c r="AF337" s="603"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03"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03" t="str">
        <f t="shared" ca="1" si="117"/>
        <v/>
      </c>
      <c r="AI337" s="603" t="str" cm="1">
        <f t="array" ref="AI337">IFERROR(INDEX(始値!$E$6:$BT$305,MATCH(TEXT($B337,"0"),TEXT(銘柄管理!$B$6:$B$305,"0"),0),MATCH($AE337,始値!$E$3:$BT$3,0)),"")</f>
        <v/>
      </c>
      <c r="AJ337" s="603" t="str">
        <f t="shared" ca="1" si="118"/>
        <v/>
      </c>
      <c r="AK337" s="603" t="str">
        <f t="shared" ca="1" si="119"/>
        <v/>
      </c>
    </row>
    <row r="338" spans="1:37" ht="17.25" customHeight="1">
      <c r="A338" s="626" t="str">
        <f t="shared" si="108"/>
        <v/>
      </c>
      <c r="D338" s="440" t="str" cm="1">
        <f t="array" ref="D338">_xll.RssMarket(B338, "銘柄名称")</f>
        <v/>
      </c>
      <c r="E338" s="721"/>
      <c r="F338" s="702"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706" t="str" cm="1">
        <f t="array" ref="J338">_xll.RssMarket($B338, "前日比")</f>
        <v/>
      </c>
      <c r="K338" s="708" t="str">
        <f t="shared" ca="1" si="120"/>
        <v/>
      </c>
      <c r="L338" s="713" t="str">
        <f t="shared" ca="1" si="121"/>
        <v/>
      </c>
      <c r="M338" s="602" t="str">
        <f t="shared" ca="1" si="109"/>
        <v/>
      </c>
      <c r="N338" s="602" t="str">
        <f t="shared" ca="1" si="110"/>
        <v/>
      </c>
      <c r="O338" s="478" t="str">
        <f t="shared" ca="1" si="111"/>
        <v/>
      </c>
      <c r="P338" s="445" t="str">
        <f t="array" aca="1" ref="P338" ca="1">IF(B338="","",IFERROR(MAX(OFFSET(高値!$E$6,MATCH(TEXT(B338,"0"),TEXT(銘柄管理!$B$6:$B$305,"0"),0)-1,0,1,10)),""))</f>
        <v/>
      </c>
      <c r="Q338" s="445" t="str">
        <f t="array" aca="1" ref="Q338" ca="1">IF(B338="","",IFERROR(MIN(OFFSET(安値!$E$6,MATCH(TEXT(B338,"0"),TEXT(銘柄管理!$B$6:$B$305,"0"),0)-1,0,1,10)),""))</f>
        <v/>
      </c>
      <c r="R338" s="440" t="str">
        <f t="shared" ca="1" si="122"/>
        <v/>
      </c>
      <c r="S338" s="440" t="str">
        <f t="shared" si="123"/>
        <v/>
      </c>
      <c r="T338" s="600" t="str">
        <f t="shared" ca="1" si="112"/>
        <v/>
      </c>
      <c r="U338" s="602" t="str">
        <f t="shared" ca="1" si="113"/>
        <v/>
      </c>
      <c r="V338" s="708" t="str">
        <f t="shared" ca="1" si="124"/>
        <v/>
      </c>
      <c r="W338" s="440" t="str">
        <f t="shared" ca="1" si="114"/>
        <v/>
      </c>
      <c r="X338" s="440" t="str">
        <f t="shared" ca="1" si="115"/>
        <v/>
      </c>
      <c r="AD338" s="611"/>
      <c r="AE338" s="603" t="str">
        <f t="shared" si="116"/>
        <v/>
      </c>
      <c r="AF338" s="603"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03"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03" t="str">
        <f t="shared" ca="1" si="117"/>
        <v/>
      </c>
      <c r="AI338" s="603" t="str" cm="1">
        <f t="array" ref="AI338">IFERROR(INDEX(始値!$E$6:$BT$305,MATCH(TEXT($B338,"0"),TEXT(銘柄管理!$B$6:$B$305,"0"),0),MATCH($AE338,始値!$E$3:$BT$3,0)),"")</f>
        <v/>
      </c>
      <c r="AJ338" s="603" t="str">
        <f t="shared" ca="1" si="118"/>
        <v/>
      </c>
      <c r="AK338" s="603" t="str">
        <f t="shared" ca="1" si="119"/>
        <v/>
      </c>
    </row>
    <row r="339" spans="1:37" ht="17.25" customHeight="1">
      <c r="A339" s="626" t="str">
        <f t="shared" si="108"/>
        <v/>
      </c>
      <c r="D339" s="440" t="str" cm="1">
        <f t="array" ref="D339">_xll.RssMarket(B339, "銘柄名称")</f>
        <v/>
      </c>
      <c r="E339" s="721"/>
      <c r="F339" s="702"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706" t="str" cm="1">
        <f t="array" ref="J339">_xll.RssMarket($B339, "前日比")</f>
        <v/>
      </c>
      <c r="K339" s="708" t="str">
        <f t="shared" ca="1" si="120"/>
        <v/>
      </c>
      <c r="L339" s="713" t="str">
        <f t="shared" ca="1" si="121"/>
        <v/>
      </c>
      <c r="M339" s="602" t="str">
        <f t="shared" ca="1" si="109"/>
        <v/>
      </c>
      <c r="N339" s="602" t="str">
        <f t="shared" ca="1" si="110"/>
        <v/>
      </c>
      <c r="O339" s="478" t="str">
        <f t="shared" ca="1" si="111"/>
        <v/>
      </c>
      <c r="P339" s="445" t="str">
        <f t="array" aca="1" ref="P339" ca="1">IF(B339="","",IFERROR(MAX(OFFSET(高値!$E$6,MATCH(TEXT(B339,"0"),TEXT(銘柄管理!$B$6:$B$305,"0"),0)-1,0,1,10)),""))</f>
        <v/>
      </c>
      <c r="Q339" s="445" t="str">
        <f t="array" aca="1" ref="Q339" ca="1">IF(B339="","",IFERROR(MIN(OFFSET(安値!$E$6,MATCH(TEXT(B339,"0"),TEXT(銘柄管理!$B$6:$B$305,"0"),0)-1,0,1,10)),""))</f>
        <v/>
      </c>
      <c r="R339" s="440" t="str">
        <f t="shared" ca="1" si="122"/>
        <v/>
      </c>
      <c r="S339" s="440" t="str">
        <f t="shared" si="123"/>
        <v/>
      </c>
      <c r="T339" s="600" t="str">
        <f t="shared" ca="1" si="112"/>
        <v/>
      </c>
      <c r="U339" s="602" t="str">
        <f t="shared" ca="1" si="113"/>
        <v/>
      </c>
      <c r="V339" s="708" t="str">
        <f t="shared" ca="1" si="124"/>
        <v/>
      </c>
      <c r="W339" s="440" t="str">
        <f t="shared" ca="1" si="114"/>
        <v/>
      </c>
      <c r="X339" s="440" t="str">
        <f t="shared" ca="1" si="115"/>
        <v/>
      </c>
      <c r="AD339" s="611"/>
      <c r="AE339" s="603" t="str">
        <f t="shared" si="116"/>
        <v/>
      </c>
      <c r="AF339" s="603"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03"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03" t="str">
        <f t="shared" ca="1" si="117"/>
        <v/>
      </c>
      <c r="AI339" s="603" t="str" cm="1">
        <f t="array" ref="AI339">IFERROR(INDEX(始値!$E$6:$BT$305,MATCH(TEXT($B339,"0"),TEXT(銘柄管理!$B$6:$B$305,"0"),0),MATCH($AE339,始値!$E$3:$BT$3,0)),"")</f>
        <v/>
      </c>
      <c r="AJ339" s="603" t="str">
        <f t="shared" ca="1" si="118"/>
        <v/>
      </c>
      <c r="AK339" s="603" t="str">
        <f t="shared" ca="1" si="119"/>
        <v/>
      </c>
    </row>
    <row r="340" spans="1:37" ht="17.25" customHeight="1">
      <c r="A340" s="626" t="str">
        <f t="shared" si="108"/>
        <v/>
      </c>
      <c r="D340" s="440" t="str" cm="1">
        <f t="array" ref="D340">_xll.RssMarket(B340, "銘柄名称")</f>
        <v/>
      </c>
      <c r="E340" s="721"/>
      <c r="F340" s="702"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706" t="str" cm="1">
        <f t="array" ref="J340">_xll.RssMarket($B340, "前日比")</f>
        <v/>
      </c>
      <c r="K340" s="708" t="str">
        <f t="shared" ca="1" si="120"/>
        <v/>
      </c>
      <c r="L340" s="713" t="str">
        <f t="shared" ca="1" si="121"/>
        <v/>
      </c>
      <c r="M340" s="602" t="str">
        <f t="shared" ca="1" si="109"/>
        <v/>
      </c>
      <c r="N340" s="602" t="str">
        <f t="shared" ca="1" si="110"/>
        <v/>
      </c>
      <c r="O340" s="478" t="str">
        <f t="shared" ca="1" si="111"/>
        <v/>
      </c>
      <c r="P340" s="445" t="str">
        <f t="array" aca="1" ref="P340" ca="1">IF(B340="","",IFERROR(MAX(OFFSET(高値!$E$6,MATCH(TEXT(B340,"0"),TEXT(銘柄管理!$B$6:$B$305,"0"),0)-1,0,1,10)),""))</f>
        <v/>
      </c>
      <c r="Q340" s="445" t="str">
        <f t="array" aca="1" ref="Q340" ca="1">IF(B340="","",IFERROR(MIN(OFFSET(安値!$E$6,MATCH(TEXT(B340,"0"),TEXT(銘柄管理!$B$6:$B$305,"0"),0)-1,0,1,10)),""))</f>
        <v/>
      </c>
      <c r="R340" s="440" t="str">
        <f t="shared" ca="1" si="122"/>
        <v/>
      </c>
      <c r="S340" s="440" t="str">
        <f t="shared" si="123"/>
        <v/>
      </c>
      <c r="T340" s="600" t="str">
        <f t="shared" ca="1" si="112"/>
        <v/>
      </c>
      <c r="U340" s="602" t="str">
        <f t="shared" ca="1" si="113"/>
        <v/>
      </c>
      <c r="V340" s="708" t="str">
        <f t="shared" ca="1" si="124"/>
        <v/>
      </c>
      <c r="W340" s="440" t="str">
        <f t="shared" ca="1" si="114"/>
        <v/>
      </c>
      <c r="X340" s="440" t="str">
        <f t="shared" ca="1" si="115"/>
        <v/>
      </c>
      <c r="AD340" s="611"/>
      <c r="AE340" s="603" t="str">
        <f t="shared" si="116"/>
        <v/>
      </c>
      <c r="AF340" s="603"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03"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03" t="str">
        <f t="shared" ca="1" si="117"/>
        <v/>
      </c>
      <c r="AI340" s="603" t="str" cm="1">
        <f t="array" ref="AI340">IFERROR(INDEX(始値!$E$6:$BT$305,MATCH(TEXT($B340,"0"),TEXT(銘柄管理!$B$6:$B$305,"0"),0),MATCH($AE340,始値!$E$3:$BT$3,0)),"")</f>
        <v/>
      </c>
      <c r="AJ340" s="603" t="str">
        <f t="shared" ca="1" si="118"/>
        <v/>
      </c>
      <c r="AK340" s="603" t="str">
        <f t="shared" ca="1" si="119"/>
        <v/>
      </c>
    </row>
    <row r="341" spans="1:37" ht="17.25" customHeight="1">
      <c r="A341" s="626" t="str">
        <f t="shared" si="108"/>
        <v/>
      </c>
      <c r="D341" s="440" t="str" cm="1">
        <f t="array" ref="D341">_xll.RssMarket(B341, "銘柄名称")</f>
        <v/>
      </c>
      <c r="E341" s="721"/>
      <c r="F341" s="702"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706" t="str" cm="1">
        <f t="array" ref="J341">_xll.RssMarket($B341, "前日比")</f>
        <v/>
      </c>
      <c r="K341" s="708" t="str">
        <f t="shared" ca="1" si="120"/>
        <v/>
      </c>
      <c r="L341" s="713" t="str">
        <f t="shared" ca="1" si="121"/>
        <v/>
      </c>
      <c r="M341" s="602" t="str">
        <f t="shared" ca="1" si="109"/>
        <v/>
      </c>
      <c r="N341" s="602" t="str">
        <f t="shared" ca="1" si="110"/>
        <v/>
      </c>
      <c r="O341" s="478" t="str">
        <f t="shared" ca="1" si="111"/>
        <v/>
      </c>
      <c r="P341" s="445" t="str">
        <f t="array" aca="1" ref="P341" ca="1">IF(B341="","",IFERROR(MAX(OFFSET(高値!$E$6,MATCH(TEXT(B341,"0"),TEXT(銘柄管理!$B$6:$B$305,"0"),0)-1,0,1,10)),""))</f>
        <v/>
      </c>
      <c r="Q341" s="445" t="str">
        <f t="array" aca="1" ref="Q341" ca="1">IF(B341="","",IFERROR(MIN(OFFSET(安値!$E$6,MATCH(TEXT(B341,"0"),TEXT(銘柄管理!$B$6:$B$305,"0"),0)-1,0,1,10)),""))</f>
        <v/>
      </c>
      <c r="R341" s="440" t="str">
        <f t="shared" ca="1" si="122"/>
        <v/>
      </c>
      <c r="S341" s="440" t="str">
        <f t="shared" si="123"/>
        <v/>
      </c>
      <c r="T341" s="600" t="str">
        <f t="shared" ca="1" si="112"/>
        <v/>
      </c>
      <c r="U341" s="602" t="str">
        <f t="shared" ca="1" si="113"/>
        <v/>
      </c>
      <c r="V341" s="708" t="str">
        <f t="shared" ca="1" si="124"/>
        <v/>
      </c>
      <c r="W341" s="440" t="str">
        <f t="shared" ca="1" si="114"/>
        <v/>
      </c>
      <c r="X341" s="440" t="str">
        <f t="shared" ca="1" si="115"/>
        <v/>
      </c>
      <c r="AD341" s="611"/>
      <c r="AE341" s="603" t="str">
        <f t="shared" si="116"/>
        <v/>
      </c>
      <c r="AF341" s="603"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03"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03" t="str">
        <f t="shared" ca="1" si="117"/>
        <v/>
      </c>
      <c r="AI341" s="603" t="str" cm="1">
        <f t="array" ref="AI341">IFERROR(INDEX(始値!$E$6:$BT$305,MATCH(TEXT($B341,"0"),TEXT(銘柄管理!$B$6:$B$305,"0"),0),MATCH($AE341,始値!$E$3:$BT$3,0)),"")</f>
        <v/>
      </c>
      <c r="AJ341" s="603" t="str">
        <f t="shared" ca="1" si="118"/>
        <v/>
      </c>
      <c r="AK341" s="603" t="str">
        <f t="shared" ca="1" si="119"/>
        <v/>
      </c>
    </row>
    <row r="342" spans="1:37" ht="17.25" customHeight="1">
      <c r="A342" s="626" t="str">
        <f t="shared" si="108"/>
        <v/>
      </c>
      <c r="D342" s="440" t="str" cm="1">
        <f t="array" ref="D342">_xll.RssMarket(B342, "銘柄名称")</f>
        <v/>
      </c>
      <c r="E342" s="721"/>
      <c r="F342" s="702"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706" t="str" cm="1">
        <f t="array" ref="J342">_xll.RssMarket($B342, "前日比")</f>
        <v/>
      </c>
      <c r="K342" s="708" t="str">
        <f t="shared" ca="1" si="120"/>
        <v/>
      </c>
      <c r="L342" s="713" t="str">
        <f t="shared" ca="1" si="121"/>
        <v/>
      </c>
      <c r="M342" s="602" t="str">
        <f t="shared" ca="1" si="109"/>
        <v/>
      </c>
      <c r="N342" s="602" t="str">
        <f t="shared" ca="1" si="110"/>
        <v/>
      </c>
      <c r="O342" s="478" t="str">
        <f t="shared" ca="1" si="111"/>
        <v/>
      </c>
      <c r="P342" s="445" t="str">
        <f t="array" aca="1" ref="P342" ca="1">IF(B342="","",IFERROR(MAX(OFFSET(高値!$E$6,MATCH(TEXT(B342,"0"),TEXT(銘柄管理!$B$6:$B$305,"0"),0)-1,0,1,10)),""))</f>
        <v/>
      </c>
      <c r="Q342" s="445" t="str">
        <f t="array" aca="1" ref="Q342" ca="1">IF(B342="","",IFERROR(MIN(OFFSET(安値!$E$6,MATCH(TEXT(B342,"0"),TEXT(銘柄管理!$B$6:$B$305,"0"),0)-1,0,1,10)),""))</f>
        <v/>
      </c>
      <c r="R342" s="440" t="str">
        <f t="shared" ca="1" si="122"/>
        <v/>
      </c>
      <c r="S342" s="440" t="str">
        <f t="shared" si="123"/>
        <v/>
      </c>
      <c r="T342" s="600" t="str">
        <f t="shared" ca="1" si="112"/>
        <v/>
      </c>
      <c r="U342" s="602" t="str">
        <f t="shared" ca="1" si="113"/>
        <v/>
      </c>
      <c r="V342" s="708" t="str">
        <f t="shared" ca="1" si="124"/>
        <v/>
      </c>
      <c r="W342" s="440" t="str">
        <f t="shared" ca="1" si="114"/>
        <v/>
      </c>
      <c r="X342" s="440" t="str">
        <f t="shared" ca="1" si="115"/>
        <v/>
      </c>
      <c r="AD342" s="611"/>
      <c r="AE342" s="603" t="str">
        <f t="shared" si="116"/>
        <v/>
      </c>
      <c r="AF342" s="603"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03"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03" t="str">
        <f t="shared" ca="1" si="117"/>
        <v/>
      </c>
      <c r="AI342" s="603" t="str" cm="1">
        <f t="array" ref="AI342">IFERROR(INDEX(始値!$E$6:$BT$305,MATCH(TEXT($B342,"0"),TEXT(銘柄管理!$B$6:$B$305,"0"),0),MATCH($AE342,始値!$E$3:$BT$3,0)),"")</f>
        <v/>
      </c>
      <c r="AJ342" s="603" t="str">
        <f t="shared" ca="1" si="118"/>
        <v/>
      </c>
      <c r="AK342" s="603" t="str">
        <f t="shared" ca="1" si="119"/>
        <v/>
      </c>
    </row>
    <row r="343" spans="1:37" ht="17.25" customHeight="1">
      <c r="A343" s="626" t="str">
        <f t="shared" si="108"/>
        <v/>
      </c>
      <c r="D343" s="440" t="str" cm="1">
        <f t="array" ref="D343">_xll.RssMarket(B343, "銘柄名称")</f>
        <v/>
      </c>
      <c r="E343" s="721"/>
      <c r="F343" s="702"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706" t="str" cm="1">
        <f t="array" ref="J343">_xll.RssMarket($B343, "前日比")</f>
        <v/>
      </c>
      <c r="K343" s="708" t="str">
        <f t="shared" ca="1" si="120"/>
        <v/>
      </c>
      <c r="L343" s="713" t="str">
        <f t="shared" ca="1" si="121"/>
        <v/>
      </c>
      <c r="M343" s="602" t="str">
        <f t="shared" ca="1" si="109"/>
        <v/>
      </c>
      <c r="N343" s="602" t="str">
        <f t="shared" ca="1" si="110"/>
        <v/>
      </c>
      <c r="O343" s="478" t="str">
        <f t="shared" ca="1" si="111"/>
        <v/>
      </c>
      <c r="P343" s="445" t="str">
        <f t="array" aca="1" ref="P343" ca="1">IF(B343="","",IFERROR(MAX(OFFSET(高値!$E$6,MATCH(TEXT(B343,"0"),TEXT(銘柄管理!$B$6:$B$305,"0"),0)-1,0,1,10)),""))</f>
        <v/>
      </c>
      <c r="Q343" s="445" t="str">
        <f t="array" aca="1" ref="Q343" ca="1">IF(B343="","",IFERROR(MIN(OFFSET(安値!$E$6,MATCH(TEXT(B343,"0"),TEXT(銘柄管理!$B$6:$B$305,"0"),0)-1,0,1,10)),""))</f>
        <v/>
      </c>
      <c r="R343" s="440" t="str">
        <f t="shared" ca="1" si="122"/>
        <v/>
      </c>
      <c r="S343" s="440" t="str">
        <f t="shared" si="123"/>
        <v/>
      </c>
      <c r="T343" s="600" t="str">
        <f t="shared" ca="1" si="112"/>
        <v/>
      </c>
      <c r="U343" s="602" t="str">
        <f t="shared" ca="1" si="113"/>
        <v/>
      </c>
      <c r="V343" s="708" t="str">
        <f t="shared" ca="1" si="124"/>
        <v/>
      </c>
      <c r="W343" s="440" t="str">
        <f t="shared" ca="1" si="114"/>
        <v/>
      </c>
      <c r="X343" s="440" t="str">
        <f t="shared" ca="1" si="115"/>
        <v/>
      </c>
      <c r="AD343" s="611"/>
      <c r="AE343" s="603" t="str">
        <f t="shared" si="116"/>
        <v/>
      </c>
      <c r="AF343" s="603"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03"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03" t="str">
        <f t="shared" ca="1" si="117"/>
        <v/>
      </c>
      <c r="AI343" s="603" t="str" cm="1">
        <f t="array" ref="AI343">IFERROR(INDEX(始値!$E$6:$BT$305,MATCH(TEXT($B343,"0"),TEXT(銘柄管理!$B$6:$B$305,"0"),0),MATCH($AE343,始値!$E$3:$BT$3,0)),"")</f>
        <v/>
      </c>
      <c r="AJ343" s="603" t="str">
        <f t="shared" ca="1" si="118"/>
        <v/>
      </c>
      <c r="AK343" s="603" t="str">
        <f t="shared" ca="1" si="119"/>
        <v/>
      </c>
    </row>
    <row r="344" spans="1:37" ht="17.25" customHeight="1">
      <c r="A344" s="626" t="str">
        <f t="shared" si="108"/>
        <v/>
      </c>
      <c r="D344" s="440" t="str" cm="1">
        <f t="array" ref="D344">_xll.RssMarket(B344, "銘柄名称")</f>
        <v/>
      </c>
      <c r="E344" s="721"/>
      <c r="F344" s="702"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706" t="str" cm="1">
        <f t="array" ref="J344">_xll.RssMarket($B344, "前日比")</f>
        <v/>
      </c>
      <c r="K344" s="708" t="str">
        <f t="shared" ca="1" si="120"/>
        <v/>
      </c>
      <c r="L344" s="713" t="str">
        <f t="shared" ca="1" si="121"/>
        <v/>
      </c>
      <c r="M344" s="602" t="str">
        <f t="shared" ca="1" si="109"/>
        <v/>
      </c>
      <c r="N344" s="602" t="str">
        <f t="shared" ca="1" si="110"/>
        <v/>
      </c>
      <c r="O344" s="478" t="str">
        <f t="shared" ca="1" si="111"/>
        <v/>
      </c>
      <c r="P344" s="445" t="str">
        <f t="array" aca="1" ref="P344" ca="1">IF(B344="","",IFERROR(MAX(OFFSET(高値!$E$6,MATCH(TEXT(B344,"0"),TEXT(銘柄管理!$B$6:$B$305,"0"),0)-1,0,1,10)),""))</f>
        <v/>
      </c>
      <c r="Q344" s="440" t="str">
        <f t="array" aca="1" ref="Q344" ca="1">IF(B344="","",IFERROR(MIN(OFFSET(安値!$E$6,MATCH(TEXT(B344,"0"),TEXT(銘柄管理!$B$6:$B$305,"0"),0)-1,0,1,10)),""))</f>
        <v/>
      </c>
      <c r="R344" s="440" t="str">
        <f t="shared" ca="1" si="122"/>
        <v/>
      </c>
      <c r="S344" s="440" t="str">
        <f t="shared" si="123"/>
        <v/>
      </c>
      <c r="T344" s="600" t="str">
        <f t="shared" ca="1" si="112"/>
        <v/>
      </c>
      <c r="U344" s="602" t="str">
        <f t="shared" ca="1" si="113"/>
        <v/>
      </c>
      <c r="V344" s="708" t="str">
        <f t="shared" ca="1" si="124"/>
        <v/>
      </c>
      <c r="W344" s="440" t="str">
        <f t="shared" ca="1" si="114"/>
        <v/>
      </c>
      <c r="X344" s="440" t="str">
        <f t="shared" ca="1" si="115"/>
        <v/>
      </c>
      <c r="AD344" s="611"/>
      <c r="AE344" s="603" t="str">
        <f t="shared" si="116"/>
        <v/>
      </c>
      <c r="AF344" s="603"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03"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03" t="str">
        <f t="shared" ca="1" si="117"/>
        <v/>
      </c>
      <c r="AI344" s="603" t="str" cm="1">
        <f t="array" ref="AI344">IFERROR(INDEX(始値!$E$6:$BT$305,MATCH(TEXT($B344,"0"),TEXT(銘柄管理!$B$6:$B$305,"0"),0),MATCH($AE344,始値!$E$3:$BT$3,0)),"")</f>
        <v/>
      </c>
      <c r="AJ344" s="603" t="str">
        <f t="shared" ca="1" si="118"/>
        <v/>
      </c>
      <c r="AK344" s="603" t="str">
        <f t="shared" ca="1" si="119"/>
        <v/>
      </c>
    </row>
    <row r="345" spans="1:37" ht="17.25" customHeight="1">
      <c r="A345" s="626" t="str">
        <f t="shared" si="108"/>
        <v/>
      </c>
      <c r="D345" s="440" t="str" cm="1">
        <f t="array" ref="D345">_xll.RssMarket(B345, "銘柄名称")</f>
        <v/>
      </c>
      <c r="E345" s="721"/>
      <c r="F345" s="702"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706" t="str" cm="1">
        <f t="array" ref="J345">_xll.RssMarket($B345, "前日比")</f>
        <v/>
      </c>
      <c r="K345" s="708" t="str">
        <f t="shared" ca="1" si="120"/>
        <v/>
      </c>
      <c r="L345" s="713" t="str">
        <f t="shared" ca="1" si="121"/>
        <v/>
      </c>
      <c r="M345" s="602" t="str">
        <f t="shared" ca="1" si="109"/>
        <v/>
      </c>
      <c r="N345" s="602" t="str">
        <f t="shared" ca="1" si="110"/>
        <v/>
      </c>
      <c r="O345" s="478" t="str">
        <f t="shared" ca="1" si="111"/>
        <v/>
      </c>
      <c r="P345" s="445" t="str">
        <f t="array" aca="1" ref="P345" ca="1">IF(B345="","",IFERROR(MAX(OFFSET(高値!$E$6,MATCH(TEXT(B345,"0"),TEXT(銘柄管理!$B$6:$B$305,"0"),0)-1,0,1,10)),""))</f>
        <v/>
      </c>
      <c r="Q345" s="440" t="str">
        <f t="array" aca="1" ref="Q345" ca="1">IF(B345="","",IFERROR(MIN(OFFSET(安値!$E$6,MATCH(TEXT(B345,"0"),TEXT(銘柄管理!$B$6:$B$305,"0"),0)-1,0,1,10)),""))</f>
        <v/>
      </c>
      <c r="R345" s="440" t="str">
        <f t="shared" ca="1" si="122"/>
        <v/>
      </c>
      <c r="S345" s="440" t="str">
        <f t="shared" si="123"/>
        <v/>
      </c>
      <c r="T345" s="600" t="str">
        <f t="shared" ca="1" si="112"/>
        <v/>
      </c>
      <c r="U345" s="602" t="str">
        <f t="shared" ca="1" si="113"/>
        <v/>
      </c>
      <c r="V345" s="708" t="str">
        <f t="shared" ca="1" si="124"/>
        <v/>
      </c>
      <c r="W345" s="440" t="str">
        <f t="shared" ca="1" si="114"/>
        <v/>
      </c>
      <c r="X345" s="440" t="str">
        <f t="shared" ca="1" si="115"/>
        <v/>
      </c>
      <c r="AD345" s="611"/>
      <c r="AE345" s="603" t="str">
        <f t="shared" si="116"/>
        <v/>
      </c>
      <c r="AF345" s="603"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03"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03" t="str">
        <f t="shared" ca="1" si="117"/>
        <v/>
      </c>
      <c r="AI345" s="603" t="str" cm="1">
        <f t="array" ref="AI345">IFERROR(INDEX(始値!$E$6:$BT$305,MATCH(TEXT($B345,"0"),TEXT(銘柄管理!$B$6:$B$305,"0"),0),MATCH($AE345,始値!$E$3:$BT$3,0)),"")</f>
        <v/>
      </c>
      <c r="AJ345" s="603" t="str">
        <f t="shared" ca="1" si="118"/>
        <v/>
      </c>
      <c r="AK345" s="603" t="str">
        <f t="shared" ca="1" si="119"/>
        <v/>
      </c>
    </row>
    <row r="346" spans="1:37" ht="17.25" customHeight="1">
      <c r="A346" s="626" t="str">
        <f t="shared" si="108"/>
        <v/>
      </c>
      <c r="D346" s="440" t="str" cm="1">
        <f t="array" ref="D346">_xll.RssMarket(B346, "銘柄名称")</f>
        <v/>
      </c>
      <c r="E346" s="721"/>
      <c r="F346" s="702"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706" t="str" cm="1">
        <f t="array" ref="J346">_xll.RssMarket($B346, "前日比")</f>
        <v/>
      </c>
      <c r="K346" s="708" t="str">
        <f t="shared" ca="1" si="120"/>
        <v/>
      </c>
      <c r="L346" s="713" t="str">
        <f t="shared" ca="1" si="121"/>
        <v/>
      </c>
      <c r="M346" s="602" t="str">
        <f t="shared" ca="1" si="109"/>
        <v/>
      </c>
      <c r="N346" s="602" t="str">
        <f t="shared" ca="1" si="110"/>
        <v/>
      </c>
      <c r="O346" s="478" t="str">
        <f t="shared" ca="1" si="111"/>
        <v/>
      </c>
      <c r="P346" s="445" t="str">
        <f t="array" aca="1" ref="P346" ca="1">IF(B346="","",IFERROR(MAX(OFFSET(高値!$E$6,MATCH(TEXT(B346,"0"),TEXT(銘柄管理!$B$6:$B$305,"0"),0)-1,0,1,10)),""))</f>
        <v/>
      </c>
      <c r="Q346" s="440" t="str">
        <f t="array" aca="1" ref="Q346" ca="1">IF(B346="","",IFERROR(MIN(OFFSET(安値!$E$6,MATCH(TEXT(B346,"0"),TEXT(銘柄管理!$B$6:$B$305,"0"),0)-1,0,1,10)),""))</f>
        <v/>
      </c>
      <c r="R346" s="440" t="str">
        <f t="shared" ca="1" si="122"/>
        <v/>
      </c>
      <c r="S346" s="440" t="str">
        <f t="shared" si="123"/>
        <v/>
      </c>
      <c r="T346" s="600" t="str">
        <f t="shared" ca="1" si="112"/>
        <v/>
      </c>
      <c r="U346" s="602" t="str">
        <f t="shared" ca="1" si="113"/>
        <v/>
      </c>
      <c r="V346" s="708" t="str">
        <f t="shared" ca="1" si="124"/>
        <v/>
      </c>
      <c r="W346" s="440" t="str">
        <f t="shared" ca="1" si="114"/>
        <v/>
      </c>
      <c r="X346" s="440" t="str">
        <f t="shared" ca="1" si="115"/>
        <v/>
      </c>
      <c r="AD346" s="611"/>
      <c r="AE346" s="603" t="str">
        <f t="shared" si="116"/>
        <v/>
      </c>
      <c r="AF346" s="603"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03"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03" t="str">
        <f t="shared" ca="1" si="117"/>
        <v/>
      </c>
      <c r="AI346" s="603" t="str" cm="1">
        <f t="array" ref="AI346">IFERROR(INDEX(始値!$E$6:$BT$305,MATCH(TEXT($B346,"0"),TEXT(銘柄管理!$B$6:$B$305,"0"),0),MATCH($AE346,始値!$E$3:$BT$3,0)),"")</f>
        <v/>
      </c>
      <c r="AJ346" s="603" t="str">
        <f t="shared" ca="1" si="118"/>
        <v/>
      </c>
      <c r="AK346" s="603" t="str">
        <f t="shared" ca="1" si="119"/>
        <v/>
      </c>
    </row>
    <row r="347" spans="1:37" ht="17.25" customHeight="1">
      <c r="A347" s="626" t="str">
        <f t="shared" si="108"/>
        <v/>
      </c>
      <c r="D347" s="440" t="str" cm="1">
        <f t="array" ref="D347">_xll.RssMarket(B347, "銘柄名称")</f>
        <v/>
      </c>
      <c r="E347" s="721"/>
      <c r="F347" s="702"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706" t="str" cm="1">
        <f t="array" ref="J347">_xll.RssMarket($B347, "前日比")</f>
        <v/>
      </c>
      <c r="K347" s="708" t="str">
        <f t="shared" ca="1" si="120"/>
        <v/>
      </c>
      <c r="L347" s="713" t="str">
        <f t="shared" ca="1" si="121"/>
        <v/>
      </c>
      <c r="M347" s="602" t="str">
        <f t="shared" ca="1" si="109"/>
        <v/>
      </c>
      <c r="N347" s="602" t="str">
        <f t="shared" ca="1" si="110"/>
        <v/>
      </c>
      <c r="O347" s="478" t="str">
        <f t="shared" ca="1" si="111"/>
        <v/>
      </c>
      <c r="P347" s="445" t="str">
        <f t="array" aca="1" ref="P347" ca="1">IF(B347="","",IFERROR(MAX(OFFSET(高値!$E$6,MATCH(TEXT(B347,"0"),TEXT(銘柄管理!$B$6:$B$305,"0"),0)-1,0,1,10)),""))</f>
        <v/>
      </c>
      <c r="Q347" s="440" t="str">
        <f t="array" aca="1" ref="Q347" ca="1">IF(B347="","",IFERROR(MIN(OFFSET(安値!$E$6,MATCH(TEXT(B347,"0"),TEXT(銘柄管理!$B$6:$B$305,"0"),0)-1,0,1,10)),""))</f>
        <v/>
      </c>
      <c r="R347" s="440" t="str">
        <f t="shared" ca="1" si="122"/>
        <v/>
      </c>
      <c r="S347" s="440" t="str">
        <f t="shared" si="123"/>
        <v/>
      </c>
      <c r="T347" s="600" t="str">
        <f t="shared" ca="1" si="112"/>
        <v/>
      </c>
      <c r="U347" s="602" t="str">
        <f t="shared" ca="1" si="113"/>
        <v/>
      </c>
      <c r="V347" s="708" t="str">
        <f t="shared" ca="1" si="124"/>
        <v/>
      </c>
      <c r="W347" s="440" t="str">
        <f t="shared" ca="1" si="114"/>
        <v/>
      </c>
      <c r="X347" s="440" t="str">
        <f t="shared" ca="1" si="115"/>
        <v/>
      </c>
      <c r="AD347" s="611"/>
      <c r="AE347" s="603" t="str">
        <f t="shared" si="116"/>
        <v/>
      </c>
      <c r="AF347" s="603"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03"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03" t="str">
        <f t="shared" ca="1" si="117"/>
        <v/>
      </c>
      <c r="AI347" s="603" t="str" cm="1">
        <f t="array" ref="AI347">IFERROR(INDEX(始値!$E$6:$BT$305,MATCH(TEXT($B347,"0"),TEXT(銘柄管理!$B$6:$B$305,"0"),0),MATCH($AE347,始値!$E$3:$BT$3,0)),"")</f>
        <v/>
      </c>
      <c r="AJ347" s="603" t="str">
        <f t="shared" ca="1" si="118"/>
        <v/>
      </c>
      <c r="AK347" s="603" t="str">
        <f t="shared" ca="1" si="119"/>
        <v/>
      </c>
    </row>
    <row r="348" spans="1:37" ht="17.25" customHeight="1">
      <c r="A348" s="626" t="str">
        <f t="shared" si="108"/>
        <v/>
      </c>
      <c r="D348" s="440" t="str" cm="1">
        <f t="array" ref="D348">_xll.RssMarket(B348, "銘柄名称")</f>
        <v/>
      </c>
      <c r="E348" s="721"/>
      <c r="F348" s="702"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706" t="str" cm="1">
        <f t="array" ref="J348">_xll.RssMarket($B348, "前日比")</f>
        <v/>
      </c>
      <c r="K348" s="708" t="str">
        <f t="shared" ca="1" si="120"/>
        <v/>
      </c>
      <c r="L348" s="713" t="str">
        <f t="shared" ca="1" si="121"/>
        <v/>
      </c>
      <c r="M348" s="602" t="str">
        <f t="shared" ca="1" si="109"/>
        <v/>
      </c>
      <c r="N348" s="602" t="str">
        <f t="shared" ca="1" si="110"/>
        <v/>
      </c>
      <c r="O348" s="478" t="str">
        <f t="shared" ca="1" si="111"/>
        <v/>
      </c>
      <c r="P348" s="445" t="str">
        <f t="array" aca="1" ref="P348" ca="1">IF(B348="","",IFERROR(MAX(OFFSET(高値!$E$6,MATCH(TEXT(B348,"0"),TEXT(銘柄管理!$B$6:$B$305,"0"),0)-1,0,1,10)),""))</f>
        <v/>
      </c>
      <c r="Q348" s="440" t="str">
        <f t="array" aca="1" ref="Q348" ca="1">IF(B348="","",IFERROR(MIN(OFFSET(安値!$E$6,MATCH(TEXT(B348,"0"),TEXT(銘柄管理!$B$6:$B$305,"0"),0)-1,0,1,10)),""))</f>
        <v/>
      </c>
      <c r="R348" s="440" t="str">
        <f t="shared" ca="1" si="122"/>
        <v/>
      </c>
      <c r="S348" s="440" t="str">
        <f t="shared" si="123"/>
        <v/>
      </c>
      <c r="T348" s="600" t="str">
        <f t="shared" ca="1" si="112"/>
        <v/>
      </c>
      <c r="U348" s="602" t="str">
        <f t="shared" ca="1" si="113"/>
        <v/>
      </c>
      <c r="V348" s="708" t="str">
        <f t="shared" ca="1" si="124"/>
        <v/>
      </c>
      <c r="W348" s="440" t="str">
        <f t="shared" ca="1" si="114"/>
        <v/>
      </c>
      <c r="X348" s="440" t="str">
        <f t="shared" ca="1" si="115"/>
        <v/>
      </c>
      <c r="AD348" s="611"/>
      <c r="AE348" s="603" t="str">
        <f t="shared" si="116"/>
        <v/>
      </c>
      <c r="AF348" s="603"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03"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03" t="str">
        <f t="shared" ca="1" si="117"/>
        <v/>
      </c>
      <c r="AI348" s="603" t="str" cm="1">
        <f t="array" ref="AI348">IFERROR(INDEX(始値!$E$6:$BT$305,MATCH(TEXT($B348,"0"),TEXT(銘柄管理!$B$6:$B$305,"0"),0),MATCH($AE348,始値!$E$3:$BT$3,0)),"")</f>
        <v/>
      </c>
      <c r="AJ348" s="603" t="str">
        <f t="shared" ca="1" si="118"/>
        <v/>
      </c>
      <c r="AK348" s="603" t="str">
        <f t="shared" ca="1" si="119"/>
        <v/>
      </c>
    </row>
    <row r="349" spans="1:37" ht="17.25" customHeight="1">
      <c r="A349" s="626" t="str">
        <f t="shared" si="108"/>
        <v/>
      </c>
      <c r="D349" s="440" t="str" cm="1">
        <f t="array" ref="D349">_xll.RssMarket(B349, "銘柄名称")</f>
        <v/>
      </c>
      <c r="E349" s="721"/>
      <c r="F349" s="702"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706" t="str" cm="1">
        <f t="array" ref="J349">_xll.RssMarket($B349, "前日比")</f>
        <v/>
      </c>
      <c r="K349" s="708" t="str">
        <f t="shared" ca="1" si="120"/>
        <v/>
      </c>
      <c r="L349" s="713" t="str">
        <f t="shared" ca="1" si="121"/>
        <v/>
      </c>
      <c r="M349" s="602" t="str">
        <f t="shared" ca="1" si="109"/>
        <v/>
      </c>
      <c r="N349" s="602" t="str">
        <f t="shared" ca="1" si="110"/>
        <v/>
      </c>
      <c r="O349" s="478" t="str">
        <f t="shared" ca="1" si="111"/>
        <v/>
      </c>
      <c r="P349" s="445" t="str">
        <f t="array" aca="1" ref="P349" ca="1">IF(B349="","",IFERROR(MAX(OFFSET(高値!$E$6,MATCH(TEXT(B349,"0"),TEXT(銘柄管理!$B$6:$B$305,"0"),0)-1,0,1,10)),""))</f>
        <v/>
      </c>
      <c r="Q349" s="440" t="str">
        <f t="array" aca="1" ref="Q349" ca="1">IF(B349="","",IFERROR(MIN(OFFSET(安値!$E$6,MATCH(TEXT(B349,"0"),TEXT(銘柄管理!$B$6:$B$305,"0"),0)-1,0,1,10)),""))</f>
        <v/>
      </c>
      <c r="R349" s="440" t="str">
        <f t="shared" ca="1" si="122"/>
        <v/>
      </c>
      <c r="S349" s="440" t="str">
        <f t="shared" si="123"/>
        <v/>
      </c>
      <c r="T349" s="600" t="str">
        <f t="shared" ca="1" si="112"/>
        <v/>
      </c>
      <c r="U349" s="602" t="str">
        <f t="shared" ca="1" si="113"/>
        <v/>
      </c>
      <c r="V349" s="708" t="str">
        <f t="shared" ca="1" si="124"/>
        <v/>
      </c>
      <c r="W349" s="440" t="str">
        <f t="shared" ca="1" si="114"/>
        <v/>
      </c>
      <c r="X349" s="440" t="str">
        <f t="shared" ca="1" si="115"/>
        <v/>
      </c>
      <c r="AD349" s="611"/>
      <c r="AE349" s="603" t="str">
        <f t="shared" si="116"/>
        <v/>
      </c>
      <c r="AF349" s="603"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03"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03" t="str">
        <f t="shared" ca="1" si="117"/>
        <v/>
      </c>
      <c r="AI349" s="603" t="str" cm="1">
        <f t="array" ref="AI349">IFERROR(INDEX(始値!$E$6:$BT$305,MATCH(TEXT($B349,"0"),TEXT(銘柄管理!$B$6:$B$305,"0"),0),MATCH($AE349,始値!$E$3:$BT$3,0)),"")</f>
        <v/>
      </c>
      <c r="AJ349" s="603" t="str">
        <f t="shared" ca="1" si="118"/>
        <v/>
      </c>
      <c r="AK349" s="603" t="str">
        <f t="shared" ca="1" si="119"/>
        <v/>
      </c>
    </row>
    <row r="350" spans="1:37" ht="17.25" customHeight="1">
      <c r="A350" s="626" t="str">
        <f t="shared" si="108"/>
        <v/>
      </c>
      <c r="D350" s="440" t="str" cm="1">
        <f t="array" ref="D350">_xll.RssMarket(B350, "銘柄名称")</f>
        <v/>
      </c>
      <c r="E350" s="721"/>
      <c r="F350" s="702"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706" t="str" cm="1">
        <f t="array" ref="J350">_xll.RssMarket($B350, "前日比")</f>
        <v/>
      </c>
      <c r="K350" s="708" t="str">
        <f t="shared" ca="1" si="120"/>
        <v/>
      </c>
      <c r="L350" s="713" t="str">
        <f t="shared" ca="1" si="121"/>
        <v/>
      </c>
      <c r="M350" s="602" t="str">
        <f t="shared" ca="1" si="109"/>
        <v/>
      </c>
      <c r="N350" s="602" t="str">
        <f t="shared" ca="1" si="110"/>
        <v/>
      </c>
      <c r="O350" s="478" t="str">
        <f t="shared" ca="1" si="111"/>
        <v/>
      </c>
      <c r="P350" s="445" t="str">
        <f t="array" aca="1" ref="P350" ca="1">IF(B350="","",IFERROR(MAX(OFFSET(高値!$E$6,MATCH(TEXT(B350,"0"),TEXT(銘柄管理!$B$6:$B$305,"0"),0)-1,0,1,10)),""))</f>
        <v/>
      </c>
      <c r="Q350" s="440" t="str">
        <f t="array" aca="1" ref="Q350" ca="1">IF(B350="","",IFERROR(MIN(OFFSET(安値!$E$6,MATCH(TEXT(B350,"0"),TEXT(銘柄管理!$B$6:$B$305,"0"),0)-1,0,1,10)),""))</f>
        <v/>
      </c>
      <c r="R350" s="440" t="str">
        <f t="shared" ca="1" si="122"/>
        <v/>
      </c>
      <c r="S350" s="440" t="str">
        <f t="shared" si="123"/>
        <v/>
      </c>
      <c r="T350" s="600" t="str">
        <f t="shared" ca="1" si="112"/>
        <v/>
      </c>
      <c r="U350" s="602" t="str">
        <f t="shared" ca="1" si="113"/>
        <v/>
      </c>
      <c r="V350" s="708" t="str">
        <f t="shared" ca="1" si="124"/>
        <v/>
      </c>
      <c r="W350" s="440" t="str">
        <f t="shared" ca="1" si="114"/>
        <v/>
      </c>
      <c r="X350" s="440" t="str">
        <f t="shared" ca="1" si="115"/>
        <v/>
      </c>
      <c r="AD350" s="611"/>
      <c r="AE350" s="603" t="str">
        <f t="shared" si="116"/>
        <v/>
      </c>
      <c r="AF350" s="603"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03"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03" t="str">
        <f t="shared" ca="1" si="117"/>
        <v/>
      </c>
      <c r="AI350" s="603" t="str" cm="1">
        <f t="array" ref="AI350">IFERROR(INDEX(始値!$E$6:$BT$305,MATCH(TEXT($B350,"0"),TEXT(銘柄管理!$B$6:$B$305,"0"),0),MATCH($AE350,始値!$E$3:$BT$3,0)),"")</f>
        <v/>
      </c>
      <c r="AJ350" s="603" t="str">
        <f t="shared" ca="1" si="118"/>
        <v/>
      </c>
      <c r="AK350" s="603" t="str">
        <f t="shared" ca="1" si="119"/>
        <v/>
      </c>
    </row>
    <row r="351" spans="1:37" ht="17.25" customHeight="1">
      <c r="A351" s="626" t="str">
        <f t="shared" si="108"/>
        <v/>
      </c>
      <c r="D351" s="440" t="str" cm="1">
        <f t="array" ref="D351">_xll.RssMarket(B351, "銘柄名称")</f>
        <v/>
      </c>
      <c r="E351" s="721"/>
      <c r="F351" s="702"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708" t="str" cm="1">
        <f t="array" ref="J351">_xll.RssMarket($B351, "前日比")</f>
        <v/>
      </c>
      <c r="K351" s="708" t="str">
        <f t="shared" ca="1" si="120"/>
        <v/>
      </c>
      <c r="L351" s="713" t="str">
        <f t="shared" ca="1" si="121"/>
        <v/>
      </c>
      <c r="M351" s="602" t="str">
        <f t="shared" ca="1" si="109"/>
        <v/>
      </c>
      <c r="N351" s="602" t="str">
        <f t="shared" ca="1" si="110"/>
        <v/>
      </c>
      <c r="O351" s="478" t="str">
        <f t="shared" ca="1" si="111"/>
        <v/>
      </c>
      <c r="P351" s="445" t="str">
        <f t="array" aca="1" ref="P351" ca="1">IF(B351="","",IFERROR(MAX(OFFSET(高値!$E$6,MATCH(TEXT(B351,"0"),TEXT(銘柄管理!$B$6:$B$305,"0"),0)-1,0,1,10)),""))</f>
        <v/>
      </c>
      <c r="Q351" s="440" t="str">
        <f t="array" aca="1" ref="Q351" ca="1">IF(B351="","",IFERROR(MIN(OFFSET(安値!$E$6,MATCH(TEXT(B351,"0"),TEXT(銘柄管理!$B$6:$B$305,"0"),0)-1,0,1,10)),""))</f>
        <v/>
      </c>
      <c r="R351" s="440" t="str">
        <f t="shared" ca="1" si="122"/>
        <v/>
      </c>
      <c r="S351" s="440" t="str">
        <f t="shared" si="123"/>
        <v/>
      </c>
      <c r="T351" s="600" t="str">
        <f t="shared" ca="1" si="112"/>
        <v/>
      </c>
      <c r="U351" s="602" t="str">
        <f t="shared" ca="1" si="113"/>
        <v/>
      </c>
      <c r="V351" s="708" t="str">
        <f t="shared" ca="1" si="124"/>
        <v/>
      </c>
      <c r="W351" s="440" t="str">
        <f t="shared" ca="1" si="114"/>
        <v/>
      </c>
      <c r="X351" s="440" t="str">
        <f t="shared" ca="1" si="115"/>
        <v/>
      </c>
      <c r="AD351" s="611"/>
      <c r="AE351" s="603" t="str">
        <f t="shared" si="116"/>
        <v/>
      </c>
      <c r="AF351" s="603"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03"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03" t="str">
        <f t="shared" ca="1" si="117"/>
        <v/>
      </c>
      <c r="AI351" s="603" t="str" cm="1">
        <f t="array" ref="AI351">IFERROR(INDEX(始値!$E$6:$BT$305,MATCH(TEXT($B351,"0"),TEXT(銘柄管理!$B$6:$B$305,"0"),0),MATCH($AE351,始値!$E$3:$BT$3,0)),"")</f>
        <v/>
      </c>
      <c r="AJ351" s="603" t="str">
        <f t="shared" ca="1" si="118"/>
        <v/>
      </c>
      <c r="AK351" s="603" t="str">
        <f t="shared" ca="1" si="119"/>
        <v/>
      </c>
    </row>
    <row r="352" spans="1:37" ht="17.25" customHeight="1">
      <c r="A352" s="626" t="str">
        <f t="shared" si="108"/>
        <v/>
      </c>
      <c r="D352" s="440" t="str" cm="1">
        <f t="array" ref="D352">_xll.RssMarket(B352, "銘柄名称")</f>
        <v/>
      </c>
      <c r="E352" s="721"/>
      <c r="F352" s="702"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708" t="str" cm="1">
        <f t="array" ref="J352">_xll.RssMarket($B352, "前日比")</f>
        <v/>
      </c>
      <c r="K352" s="708" t="str">
        <f t="shared" ca="1" si="120"/>
        <v/>
      </c>
      <c r="L352" s="713" t="str">
        <f t="shared" ca="1" si="121"/>
        <v/>
      </c>
      <c r="M352" s="602" t="str">
        <f t="shared" ca="1" si="109"/>
        <v/>
      </c>
      <c r="N352" s="602" t="str">
        <f t="shared" ca="1" si="110"/>
        <v/>
      </c>
      <c r="O352" s="478" t="str">
        <f t="shared" ca="1" si="111"/>
        <v/>
      </c>
      <c r="P352" s="445" t="str">
        <f t="array" aca="1" ref="P352" ca="1">IF(B352="","",IFERROR(MAX(OFFSET(高値!$E$6,MATCH(TEXT(B352,"0"),TEXT(銘柄管理!$B$6:$B$305,"0"),0)-1,0,1,10)),""))</f>
        <v/>
      </c>
      <c r="Q352" s="440" t="str">
        <f t="array" aca="1" ref="Q352" ca="1">IF(B352="","",IFERROR(MIN(OFFSET(安値!$E$6,MATCH(TEXT(B352,"0"),TEXT(銘柄管理!$B$6:$B$305,"0"),0)-1,0,1,10)),""))</f>
        <v/>
      </c>
      <c r="R352" s="440" t="str">
        <f t="shared" ca="1" si="122"/>
        <v/>
      </c>
      <c r="S352" s="440" t="str">
        <f t="shared" si="123"/>
        <v/>
      </c>
      <c r="T352" s="600" t="str">
        <f t="shared" ca="1" si="112"/>
        <v/>
      </c>
      <c r="U352" s="602" t="str">
        <f t="shared" ca="1" si="113"/>
        <v/>
      </c>
      <c r="V352" s="708" t="str">
        <f t="shared" ca="1" si="124"/>
        <v/>
      </c>
      <c r="W352" s="440" t="str">
        <f t="shared" ca="1" si="114"/>
        <v/>
      </c>
      <c r="X352" s="440" t="str">
        <f t="shared" ca="1" si="115"/>
        <v/>
      </c>
      <c r="AD352" s="611"/>
      <c r="AE352" s="603" t="str">
        <f t="shared" si="116"/>
        <v/>
      </c>
      <c r="AF352" s="603"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03"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03" t="str">
        <f t="shared" ca="1" si="117"/>
        <v/>
      </c>
      <c r="AI352" s="603" t="str" cm="1">
        <f t="array" ref="AI352">IFERROR(INDEX(始値!$E$6:$BT$305,MATCH(TEXT($B352,"0"),TEXT(銘柄管理!$B$6:$B$305,"0"),0),MATCH($AE352,始値!$E$3:$BT$3,0)),"")</f>
        <v/>
      </c>
      <c r="AJ352" s="603" t="str">
        <f t="shared" ca="1" si="118"/>
        <v/>
      </c>
      <c r="AK352" s="603" t="str">
        <f t="shared" ca="1" si="119"/>
        <v/>
      </c>
    </row>
    <row r="353" spans="1:37" ht="17.25" customHeight="1">
      <c r="A353" s="626" t="str">
        <f t="shared" si="108"/>
        <v/>
      </c>
      <c r="D353" s="440" t="str" cm="1">
        <f t="array" ref="D353">_xll.RssMarket(B353, "銘柄名称")</f>
        <v/>
      </c>
      <c r="E353" s="721"/>
      <c r="F353" s="702"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708" t="str" cm="1">
        <f t="array" ref="J353">_xll.RssMarket($B353, "前日比")</f>
        <v/>
      </c>
      <c r="K353" s="708" t="str">
        <f t="shared" ca="1" si="120"/>
        <v/>
      </c>
      <c r="L353" s="713" t="str">
        <f t="shared" ca="1" si="121"/>
        <v/>
      </c>
      <c r="M353" s="602" t="str">
        <f t="shared" ca="1" si="109"/>
        <v/>
      </c>
      <c r="N353" s="602" t="str">
        <f t="shared" ca="1" si="110"/>
        <v/>
      </c>
      <c r="O353" s="478" t="str">
        <f t="shared" ca="1" si="111"/>
        <v/>
      </c>
      <c r="P353" s="445" t="str">
        <f t="array" aca="1" ref="P353" ca="1">IF(B353="","",IFERROR(MAX(OFFSET(高値!$E$6,MATCH(TEXT(B353,"0"),TEXT(銘柄管理!$B$6:$B$305,"0"),0)-1,0,1,10)),""))</f>
        <v/>
      </c>
      <c r="Q353" s="440" t="str">
        <f t="array" aca="1" ref="Q353" ca="1">IF(B353="","",IFERROR(MIN(OFFSET(安値!$E$6,MATCH(TEXT(B353,"0"),TEXT(銘柄管理!$B$6:$B$305,"0"),0)-1,0,1,10)),""))</f>
        <v/>
      </c>
      <c r="R353" s="440" t="str">
        <f t="shared" ca="1" si="122"/>
        <v/>
      </c>
      <c r="S353" s="440" t="str">
        <f t="shared" si="123"/>
        <v/>
      </c>
      <c r="T353" s="600" t="str">
        <f t="shared" ca="1" si="112"/>
        <v/>
      </c>
      <c r="U353" s="602" t="str">
        <f t="shared" ca="1" si="113"/>
        <v/>
      </c>
      <c r="V353" s="708" t="str">
        <f t="shared" ca="1" si="124"/>
        <v/>
      </c>
      <c r="W353" s="440" t="str">
        <f t="shared" ca="1" si="114"/>
        <v/>
      </c>
      <c r="X353" s="440" t="str">
        <f t="shared" ca="1" si="115"/>
        <v/>
      </c>
      <c r="AD353" s="611"/>
      <c r="AE353" s="603" t="str">
        <f t="shared" si="116"/>
        <v/>
      </c>
      <c r="AF353" s="603"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03"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03" t="str">
        <f t="shared" ca="1" si="117"/>
        <v/>
      </c>
      <c r="AI353" s="603" t="str" cm="1">
        <f t="array" ref="AI353">IFERROR(INDEX(始値!$E$6:$BT$305,MATCH(TEXT($B353,"0"),TEXT(銘柄管理!$B$6:$B$305,"0"),0),MATCH($AE353,始値!$E$3:$BT$3,0)),"")</f>
        <v/>
      </c>
      <c r="AJ353" s="603" t="str">
        <f t="shared" ca="1" si="118"/>
        <v/>
      </c>
      <c r="AK353" s="603" t="str">
        <f t="shared" ca="1" si="119"/>
        <v/>
      </c>
    </row>
    <row r="354" spans="1:37" ht="17.25" customHeight="1">
      <c r="A354" s="626" t="str">
        <f t="shared" si="108"/>
        <v/>
      </c>
      <c r="D354" s="440" t="str" cm="1">
        <f t="array" ref="D354">_xll.RssMarket(B354, "銘柄名称")</f>
        <v/>
      </c>
      <c r="E354" s="721"/>
      <c r="F354" s="702"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708" t="str" cm="1">
        <f t="array" ref="J354">_xll.RssMarket($B354, "前日比")</f>
        <v/>
      </c>
      <c r="K354" s="708" t="str">
        <f t="shared" ca="1" si="120"/>
        <v/>
      </c>
      <c r="L354" s="713" t="str">
        <f t="shared" ca="1" si="121"/>
        <v/>
      </c>
      <c r="M354" s="602" t="str">
        <f t="shared" ca="1" si="109"/>
        <v/>
      </c>
      <c r="N354" s="602" t="str">
        <f t="shared" ca="1" si="110"/>
        <v/>
      </c>
      <c r="O354" s="478" t="str">
        <f t="shared" ca="1" si="111"/>
        <v/>
      </c>
      <c r="P354" s="445" t="str">
        <f t="array" aca="1" ref="P354" ca="1">IF(B354="","",IFERROR(MAX(OFFSET(高値!$E$6,MATCH(TEXT(B354,"0"),TEXT(銘柄管理!$B$6:$B$305,"0"),0)-1,0,1,10)),""))</f>
        <v/>
      </c>
      <c r="Q354" s="440" t="str">
        <f t="array" aca="1" ref="Q354" ca="1">IF(B354="","",IFERROR(MIN(OFFSET(安値!$E$6,MATCH(TEXT(B354,"0"),TEXT(銘柄管理!$B$6:$B$305,"0"),0)-1,0,1,10)),""))</f>
        <v/>
      </c>
      <c r="R354" s="440" t="str">
        <f t="shared" ca="1" si="122"/>
        <v/>
      </c>
      <c r="S354" s="440" t="str">
        <f t="shared" si="123"/>
        <v/>
      </c>
      <c r="T354" s="600" t="str">
        <f t="shared" ca="1" si="112"/>
        <v/>
      </c>
      <c r="U354" s="602" t="str">
        <f t="shared" ca="1" si="113"/>
        <v/>
      </c>
      <c r="V354" s="708" t="str">
        <f t="shared" ca="1" si="124"/>
        <v/>
      </c>
      <c r="W354" s="440" t="str">
        <f t="shared" ca="1" si="114"/>
        <v/>
      </c>
      <c r="X354" s="440" t="str">
        <f t="shared" ca="1" si="115"/>
        <v/>
      </c>
      <c r="AD354" s="611"/>
      <c r="AE354" s="603" t="str">
        <f t="shared" si="116"/>
        <v/>
      </c>
      <c r="AF354" s="603"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03"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03" t="str">
        <f t="shared" ca="1" si="117"/>
        <v/>
      </c>
      <c r="AI354" s="603" t="str" cm="1">
        <f t="array" ref="AI354">IFERROR(INDEX(始値!$E$6:$BT$305,MATCH(TEXT($B354,"0"),TEXT(銘柄管理!$B$6:$B$305,"0"),0),MATCH($AE354,始値!$E$3:$BT$3,0)),"")</f>
        <v/>
      </c>
      <c r="AJ354" s="603" t="str">
        <f t="shared" ca="1" si="118"/>
        <v/>
      </c>
      <c r="AK354" s="603" t="str">
        <f t="shared" ca="1" si="119"/>
        <v/>
      </c>
    </row>
    <row r="355" spans="1:37" ht="17.25" customHeight="1">
      <c r="A355" s="626" t="str">
        <f t="shared" si="108"/>
        <v/>
      </c>
      <c r="D355" s="440" t="str" cm="1">
        <f t="array" ref="D355">_xll.RssMarket(B355, "銘柄名称")</f>
        <v/>
      </c>
      <c r="E355" s="721"/>
      <c r="F355" s="702"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708" t="str" cm="1">
        <f t="array" ref="J355">_xll.RssMarket($B355, "前日比")</f>
        <v/>
      </c>
      <c r="K355" s="708" t="str">
        <f t="shared" ca="1" si="120"/>
        <v/>
      </c>
      <c r="L355" s="713" t="str">
        <f t="shared" ca="1" si="121"/>
        <v/>
      </c>
      <c r="M355" s="602" t="str">
        <f t="shared" ca="1" si="109"/>
        <v/>
      </c>
      <c r="N355" s="602" t="str">
        <f t="shared" ca="1" si="110"/>
        <v/>
      </c>
      <c r="O355" s="478" t="str">
        <f t="shared" ca="1" si="111"/>
        <v/>
      </c>
      <c r="P355" s="445" t="str">
        <f t="array" aca="1" ref="P355" ca="1">IF(B355="","",IFERROR(MAX(OFFSET(高値!$E$6,MATCH(TEXT(B355,"0"),TEXT(銘柄管理!$B$6:$B$305,"0"),0)-1,0,1,10)),""))</f>
        <v/>
      </c>
      <c r="Q355" s="440" t="str">
        <f t="array" aca="1" ref="Q355" ca="1">IF(B355="","",IFERROR(MIN(OFFSET(安値!$E$6,MATCH(TEXT(B355,"0"),TEXT(銘柄管理!$B$6:$B$305,"0"),0)-1,0,1,10)),""))</f>
        <v/>
      </c>
      <c r="R355" s="440" t="str">
        <f t="shared" ca="1" si="122"/>
        <v/>
      </c>
      <c r="S355" s="440" t="str">
        <f t="shared" si="123"/>
        <v/>
      </c>
      <c r="T355" s="600" t="str">
        <f t="shared" ca="1" si="112"/>
        <v/>
      </c>
      <c r="U355" s="602" t="str">
        <f t="shared" ca="1" si="113"/>
        <v/>
      </c>
      <c r="V355" s="708" t="str">
        <f t="shared" ca="1" si="124"/>
        <v/>
      </c>
      <c r="W355" s="440" t="str">
        <f t="shared" ca="1" si="114"/>
        <v/>
      </c>
      <c r="X355" s="440" t="str">
        <f t="shared" ca="1" si="115"/>
        <v/>
      </c>
      <c r="AD355" s="611"/>
      <c r="AE355" s="603" t="str">
        <f t="shared" si="116"/>
        <v/>
      </c>
      <c r="AF355" s="603"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03"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03" t="str">
        <f t="shared" ca="1" si="117"/>
        <v/>
      </c>
      <c r="AI355" s="603" t="str" cm="1">
        <f t="array" ref="AI355">IFERROR(INDEX(始値!$E$6:$BT$305,MATCH(TEXT($B355,"0"),TEXT(銘柄管理!$B$6:$B$305,"0"),0),MATCH($AE355,始値!$E$3:$BT$3,0)),"")</f>
        <v/>
      </c>
      <c r="AJ355" s="603" t="str">
        <f t="shared" ca="1" si="118"/>
        <v/>
      </c>
      <c r="AK355" s="603" t="str">
        <f t="shared" ca="1" si="119"/>
        <v/>
      </c>
    </row>
    <row r="356" spans="1:37" ht="17.25" customHeight="1">
      <c r="A356" s="626" t="str">
        <f t="shared" si="108"/>
        <v/>
      </c>
      <c r="D356" s="440" t="str" cm="1">
        <f t="array" ref="D356">_xll.RssMarket(B356, "銘柄名称")</f>
        <v/>
      </c>
      <c r="E356" s="721"/>
      <c r="F356" s="702"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708" t="str" cm="1">
        <f t="array" ref="J356">_xll.RssMarket($B356, "前日比")</f>
        <v/>
      </c>
      <c r="K356" s="708" t="str">
        <f t="shared" ca="1" si="120"/>
        <v/>
      </c>
      <c r="L356" s="713" t="str">
        <f t="shared" ca="1" si="121"/>
        <v/>
      </c>
      <c r="M356" s="602" t="str">
        <f t="shared" ca="1" si="109"/>
        <v/>
      </c>
      <c r="N356" s="602" t="str">
        <f t="shared" ca="1" si="110"/>
        <v/>
      </c>
      <c r="O356" s="478" t="str">
        <f t="shared" ca="1" si="111"/>
        <v/>
      </c>
      <c r="P356" s="445" t="str">
        <f t="array" aca="1" ref="P356" ca="1">IF(B356="","",IFERROR(MAX(OFFSET(高値!$E$6,MATCH(TEXT(B356,"0"),TEXT(銘柄管理!$B$6:$B$305,"0"),0)-1,0,1,10)),""))</f>
        <v/>
      </c>
      <c r="Q356" s="440" t="str">
        <f t="array" aca="1" ref="Q356" ca="1">IF(B356="","",IFERROR(MIN(OFFSET(安値!$E$6,MATCH(TEXT(B356,"0"),TEXT(銘柄管理!$B$6:$B$305,"0"),0)-1,0,1,10)),""))</f>
        <v/>
      </c>
      <c r="R356" s="440" t="str">
        <f t="shared" ca="1" si="122"/>
        <v/>
      </c>
      <c r="S356" s="440" t="str">
        <f t="shared" si="123"/>
        <v/>
      </c>
      <c r="T356" s="600" t="str">
        <f t="shared" ca="1" si="112"/>
        <v/>
      </c>
      <c r="U356" s="602" t="str">
        <f t="shared" ca="1" si="113"/>
        <v/>
      </c>
      <c r="V356" s="708" t="str">
        <f t="shared" ca="1" si="124"/>
        <v/>
      </c>
      <c r="W356" s="440" t="str">
        <f t="shared" ca="1" si="114"/>
        <v/>
      </c>
      <c r="X356" s="440" t="str">
        <f t="shared" ca="1" si="115"/>
        <v/>
      </c>
      <c r="AD356" s="611"/>
      <c r="AE356" s="603" t="str">
        <f t="shared" si="116"/>
        <v/>
      </c>
      <c r="AF356" s="603"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03"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03" t="str">
        <f t="shared" ca="1" si="117"/>
        <v/>
      </c>
      <c r="AI356" s="603" t="str" cm="1">
        <f t="array" ref="AI356">IFERROR(INDEX(始値!$E$6:$BT$305,MATCH(TEXT($B356,"0"),TEXT(銘柄管理!$B$6:$B$305,"0"),0),MATCH($AE356,始値!$E$3:$BT$3,0)),"")</f>
        <v/>
      </c>
      <c r="AJ356" s="603" t="str">
        <f t="shared" ca="1" si="118"/>
        <v/>
      </c>
      <c r="AK356" s="603" t="str">
        <f t="shared" ca="1" si="119"/>
        <v/>
      </c>
    </row>
    <row r="357" spans="1:37" ht="17.25" customHeight="1">
      <c r="A357" s="626" t="str">
        <f t="shared" si="108"/>
        <v/>
      </c>
      <c r="D357" s="440" t="str" cm="1">
        <f t="array" ref="D357">_xll.RssMarket(B357, "銘柄名称")</f>
        <v/>
      </c>
      <c r="E357" s="721"/>
      <c r="F357" s="702"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708" t="str" cm="1">
        <f t="array" ref="J357">_xll.RssMarket($B357, "前日比")</f>
        <v/>
      </c>
      <c r="K357" s="708" t="str">
        <f t="shared" ca="1" si="120"/>
        <v/>
      </c>
      <c r="L357" s="713" t="str">
        <f t="shared" ca="1" si="121"/>
        <v/>
      </c>
      <c r="M357" s="602" t="str">
        <f t="shared" ca="1" si="109"/>
        <v/>
      </c>
      <c r="N357" s="602" t="str">
        <f t="shared" ca="1" si="110"/>
        <v/>
      </c>
      <c r="O357" s="478" t="str">
        <f t="shared" ca="1" si="111"/>
        <v/>
      </c>
      <c r="P357" s="445" t="str">
        <f t="array" aca="1" ref="P357" ca="1">IF(B357="","",IFERROR(MAX(OFFSET(高値!$E$6,MATCH(TEXT(B357,"0"),TEXT(銘柄管理!$B$6:$B$305,"0"),0)-1,0,1,10)),""))</f>
        <v/>
      </c>
      <c r="Q357" s="440" t="str">
        <f t="array" aca="1" ref="Q357" ca="1">IF(B357="","",IFERROR(MIN(OFFSET(安値!$E$6,MATCH(TEXT(B357,"0"),TEXT(銘柄管理!$B$6:$B$305,"0"),0)-1,0,1,10)),""))</f>
        <v/>
      </c>
      <c r="R357" s="440" t="str">
        <f t="shared" ca="1" si="122"/>
        <v/>
      </c>
      <c r="S357" s="440" t="str">
        <f t="shared" si="123"/>
        <v/>
      </c>
      <c r="T357" s="600" t="str">
        <f t="shared" ca="1" si="112"/>
        <v/>
      </c>
      <c r="U357" s="602" t="str">
        <f t="shared" ca="1" si="113"/>
        <v/>
      </c>
      <c r="V357" s="708" t="str">
        <f t="shared" ca="1" si="124"/>
        <v/>
      </c>
      <c r="W357" s="440" t="str">
        <f t="shared" ca="1" si="114"/>
        <v/>
      </c>
      <c r="X357" s="440" t="str">
        <f t="shared" ca="1" si="115"/>
        <v/>
      </c>
      <c r="AD357" s="611"/>
      <c r="AE357" s="603" t="str">
        <f t="shared" si="116"/>
        <v/>
      </c>
      <c r="AF357" s="603"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03"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03" t="str">
        <f t="shared" ca="1" si="117"/>
        <v/>
      </c>
      <c r="AI357" s="603" t="str" cm="1">
        <f t="array" ref="AI357">IFERROR(INDEX(始値!$E$6:$BT$305,MATCH(TEXT($B357,"0"),TEXT(銘柄管理!$B$6:$B$305,"0"),0),MATCH($AE357,始値!$E$3:$BT$3,0)),"")</f>
        <v/>
      </c>
      <c r="AJ357" s="603" t="str">
        <f t="shared" ca="1" si="118"/>
        <v/>
      </c>
      <c r="AK357" s="603" t="str">
        <f t="shared" ca="1" si="119"/>
        <v/>
      </c>
    </row>
    <row r="358" spans="1:37" ht="17.25" customHeight="1">
      <c r="A358" s="626" t="str">
        <f t="shared" si="108"/>
        <v/>
      </c>
      <c r="D358" s="440" t="str" cm="1">
        <f t="array" ref="D358">_xll.RssMarket(B358, "銘柄名称")</f>
        <v/>
      </c>
      <c r="E358" s="721"/>
      <c r="F358" s="702"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708" t="str" cm="1">
        <f t="array" ref="J358">_xll.RssMarket($B358, "前日比")</f>
        <v/>
      </c>
      <c r="K358" s="708" t="str">
        <f t="shared" ca="1" si="120"/>
        <v/>
      </c>
      <c r="L358" s="713" t="str">
        <f t="shared" ca="1" si="121"/>
        <v/>
      </c>
      <c r="M358" s="602" t="str">
        <f t="shared" ca="1" si="109"/>
        <v/>
      </c>
      <c r="N358" s="602" t="str">
        <f t="shared" ca="1" si="110"/>
        <v/>
      </c>
      <c r="O358" s="478" t="str">
        <f t="shared" ca="1" si="111"/>
        <v/>
      </c>
      <c r="P358" s="445" t="str">
        <f t="array" aca="1" ref="P358" ca="1">IF(B358="","",IFERROR(MAX(OFFSET(高値!$E$6,MATCH(TEXT(B358,"0"),TEXT(銘柄管理!$B$6:$B$305,"0"),0)-1,0,1,10)),""))</f>
        <v/>
      </c>
      <c r="Q358" s="440" t="str">
        <f t="array" aca="1" ref="Q358" ca="1">IF(B358="","",IFERROR(MIN(OFFSET(安値!$E$6,MATCH(TEXT(B358,"0"),TEXT(銘柄管理!$B$6:$B$305,"0"),0)-1,0,1,10)),""))</f>
        <v/>
      </c>
      <c r="R358" s="440" t="str">
        <f t="shared" ca="1" si="122"/>
        <v/>
      </c>
      <c r="S358" s="440" t="str">
        <f t="shared" si="123"/>
        <v/>
      </c>
      <c r="T358" s="600" t="str">
        <f t="shared" ca="1" si="112"/>
        <v/>
      </c>
      <c r="U358" s="602" t="str">
        <f t="shared" ca="1" si="113"/>
        <v/>
      </c>
      <c r="V358" s="708" t="str">
        <f t="shared" ca="1" si="124"/>
        <v/>
      </c>
      <c r="W358" s="440" t="str">
        <f t="shared" ca="1" si="114"/>
        <v/>
      </c>
      <c r="X358" s="440" t="str">
        <f t="shared" ca="1" si="115"/>
        <v/>
      </c>
      <c r="AD358" s="611"/>
      <c r="AE358" s="603" t="str">
        <f t="shared" si="116"/>
        <v/>
      </c>
      <c r="AF358" s="603"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03"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03" t="str">
        <f t="shared" ca="1" si="117"/>
        <v/>
      </c>
      <c r="AI358" s="603" t="str" cm="1">
        <f t="array" ref="AI358">IFERROR(INDEX(始値!$E$6:$BT$305,MATCH(TEXT($B358,"0"),TEXT(銘柄管理!$B$6:$B$305,"0"),0),MATCH($AE358,始値!$E$3:$BT$3,0)),"")</f>
        <v/>
      </c>
      <c r="AJ358" s="603" t="str">
        <f t="shared" ca="1" si="118"/>
        <v/>
      </c>
      <c r="AK358" s="603" t="str">
        <f t="shared" ca="1" si="119"/>
        <v/>
      </c>
    </row>
    <row r="359" spans="1:37" ht="17.25" customHeight="1">
      <c r="A359" s="626" t="str">
        <f t="shared" si="108"/>
        <v/>
      </c>
      <c r="D359" s="440" t="str" cm="1">
        <f t="array" ref="D359">_xll.RssMarket(B359, "銘柄名称")</f>
        <v/>
      </c>
      <c r="E359" s="721"/>
      <c r="F359" s="702"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708" t="str" cm="1">
        <f t="array" ref="J359">_xll.RssMarket($B359, "前日比")</f>
        <v/>
      </c>
      <c r="K359" s="708" t="str">
        <f t="shared" ca="1" si="120"/>
        <v/>
      </c>
      <c r="L359" s="713" t="str">
        <f t="shared" ca="1" si="121"/>
        <v/>
      </c>
      <c r="M359" s="602" t="str">
        <f t="shared" ca="1" si="109"/>
        <v/>
      </c>
      <c r="N359" s="602" t="str">
        <f t="shared" ca="1" si="110"/>
        <v/>
      </c>
      <c r="O359" s="478" t="str">
        <f t="shared" ca="1" si="111"/>
        <v/>
      </c>
      <c r="P359" s="445" t="str">
        <f t="array" aca="1" ref="P359" ca="1">IF(B359="","",IFERROR(MAX(OFFSET(高値!$E$6,MATCH(TEXT(B359,"0"),TEXT(銘柄管理!$B$6:$B$305,"0"),0)-1,0,1,10)),""))</f>
        <v/>
      </c>
      <c r="Q359" s="440" t="str">
        <f t="array" aca="1" ref="Q359" ca="1">IF(B359="","",IFERROR(MIN(OFFSET(安値!$E$6,MATCH(TEXT(B359,"0"),TEXT(銘柄管理!$B$6:$B$305,"0"),0)-1,0,1,10)),""))</f>
        <v/>
      </c>
      <c r="R359" s="440" t="str">
        <f t="shared" ca="1" si="122"/>
        <v/>
      </c>
      <c r="S359" s="440" t="str">
        <f t="shared" si="123"/>
        <v/>
      </c>
      <c r="T359" s="600" t="str">
        <f t="shared" ca="1" si="112"/>
        <v/>
      </c>
      <c r="U359" s="602" t="str">
        <f t="shared" ca="1" si="113"/>
        <v/>
      </c>
      <c r="V359" s="708" t="str">
        <f t="shared" ca="1" si="124"/>
        <v/>
      </c>
      <c r="W359" s="440" t="str">
        <f t="shared" ca="1" si="114"/>
        <v/>
      </c>
      <c r="X359" s="440" t="str">
        <f t="shared" ca="1" si="115"/>
        <v/>
      </c>
      <c r="AD359" s="611"/>
      <c r="AE359" s="603" t="str">
        <f t="shared" si="116"/>
        <v/>
      </c>
      <c r="AF359" s="603"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03"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03" t="str">
        <f t="shared" ca="1" si="117"/>
        <v/>
      </c>
      <c r="AI359" s="603" t="str" cm="1">
        <f t="array" ref="AI359">IFERROR(INDEX(始値!$E$6:$BT$305,MATCH(TEXT($B359,"0"),TEXT(銘柄管理!$B$6:$B$305,"0"),0),MATCH($AE359,始値!$E$3:$BT$3,0)),"")</f>
        <v/>
      </c>
      <c r="AJ359" s="603" t="str">
        <f t="shared" ca="1" si="118"/>
        <v/>
      </c>
      <c r="AK359" s="603" t="str">
        <f t="shared" ca="1" si="119"/>
        <v/>
      </c>
    </row>
    <row r="360" spans="1:37" ht="17.25" customHeight="1">
      <c r="A360" s="626" t="str">
        <f t="shared" si="108"/>
        <v/>
      </c>
      <c r="D360" s="440" t="str" cm="1">
        <f t="array" ref="D360">_xll.RssMarket(B360, "銘柄名称")</f>
        <v/>
      </c>
      <c r="E360" s="721"/>
      <c r="F360" s="702"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708" t="str" cm="1">
        <f t="array" ref="J360">_xll.RssMarket($B360, "前日比")</f>
        <v/>
      </c>
      <c r="K360" s="708" t="str">
        <f t="shared" ca="1" si="120"/>
        <v/>
      </c>
      <c r="L360" s="713" t="str">
        <f t="shared" ca="1" si="121"/>
        <v/>
      </c>
      <c r="M360" s="602" t="str">
        <f t="shared" ca="1" si="109"/>
        <v/>
      </c>
      <c r="N360" s="602" t="str">
        <f t="shared" ca="1" si="110"/>
        <v/>
      </c>
      <c r="O360" s="478" t="str">
        <f t="shared" ca="1" si="111"/>
        <v/>
      </c>
      <c r="P360" s="445" t="str">
        <f t="array" aca="1" ref="P360" ca="1">IF(B360="","",IFERROR(MAX(OFFSET(高値!$E$6,MATCH(TEXT(B360,"0"),TEXT(銘柄管理!$B$6:$B$305,"0"),0)-1,0,1,10)),""))</f>
        <v/>
      </c>
      <c r="Q360" s="440" t="str">
        <f t="array" aca="1" ref="Q360" ca="1">IF(B360="","",IFERROR(MIN(OFFSET(安値!$E$6,MATCH(TEXT(B360,"0"),TEXT(銘柄管理!$B$6:$B$305,"0"),0)-1,0,1,10)),""))</f>
        <v/>
      </c>
      <c r="R360" s="440" t="str">
        <f t="shared" ca="1" si="122"/>
        <v/>
      </c>
      <c r="S360" s="440" t="str">
        <f t="shared" si="123"/>
        <v/>
      </c>
      <c r="T360" s="600" t="str">
        <f t="shared" ca="1" si="112"/>
        <v/>
      </c>
      <c r="U360" s="602" t="str">
        <f t="shared" ca="1" si="113"/>
        <v/>
      </c>
      <c r="V360" s="708" t="str">
        <f t="shared" ca="1" si="124"/>
        <v/>
      </c>
      <c r="W360" s="440" t="str">
        <f t="shared" ca="1" si="114"/>
        <v/>
      </c>
      <c r="X360" s="440" t="str">
        <f t="shared" ca="1" si="115"/>
        <v/>
      </c>
      <c r="AD360" s="611"/>
      <c r="AE360" s="603" t="str">
        <f t="shared" si="116"/>
        <v/>
      </c>
      <c r="AF360" s="603"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03"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03" t="str">
        <f t="shared" ca="1" si="117"/>
        <v/>
      </c>
      <c r="AI360" s="603" t="str" cm="1">
        <f t="array" ref="AI360">IFERROR(INDEX(始値!$E$6:$BT$305,MATCH(TEXT($B360,"0"),TEXT(銘柄管理!$B$6:$B$305,"0"),0),MATCH($AE360,始値!$E$3:$BT$3,0)),"")</f>
        <v/>
      </c>
      <c r="AJ360" s="603" t="str">
        <f t="shared" ca="1" si="118"/>
        <v/>
      </c>
      <c r="AK360" s="603" t="str">
        <f t="shared" ca="1" si="119"/>
        <v/>
      </c>
    </row>
    <row r="361" spans="1:37" ht="17.25" customHeight="1">
      <c r="A361" s="626" t="str">
        <f t="shared" si="108"/>
        <v/>
      </c>
      <c r="D361" s="440" t="str" cm="1">
        <f t="array" ref="D361">_xll.RssMarket(B361, "銘柄名称")</f>
        <v/>
      </c>
      <c r="E361" s="721"/>
      <c r="F361" s="702"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708" t="str" cm="1">
        <f t="array" ref="J361">_xll.RssMarket($B361, "前日比")</f>
        <v/>
      </c>
      <c r="K361" s="708" t="str">
        <f t="shared" ca="1" si="120"/>
        <v/>
      </c>
      <c r="L361" s="713" t="str">
        <f t="shared" ca="1" si="121"/>
        <v/>
      </c>
      <c r="M361" s="602" t="str">
        <f t="shared" ca="1" si="109"/>
        <v/>
      </c>
      <c r="N361" s="602" t="str">
        <f t="shared" ca="1" si="110"/>
        <v/>
      </c>
      <c r="O361" s="478" t="str">
        <f t="shared" ca="1" si="111"/>
        <v/>
      </c>
      <c r="P361" s="445" t="str">
        <f t="array" aca="1" ref="P361" ca="1">IF(B361="","",IFERROR(MAX(OFFSET(高値!$E$6,MATCH(TEXT(B361,"0"),TEXT(銘柄管理!$B$6:$B$305,"0"),0)-1,0,1,10)),""))</f>
        <v/>
      </c>
      <c r="Q361" s="440" t="str">
        <f t="array" aca="1" ref="Q361" ca="1">IF(B361="","",IFERROR(MIN(OFFSET(安値!$E$6,MATCH(TEXT(B361,"0"),TEXT(銘柄管理!$B$6:$B$305,"0"),0)-1,0,1,10)),""))</f>
        <v/>
      </c>
      <c r="R361" s="440" t="str">
        <f t="shared" ca="1" si="122"/>
        <v/>
      </c>
      <c r="S361" s="440" t="str">
        <f t="shared" si="123"/>
        <v/>
      </c>
      <c r="T361" s="600" t="str">
        <f t="shared" ca="1" si="112"/>
        <v/>
      </c>
      <c r="U361" s="602" t="str">
        <f t="shared" ca="1" si="113"/>
        <v/>
      </c>
      <c r="V361" s="708" t="str">
        <f t="shared" ca="1" si="124"/>
        <v/>
      </c>
      <c r="W361" s="440" t="str">
        <f t="shared" ca="1" si="114"/>
        <v/>
      </c>
      <c r="X361" s="440" t="str">
        <f t="shared" ca="1" si="115"/>
        <v/>
      </c>
      <c r="AD361" s="611"/>
      <c r="AE361" s="603" t="str">
        <f t="shared" si="116"/>
        <v/>
      </c>
      <c r="AF361" s="603"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03"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03" t="str">
        <f t="shared" ca="1" si="117"/>
        <v/>
      </c>
      <c r="AI361" s="603" t="str" cm="1">
        <f t="array" ref="AI361">IFERROR(INDEX(始値!$E$6:$BT$305,MATCH(TEXT($B361,"0"),TEXT(銘柄管理!$B$6:$B$305,"0"),0),MATCH($AE361,始値!$E$3:$BT$3,0)),"")</f>
        <v/>
      </c>
      <c r="AJ361" s="603" t="str">
        <f t="shared" ca="1" si="118"/>
        <v/>
      </c>
      <c r="AK361" s="603" t="str">
        <f t="shared" ca="1" si="119"/>
        <v/>
      </c>
    </row>
    <row r="362" spans="1:37" ht="17.25" customHeight="1">
      <c r="A362" s="626" t="str">
        <f t="shared" si="108"/>
        <v/>
      </c>
      <c r="D362" s="440" t="str" cm="1">
        <f t="array" ref="D362">_xll.RssMarket(B362, "銘柄名称")</f>
        <v/>
      </c>
      <c r="E362" s="721"/>
      <c r="F362" s="702"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708" t="str" cm="1">
        <f t="array" ref="J362">_xll.RssMarket($B362, "前日比")</f>
        <v/>
      </c>
      <c r="K362" s="708" t="str">
        <f t="shared" ca="1" si="120"/>
        <v/>
      </c>
      <c r="L362" s="713" t="str">
        <f t="shared" ca="1" si="121"/>
        <v/>
      </c>
      <c r="M362" s="602" t="str">
        <f t="shared" ca="1" si="109"/>
        <v/>
      </c>
      <c r="N362" s="602" t="str">
        <f t="shared" ca="1" si="110"/>
        <v/>
      </c>
      <c r="O362" s="478" t="str">
        <f t="shared" ca="1" si="111"/>
        <v/>
      </c>
      <c r="P362" s="445" t="str">
        <f t="array" aca="1" ref="P362" ca="1">IF(B362="","",IFERROR(MAX(OFFSET(高値!$E$6,MATCH(TEXT(B362,"0"),TEXT(銘柄管理!$B$6:$B$305,"0"),0)-1,0,1,10)),""))</f>
        <v/>
      </c>
      <c r="Q362" s="440" t="str">
        <f t="array" aca="1" ref="Q362" ca="1">IF(B362="","",IFERROR(MIN(OFFSET(安値!$E$6,MATCH(TEXT(B362,"0"),TEXT(銘柄管理!$B$6:$B$305,"0"),0)-1,0,1,10)),""))</f>
        <v/>
      </c>
      <c r="R362" s="440" t="str">
        <f t="shared" ca="1" si="122"/>
        <v/>
      </c>
      <c r="S362" s="440" t="str">
        <f t="shared" si="123"/>
        <v/>
      </c>
      <c r="T362" s="600" t="str">
        <f t="shared" ca="1" si="112"/>
        <v/>
      </c>
      <c r="U362" s="602" t="str">
        <f t="shared" ca="1" si="113"/>
        <v/>
      </c>
      <c r="V362" s="708" t="str">
        <f t="shared" ca="1" si="124"/>
        <v/>
      </c>
      <c r="W362" s="440" t="str">
        <f t="shared" ca="1" si="114"/>
        <v/>
      </c>
      <c r="X362" s="440" t="str">
        <f t="shared" ca="1" si="115"/>
        <v/>
      </c>
      <c r="AD362" s="611"/>
      <c r="AE362" s="603" t="str">
        <f t="shared" si="116"/>
        <v/>
      </c>
      <c r="AF362" s="603"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03"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03" t="str">
        <f t="shared" ca="1" si="117"/>
        <v/>
      </c>
      <c r="AI362" s="603" t="str" cm="1">
        <f t="array" ref="AI362">IFERROR(INDEX(始値!$E$6:$BT$305,MATCH(TEXT($B362,"0"),TEXT(銘柄管理!$B$6:$B$305,"0"),0),MATCH($AE362,始値!$E$3:$BT$3,0)),"")</f>
        <v/>
      </c>
      <c r="AJ362" s="603" t="str">
        <f t="shared" ca="1" si="118"/>
        <v/>
      </c>
      <c r="AK362" s="603" t="str">
        <f t="shared" ca="1" si="119"/>
        <v/>
      </c>
    </row>
    <row r="363" spans="1:37" ht="17.25" customHeight="1">
      <c r="A363" s="626" t="str">
        <f t="shared" si="108"/>
        <v/>
      </c>
      <c r="D363" s="440" t="str" cm="1">
        <f t="array" ref="D363">_xll.RssMarket(B363, "銘柄名称")</f>
        <v/>
      </c>
      <c r="E363" s="721"/>
      <c r="F363" s="702"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708" t="str" cm="1">
        <f t="array" ref="J363">_xll.RssMarket($B363, "前日比")</f>
        <v/>
      </c>
      <c r="K363" s="708" t="str">
        <f t="shared" ca="1" si="120"/>
        <v/>
      </c>
      <c r="L363" s="713" t="str">
        <f t="shared" ca="1" si="121"/>
        <v/>
      </c>
      <c r="M363" s="602" t="str">
        <f t="shared" ca="1" si="109"/>
        <v/>
      </c>
      <c r="N363" s="602" t="str">
        <f t="shared" ca="1" si="110"/>
        <v/>
      </c>
      <c r="O363" s="478" t="str">
        <f t="shared" ca="1" si="111"/>
        <v/>
      </c>
      <c r="P363" s="445" t="str">
        <f t="array" aca="1" ref="P363" ca="1">IF(B363="","",IFERROR(MAX(OFFSET(高値!$E$6,MATCH(TEXT(B363,"0"),TEXT(銘柄管理!$B$6:$B$305,"0"),0)-1,0,1,10)),""))</f>
        <v/>
      </c>
      <c r="Q363" s="440" t="str">
        <f t="array" aca="1" ref="Q363" ca="1">IF(B363="","",IFERROR(MIN(OFFSET(安値!$E$6,MATCH(TEXT(B363,"0"),TEXT(銘柄管理!$B$6:$B$305,"0"),0)-1,0,1,10)),""))</f>
        <v/>
      </c>
      <c r="R363" s="440" t="str">
        <f t="shared" ca="1" si="122"/>
        <v/>
      </c>
      <c r="S363" s="440" t="str">
        <f t="shared" si="123"/>
        <v/>
      </c>
      <c r="T363" s="600" t="str">
        <f t="shared" ca="1" si="112"/>
        <v/>
      </c>
      <c r="U363" s="602" t="str">
        <f t="shared" ca="1" si="113"/>
        <v/>
      </c>
      <c r="V363" s="708" t="str">
        <f t="shared" ca="1" si="124"/>
        <v/>
      </c>
      <c r="W363" s="440" t="str">
        <f t="shared" ca="1" si="114"/>
        <v/>
      </c>
      <c r="X363" s="440" t="str">
        <f t="shared" ca="1" si="115"/>
        <v/>
      </c>
      <c r="AD363" s="611"/>
      <c r="AE363" s="603" t="str">
        <f t="shared" si="116"/>
        <v/>
      </c>
      <c r="AF363" s="603"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03"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03" t="str">
        <f t="shared" ca="1" si="117"/>
        <v/>
      </c>
      <c r="AI363" s="603" t="str" cm="1">
        <f t="array" ref="AI363">IFERROR(INDEX(始値!$E$6:$BT$305,MATCH(TEXT($B363,"0"),TEXT(銘柄管理!$B$6:$B$305,"0"),0),MATCH($AE363,始値!$E$3:$BT$3,0)),"")</f>
        <v/>
      </c>
      <c r="AJ363" s="603" t="str">
        <f t="shared" ca="1" si="118"/>
        <v/>
      </c>
      <c r="AK363" s="603" t="str">
        <f t="shared" ca="1" si="119"/>
        <v/>
      </c>
    </row>
    <row r="364" spans="1:37" ht="17.25" customHeight="1">
      <c r="A364" s="626" t="str">
        <f t="shared" si="108"/>
        <v/>
      </c>
      <c r="D364" s="440" t="str" cm="1">
        <f t="array" ref="D364">_xll.RssMarket(B364, "銘柄名称")</f>
        <v/>
      </c>
      <c r="E364" s="721"/>
      <c r="F364" s="702"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708" t="str" cm="1">
        <f t="array" ref="J364">_xll.RssMarket($B364, "前日比")</f>
        <v/>
      </c>
      <c r="K364" s="708" t="str">
        <f t="shared" ca="1" si="120"/>
        <v/>
      </c>
      <c r="L364" s="713" t="str">
        <f t="shared" ca="1" si="121"/>
        <v/>
      </c>
      <c r="M364" s="602" t="str">
        <f t="shared" ca="1" si="109"/>
        <v/>
      </c>
      <c r="N364" s="602" t="str">
        <f t="shared" ca="1" si="110"/>
        <v/>
      </c>
      <c r="O364" s="478" t="str">
        <f t="shared" ca="1" si="111"/>
        <v/>
      </c>
      <c r="P364" s="445" t="str">
        <f t="array" aca="1" ref="P364" ca="1">IF(B364="","",IFERROR(MAX(OFFSET(高値!$E$6,MATCH(TEXT(B364,"0"),TEXT(銘柄管理!$B$6:$B$305,"0"),0)-1,0,1,10)),""))</f>
        <v/>
      </c>
      <c r="Q364" s="440" t="str">
        <f t="array" aca="1" ref="Q364" ca="1">IF(B364="","",IFERROR(MIN(OFFSET(安値!$E$6,MATCH(TEXT(B364,"0"),TEXT(銘柄管理!$B$6:$B$305,"0"),0)-1,0,1,10)),""))</f>
        <v/>
      </c>
      <c r="R364" s="440" t="str">
        <f t="shared" ca="1" si="122"/>
        <v/>
      </c>
      <c r="S364" s="440" t="str">
        <f t="shared" si="123"/>
        <v/>
      </c>
      <c r="T364" s="600" t="str">
        <f t="shared" ca="1" si="112"/>
        <v/>
      </c>
      <c r="U364" s="602" t="str">
        <f t="shared" ca="1" si="113"/>
        <v/>
      </c>
      <c r="V364" s="708" t="str">
        <f t="shared" ca="1" si="124"/>
        <v/>
      </c>
      <c r="W364" s="440" t="str">
        <f t="shared" ca="1" si="114"/>
        <v/>
      </c>
      <c r="X364" s="440" t="str">
        <f t="shared" ca="1" si="115"/>
        <v/>
      </c>
      <c r="AD364" s="611"/>
      <c r="AE364" s="603" t="str">
        <f t="shared" si="116"/>
        <v/>
      </c>
      <c r="AF364" s="603"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03"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03" t="str">
        <f t="shared" ca="1" si="117"/>
        <v/>
      </c>
      <c r="AI364" s="603" t="str" cm="1">
        <f t="array" ref="AI364">IFERROR(INDEX(始値!$E$6:$BT$305,MATCH(TEXT($B364,"0"),TEXT(銘柄管理!$B$6:$B$305,"0"),0),MATCH($AE364,始値!$E$3:$BT$3,0)),"")</f>
        <v/>
      </c>
      <c r="AJ364" s="603" t="str">
        <f t="shared" ca="1" si="118"/>
        <v/>
      </c>
      <c r="AK364" s="603" t="str">
        <f t="shared" ca="1" si="119"/>
        <v/>
      </c>
    </row>
    <row r="365" spans="1:37" ht="17.25" customHeight="1">
      <c r="A365" s="626" t="str">
        <f t="shared" si="108"/>
        <v/>
      </c>
      <c r="D365" s="440" t="str" cm="1">
        <f t="array" ref="D365">_xll.RssMarket(B365, "銘柄名称")</f>
        <v/>
      </c>
      <c r="E365" s="721"/>
      <c r="F365" s="702"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708" t="str" cm="1">
        <f t="array" ref="J365">_xll.RssMarket($B365, "前日比")</f>
        <v/>
      </c>
      <c r="K365" s="708" t="str">
        <f t="shared" ca="1" si="120"/>
        <v/>
      </c>
      <c r="L365" s="713" t="str">
        <f t="shared" ca="1" si="121"/>
        <v/>
      </c>
      <c r="M365" s="602" t="str">
        <f t="shared" ca="1" si="109"/>
        <v/>
      </c>
      <c r="N365" s="602" t="str">
        <f t="shared" ca="1" si="110"/>
        <v/>
      </c>
      <c r="O365" s="478" t="str">
        <f t="shared" ca="1" si="111"/>
        <v/>
      </c>
      <c r="P365" s="445" t="str">
        <f t="array" aca="1" ref="P365" ca="1">IF(B365="","",IFERROR(MAX(OFFSET(高値!$E$6,MATCH(TEXT(B365,"0"),TEXT(銘柄管理!$B$6:$B$305,"0"),0)-1,0,1,10)),""))</f>
        <v/>
      </c>
      <c r="Q365" s="440" t="str">
        <f t="array" aca="1" ref="Q365" ca="1">IF(B365="","",IFERROR(MIN(OFFSET(安値!$E$6,MATCH(TEXT(B365,"0"),TEXT(銘柄管理!$B$6:$B$305,"0"),0)-1,0,1,10)),""))</f>
        <v/>
      </c>
      <c r="R365" s="440" t="str">
        <f t="shared" ca="1" si="122"/>
        <v/>
      </c>
      <c r="S365" s="440" t="str">
        <f t="shared" si="123"/>
        <v/>
      </c>
      <c r="T365" s="600" t="str">
        <f t="shared" ca="1" si="112"/>
        <v/>
      </c>
      <c r="U365" s="602" t="str">
        <f t="shared" ca="1" si="113"/>
        <v/>
      </c>
      <c r="V365" s="708" t="str">
        <f t="shared" ca="1" si="124"/>
        <v/>
      </c>
      <c r="W365" s="440" t="str">
        <f t="shared" ca="1" si="114"/>
        <v/>
      </c>
      <c r="X365" s="440" t="str">
        <f t="shared" ca="1" si="115"/>
        <v/>
      </c>
      <c r="AD365" s="611"/>
      <c r="AE365" s="603" t="str">
        <f t="shared" si="116"/>
        <v/>
      </c>
      <c r="AF365" s="603"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03"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03" t="str">
        <f t="shared" ca="1" si="117"/>
        <v/>
      </c>
      <c r="AI365" s="603" t="str" cm="1">
        <f t="array" ref="AI365">IFERROR(INDEX(始値!$E$6:$BT$305,MATCH(TEXT($B365,"0"),TEXT(銘柄管理!$B$6:$B$305,"0"),0),MATCH($AE365,始値!$E$3:$BT$3,0)),"")</f>
        <v/>
      </c>
      <c r="AJ365" s="603" t="str">
        <f t="shared" ca="1" si="118"/>
        <v/>
      </c>
      <c r="AK365" s="603" t="str">
        <f t="shared" ca="1" si="119"/>
        <v/>
      </c>
    </row>
    <row r="366" spans="1:37" ht="17.25" customHeight="1">
      <c r="A366" s="626" t="str">
        <f t="shared" si="108"/>
        <v/>
      </c>
      <c r="D366" s="440" t="str" cm="1">
        <f t="array" ref="D366">_xll.RssMarket(B366, "銘柄名称")</f>
        <v/>
      </c>
      <c r="E366" s="721"/>
      <c r="F366" s="702"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708" t="str" cm="1">
        <f t="array" ref="J366">_xll.RssMarket($B366, "前日比")</f>
        <v/>
      </c>
      <c r="K366" s="708" t="str">
        <f t="shared" ca="1" si="120"/>
        <v/>
      </c>
      <c r="L366" s="713" t="str">
        <f t="shared" ca="1" si="121"/>
        <v/>
      </c>
      <c r="M366" s="602" t="str">
        <f t="shared" ca="1" si="109"/>
        <v/>
      </c>
      <c r="N366" s="602" t="str">
        <f t="shared" ca="1" si="110"/>
        <v/>
      </c>
      <c r="O366" s="478" t="str">
        <f t="shared" ca="1" si="111"/>
        <v/>
      </c>
      <c r="P366" s="445" t="str">
        <f t="array" aca="1" ref="P366" ca="1">IF(B366="","",IFERROR(MAX(OFFSET(高値!$E$6,MATCH(TEXT(B366,"0"),TEXT(銘柄管理!$B$6:$B$305,"0"),0)-1,0,1,10)),""))</f>
        <v/>
      </c>
      <c r="Q366" s="440" t="str">
        <f t="array" aca="1" ref="Q366" ca="1">IF(B366="","",IFERROR(MIN(OFFSET(安値!$E$6,MATCH(TEXT(B366,"0"),TEXT(銘柄管理!$B$6:$B$305,"0"),0)-1,0,1,10)),""))</f>
        <v/>
      </c>
      <c r="R366" s="440" t="str">
        <f t="shared" ca="1" si="122"/>
        <v/>
      </c>
      <c r="S366" s="440" t="str">
        <f t="shared" si="123"/>
        <v/>
      </c>
      <c r="T366" s="600" t="str">
        <f t="shared" ca="1" si="112"/>
        <v/>
      </c>
      <c r="U366" s="602" t="str">
        <f t="shared" ca="1" si="113"/>
        <v/>
      </c>
      <c r="V366" s="708" t="str">
        <f t="shared" ca="1" si="124"/>
        <v/>
      </c>
      <c r="W366" s="440" t="str">
        <f t="shared" ca="1" si="114"/>
        <v/>
      </c>
      <c r="X366" s="440" t="str">
        <f t="shared" ca="1" si="115"/>
        <v/>
      </c>
      <c r="AD366" s="611"/>
      <c r="AE366" s="603" t="str">
        <f t="shared" si="116"/>
        <v/>
      </c>
      <c r="AF366" s="603"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03"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03" t="str">
        <f t="shared" ca="1" si="117"/>
        <v/>
      </c>
      <c r="AI366" s="603" t="str" cm="1">
        <f t="array" ref="AI366">IFERROR(INDEX(始値!$E$6:$BT$305,MATCH(TEXT($B366,"0"),TEXT(銘柄管理!$B$6:$B$305,"0"),0),MATCH($AE366,始値!$E$3:$BT$3,0)),"")</f>
        <v/>
      </c>
      <c r="AJ366" s="603" t="str">
        <f t="shared" ca="1" si="118"/>
        <v/>
      </c>
      <c r="AK366" s="603" t="str">
        <f t="shared" ca="1" si="119"/>
        <v/>
      </c>
    </row>
    <row r="367" spans="1:37" ht="17.25" customHeight="1">
      <c r="A367" s="626" t="str">
        <f t="shared" si="108"/>
        <v/>
      </c>
      <c r="D367" s="440" t="str" cm="1">
        <f t="array" ref="D367">_xll.RssMarket(B367, "銘柄名称")</f>
        <v/>
      </c>
      <c r="E367" s="721"/>
      <c r="F367" s="702"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708" t="str" cm="1">
        <f t="array" ref="J367">_xll.RssMarket($B367, "前日比")</f>
        <v/>
      </c>
      <c r="K367" s="708" t="str">
        <f t="shared" ca="1" si="120"/>
        <v/>
      </c>
      <c r="L367" s="713" t="str">
        <f t="shared" ca="1" si="121"/>
        <v/>
      </c>
      <c r="M367" s="602" t="str">
        <f t="shared" ca="1" si="109"/>
        <v/>
      </c>
      <c r="N367" s="602" t="str">
        <f t="shared" ca="1" si="110"/>
        <v/>
      </c>
      <c r="O367" s="478" t="str">
        <f t="shared" ca="1" si="111"/>
        <v/>
      </c>
      <c r="P367" s="445" t="str">
        <f t="array" aca="1" ref="P367" ca="1">IF(B367="","",IFERROR(MAX(OFFSET(高値!$E$6,MATCH(TEXT(B367,"0"),TEXT(銘柄管理!$B$6:$B$305,"0"),0)-1,0,1,10)),""))</f>
        <v/>
      </c>
      <c r="Q367" s="440" t="str">
        <f t="array" aca="1" ref="Q367" ca="1">IF(B367="","",IFERROR(MIN(OFFSET(安値!$E$6,MATCH(TEXT(B367,"0"),TEXT(銘柄管理!$B$6:$B$305,"0"),0)-1,0,1,10)),""))</f>
        <v/>
      </c>
      <c r="R367" s="440" t="str">
        <f t="shared" ca="1" si="122"/>
        <v/>
      </c>
      <c r="S367" s="440" t="str">
        <f t="shared" si="123"/>
        <v/>
      </c>
      <c r="T367" s="600" t="str">
        <f t="shared" ca="1" si="112"/>
        <v/>
      </c>
      <c r="U367" s="602" t="str">
        <f t="shared" ca="1" si="113"/>
        <v/>
      </c>
      <c r="V367" s="708" t="str">
        <f t="shared" ca="1" si="124"/>
        <v/>
      </c>
      <c r="W367" s="440" t="str">
        <f t="shared" ca="1" si="114"/>
        <v/>
      </c>
      <c r="X367" s="440" t="str">
        <f t="shared" ca="1" si="115"/>
        <v/>
      </c>
      <c r="AD367" s="611"/>
      <c r="AE367" s="603" t="str">
        <f t="shared" si="116"/>
        <v/>
      </c>
      <c r="AF367" s="603"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03"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03" t="str">
        <f t="shared" ca="1" si="117"/>
        <v/>
      </c>
      <c r="AI367" s="603" t="str" cm="1">
        <f t="array" ref="AI367">IFERROR(INDEX(始値!$E$6:$BT$305,MATCH(TEXT($B367,"0"),TEXT(銘柄管理!$B$6:$B$305,"0"),0),MATCH($AE367,始値!$E$3:$BT$3,0)),"")</f>
        <v/>
      </c>
      <c r="AJ367" s="603" t="str">
        <f t="shared" ca="1" si="118"/>
        <v/>
      </c>
      <c r="AK367" s="603" t="str">
        <f t="shared" ca="1" si="119"/>
        <v/>
      </c>
    </row>
    <row r="368" spans="1:37" ht="17.25" customHeight="1">
      <c r="A368" s="626" t="str">
        <f t="shared" si="108"/>
        <v/>
      </c>
      <c r="D368" s="440" t="str" cm="1">
        <f t="array" ref="D368">_xll.RssMarket(B368, "銘柄名称")</f>
        <v/>
      </c>
      <c r="E368" s="721"/>
      <c r="F368" s="702"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708" t="str" cm="1">
        <f t="array" ref="J368">_xll.RssMarket($B368, "前日比")</f>
        <v/>
      </c>
      <c r="K368" s="708" t="str">
        <f t="shared" ca="1" si="120"/>
        <v/>
      </c>
      <c r="L368" s="713" t="str">
        <f t="shared" ca="1" si="121"/>
        <v/>
      </c>
      <c r="M368" s="602" t="str">
        <f t="shared" ca="1" si="109"/>
        <v/>
      </c>
      <c r="N368" s="602" t="str">
        <f t="shared" ca="1" si="110"/>
        <v/>
      </c>
      <c r="O368" s="478" t="str">
        <f t="shared" ca="1" si="111"/>
        <v/>
      </c>
      <c r="P368" s="445" t="str">
        <f t="array" aca="1" ref="P368" ca="1">IF(B368="","",IFERROR(MAX(OFFSET(高値!$E$6,MATCH(TEXT(B368,"0"),TEXT(銘柄管理!$B$6:$B$305,"0"),0)-1,0,1,10)),""))</f>
        <v/>
      </c>
      <c r="Q368" s="440" t="str">
        <f t="array" aca="1" ref="Q368" ca="1">IF(B368="","",IFERROR(MIN(OFFSET(安値!$E$6,MATCH(TEXT(B368,"0"),TEXT(銘柄管理!$B$6:$B$305,"0"),0)-1,0,1,10)),""))</f>
        <v/>
      </c>
      <c r="R368" s="440" t="str">
        <f t="shared" ca="1" si="122"/>
        <v/>
      </c>
      <c r="S368" s="440" t="str">
        <f t="shared" si="123"/>
        <v/>
      </c>
      <c r="T368" s="600" t="str">
        <f t="shared" ca="1" si="112"/>
        <v/>
      </c>
      <c r="U368" s="602" t="str">
        <f t="shared" ca="1" si="113"/>
        <v/>
      </c>
      <c r="V368" s="708" t="str">
        <f t="shared" ca="1" si="124"/>
        <v/>
      </c>
      <c r="W368" s="440" t="str">
        <f t="shared" ca="1" si="114"/>
        <v/>
      </c>
      <c r="X368" s="440" t="str">
        <f t="shared" ca="1" si="115"/>
        <v/>
      </c>
      <c r="AD368" s="611"/>
      <c r="AE368" s="603" t="str">
        <f t="shared" si="116"/>
        <v/>
      </c>
      <c r="AF368" s="603"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03"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03" t="str">
        <f t="shared" ca="1" si="117"/>
        <v/>
      </c>
      <c r="AI368" s="603" t="str" cm="1">
        <f t="array" ref="AI368">IFERROR(INDEX(始値!$E$6:$BT$305,MATCH(TEXT($B368,"0"),TEXT(銘柄管理!$B$6:$B$305,"0"),0),MATCH($AE368,始値!$E$3:$BT$3,0)),"")</f>
        <v/>
      </c>
      <c r="AJ368" s="603" t="str">
        <f t="shared" ca="1" si="118"/>
        <v/>
      </c>
      <c r="AK368" s="603" t="str">
        <f t="shared" ca="1" si="119"/>
        <v/>
      </c>
    </row>
    <row r="369" spans="1:37" ht="17.25" customHeight="1">
      <c r="A369" s="626" t="str">
        <f t="shared" si="108"/>
        <v/>
      </c>
      <c r="D369" s="440" t="str" cm="1">
        <f t="array" ref="D369">_xll.RssMarket(B369, "銘柄名称")</f>
        <v/>
      </c>
      <c r="E369" s="721"/>
      <c r="F369" s="702"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708" t="str" cm="1">
        <f t="array" ref="J369">_xll.RssMarket($B369, "前日比")</f>
        <v/>
      </c>
      <c r="K369" s="708" t="str">
        <f t="shared" ca="1" si="120"/>
        <v/>
      </c>
      <c r="L369" s="713" t="str">
        <f t="shared" ca="1" si="121"/>
        <v/>
      </c>
      <c r="M369" s="602" t="str">
        <f t="shared" ca="1" si="109"/>
        <v/>
      </c>
      <c r="N369" s="602" t="str">
        <f t="shared" ca="1" si="110"/>
        <v/>
      </c>
      <c r="O369" s="478" t="str">
        <f t="shared" ca="1" si="111"/>
        <v/>
      </c>
      <c r="P369" s="445" t="str">
        <f t="array" aca="1" ref="P369" ca="1">IF(B369="","",IFERROR(MAX(OFFSET(高値!$E$6,MATCH(TEXT(B369,"0"),TEXT(銘柄管理!$B$6:$B$305,"0"),0)-1,0,1,10)),""))</f>
        <v/>
      </c>
      <c r="Q369" s="440" t="str">
        <f t="array" aca="1" ref="Q369" ca="1">IF(B369="","",IFERROR(MIN(OFFSET(安値!$E$6,MATCH(TEXT(B369,"0"),TEXT(銘柄管理!$B$6:$B$305,"0"),0)-1,0,1,10)),""))</f>
        <v/>
      </c>
      <c r="R369" s="440" t="str">
        <f t="shared" ca="1" si="122"/>
        <v/>
      </c>
      <c r="S369" s="440" t="str">
        <f t="shared" si="123"/>
        <v/>
      </c>
      <c r="T369" s="600" t="str">
        <f t="shared" ca="1" si="112"/>
        <v/>
      </c>
      <c r="U369" s="602" t="str">
        <f t="shared" ca="1" si="113"/>
        <v/>
      </c>
      <c r="V369" s="708" t="str">
        <f t="shared" ca="1" si="124"/>
        <v/>
      </c>
      <c r="W369" s="440" t="str">
        <f t="shared" ca="1" si="114"/>
        <v/>
      </c>
      <c r="X369" s="440" t="str">
        <f t="shared" ca="1" si="115"/>
        <v/>
      </c>
      <c r="AD369" s="611"/>
      <c r="AE369" s="603" t="str">
        <f t="shared" si="116"/>
        <v/>
      </c>
      <c r="AF369" s="603"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03"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03" t="str">
        <f t="shared" ca="1" si="117"/>
        <v/>
      </c>
      <c r="AI369" s="603" t="str" cm="1">
        <f t="array" ref="AI369">IFERROR(INDEX(始値!$E$6:$BT$305,MATCH(TEXT($B369,"0"),TEXT(銘柄管理!$B$6:$B$305,"0"),0),MATCH($AE369,始値!$E$3:$BT$3,0)),"")</f>
        <v/>
      </c>
      <c r="AJ369" s="603" t="str">
        <f t="shared" ca="1" si="118"/>
        <v/>
      </c>
      <c r="AK369" s="603" t="str">
        <f t="shared" ca="1" si="119"/>
        <v/>
      </c>
    </row>
    <row r="370" spans="1:37" ht="17.25" customHeight="1">
      <c r="A370" s="626" t="str">
        <f t="shared" si="108"/>
        <v/>
      </c>
      <c r="D370" s="440" t="str" cm="1">
        <f t="array" ref="D370">_xll.RssMarket(B370, "銘柄名称")</f>
        <v/>
      </c>
      <c r="E370" s="721"/>
      <c r="F370" s="702"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708" t="str" cm="1">
        <f t="array" ref="J370">_xll.RssMarket($B370, "前日比")</f>
        <v/>
      </c>
      <c r="K370" s="708" t="str">
        <f t="shared" ca="1" si="120"/>
        <v/>
      </c>
      <c r="L370" s="713" t="str">
        <f t="shared" ca="1" si="121"/>
        <v/>
      </c>
      <c r="M370" s="602" t="str">
        <f t="shared" ca="1" si="109"/>
        <v/>
      </c>
      <c r="N370" s="602" t="str">
        <f t="shared" ca="1" si="110"/>
        <v/>
      </c>
      <c r="O370" s="478" t="str">
        <f t="shared" ca="1" si="111"/>
        <v/>
      </c>
      <c r="P370" s="445" t="str">
        <f t="array" aca="1" ref="P370" ca="1">IF(B370="","",IFERROR(MAX(OFFSET(高値!$E$6,MATCH(TEXT(B370,"0"),TEXT(銘柄管理!$B$6:$B$305,"0"),0)-1,0,1,10)),""))</f>
        <v/>
      </c>
      <c r="Q370" s="440" t="str">
        <f t="array" aca="1" ref="Q370" ca="1">IF(B370="","",IFERROR(MIN(OFFSET(安値!$E$6,MATCH(TEXT(B370,"0"),TEXT(銘柄管理!$B$6:$B$305,"0"),0)-1,0,1,10)),""))</f>
        <v/>
      </c>
      <c r="R370" s="440" t="str">
        <f t="shared" ca="1" si="122"/>
        <v/>
      </c>
      <c r="S370" s="440" t="str">
        <f t="shared" si="123"/>
        <v/>
      </c>
      <c r="T370" s="600" t="str">
        <f t="shared" ca="1" si="112"/>
        <v/>
      </c>
      <c r="U370" s="602" t="str">
        <f t="shared" ca="1" si="113"/>
        <v/>
      </c>
      <c r="V370" s="708" t="str">
        <f t="shared" ca="1" si="124"/>
        <v/>
      </c>
      <c r="W370" s="440" t="str">
        <f t="shared" ca="1" si="114"/>
        <v/>
      </c>
      <c r="X370" s="440" t="str">
        <f t="shared" ca="1" si="115"/>
        <v/>
      </c>
      <c r="AD370" s="611"/>
      <c r="AE370" s="603" t="str">
        <f t="shared" si="116"/>
        <v/>
      </c>
      <c r="AF370" s="603"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03"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03" t="str">
        <f t="shared" ca="1" si="117"/>
        <v/>
      </c>
      <c r="AI370" s="603" t="str" cm="1">
        <f t="array" ref="AI370">IFERROR(INDEX(始値!$E$6:$BT$305,MATCH(TEXT($B370,"0"),TEXT(銘柄管理!$B$6:$B$305,"0"),0),MATCH($AE370,始値!$E$3:$BT$3,0)),"")</f>
        <v/>
      </c>
      <c r="AJ370" s="603" t="str">
        <f t="shared" ca="1" si="118"/>
        <v/>
      </c>
      <c r="AK370" s="603" t="str">
        <f t="shared" ca="1" si="119"/>
        <v/>
      </c>
    </row>
    <row r="371" spans="1:37" ht="17.25" customHeight="1">
      <c r="A371" s="626" t="str">
        <f t="shared" si="108"/>
        <v/>
      </c>
      <c r="D371" s="440" t="str" cm="1">
        <f t="array" ref="D371">_xll.RssMarket(B371, "銘柄名称")</f>
        <v/>
      </c>
      <c r="E371" s="721"/>
      <c r="F371" s="702"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708" t="str" cm="1">
        <f t="array" ref="J371">_xll.RssMarket($B371, "前日比")</f>
        <v/>
      </c>
      <c r="K371" s="708" t="str">
        <f t="shared" ca="1" si="120"/>
        <v/>
      </c>
      <c r="L371" s="713" t="str">
        <f t="shared" ca="1" si="121"/>
        <v/>
      </c>
      <c r="M371" s="602" t="str">
        <f t="shared" ca="1" si="109"/>
        <v/>
      </c>
      <c r="N371" s="602" t="str">
        <f t="shared" ca="1" si="110"/>
        <v/>
      </c>
      <c r="O371" s="478" t="str">
        <f t="shared" ca="1" si="111"/>
        <v/>
      </c>
      <c r="P371" s="445" t="str">
        <f t="array" aca="1" ref="P371" ca="1">IF(B371="","",IFERROR(MAX(OFFSET(高値!$E$6,MATCH(TEXT(B371,"0"),TEXT(銘柄管理!$B$6:$B$305,"0"),0)-1,0,1,10)),""))</f>
        <v/>
      </c>
      <c r="Q371" s="440" t="str">
        <f t="array" aca="1" ref="Q371" ca="1">IF(B371="","",IFERROR(MIN(OFFSET(安値!$E$6,MATCH(TEXT(B371,"0"),TEXT(銘柄管理!$B$6:$B$305,"0"),0)-1,0,1,10)),""))</f>
        <v/>
      </c>
      <c r="R371" s="440" t="str">
        <f t="shared" ca="1" si="122"/>
        <v/>
      </c>
      <c r="S371" s="440" t="str">
        <f t="shared" si="123"/>
        <v/>
      </c>
      <c r="T371" s="600" t="str">
        <f t="shared" ca="1" si="112"/>
        <v/>
      </c>
      <c r="U371" s="602" t="str">
        <f t="shared" ca="1" si="113"/>
        <v/>
      </c>
      <c r="V371" s="708" t="str">
        <f t="shared" ca="1" si="124"/>
        <v/>
      </c>
      <c r="W371" s="440" t="str">
        <f t="shared" ca="1" si="114"/>
        <v/>
      </c>
      <c r="X371" s="440" t="str">
        <f t="shared" ca="1" si="115"/>
        <v/>
      </c>
      <c r="AD371" s="611"/>
      <c r="AE371" s="603" t="str">
        <f t="shared" si="116"/>
        <v/>
      </c>
      <c r="AF371" s="603"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03"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03" t="str">
        <f t="shared" ca="1" si="117"/>
        <v/>
      </c>
      <c r="AI371" s="603" t="str" cm="1">
        <f t="array" ref="AI371">IFERROR(INDEX(始値!$E$6:$BT$305,MATCH(TEXT($B371,"0"),TEXT(銘柄管理!$B$6:$B$305,"0"),0),MATCH($AE371,始値!$E$3:$BT$3,0)),"")</f>
        <v/>
      </c>
      <c r="AJ371" s="603" t="str">
        <f t="shared" ca="1" si="118"/>
        <v/>
      </c>
      <c r="AK371" s="603" t="str">
        <f t="shared" ca="1" si="119"/>
        <v/>
      </c>
    </row>
    <row r="372" spans="1:37" ht="17.25" customHeight="1">
      <c r="A372" s="626" t="str">
        <f t="shared" si="108"/>
        <v/>
      </c>
      <c r="D372" s="440" t="str" cm="1">
        <f t="array" ref="D372">_xll.RssMarket(B372, "銘柄名称")</f>
        <v/>
      </c>
      <c r="E372" s="721"/>
      <c r="F372" s="702"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708" t="str" cm="1">
        <f t="array" ref="J372">_xll.RssMarket($B372, "前日比")</f>
        <v/>
      </c>
      <c r="K372" s="708" t="str">
        <f t="shared" ca="1" si="120"/>
        <v/>
      </c>
      <c r="L372" s="713" t="str">
        <f t="shared" ca="1" si="121"/>
        <v/>
      </c>
      <c r="M372" s="602" t="str">
        <f t="shared" ca="1" si="109"/>
        <v/>
      </c>
      <c r="N372" s="602" t="str">
        <f t="shared" ca="1" si="110"/>
        <v/>
      </c>
      <c r="O372" s="478" t="str">
        <f t="shared" ca="1" si="111"/>
        <v/>
      </c>
      <c r="P372" s="445" t="str">
        <f t="array" aca="1" ref="P372" ca="1">IF(B372="","",IFERROR(MAX(OFFSET(高値!$E$6,MATCH(TEXT(B372,"0"),TEXT(銘柄管理!$B$6:$B$305,"0"),0)-1,0,1,10)),""))</f>
        <v/>
      </c>
      <c r="Q372" s="440" t="str">
        <f t="array" aca="1" ref="Q372" ca="1">IF(B372="","",IFERROR(MIN(OFFSET(安値!$E$6,MATCH(TEXT(B372,"0"),TEXT(銘柄管理!$B$6:$B$305,"0"),0)-1,0,1,10)),""))</f>
        <v/>
      </c>
      <c r="R372" s="440" t="str">
        <f t="shared" ca="1" si="122"/>
        <v/>
      </c>
      <c r="S372" s="440" t="str">
        <f t="shared" si="123"/>
        <v/>
      </c>
      <c r="T372" s="600" t="str">
        <f t="shared" ca="1" si="112"/>
        <v/>
      </c>
      <c r="U372" s="602" t="str">
        <f t="shared" ca="1" si="113"/>
        <v/>
      </c>
      <c r="V372" s="708" t="str">
        <f t="shared" ca="1" si="124"/>
        <v/>
      </c>
      <c r="W372" s="440" t="str">
        <f t="shared" ca="1" si="114"/>
        <v/>
      </c>
      <c r="X372" s="440" t="str">
        <f t="shared" ca="1" si="115"/>
        <v/>
      </c>
      <c r="AD372" s="611"/>
      <c r="AE372" s="603" t="str">
        <f t="shared" si="116"/>
        <v/>
      </c>
      <c r="AF372" s="603"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03"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03" t="str">
        <f t="shared" ca="1" si="117"/>
        <v/>
      </c>
      <c r="AI372" s="603" t="str" cm="1">
        <f t="array" ref="AI372">IFERROR(INDEX(始値!$E$6:$BT$305,MATCH(TEXT($B372,"0"),TEXT(銘柄管理!$B$6:$B$305,"0"),0),MATCH($AE372,始値!$E$3:$BT$3,0)),"")</f>
        <v/>
      </c>
      <c r="AJ372" s="603" t="str">
        <f t="shared" ca="1" si="118"/>
        <v/>
      </c>
      <c r="AK372" s="603" t="str">
        <f t="shared" ca="1" si="119"/>
        <v/>
      </c>
    </row>
    <row r="373" spans="1:37" ht="17.25" customHeight="1">
      <c r="A373" s="626" t="str">
        <f t="shared" si="108"/>
        <v/>
      </c>
      <c r="D373" s="440" t="str" cm="1">
        <f t="array" ref="D373">_xll.RssMarket(B373, "銘柄名称")</f>
        <v/>
      </c>
      <c r="E373" s="721"/>
      <c r="F373" s="702"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708" t="str" cm="1">
        <f t="array" ref="J373">_xll.RssMarket($B373, "前日比")</f>
        <v/>
      </c>
      <c r="K373" s="708" t="str">
        <f t="shared" ca="1" si="120"/>
        <v/>
      </c>
      <c r="L373" s="713" t="str">
        <f t="shared" ca="1" si="121"/>
        <v/>
      </c>
      <c r="M373" s="602" t="str">
        <f t="shared" ca="1" si="109"/>
        <v/>
      </c>
      <c r="N373" s="602" t="str">
        <f t="shared" ca="1" si="110"/>
        <v/>
      </c>
      <c r="O373" s="478" t="str">
        <f t="shared" ca="1" si="111"/>
        <v/>
      </c>
      <c r="P373" s="445" t="str">
        <f t="array" aca="1" ref="P373" ca="1">IF(B373="","",IFERROR(MAX(OFFSET(高値!$E$6,MATCH(TEXT(B373,"0"),TEXT(銘柄管理!$B$6:$B$305,"0"),0)-1,0,1,10)),""))</f>
        <v/>
      </c>
      <c r="Q373" s="440" t="str">
        <f t="array" aca="1" ref="Q373" ca="1">IF(B373="","",IFERROR(MIN(OFFSET(安値!$E$6,MATCH(TEXT(B373,"0"),TEXT(銘柄管理!$B$6:$B$305,"0"),0)-1,0,1,10)),""))</f>
        <v/>
      </c>
      <c r="R373" s="440" t="str">
        <f t="shared" ca="1" si="122"/>
        <v/>
      </c>
      <c r="S373" s="440" t="str">
        <f t="shared" si="123"/>
        <v/>
      </c>
      <c r="T373" s="600" t="str">
        <f t="shared" ca="1" si="112"/>
        <v/>
      </c>
      <c r="U373" s="602" t="str">
        <f t="shared" ca="1" si="113"/>
        <v/>
      </c>
      <c r="V373" s="708" t="str">
        <f t="shared" ca="1" si="124"/>
        <v/>
      </c>
      <c r="W373" s="440" t="str">
        <f t="shared" ca="1" si="114"/>
        <v/>
      </c>
      <c r="X373" s="440" t="str">
        <f t="shared" ca="1" si="115"/>
        <v/>
      </c>
      <c r="AD373" s="611"/>
      <c r="AE373" s="603" t="str">
        <f t="shared" si="116"/>
        <v/>
      </c>
      <c r="AF373" s="603"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03"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03" t="str">
        <f t="shared" ca="1" si="117"/>
        <v/>
      </c>
      <c r="AI373" s="603" t="str" cm="1">
        <f t="array" ref="AI373">IFERROR(INDEX(始値!$E$6:$BT$305,MATCH(TEXT($B373,"0"),TEXT(銘柄管理!$B$6:$B$305,"0"),0),MATCH($AE373,始値!$E$3:$BT$3,0)),"")</f>
        <v/>
      </c>
      <c r="AJ373" s="603" t="str">
        <f t="shared" ca="1" si="118"/>
        <v/>
      </c>
      <c r="AK373" s="603" t="str">
        <f t="shared" ca="1" si="119"/>
        <v/>
      </c>
    </row>
    <row r="374" spans="1:37" ht="17.25" customHeight="1">
      <c r="A374" s="626" t="str">
        <f t="shared" si="108"/>
        <v/>
      </c>
      <c r="D374" s="440" t="str" cm="1">
        <f t="array" ref="D374">_xll.RssMarket(B374, "銘柄名称")</f>
        <v/>
      </c>
      <c r="E374" s="721"/>
      <c r="F374" s="702"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708" t="str" cm="1">
        <f t="array" ref="J374">_xll.RssMarket($B374, "前日比")</f>
        <v/>
      </c>
      <c r="K374" s="708" t="str">
        <f t="shared" ca="1" si="120"/>
        <v/>
      </c>
      <c r="L374" s="713" t="str">
        <f t="shared" ca="1" si="121"/>
        <v/>
      </c>
      <c r="M374" s="602" t="str">
        <f t="shared" ca="1" si="109"/>
        <v/>
      </c>
      <c r="N374" s="602" t="str">
        <f t="shared" ca="1" si="110"/>
        <v/>
      </c>
      <c r="O374" s="478" t="str">
        <f t="shared" ca="1" si="111"/>
        <v/>
      </c>
      <c r="P374" s="445" t="str">
        <f t="array" aca="1" ref="P374" ca="1">IF(B374="","",IFERROR(MAX(OFFSET(高値!$E$6,MATCH(TEXT(B374,"0"),TEXT(銘柄管理!$B$6:$B$305,"0"),0)-1,0,1,10)),""))</f>
        <v/>
      </c>
      <c r="Q374" s="440" t="str">
        <f t="array" aca="1" ref="Q374" ca="1">IF(B374="","",IFERROR(MIN(OFFSET(安値!$E$6,MATCH(TEXT(B374,"0"),TEXT(銘柄管理!$B$6:$B$305,"0"),0)-1,0,1,10)),""))</f>
        <v/>
      </c>
      <c r="R374" s="440" t="str">
        <f t="shared" ca="1" si="122"/>
        <v/>
      </c>
      <c r="S374" s="440" t="str">
        <f t="shared" si="123"/>
        <v/>
      </c>
      <c r="T374" s="600" t="str">
        <f t="shared" ca="1" si="112"/>
        <v/>
      </c>
      <c r="U374" s="602" t="str">
        <f t="shared" ca="1" si="113"/>
        <v/>
      </c>
      <c r="V374" s="708" t="str">
        <f t="shared" ca="1" si="124"/>
        <v/>
      </c>
      <c r="W374" s="440" t="str">
        <f t="shared" ca="1" si="114"/>
        <v/>
      </c>
      <c r="X374" s="440" t="str">
        <f t="shared" ca="1" si="115"/>
        <v/>
      </c>
      <c r="AD374" s="611"/>
      <c r="AE374" s="603" t="str">
        <f t="shared" si="116"/>
        <v/>
      </c>
      <c r="AF374" s="603"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03"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03" t="str">
        <f t="shared" ca="1" si="117"/>
        <v/>
      </c>
      <c r="AI374" s="603" t="str" cm="1">
        <f t="array" ref="AI374">IFERROR(INDEX(始値!$E$6:$BT$305,MATCH(TEXT($B374,"0"),TEXT(銘柄管理!$B$6:$B$305,"0"),0),MATCH($AE374,始値!$E$3:$BT$3,0)),"")</f>
        <v/>
      </c>
      <c r="AJ374" s="603" t="str">
        <f t="shared" ca="1" si="118"/>
        <v/>
      </c>
      <c r="AK374" s="603" t="str">
        <f t="shared" ca="1" si="119"/>
        <v/>
      </c>
    </row>
    <row r="375" spans="1:37" ht="17.25" customHeight="1">
      <c r="A375" s="626" t="str">
        <f t="shared" si="108"/>
        <v/>
      </c>
      <c r="D375" s="440" t="str" cm="1">
        <f t="array" ref="D375">_xll.RssMarket(B375, "銘柄名称")</f>
        <v/>
      </c>
      <c r="E375" s="721"/>
      <c r="F375" s="702"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708" t="str" cm="1">
        <f t="array" ref="J375">_xll.RssMarket($B375, "前日比")</f>
        <v/>
      </c>
      <c r="K375" s="708" t="str">
        <f t="shared" ca="1" si="120"/>
        <v/>
      </c>
      <c r="L375" s="713" t="str">
        <f t="shared" ca="1" si="121"/>
        <v/>
      </c>
      <c r="M375" s="602" t="str">
        <f t="shared" ca="1" si="109"/>
        <v/>
      </c>
      <c r="N375" s="602" t="str">
        <f t="shared" ca="1" si="110"/>
        <v/>
      </c>
      <c r="O375" s="478" t="str">
        <f t="shared" ca="1" si="111"/>
        <v/>
      </c>
      <c r="P375" s="445" t="str">
        <f t="array" aca="1" ref="P375" ca="1">IF(B375="","",IFERROR(MAX(OFFSET(高値!$E$6,MATCH(TEXT(B375,"0"),TEXT(銘柄管理!$B$6:$B$305,"0"),0)-1,0,1,10)),""))</f>
        <v/>
      </c>
      <c r="Q375" s="440" t="str">
        <f t="array" aca="1" ref="Q375" ca="1">IF(B375="","",IFERROR(MIN(OFFSET(安値!$E$6,MATCH(TEXT(B375,"0"),TEXT(銘柄管理!$B$6:$B$305,"0"),0)-1,0,1,10)),""))</f>
        <v/>
      </c>
      <c r="R375" s="440" t="str">
        <f t="shared" ca="1" si="122"/>
        <v/>
      </c>
      <c r="S375" s="440" t="str">
        <f t="shared" si="123"/>
        <v/>
      </c>
      <c r="T375" s="600" t="str">
        <f t="shared" ca="1" si="112"/>
        <v/>
      </c>
      <c r="U375" s="602" t="str">
        <f t="shared" ca="1" si="113"/>
        <v/>
      </c>
      <c r="V375" s="708" t="str">
        <f t="shared" ca="1" si="124"/>
        <v/>
      </c>
      <c r="W375" s="440" t="str">
        <f t="shared" ca="1" si="114"/>
        <v/>
      </c>
      <c r="X375" s="440" t="str">
        <f t="shared" ca="1" si="115"/>
        <v/>
      </c>
      <c r="AD375" s="611"/>
      <c r="AE375" s="603" t="str">
        <f t="shared" si="116"/>
        <v/>
      </c>
      <c r="AF375" s="603"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03"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03" t="str">
        <f t="shared" ca="1" si="117"/>
        <v/>
      </c>
      <c r="AI375" s="603" t="str" cm="1">
        <f t="array" ref="AI375">IFERROR(INDEX(始値!$E$6:$BT$305,MATCH(TEXT($B375,"0"),TEXT(銘柄管理!$B$6:$B$305,"0"),0),MATCH($AE375,始値!$E$3:$BT$3,0)),"")</f>
        <v/>
      </c>
      <c r="AJ375" s="603" t="str">
        <f t="shared" ca="1" si="118"/>
        <v/>
      </c>
      <c r="AK375" s="603" t="str">
        <f t="shared" ca="1" si="119"/>
        <v/>
      </c>
    </row>
    <row r="376" spans="1:37" ht="17.25" customHeight="1">
      <c r="A376" s="626" t="str">
        <f t="shared" si="108"/>
        <v/>
      </c>
      <c r="D376" s="440" t="str" cm="1">
        <f t="array" ref="D376">_xll.RssMarket(B376, "銘柄名称")</f>
        <v/>
      </c>
      <c r="E376" s="721"/>
      <c r="F376" s="702"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708" t="str" cm="1">
        <f t="array" ref="J376">_xll.RssMarket($B376, "前日比")</f>
        <v/>
      </c>
      <c r="K376" s="708" t="str">
        <f t="shared" ca="1" si="120"/>
        <v/>
      </c>
      <c r="L376" s="713" t="str">
        <f t="shared" ca="1" si="121"/>
        <v/>
      </c>
      <c r="M376" s="602" t="str">
        <f t="shared" ca="1" si="109"/>
        <v/>
      </c>
      <c r="N376" s="602" t="str">
        <f t="shared" ca="1" si="110"/>
        <v/>
      </c>
      <c r="O376" s="478" t="str">
        <f t="shared" ca="1" si="111"/>
        <v/>
      </c>
      <c r="P376" s="445" t="str">
        <f t="array" aca="1" ref="P376" ca="1">IF(B376="","",IFERROR(MAX(OFFSET(高値!$E$6,MATCH(TEXT(B376,"0"),TEXT(銘柄管理!$B$6:$B$305,"0"),0)-1,0,1,10)),""))</f>
        <v/>
      </c>
      <c r="Q376" s="440" t="str">
        <f t="array" aca="1" ref="Q376" ca="1">IF(B376="","",IFERROR(MIN(OFFSET(安値!$E$6,MATCH(TEXT(B376,"0"),TEXT(銘柄管理!$B$6:$B$305,"0"),0)-1,0,1,10)),""))</f>
        <v/>
      </c>
      <c r="R376" s="440" t="str">
        <f t="shared" ca="1" si="122"/>
        <v/>
      </c>
      <c r="S376" s="440" t="str">
        <f t="shared" si="123"/>
        <v/>
      </c>
      <c r="T376" s="600" t="str">
        <f t="shared" ca="1" si="112"/>
        <v/>
      </c>
      <c r="U376" s="602" t="str">
        <f t="shared" ca="1" si="113"/>
        <v/>
      </c>
      <c r="V376" s="708" t="str">
        <f t="shared" ca="1" si="124"/>
        <v/>
      </c>
      <c r="W376" s="440" t="str">
        <f t="shared" ca="1" si="114"/>
        <v/>
      </c>
      <c r="X376" s="440" t="str">
        <f t="shared" ca="1" si="115"/>
        <v/>
      </c>
      <c r="AD376" s="611"/>
      <c r="AE376" s="603" t="str">
        <f t="shared" si="116"/>
        <v/>
      </c>
      <c r="AF376" s="603"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03"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03" t="str">
        <f t="shared" ca="1" si="117"/>
        <v/>
      </c>
      <c r="AI376" s="603" t="str" cm="1">
        <f t="array" ref="AI376">IFERROR(INDEX(始値!$E$6:$BT$305,MATCH(TEXT($B376,"0"),TEXT(銘柄管理!$B$6:$B$305,"0"),0),MATCH($AE376,始値!$E$3:$BT$3,0)),"")</f>
        <v/>
      </c>
      <c r="AJ376" s="603" t="str">
        <f t="shared" ca="1" si="118"/>
        <v/>
      </c>
      <c r="AK376" s="603" t="str">
        <f t="shared" ca="1" si="119"/>
        <v/>
      </c>
    </row>
    <row r="377" spans="1:37" ht="17.25" customHeight="1">
      <c r="A377" s="626" t="str">
        <f t="shared" si="108"/>
        <v/>
      </c>
      <c r="D377" s="440" t="str" cm="1">
        <f t="array" ref="D377">_xll.RssMarket(B377, "銘柄名称")</f>
        <v/>
      </c>
      <c r="E377" s="721"/>
      <c r="F377" s="702"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708" t="str" cm="1">
        <f t="array" ref="J377">_xll.RssMarket($B377, "前日比")</f>
        <v/>
      </c>
      <c r="K377" s="708" t="str">
        <f t="shared" ca="1" si="120"/>
        <v/>
      </c>
      <c r="L377" s="713" t="str">
        <f t="shared" ca="1" si="121"/>
        <v/>
      </c>
      <c r="M377" s="602" t="str">
        <f t="shared" ca="1" si="109"/>
        <v/>
      </c>
      <c r="N377" s="602" t="str">
        <f t="shared" ca="1" si="110"/>
        <v/>
      </c>
      <c r="O377" s="478" t="str">
        <f t="shared" ca="1" si="111"/>
        <v/>
      </c>
      <c r="P377" s="445" t="str">
        <f t="array" aca="1" ref="P377" ca="1">IF(B377="","",IFERROR(MAX(OFFSET(高値!$E$6,MATCH(TEXT(B377,"0"),TEXT(銘柄管理!$B$6:$B$305,"0"),0)-1,0,1,10)),""))</f>
        <v/>
      </c>
      <c r="Q377" s="440" t="str">
        <f t="array" aca="1" ref="Q377" ca="1">IF(B377="","",IFERROR(MIN(OFFSET(安値!$E$6,MATCH(TEXT(B377,"0"),TEXT(銘柄管理!$B$6:$B$305,"0"),0)-1,0,1,10)),""))</f>
        <v/>
      </c>
      <c r="R377" s="440" t="str">
        <f t="shared" ca="1" si="122"/>
        <v/>
      </c>
      <c r="S377" s="440" t="str">
        <f t="shared" si="123"/>
        <v/>
      </c>
      <c r="T377" s="600" t="str">
        <f t="shared" ca="1" si="112"/>
        <v/>
      </c>
      <c r="U377" s="602" t="str">
        <f t="shared" ca="1" si="113"/>
        <v/>
      </c>
      <c r="V377" s="708" t="str">
        <f t="shared" ca="1" si="124"/>
        <v/>
      </c>
      <c r="W377" s="440" t="str">
        <f t="shared" ca="1" si="114"/>
        <v/>
      </c>
      <c r="X377" s="440" t="str">
        <f t="shared" ca="1" si="115"/>
        <v/>
      </c>
      <c r="AD377" s="611"/>
      <c r="AE377" s="603" t="str">
        <f t="shared" si="116"/>
        <v/>
      </c>
      <c r="AF377" s="603"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03"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03" t="str">
        <f t="shared" ca="1" si="117"/>
        <v/>
      </c>
      <c r="AI377" s="603" t="str" cm="1">
        <f t="array" ref="AI377">IFERROR(INDEX(始値!$E$6:$BT$305,MATCH(TEXT($B377,"0"),TEXT(銘柄管理!$B$6:$B$305,"0"),0),MATCH($AE377,始値!$E$3:$BT$3,0)),"")</f>
        <v/>
      </c>
      <c r="AJ377" s="603" t="str">
        <f t="shared" ca="1" si="118"/>
        <v/>
      </c>
      <c r="AK377" s="603" t="str">
        <f t="shared" ca="1" si="119"/>
        <v/>
      </c>
    </row>
    <row r="378" spans="1:37" ht="17.25" customHeight="1">
      <c r="A378" s="626" t="str">
        <f t="shared" si="108"/>
        <v/>
      </c>
      <c r="D378" s="440" t="str" cm="1">
        <f t="array" ref="D378">_xll.RssMarket(B378, "銘柄名称")</f>
        <v/>
      </c>
      <c r="E378" s="721"/>
      <c r="F378" s="702"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708" t="str" cm="1">
        <f t="array" ref="J378">_xll.RssMarket($B378, "前日比")</f>
        <v/>
      </c>
      <c r="K378" s="708" t="str">
        <f t="shared" ca="1" si="120"/>
        <v/>
      </c>
      <c r="L378" s="713" t="str">
        <f t="shared" ca="1" si="121"/>
        <v/>
      </c>
      <c r="M378" s="602" t="str">
        <f t="shared" ca="1" si="109"/>
        <v/>
      </c>
      <c r="N378" s="602" t="str">
        <f t="shared" ca="1" si="110"/>
        <v/>
      </c>
      <c r="O378" s="478" t="str">
        <f t="shared" ca="1" si="111"/>
        <v/>
      </c>
      <c r="P378" s="445" t="str">
        <f t="array" aca="1" ref="P378" ca="1">IF(B378="","",IFERROR(MAX(OFFSET(高値!$E$6,MATCH(TEXT(B378,"0"),TEXT(銘柄管理!$B$6:$B$305,"0"),0)-1,0,1,10)),""))</f>
        <v/>
      </c>
      <c r="Q378" s="440" t="str">
        <f t="array" aca="1" ref="Q378" ca="1">IF(B378="","",IFERROR(MIN(OFFSET(安値!$E$6,MATCH(TEXT(B378,"0"),TEXT(銘柄管理!$B$6:$B$305,"0"),0)-1,0,1,10)),""))</f>
        <v/>
      </c>
      <c r="R378" s="440" t="str">
        <f t="shared" ca="1" si="122"/>
        <v/>
      </c>
      <c r="S378" s="440" t="str">
        <f t="shared" si="123"/>
        <v/>
      </c>
      <c r="T378" s="600" t="str">
        <f t="shared" ca="1" si="112"/>
        <v/>
      </c>
      <c r="U378" s="602" t="str">
        <f t="shared" ca="1" si="113"/>
        <v/>
      </c>
      <c r="V378" s="708" t="str">
        <f t="shared" ca="1" si="124"/>
        <v/>
      </c>
      <c r="W378" s="440" t="str">
        <f t="shared" ca="1" si="114"/>
        <v/>
      </c>
      <c r="X378" s="440" t="str">
        <f t="shared" ca="1" si="115"/>
        <v/>
      </c>
      <c r="AD378" s="611"/>
      <c r="AE378" s="603" t="str">
        <f t="shared" si="116"/>
        <v/>
      </c>
      <c r="AF378" s="603"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03"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03" t="str">
        <f t="shared" ca="1" si="117"/>
        <v/>
      </c>
      <c r="AI378" s="603" t="str" cm="1">
        <f t="array" ref="AI378">IFERROR(INDEX(始値!$E$6:$BT$305,MATCH(TEXT($B378,"0"),TEXT(銘柄管理!$B$6:$B$305,"0"),0),MATCH($AE378,始値!$E$3:$BT$3,0)),"")</f>
        <v/>
      </c>
      <c r="AJ378" s="603" t="str">
        <f t="shared" ca="1" si="118"/>
        <v/>
      </c>
      <c r="AK378" s="603" t="str">
        <f t="shared" ca="1" si="119"/>
        <v/>
      </c>
    </row>
    <row r="379" spans="1:37" ht="17.25" customHeight="1">
      <c r="A379" s="626" t="str">
        <f t="shared" si="108"/>
        <v/>
      </c>
      <c r="D379" s="440" t="str" cm="1">
        <f t="array" ref="D379">_xll.RssMarket(B379, "銘柄名称")</f>
        <v/>
      </c>
      <c r="E379" s="721"/>
      <c r="F379" s="702"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708" t="str" cm="1">
        <f t="array" ref="J379">_xll.RssMarket($B379, "前日比")</f>
        <v/>
      </c>
      <c r="K379" s="708" t="str">
        <f t="shared" ca="1" si="120"/>
        <v/>
      </c>
      <c r="L379" s="713" t="str">
        <f t="shared" ca="1" si="121"/>
        <v/>
      </c>
      <c r="M379" s="602" t="str">
        <f t="shared" ca="1" si="109"/>
        <v/>
      </c>
      <c r="N379" s="602" t="str">
        <f t="shared" ca="1" si="110"/>
        <v/>
      </c>
      <c r="O379" s="478" t="str">
        <f t="shared" ca="1" si="111"/>
        <v/>
      </c>
      <c r="P379" s="445" t="str">
        <f t="array" aca="1" ref="P379" ca="1">IF(B379="","",IFERROR(MAX(OFFSET(高値!$E$6,MATCH(TEXT(B379,"0"),TEXT(銘柄管理!$B$6:$B$305,"0"),0)-1,0,1,10)),""))</f>
        <v/>
      </c>
      <c r="Q379" s="440" t="str">
        <f t="array" aca="1" ref="Q379" ca="1">IF(B379="","",IFERROR(MIN(OFFSET(安値!$E$6,MATCH(TEXT(B379,"0"),TEXT(銘柄管理!$B$6:$B$305,"0"),0)-1,0,1,10)),""))</f>
        <v/>
      </c>
      <c r="R379" s="440" t="str">
        <f t="shared" ca="1" si="122"/>
        <v/>
      </c>
      <c r="S379" s="440" t="str">
        <f t="shared" si="123"/>
        <v/>
      </c>
      <c r="T379" s="600" t="str">
        <f t="shared" ca="1" si="112"/>
        <v/>
      </c>
      <c r="U379" s="602" t="str">
        <f t="shared" ca="1" si="113"/>
        <v/>
      </c>
      <c r="V379" s="708" t="str">
        <f t="shared" ca="1" si="124"/>
        <v/>
      </c>
      <c r="W379" s="440" t="str">
        <f t="shared" ca="1" si="114"/>
        <v/>
      </c>
      <c r="X379" s="440" t="str">
        <f t="shared" ca="1" si="115"/>
        <v/>
      </c>
      <c r="AD379" s="611"/>
      <c r="AE379" s="603" t="str">
        <f t="shared" si="116"/>
        <v/>
      </c>
      <c r="AF379" s="603"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03"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03" t="str">
        <f t="shared" ca="1" si="117"/>
        <v/>
      </c>
      <c r="AI379" s="603" t="str" cm="1">
        <f t="array" ref="AI379">IFERROR(INDEX(始値!$E$6:$BT$305,MATCH(TEXT($B379,"0"),TEXT(銘柄管理!$B$6:$B$305,"0"),0),MATCH($AE379,始値!$E$3:$BT$3,0)),"")</f>
        <v/>
      </c>
      <c r="AJ379" s="603" t="str">
        <f t="shared" ca="1" si="118"/>
        <v/>
      </c>
      <c r="AK379" s="603" t="str">
        <f t="shared" ca="1" si="119"/>
        <v/>
      </c>
    </row>
    <row r="380" spans="1:37" ht="17.25" customHeight="1">
      <c r="A380" s="626" t="str">
        <f t="shared" si="108"/>
        <v/>
      </c>
      <c r="D380" s="440" t="str" cm="1">
        <f t="array" ref="D380">_xll.RssMarket(B380, "銘柄名称")</f>
        <v/>
      </c>
      <c r="E380" s="721"/>
      <c r="F380" s="702"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708" t="str" cm="1">
        <f t="array" ref="J380">_xll.RssMarket($B380, "前日比")</f>
        <v/>
      </c>
      <c r="K380" s="708" t="str">
        <f t="shared" ca="1" si="120"/>
        <v/>
      </c>
      <c r="L380" s="713" t="str">
        <f t="shared" ca="1" si="121"/>
        <v/>
      </c>
      <c r="M380" s="602" t="str">
        <f t="shared" ca="1" si="109"/>
        <v/>
      </c>
      <c r="N380" s="602" t="str">
        <f t="shared" ca="1" si="110"/>
        <v/>
      </c>
      <c r="O380" s="478" t="str">
        <f t="shared" ca="1" si="111"/>
        <v/>
      </c>
      <c r="P380" s="445" t="str">
        <f t="array" aca="1" ref="P380" ca="1">IF(B380="","",IFERROR(MAX(OFFSET(高値!$E$6,MATCH(TEXT(B380,"0"),TEXT(銘柄管理!$B$6:$B$305,"0"),0)-1,0,1,10)),""))</f>
        <v/>
      </c>
      <c r="Q380" s="440" t="str">
        <f t="array" aca="1" ref="Q380" ca="1">IF(B380="","",IFERROR(MIN(OFFSET(安値!$E$6,MATCH(TEXT(B380,"0"),TEXT(銘柄管理!$B$6:$B$305,"0"),0)-1,0,1,10)),""))</f>
        <v/>
      </c>
      <c r="R380" s="440" t="str">
        <f t="shared" ca="1" si="122"/>
        <v/>
      </c>
      <c r="S380" s="440" t="str">
        <f t="shared" si="123"/>
        <v/>
      </c>
      <c r="T380" s="600" t="str">
        <f t="shared" ca="1" si="112"/>
        <v/>
      </c>
      <c r="U380" s="602" t="str">
        <f t="shared" ca="1" si="113"/>
        <v/>
      </c>
      <c r="V380" s="708" t="str">
        <f t="shared" ca="1" si="124"/>
        <v/>
      </c>
      <c r="W380" s="440" t="str">
        <f t="shared" ca="1" si="114"/>
        <v/>
      </c>
      <c r="X380" s="440" t="str">
        <f t="shared" ca="1" si="115"/>
        <v/>
      </c>
      <c r="AD380" s="611"/>
      <c r="AE380" s="603" t="str">
        <f t="shared" si="116"/>
        <v/>
      </c>
      <c r="AF380" s="603"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03"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03" t="str">
        <f t="shared" ca="1" si="117"/>
        <v/>
      </c>
      <c r="AI380" s="603" t="str" cm="1">
        <f t="array" ref="AI380">IFERROR(INDEX(始値!$E$6:$BT$305,MATCH(TEXT($B380,"0"),TEXT(銘柄管理!$B$6:$B$305,"0"),0),MATCH($AE380,始値!$E$3:$BT$3,0)),"")</f>
        <v/>
      </c>
      <c r="AJ380" s="603" t="str">
        <f t="shared" ca="1" si="118"/>
        <v/>
      </c>
      <c r="AK380" s="603" t="str">
        <f t="shared" ca="1" si="119"/>
        <v/>
      </c>
    </row>
    <row r="381" spans="1:37" ht="17.25" customHeight="1">
      <c r="A381" s="626" t="str">
        <f t="shared" si="108"/>
        <v/>
      </c>
      <c r="D381" s="440" t="str" cm="1">
        <f t="array" ref="D381">_xll.RssMarket(B381, "銘柄名称")</f>
        <v/>
      </c>
      <c r="E381" s="721"/>
      <c r="F381" s="702"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708" t="str" cm="1">
        <f t="array" ref="J381">_xll.RssMarket($B381, "前日比")</f>
        <v/>
      </c>
      <c r="K381" s="708" t="str">
        <f t="shared" ca="1" si="120"/>
        <v/>
      </c>
      <c r="L381" s="713" t="str">
        <f t="shared" ca="1" si="121"/>
        <v/>
      </c>
      <c r="M381" s="602" t="str">
        <f t="shared" ca="1" si="109"/>
        <v/>
      </c>
      <c r="N381" s="602" t="str">
        <f t="shared" ca="1" si="110"/>
        <v/>
      </c>
      <c r="O381" s="478" t="str">
        <f t="shared" ca="1" si="111"/>
        <v/>
      </c>
      <c r="P381" s="445" t="str">
        <f t="array" aca="1" ref="P381" ca="1">IF(B381="","",IFERROR(MAX(OFFSET(高値!$E$6,MATCH(TEXT(B381,"0"),TEXT(銘柄管理!$B$6:$B$305,"0"),0)-1,0,1,10)),""))</f>
        <v/>
      </c>
      <c r="Q381" s="440" t="str">
        <f t="array" aca="1" ref="Q381" ca="1">IF(B381="","",IFERROR(MIN(OFFSET(安値!$E$6,MATCH(TEXT(B381,"0"),TEXT(銘柄管理!$B$6:$B$305,"0"),0)-1,0,1,10)),""))</f>
        <v/>
      </c>
      <c r="R381" s="440" t="str">
        <f t="shared" ca="1" si="122"/>
        <v/>
      </c>
      <c r="S381" s="440" t="str">
        <f t="shared" si="123"/>
        <v/>
      </c>
      <c r="T381" s="600" t="str">
        <f t="shared" ca="1" si="112"/>
        <v/>
      </c>
      <c r="U381" s="602" t="str">
        <f t="shared" ca="1" si="113"/>
        <v/>
      </c>
      <c r="V381" s="708" t="str">
        <f t="shared" ca="1" si="124"/>
        <v/>
      </c>
      <c r="W381" s="440" t="str">
        <f t="shared" ca="1" si="114"/>
        <v/>
      </c>
      <c r="X381" s="440" t="str">
        <f t="shared" ca="1" si="115"/>
        <v/>
      </c>
      <c r="AD381" s="611"/>
      <c r="AE381" s="603" t="str">
        <f t="shared" si="116"/>
        <v/>
      </c>
      <c r="AF381" s="603"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03"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03" t="str">
        <f t="shared" ca="1" si="117"/>
        <v/>
      </c>
      <c r="AI381" s="603" t="str" cm="1">
        <f t="array" ref="AI381">IFERROR(INDEX(始値!$E$6:$BT$305,MATCH(TEXT($B381,"0"),TEXT(銘柄管理!$B$6:$B$305,"0"),0),MATCH($AE381,始値!$E$3:$BT$3,0)),"")</f>
        <v/>
      </c>
      <c r="AJ381" s="603" t="str">
        <f t="shared" ca="1" si="118"/>
        <v/>
      </c>
      <c r="AK381" s="603" t="str">
        <f t="shared" ca="1" si="119"/>
        <v/>
      </c>
    </row>
    <row r="382" spans="1:37" ht="17.25" customHeight="1">
      <c r="A382" s="626" t="str">
        <f t="shared" si="108"/>
        <v/>
      </c>
      <c r="D382" s="440" t="str" cm="1">
        <f t="array" ref="D382">_xll.RssMarket(B382, "銘柄名称")</f>
        <v/>
      </c>
      <c r="E382" s="721"/>
      <c r="F382" s="702"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708" t="str" cm="1">
        <f t="array" ref="J382">_xll.RssMarket($B382, "前日比")</f>
        <v/>
      </c>
      <c r="K382" s="708" t="str">
        <f t="shared" ca="1" si="120"/>
        <v/>
      </c>
      <c r="L382" s="713" t="str">
        <f t="shared" ca="1" si="121"/>
        <v/>
      </c>
      <c r="M382" s="602" t="str">
        <f t="shared" ca="1" si="109"/>
        <v/>
      </c>
      <c r="N382" s="602" t="str">
        <f t="shared" ca="1" si="110"/>
        <v/>
      </c>
      <c r="O382" s="478" t="str">
        <f t="shared" ca="1" si="111"/>
        <v/>
      </c>
      <c r="P382" s="445" t="str">
        <f t="array" aca="1" ref="P382" ca="1">IF(B382="","",IFERROR(MAX(OFFSET(高値!$E$6,MATCH(TEXT(B382,"0"),TEXT(銘柄管理!$B$6:$B$305,"0"),0)-1,0,1,10)),""))</f>
        <v/>
      </c>
      <c r="Q382" s="440" t="str">
        <f t="array" aca="1" ref="Q382" ca="1">IF(B382="","",IFERROR(MIN(OFFSET(安値!$E$6,MATCH(TEXT(B382,"0"),TEXT(銘柄管理!$B$6:$B$305,"0"),0)-1,0,1,10)),""))</f>
        <v/>
      </c>
      <c r="R382" s="440" t="str">
        <f t="shared" ca="1" si="122"/>
        <v/>
      </c>
      <c r="S382" s="440" t="str">
        <f t="shared" si="123"/>
        <v/>
      </c>
      <c r="T382" s="600" t="str">
        <f t="shared" ca="1" si="112"/>
        <v/>
      </c>
      <c r="U382" s="602" t="str">
        <f t="shared" ca="1" si="113"/>
        <v/>
      </c>
      <c r="V382" s="708" t="str">
        <f t="shared" ca="1" si="124"/>
        <v/>
      </c>
      <c r="W382" s="440" t="str">
        <f t="shared" ca="1" si="114"/>
        <v/>
      </c>
      <c r="X382" s="440" t="str">
        <f t="shared" ca="1" si="115"/>
        <v/>
      </c>
      <c r="AD382" s="611"/>
      <c r="AE382" s="603" t="str">
        <f t="shared" si="116"/>
        <v/>
      </c>
      <c r="AF382" s="603"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03"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03" t="str">
        <f t="shared" ca="1" si="117"/>
        <v/>
      </c>
      <c r="AI382" s="603" t="str" cm="1">
        <f t="array" ref="AI382">IFERROR(INDEX(始値!$E$6:$BT$305,MATCH(TEXT($B382,"0"),TEXT(銘柄管理!$B$6:$B$305,"0"),0),MATCH($AE382,始値!$E$3:$BT$3,0)),"")</f>
        <v/>
      </c>
      <c r="AJ382" s="603" t="str">
        <f t="shared" ca="1" si="118"/>
        <v/>
      </c>
      <c r="AK382" s="603" t="str">
        <f t="shared" ca="1" si="119"/>
        <v/>
      </c>
    </row>
    <row r="383" spans="1:37" ht="17.25" customHeight="1">
      <c r="A383" s="626" t="str">
        <f t="shared" si="108"/>
        <v/>
      </c>
      <c r="D383" s="440" t="str" cm="1">
        <f t="array" ref="D383">_xll.RssMarket(B383, "銘柄名称")</f>
        <v/>
      </c>
      <c r="E383" s="721"/>
      <c r="F383" s="702"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708" t="str" cm="1">
        <f t="array" ref="J383">_xll.RssMarket($B383, "前日比")</f>
        <v/>
      </c>
      <c r="K383" s="708" t="str">
        <f t="shared" ca="1" si="120"/>
        <v/>
      </c>
      <c r="L383" s="713" t="str">
        <f t="shared" ca="1" si="121"/>
        <v/>
      </c>
      <c r="M383" s="602" t="str">
        <f t="shared" ca="1" si="109"/>
        <v/>
      </c>
      <c r="N383" s="602" t="str">
        <f t="shared" ca="1" si="110"/>
        <v/>
      </c>
      <c r="O383" s="478" t="str">
        <f t="shared" ca="1" si="111"/>
        <v/>
      </c>
      <c r="P383" s="445" t="str">
        <f t="array" aca="1" ref="P383" ca="1">IF(B383="","",IFERROR(MAX(OFFSET(高値!$E$6,MATCH(TEXT(B383,"0"),TEXT(銘柄管理!$B$6:$B$305,"0"),0)-1,0,1,10)),""))</f>
        <v/>
      </c>
      <c r="Q383" s="440" t="str">
        <f t="array" aca="1" ref="Q383" ca="1">IF(B383="","",IFERROR(MIN(OFFSET(安値!$E$6,MATCH(TEXT(B383,"0"),TEXT(銘柄管理!$B$6:$B$305,"0"),0)-1,0,1,10)),""))</f>
        <v/>
      </c>
      <c r="R383" s="440" t="str">
        <f t="shared" ca="1" si="122"/>
        <v/>
      </c>
      <c r="S383" s="440" t="str">
        <f t="shared" si="123"/>
        <v/>
      </c>
      <c r="T383" s="600" t="str">
        <f t="shared" ca="1" si="112"/>
        <v/>
      </c>
      <c r="U383" s="602" t="str">
        <f t="shared" ca="1" si="113"/>
        <v/>
      </c>
      <c r="V383" s="708" t="str">
        <f t="shared" ca="1" si="124"/>
        <v/>
      </c>
      <c r="W383" s="440" t="str">
        <f t="shared" ca="1" si="114"/>
        <v/>
      </c>
      <c r="X383" s="440" t="str">
        <f t="shared" ca="1" si="115"/>
        <v/>
      </c>
      <c r="AD383" s="611"/>
      <c r="AE383" s="603" t="str">
        <f t="shared" si="116"/>
        <v/>
      </c>
      <c r="AF383" s="603"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03"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03" t="str">
        <f t="shared" ca="1" si="117"/>
        <v/>
      </c>
      <c r="AI383" s="603" t="str" cm="1">
        <f t="array" ref="AI383">IFERROR(INDEX(始値!$E$6:$BT$305,MATCH(TEXT($B383,"0"),TEXT(銘柄管理!$B$6:$B$305,"0"),0),MATCH($AE383,始値!$E$3:$BT$3,0)),"")</f>
        <v/>
      </c>
      <c r="AJ383" s="603" t="str">
        <f t="shared" ca="1" si="118"/>
        <v/>
      </c>
      <c r="AK383" s="603" t="str">
        <f t="shared" ca="1" si="119"/>
        <v/>
      </c>
    </row>
    <row r="384" spans="1:37" ht="17.25" customHeight="1">
      <c r="A384" s="626" t="str">
        <f t="shared" si="108"/>
        <v/>
      </c>
      <c r="D384" s="440" t="str" cm="1">
        <f t="array" ref="D384">_xll.RssMarket(B384, "銘柄名称")</f>
        <v/>
      </c>
      <c r="E384" s="721"/>
      <c r="F384" s="702"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708" t="str" cm="1">
        <f t="array" ref="J384">_xll.RssMarket($B384, "前日比")</f>
        <v/>
      </c>
      <c r="K384" s="708" t="str">
        <f t="shared" ca="1" si="120"/>
        <v/>
      </c>
      <c r="L384" s="713" t="str">
        <f t="shared" ca="1" si="121"/>
        <v/>
      </c>
      <c r="M384" s="602" t="str">
        <f t="shared" ca="1" si="109"/>
        <v/>
      </c>
      <c r="N384" s="602" t="str">
        <f t="shared" ca="1" si="110"/>
        <v/>
      </c>
      <c r="O384" s="478" t="str">
        <f t="shared" ca="1" si="111"/>
        <v/>
      </c>
      <c r="P384" s="445" t="str">
        <f t="array" aca="1" ref="P384" ca="1">IF(B384="","",IFERROR(MAX(OFFSET(高値!$E$6,MATCH(TEXT(B384,"0"),TEXT(銘柄管理!$B$6:$B$305,"0"),0)-1,0,1,10)),""))</f>
        <v/>
      </c>
      <c r="Q384" s="440" t="str">
        <f t="array" aca="1" ref="Q384" ca="1">IF(B384="","",IFERROR(MIN(OFFSET(安値!$E$6,MATCH(TEXT(B384,"0"),TEXT(銘柄管理!$B$6:$B$305,"0"),0)-1,0,1,10)),""))</f>
        <v/>
      </c>
      <c r="R384" s="440" t="str">
        <f t="shared" ca="1" si="122"/>
        <v/>
      </c>
      <c r="S384" s="440" t="str">
        <f t="shared" si="123"/>
        <v/>
      </c>
      <c r="T384" s="600" t="str">
        <f t="shared" ca="1" si="112"/>
        <v/>
      </c>
      <c r="U384" s="602" t="str">
        <f t="shared" ca="1" si="113"/>
        <v/>
      </c>
      <c r="V384" s="708" t="str">
        <f t="shared" ca="1" si="124"/>
        <v/>
      </c>
      <c r="W384" s="440" t="str">
        <f t="shared" ca="1" si="114"/>
        <v/>
      </c>
      <c r="X384" s="440" t="str">
        <f t="shared" ca="1" si="115"/>
        <v/>
      </c>
      <c r="AD384" s="611"/>
      <c r="AE384" s="603" t="str">
        <f t="shared" si="116"/>
        <v/>
      </c>
      <c r="AF384" s="603"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03"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03" t="str">
        <f t="shared" ca="1" si="117"/>
        <v/>
      </c>
      <c r="AI384" s="603" t="str" cm="1">
        <f t="array" ref="AI384">IFERROR(INDEX(始値!$E$6:$BT$305,MATCH(TEXT($B384,"0"),TEXT(銘柄管理!$B$6:$B$305,"0"),0),MATCH($AE384,始値!$E$3:$BT$3,0)),"")</f>
        <v/>
      </c>
      <c r="AJ384" s="603" t="str">
        <f t="shared" ca="1" si="118"/>
        <v/>
      </c>
      <c r="AK384" s="603" t="str">
        <f t="shared" ca="1" si="119"/>
        <v/>
      </c>
    </row>
    <row r="385" spans="1:37" ht="17.25" customHeight="1">
      <c r="A385" s="626" t="str">
        <f t="shared" si="108"/>
        <v/>
      </c>
      <c r="D385" s="440" t="str" cm="1">
        <f t="array" ref="D385">_xll.RssMarket(B385, "銘柄名称")</f>
        <v/>
      </c>
      <c r="E385" s="721"/>
      <c r="F385" s="702"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708" t="str" cm="1">
        <f t="array" ref="J385">_xll.RssMarket($B385, "前日比")</f>
        <v/>
      </c>
      <c r="K385" s="708" t="str">
        <f t="shared" ca="1" si="120"/>
        <v/>
      </c>
      <c r="L385" s="713" t="str">
        <f t="shared" ca="1" si="121"/>
        <v/>
      </c>
      <c r="M385" s="602" t="str">
        <f t="shared" ca="1" si="109"/>
        <v/>
      </c>
      <c r="N385" s="602" t="str">
        <f t="shared" ca="1" si="110"/>
        <v/>
      </c>
      <c r="O385" s="478" t="str">
        <f t="shared" ca="1" si="111"/>
        <v/>
      </c>
      <c r="P385" s="445" t="str">
        <f t="array" aca="1" ref="P385" ca="1">IF(B385="","",IFERROR(MAX(OFFSET(高値!$E$6,MATCH(TEXT(B385,"0"),TEXT(銘柄管理!$B$6:$B$305,"0"),0)-1,0,1,10)),""))</f>
        <v/>
      </c>
      <c r="Q385" s="440" t="str">
        <f t="array" aca="1" ref="Q385" ca="1">IF(B385="","",IFERROR(MIN(OFFSET(安値!$E$6,MATCH(TEXT(B385,"0"),TEXT(銘柄管理!$B$6:$B$305,"0"),0)-1,0,1,10)),""))</f>
        <v/>
      </c>
      <c r="R385" s="440" t="str">
        <f t="shared" ca="1" si="122"/>
        <v/>
      </c>
      <c r="S385" s="440" t="str">
        <f t="shared" si="123"/>
        <v/>
      </c>
      <c r="T385" s="600" t="str">
        <f t="shared" ca="1" si="112"/>
        <v/>
      </c>
      <c r="U385" s="602" t="str">
        <f t="shared" ca="1" si="113"/>
        <v/>
      </c>
      <c r="V385" s="708" t="str">
        <f t="shared" ca="1" si="124"/>
        <v/>
      </c>
      <c r="W385" s="440" t="str">
        <f t="shared" ca="1" si="114"/>
        <v/>
      </c>
      <c r="X385" s="440" t="str">
        <f t="shared" ca="1" si="115"/>
        <v/>
      </c>
      <c r="AD385" s="611"/>
      <c r="AE385" s="603" t="str">
        <f t="shared" si="116"/>
        <v/>
      </c>
      <c r="AF385" s="603"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03"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03" t="str">
        <f t="shared" ca="1" si="117"/>
        <v/>
      </c>
      <c r="AI385" s="603" t="str" cm="1">
        <f t="array" ref="AI385">IFERROR(INDEX(始値!$E$6:$BT$305,MATCH(TEXT($B385,"0"),TEXT(銘柄管理!$B$6:$B$305,"0"),0),MATCH($AE385,始値!$E$3:$BT$3,0)),"")</f>
        <v/>
      </c>
      <c r="AJ385" s="603" t="str">
        <f t="shared" ca="1" si="118"/>
        <v/>
      </c>
      <c r="AK385" s="603" t="str">
        <f t="shared" ca="1" si="119"/>
        <v/>
      </c>
    </row>
    <row r="386" spans="1:37" ht="17.25" customHeight="1">
      <c r="A386" s="626" t="str">
        <f t="shared" si="108"/>
        <v/>
      </c>
      <c r="D386" s="440" t="str" cm="1">
        <f t="array" ref="D386">_xll.RssMarket(B386, "銘柄名称")</f>
        <v/>
      </c>
      <c r="E386" s="721"/>
      <c r="F386" s="702"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708" t="str" cm="1">
        <f t="array" ref="J386">_xll.RssMarket($B386, "前日比")</f>
        <v/>
      </c>
      <c r="K386" s="708" t="str">
        <f t="shared" ca="1" si="120"/>
        <v/>
      </c>
      <c r="L386" s="713" t="str">
        <f t="shared" ca="1" si="121"/>
        <v/>
      </c>
      <c r="M386" s="602" t="str">
        <f t="shared" ca="1" si="109"/>
        <v/>
      </c>
      <c r="N386" s="602" t="str">
        <f t="shared" ca="1" si="110"/>
        <v/>
      </c>
      <c r="O386" s="478" t="str">
        <f t="shared" ca="1" si="111"/>
        <v/>
      </c>
      <c r="P386" s="445" t="str">
        <f t="array" aca="1" ref="P386" ca="1">IF(B386="","",IFERROR(MAX(OFFSET(高値!$E$6,MATCH(TEXT(B386,"0"),TEXT(銘柄管理!$B$6:$B$305,"0"),0)-1,0,1,10)),""))</f>
        <v/>
      </c>
      <c r="Q386" s="440" t="str">
        <f t="array" aca="1" ref="Q386" ca="1">IF(B386="","",IFERROR(MIN(OFFSET(安値!$E$6,MATCH(TEXT(B386,"0"),TEXT(銘柄管理!$B$6:$B$305,"0"),0)-1,0,1,10)),""))</f>
        <v/>
      </c>
      <c r="R386" s="440" t="str">
        <f t="shared" ca="1" si="122"/>
        <v/>
      </c>
      <c r="S386" s="440" t="str">
        <f t="shared" si="123"/>
        <v/>
      </c>
      <c r="T386" s="600" t="str">
        <f t="shared" ca="1" si="112"/>
        <v/>
      </c>
      <c r="U386" s="602" t="str">
        <f t="shared" ca="1" si="113"/>
        <v/>
      </c>
      <c r="V386" s="708" t="str">
        <f t="shared" ca="1" si="124"/>
        <v/>
      </c>
      <c r="W386" s="440" t="str">
        <f t="shared" ca="1" si="114"/>
        <v/>
      </c>
      <c r="X386" s="440" t="str">
        <f t="shared" ca="1" si="115"/>
        <v/>
      </c>
      <c r="AD386" s="611"/>
      <c r="AE386" s="603" t="str">
        <f t="shared" si="116"/>
        <v/>
      </c>
      <c r="AF386" s="603"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03"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03" t="str">
        <f t="shared" ca="1" si="117"/>
        <v/>
      </c>
      <c r="AI386" s="603" t="str" cm="1">
        <f t="array" ref="AI386">IFERROR(INDEX(始値!$E$6:$BT$305,MATCH(TEXT($B386,"0"),TEXT(銘柄管理!$B$6:$B$305,"0"),0),MATCH($AE386,始値!$E$3:$BT$3,0)),"")</f>
        <v/>
      </c>
      <c r="AJ386" s="603" t="str">
        <f t="shared" ca="1" si="118"/>
        <v/>
      </c>
      <c r="AK386" s="603" t="str">
        <f t="shared" ca="1" si="119"/>
        <v/>
      </c>
    </row>
    <row r="387" spans="1:37" ht="17.25" customHeight="1">
      <c r="A387" s="626" t="str">
        <f t="shared" si="108"/>
        <v/>
      </c>
      <c r="D387" s="440" t="str" cm="1">
        <f t="array" ref="D387">_xll.RssMarket(B387, "銘柄名称")</f>
        <v/>
      </c>
      <c r="E387" s="721"/>
      <c r="F387" s="702"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708" t="str" cm="1">
        <f t="array" ref="J387">_xll.RssMarket($B387, "前日比")</f>
        <v/>
      </c>
      <c r="K387" s="708" t="str">
        <f t="shared" ca="1" si="120"/>
        <v/>
      </c>
      <c r="L387" s="713" t="str">
        <f t="shared" ca="1" si="121"/>
        <v/>
      </c>
      <c r="M387" s="602" t="str">
        <f t="shared" ca="1" si="109"/>
        <v/>
      </c>
      <c r="N387" s="602" t="str">
        <f t="shared" ca="1" si="110"/>
        <v/>
      </c>
      <c r="O387" s="478" t="str">
        <f t="shared" ca="1" si="111"/>
        <v/>
      </c>
      <c r="P387" s="445" t="str">
        <f t="array" aca="1" ref="P387" ca="1">IF(B387="","",IFERROR(MAX(OFFSET(高値!$E$6,MATCH(TEXT(B387,"0"),TEXT(銘柄管理!$B$6:$B$305,"0"),0)-1,0,1,10)),""))</f>
        <v/>
      </c>
      <c r="Q387" s="440" t="str">
        <f t="array" aca="1" ref="Q387" ca="1">IF(B387="","",IFERROR(MIN(OFFSET(安値!$E$6,MATCH(TEXT(B387,"0"),TEXT(銘柄管理!$B$6:$B$305,"0"),0)-1,0,1,10)),""))</f>
        <v/>
      </c>
      <c r="R387" s="440" t="str">
        <f t="shared" ca="1" si="122"/>
        <v/>
      </c>
      <c r="S387" s="440" t="str">
        <f t="shared" si="123"/>
        <v/>
      </c>
      <c r="T387" s="600" t="str">
        <f t="shared" ca="1" si="112"/>
        <v/>
      </c>
      <c r="U387" s="602" t="str">
        <f t="shared" ca="1" si="113"/>
        <v/>
      </c>
      <c r="V387" s="708" t="str">
        <f t="shared" ca="1" si="124"/>
        <v/>
      </c>
      <c r="W387" s="440" t="str">
        <f t="shared" ca="1" si="114"/>
        <v/>
      </c>
      <c r="X387" s="440" t="str">
        <f t="shared" ca="1" si="115"/>
        <v/>
      </c>
      <c r="AD387" s="611"/>
      <c r="AE387" s="603" t="str">
        <f t="shared" si="116"/>
        <v/>
      </c>
      <c r="AF387" s="603"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03"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03" t="str">
        <f t="shared" ca="1" si="117"/>
        <v/>
      </c>
      <c r="AI387" s="603" t="str" cm="1">
        <f t="array" ref="AI387">IFERROR(INDEX(始値!$E$6:$BT$305,MATCH(TEXT($B387,"0"),TEXT(銘柄管理!$B$6:$B$305,"0"),0),MATCH($AE387,始値!$E$3:$BT$3,0)),"")</f>
        <v/>
      </c>
      <c r="AJ387" s="603" t="str">
        <f t="shared" ca="1" si="118"/>
        <v/>
      </c>
      <c r="AK387" s="603" t="str">
        <f t="shared" ca="1" si="119"/>
        <v/>
      </c>
    </row>
    <row r="388" spans="1:37" ht="17.25" customHeight="1">
      <c r="A388" s="626" t="str">
        <f t="shared" ref="A388:A451" si="125">IF(B388="","",HYPERLINK("https://kabutan.jp/stock/?code="&amp;B388,"株探"))</f>
        <v/>
      </c>
      <c r="D388" s="440" t="str" cm="1">
        <f t="array" ref="D388">_xll.RssMarket(B388, "銘柄名称")</f>
        <v/>
      </c>
      <c r="E388" s="721"/>
      <c r="F388" s="702"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708" t="str" cm="1">
        <f t="array" ref="J388">_xll.RssMarket($B388, "前日比")</f>
        <v/>
      </c>
      <c r="K388" s="708" t="str">
        <f t="shared" ca="1" si="120"/>
        <v/>
      </c>
      <c r="L388" s="713" t="str">
        <f t="shared" ca="1" si="121"/>
        <v/>
      </c>
      <c r="M388" s="602" t="str">
        <f t="shared" ca="1" si="109"/>
        <v/>
      </c>
      <c r="N388" s="602" t="str">
        <f t="shared" ca="1" si="110"/>
        <v/>
      </c>
      <c r="O388" s="478" t="str">
        <f t="shared" ca="1" si="111"/>
        <v/>
      </c>
      <c r="P388" s="445" t="str">
        <f t="array" aca="1" ref="P388" ca="1">IF(B388="","",IFERROR(MAX(OFFSET(高値!$E$6,MATCH(TEXT(B388,"0"),TEXT(銘柄管理!$B$6:$B$305,"0"),0)-1,0,1,10)),""))</f>
        <v/>
      </c>
      <c r="Q388" s="440" t="str">
        <f t="array" aca="1" ref="Q388" ca="1">IF(B388="","",IFERROR(MIN(OFFSET(安値!$E$6,MATCH(TEXT(B388,"0"),TEXT(銘柄管理!$B$6:$B$305,"0"),0)-1,0,1,10)),""))</f>
        <v/>
      </c>
      <c r="R388" s="440" t="str">
        <f t="shared" ca="1" si="122"/>
        <v/>
      </c>
      <c r="S388" s="440" t="str">
        <f t="shared" si="123"/>
        <v/>
      </c>
      <c r="T388" s="600" t="str">
        <f t="shared" ca="1" si="112"/>
        <v/>
      </c>
      <c r="U388" s="602" t="str">
        <f t="shared" ca="1" si="113"/>
        <v/>
      </c>
      <c r="V388" s="708" t="str">
        <f t="shared" ca="1" si="124"/>
        <v/>
      </c>
      <c r="W388" s="440" t="str">
        <f t="shared" ca="1" si="114"/>
        <v/>
      </c>
      <c r="X388" s="440" t="str">
        <f t="shared" ca="1" si="115"/>
        <v/>
      </c>
      <c r="AD388" s="611"/>
      <c r="AE388" s="603" t="str">
        <f t="shared" si="116"/>
        <v/>
      </c>
      <c r="AF388" s="603"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03"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03" t="str">
        <f t="shared" ca="1" si="117"/>
        <v/>
      </c>
      <c r="AI388" s="603" t="str" cm="1">
        <f t="array" ref="AI388">IFERROR(INDEX(始値!$E$6:$BT$305,MATCH(TEXT($B388,"0"),TEXT(銘柄管理!$B$6:$B$305,"0"),0),MATCH($AE388,始値!$E$3:$BT$3,0)),"")</f>
        <v/>
      </c>
      <c r="AJ388" s="603" t="str">
        <f t="shared" ca="1" si="118"/>
        <v/>
      </c>
      <c r="AK388" s="603" t="str">
        <f t="shared" ca="1" si="119"/>
        <v/>
      </c>
    </row>
    <row r="389" spans="1:37" ht="17.25" customHeight="1">
      <c r="A389" s="626" t="str">
        <f t="shared" si="125"/>
        <v/>
      </c>
      <c r="D389" s="440" t="str" cm="1">
        <f t="array" ref="D389">_xll.RssMarket(B389, "銘柄名称")</f>
        <v/>
      </c>
      <c r="E389" s="721"/>
      <c r="F389" s="702"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708" t="str" cm="1">
        <f t="array" ref="J389">_xll.RssMarket($B389, "前日比")</f>
        <v/>
      </c>
      <c r="K389" s="708" t="str">
        <f t="shared" ca="1" si="120"/>
        <v/>
      </c>
      <c r="L389" s="713" t="str">
        <f t="shared" ca="1" si="121"/>
        <v/>
      </c>
      <c r="M389" s="602" t="str">
        <f t="shared" ref="M389:M452" ca="1" si="126">IF($F389="","",ROUND(IF($C389="売",$F389*0.94,$F389*1.06),0))</f>
        <v/>
      </c>
      <c r="N389" s="602" t="str">
        <f t="shared" ref="N389:N452" ca="1" si="127">IF($F389="","",ROUND(IF($C389="売",$F389*1.04,$F389*0.96),0))</f>
        <v/>
      </c>
      <c r="O389" s="478" t="str">
        <f t="shared" ref="O389:O452" ca="1" si="128">IF(OR($B389="",$F389="",$H389=""),"",IF($C389="売",IF($H389&lt;=$M389,"🟢利確",IF($H389&lt;=$F389*0.95,"🟡利確&amp;TR STOP検討",IF($H389&gt;=$N389,"🔴損切",IF($H389&gt;=$F389*1.035,"🔴損切間近",IF($H389&gt;=$F389*1.03,"⚠️+3%注意","保持継続"))))),IF($H389&gt;=$M389,"🟢利確",IF($H389&gt;=$F389*1.05,"🟡利確&amp;TR STOP検討",IF($H389&lt;=$N389,"🔴損切",IF($H389&lt;=$F389*0.965,"🔴損切間近",IF($H389&lt;=$F389*0.97,"⚠️-3%注意","保持継続")))))))</f>
        <v/>
      </c>
      <c r="P389" s="445" t="str">
        <f t="array" aca="1" ref="P389" ca="1">IF(B389="","",IFERROR(MAX(OFFSET(高値!$E$6,MATCH(TEXT(B389,"0"),TEXT(銘柄管理!$B$6:$B$305,"0"),0)-1,0,1,10)),""))</f>
        <v/>
      </c>
      <c r="Q389" s="440" t="str">
        <f t="array" aca="1" ref="Q389" ca="1">IF(B389="","",IFERROR(MIN(OFFSET(安値!$E$6,MATCH(TEXT(B389,"0"),TEXT(銘柄管理!$B$6:$B$305,"0"),0)-1,0,1,10)),""))</f>
        <v/>
      </c>
      <c r="R389" s="440" t="str">
        <f t="shared" ca="1" si="122"/>
        <v/>
      </c>
      <c r="S389" s="440" t="str">
        <f t="shared" si="123"/>
        <v/>
      </c>
      <c r="T389" s="600" t="str">
        <f t="shared" ref="T389:T452" ca="1" si="129">IF(OR($AH389="",$AH389="保有中"),"",IF($AH389="日数制限",$AE389,IF($AH389="損切確定",IF(N($AG389)=0,TODAY(),$AG389),IF(N($AF389)=0,TODAY(),$AF389))))</f>
        <v/>
      </c>
      <c r="U389" s="602" t="str">
        <f t="shared" ref="U389:U452" ca="1" si="130">IF(OR($AH389="",$AH389="保有中"),"",ROUND(IF($AH389="日数制限",$AI389,IF($AH389="利益確定",$M389,$N389)),0))</f>
        <v/>
      </c>
      <c r="V389" s="708" t="str">
        <f t="shared" ca="1" si="124"/>
        <v/>
      </c>
      <c r="W389" s="440" t="str">
        <f t="shared" ref="W389:W452" ca="1" si="131">IF(OR($E389="",$B389=""),"",IF($T389&lt;&gt;"",$T389-$E389,TODAY()-$E389)+1)</f>
        <v/>
      </c>
      <c r="X389" s="440" t="str">
        <f t="shared" ref="X389:X452" ca="1" si="132">IF(OR($AH389="",$AH389="保有中"),"",$AH389)</f>
        <v/>
      </c>
      <c r="AD389" s="611"/>
      <c r="AE389" s="603" t="str">
        <f t="shared" ref="AE389:AE452" si="133">IF($E389="","",WORKDAY($E389,12))</f>
        <v/>
      </c>
      <c r="AF389" s="603"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03"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03" t="str">
        <f t="shared" ref="AH389:AH452" ca="1" si="134">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3" t="str" cm="1">
        <f t="array" ref="AI389">IFERROR(INDEX(始値!$E$6:$BT$305,MATCH(TEXT($B389,"0"),TEXT(銘柄管理!$B$6:$B$305,"0"),0),MATCH($AE389,始値!$E$3:$BT$3,0)),"")</f>
        <v/>
      </c>
      <c r="AJ389" s="603" t="str">
        <f t="shared" ref="AJ389:AJ452" ca="1" si="135">IF(OR($V389="",$F389="",$G389=""),"",$V389/($F389*$G389))</f>
        <v/>
      </c>
      <c r="AK389" s="603" t="str">
        <f t="shared" ref="AK389:AK452" ca="1" si="136">IF($V389="","",IF($V389&gt;0,"○勝",IF($V389&lt;0,"●負","△引分")))</f>
        <v/>
      </c>
    </row>
    <row r="390" spans="1:37" ht="17.25" customHeight="1">
      <c r="A390" s="626" t="str">
        <f t="shared" si="125"/>
        <v/>
      </c>
      <c r="D390" s="440" t="str" cm="1">
        <f t="array" ref="D390">_xll.RssMarket(B390, "銘柄名称")</f>
        <v/>
      </c>
      <c r="E390" s="721"/>
      <c r="F390" s="702"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708" t="str" cm="1">
        <f t="array" ref="J390">_xll.RssMarket($B390, "前日比")</f>
        <v/>
      </c>
      <c r="K390" s="708" t="str">
        <f t="shared" ca="1" si="120"/>
        <v/>
      </c>
      <c r="L390" s="713" t="str">
        <f t="shared" ca="1" si="121"/>
        <v/>
      </c>
      <c r="M390" s="602" t="str">
        <f t="shared" ca="1" si="126"/>
        <v/>
      </c>
      <c r="N390" s="602" t="str">
        <f t="shared" ca="1" si="127"/>
        <v/>
      </c>
      <c r="O390" s="478" t="str">
        <f t="shared" ca="1" si="128"/>
        <v/>
      </c>
      <c r="P390" s="445" t="str">
        <f t="array" aca="1" ref="P390" ca="1">IF(B390="","",IFERROR(MAX(OFFSET(高値!$E$6,MATCH(TEXT(B390,"0"),TEXT(銘柄管理!$B$6:$B$305,"0"),0)-1,0,1,10)),""))</f>
        <v/>
      </c>
      <c r="Q390" s="440" t="str">
        <f t="array" aca="1" ref="Q390" ca="1">IF(B390="","",IFERROR(MIN(OFFSET(安値!$E$6,MATCH(TEXT(B390,"0"),TEXT(銘柄管理!$B$6:$B$305,"0"),0)-1,0,1,10)),""))</f>
        <v/>
      </c>
      <c r="R390" s="440" t="str">
        <f t="shared" ca="1" si="122"/>
        <v/>
      </c>
      <c r="S390" s="440" t="str">
        <f t="shared" si="123"/>
        <v/>
      </c>
      <c r="T390" s="600" t="str">
        <f t="shared" ca="1" si="129"/>
        <v/>
      </c>
      <c r="U390" s="602" t="str">
        <f t="shared" ca="1" si="130"/>
        <v/>
      </c>
      <c r="V390" s="708" t="str">
        <f t="shared" ca="1" si="124"/>
        <v/>
      </c>
      <c r="W390" s="440" t="str">
        <f t="shared" ca="1" si="131"/>
        <v/>
      </c>
      <c r="X390" s="440" t="str">
        <f t="shared" ca="1" si="132"/>
        <v/>
      </c>
      <c r="AD390" s="611"/>
      <c r="AE390" s="603" t="str">
        <f t="shared" si="133"/>
        <v/>
      </c>
      <c r="AF390" s="603"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03"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03" t="str">
        <f t="shared" ca="1" si="134"/>
        <v/>
      </c>
      <c r="AI390" s="603" t="str" cm="1">
        <f t="array" ref="AI390">IFERROR(INDEX(始値!$E$6:$BT$305,MATCH(TEXT($B390,"0"),TEXT(銘柄管理!$B$6:$B$305,"0"),0),MATCH($AE390,始値!$E$3:$BT$3,0)),"")</f>
        <v/>
      </c>
      <c r="AJ390" s="603" t="str">
        <f t="shared" ca="1" si="135"/>
        <v/>
      </c>
      <c r="AK390" s="603" t="str">
        <f t="shared" ca="1" si="136"/>
        <v/>
      </c>
    </row>
    <row r="391" spans="1:37" ht="17.25" customHeight="1">
      <c r="A391" s="626" t="str">
        <f t="shared" si="125"/>
        <v/>
      </c>
      <c r="D391" s="440" t="str" cm="1">
        <f t="array" ref="D391">_xll.RssMarket(B391, "銘柄名称")</f>
        <v/>
      </c>
      <c r="E391" s="721"/>
      <c r="F391" s="702"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708" t="str" cm="1">
        <f t="array" ref="J391">_xll.RssMarket($B391, "前日比")</f>
        <v/>
      </c>
      <c r="K391" s="708" t="str">
        <f t="shared" ca="1" si="120"/>
        <v/>
      </c>
      <c r="L391" s="713" t="str">
        <f t="shared" ca="1" si="121"/>
        <v/>
      </c>
      <c r="M391" s="602" t="str">
        <f t="shared" ca="1" si="126"/>
        <v/>
      </c>
      <c r="N391" s="602" t="str">
        <f t="shared" ca="1" si="127"/>
        <v/>
      </c>
      <c r="O391" s="478" t="str">
        <f t="shared" ca="1" si="128"/>
        <v/>
      </c>
      <c r="P391" s="445" t="str">
        <f t="array" aca="1" ref="P391" ca="1">IF(B391="","",IFERROR(MAX(OFFSET(高値!$E$6,MATCH(TEXT(B391,"0"),TEXT(銘柄管理!$B$6:$B$305,"0"),0)-1,0,1,10)),""))</f>
        <v/>
      </c>
      <c r="Q391" s="440" t="str">
        <f t="array" aca="1" ref="Q391" ca="1">IF(B391="","",IFERROR(MIN(OFFSET(安値!$E$6,MATCH(TEXT(B391,"0"),TEXT(銘柄管理!$B$6:$B$305,"0"),0)-1,0,1,10)),""))</f>
        <v/>
      </c>
      <c r="R391" s="440" t="str">
        <f t="shared" ca="1" si="122"/>
        <v/>
      </c>
      <c r="S391" s="440" t="str">
        <f t="shared" si="123"/>
        <v/>
      </c>
      <c r="T391" s="600" t="str">
        <f t="shared" ca="1" si="129"/>
        <v/>
      </c>
      <c r="U391" s="602" t="str">
        <f t="shared" ca="1" si="130"/>
        <v/>
      </c>
      <c r="V391" s="708" t="str">
        <f t="shared" ca="1" si="124"/>
        <v/>
      </c>
      <c r="W391" s="440" t="str">
        <f t="shared" ca="1" si="131"/>
        <v/>
      </c>
      <c r="X391" s="440" t="str">
        <f t="shared" ca="1" si="132"/>
        <v/>
      </c>
      <c r="AD391" s="611"/>
      <c r="AE391" s="603" t="str">
        <f t="shared" si="133"/>
        <v/>
      </c>
      <c r="AF391" s="603"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03"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03" t="str">
        <f t="shared" ca="1" si="134"/>
        <v/>
      </c>
      <c r="AI391" s="603" t="str" cm="1">
        <f t="array" ref="AI391">IFERROR(INDEX(始値!$E$6:$BT$305,MATCH(TEXT($B391,"0"),TEXT(銘柄管理!$B$6:$B$305,"0"),0),MATCH($AE391,始値!$E$3:$BT$3,0)),"")</f>
        <v/>
      </c>
      <c r="AJ391" s="603" t="str">
        <f t="shared" ca="1" si="135"/>
        <v/>
      </c>
      <c r="AK391" s="603" t="str">
        <f t="shared" ca="1" si="136"/>
        <v/>
      </c>
    </row>
    <row r="392" spans="1:37" ht="17.25" customHeight="1">
      <c r="A392" s="626" t="str">
        <f t="shared" si="125"/>
        <v/>
      </c>
      <c r="D392" s="440" t="str" cm="1">
        <f t="array" ref="D392">_xll.RssMarket(B392, "銘柄名称")</f>
        <v/>
      </c>
      <c r="E392" s="721"/>
      <c r="F392" s="702"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708" t="str" cm="1">
        <f t="array" ref="J392">_xll.RssMarket($B392, "前日比")</f>
        <v/>
      </c>
      <c r="K392" s="708" t="str">
        <f t="shared" ca="1" si="120"/>
        <v/>
      </c>
      <c r="L392" s="713" t="str">
        <f t="shared" ca="1" si="121"/>
        <v/>
      </c>
      <c r="M392" s="602" t="str">
        <f t="shared" ca="1" si="126"/>
        <v/>
      </c>
      <c r="N392" s="602" t="str">
        <f t="shared" ca="1" si="127"/>
        <v/>
      </c>
      <c r="O392" s="478" t="str">
        <f t="shared" ca="1" si="128"/>
        <v/>
      </c>
      <c r="P392" s="445" t="str">
        <f t="array" aca="1" ref="P392" ca="1">IF(B392="","",IFERROR(MAX(OFFSET(高値!$E$6,MATCH(TEXT(B392,"0"),TEXT(銘柄管理!$B$6:$B$305,"0"),0)-1,0,1,10)),""))</f>
        <v/>
      </c>
      <c r="Q392" s="440" t="str">
        <f t="array" aca="1" ref="Q392" ca="1">IF(B392="","",IFERROR(MIN(OFFSET(安値!$E$6,MATCH(TEXT(B392,"0"),TEXT(銘柄管理!$B$6:$B$305,"0"),0)-1,0,1,10)),""))</f>
        <v/>
      </c>
      <c r="R392" s="440" t="str">
        <f t="shared" ca="1" si="122"/>
        <v/>
      </c>
      <c r="S392" s="440" t="str">
        <f t="shared" si="123"/>
        <v/>
      </c>
      <c r="T392" s="600" t="str">
        <f t="shared" ca="1" si="129"/>
        <v/>
      </c>
      <c r="U392" s="602" t="str">
        <f t="shared" ca="1" si="130"/>
        <v/>
      </c>
      <c r="V392" s="708" t="str">
        <f t="shared" ca="1" si="124"/>
        <v/>
      </c>
      <c r="W392" s="440" t="str">
        <f t="shared" ca="1" si="131"/>
        <v/>
      </c>
      <c r="X392" s="440" t="str">
        <f t="shared" ca="1" si="132"/>
        <v/>
      </c>
      <c r="AD392" s="611"/>
      <c r="AE392" s="603" t="str">
        <f t="shared" si="133"/>
        <v/>
      </c>
      <c r="AF392" s="603"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03"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03" t="str">
        <f t="shared" ca="1" si="134"/>
        <v/>
      </c>
      <c r="AI392" s="603" t="str" cm="1">
        <f t="array" ref="AI392">IFERROR(INDEX(始値!$E$6:$BT$305,MATCH(TEXT($B392,"0"),TEXT(銘柄管理!$B$6:$B$305,"0"),0),MATCH($AE392,始値!$E$3:$BT$3,0)),"")</f>
        <v/>
      </c>
      <c r="AJ392" s="603" t="str">
        <f t="shared" ca="1" si="135"/>
        <v/>
      </c>
      <c r="AK392" s="603" t="str">
        <f t="shared" ca="1" si="136"/>
        <v/>
      </c>
    </row>
    <row r="393" spans="1:37" ht="17.25" customHeight="1">
      <c r="A393" s="626" t="str">
        <f t="shared" si="125"/>
        <v/>
      </c>
      <c r="D393" s="440" t="str" cm="1">
        <f t="array" ref="D393">_xll.RssMarket(B393, "銘柄名称")</f>
        <v/>
      </c>
      <c r="E393" s="721"/>
      <c r="F393" s="702"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708" t="str" cm="1">
        <f t="array" ref="J393">_xll.RssMarket($B393, "前日比")</f>
        <v/>
      </c>
      <c r="K393" s="708" t="str">
        <f t="shared" ca="1" si="120"/>
        <v/>
      </c>
      <c r="L393" s="713" t="str">
        <f t="shared" ca="1" si="121"/>
        <v/>
      </c>
      <c r="M393" s="602" t="str">
        <f t="shared" ca="1" si="126"/>
        <v/>
      </c>
      <c r="N393" s="602" t="str">
        <f t="shared" ca="1" si="127"/>
        <v/>
      </c>
      <c r="O393" s="478" t="str">
        <f t="shared" ca="1" si="128"/>
        <v/>
      </c>
      <c r="P393" s="445" t="str">
        <f t="array" aca="1" ref="P393" ca="1">IF(B393="","",IFERROR(MAX(OFFSET(高値!$E$6,MATCH(TEXT(B393,"0"),TEXT(銘柄管理!$B$6:$B$305,"0"),0)-1,0,1,10)),""))</f>
        <v/>
      </c>
      <c r="Q393" s="440" t="str">
        <f t="array" aca="1" ref="Q393" ca="1">IF(B393="","",IFERROR(MIN(OFFSET(安値!$E$6,MATCH(TEXT(B393,"0"),TEXT(銘柄管理!$B$6:$B$305,"0"),0)-1,0,1,10)),""))</f>
        <v/>
      </c>
      <c r="R393" s="440" t="str">
        <f t="shared" ca="1" si="122"/>
        <v/>
      </c>
      <c r="S393" s="440" t="str">
        <f t="shared" si="123"/>
        <v/>
      </c>
      <c r="T393" s="600" t="str">
        <f t="shared" ca="1" si="129"/>
        <v/>
      </c>
      <c r="U393" s="602" t="str">
        <f t="shared" ca="1" si="130"/>
        <v/>
      </c>
      <c r="V393" s="708" t="str">
        <f t="shared" ca="1" si="124"/>
        <v/>
      </c>
      <c r="W393" s="440" t="str">
        <f t="shared" ca="1" si="131"/>
        <v/>
      </c>
      <c r="X393" s="440" t="str">
        <f t="shared" ca="1" si="132"/>
        <v/>
      </c>
      <c r="AD393" s="611"/>
      <c r="AE393" s="603" t="str">
        <f t="shared" si="133"/>
        <v/>
      </c>
      <c r="AF393" s="603"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03"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03" t="str">
        <f t="shared" ca="1" si="134"/>
        <v/>
      </c>
      <c r="AI393" s="603" t="str" cm="1">
        <f t="array" ref="AI393">IFERROR(INDEX(始値!$E$6:$BT$305,MATCH(TEXT($B393,"0"),TEXT(銘柄管理!$B$6:$B$305,"0"),0),MATCH($AE393,始値!$E$3:$BT$3,0)),"")</f>
        <v/>
      </c>
      <c r="AJ393" s="603" t="str">
        <f t="shared" ca="1" si="135"/>
        <v/>
      </c>
      <c r="AK393" s="603" t="str">
        <f t="shared" ca="1" si="136"/>
        <v/>
      </c>
    </row>
    <row r="394" spans="1:37" ht="17.25" customHeight="1">
      <c r="A394" s="626" t="str">
        <f t="shared" si="125"/>
        <v/>
      </c>
      <c r="D394" s="440" t="str" cm="1">
        <f t="array" ref="D394">_xll.RssMarket(B394, "銘柄名称")</f>
        <v/>
      </c>
      <c r="E394" s="721"/>
      <c r="F394" s="702"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708" t="str" cm="1">
        <f t="array" ref="J394">_xll.RssMarket($B394, "前日比")</f>
        <v/>
      </c>
      <c r="K394" s="708" t="str">
        <f t="shared" ref="K394:K457" ca="1" si="137">IF(OR(F394="",G394="",H394=""),"",IF(C394="売",(F394-H394)*G394,(H394-F394)*G394))</f>
        <v/>
      </c>
      <c r="L394" s="713" t="str">
        <f t="shared" ref="L394:L457" ca="1" si="138">IF(OR(F394="",H394=""),"",IF(C394="売",(F394-H394)/F394,(H394-F394)/F394))</f>
        <v/>
      </c>
      <c r="M394" s="602" t="str">
        <f t="shared" ca="1" si="126"/>
        <v/>
      </c>
      <c r="N394" s="602" t="str">
        <f t="shared" ca="1" si="127"/>
        <v/>
      </c>
      <c r="O394" s="478" t="str">
        <f t="shared" ca="1" si="128"/>
        <v/>
      </c>
      <c r="P394" s="445" t="str">
        <f t="array" aca="1" ref="P394" ca="1">IF(B394="","",IFERROR(MAX(OFFSET(高値!$E$6,MATCH(TEXT(B394,"0"),TEXT(銘柄管理!$B$6:$B$305,"0"),0)-1,0,1,10)),""))</f>
        <v/>
      </c>
      <c r="Q394" s="440" t="str">
        <f t="array" aca="1" ref="Q394" ca="1">IF(B394="","",IFERROR(MIN(OFFSET(安値!$E$6,MATCH(TEXT(B394,"0"),TEXT(銘柄管理!$B$6:$B$305,"0"),0)-1,0,1,10)),""))</f>
        <v/>
      </c>
      <c r="R394" s="440" t="str">
        <f t="shared" ref="R394:R457" ca="1" si="139">IF(P394="","",ROUND(P394*0.97,0))</f>
        <v/>
      </c>
      <c r="S394" s="440" t="str">
        <f t="shared" ref="S394:S457" si="140">IF(B394="","",IF(T394&lt;&gt;"","✅売却済",IF(OR(H394="",L394=""),"📌保有中",IF(L394&gt;=0.06,"🟢利確推奨",IF(L394&gt;=0.05,"🟡利確直近",IF(L394&gt;=0.045,"🔵トレーリング検討",IF(L394&gt;-0.03,"📌保有中",IF(L394&gt;-0.04,"⚠️損切注意","🔴損切り"))))))))</f>
        <v/>
      </c>
      <c r="T394" s="600" t="str">
        <f t="shared" ca="1" si="129"/>
        <v/>
      </c>
      <c r="U394" s="602" t="str">
        <f t="shared" ca="1" si="130"/>
        <v/>
      </c>
      <c r="V394" s="708" t="str">
        <f t="shared" ref="V394:V457" ca="1" si="141">IF(OR(F394="",G394="",U394=""),"",IF(C394="売",(F394-U394)*G394,(U394-F394)*G394))</f>
        <v/>
      </c>
      <c r="W394" s="440" t="str">
        <f t="shared" ca="1" si="131"/>
        <v/>
      </c>
      <c r="X394" s="440" t="str">
        <f t="shared" ca="1" si="132"/>
        <v/>
      </c>
      <c r="AD394" s="611"/>
      <c r="AE394" s="603" t="str">
        <f t="shared" si="133"/>
        <v/>
      </c>
      <c r="AF394" s="603"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03"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03" t="str">
        <f t="shared" ca="1" si="134"/>
        <v/>
      </c>
      <c r="AI394" s="603" t="str" cm="1">
        <f t="array" ref="AI394">IFERROR(INDEX(始値!$E$6:$BT$305,MATCH(TEXT($B394,"0"),TEXT(銘柄管理!$B$6:$B$305,"0"),0),MATCH($AE394,始値!$E$3:$BT$3,0)),"")</f>
        <v/>
      </c>
      <c r="AJ394" s="603" t="str">
        <f t="shared" ca="1" si="135"/>
        <v/>
      </c>
      <c r="AK394" s="603" t="str">
        <f t="shared" ca="1" si="136"/>
        <v/>
      </c>
    </row>
    <row r="395" spans="1:37" ht="17.25" customHeight="1">
      <c r="A395" s="626" t="str">
        <f t="shared" si="125"/>
        <v/>
      </c>
      <c r="D395" s="440" t="str" cm="1">
        <f t="array" ref="D395">_xll.RssMarket(B395, "銘柄名称")</f>
        <v/>
      </c>
      <c r="E395" s="721"/>
      <c r="F395" s="702"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708" t="str" cm="1">
        <f t="array" ref="J395">_xll.RssMarket($B395, "前日比")</f>
        <v/>
      </c>
      <c r="K395" s="708" t="str">
        <f t="shared" ca="1" si="137"/>
        <v/>
      </c>
      <c r="L395" s="713" t="str">
        <f t="shared" ca="1" si="138"/>
        <v/>
      </c>
      <c r="M395" s="602" t="str">
        <f t="shared" ca="1" si="126"/>
        <v/>
      </c>
      <c r="N395" s="602" t="str">
        <f t="shared" ca="1" si="127"/>
        <v/>
      </c>
      <c r="O395" s="478" t="str">
        <f t="shared" ca="1" si="128"/>
        <v/>
      </c>
      <c r="P395" s="445" t="str">
        <f t="array" aca="1" ref="P395" ca="1">IF(B395="","",IFERROR(MAX(OFFSET(高値!$E$6,MATCH(TEXT(B395,"0"),TEXT(銘柄管理!$B$6:$B$305,"0"),0)-1,0,1,10)),""))</f>
        <v/>
      </c>
      <c r="Q395" s="440" t="str">
        <f t="array" aca="1" ref="Q395" ca="1">IF(B395="","",IFERROR(MIN(OFFSET(安値!$E$6,MATCH(TEXT(B395,"0"),TEXT(銘柄管理!$B$6:$B$305,"0"),0)-1,0,1,10)),""))</f>
        <v/>
      </c>
      <c r="R395" s="440" t="str">
        <f t="shared" ca="1" si="139"/>
        <v/>
      </c>
      <c r="S395" s="440" t="str">
        <f t="shared" si="140"/>
        <v/>
      </c>
      <c r="T395" s="600" t="str">
        <f t="shared" ca="1" si="129"/>
        <v/>
      </c>
      <c r="U395" s="602" t="str">
        <f t="shared" ca="1" si="130"/>
        <v/>
      </c>
      <c r="V395" s="708" t="str">
        <f t="shared" ca="1" si="141"/>
        <v/>
      </c>
      <c r="W395" s="440" t="str">
        <f t="shared" ca="1" si="131"/>
        <v/>
      </c>
      <c r="X395" s="440" t="str">
        <f t="shared" ca="1" si="132"/>
        <v/>
      </c>
      <c r="AD395" s="611"/>
      <c r="AE395" s="603" t="str">
        <f t="shared" si="133"/>
        <v/>
      </c>
      <c r="AF395" s="603"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03"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03" t="str">
        <f t="shared" ca="1" si="134"/>
        <v/>
      </c>
      <c r="AI395" s="603" t="str" cm="1">
        <f t="array" ref="AI395">IFERROR(INDEX(始値!$E$6:$BT$305,MATCH(TEXT($B395,"0"),TEXT(銘柄管理!$B$6:$B$305,"0"),0),MATCH($AE395,始値!$E$3:$BT$3,0)),"")</f>
        <v/>
      </c>
      <c r="AJ395" s="603" t="str">
        <f t="shared" ca="1" si="135"/>
        <v/>
      </c>
      <c r="AK395" s="603" t="str">
        <f t="shared" ca="1" si="136"/>
        <v/>
      </c>
    </row>
    <row r="396" spans="1:37" ht="17.25" customHeight="1">
      <c r="A396" s="626" t="str">
        <f t="shared" si="125"/>
        <v/>
      </c>
      <c r="D396" s="440" t="str" cm="1">
        <f t="array" ref="D396">_xll.RssMarket(B396, "銘柄名称")</f>
        <v/>
      </c>
      <c r="E396" s="721"/>
      <c r="F396" s="702"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708" t="str" cm="1">
        <f t="array" ref="J396">_xll.RssMarket($B396, "前日比")</f>
        <v/>
      </c>
      <c r="K396" s="708" t="str">
        <f t="shared" ca="1" si="137"/>
        <v/>
      </c>
      <c r="L396" s="713" t="str">
        <f t="shared" ca="1" si="138"/>
        <v/>
      </c>
      <c r="M396" s="602" t="str">
        <f t="shared" ca="1" si="126"/>
        <v/>
      </c>
      <c r="N396" s="602" t="str">
        <f t="shared" ca="1" si="127"/>
        <v/>
      </c>
      <c r="O396" s="478" t="str">
        <f t="shared" ca="1" si="128"/>
        <v/>
      </c>
      <c r="P396" s="445" t="str">
        <f t="array" aca="1" ref="P396" ca="1">IF(B396="","",IFERROR(MAX(OFFSET(高値!$E$6,MATCH(TEXT(B396,"0"),TEXT(銘柄管理!$B$6:$B$305,"0"),0)-1,0,1,10)),""))</f>
        <v/>
      </c>
      <c r="Q396" s="440" t="str">
        <f t="array" aca="1" ref="Q396" ca="1">IF(B396="","",IFERROR(MIN(OFFSET(安値!$E$6,MATCH(TEXT(B396,"0"),TEXT(銘柄管理!$B$6:$B$305,"0"),0)-1,0,1,10)),""))</f>
        <v/>
      </c>
      <c r="R396" s="440" t="str">
        <f t="shared" ca="1" si="139"/>
        <v/>
      </c>
      <c r="S396" s="440" t="str">
        <f t="shared" si="140"/>
        <v/>
      </c>
      <c r="T396" s="600" t="str">
        <f t="shared" ca="1" si="129"/>
        <v/>
      </c>
      <c r="U396" s="602" t="str">
        <f t="shared" ca="1" si="130"/>
        <v/>
      </c>
      <c r="V396" s="708" t="str">
        <f t="shared" ca="1" si="141"/>
        <v/>
      </c>
      <c r="W396" s="440" t="str">
        <f t="shared" ca="1" si="131"/>
        <v/>
      </c>
      <c r="X396" s="440" t="str">
        <f t="shared" ca="1" si="132"/>
        <v/>
      </c>
      <c r="AD396" s="611"/>
      <c r="AE396" s="603" t="str">
        <f t="shared" si="133"/>
        <v/>
      </c>
      <c r="AF396" s="603"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03"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03" t="str">
        <f t="shared" ca="1" si="134"/>
        <v/>
      </c>
      <c r="AI396" s="603" t="str" cm="1">
        <f t="array" ref="AI396">IFERROR(INDEX(始値!$E$6:$BT$305,MATCH(TEXT($B396,"0"),TEXT(銘柄管理!$B$6:$B$305,"0"),0),MATCH($AE396,始値!$E$3:$BT$3,0)),"")</f>
        <v/>
      </c>
      <c r="AJ396" s="603" t="str">
        <f t="shared" ca="1" si="135"/>
        <v/>
      </c>
      <c r="AK396" s="603" t="str">
        <f t="shared" ca="1" si="136"/>
        <v/>
      </c>
    </row>
    <row r="397" spans="1:37" ht="17.25" customHeight="1">
      <c r="A397" s="626" t="str">
        <f t="shared" si="125"/>
        <v/>
      </c>
      <c r="D397" s="440" t="str" cm="1">
        <f t="array" ref="D397">_xll.RssMarket(B397, "銘柄名称")</f>
        <v/>
      </c>
      <c r="E397" s="721"/>
      <c r="F397" s="702"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708" t="str" cm="1">
        <f t="array" ref="J397">_xll.RssMarket($B397, "前日比")</f>
        <v/>
      </c>
      <c r="K397" s="708" t="str">
        <f t="shared" ca="1" si="137"/>
        <v/>
      </c>
      <c r="L397" s="713" t="str">
        <f t="shared" ca="1" si="138"/>
        <v/>
      </c>
      <c r="M397" s="602" t="str">
        <f t="shared" ca="1" si="126"/>
        <v/>
      </c>
      <c r="N397" s="602" t="str">
        <f t="shared" ca="1" si="127"/>
        <v/>
      </c>
      <c r="O397" s="478" t="str">
        <f t="shared" ca="1" si="128"/>
        <v/>
      </c>
      <c r="P397" s="445" t="str">
        <f t="array" aca="1" ref="P397" ca="1">IF(B397="","",IFERROR(MAX(OFFSET(高値!$E$6,MATCH(TEXT(B397,"0"),TEXT(銘柄管理!$B$6:$B$305,"0"),0)-1,0,1,10)),""))</f>
        <v/>
      </c>
      <c r="Q397" s="440" t="str">
        <f t="array" aca="1" ref="Q397" ca="1">IF(B397="","",IFERROR(MIN(OFFSET(安値!$E$6,MATCH(TEXT(B397,"0"),TEXT(銘柄管理!$B$6:$B$305,"0"),0)-1,0,1,10)),""))</f>
        <v/>
      </c>
      <c r="R397" s="440" t="str">
        <f t="shared" ca="1" si="139"/>
        <v/>
      </c>
      <c r="S397" s="440" t="str">
        <f t="shared" si="140"/>
        <v/>
      </c>
      <c r="T397" s="600" t="str">
        <f t="shared" ca="1" si="129"/>
        <v/>
      </c>
      <c r="U397" s="602" t="str">
        <f t="shared" ca="1" si="130"/>
        <v/>
      </c>
      <c r="V397" s="708" t="str">
        <f t="shared" ca="1" si="141"/>
        <v/>
      </c>
      <c r="W397" s="440" t="str">
        <f t="shared" ca="1" si="131"/>
        <v/>
      </c>
      <c r="X397" s="440" t="str">
        <f t="shared" ca="1" si="132"/>
        <v/>
      </c>
      <c r="AD397" s="611"/>
      <c r="AE397" s="603" t="str">
        <f t="shared" si="133"/>
        <v/>
      </c>
      <c r="AF397" s="603"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03"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03" t="str">
        <f t="shared" ca="1" si="134"/>
        <v/>
      </c>
      <c r="AI397" s="603" t="str" cm="1">
        <f t="array" ref="AI397">IFERROR(INDEX(始値!$E$6:$BT$305,MATCH(TEXT($B397,"0"),TEXT(銘柄管理!$B$6:$B$305,"0"),0),MATCH($AE397,始値!$E$3:$BT$3,0)),"")</f>
        <v/>
      </c>
      <c r="AJ397" s="603" t="str">
        <f t="shared" ca="1" si="135"/>
        <v/>
      </c>
      <c r="AK397" s="603" t="str">
        <f t="shared" ca="1" si="136"/>
        <v/>
      </c>
    </row>
    <row r="398" spans="1:37" ht="17.25" customHeight="1">
      <c r="A398" s="626" t="str">
        <f t="shared" si="125"/>
        <v/>
      </c>
      <c r="D398" s="440" t="str" cm="1">
        <f t="array" ref="D398">_xll.RssMarket(B398, "銘柄名称")</f>
        <v/>
      </c>
      <c r="E398" s="721"/>
      <c r="F398" s="702"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708" t="str" cm="1">
        <f t="array" ref="J398">_xll.RssMarket($B398, "前日比")</f>
        <v/>
      </c>
      <c r="K398" s="708" t="str">
        <f t="shared" ca="1" si="137"/>
        <v/>
      </c>
      <c r="L398" s="713" t="str">
        <f t="shared" ca="1" si="138"/>
        <v/>
      </c>
      <c r="M398" s="602" t="str">
        <f t="shared" ca="1" si="126"/>
        <v/>
      </c>
      <c r="N398" s="602" t="str">
        <f t="shared" ca="1" si="127"/>
        <v/>
      </c>
      <c r="O398" s="478" t="str">
        <f t="shared" ca="1" si="128"/>
        <v/>
      </c>
      <c r="P398" s="445" t="str">
        <f t="array" aca="1" ref="P398" ca="1">IF(B398="","",IFERROR(MAX(OFFSET(高値!$E$6,MATCH(TEXT(B398,"0"),TEXT(銘柄管理!$B$6:$B$305,"0"),0)-1,0,1,10)),""))</f>
        <v/>
      </c>
      <c r="Q398" s="440" t="str">
        <f t="array" aca="1" ref="Q398" ca="1">IF(B398="","",IFERROR(MIN(OFFSET(安値!$E$6,MATCH(TEXT(B398,"0"),TEXT(銘柄管理!$B$6:$B$305,"0"),0)-1,0,1,10)),""))</f>
        <v/>
      </c>
      <c r="R398" s="440" t="str">
        <f t="shared" ca="1" si="139"/>
        <v/>
      </c>
      <c r="S398" s="440" t="str">
        <f t="shared" si="140"/>
        <v/>
      </c>
      <c r="T398" s="600" t="str">
        <f t="shared" ca="1" si="129"/>
        <v/>
      </c>
      <c r="U398" s="602" t="str">
        <f t="shared" ca="1" si="130"/>
        <v/>
      </c>
      <c r="V398" s="708" t="str">
        <f t="shared" ca="1" si="141"/>
        <v/>
      </c>
      <c r="W398" s="440" t="str">
        <f t="shared" ca="1" si="131"/>
        <v/>
      </c>
      <c r="X398" s="440" t="str">
        <f t="shared" ca="1" si="132"/>
        <v/>
      </c>
      <c r="AD398" s="611"/>
      <c r="AE398" s="603" t="str">
        <f t="shared" si="133"/>
        <v/>
      </c>
      <c r="AF398" s="603"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03"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03" t="str">
        <f t="shared" ca="1" si="134"/>
        <v/>
      </c>
      <c r="AI398" s="603" t="str" cm="1">
        <f t="array" ref="AI398">IFERROR(INDEX(始値!$E$6:$BT$305,MATCH(TEXT($B398,"0"),TEXT(銘柄管理!$B$6:$B$305,"0"),0),MATCH($AE398,始値!$E$3:$BT$3,0)),"")</f>
        <v/>
      </c>
      <c r="AJ398" s="603" t="str">
        <f t="shared" ca="1" si="135"/>
        <v/>
      </c>
      <c r="AK398" s="603" t="str">
        <f t="shared" ca="1" si="136"/>
        <v/>
      </c>
    </row>
    <row r="399" spans="1:37" ht="17.25" customHeight="1">
      <c r="A399" s="626" t="str">
        <f t="shared" si="125"/>
        <v/>
      </c>
      <c r="D399" s="440" t="str" cm="1">
        <f t="array" ref="D399">_xll.RssMarket(B399, "銘柄名称")</f>
        <v/>
      </c>
      <c r="E399" s="721"/>
      <c r="F399" s="702"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708" t="str" cm="1">
        <f t="array" ref="J399">_xll.RssMarket($B399, "前日比")</f>
        <v/>
      </c>
      <c r="K399" s="708" t="str">
        <f t="shared" ca="1" si="137"/>
        <v/>
      </c>
      <c r="L399" s="713" t="str">
        <f t="shared" ca="1" si="138"/>
        <v/>
      </c>
      <c r="M399" s="602" t="str">
        <f t="shared" ca="1" si="126"/>
        <v/>
      </c>
      <c r="N399" s="602" t="str">
        <f t="shared" ca="1" si="127"/>
        <v/>
      </c>
      <c r="O399" s="478" t="str">
        <f t="shared" ca="1" si="128"/>
        <v/>
      </c>
      <c r="P399" s="445" t="str">
        <f t="array" aca="1" ref="P399" ca="1">IF(B399="","",IFERROR(MAX(OFFSET(高値!$E$6,MATCH(TEXT(B399,"0"),TEXT(銘柄管理!$B$6:$B$305,"0"),0)-1,0,1,10)),""))</f>
        <v/>
      </c>
      <c r="Q399" s="440" t="str">
        <f t="array" aca="1" ref="Q399" ca="1">IF(B399="","",IFERROR(MIN(OFFSET(安値!$E$6,MATCH(TEXT(B399,"0"),TEXT(銘柄管理!$B$6:$B$305,"0"),0)-1,0,1,10)),""))</f>
        <v/>
      </c>
      <c r="R399" s="440" t="str">
        <f t="shared" ca="1" si="139"/>
        <v/>
      </c>
      <c r="S399" s="440" t="str">
        <f t="shared" si="140"/>
        <v/>
      </c>
      <c r="T399" s="600" t="str">
        <f t="shared" ca="1" si="129"/>
        <v/>
      </c>
      <c r="U399" s="602" t="str">
        <f t="shared" ca="1" si="130"/>
        <v/>
      </c>
      <c r="V399" s="708" t="str">
        <f t="shared" ca="1" si="141"/>
        <v/>
      </c>
      <c r="W399" s="440" t="str">
        <f t="shared" ca="1" si="131"/>
        <v/>
      </c>
      <c r="X399" s="440" t="str">
        <f t="shared" ca="1" si="132"/>
        <v/>
      </c>
      <c r="AD399" s="611"/>
      <c r="AE399" s="603" t="str">
        <f t="shared" si="133"/>
        <v/>
      </c>
      <c r="AF399" s="603"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03"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03" t="str">
        <f t="shared" ca="1" si="134"/>
        <v/>
      </c>
      <c r="AI399" s="603" t="str" cm="1">
        <f t="array" ref="AI399">IFERROR(INDEX(始値!$E$6:$BT$305,MATCH(TEXT($B399,"0"),TEXT(銘柄管理!$B$6:$B$305,"0"),0),MATCH($AE399,始値!$E$3:$BT$3,0)),"")</f>
        <v/>
      </c>
      <c r="AJ399" s="603" t="str">
        <f t="shared" ca="1" si="135"/>
        <v/>
      </c>
      <c r="AK399" s="603" t="str">
        <f t="shared" ca="1" si="136"/>
        <v/>
      </c>
    </row>
    <row r="400" spans="1:37" ht="17.25" customHeight="1">
      <c r="A400" s="626" t="str">
        <f t="shared" si="125"/>
        <v/>
      </c>
      <c r="D400" s="440" t="str" cm="1">
        <f t="array" ref="D400">_xll.RssMarket(B400, "銘柄名称")</f>
        <v/>
      </c>
      <c r="E400" s="721"/>
      <c r="F400" s="702"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708" t="str" cm="1">
        <f t="array" ref="J400">_xll.RssMarket($B400, "前日比")</f>
        <v/>
      </c>
      <c r="K400" s="708" t="str">
        <f t="shared" ca="1" si="137"/>
        <v/>
      </c>
      <c r="L400" s="713" t="str">
        <f t="shared" ca="1" si="138"/>
        <v/>
      </c>
      <c r="M400" s="602" t="str">
        <f t="shared" ca="1" si="126"/>
        <v/>
      </c>
      <c r="N400" s="602" t="str">
        <f t="shared" ca="1" si="127"/>
        <v/>
      </c>
      <c r="O400" s="478" t="str">
        <f t="shared" ca="1" si="128"/>
        <v/>
      </c>
      <c r="P400" s="445" t="str">
        <f t="array" aca="1" ref="P400" ca="1">IF(B400="","",IFERROR(MAX(OFFSET(高値!$E$6,MATCH(TEXT(B400,"0"),TEXT(銘柄管理!$B$6:$B$305,"0"),0)-1,0,1,10)),""))</f>
        <v/>
      </c>
      <c r="Q400" s="440" t="str">
        <f t="array" aca="1" ref="Q400" ca="1">IF(B400="","",IFERROR(MIN(OFFSET(安値!$E$6,MATCH(TEXT(B400,"0"),TEXT(銘柄管理!$B$6:$B$305,"0"),0)-1,0,1,10)),""))</f>
        <v/>
      </c>
      <c r="R400" s="440" t="str">
        <f t="shared" ca="1" si="139"/>
        <v/>
      </c>
      <c r="S400" s="440" t="str">
        <f t="shared" si="140"/>
        <v/>
      </c>
      <c r="T400" s="600" t="str">
        <f t="shared" ca="1" si="129"/>
        <v/>
      </c>
      <c r="U400" s="602" t="str">
        <f t="shared" ca="1" si="130"/>
        <v/>
      </c>
      <c r="V400" s="708" t="str">
        <f t="shared" ca="1" si="141"/>
        <v/>
      </c>
      <c r="W400" s="440" t="str">
        <f t="shared" ca="1" si="131"/>
        <v/>
      </c>
      <c r="X400" s="440" t="str">
        <f t="shared" ca="1" si="132"/>
        <v/>
      </c>
      <c r="AD400" s="611"/>
      <c r="AE400" s="603" t="str">
        <f t="shared" si="133"/>
        <v/>
      </c>
      <c r="AF400" s="603"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03"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03" t="str">
        <f t="shared" ca="1" si="134"/>
        <v/>
      </c>
      <c r="AI400" s="603" t="str" cm="1">
        <f t="array" ref="AI400">IFERROR(INDEX(始値!$E$6:$BT$305,MATCH(TEXT($B400,"0"),TEXT(銘柄管理!$B$6:$B$305,"0"),0),MATCH($AE400,始値!$E$3:$BT$3,0)),"")</f>
        <v/>
      </c>
      <c r="AJ400" s="603" t="str">
        <f t="shared" ca="1" si="135"/>
        <v/>
      </c>
      <c r="AK400" s="603" t="str">
        <f t="shared" ca="1" si="136"/>
        <v/>
      </c>
    </row>
    <row r="401" spans="1:37" ht="17.25" customHeight="1">
      <c r="A401" s="626" t="str">
        <f t="shared" si="125"/>
        <v/>
      </c>
      <c r="D401" s="440" t="str" cm="1">
        <f t="array" ref="D401">_xll.RssMarket(B401, "銘柄名称")</f>
        <v/>
      </c>
      <c r="E401" s="721"/>
      <c r="F401" s="702"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708" t="str" cm="1">
        <f t="array" ref="J401">_xll.RssMarket($B401, "前日比")</f>
        <v/>
      </c>
      <c r="K401" s="708" t="str">
        <f t="shared" ca="1" si="137"/>
        <v/>
      </c>
      <c r="L401" s="713" t="str">
        <f t="shared" ca="1" si="138"/>
        <v/>
      </c>
      <c r="M401" s="602" t="str">
        <f t="shared" ca="1" si="126"/>
        <v/>
      </c>
      <c r="N401" s="602" t="str">
        <f t="shared" ca="1" si="127"/>
        <v/>
      </c>
      <c r="O401" s="478" t="str">
        <f t="shared" ca="1" si="128"/>
        <v/>
      </c>
      <c r="P401" s="445" t="str">
        <f t="array" aca="1" ref="P401" ca="1">IF(B401="","",IFERROR(MAX(OFFSET(高値!$E$6,MATCH(TEXT(B401,"0"),TEXT(銘柄管理!$B$6:$B$305,"0"),0)-1,0,1,10)),""))</f>
        <v/>
      </c>
      <c r="Q401" s="440" t="str">
        <f t="array" aca="1" ref="Q401" ca="1">IF(B401="","",IFERROR(MIN(OFFSET(安値!$E$6,MATCH(TEXT(B401,"0"),TEXT(銘柄管理!$B$6:$B$305,"0"),0)-1,0,1,10)),""))</f>
        <v/>
      </c>
      <c r="R401" s="440" t="str">
        <f t="shared" ca="1" si="139"/>
        <v/>
      </c>
      <c r="S401" s="440" t="str">
        <f t="shared" si="140"/>
        <v/>
      </c>
      <c r="T401" s="600" t="str">
        <f t="shared" ca="1" si="129"/>
        <v/>
      </c>
      <c r="U401" s="602" t="str">
        <f t="shared" ca="1" si="130"/>
        <v/>
      </c>
      <c r="V401" s="708" t="str">
        <f t="shared" ca="1" si="141"/>
        <v/>
      </c>
      <c r="W401" s="440" t="str">
        <f t="shared" ca="1" si="131"/>
        <v/>
      </c>
      <c r="X401" s="440" t="str">
        <f t="shared" ca="1" si="132"/>
        <v/>
      </c>
      <c r="AD401" s="611"/>
      <c r="AE401" s="603" t="str">
        <f t="shared" si="133"/>
        <v/>
      </c>
      <c r="AF401" s="603"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03"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03" t="str">
        <f t="shared" ca="1" si="134"/>
        <v/>
      </c>
      <c r="AI401" s="603" t="str" cm="1">
        <f t="array" ref="AI401">IFERROR(INDEX(始値!$E$6:$BT$305,MATCH(TEXT($B401,"0"),TEXT(銘柄管理!$B$6:$B$305,"0"),0),MATCH($AE401,始値!$E$3:$BT$3,0)),"")</f>
        <v/>
      </c>
      <c r="AJ401" s="603" t="str">
        <f t="shared" ca="1" si="135"/>
        <v/>
      </c>
      <c r="AK401" s="603" t="str">
        <f t="shared" ca="1" si="136"/>
        <v/>
      </c>
    </row>
    <row r="402" spans="1:37" ht="17.25" customHeight="1">
      <c r="A402" s="626" t="str">
        <f t="shared" si="125"/>
        <v/>
      </c>
      <c r="D402" s="440" t="str" cm="1">
        <f t="array" ref="D402">_xll.RssMarket(B402, "銘柄名称")</f>
        <v/>
      </c>
      <c r="E402" s="721"/>
      <c r="F402" s="702"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708" t="str" cm="1">
        <f t="array" ref="J402">_xll.RssMarket($B402, "前日比")</f>
        <v/>
      </c>
      <c r="K402" s="708" t="str">
        <f t="shared" ca="1" si="137"/>
        <v/>
      </c>
      <c r="L402" s="713" t="str">
        <f t="shared" ca="1" si="138"/>
        <v/>
      </c>
      <c r="M402" s="602" t="str">
        <f t="shared" ca="1" si="126"/>
        <v/>
      </c>
      <c r="N402" s="602" t="str">
        <f t="shared" ca="1" si="127"/>
        <v/>
      </c>
      <c r="O402" s="478" t="str">
        <f t="shared" ca="1" si="128"/>
        <v/>
      </c>
      <c r="P402" s="445" t="str">
        <f t="array" aca="1" ref="P402" ca="1">IF(B402="","",IFERROR(MAX(OFFSET(高値!$E$6,MATCH(TEXT(B402,"0"),TEXT(銘柄管理!$B$6:$B$305,"0"),0)-1,0,1,10)),""))</f>
        <v/>
      </c>
      <c r="Q402" s="440" t="str">
        <f t="array" aca="1" ref="Q402" ca="1">IF(B402="","",IFERROR(MIN(OFFSET(安値!$E$6,MATCH(TEXT(B402,"0"),TEXT(銘柄管理!$B$6:$B$305,"0"),0)-1,0,1,10)),""))</f>
        <v/>
      </c>
      <c r="R402" s="440" t="str">
        <f t="shared" ca="1" si="139"/>
        <v/>
      </c>
      <c r="S402" s="440" t="str">
        <f t="shared" si="140"/>
        <v/>
      </c>
      <c r="T402" s="600" t="str">
        <f t="shared" ca="1" si="129"/>
        <v/>
      </c>
      <c r="U402" s="602" t="str">
        <f t="shared" ca="1" si="130"/>
        <v/>
      </c>
      <c r="V402" s="708" t="str">
        <f t="shared" ca="1" si="141"/>
        <v/>
      </c>
      <c r="W402" s="440" t="str">
        <f t="shared" ca="1" si="131"/>
        <v/>
      </c>
      <c r="X402" s="440" t="str">
        <f t="shared" ca="1" si="132"/>
        <v/>
      </c>
      <c r="AD402" s="611"/>
      <c r="AE402" s="603" t="str">
        <f t="shared" si="133"/>
        <v/>
      </c>
      <c r="AF402" s="603"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03"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03" t="str">
        <f t="shared" ca="1" si="134"/>
        <v/>
      </c>
      <c r="AI402" s="603" t="str" cm="1">
        <f t="array" ref="AI402">IFERROR(INDEX(始値!$E$6:$BT$305,MATCH(TEXT($B402,"0"),TEXT(銘柄管理!$B$6:$B$305,"0"),0),MATCH($AE402,始値!$E$3:$BT$3,0)),"")</f>
        <v/>
      </c>
      <c r="AJ402" s="603" t="str">
        <f t="shared" ca="1" si="135"/>
        <v/>
      </c>
      <c r="AK402" s="603" t="str">
        <f t="shared" ca="1" si="136"/>
        <v/>
      </c>
    </row>
    <row r="403" spans="1:37" ht="17.25" customHeight="1">
      <c r="A403" s="626" t="str">
        <f t="shared" si="125"/>
        <v/>
      </c>
      <c r="D403" s="440" t="str" cm="1">
        <f t="array" ref="D403">_xll.RssMarket(B403, "銘柄名称")</f>
        <v/>
      </c>
      <c r="E403" s="721"/>
      <c r="F403" s="702"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708" t="str" cm="1">
        <f t="array" ref="J403">_xll.RssMarket($B403, "前日比")</f>
        <v/>
      </c>
      <c r="K403" s="708" t="str">
        <f t="shared" ca="1" si="137"/>
        <v/>
      </c>
      <c r="L403" s="713" t="str">
        <f t="shared" ca="1" si="138"/>
        <v/>
      </c>
      <c r="M403" s="602" t="str">
        <f t="shared" ca="1" si="126"/>
        <v/>
      </c>
      <c r="N403" s="602" t="str">
        <f t="shared" ca="1" si="127"/>
        <v/>
      </c>
      <c r="O403" s="478" t="str">
        <f t="shared" ca="1" si="128"/>
        <v/>
      </c>
      <c r="P403" s="445" t="str">
        <f t="array" aca="1" ref="P403" ca="1">IF(B403="","",IFERROR(MAX(OFFSET(高値!$E$6,MATCH(TEXT(B403,"0"),TEXT(銘柄管理!$B$6:$B$305,"0"),0)-1,0,1,10)),""))</f>
        <v/>
      </c>
      <c r="Q403" s="440" t="str">
        <f t="array" aca="1" ref="Q403" ca="1">IF(B403="","",IFERROR(MIN(OFFSET(安値!$E$6,MATCH(TEXT(B403,"0"),TEXT(銘柄管理!$B$6:$B$305,"0"),0)-1,0,1,10)),""))</f>
        <v/>
      </c>
      <c r="R403" s="440" t="str">
        <f t="shared" ca="1" si="139"/>
        <v/>
      </c>
      <c r="S403" s="440" t="str">
        <f t="shared" si="140"/>
        <v/>
      </c>
      <c r="T403" s="600" t="str">
        <f t="shared" ca="1" si="129"/>
        <v/>
      </c>
      <c r="U403" s="602" t="str">
        <f t="shared" ca="1" si="130"/>
        <v/>
      </c>
      <c r="V403" s="708" t="str">
        <f t="shared" ca="1" si="141"/>
        <v/>
      </c>
      <c r="W403" s="440" t="str">
        <f t="shared" ca="1" si="131"/>
        <v/>
      </c>
      <c r="X403" s="440" t="str">
        <f t="shared" ca="1" si="132"/>
        <v/>
      </c>
      <c r="AD403" s="611"/>
      <c r="AE403" s="603" t="str">
        <f t="shared" si="133"/>
        <v/>
      </c>
      <c r="AF403" s="603"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03"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03" t="str">
        <f t="shared" ca="1" si="134"/>
        <v/>
      </c>
      <c r="AI403" s="603" t="str" cm="1">
        <f t="array" ref="AI403">IFERROR(INDEX(始値!$E$6:$BT$305,MATCH(TEXT($B403,"0"),TEXT(銘柄管理!$B$6:$B$305,"0"),0),MATCH($AE403,始値!$E$3:$BT$3,0)),"")</f>
        <v/>
      </c>
      <c r="AJ403" s="603" t="str">
        <f t="shared" ca="1" si="135"/>
        <v/>
      </c>
      <c r="AK403" s="603" t="str">
        <f t="shared" ca="1" si="136"/>
        <v/>
      </c>
    </row>
    <row r="404" spans="1:37" ht="17.25" customHeight="1">
      <c r="A404" s="626" t="str">
        <f t="shared" si="125"/>
        <v/>
      </c>
      <c r="D404" s="440" t="str" cm="1">
        <f t="array" ref="D404">_xll.RssMarket(B404, "銘柄名称")</f>
        <v/>
      </c>
      <c r="E404" s="721"/>
      <c r="F404" s="702"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708" t="str" cm="1">
        <f t="array" ref="J404">_xll.RssMarket($B404, "前日比")</f>
        <v/>
      </c>
      <c r="K404" s="708" t="str">
        <f t="shared" ca="1" si="137"/>
        <v/>
      </c>
      <c r="L404" s="713" t="str">
        <f t="shared" ca="1" si="138"/>
        <v/>
      </c>
      <c r="M404" s="602" t="str">
        <f t="shared" ca="1" si="126"/>
        <v/>
      </c>
      <c r="N404" s="602" t="str">
        <f t="shared" ca="1" si="127"/>
        <v/>
      </c>
      <c r="O404" s="478" t="str">
        <f t="shared" ca="1" si="128"/>
        <v/>
      </c>
      <c r="P404" s="445" t="str">
        <f t="array" aca="1" ref="P404" ca="1">IF(B404="","",IFERROR(MAX(OFFSET(高値!$E$6,MATCH(TEXT(B404,"0"),TEXT(銘柄管理!$B$6:$B$305,"0"),0)-1,0,1,10)),""))</f>
        <v/>
      </c>
      <c r="Q404" s="440" t="str">
        <f t="array" aca="1" ref="Q404" ca="1">IF(B404="","",IFERROR(MIN(OFFSET(安値!$E$6,MATCH(TEXT(B404,"0"),TEXT(銘柄管理!$B$6:$B$305,"0"),0)-1,0,1,10)),""))</f>
        <v/>
      </c>
      <c r="R404" s="440" t="str">
        <f t="shared" ca="1" si="139"/>
        <v/>
      </c>
      <c r="S404" s="440" t="str">
        <f t="shared" si="140"/>
        <v/>
      </c>
      <c r="T404" s="600" t="str">
        <f t="shared" ca="1" si="129"/>
        <v/>
      </c>
      <c r="U404" s="602" t="str">
        <f t="shared" ca="1" si="130"/>
        <v/>
      </c>
      <c r="V404" s="708" t="str">
        <f t="shared" ca="1" si="141"/>
        <v/>
      </c>
      <c r="W404" s="440" t="str">
        <f t="shared" ca="1" si="131"/>
        <v/>
      </c>
      <c r="X404" s="440" t="str">
        <f t="shared" ca="1" si="132"/>
        <v/>
      </c>
      <c r="AD404" s="611"/>
      <c r="AE404" s="603" t="str">
        <f t="shared" si="133"/>
        <v/>
      </c>
      <c r="AF404" s="603"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03"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03" t="str">
        <f t="shared" ca="1" si="134"/>
        <v/>
      </c>
      <c r="AI404" s="603" t="str" cm="1">
        <f t="array" ref="AI404">IFERROR(INDEX(始値!$E$6:$BT$305,MATCH(TEXT($B404,"0"),TEXT(銘柄管理!$B$6:$B$305,"0"),0),MATCH($AE404,始値!$E$3:$BT$3,0)),"")</f>
        <v/>
      </c>
      <c r="AJ404" s="603" t="str">
        <f t="shared" ca="1" si="135"/>
        <v/>
      </c>
      <c r="AK404" s="603" t="str">
        <f t="shared" ca="1" si="136"/>
        <v/>
      </c>
    </row>
    <row r="405" spans="1:37" ht="17.25" customHeight="1">
      <c r="A405" s="626" t="str">
        <f t="shared" si="125"/>
        <v/>
      </c>
      <c r="D405" s="440" t="str" cm="1">
        <f t="array" ref="D405">_xll.RssMarket(B405, "銘柄名称")</f>
        <v/>
      </c>
      <c r="E405" s="721"/>
      <c r="F405" s="702"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708" t="str" cm="1">
        <f t="array" ref="J405">_xll.RssMarket($B405, "前日比")</f>
        <v/>
      </c>
      <c r="K405" s="708" t="str">
        <f t="shared" ca="1" si="137"/>
        <v/>
      </c>
      <c r="L405" s="713" t="str">
        <f t="shared" ca="1" si="138"/>
        <v/>
      </c>
      <c r="M405" s="602" t="str">
        <f t="shared" ca="1" si="126"/>
        <v/>
      </c>
      <c r="N405" s="602" t="str">
        <f t="shared" ca="1" si="127"/>
        <v/>
      </c>
      <c r="O405" s="478" t="str">
        <f t="shared" ca="1" si="128"/>
        <v/>
      </c>
      <c r="P405" s="445" t="str">
        <f t="array" aca="1" ref="P405" ca="1">IF(B405="","",IFERROR(MAX(OFFSET(高値!$E$6,MATCH(TEXT(B405,"0"),TEXT(銘柄管理!$B$6:$B$305,"0"),0)-1,0,1,10)),""))</f>
        <v/>
      </c>
      <c r="Q405" s="440" t="str">
        <f t="array" aca="1" ref="Q405" ca="1">IF(B405="","",IFERROR(MIN(OFFSET(安値!$E$6,MATCH(TEXT(B405,"0"),TEXT(銘柄管理!$B$6:$B$305,"0"),0)-1,0,1,10)),""))</f>
        <v/>
      </c>
      <c r="R405" s="440" t="str">
        <f t="shared" ca="1" si="139"/>
        <v/>
      </c>
      <c r="S405" s="440" t="str">
        <f t="shared" si="140"/>
        <v/>
      </c>
      <c r="T405" s="600" t="str">
        <f t="shared" ca="1" si="129"/>
        <v/>
      </c>
      <c r="U405" s="602" t="str">
        <f t="shared" ca="1" si="130"/>
        <v/>
      </c>
      <c r="V405" s="708" t="str">
        <f t="shared" ca="1" si="141"/>
        <v/>
      </c>
      <c r="W405" s="440" t="str">
        <f t="shared" ca="1" si="131"/>
        <v/>
      </c>
      <c r="X405" s="440" t="str">
        <f t="shared" ca="1" si="132"/>
        <v/>
      </c>
      <c r="AD405" s="611"/>
      <c r="AE405" s="603" t="str">
        <f t="shared" si="133"/>
        <v/>
      </c>
      <c r="AF405" s="603"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03"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03" t="str">
        <f t="shared" ca="1" si="134"/>
        <v/>
      </c>
      <c r="AI405" s="603" t="str" cm="1">
        <f t="array" ref="AI405">IFERROR(INDEX(始値!$E$6:$BT$305,MATCH(TEXT($B405,"0"),TEXT(銘柄管理!$B$6:$B$305,"0"),0),MATCH($AE405,始値!$E$3:$BT$3,0)),"")</f>
        <v/>
      </c>
      <c r="AJ405" s="603" t="str">
        <f t="shared" ca="1" si="135"/>
        <v/>
      </c>
      <c r="AK405" s="603" t="str">
        <f t="shared" ca="1" si="136"/>
        <v/>
      </c>
    </row>
    <row r="406" spans="1:37" ht="17.25" customHeight="1">
      <c r="A406" s="626" t="str">
        <f t="shared" si="125"/>
        <v/>
      </c>
      <c r="D406" s="440" t="str" cm="1">
        <f t="array" ref="D406">_xll.RssMarket(B406, "銘柄名称")</f>
        <v/>
      </c>
      <c r="E406" s="721"/>
      <c r="F406" s="702"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708" t="str" cm="1">
        <f t="array" ref="J406">_xll.RssMarket($B406, "前日比")</f>
        <v/>
      </c>
      <c r="K406" s="708" t="str">
        <f t="shared" ca="1" si="137"/>
        <v/>
      </c>
      <c r="L406" s="713" t="str">
        <f t="shared" ca="1" si="138"/>
        <v/>
      </c>
      <c r="M406" s="602" t="str">
        <f t="shared" ca="1" si="126"/>
        <v/>
      </c>
      <c r="N406" s="602" t="str">
        <f t="shared" ca="1" si="127"/>
        <v/>
      </c>
      <c r="O406" s="478" t="str">
        <f t="shared" ca="1" si="128"/>
        <v/>
      </c>
      <c r="P406" s="445" t="str">
        <f t="array" aca="1" ref="P406" ca="1">IF(B406="","",IFERROR(MAX(OFFSET(高値!$E$6,MATCH(TEXT(B406,"0"),TEXT(銘柄管理!$B$6:$B$305,"0"),0)-1,0,1,10)),""))</f>
        <v/>
      </c>
      <c r="Q406" s="440" t="str">
        <f t="array" aca="1" ref="Q406" ca="1">IF(B406="","",IFERROR(MIN(OFFSET(安値!$E$6,MATCH(TEXT(B406,"0"),TEXT(銘柄管理!$B$6:$B$305,"0"),0)-1,0,1,10)),""))</f>
        <v/>
      </c>
      <c r="R406" s="440" t="str">
        <f t="shared" ca="1" si="139"/>
        <v/>
      </c>
      <c r="S406" s="440" t="str">
        <f t="shared" si="140"/>
        <v/>
      </c>
      <c r="T406" s="600" t="str">
        <f t="shared" ca="1" si="129"/>
        <v/>
      </c>
      <c r="U406" s="602" t="str">
        <f t="shared" ca="1" si="130"/>
        <v/>
      </c>
      <c r="V406" s="708" t="str">
        <f t="shared" ca="1" si="141"/>
        <v/>
      </c>
      <c r="W406" s="440" t="str">
        <f t="shared" ca="1" si="131"/>
        <v/>
      </c>
      <c r="X406" s="440" t="str">
        <f t="shared" ca="1" si="132"/>
        <v/>
      </c>
      <c r="AD406" s="611"/>
      <c r="AE406" s="603" t="str">
        <f t="shared" si="133"/>
        <v/>
      </c>
      <c r="AF406" s="603"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03"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03" t="str">
        <f t="shared" ca="1" si="134"/>
        <v/>
      </c>
      <c r="AI406" s="603" t="str" cm="1">
        <f t="array" ref="AI406">IFERROR(INDEX(始値!$E$6:$BT$305,MATCH(TEXT($B406,"0"),TEXT(銘柄管理!$B$6:$B$305,"0"),0),MATCH($AE406,始値!$E$3:$BT$3,0)),"")</f>
        <v/>
      </c>
      <c r="AJ406" s="603" t="str">
        <f t="shared" ca="1" si="135"/>
        <v/>
      </c>
      <c r="AK406" s="603" t="str">
        <f t="shared" ca="1" si="136"/>
        <v/>
      </c>
    </row>
    <row r="407" spans="1:37" ht="17.25" customHeight="1">
      <c r="A407" s="626" t="str">
        <f t="shared" si="125"/>
        <v/>
      </c>
      <c r="D407" s="440" t="str" cm="1">
        <f t="array" ref="D407">_xll.RssMarket(B407, "銘柄名称")</f>
        <v/>
      </c>
      <c r="E407" s="721"/>
      <c r="F407" s="702"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708" t="str" cm="1">
        <f t="array" ref="J407">_xll.RssMarket($B407, "前日比")</f>
        <v/>
      </c>
      <c r="K407" s="708" t="str">
        <f t="shared" ca="1" si="137"/>
        <v/>
      </c>
      <c r="L407" s="713" t="str">
        <f t="shared" ca="1" si="138"/>
        <v/>
      </c>
      <c r="M407" s="602" t="str">
        <f t="shared" ca="1" si="126"/>
        <v/>
      </c>
      <c r="N407" s="602" t="str">
        <f t="shared" ca="1" si="127"/>
        <v/>
      </c>
      <c r="O407" s="478" t="str">
        <f t="shared" ca="1" si="128"/>
        <v/>
      </c>
      <c r="P407" s="445" t="str">
        <f t="array" aca="1" ref="P407" ca="1">IF(B407="","",IFERROR(MAX(OFFSET(高値!$E$6,MATCH(TEXT(B407,"0"),TEXT(銘柄管理!$B$6:$B$305,"0"),0)-1,0,1,10)),""))</f>
        <v/>
      </c>
      <c r="Q407" s="440" t="str">
        <f t="array" aca="1" ref="Q407" ca="1">IF(B407="","",IFERROR(MIN(OFFSET(安値!$E$6,MATCH(TEXT(B407,"0"),TEXT(銘柄管理!$B$6:$B$305,"0"),0)-1,0,1,10)),""))</f>
        <v/>
      </c>
      <c r="R407" s="440" t="str">
        <f t="shared" ca="1" si="139"/>
        <v/>
      </c>
      <c r="S407" s="440" t="str">
        <f t="shared" si="140"/>
        <v/>
      </c>
      <c r="T407" s="600" t="str">
        <f t="shared" ca="1" si="129"/>
        <v/>
      </c>
      <c r="U407" s="602" t="str">
        <f t="shared" ca="1" si="130"/>
        <v/>
      </c>
      <c r="V407" s="708" t="str">
        <f t="shared" ca="1" si="141"/>
        <v/>
      </c>
      <c r="W407" s="440" t="str">
        <f t="shared" ca="1" si="131"/>
        <v/>
      </c>
      <c r="X407" s="440" t="str">
        <f t="shared" ca="1" si="132"/>
        <v/>
      </c>
      <c r="AD407" s="611"/>
      <c r="AE407" s="603" t="str">
        <f t="shared" si="133"/>
        <v/>
      </c>
      <c r="AF407" s="603"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03"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03" t="str">
        <f t="shared" ca="1" si="134"/>
        <v/>
      </c>
      <c r="AI407" s="603" t="str" cm="1">
        <f t="array" ref="AI407">IFERROR(INDEX(始値!$E$6:$BT$305,MATCH(TEXT($B407,"0"),TEXT(銘柄管理!$B$6:$B$305,"0"),0),MATCH($AE407,始値!$E$3:$BT$3,0)),"")</f>
        <v/>
      </c>
      <c r="AJ407" s="603" t="str">
        <f t="shared" ca="1" si="135"/>
        <v/>
      </c>
      <c r="AK407" s="603" t="str">
        <f t="shared" ca="1" si="136"/>
        <v/>
      </c>
    </row>
    <row r="408" spans="1:37" ht="17.25" customHeight="1">
      <c r="A408" s="626" t="str">
        <f t="shared" si="125"/>
        <v/>
      </c>
      <c r="D408" s="440" t="str" cm="1">
        <f t="array" ref="D408">_xll.RssMarket(B408, "銘柄名称")</f>
        <v/>
      </c>
      <c r="E408" s="721"/>
      <c r="F408" s="702"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708" t="str" cm="1">
        <f t="array" ref="J408">_xll.RssMarket($B408, "前日比")</f>
        <v/>
      </c>
      <c r="K408" s="708" t="str">
        <f t="shared" ca="1" si="137"/>
        <v/>
      </c>
      <c r="L408" s="713" t="str">
        <f t="shared" ca="1" si="138"/>
        <v/>
      </c>
      <c r="M408" s="602" t="str">
        <f t="shared" ca="1" si="126"/>
        <v/>
      </c>
      <c r="N408" s="602" t="str">
        <f t="shared" ca="1" si="127"/>
        <v/>
      </c>
      <c r="O408" s="478" t="str">
        <f t="shared" ca="1" si="128"/>
        <v/>
      </c>
      <c r="P408" s="445" t="str">
        <f t="array" aca="1" ref="P408" ca="1">IF(B408="","",IFERROR(MAX(OFFSET(高値!$E$6,MATCH(TEXT(B408,"0"),TEXT(銘柄管理!$B$6:$B$305,"0"),0)-1,0,1,10)),""))</f>
        <v/>
      </c>
      <c r="Q408" s="440" t="str">
        <f t="array" aca="1" ref="Q408" ca="1">IF(B408="","",IFERROR(MIN(OFFSET(安値!$E$6,MATCH(TEXT(B408,"0"),TEXT(銘柄管理!$B$6:$B$305,"0"),0)-1,0,1,10)),""))</f>
        <v/>
      </c>
      <c r="R408" s="440" t="str">
        <f t="shared" ca="1" si="139"/>
        <v/>
      </c>
      <c r="S408" s="440" t="str">
        <f t="shared" si="140"/>
        <v/>
      </c>
      <c r="T408" s="600" t="str">
        <f t="shared" ca="1" si="129"/>
        <v/>
      </c>
      <c r="U408" s="602" t="str">
        <f t="shared" ca="1" si="130"/>
        <v/>
      </c>
      <c r="V408" s="708" t="str">
        <f t="shared" ca="1" si="141"/>
        <v/>
      </c>
      <c r="W408" s="440" t="str">
        <f t="shared" ca="1" si="131"/>
        <v/>
      </c>
      <c r="X408" s="440" t="str">
        <f t="shared" ca="1" si="132"/>
        <v/>
      </c>
      <c r="AD408" s="611"/>
      <c r="AE408" s="603" t="str">
        <f t="shared" si="133"/>
        <v/>
      </c>
      <c r="AF408" s="603"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03"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03" t="str">
        <f t="shared" ca="1" si="134"/>
        <v/>
      </c>
      <c r="AI408" s="603" t="str" cm="1">
        <f t="array" ref="AI408">IFERROR(INDEX(始値!$E$6:$BT$305,MATCH(TEXT($B408,"0"),TEXT(銘柄管理!$B$6:$B$305,"0"),0),MATCH($AE408,始値!$E$3:$BT$3,0)),"")</f>
        <v/>
      </c>
      <c r="AJ408" s="603" t="str">
        <f t="shared" ca="1" si="135"/>
        <v/>
      </c>
      <c r="AK408" s="603" t="str">
        <f t="shared" ca="1" si="136"/>
        <v/>
      </c>
    </row>
    <row r="409" spans="1:37" ht="17.25" customHeight="1">
      <c r="A409" s="626" t="str">
        <f t="shared" si="125"/>
        <v/>
      </c>
      <c r="D409" s="440" t="str" cm="1">
        <f t="array" ref="D409">_xll.RssMarket(B409, "銘柄名称")</f>
        <v/>
      </c>
      <c r="E409" s="721"/>
      <c r="F409" s="702"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708" t="str" cm="1">
        <f t="array" ref="J409">_xll.RssMarket($B409, "前日比")</f>
        <v/>
      </c>
      <c r="K409" s="708" t="str">
        <f t="shared" ca="1" si="137"/>
        <v/>
      </c>
      <c r="L409" s="713" t="str">
        <f t="shared" ca="1" si="138"/>
        <v/>
      </c>
      <c r="M409" s="602" t="str">
        <f t="shared" ca="1" si="126"/>
        <v/>
      </c>
      <c r="N409" s="602" t="str">
        <f t="shared" ca="1" si="127"/>
        <v/>
      </c>
      <c r="O409" s="478" t="str">
        <f t="shared" ca="1" si="128"/>
        <v/>
      </c>
      <c r="P409" s="445" t="str">
        <f t="array" aca="1" ref="P409" ca="1">IF(B409="","",IFERROR(MAX(OFFSET(高値!$E$6,MATCH(TEXT(B409,"0"),TEXT(銘柄管理!$B$6:$B$305,"0"),0)-1,0,1,10)),""))</f>
        <v/>
      </c>
      <c r="Q409" s="440" t="str">
        <f t="array" aca="1" ref="Q409" ca="1">IF(B409="","",IFERROR(MIN(OFFSET(安値!$E$6,MATCH(TEXT(B409,"0"),TEXT(銘柄管理!$B$6:$B$305,"0"),0)-1,0,1,10)),""))</f>
        <v/>
      </c>
      <c r="R409" s="440" t="str">
        <f t="shared" ca="1" si="139"/>
        <v/>
      </c>
      <c r="S409" s="440" t="str">
        <f t="shared" si="140"/>
        <v/>
      </c>
      <c r="T409" s="600" t="str">
        <f t="shared" ca="1" si="129"/>
        <v/>
      </c>
      <c r="U409" s="602" t="str">
        <f t="shared" ca="1" si="130"/>
        <v/>
      </c>
      <c r="V409" s="708" t="str">
        <f t="shared" ca="1" si="141"/>
        <v/>
      </c>
      <c r="W409" s="440" t="str">
        <f t="shared" ca="1" si="131"/>
        <v/>
      </c>
      <c r="X409" s="440" t="str">
        <f t="shared" ca="1" si="132"/>
        <v/>
      </c>
      <c r="AD409" s="611"/>
      <c r="AE409" s="603" t="str">
        <f t="shared" si="133"/>
        <v/>
      </c>
      <c r="AF409" s="603"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03"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03" t="str">
        <f t="shared" ca="1" si="134"/>
        <v/>
      </c>
      <c r="AI409" s="603" t="str" cm="1">
        <f t="array" ref="AI409">IFERROR(INDEX(始値!$E$6:$BT$305,MATCH(TEXT($B409,"0"),TEXT(銘柄管理!$B$6:$B$305,"0"),0),MATCH($AE409,始値!$E$3:$BT$3,0)),"")</f>
        <v/>
      </c>
      <c r="AJ409" s="603" t="str">
        <f t="shared" ca="1" si="135"/>
        <v/>
      </c>
      <c r="AK409" s="603" t="str">
        <f t="shared" ca="1" si="136"/>
        <v/>
      </c>
    </row>
    <row r="410" spans="1:37" ht="17.25" customHeight="1">
      <c r="A410" s="626" t="str">
        <f t="shared" si="125"/>
        <v/>
      </c>
      <c r="D410" s="440" t="str" cm="1">
        <f t="array" ref="D410">_xll.RssMarket(B410, "銘柄名称")</f>
        <v/>
      </c>
      <c r="E410" s="721"/>
      <c r="F410" s="702"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708" t="str" cm="1">
        <f t="array" ref="J410">_xll.RssMarket($B410, "前日比")</f>
        <v/>
      </c>
      <c r="K410" s="708" t="str">
        <f t="shared" ca="1" si="137"/>
        <v/>
      </c>
      <c r="L410" s="713" t="str">
        <f t="shared" ca="1" si="138"/>
        <v/>
      </c>
      <c r="M410" s="602" t="str">
        <f t="shared" ca="1" si="126"/>
        <v/>
      </c>
      <c r="N410" s="602" t="str">
        <f t="shared" ca="1" si="127"/>
        <v/>
      </c>
      <c r="O410" s="478" t="str">
        <f t="shared" ca="1" si="128"/>
        <v/>
      </c>
      <c r="P410" s="445" t="str">
        <f t="array" aca="1" ref="P410" ca="1">IF(B410="","",IFERROR(MAX(OFFSET(高値!$E$6,MATCH(TEXT(B410,"0"),TEXT(銘柄管理!$B$6:$B$305,"0"),0)-1,0,1,10)),""))</f>
        <v/>
      </c>
      <c r="Q410" s="440" t="str">
        <f t="array" aca="1" ref="Q410" ca="1">IF(B410="","",IFERROR(MIN(OFFSET(安値!$E$6,MATCH(TEXT(B410,"0"),TEXT(銘柄管理!$B$6:$B$305,"0"),0)-1,0,1,10)),""))</f>
        <v/>
      </c>
      <c r="R410" s="440" t="str">
        <f t="shared" ca="1" si="139"/>
        <v/>
      </c>
      <c r="S410" s="440" t="str">
        <f t="shared" si="140"/>
        <v/>
      </c>
      <c r="T410" s="600" t="str">
        <f t="shared" ca="1" si="129"/>
        <v/>
      </c>
      <c r="U410" s="602" t="str">
        <f t="shared" ca="1" si="130"/>
        <v/>
      </c>
      <c r="V410" s="708" t="str">
        <f t="shared" ca="1" si="141"/>
        <v/>
      </c>
      <c r="W410" s="440" t="str">
        <f t="shared" ca="1" si="131"/>
        <v/>
      </c>
      <c r="X410" s="440" t="str">
        <f t="shared" ca="1" si="132"/>
        <v/>
      </c>
      <c r="AD410" s="611"/>
      <c r="AE410" s="603" t="str">
        <f t="shared" si="133"/>
        <v/>
      </c>
      <c r="AF410" s="603"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03"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03" t="str">
        <f t="shared" ca="1" si="134"/>
        <v/>
      </c>
      <c r="AI410" s="603" t="str" cm="1">
        <f t="array" ref="AI410">IFERROR(INDEX(始値!$E$6:$BT$305,MATCH(TEXT($B410,"0"),TEXT(銘柄管理!$B$6:$B$305,"0"),0),MATCH($AE410,始値!$E$3:$BT$3,0)),"")</f>
        <v/>
      </c>
      <c r="AJ410" s="603" t="str">
        <f t="shared" ca="1" si="135"/>
        <v/>
      </c>
      <c r="AK410" s="603" t="str">
        <f t="shared" ca="1" si="136"/>
        <v/>
      </c>
    </row>
    <row r="411" spans="1:37" ht="17.25" customHeight="1">
      <c r="A411" s="626" t="str">
        <f t="shared" si="125"/>
        <v/>
      </c>
      <c r="D411" s="440" t="str" cm="1">
        <f t="array" ref="D411">_xll.RssMarket(B411, "銘柄名称")</f>
        <v/>
      </c>
      <c r="E411" s="721"/>
      <c r="F411" s="702"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708" t="str" cm="1">
        <f t="array" ref="J411">_xll.RssMarket($B411, "前日比")</f>
        <v/>
      </c>
      <c r="K411" s="708" t="str">
        <f t="shared" ca="1" si="137"/>
        <v/>
      </c>
      <c r="L411" s="713" t="str">
        <f t="shared" ca="1" si="138"/>
        <v/>
      </c>
      <c r="M411" s="602" t="str">
        <f t="shared" ca="1" si="126"/>
        <v/>
      </c>
      <c r="N411" s="602" t="str">
        <f t="shared" ca="1" si="127"/>
        <v/>
      </c>
      <c r="O411" s="478" t="str">
        <f t="shared" ca="1" si="128"/>
        <v/>
      </c>
      <c r="P411" s="445" t="str">
        <f t="array" aca="1" ref="P411" ca="1">IF(B411="","",IFERROR(MAX(OFFSET(高値!$E$6,MATCH(TEXT(B411,"0"),TEXT(銘柄管理!$B$6:$B$305,"0"),0)-1,0,1,10)),""))</f>
        <v/>
      </c>
      <c r="Q411" s="440" t="str">
        <f t="array" aca="1" ref="Q411" ca="1">IF(B411="","",IFERROR(MIN(OFFSET(安値!$E$6,MATCH(TEXT(B411,"0"),TEXT(銘柄管理!$B$6:$B$305,"0"),0)-1,0,1,10)),""))</f>
        <v/>
      </c>
      <c r="R411" s="440" t="str">
        <f t="shared" ca="1" si="139"/>
        <v/>
      </c>
      <c r="S411" s="440" t="str">
        <f t="shared" si="140"/>
        <v/>
      </c>
      <c r="T411" s="600" t="str">
        <f t="shared" ca="1" si="129"/>
        <v/>
      </c>
      <c r="U411" s="602" t="str">
        <f t="shared" ca="1" si="130"/>
        <v/>
      </c>
      <c r="V411" s="708" t="str">
        <f t="shared" ca="1" si="141"/>
        <v/>
      </c>
      <c r="W411" s="440" t="str">
        <f t="shared" ca="1" si="131"/>
        <v/>
      </c>
      <c r="X411" s="440" t="str">
        <f t="shared" ca="1" si="132"/>
        <v/>
      </c>
      <c r="AD411" s="611"/>
      <c r="AE411" s="603" t="str">
        <f t="shared" si="133"/>
        <v/>
      </c>
      <c r="AF411" s="603"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03"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03" t="str">
        <f t="shared" ca="1" si="134"/>
        <v/>
      </c>
      <c r="AI411" s="603" t="str" cm="1">
        <f t="array" ref="AI411">IFERROR(INDEX(始値!$E$6:$BT$305,MATCH(TEXT($B411,"0"),TEXT(銘柄管理!$B$6:$B$305,"0"),0),MATCH($AE411,始値!$E$3:$BT$3,0)),"")</f>
        <v/>
      </c>
      <c r="AJ411" s="603" t="str">
        <f t="shared" ca="1" si="135"/>
        <v/>
      </c>
      <c r="AK411" s="603" t="str">
        <f t="shared" ca="1" si="136"/>
        <v/>
      </c>
    </row>
    <row r="412" spans="1:37" ht="17.25" customHeight="1">
      <c r="A412" s="626" t="str">
        <f t="shared" si="125"/>
        <v/>
      </c>
      <c r="D412" s="440" t="str" cm="1">
        <f t="array" ref="D412">_xll.RssMarket(B412, "銘柄名称")</f>
        <v/>
      </c>
      <c r="E412" s="721"/>
      <c r="F412" s="702"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708" t="str" cm="1">
        <f t="array" ref="J412">_xll.RssMarket($B412, "前日比")</f>
        <v/>
      </c>
      <c r="K412" s="708" t="str">
        <f t="shared" ca="1" si="137"/>
        <v/>
      </c>
      <c r="L412" s="713" t="str">
        <f t="shared" ca="1" si="138"/>
        <v/>
      </c>
      <c r="M412" s="602" t="str">
        <f t="shared" ca="1" si="126"/>
        <v/>
      </c>
      <c r="N412" s="602" t="str">
        <f t="shared" ca="1" si="127"/>
        <v/>
      </c>
      <c r="O412" s="478" t="str">
        <f t="shared" ca="1" si="128"/>
        <v/>
      </c>
      <c r="P412" s="445" t="str">
        <f t="array" aca="1" ref="P412" ca="1">IF(B412="","",IFERROR(MAX(OFFSET(高値!$E$6,MATCH(TEXT(B412,"0"),TEXT(銘柄管理!$B$6:$B$305,"0"),0)-1,0,1,10)),""))</f>
        <v/>
      </c>
      <c r="Q412" s="440" t="str">
        <f t="array" aca="1" ref="Q412" ca="1">IF(B412="","",IFERROR(MIN(OFFSET(安値!$E$6,MATCH(TEXT(B412,"0"),TEXT(銘柄管理!$B$6:$B$305,"0"),0)-1,0,1,10)),""))</f>
        <v/>
      </c>
      <c r="R412" s="440" t="str">
        <f t="shared" ca="1" si="139"/>
        <v/>
      </c>
      <c r="S412" s="440" t="str">
        <f t="shared" si="140"/>
        <v/>
      </c>
      <c r="T412" s="600" t="str">
        <f t="shared" ca="1" si="129"/>
        <v/>
      </c>
      <c r="U412" s="602" t="str">
        <f t="shared" ca="1" si="130"/>
        <v/>
      </c>
      <c r="V412" s="708" t="str">
        <f t="shared" ca="1" si="141"/>
        <v/>
      </c>
      <c r="W412" s="440" t="str">
        <f t="shared" ca="1" si="131"/>
        <v/>
      </c>
      <c r="X412" s="440" t="str">
        <f t="shared" ca="1" si="132"/>
        <v/>
      </c>
      <c r="AD412" s="611"/>
      <c r="AE412" s="603" t="str">
        <f t="shared" si="133"/>
        <v/>
      </c>
      <c r="AF412" s="603"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03"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03" t="str">
        <f t="shared" ca="1" si="134"/>
        <v/>
      </c>
      <c r="AI412" s="603" t="str" cm="1">
        <f t="array" ref="AI412">IFERROR(INDEX(始値!$E$6:$BT$305,MATCH(TEXT($B412,"0"),TEXT(銘柄管理!$B$6:$B$305,"0"),0),MATCH($AE412,始値!$E$3:$BT$3,0)),"")</f>
        <v/>
      </c>
      <c r="AJ412" s="603" t="str">
        <f t="shared" ca="1" si="135"/>
        <v/>
      </c>
      <c r="AK412" s="603" t="str">
        <f t="shared" ca="1" si="136"/>
        <v/>
      </c>
    </row>
    <row r="413" spans="1:37" ht="17.25" customHeight="1">
      <c r="A413" s="626" t="str">
        <f t="shared" si="125"/>
        <v/>
      </c>
      <c r="D413" s="440" t="str" cm="1">
        <f t="array" ref="D413">_xll.RssMarket(B413, "銘柄名称")</f>
        <v/>
      </c>
      <c r="E413" s="721"/>
      <c r="F413" s="702"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708" t="str" cm="1">
        <f t="array" ref="J413">_xll.RssMarket($B413, "前日比")</f>
        <v/>
      </c>
      <c r="K413" s="708" t="str">
        <f t="shared" ca="1" si="137"/>
        <v/>
      </c>
      <c r="L413" s="713" t="str">
        <f t="shared" ca="1" si="138"/>
        <v/>
      </c>
      <c r="M413" s="602" t="str">
        <f t="shared" ca="1" si="126"/>
        <v/>
      </c>
      <c r="N413" s="602" t="str">
        <f t="shared" ca="1" si="127"/>
        <v/>
      </c>
      <c r="O413" s="478" t="str">
        <f t="shared" ca="1" si="128"/>
        <v/>
      </c>
      <c r="P413" s="445" t="str">
        <f t="array" aca="1" ref="P413" ca="1">IF(B413="","",IFERROR(MAX(OFFSET(高値!$E$6,MATCH(TEXT(B413,"0"),TEXT(銘柄管理!$B$6:$B$305,"0"),0)-1,0,1,10)),""))</f>
        <v/>
      </c>
      <c r="Q413" s="440" t="str">
        <f t="array" aca="1" ref="Q413" ca="1">IF(B413="","",IFERROR(MIN(OFFSET(安値!$E$6,MATCH(TEXT(B413,"0"),TEXT(銘柄管理!$B$6:$B$305,"0"),0)-1,0,1,10)),""))</f>
        <v/>
      </c>
      <c r="R413" s="440" t="str">
        <f t="shared" ca="1" si="139"/>
        <v/>
      </c>
      <c r="S413" s="440" t="str">
        <f t="shared" si="140"/>
        <v/>
      </c>
      <c r="T413" s="600" t="str">
        <f t="shared" ca="1" si="129"/>
        <v/>
      </c>
      <c r="U413" s="602" t="str">
        <f t="shared" ca="1" si="130"/>
        <v/>
      </c>
      <c r="V413" s="708" t="str">
        <f t="shared" ca="1" si="141"/>
        <v/>
      </c>
      <c r="W413" s="440" t="str">
        <f t="shared" ca="1" si="131"/>
        <v/>
      </c>
      <c r="X413" s="440" t="str">
        <f t="shared" ca="1" si="132"/>
        <v/>
      </c>
      <c r="AD413" s="611"/>
      <c r="AE413" s="603" t="str">
        <f t="shared" si="133"/>
        <v/>
      </c>
      <c r="AF413" s="603"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03"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03" t="str">
        <f t="shared" ca="1" si="134"/>
        <v/>
      </c>
      <c r="AI413" s="603" t="str" cm="1">
        <f t="array" ref="AI413">IFERROR(INDEX(始値!$E$6:$BT$305,MATCH(TEXT($B413,"0"),TEXT(銘柄管理!$B$6:$B$305,"0"),0),MATCH($AE413,始値!$E$3:$BT$3,0)),"")</f>
        <v/>
      </c>
      <c r="AJ413" s="603" t="str">
        <f t="shared" ca="1" si="135"/>
        <v/>
      </c>
      <c r="AK413" s="603" t="str">
        <f t="shared" ca="1" si="136"/>
        <v/>
      </c>
    </row>
    <row r="414" spans="1:37" ht="17.25" customHeight="1">
      <c r="A414" s="626" t="str">
        <f t="shared" si="125"/>
        <v/>
      </c>
      <c r="D414" s="440" t="str" cm="1">
        <f t="array" ref="D414">_xll.RssMarket(B414, "銘柄名称")</f>
        <v/>
      </c>
      <c r="E414" s="721"/>
      <c r="F414" s="702"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708" t="str" cm="1">
        <f t="array" ref="J414">_xll.RssMarket($B414, "前日比")</f>
        <v/>
      </c>
      <c r="K414" s="708" t="str">
        <f t="shared" ca="1" si="137"/>
        <v/>
      </c>
      <c r="L414" s="713" t="str">
        <f t="shared" ca="1" si="138"/>
        <v/>
      </c>
      <c r="M414" s="602" t="str">
        <f t="shared" ca="1" si="126"/>
        <v/>
      </c>
      <c r="N414" s="602" t="str">
        <f t="shared" ca="1" si="127"/>
        <v/>
      </c>
      <c r="O414" s="478" t="str">
        <f t="shared" ca="1" si="128"/>
        <v/>
      </c>
      <c r="P414" s="445" t="str">
        <f t="array" aca="1" ref="P414" ca="1">IF(B414="","",IFERROR(MAX(OFFSET(高値!$E$6,MATCH(TEXT(B414,"0"),TEXT(銘柄管理!$B$6:$B$305,"0"),0)-1,0,1,10)),""))</f>
        <v/>
      </c>
      <c r="Q414" s="440" t="str">
        <f t="array" aca="1" ref="Q414" ca="1">IF(B414="","",IFERROR(MIN(OFFSET(安値!$E$6,MATCH(TEXT(B414,"0"),TEXT(銘柄管理!$B$6:$B$305,"0"),0)-1,0,1,10)),""))</f>
        <v/>
      </c>
      <c r="R414" s="440" t="str">
        <f t="shared" ca="1" si="139"/>
        <v/>
      </c>
      <c r="S414" s="440" t="str">
        <f t="shared" si="140"/>
        <v/>
      </c>
      <c r="T414" s="600" t="str">
        <f t="shared" ca="1" si="129"/>
        <v/>
      </c>
      <c r="U414" s="602" t="str">
        <f t="shared" ca="1" si="130"/>
        <v/>
      </c>
      <c r="V414" s="708" t="str">
        <f t="shared" ca="1" si="141"/>
        <v/>
      </c>
      <c r="W414" s="440" t="str">
        <f t="shared" ca="1" si="131"/>
        <v/>
      </c>
      <c r="X414" s="440" t="str">
        <f t="shared" ca="1" si="132"/>
        <v/>
      </c>
      <c r="AD414" s="611"/>
      <c r="AE414" s="603" t="str">
        <f t="shared" si="133"/>
        <v/>
      </c>
      <c r="AF414" s="603"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03"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03" t="str">
        <f t="shared" ca="1" si="134"/>
        <v/>
      </c>
      <c r="AI414" s="603" t="str" cm="1">
        <f t="array" ref="AI414">IFERROR(INDEX(始値!$E$6:$BT$305,MATCH(TEXT($B414,"0"),TEXT(銘柄管理!$B$6:$B$305,"0"),0),MATCH($AE414,始値!$E$3:$BT$3,0)),"")</f>
        <v/>
      </c>
      <c r="AJ414" s="603" t="str">
        <f t="shared" ca="1" si="135"/>
        <v/>
      </c>
      <c r="AK414" s="603" t="str">
        <f t="shared" ca="1" si="136"/>
        <v/>
      </c>
    </row>
    <row r="415" spans="1:37" ht="17.25" customHeight="1">
      <c r="A415" s="626" t="str">
        <f t="shared" si="125"/>
        <v/>
      </c>
      <c r="D415" s="440" t="str" cm="1">
        <f t="array" ref="D415">_xll.RssMarket(B415, "銘柄名称")</f>
        <v/>
      </c>
      <c r="E415" s="721"/>
      <c r="F415" s="702"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708" t="str" cm="1">
        <f t="array" ref="J415">_xll.RssMarket($B415, "前日比")</f>
        <v/>
      </c>
      <c r="K415" s="708" t="str">
        <f t="shared" ca="1" si="137"/>
        <v/>
      </c>
      <c r="L415" s="713" t="str">
        <f t="shared" ca="1" si="138"/>
        <v/>
      </c>
      <c r="M415" s="602" t="str">
        <f t="shared" ca="1" si="126"/>
        <v/>
      </c>
      <c r="N415" s="602" t="str">
        <f t="shared" ca="1" si="127"/>
        <v/>
      </c>
      <c r="O415" s="478" t="str">
        <f t="shared" ca="1" si="128"/>
        <v/>
      </c>
      <c r="P415" s="445" t="str">
        <f t="array" aca="1" ref="P415" ca="1">IF(B415="","",IFERROR(MAX(OFFSET(高値!$E$6,MATCH(TEXT(B415,"0"),TEXT(銘柄管理!$B$6:$B$305,"0"),0)-1,0,1,10)),""))</f>
        <v/>
      </c>
      <c r="Q415" s="440" t="str">
        <f t="array" aca="1" ref="Q415" ca="1">IF(B415="","",IFERROR(MIN(OFFSET(安値!$E$6,MATCH(TEXT(B415,"0"),TEXT(銘柄管理!$B$6:$B$305,"0"),0)-1,0,1,10)),""))</f>
        <v/>
      </c>
      <c r="R415" s="440" t="str">
        <f t="shared" ca="1" si="139"/>
        <v/>
      </c>
      <c r="S415" s="440" t="str">
        <f t="shared" si="140"/>
        <v/>
      </c>
      <c r="T415" s="600" t="str">
        <f t="shared" ca="1" si="129"/>
        <v/>
      </c>
      <c r="U415" s="602" t="str">
        <f t="shared" ca="1" si="130"/>
        <v/>
      </c>
      <c r="V415" s="708" t="str">
        <f t="shared" ca="1" si="141"/>
        <v/>
      </c>
      <c r="W415" s="440" t="str">
        <f t="shared" ca="1" si="131"/>
        <v/>
      </c>
      <c r="X415" s="440" t="str">
        <f t="shared" ca="1" si="132"/>
        <v/>
      </c>
      <c r="AD415" s="611"/>
      <c r="AE415" s="603" t="str">
        <f t="shared" si="133"/>
        <v/>
      </c>
      <c r="AF415" s="603"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03"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03" t="str">
        <f t="shared" ca="1" si="134"/>
        <v/>
      </c>
      <c r="AI415" s="603" t="str" cm="1">
        <f t="array" ref="AI415">IFERROR(INDEX(始値!$E$6:$BT$305,MATCH(TEXT($B415,"0"),TEXT(銘柄管理!$B$6:$B$305,"0"),0),MATCH($AE415,始値!$E$3:$BT$3,0)),"")</f>
        <v/>
      </c>
      <c r="AJ415" s="603" t="str">
        <f t="shared" ca="1" si="135"/>
        <v/>
      </c>
      <c r="AK415" s="603" t="str">
        <f t="shared" ca="1" si="136"/>
        <v/>
      </c>
    </row>
    <row r="416" spans="1:37" ht="17.25" customHeight="1">
      <c r="A416" s="626" t="str">
        <f t="shared" si="125"/>
        <v/>
      </c>
      <c r="D416" s="440" t="str" cm="1">
        <f t="array" ref="D416">_xll.RssMarket(B416, "銘柄名称")</f>
        <v/>
      </c>
      <c r="E416" s="721"/>
      <c r="F416" s="702"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708" t="str" cm="1">
        <f t="array" ref="J416">_xll.RssMarket($B416, "前日比")</f>
        <v/>
      </c>
      <c r="K416" s="708" t="str">
        <f t="shared" ca="1" si="137"/>
        <v/>
      </c>
      <c r="L416" s="713" t="str">
        <f t="shared" ca="1" si="138"/>
        <v/>
      </c>
      <c r="M416" s="602" t="str">
        <f t="shared" ca="1" si="126"/>
        <v/>
      </c>
      <c r="N416" s="602" t="str">
        <f t="shared" ca="1" si="127"/>
        <v/>
      </c>
      <c r="O416" s="478" t="str">
        <f t="shared" ca="1" si="128"/>
        <v/>
      </c>
      <c r="P416" s="445" t="str">
        <f t="array" aca="1" ref="P416" ca="1">IF(B416="","",IFERROR(MAX(OFFSET(高値!$E$6,MATCH(TEXT(B416,"0"),TEXT(銘柄管理!$B$6:$B$305,"0"),0)-1,0,1,10)),""))</f>
        <v/>
      </c>
      <c r="Q416" s="440" t="str">
        <f t="array" aca="1" ref="Q416" ca="1">IF(B416="","",IFERROR(MIN(OFFSET(安値!$E$6,MATCH(TEXT(B416,"0"),TEXT(銘柄管理!$B$6:$B$305,"0"),0)-1,0,1,10)),""))</f>
        <v/>
      </c>
      <c r="R416" s="440" t="str">
        <f t="shared" ca="1" si="139"/>
        <v/>
      </c>
      <c r="S416" s="440" t="str">
        <f t="shared" si="140"/>
        <v/>
      </c>
      <c r="T416" s="600" t="str">
        <f t="shared" ca="1" si="129"/>
        <v/>
      </c>
      <c r="U416" s="602" t="str">
        <f t="shared" ca="1" si="130"/>
        <v/>
      </c>
      <c r="V416" s="708" t="str">
        <f t="shared" ca="1" si="141"/>
        <v/>
      </c>
      <c r="W416" s="440" t="str">
        <f t="shared" ca="1" si="131"/>
        <v/>
      </c>
      <c r="X416" s="440" t="str">
        <f t="shared" ca="1" si="132"/>
        <v/>
      </c>
      <c r="AD416" s="611"/>
      <c r="AE416" s="603" t="str">
        <f t="shared" si="133"/>
        <v/>
      </c>
      <c r="AF416" s="603"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03"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03" t="str">
        <f t="shared" ca="1" si="134"/>
        <v/>
      </c>
      <c r="AI416" s="603" t="str" cm="1">
        <f t="array" ref="AI416">IFERROR(INDEX(始値!$E$6:$BT$305,MATCH(TEXT($B416,"0"),TEXT(銘柄管理!$B$6:$B$305,"0"),0),MATCH($AE416,始値!$E$3:$BT$3,0)),"")</f>
        <v/>
      </c>
      <c r="AJ416" s="603" t="str">
        <f t="shared" ca="1" si="135"/>
        <v/>
      </c>
      <c r="AK416" s="603" t="str">
        <f t="shared" ca="1" si="136"/>
        <v/>
      </c>
    </row>
    <row r="417" spans="1:37" ht="17.25" customHeight="1">
      <c r="A417" s="626" t="str">
        <f t="shared" si="125"/>
        <v/>
      </c>
      <c r="D417" s="440" t="str" cm="1">
        <f t="array" ref="D417">_xll.RssMarket(B417, "銘柄名称")</f>
        <v/>
      </c>
      <c r="E417" s="721"/>
      <c r="F417" s="702"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708" t="str" cm="1">
        <f t="array" ref="J417">_xll.RssMarket($B417, "前日比")</f>
        <v/>
      </c>
      <c r="K417" s="708" t="str">
        <f t="shared" ca="1" si="137"/>
        <v/>
      </c>
      <c r="L417" s="713" t="str">
        <f t="shared" ca="1" si="138"/>
        <v/>
      </c>
      <c r="M417" s="602" t="str">
        <f t="shared" ca="1" si="126"/>
        <v/>
      </c>
      <c r="N417" s="602" t="str">
        <f t="shared" ca="1" si="127"/>
        <v/>
      </c>
      <c r="O417" s="478" t="str">
        <f t="shared" ca="1" si="128"/>
        <v/>
      </c>
      <c r="P417" s="445" t="str">
        <f t="array" aca="1" ref="P417" ca="1">IF(B417="","",IFERROR(MAX(OFFSET(高値!$E$6,MATCH(TEXT(B417,"0"),TEXT(銘柄管理!$B$6:$B$305,"0"),0)-1,0,1,10)),""))</f>
        <v/>
      </c>
      <c r="Q417" s="440" t="str">
        <f t="array" aca="1" ref="Q417" ca="1">IF(B417="","",IFERROR(MIN(OFFSET(安値!$E$6,MATCH(TEXT(B417,"0"),TEXT(銘柄管理!$B$6:$B$305,"0"),0)-1,0,1,10)),""))</f>
        <v/>
      </c>
      <c r="R417" s="440" t="str">
        <f t="shared" ca="1" si="139"/>
        <v/>
      </c>
      <c r="S417" s="440" t="str">
        <f t="shared" si="140"/>
        <v/>
      </c>
      <c r="T417" s="600" t="str">
        <f t="shared" ca="1" si="129"/>
        <v/>
      </c>
      <c r="U417" s="602" t="str">
        <f t="shared" ca="1" si="130"/>
        <v/>
      </c>
      <c r="V417" s="708" t="str">
        <f t="shared" ca="1" si="141"/>
        <v/>
      </c>
      <c r="W417" s="440" t="str">
        <f t="shared" ca="1" si="131"/>
        <v/>
      </c>
      <c r="X417" s="440" t="str">
        <f t="shared" ca="1" si="132"/>
        <v/>
      </c>
      <c r="AD417" s="611"/>
      <c r="AE417" s="603" t="str">
        <f t="shared" si="133"/>
        <v/>
      </c>
      <c r="AF417" s="603"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03"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03" t="str">
        <f t="shared" ca="1" si="134"/>
        <v/>
      </c>
      <c r="AI417" s="603" t="str" cm="1">
        <f t="array" ref="AI417">IFERROR(INDEX(始値!$E$6:$BT$305,MATCH(TEXT($B417,"0"),TEXT(銘柄管理!$B$6:$B$305,"0"),0),MATCH($AE417,始値!$E$3:$BT$3,0)),"")</f>
        <v/>
      </c>
      <c r="AJ417" s="603" t="str">
        <f t="shared" ca="1" si="135"/>
        <v/>
      </c>
      <c r="AK417" s="603" t="str">
        <f t="shared" ca="1" si="136"/>
        <v/>
      </c>
    </row>
    <row r="418" spans="1:37" ht="17.25" customHeight="1">
      <c r="A418" s="626" t="str">
        <f t="shared" si="125"/>
        <v/>
      </c>
      <c r="D418" s="440" t="str" cm="1">
        <f t="array" ref="D418">_xll.RssMarket(B418, "銘柄名称")</f>
        <v/>
      </c>
      <c r="E418" s="721"/>
      <c r="F418" s="702"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708" t="str" cm="1">
        <f t="array" ref="J418">_xll.RssMarket($B418, "前日比")</f>
        <v/>
      </c>
      <c r="K418" s="708" t="str">
        <f t="shared" ca="1" si="137"/>
        <v/>
      </c>
      <c r="L418" s="713" t="str">
        <f t="shared" ca="1" si="138"/>
        <v/>
      </c>
      <c r="M418" s="602" t="str">
        <f t="shared" ca="1" si="126"/>
        <v/>
      </c>
      <c r="N418" s="602" t="str">
        <f t="shared" ca="1" si="127"/>
        <v/>
      </c>
      <c r="O418" s="478" t="str">
        <f t="shared" ca="1" si="128"/>
        <v/>
      </c>
      <c r="P418" s="445" t="str">
        <f t="array" aca="1" ref="P418" ca="1">IF(B418="","",IFERROR(MAX(OFFSET(高値!$E$6,MATCH(TEXT(B418,"0"),TEXT(銘柄管理!$B$6:$B$305,"0"),0)-1,0,1,10)),""))</f>
        <v/>
      </c>
      <c r="Q418" s="440" t="str">
        <f t="array" aca="1" ref="Q418" ca="1">IF(B418="","",IFERROR(MIN(OFFSET(安値!$E$6,MATCH(TEXT(B418,"0"),TEXT(銘柄管理!$B$6:$B$305,"0"),0)-1,0,1,10)),""))</f>
        <v/>
      </c>
      <c r="R418" s="440" t="str">
        <f t="shared" ca="1" si="139"/>
        <v/>
      </c>
      <c r="S418" s="440" t="str">
        <f t="shared" si="140"/>
        <v/>
      </c>
      <c r="T418" s="600" t="str">
        <f t="shared" ca="1" si="129"/>
        <v/>
      </c>
      <c r="U418" s="602" t="str">
        <f t="shared" ca="1" si="130"/>
        <v/>
      </c>
      <c r="V418" s="708" t="str">
        <f t="shared" ca="1" si="141"/>
        <v/>
      </c>
      <c r="W418" s="440" t="str">
        <f t="shared" ca="1" si="131"/>
        <v/>
      </c>
      <c r="X418" s="440" t="str">
        <f t="shared" ca="1" si="132"/>
        <v/>
      </c>
      <c r="AD418" s="611"/>
      <c r="AE418" s="603" t="str">
        <f t="shared" si="133"/>
        <v/>
      </c>
      <c r="AF418" s="603"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03"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03" t="str">
        <f t="shared" ca="1" si="134"/>
        <v/>
      </c>
      <c r="AI418" s="603" t="str" cm="1">
        <f t="array" ref="AI418">IFERROR(INDEX(始値!$E$6:$BT$305,MATCH(TEXT($B418,"0"),TEXT(銘柄管理!$B$6:$B$305,"0"),0),MATCH($AE418,始値!$E$3:$BT$3,0)),"")</f>
        <v/>
      </c>
      <c r="AJ418" s="603" t="str">
        <f t="shared" ca="1" si="135"/>
        <v/>
      </c>
      <c r="AK418" s="603" t="str">
        <f t="shared" ca="1" si="136"/>
        <v/>
      </c>
    </row>
    <row r="419" spans="1:37" ht="17.25" customHeight="1">
      <c r="A419" s="626" t="str">
        <f t="shared" si="125"/>
        <v/>
      </c>
      <c r="D419" s="440" t="str" cm="1">
        <f t="array" ref="D419">_xll.RssMarket(B419, "銘柄名称")</f>
        <v/>
      </c>
      <c r="E419" s="721"/>
      <c r="F419" s="702"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708" t="str" cm="1">
        <f t="array" ref="J419">_xll.RssMarket($B419, "前日比")</f>
        <v/>
      </c>
      <c r="K419" s="708" t="str">
        <f t="shared" ca="1" si="137"/>
        <v/>
      </c>
      <c r="L419" s="713" t="str">
        <f t="shared" ca="1" si="138"/>
        <v/>
      </c>
      <c r="M419" s="602" t="str">
        <f t="shared" ca="1" si="126"/>
        <v/>
      </c>
      <c r="N419" s="602" t="str">
        <f t="shared" ca="1" si="127"/>
        <v/>
      </c>
      <c r="O419" s="478" t="str">
        <f t="shared" ca="1" si="128"/>
        <v/>
      </c>
      <c r="P419" s="445" t="str">
        <f t="array" aca="1" ref="P419" ca="1">IF(B419="","",IFERROR(MAX(OFFSET(高値!$E$6,MATCH(TEXT(B419,"0"),TEXT(銘柄管理!$B$6:$B$305,"0"),0)-1,0,1,10)),""))</f>
        <v/>
      </c>
      <c r="Q419" s="440" t="str">
        <f t="array" aca="1" ref="Q419" ca="1">IF(B419="","",IFERROR(MIN(OFFSET(安値!$E$6,MATCH(TEXT(B419,"0"),TEXT(銘柄管理!$B$6:$B$305,"0"),0)-1,0,1,10)),""))</f>
        <v/>
      </c>
      <c r="R419" s="440" t="str">
        <f t="shared" ca="1" si="139"/>
        <v/>
      </c>
      <c r="S419" s="440" t="str">
        <f t="shared" si="140"/>
        <v/>
      </c>
      <c r="T419" s="600" t="str">
        <f t="shared" ca="1" si="129"/>
        <v/>
      </c>
      <c r="U419" s="602" t="str">
        <f t="shared" ca="1" si="130"/>
        <v/>
      </c>
      <c r="V419" s="708" t="str">
        <f t="shared" ca="1" si="141"/>
        <v/>
      </c>
      <c r="W419" s="440" t="str">
        <f t="shared" ca="1" si="131"/>
        <v/>
      </c>
      <c r="X419" s="440" t="str">
        <f t="shared" ca="1" si="132"/>
        <v/>
      </c>
      <c r="AD419" s="611"/>
      <c r="AE419" s="603" t="str">
        <f t="shared" si="133"/>
        <v/>
      </c>
      <c r="AF419" s="603"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03"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03" t="str">
        <f t="shared" ca="1" si="134"/>
        <v/>
      </c>
      <c r="AI419" s="603" t="str" cm="1">
        <f t="array" ref="AI419">IFERROR(INDEX(始値!$E$6:$BT$305,MATCH(TEXT($B419,"0"),TEXT(銘柄管理!$B$6:$B$305,"0"),0),MATCH($AE419,始値!$E$3:$BT$3,0)),"")</f>
        <v/>
      </c>
      <c r="AJ419" s="603" t="str">
        <f t="shared" ca="1" si="135"/>
        <v/>
      </c>
      <c r="AK419" s="603" t="str">
        <f t="shared" ca="1" si="136"/>
        <v/>
      </c>
    </row>
    <row r="420" spans="1:37" ht="17.25" customHeight="1">
      <c r="A420" s="626" t="str">
        <f t="shared" si="125"/>
        <v/>
      </c>
      <c r="D420" s="440" t="str" cm="1">
        <f t="array" ref="D420">_xll.RssMarket(B420, "銘柄名称")</f>
        <v/>
      </c>
      <c r="E420" s="721"/>
      <c r="F420" s="702"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708" t="str" cm="1">
        <f t="array" ref="J420">_xll.RssMarket($B420, "前日比")</f>
        <v/>
      </c>
      <c r="K420" s="708" t="str">
        <f t="shared" ca="1" si="137"/>
        <v/>
      </c>
      <c r="L420" s="713" t="str">
        <f t="shared" ca="1" si="138"/>
        <v/>
      </c>
      <c r="M420" s="602" t="str">
        <f t="shared" ca="1" si="126"/>
        <v/>
      </c>
      <c r="N420" s="602" t="str">
        <f t="shared" ca="1" si="127"/>
        <v/>
      </c>
      <c r="O420" s="478" t="str">
        <f t="shared" ca="1" si="128"/>
        <v/>
      </c>
      <c r="P420" s="445" t="str">
        <f t="array" aca="1" ref="P420" ca="1">IF(B420="","",IFERROR(MAX(OFFSET(高値!$E$6,MATCH(TEXT(B420,"0"),TEXT(銘柄管理!$B$6:$B$305,"0"),0)-1,0,1,10)),""))</f>
        <v/>
      </c>
      <c r="Q420" s="440" t="str">
        <f t="array" aca="1" ref="Q420" ca="1">IF(B420="","",IFERROR(MIN(OFFSET(安値!$E$6,MATCH(TEXT(B420,"0"),TEXT(銘柄管理!$B$6:$B$305,"0"),0)-1,0,1,10)),""))</f>
        <v/>
      </c>
      <c r="R420" s="440" t="str">
        <f t="shared" ca="1" si="139"/>
        <v/>
      </c>
      <c r="S420" s="440" t="str">
        <f t="shared" si="140"/>
        <v/>
      </c>
      <c r="T420" s="600" t="str">
        <f t="shared" ca="1" si="129"/>
        <v/>
      </c>
      <c r="U420" s="602" t="str">
        <f t="shared" ca="1" si="130"/>
        <v/>
      </c>
      <c r="V420" s="708" t="str">
        <f t="shared" ca="1" si="141"/>
        <v/>
      </c>
      <c r="W420" s="440" t="str">
        <f t="shared" ca="1" si="131"/>
        <v/>
      </c>
      <c r="X420" s="440" t="str">
        <f t="shared" ca="1" si="132"/>
        <v/>
      </c>
      <c r="AD420" s="611"/>
      <c r="AE420" s="603" t="str">
        <f t="shared" si="133"/>
        <v/>
      </c>
      <c r="AF420" s="603"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03"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03" t="str">
        <f t="shared" ca="1" si="134"/>
        <v/>
      </c>
      <c r="AI420" s="603" t="str" cm="1">
        <f t="array" ref="AI420">IFERROR(INDEX(始値!$E$6:$BT$305,MATCH(TEXT($B420,"0"),TEXT(銘柄管理!$B$6:$B$305,"0"),0),MATCH($AE420,始値!$E$3:$BT$3,0)),"")</f>
        <v/>
      </c>
      <c r="AJ420" s="603" t="str">
        <f t="shared" ca="1" si="135"/>
        <v/>
      </c>
      <c r="AK420" s="603" t="str">
        <f t="shared" ca="1" si="136"/>
        <v/>
      </c>
    </row>
    <row r="421" spans="1:37" ht="17.25" customHeight="1">
      <c r="A421" s="626" t="str">
        <f t="shared" si="125"/>
        <v/>
      </c>
      <c r="D421" s="440" t="str" cm="1">
        <f t="array" ref="D421">_xll.RssMarket(B421, "銘柄名称")</f>
        <v/>
      </c>
      <c r="E421" s="721"/>
      <c r="F421" s="702"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708" t="str" cm="1">
        <f t="array" ref="J421">_xll.RssMarket($B421, "前日比")</f>
        <v/>
      </c>
      <c r="K421" s="708" t="str">
        <f t="shared" ca="1" si="137"/>
        <v/>
      </c>
      <c r="L421" s="713" t="str">
        <f t="shared" ca="1" si="138"/>
        <v/>
      </c>
      <c r="M421" s="602" t="str">
        <f t="shared" ca="1" si="126"/>
        <v/>
      </c>
      <c r="N421" s="602" t="str">
        <f t="shared" ca="1" si="127"/>
        <v/>
      </c>
      <c r="O421" s="478" t="str">
        <f t="shared" ca="1" si="128"/>
        <v/>
      </c>
      <c r="P421" s="445" t="str">
        <f t="array" aca="1" ref="P421" ca="1">IF(B421="","",IFERROR(MAX(OFFSET(高値!$E$6,MATCH(TEXT(B421,"0"),TEXT(銘柄管理!$B$6:$B$305,"0"),0)-1,0,1,10)),""))</f>
        <v/>
      </c>
      <c r="Q421" s="440" t="str">
        <f t="array" aca="1" ref="Q421" ca="1">IF(B421="","",IFERROR(MIN(OFFSET(安値!$E$6,MATCH(TEXT(B421,"0"),TEXT(銘柄管理!$B$6:$B$305,"0"),0)-1,0,1,10)),""))</f>
        <v/>
      </c>
      <c r="R421" s="440" t="str">
        <f t="shared" ca="1" si="139"/>
        <v/>
      </c>
      <c r="S421" s="440" t="str">
        <f t="shared" si="140"/>
        <v/>
      </c>
      <c r="T421" s="600" t="str">
        <f t="shared" ca="1" si="129"/>
        <v/>
      </c>
      <c r="U421" s="602" t="str">
        <f t="shared" ca="1" si="130"/>
        <v/>
      </c>
      <c r="V421" s="708" t="str">
        <f t="shared" ca="1" si="141"/>
        <v/>
      </c>
      <c r="W421" s="440" t="str">
        <f t="shared" ca="1" si="131"/>
        <v/>
      </c>
      <c r="X421" s="440" t="str">
        <f t="shared" ca="1" si="132"/>
        <v/>
      </c>
      <c r="AD421" s="611"/>
      <c r="AE421" s="603" t="str">
        <f t="shared" si="133"/>
        <v/>
      </c>
      <c r="AF421" s="603"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03"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03" t="str">
        <f t="shared" ca="1" si="134"/>
        <v/>
      </c>
      <c r="AI421" s="603" t="str" cm="1">
        <f t="array" ref="AI421">IFERROR(INDEX(始値!$E$6:$BT$305,MATCH(TEXT($B421,"0"),TEXT(銘柄管理!$B$6:$B$305,"0"),0),MATCH($AE421,始値!$E$3:$BT$3,0)),"")</f>
        <v/>
      </c>
      <c r="AJ421" s="603" t="str">
        <f t="shared" ca="1" si="135"/>
        <v/>
      </c>
      <c r="AK421" s="603" t="str">
        <f t="shared" ca="1" si="136"/>
        <v/>
      </c>
    </row>
    <row r="422" spans="1:37" ht="17.25" customHeight="1">
      <c r="A422" s="626" t="str">
        <f t="shared" si="125"/>
        <v/>
      </c>
      <c r="D422" s="440" t="str" cm="1">
        <f t="array" ref="D422">_xll.RssMarket(B422, "銘柄名称")</f>
        <v/>
      </c>
      <c r="E422" s="721"/>
      <c r="F422" s="702"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708" t="str" cm="1">
        <f t="array" ref="J422">_xll.RssMarket($B422, "前日比")</f>
        <v/>
      </c>
      <c r="K422" s="708" t="str">
        <f t="shared" ca="1" si="137"/>
        <v/>
      </c>
      <c r="L422" s="713" t="str">
        <f t="shared" ca="1" si="138"/>
        <v/>
      </c>
      <c r="M422" s="602" t="str">
        <f t="shared" ca="1" si="126"/>
        <v/>
      </c>
      <c r="N422" s="602" t="str">
        <f t="shared" ca="1" si="127"/>
        <v/>
      </c>
      <c r="O422" s="478" t="str">
        <f t="shared" ca="1" si="128"/>
        <v/>
      </c>
      <c r="P422" s="445" t="str">
        <f t="array" aca="1" ref="P422" ca="1">IF(B422="","",IFERROR(MAX(OFFSET(高値!$E$6,MATCH(TEXT(B422,"0"),TEXT(銘柄管理!$B$6:$B$305,"0"),0)-1,0,1,10)),""))</f>
        <v/>
      </c>
      <c r="Q422" s="440" t="str">
        <f t="array" aca="1" ref="Q422" ca="1">IF(B422="","",IFERROR(MIN(OFFSET(安値!$E$6,MATCH(TEXT(B422,"0"),TEXT(銘柄管理!$B$6:$B$305,"0"),0)-1,0,1,10)),""))</f>
        <v/>
      </c>
      <c r="R422" s="440" t="str">
        <f t="shared" ca="1" si="139"/>
        <v/>
      </c>
      <c r="S422" s="440" t="str">
        <f t="shared" si="140"/>
        <v/>
      </c>
      <c r="T422" s="600" t="str">
        <f t="shared" ca="1" si="129"/>
        <v/>
      </c>
      <c r="U422" s="602" t="str">
        <f t="shared" ca="1" si="130"/>
        <v/>
      </c>
      <c r="V422" s="708" t="str">
        <f t="shared" ca="1" si="141"/>
        <v/>
      </c>
      <c r="W422" s="440" t="str">
        <f t="shared" ca="1" si="131"/>
        <v/>
      </c>
      <c r="X422" s="440" t="str">
        <f t="shared" ca="1" si="132"/>
        <v/>
      </c>
      <c r="AD422" s="611"/>
      <c r="AE422" s="603" t="str">
        <f t="shared" si="133"/>
        <v/>
      </c>
      <c r="AF422" s="603"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03"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03" t="str">
        <f t="shared" ca="1" si="134"/>
        <v/>
      </c>
      <c r="AI422" s="603" t="str" cm="1">
        <f t="array" ref="AI422">IFERROR(INDEX(始値!$E$6:$BT$305,MATCH(TEXT($B422,"0"),TEXT(銘柄管理!$B$6:$B$305,"0"),0),MATCH($AE422,始値!$E$3:$BT$3,0)),"")</f>
        <v/>
      </c>
      <c r="AJ422" s="603" t="str">
        <f t="shared" ca="1" si="135"/>
        <v/>
      </c>
      <c r="AK422" s="603" t="str">
        <f t="shared" ca="1" si="136"/>
        <v/>
      </c>
    </row>
    <row r="423" spans="1:37" ht="17.25" customHeight="1">
      <c r="A423" s="626" t="str">
        <f t="shared" si="125"/>
        <v/>
      </c>
      <c r="D423" s="440" t="str" cm="1">
        <f t="array" ref="D423">_xll.RssMarket(B423, "銘柄名称")</f>
        <v/>
      </c>
      <c r="E423" s="721"/>
      <c r="F423" s="702"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708" t="str" cm="1">
        <f t="array" ref="J423">_xll.RssMarket($B423, "前日比")</f>
        <v/>
      </c>
      <c r="K423" s="708" t="str">
        <f t="shared" ca="1" si="137"/>
        <v/>
      </c>
      <c r="L423" s="713" t="str">
        <f t="shared" ca="1" si="138"/>
        <v/>
      </c>
      <c r="M423" s="602" t="str">
        <f t="shared" ca="1" si="126"/>
        <v/>
      </c>
      <c r="N423" s="602" t="str">
        <f t="shared" ca="1" si="127"/>
        <v/>
      </c>
      <c r="O423" s="478" t="str">
        <f t="shared" ca="1" si="128"/>
        <v/>
      </c>
      <c r="P423" s="445" t="str">
        <f t="array" aca="1" ref="P423" ca="1">IF(B423="","",IFERROR(MAX(OFFSET(高値!$E$6,MATCH(TEXT(B423,"0"),TEXT(銘柄管理!$B$6:$B$305,"0"),0)-1,0,1,10)),""))</f>
        <v/>
      </c>
      <c r="Q423" s="440" t="str">
        <f t="array" aca="1" ref="Q423" ca="1">IF(B423="","",IFERROR(MIN(OFFSET(安値!$E$6,MATCH(TEXT(B423,"0"),TEXT(銘柄管理!$B$6:$B$305,"0"),0)-1,0,1,10)),""))</f>
        <v/>
      </c>
      <c r="R423" s="440" t="str">
        <f t="shared" ca="1" si="139"/>
        <v/>
      </c>
      <c r="S423" s="440" t="str">
        <f t="shared" si="140"/>
        <v/>
      </c>
      <c r="T423" s="600" t="str">
        <f t="shared" ca="1" si="129"/>
        <v/>
      </c>
      <c r="U423" s="602" t="str">
        <f t="shared" ca="1" si="130"/>
        <v/>
      </c>
      <c r="V423" s="708" t="str">
        <f t="shared" ca="1" si="141"/>
        <v/>
      </c>
      <c r="W423" s="440" t="str">
        <f t="shared" ca="1" si="131"/>
        <v/>
      </c>
      <c r="X423" s="440" t="str">
        <f t="shared" ca="1" si="132"/>
        <v/>
      </c>
      <c r="AD423" s="611"/>
      <c r="AE423" s="603" t="str">
        <f t="shared" si="133"/>
        <v/>
      </c>
      <c r="AF423" s="603"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03"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03" t="str">
        <f t="shared" ca="1" si="134"/>
        <v/>
      </c>
      <c r="AI423" s="603" t="str" cm="1">
        <f t="array" ref="AI423">IFERROR(INDEX(始値!$E$6:$BT$305,MATCH(TEXT($B423,"0"),TEXT(銘柄管理!$B$6:$B$305,"0"),0),MATCH($AE423,始値!$E$3:$BT$3,0)),"")</f>
        <v/>
      </c>
      <c r="AJ423" s="603" t="str">
        <f t="shared" ca="1" si="135"/>
        <v/>
      </c>
      <c r="AK423" s="603" t="str">
        <f t="shared" ca="1" si="136"/>
        <v/>
      </c>
    </row>
    <row r="424" spans="1:37" ht="17.25" customHeight="1">
      <c r="A424" s="626" t="str">
        <f t="shared" si="125"/>
        <v/>
      </c>
      <c r="D424" s="440" t="str" cm="1">
        <f t="array" ref="D424">_xll.RssMarket(B424, "銘柄名称")</f>
        <v/>
      </c>
      <c r="E424" s="721"/>
      <c r="F424" s="702"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708" t="str" cm="1">
        <f t="array" ref="J424">_xll.RssMarket($B424, "前日比")</f>
        <v/>
      </c>
      <c r="K424" s="708" t="str">
        <f t="shared" ca="1" si="137"/>
        <v/>
      </c>
      <c r="L424" s="713" t="str">
        <f t="shared" ca="1" si="138"/>
        <v/>
      </c>
      <c r="M424" s="602" t="str">
        <f t="shared" ca="1" si="126"/>
        <v/>
      </c>
      <c r="N424" s="602" t="str">
        <f t="shared" ca="1" si="127"/>
        <v/>
      </c>
      <c r="O424" s="478" t="str">
        <f t="shared" ca="1" si="128"/>
        <v/>
      </c>
      <c r="P424" s="445" t="str">
        <f t="array" aca="1" ref="P424" ca="1">IF(B424="","",IFERROR(MAX(OFFSET(高値!$E$6,MATCH(TEXT(B424,"0"),TEXT(銘柄管理!$B$6:$B$305,"0"),0)-1,0,1,10)),""))</f>
        <v/>
      </c>
      <c r="Q424" s="440" t="str">
        <f t="array" aca="1" ref="Q424" ca="1">IF(B424="","",IFERROR(MIN(OFFSET(安値!$E$6,MATCH(TEXT(B424,"0"),TEXT(銘柄管理!$B$6:$B$305,"0"),0)-1,0,1,10)),""))</f>
        <v/>
      </c>
      <c r="R424" s="440" t="str">
        <f t="shared" ca="1" si="139"/>
        <v/>
      </c>
      <c r="S424" s="440" t="str">
        <f t="shared" si="140"/>
        <v/>
      </c>
      <c r="T424" s="600" t="str">
        <f t="shared" ca="1" si="129"/>
        <v/>
      </c>
      <c r="U424" s="602" t="str">
        <f t="shared" ca="1" si="130"/>
        <v/>
      </c>
      <c r="V424" s="708" t="str">
        <f t="shared" ca="1" si="141"/>
        <v/>
      </c>
      <c r="W424" s="440" t="str">
        <f t="shared" ca="1" si="131"/>
        <v/>
      </c>
      <c r="X424" s="440" t="str">
        <f t="shared" ca="1" si="132"/>
        <v/>
      </c>
      <c r="AD424" s="611"/>
      <c r="AE424" s="603" t="str">
        <f t="shared" si="133"/>
        <v/>
      </c>
      <c r="AF424" s="603"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03"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03" t="str">
        <f t="shared" ca="1" si="134"/>
        <v/>
      </c>
      <c r="AI424" s="603" t="str" cm="1">
        <f t="array" ref="AI424">IFERROR(INDEX(始値!$E$6:$BT$305,MATCH(TEXT($B424,"0"),TEXT(銘柄管理!$B$6:$B$305,"0"),0),MATCH($AE424,始値!$E$3:$BT$3,0)),"")</f>
        <v/>
      </c>
      <c r="AJ424" s="603" t="str">
        <f t="shared" ca="1" si="135"/>
        <v/>
      </c>
      <c r="AK424" s="603" t="str">
        <f t="shared" ca="1" si="136"/>
        <v/>
      </c>
    </row>
    <row r="425" spans="1:37" ht="17.25" customHeight="1">
      <c r="A425" s="626" t="str">
        <f t="shared" si="125"/>
        <v/>
      </c>
      <c r="D425" s="440" t="str" cm="1">
        <f t="array" ref="D425">_xll.RssMarket(B425, "銘柄名称")</f>
        <v/>
      </c>
      <c r="E425" s="721"/>
      <c r="F425" s="702"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708" t="str" cm="1">
        <f t="array" ref="J425">_xll.RssMarket($B425, "前日比")</f>
        <v/>
      </c>
      <c r="K425" s="708" t="str">
        <f t="shared" ca="1" si="137"/>
        <v/>
      </c>
      <c r="L425" s="713" t="str">
        <f t="shared" ca="1" si="138"/>
        <v/>
      </c>
      <c r="M425" s="602" t="str">
        <f t="shared" ca="1" si="126"/>
        <v/>
      </c>
      <c r="N425" s="602" t="str">
        <f t="shared" ca="1" si="127"/>
        <v/>
      </c>
      <c r="O425" s="478" t="str">
        <f t="shared" ca="1" si="128"/>
        <v/>
      </c>
      <c r="P425" s="445" t="str">
        <f t="array" aca="1" ref="P425" ca="1">IF(B425="","",IFERROR(MAX(OFFSET(高値!$E$6,MATCH(TEXT(B425,"0"),TEXT(銘柄管理!$B$6:$B$305,"0"),0)-1,0,1,10)),""))</f>
        <v/>
      </c>
      <c r="Q425" s="440" t="str">
        <f t="array" aca="1" ref="Q425" ca="1">IF(B425="","",IFERROR(MIN(OFFSET(安値!$E$6,MATCH(TEXT(B425,"0"),TEXT(銘柄管理!$B$6:$B$305,"0"),0)-1,0,1,10)),""))</f>
        <v/>
      </c>
      <c r="R425" s="440" t="str">
        <f t="shared" ca="1" si="139"/>
        <v/>
      </c>
      <c r="S425" s="440" t="str">
        <f t="shared" si="140"/>
        <v/>
      </c>
      <c r="T425" s="600" t="str">
        <f t="shared" ca="1" si="129"/>
        <v/>
      </c>
      <c r="U425" s="602" t="str">
        <f t="shared" ca="1" si="130"/>
        <v/>
      </c>
      <c r="V425" s="708" t="str">
        <f t="shared" ca="1" si="141"/>
        <v/>
      </c>
      <c r="W425" s="440" t="str">
        <f t="shared" ca="1" si="131"/>
        <v/>
      </c>
      <c r="X425" s="440" t="str">
        <f t="shared" ca="1" si="132"/>
        <v/>
      </c>
      <c r="AD425" s="611"/>
      <c r="AE425" s="603" t="str">
        <f t="shared" si="133"/>
        <v/>
      </c>
      <c r="AF425" s="603"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03"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03" t="str">
        <f t="shared" ca="1" si="134"/>
        <v/>
      </c>
      <c r="AI425" s="603" t="str" cm="1">
        <f t="array" ref="AI425">IFERROR(INDEX(始値!$E$6:$BT$305,MATCH(TEXT($B425,"0"),TEXT(銘柄管理!$B$6:$B$305,"0"),0),MATCH($AE425,始値!$E$3:$BT$3,0)),"")</f>
        <v/>
      </c>
      <c r="AJ425" s="603" t="str">
        <f t="shared" ca="1" si="135"/>
        <v/>
      </c>
      <c r="AK425" s="603" t="str">
        <f t="shared" ca="1" si="136"/>
        <v/>
      </c>
    </row>
    <row r="426" spans="1:37" ht="17.25" customHeight="1">
      <c r="A426" s="626" t="str">
        <f t="shared" si="125"/>
        <v/>
      </c>
      <c r="D426" s="440" t="str" cm="1">
        <f t="array" ref="D426">_xll.RssMarket(B426, "銘柄名称")</f>
        <v/>
      </c>
      <c r="E426" s="721"/>
      <c r="F426" s="702"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708" t="str" cm="1">
        <f t="array" ref="J426">_xll.RssMarket($B426, "前日比")</f>
        <v/>
      </c>
      <c r="K426" s="708" t="str">
        <f t="shared" ca="1" si="137"/>
        <v/>
      </c>
      <c r="L426" s="713" t="str">
        <f t="shared" ca="1" si="138"/>
        <v/>
      </c>
      <c r="M426" s="602" t="str">
        <f t="shared" ca="1" si="126"/>
        <v/>
      </c>
      <c r="N426" s="602" t="str">
        <f t="shared" ca="1" si="127"/>
        <v/>
      </c>
      <c r="O426" s="478" t="str">
        <f t="shared" ca="1" si="128"/>
        <v/>
      </c>
      <c r="P426" s="445" t="str">
        <f t="array" aca="1" ref="P426" ca="1">IF(B426="","",IFERROR(MAX(OFFSET(高値!$E$6,MATCH(TEXT(B426,"0"),TEXT(銘柄管理!$B$6:$B$305,"0"),0)-1,0,1,10)),""))</f>
        <v/>
      </c>
      <c r="Q426" s="440" t="str">
        <f t="array" aca="1" ref="Q426" ca="1">IF(B426="","",IFERROR(MIN(OFFSET(安値!$E$6,MATCH(TEXT(B426,"0"),TEXT(銘柄管理!$B$6:$B$305,"0"),0)-1,0,1,10)),""))</f>
        <v/>
      </c>
      <c r="R426" s="440" t="str">
        <f t="shared" ca="1" si="139"/>
        <v/>
      </c>
      <c r="S426" s="440" t="str">
        <f t="shared" si="140"/>
        <v/>
      </c>
      <c r="T426" s="600" t="str">
        <f t="shared" ca="1" si="129"/>
        <v/>
      </c>
      <c r="U426" s="602" t="str">
        <f t="shared" ca="1" si="130"/>
        <v/>
      </c>
      <c r="V426" s="708" t="str">
        <f t="shared" ca="1" si="141"/>
        <v/>
      </c>
      <c r="W426" s="440" t="str">
        <f t="shared" ca="1" si="131"/>
        <v/>
      </c>
      <c r="X426" s="440" t="str">
        <f t="shared" ca="1" si="132"/>
        <v/>
      </c>
      <c r="AD426" s="611"/>
      <c r="AE426" s="603" t="str">
        <f t="shared" si="133"/>
        <v/>
      </c>
      <c r="AF426" s="603"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03"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03" t="str">
        <f t="shared" ca="1" si="134"/>
        <v/>
      </c>
      <c r="AI426" s="603" t="str" cm="1">
        <f t="array" ref="AI426">IFERROR(INDEX(始値!$E$6:$BT$305,MATCH(TEXT($B426,"0"),TEXT(銘柄管理!$B$6:$B$305,"0"),0),MATCH($AE426,始値!$E$3:$BT$3,0)),"")</f>
        <v/>
      </c>
      <c r="AJ426" s="603" t="str">
        <f t="shared" ca="1" si="135"/>
        <v/>
      </c>
      <c r="AK426" s="603" t="str">
        <f t="shared" ca="1" si="136"/>
        <v/>
      </c>
    </row>
    <row r="427" spans="1:37" ht="17.25" customHeight="1">
      <c r="A427" s="626" t="str">
        <f t="shared" si="125"/>
        <v/>
      </c>
      <c r="D427" s="440" t="str" cm="1">
        <f t="array" ref="D427">_xll.RssMarket(B427, "銘柄名称")</f>
        <v/>
      </c>
      <c r="E427" s="721"/>
      <c r="F427" s="702"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708" t="str" cm="1">
        <f t="array" ref="J427">_xll.RssMarket($B427, "前日比")</f>
        <v/>
      </c>
      <c r="K427" s="708" t="str">
        <f t="shared" ca="1" si="137"/>
        <v/>
      </c>
      <c r="L427" s="713" t="str">
        <f t="shared" ca="1" si="138"/>
        <v/>
      </c>
      <c r="M427" s="602" t="str">
        <f t="shared" ca="1" si="126"/>
        <v/>
      </c>
      <c r="N427" s="602" t="str">
        <f t="shared" ca="1" si="127"/>
        <v/>
      </c>
      <c r="O427" s="478" t="str">
        <f t="shared" ca="1" si="128"/>
        <v/>
      </c>
      <c r="P427" s="445" t="str">
        <f t="array" aca="1" ref="P427" ca="1">IF(B427="","",IFERROR(MAX(OFFSET(高値!$E$6,MATCH(TEXT(B427,"0"),TEXT(銘柄管理!$B$6:$B$305,"0"),0)-1,0,1,10)),""))</f>
        <v/>
      </c>
      <c r="Q427" s="440" t="str">
        <f t="array" aca="1" ref="Q427" ca="1">IF(B427="","",IFERROR(MIN(OFFSET(安値!$E$6,MATCH(TEXT(B427,"0"),TEXT(銘柄管理!$B$6:$B$305,"0"),0)-1,0,1,10)),""))</f>
        <v/>
      </c>
      <c r="R427" s="440" t="str">
        <f t="shared" ca="1" si="139"/>
        <v/>
      </c>
      <c r="S427" s="440" t="str">
        <f t="shared" si="140"/>
        <v/>
      </c>
      <c r="T427" s="600" t="str">
        <f t="shared" ca="1" si="129"/>
        <v/>
      </c>
      <c r="U427" s="602" t="str">
        <f t="shared" ca="1" si="130"/>
        <v/>
      </c>
      <c r="V427" s="708" t="str">
        <f t="shared" ca="1" si="141"/>
        <v/>
      </c>
      <c r="W427" s="440" t="str">
        <f t="shared" ca="1" si="131"/>
        <v/>
      </c>
      <c r="X427" s="440" t="str">
        <f t="shared" ca="1" si="132"/>
        <v/>
      </c>
      <c r="AD427" s="611"/>
      <c r="AE427" s="603" t="str">
        <f t="shared" si="133"/>
        <v/>
      </c>
      <c r="AF427" s="603"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03"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03" t="str">
        <f t="shared" ca="1" si="134"/>
        <v/>
      </c>
      <c r="AI427" s="603" t="str" cm="1">
        <f t="array" ref="AI427">IFERROR(INDEX(始値!$E$6:$BT$305,MATCH(TEXT($B427,"0"),TEXT(銘柄管理!$B$6:$B$305,"0"),0),MATCH($AE427,始値!$E$3:$BT$3,0)),"")</f>
        <v/>
      </c>
      <c r="AJ427" s="603" t="str">
        <f t="shared" ca="1" si="135"/>
        <v/>
      </c>
      <c r="AK427" s="603" t="str">
        <f t="shared" ca="1" si="136"/>
        <v/>
      </c>
    </row>
    <row r="428" spans="1:37" ht="17.25" customHeight="1">
      <c r="A428" s="626" t="str">
        <f t="shared" si="125"/>
        <v/>
      </c>
      <c r="D428" s="440" t="str" cm="1">
        <f t="array" ref="D428">_xll.RssMarket(B428, "銘柄名称")</f>
        <v/>
      </c>
      <c r="E428" s="721"/>
      <c r="F428" s="702"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708" t="str" cm="1">
        <f t="array" ref="J428">_xll.RssMarket($B428, "前日比")</f>
        <v/>
      </c>
      <c r="K428" s="708" t="str">
        <f t="shared" ca="1" si="137"/>
        <v/>
      </c>
      <c r="L428" s="713" t="str">
        <f t="shared" ca="1" si="138"/>
        <v/>
      </c>
      <c r="M428" s="602" t="str">
        <f t="shared" ca="1" si="126"/>
        <v/>
      </c>
      <c r="N428" s="602" t="str">
        <f t="shared" ca="1" si="127"/>
        <v/>
      </c>
      <c r="O428" s="478" t="str">
        <f t="shared" ca="1" si="128"/>
        <v/>
      </c>
      <c r="P428" s="445" t="str">
        <f t="array" aca="1" ref="P428" ca="1">IF(B428="","",IFERROR(MAX(OFFSET(高値!$E$6,MATCH(TEXT(B428,"0"),TEXT(銘柄管理!$B$6:$B$305,"0"),0)-1,0,1,10)),""))</f>
        <v/>
      </c>
      <c r="Q428" s="440" t="str">
        <f t="array" aca="1" ref="Q428" ca="1">IF(B428="","",IFERROR(MIN(OFFSET(安値!$E$6,MATCH(TEXT(B428,"0"),TEXT(銘柄管理!$B$6:$B$305,"0"),0)-1,0,1,10)),""))</f>
        <v/>
      </c>
      <c r="R428" s="440" t="str">
        <f t="shared" ca="1" si="139"/>
        <v/>
      </c>
      <c r="S428" s="440" t="str">
        <f t="shared" si="140"/>
        <v/>
      </c>
      <c r="T428" s="600" t="str">
        <f t="shared" ca="1" si="129"/>
        <v/>
      </c>
      <c r="U428" s="602" t="str">
        <f t="shared" ca="1" si="130"/>
        <v/>
      </c>
      <c r="V428" s="708" t="str">
        <f t="shared" ca="1" si="141"/>
        <v/>
      </c>
      <c r="W428" s="440" t="str">
        <f t="shared" ca="1" si="131"/>
        <v/>
      </c>
      <c r="X428" s="440" t="str">
        <f t="shared" ca="1" si="132"/>
        <v/>
      </c>
      <c r="AD428" s="611"/>
      <c r="AE428" s="603" t="str">
        <f t="shared" si="133"/>
        <v/>
      </c>
      <c r="AF428" s="603"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03"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03" t="str">
        <f t="shared" ca="1" si="134"/>
        <v/>
      </c>
      <c r="AI428" s="603" t="str" cm="1">
        <f t="array" ref="AI428">IFERROR(INDEX(始値!$E$6:$BT$305,MATCH(TEXT($B428,"0"),TEXT(銘柄管理!$B$6:$B$305,"0"),0),MATCH($AE428,始値!$E$3:$BT$3,0)),"")</f>
        <v/>
      </c>
      <c r="AJ428" s="603" t="str">
        <f t="shared" ca="1" si="135"/>
        <v/>
      </c>
      <c r="AK428" s="603" t="str">
        <f t="shared" ca="1" si="136"/>
        <v/>
      </c>
    </row>
    <row r="429" spans="1:37" ht="17.25" customHeight="1">
      <c r="A429" s="626" t="str">
        <f t="shared" si="125"/>
        <v/>
      </c>
      <c r="D429" s="440" t="str" cm="1">
        <f t="array" ref="D429">_xll.RssMarket(B429, "銘柄名称")</f>
        <v/>
      </c>
      <c r="E429" s="721"/>
      <c r="F429" s="702"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708" t="str" cm="1">
        <f t="array" ref="J429">_xll.RssMarket($B429, "前日比")</f>
        <v/>
      </c>
      <c r="K429" s="708" t="str">
        <f t="shared" ca="1" si="137"/>
        <v/>
      </c>
      <c r="L429" s="713" t="str">
        <f t="shared" ca="1" si="138"/>
        <v/>
      </c>
      <c r="M429" s="602" t="str">
        <f t="shared" ca="1" si="126"/>
        <v/>
      </c>
      <c r="N429" s="602" t="str">
        <f t="shared" ca="1" si="127"/>
        <v/>
      </c>
      <c r="O429" s="478" t="str">
        <f t="shared" ca="1" si="128"/>
        <v/>
      </c>
      <c r="P429" s="445" t="str">
        <f t="array" aca="1" ref="P429" ca="1">IF(B429="","",IFERROR(MAX(OFFSET(高値!$E$6,MATCH(TEXT(B429,"0"),TEXT(銘柄管理!$B$6:$B$305,"0"),0)-1,0,1,10)),""))</f>
        <v/>
      </c>
      <c r="Q429" s="440" t="str">
        <f t="array" aca="1" ref="Q429" ca="1">IF(B429="","",IFERROR(MIN(OFFSET(安値!$E$6,MATCH(TEXT(B429,"0"),TEXT(銘柄管理!$B$6:$B$305,"0"),0)-1,0,1,10)),""))</f>
        <v/>
      </c>
      <c r="R429" s="440" t="str">
        <f t="shared" ca="1" si="139"/>
        <v/>
      </c>
      <c r="S429" s="440" t="str">
        <f t="shared" si="140"/>
        <v/>
      </c>
      <c r="T429" s="600" t="str">
        <f t="shared" ca="1" si="129"/>
        <v/>
      </c>
      <c r="U429" s="602" t="str">
        <f t="shared" ca="1" si="130"/>
        <v/>
      </c>
      <c r="V429" s="708" t="str">
        <f t="shared" ca="1" si="141"/>
        <v/>
      </c>
      <c r="W429" s="440" t="str">
        <f t="shared" ca="1" si="131"/>
        <v/>
      </c>
      <c r="X429" s="440" t="str">
        <f t="shared" ca="1" si="132"/>
        <v/>
      </c>
      <c r="AD429" s="611"/>
      <c r="AE429" s="603" t="str">
        <f t="shared" si="133"/>
        <v/>
      </c>
      <c r="AF429" s="603"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03"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03" t="str">
        <f t="shared" ca="1" si="134"/>
        <v/>
      </c>
      <c r="AI429" s="603" t="str" cm="1">
        <f t="array" ref="AI429">IFERROR(INDEX(始値!$E$6:$BT$305,MATCH(TEXT($B429,"0"),TEXT(銘柄管理!$B$6:$B$305,"0"),0),MATCH($AE429,始値!$E$3:$BT$3,0)),"")</f>
        <v/>
      </c>
      <c r="AJ429" s="603" t="str">
        <f t="shared" ca="1" si="135"/>
        <v/>
      </c>
      <c r="AK429" s="603" t="str">
        <f t="shared" ca="1" si="136"/>
        <v/>
      </c>
    </row>
    <row r="430" spans="1:37" ht="17.25" customHeight="1">
      <c r="A430" s="626" t="str">
        <f t="shared" si="125"/>
        <v/>
      </c>
      <c r="D430" s="440" t="str" cm="1">
        <f t="array" ref="D430">_xll.RssMarket(B430, "銘柄名称")</f>
        <v/>
      </c>
      <c r="E430" s="721"/>
      <c r="F430" s="702"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708" t="str" cm="1">
        <f t="array" ref="J430">_xll.RssMarket($B430, "前日比")</f>
        <v/>
      </c>
      <c r="K430" s="708" t="str">
        <f t="shared" ca="1" si="137"/>
        <v/>
      </c>
      <c r="L430" s="713" t="str">
        <f t="shared" ca="1" si="138"/>
        <v/>
      </c>
      <c r="M430" s="602" t="str">
        <f t="shared" ca="1" si="126"/>
        <v/>
      </c>
      <c r="N430" s="602" t="str">
        <f t="shared" ca="1" si="127"/>
        <v/>
      </c>
      <c r="O430" s="478" t="str">
        <f t="shared" ca="1" si="128"/>
        <v/>
      </c>
      <c r="P430" s="445" t="str">
        <f t="array" aca="1" ref="P430" ca="1">IF(B430="","",IFERROR(MAX(OFFSET(高値!$E$6,MATCH(TEXT(B430,"0"),TEXT(銘柄管理!$B$6:$B$305,"0"),0)-1,0,1,10)),""))</f>
        <v/>
      </c>
      <c r="Q430" s="440" t="str">
        <f t="array" aca="1" ref="Q430" ca="1">IF(B430="","",IFERROR(MIN(OFFSET(安値!$E$6,MATCH(TEXT(B430,"0"),TEXT(銘柄管理!$B$6:$B$305,"0"),0)-1,0,1,10)),""))</f>
        <v/>
      </c>
      <c r="R430" s="440" t="str">
        <f t="shared" ca="1" si="139"/>
        <v/>
      </c>
      <c r="S430" s="440" t="str">
        <f t="shared" si="140"/>
        <v/>
      </c>
      <c r="T430" s="600" t="str">
        <f t="shared" ca="1" si="129"/>
        <v/>
      </c>
      <c r="U430" s="602" t="str">
        <f t="shared" ca="1" si="130"/>
        <v/>
      </c>
      <c r="V430" s="708" t="str">
        <f t="shared" ca="1" si="141"/>
        <v/>
      </c>
      <c r="W430" s="440" t="str">
        <f t="shared" ca="1" si="131"/>
        <v/>
      </c>
      <c r="X430" s="440" t="str">
        <f t="shared" ca="1" si="132"/>
        <v/>
      </c>
      <c r="AD430" s="611"/>
      <c r="AE430" s="603" t="str">
        <f t="shared" si="133"/>
        <v/>
      </c>
      <c r="AF430" s="603"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03"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03" t="str">
        <f t="shared" ca="1" si="134"/>
        <v/>
      </c>
      <c r="AI430" s="603" t="str" cm="1">
        <f t="array" ref="AI430">IFERROR(INDEX(始値!$E$6:$BT$305,MATCH(TEXT($B430,"0"),TEXT(銘柄管理!$B$6:$B$305,"0"),0),MATCH($AE430,始値!$E$3:$BT$3,0)),"")</f>
        <v/>
      </c>
      <c r="AJ430" s="603" t="str">
        <f t="shared" ca="1" si="135"/>
        <v/>
      </c>
      <c r="AK430" s="603" t="str">
        <f t="shared" ca="1" si="136"/>
        <v/>
      </c>
    </row>
    <row r="431" spans="1:37" ht="17.25" customHeight="1">
      <c r="A431" s="626" t="str">
        <f t="shared" si="125"/>
        <v/>
      </c>
      <c r="D431" s="440" t="str" cm="1">
        <f t="array" ref="D431">_xll.RssMarket(B431, "銘柄名称")</f>
        <v/>
      </c>
      <c r="E431" s="721"/>
      <c r="F431" s="702"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708" t="str" cm="1">
        <f t="array" ref="J431">_xll.RssMarket($B431, "前日比")</f>
        <v/>
      </c>
      <c r="K431" s="708" t="str">
        <f t="shared" ca="1" si="137"/>
        <v/>
      </c>
      <c r="L431" s="713" t="str">
        <f t="shared" ca="1" si="138"/>
        <v/>
      </c>
      <c r="M431" s="602" t="str">
        <f t="shared" ca="1" si="126"/>
        <v/>
      </c>
      <c r="N431" s="602" t="str">
        <f t="shared" ca="1" si="127"/>
        <v/>
      </c>
      <c r="O431" s="478" t="str">
        <f t="shared" ca="1" si="128"/>
        <v/>
      </c>
      <c r="P431" s="445" t="str">
        <f t="array" aca="1" ref="P431" ca="1">IF(B431="","",IFERROR(MAX(OFFSET(高値!$E$6,MATCH(TEXT(B431,"0"),TEXT(銘柄管理!$B$6:$B$305,"0"),0)-1,0,1,10)),""))</f>
        <v/>
      </c>
      <c r="Q431" s="440" t="str">
        <f t="array" aca="1" ref="Q431" ca="1">IF(B431="","",IFERROR(MIN(OFFSET(安値!$E$6,MATCH(TEXT(B431,"0"),TEXT(銘柄管理!$B$6:$B$305,"0"),0)-1,0,1,10)),""))</f>
        <v/>
      </c>
      <c r="R431" s="440" t="str">
        <f t="shared" ca="1" si="139"/>
        <v/>
      </c>
      <c r="S431" s="440" t="str">
        <f t="shared" si="140"/>
        <v/>
      </c>
      <c r="T431" s="600" t="str">
        <f t="shared" ca="1" si="129"/>
        <v/>
      </c>
      <c r="U431" s="602" t="str">
        <f t="shared" ca="1" si="130"/>
        <v/>
      </c>
      <c r="V431" s="708" t="str">
        <f t="shared" ca="1" si="141"/>
        <v/>
      </c>
      <c r="W431" s="440" t="str">
        <f t="shared" ca="1" si="131"/>
        <v/>
      </c>
      <c r="X431" s="440" t="str">
        <f t="shared" ca="1" si="132"/>
        <v/>
      </c>
      <c r="AD431" s="611"/>
      <c r="AE431" s="603" t="str">
        <f t="shared" si="133"/>
        <v/>
      </c>
      <c r="AF431" s="603"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03"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03" t="str">
        <f t="shared" ca="1" si="134"/>
        <v/>
      </c>
      <c r="AI431" s="603" t="str" cm="1">
        <f t="array" ref="AI431">IFERROR(INDEX(始値!$E$6:$BT$305,MATCH(TEXT($B431,"0"),TEXT(銘柄管理!$B$6:$B$305,"0"),0),MATCH($AE431,始値!$E$3:$BT$3,0)),"")</f>
        <v/>
      </c>
      <c r="AJ431" s="603" t="str">
        <f t="shared" ca="1" si="135"/>
        <v/>
      </c>
      <c r="AK431" s="603" t="str">
        <f t="shared" ca="1" si="136"/>
        <v/>
      </c>
    </row>
    <row r="432" spans="1:37" ht="17.25" customHeight="1">
      <c r="A432" s="626" t="str">
        <f t="shared" si="125"/>
        <v/>
      </c>
      <c r="D432" s="440" t="str" cm="1">
        <f t="array" ref="D432">_xll.RssMarket(B432, "銘柄名称")</f>
        <v/>
      </c>
      <c r="E432" s="721"/>
      <c r="F432" s="702"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708" t="str" cm="1">
        <f t="array" ref="J432">_xll.RssMarket($B432, "前日比")</f>
        <v/>
      </c>
      <c r="K432" s="708" t="str">
        <f t="shared" ca="1" si="137"/>
        <v/>
      </c>
      <c r="L432" s="713" t="str">
        <f t="shared" ca="1" si="138"/>
        <v/>
      </c>
      <c r="M432" s="602" t="str">
        <f t="shared" ca="1" si="126"/>
        <v/>
      </c>
      <c r="N432" s="602" t="str">
        <f t="shared" ca="1" si="127"/>
        <v/>
      </c>
      <c r="O432" s="478" t="str">
        <f t="shared" ca="1" si="128"/>
        <v/>
      </c>
      <c r="P432" s="445" t="str">
        <f t="array" aca="1" ref="P432" ca="1">IF(B432="","",IFERROR(MAX(OFFSET(高値!$E$6,MATCH(TEXT(B432,"0"),TEXT(銘柄管理!$B$6:$B$305,"0"),0)-1,0,1,10)),""))</f>
        <v/>
      </c>
      <c r="Q432" s="440" t="str">
        <f t="array" aca="1" ref="Q432" ca="1">IF(B432="","",IFERROR(MIN(OFFSET(安値!$E$6,MATCH(TEXT(B432,"0"),TEXT(銘柄管理!$B$6:$B$305,"0"),0)-1,0,1,10)),""))</f>
        <v/>
      </c>
      <c r="R432" s="440" t="str">
        <f t="shared" ca="1" si="139"/>
        <v/>
      </c>
      <c r="S432" s="440" t="str">
        <f t="shared" si="140"/>
        <v/>
      </c>
      <c r="T432" s="600" t="str">
        <f t="shared" ca="1" si="129"/>
        <v/>
      </c>
      <c r="U432" s="602" t="str">
        <f t="shared" ca="1" si="130"/>
        <v/>
      </c>
      <c r="V432" s="708" t="str">
        <f t="shared" ca="1" si="141"/>
        <v/>
      </c>
      <c r="W432" s="440" t="str">
        <f t="shared" ca="1" si="131"/>
        <v/>
      </c>
      <c r="X432" s="440" t="str">
        <f t="shared" ca="1" si="132"/>
        <v/>
      </c>
      <c r="AD432" s="611"/>
      <c r="AE432" s="603" t="str">
        <f t="shared" si="133"/>
        <v/>
      </c>
      <c r="AF432" s="603"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03"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03" t="str">
        <f t="shared" ca="1" si="134"/>
        <v/>
      </c>
      <c r="AI432" s="603" t="str" cm="1">
        <f t="array" ref="AI432">IFERROR(INDEX(始値!$E$6:$BT$305,MATCH(TEXT($B432,"0"),TEXT(銘柄管理!$B$6:$B$305,"0"),0),MATCH($AE432,始値!$E$3:$BT$3,0)),"")</f>
        <v/>
      </c>
      <c r="AJ432" s="603" t="str">
        <f t="shared" ca="1" si="135"/>
        <v/>
      </c>
      <c r="AK432" s="603" t="str">
        <f t="shared" ca="1" si="136"/>
        <v/>
      </c>
    </row>
    <row r="433" spans="1:37" ht="17.25" customHeight="1">
      <c r="A433" s="626" t="str">
        <f t="shared" si="125"/>
        <v/>
      </c>
      <c r="D433" s="440" t="str" cm="1">
        <f t="array" ref="D433">_xll.RssMarket(B433, "銘柄名称")</f>
        <v/>
      </c>
      <c r="E433" s="721"/>
      <c r="F433" s="702"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708" t="str" cm="1">
        <f t="array" ref="J433">_xll.RssMarket($B433, "前日比")</f>
        <v/>
      </c>
      <c r="K433" s="708" t="str">
        <f t="shared" ca="1" si="137"/>
        <v/>
      </c>
      <c r="L433" s="713" t="str">
        <f t="shared" ca="1" si="138"/>
        <v/>
      </c>
      <c r="M433" s="602" t="str">
        <f t="shared" ca="1" si="126"/>
        <v/>
      </c>
      <c r="N433" s="602" t="str">
        <f t="shared" ca="1" si="127"/>
        <v/>
      </c>
      <c r="O433" s="478" t="str">
        <f t="shared" ca="1" si="128"/>
        <v/>
      </c>
      <c r="P433" s="445" t="str">
        <f t="array" aca="1" ref="P433" ca="1">IF(B433="","",IFERROR(MAX(OFFSET(高値!$E$6,MATCH(TEXT(B433,"0"),TEXT(銘柄管理!$B$6:$B$305,"0"),0)-1,0,1,10)),""))</f>
        <v/>
      </c>
      <c r="Q433" s="440" t="str">
        <f t="array" aca="1" ref="Q433" ca="1">IF(B433="","",IFERROR(MIN(OFFSET(安値!$E$6,MATCH(TEXT(B433,"0"),TEXT(銘柄管理!$B$6:$B$305,"0"),0)-1,0,1,10)),""))</f>
        <v/>
      </c>
      <c r="R433" s="440" t="str">
        <f t="shared" ca="1" si="139"/>
        <v/>
      </c>
      <c r="S433" s="440" t="str">
        <f t="shared" si="140"/>
        <v/>
      </c>
      <c r="T433" s="600" t="str">
        <f t="shared" ca="1" si="129"/>
        <v/>
      </c>
      <c r="U433" s="602" t="str">
        <f t="shared" ca="1" si="130"/>
        <v/>
      </c>
      <c r="V433" s="708" t="str">
        <f t="shared" ca="1" si="141"/>
        <v/>
      </c>
      <c r="W433" s="440" t="str">
        <f t="shared" ca="1" si="131"/>
        <v/>
      </c>
      <c r="X433" s="440" t="str">
        <f t="shared" ca="1" si="132"/>
        <v/>
      </c>
      <c r="AD433" s="611"/>
      <c r="AE433" s="603" t="str">
        <f t="shared" si="133"/>
        <v/>
      </c>
      <c r="AF433" s="603"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03"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03" t="str">
        <f t="shared" ca="1" si="134"/>
        <v/>
      </c>
      <c r="AI433" s="603" t="str" cm="1">
        <f t="array" ref="AI433">IFERROR(INDEX(始値!$E$6:$BT$305,MATCH(TEXT($B433,"0"),TEXT(銘柄管理!$B$6:$B$305,"0"),0),MATCH($AE433,始値!$E$3:$BT$3,0)),"")</f>
        <v/>
      </c>
      <c r="AJ433" s="603" t="str">
        <f t="shared" ca="1" si="135"/>
        <v/>
      </c>
      <c r="AK433" s="603" t="str">
        <f t="shared" ca="1" si="136"/>
        <v/>
      </c>
    </row>
    <row r="434" spans="1:37" ht="17.25" customHeight="1">
      <c r="A434" s="626" t="str">
        <f t="shared" si="125"/>
        <v/>
      </c>
      <c r="D434" s="440" t="str" cm="1">
        <f t="array" ref="D434">_xll.RssMarket(B434, "銘柄名称")</f>
        <v/>
      </c>
      <c r="E434" s="721"/>
      <c r="F434" s="702"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708" t="str" cm="1">
        <f t="array" ref="J434">_xll.RssMarket($B434, "前日比")</f>
        <v/>
      </c>
      <c r="K434" s="708" t="str">
        <f t="shared" ca="1" si="137"/>
        <v/>
      </c>
      <c r="L434" s="713" t="str">
        <f t="shared" ca="1" si="138"/>
        <v/>
      </c>
      <c r="M434" s="602" t="str">
        <f t="shared" ca="1" si="126"/>
        <v/>
      </c>
      <c r="N434" s="602" t="str">
        <f t="shared" ca="1" si="127"/>
        <v/>
      </c>
      <c r="O434" s="478" t="str">
        <f t="shared" ca="1" si="128"/>
        <v/>
      </c>
      <c r="P434" s="445" t="str">
        <f t="array" aca="1" ref="P434" ca="1">IF(B434="","",IFERROR(MAX(OFFSET(高値!$E$6,MATCH(TEXT(B434,"0"),TEXT(銘柄管理!$B$6:$B$305,"0"),0)-1,0,1,10)),""))</f>
        <v/>
      </c>
      <c r="Q434" s="440" t="str">
        <f t="array" aca="1" ref="Q434" ca="1">IF(B434="","",IFERROR(MIN(OFFSET(安値!$E$6,MATCH(TEXT(B434,"0"),TEXT(銘柄管理!$B$6:$B$305,"0"),0)-1,0,1,10)),""))</f>
        <v/>
      </c>
      <c r="R434" s="440" t="str">
        <f t="shared" ca="1" si="139"/>
        <v/>
      </c>
      <c r="S434" s="440" t="str">
        <f t="shared" si="140"/>
        <v/>
      </c>
      <c r="T434" s="600" t="str">
        <f t="shared" ca="1" si="129"/>
        <v/>
      </c>
      <c r="U434" s="602" t="str">
        <f t="shared" ca="1" si="130"/>
        <v/>
      </c>
      <c r="V434" s="708" t="str">
        <f t="shared" ca="1" si="141"/>
        <v/>
      </c>
      <c r="W434" s="440" t="str">
        <f t="shared" ca="1" si="131"/>
        <v/>
      </c>
      <c r="X434" s="440" t="str">
        <f t="shared" ca="1" si="132"/>
        <v/>
      </c>
      <c r="AD434" s="611"/>
      <c r="AE434" s="603" t="str">
        <f t="shared" si="133"/>
        <v/>
      </c>
      <c r="AF434" s="603"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03"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03" t="str">
        <f t="shared" ca="1" si="134"/>
        <v/>
      </c>
      <c r="AI434" s="603" t="str" cm="1">
        <f t="array" ref="AI434">IFERROR(INDEX(始値!$E$6:$BT$305,MATCH(TEXT($B434,"0"),TEXT(銘柄管理!$B$6:$B$305,"0"),0),MATCH($AE434,始値!$E$3:$BT$3,0)),"")</f>
        <v/>
      </c>
      <c r="AJ434" s="603" t="str">
        <f t="shared" ca="1" si="135"/>
        <v/>
      </c>
      <c r="AK434" s="603" t="str">
        <f t="shared" ca="1" si="136"/>
        <v/>
      </c>
    </row>
    <row r="435" spans="1:37" ht="17.25" customHeight="1">
      <c r="A435" s="626" t="str">
        <f t="shared" si="125"/>
        <v/>
      </c>
      <c r="D435" s="440" t="str" cm="1">
        <f t="array" ref="D435">_xll.RssMarket(B435, "銘柄名称")</f>
        <v/>
      </c>
      <c r="E435" s="721"/>
      <c r="F435" s="702"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708" t="str" cm="1">
        <f t="array" ref="J435">_xll.RssMarket($B435, "前日比")</f>
        <v/>
      </c>
      <c r="K435" s="708" t="str">
        <f t="shared" ca="1" si="137"/>
        <v/>
      </c>
      <c r="L435" s="713" t="str">
        <f t="shared" ca="1" si="138"/>
        <v/>
      </c>
      <c r="M435" s="602" t="str">
        <f t="shared" ca="1" si="126"/>
        <v/>
      </c>
      <c r="N435" s="602" t="str">
        <f t="shared" ca="1" si="127"/>
        <v/>
      </c>
      <c r="O435" s="478" t="str">
        <f t="shared" ca="1" si="128"/>
        <v/>
      </c>
      <c r="P435" s="445" t="str">
        <f t="array" aca="1" ref="P435" ca="1">IF(B435="","",IFERROR(MAX(OFFSET(高値!$E$6,MATCH(TEXT(B435,"0"),TEXT(銘柄管理!$B$6:$B$305,"0"),0)-1,0,1,10)),""))</f>
        <v/>
      </c>
      <c r="Q435" s="440" t="str">
        <f t="array" aca="1" ref="Q435" ca="1">IF(B435="","",IFERROR(MIN(OFFSET(安値!$E$6,MATCH(TEXT(B435,"0"),TEXT(銘柄管理!$B$6:$B$305,"0"),0)-1,0,1,10)),""))</f>
        <v/>
      </c>
      <c r="R435" s="440" t="str">
        <f t="shared" ca="1" si="139"/>
        <v/>
      </c>
      <c r="S435" s="440" t="str">
        <f t="shared" si="140"/>
        <v/>
      </c>
      <c r="T435" s="600" t="str">
        <f t="shared" ca="1" si="129"/>
        <v/>
      </c>
      <c r="U435" s="602" t="str">
        <f t="shared" ca="1" si="130"/>
        <v/>
      </c>
      <c r="V435" s="708" t="str">
        <f t="shared" ca="1" si="141"/>
        <v/>
      </c>
      <c r="W435" s="440" t="str">
        <f t="shared" ca="1" si="131"/>
        <v/>
      </c>
      <c r="X435" s="440" t="str">
        <f t="shared" ca="1" si="132"/>
        <v/>
      </c>
      <c r="AD435" s="611"/>
      <c r="AE435" s="603" t="str">
        <f t="shared" si="133"/>
        <v/>
      </c>
      <c r="AF435" s="603"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03"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03" t="str">
        <f t="shared" ca="1" si="134"/>
        <v/>
      </c>
      <c r="AI435" s="603" t="str" cm="1">
        <f t="array" ref="AI435">IFERROR(INDEX(始値!$E$6:$BT$305,MATCH(TEXT($B435,"0"),TEXT(銘柄管理!$B$6:$B$305,"0"),0),MATCH($AE435,始値!$E$3:$BT$3,0)),"")</f>
        <v/>
      </c>
      <c r="AJ435" s="603" t="str">
        <f t="shared" ca="1" si="135"/>
        <v/>
      </c>
      <c r="AK435" s="603" t="str">
        <f t="shared" ca="1" si="136"/>
        <v/>
      </c>
    </row>
    <row r="436" spans="1:37" ht="17.25" customHeight="1">
      <c r="A436" s="626" t="str">
        <f t="shared" si="125"/>
        <v/>
      </c>
      <c r="D436" s="440" t="str" cm="1">
        <f t="array" ref="D436">_xll.RssMarket(B436, "銘柄名称")</f>
        <v/>
      </c>
      <c r="E436" s="721"/>
      <c r="F436" s="702"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708" t="str" cm="1">
        <f t="array" ref="J436">_xll.RssMarket($B436, "前日比")</f>
        <v/>
      </c>
      <c r="K436" s="708" t="str">
        <f t="shared" ca="1" si="137"/>
        <v/>
      </c>
      <c r="L436" s="713" t="str">
        <f t="shared" ca="1" si="138"/>
        <v/>
      </c>
      <c r="M436" s="602" t="str">
        <f t="shared" ca="1" si="126"/>
        <v/>
      </c>
      <c r="N436" s="602" t="str">
        <f t="shared" ca="1" si="127"/>
        <v/>
      </c>
      <c r="O436" s="478" t="str">
        <f t="shared" ca="1" si="128"/>
        <v/>
      </c>
      <c r="P436" s="445" t="str">
        <f t="array" aca="1" ref="P436" ca="1">IF(B436="","",IFERROR(MAX(OFFSET(高値!$E$6,MATCH(TEXT(B436,"0"),TEXT(銘柄管理!$B$6:$B$305,"0"),0)-1,0,1,10)),""))</f>
        <v/>
      </c>
      <c r="Q436" s="440" t="str">
        <f t="array" aca="1" ref="Q436" ca="1">IF(B436="","",IFERROR(MIN(OFFSET(安値!$E$6,MATCH(TEXT(B436,"0"),TEXT(銘柄管理!$B$6:$B$305,"0"),0)-1,0,1,10)),""))</f>
        <v/>
      </c>
      <c r="R436" s="440" t="str">
        <f t="shared" ca="1" si="139"/>
        <v/>
      </c>
      <c r="S436" s="440" t="str">
        <f t="shared" si="140"/>
        <v/>
      </c>
      <c r="T436" s="600" t="str">
        <f t="shared" ca="1" si="129"/>
        <v/>
      </c>
      <c r="U436" s="602" t="str">
        <f t="shared" ca="1" si="130"/>
        <v/>
      </c>
      <c r="V436" s="708" t="str">
        <f t="shared" ca="1" si="141"/>
        <v/>
      </c>
      <c r="W436" s="440" t="str">
        <f t="shared" ca="1" si="131"/>
        <v/>
      </c>
      <c r="X436" s="440" t="str">
        <f t="shared" ca="1" si="132"/>
        <v/>
      </c>
      <c r="AD436" s="611"/>
      <c r="AE436" s="603" t="str">
        <f t="shared" si="133"/>
        <v/>
      </c>
      <c r="AF436" s="603"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03"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03" t="str">
        <f t="shared" ca="1" si="134"/>
        <v/>
      </c>
      <c r="AI436" s="603" t="str" cm="1">
        <f t="array" ref="AI436">IFERROR(INDEX(始値!$E$6:$BT$305,MATCH(TEXT($B436,"0"),TEXT(銘柄管理!$B$6:$B$305,"0"),0),MATCH($AE436,始値!$E$3:$BT$3,0)),"")</f>
        <v/>
      </c>
      <c r="AJ436" s="603" t="str">
        <f t="shared" ca="1" si="135"/>
        <v/>
      </c>
      <c r="AK436" s="603" t="str">
        <f t="shared" ca="1" si="136"/>
        <v/>
      </c>
    </row>
    <row r="437" spans="1:37" ht="17.25" customHeight="1">
      <c r="A437" s="626" t="str">
        <f t="shared" si="125"/>
        <v/>
      </c>
      <c r="D437" s="440" t="str" cm="1">
        <f t="array" ref="D437">_xll.RssMarket(B437, "銘柄名称")</f>
        <v/>
      </c>
      <c r="E437" s="721"/>
      <c r="F437" s="702"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708" t="str" cm="1">
        <f t="array" ref="J437">_xll.RssMarket($B437, "前日比")</f>
        <v/>
      </c>
      <c r="K437" s="708" t="str">
        <f t="shared" ca="1" si="137"/>
        <v/>
      </c>
      <c r="L437" s="713" t="str">
        <f t="shared" ca="1" si="138"/>
        <v/>
      </c>
      <c r="M437" s="602" t="str">
        <f t="shared" ca="1" si="126"/>
        <v/>
      </c>
      <c r="N437" s="602" t="str">
        <f t="shared" ca="1" si="127"/>
        <v/>
      </c>
      <c r="O437" s="478" t="str">
        <f t="shared" ca="1" si="128"/>
        <v/>
      </c>
      <c r="P437" s="445" t="str">
        <f t="array" aca="1" ref="P437" ca="1">IF(B437="","",IFERROR(MAX(OFFSET(高値!$E$6,MATCH(TEXT(B437,"0"),TEXT(銘柄管理!$B$6:$B$305,"0"),0)-1,0,1,10)),""))</f>
        <v/>
      </c>
      <c r="Q437" s="440" t="str">
        <f t="array" aca="1" ref="Q437" ca="1">IF(B437="","",IFERROR(MIN(OFFSET(安値!$E$6,MATCH(TEXT(B437,"0"),TEXT(銘柄管理!$B$6:$B$305,"0"),0)-1,0,1,10)),""))</f>
        <v/>
      </c>
      <c r="R437" s="440" t="str">
        <f t="shared" ca="1" si="139"/>
        <v/>
      </c>
      <c r="S437" s="440" t="str">
        <f t="shared" si="140"/>
        <v/>
      </c>
      <c r="T437" s="600" t="str">
        <f t="shared" ca="1" si="129"/>
        <v/>
      </c>
      <c r="U437" s="602" t="str">
        <f t="shared" ca="1" si="130"/>
        <v/>
      </c>
      <c r="V437" s="708" t="str">
        <f t="shared" ca="1" si="141"/>
        <v/>
      </c>
      <c r="W437" s="440" t="str">
        <f t="shared" ca="1" si="131"/>
        <v/>
      </c>
      <c r="X437" s="440" t="str">
        <f t="shared" ca="1" si="132"/>
        <v/>
      </c>
      <c r="AD437" s="611"/>
      <c r="AE437" s="603" t="str">
        <f t="shared" si="133"/>
        <v/>
      </c>
      <c r="AF437" s="603"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03"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03" t="str">
        <f t="shared" ca="1" si="134"/>
        <v/>
      </c>
      <c r="AI437" s="603" t="str" cm="1">
        <f t="array" ref="AI437">IFERROR(INDEX(始値!$E$6:$BT$305,MATCH(TEXT($B437,"0"),TEXT(銘柄管理!$B$6:$B$305,"0"),0),MATCH($AE437,始値!$E$3:$BT$3,0)),"")</f>
        <v/>
      </c>
      <c r="AJ437" s="603" t="str">
        <f t="shared" ca="1" si="135"/>
        <v/>
      </c>
      <c r="AK437" s="603" t="str">
        <f t="shared" ca="1" si="136"/>
        <v/>
      </c>
    </row>
    <row r="438" spans="1:37" ht="17.25" customHeight="1">
      <c r="A438" s="626" t="str">
        <f t="shared" si="125"/>
        <v/>
      </c>
      <c r="D438" s="440" t="str" cm="1">
        <f t="array" ref="D438">_xll.RssMarket(B438, "銘柄名称")</f>
        <v/>
      </c>
      <c r="E438" s="721"/>
      <c r="F438" s="702"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708" t="str" cm="1">
        <f t="array" ref="J438">_xll.RssMarket($B438, "前日比")</f>
        <v/>
      </c>
      <c r="K438" s="708" t="str">
        <f t="shared" ca="1" si="137"/>
        <v/>
      </c>
      <c r="L438" s="713" t="str">
        <f t="shared" ca="1" si="138"/>
        <v/>
      </c>
      <c r="M438" s="602" t="str">
        <f t="shared" ca="1" si="126"/>
        <v/>
      </c>
      <c r="N438" s="602" t="str">
        <f t="shared" ca="1" si="127"/>
        <v/>
      </c>
      <c r="O438" s="478" t="str">
        <f t="shared" ca="1" si="128"/>
        <v/>
      </c>
      <c r="P438" s="445" t="str">
        <f t="array" aca="1" ref="P438" ca="1">IF(B438="","",IFERROR(MAX(OFFSET(高値!$E$6,MATCH(TEXT(B438,"0"),TEXT(銘柄管理!$B$6:$B$305,"0"),0)-1,0,1,10)),""))</f>
        <v/>
      </c>
      <c r="Q438" s="440" t="str">
        <f t="array" aca="1" ref="Q438" ca="1">IF(B438="","",IFERROR(MIN(OFFSET(安値!$E$6,MATCH(TEXT(B438,"0"),TEXT(銘柄管理!$B$6:$B$305,"0"),0)-1,0,1,10)),""))</f>
        <v/>
      </c>
      <c r="R438" s="440" t="str">
        <f t="shared" ca="1" si="139"/>
        <v/>
      </c>
      <c r="S438" s="440" t="str">
        <f t="shared" si="140"/>
        <v/>
      </c>
      <c r="T438" s="600" t="str">
        <f t="shared" ca="1" si="129"/>
        <v/>
      </c>
      <c r="U438" s="602" t="str">
        <f t="shared" ca="1" si="130"/>
        <v/>
      </c>
      <c r="V438" s="708" t="str">
        <f t="shared" ca="1" si="141"/>
        <v/>
      </c>
      <c r="W438" s="440" t="str">
        <f t="shared" ca="1" si="131"/>
        <v/>
      </c>
      <c r="X438" s="440" t="str">
        <f t="shared" ca="1" si="132"/>
        <v/>
      </c>
      <c r="AD438" s="611"/>
      <c r="AE438" s="603" t="str">
        <f t="shared" si="133"/>
        <v/>
      </c>
      <c r="AF438" s="603"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03"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03" t="str">
        <f t="shared" ca="1" si="134"/>
        <v/>
      </c>
      <c r="AI438" s="603" t="str" cm="1">
        <f t="array" ref="AI438">IFERROR(INDEX(始値!$E$6:$BT$305,MATCH(TEXT($B438,"0"),TEXT(銘柄管理!$B$6:$B$305,"0"),0),MATCH($AE438,始値!$E$3:$BT$3,0)),"")</f>
        <v/>
      </c>
      <c r="AJ438" s="603" t="str">
        <f t="shared" ca="1" si="135"/>
        <v/>
      </c>
      <c r="AK438" s="603" t="str">
        <f t="shared" ca="1" si="136"/>
        <v/>
      </c>
    </row>
    <row r="439" spans="1:37" ht="17.25" customHeight="1">
      <c r="A439" s="626" t="str">
        <f t="shared" si="125"/>
        <v/>
      </c>
      <c r="D439" s="440" t="str" cm="1">
        <f t="array" ref="D439">_xll.RssMarket(B439, "銘柄名称")</f>
        <v/>
      </c>
      <c r="E439" s="721"/>
      <c r="F439" s="702"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708" t="str" cm="1">
        <f t="array" ref="J439">_xll.RssMarket($B439, "前日比")</f>
        <v/>
      </c>
      <c r="K439" s="708" t="str">
        <f t="shared" ca="1" si="137"/>
        <v/>
      </c>
      <c r="L439" s="713" t="str">
        <f t="shared" ca="1" si="138"/>
        <v/>
      </c>
      <c r="M439" s="602" t="str">
        <f t="shared" ca="1" si="126"/>
        <v/>
      </c>
      <c r="N439" s="602" t="str">
        <f t="shared" ca="1" si="127"/>
        <v/>
      </c>
      <c r="O439" s="478" t="str">
        <f t="shared" ca="1" si="128"/>
        <v/>
      </c>
      <c r="P439" s="445" t="str">
        <f t="array" aca="1" ref="P439" ca="1">IF(B439="","",IFERROR(MAX(OFFSET(高値!$E$6,MATCH(TEXT(B439,"0"),TEXT(銘柄管理!$B$6:$B$305,"0"),0)-1,0,1,10)),""))</f>
        <v/>
      </c>
      <c r="Q439" s="440" t="str">
        <f t="array" aca="1" ref="Q439" ca="1">IF(B439="","",IFERROR(MIN(OFFSET(安値!$E$6,MATCH(TEXT(B439,"0"),TEXT(銘柄管理!$B$6:$B$305,"0"),0)-1,0,1,10)),""))</f>
        <v/>
      </c>
      <c r="R439" s="440" t="str">
        <f t="shared" ca="1" si="139"/>
        <v/>
      </c>
      <c r="S439" s="440" t="str">
        <f t="shared" si="140"/>
        <v/>
      </c>
      <c r="T439" s="600" t="str">
        <f t="shared" ca="1" si="129"/>
        <v/>
      </c>
      <c r="U439" s="602" t="str">
        <f t="shared" ca="1" si="130"/>
        <v/>
      </c>
      <c r="V439" s="708" t="str">
        <f t="shared" ca="1" si="141"/>
        <v/>
      </c>
      <c r="W439" s="440" t="str">
        <f t="shared" ca="1" si="131"/>
        <v/>
      </c>
      <c r="X439" s="440" t="str">
        <f t="shared" ca="1" si="132"/>
        <v/>
      </c>
      <c r="AD439" s="611"/>
      <c r="AE439" s="603" t="str">
        <f t="shared" si="133"/>
        <v/>
      </c>
      <c r="AF439" s="603"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03"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03" t="str">
        <f t="shared" ca="1" si="134"/>
        <v/>
      </c>
      <c r="AI439" s="603" t="str" cm="1">
        <f t="array" ref="AI439">IFERROR(INDEX(始値!$E$6:$BT$305,MATCH(TEXT($B439,"0"),TEXT(銘柄管理!$B$6:$B$305,"0"),0),MATCH($AE439,始値!$E$3:$BT$3,0)),"")</f>
        <v/>
      </c>
      <c r="AJ439" s="603" t="str">
        <f t="shared" ca="1" si="135"/>
        <v/>
      </c>
      <c r="AK439" s="603" t="str">
        <f t="shared" ca="1" si="136"/>
        <v/>
      </c>
    </row>
    <row r="440" spans="1:37" ht="17.25" customHeight="1">
      <c r="A440" s="626" t="str">
        <f t="shared" si="125"/>
        <v/>
      </c>
      <c r="D440" s="440" t="str" cm="1">
        <f t="array" ref="D440">_xll.RssMarket(B440, "銘柄名称")</f>
        <v/>
      </c>
      <c r="E440" s="721"/>
      <c r="F440" s="702"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708" t="str" cm="1">
        <f t="array" ref="J440">_xll.RssMarket($B440, "前日比")</f>
        <v/>
      </c>
      <c r="K440" s="708" t="str">
        <f t="shared" ca="1" si="137"/>
        <v/>
      </c>
      <c r="L440" s="713" t="str">
        <f t="shared" ca="1" si="138"/>
        <v/>
      </c>
      <c r="M440" s="602" t="str">
        <f t="shared" ca="1" si="126"/>
        <v/>
      </c>
      <c r="N440" s="602" t="str">
        <f t="shared" ca="1" si="127"/>
        <v/>
      </c>
      <c r="O440" s="478" t="str">
        <f t="shared" ca="1" si="128"/>
        <v/>
      </c>
      <c r="P440" s="445" t="str">
        <f t="array" aca="1" ref="P440" ca="1">IF(B440="","",IFERROR(MAX(OFFSET(高値!$E$6,MATCH(TEXT(B440,"0"),TEXT(銘柄管理!$B$6:$B$305,"0"),0)-1,0,1,10)),""))</f>
        <v/>
      </c>
      <c r="Q440" s="440" t="str">
        <f t="array" aca="1" ref="Q440" ca="1">IF(B440="","",IFERROR(MIN(OFFSET(安値!$E$6,MATCH(TEXT(B440,"0"),TEXT(銘柄管理!$B$6:$B$305,"0"),0)-1,0,1,10)),""))</f>
        <v/>
      </c>
      <c r="R440" s="440" t="str">
        <f t="shared" ca="1" si="139"/>
        <v/>
      </c>
      <c r="S440" s="440" t="str">
        <f t="shared" si="140"/>
        <v/>
      </c>
      <c r="T440" s="600" t="str">
        <f t="shared" ca="1" si="129"/>
        <v/>
      </c>
      <c r="U440" s="602" t="str">
        <f t="shared" ca="1" si="130"/>
        <v/>
      </c>
      <c r="V440" s="708" t="str">
        <f t="shared" ca="1" si="141"/>
        <v/>
      </c>
      <c r="W440" s="440" t="str">
        <f t="shared" ca="1" si="131"/>
        <v/>
      </c>
      <c r="X440" s="440" t="str">
        <f t="shared" ca="1" si="132"/>
        <v/>
      </c>
      <c r="AD440" s="611"/>
      <c r="AE440" s="603" t="str">
        <f t="shared" si="133"/>
        <v/>
      </c>
      <c r="AF440" s="603"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03"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03" t="str">
        <f t="shared" ca="1" si="134"/>
        <v/>
      </c>
      <c r="AI440" s="603" t="str" cm="1">
        <f t="array" ref="AI440">IFERROR(INDEX(始値!$E$6:$BT$305,MATCH(TEXT($B440,"0"),TEXT(銘柄管理!$B$6:$B$305,"0"),0),MATCH($AE440,始値!$E$3:$BT$3,0)),"")</f>
        <v/>
      </c>
      <c r="AJ440" s="603" t="str">
        <f t="shared" ca="1" si="135"/>
        <v/>
      </c>
      <c r="AK440" s="603" t="str">
        <f t="shared" ca="1" si="136"/>
        <v/>
      </c>
    </row>
    <row r="441" spans="1:37" ht="17.25" customHeight="1">
      <c r="A441" s="626" t="str">
        <f t="shared" si="125"/>
        <v/>
      </c>
      <c r="D441" s="440" t="str" cm="1">
        <f t="array" ref="D441">_xll.RssMarket(B441, "銘柄名称")</f>
        <v/>
      </c>
      <c r="E441" s="721"/>
      <c r="F441" s="702"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708" t="str" cm="1">
        <f t="array" ref="J441">_xll.RssMarket($B441, "前日比")</f>
        <v/>
      </c>
      <c r="K441" s="708" t="str">
        <f t="shared" ca="1" si="137"/>
        <v/>
      </c>
      <c r="L441" s="713" t="str">
        <f t="shared" ca="1" si="138"/>
        <v/>
      </c>
      <c r="M441" s="602" t="str">
        <f t="shared" ca="1" si="126"/>
        <v/>
      </c>
      <c r="N441" s="602" t="str">
        <f t="shared" ca="1" si="127"/>
        <v/>
      </c>
      <c r="O441" s="478" t="str">
        <f t="shared" ca="1" si="128"/>
        <v/>
      </c>
      <c r="P441" s="445" t="str">
        <f t="array" aca="1" ref="P441" ca="1">IF(B441="","",IFERROR(MAX(OFFSET(高値!$E$6,MATCH(TEXT(B441,"0"),TEXT(銘柄管理!$B$6:$B$305,"0"),0)-1,0,1,10)),""))</f>
        <v/>
      </c>
      <c r="Q441" s="440" t="str">
        <f t="array" aca="1" ref="Q441" ca="1">IF(B441="","",IFERROR(MIN(OFFSET(安値!$E$6,MATCH(TEXT(B441,"0"),TEXT(銘柄管理!$B$6:$B$305,"0"),0)-1,0,1,10)),""))</f>
        <v/>
      </c>
      <c r="R441" s="440" t="str">
        <f t="shared" ca="1" si="139"/>
        <v/>
      </c>
      <c r="S441" s="440" t="str">
        <f t="shared" si="140"/>
        <v/>
      </c>
      <c r="T441" s="600" t="str">
        <f t="shared" ca="1" si="129"/>
        <v/>
      </c>
      <c r="U441" s="602" t="str">
        <f t="shared" ca="1" si="130"/>
        <v/>
      </c>
      <c r="V441" s="708" t="str">
        <f t="shared" ca="1" si="141"/>
        <v/>
      </c>
      <c r="W441" s="440" t="str">
        <f t="shared" ca="1" si="131"/>
        <v/>
      </c>
      <c r="X441" s="440" t="str">
        <f t="shared" ca="1" si="132"/>
        <v/>
      </c>
      <c r="AD441" s="611"/>
      <c r="AE441" s="603" t="str">
        <f t="shared" si="133"/>
        <v/>
      </c>
      <c r="AF441" s="603"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03"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03" t="str">
        <f t="shared" ca="1" si="134"/>
        <v/>
      </c>
      <c r="AI441" s="603" t="str" cm="1">
        <f t="array" ref="AI441">IFERROR(INDEX(始値!$E$6:$BT$305,MATCH(TEXT($B441,"0"),TEXT(銘柄管理!$B$6:$B$305,"0"),0),MATCH($AE441,始値!$E$3:$BT$3,0)),"")</f>
        <v/>
      </c>
      <c r="AJ441" s="603" t="str">
        <f t="shared" ca="1" si="135"/>
        <v/>
      </c>
      <c r="AK441" s="603" t="str">
        <f t="shared" ca="1" si="136"/>
        <v/>
      </c>
    </row>
    <row r="442" spans="1:37" ht="17.25" customHeight="1">
      <c r="A442" s="626" t="str">
        <f t="shared" si="125"/>
        <v/>
      </c>
      <c r="D442" s="440" t="str" cm="1">
        <f t="array" ref="D442">_xll.RssMarket(B442, "銘柄名称")</f>
        <v/>
      </c>
      <c r="E442" s="721"/>
      <c r="F442" s="702"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708" t="str" cm="1">
        <f t="array" ref="J442">_xll.RssMarket($B442, "前日比")</f>
        <v/>
      </c>
      <c r="K442" s="708" t="str">
        <f t="shared" ca="1" si="137"/>
        <v/>
      </c>
      <c r="L442" s="713" t="str">
        <f t="shared" ca="1" si="138"/>
        <v/>
      </c>
      <c r="M442" s="602" t="str">
        <f t="shared" ca="1" si="126"/>
        <v/>
      </c>
      <c r="N442" s="602" t="str">
        <f t="shared" ca="1" si="127"/>
        <v/>
      </c>
      <c r="O442" s="478" t="str">
        <f t="shared" ca="1" si="128"/>
        <v/>
      </c>
      <c r="P442" s="445" t="str">
        <f t="array" aca="1" ref="P442" ca="1">IF(B442="","",IFERROR(MAX(OFFSET(高値!$E$6,MATCH(TEXT(B442,"0"),TEXT(銘柄管理!$B$6:$B$305,"0"),0)-1,0,1,10)),""))</f>
        <v/>
      </c>
      <c r="Q442" s="440" t="str">
        <f t="array" aca="1" ref="Q442" ca="1">IF(B442="","",IFERROR(MIN(OFFSET(安値!$E$6,MATCH(TEXT(B442,"0"),TEXT(銘柄管理!$B$6:$B$305,"0"),0)-1,0,1,10)),""))</f>
        <v/>
      </c>
      <c r="R442" s="440" t="str">
        <f t="shared" ca="1" si="139"/>
        <v/>
      </c>
      <c r="S442" s="440" t="str">
        <f t="shared" si="140"/>
        <v/>
      </c>
      <c r="T442" s="600" t="str">
        <f t="shared" ca="1" si="129"/>
        <v/>
      </c>
      <c r="U442" s="602" t="str">
        <f t="shared" ca="1" si="130"/>
        <v/>
      </c>
      <c r="V442" s="708" t="str">
        <f t="shared" ca="1" si="141"/>
        <v/>
      </c>
      <c r="W442" s="440" t="str">
        <f t="shared" ca="1" si="131"/>
        <v/>
      </c>
      <c r="X442" s="440" t="str">
        <f t="shared" ca="1" si="132"/>
        <v/>
      </c>
      <c r="AD442" s="611"/>
      <c r="AE442" s="603" t="str">
        <f t="shared" si="133"/>
        <v/>
      </c>
      <c r="AF442" s="603"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03"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03" t="str">
        <f t="shared" ca="1" si="134"/>
        <v/>
      </c>
      <c r="AI442" s="603" t="str" cm="1">
        <f t="array" ref="AI442">IFERROR(INDEX(始値!$E$6:$BT$305,MATCH(TEXT($B442,"0"),TEXT(銘柄管理!$B$6:$B$305,"0"),0),MATCH($AE442,始値!$E$3:$BT$3,0)),"")</f>
        <v/>
      </c>
      <c r="AJ442" s="603" t="str">
        <f t="shared" ca="1" si="135"/>
        <v/>
      </c>
      <c r="AK442" s="603" t="str">
        <f t="shared" ca="1" si="136"/>
        <v/>
      </c>
    </row>
    <row r="443" spans="1:37" ht="17.25" customHeight="1">
      <c r="A443" s="626" t="str">
        <f t="shared" si="125"/>
        <v/>
      </c>
      <c r="D443" s="440" t="str" cm="1">
        <f t="array" ref="D443">_xll.RssMarket(B443, "銘柄名称")</f>
        <v/>
      </c>
      <c r="E443" s="721"/>
      <c r="F443" s="702"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708" t="str" cm="1">
        <f t="array" ref="J443">_xll.RssMarket($B443, "前日比")</f>
        <v/>
      </c>
      <c r="K443" s="708" t="str">
        <f t="shared" ca="1" si="137"/>
        <v/>
      </c>
      <c r="L443" s="713" t="str">
        <f t="shared" ca="1" si="138"/>
        <v/>
      </c>
      <c r="M443" s="602" t="str">
        <f t="shared" ca="1" si="126"/>
        <v/>
      </c>
      <c r="N443" s="602" t="str">
        <f t="shared" ca="1" si="127"/>
        <v/>
      </c>
      <c r="O443" s="478" t="str">
        <f t="shared" ca="1" si="128"/>
        <v/>
      </c>
      <c r="P443" s="445" t="str">
        <f t="array" aca="1" ref="P443" ca="1">IF(B443="","",IFERROR(MAX(OFFSET(高値!$E$6,MATCH(TEXT(B443,"0"),TEXT(銘柄管理!$B$6:$B$305,"0"),0)-1,0,1,10)),""))</f>
        <v/>
      </c>
      <c r="Q443" s="440" t="str">
        <f t="array" aca="1" ref="Q443" ca="1">IF(B443="","",IFERROR(MIN(OFFSET(安値!$E$6,MATCH(TEXT(B443,"0"),TEXT(銘柄管理!$B$6:$B$305,"0"),0)-1,0,1,10)),""))</f>
        <v/>
      </c>
      <c r="R443" s="440" t="str">
        <f t="shared" ca="1" si="139"/>
        <v/>
      </c>
      <c r="S443" s="440" t="str">
        <f t="shared" si="140"/>
        <v/>
      </c>
      <c r="T443" s="600" t="str">
        <f t="shared" ca="1" si="129"/>
        <v/>
      </c>
      <c r="U443" s="602" t="str">
        <f t="shared" ca="1" si="130"/>
        <v/>
      </c>
      <c r="V443" s="708" t="str">
        <f t="shared" ca="1" si="141"/>
        <v/>
      </c>
      <c r="W443" s="440" t="str">
        <f t="shared" ca="1" si="131"/>
        <v/>
      </c>
      <c r="X443" s="440" t="str">
        <f t="shared" ca="1" si="132"/>
        <v/>
      </c>
      <c r="AD443" s="611"/>
      <c r="AE443" s="603" t="str">
        <f t="shared" si="133"/>
        <v/>
      </c>
      <c r="AF443" s="603"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03"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03" t="str">
        <f t="shared" ca="1" si="134"/>
        <v/>
      </c>
      <c r="AI443" s="603" t="str" cm="1">
        <f t="array" ref="AI443">IFERROR(INDEX(始値!$E$6:$BT$305,MATCH(TEXT($B443,"0"),TEXT(銘柄管理!$B$6:$B$305,"0"),0),MATCH($AE443,始値!$E$3:$BT$3,0)),"")</f>
        <v/>
      </c>
      <c r="AJ443" s="603" t="str">
        <f t="shared" ca="1" si="135"/>
        <v/>
      </c>
      <c r="AK443" s="603" t="str">
        <f t="shared" ca="1" si="136"/>
        <v/>
      </c>
    </row>
    <row r="444" spans="1:37" ht="17.25" customHeight="1">
      <c r="A444" s="626" t="str">
        <f t="shared" si="125"/>
        <v/>
      </c>
      <c r="D444" s="440" t="str" cm="1">
        <f t="array" ref="D444">_xll.RssMarket(B444, "銘柄名称")</f>
        <v/>
      </c>
      <c r="E444" s="721"/>
      <c r="F444" s="702"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708" t="str" cm="1">
        <f t="array" ref="J444">_xll.RssMarket($B444, "前日比")</f>
        <v/>
      </c>
      <c r="K444" s="708" t="str">
        <f t="shared" ca="1" si="137"/>
        <v/>
      </c>
      <c r="L444" s="713" t="str">
        <f t="shared" ca="1" si="138"/>
        <v/>
      </c>
      <c r="M444" s="602" t="str">
        <f t="shared" ca="1" si="126"/>
        <v/>
      </c>
      <c r="N444" s="602" t="str">
        <f t="shared" ca="1" si="127"/>
        <v/>
      </c>
      <c r="O444" s="478" t="str">
        <f t="shared" ca="1" si="128"/>
        <v/>
      </c>
      <c r="P444" s="445" t="str">
        <f t="array" aca="1" ref="P444" ca="1">IF(B444="","",IFERROR(MAX(OFFSET(高値!$E$6,MATCH(TEXT(B444,"0"),TEXT(銘柄管理!$B$6:$B$305,"0"),0)-1,0,1,10)),""))</f>
        <v/>
      </c>
      <c r="Q444" s="440" t="str">
        <f t="array" aca="1" ref="Q444" ca="1">IF(B444="","",IFERROR(MIN(OFFSET(安値!$E$6,MATCH(TEXT(B444,"0"),TEXT(銘柄管理!$B$6:$B$305,"0"),0)-1,0,1,10)),""))</f>
        <v/>
      </c>
      <c r="R444" s="440" t="str">
        <f t="shared" ca="1" si="139"/>
        <v/>
      </c>
      <c r="S444" s="440" t="str">
        <f t="shared" si="140"/>
        <v/>
      </c>
      <c r="T444" s="600" t="str">
        <f t="shared" ca="1" si="129"/>
        <v/>
      </c>
      <c r="U444" s="602" t="str">
        <f t="shared" ca="1" si="130"/>
        <v/>
      </c>
      <c r="V444" s="708" t="str">
        <f t="shared" ca="1" si="141"/>
        <v/>
      </c>
      <c r="W444" s="440" t="str">
        <f t="shared" ca="1" si="131"/>
        <v/>
      </c>
      <c r="X444" s="440" t="str">
        <f t="shared" ca="1" si="132"/>
        <v/>
      </c>
      <c r="AD444" s="611"/>
      <c r="AE444" s="603" t="str">
        <f t="shared" si="133"/>
        <v/>
      </c>
      <c r="AF444" s="603"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03"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03" t="str">
        <f t="shared" ca="1" si="134"/>
        <v/>
      </c>
      <c r="AI444" s="603" t="str" cm="1">
        <f t="array" ref="AI444">IFERROR(INDEX(始値!$E$6:$BT$305,MATCH(TEXT($B444,"0"),TEXT(銘柄管理!$B$6:$B$305,"0"),0),MATCH($AE444,始値!$E$3:$BT$3,0)),"")</f>
        <v/>
      </c>
      <c r="AJ444" s="603" t="str">
        <f t="shared" ca="1" si="135"/>
        <v/>
      </c>
      <c r="AK444" s="603" t="str">
        <f t="shared" ca="1" si="136"/>
        <v/>
      </c>
    </row>
    <row r="445" spans="1:37" ht="17.25" customHeight="1">
      <c r="A445" s="626" t="str">
        <f t="shared" si="125"/>
        <v/>
      </c>
      <c r="D445" s="440" t="str" cm="1">
        <f t="array" ref="D445">_xll.RssMarket(B445, "銘柄名称")</f>
        <v/>
      </c>
      <c r="E445" s="721"/>
      <c r="F445" s="702"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708" t="str" cm="1">
        <f t="array" ref="J445">_xll.RssMarket($B445, "前日比")</f>
        <v/>
      </c>
      <c r="K445" s="708" t="str">
        <f t="shared" ca="1" si="137"/>
        <v/>
      </c>
      <c r="L445" s="713" t="str">
        <f t="shared" ca="1" si="138"/>
        <v/>
      </c>
      <c r="M445" s="602" t="str">
        <f t="shared" ca="1" si="126"/>
        <v/>
      </c>
      <c r="N445" s="602" t="str">
        <f t="shared" ca="1" si="127"/>
        <v/>
      </c>
      <c r="O445" s="478" t="str">
        <f t="shared" ca="1" si="128"/>
        <v/>
      </c>
      <c r="P445" s="445" t="str">
        <f t="array" aca="1" ref="P445" ca="1">IF(B445="","",IFERROR(MAX(OFFSET(高値!$E$6,MATCH(TEXT(B445,"0"),TEXT(銘柄管理!$B$6:$B$305,"0"),0)-1,0,1,10)),""))</f>
        <v/>
      </c>
      <c r="Q445" s="440" t="str">
        <f t="array" aca="1" ref="Q445" ca="1">IF(B445="","",IFERROR(MIN(OFFSET(安値!$E$6,MATCH(TEXT(B445,"0"),TEXT(銘柄管理!$B$6:$B$305,"0"),0)-1,0,1,10)),""))</f>
        <v/>
      </c>
      <c r="R445" s="440" t="str">
        <f t="shared" ca="1" si="139"/>
        <v/>
      </c>
      <c r="S445" s="440" t="str">
        <f t="shared" si="140"/>
        <v/>
      </c>
      <c r="T445" s="600" t="str">
        <f t="shared" ca="1" si="129"/>
        <v/>
      </c>
      <c r="U445" s="602" t="str">
        <f t="shared" ca="1" si="130"/>
        <v/>
      </c>
      <c r="V445" s="708" t="str">
        <f t="shared" ca="1" si="141"/>
        <v/>
      </c>
      <c r="W445" s="440" t="str">
        <f t="shared" ca="1" si="131"/>
        <v/>
      </c>
      <c r="X445" s="440" t="str">
        <f t="shared" ca="1" si="132"/>
        <v/>
      </c>
      <c r="AD445" s="611"/>
      <c r="AE445" s="603" t="str">
        <f t="shared" si="133"/>
        <v/>
      </c>
      <c r="AF445" s="603"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03"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03" t="str">
        <f t="shared" ca="1" si="134"/>
        <v/>
      </c>
      <c r="AI445" s="603" t="str" cm="1">
        <f t="array" ref="AI445">IFERROR(INDEX(始値!$E$6:$BT$305,MATCH(TEXT($B445,"0"),TEXT(銘柄管理!$B$6:$B$305,"0"),0),MATCH($AE445,始値!$E$3:$BT$3,0)),"")</f>
        <v/>
      </c>
      <c r="AJ445" s="603" t="str">
        <f t="shared" ca="1" si="135"/>
        <v/>
      </c>
      <c r="AK445" s="603" t="str">
        <f t="shared" ca="1" si="136"/>
        <v/>
      </c>
    </row>
    <row r="446" spans="1:37" ht="17.25" customHeight="1">
      <c r="A446" s="626" t="str">
        <f t="shared" si="125"/>
        <v/>
      </c>
      <c r="D446" s="440" t="str" cm="1">
        <f t="array" ref="D446">_xll.RssMarket(B446, "銘柄名称")</f>
        <v/>
      </c>
      <c r="E446" s="721"/>
      <c r="F446" s="702"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708" t="str" cm="1">
        <f t="array" ref="J446">_xll.RssMarket($B446, "前日比")</f>
        <v/>
      </c>
      <c r="K446" s="708" t="str">
        <f t="shared" ca="1" si="137"/>
        <v/>
      </c>
      <c r="L446" s="713" t="str">
        <f t="shared" ca="1" si="138"/>
        <v/>
      </c>
      <c r="M446" s="602" t="str">
        <f t="shared" ca="1" si="126"/>
        <v/>
      </c>
      <c r="N446" s="602" t="str">
        <f t="shared" ca="1" si="127"/>
        <v/>
      </c>
      <c r="O446" s="478" t="str">
        <f t="shared" ca="1" si="128"/>
        <v/>
      </c>
      <c r="P446" s="445" t="str">
        <f t="array" aca="1" ref="P446" ca="1">IF(B446="","",IFERROR(MAX(OFFSET(高値!$E$6,MATCH(TEXT(B446,"0"),TEXT(銘柄管理!$B$6:$B$305,"0"),0)-1,0,1,10)),""))</f>
        <v/>
      </c>
      <c r="Q446" s="440" t="str">
        <f t="array" aca="1" ref="Q446" ca="1">IF(B446="","",IFERROR(MIN(OFFSET(安値!$E$6,MATCH(TEXT(B446,"0"),TEXT(銘柄管理!$B$6:$B$305,"0"),0)-1,0,1,10)),""))</f>
        <v/>
      </c>
      <c r="R446" s="440" t="str">
        <f t="shared" ca="1" si="139"/>
        <v/>
      </c>
      <c r="S446" s="440" t="str">
        <f t="shared" si="140"/>
        <v/>
      </c>
      <c r="T446" s="600" t="str">
        <f t="shared" ca="1" si="129"/>
        <v/>
      </c>
      <c r="U446" s="602" t="str">
        <f t="shared" ca="1" si="130"/>
        <v/>
      </c>
      <c r="V446" s="708" t="str">
        <f t="shared" ca="1" si="141"/>
        <v/>
      </c>
      <c r="W446" s="440" t="str">
        <f t="shared" ca="1" si="131"/>
        <v/>
      </c>
      <c r="X446" s="440" t="str">
        <f t="shared" ca="1" si="132"/>
        <v/>
      </c>
      <c r="AD446" s="611"/>
      <c r="AE446" s="603" t="str">
        <f t="shared" si="133"/>
        <v/>
      </c>
      <c r="AF446" s="603"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03"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03" t="str">
        <f t="shared" ca="1" si="134"/>
        <v/>
      </c>
      <c r="AI446" s="603" t="str" cm="1">
        <f t="array" ref="AI446">IFERROR(INDEX(始値!$E$6:$BT$305,MATCH(TEXT($B446,"0"),TEXT(銘柄管理!$B$6:$B$305,"0"),0),MATCH($AE446,始値!$E$3:$BT$3,0)),"")</f>
        <v/>
      </c>
      <c r="AJ446" s="603" t="str">
        <f t="shared" ca="1" si="135"/>
        <v/>
      </c>
      <c r="AK446" s="603" t="str">
        <f t="shared" ca="1" si="136"/>
        <v/>
      </c>
    </row>
    <row r="447" spans="1:37" ht="17.25" customHeight="1">
      <c r="A447" s="626" t="str">
        <f t="shared" si="125"/>
        <v/>
      </c>
      <c r="D447" s="440" t="str" cm="1">
        <f t="array" ref="D447">_xll.RssMarket(B447, "銘柄名称")</f>
        <v/>
      </c>
      <c r="E447" s="721"/>
      <c r="F447" s="702"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708" t="str" cm="1">
        <f t="array" ref="J447">_xll.RssMarket($B447, "前日比")</f>
        <v/>
      </c>
      <c r="K447" s="708" t="str">
        <f t="shared" ca="1" si="137"/>
        <v/>
      </c>
      <c r="L447" s="713" t="str">
        <f t="shared" ca="1" si="138"/>
        <v/>
      </c>
      <c r="M447" s="602" t="str">
        <f t="shared" ca="1" si="126"/>
        <v/>
      </c>
      <c r="N447" s="602" t="str">
        <f t="shared" ca="1" si="127"/>
        <v/>
      </c>
      <c r="O447" s="478" t="str">
        <f t="shared" ca="1" si="128"/>
        <v/>
      </c>
      <c r="P447" s="445" t="str">
        <f t="array" aca="1" ref="P447" ca="1">IF(B447="","",IFERROR(MAX(OFFSET(高値!$E$6,MATCH(TEXT(B447,"0"),TEXT(銘柄管理!$B$6:$B$305,"0"),0)-1,0,1,10)),""))</f>
        <v/>
      </c>
      <c r="Q447" s="440" t="str">
        <f t="array" aca="1" ref="Q447" ca="1">IF(B447="","",IFERROR(MIN(OFFSET(安値!$E$6,MATCH(TEXT(B447,"0"),TEXT(銘柄管理!$B$6:$B$305,"0"),0)-1,0,1,10)),""))</f>
        <v/>
      </c>
      <c r="R447" s="440" t="str">
        <f t="shared" ca="1" si="139"/>
        <v/>
      </c>
      <c r="S447" s="440" t="str">
        <f t="shared" si="140"/>
        <v/>
      </c>
      <c r="T447" s="600" t="str">
        <f t="shared" ca="1" si="129"/>
        <v/>
      </c>
      <c r="U447" s="602" t="str">
        <f t="shared" ca="1" si="130"/>
        <v/>
      </c>
      <c r="V447" s="708" t="str">
        <f t="shared" ca="1" si="141"/>
        <v/>
      </c>
      <c r="W447" s="440" t="str">
        <f t="shared" ca="1" si="131"/>
        <v/>
      </c>
      <c r="X447" s="440" t="str">
        <f t="shared" ca="1" si="132"/>
        <v/>
      </c>
      <c r="AD447" s="611"/>
      <c r="AE447" s="603" t="str">
        <f t="shared" si="133"/>
        <v/>
      </c>
      <c r="AF447" s="603"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03"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03" t="str">
        <f t="shared" ca="1" si="134"/>
        <v/>
      </c>
      <c r="AI447" s="603" t="str" cm="1">
        <f t="array" ref="AI447">IFERROR(INDEX(始値!$E$6:$BT$305,MATCH(TEXT($B447,"0"),TEXT(銘柄管理!$B$6:$B$305,"0"),0),MATCH($AE447,始値!$E$3:$BT$3,0)),"")</f>
        <v/>
      </c>
      <c r="AJ447" s="603" t="str">
        <f t="shared" ca="1" si="135"/>
        <v/>
      </c>
      <c r="AK447" s="603" t="str">
        <f t="shared" ca="1" si="136"/>
        <v/>
      </c>
    </row>
    <row r="448" spans="1:37" ht="17.25" customHeight="1">
      <c r="A448" s="626" t="str">
        <f t="shared" si="125"/>
        <v/>
      </c>
      <c r="D448" s="440" t="str" cm="1">
        <f t="array" ref="D448">_xll.RssMarket(B448, "銘柄名称")</f>
        <v/>
      </c>
      <c r="E448" s="721"/>
      <c r="F448" s="702"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708" t="str" cm="1">
        <f t="array" ref="J448">_xll.RssMarket($B448, "前日比")</f>
        <v/>
      </c>
      <c r="K448" s="708" t="str">
        <f t="shared" ca="1" si="137"/>
        <v/>
      </c>
      <c r="L448" s="713" t="str">
        <f t="shared" ca="1" si="138"/>
        <v/>
      </c>
      <c r="M448" s="602" t="str">
        <f t="shared" ca="1" si="126"/>
        <v/>
      </c>
      <c r="N448" s="602" t="str">
        <f t="shared" ca="1" si="127"/>
        <v/>
      </c>
      <c r="O448" s="478" t="str">
        <f t="shared" ca="1" si="128"/>
        <v/>
      </c>
      <c r="P448" s="445" t="str">
        <f t="array" aca="1" ref="P448" ca="1">IF(B448="","",IFERROR(MAX(OFFSET(高値!$E$6,MATCH(TEXT(B448,"0"),TEXT(銘柄管理!$B$6:$B$305,"0"),0)-1,0,1,10)),""))</f>
        <v/>
      </c>
      <c r="Q448" s="440" t="str">
        <f t="array" aca="1" ref="Q448" ca="1">IF(B448="","",IFERROR(MIN(OFFSET(安値!$E$6,MATCH(TEXT(B448,"0"),TEXT(銘柄管理!$B$6:$B$305,"0"),0)-1,0,1,10)),""))</f>
        <v/>
      </c>
      <c r="R448" s="440" t="str">
        <f t="shared" ca="1" si="139"/>
        <v/>
      </c>
      <c r="S448" s="440" t="str">
        <f t="shared" si="140"/>
        <v/>
      </c>
      <c r="T448" s="600" t="str">
        <f t="shared" ca="1" si="129"/>
        <v/>
      </c>
      <c r="U448" s="602" t="str">
        <f t="shared" ca="1" si="130"/>
        <v/>
      </c>
      <c r="V448" s="708" t="str">
        <f t="shared" ca="1" si="141"/>
        <v/>
      </c>
      <c r="W448" s="440" t="str">
        <f t="shared" ca="1" si="131"/>
        <v/>
      </c>
      <c r="X448" s="440" t="str">
        <f t="shared" ca="1" si="132"/>
        <v/>
      </c>
      <c r="AD448" s="611"/>
      <c r="AE448" s="603" t="str">
        <f t="shared" si="133"/>
        <v/>
      </c>
      <c r="AF448" s="603"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03"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03" t="str">
        <f t="shared" ca="1" si="134"/>
        <v/>
      </c>
      <c r="AI448" s="603" t="str" cm="1">
        <f t="array" ref="AI448">IFERROR(INDEX(始値!$E$6:$BT$305,MATCH(TEXT($B448,"0"),TEXT(銘柄管理!$B$6:$B$305,"0"),0),MATCH($AE448,始値!$E$3:$BT$3,0)),"")</f>
        <v/>
      </c>
      <c r="AJ448" s="603" t="str">
        <f t="shared" ca="1" si="135"/>
        <v/>
      </c>
      <c r="AK448" s="603" t="str">
        <f t="shared" ca="1" si="136"/>
        <v/>
      </c>
    </row>
    <row r="449" spans="1:37" ht="17.25" customHeight="1">
      <c r="A449" s="626" t="str">
        <f t="shared" si="125"/>
        <v/>
      </c>
      <c r="D449" s="440" t="str" cm="1">
        <f t="array" ref="D449">_xll.RssMarket(B449, "銘柄名称")</f>
        <v/>
      </c>
      <c r="E449" s="721"/>
      <c r="F449" s="702"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708" t="str" cm="1">
        <f t="array" ref="J449">_xll.RssMarket($B449, "前日比")</f>
        <v/>
      </c>
      <c r="K449" s="708" t="str">
        <f t="shared" ca="1" si="137"/>
        <v/>
      </c>
      <c r="L449" s="713" t="str">
        <f t="shared" ca="1" si="138"/>
        <v/>
      </c>
      <c r="M449" s="602" t="str">
        <f t="shared" ca="1" si="126"/>
        <v/>
      </c>
      <c r="N449" s="602" t="str">
        <f t="shared" ca="1" si="127"/>
        <v/>
      </c>
      <c r="O449" s="478" t="str">
        <f t="shared" ca="1" si="128"/>
        <v/>
      </c>
      <c r="P449" s="445" t="str">
        <f t="array" aca="1" ref="P449" ca="1">IF(B449="","",IFERROR(MAX(OFFSET(高値!$E$6,MATCH(TEXT(B449,"0"),TEXT(銘柄管理!$B$6:$B$305,"0"),0)-1,0,1,10)),""))</f>
        <v/>
      </c>
      <c r="Q449" s="440" t="str">
        <f t="array" aca="1" ref="Q449" ca="1">IF(B449="","",IFERROR(MIN(OFFSET(安値!$E$6,MATCH(TEXT(B449,"0"),TEXT(銘柄管理!$B$6:$B$305,"0"),0)-1,0,1,10)),""))</f>
        <v/>
      </c>
      <c r="R449" s="440" t="str">
        <f t="shared" ca="1" si="139"/>
        <v/>
      </c>
      <c r="S449" s="440" t="str">
        <f t="shared" si="140"/>
        <v/>
      </c>
      <c r="T449" s="600" t="str">
        <f t="shared" ca="1" si="129"/>
        <v/>
      </c>
      <c r="U449" s="602" t="str">
        <f t="shared" ca="1" si="130"/>
        <v/>
      </c>
      <c r="V449" s="708" t="str">
        <f t="shared" ca="1" si="141"/>
        <v/>
      </c>
      <c r="W449" s="440" t="str">
        <f t="shared" ca="1" si="131"/>
        <v/>
      </c>
      <c r="X449" s="440" t="str">
        <f t="shared" ca="1" si="132"/>
        <v/>
      </c>
      <c r="AD449" s="611"/>
      <c r="AE449" s="603" t="str">
        <f t="shared" si="133"/>
        <v/>
      </c>
      <c r="AF449" s="603"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03"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03" t="str">
        <f t="shared" ca="1" si="134"/>
        <v/>
      </c>
      <c r="AI449" s="603" t="str" cm="1">
        <f t="array" ref="AI449">IFERROR(INDEX(始値!$E$6:$BT$305,MATCH(TEXT($B449,"0"),TEXT(銘柄管理!$B$6:$B$305,"0"),0),MATCH($AE449,始値!$E$3:$BT$3,0)),"")</f>
        <v/>
      </c>
      <c r="AJ449" s="603" t="str">
        <f t="shared" ca="1" si="135"/>
        <v/>
      </c>
      <c r="AK449" s="603" t="str">
        <f t="shared" ca="1" si="136"/>
        <v/>
      </c>
    </row>
    <row r="450" spans="1:37" ht="17.25" customHeight="1">
      <c r="A450" s="626" t="str">
        <f t="shared" si="125"/>
        <v/>
      </c>
      <c r="D450" s="440" t="str" cm="1">
        <f t="array" ref="D450">_xll.RssMarket(B450, "銘柄名称")</f>
        <v/>
      </c>
      <c r="E450" s="721"/>
      <c r="F450" s="702"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708" t="str" cm="1">
        <f t="array" ref="J450">_xll.RssMarket($B450, "前日比")</f>
        <v/>
      </c>
      <c r="K450" s="708" t="str">
        <f t="shared" ca="1" si="137"/>
        <v/>
      </c>
      <c r="L450" s="713" t="str">
        <f t="shared" ca="1" si="138"/>
        <v/>
      </c>
      <c r="M450" s="602" t="str">
        <f t="shared" ca="1" si="126"/>
        <v/>
      </c>
      <c r="N450" s="602" t="str">
        <f t="shared" ca="1" si="127"/>
        <v/>
      </c>
      <c r="O450" s="478" t="str">
        <f t="shared" ca="1" si="128"/>
        <v/>
      </c>
      <c r="P450" s="445" t="str">
        <f t="array" aca="1" ref="P450" ca="1">IF(B450="","",IFERROR(MAX(OFFSET(高値!$E$6,MATCH(TEXT(B450,"0"),TEXT(銘柄管理!$B$6:$B$305,"0"),0)-1,0,1,10)),""))</f>
        <v/>
      </c>
      <c r="Q450" s="440" t="str">
        <f t="array" aca="1" ref="Q450" ca="1">IF(B450="","",IFERROR(MIN(OFFSET(安値!$E$6,MATCH(TEXT(B450,"0"),TEXT(銘柄管理!$B$6:$B$305,"0"),0)-1,0,1,10)),""))</f>
        <v/>
      </c>
      <c r="R450" s="440" t="str">
        <f t="shared" ca="1" si="139"/>
        <v/>
      </c>
      <c r="S450" s="440" t="str">
        <f t="shared" si="140"/>
        <v/>
      </c>
      <c r="T450" s="600" t="str">
        <f t="shared" ca="1" si="129"/>
        <v/>
      </c>
      <c r="U450" s="602" t="str">
        <f t="shared" ca="1" si="130"/>
        <v/>
      </c>
      <c r="V450" s="708" t="str">
        <f t="shared" ca="1" si="141"/>
        <v/>
      </c>
      <c r="W450" s="440" t="str">
        <f t="shared" ca="1" si="131"/>
        <v/>
      </c>
      <c r="X450" s="440" t="str">
        <f t="shared" ca="1" si="132"/>
        <v/>
      </c>
      <c r="AD450" s="611"/>
      <c r="AE450" s="603" t="str">
        <f t="shared" si="133"/>
        <v/>
      </c>
      <c r="AF450" s="603"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03"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03" t="str">
        <f t="shared" ca="1" si="134"/>
        <v/>
      </c>
      <c r="AI450" s="603" t="str" cm="1">
        <f t="array" ref="AI450">IFERROR(INDEX(始値!$E$6:$BT$305,MATCH(TEXT($B450,"0"),TEXT(銘柄管理!$B$6:$B$305,"0"),0),MATCH($AE450,始値!$E$3:$BT$3,0)),"")</f>
        <v/>
      </c>
      <c r="AJ450" s="603" t="str">
        <f t="shared" ca="1" si="135"/>
        <v/>
      </c>
      <c r="AK450" s="603" t="str">
        <f t="shared" ca="1" si="136"/>
        <v/>
      </c>
    </row>
    <row r="451" spans="1:37" ht="17.25" customHeight="1">
      <c r="A451" s="626" t="str">
        <f t="shared" si="125"/>
        <v/>
      </c>
      <c r="D451" s="440" t="str" cm="1">
        <f t="array" ref="D451">_xll.RssMarket(B451, "銘柄名称")</f>
        <v/>
      </c>
      <c r="E451" s="721"/>
      <c r="F451" s="702"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708" t="str" cm="1">
        <f t="array" ref="J451">_xll.RssMarket($B451, "前日比")</f>
        <v/>
      </c>
      <c r="K451" s="708" t="str">
        <f t="shared" ca="1" si="137"/>
        <v/>
      </c>
      <c r="L451" s="713" t="str">
        <f t="shared" ca="1" si="138"/>
        <v/>
      </c>
      <c r="M451" s="602" t="str">
        <f t="shared" ca="1" si="126"/>
        <v/>
      </c>
      <c r="N451" s="602" t="str">
        <f t="shared" ca="1" si="127"/>
        <v/>
      </c>
      <c r="O451" s="478" t="str">
        <f t="shared" ca="1" si="128"/>
        <v/>
      </c>
      <c r="P451" s="445" t="str">
        <f t="array" aca="1" ref="P451" ca="1">IF(B451="","",IFERROR(MAX(OFFSET(高値!$E$6,MATCH(TEXT(B451,"0"),TEXT(銘柄管理!$B$6:$B$305,"0"),0)-1,0,1,10)),""))</f>
        <v/>
      </c>
      <c r="Q451" s="440" t="str">
        <f t="array" aca="1" ref="Q451" ca="1">IF(B451="","",IFERROR(MIN(OFFSET(安値!$E$6,MATCH(TEXT(B451,"0"),TEXT(銘柄管理!$B$6:$B$305,"0"),0)-1,0,1,10)),""))</f>
        <v/>
      </c>
      <c r="R451" s="440" t="str">
        <f t="shared" ca="1" si="139"/>
        <v/>
      </c>
      <c r="S451" s="440" t="str">
        <f t="shared" si="140"/>
        <v/>
      </c>
      <c r="T451" s="600" t="str">
        <f t="shared" ca="1" si="129"/>
        <v/>
      </c>
      <c r="U451" s="602" t="str">
        <f t="shared" ca="1" si="130"/>
        <v/>
      </c>
      <c r="V451" s="708" t="str">
        <f t="shared" ca="1" si="141"/>
        <v/>
      </c>
      <c r="W451" s="440" t="str">
        <f t="shared" ca="1" si="131"/>
        <v/>
      </c>
      <c r="X451" s="440" t="str">
        <f t="shared" ca="1" si="132"/>
        <v/>
      </c>
      <c r="AD451" s="611"/>
      <c r="AE451" s="603" t="str">
        <f t="shared" si="133"/>
        <v/>
      </c>
      <c r="AF451" s="603"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03"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03" t="str">
        <f t="shared" ca="1" si="134"/>
        <v/>
      </c>
      <c r="AI451" s="603" t="str" cm="1">
        <f t="array" ref="AI451">IFERROR(INDEX(始値!$E$6:$BT$305,MATCH(TEXT($B451,"0"),TEXT(銘柄管理!$B$6:$B$305,"0"),0),MATCH($AE451,始値!$E$3:$BT$3,0)),"")</f>
        <v/>
      </c>
      <c r="AJ451" s="603" t="str">
        <f t="shared" ca="1" si="135"/>
        <v/>
      </c>
      <c r="AK451" s="603" t="str">
        <f t="shared" ca="1" si="136"/>
        <v/>
      </c>
    </row>
    <row r="452" spans="1:37" ht="17.25" customHeight="1">
      <c r="A452" s="626" t="str">
        <f t="shared" ref="A452:A461" si="142">IF(B452="","",HYPERLINK("https://kabutan.jp/stock/?code="&amp;B452,"株探"))</f>
        <v/>
      </c>
      <c r="D452" s="440" t="str" cm="1">
        <f t="array" ref="D452">_xll.RssMarket(B452, "銘柄名称")</f>
        <v/>
      </c>
      <c r="E452" s="721"/>
      <c r="F452" s="702"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708" t="str" cm="1">
        <f t="array" ref="J452">_xll.RssMarket($B452, "前日比")</f>
        <v/>
      </c>
      <c r="K452" s="708" t="str">
        <f t="shared" ca="1" si="137"/>
        <v/>
      </c>
      <c r="L452" s="713" t="str">
        <f t="shared" ca="1" si="138"/>
        <v/>
      </c>
      <c r="M452" s="602" t="str">
        <f t="shared" ca="1" si="126"/>
        <v/>
      </c>
      <c r="N452" s="602" t="str">
        <f t="shared" ca="1" si="127"/>
        <v/>
      </c>
      <c r="O452" s="478" t="str">
        <f t="shared" ca="1" si="128"/>
        <v/>
      </c>
      <c r="P452" s="445" t="str">
        <f t="array" aca="1" ref="P452" ca="1">IF(B452="","",IFERROR(MAX(OFFSET(高値!$E$6,MATCH(TEXT(B452,"0"),TEXT(銘柄管理!$B$6:$B$305,"0"),0)-1,0,1,10)),""))</f>
        <v/>
      </c>
      <c r="Q452" s="440" t="str">
        <f t="array" aca="1" ref="Q452" ca="1">IF(B452="","",IFERROR(MIN(OFFSET(安値!$E$6,MATCH(TEXT(B452,"0"),TEXT(銘柄管理!$B$6:$B$305,"0"),0)-1,0,1,10)),""))</f>
        <v/>
      </c>
      <c r="R452" s="440" t="str">
        <f t="shared" ca="1" si="139"/>
        <v/>
      </c>
      <c r="S452" s="440" t="str">
        <f t="shared" si="140"/>
        <v/>
      </c>
      <c r="T452" s="600" t="str">
        <f t="shared" ca="1" si="129"/>
        <v/>
      </c>
      <c r="U452" s="602" t="str">
        <f t="shared" ca="1" si="130"/>
        <v/>
      </c>
      <c r="V452" s="708" t="str">
        <f t="shared" ca="1" si="141"/>
        <v/>
      </c>
      <c r="W452" s="440" t="str">
        <f t="shared" ca="1" si="131"/>
        <v/>
      </c>
      <c r="X452" s="440" t="str">
        <f t="shared" ca="1" si="132"/>
        <v/>
      </c>
      <c r="AD452" s="611"/>
      <c r="AE452" s="603" t="str">
        <f t="shared" si="133"/>
        <v/>
      </c>
      <c r="AF452" s="603"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03"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03" t="str">
        <f t="shared" ca="1" si="134"/>
        <v/>
      </c>
      <c r="AI452" s="603" t="str" cm="1">
        <f t="array" ref="AI452">IFERROR(INDEX(始値!$E$6:$BT$305,MATCH(TEXT($B452,"0"),TEXT(銘柄管理!$B$6:$B$305,"0"),0),MATCH($AE452,始値!$E$3:$BT$3,0)),"")</f>
        <v/>
      </c>
      <c r="AJ452" s="603" t="str">
        <f t="shared" ca="1" si="135"/>
        <v/>
      </c>
      <c r="AK452" s="603" t="str">
        <f t="shared" ca="1" si="136"/>
        <v/>
      </c>
    </row>
    <row r="453" spans="1:37" ht="17.25" customHeight="1">
      <c r="A453" s="626" t="str">
        <f t="shared" si="142"/>
        <v/>
      </c>
      <c r="D453" s="440" t="str" cm="1">
        <f t="array" ref="D453">_xll.RssMarket(B453, "銘柄名称")</f>
        <v/>
      </c>
      <c r="E453" s="721"/>
      <c r="F453" s="702"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708" t="str" cm="1">
        <f t="array" ref="J453">_xll.RssMarket($B453, "前日比")</f>
        <v/>
      </c>
      <c r="K453" s="708" t="str">
        <f t="shared" ca="1" si="137"/>
        <v/>
      </c>
      <c r="L453" s="713" t="str">
        <f t="shared" ca="1" si="138"/>
        <v/>
      </c>
      <c r="M453" s="602" t="str">
        <f t="shared" ref="M453:M461" ca="1" si="143">IF($F453="","",ROUND(IF($C453="売",$F453*0.94,$F453*1.06),0))</f>
        <v/>
      </c>
      <c r="N453" s="602" t="str">
        <f t="shared" ref="N453:N461" ca="1" si="144">IF($F453="","",ROUND(IF($C453="売",$F453*1.04,$F453*0.96),0))</f>
        <v/>
      </c>
      <c r="O453" s="478" t="str">
        <f t="shared" ref="O453:O461" ca="1" si="145">IF(OR($B453="",$F453="",$H453=""),"",IF($C453="売",IF($H453&lt;=$M453,"🟢利確",IF($H453&lt;=$F453*0.95,"🟡利確&amp;TR STOP検討",IF($H453&gt;=$N453,"🔴損切",IF($H453&gt;=$F453*1.035,"🔴損切間近",IF($H453&gt;=$F453*1.03,"⚠️+3%注意","保持継続"))))),IF($H453&gt;=$M453,"🟢利確",IF($H453&gt;=$F453*1.05,"🟡利確&amp;TR STOP検討",IF($H453&lt;=$N453,"🔴損切",IF($H453&lt;=$F453*0.965,"🔴損切間近",IF($H453&lt;=$F453*0.97,"⚠️-3%注意","保持継続")))))))</f>
        <v/>
      </c>
      <c r="P453" s="445" t="str">
        <f t="array" aca="1" ref="P453" ca="1">IF(B453="","",IFERROR(MAX(OFFSET(高値!$E$6,MATCH(TEXT(B453,"0"),TEXT(銘柄管理!$B$6:$B$305,"0"),0)-1,0,1,10)),""))</f>
        <v/>
      </c>
      <c r="Q453" s="440" t="str">
        <f t="array" aca="1" ref="Q453" ca="1">IF(B453="","",IFERROR(MIN(OFFSET(安値!$E$6,MATCH(TEXT(B453,"0"),TEXT(銘柄管理!$B$6:$B$305,"0"),0)-1,0,1,10)),""))</f>
        <v/>
      </c>
      <c r="R453" s="440" t="str">
        <f t="shared" ca="1" si="139"/>
        <v/>
      </c>
      <c r="S453" s="440" t="str">
        <f t="shared" si="140"/>
        <v/>
      </c>
      <c r="T453" s="600" t="str">
        <f t="shared" ref="T453:T461" ca="1" si="146">IF(OR($AH453="",$AH453="保有中"),"",IF($AH453="日数制限",$AE453,IF($AH453="損切確定",IF(N($AG453)=0,TODAY(),$AG453),IF(N($AF453)=0,TODAY(),$AF453))))</f>
        <v/>
      </c>
      <c r="U453" s="602" t="str">
        <f t="shared" ref="U453:U461" ca="1" si="147">IF(OR($AH453="",$AH453="保有中"),"",ROUND(IF($AH453="日数制限",$AI453,IF($AH453="利益確定",$M453,$N453)),0))</f>
        <v/>
      </c>
      <c r="V453" s="708" t="str">
        <f t="shared" ca="1" si="141"/>
        <v/>
      </c>
      <c r="W453" s="440" t="str">
        <f t="shared" ref="W453:W461" ca="1" si="148">IF(OR($E453="",$B453=""),"",IF($T453&lt;&gt;"",$T453-$E453,TODAY()-$E453)+1)</f>
        <v/>
      </c>
      <c r="X453" s="440" t="str">
        <f t="shared" ref="X453:X461" ca="1" si="149">IF(OR($AH453="",$AH453="保有中"),"",$AH453)</f>
        <v/>
      </c>
      <c r="AD453" s="611"/>
      <c r="AE453" s="603" t="str">
        <f t="shared" ref="AE453:AE461" si="150">IF($E453="","",WORKDAY($E453,12))</f>
        <v/>
      </c>
      <c r="AF453" s="603"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03"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03" t="str">
        <f t="shared" ref="AH453:AH461" ca="1" si="151">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3" t="str" cm="1">
        <f t="array" ref="AI453">IFERROR(INDEX(始値!$E$6:$BT$305,MATCH(TEXT($B453,"0"),TEXT(銘柄管理!$B$6:$B$305,"0"),0),MATCH($AE453,始値!$E$3:$BT$3,0)),"")</f>
        <v/>
      </c>
      <c r="AJ453" s="603" t="str">
        <f t="shared" ref="AJ453:AJ461" ca="1" si="152">IF(OR($V453="",$F453="",$G453=""),"",$V453/($F453*$G453))</f>
        <v/>
      </c>
      <c r="AK453" s="603" t="str">
        <f t="shared" ref="AK453:AK461" ca="1" si="153">IF($V453="","",IF($V453&gt;0,"○勝",IF($V453&lt;0,"●負","△引分")))</f>
        <v/>
      </c>
    </row>
    <row r="454" spans="1:37" ht="17.25" customHeight="1">
      <c r="A454" s="626" t="str">
        <f t="shared" si="142"/>
        <v/>
      </c>
      <c r="D454" s="440" t="str" cm="1">
        <f t="array" ref="D454">_xll.RssMarket(B454, "銘柄名称")</f>
        <v/>
      </c>
      <c r="E454" s="721"/>
      <c r="F454" s="702"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708" t="str" cm="1">
        <f t="array" ref="J454">_xll.RssMarket($B454, "前日比")</f>
        <v/>
      </c>
      <c r="K454" s="708" t="str">
        <f t="shared" ca="1" si="137"/>
        <v/>
      </c>
      <c r="L454" s="713" t="str">
        <f t="shared" ca="1" si="138"/>
        <v/>
      </c>
      <c r="M454" s="602" t="str">
        <f t="shared" ca="1" si="143"/>
        <v/>
      </c>
      <c r="N454" s="602" t="str">
        <f t="shared" ca="1" si="144"/>
        <v/>
      </c>
      <c r="O454" s="478" t="str">
        <f t="shared" ca="1" si="145"/>
        <v/>
      </c>
      <c r="P454" s="445" t="str">
        <f t="array" aca="1" ref="P454" ca="1">IF(B454="","",IFERROR(MAX(OFFSET(高値!$E$6,MATCH(TEXT(B454,"0"),TEXT(銘柄管理!$B$6:$B$305,"0"),0)-1,0,1,10)),""))</f>
        <v/>
      </c>
      <c r="Q454" s="440" t="str">
        <f t="array" aca="1" ref="Q454" ca="1">IF(B454="","",IFERROR(MIN(OFFSET(安値!$E$6,MATCH(TEXT(B454,"0"),TEXT(銘柄管理!$B$6:$B$305,"0"),0)-1,0,1,10)),""))</f>
        <v/>
      </c>
      <c r="R454" s="440" t="str">
        <f t="shared" ca="1" si="139"/>
        <v/>
      </c>
      <c r="S454" s="440" t="str">
        <f t="shared" si="140"/>
        <v/>
      </c>
      <c r="T454" s="600" t="str">
        <f t="shared" ca="1" si="146"/>
        <v/>
      </c>
      <c r="U454" s="602" t="str">
        <f t="shared" ca="1" si="147"/>
        <v/>
      </c>
      <c r="V454" s="708" t="str">
        <f t="shared" ca="1" si="141"/>
        <v/>
      </c>
      <c r="W454" s="440" t="str">
        <f t="shared" ca="1" si="148"/>
        <v/>
      </c>
      <c r="X454" s="440" t="str">
        <f t="shared" ca="1" si="149"/>
        <v/>
      </c>
      <c r="AD454" s="611"/>
      <c r="AE454" s="603" t="str">
        <f t="shared" si="150"/>
        <v/>
      </c>
      <c r="AF454" s="603"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03"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03" t="str">
        <f t="shared" ca="1" si="151"/>
        <v/>
      </c>
      <c r="AI454" s="603" t="str" cm="1">
        <f t="array" ref="AI454">IFERROR(INDEX(始値!$E$6:$BT$305,MATCH(TEXT($B454,"0"),TEXT(銘柄管理!$B$6:$B$305,"0"),0),MATCH($AE454,始値!$E$3:$BT$3,0)),"")</f>
        <v/>
      </c>
      <c r="AJ454" s="603" t="str">
        <f t="shared" ca="1" si="152"/>
        <v/>
      </c>
      <c r="AK454" s="603" t="str">
        <f t="shared" ca="1" si="153"/>
        <v/>
      </c>
    </row>
    <row r="455" spans="1:37" ht="17.25" customHeight="1">
      <c r="A455" s="626" t="str">
        <f t="shared" si="142"/>
        <v/>
      </c>
      <c r="D455" s="440" t="str" cm="1">
        <f t="array" ref="D455">_xll.RssMarket(B455, "銘柄名称")</f>
        <v/>
      </c>
      <c r="E455" s="721"/>
      <c r="F455" s="702"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708" t="str" cm="1">
        <f t="array" ref="J455">_xll.RssMarket($B455, "前日比")</f>
        <v/>
      </c>
      <c r="K455" s="708" t="str">
        <f t="shared" ca="1" si="137"/>
        <v/>
      </c>
      <c r="L455" s="713" t="str">
        <f t="shared" ca="1" si="138"/>
        <v/>
      </c>
      <c r="M455" s="602" t="str">
        <f t="shared" ca="1" si="143"/>
        <v/>
      </c>
      <c r="N455" s="602" t="str">
        <f t="shared" ca="1" si="144"/>
        <v/>
      </c>
      <c r="O455" s="478" t="str">
        <f t="shared" ca="1" si="145"/>
        <v/>
      </c>
      <c r="P455" s="445" t="str">
        <f t="array" aca="1" ref="P455" ca="1">IF(B455="","",IFERROR(MAX(OFFSET(高値!$E$6,MATCH(TEXT(B455,"0"),TEXT(銘柄管理!$B$6:$B$305,"0"),0)-1,0,1,10)),""))</f>
        <v/>
      </c>
      <c r="Q455" s="440" t="str">
        <f t="array" aca="1" ref="Q455" ca="1">IF(B455="","",IFERROR(MIN(OFFSET(安値!$E$6,MATCH(TEXT(B455,"0"),TEXT(銘柄管理!$B$6:$B$305,"0"),0)-1,0,1,10)),""))</f>
        <v/>
      </c>
      <c r="R455" s="440" t="str">
        <f t="shared" ca="1" si="139"/>
        <v/>
      </c>
      <c r="S455" s="440" t="str">
        <f t="shared" si="140"/>
        <v/>
      </c>
      <c r="T455" s="600" t="str">
        <f t="shared" ca="1" si="146"/>
        <v/>
      </c>
      <c r="U455" s="602" t="str">
        <f t="shared" ca="1" si="147"/>
        <v/>
      </c>
      <c r="V455" s="708" t="str">
        <f t="shared" ca="1" si="141"/>
        <v/>
      </c>
      <c r="W455" s="440" t="str">
        <f t="shared" ca="1" si="148"/>
        <v/>
      </c>
      <c r="X455" s="440" t="str">
        <f t="shared" ca="1" si="149"/>
        <v/>
      </c>
      <c r="AD455" s="611"/>
      <c r="AE455" s="603" t="str">
        <f t="shared" si="150"/>
        <v/>
      </c>
      <c r="AF455" s="603"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03"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03" t="str">
        <f t="shared" ca="1" si="151"/>
        <v/>
      </c>
      <c r="AI455" s="603" t="str" cm="1">
        <f t="array" ref="AI455">IFERROR(INDEX(始値!$E$6:$BT$305,MATCH(TEXT($B455,"0"),TEXT(銘柄管理!$B$6:$B$305,"0"),0),MATCH($AE455,始値!$E$3:$BT$3,0)),"")</f>
        <v/>
      </c>
      <c r="AJ455" s="603" t="str">
        <f t="shared" ca="1" si="152"/>
        <v/>
      </c>
      <c r="AK455" s="603" t="str">
        <f t="shared" ca="1" si="153"/>
        <v/>
      </c>
    </row>
    <row r="456" spans="1:37" ht="17.25" customHeight="1">
      <c r="A456" s="626" t="str">
        <f t="shared" si="142"/>
        <v/>
      </c>
      <c r="D456" s="440" t="str" cm="1">
        <f t="array" ref="D456">_xll.RssMarket(B456, "銘柄名称")</f>
        <v/>
      </c>
      <c r="E456" s="721"/>
      <c r="F456" s="702"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708" t="str" cm="1">
        <f t="array" ref="J456">_xll.RssMarket($B456, "前日比")</f>
        <v/>
      </c>
      <c r="K456" s="708" t="str">
        <f t="shared" ca="1" si="137"/>
        <v/>
      </c>
      <c r="L456" s="713" t="str">
        <f t="shared" ca="1" si="138"/>
        <v/>
      </c>
      <c r="M456" s="602" t="str">
        <f t="shared" ca="1" si="143"/>
        <v/>
      </c>
      <c r="N456" s="602" t="str">
        <f t="shared" ca="1" si="144"/>
        <v/>
      </c>
      <c r="O456" s="478" t="str">
        <f t="shared" ca="1" si="145"/>
        <v/>
      </c>
      <c r="P456" s="445" t="str">
        <f t="array" aca="1" ref="P456" ca="1">IF(B456="","",IFERROR(MAX(OFFSET(高値!$E$6,MATCH(TEXT(B456,"0"),TEXT(銘柄管理!$B$6:$B$305,"0"),0)-1,0,1,10)),""))</f>
        <v/>
      </c>
      <c r="Q456" s="440" t="str">
        <f t="array" aca="1" ref="Q456" ca="1">IF(B456="","",IFERROR(MIN(OFFSET(安値!$E$6,MATCH(TEXT(B456,"0"),TEXT(銘柄管理!$B$6:$B$305,"0"),0)-1,0,1,10)),""))</f>
        <v/>
      </c>
      <c r="R456" s="440" t="str">
        <f t="shared" ca="1" si="139"/>
        <v/>
      </c>
      <c r="S456" s="440" t="str">
        <f t="shared" si="140"/>
        <v/>
      </c>
      <c r="T456" s="600" t="str">
        <f t="shared" ca="1" si="146"/>
        <v/>
      </c>
      <c r="U456" s="602" t="str">
        <f t="shared" ca="1" si="147"/>
        <v/>
      </c>
      <c r="V456" s="708" t="str">
        <f t="shared" ca="1" si="141"/>
        <v/>
      </c>
      <c r="W456" s="440" t="str">
        <f t="shared" ca="1" si="148"/>
        <v/>
      </c>
      <c r="X456" s="440" t="str">
        <f t="shared" ca="1" si="149"/>
        <v/>
      </c>
      <c r="AD456" s="611"/>
      <c r="AE456" s="603" t="str">
        <f t="shared" si="150"/>
        <v/>
      </c>
      <c r="AF456" s="603"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03"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03" t="str">
        <f t="shared" ca="1" si="151"/>
        <v/>
      </c>
      <c r="AI456" s="603" t="str" cm="1">
        <f t="array" ref="AI456">IFERROR(INDEX(始値!$E$6:$BT$305,MATCH(TEXT($B456,"0"),TEXT(銘柄管理!$B$6:$B$305,"0"),0),MATCH($AE456,始値!$E$3:$BT$3,0)),"")</f>
        <v/>
      </c>
      <c r="AJ456" s="603" t="str">
        <f t="shared" ca="1" si="152"/>
        <v/>
      </c>
      <c r="AK456" s="603" t="str">
        <f t="shared" ca="1" si="153"/>
        <v/>
      </c>
    </row>
    <row r="457" spans="1:37" ht="17.25" customHeight="1">
      <c r="A457" s="626" t="str">
        <f t="shared" si="142"/>
        <v/>
      </c>
      <c r="D457" s="440" t="str" cm="1">
        <f t="array" ref="D457">_xll.RssMarket(B457, "銘柄名称")</f>
        <v/>
      </c>
      <c r="E457" s="721"/>
      <c r="F457" s="702"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708" t="str" cm="1">
        <f t="array" ref="J457">_xll.RssMarket($B457, "前日比")</f>
        <v/>
      </c>
      <c r="K457" s="708" t="str">
        <f t="shared" ca="1" si="137"/>
        <v/>
      </c>
      <c r="L457" s="713" t="str">
        <f t="shared" ca="1" si="138"/>
        <v/>
      </c>
      <c r="M457" s="602" t="str">
        <f t="shared" ca="1" si="143"/>
        <v/>
      </c>
      <c r="N457" s="602" t="str">
        <f t="shared" ca="1" si="144"/>
        <v/>
      </c>
      <c r="O457" s="478" t="str">
        <f t="shared" ca="1" si="145"/>
        <v/>
      </c>
      <c r="P457" s="445" t="str">
        <f t="array" aca="1" ref="P457" ca="1">IF(B457="","",IFERROR(MAX(OFFSET(高値!$E$6,MATCH(TEXT(B457,"0"),TEXT(銘柄管理!$B$6:$B$305,"0"),0)-1,0,1,10)),""))</f>
        <v/>
      </c>
      <c r="Q457" s="440" t="str">
        <f t="array" aca="1" ref="Q457" ca="1">IF(B457="","",IFERROR(MIN(OFFSET(安値!$E$6,MATCH(TEXT(B457,"0"),TEXT(銘柄管理!$B$6:$B$305,"0"),0)-1,0,1,10)),""))</f>
        <v/>
      </c>
      <c r="R457" s="440" t="str">
        <f t="shared" ca="1" si="139"/>
        <v/>
      </c>
      <c r="S457" s="440" t="str">
        <f t="shared" si="140"/>
        <v/>
      </c>
      <c r="T457" s="600" t="str">
        <f t="shared" ca="1" si="146"/>
        <v/>
      </c>
      <c r="U457" s="602" t="str">
        <f t="shared" ca="1" si="147"/>
        <v/>
      </c>
      <c r="V457" s="708" t="str">
        <f t="shared" ca="1" si="141"/>
        <v/>
      </c>
      <c r="W457" s="440" t="str">
        <f t="shared" ca="1" si="148"/>
        <v/>
      </c>
      <c r="X457" s="440" t="str">
        <f t="shared" ca="1" si="149"/>
        <v/>
      </c>
      <c r="AD457" s="611"/>
      <c r="AE457" s="603" t="str">
        <f t="shared" si="150"/>
        <v/>
      </c>
      <c r="AF457" s="603"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03"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03" t="str">
        <f t="shared" ca="1" si="151"/>
        <v/>
      </c>
      <c r="AI457" s="603" t="str" cm="1">
        <f t="array" ref="AI457">IFERROR(INDEX(始値!$E$6:$BT$305,MATCH(TEXT($B457,"0"),TEXT(銘柄管理!$B$6:$B$305,"0"),0),MATCH($AE457,始値!$E$3:$BT$3,0)),"")</f>
        <v/>
      </c>
      <c r="AJ457" s="603" t="str">
        <f t="shared" ca="1" si="152"/>
        <v/>
      </c>
      <c r="AK457" s="603" t="str">
        <f t="shared" ca="1" si="153"/>
        <v/>
      </c>
    </row>
    <row r="458" spans="1:37" ht="17.25" customHeight="1">
      <c r="A458" s="626" t="str">
        <f t="shared" si="142"/>
        <v/>
      </c>
      <c r="D458" s="440" t="str" cm="1">
        <f t="array" ref="D458">_xll.RssMarket(B458, "銘柄名称")</f>
        <v/>
      </c>
      <c r="E458" s="721"/>
      <c r="F458" s="702"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708" t="str" cm="1">
        <f t="array" ref="J458">_xll.RssMarket($B458, "前日比")</f>
        <v/>
      </c>
      <c r="K458" s="708" t="str">
        <f ca="1">IF(OR(F458="",G458="",H458=""),"",IF(C458="売",(F458-H458)*G458,(H458-F458)*G458))</f>
        <v/>
      </c>
      <c r="L458" s="713" t="str">
        <f ca="1">IF(OR(F458="",H458=""),"",IF(C458="売",(F458-H458)/F458,(H458-F458)/F458))</f>
        <v/>
      </c>
      <c r="M458" s="602" t="str">
        <f t="shared" ca="1" si="143"/>
        <v/>
      </c>
      <c r="N458" s="602" t="str">
        <f t="shared" ca="1" si="144"/>
        <v/>
      </c>
      <c r="O458" s="478" t="str">
        <f t="shared" ca="1" si="145"/>
        <v/>
      </c>
      <c r="P458" s="445" t="str">
        <f t="array" aca="1" ref="P458" ca="1">IF(B458="","",IFERROR(MAX(OFFSET(高値!$E$6,MATCH(TEXT(B458,"0"),TEXT(銘柄管理!$B$6:$B$305,"0"),0)-1,0,1,10)),""))</f>
        <v/>
      </c>
      <c r="Q458" s="440" t="str">
        <f t="array" aca="1" ref="Q458" ca="1">IF(B458="","",IFERROR(MIN(OFFSET(安値!$E$6,MATCH(TEXT(B458,"0"),TEXT(銘柄管理!$B$6:$B$305,"0"),0)-1,0,1,10)),""))</f>
        <v/>
      </c>
      <c r="R458" s="440" t="str">
        <f ca="1">IF(P458="","",ROUND(P458*0.97,0))</f>
        <v/>
      </c>
      <c r="S458" s="440" t="str">
        <f>IF(B458="","",IF(T458&lt;&gt;"","✅売却済",IF(OR(H458="",L458=""),"📌保有中",IF(L458&gt;=0.06,"🟢利確推奨",IF(L458&gt;=0.05,"🟡利確直近",IF(L458&gt;=0.045,"🔵トレーリング検討",IF(L458&gt;-0.03,"📌保有中",IF(L458&gt;-0.04,"⚠️損切注意","🔴損切り"))))))))</f>
        <v/>
      </c>
      <c r="T458" s="600" t="str">
        <f t="shared" ca="1" si="146"/>
        <v/>
      </c>
      <c r="U458" s="602" t="str">
        <f t="shared" ca="1" si="147"/>
        <v/>
      </c>
      <c r="V458" s="708" t="str">
        <f ca="1">IF(OR(F458="",G458="",U458=""),"",IF(C458="売",(F458-U458)*G458,(U458-F458)*G458))</f>
        <v/>
      </c>
      <c r="W458" s="440" t="str">
        <f t="shared" ca="1" si="148"/>
        <v/>
      </c>
      <c r="X458" s="440" t="str">
        <f t="shared" ca="1" si="149"/>
        <v/>
      </c>
      <c r="AD458" s="611"/>
      <c r="AE458" s="603" t="str">
        <f t="shared" si="150"/>
        <v/>
      </c>
      <c r="AF458" s="603"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03"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03" t="str">
        <f t="shared" ca="1" si="151"/>
        <v/>
      </c>
      <c r="AI458" s="603" t="str" cm="1">
        <f t="array" ref="AI458">IFERROR(INDEX(始値!$E$6:$BT$305,MATCH(TEXT($B458,"0"),TEXT(銘柄管理!$B$6:$B$305,"0"),0),MATCH($AE458,始値!$E$3:$BT$3,0)),"")</f>
        <v/>
      </c>
      <c r="AJ458" s="603" t="str">
        <f t="shared" ca="1" si="152"/>
        <v/>
      </c>
      <c r="AK458" s="603" t="str">
        <f t="shared" ca="1" si="153"/>
        <v/>
      </c>
    </row>
    <row r="459" spans="1:37" ht="17.25" customHeight="1">
      <c r="A459" s="626" t="str">
        <f t="shared" si="142"/>
        <v/>
      </c>
      <c r="D459" s="440" t="str" cm="1">
        <f t="array" ref="D459">_xll.RssMarket(B459, "銘柄名称")</f>
        <v/>
      </c>
      <c r="E459" s="721"/>
      <c r="F459" s="702"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708" t="str" cm="1">
        <f t="array" ref="J459">_xll.RssMarket($B459, "前日比")</f>
        <v/>
      </c>
      <c r="K459" s="708" t="str">
        <f ca="1">IF(OR(F459="",G459="",H459=""),"",IF(C459="売",(F459-H459)*G459,(H459-F459)*G459))</f>
        <v/>
      </c>
      <c r="L459" s="713" t="str">
        <f ca="1">IF(OR(F459="",H459=""),"",IF(C459="売",(F459-H459)/F459,(H459-F459)/F459))</f>
        <v/>
      </c>
      <c r="M459" s="602" t="str">
        <f t="shared" ca="1" si="143"/>
        <v/>
      </c>
      <c r="N459" s="602" t="str">
        <f t="shared" ca="1" si="144"/>
        <v/>
      </c>
      <c r="O459" s="478" t="str">
        <f t="shared" ca="1" si="145"/>
        <v/>
      </c>
      <c r="P459" s="445" t="str">
        <f t="array" aca="1" ref="P459" ca="1">IF(B459="","",IFERROR(MAX(OFFSET(高値!$E$6,MATCH(TEXT(B459,"0"),TEXT(銘柄管理!$B$6:$B$305,"0"),0)-1,0,1,10)),""))</f>
        <v/>
      </c>
      <c r="Q459" s="440" t="str">
        <f t="array" aca="1" ref="Q459" ca="1">IF(B459="","",IFERROR(MIN(OFFSET(安値!$E$6,MATCH(TEXT(B459,"0"),TEXT(銘柄管理!$B$6:$B$305,"0"),0)-1,0,1,10)),""))</f>
        <v/>
      </c>
      <c r="R459" s="440" t="str">
        <f ca="1">IF(P459="","",ROUND(P459*0.97,0))</f>
        <v/>
      </c>
      <c r="S459" s="440" t="str">
        <f>IF(B459="","",IF(T459&lt;&gt;"","✅売却済",IF(OR(H459="",L459=""),"📌保有中",IF(L459&gt;=0.06,"🟢利確推奨",IF(L459&gt;=0.05,"🟡利確直近",IF(L459&gt;=0.045,"🔵トレーリング検討",IF(L459&gt;-0.03,"📌保有中",IF(L459&gt;-0.04,"⚠️損切注意","🔴損切り"))))))))</f>
        <v/>
      </c>
      <c r="T459" s="600" t="str">
        <f t="shared" ca="1" si="146"/>
        <v/>
      </c>
      <c r="U459" s="602" t="str">
        <f t="shared" ca="1" si="147"/>
        <v/>
      </c>
      <c r="V459" s="708" t="str">
        <f ca="1">IF(OR(F459="",G459="",U459=""),"",IF(C459="売",(F459-U459)*G459,(U459-F459)*G459))</f>
        <v/>
      </c>
      <c r="W459" s="440" t="str">
        <f t="shared" ca="1" si="148"/>
        <v/>
      </c>
      <c r="X459" s="440" t="str">
        <f t="shared" ca="1" si="149"/>
        <v/>
      </c>
      <c r="AD459" s="611"/>
      <c r="AE459" s="603" t="str">
        <f t="shared" si="150"/>
        <v/>
      </c>
      <c r="AF459" s="603"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03"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03" t="str">
        <f t="shared" ca="1" si="151"/>
        <v/>
      </c>
      <c r="AI459" s="603" t="str" cm="1">
        <f t="array" ref="AI459">IFERROR(INDEX(始値!$E$6:$BT$305,MATCH(TEXT($B459,"0"),TEXT(銘柄管理!$B$6:$B$305,"0"),0),MATCH($AE459,始値!$E$3:$BT$3,0)),"")</f>
        <v/>
      </c>
      <c r="AJ459" s="603" t="str">
        <f t="shared" ca="1" si="152"/>
        <v/>
      </c>
      <c r="AK459" s="603" t="str">
        <f t="shared" ca="1" si="153"/>
        <v/>
      </c>
    </row>
    <row r="460" spans="1:37" ht="17.25" customHeight="1">
      <c r="A460" s="626" t="str">
        <f t="shared" si="142"/>
        <v/>
      </c>
      <c r="D460" s="440" t="str" cm="1">
        <f t="array" ref="D460">_xll.RssMarket(B460, "銘柄名称")</f>
        <v/>
      </c>
      <c r="E460" s="721"/>
      <c r="F460" s="702"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708" t="str" cm="1">
        <f t="array" ref="J460">_xll.RssMarket($B460, "前日比")</f>
        <v/>
      </c>
      <c r="K460" s="708" t="str">
        <f ca="1">IF(OR(F460="",G460="",H460=""),"",IF(C460="売",(F460-H460)*G460,(H460-F460)*G460))</f>
        <v/>
      </c>
      <c r="L460" s="713" t="str">
        <f ca="1">IF(OR(F460="",H460=""),"",IF(C460="売",(F460-H460)/F460,(H460-F460)/F460))</f>
        <v/>
      </c>
      <c r="M460" s="602" t="str">
        <f t="shared" ca="1" si="143"/>
        <v/>
      </c>
      <c r="N460" s="602" t="str">
        <f t="shared" ca="1" si="144"/>
        <v/>
      </c>
      <c r="O460" s="478" t="str">
        <f t="shared" ca="1" si="145"/>
        <v/>
      </c>
      <c r="P460" s="445" t="str">
        <f t="array" aca="1" ref="P460" ca="1">IF(B460="","",IFERROR(MAX(OFFSET(高値!$E$6,MATCH(TEXT(B460,"0"),TEXT(銘柄管理!$B$6:$B$305,"0"),0)-1,0,1,10)),""))</f>
        <v/>
      </c>
      <c r="Q460" s="440" t="str">
        <f t="array" aca="1" ref="Q460" ca="1">IF(B460="","",IFERROR(MIN(OFFSET(安値!$E$6,MATCH(TEXT(B460,"0"),TEXT(銘柄管理!$B$6:$B$305,"0"),0)-1,0,1,10)),""))</f>
        <v/>
      </c>
      <c r="R460" s="440" t="str">
        <f ca="1">IF(P460="","",ROUND(P460*0.97,0))</f>
        <v/>
      </c>
      <c r="S460" s="440" t="str">
        <f>IF(B460="","",IF(T460&lt;&gt;"","✅売却済",IF(OR(H460="",L460=""),"📌保有中",IF(L460&gt;=0.06,"🟢利確推奨",IF(L460&gt;=0.05,"🟡利確直近",IF(L460&gt;=0.045,"🔵トレーリング検討",IF(L460&gt;-0.03,"📌保有中",IF(L460&gt;-0.04,"⚠️損切注意","🔴損切り"))))))))</f>
        <v/>
      </c>
      <c r="T460" s="600" t="str">
        <f t="shared" ca="1" si="146"/>
        <v/>
      </c>
      <c r="U460" s="602" t="str">
        <f t="shared" ca="1" si="147"/>
        <v/>
      </c>
      <c r="V460" s="708" t="str">
        <f ca="1">IF(OR(F460="",G460="",U460=""),"",IF(C460="売",(F460-U460)*G460,(U460-F460)*G460))</f>
        <v/>
      </c>
      <c r="W460" s="440" t="str">
        <f t="shared" ca="1" si="148"/>
        <v/>
      </c>
      <c r="X460" s="440" t="str">
        <f t="shared" ca="1" si="149"/>
        <v/>
      </c>
      <c r="AD460" s="611"/>
      <c r="AE460" s="603" t="str">
        <f t="shared" si="150"/>
        <v/>
      </c>
      <c r="AF460" s="603"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03"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03" t="str">
        <f t="shared" ca="1" si="151"/>
        <v/>
      </c>
      <c r="AI460" s="603" t="str" cm="1">
        <f t="array" ref="AI460">IFERROR(INDEX(始値!$E$6:$BT$305,MATCH(TEXT($B460,"0"),TEXT(銘柄管理!$B$6:$B$305,"0"),0),MATCH($AE460,始値!$E$3:$BT$3,0)),"")</f>
        <v/>
      </c>
      <c r="AJ460" s="603" t="str">
        <f t="shared" ca="1" si="152"/>
        <v/>
      </c>
      <c r="AK460" s="603" t="str">
        <f t="shared" ca="1" si="153"/>
        <v/>
      </c>
    </row>
    <row r="461" spans="1:37" ht="17.25" customHeight="1">
      <c r="A461" s="626" t="str">
        <f t="shared" si="142"/>
        <v/>
      </c>
      <c r="D461" s="440" t="str" cm="1">
        <f t="array" ref="D461">_xll.RssMarket(B461, "銘柄名称")</f>
        <v/>
      </c>
      <c r="E461" s="721"/>
      <c r="F461" s="702"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708" t="str" cm="1">
        <f t="array" ref="J461">_xll.RssMarket($B461, "前日比")</f>
        <v/>
      </c>
      <c r="K461" s="708" t="str">
        <f ca="1">IF(OR(F461="",G461="",H461=""),"",IF(C461="売",(F461-H461)*G461,(H461-F461)*G461))</f>
        <v/>
      </c>
      <c r="L461" s="713" t="str">
        <f ca="1">IF(OR(F461="",H461=""),"",IF(C461="売",(F461-H461)/F461,(H461-F461)/F461))</f>
        <v/>
      </c>
      <c r="M461" s="602" t="str">
        <f t="shared" ca="1" si="143"/>
        <v/>
      </c>
      <c r="N461" s="602" t="str">
        <f t="shared" ca="1" si="144"/>
        <v/>
      </c>
      <c r="O461" s="478" t="str">
        <f t="shared" ca="1" si="145"/>
        <v/>
      </c>
      <c r="P461" s="445" t="str">
        <f t="array" aca="1" ref="P461" ca="1">IF(B461="","",IFERROR(MAX(OFFSET(高値!$E$6,MATCH(TEXT(B461,"0"),TEXT(銘柄管理!$B$6:$B$305,"0"),0)-1,0,1,10)),""))</f>
        <v/>
      </c>
      <c r="Q461" s="440" t="str">
        <f t="array" aca="1" ref="Q461" ca="1">IF(B461="","",IFERROR(MIN(OFFSET(安値!$E$6,MATCH(TEXT(B461,"0"),TEXT(銘柄管理!$B$6:$B$305,"0"),0)-1,0,1,10)),""))</f>
        <v/>
      </c>
      <c r="R461" s="440" t="str">
        <f ca="1">IF(P461="","",ROUND(P461*0.97,0))</f>
        <v/>
      </c>
      <c r="S461" s="440" t="str">
        <f>IF(B461="","",IF(T461&lt;&gt;"","✅売却済",IF(OR(H461="",L461=""),"📌保有中",IF(L461&gt;=0.06,"🟢利確推奨",IF(L461&gt;=0.05,"🟡利確直近",IF(L461&gt;=0.045,"🔵トレーリング検討",IF(L461&gt;-0.03,"📌保有中",IF(L461&gt;-0.04,"⚠️損切注意","🔴損切り"))))))))</f>
        <v/>
      </c>
      <c r="T461" s="600" t="str">
        <f t="shared" ca="1" si="146"/>
        <v/>
      </c>
      <c r="U461" s="602" t="str">
        <f t="shared" ca="1" si="147"/>
        <v/>
      </c>
      <c r="V461" s="708" t="str">
        <f ca="1">IF(OR(F461="",G461="",U461=""),"",IF(C461="売",(F461-U461)*G461,(U461-F461)*G461))</f>
        <v/>
      </c>
      <c r="W461" s="440" t="str">
        <f t="shared" ca="1" si="148"/>
        <v/>
      </c>
      <c r="X461" s="440" t="str">
        <f t="shared" ca="1" si="149"/>
        <v/>
      </c>
      <c r="AD461" s="611"/>
      <c r="AE461" s="603" t="str">
        <f t="shared" si="150"/>
        <v/>
      </c>
      <c r="AF461" s="603"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03"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03" t="str">
        <f t="shared" ca="1" si="151"/>
        <v/>
      </c>
      <c r="AI461" s="603" t="str" cm="1">
        <f t="array" ref="AI461">IFERROR(INDEX(始値!$E$6:$BT$305,MATCH(TEXT($B461,"0"),TEXT(銘柄管理!$B$6:$B$305,"0"),0),MATCH($AE461,始値!$E$3:$BT$3,0)),"")</f>
        <v/>
      </c>
      <c r="AJ461" s="603" t="str">
        <f t="shared" ca="1" si="152"/>
        <v/>
      </c>
      <c r="AK461" s="603" t="str">
        <f t="shared" ca="1" si="153"/>
        <v/>
      </c>
    </row>
  </sheetData>
  <mergeCells count="3">
    <mergeCell ref="M1:R1"/>
    <mergeCell ref="B1:C1"/>
    <mergeCell ref="H1:I1"/>
  </mergeCells>
  <phoneticPr fontId="16"/>
  <conditionalFormatting sqref="AD4:AD461">
    <cfRule type="expression" dxfId="51" priority="1">
      <formula>EXACT($AD4,"厳選TOP2買")</formula>
    </cfRule>
  </conditionalFormatting>
  <conditionalFormatting sqref="A4:C461">
    <cfRule type="expression" dxfId="50" priority="2">
      <formula>EXACT($AD4,"厳選TOP2買")</formula>
    </cfRule>
  </conditionalFormatting>
  <conditionalFormatting sqref="AL17:AL24">
    <cfRule type="expression" dxfId="49" priority="3">
      <formula>EXACT($AL17,"厳選TOP2買")</formula>
    </cfRule>
  </conditionalFormatting>
  <conditionalFormatting sqref="AD4:AD461">
    <cfRule type="expression" dxfId="48" priority="4">
      <formula>EXACT($AD4,"厳選TOP2売")</formula>
    </cfRule>
  </conditionalFormatting>
  <conditionalFormatting sqref="A4:C461">
    <cfRule type="expression" dxfId="47" priority="5">
      <formula>EXACT($AD4,"厳選TOP2売")</formula>
    </cfRule>
  </conditionalFormatting>
  <conditionalFormatting sqref="AL17:AL24">
    <cfRule type="expression" dxfId="46" priority="6">
      <formula>EXACT($AL17,"厳選TOP2売")</formula>
    </cfRule>
  </conditionalFormatting>
  <conditionalFormatting sqref="AD4:AD461">
    <cfRule type="expression" dxfId="45" priority="7">
      <formula>EXACT($AD4,"v13買")</formula>
    </cfRule>
  </conditionalFormatting>
  <conditionalFormatting sqref="A4:C461">
    <cfRule type="expression" dxfId="44" priority="8">
      <formula>EXACT($AD4,"v13買")</formula>
    </cfRule>
  </conditionalFormatting>
  <conditionalFormatting sqref="AL17:AL24">
    <cfRule type="expression" dxfId="43" priority="9">
      <formula>EXACT($AL17,"v13買")</formula>
    </cfRule>
  </conditionalFormatting>
  <conditionalFormatting sqref="AD4:AD461">
    <cfRule type="expression" dxfId="42" priority="10">
      <formula>EXACT($AD4,"v13売")</formula>
    </cfRule>
  </conditionalFormatting>
  <conditionalFormatting sqref="A4:C461">
    <cfRule type="expression" dxfId="41" priority="11">
      <formula>EXACT($AD4,"v13売")</formula>
    </cfRule>
  </conditionalFormatting>
  <conditionalFormatting sqref="AL17:AL24">
    <cfRule type="expression" dxfId="40" priority="12">
      <formula>EXACT($AL17,"v13売")</formula>
    </cfRule>
  </conditionalFormatting>
  <conditionalFormatting sqref="X4:X461">
    <cfRule type="containsText" dxfId="39" priority="13" operator="containsText" text="損切確定">
      <formula>NOT(ISERROR(SEARCH("損切確定",X4)))</formula>
    </cfRule>
  </conditionalFormatting>
  <conditionalFormatting sqref="AH4:AH461">
    <cfRule type="containsText" dxfId="38"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233" activePane="bottomRight" state="frozen"/>
      <selection activeCell="C162" sqref="C162"/>
      <selection pane="topRight" activeCell="C162" sqref="C162"/>
      <selection pane="bottomLeft" activeCell="C162" sqref="C162"/>
      <selection pane="bottomRight" activeCell="D278" sqref="D27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847" t="s">
        <v>516</v>
      </c>
      <c r="B1" s="848"/>
      <c r="C1" s="848"/>
      <c r="D1" s="848"/>
      <c r="E1" s="83"/>
      <c r="F1" s="83"/>
      <c r="G1" s="83"/>
      <c r="H1" s="83"/>
      <c r="I1" s="83"/>
      <c r="J1" s="83"/>
      <c r="K1" s="83"/>
      <c r="L1" s="83"/>
      <c r="M1" s="83"/>
      <c r="N1" s="83"/>
    </row>
    <row r="2" spans="1:27" ht="19.5" customHeight="1">
      <c r="A2" s="849" t="s">
        <v>517</v>
      </c>
      <c r="B2" s="848"/>
      <c r="C2" s="848"/>
      <c r="D2" s="848"/>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4037.09</v>
      </c>
      <c r="D5" s="91" t="str">
        <f>IF(OR(C5="",E5=""),"",TEXT(C5-E5,"+#,##0.00;-#,##0.00;0")&amp;"  ("&amp;TEXT((C5-E5)/E5,"+0.00%;-0.00%;0.00%")&amp;")")</f>
        <v>+75.31  (+1.90%)</v>
      </c>
      <c r="E5" s="92">
        <f t="array" ref="E5">_xll.RssIndexMarket("TOPX","前日終値")</f>
        <v>3961.78</v>
      </c>
      <c r="F5" s="93" t="str">
        <f>IF(C5&gt;E5,"上昇▲","下落▼")</f>
        <v>上昇▲</v>
      </c>
      <c r="G5" s="430" t="s">
        <v>820</v>
      </c>
      <c r="H5" s="431" cm="1">
        <f t="array" ref="H5">_xll.RssIndexMarket("N225.FUT01.OS", "前日比率")</f>
        <v>3.51</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37" priority="1" stopIfTrue="1">
      <formula>$C$5&gt;$E$5</formula>
    </cfRule>
    <cfRule type="expression" dxfId="36" priority="2" stopIfTrue="1">
      <formula>$C$5&lt;$E$5</formula>
    </cfRule>
    <cfRule type="expression" dxfId="35"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9" activePane="bottomLeft" state="frozen"/>
      <selection pane="bottomLeft" activeCell="K34" sqref="K34"/>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850" t="s">
        <v>1226</v>
      </c>
      <c r="B1" s="850"/>
      <c r="C1" s="850"/>
      <c r="D1" s="850"/>
      <c r="E1" s="850"/>
      <c r="F1" s="850"/>
      <c r="G1" s="850"/>
      <c r="H1" s="850"/>
      <c r="I1" s="850"/>
      <c r="J1" s="850"/>
      <c r="K1" s="850"/>
      <c r="L1" s="850"/>
      <c r="M1" s="850"/>
      <c r="AC1"/>
      <c r="AD1"/>
      <c r="AE1"/>
      <c r="AF1"/>
      <c r="AG1"/>
      <c r="AH1"/>
      <c r="AI1"/>
      <c r="AJ1"/>
      <c r="AK1"/>
      <c r="AL1"/>
      <c r="AM1"/>
      <c r="AN1"/>
      <c r="AO1"/>
      <c r="AP1"/>
      <c r="AQ1"/>
      <c r="AR1"/>
      <c r="AS1"/>
      <c r="AT1"/>
      <c r="AU1"/>
      <c r="AV1"/>
      <c r="AW1"/>
      <c r="AX1"/>
      <c r="AY1"/>
      <c r="AZ1"/>
    </row>
    <row r="2" spans="1:52" s="435" customFormat="1" ht="19.2">
      <c r="A2" s="562"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3" t="s">
        <v>1238</v>
      </c>
      <c r="V2" s="563" t="s">
        <v>1239</v>
      </c>
      <c r="AC2"/>
      <c r="AD2"/>
      <c r="AE2"/>
      <c r="AF2"/>
      <c r="AG2"/>
      <c r="AH2"/>
      <c r="AI2"/>
      <c r="AJ2"/>
      <c r="AK2"/>
      <c r="AL2"/>
      <c r="AM2"/>
      <c r="AN2"/>
      <c r="AO2"/>
      <c r="AP2"/>
      <c r="AQ2"/>
      <c r="AR2"/>
      <c r="AS2"/>
      <c r="AT2"/>
      <c r="AU2"/>
      <c r="AV2"/>
      <c r="AW2"/>
      <c r="AX2"/>
      <c r="AY2"/>
      <c r="AZ2"/>
    </row>
    <row r="3" spans="1:52" s="435" customFormat="1" ht="19.2">
      <c r="T3" s="435" t="str">
        <f>IF(AND(分析!$C3&lt;&gt;"",分析!$C3&lt;&gt;"TOPX",分析!$AD3=$B$8,N(分析!$T3)&gt;=$B$7,N(分析!$O3)&gt;=$B$9),N(分析!$T3)*10000+MIN(N(分析!$O3),99)*100-ROW(),"")</f>
        <v/>
      </c>
      <c r="V3" s="435" t="str">
        <f>IF(AND(売分析!$C3&lt;&gt;"",売分析!$C3&lt;&gt;"TOPX",売分析!$AD3=$B$12,N(売分析!$T3)&gt;=$B$11,N(売分析!$O3)&gt;=$B$13),N(売分析!$T3)*10000+MIN(N(売分析!$O3),99)*100-ROW(),"")</f>
        <v/>
      </c>
      <c r="AC3"/>
      <c r="AD3"/>
      <c r="AE3"/>
      <c r="AF3"/>
      <c r="AG3"/>
      <c r="AH3"/>
      <c r="AI3"/>
      <c r="AJ3"/>
      <c r="AK3"/>
      <c r="AL3"/>
      <c r="AM3"/>
      <c r="AN3"/>
      <c r="AO3"/>
      <c r="AP3"/>
      <c r="AQ3"/>
      <c r="AR3"/>
      <c r="AS3"/>
      <c r="AT3"/>
      <c r="AU3"/>
      <c r="AV3"/>
      <c r="AW3"/>
      <c r="AX3"/>
      <c r="AY3"/>
      <c r="AZ3"/>
    </row>
    <row r="4" spans="1:52" s="435" customFormat="1" ht="19.2">
      <c r="A4" s="564" t="s">
        <v>1227</v>
      </c>
      <c r="E4" s="564" t="s">
        <v>1240</v>
      </c>
      <c r="T4" s="435" t="str">
        <f>IF(AND(分析!$C4&lt;&gt;"",分析!$C4&lt;&gt;"TOPX",分析!$AD4=$B$8,N(分析!$T4)&gt;=$B$7,N(分析!$O4)&gt;=$B$9),N(分析!$T4)*10000+MIN(N(分析!$O4),99)*100-ROW(),"")</f>
        <v/>
      </c>
      <c r="V4" s="435" t="str">
        <f>IF(AND(売分析!$C4&lt;&gt;"",売分析!$C4&lt;&gt;"TOPX",売分析!$AD4=$B$12,N(売分析!$T4)&gt;=$B$11,N(売分析!$O4)&gt;=$B$13),N(売分析!$T4)*10000+MIN(N(売分析!$O4),99)*100-ROW(),"")</f>
        <v/>
      </c>
      <c r="AC4"/>
      <c r="AD4"/>
      <c r="AE4"/>
      <c r="AF4"/>
      <c r="AG4"/>
      <c r="AH4"/>
      <c r="AI4"/>
      <c r="AJ4"/>
      <c r="AK4"/>
      <c r="AL4"/>
      <c r="AM4"/>
      <c r="AN4"/>
      <c r="AO4"/>
      <c r="AP4"/>
      <c r="AQ4"/>
      <c r="AR4"/>
      <c r="AS4"/>
      <c r="AT4"/>
      <c r="AU4"/>
      <c r="AV4"/>
      <c r="AW4"/>
      <c r="AX4"/>
      <c r="AY4"/>
      <c r="AZ4"/>
    </row>
    <row r="5" spans="1:52" s="435" customFormat="1" ht="19.2">
      <c r="A5" s="435" t="s">
        <v>1228</v>
      </c>
      <c r="B5" s="565">
        <v>2</v>
      </c>
      <c r="C5" s="563" t="s">
        <v>1229</v>
      </c>
      <c r="E5" s="435" t="s">
        <v>1241</v>
      </c>
      <c r="F5" s="566">
        <f>COUNT($T$3:$T$206)</f>
        <v>0</v>
      </c>
      <c r="T5" s="435" t="str">
        <f>IF(AND(分析!$C5&lt;&gt;"",分析!$C5&lt;&gt;"TOPX",分析!$AD5=$B$8,N(分析!$T5)&gt;=$B$7,N(分析!$O5)&gt;=$B$9),N(分析!$T5)*10000+MIN(N(分析!$O5),99)*100-ROW(),"")</f>
        <v/>
      </c>
      <c r="V5" s="435" t="str">
        <f>IF(AND(売分析!$C5&lt;&gt;"",売分析!$C5&lt;&gt;"TOPX",売分析!$AD5=$B$12,N(売分析!$T5)&gt;=$B$11,N(売分析!$O5)&gt;=$B$13),N(売分析!$T5)*10000+MIN(N(売分析!$O5),99)*100-ROW(),"")</f>
        <v/>
      </c>
      <c r="AC5"/>
      <c r="AD5"/>
      <c r="AE5"/>
      <c r="AF5"/>
      <c r="AG5"/>
      <c r="AH5"/>
      <c r="AI5"/>
      <c r="AJ5"/>
      <c r="AK5"/>
      <c r="AL5"/>
      <c r="AM5"/>
      <c r="AN5"/>
      <c r="AO5"/>
      <c r="AP5"/>
      <c r="AQ5"/>
      <c r="AR5"/>
      <c r="AS5"/>
      <c r="AT5"/>
      <c r="AU5"/>
      <c r="AV5"/>
      <c r="AW5"/>
      <c r="AX5"/>
      <c r="AY5"/>
      <c r="AZ5"/>
    </row>
    <row r="6" spans="1:52" s="435" customFormat="1" ht="19.2">
      <c r="A6" s="567" t="s">
        <v>1230</v>
      </c>
      <c r="E6" s="435" t="s">
        <v>1242</v>
      </c>
      <c r="F6" s="566">
        <f>COUNT($V$3:$V$206)</f>
        <v>0</v>
      </c>
      <c r="T6" s="435" t="str">
        <f>IF(AND(分析!$C6&lt;&gt;"",分析!$C6&lt;&gt;"TOPX",分析!$AD6=$B$8,N(分析!$T6)&gt;=$B$7,N(分析!$O6)&gt;=$B$9),N(分析!$T6)*10000+MIN(N(分析!$O6),99)*100-ROW(),"")</f>
        <v/>
      </c>
      <c r="V6" s="435" t="str">
        <f>IF(AND(売分析!$C6&lt;&gt;"",売分析!$C6&lt;&gt;"TOPX",売分析!$AD6=$B$12,N(売分析!$T6)&gt;=$B$11,N(売分析!$O6)&gt;=$B$13),N(売分析!$T6)*10000+MIN(N(売分析!$O6),99)*100-ROW(),"")</f>
        <v/>
      </c>
      <c r="AC6"/>
      <c r="AD6"/>
      <c r="AE6"/>
      <c r="AF6"/>
      <c r="AG6"/>
      <c r="AH6"/>
      <c r="AI6"/>
      <c r="AJ6"/>
      <c r="AK6"/>
      <c r="AL6"/>
      <c r="AM6"/>
      <c r="AN6"/>
      <c r="AO6"/>
      <c r="AP6"/>
      <c r="AQ6"/>
      <c r="AR6"/>
      <c r="AS6"/>
      <c r="AT6"/>
      <c r="AU6"/>
      <c r="AV6"/>
      <c r="AW6"/>
      <c r="AX6"/>
      <c r="AY6"/>
      <c r="AZ6"/>
    </row>
    <row r="7" spans="1:52" s="435" customFormat="1" ht="19.2">
      <c r="A7" s="435" t="s">
        <v>1231</v>
      </c>
      <c r="B7" s="565">
        <v>11</v>
      </c>
      <c r="C7" s="563" t="s">
        <v>1243</v>
      </c>
      <c r="E7" s="563" t="str">
        <f>IF(F5=0,"⚠ 買いは条件が厳しすぎて該当なし。B7またはB9を下げてください",IF(F5&lt;=5,"✓ 適正な厳しさ","△ やや緩い：B7を上げると絞れます"))</f>
        <v>⚠ 買いは条件が厳しすぎて該当なし。B7またはB9を下げてください</v>
      </c>
      <c r="T7" s="435" t="str">
        <f>IF(AND(分析!$C7&lt;&gt;"",分析!$C7&lt;&gt;"TOPX",分析!$AD7=$B$8,N(分析!$T7)&gt;=$B$7,N(分析!$O7)&gt;=$B$9),N(分析!$T7)*10000+MIN(N(分析!$O7),99)*100-ROW(),"")</f>
        <v/>
      </c>
      <c r="V7" s="435" t="str">
        <f>IF(AND(売分析!$C7&lt;&gt;"",売分析!$C7&lt;&gt;"TOPX",売分析!$AD7=$B$12,N(売分析!$T7)&gt;=$B$11,N(売分析!$O7)&gt;=$B$13),N(売分析!$T7)*10000+MIN(N(売分析!$O7),99)*100-ROW(),"")</f>
        <v/>
      </c>
      <c r="AC7"/>
      <c r="AD7"/>
      <c r="AE7"/>
      <c r="AF7"/>
      <c r="AG7"/>
      <c r="AH7"/>
      <c r="AI7"/>
      <c r="AJ7"/>
      <c r="AK7"/>
      <c r="AL7"/>
      <c r="AM7"/>
      <c r="AN7"/>
      <c r="AO7"/>
      <c r="AP7"/>
      <c r="AQ7"/>
      <c r="AR7"/>
      <c r="AS7"/>
      <c r="AT7"/>
      <c r="AU7"/>
      <c r="AV7"/>
      <c r="AW7"/>
      <c r="AX7"/>
      <c r="AY7"/>
      <c r="AZ7"/>
    </row>
    <row r="8" spans="1:52" s="435" customFormat="1" ht="19.2">
      <c r="A8" s="435" t="s">
        <v>1232</v>
      </c>
      <c r="B8" s="565" t="s">
        <v>1221</v>
      </c>
      <c r="C8" s="563" t="s">
        <v>1233</v>
      </c>
      <c r="E8" s="563" t="str">
        <f>IF(F6=0,"⚠ 売りは条件が厳しすぎて該当なし。B11またはB13を下げてください",IF(F6&lt;=5,"✓ 適正な厳しさ","△ やや緩い：B11を上げると絞れます"))</f>
        <v>⚠ 売りは条件が厳しすぎて該当なし。B11またはB13を下げてください</v>
      </c>
      <c r="T8" s="435" t="str">
        <f>IF(AND(分析!$C8&lt;&gt;"",分析!$C8&lt;&gt;"TOPX",分析!$AD8=$B$8,N(分析!$T8)&gt;=$B$7,N(分析!$O8)&gt;=$B$9),N(分析!$T8)*10000+MIN(N(分析!$O8),99)*100-ROW(),"")</f>
        <v/>
      </c>
      <c r="V8" s="435" t="str">
        <f>IF(AND(売分析!$C8&lt;&gt;"",売分析!$C8&lt;&gt;"TOPX",売分析!$AD8=$B$12,N(売分析!$T8)&gt;=$B$11,N(売分析!$O8)&gt;=$B$13),N(売分析!$T8)*10000+MIN(N(売分析!$O8),99)*100-ROW(),"")</f>
        <v/>
      </c>
      <c r="AC8"/>
      <c r="AD8"/>
      <c r="AE8"/>
      <c r="AF8"/>
      <c r="AG8"/>
      <c r="AH8"/>
      <c r="AI8"/>
      <c r="AJ8"/>
      <c r="AK8"/>
      <c r="AL8"/>
      <c r="AM8"/>
      <c r="AN8"/>
      <c r="AO8"/>
      <c r="AP8"/>
      <c r="AQ8"/>
      <c r="AR8"/>
      <c r="AS8"/>
      <c r="AT8"/>
      <c r="AU8"/>
      <c r="AV8"/>
      <c r="AW8"/>
      <c r="AX8"/>
      <c r="AY8"/>
      <c r="AZ8"/>
    </row>
    <row r="9" spans="1:52" s="435" customFormat="1" ht="19.2">
      <c r="A9" s="435" t="s">
        <v>1234</v>
      </c>
      <c r="B9" s="568">
        <v>1</v>
      </c>
      <c r="C9" s="563" t="s">
        <v>1244</v>
      </c>
      <c r="T9" s="435" t="str">
        <f>IF(AND(分析!$C9&lt;&gt;"",分析!$C9&lt;&gt;"TOPX",分析!$AD9=$B$8,N(分析!$T9)&gt;=$B$7,N(分析!$O9)&gt;=$B$9),N(分析!$T9)*10000+MIN(N(分析!$O9),99)*100-ROW(),"")</f>
        <v/>
      </c>
      <c r="V9" s="435" t="str">
        <f>IF(AND(売分析!$C9&lt;&gt;"",売分析!$C9&lt;&gt;"TOPX",売分析!$AD9=$B$12,N(売分析!$T9)&gt;=$B$11,N(売分析!$O9)&gt;=$B$13),N(売分析!$T9)*10000+MIN(N(売分析!$O9),99)*100-ROW(),"")</f>
        <v/>
      </c>
      <c r="AC9"/>
      <c r="AD9"/>
      <c r="AE9"/>
      <c r="AF9"/>
      <c r="AG9"/>
      <c r="AH9"/>
      <c r="AI9"/>
      <c r="AJ9"/>
      <c r="AK9"/>
      <c r="AL9"/>
      <c r="AM9"/>
      <c r="AN9"/>
      <c r="AO9"/>
      <c r="AP9"/>
      <c r="AQ9"/>
      <c r="AR9"/>
      <c r="AS9"/>
      <c r="AT9"/>
      <c r="AU9"/>
      <c r="AV9"/>
      <c r="AW9"/>
      <c r="AX9"/>
      <c r="AY9"/>
      <c r="AZ9"/>
    </row>
    <row r="10" spans="1:52" s="435" customFormat="1" ht="19.2">
      <c r="A10" s="569" t="s">
        <v>1235</v>
      </c>
      <c r="T10" s="435" t="str">
        <f>IF(AND(分析!$C10&lt;&gt;"",分析!$C10&lt;&gt;"TOPX",分析!$AD10=$B$8,N(分析!$T10)&gt;=$B$7,N(分析!$O10)&gt;=$B$9),N(分析!$T10)*10000+MIN(N(分析!$O10),99)*100-ROW(),"")</f>
        <v/>
      </c>
      <c r="V10" s="435" t="str">
        <f>IF(AND(売分析!$C10&lt;&gt;"",売分析!$C10&lt;&gt;"TOPX",売分析!$AD10=$B$12,N(売分析!$T10)&gt;=$B$11,N(売分析!$O10)&gt;=$B$13),N(売分析!$T10)*10000+MIN(N(売分析!$O10),99)*100-ROW(),"")</f>
        <v/>
      </c>
      <c r="AC10"/>
      <c r="AD10"/>
      <c r="AE10"/>
      <c r="AF10"/>
      <c r="AG10"/>
      <c r="AH10"/>
      <c r="AI10"/>
      <c r="AJ10"/>
      <c r="AK10"/>
      <c r="AL10"/>
      <c r="AM10"/>
      <c r="AN10"/>
      <c r="AO10"/>
      <c r="AP10"/>
      <c r="AQ10"/>
      <c r="AR10"/>
      <c r="AS10"/>
      <c r="AT10"/>
      <c r="AU10"/>
      <c r="AV10"/>
      <c r="AW10"/>
      <c r="AX10"/>
      <c r="AY10"/>
      <c r="AZ10"/>
    </row>
    <row r="11" spans="1:52" s="435" customFormat="1" ht="19.2">
      <c r="A11" s="435" t="s">
        <v>1236</v>
      </c>
      <c r="B11" s="565">
        <v>15</v>
      </c>
      <c r="C11" s="563" t="s">
        <v>1245</v>
      </c>
      <c r="T11" s="435" t="str">
        <f>IF(AND(分析!$C11&lt;&gt;"",分析!$C11&lt;&gt;"TOPX",分析!$AD11=$B$8,N(分析!$T11)&gt;=$B$7,N(分析!$O11)&gt;=$B$9),N(分析!$T11)*10000+MIN(N(分析!$O11),99)*100-ROW(),"")</f>
        <v/>
      </c>
      <c r="V11" s="435" t="str">
        <f>IF(AND(売分析!$C11&lt;&gt;"",売分析!$C11&lt;&gt;"TOPX",売分析!$AD11=$B$12,N(売分析!$T11)&gt;=$B$11,N(売分析!$O11)&gt;=$B$13),N(売分析!$T11)*10000+MIN(N(売分析!$O11),99)*100-ROW(),"")</f>
        <v/>
      </c>
      <c r="AC11"/>
      <c r="AD11"/>
      <c r="AE11"/>
      <c r="AF11"/>
      <c r="AG11"/>
      <c r="AH11"/>
      <c r="AI11"/>
      <c r="AJ11"/>
      <c r="AK11"/>
      <c r="AL11"/>
      <c r="AM11"/>
      <c r="AN11"/>
      <c r="AO11"/>
      <c r="AP11"/>
      <c r="AQ11"/>
      <c r="AR11"/>
      <c r="AS11"/>
      <c r="AT11"/>
      <c r="AU11"/>
      <c r="AV11"/>
      <c r="AW11"/>
      <c r="AX11"/>
      <c r="AY11"/>
      <c r="AZ11"/>
    </row>
    <row r="12" spans="1:52" s="435" customFormat="1" ht="19.2">
      <c r="A12" s="435" t="s">
        <v>1232</v>
      </c>
      <c r="B12" s="565" t="s">
        <v>1223</v>
      </c>
      <c r="C12" s="563" t="s">
        <v>1237</v>
      </c>
      <c r="T12" s="435" t="str">
        <f>IF(AND(分析!$C12&lt;&gt;"",分析!$C12&lt;&gt;"TOPX",分析!$AD12=$B$8,N(分析!$T12)&gt;=$B$7,N(分析!$O12)&gt;=$B$9),N(分析!$T12)*10000+MIN(N(分析!$O12),99)*100-ROW(),"")</f>
        <v/>
      </c>
      <c r="V12" s="435" t="str">
        <f>IF(AND(売分析!$C12&lt;&gt;"",売分析!$C12&lt;&gt;"TOPX",売分析!$AD12=$B$12,N(売分析!$T12)&gt;=$B$11,N(売分析!$O12)&gt;=$B$13),N(売分析!$T12)*10000+MIN(N(売分析!$O12),99)*100-ROW(),"")</f>
        <v/>
      </c>
      <c r="AC12"/>
      <c r="AD12"/>
      <c r="AE12"/>
      <c r="AF12"/>
      <c r="AG12"/>
      <c r="AH12"/>
      <c r="AI12"/>
      <c r="AJ12"/>
      <c r="AK12"/>
      <c r="AL12"/>
      <c r="AM12"/>
      <c r="AN12"/>
      <c r="AO12"/>
      <c r="AP12"/>
      <c r="AQ12"/>
      <c r="AR12"/>
      <c r="AS12"/>
      <c r="AT12"/>
      <c r="AU12"/>
      <c r="AV12"/>
      <c r="AW12"/>
      <c r="AX12"/>
      <c r="AY12"/>
      <c r="AZ12"/>
    </row>
    <row r="13" spans="1:52" s="435" customFormat="1" ht="19.2">
      <c r="A13" s="435" t="s">
        <v>1234</v>
      </c>
      <c r="B13" s="568">
        <v>1</v>
      </c>
      <c r="C13" s="563" t="s">
        <v>1246</v>
      </c>
      <c r="T13" s="435" t="str">
        <f>IF(AND(分析!$C13&lt;&gt;"",分析!$C13&lt;&gt;"TOPX",分析!$AD13=$B$8,N(分析!$T13)&gt;=$B$7,N(分析!$O13)&gt;=$B$9),N(分析!$T13)*10000+MIN(N(分析!$O13),99)*100-ROW(),"")</f>
        <v/>
      </c>
      <c r="V13" s="435" t="str">
        <f>IF(AND(売分析!$C13&lt;&gt;"",売分析!$C13&lt;&gt;"TOPX",売分析!$AD13=$B$12,N(売分析!$T13)&gt;=$B$11,N(売分析!$O13)&gt;=$B$13),N(売分析!$T13)*10000+MIN(N(売分析!$O13),99)*100-ROW(),"")</f>
        <v/>
      </c>
      <c r="AC13"/>
      <c r="AD13"/>
      <c r="AE13"/>
      <c r="AF13"/>
      <c r="AG13"/>
      <c r="AH13"/>
      <c r="AI13"/>
      <c r="AJ13"/>
      <c r="AK13"/>
      <c r="AL13"/>
      <c r="AM13"/>
      <c r="AN13"/>
      <c r="AO13"/>
      <c r="AP13"/>
      <c r="AQ13"/>
      <c r="AR13"/>
      <c r="AS13"/>
      <c r="AT13"/>
      <c r="AU13"/>
      <c r="AV13"/>
      <c r="AW13"/>
      <c r="AX13"/>
      <c r="AY13"/>
      <c r="AZ13"/>
    </row>
    <row r="14" spans="1:52" s="435" customFormat="1" ht="19.2">
      <c r="A14" s="562" t="s">
        <v>1247</v>
      </c>
      <c r="T14" s="435" t="str">
        <f>IF(AND(分析!$C14&lt;&gt;"",分析!$C14&lt;&gt;"TOPX",分析!$AD14=$B$8,N(分析!$T14)&gt;=$B$7,N(分析!$O14)&gt;=$B$9),N(分析!$T14)*10000+MIN(N(分析!$O14),99)*100-ROW(),"")</f>
        <v/>
      </c>
      <c r="V14" s="435" t="str">
        <f>IF(AND(売分析!$C14&lt;&gt;"",売分析!$C14&lt;&gt;"TOPX",売分析!$AD14=$B$12,N(売分析!$T14)&gt;=$B$11,N(売分析!$O14)&gt;=$B$13),N(売分析!$T14)*10000+MIN(N(売分析!$O14),99)*100-ROW(),"")</f>
        <v/>
      </c>
      <c r="AC14"/>
      <c r="AD14"/>
      <c r="AE14"/>
      <c r="AF14"/>
      <c r="AG14"/>
      <c r="AH14"/>
      <c r="AI14"/>
      <c r="AJ14"/>
      <c r="AK14"/>
      <c r="AL14"/>
      <c r="AM14"/>
      <c r="AN14"/>
      <c r="AO14"/>
      <c r="AP14"/>
      <c r="AQ14"/>
      <c r="AR14"/>
      <c r="AS14"/>
      <c r="AT14"/>
      <c r="AU14"/>
      <c r="AV14"/>
      <c r="AW14"/>
      <c r="AX14"/>
      <c r="AY14"/>
      <c r="AZ14"/>
    </row>
    <row r="15" spans="1:52" s="435" customFormat="1" ht="19.2">
      <c r="T15" s="435" t="str">
        <f>IF(AND(分析!$C15&lt;&gt;"",分析!$C15&lt;&gt;"TOPX",分析!$AD15=$B$8,N(分析!$T15)&gt;=$B$7,N(分析!$O15)&gt;=$B$9),N(分析!$T15)*10000+MIN(N(分析!$O15),99)*100-ROW(),"")</f>
        <v/>
      </c>
      <c r="V15" s="435" t="str">
        <f>IF(AND(売分析!$C15&lt;&gt;"",売分析!$C15&lt;&gt;"TOPX",売分析!$AD15=$B$12,N(売分析!$T15)&gt;=$B$11,N(売分析!$O15)&gt;=$B$13),N(売分析!$T15)*10000+MIN(N(売分析!$O15),99)*100-ROW(),"")</f>
        <v/>
      </c>
      <c r="AC15"/>
      <c r="AD15"/>
      <c r="AE15"/>
      <c r="AF15"/>
      <c r="AG15"/>
      <c r="AH15"/>
      <c r="AI15"/>
      <c r="AJ15"/>
      <c r="AK15"/>
      <c r="AL15"/>
      <c r="AM15"/>
      <c r="AN15"/>
      <c r="AO15"/>
      <c r="AP15"/>
      <c r="AQ15"/>
      <c r="AR15"/>
      <c r="AS15"/>
      <c r="AT15"/>
      <c r="AU15"/>
      <c r="AV15"/>
      <c r="AW15"/>
      <c r="AX15"/>
      <c r="AY15"/>
      <c r="AZ15"/>
    </row>
    <row r="16" spans="1:52" s="435" customFormat="1" ht="19.2">
      <c r="A16" s="567" t="s">
        <v>1224</v>
      </c>
      <c r="T16" s="435" t="str">
        <f>IF(AND(分析!$C16&lt;&gt;"",分析!$C16&lt;&gt;"TOPX",分析!$AD16=$B$8,N(分析!$T16)&gt;=$B$7,N(分析!$O16)&gt;=$B$9),N(分析!$T16)*10000+MIN(N(分析!$O16),99)*100-ROW(),"")</f>
        <v/>
      </c>
      <c r="V16" s="435" t="str">
        <f>IF(AND(売分析!$C16&lt;&gt;"",売分析!$C16&lt;&gt;"TOPX",売分析!$AD16=$B$12,N(売分析!$T16)&gt;=$B$11,N(売分析!$O16)&gt;=$B$13),N(売分析!$T16)*10000+MIN(N(売分析!$O16),99)*100-ROW(),"")</f>
        <v/>
      </c>
      <c r="AC16"/>
      <c r="AD16"/>
      <c r="AE16"/>
      <c r="AF16"/>
      <c r="AG16"/>
      <c r="AH16"/>
      <c r="AI16"/>
      <c r="AJ16"/>
      <c r="AK16"/>
      <c r="AL16"/>
      <c r="AM16"/>
      <c r="AN16"/>
      <c r="AO16"/>
      <c r="AP16"/>
      <c r="AQ16"/>
      <c r="AR16"/>
      <c r="AS16"/>
      <c r="AT16"/>
      <c r="AU16"/>
      <c r="AV16"/>
      <c r="AW16"/>
      <c r="AX16"/>
      <c r="AY16"/>
      <c r="AZ16"/>
    </row>
    <row r="17" spans="1:52" s="435" customFormat="1" ht="19.2">
      <c r="A17" s="570" t="s">
        <v>1163</v>
      </c>
      <c r="B17" s="570" t="s">
        <v>523</v>
      </c>
      <c r="C17" s="570" t="s">
        <v>524</v>
      </c>
      <c r="D17" s="570" t="s">
        <v>525</v>
      </c>
      <c r="E17" s="570" t="s">
        <v>551</v>
      </c>
      <c r="F17" s="570" t="s">
        <v>532</v>
      </c>
      <c r="G17" s="570" t="s">
        <v>529</v>
      </c>
      <c r="H17" s="570" t="s">
        <v>530</v>
      </c>
      <c r="I17" s="570" t="s">
        <v>531</v>
      </c>
      <c r="J17" s="570" t="s">
        <v>550</v>
      </c>
      <c r="K17" s="570" t="s">
        <v>535</v>
      </c>
      <c r="L17" s="570" t="s">
        <v>536</v>
      </c>
      <c r="M17" s="570" t="s">
        <v>552</v>
      </c>
      <c r="R17" s="563" t="s">
        <v>1248</v>
      </c>
      <c r="T17" s="435" t="str">
        <f>IF(AND(分析!$C17&lt;&gt;"",分析!$C17&lt;&gt;"TOPX",分析!$AD17=$B$8,N(分析!$T17)&gt;=$B$7,N(分析!$O17)&gt;=$B$9),N(分析!$T17)*10000+MIN(N(分析!$O17),99)*100-ROW(),"")</f>
        <v/>
      </c>
      <c r="V17" s="435" t="str">
        <f>IF(AND(売分析!$C17&lt;&gt;"",売分析!$C17&lt;&gt;"TOPX",売分析!$AD17=$B$12,N(売分析!$T17)&gt;=$B$11,N(売分析!$O17)&gt;=$B$13),N(売分析!$T17)*10000+MIN(N(売分析!$O17),99)*100-ROW(),"")</f>
        <v/>
      </c>
      <c r="AC17"/>
      <c r="AD17"/>
      <c r="AE17"/>
      <c r="AF17"/>
      <c r="AG17"/>
      <c r="AH17"/>
      <c r="AI17"/>
      <c r="AJ17"/>
      <c r="AK17"/>
      <c r="AL17"/>
      <c r="AM17"/>
      <c r="AN17"/>
      <c r="AO17"/>
      <c r="AP17"/>
      <c r="AQ17"/>
      <c r="AR17"/>
      <c r="AS17"/>
      <c r="AT17"/>
      <c r="AU17"/>
      <c r="AV17"/>
      <c r="AW17"/>
      <c r="AX17"/>
      <c r="AY17"/>
      <c r="AZ17"/>
    </row>
    <row r="18" spans="1:52" s="435" customFormat="1" ht="19.2">
      <c r="A18" s="571" t="str">
        <f>IF($R18="","",ROW()-17)</f>
        <v/>
      </c>
      <c r="B18" s="572" t="str" cm="1">
        <f t="array" ref="B18">IF($R18="","",INDEX(分析!$C:$C,$R18))</f>
        <v/>
      </c>
      <c r="C18" s="572" t="str" cm="1">
        <f t="array" ref="C18">IF($R18="","",INDEX(分析!$D:$D,$R18))</f>
        <v/>
      </c>
      <c r="D18" s="573" t="str" cm="1">
        <f t="array" ref="D18">IF($R18="","",INDEX(分析!$E:$E,$R18))</f>
        <v/>
      </c>
      <c r="E18" s="574" t="str" cm="1">
        <f t="array" ref="E18">IF($R18="","",INDEX(分析!$T:$T,$R18))</f>
        <v/>
      </c>
      <c r="F18" s="575" t="str" cm="1">
        <f t="array" ref="F18">IF($R18="","",INDEX(分析!$O:$O,$R18))</f>
        <v/>
      </c>
      <c r="G18" s="576" t="str" cm="1">
        <f t="array" ref="G18">IF($R18="","",INDEX(分析!$W:$W,$R18))</f>
        <v/>
      </c>
      <c r="H18" s="572" t="str" cm="1">
        <f t="array" ref="H18">IF($R18="","",INDEX(分析!$AD:$AD,$R18))</f>
        <v/>
      </c>
      <c r="I18" s="572" t="str" cm="1">
        <f t="array" ref="I18">IF($R18="","",INDEX(分析!$AE:$AE,$R18))</f>
        <v/>
      </c>
      <c r="J18" s="577" t="str" cm="1">
        <f t="array" ref="J18">IF($R18="","",INDEX(分析!$Z:$Z,$R18))</f>
        <v/>
      </c>
      <c r="K18" s="573" t="str" cm="1">
        <f t="array" ref="K18">IF($R18="","",INDEX(分析!$R:$R,$R18))</f>
        <v/>
      </c>
      <c r="L18" s="573" t="str" cm="1">
        <f t="array" ref="L18">IF($R18="","",INDEX(分析!$S:$S,$R18))</f>
        <v/>
      </c>
      <c r="M18" s="578" t="str" cm="1">
        <f t="array" ref="M18">IF($R18="","",INDEX(分析!$Y:$Y,$R18))</f>
        <v/>
      </c>
      <c r="R18" s="435" t="str">
        <f>IF(ROW()-17&gt;$B$5,"",IFERROR(MATCH(LARGE($T$3:$T$206,ROW()-17),$T$3:$T$206,0)+2,""))</f>
        <v/>
      </c>
      <c r="T18" s="435" t="str">
        <f>IF(AND(分析!$C18&lt;&gt;"",分析!$C18&lt;&gt;"TOPX",分析!$AD18=$B$8,N(分析!$T18)&gt;=$B$7,N(分析!$O18)&gt;=$B$9),N(分析!$T18)*10000+MIN(N(分析!$O18),99)*100-ROW(),"")</f>
        <v/>
      </c>
      <c r="V18" s="435" t="str">
        <f>IF(AND(売分析!$C18&lt;&gt;"",売分析!$C18&lt;&gt;"TOPX",売分析!$AD18=$B$12,N(売分析!$T18)&gt;=$B$11,N(売分析!$O18)&gt;=$B$13),N(売分析!$T18)*10000+MIN(N(売分析!$O18),99)*100-ROW(),"")</f>
        <v/>
      </c>
      <c r="AC18"/>
      <c r="AD18"/>
      <c r="AE18"/>
      <c r="AF18"/>
      <c r="AG18"/>
      <c r="AH18"/>
      <c r="AI18"/>
      <c r="AJ18"/>
      <c r="AK18"/>
      <c r="AL18"/>
      <c r="AM18"/>
      <c r="AN18"/>
      <c r="AO18"/>
      <c r="AP18"/>
      <c r="AQ18"/>
      <c r="AR18"/>
      <c r="AS18"/>
      <c r="AT18"/>
      <c r="AU18"/>
      <c r="AV18"/>
      <c r="AW18"/>
      <c r="AX18"/>
      <c r="AY18"/>
      <c r="AZ18"/>
    </row>
    <row r="19" spans="1:52" s="435" customFormat="1" ht="19.2">
      <c r="A19" s="579" t="str">
        <f>IF($R19="","",ROW()-17)</f>
        <v/>
      </c>
      <c r="B19" s="580" t="str" cm="1">
        <f t="array" ref="B19">IF($R19="","",INDEX(分析!$C:$C,$R19))</f>
        <v/>
      </c>
      <c r="C19" s="580" t="str" cm="1">
        <f t="array" ref="C19">IF($R19="","",INDEX(分析!$D:$D,$R19))</f>
        <v/>
      </c>
      <c r="D19" s="581" t="str" cm="1">
        <f t="array" ref="D19">IF($R19="","",INDEX(分析!$E:$E,$R19))</f>
        <v/>
      </c>
      <c r="E19" s="582" t="str" cm="1">
        <f t="array" ref="E19">IF($R19="","",INDEX(分析!$T:$T,$R19))</f>
        <v/>
      </c>
      <c r="F19" s="583" t="str" cm="1">
        <f t="array" ref="F19">IF($R19="","",INDEX(分析!$O:$O,$R19))</f>
        <v/>
      </c>
      <c r="G19" s="584" t="str" cm="1">
        <f t="array" ref="G19">IF($R19="","",INDEX(分析!$W:$W,$R19))</f>
        <v/>
      </c>
      <c r="H19" s="580" t="str" cm="1">
        <f t="array" ref="H19">IF($R19="","",INDEX(分析!$AD:$AD,$R19))</f>
        <v/>
      </c>
      <c r="I19" s="580" t="str" cm="1">
        <f t="array" ref="I19">IF($R19="","",INDEX(分析!$AE:$AE,$R19))</f>
        <v/>
      </c>
      <c r="J19" s="585" t="str" cm="1">
        <f t="array" ref="J19">IF($R19="","",INDEX(分析!$Z:$Z,$R19))</f>
        <v/>
      </c>
      <c r="K19" s="581" t="str" cm="1">
        <f t="array" ref="K19">IF($R19="","",INDEX(分析!$R:$R,$R19))</f>
        <v/>
      </c>
      <c r="L19" s="581" t="str" cm="1">
        <f t="array" ref="L19">IF($R19="","",INDEX(分析!$S:$S,$R19))</f>
        <v/>
      </c>
      <c r="M19" s="586" t="str" cm="1">
        <f t="array" ref="M19">IF($R19="","",INDEX(分析!$Y:$Y,$R19))</f>
        <v/>
      </c>
      <c r="R19" s="435" t="str">
        <f>IF(ROW()-17&gt;$B$5,"",IFERROR(MATCH(LARGE($T$3:$T$206,ROW()-17),$T$3:$T$206,0)+2,""))</f>
        <v/>
      </c>
      <c r="T19" s="435" t="str">
        <f>IF(AND(分析!$C19&lt;&gt;"",分析!$C19&lt;&gt;"TOPX",分析!$AD19=$B$8,N(分析!$T19)&gt;=$B$7,N(分析!$O19)&gt;=$B$9),N(分析!$T19)*10000+MIN(N(分析!$O19),99)*100-ROW(),"")</f>
        <v/>
      </c>
      <c r="V19" s="435" t="str">
        <f>IF(AND(売分析!$C19&lt;&gt;"",売分析!$C19&lt;&gt;"TOPX",売分析!$AD19=$B$12,N(売分析!$T19)&gt;=$B$11,N(売分析!$O19)&gt;=$B$13),N(売分析!$T19)*10000+MIN(N(売分析!$O19),99)*100-ROW(),"")</f>
        <v/>
      </c>
      <c r="AC19"/>
      <c r="AD19"/>
      <c r="AE19"/>
      <c r="AF19"/>
      <c r="AG19"/>
      <c r="AH19"/>
      <c r="AI19"/>
      <c r="AJ19"/>
      <c r="AK19"/>
      <c r="AL19"/>
      <c r="AM19"/>
      <c r="AN19"/>
      <c r="AO19"/>
      <c r="AP19"/>
      <c r="AQ19"/>
      <c r="AR19"/>
      <c r="AS19"/>
      <c r="AT19"/>
      <c r="AU19"/>
      <c r="AV19"/>
      <c r="AW19"/>
      <c r="AX19"/>
      <c r="AY19"/>
      <c r="AZ19"/>
    </row>
    <row r="20" spans="1:52" s="435" customFormat="1" ht="19.2">
      <c r="A20" s="579" t="str">
        <f>IF($R20="","",ROW()-17)</f>
        <v/>
      </c>
      <c r="B20" s="580" t="str" cm="1">
        <f t="array" ref="B20">IF($R20="","",INDEX(分析!$C:$C,$R20))</f>
        <v/>
      </c>
      <c r="C20" s="580" t="str" cm="1">
        <f t="array" ref="C20">IF($R20="","",INDEX(分析!$D:$D,$R20))</f>
        <v/>
      </c>
      <c r="D20" s="581" t="str" cm="1">
        <f t="array" ref="D20">IF($R20="","",INDEX(分析!$E:$E,$R20))</f>
        <v/>
      </c>
      <c r="E20" s="582" t="str" cm="1">
        <f t="array" ref="E20">IF($R20="","",INDEX(分析!$T:$T,$R20))</f>
        <v/>
      </c>
      <c r="F20" s="583" t="str" cm="1">
        <f t="array" ref="F20">IF($R20="","",INDEX(分析!$O:$O,$R20))</f>
        <v/>
      </c>
      <c r="G20" s="584" t="str" cm="1">
        <f t="array" ref="G20">IF($R20="","",INDEX(分析!$W:$W,$R20))</f>
        <v/>
      </c>
      <c r="H20" s="580" t="str" cm="1">
        <f t="array" ref="H20">IF($R20="","",INDEX(分析!$AD:$AD,$R20))</f>
        <v/>
      </c>
      <c r="I20" s="580" t="str" cm="1">
        <f t="array" ref="I20">IF($R20="","",INDEX(分析!$AE:$AE,$R20))</f>
        <v/>
      </c>
      <c r="J20" s="585" t="str" cm="1">
        <f t="array" ref="J20">IF($R20="","",INDEX(分析!$Z:$Z,$R20))</f>
        <v/>
      </c>
      <c r="K20" s="581" t="str" cm="1">
        <f t="array" ref="K20">IF($R20="","",INDEX(分析!$R:$R,$R20))</f>
        <v/>
      </c>
      <c r="L20" s="581" t="str" cm="1">
        <f t="array" ref="L20">IF($R20="","",INDEX(分析!$S:$S,$R20))</f>
        <v/>
      </c>
      <c r="M20" s="586" t="str" cm="1">
        <f t="array" ref="M20">IF($R20="","",INDEX(分析!$Y:$Y,$R20))</f>
        <v/>
      </c>
      <c r="R20" s="435" t="str">
        <f>IF(ROW()-17&gt;$B$5,"",IFERROR(MATCH(LARGE($T$3:$T$206,ROW()-17),$T$3:$T$206,0)+2,""))</f>
        <v/>
      </c>
      <c r="T20" s="435" t="str">
        <f>IF(AND(分析!$C20&lt;&gt;"",分析!$C20&lt;&gt;"TOPX",分析!$AD20=$B$8,N(分析!$T20)&gt;=$B$7,N(分析!$O20)&gt;=$B$9),N(分析!$T20)*10000+MIN(N(分析!$O20),99)*100-ROW(),"")</f>
        <v/>
      </c>
      <c r="V20" s="435" t="str">
        <f>IF(AND(売分析!$C20&lt;&gt;"",売分析!$C20&lt;&gt;"TOPX",売分析!$AD20=$B$12,N(売分析!$T20)&gt;=$B$11,N(売分析!$O20)&gt;=$B$13),N(売分析!$T20)*10000+MIN(N(売分析!$O20),99)*100-ROW(),"")</f>
        <v/>
      </c>
      <c r="AC20"/>
      <c r="AD20"/>
      <c r="AE20"/>
      <c r="AF20"/>
      <c r="AG20"/>
      <c r="AH20"/>
      <c r="AI20"/>
      <c r="AJ20"/>
      <c r="AK20"/>
      <c r="AL20"/>
      <c r="AM20"/>
      <c r="AN20"/>
      <c r="AO20"/>
      <c r="AP20"/>
      <c r="AQ20"/>
      <c r="AR20"/>
      <c r="AS20"/>
      <c r="AT20"/>
      <c r="AU20"/>
      <c r="AV20"/>
      <c r="AW20"/>
      <c r="AX20"/>
      <c r="AY20"/>
      <c r="AZ20"/>
    </row>
    <row r="21" spans="1:52" s="435" customFormat="1" ht="19.2">
      <c r="A21" s="579" t="str">
        <f>IF($R21="","",ROW()-17)</f>
        <v/>
      </c>
      <c r="B21" s="580" t="str" cm="1">
        <f t="array" ref="B21">IF($R21="","",INDEX(分析!$C:$C,$R21))</f>
        <v/>
      </c>
      <c r="C21" s="580" t="str" cm="1">
        <f t="array" ref="C21">IF($R21="","",INDEX(分析!$D:$D,$R21))</f>
        <v/>
      </c>
      <c r="D21" s="581" t="str" cm="1">
        <f t="array" ref="D21">IF($R21="","",INDEX(分析!$E:$E,$R21))</f>
        <v/>
      </c>
      <c r="E21" s="582" t="str" cm="1">
        <f t="array" ref="E21">IF($R21="","",INDEX(分析!$T:$T,$R21))</f>
        <v/>
      </c>
      <c r="F21" s="583" t="str" cm="1">
        <f t="array" ref="F21">IF($R21="","",INDEX(分析!$O:$O,$R21))</f>
        <v/>
      </c>
      <c r="G21" s="584" t="str" cm="1">
        <f t="array" ref="G21">IF($R21="","",INDEX(分析!$W:$W,$R21))</f>
        <v/>
      </c>
      <c r="H21" s="580" t="str" cm="1">
        <f t="array" ref="H21">IF($R21="","",INDEX(分析!$AD:$AD,$R21))</f>
        <v/>
      </c>
      <c r="I21" s="580" t="str" cm="1">
        <f t="array" ref="I21">IF($R21="","",INDEX(分析!$AE:$AE,$R21))</f>
        <v/>
      </c>
      <c r="J21" s="585" t="str" cm="1">
        <f t="array" ref="J21">IF($R21="","",INDEX(分析!$Z:$Z,$R21))</f>
        <v/>
      </c>
      <c r="K21" s="581" t="str" cm="1">
        <f t="array" ref="K21">IF($R21="","",INDEX(分析!$R:$R,$R21))</f>
        <v/>
      </c>
      <c r="L21" s="581" t="str" cm="1">
        <f t="array" ref="L21">IF($R21="","",INDEX(分析!$S:$S,$R21))</f>
        <v/>
      </c>
      <c r="M21" s="586" t="str" cm="1">
        <f t="array" ref="M21">IF($R21="","",INDEX(分析!$Y:$Y,$R21))</f>
        <v/>
      </c>
      <c r="R21" s="435" t="str">
        <f>IF(ROW()-17&gt;$B$5,"",IFERROR(MATCH(LARGE($T$3:$T$206,ROW()-17),$T$3:$T$206,0)+2,""))</f>
        <v/>
      </c>
      <c r="T21" s="435" t="str">
        <f>IF(AND(分析!$C21&lt;&gt;"",分析!$C21&lt;&gt;"TOPX",分析!$AD21=$B$8,N(分析!$T21)&gt;=$B$7,N(分析!$O21)&gt;=$B$9),N(分析!$T21)*10000+MIN(N(分析!$O21),99)*100-ROW(),"")</f>
        <v/>
      </c>
      <c r="V21" s="435" t="str">
        <f>IF(AND(売分析!$C21&lt;&gt;"",売分析!$C21&lt;&gt;"TOPX",売分析!$AD21=$B$12,N(売分析!$T21)&gt;=$B$11,N(売分析!$O21)&gt;=$B$13),N(売分析!$T21)*10000+MIN(N(売分析!$O21),99)*100-ROW(),"")</f>
        <v/>
      </c>
      <c r="AC21"/>
      <c r="AD21"/>
      <c r="AE21"/>
      <c r="AF21"/>
      <c r="AG21"/>
      <c r="AH21"/>
      <c r="AI21"/>
      <c r="AJ21"/>
      <c r="AK21"/>
      <c r="AL21"/>
      <c r="AM21"/>
      <c r="AN21"/>
      <c r="AO21"/>
      <c r="AP21"/>
      <c r="AQ21"/>
      <c r="AR21"/>
      <c r="AS21"/>
      <c r="AT21"/>
      <c r="AU21"/>
      <c r="AV21"/>
      <c r="AW21"/>
      <c r="AX21"/>
      <c r="AY21"/>
      <c r="AZ21"/>
    </row>
    <row r="22" spans="1:52" s="435" customFormat="1" ht="19.2">
      <c r="A22" s="579" t="str">
        <f>IF($R22="","",ROW()-17)</f>
        <v/>
      </c>
      <c r="B22" s="580" t="str" cm="1">
        <f t="array" ref="B22">IF($R22="","",INDEX(分析!$C:$C,$R22))</f>
        <v/>
      </c>
      <c r="C22" s="580" t="str" cm="1">
        <f t="array" ref="C22">IF($R22="","",INDEX(分析!$D:$D,$R22))</f>
        <v/>
      </c>
      <c r="D22" s="581" t="str" cm="1">
        <f t="array" ref="D22">IF($R22="","",INDEX(分析!$E:$E,$R22))</f>
        <v/>
      </c>
      <c r="E22" s="582" t="str" cm="1">
        <f t="array" ref="E22">IF($R22="","",INDEX(分析!$T:$T,$R22))</f>
        <v/>
      </c>
      <c r="F22" s="583" t="str" cm="1">
        <f t="array" ref="F22">IF($R22="","",INDEX(分析!$O:$O,$R22))</f>
        <v/>
      </c>
      <c r="G22" s="584" t="str" cm="1">
        <f t="array" ref="G22">IF($R22="","",INDEX(分析!$W:$W,$R22))</f>
        <v/>
      </c>
      <c r="H22" s="580" t="str" cm="1">
        <f t="array" ref="H22">IF($R22="","",INDEX(分析!$AD:$AD,$R22))</f>
        <v/>
      </c>
      <c r="I22" s="580" t="str" cm="1">
        <f t="array" ref="I22">IF($R22="","",INDEX(分析!$AE:$AE,$R22))</f>
        <v/>
      </c>
      <c r="J22" s="585" t="str" cm="1">
        <f t="array" ref="J22">IF($R22="","",INDEX(分析!$Z:$Z,$R22))</f>
        <v/>
      </c>
      <c r="K22" s="581" t="str" cm="1">
        <f t="array" ref="K22">IF($R22="","",INDEX(分析!$R:$R,$R22))</f>
        <v/>
      </c>
      <c r="L22" s="581" t="str" cm="1">
        <f t="array" ref="L22">IF($R22="","",INDEX(分析!$S:$S,$R22))</f>
        <v/>
      </c>
      <c r="M22" s="586" t="str" cm="1">
        <f t="array" ref="M22">IF($R22="","",INDEX(分析!$Y:$Y,$R22))</f>
        <v/>
      </c>
      <c r="R22" s="435" t="str">
        <f>IF(ROW()-17&gt;$B$5,"",IFERROR(MATCH(LARGE($T$3:$T$206,ROW()-17),$T$3:$T$206,0)+2,""))</f>
        <v/>
      </c>
      <c r="T22" s="435" t="str">
        <f>IF(AND(分析!$C22&lt;&gt;"",分析!$C22&lt;&gt;"TOPX",分析!$AD22=$B$8,N(分析!$T22)&gt;=$B$7,N(分析!$O22)&gt;=$B$9),N(分析!$T22)*10000+MIN(N(分析!$O22),99)*100-ROW(),"")</f>
        <v/>
      </c>
      <c r="V22" s="435" t="str">
        <f>IF(AND(売分析!$C22&lt;&gt;"",売分析!$C22&lt;&gt;"TOPX",売分析!$AD22=$B$12,N(売分析!$T22)&gt;=$B$11,N(売分析!$O22)&gt;=$B$13),N(売分析!$T22)*10000+MIN(N(売分析!$O22),99)*100-ROW(),"")</f>
        <v/>
      </c>
      <c r="AC22"/>
      <c r="AD22"/>
      <c r="AE22"/>
      <c r="AF22"/>
      <c r="AG22"/>
      <c r="AH22"/>
      <c r="AI22"/>
      <c r="AJ22"/>
      <c r="AK22"/>
      <c r="AL22"/>
      <c r="AM22"/>
      <c r="AN22"/>
      <c r="AO22"/>
      <c r="AP22"/>
      <c r="AQ22"/>
      <c r="AR22"/>
      <c r="AS22"/>
      <c r="AT22"/>
      <c r="AU22"/>
      <c r="AV22"/>
      <c r="AW22"/>
      <c r="AX22"/>
      <c r="AY22"/>
      <c r="AZ22"/>
    </row>
    <row r="23" spans="1:52" s="435" customFormat="1" ht="19.2">
      <c r="T23" s="435" t="str">
        <f>IF(AND(分析!$C23&lt;&gt;"",分析!$C23&lt;&gt;"TOPX",分析!$AD23=$B$8,N(分析!$T23)&gt;=$B$7,N(分析!$O23)&gt;=$B$9),N(分析!$T23)*10000+MIN(N(分析!$O23),99)*100-ROW(),"")</f>
        <v/>
      </c>
      <c r="V23" s="435" t="str">
        <f>IF(AND(売分析!$C23&lt;&gt;"",売分析!$C23&lt;&gt;"TOPX",売分析!$AD23=$B$12,N(売分析!$T23)&gt;=$B$11,N(売分析!$O23)&gt;=$B$13),N(売分析!$T23)*10000+MIN(N(売分析!$O23),99)*100-ROW(),"")</f>
        <v/>
      </c>
      <c r="AC23"/>
      <c r="AD23"/>
      <c r="AE23"/>
      <c r="AF23"/>
      <c r="AG23"/>
      <c r="AH23"/>
      <c r="AI23"/>
      <c r="AJ23"/>
      <c r="AK23"/>
      <c r="AL23"/>
      <c r="AM23"/>
      <c r="AN23"/>
      <c r="AO23"/>
      <c r="AP23"/>
      <c r="AQ23"/>
      <c r="AR23"/>
      <c r="AS23"/>
      <c r="AT23"/>
      <c r="AU23"/>
      <c r="AV23"/>
      <c r="AW23"/>
      <c r="AX23"/>
      <c r="AY23"/>
      <c r="AZ23"/>
    </row>
    <row r="24" spans="1:52" s="435" customFormat="1" ht="19.2">
      <c r="A24" s="569" t="s">
        <v>1225</v>
      </c>
      <c r="T24" s="435" t="str">
        <f>IF(AND(分析!$C24&lt;&gt;"",分析!$C24&lt;&gt;"TOPX",分析!$AD24=$B$8,N(分析!$T24)&gt;=$B$7,N(分析!$O24)&gt;=$B$9),N(分析!$T24)*10000+MIN(N(分析!$O24),99)*100-ROW(),"")</f>
        <v/>
      </c>
      <c r="V24" s="435" t="str">
        <f>IF(AND(売分析!$C24&lt;&gt;"",売分析!$C24&lt;&gt;"TOPX",売分析!$AD24=$B$12,N(売分析!$T24)&gt;=$B$11,N(売分析!$O24)&gt;=$B$13),N(売分析!$T24)*10000+MIN(N(売分析!$O24),99)*100-ROW(),"")</f>
        <v/>
      </c>
      <c r="AC24"/>
      <c r="AD24"/>
      <c r="AE24"/>
      <c r="AF24"/>
      <c r="AG24"/>
      <c r="AH24"/>
      <c r="AI24"/>
      <c r="AJ24"/>
      <c r="AK24"/>
      <c r="AL24"/>
      <c r="AM24"/>
      <c r="AN24"/>
      <c r="AO24"/>
      <c r="AP24"/>
      <c r="AQ24"/>
      <c r="AR24"/>
      <c r="AS24"/>
      <c r="AT24"/>
      <c r="AU24"/>
      <c r="AV24"/>
      <c r="AW24"/>
      <c r="AX24"/>
      <c r="AY24"/>
      <c r="AZ24"/>
    </row>
    <row r="25" spans="1:52" s="435" customFormat="1" ht="19.2">
      <c r="A25" s="570" t="s">
        <v>1163</v>
      </c>
      <c r="B25" s="570" t="s">
        <v>523</v>
      </c>
      <c r="C25" s="570" t="s">
        <v>524</v>
      </c>
      <c r="D25" s="570" t="s">
        <v>525</v>
      </c>
      <c r="E25" s="570" t="s">
        <v>551</v>
      </c>
      <c r="F25" s="570" t="s">
        <v>532</v>
      </c>
      <c r="G25" s="570" t="s">
        <v>529</v>
      </c>
      <c r="H25" s="570" t="s">
        <v>530</v>
      </c>
      <c r="I25" s="570" t="s">
        <v>570</v>
      </c>
      <c r="J25" s="570" t="s">
        <v>550</v>
      </c>
      <c r="K25" s="570" t="s">
        <v>535</v>
      </c>
      <c r="L25" s="570" t="s">
        <v>536</v>
      </c>
      <c r="M25" s="570" t="s">
        <v>552</v>
      </c>
      <c r="R25" s="563" t="s">
        <v>1249</v>
      </c>
      <c r="T25" s="435" t="str">
        <f>IF(AND(分析!$C25&lt;&gt;"",分析!$C25&lt;&gt;"TOPX",分析!$AD25=$B$8,N(分析!$T25)&gt;=$B$7,N(分析!$O25)&gt;=$B$9),N(分析!$T25)*10000+MIN(N(分析!$O25),99)*100-ROW(),"")</f>
        <v/>
      </c>
      <c r="V25" s="435" t="str">
        <f>IF(AND(売分析!$C25&lt;&gt;"",売分析!$C25&lt;&gt;"TOPX",売分析!$AD25=$B$12,N(売分析!$T25)&gt;=$B$11,N(売分析!$O25)&gt;=$B$13),N(売分析!$T25)*10000+MIN(N(売分析!$O25),99)*100-ROW(),"")</f>
        <v/>
      </c>
      <c r="AC25"/>
      <c r="AD25"/>
      <c r="AE25"/>
      <c r="AF25"/>
      <c r="AG25"/>
      <c r="AH25"/>
      <c r="AI25"/>
      <c r="AJ25"/>
      <c r="AK25"/>
      <c r="AL25"/>
      <c r="AM25"/>
      <c r="AN25"/>
      <c r="AO25"/>
      <c r="AP25"/>
      <c r="AQ25"/>
      <c r="AR25"/>
      <c r="AS25"/>
      <c r="AT25"/>
      <c r="AU25"/>
      <c r="AV25"/>
      <c r="AW25"/>
      <c r="AX25"/>
      <c r="AY25"/>
      <c r="AZ25"/>
    </row>
    <row r="26" spans="1:52" s="435" customFormat="1" ht="19.2">
      <c r="A26" s="571" t="str">
        <f>IF($R26="","",ROW()-25)</f>
        <v/>
      </c>
      <c r="B26" s="572" t="str" cm="1">
        <f t="array" ref="B26">IF($R26="","",INDEX(売分析!$C:$C,$R26))</f>
        <v/>
      </c>
      <c r="C26" s="572" t="str" cm="1">
        <f t="array" ref="C26">IF($R26="","",INDEX(売分析!$D:$D,$R26))</f>
        <v/>
      </c>
      <c r="D26" s="573" t="str" cm="1">
        <f t="array" ref="D26">IF($R26="","",INDEX(売分析!$E:$E,$R26))</f>
        <v/>
      </c>
      <c r="E26" s="574" t="str" cm="1">
        <f t="array" ref="E26">IF($R26="","",INDEX(売分析!$T:$T,$R26))</f>
        <v/>
      </c>
      <c r="F26" s="575" t="str" cm="1">
        <f t="array" ref="F26">IF($R26="","",INDEX(売分析!$O:$O,$R26))</f>
        <v/>
      </c>
      <c r="G26" s="576" t="str" cm="1">
        <f t="array" ref="G26">IF($R26="","",INDEX(売分析!$W:$W,$R26))</f>
        <v/>
      </c>
      <c r="H26" s="572" t="str" cm="1">
        <f t="array" ref="H26">IF($R26="","",INDEX(売分析!$AD:$AD,$R26))</f>
        <v/>
      </c>
      <c r="I26" s="572" t="str" cm="1">
        <f t="array" ref="I26">IF($R26="","",INDEX(売分析!$AE:$AE,$R26))</f>
        <v/>
      </c>
      <c r="J26" s="577" t="str" cm="1">
        <f t="array" ref="J26">IF($R26="","",INDEX(売分析!$Z:$Z,$R26))</f>
        <v/>
      </c>
      <c r="K26" s="573" t="str" cm="1">
        <f t="array" ref="K26">IF($R26="","",INDEX(売分析!$R:$R,$R26))</f>
        <v/>
      </c>
      <c r="L26" s="573" t="str" cm="1">
        <f t="array" ref="L26">IF($R26="","",INDEX(売分析!$S:$S,$R26))</f>
        <v/>
      </c>
      <c r="M26" s="578" t="str" cm="1">
        <f t="array" ref="M26">IF($R26="","",INDEX(売分析!$Y:$Y,$R26))</f>
        <v/>
      </c>
      <c r="R26" s="435" t="str">
        <f>IF(ROW()-25&gt;$B$5,"",IFERROR(MATCH(LARGE($V$3:$V$206,ROW()-25),$V$3:$V$206,0)+2,""))</f>
        <v/>
      </c>
      <c r="T26" s="435" t="str">
        <f>IF(AND(分析!$C26&lt;&gt;"",分析!$C26&lt;&gt;"TOPX",分析!$AD26=$B$8,N(分析!$T26)&gt;=$B$7,N(分析!$O26)&gt;=$B$9),N(分析!$T26)*10000+MIN(N(分析!$O26),99)*100-ROW(),"")</f>
        <v/>
      </c>
      <c r="V26" s="435" t="str">
        <f>IF(AND(売分析!$C26&lt;&gt;"",売分析!$C26&lt;&gt;"TOPX",売分析!$AD26=$B$12,N(売分析!$T26)&gt;=$B$11,N(売分析!$O26)&gt;=$B$13),N(売分析!$T26)*10000+MIN(N(売分析!$O26),99)*100-ROW(),"")</f>
        <v/>
      </c>
      <c r="AC26"/>
      <c r="AD26"/>
      <c r="AE26"/>
      <c r="AF26"/>
      <c r="AG26"/>
      <c r="AH26"/>
      <c r="AI26"/>
      <c r="AJ26"/>
      <c r="AK26"/>
      <c r="AL26"/>
      <c r="AM26"/>
      <c r="AN26"/>
      <c r="AO26"/>
      <c r="AP26"/>
      <c r="AQ26"/>
      <c r="AR26"/>
      <c r="AS26"/>
      <c r="AT26"/>
      <c r="AU26"/>
      <c r="AV26"/>
      <c r="AW26"/>
      <c r="AX26"/>
      <c r="AY26"/>
      <c r="AZ26"/>
    </row>
    <row r="27" spans="1:52" s="435" customFormat="1" ht="19.2">
      <c r="A27" s="579" t="str">
        <f>IF($R27="","",ROW()-25)</f>
        <v/>
      </c>
      <c r="B27" s="580" t="str" cm="1">
        <f t="array" ref="B27">IF($R27="","",INDEX(売分析!$C:$C,$R27))</f>
        <v/>
      </c>
      <c r="C27" s="580" t="str" cm="1">
        <f t="array" ref="C27">IF($R27="","",INDEX(売分析!$D:$D,$R27))</f>
        <v/>
      </c>
      <c r="D27" s="581" t="str" cm="1">
        <f t="array" ref="D27">IF($R27="","",INDEX(売分析!$E:$E,$R27))</f>
        <v/>
      </c>
      <c r="E27" s="582" t="str" cm="1">
        <f t="array" ref="E27">IF($R27="","",INDEX(売分析!$T:$T,$R27))</f>
        <v/>
      </c>
      <c r="F27" s="583" t="str" cm="1">
        <f t="array" ref="F27">IF($R27="","",INDEX(売分析!$O:$O,$R27))</f>
        <v/>
      </c>
      <c r="G27" s="584" t="str" cm="1">
        <f t="array" ref="G27">IF($R27="","",INDEX(売分析!$W:$W,$R27))</f>
        <v/>
      </c>
      <c r="H27" s="580" t="str" cm="1">
        <f t="array" ref="H27">IF($R27="","",INDEX(売分析!$AD:$AD,$R27))</f>
        <v/>
      </c>
      <c r="I27" s="580" t="str" cm="1">
        <f t="array" ref="I27">IF($R27="","",INDEX(売分析!$AE:$AE,$R27))</f>
        <v/>
      </c>
      <c r="J27" s="585" t="str" cm="1">
        <f t="array" ref="J27">IF($R27="","",INDEX(売分析!$Z:$Z,$R27))</f>
        <v/>
      </c>
      <c r="K27" s="581" t="str" cm="1">
        <f t="array" ref="K27">IF($R27="","",INDEX(売分析!$R:$R,$R27))</f>
        <v/>
      </c>
      <c r="L27" s="581" t="str" cm="1">
        <f t="array" ref="L27">IF($R27="","",INDEX(売分析!$S:$S,$R27))</f>
        <v/>
      </c>
      <c r="M27" s="586" t="str" cm="1">
        <f t="array" ref="M27">IF($R27="","",INDEX(売分析!$Y:$Y,$R27))</f>
        <v/>
      </c>
      <c r="R27" s="435" t="str">
        <f>IF(ROW()-25&gt;$B$5,"",IFERROR(MATCH(LARGE($V$3:$V$206,ROW()-25),$V$3:$V$206,0)+2,""))</f>
        <v/>
      </c>
      <c r="T27" s="435" t="str">
        <f>IF(AND(分析!$C27&lt;&gt;"",分析!$C27&lt;&gt;"TOPX",分析!$AD27=$B$8,N(分析!$T27)&gt;=$B$7,N(分析!$O27)&gt;=$B$9),N(分析!$T27)*10000+MIN(N(分析!$O27),99)*100-ROW(),"")</f>
        <v/>
      </c>
      <c r="V27" s="435" t="str">
        <f>IF(AND(売分析!$C27&lt;&gt;"",売分析!$C27&lt;&gt;"TOPX",売分析!$AD27=$B$12,N(売分析!$T27)&gt;=$B$11,N(売分析!$O27)&gt;=$B$13),N(売分析!$T27)*10000+MIN(N(売分析!$O27),99)*100-ROW(),"")</f>
        <v/>
      </c>
      <c r="AC27"/>
      <c r="AD27"/>
      <c r="AE27"/>
      <c r="AF27"/>
      <c r="AG27"/>
      <c r="AH27"/>
      <c r="AI27"/>
      <c r="AJ27"/>
      <c r="AK27"/>
      <c r="AL27"/>
      <c r="AM27"/>
      <c r="AN27"/>
      <c r="AO27"/>
      <c r="AP27"/>
      <c r="AQ27"/>
      <c r="AR27"/>
      <c r="AS27"/>
      <c r="AT27"/>
      <c r="AU27"/>
      <c r="AV27"/>
      <c r="AW27"/>
      <c r="AX27"/>
      <c r="AY27"/>
      <c r="AZ27"/>
    </row>
    <row r="28" spans="1:52" s="435" customFormat="1" ht="19.2">
      <c r="A28" s="579" t="str">
        <f>IF($R28="","",ROW()-25)</f>
        <v/>
      </c>
      <c r="B28" s="580" t="str" cm="1">
        <f t="array" ref="B28">IF($R28="","",INDEX(売分析!$C:$C,$R28))</f>
        <v/>
      </c>
      <c r="C28" s="580" t="str" cm="1">
        <f t="array" ref="C28">IF($R28="","",INDEX(売分析!$D:$D,$R28))</f>
        <v/>
      </c>
      <c r="D28" s="581" t="str" cm="1">
        <f t="array" ref="D28">IF($R28="","",INDEX(売分析!$E:$E,$R28))</f>
        <v/>
      </c>
      <c r="E28" s="582" t="str" cm="1">
        <f t="array" ref="E28">IF($R28="","",INDEX(売分析!$T:$T,$R28))</f>
        <v/>
      </c>
      <c r="F28" s="583" t="str" cm="1">
        <f t="array" ref="F28">IF($R28="","",INDEX(売分析!$O:$O,$R28))</f>
        <v/>
      </c>
      <c r="G28" s="584" t="str" cm="1">
        <f t="array" ref="G28">IF($R28="","",INDEX(売分析!$W:$W,$R28))</f>
        <v/>
      </c>
      <c r="H28" s="580" t="str" cm="1">
        <f t="array" ref="H28">IF($R28="","",INDEX(売分析!$AD:$AD,$R28))</f>
        <v/>
      </c>
      <c r="I28" s="580" t="str" cm="1">
        <f t="array" ref="I28">IF($R28="","",INDEX(売分析!$AE:$AE,$R28))</f>
        <v/>
      </c>
      <c r="J28" s="585" t="str" cm="1">
        <f t="array" ref="J28">IF($R28="","",INDEX(売分析!$Z:$Z,$R28))</f>
        <v/>
      </c>
      <c r="K28" s="581" t="str" cm="1">
        <f t="array" ref="K28">IF($R28="","",INDEX(売分析!$R:$R,$R28))</f>
        <v/>
      </c>
      <c r="L28" s="581" t="str" cm="1">
        <f t="array" ref="L28">IF($R28="","",INDEX(売分析!$S:$S,$R28))</f>
        <v/>
      </c>
      <c r="M28" s="586" t="str" cm="1">
        <f t="array" ref="M28">IF($R28="","",INDEX(売分析!$Y:$Y,$R28))</f>
        <v/>
      </c>
      <c r="R28" s="435" t="str">
        <f>IF(ROW()-25&gt;$B$5,"",IFERROR(MATCH(LARGE($V$3:$V$206,ROW()-25),$V$3:$V$206,0)+2,""))</f>
        <v/>
      </c>
      <c r="T28" s="435" t="str">
        <f>IF(AND(分析!$C28&lt;&gt;"",分析!$C28&lt;&gt;"TOPX",分析!$AD28=$B$8,N(分析!$T28)&gt;=$B$7,N(分析!$O28)&gt;=$B$9),N(分析!$T28)*10000+MIN(N(分析!$O28),99)*100-ROW(),"")</f>
        <v/>
      </c>
      <c r="V28" s="435" t="str">
        <f>IF(AND(売分析!$C28&lt;&gt;"",売分析!$C28&lt;&gt;"TOPX",売分析!$AD28=$B$12,N(売分析!$T28)&gt;=$B$11,N(売分析!$O28)&gt;=$B$13),N(売分析!$T28)*10000+MIN(N(売分析!$O28),99)*100-ROW(),"")</f>
        <v/>
      </c>
      <c r="AC28"/>
      <c r="AD28"/>
      <c r="AE28"/>
      <c r="AF28"/>
      <c r="AG28"/>
      <c r="AH28"/>
      <c r="AI28"/>
      <c r="AJ28"/>
      <c r="AK28"/>
      <c r="AL28"/>
      <c r="AM28"/>
      <c r="AN28"/>
      <c r="AO28"/>
      <c r="AP28"/>
      <c r="AQ28"/>
      <c r="AR28"/>
      <c r="AS28"/>
      <c r="AT28"/>
      <c r="AU28"/>
      <c r="AV28"/>
      <c r="AW28"/>
      <c r="AX28"/>
      <c r="AY28"/>
      <c r="AZ28"/>
    </row>
    <row r="29" spans="1:52" s="435" customFormat="1" ht="19.2">
      <c r="A29" s="579" t="str">
        <f>IF($R29="","",ROW()-25)</f>
        <v/>
      </c>
      <c r="B29" s="580" t="str" cm="1">
        <f t="array" ref="B29">IF($R29="","",INDEX(売分析!$C:$C,$R29))</f>
        <v/>
      </c>
      <c r="C29" s="580" t="str" cm="1">
        <f t="array" ref="C29">IF($R29="","",INDEX(売分析!$D:$D,$R29))</f>
        <v/>
      </c>
      <c r="D29" s="581" t="str" cm="1">
        <f t="array" ref="D29">IF($R29="","",INDEX(売分析!$E:$E,$R29))</f>
        <v/>
      </c>
      <c r="E29" s="582" t="str" cm="1">
        <f t="array" ref="E29">IF($R29="","",INDEX(売分析!$T:$T,$R29))</f>
        <v/>
      </c>
      <c r="F29" s="583" t="str" cm="1">
        <f t="array" ref="F29">IF($R29="","",INDEX(売分析!$O:$O,$R29))</f>
        <v/>
      </c>
      <c r="G29" s="584" t="str" cm="1">
        <f t="array" ref="G29">IF($R29="","",INDEX(売分析!$W:$W,$R29))</f>
        <v/>
      </c>
      <c r="H29" s="580" t="str" cm="1">
        <f t="array" ref="H29">IF($R29="","",INDEX(売分析!$AD:$AD,$R29))</f>
        <v/>
      </c>
      <c r="I29" s="580" t="str" cm="1">
        <f t="array" ref="I29">IF($R29="","",INDEX(売分析!$AE:$AE,$R29))</f>
        <v/>
      </c>
      <c r="J29" s="585" t="str" cm="1">
        <f t="array" ref="J29">IF($R29="","",INDEX(売分析!$Z:$Z,$R29))</f>
        <v/>
      </c>
      <c r="K29" s="581" t="str" cm="1">
        <f t="array" ref="K29">IF($R29="","",INDEX(売分析!$R:$R,$R29))</f>
        <v/>
      </c>
      <c r="L29" s="581" t="str" cm="1">
        <f t="array" ref="L29">IF($R29="","",INDEX(売分析!$S:$S,$R29))</f>
        <v/>
      </c>
      <c r="M29" s="586" t="str" cm="1">
        <f t="array" ref="M29">IF($R29="","",INDEX(売分析!$Y:$Y,$R29))</f>
        <v/>
      </c>
      <c r="R29" s="435" t="str">
        <f>IF(ROW()-25&gt;$B$5,"",IFERROR(MATCH(LARGE($V$3:$V$206,ROW()-25),$V$3:$V$206,0)+2,""))</f>
        <v/>
      </c>
      <c r="T29" s="435" t="str">
        <f>IF(AND(分析!$C29&lt;&gt;"",分析!$C29&lt;&gt;"TOPX",分析!$AD29=$B$8,N(分析!$T29)&gt;=$B$7,N(分析!$O29)&gt;=$B$9),N(分析!$T29)*10000+MIN(N(分析!$O29),99)*100-ROW(),"")</f>
        <v/>
      </c>
      <c r="V29" s="435" t="str">
        <f>IF(AND(売分析!$C29&lt;&gt;"",売分析!$C29&lt;&gt;"TOPX",売分析!$AD29=$B$12,N(売分析!$T29)&gt;=$B$11,N(売分析!$O29)&gt;=$B$13),N(売分析!$T29)*10000+MIN(N(売分析!$O29),99)*100-ROW(),"")</f>
        <v/>
      </c>
      <c r="AC29"/>
      <c r="AD29"/>
      <c r="AE29"/>
      <c r="AF29"/>
      <c r="AG29"/>
      <c r="AH29"/>
      <c r="AI29"/>
      <c r="AJ29"/>
      <c r="AK29"/>
      <c r="AL29"/>
      <c r="AM29"/>
      <c r="AN29"/>
      <c r="AO29"/>
      <c r="AP29"/>
      <c r="AQ29"/>
      <c r="AR29"/>
      <c r="AS29"/>
      <c r="AT29"/>
      <c r="AU29"/>
      <c r="AV29"/>
      <c r="AW29"/>
      <c r="AX29"/>
      <c r="AY29"/>
      <c r="AZ29"/>
    </row>
    <row r="30" spans="1:52" s="435" customFormat="1" ht="19.2">
      <c r="A30" s="579" t="str">
        <f>IF($R30="","",ROW()-25)</f>
        <v/>
      </c>
      <c r="B30" s="580" t="str" cm="1">
        <f t="array" ref="B30">IF($R30="","",INDEX(売分析!$C:$C,$R30))</f>
        <v/>
      </c>
      <c r="C30" s="580" t="str" cm="1">
        <f t="array" ref="C30">IF($R30="","",INDEX(売分析!$D:$D,$R30))</f>
        <v/>
      </c>
      <c r="D30" s="581" t="str" cm="1">
        <f t="array" ref="D30">IF($R30="","",INDEX(売分析!$E:$E,$R30))</f>
        <v/>
      </c>
      <c r="E30" s="582" t="str" cm="1">
        <f t="array" ref="E30">IF($R30="","",INDEX(売分析!$T:$T,$R30))</f>
        <v/>
      </c>
      <c r="F30" s="583" t="str" cm="1">
        <f t="array" ref="F30">IF($R30="","",INDEX(売分析!$O:$O,$R30))</f>
        <v/>
      </c>
      <c r="G30" s="584" t="str" cm="1">
        <f t="array" ref="G30">IF($R30="","",INDEX(売分析!$W:$W,$R30))</f>
        <v/>
      </c>
      <c r="H30" s="580" t="str" cm="1">
        <f t="array" ref="H30">IF($R30="","",INDEX(売分析!$AD:$AD,$R30))</f>
        <v/>
      </c>
      <c r="I30" s="580" t="str" cm="1">
        <f t="array" ref="I30">IF($R30="","",INDEX(売分析!$AE:$AE,$R30))</f>
        <v/>
      </c>
      <c r="J30" s="585" t="str" cm="1">
        <f t="array" ref="J30">IF($R30="","",INDEX(売分析!$Z:$Z,$R30))</f>
        <v/>
      </c>
      <c r="K30" s="581" t="str" cm="1">
        <f t="array" ref="K30">IF($R30="","",INDEX(売分析!$R:$R,$R30))</f>
        <v/>
      </c>
      <c r="L30" s="581" t="str" cm="1">
        <f t="array" ref="L30">IF($R30="","",INDEX(売分析!$S:$S,$R30))</f>
        <v/>
      </c>
      <c r="M30" s="586" t="str" cm="1">
        <f t="array" ref="M30">IF($R30="","",INDEX(売分析!$Y:$Y,$R30))</f>
        <v/>
      </c>
      <c r="R30" s="435" t="str">
        <f>IF(ROW()-25&gt;$B$5,"",IFERROR(MATCH(LARGE($V$3:$V$206,ROW()-25),$V$3:$V$206,0)+2,""))</f>
        <v/>
      </c>
      <c r="T30" s="435" t="str">
        <f>IF(AND(分析!$C30&lt;&gt;"",分析!$C30&lt;&gt;"TOPX",分析!$AD30=$B$8,N(分析!$T30)&gt;=$B$7,N(分析!$O30)&gt;=$B$9),N(分析!$T30)*10000+MIN(N(分析!$O30),99)*100-ROW(),"")</f>
        <v/>
      </c>
      <c r="V30" s="435" t="str">
        <f>IF(AND(売分析!$C30&lt;&gt;"",売分析!$C30&lt;&gt;"TOPX",売分析!$AD30=$B$12,N(売分析!$T30)&gt;=$B$11,N(売分析!$O30)&gt;=$B$13),N(売分析!$T30)*10000+MIN(N(売分析!$O30),99)*100-ROW(),"")</f>
        <v/>
      </c>
      <c r="AC30"/>
      <c r="AD30"/>
      <c r="AE30"/>
      <c r="AF30"/>
      <c r="AG30"/>
      <c r="AH30"/>
      <c r="AI30"/>
      <c r="AJ30"/>
      <c r="AK30"/>
      <c r="AL30"/>
      <c r="AM30"/>
      <c r="AN30"/>
      <c r="AO30"/>
      <c r="AP30"/>
      <c r="AQ30"/>
      <c r="AR30"/>
      <c r="AS30"/>
      <c r="AT30"/>
      <c r="AU30"/>
      <c r="AV30"/>
      <c r="AW30"/>
      <c r="AX30"/>
      <c r="AY30"/>
      <c r="AZ30"/>
    </row>
    <row r="31" spans="1:52" s="435" customFormat="1" ht="19.2">
      <c r="T31" s="435" t="str">
        <f>IF(AND(分析!$C31&lt;&gt;"",分析!$C31&lt;&gt;"TOPX",分析!$AD31=$B$8,N(分析!$T31)&gt;=$B$7,N(分析!$O31)&gt;=$B$9),N(分析!$T31)*10000+MIN(N(分析!$O31),99)*100-ROW(),"")</f>
        <v/>
      </c>
      <c r="V31" s="435" t="str">
        <f>IF(AND(売分析!$C31&lt;&gt;"",売分析!$C31&lt;&gt;"TOPX",売分析!$AD31=$B$12,N(売分析!$T31)&gt;=$B$11,N(売分析!$O31)&gt;=$B$13),N(売分析!$T31)*10000+MIN(N(売分析!$O31),99)*100-ROW(),"")</f>
        <v/>
      </c>
      <c r="AC31"/>
      <c r="AD31"/>
      <c r="AE31"/>
      <c r="AF31"/>
      <c r="AG31"/>
      <c r="AH31"/>
      <c r="AI31"/>
      <c r="AJ31"/>
      <c r="AK31"/>
      <c r="AL31"/>
      <c r="AM31"/>
      <c r="AN31"/>
      <c r="AO31"/>
      <c r="AP31"/>
      <c r="AQ31"/>
      <c r="AR31"/>
      <c r="AS31"/>
      <c r="AT31"/>
      <c r="AU31"/>
      <c r="AV31"/>
      <c r="AW31"/>
      <c r="AX31"/>
      <c r="AY31"/>
      <c r="AZ31"/>
    </row>
    <row r="32" spans="1:52" s="435" customFormat="1" ht="19.2">
      <c r="A32" s="564" t="s">
        <v>1250</v>
      </c>
      <c r="T32" s="435" t="str">
        <f>IF(AND(分析!$C32&lt;&gt;"",分析!$C32&lt;&gt;"TOPX",分析!$AD32=$B$8,N(分析!$T32)&gt;=$B$7,N(分析!$O32)&gt;=$B$9),N(分析!$T32)*10000+MIN(N(分析!$O32),99)*100-ROW(),"")</f>
        <v/>
      </c>
      <c r="V32" s="435" t="str">
        <f>IF(AND(売分析!$C32&lt;&gt;"",売分析!$C32&lt;&gt;"TOPX",売分析!$AD32=$B$12,N(売分析!$T32)&gt;=$B$11,N(売分析!$O32)&gt;=$B$13),N(売分析!$T32)*10000+MIN(N(売分析!$O32),99)*100-ROW(),"")</f>
        <v/>
      </c>
      <c r="AC32"/>
      <c r="AD32"/>
      <c r="AE32"/>
      <c r="AF32"/>
      <c r="AG32"/>
      <c r="AH32"/>
      <c r="AI32"/>
      <c r="AJ32"/>
      <c r="AK32"/>
      <c r="AL32"/>
      <c r="AM32"/>
      <c r="AN32"/>
      <c r="AO32"/>
      <c r="AP32"/>
      <c r="AQ32"/>
      <c r="AR32"/>
      <c r="AS32"/>
      <c r="AT32"/>
      <c r="AU32"/>
      <c r="AV32"/>
      <c r="AW32"/>
      <c r="AX32"/>
      <c r="AY32"/>
      <c r="AZ32"/>
    </row>
    <row r="33" spans="1:52" s="435" customFormat="1" ht="19.2">
      <c r="A33" s="563" t="s">
        <v>1251</v>
      </c>
      <c r="T33" s="435" t="str">
        <f>IF(AND(分析!$C33&lt;&gt;"",分析!$C33&lt;&gt;"TOPX",分析!$AD33=$B$8,N(分析!$T33)&gt;=$B$7,N(分析!$O33)&gt;=$B$9),N(分析!$T33)*10000+MIN(N(分析!$O33),99)*100-ROW(),"")</f>
        <v/>
      </c>
      <c r="V33" s="435" t="str">
        <f>IF(AND(売分析!$C33&lt;&gt;"",売分析!$C33&lt;&gt;"TOPX",売分析!$AD33=$B$12,N(売分析!$T33)&gt;=$B$11,N(売分析!$O33)&gt;=$B$13),N(売分析!$T33)*10000+MIN(N(売分析!$O33),99)*100-ROW(),"")</f>
        <v/>
      </c>
      <c r="AC33"/>
      <c r="AD33"/>
      <c r="AE33"/>
      <c r="AF33"/>
      <c r="AG33"/>
      <c r="AH33"/>
      <c r="AI33"/>
      <c r="AJ33"/>
      <c r="AK33"/>
      <c r="AL33"/>
      <c r="AM33"/>
      <c r="AN33"/>
      <c r="AO33"/>
      <c r="AP33"/>
      <c r="AQ33"/>
      <c r="AR33"/>
      <c r="AS33"/>
      <c r="AT33"/>
      <c r="AU33"/>
      <c r="AV33"/>
      <c r="AW33"/>
      <c r="AX33"/>
      <c r="AY33"/>
      <c r="AZ33"/>
    </row>
    <row r="34" spans="1:52" s="435" customFormat="1" ht="19.2">
      <c r="A34" s="563" t="s">
        <v>1252</v>
      </c>
      <c r="T34" s="435" t="str">
        <f>IF(AND(分析!$C34&lt;&gt;"",分析!$C34&lt;&gt;"TOPX",分析!$AD34=$B$8,N(分析!$T34)&gt;=$B$7,N(分析!$O34)&gt;=$B$9),N(分析!$T34)*10000+MIN(N(分析!$O34),99)*100-ROW(),"")</f>
        <v/>
      </c>
      <c r="V34" s="435" t="str">
        <f>IF(AND(売分析!$C34&lt;&gt;"",売分析!$C34&lt;&gt;"TOPX",売分析!$AD34=$B$12,N(売分析!$T34)&gt;=$B$11,N(売分析!$O34)&gt;=$B$13),N(売分析!$T34)*10000+MIN(N(売分析!$O34),99)*100-ROW(),"")</f>
        <v/>
      </c>
      <c r="AC34"/>
      <c r="AD34"/>
      <c r="AE34"/>
      <c r="AF34"/>
      <c r="AG34"/>
      <c r="AH34"/>
      <c r="AI34"/>
      <c r="AJ34"/>
      <c r="AK34"/>
      <c r="AL34"/>
      <c r="AM34"/>
      <c r="AN34"/>
      <c r="AO34"/>
      <c r="AP34"/>
      <c r="AQ34"/>
      <c r="AR34"/>
      <c r="AS34"/>
      <c r="AT34"/>
      <c r="AU34"/>
      <c r="AV34"/>
      <c r="AW34"/>
      <c r="AX34"/>
      <c r="AY34"/>
      <c r="AZ34"/>
    </row>
    <row r="35" spans="1:52" s="435" customFormat="1" ht="19.2">
      <c r="A35" s="563" t="s">
        <v>1253</v>
      </c>
      <c r="T35" s="435" t="str">
        <f>IF(AND(分析!$C35&lt;&gt;"",分析!$C35&lt;&gt;"TOPX",分析!$AD35=$B$8,N(分析!$T35)&gt;=$B$7,N(分析!$O35)&gt;=$B$9),N(分析!$T35)*10000+MIN(N(分析!$O35),99)*100-ROW(),"")</f>
        <v/>
      </c>
      <c r="V35" s="435" t="str">
        <f>IF(AND(売分析!$C35&lt;&gt;"",売分析!$C35&lt;&gt;"TOPX",売分析!$AD35=$B$12,N(売分析!$T35)&gt;=$B$11,N(売分析!$O35)&gt;=$B$13),N(売分析!$T35)*10000+MIN(N(売分析!$O35),99)*100-ROW(),"")</f>
        <v/>
      </c>
      <c r="AC35"/>
      <c r="AD35"/>
      <c r="AE35"/>
      <c r="AF35"/>
      <c r="AG35"/>
      <c r="AH35"/>
      <c r="AI35"/>
      <c r="AJ35"/>
      <c r="AK35"/>
      <c r="AL35"/>
      <c r="AM35"/>
      <c r="AN35"/>
      <c r="AO35"/>
      <c r="AP35"/>
      <c r="AQ35"/>
      <c r="AR35"/>
      <c r="AS35"/>
      <c r="AT35"/>
      <c r="AU35"/>
      <c r="AV35"/>
      <c r="AW35"/>
      <c r="AX35"/>
      <c r="AY35"/>
      <c r="AZ35"/>
    </row>
    <row r="36" spans="1:52" s="435" customFormat="1" ht="19.2">
      <c r="A36" s="563" t="s">
        <v>1254</v>
      </c>
      <c r="T36" s="435" t="str">
        <f>IF(AND(分析!$C36&lt;&gt;"",分析!$C36&lt;&gt;"TOPX",分析!$AD36=$B$8,N(分析!$T36)&gt;=$B$7,N(分析!$O36)&gt;=$B$9),N(分析!$T36)*10000+MIN(N(分析!$O36),99)*100-ROW(),"")</f>
        <v/>
      </c>
      <c r="V36" s="435" t="str">
        <f>IF(AND(売分析!$C36&lt;&gt;"",売分析!$C36&lt;&gt;"TOPX",売分析!$AD36=$B$12,N(売分析!$T36)&gt;=$B$11,N(売分析!$O36)&gt;=$B$13),N(売分析!$T36)*10000+MIN(N(売分析!$O36),99)*100-ROW(),"")</f>
        <v/>
      </c>
      <c r="AC36"/>
      <c r="AD36"/>
      <c r="AE36"/>
      <c r="AF36"/>
      <c r="AG36"/>
      <c r="AH36"/>
      <c r="AI36"/>
      <c r="AJ36"/>
      <c r="AK36"/>
      <c r="AL36"/>
      <c r="AM36"/>
      <c r="AN36"/>
      <c r="AO36"/>
      <c r="AP36"/>
      <c r="AQ36"/>
      <c r="AR36"/>
      <c r="AS36"/>
      <c r="AT36"/>
      <c r="AU36"/>
      <c r="AV36"/>
      <c r="AW36"/>
      <c r="AX36"/>
      <c r="AY36"/>
      <c r="AZ36"/>
    </row>
    <row r="37" spans="1:52" s="435" customFormat="1" ht="19.2">
      <c r="A37" s="563" t="s">
        <v>1255</v>
      </c>
      <c r="T37" s="435" t="str">
        <f>IF(AND(分析!$C37&lt;&gt;"",分析!$C37&lt;&gt;"TOPX",分析!$AD37=$B$8,N(分析!$T37)&gt;=$B$7,N(分析!$O37)&gt;=$B$9),N(分析!$T37)*10000+MIN(N(分析!$O37),99)*100-ROW(),"")</f>
        <v/>
      </c>
      <c r="V37" s="435" t="str">
        <f>IF(AND(売分析!$C37&lt;&gt;"",売分析!$C37&lt;&gt;"TOPX",売分析!$AD37=$B$12,N(売分析!$T37)&gt;=$B$11,N(売分析!$O37)&gt;=$B$13),N(売分析!$T37)*10000+MIN(N(売分析!$O37),99)*100-ROW(),"")</f>
        <v/>
      </c>
      <c r="AC37"/>
      <c r="AD37"/>
      <c r="AE37"/>
      <c r="AF37"/>
      <c r="AG37"/>
      <c r="AH37"/>
      <c r="AI37"/>
      <c r="AJ37"/>
      <c r="AK37"/>
      <c r="AL37"/>
      <c r="AM37"/>
      <c r="AN37"/>
      <c r="AO37"/>
      <c r="AP37"/>
      <c r="AQ37"/>
      <c r="AR37"/>
      <c r="AS37"/>
      <c r="AT37"/>
      <c r="AU37"/>
      <c r="AV37"/>
      <c r="AW37"/>
      <c r="AX37"/>
      <c r="AY37"/>
      <c r="AZ37"/>
    </row>
    <row r="38" spans="1:52" s="435" customFormat="1" ht="19.2">
      <c r="T38" s="435" t="str">
        <f>IF(AND(分析!$C38&lt;&gt;"",分析!$C38&lt;&gt;"TOPX",分析!$AD38=$B$8,N(分析!$T38)&gt;=$B$7,N(分析!$O38)&gt;=$B$9),N(分析!$T38)*10000+MIN(N(分析!$O38),99)*100-ROW(),"")</f>
        <v/>
      </c>
      <c r="V38" s="435" t="str">
        <f>IF(AND(売分析!$C38&lt;&gt;"",売分析!$C38&lt;&gt;"TOPX",売分析!$AD38=$B$12,N(売分析!$T38)&gt;=$B$11,N(売分析!$O38)&gt;=$B$13),N(売分析!$T38)*10000+MIN(N(売分析!$O38),99)*100-ROW(),"")</f>
        <v/>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t="str">
        <f>IF(AND(分析!$C39&lt;&gt;"",分析!$C39&lt;&gt;"TOPX",分析!$AD39=$B$8,N(分析!$T39)&gt;=$B$7,N(分析!$O39)&gt;=$B$9),N(分析!$T39)*10000+MIN(N(分析!$O39),99)*100-ROW(),"")</f>
        <v/>
      </c>
      <c r="U39"/>
      <c r="V39" t="str">
        <f>IF(AND(売分析!$C39&lt;&gt;"",売分析!$C39&lt;&gt;"TOPX",売分析!$AD39=$B$12,N(売分析!$T39)&gt;=$B$11,N(売分析!$O39)&gt;=$B$13),N(売分析!$T39)*10000+MIN(N(売分析!$O39),99)*100-ROW(),"")</f>
        <v/>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IF(AND(分析!$C40&lt;&gt;"",分析!$C40&lt;&gt;"TOPX",分析!$AD40=$B$8,N(分析!$T40)&gt;=$B$7,N(分析!$O40)&gt;=$B$9),N(分析!$T40)*10000+MIN(N(分析!$O40),99)*100-ROW(),"")</f>
        <v/>
      </c>
      <c r="U40"/>
      <c r="V40" t="str">
        <f>IF(AND(売分析!$C40&lt;&gt;"",売分析!$C40&lt;&gt;"TOPX",売分析!$AD40=$B$12,N(売分析!$T40)&gt;=$B$11,N(売分析!$O40)&gt;=$B$13),N(売分析!$T40)*10000+MIN(N(売分析!$O40),99)*100-ROW(),"")</f>
        <v/>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IF(AND(分析!$C41&lt;&gt;"",分析!$C41&lt;&gt;"TOPX",分析!$AD41=$B$8,N(分析!$T41)&gt;=$B$7,N(分析!$O41)&gt;=$B$9),N(分析!$T41)*10000+MIN(N(分析!$O41),99)*100-ROW(),"")</f>
        <v/>
      </c>
      <c r="U41"/>
      <c r="V41" t="str">
        <f>IF(AND(売分析!$C41&lt;&gt;"",売分析!$C41&lt;&gt;"TOPX",売分析!$AD41=$B$12,N(売分析!$T41)&gt;=$B$11,N(売分析!$O41)&gt;=$B$13),N(売分析!$T41)*10000+MIN(N(売分析!$O41),99)*100-ROW(),"")</f>
        <v/>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IF(AND(分析!$C42&lt;&gt;"",分析!$C42&lt;&gt;"TOPX",分析!$AD42=$B$8,N(分析!$T42)&gt;=$B$7,N(分析!$O42)&gt;=$B$9),N(分析!$T42)*10000+MIN(N(分析!$O42),99)*100-ROW(),"")</f>
        <v/>
      </c>
      <c r="U42"/>
      <c r="V42" t="str">
        <f>IF(AND(売分析!$C42&lt;&gt;"",売分析!$C42&lt;&gt;"TOPX",売分析!$AD42=$B$12,N(売分析!$T42)&gt;=$B$11,N(売分析!$O42)&gt;=$B$13),N(売分析!$T42)*10000+MIN(N(売分析!$O42),99)*100-ROW(),"")</f>
        <v/>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IF(AND(分析!$C43&lt;&gt;"",分析!$C43&lt;&gt;"TOPX",分析!$AD43=$B$8,N(分析!$T43)&gt;=$B$7,N(分析!$O43)&gt;=$B$9),N(分析!$T43)*10000+MIN(N(分析!$O43),99)*100-ROW(),"")</f>
        <v/>
      </c>
      <c r="U43"/>
      <c r="V43" t="str">
        <f>IF(AND(売分析!$C43&lt;&gt;"",売分析!$C43&lt;&gt;"TOPX",売分析!$AD43=$B$12,N(売分析!$T43)&gt;=$B$11,N(売分析!$O43)&gt;=$B$13),N(売分析!$T43)*10000+MIN(N(売分析!$O43),99)*100-ROW(),"")</f>
        <v/>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IF(AND(分析!$C44&lt;&gt;"",分析!$C44&lt;&gt;"TOPX",分析!$AD44=$B$8,N(分析!$T44)&gt;=$B$7,N(分析!$O44)&gt;=$B$9),N(分析!$T44)*10000+MIN(N(分析!$O44),99)*100-ROW(),"")</f>
        <v/>
      </c>
      <c r="U44"/>
      <c r="V44" t="str">
        <f>IF(AND(売分析!$C44&lt;&gt;"",売分析!$C44&lt;&gt;"TOPX",売分析!$AD44=$B$12,N(売分析!$T44)&gt;=$B$11,N(売分析!$O44)&gt;=$B$13),N(売分析!$T44)*10000+MIN(N(売分析!$O44),99)*100-ROW(),"")</f>
        <v/>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IF(AND(分析!$C45&lt;&gt;"",分析!$C45&lt;&gt;"TOPX",分析!$AD45=$B$8,N(分析!$T45)&gt;=$B$7,N(分析!$O45)&gt;=$B$9),N(分析!$T45)*10000+MIN(N(分析!$O45),99)*100-ROW(),"")</f>
        <v/>
      </c>
      <c r="U45"/>
      <c r="V45" t="str">
        <f>IF(AND(売分析!$C45&lt;&gt;"",売分析!$C45&lt;&gt;"TOPX",売分析!$AD45=$B$12,N(売分析!$T45)&gt;=$B$11,N(売分析!$O45)&gt;=$B$13),N(売分析!$T45)*10000+MIN(N(売分析!$O45),99)*100-ROW(),"")</f>
        <v/>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t="str">
        <f>IF(AND(分析!$C46&lt;&gt;"",分析!$C46&lt;&gt;"TOPX",分析!$AD46=$B$8,N(分析!$T46)&gt;=$B$7,N(分析!$O46)&gt;=$B$9),N(分析!$T46)*10000+MIN(N(分析!$O46),99)*100-ROW(),"")</f>
        <v/>
      </c>
      <c r="U46"/>
      <c r="V46" t="str">
        <f>IF(AND(売分析!$C46&lt;&gt;"",売分析!$C46&lt;&gt;"TOPX",売分析!$AD46=$B$12,N(売分析!$T46)&gt;=$B$11,N(売分析!$O46)&gt;=$B$13),N(売分析!$T46)*10000+MIN(N(売分析!$O46),99)*100-ROW(),"")</f>
        <v/>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IF(AND(分析!$C47&lt;&gt;"",分析!$C47&lt;&gt;"TOPX",分析!$AD47=$B$8,N(分析!$T47)&gt;=$B$7,N(分析!$O47)&gt;=$B$9),N(分析!$T47)*10000+MIN(N(分析!$O47),99)*100-ROW(),"")</f>
        <v/>
      </c>
      <c r="U47"/>
      <c r="V47" t="str">
        <f>IF(AND(売分析!$C47&lt;&gt;"",売分析!$C47&lt;&gt;"TOPX",売分析!$AD47=$B$12,N(売分析!$T47)&gt;=$B$11,N(売分析!$O47)&gt;=$B$13),N(売分析!$T47)*10000+MIN(N(売分析!$O47),99)*100-ROW(),"")</f>
        <v/>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IF(AND(分析!$C48&lt;&gt;"",分析!$C48&lt;&gt;"TOPX",分析!$AD48=$B$8,N(分析!$T48)&gt;=$B$7,N(分析!$O48)&gt;=$B$9),N(分析!$T48)*10000+MIN(N(分析!$O48),99)*100-ROW(),"")</f>
        <v/>
      </c>
      <c r="U48"/>
      <c r="V48" t="str">
        <f>IF(AND(売分析!$C48&lt;&gt;"",売分析!$C48&lt;&gt;"TOPX",売分析!$AD48=$B$12,N(売分析!$T48)&gt;=$B$11,N(売分析!$O48)&gt;=$B$13),N(売分析!$T48)*10000+MIN(N(売分析!$O48),99)*100-ROW(),"")</f>
        <v/>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IF(AND(分析!$C49&lt;&gt;"",分析!$C49&lt;&gt;"TOPX",分析!$AD49=$B$8,N(分析!$T49)&gt;=$B$7,N(分析!$O49)&gt;=$B$9),N(分析!$T49)*10000+MIN(N(分析!$O49),99)*100-ROW(),"")</f>
        <v/>
      </c>
      <c r="U49"/>
      <c r="V49" t="str">
        <f>IF(AND(売分析!$C49&lt;&gt;"",売分析!$C49&lt;&gt;"TOPX",売分析!$AD49=$B$12,N(売分析!$T49)&gt;=$B$11,N(売分析!$O49)&gt;=$B$13),N(売分析!$T49)*10000+MIN(N(売分析!$O49),99)*100-ROW(),"")</f>
        <v/>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IF(AND(分析!$C50&lt;&gt;"",分析!$C50&lt;&gt;"TOPX",分析!$AD50=$B$8,N(分析!$T50)&gt;=$B$7,N(分析!$O50)&gt;=$B$9),N(分析!$T50)*10000+MIN(N(分析!$O50),99)*100-ROW(),"")</f>
        <v/>
      </c>
      <c r="U50"/>
      <c r="V50" t="str">
        <f>IF(AND(売分析!$C50&lt;&gt;"",売分析!$C50&lt;&gt;"TOPX",売分析!$AD50=$B$12,N(売分析!$T50)&gt;=$B$11,N(売分析!$O50)&gt;=$B$13),N(売分析!$T50)*10000+MIN(N(売分析!$O50),99)*100-ROW(),"")</f>
        <v/>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IF(AND(分析!$C51&lt;&gt;"",分析!$C51&lt;&gt;"TOPX",分析!$AD51=$B$8,N(分析!$T51)&gt;=$B$7,N(分析!$O51)&gt;=$B$9),N(分析!$T51)*10000+MIN(N(分析!$O51),99)*100-ROW(),"")</f>
        <v/>
      </c>
      <c r="U51"/>
      <c r="V51" t="str">
        <f>IF(AND(売分析!$C51&lt;&gt;"",売分析!$C51&lt;&gt;"TOPX",売分析!$AD51=$B$12,N(売分析!$T51)&gt;=$B$11,N(売分析!$O51)&gt;=$B$13),N(売分析!$T51)*10000+MIN(N(売分析!$O51),99)*100-ROW(),"")</f>
        <v/>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IF(AND(分析!$C52&lt;&gt;"",分析!$C52&lt;&gt;"TOPX",分析!$AD52=$B$8,N(分析!$T52)&gt;=$B$7,N(分析!$O52)&gt;=$B$9),N(分析!$T52)*10000+MIN(N(分析!$O52),99)*100-ROW(),"")</f>
        <v/>
      </c>
      <c r="U52"/>
      <c r="V52" t="str">
        <f>IF(AND(売分析!$C52&lt;&gt;"",売分析!$C52&lt;&gt;"TOPX",売分析!$AD52=$B$12,N(売分析!$T52)&gt;=$B$11,N(売分析!$O52)&gt;=$B$13),N(売分析!$T52)*10000+MIN(N(売分析!$O52),99)*100-ROW(),"")</f>
        <v/>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IF(AND(分析!$C53&lt;&gt;"",分析!$C53&lt;&gt;"TOPX",分析!$AD53=$B$8,N(分析!$T53)&gt;=$B$7,N(分析!$O53)&gt;=$B$9),N(分析!$T53)*10000+MIN(N(分析!$O53),99)*100-ROW(),"")</f>
        <v/>
      </c>
      <c r="U53"/>
      <c r="V53" t="str">
        <f>IF(AND(売分析!$C53&lt;&gt;"",売分析!$C53&lt;&gt;"TOPX",売分析!$AD53=$B$12,N(売分析!$T53)&gt;=$B$11,N(売分析!$O53)&gt;=$B$13),N(売分析!$T53)*10000+MIN(N(売分析!$O53),99)*100-ROW(),"")</f>
        <v/>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IF(AND(分析!$C54&lt;&gt;"",分析!$C54&lt;&gt;"TOPX",分析!$AD54=$B$8,N(分析!$T54)&gt;=$B$7,N(分析!$O54)&gt;=$B$9),N(分析!$T54)*10000+MIN(N(分析!$O54),99)*100-ROW(),"")</f>
        <v/>
      </c>
      <c r="U54"/>
      <c r="V54" t="str">
        <f>IF(AND(売分析!$C54&lt;&gt;"",売分析!$C54&lt;&gt;"TOPX",売分析!$AD54=$B$12,N(売分析!$T54)&gt;=$B$11,N(売分析!$O54)&gt;=$B$13),N(売分析!$T54)*10000+MIN(N(売分析!$O54),99)*100-ROW(),"")</f>
        <v/>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IF(AND(分析!$C55&lt;&gt;"",分析!$C55&lt;&gt;"TOPX",分析!$AD55=$B$8,N(分析!$T55)&gt;=$B$7,N(分析!$O55)&gt;=$B$9),N(分析!$T55)*10000+MIN(N(分析!$O55),99)*100-ROW(),"")</f>
        <v/>
      </c>
      <c r="U55"/>
      <c r="V55" t="str">
        <f>IF(AND(売分析!$C55&lt;&gt;"",売分析!$C55&lt;&gt;"TOPX",売分析!$AD55=$B$12,N(売分析!$T55)&gt;=$B$11,N(売分析!$O55)&gt;=$B$13),N(売分析!$T55)*10000+MIN(N(売分析!$O55),99)*100-ROW(),"")</f>
        <v/>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IF(AND(分析!$C56&lt;&gt;"",分析!$C56&lt;&gt;"TOPX",分析!$AD56=$B$8,N(分析!$T56)&gt;=$B$7,N(分析!$O56)&gt;=$B$9),N(分析!$T56)*10000+MIN(N(分析!$O56),99)*100-ROW(),"")</f>
        <v/>
      </c>
      <c r="U56"/>
      <c r="V56" t="str">
        <f>IF(AND(売分析!$C56&lt;&gt;"",売分析!$C56&lt;&gt;"TOPX",売分析!$AD56=$B$12,N(売分析!$T56)&gt;=$B$11,N(売分析!$O56)&gt;=$B$13),N(売分析!$T56)*10000+MIN(N(売分析!$O56),99)*100-ROW(),"")</f>
        <v/>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IF(AND(分析!$C57&lt;&gt;"",分析!$C57&lt;&gt;"TOPX",分析!$AD57=$B$8,N(分析!$T57)&gt;=$B$7,N(分析!$O57)&gt;=$B$9),N(分析!$T57)*10000+MIN(N(分析!$O57),99)*100-ROW(),"")</f>
        <v/>
      </c>
      <c r="U57"/>
      <c r="V57" t="str">
        <f>IF(AND(売分析!$C57&lt;&gt;"",売分析!$C57&lt;&gt;"TOPX",売分析!$AD57=$B$12,N(売分析!$T57)&gt;=$B$11,N(売分析!$O57)&gt;=$B$13),N(売分析!$T57)*10000+MIN(N(売分析!$O57),99)*100-ROW(),"")</f>
        <v/>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IF(AND(分析!$C58&lt;&gt;"",分析!$C58&lt;&gt;"TOPX",分析!$AD58=$B$8,N(分析!$T58)&gt;=$B$7,N(分析!$O58)&gt;=$B$9),N(分析!$T58)*10000+MIN(N(分析!$O58),99)*100-ROW(),"")</f>
        <v/>
      </c>
      <c r="U58"/>
      <c r="V58" t="str">
        <f>IF(AND(売分析!$C58&lt;&gt;"",売分析!$C58&lt;&gt;"TOPX",売分析!$AD58=$B$12,N(売分析!$T58)&gt;=$B$11,N(売分析!$O58)&gt;=$B$13),N(売分析!$T58)*10000+MIN(N(売分析!$O58),99)*100-ROW(),"")</f>
        <v/>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IF(AND(分析!$C59&lt;&gt;"",分析!$C59&lt;&gt;"TOPX",分析!$AD59=$B$8,N(分析!$T59)&gt;=$B$7,N(分析!$O59)&gt;=$B$9),N(分析!$T59)*10000+MIN(N(分析!$O59),99)*100-ROW(),"")</f>
        <v/>
      </c>
      <c r="U59"/>
      <c r="V59" t="str">
        <f>IF(AND(売分析!$C59&lt;&gt;"",売分析!$C59&lt;&gt;"TOPX",売分析!$AD59=$B$12,N(売分析!$T59)&gt;=$B$11,N(売分析!$O59)&gt;=$B$13),N(売分析!$T59)*10000+MIN(N(売分析!$O59),99)*100-ROW(),"")</f>
        <v/>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IF(AND(分析!$C60&lt;&gt;"",分析!$C60&lt;&gt;"TOPX",分析!$AD60=$B$8,N(分析!$T60)&gt;=$B$7,N(分析!$O60)&gt;=$B$9),N(分析!$T60)*10000+MIN(N(分析!$O60),99)*100-ROW(),"")</f>
        <v/>
      </c>
      <c r="U60"/>
      <c r="V60" t="str">
        <f>IF(AND(売分析!$C60&lt;&gt;"",売分析!$C60&lt;&gt;"TOPX",売分析!$AD60=$B$12,N(売分析!$T60)&gt;=$B$11,N(売分析!$O60)&gt;=$B$13),N(売分析!$T60)*10000+MIN(N(売分析!$O60),99)*100-ROW(),"")</f>
        <v/>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t="str">
        <f>IF(AND(分析!$C61&lt;&gt;"",分析!$C61&lt;&gt;"TOPX",分析!$AD61=$B$8,N(分析!$T61)&gt;=$B$7,N(分析!$O61)&gt;=$B$9),N(分析!$T61)*10000+MIN(N(分析!$O61),99)*100-ROW(),"")</f>
        <v/>
      </c>
      <c r="U61"/>
      <c r="V61" t="str">
        <f>IF(AND(売分析!$C61&lt;&gt;"",売分析!$C61&lt;&gt;"TOPX",売分析!$AD61=$B$12,N(売分析!$T61)&gt;=$B$11,N(売分析!$O61)&gt;=$B$13),N(売分析!$T61)*10000+MIN(N(売分析!$O61),99)*100-ROW(),"")</f>
        <v/>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IF(AND(分析!$C62&lt;&gt;"",分析!$C62&lt;&gt;"TOPX",分析!$AD62=$B$8,N(分析!$T62)&gt;=$B$7,N(分析!$O62)&gt;=$B$9),N(分析!$T62)*10000+MIN(N(分析!$O62),99)*100-ROW(),"")</f>
        <v/>
      </c>
      <c r="U62"/>
      <c r="V62" t="str">
        <f>IF(AND(売分析!$C62&lt;&gt;"",売分析!$C62&lt;&gt;"TOPX",売分析!$AD62=$B$12,N(売分析!$T62)&gt;=$B$11,N(売分析!$O62)&gt;=$B$13),N(売分析!$T62)*10000+MIN(N(売分析!$O62),99)*100-ROW(),"")</f>
        <v/>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IF(AND(分析!$C63&lt;&gt;"",分析!$C63&lt;&gt;"TOPX",分析!$AD63=$B$8,N(分析!$T63)&gt;=$B$7,N(分析!$O63)&gt;=$B$9),N(分析!$T63)*10000+MIN(N(分析!$O63),99)*100-ROW(),"")</f>
        <v/>
      </c>
      <c r="U63"/>
      <c r="V63" t="str">
        <f>IF(AND(売分析!$C63&lt;&gt;"",売分析!$C63&lt;&gt;"TOPX",売分析!$AD63=$B$12,N(売分析!$T63)&gt;=$B$11,N(売分析!$O63)&gt;=$B$13),N(売分析!$T63)*10000+MIN(N(売分析!$O63),99)*100-ROW(),"")</f>
        <v/>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IF(AND(分析!$C64&lt;&gt;"",分析!$C64&lt;&gt;"TOPX",分析!$AD64=$B$8,N(分析!$T64)&gt;=$B$7,N(分析!$O64)&gt;=$B$9),N(分析!$T64)*10000+MIN(N(分析!$O64),99)*100-ROW(),"")</f>
        <v/>
      </c>
      <c r="U64"/>
      <c r="V64" t="str">
        <f>IF(AND(売分析!$C64&lt;&gt;"",売分析!$C64&lt;&gt;"TOPX",売分析!$AD64=$B$12,N(売分析!$T64)&gt;=$B$11,N(売分析!$O64)&gt;=$B$13),N(売分析!$T64)*10000+MIN(N(売分析!$O64),99)*100-ROW(),"")</f>
        <v/>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IF(AND(分析!$C65&lt;&gt;"",分析!$C65&lt;&gt;"TOPX",分析!$AD65=$B$8,N(分析!$T65)&gt;=$B$7,N(分析!$O65)&gt;=$B$9),N(分析!$T65)*10000+MIN(N(分析!$O65),99)*100-ROW(),"")</f>
        <v/>
      </c>
      <c r="U65"/>
      <c r="V65" t="str">
        <f>IF(AND(売分析!$C65&lt;&gt;"",売分析!$C65&lt;&gt;"TOPX",売分析!$AD65=$B$12,N(売分析!$T65)&gt;=$B$11,N(売分析!$O65)&gt;=$B$13),N(売分析!$T65)*10000+MIN(N(売分析!$O65),99)*100-ROW(),"")</f>
        <v/>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IF(AND(分析!$C66&lt;&gt;"",分析!$C66&lt;&gt;"TOPX",分析!$AD66=$B$8,N(分析!$T66)&gt;=$B$7,N(分析!$O66)&gt;=$B$9),N(分析!$T66)*10000+MIN(N(分析!$O66),99)*100-ROW(),"")</f>
        <v/>
      </c>
      <c r="U66"/>
      <c r="V66" t="str">
        <f>IF(AND(売分析!$C66&lt;&gt;"",売分析!$C66&lt;&gt;"TOPX",売分析!$AD66=$B$12,N(売分析!$T66)&gt;=$B$11,N(売分析!$O66)&gt;=$B$13),N(売分析!$T66)*10000+MIN(N(売分析!$O66),99)*100-ROW(),"")</f>
        <v/>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IF(AND(分析!$C67&lt;&gt;"",分析!$C67&lt;&gt;"TOPX",分析!$AD67=$B$8,N(分析!$T67)&gt;=$B$7,N(分析!$O67)&gt;=$B$9),N(分析!$T67)*10000+MIN(N(分析!$O67),99)*100-ROW(),"")</f>
        <v/>
      </c>
      <c r="U67"/>
      <c r="V67" t="str">
        <f>IF(AND(売分析!$C67&lt;&gt;"",売分析!$C67&lt;&gt;"TOPX",売分析!$AD67=$B$12,N(売分析!$T67)&gt;=$B$11,N(売分析!$O67)&gt;=$B$13),N(売分析!$T67)*10000+MIN(N(売分析!$O67),99)*100-ROW(),"")</f>
        <v/>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IF(AND(分析!$C68&lt;&gt;"",分析!$C68&lt;&gt;"TOPX",分析!$AD68=$B$8,N(分析!$T68)&gt;=$B$7,N(分析!$O68)&gt;=$B$9),N(分析!$T68)*10000+MIN(N(分析!$O68),99)*100-ROW(),"")</f>
        <v/>
      </c>
      <c r="U68"/>
      <c r="V68" t="str">
        <f>IF(AND(売分析!$C68&lt;&gt;"",売分析!$C68&lt;&gt;"TOPX",売分析!$AD68=$B$12,N(売分析!$T68)&gt;=$B$11,N(売分析!$O68)&gt;=$B$13),N(売分析!$T68)*10000+MIN(N(売分析!$O68),99)*100-ROW(),"")</f>
        <v/>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IF(AND(分析!$C69&lt;&gt;"",分析!$C69&lt;&gt;"TOPX",分析!$AD69=$B$8,N(分析!$T69)&gt;=$B$7,N(分析!$O69)&gt;=$B$9),N(分析!$T69)*10000+MIN(N(分析!$O69),99)*100-ROW(),"")</f>
        <v/>
      </c>
      <c r="U69"/>
      <c r="V69" t="str">
        <f>IF(AND(売分析!$C69&lt;&gt;"",売分析!$C69&lt;&gt;"TOPX",売分析!$AD69=$B$12,N(売分析!$T69)&gt;=$B$11,N(売分析!$O69)&gt;=$B$13),N(売分析!$T69)*10000+MIN(N(売分析!$O69),99)*100-ROW(),"")</f>
        <v/>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IF(AND(分析!$C70&lt;&gt;"",分析!$C70&lt;&gt;"TOPX",分析!$AD70=$B$8,N(分析!$T70)&gt;=$B$7,N(分析!$O70)&gt;=$B$9),N(分析!$T70)*10000+MIN(N(分析!$O70),99)*100-ROW(),"")</f>
        <v/>
      </c>
      <c r="U70"/>
      <c r="V70" t="str">
        <f>IF(AND(売分析!$C70&lt;&gt;"",売分析!$C70&lt;&gt;"TOPX",売分析!$AD70=$B$12,N(売分析!$T70)&gt;=$B$11,N(売分析!$O70)&gt;=$B$13),N(売分析!$T70)*10000+MIN(N(売分析!$O70),99)*100-ROW(),"")</f>
        <v/>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IF(AND(分析!$C71&lt;&gt;"",分析!$C71&lt;&gt;"TOPX",分析!$AD71=$B$8,N(分析!$T71)&gt;=$B$7,N(分析!$O71)&gt;=$B$9),N(分析!$T71)*10000+MIN(N(分析!$O71),99)*100-ROW(),"")</f>
        <v/>
      </c>
      <c r="U71"/>
      <c r="V71" t="str">
        <f>IF(AND(売分析!$C71&lt;&gt;"",売分析!$C71&lt;&gt;"TOPX",売分析!$AD71=$B$12,N(売分析!$T71)&gt;=$B$11,N(売分析!$O71)&gt;=$B$13),N(売分析!$T71)*10000+MIN(N(売分析!$O71),99)*100-ROW(),"")</f>
        <v/>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IF(AND(分析!$C72&lt;&gt;"",分析!$C72&lt;&gt;"TOPX",分析!$AD72=$B$8,N(分析!$T72)&gt;=$B$7,N(分析!$O72)&gt;=$B$9),N(分析!$T72)*10000+MIN(N(分析!$O72),99)*100-ROW(),"")</f>
        <v/>
      </c>
      <c r="U72"/>
      <c r="V72" t="str">
        <f>IF(AND(売分析!$C72&lt;&gt;"",売分析!$C72&lt;&gt;"TOPX",売分析!$AD72=$B$12,N(売分析!$T72)&gt;=$B$11,N(売分析!$O72)&gt;=$B$13),N(売分析!$T72)*10000+MIN(N(売分析!$O72),99)*100-ROW(),"")</f>
        <v/>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IF(AND(分析!$C73&lt;&gt;"",分析!$C73&lt;&gt;"TOPX",分析!$AD73=$B$8,N(分析!$T73)&gt;=$B$7,N(分析!$O73)&gt;=$B$9),N(分析!$T73)*10000+MIN(N(分析!$O73),99)*100-ROW(),"")</f>
        <v/>
      </c>
      <c r="U73"/>
      <c r="V73" t="str">
        <f>IF(AND(売分析!$C73&lt;&gt;"",売分析!$C73&lt;&gt;"TOPX",売分析!$AD73=$B$12,N(売分析!$T73)&gt;=$B$11,N(売分析!$O73)&gt;=$B$13),N(売分析!$T73)*10000+MIN(N(売分析!$O73),99)*100-ROW(),"")</f>
        <v/>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IF(AND(分析!$C74&lt;&gt;"",分析!$C74&lt;&gt;"TOPX",分析!$AD74=$B$8,N(分析!$T74)&gt;=$B$7,N(分析!$O74)&gt;=$B$9),N(分析!$T74)*10000+MIN(N(分析!$O74),99)*100-ROW(),"")</f>
        <v/>
      </c>
      <c r="U74"/>
      <c r="V74" t="str">
        <f>IF(AND(売分析!$C74&lt;&gt;"",売分析!$C74&lt;&gt;"TOPX",売分析!$AD74=$B$12,N(売分析!$T74)&gt;=$B$11,N(売分析!$O74)&gt;=$B$13),N(売分析!$T74)*10000+MIN(N(売分析!$O74),99)*100-ROW(),"")</f>
        <v/>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IF(AND(分析!$C75&lt;&gt;"",分析!$C75&lt;&gt;"TOPX",分析!$AD75=$B$8,N(分析!$T75)&gt;=$B$7,N(分析!$O75)&gt;=$B$9),N(分析!$T75)*10000+MIN(N(分析!$O75),99)*100-ROW(),"")</f>
        <v/>
      </c>
      <c r="U75"/>
      <c r="V75" t="str">
        <f>IF(AND(売分析!$C75&lt;&gt;"",売分析!$C75&lt;&gt;"TOPX",売分析!$AD75=$B$12,N(売分析!$T75)&gt;=$B$11,N(売分析!$O75)&gt;=$B$13),N(売分析!$T75)*10000+MIN(N(売分析!$O75),99)*100-ROW(),"")</f>
        <v/>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IF(AND(分析!$C76&lt;&gt;"",分析!$C76&lt;&gt;"TOPX",分析!$AD76=$B$8,N(分析!$T76)&gt;=$B$7,N(分析!$O76)&gt;=$B$9),N(分析!$T76)*10000+MIN(N(分析!$O76),99)*100-ROW(),"")</f>
        <v/>
      </c>
      <c r="U76"/>
      <c r="V76" t="str">
        <f>IF(AND(売分析!$C76&lt;&gt;"",売分析!$C76&lt;&gt;"TOPX",売分析!$AD76=$B$12,N(売分析!$T76)&gt;=$B$11,N(売分析!$O76)&gt;=$B$13),N(売分析!$T76)*10000+MIN(N(売分析!$O76),99)*100-ROW(),"")</f>
        <v/>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IF(AND(分析!$C77&lt;&gt;"",分析!$C77&lt;&gt;"TOPX",分析!$AD77=$B$8,N(分析!$T77)&gt;=$B$7,N(分析!$O77)&gt;=$B$9),N(分析!$T77)*10000+MIN(N(分析!$O77),99)*100-ROW(),"")</f>
        <v/>
      </c>
      <c r="U77"/>
      <c r="V77" t="str">
        <f>IF(AND(売分析!$C77&lt;&gt;"",売分析!$C77&lt;&gt;"TOPX",売分析!$AD77=$B$12,N(売分析!$T77)&gt;=$B$11,N(売分析!$O77)&gt;=$B$13),N(売分析!$T77)*10000+MIN(N(売分析!$O77),99)*100-ROW(),"")</f>
        <v/>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IF(AND(分析!$C78&lt;&gt;"",分析!$C78&lt;&gt;"TOPX",分析!$AD78=$B$8,N(分析!$T78)&gt;=$B$7,N(分析!$O78)&gt;=$B$9),N(分析!$T78)*10000+MIN(N(分析!$O78),99)*100-ROW(),"")</f>
        <v/>
      </c>
      <c r="U78"/>
      <c r="V78" t="str">
        <f>IF(AND(売分析!$C78&lt;&gt;"",売分析!$C78&lt;&gt;"TOPX",売分析!$AD78=$B$12,N(売分析!$T78)&gt;=$B$11,N(売分析!$O78)&gt;=$B$13),N(売分析!$T78)*10000+MIN(N(売分析!$O78),99)*100-ROW(),"")</f>
        <v/>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IF(AND(分析!$C79&lt;&gt;"",分析!$C79&lt;&gt;"TOPX",分析!$AD79=$B$8,N(分析!$T79)&gt;=$B$7,N(分析!$O79)&gt;=$B$9),N(分析!$T79)*10000+MIN(N(分析!$O79),99)*100-ROW(),"")</f>
        <v/>
      </c>
      <c r="U79"/>
      <c r="V79" t="str">
        <f>IF(AND(売分析!$C79&lt;&gt;"",売分析!$C79&lt;&gt;"TOPX",売分析!$AD79=$B$12,N(売分析!$T79)&gt;=$B$11,N(売分析!$O79)&gt;=$B$13),N(売分析!$T79)*10000+MIN(N(売分析!$O79),99)*100-ROW(),"")</f>
        <v/>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IF(AND(分析!$C80&lt;&gt;"",分析!$C80&lt;&gt;"TOPX",分析!$AD80=$B$8,N(分析!$T80)&gt;=$B$7,N(分析!$O80)&gt;=$B$9),N(分析!$T80)*10000+MIN(N(分析!$O80),99)*100-ROW(),"")</f>
        <v/>
      </c>
      <c r="U80"/>
      <c r="V80" t="str">
        <f>IF(AND(売分析!$C80&lt;&gt;"",売分析!$C80&lt;&gt;"TOPX",売分析!$AD80=$B$12,N(売分析!$T80)&gt;=$B$11,N(売分析!$O80)&gt;=$B$13),N(売分析!$T80)*10000+MIN(N(売分析!$O80),99)*100-ROW(),"")</f>
        <v/>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IF(AND(分析!$C81&lt;&gt;"",分析!$C81&lt;&gt;"TOPX",分析!$AD81=$B$8,N(分析!$T81)&gt;=$B$7,N(分析!$O81)&gt;=$B$9),N(分析!$T81)*10000+MIN(N(分析!$O81),99)*100-ROW(),"")</f>
        <v/>
      </c>
      <c r="U81"/>
      <c r="V81" t="str">
        <f>IF(AND(売分析!$C81&lt;&gt;"",売分析!$C81&lt;&gt;"TOPX",売分析!$AD81=$B$12,N(売分析!$T81)&gt;=$B$11,N(売分析!$O81)&gt;=$B$13),N(売分析!$T81)*10000+MIN(N(売分析!$O81),99)*100-ROW(),"")</f>
        <v/>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IF(AND(分析!$C82&lt;&gt;"",分析!$C82&lt;&gt;"TOPX",分析!$AD82=$B$8,N(分析!$T82)&gt;=$B$7,N(分析!$O82)&gt;=$B$9),N(分析!$T82)*10000+MIN(N(分析!$O82),99)*100-ROW(),"")</f>
        <v/>
      </c>
      <c r="U82"/>
      <c r="V82" t="str">
        <f>IF(AND(売分析!$C82&lt;&gt;"",売分析!$C82&lt;&gt;"TOPX",売分析!$AD82=$B$12,N(売分析!$T82)&gt;=$B$11,N(売分析!$O82)&gt;=$B$13),N(売分析!$T82)*10000+MIN(N(売分析!$O82),99)*100-ROW(),"")</f>
        <v/>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IF(AND(分析!$C83&lt;&gt;"",分析!$C83&lt;&gt;"TOPX",分析!$AD83=$B$8,N(分析!$T83)&gt;=$B$7,N(分析!$O83)&gt;=$B$9),N(分析!$T83)*10000+MIN(N(分析!$O83),99)*100-ROW(),"")</f>
        <v/>
      </c>
      <c r="U83"/>
      <c r="V83" t="str">
        <f>IF(AND(売分析!$C83&lt;&gt;"",売分析!$C83&lt;&gt;"TOPX",売分析!$AD83=$B$12,N(売分析!$T83)&gt;=$B$11,N(売分析!$O83)&gt;=$B$13),N(売分析!$T83)*10000+MIN(N(売分析!$O83),99)*100-ROW(),"")</f>
        <v/>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IF(AND(分析!$C84&lt;&gt;"",分析!$C84&lt;&gt;"TOPX",分析!$AD84=$B$8,N(分析!$T84)&gt;=$B$7,N(分析!$O84)&gt;=$B$9),N(分析!$T84)*10000+MIN(N(分析!$O84),99)*100-ROW(),"")</f>
        <v/>
      </c>
      <c r="U84"/>
      <c r="V84" t="str">
        <f>IF(AND(売分析!$C84&lt;&gt;"",売分析!$C84&lt;&gt;"TOPX",売分析!$AD84=$B$12,N(売分析!$T84)&gt;=$B$11,N(売分析!$O84)&gt;=$B$13),N(売分析!$T84)*10000+MIN(N(売分析!$O84),99)*100-ROW(),"")</f>
        <v/>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IF(AND(分析!$C85&lt;&gt;"",分析!$C85&lt;&gt;"TOPX",分析!$AD85=$B$8,N(分析!$T85)&gt;=$B$7,N(分析!$O85)&gt;=$B$9),N(分析!$T85)*10000+MIN(N(分析!$O85),99)*100-ROW(),"")</f>
        <v/>
      </c>
      <c r="U85"/>
      <c r="V85" t="str">
        <f>IF(AND(売分析!$C85&lt;&gt;"",売分析!$C85&lt;&gt;"TOPX",売分析!$AD85=$B$12,N(売分析!$T85)&gt;=$B$11,N(売分析!$O85)&gt;=$B$13),N(売分析!$T85)*10000+MIN(N(売分析!$O85),99)*100-ROW(),"")</f>
        <v/>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IF(AND(分析!$C86&lt;&gt;"",分析!$C86&lt;&gt;"TOPX",分析!$AD86=$B$8,N(分析!$T86)&gt;=$B$7,N(分析!$O86)&gt;=$B$9),N(分析!$T86)*10000+MIN(N(分析!$O86),99)*100-ROW(),"")</f>
        <v/>
      </c>
      <c r="U86"/>
      <c r="V86" t="str">
        <f>IF(AND(売分析!$C86&lt;&gt;"",売分析!$C86&lt;&gt;"TOPX",売分析!$AD86=$B$12,N(売分析!$T86)&gt;=$B$11,N(売分析!$O86)&gt;=$B$13),N(売分析!$T86)*10000+MIN(N(売分析!$O86),99)*100-ROW(),"")</f>
        <v/>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IF(AND(分析!$C87&lt;&gt;"",分析!$C87&lt;&gt;"TOPX",分析!$AD87=$B$8,N(分析!$T87)&gt;=$B$7,N(分析!$O87)&gt;=$B$9),N(分析!$T87)*10000+MIN(N(分析!$O87),99)*100-ROW(),"")</f>
        <v/>
      </c>
      <c r="U87"/>
      <c r="V87" t="str">
        <f>IF(AND(売分析!$C87&lt;&gt;"",売分析!$C87&lt;&gt;"TOPX",売分析!$AD87=$B$12,N(売分析!$T87)&gt;=$B$11,N(売分析!$O87)&gt;=$B$13),N(売分析!$T87)*10000+MIN(N(売分析!$O87),99)*100-ROW(),"")</f>
        <v/>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IF(AND(分析!$C88&lt;&gt;"",分析!$C88&lt;&gt;"TOPX",分析!$AD88=$B$8,N(分析!$T88)&gt;=$B$7,N(分析!$O88)&gt;=$B$9),N(分析!$T88)*10000+MIN(N(分析!$O88),99)*100-ROW(),"")</f>
        <v/>
      </c>
      <c r="U88"/>
      <c r="V88" t="str">
        <f>IF(AND(売分析!$C88&lt;&gt;"",売分析!$C88&lt;&gt;"TOPX",売分析!$AD88=$B$12,N(売分析!$T88)&gt;=$B$11,N(売分析!$O88)&gt;=$B$13),N(売分析!$T88)*10000+MIN(N(売分析!$O88),99)*100-ROW(),"")</f>
        <v/>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IF(AND(分析!$C89&lt;&gt;"",分析!$C89&lt;&gt;"TOPX",分析!$AD89=$B$8,N(分析!$T89)&gt;=$B$7,N(分析!$O89)&gt;=$B$9),N(分析!$T89)*10000+MIN(N(分析!$O89),99)*100-ROW(),"")</f>
        <v/>
      </c>
      <c r="U89"/>
      <c r="V89" t="str">
        <f>IF(AND(売分析!$C89&lt;&gt;"",売分析!$C89&lt;&gt;"TOPX",売分析!$AD89=$B$12,N(売分析!$T89)&gt;=$B$11,N(売分析!$O89)&gt;=$B$13),N(売分析!$T89)*10000+MIN(N(売分析!$O89),99)*100-ROW(),"")</f>
        <v/>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IF(AND(分析!$C90&lt;&gt;"",分析!$C90&lt;&gt;"TOPX",分析!$AD90=$B$8,N(分析!$T90)&gt;=$B$7,N(分析!$O90)&gt;=$B$9),N(分析!$T90)*10000+MIN(N(分析!$O90),99)*100-ROW(),"")</f>
        <v/>
      </c>
      <c r="U90"/>
      <c r="V90" t="str">
        <f>IF(AND(売分析!$C90&lt;&gt;"",売分析!$C90&lt;&gt;"TOPX",売分析!$AD90=$B$12,N(売分析!$T90)&gt;=$B$11,N(売分析!$O90)&gt;=$B$13),N(売分析!$T90)*10000+MIN(N(売分析!$O90),99)*100-ROW(),"")</f>
        <v/>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IF(AND(分析!$C91&lt;&gt;"",分析!$C91&lt;&gt;"TOPX",分析!$AD91=$B$8,N(分析!$T91)&gt;=$B$7,N(分析!$O91)&gt;=$B$9),N(分析!$T91)*10000+MIN(N(分析!$O91),99)*100-ROW(),"")</f>
        <v/>
      </c>
      <c r="U91"/>
      <c r="V91" t="str">
        <f>IF(AND(売分析!$C91&lt;&gt;"",売分析!$C91&lt;&gt;"TOPX",売分析!$AD91=$B$12,N(売分析!$T91)&gt;=$B$11,N(売分析!$O91)&gt;=$B$13),N(売分析!$T91)*10000+MIN(N(売分析!$O91),99)*100-ROW(),"")</f>
        <v/>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IF(AND(分析!$C92&lt;&gt;"",分析!$C92&lt;&gt;"TOPX",分析!$AD92=$B$8,N(分析!$T92)&gt;=$B$7,N(分析!$O92)&gt;=$B$9),N(分析!$T92)*10000+MIN(N(分析!$O92),99)*100-ROW(),"")</f>
        <v/>
      </c>
      <c r="U92"/>
      <c r="V92" t="str">
        <f>IF(AND(売分析!$C92&lt;&gt;"",売分析!$C92&lt;&gt;"TOPX",売分析!$AD92=$B$12,N(売分析!$T92)&gt;=$B$11,N(売分析!$O92)&gt;=$B$13),N(売分析!$T92)*10000+MIN(N(売分析!$O92),99)*100-ROW(),"")</f>
        <v/>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IF(AND(分析!$C93&lt;&gt;"",分析!$C93&lt;&gt;"TOPX",分析!$AD93=$B$8,N(分析!$T93)&gt;=$B$7,N(分析!$O93)&gt;=$B$9),N(分析!$T93)*10000+MIN(N(分析!$O93),99)*100-ROW(),"")</f>
        <v/>
      </c>
      <c r="U93"/>
      <c r="V93" t="str">
        <f>IF(AND(売分析!$C93&lt;&gt;"",売分析!$C93&lt;&gt;"TOPX",売分析!$AD93=$B$12,N(売分析!$T93)&gt;=$B$11,N(売分析!$O93)&gt;=$B$13),N(売分析!$T93)*10000+MIN(N(売分析!$O93),99)*100-ROW(),"")</f>
        <v/>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IF(AND(分析!$C94&lt;&gt;"",分析!$C94&lt;&gt;"TOPX",分析!$AD94=$B$8,N(分析!$T94)&gt;=$B$7,N(分析!$O94)&gt;=$B$9),N(分析!$T94)*10000+MIN(N(分析!$O94),99)*100-ROW(),"")</f>
        <v/>
      </c>
      <c r="U94"/>
      <c r="V94" t="str">
        <f>IF(AND(売分析!$C94&lt;&gt;"",売分析!$C94&lt;&gt;"TOPX",売分析!$AD94=$B$12,N(売分析!$T94)&gt;=$B$11,N(売分析!$O94)&gt;=$B$13),N(売分析!$T94)*10000+MIN(N(売分析!$O94),99)*100-ROW(),"")</f>
        <v/>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IF(AND(分析!$C95&lt;&gt;"",分析!$C95&lt;&gt;"TOPX",分析!$AD95=$B$8,N(分析!$T95)&gt;=$B$7,N(分析!$O95)&gt;=$B$9),N(分析!$T95)*10000+MIN(N(分析!$O95),99)*100-ROW(),"")</f>
        <v/>
      </c>
      <c r="U95"/>
      <c r="V95" t="str">
        <f>IF(AND(売分析!$C95&lt;&gt;"",売分析!$C95&lt;&gt;"TOPX",売分析!$AD95=$B$12,N(売分析!$T95)&gt;=$B$11,N(売分析!$O95)&gt;=$B$13),N(売分析!$T95)*10000+MIN(N(売分析!$O95),99)*100-ROW(),"")</f>
        <v/>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IF(AND(分析!$C96&lt;&gt;"",分析!$C96&lt;&gt;"TOPX",分析!$AD96=$B$8,N(分析!$T96)&gt;=$B$7,N(分析!$O96)&gt;=$B$9),N(分析!$T96)*10000+MIN(N(分析!$O96),99)*100-ROW(),"")</f>
        <v/>
      </c>
      <c r="U96"/>
      <c r="V96" t="str">
        <f>IF(AND(売分析!$C96&lt;&gt;"",売分析!$C96&lt;&gt;"TOPX",売分析!$AD96=$B$12,N(売分析!$T96)&gt;=$B$11,N(売分析!$O96)&gt;=$B$13),N(売分析!$T96)*10000+MIN(N(売分析!$O96),99)*100-ROW(),"")</f>
        <v/>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IF(AND(分析!$C97&lt;&gt;"",分析!$C97&lt;&gt;"TOPX",分析!$AD97=$B$8,N(分析!$T97)&gt;=$B$7,N(分析!$O97)&gt;=$B$9),N(分析!$T97)*10000+MIN(N(分析!$O97),99)*100-ROW(),"")</f>
        <v/>
      </c>
      <c r="U97"/>
      <c r="V97" t="str">
        <f>IF(AND(売分析!$C97&lt;&gt;"",売分析!$C97&lt;&gt;"TOPX",売分析!$AD97=$B$12,N(売分析!$T97)&gt;=$B$11,N(売分析!$O97)&gt;=$B$13),N(売分析!$T97)*10000+MIN(N(売分析!$O97),99)*100-ROW(),"")</f>
        <v/>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IF(AND(分析!$C98&lt;&gt;"",分析!$C98&lt;&gt;"TOPX",分析!$AD98=$B$8,N(分析!$T98)&gt;=$B$7,N(分析!$O98)&gt;=$B$9),N(分析!$T98)*10000+MIN(N(分析!$O98),99)*100-ROW(),"")</f>
        <v/>
      </c>
      <c r="U98"/>
      <c r="V98" t="str">
        <f>IF(AND(売分析!$C98&lt;&gt;"",売分析!$C98&lt;&gt;"TOPX",売分析!$AD98=$B$12,N(売分析!$T98)&gt;=$B$11,N(売分析!$O98)&gt;=$B$13),N(売分析!$T98)*10000+MIN(N(売分析!$O98),99)*100-ROW(),"")</f>
        <v/>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IF(AND(分析!$C99&lt;&gt;"",分析!$C99&lt;&gt;"TOPX",分析!$AD99=$B$8,N(分析!$T99)&gt;=$B$7,N(分析!$O99)&gt;=$B$9),N(分析!$T99)*10000+MIN(N(分析!$O99),99)*100-ROW(),"")</f>
        <v/>
      </c>
      <c r="U99"/>
      <c r="V99" t="str">
        <f>IF(AND(売分析!$C99&lt;&gt;"",売分析!$C99&lt;&gt;"TOPX",売分析!$AD99=$B$12,N(売分析!$T99)&gt;=$B$11,N(売分析!$O99)&gt;=$B$13),N(売分析!$T99)*10000+MIN(N(売分析!$O99),99)*100-ROW(),"")</f>
        <v/>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IF(AND(分析!$C100&lt;&gt;"",分析!$C100&lt;&gt;"TOPX",分析!$AD100=$B$8,N(分析!$T100)&gt;=$B$7,N(分析!$O100)&gt;=$B$9),N(分析!$T100)*10000+MIN(N(分析!$O100),99)*100-ROW(),"")</f>
        <v/>
      </c>
      <c r="U100"/>
      <c r="V100" t="str">
        <f>IF(AND(売分析!$C100&lt;&gt;"",売分析!$C100&lt;&gt;"TOPX",売分析!$AD100=$B$12,N(売分析!$T100)&gt;=$B$11,N(売分析!$O100)&gt;=$B$13),N(売分析!$T100)*10000+MIN(N(売分析!$O100),99)*100-ROW(),"")</f>
        <v/>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IF(AND(分析!$C101&lt;&gt;"",分析!$C101&lt;&gt;"TOPX",分析!$AD101=$B$8,N(分析!$T101)&gt;=$B$7,N(分析!$O101)&gt;=$B$9),N(分析!$T101)*10000+MIN(N(分析!$O101),99)*100-ROW(),"")</f>
        <v/>
      </c>
      <c r="U101"/>
      <c r="V101" t="str">
        <f>IF(AND(売分析!$C101&lt;&gt;"",売分析!$C101&lt;&gt;"TOPX",売分析!$AD101=$B$12,N(売分析!$T101)&gt;=$B$11,N(売分析!$O101)&gt;=$B$13),N(売分析!$T101)*10000+MIN(N(売分析!$O101),99)*100-ROW(),"")</f>
        <v/>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IF(AND(分析!$C102&lt;&gt;"",分析!$C102&lt;&gt;"TOPX",分析!$AD102=$B$8,N(分析!$T102)&gt;=$B$7,N(分析!$O102)&gt;=$B$9),N(分析!$T102)*10000+MIN(N(分析!$O102),99)*100-ROW(),"")</f>
        <v/>
      </c>
      <c r="U102"/>
      <c r="V102" t="str">
        <f>IF(AND(売分析!$C102&lt;&gt;"",売分析!$C102&lt;&gt;"TOPX",売分析!$AD102=$B$12,N(売分析!$T102)&gt;=$B$11,N(売分析!$O102)&gt;=$B$13),N(売分析!$T102)*10000+MIN(N(売分析!$O102),99)*100-ROW(),"")</f>
        <v/>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IF(AND(分析!$C103&lt;&gt;"",分析!$C103&lt;&gt;"TOPX",分析!$AD103=$B$8,N(分析!$T103)&gt;=$B$7,N(分析!$O103)&gt;=$B$9),N(分析!$T103)*10000+MIN(N(分析!$O103),99)*100-ROW(),"")</f>
        <v/>
      </c>
      <c r="U103"/>
      <c r="V103" t="str">
        <f>IF(AND(売分析!$C103&lt;&gt;"",売分析!$C103&lt;&gt;"TOPX",売分析!$AD103=$B$12,N(売分析!$T103)&gt;=$B$11,N(売分析!$O103)&gt;=$B$13),N(売分析!$T103)*10000+MIN(N(売分析!$O103),99)*100-ROW(),"")</f>
        <v/>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IF(AND(分析!$C104&lt;&gt;"",分析!$C104&lt;&gt;"TOPX",分析!$AD104=$B$8,N(分析!$T104)&gt;=$B$7,N(分析!$O104)&gt;=$B$9),N(分析!$T104)*10000+MIN(N(分析!$O104),99)*100-ROW(),"")</f>
        <v/>
      </c>
      <c r="U104"/>
      <c r="V104" t="str">
        <f>IF(AND(売分析!$C104&lt;&gt;"",売分析!$C104&lt;&gt;"TOPX",売分析!$AD104=$B$12,N(売分析!$T104)&gt;=$B$11,N(売分析!$O104)&gt;=$B$13),N(売分析!$T104)*10000+MIN(N(売分析!$O104),99)*100-ROW(),"")</f>
        <v/>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IF(AND(分析!$C105&lt;&gt;"",分析!$C105&lt;&gt;"TOPX",分析!$AD105=$B$8,N(分析!$T105)&gt;=$B$7,N(分析!$O105)&gt;=$B$9),N(分析!$T105)*10000+MIN(N(分析!$O105),99)*100-ROW(),"")</f>
        <v/>
      </c>
      <c r="U105"/>
      <c r="V105" t="str">
        <f>IF(AND(売分析!$C105&lt;&gt;"",売分析!$C105&lt;&gt;"TOPX",売分析!$AD105=$B$12,N(売分析!$T105)&gt;=$B$11,N(売分析!$O105)&gt;=$B$13),N(売分析!$T105)*10000+MIN(N(売分析!$O105),99)*100-ROW(),"")</f>
        <v/>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IF(AND(分析!$C106&lt;&gt;"",分析!$C106&lt;&gt;"TOPX",分析!$AD106=$B$8,N(分析!$T106)&gt;=$B$7,N(分析!$O106)&gt;=$B$9),N(分析!$T106)*10000+MIN(N(分析!$O106),99)*100-ROW(),"")</f>
        <v/>
      </c>
      <c r="U106"/>
      <c r="V106" t="str">
        <f>IF(AND(売分析!$C106&lt;&gt;"",売分析!$C106&lt;&gt;"TOPX",売分析!$AD106=$B$12,N(売分析!$T106)&gt;=$B$11,N(売分析!$O106)&gt;=$B$13),N(売分析!$T106)*10000+MIN(N(売分析!$O106),99)*100-ROW(),"")</f>
        <v/>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IF(AND(分析!$C107&lt;&gt;"",分析!$C107&lt;&gt;"TOPX",分析!$AD107=$B$8,N(分析!$T107)&gt;=$B$7,N(分析!$O107)&gt;=$B$9),N(分析!$T107)*10000+MIN(N(分析!$O107),99)*100-ROW(),"")</f>
        <v/>
      </c>
      <c r="U107"/>
      <c r="V107" t="str">
        <f>IF(AND(売分析!$C107&lt;&gt;"",売分析!$C107&lt;&gt;"TOPX",売分析!$AD107=$B$12,N(売分析!$T107)&gt;=$B$11,N(売分析!$O107)&gt;=$B$13),N(売分析!$T107)*10000+MIN(N(売分析!$O107),99)*100-ROW(),"")</f>
        <v/>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IF(AND(分析!$C108&lt;&gt;"",分析!$C108&lt;&gt;"TOPX",分析!$AD108=$B$8,N(分析!$T108)&gt;=$B$7,N(分析!$O108)&gt;=$B$9),N(分析!$T108)*10000+MIN(N(分析!$O108),99)*100-ROW(),"")</f>
        <v/>
      </c>
      <c r="U108"/>
      <c r="V108" t="str">
        <f>IF(AND(売分析!$C108&lt;&gt;"",売分析!$C108&lt;&gt;"TOPX",売分析!$AD108=$B$12,N(売分析!$T108)&gt;=$B$11,N(売分析!$O108)&gt;=$B$13),N(売分析!$T108)*10000+MIN(N(売分析!$O108),99)*100-ROW(),"")</f>
        <v/>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IF(AND(分析!$C109&lt;&gt;"",分析!$C109&lt;&gt;"TOPX",分析!$AD109=$B$8,N(分析!$T109)&gt;=$B$7,N(分析!$O109)&gt;=$B$9),N(分析!$T109)*10000+MIN(N(分析!$O109),99)*100-ROW(),"")</f>
        <v/>
      </c>
      <c r="U109"/>
      <c r="V109" t="str">
        <f>IF(AND(売分析!$C109&lt;&gt;"",売分析!$C109&lt;&gt;"TOPX",売分析!$AD109=$B$12,N(売分析!$T109)&gt;=$B$11,N(売分析!$O109)&gt;=$B$13),N(売分析!$T109)*10000+MIN(N(売分析!$O109),99)*100-ROW(),"")</f>
        <v/>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IF(AND(分析!$C110&lt;&gt;"",分析!$C110&lt;&gt;"TOPX",分析!$AD110=$B$8,N(分析!$T110)&gt;=$B$7,N(分析!$O110)&gt;=$B$9),N(分析!$T110)*10000+MIN(N(分析!$O110),99)*100-ROW(),"")</f>
        <v/>
      </c>
      <c r="U110"/>
      <c r="V110" t="str">
        <f>IF(AND(売分析!$C110&lt;&gt;"",売分析!$C110&lt;&gt;"TOPX",売分析!$AD110=$B$12,N(売分析!$T110)&gt;=$B$11,N(売分析!$O110)&gt;=$B$13),N(売分析!$T110)*10000+MIN(N(売分析!$O110),99)*100-ROW(),"")</f>
        <v/>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IF(AND(分析!$C111&lt;&gt;"",分析!$C111&lt;&gt;"TOPX",分析!$AD111=$B$8,N(分析!$T111)&gt;=$B$7,N(分析!$O111)&gt;=$B$9),N(分析!$T111)*10000+MIN(N(分析!$O111),99)*100-ROW(),"")</f>
        <v/>
      </c>
      <c r="U111"/>
      <c r="V111" t="str">
        <f>IF(AND(売分析!$C111&lt;&gt;"",売分析!$C111&lt;&gt;"TOPX",売分析!$AD111=$B$12,N(売分析!$T111)&gt;=$B$11,N(売分析!$O111)&gt;=$B$13),N(売分析!$T111)*10000+MIN(N(売分析!$O111),99)*100-ROW(),"")</f>
        <v/>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IF(AND(分析!$C112&lt;&gt;"",分析!$C112&lt;&gt;"TOPX",分析!$AD112=$B$8,N(分析!$T112)&gt;=$B$7,N(分析!$O112)&gt;=$B$9),N(分析!$T112)*10000+MIN(N(分析!$O112),99)*100-ROW(),"")</f>
        <v/>
      </c>
      <c r="U112"/>
      <c r="V112" t="str">
        <f>IF(AND(売分析!$C112&lt;&gt;"",売分析!$C112&lt;&gt;"TOPX",売分析!$AD112=$B$12,N(売分析!$T112)&gt;=$B$11,N(売分析!$O112)&gt;=$B$13),N(売分析!$T112)*10000+MIN(N(売分析!$O112),99)*100-ROW(),"")</f>
        <v/>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IF(AND(分析!$C113&lt;&gt;"",分析!$C113&lt;&gt;"TOPX",分析!$AD113=$B$8,N(分析!$T113)&gt;=$B$7,N(分析!$O113)&gt;=$B$9),N(分析!$T113)*10000+MIN(N(分析!$O113),99)*100-ROW(),"")</f>
        <v/>
      </c>
      <c r="U113"/>
      <c r="V113" t="str">
        <f>IF(AND(売分析!$C113&lt;&gt;"",売分析!$C113&lt;&gt;"TOPX",売分析!$AD113=$B$12,N(売分析!$T113)&gt;=$B$11,N(売分析!$O113)&gt;=$B$13),N(売分析!$T113)*10000+MIN(N(売分析!$O113),99)*100-ROW(),"")</f>
        <v/>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IF(AND(分析!$C114&lt;&gt;"",分析!$C114&lt;&gt;"TOPX",分析!$AD114=$B$8,N(分析!$T114)&gt;=$B$7,N(分析!$O114)&gt;=$B$9),N(分析!$T114)*10000+MIN(N(分析!$O114),99)*100-ROW(),"")</f>
        <v/>
      </c>
      <c r="U114"/>
      <c r="V114" t="str">
        <f>IF(AND(売分析!$C114&lt;&gt;"",売分析!$C114&lt;&gt;"TOPX",売分析!$AD114=$B$12,N(売分析!$T114)&gt;=$B$11,N(売分析!$O114)&gt;=$B$13),N(売分析!$T114)*10000+MIN(N(売分析!$O114),99)*100-ROW(),"")</f>
        <v/>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IF(AND(分析!$C115&lt;&gt;"",分析!$C115&lt;&gt;"TOPX",分析!$AD115=$B$8,N(分析!$T115)&gt;=$B$7,N(分析!$O115)&gt;=$B$9),N(分析!$T115)*10000+MIN(N(分析!$O115),99)*100-ROW(),"")</f>
        <v/>
      </c>
      <c r="U115"/>
      <c r="V115" t="str">
        <f>IF(AND(売分析!$C115&lt;&gt;"",売分析!$C115&lt;&gt;"TOPX",売分析!$AD115=$B$12,N(売分析!$T115)&gt;=$B$11,N(売分析!$O115)&gt;=$B$13),N(売分析!$T115)*10000+MIN(N(売分析!$O115),99)*100-ROW(),"")</f>
        <v/>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IF(AND(分析!$C116&lt;&gt;"",分析!$C116&lt;&gt;"TOPX",分析!$AD116=$B$8,N(分析!$T116)&gt;=$B$7,N(分析!$O116)&gt;=$B$9),N(分析!$T116)*10000+MIN(N(分析!$O116),99)*100-ROW(),"")</f>
        <v/>
      </c>
      <c r="U116"/>
      <c r="V116" t="str">
        <f>IF(AND(売分析!$C116&lt;&gt;"",売分析!$C116&lt;&gt;"TOPX",売分析!$AD116=$B$12,N(売分析!$T116)&gt;=$B$11,N(売分析!$O116)&gt;=$B$13),N(売分析!$T116)*10000+MIN(N(売分析!$O116),99)*100-ROW(),"")</f>
        <v/>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IF(AND(分析!$C117&lt;&gt;"",分析!$C117&lt;&gt;"TOPX",分析!$AD117=$B$8,N(分析!$T117)&gt;=$B$7,N(分析!$O117)&gt;=$B$9),N(分析!$T117)*10000+MIN(N(分析!$O117),99)*100-ROW(),"")</f>
        <v/>
      </c>
      <c r="U117"/>
      <c r="V117" t="str">
        <f>IF(AND(売分析!$C117&lt;&gt;"",売分析!$C117&lt;&gt;"TOPX",売分析!$AD117=$B$12,N(売分析!$T117)&gt;=$B$11,N(売分析!$O117)&gt;=$B$13),N(売分析!$T117)*10000+MIN(N(売分析!$O117),99)*100-ROW(),"")</f>
        <v/>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IF(AND(分析!$C118&lt;&gt;"",分析!$C118&lt;&gt;"TOPX",分析!$AD118=$B$8,N(分析!$T118)&gt;=$B$7,N(分析!$O118)&gt;=$B$9),N(分析!$T118)*10000+MIN(N(分析!$O118),99)*100-ROW(),"")</f>
        <v/>
      </c>
      <c r="U118"/>
      <c r="V118" t="str">
        <f>IF(AND(売分析!$C118&lt;&gt;"",売分析!$C118&lt;&gt;"TOPX",売分析!$AD118=$B$12,N(売分析!$T118)&gt;=$B$11,N(売分析!$O118)&gt;=$B$13),N(売分析!$T118)*10000+MIN(N(売分析!$O118),99)*100-ROW(),"")</f>
        <v/>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IF(AND(分析!$C119&lt;&gt;"",分析!$C119&lt;&gt;"TOPX",分析!$AD119=$B$8,N(分析!$T119)&gt;=$B$7,N(分析!$O119)&gt;=$B$9),N(分析!$T119)*10000+MIN(N(分析!$O119),99)*100-ROW(),"")</f>
        <v/>
      </c>
      <c r="U119"/>
      <c r="V119" t="str">
        <f>IF(AND(売分析!$C119&lt;&gt;"",売分析!$C119&lt;&gt;"TOPX",売分析!$AD119=$B$12,N(売分析!$T119)&gt;=$B$11,N(売分析!$O119)&gt;=$B$13),N(売分析!$T119)*10000+MIN(N(売分析!$O119),99)*100-ROW(),"")</f>
        <v/>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IF(AND(分析!$C120&lt;&gt;"",分析!$C120&lt;&gt;"TOPX",分析!$AD120=$B$8,N(分析!$T120)&gt;=$B$7,N(分析!$O120)&gt;=$B$9),N(分析!$T120)*10000+MIN(N(分析!$O120),99)*100-ROW(),"")</f>
        <v/>
      </c>
      <c r="U120"/>
      <c r="V120" t="str">
        <f>IF(AND(売分析!$C120&lt;&gt;"",売分析!$C120&lt;&gt;"TOPX",売分析!$AD120=$B$12,N(売分析!$T120)&gt;=$B$11,N(売分析!$O120)&gt;=$B$13),N(売分析!$T120)*10000+MIN(N(売分析!$O120),99)*100-ROW(),"")</f>
        <v/>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IF(AND(分析!$C121&lt;&gt;"",分析!$C121&lt;&gt;"TOPX",分析!$AD121=$B$8,N(分析!$T121)&gt;=$B$7,N(分析!$O121)&gt;=$B$9),N(分析!$T121)*10000+MIN(N(分析!$O121),99)*100-ROW(),"")</f>
        <v/>
      </c>
      <c r="U121"/>
      <c r="V121" t="str">
        <f>IF(AND(売分析!$C121&lt;&gt;"",売分析!$C121&lt;&gt;"TOPX",売分析!$AD121=$B$12,N(売分析!$T121)&gt;=$B$11,N(売分析!$O121)&gt;=$B$13),N(売分析!$T121)*10000+MIN(N(売分析!$O121),99)*100-ROW(),"")</f>
        <v/>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IF(AND(分析!$C122&lt;&gt;"",分析!$C122&lt;&gt;"TOPX",分析!$AD122=$B$8,N(分析!$T122)&gt;=$B$7,N(分析!$O122)&gt;=$B$9),N(分析!$T122)*10000+MIN(N(分析!$O122),99)*100-ROW(),"")</f>
        <v/>
      </c>
      <c r="U122"/>
      <c r="V122" t="str">
        <f>IF(AND(売分析!$C122&lt;&gt;"",売分析!$C122&lt;&gt;"TOPX",売分析!$AD122=$B$12,N(売分析!$T122)&gt;=$B$11,N(売分析!$O122)&gt;=$B$13),N(売分析!$T122)*10000+MIN(N(売分析!$O122),99)*100-ROW(),"")</f>
        <v/>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IF(AND(分析!$C123&lt;&gt;"",分析!$C123&lt;&gt;"TOPX",分析!$AD123=$B$8,N(分析!$T123)&gt;=$B$7,N(分析!$O123)&gt;=$B$9),N(分析!$T123)*10000+MIN(N(分析!$O123),99)*100-ROW(),"")</f>
        <v/>
      </c>
      <c r="U123"/>
      <c r="V123" t="str">
        <f>IF(AND(売分析!$C123&lt;&gt;"",売分析!$C123&lt;&gt;"TOPX",売分析!$AD123=$B$12,N(売分析!$T123)&gt;=$B$11,N(売分析!$O123)&gt;=$B$13),N(売分析!$T123)*10000+MIN(N(売分析!$O123),99)*100-ROW(),"")</f>
        <v/>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IF(AND(分析!$C124&lt;&gt;"",分析!$C124&lt;&gt;"TOPX",分析!$AD124=$B$8,N(分析!$T124)&gt;=$B$7,N(分析!$O124)&gt;=$B$9),N(分析!$T124)*10000+MIN(N(分析!$O124),99)*100-ROW(),"")</f>
        <v/>
      </c>
      <c r="U124"/>
      <c r="V124" t="str">
        <f>IF(AND(売分析!$C124&lt;&gt;"",売分析!$C124&lt;&gt;"TOPX",売分析!$AD124=$B$12,N(売分析!$T124)&gt;=$B$11,N(売分析!$O124)&gt;=$B$13),N(売分析!$T124)*10000+MIN(N(売分析!$O124),99)*100-ROW(),"")</f>
        <v/>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IF(AND(分析!$C125&lt;&gt;"",分析!$C125&lt;&gt;"TOPX",分析!$AD125=$B$8,N(分析!$T125)&gt;=$B$7,N(分析!$O125)&gt;=$B$9),N(分析!$T125)*10000+MIN(N(分析!$O125),99)*100-ROW(),"")</f>
        <v/>
      </c>
      <c r="U125"/>
      <c r="V125" t="str">
        <f>IF(AND(売分析!$C125&lt;&gt;"",売分析!$C125&lt;&gt;"TOPX",売分析!$AD125=$B$12,N(売分析!$T125)&gt;=$B$11,N(売分析!$O125)&gt;=$B$13),N(売分析!$T125)*10000+MIN(N(売分析!$O125),99)*100-ROW(),"")</f>
        <v/>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IF(AND(分析!$C126&lt;&gt;"",分析!$C126&lt;&gt;"TOPX",分析!$AD126=$B$8,N(分析!$T126)&gt;=$B$7,N(分析!$O126)&gt;=$B$9),N(分析!$T126)*10000+MIN(N(分析!$O126),99)*100-ROW(),"")</f>
        <v/>
      </c>
      <c r="U126"/>
      <c r="V126" t="str">
        <f>IF(AND(売分析!$C126&lt;&gt;"",売分析!$C126&lt;&gt;"TOPX",売分析!$AD126=$B$12,N(売分析!$T126)&gt;=$B$11,N(売分析!$O126)&gt;=$B$13),N(売分析!$T126)*10000+MIN(N(売分析!$O126),99)*100-ROW(),"")</f>
        <v/>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IF(AND(分析!$C127&lt;&gt;"",分析!$C127&lt;&gt;"TOPX",分析!$AD127=$B$8,N(分析!$T127)&gt;=$B$7,N(分析!$O127)&gt;=$B$9),N(分析!$T127)*10000+MIN(N(分析!$O127),99)*100-ROW(),"")</f>
        <v/>
      </c>
      <c r="U127"/>
      <c r="V127" t="str">
        <f>IF(AND(売分析!$C127&lt;&gt;"",売分析!$C127&lt;&gt;"TOPX",売分析!$AD127=$B$12,N(売分析!$T127)&gt;=$B$11,N(売分析!$O127)&gt;=$B$13),N(売分析!$T127)*10000+MIN(N(売分析!$O127),99)*100-ROW(),"")</f>
        <v/>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IF(AND(分析!$C128&lt;&gt;"",分析!$C128&lt;&gt;"TOPX",分析!$AD128=$B$8,N(分析!$T128)&gt;=$B$7,N(分析!$O128)&gt;=$B$9),N(分析!$T128)*10000+MIN(N(分析!$O128),99)*100-ROW(),"")</f>
        <v/>
      </c>
      <c r="U128"/>
      <c r="V128" t="str">
        <f>IF(AND(売分析!$C128&lt;&gt;"",売分析!$C128&lt;&gt;"TOPX",売分析!$AD128=$B$12,N(売分析!$T128)&gt;=$B$11,N(売分析!$O128)&gt;=$B$13),N(売分析!$T128)*10000+MIN(N(売分析!$O128),99)*100-ROW(),"")</f>
        <v/>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IF(AND(分析!$C129&lt;&gt;"",分析!$C129&lt;&gt;"TOPX",分析!$AD129=$B$8,N(分析!$T129)&gt;=$B$7,N(分析!$O129)&gt;=$B$9),N(分析!$T129)*10000+MIN(N(分析!$O129),99)*100-ROW(),"")</f>
        <v/>
      </c>
      <c r="U129"/>
      <c r="V129" t="str">
        <f>IF(AND(売分析!$C129&lt;&gt;"",売分析!$C129&lt;&gt;"TOPX",売分析!$AD129=$B$12,N(売分析!$T129)&gt;=$B$11,N(売分析!$O129)&gt;=$B$13),N(売分析!$T129)*10000+MIN(N(売分析!$O129),99)*100-ROW(),"")</f>
        <v/>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IF(AND(分析!$C130&lt;&gt;"",分析!$C130&lt;&gt;"TOPX",分析!$AD130=$B$8,N(分析!$T130)&gt;=$B$7,N(分析!$O130)&gt;=$B$9),N(分析!$T130)*10000+MIN(N(分析!$O130),99)*100-ROW(),"")</f>
        <v/>
      </c>
      <c r="U130"/>
      <c r="V130" t="str">
        <f>IF(AND(売分析!$C130&lt;&gt;"",売分析!$C130&lt;&gt;"TOPX",売分析!$AD130=$B$12,N(売分析!$T130)&gt;=$B$11,N(売分析!$O130)&gt;=$B$13),N(売分析!$T130)*10000+MIN(N(売分析!$O130),99)*100-ROW(),"")</f>
        <v/>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IF(AND(分析!$C131&lt;&gt;"",分析!$C131&lt;&gt;"TOPX",分析!$AD131=$B$8,N(分析!$T131)&gt;=$B$7,N(分析!$O131)&gt;=$B$9),N(分析!$T131)*10000+MIN(N(分析!$O131),99)*100-ROW(),"")</f>
        <v/>
      </c>
      <c r="U131"/>
      <c r="V131" t="str">
        <f>IF(AND(売分析!$C131&lt;&gt;"",売分析!$C131&lt;&gt;"TOPX",売分析!$AD131=$B$12,N(売分析!$T131)&gt;=$B$11,N(売分析!$O131)&gt;=$B$13),N(売分析!$T131)*10000+MIN(N(売分析!$O131),99)*100-ROW(),"")</f>
        <v/>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IF(AND(分析!$C132&lt;&gt;"",分析!$C132&lt;&gt;"TOPX",分析!$AD132=$B$8,N(分析!$T132)&gt;=$B$7,N(分析!$O132)&gt;=$B$9),N(分析!$T132)*10000+MIN(N(分析!$O132),99)*100-ROW(),"")</f>
        <v/>
      </c>
      <c r="U132"/>
      <c r="V132" t="str">
        <f>IF(AND(売分析!$C132&lt;&gt;"",売分析!$C132&lt;&gt;"TOPX",売分析!$AD132=$B$12,N(売分析!$T132)&gt;=$B$11,N(売分析!$O132)&gt;=$B$13),N(売分析!$T132)*10000+MIN(N(売分析!$O132),99)*100-ROW(),"")</f>
        <v/>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IF(AND(分析!$C133&lt;&gt;"",分析!$C133&lt;&gt;"TOPX",分析!$AD133=$B$8,N(分析!$T133)&gt;=$B$7,N(分析!$O133)&gt;=$B$9),N(分析!$T133)*10000+MIN(N(分析!$O133),99)*100-ROW(),"")</f>
        <v/>
      </c>
      <c r="U133"/>
      <c r="V133" t="str">
        <f>IF(AND(売分析!$C133&lt;&gt;"",売分析!$C133&lt;&gt;"TOPX",売分析!$AD133=$B$12,N(売分析!$T133)&gt;=$B$11,N(売分析!$O133)&gt;=$B$13),N(売分析!$T133)*10000+MIN(N(売分析!$O133),99)*100-ROW(),"")</f>
        <v/>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IF(AND(分析!$C134&lt;&gt;"",分析!$C134&lt;&gt;"TOPX",分析!$AD134=$B$8,N(分析!$T134)&gt;=$B$7,N(分析!$O134)&gt;=$B$9),N(分析!$T134)*10000+MIN(N(分析!$O134),99)*100-ROW(),"")</f>
        <v/>
      </c>
      <c r="U134"/>
      <c r="V134" t="str">
        <f>IF(AND(売分析!$C134&lt;&gt;"",売分析!$C134&lt;&gt;"TOPX",売分析!$AD134=$B$12,N(売分析!$T134)&gt;=$B$11,N(売分析!$O134)&gt;=$B$13),N(売分析!$T134)*10000+MIN(N(売分析!$O134),99)*100-ROW(),"")</f>
        <v/>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IF(AND(分析!$C135&lt;&gt;"",分析!$C135&lt;&gt;"TOPX",分析!$AD135=$B$8,N(分析!$T135)&gt;=$B$7,N(分析!$O135)&gt;=$B$9),N(分析!$T135)*10000+MIN(N(分析!$O135),99)*100-ROW(),"")</f>
        <v/>
      </c>
      <c r="U135"/>
      <c r="V135" t="str">
        <f>IF(AND(売分析!$C135&lt;&gt;"",売分析!$C135&lt;&gt;"TOPX",売分析!$AD135=$B$12,N(売分析!$T135)&gt;=$B$11,N(売分析!$O135)&gt;=$B$13),N(売分析!$T135)*10000+MIN(N(売分析!$O135),99)*100-ROW(),"")</f>
        <v/>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IF(AND(分析!$C136&lt;&gt;"",分析!$C136&lt;&gt;"TOPX",分析!$AD136=$B$8,N(分析!$T136)&gt;=$B$7,N(分析!$O136)&gt;=$B$9),N(分析!$T136)*10000+MIN(N(分析!$O136),99)*100-ROW(),"")</f>
        <v/>
      </c>
      <c r="U136"/>
      <c r="V136" t="str">
        <f>IF(AND(売分析!$C136&lt;&gt;"",売分析!$C136&lt;&gt;"TOPX",売分析!$AD136=$B$12,N(売分析!$T136)&gt;=$B$11,N(売分析!$O136)&gt;=$B$13),N(売分析!$T136)*10000+MIN(N(売分析!$O136),99)*100-ROW(),"")</f>
        <v/>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IF(AND(分析!$C137&lt;&gt;"",分析!$C137&lt;&gt;"TOPX",分析!$AD137=$B$8,N(分析!$T137)&gt;=$B$7,N(分析!$O137)&gt;=$B$9),N(分析!$T137)*10000+MIN(N(分析!$O137),99)*100-ROW(),"")</f>
        <v/>
      </c>
      <c r="U137"/>
      <c r="V137" t="str">
        <f>IF(AND(売分析!$C137&lt;&gt;"",売分析!$C137&lt;&gt;"TOPX",売分析!$AD137=$B$12,N(売分析!$T137)&gt;=$B$11,N(売分析!$O137)&gt;=$B$13),N(売分析!$T137)*10000+MIN(N(売分析!$O137),99)*100-ROW(),"")</f>
        <v/>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IF(AND(分析!$C138&lt;&gt;"",分析!$C138&lt;&gt;"TOPX",分析!$AD138=$B$8,N(分析!$T138)&gt;=$B$7,N(分析!$O138)&gt;=$B$9),N(分析!$T138)*10000+MIN(N(分析!$O138),99)*100-ROW(),"")</f>
        <v/>
      </c>
      <c r="U138"/>
      <c r="V138" t="str">
        <f>IF(AND(売分析!$C138&lt;&gt;"",売分析!$C138&lt;&gt;"TOPX",売分析!$AD138=$B$12,N(売分析!$T138)&gt;=$B$11,N(売分析!$O138)&gt;=$B$13),N(売分析!$T138)*10000+MIN(N(売分析!$O138),99)*100-ROW(),"")</f>
        <v/>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IF(AND(分析!$C139&lt;&gt;"",分析!$C139&lt;&gt;"TOPX",分析!$AD139=$B$8,N(分析!$T139)&gt;=$B$7,N(分析!$O139)&gt;=$B$9),N(分析!$T139)*10000+MIN(N(分析!$O139),99)*100-ROW(),"")</f>
        <v/>
      </c>
      <c r="U139"/>
      <c r="V139" t="str">
        <f>IF(AND(売分析!$C139&lt;&gt;"",売分析!$C139&lt;&gt;"TOPX",売分析!$AD139=$B$12,N(売分析!$T139)&gt;=$B$11,N(売分析!$O139)&gt;=$B$13),N(売分析!$T139)*10000+MIN(N(売分析!$O139),99)*100-ROW(),"")</f>
        <v/>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IF(AND(分析!$C140&lt;&gt;"",分析!$C140&lt;&gt;"TOPX",分析!$AD140=$B$8,N(分析!$T140)&gt;=$B$7,N(分析!$O140)&gt;=$B$9),N(分析!$T140)*10000+MIN(N(分析!$O140),99)*100-ROW(),"")</f>
        <v/>
      </c>
      <c r="U140"/>
      <c r="V140" t="str">
        <f>IF(AND(売分析!$C140&lt;&gt;"",売分析!$C140&lt;&gt;"TOPX",売分析!$AD140=$B$12,N(売分析!$T140)&gt;=$B$11,N(売分析!$O140)&gt;=$B$13),N(売分析!$T140)*10000+MIN(N(売分析!$O140),99)*100-ROW(),"")</f>
        <v/>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IF(AND(分析!$C141&lt;&gt;"",分析!$C141&lt;&gt;"TOPX",分析!$AD141=$B$8,N(分析!$T141)&gt;=$B$7,N(分析!$O141)&gt;=$B$9),N(分析!$T141)*10000+MIN(N(分析!$O141),99)*100-ROW(),"")</f>
        <v/>
      </c>
      <c r="U141"/>
      <c r="V141" t="str">
        <f>IF(AND(売分析!$C141&lt;&gt;"",売分析!$C141&lt;&gt;"TOPX",売分析!$AD141=$B$12,N(売分析!$T141)&gt;=$B$11,N(売分析!$O141)&gt;=$B$13),N(売分析!$T141)*10000+MIN(N(売分析!$O141),99)*100-ROW(),"")</f>
        <v/>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IF(AND(分析!$C142&lt;&gt;"",分析!$C142&lt;&gt;"TOPX",分析!$AD142=$B$8,N(分析!$T142)&gt;=$B$7,N(分析!$O142)&gt;=$B$9),N(分析!$T142)*10000+MIN(N(分析!$O142),99)*100-ROW(),"")</f>
        <v/>
      </c>
      <c r="U142"/>
      <c r="V142" t="str">
        <f>IF(AND(売分析!$C142&lt;&gt;"",売分析!$C142&lt;&gt;"TOPX",売分析!$AD142=$B$12,N(売分析!$T142)&gt;=$B$11,N(売分析!$O142)&gt;=$B$13),N(売分析!$T142)*10000+MIN(N(売分析!$O142),99)*100-ROW(),"")</f>
        <v/>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IF(AND(分析!$C143&lt;&gt;"",分析!$C143&lt;&gt;"TOPX",分析!$AD143=$B$8,N(分析!$T143)&gt;=$B$7,N(分析!$O143)&gt;=$B$9),N(分析!$T143)*10000+MIN(N(分析!$O143),99)*100-ROW(),"")</f>
        <v/>
      </c>
      <c r="U143"/>
      <c r="V143" t="str">
        <f>IF(AND(売分析!$C143&lt;&gt;"",売分析!$C143&lt;&gt;"TOPX",売分析!$AD143=$B$12,N(売分析!$T143)&gt;=$B$11,N(売分析!$O143)&gt;=$B$13),N(売分析!$T143)*10000+MIN(N(売分析!$O143),99)*100-ROW(),"")</f>
        <v/>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t="str">
        <f>IF(AND(分析!$C144&lt;&gt;"",分析!$C144&lt;&gt;"TOPX",分析!$AD144=$B$8,N(分析!$T144)&gt;=$B$7,N(分析!$O144)&gt;=$B$9),N(分析!$T144)*10000+MIN(N(分析!$O144),99)*100-ROW(),"")</f>
        <v/>
      </c>
      <c r="U144"/>
      <c r="V144" t="str">
        <f>IF(AND(売分析!$C144&lt;&gt;"",売分析!$C144&lt;&gt;"TOPX",売分析!$AD144=$B$12,N(売分析!$T144)&gt;=$B$11,N(売分析!$O144)&gt;=$B$13),N(売分析!$T144)*10000+MIN(N(売分析!$O144),99)*100-ROW(),"")</f>
        <v/>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IF(AND(分析!$C145&lt;&gt;"",分析!$C145&lt;&gt;"TOPX",分析!$AD145=$B$8,N(分析!$T145)&gt;=$B$7,N(分析!$O145)&gt;=$B$9),N(分析!$T145)*10000+MIN(N(分析!$O145),99)*100-ROW(),"")</f>
        <v/>
      </c>
      <c r="U145"/>
      <c r="V145" t="str">
        <f>IF(AND(売分析!$C145&lt;&gt;"",売分析!$C145&lt;&gt;"TOPX",売分析!$AD145=$B$12,N(売分析!$T145)&gt;=$B$11,N(売分析!$O145)&gt;=$B$13),N(売分析!$T145)*10000+MIN(N(売分析!$O145),99)*100-ROW(),"")</f>
        <v/>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IF(AND(分析!$C146&lt;&gt;"",分析!$C146&lt;&gt;"TOPX",分析!$AD146=$B$8,N(分析!$T146)&gt;=$B$7,N(分析!$O146)&gt;=$B$9),N(分析!$T146)*10000+MIN(N(分析!$O146),99)*100-ROW(),"")</f>
        <v/>
      </c>
      <c r="U146"/>
      <c r="V146" t="str">
        <f>IF(AND(売分析!$C146&lt;&gt;"",売分析!$C146&lt;&gt;"TOPX",売分析!$AD146=$B$12,N(売分析!$T146)&gt;=$B$11,N(売分析!$O146)&gt;=$B$13),N(売分析!$T146)*10000+MIN(N(売分析!$O146),99)*100-ROW(),"")</f>
        <v/>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IF(AND(分析!$C147&lt;&gt;"",分析!$C147&lt;&gt;"TOPX",分析!$AD147=$B$8,N(分析!$T147)&gt;=$B$7,N(分析!$O147)&gt;=$B$9),N(分析!$T147)*10000+MIN(N(分析!$O147),99)*100-ROW(),"")</f>
        <v/>
      </c>
      <c r="U147"/>
      <c r="V147" t="str">
        <f>IF(AND(売分析!$C147&lt;&gt;"",売分析!$C147&lt;&gt;"TOPX",売分析!$AD147=$B$12,N(売分析!$T147)&gt;=$B$11,N(売分析!$O147)&gt;=$B$13),N(売分析!$T147)*10000+MIN(N(売分析!$O147),99)*100-ROW(),"")</f>
        <v/>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IF(AND(分析!$C148&lt;&gt;"",分析!$C148&lt;&gt;"TOPX",分析!$AD148=$B$8,N(分析!$T148)&gt;=$B$7,N(分析!$O148)&gt;=$B$9),N(分析!$T148)*10000+MIN(N(分析!$O148),99)*100-ROW(),"")</f>
        <v/>
      </c>
      <c r="U148"/>
      <c r="V148" t="str">
        <f>IF(AND(売分析!$C148&lt;&gt;"",売分析!$C148&lt;&gt;"TOPX",売分析!$AD148=$B$12,N(売分析!$T148)&gt;=$B$11,N(売分析!$O148)&gt;=$B$13),N(売分析!$T148)*10000+MIN(N(売分析!$O148),99)*100-ROW(),"")</f>
        <v/>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IF(AND(分析!$C149&lt;&gt;"",分析!$C149&lt;&gt;"TOPX",分析!$AD149=$B$8,N(分析!$T149)&gt;=$B$7,N(分析!$O149)&gt;=$B$9),N(分析!$T149)*10000+MIN(N(分析!$O149),99)*100-ROW(),"")</f>
        <v/>
      </c>
      <c r="U149"/>
      <c r="V149" t="str">
        <f>IF(AND(売分析!$C149&lt;&gt;"",売分析!$C149&lt;&gt;"TOPX",売分析!$AD149=$B$12,N(売分析!$T149)&gt;=$B$11,N(売分析!$O149)&gt;=$B$13),N(売分析!$T149)*10000+MIN(N(売分析!$O149),99)*100-ROW(),"")</f>
        <v/>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IF(AND(分析!$C150&lt;&gt;"",分析!$C150&lt;&gt;"TOPX",分析!$AD150=$B$8,N(分析!$T150)&gt;=$B$7,N(分析!$O150)&gt;=$B$9),N(分析!$T150)*10000+MIN(N(分析!$O150),99)*100-ROW(),"")</f>
        <v/>
      </c>
      <c r="U150"/>
      <c r="V150" t="str">
        <f>IF(AND(売分析!$C150&lt;&gt;"",売分析!$C150&lt;&gt;"TOPX",売分析!$AD150=$B$12,N(売分析!$T150)&gt;=$B$11,N(売分析!$O150)&gt;=$B$13),N(売分析!$T150)*10000+MIN(N(売分析!$O150),99)*100-ROW(),"")</f>
        <v/>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IF(AND(分析!$C151&lt;&gt;"",分析!$C151&lt;&gt;"TOPX",分析!$AD151=$B$8,N(分析!$T151)&gt;=$B$7,N(分析!$O151)&gt;=$B$9),N(分析!$T151)*10000+MIN(N(分析!$O151),99)*100-ROW(),"")</f>
        <v/>
      </c>
      <c r="U151"/>
      <c r="V151" t="str">
        <f>IF(AND(売分析!$C151&lt;&gt;"",売分析!$C151&lt;&gt;"TOPX",売分析!$AD151=$B$12,N(売分析!$T151)&gt;=$B$11,N(売分析!$O151)&gt;=$B$13),N(売分析!$T151)*10000+MIN(N(売分析!$O151),99)*100-ROW(),"")</f>
        <v/>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IF(AND(分析!$C152&lt;&gt;"",分析!$C152&lt;&gt;"TOPX",分析!$AD152=$B$8,N(分析!$T152)&gt;=$B$7,N(分析!$O152)&gt;=$B$9),N(分析!$T152)*10000+MIN(N(分析!$O152),99)*100-ROW(),"")</f>
        <v/>
      </c>
      <c r="U152"/>
      <c r="V152" t="str">
        <f>IF(AND(売分析!$C152&lt;&gt;"",売分析!$C152&lt;&gt;"TOPX",売分析!$AD152=$B$12,N(売分析!$T152)&gt;=$B$11,N(売分析!$O152)&gt;=$B$13),N(売分析!$T152)*10000+MIN(N(売分析!$O152),99)*100-ROW(),"")</f>
        <v/>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IF(AND(分析!$C153&lt;&gt;"",分析!$C153&lt;&gt;"TOPX",分析!$AD153=$B$8,N(分析!$T153)&gt;=$B$7,N(分析!$O153)&gt;=$B$9),N(分析!$T153)*10000+MIN(N(分析!$O153),99)*100-ROW(),"")</f>
        <v/>
      </c>
      <c r="U153"/>
      <c r="V153" t="str">
        <f>IF(AND(売分析!$C153&lt;&gt;"",売分析!$C153&lt;&gt;"TOPX",売分析!$AD153=$B$12,N(売分析!$T153)&gt;=$B$11,N(売分析!$O153)&gt;=$B$13),N(売分析!$T153)*10000+MIN(N(売分析!$O153),99)*100-ROW(),"")</f>
        <v/>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IF(AND(分析!$C154&lt;&gt;"",分析!$C154&lt;&gt;"TOPX",分析!$AD154=$B$8,N(分析!$T154)&gt;=$B$7,N(分析!$O154)&gt;=$B$9),N(分析!$T154)*10000+MIN(N(分析!$O154),99)*100-ROW(),"")</f>
        <v/>
      </c>
      <c r="U154"/>
      <c r="V154" t="str">
        <f>IF(AND(売分析!$C154&lt;&gt;"",売分析!$C154&lt;&gt;"TOPX",売分析!$AD154=$B$12,N(売分析!$T154)&gt;=$B$11,N(売分析!$O154)&gt;=$B$13),N(売分析!$T154)*10000+MIN(N(売分析!$O154),99)*100-ROW(),"")</f>
        <v/>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IF(AND(分析!$C155&lt;&gt;"",分析!$C155&lt;&gt;"TOPX",分析!$AD155=$B$8,N(分析!$T155)&gt;=$B$7,N(分析!$O155)&gt;=$B$9),N(分析!$T155)*10000+MIN(N(分析!$O155),99)*100-ROW(),"")</f>
        <v/>
      </c>
      <c r="U155"/>
      <c r="V155" t="str">
        <f>IF(AND(売分析!$C155&lt;&gt;"",売分析!$C155&lt;&gt;"TOPX",売分析!$AD155=$B$12,N(売分析!$T155)&gt;=$B$11,N(売分析!$O155)&gt;=$B$13),N(売分析!$T155)*10000+MIN(N(売分析!$O155),99)*100-ROW(),"")</f>
        <v/>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IF(AND(分析!$C156&lt;&gt;"",分析!$C156&lt;&gt;"TOPX",分析!$AD156=$B$8,N(分析!$T156)&gt;=$B$7,N(分析!$O156)&gt;=$B$9),N(分析!$T156)*10000+MIN(N(分析!$O156),99)*100-ROW(),"")</f>
        <v/>
      </c>
      <c r="U156"/>
      <c r="V156" t="str">
        <f>IF(AND(売分析!$C156&lt;&gt;"",売分析!$C156&lt;&gt;"TOPX",売分析!$AD156=$B$12,N(売分析!$T156)&gt;=$B$11,N(売分析!$O156)&gt;=$B$13),N(売分析!$T156)*10000+MIN(N(売分析!$O156),99)*100-ROW(),"")</f>
        <v/>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IF(AND(分析!$C157&lt;&gt;"",分析!$C157&lt;&gt;"TOPX",分析!$AD157=$B$8,N(分析!$T157)&gt;=$B$7,N(分析!$O157)&gt;=$B$9),N(分析!$T157)*10000+MIN(N(分析!$O157),99)*100-ROW(),"")</f>
        <v/>
      </c>
      <c r="U157"/>
      <c r="V157" t="str">
        <f>IF(AND(売分析!$C157&lt;&gt;"",売分析!$C157&lt;&gt;"TOPX",売分析!$AD157=$B$12,N(売分析!$T157)&gt;=$B$11,N(売分析!$O157)&gt;=$B$13),N(売分析!$T157)*10000+MIN(N(売分析!$O157),99)*100-ROW(),"")</f>
        <v/>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IF(AND(分析!$C158&lt;&gt;"",分析!$C158&lt;&gt;"TOPX",分析!$AD158=$B$8,N(分析!$T158)&gt;=$B$7,N(分析!$O158)&gt;=$B$9),N(分析!$T158)*10000+MIN(N(分析!$O158),99)*100-ROW(),"")</f>
        <v/>
      </c>
      <c r="U158"/>
      <c r="V158" t="str">
        <f>IF(AND(売分析!$C158&lt;&gt;"",売分析!$C158&lt;&gt;"TOPX",売分析!$AD158=$B$12,N(売分析!$T158)&gt;=$B$11,N(売分析!$O158)&gt;=$B$13),N(売分析!$T158)*10000+MIN(N(売分析!$O158),99)*100-ROW(),"")</f>
        <v/>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IF(AND(分析!$C159&lt;&gt;"",分析!$C159&lt;&gt;"TOPX",分析!$AD159=$B$8,N(分析!$T159)&gt;=$B$7,N(分析!$O159)&gt;=$B$9),N(分析!$T159)*10000+MIN(N(分析!$O159),99)*100-ROW(),"")</f>
        <v/>
      </c>
      <c r="U159"/>
      <c r="V159" t="str">
        <f>IF(AND(売分析!$C159&lt;&gt;"",売分析!$C159&lt;&gt;"TOPX",売分析!$AD159=$B$12,N(売分析!$T159)&gt;=$B$11,N(売分析!$O159)&gt;=$B$13),N(売分析!$T159)*10000+MIN(N(売分析!$O159),99)*100-ROW(),"")</f>
        <v/>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t="str">
        <f>IF(AND(分析!$C160&lt;&gt;"",分析!$C160&lt;&gt;"TOPX",分析!$AD160=$B$8,N(分析!$T160)&gt;=$B$7,N(分析!$O160)&gt;=$B$9),N(分析!$T160)*10000+MIN(N(分析!$O160),99)*100-ROW(),"")</f>
        <v/>
      </c>
      <c r="U160"/>
      <c r="V160" t="str">
        <f>IF(AND(売分析!$C160&lt;&gt;"",売分析!$C160&lt;&gt;"TOPX",売分析!$AD160=$B$12,N(売分析!$T160)&gt;=$B$11,N(売分析!$O160)&gt;=$B$13),N(売分析!$T160)*10000+MIN(N(売分析!$O160),99)*100-ROW(),"")</f>
        <v/>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IF(AND(分析!$C161&lt;&gt;"",分析!$C161&lt;&gt;"TOPX",分析!$AD161=$B$8,N(分析!$T161)&gt;=$B$7,N(分析!$O161)&gt;=$B$9),N(分析!$T161)*10000+MIN(N(分析!$O161),99)*100-ROW(),"")</f>
        <v/>
      </c>
      <c r="U161"/>
      <c r="V161" t="str">
        <f>IF(AND(売分析!$C161&lt;&gt;"",売分析!$C161&lt;&gt;"TOPX",売分析!$AD161=$B$12,N(売分析!$T161)&gt;=$B$11,N(売分析!$O161)&gt;=$B$13),N(売分析!$T161)*10000+MIN(N(売分析!$O161),99)*100-ROW(),"")</f>
        <v/>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IF(AND(分析!$C162&lt;&gt;"",分析!$C162&lt;&gt;"TOPX",分析!$AD162=$B$8,N(分析!$T162)&gt;=$B$7,N(分析!$O162)&gt;=$B$9),N(分析!$T162)*10000+MIN(N(分析!$O162),99)*100-ROW(),"")</f>
        <v/>
      </c>
      <c r="U162"/>
      <c r="V162" t="str">
        <f>IF(AND(売分析!$C162&lt;&gt;"",売分析!$C162&lt;&gt;"TOPX",売分析!$AD162=$B$12,N(売分析!$T162)&gt;=$B$11,N(売分析!$O162)&gt;=$B$13),N(売分析!$T162)*10000+MIN(N(売分析!$O162),99)*100-ROW(),"")</f>
        <v/>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IF(AND(分析!$C163&lt;&gt;"",分析!$C163&lt;&gt;"TOPX",分析!$AD163=$B$8,N(分析!$T163)&gt;=$B$7,N(分析!$O163)&gt;=$B$9),N(分析!$T163)*10000+MIN(N(分析!$O163),99)*100-ROW(),"")</f>
        <v/>
      </c>
      <c r="U163"/>
      <c r="V163" t="str">
        <f>IF(AND(売分析!$C163&lt;&gt;"",売分析!$C163&lt;&gt;"TOPX",売分析!$AD163=$B$12,N(売分析!$T163)&gt;=$B$11,N(売分析!$O163)&gt;=$B$13),N(売分析!$T163)*10000+MIN(N(売分析!$O163),99)*100-ROW(),"")</f>
        <v/>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IF(AND(分析!$C164&lt;&gt;"",分析!$C164&lt;&gt;"TOPX",分析!$AD164=$B$8,N(分析!$T164)&gt;=$B$7,N(分析!$O164)&gt;=$B$9),N(分析!$T164)*10000+MIN(N(分析!$O164),99)*100-ROW(),"")</f>
        <v/>
      </c>
      <c r="U164"/>
      <c r="V164" t="str">
        <f>IF(AND(売分析!$C164&lt;&gt;"",売分析!$C164&lt;&gt;"TOPX",売分析!$AD164=$B$12,N(売分析!$T164)&gt;=$B$11,N(売分析!$O164)&gt;=$B$13),N(売分析!$T164)*10000+MIN(N(売分析!$O164),99)*100-ROW(),"")</f>
        <v/>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IF(AND(分析!$C165&lt;&gt;"",分析!$C165&lt;&gt;"TOPX",分析!$AD165=$B$8,N(分析!$T165)&gt;=$B$7,N(分析!$O165)&gt;=$B$9),N(分析!$T165)*10000+MIN(N(分析!$O165),99)*100-ROW(),"")</f>
        <v/>
      </c>
      <c r="U165"/>
      <c r="V165" t="str">
        <f>IF(AND(売分析!$C165&lt;&gt;"",売分析!$C165&lt;&gt;"TOPX",売分析!$AD165=$B$12,N(売分析!$T165)&gt;=$B$11,N(売分析!$O165)&gt;=$B$13),N(売分析!$T165)*10000+MIN(N(売分析!$O165),99)*100-ROW(),"")</f>
        <v/>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t="str">
        <f>IF(AND(分析!$C166&lt;&gt;"",分析!$C166&lt;&gt;"TOPX",分析!$AD166=$B$8,N(分析!$T166)&gt;=$B$7,N(分析!$O166)&gt;=$B$9),N(分析!$T166)*10000+MIN(N(分析!$O166),99)*100-ROW(),"")</f>
        <v/>
      </c>
      <c r="U166"/>
      <c r="V166" t="str">
        <f>IF(AND(売分析!$C166&lt;&gt;"",売分析!$C166&lt;&gt;"TOPX",売分析!$AD166=$B$12,N(売分析!$T166)&gt;=$B$11,N(売分析!$O166)&gt;=$B$13),N(売分析!$T166)*10000+MIN(N(売分析!$O166),99)*100-ROW(),"")</f>
        <v/>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IF(AND(分析!$C167&lt;&gt;"",分析!$C167&lt;&gt;"TOPX",分析!$AD167=$B$8,N(分析!$T167)&gt;=$B$7,N(分析!$O167)&gt;=$B$9),N(分析!$T167)*10000+MIN(N(分析!$O167),99)*100-ROW(),"")</f>
        <v/>
      </c>
      <c r="U167"/>
      <c r="V167" t="str">
        <f>IF(AND(売分析!$C167&lt;&gt;"",売分析!$C167&lt;&gt;"TOPX",売分析!$AD167=$B$12,N(売分析!$T167)&gt;=$B$11,N(売分析!$O167)&gt;=$B$13),N(売分析!$T167)*10000+MIN(N(売分析!$O167),99)*100-ROW(),"")</f>
        <v/>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IF(AND(分析!$C168&lt;&gt;"",分析!$C168&lt;&gt;"TOPX",分析!$AD168=$B$8,N(分析!$T168)&gt;=$B$7,N(分析!$O168)&gt;=$B$9),N(分析!$T168)*10000+MIN(N(分析!$O168),99)*100-ROW(),"")</f>
        <v/>
      </c>
      <c r="U168"/>
      <c r="V168" t="str">
        <f>IF(AND(売分析!$C168&lt;&gt;"",売分析!$C168&lt;&gt;"TOPX",売分析!$AD168=$B$12,N(売分析!$T168)&gt;=$B$11,N(売分析!$O168)&gt;=$B$13),N(売分析!$T168)*10000+MIN(N(売分析!$O168),99)*100-ROW(),"")</f>
        <v/>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IF(AND(分析!$C169&lt;&gt;"",分析!$C169&lt;&gt;"TOPX",分析!$AD169=$B$8,N(分析!$T169)&gt;=$B$7,N(分析!$O169)&gt;=$B$9),N(分析!$T169)*10000+MIN(N(分析!$O169),99)*100-ROW(),"")</f>
        <v/>
      </c>
      <c r="U169"/>
      <c r="V169" t="str">
        <f>IF(AND(売分析!$C169&lt;&gt;"",売分析!$C169&lt;&gt;"TOPX",売分析!$AD169=$B$12,N(売分析!$T169)&gt;=$B$11,N(売分析!$O169)&gt;=$B$13),N(売分析!$T169)*10000+MIN(N(売分析!$O169),99)*100-ROW(),"")</f>
        <v/>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IF(AND(分析!$C170&lt;&gt;"",分析!$C170&lt;&gt;"TOPX",分析!$AD170=$B$8,N(分析!$T170)&gt;=$B$7,N(分析!$O170)&gt;=$B$9),N(分析!$T170)*10000+MIN(N(分析!$O170),99)*100-ROW(),"")</f>
        <v/>
      </c>
      <c r="U170"/>
      <c r="V170" t="str">
        <f>IF(AND(売分析!$C170&lt;&gt;"",売分析!$C170&lt;&gt;"TOPX",売分析!$AD170=$B$12,N(売分析!$T170)&gt;=$B$11,N(売分析!$O170)&gt;=$B$13),N(売分析!$T170)*10000+MIN(N(売分析!$O170),99)*100-ROW(),"")</f>
        <v/>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IF(AND(分析!$C171&lt;&gt;"",分析!$C171&lt;&gt;"TOPX",分析!$AD171=$B$8,N(分析!$T171)&gt;=$B$7,N(分析!$O171)&gt;=$B$9),N(分析!$T171)*10000+MIN(N(分析!$O171),99)*100-ROW(),"")</f>
        <v/>
      </c>
      <c r="U171"/>
      <c r="V171" t="str">
        <f>IF(AND(売分析!$C171&lt;&gt;"",売分析!$C171&lt;&gt;"TOPX",売分析!$AD171=$B$12,N(売分析!$T171)&gt;=$B$11,N(売分析!$O171)&gt;=$B$13),N(売分析!$T171)*10000+MIN(N(売分析!$O171),99)*100-ROW(),"")</f>
        <v/>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IF(AND(分析!$C172&lt;&gt;"",分析!$C172&lt;&gt;"TOPX",分析!$AD172=$B$8,N(分析!$T172)&gt;=$B$7,N(分析!$O172)&gt;=$B$9),N(分析!$T172)*10000+MIN(N(分析!$O172),99)*100-ROW(),"")</f>
        <v/>
      </c>
      <c r="U172"/>
      <c r="V172" t="str">
        <f>IF(AND(売分析!$C172&lt;&gt;"",売分析!$C172&lt;&gt;"TOPX",売分析!$AD172=$B$12,N(売分析!$T172)&gt;=$B$11,N(売分析!$O172)&gt;=$B$13),N(売分析!$T172)*10000+MIN(N(売分析!$O172),99)*100-ROW(),"")</f>
        <v/>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IF(AND(分析!$C173&lt;&gt;"",分析!$C173&lt;&gt;"TOPX",分析!$AD173=$B$8,N(分析!$T173)&gt;=$B$7,N(分析!$O173)&gt;=$B$9),N(分析!$T173)*10000+MIN(N(分析!$O173),99)*100-ROW(),"")</f>
        <v/>
      </c>
      <c r="U173"/>
      <c r="V173" t="str">
        <f>IF(AND(売分析!$C173&lt;&gt;"",売分析!$C173&lt;&gt;"TOPX",売分析!$AD173=$B$12,N(売分析!$T173)&gt;=$B$11,N(売分析!$O173)&gt;=$B$13),N(売分析!$T173)*10000+MIN(N(売分析!$O173),99)*100-ROW(),"")</f>
        <v/>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IF(AND(分析!$C174&lt;&gt;"",分析!$C174&lt;&gt;"TOPX",分析!$AD174=$B$8,N(分析!$T174)&gt;=$B$7,N(分析!$O174)&gt;=$B$9),N(分析!$T174)*10000+MIN(N(分析!$O174),99)*100-ROW(),"")</f>
        <v/>
      </c>
      <c r="U174"/>
      <c r="V174" t="str">
        <f>IF(AND(売分析!$C174&lt;&gt;"",売分析!$C174&lt;&gt;"TOPX",売分析!$AD174=$B$12,N(売分析!$T174)&gt;=$B$11,N(売分析!$O174)&gt;=$B$13),N(売分析!$T174)*10000+MIN(N(売分析!$O174),99)*100-ROW(),"")</f>
        <v/>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t="str">
        <f>IF(AND(分析!$C175&lt;&gt;"",分析!$C175&lt;&gt;"TOPX",分析!$AD175=$B$8,N(分析!$T175)&gt;=$B$7,N(分析!$O175)&gt;=$B$9),N(分析!$T175)*10000+MIN(N(分析!$O175),99)*100-ROW(),"")</f>
        <v/>
      </c>
      <c r="U175"/>
      <c r="V175" t="str">
        <f>IF(AND(売分析!$C175&lt;&gt;"",売分析!$C175&lt;&gt;"TOPX",売分析!$AD175=$B$12,N(売分析!$T175)&gt;=$B$11,N(売分析!$O175)&gt;=$B$13),N(売分析!$T175)*10000+MIN(N(売分析!$O175),99)*100-ROW(),"")</f>
        <v/>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IF(AND(分析!$C176&lt;&gt;"",分析!$C176&lt;&gt;"TOPX",分析!$AD176=$B$8,N(分析!$T176)&gt;=$B$7,N(分析!$O176)&gt;=$B$9),N(分析!$T176)*10000+MIN(N(分析!$O176),99)*100-ROW(),"")</f>
        <v/>
      </c>
      <c r="U176"/>
      <c r="V176" t="str">
        <f>IF(AND(売分析!$C176&lt;&gt;"",売分析!$C176&lt;&gt;"TOPX",売分析!$AD176=$B$12,N(売分析!$T176)&gt;=$B$11,N(売分析!$O176)&gt;=$B$13),N(売分析!$T176)*10000+MIN(N(売分析!$O176),99)*100-ROW(),"")</f>
        <v/>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IF(AND(分析!$C177&lt;&gt;"",分析!$C177&lt;&gt;"TOPX",分析!$AD177=$B$8,N(分析!$T177)&gt;=$B$7,N(分析!$O177)&gt;=$B$9),N(分析!$T177)*10000+MIN(N(分析!$O177),99)*100-ROW(),"")</f>
        <v/>
      </c>
      <c r="U177"/>
      <c r="V177" t="str">
        <f>IF(AND(売分析!$C177&lt;&gt;"",売分析!$C177&lt;&gt;"TOPX",売分析!$AD177=$B$12,N(売分析!$T177)&gt;=$B$11,N(売分析!$O177)&gt;=$B$13),N(売分析!$T177)*10000+MIN(N(売分析!$O177),99)*100-ROW(),"")</f>
        <v/>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IF(AND(分析!$C178&lt;&gt;"",分析!$C178&lt;&gt;"TOPX",分析!$AD178=$B$8,N(分析!$T178)&gt;=$B$7,N(分析!$O178)&gt;=$B$9),N(分析!$T178)*10000+MIN(N(分析!$O178),99)*100-ROW(),"")</f>
        <v/>
      </c>
      <c r="U178"/>
      <c r="V178" t="str">
        <f>IF(AND(売分析!$C178&lt;&gt;"",売分析!$C178&lt;&gt;"TOPX",売分析!$AD178=$B$12,N(売分析!$T178)&gt;=$B$11,N(売分析!$O178)&gt;=$B$13),N(売分析!$T178)*10000+MIN(N(売分析!$O178),99)*100-ROW(),"")</f>
        <v/>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IF(AND(分析!$C179&lt;&gt;"",分析!$C179&lt;&gt;"TOPX",分析!$AD179=$B$8,N(分析!$T179)&gt;=$B$7,N(分析!$O179)&gt;=$B$9),N(分析!$T179)*10000+MIN(N(分析!$O179),99)*100-ROW(),"")</f>
        <v/>
      </c>
      <c r="U179"/>
      <c r="V179" t="str">
        <f>IF(AND(売分析!$C179&lt;&gt;"",売分析!$C179&lt;&gt;"TOPX",売分析!$AD179=$B$12,N(売分析!$T179)&gt;=$B$11,N(売分析!$O179)&gt;=$B$13),N(売分析!$T179)*10000+MIN(N(売分析!$O179),99)*100-ROW(),"")</f>
        <v/>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IF(AND(分析!$C180&lt;&gt;"",分析!$C180&lt;&gt;"TOPX",分析!$AD180=$B$8,N(分析!$T180)&gt;=$B$7,N(分析!$O180)&gt;=$B$9),N(分析!$T180)*10000+MIN(N(分析!$O180),99)*100-ROW(),"")</f>
        <v/>
      </c>
      <c r="U180"/>
      <c r="V180" t="str">
        <f>IF(AND(売分析!$C180&lt;&gt;"",売分析!$C180&lt;&gt;"TOPX",売分析!$AD180=$B$12,N(売分析!$T180)&gt;=$B$11,N(売分析!$O180)&gt;=$B$13),N(売分析!$T180)*10000+MIN(N(売分析!$O180),99)*100-ROW(),"")</f>
        <v/>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IF(AND(分析!$C181&lt;&gt;"",分析!$C181&lt;&gt;"TOPX",分析!$AD181=$B$8,N(分析!$T181)&gt;=$B$7,N(分析!$O181)&gt;=$B$9),N(分析!$T181)*10000+MIN(N(分析!$O181),99)*100-ROW(),"")</f>
        <v/>
      </c>
      <c r="U181"/>
      <c r="V181" t="str">
        <f>IF(AND(売分析!$C181&lt;&gt;"",売分析!$C181&lt;&gt;"TOPX",売分析!$AD181=$B$12,N(売分析!$T181)&gt;=$B$11,N(売分析!$O181)&gt;=$B$13),N(売分析!$T181)*10000+MIN(N(売分析!$O181),99)*100-ROW(),"")</f>
        <v/>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IF(AND(分析!$C182&lt;&gt;"",分析!$C182&lt;&gt;"TOPX",分析!$AD182=$B$8,N(分析!$T182)&gt;=$B$7,N(分析!$O182)&gt;=$B$9),N(分析!$T182)*10000+MIN(N(分析!$O182),99)*100-ROW(),"")</f>
        <v/>
      </c>
      <c r="U182"/>
      <c r="V182" t="str">
        <f>IF(AND(売分析!$C182&lt;&gt;"",売分析!$C182&lt;&gt;"TOPX",売分析!$AD182=$B$12,N(売分析!$T182)&gt;=$B$11,N(売分析!$O182)&gt;=$B$13),N(売分析!$T182)*10000+MIN(N(売分析!$O182),99)*100-ROW(),"")</f>
        <v/>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IF(AND(分析!$C183&lt;&gt;"",分析!$C183&lt;&gt;"TOPX",分析!$AD183=$B$8,N(分析!$T183)&gt;=$B$7,N(分析!$O183)&gt;=$B$9),N(分析!$T183)*10000+MIN(N(分析!$O183),99)*100-ROW(),"")</f>
        <v/>
      </c>
      <c r="U183"/>
      <c r="V183" t="str">
        <f>IF(AND(売分析!$C183&lt;&gt;"",売分析!$C183&lt;&gt;"TOPX",売分析!$AD183=$B$12,N(売分析!$T183)&gt;=$B$11,N(売分析!$O183)&gt;=$B$13),N(売分析!$T183)*10000+MIN(N(売分析!$O183),99)*100-ROW(),"")</f>
        <v/>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IF(AND(分析!$C184&lt;&gt;"",分析!$C184&lt;&gt;"TOPX",分析!$AD184=$B$8,N(分析!$T184)&gt;=$B$7,N(分析!$O184)&gt;=$B$9),N(分析!$T184)*10000+MIN(N(分析!$O184),99)*100-ROW(),"")</f>
        <v/>
      </c>
      <c r="U184"/>
      <c r="V184" t="str">
        <f>IF(AND(売分析!$C184&lt;&gt;"",売分析!$C184&lt;&gt;"TOPX",売分析!$AD184=$B$12,N(売分析!$T184)&gt;=$B$11,N(売分析!$O184)&gt;=$B$13),N(売分析!$T184)*10000+MIN(N(売分析!$O184),99)*100-ROW(),"")</f>
        <v/>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IF(AND(分析!$C185&lt;&gt;"",分析!$C185&lt;&gt;"TOPX",分析!$AD185=$B$8,N(分析!$T185)&gt;=$B$7,N(分析!$O185)&gt;=$B$9),N(分析!$T185)*10000+MIN(N(分析!$O185),99)*100-ROW(),"")</f>
        <v/>
      </c>
      <c r="U185"/>
      <c r="V185" t="str">
        <f>IF(AND(売分析!$C185&lt;&gt;"",売分析!$C185&lt;&gt;"TOPX",売分析!$AD185=$B$12,N(売分析!$T185)&gt;=$B$11,N(売分析!$O185)&gt;=$B$13),N(売分析!$T185)*10000+MIN(N(売分析!$O185),99)*100-ROW(),"")</f>
        <v/>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t="str">
        <f>IF(AND(分析!$C186&lt;&gt;"",分析!$C186&lt;&gt;"TOPX",分析!$AD186=$B$8,N(分析!$T186)&gt;=$B$7,N(分析!$O186)&gt;=$B$9),N(分析!$T186)*10000+MIN(N(分析!$O186),99)*100-ROW(),"")</f>
        <v/>
      </c>
      <c r="U186"/>
      <c r="V186" t="str">
        <f>IF(AND(売分析!$C186&lt;&gt;"",売分析!$C186&lt;&gt;"TOPX",売分析!$AD186=$B$12,N(売分析!$T186)&gt;=$B$11,N(売分析!$O186)&gt;=$B$13),N(売分析!$T186)*10000+MIN(N(売分析!$O186),99)*100-ROW(),"")</f>
        <v/>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IF(AND(分析!$C187&lt;&gt;"",分析!$C187&lt;&gt;"TOPX",分析!$AD187=$B$8,N(分析!$T187)&gt;=$B$7,N(分析!$O187)&gt;=$B$9),N(分析!$T187)*10000+MIN(N(分析!$O187),99)*100-ROW(),"")</f>
        <v/>
      </c>
      <c r="U187"/>
      <c r="V187" t="str">
        <f>IF(AND(売分析!$C187&lt;&gt;"",売分析!$C187&lt;&gt;"TOPX",売分析!$AD187=$B$12,N(売分析!$T187)&gt;=$B$11,N(売分析!$O187)&gt;=$B$13),N(売分析!$T187)*10000+MIN(N(売分析!$O187),99)*100-ROW(),"")</f>
        <v/>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IF(AND(分析!$C188&lt;&gt;"",分析!$C188&lt;&gt;"TOPX",分析!$AD188=$B$8,N(分析!$T188)&gt;=$B$7,N(分析!$O188)&gt;=$B$9),N(分析!$T188)*10000+MIN(N(分析!$O188),99)*100-ROW(),"")</f>
        <v/>
      </c>
      <c r="U188"/>
      <c r="V188" t="str">
        <f>IF(AND(売分析!$C188&lt;&gt;"",売分析!$C188&lt;&gt;"TOPX",売分析!$AD188=$B$12,N(売分析!$T188)&gt;=$B$11,N(売分析!$O188)&gt;=$B$13),N(売分析!$T188)*10000+MIN(N(売分析!$O188),99)*100-ROW(),"")</f>
        <v/>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t="str">
        <f>IF(AND(分析!$C189&lt;&gt;"",分析!$C189&lt;&gt;"TOPX",分析!$AD189=$B$8,N(分析!$T189)&gt;=$B$7,N(分析!$O189)&gt;=$B$9),N(分析!$T189)*10000+MIN(N(分析!$O189),99)*100-ROW(),"")</f>
        <v/>
      </c>
      <c r="U189"/>
      <c r="V189" t="str">
        <f>IF(AND(売分析!$C189&lt;&gt;"",売分析!$C189&lt;&gt;"TOPX",売分析!$AD189=$B$12,N(売分析!$T189)&gt;=$B$11,N(売分析!$O189)&gt;=$B$13),N(売分析!$T189)*10000+MIN(N(売分析!$O189),99)*100-ROW(),"")</f>
        <v/>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IF(AND(分析!$C190&lt;&gt;"",分析!$C190&lt;&gt;"TOPX",分析!$AD190=$B$8,N(分析!$T190)&gt;=$B$7,N(分析!$O190)&gt;=$B$9),N(分析!$T190)*10000+MIN(N(分析!$O190),99)*100-ROW(),"")</f>
        <v/>
      </c>
      <c r="U190"/>
      <c r="V190" t="str">
        <f>IF(AND(売分析!$C190&lt;&gt;"",売分析!$C190&lt;&gt;"TOPX",売分析!$AD190=$B$12,N(売分析!$T190)&gt;=$B$11,N(売分析!$O190)&gt;=$B$13),N(売分析!$T190)*10000+MIN(N(売分析!$O190),99)*100-ROW(),"")</f>
        <v/>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IF(AND(分析!$C191&lt;&gt;"",分析!$C191&lt;&gt;"TOPX",分析!$AD191=$B$8,N(分析!$T191)&gt;=$B$7,N(分析!$O191)&gt;=$B$9),N(分析!$T191)*10000+MIN(N(分析!$O191),99)*100-ROW(),"")</f>
        <v/>
      </c>
      <c r="U191"/>
      <c r="V191" t="str">
        <f>IF(AND(売分析!$C191&lt;&gt;"",売分析!$C191&lt;&gt;"TOPX",売分析!$AD191=$B$12,N(売分析!$T191)&gt;=$B$11,N(売分析!$O191)&gt;=$B$13),N(売分析!$T191)*10000+MIN(N(売分析!$O191),99)*100-ROW(),"")</f>
        <v/>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IF(AND(分析!$C192&lt;&gt;"",分析!$C192&lt;&gt;"TOPX",分析!$AD192=$B$8,N(分析!$T192)&gt;=$B$7,N(分析!$O192)&gt;=$B$9),N(分析!$T192)*10000+MIN(N(分析!$O192),99)*100-ROW(),"")</f>
        <v/>
      </c>
      <c r="U192"/>
      <c r="V192" t="str">
        <f>IF(AND(売分析!$C192&lt;&gt;"",売分析!$C192&lt;&gt;"TOPX",売分析!$AD192=$B$12,N(売分析!$T192)&gt;=$B$11,N(売分析!$O192)&gt;=$B$13),N(売分析!$T192)*10000+MIN(N(売分析!$O192),99)*100-ROW(),"")</f>
        <v/>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IF(AND(分析!$C193&lt;&gt;"",分析!$C193&lt;&gt;"TOPX",分析!$AD193=$B$8,N(分析!$T193)&gt;=$B$7,N(分析!$O193)&gt;=$B$9),N(分析!$T193)*10000+MIN(N(分析!$O193),99)*100-ROW(),"")</f>
        <v/>
      </c>
      <c r="U193"/>
      <c r="V193" t="str">
        <f>IF(AND(売分析!$C193&lt;&gt;"",売分析!$C193&lt;&gt;"TOPX",売分析!$AD193=$B$12,N(売分析!$T193)&gt;=$B$11,N(売分析!$O193)&gt;=$B$13),N(売分析!$T193)*10000+MIN(N(売分析!$O193),99)*100-ROW(),"")</f>
        <v/>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IF(AND(分析!$C194&lt;&gt;"",分析!$C194&lt;&gt;"TOPX",分析!$AD194=$B$8,N(分析!$T194)&gt;=$B$7,N(分析!$O194)&gt;=$B$9),N(分析!$T194)*10000+MIN(N(分析!$O194),99)*100-ROW(),"")</f>
        <v/>
      </c>
      <c r="U194"/>
      <c r="V194" t="str">
        <f>IF(AND(売分析!$C194&lt;&gt;"",売分析!$C194&lt;&gt;"TOPX",売分析!$AD194=$B$12,N(売分析!$T194)&gt;=$B$11,N(売分析!$O194)&gt;=$B$13),N(売分析!$T194)*10000+MIN(N(売分析!$O194),99)*100-ROW(),"")</f>
        <v/>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IF(AND(分析!$C195&lt;&gt;"",分析!$C195&lt;&gt;"TOPX",分析!$AD195=$B$8,N(分析!$T195)&gt;=$B$7,N(分析!$O195)&gt;=$B$9),N(分析!$T195)*10000+MIN(N(分析!$O195),99)*100-ROW(),"")</f>
        <v/>
      </c>
      <c r="U195"/>
      <c r="V195" t="str">
        <f>IF(AND(売分析!$C195&lt;&gt;"",売分析!$C195&lt;&gt;"TOPX",売分析!$AD195=$B$12,N(売分析!$T195)&gt;=$B$11,N(売分析!$O195)&gt;=$B$13),N(売分析!$T195)*10000+MIN(N(売分析!$O195),99)*100-ROW(),"")</f>
        <v/>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IF(AND(分析!$C196&lt;&gt;"",分析!$C196&lt;&gt;"TOPX",分析!$AD196=$B$8,N(分析!$T196)&gt;=$B$7,N(分析!$O196)&gt;=$B$9),N(分析!$T196)*10000+MIN(N(分析!$O196),99)*100-ROW(),"")</f>
        <v/>
      </c>
      <c r="U196"/>
      <c r="V196" t="str">
        <f>IF(AND(売分析!$C196&lt;&gt;"",売分析!$C196&lt;&gt;"TOPX",売分析!$AD196=$B$12,N(売分析!$T196)&gt;=$B$11,N(売分析!$O196)&gt;=$B$13),N(売分析!$T196)*10000+MIN(N(売分析!$O196),99)*100-ROW(),"")</f>
        <v/>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IF(AND(分析!$C197&lt;&gt;"",分析!$C197&lt;&gt;"TOPX",分析!$AD197=$B$8,N(分析!$T197)&gt;=$B$7,N(分析!$O197)&gt;=$B$9),N(分析!$T197)*10000+MIN(N(分析!$O197),99)*100-ROW(),"")</f>
        <v/>
      </c>
      <c r="U197"/>
      <c r="V197" t="str">
        <f>IF(AND(売分析!$C197&lt;&gt;"",売分析!$C197&lt;&gt;"TOPX",売分析!$AD197=$B$12,N(売分析!$T197)&gt;=$B$11,N(売分析!$O197)&gt;=$B$13),N(売分析!$T197)*10000+MIN(N(売分析!$O197),99)*100-ROW(),"")</f>
        <v/>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IF(AND(分析!$C198&lt;&gt;"",分析!$C198&lt;&gt;"TOPX",分析!$AD198=$B$8,N(分析!$T198)&gt;=$B$7,N(分析!$O198)&gt;=$B$9),N(分析!$T198)*10000+MIN(N(分析!$O198),99)*100-ROW(),"")</f>
        <v/>
      </c>
      <c r="U198"/>
      <c r="V198" t="str">
        <f>IF(AND(売分析!$C198&lt;&gt;"",売分析!$C198&lt;&gt;"TOPX",売分析!$AD198=$B$12,N(売分析!$T198)&gt;=$B$11,N(売分析!$O198)&gt;=$B$13),N(売分析!$T198)*10000+MIN(N(売分析!$O198),99)*100-ROW(),"")</f>
        <v/>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IF(AND(分析!$C199&lt;&gt;"",分析!$C199&lt;&gt;"TOPX",分析!$AD199=$B$8,N(分析!$T199)&gt;=$B$7,N(分析!$O199)&gt;=$B$9),N(分析!$T199)*10000+MIN(N(分析!$O199),99)*100-ROW(),"")</f>
        <v/>
      </c>
      <c r="U199"/>
      <c r="V199" t="str">
        <f>IF(AND(売分析!$C199&lt;&gt;"",売分析!$C199&lt;&gt;"TOPX",売分析!$AD199=$B$12,N(売分析!$T199)&gt;=$B$11,N(売分析!$O199)&gt;=$B$13),N(売分析!$T199)*10000+MIN(N(売分析!$O199),99)*100-ROW(),"")</f>
        <v/>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IF(AND(分析!$C200&lt;&gt;"",分析!$C200&lt;&gt;"TOPX",分析!$AD200=$B$8,N(分析!$T200)&gt;=$B$7,N(分析!$O200)&gt;=$B$9),N(分析!$T200)*10000+MIN(N(分析!$O200),99)*100-ROW(),"")</f>
        <v/>
      </c>
      <c r="U200"/>
      <c r="V200" t="str">
        <f>IF(AND(売分析!$C200&lt;&gt;"",売分析!$C200&lt;&gt;"TOPX",売分析!$AD200=$B$12,N(売分析!$T200)&gt;=$B$11,N(売分析!$O200)&gt;=$B$13),N(売分析!$T200)*10000+MIN(N(売分析!$O200),99)*100-ROW(),"")</f>
        <v/>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IF(AND(分析!$C201&lt;&gt;"",分析!$C201&lt;&gt;"TOPX",分析!$AD201=$B$8,N(分析!$T201)&gt;=$B$7,N(分析!$O201)&gt;=$B$9),N(分析!$T201)*10000+MIN(N(分析!$O201),99)*100-ROW(),"")</f>
        <v/>
      </c>
      <c r="U201"/>
      <c r="V201" t="str">
        <f>IF(AND(売分析!$C201&lt;&gt;"",売分析!$C201&lt;&gt;"TOPX",売分析!$AD201=$B$12,N(売分析!$T201)&gt;=$B$11,N(売分析!$O201)&gt;=$B$13),N(売分析!$T201)*10000+MIN(N(売分析!$O201),99)*100-ROW(),"")</f>
        <v/>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IF(AND(分析!$C202&lt;&gt;"",分析!$C202&lt;&gt;"TOPX",分析!$AD202=$B$8,N(分析!$T202)&gt;=$B$7,N(分析!$O202)&gt;=$B$9),N(分析!$T202)*10000+MIN(N(分析!$O202),99)*100-ROW(),"")</f>
        <v/>
      </c>
      <c r="U202"/>
      <c r="V202" t="str">
        <f>IF(AND(売分析!$C202&lt;&gt;"",売分析!$C202&lt;&gt;"TOPX",売分析!$AD202=$B$12,N(売分析!$T202)&gt;=$B$11,N(売分析!$O202)&gt;=$B$13),N(売分析!$T202)*10000+MIN(N(売分析!$O202),99)*100-ROW(),"")</f>
        <v/>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IF(AND(分析!$C203&lt;&gt;"",分析!$C203&lt;&gt;"TOPX",分析!$AD203=$B$8,N(分析!$T203)&gt;=$B$7,N(分析!$O203)&gt;=$B$9),N(分析!$T203)*10000+MIN(N(分析!$O203),99)*100-ROW(),"")</f>
        <v/>
      </c>
      <c r="U203"/>
      <c r="V203" t="str">
        <f>IF(AND(売分析!$C203&lt;&gt;"",売分析!$C203&lt;&gt;"TOPX",売分析!$AD203=$B$12,N(売分析!$T203)&gt;=$B$11,N(売分析!$O203)&gt;=$B$13),N(売分析!$T203)*10000+MIN(N(売分析!$O203),99)*100-ROW(),"")</f>
        <v/>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IF(AND(分析!$C204&lt;&gt;"",分析!$C204&lt;&gt;"TOPX",分析!$AD204=$B$8,N(分析!$T204)&gt;=$B$7,N(分析!$O204)&gt;=$B$9),N(分析!$T204)*10000+MIN(N(分析!$O204),99)*100-ROW(),"")</f>
        <v/>
      </c>
      <c r="U204"/>
      <c r="V204" t="str">
        <f>IF(AND(売分析!$C204&lt;&gt;"",売分析!$C204&lt;&gt;"TOPX",売分析!$AD204=$B$12,N(売分析!$T204)&gt;=$B$11,N(売分析!$O204)&gt;=$B$13),N(売分析!$T204)*10000+MIN(N(売分析!$O204),99)*100-ROW(),"")</f>
        <v/>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IF(AND(分析!$C205&lt;&gt;"",分析!$C205&lt;&gt;"TOPX",分析!$AD205=$B$8,N(分析!$T205)&gt;=$B$7,N(分析!$O205)&gt;=$B$9),N(分析!$T205)*10000+MIN(N(分析!$O205),99)*100-ROW(),"")</f>
        <v/>
      </c>
      <c r="U205"/>
      <c r="V205" t="str">
        <f>IF(AND(売分析!$C205&lt;&gt;"",売分析!$C205&lt;&gt;"TOPX",売分析!$AD205=$B$12,N(売分析!$T205)&gt;=$B$11,N(売分析!$O205)&gt;=$B$13),N(売分析!$T205)*10000+MIN(N(売分析!$O205),99)*100-ROW(),"")</f>
        <v/>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IF(AND(分析!$C206&lt;&gt;"",分析!$C206&lt;&gt;"TOPX",分析!$AD206=$B$8,N(分析!$T206)&gt;=$B$7,N(分析!$O206)&gt;=$B$9),N(分析!$T206)*10000+MIN(N(分析!$O206),99)*100-ROW(),"")</f>
        <v/>
      </c>
      <c r="U206"/>
      <c r="V206" t="str">
        <f>IF(AND(売分析!$C206&lt;&gt;"",売分析!$C206&lt;&gt;"TOPX",売分析!$AD206=$B$12,N(売分析!$T206)&gt;=$B$11,N(売分析!$O206)&gt;=$B$13),N(売分析!$T206)*10000+MIN(N(売分析!$O206),99)*100-ROW(),"")</f>
        <v/>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G26" sqref="G26"/>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852" t="s">
        <v>521</v>
      </c>
      <c r="B1" s="853"/>
      <c r="C1" s="853"/>
      <c r="D1" s="853"/>
      <c r="E1" s="853"/>
      <c r="F1" s="853"/>
      <c r="G1" s="853"/>
      <c r="H1" s="853"/>
      <c r="I1" s="853"/>
      <c r="J1" s="853"/>
      <c r="K1" s="853"/>
      <c r="L1" s="853"/>
      <c r="M1" s="853"/>
      <c r="N1" s="853"/>
      <c r="O1" s="853"/>
      <c r="P1" s="853"/>
      <c r="Q1" s="853"/>
      <c r="R1" s="853"/>
      <c r="S1" s="556" t="s">
        <v>1256</v>
      </c>
    </row>
    <row r="2" spans="1:22" ht="39.75" customHeight="1">
      <c r="A2" s="851" t="s">
        <v>1507</v>
      </c>
      <c r="B2" s="851"/>
      <c r="C2" s="851"/>
      <c r="D2" s="851"/>
      <c r="E2" s="851"/>
      <c r="F2" s="851"/>
      <c r="G2" s="851"/>
      <c r="H2" s="851"/>
      <c r="I2" s="851"/>
      <c r="J2" s="851"/>
      <c r="K2" s="851"/>
      <c r="L2" s="851"/>
      <c r="M2" s="851"/>
      <c r="N2" s="851"/>
      <c r="O2" s="851"/>
      <c r="P2" s="851"/>
      <c r="Q2" s="851"/>
      <c r="R2" s="851"/>
      <c r="S2" s="555" t="s">
        <v>1257</v>
      </c>
    </row>
    <row r="3" spans="1:22" ht="39.75" customHeight="1">
      <c r="A3" s="426" t="s">
        <v>518</v>
      </c>
      <c r="B3" s="426" t="s">
        <v>1502</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23">
        <v>1</v>
      </c>
      <c r="C4" s="724">
        <v>6436</v>
      </c>
      <c r="D4" s="725" t="s">
        <v>351</v>
      </c>
      <c r="E4" s="726">
        <v>3933</v>
      </c>
      <c r="F4" s="727">
        <v>3960</v>
      </c>
      <c r="G4" s="727">
        <v>3875</v>
      </c>
      <c r="H4" s="727">
        <v>564500</v>
      </c>
      <c r="I4" s="728">
        <v>57.4</v>
      </c>
      <c r="J4" s="530" t="s">
        <v>1221</v>
      </c>
      <c r="K4" s="728" t="s">
        <v>1316</v>
      </c>
      <c r="L4" s="729">
        <v>0.9</v>
      </c>
      <c r="M4" s="728">
        <v>28.61</v>
      </c>
      <c r="N4" s="728" t="s">
        <v>1214</v>
      </c>
      <c r="O4" s="727">
        <v>4248</v>
      </c>
      <c r="P4" s="727">
        <v>3776</v>
      </c>
      <c r="Q4" s="531">
        <v>14</v>
      </c>
      <c r="R4" s="730" t="s">
        <v>1506</v>
      </c>
      <c r="S4" s="428"/>
      <c r="T4" s="428"/>
      <c r="U4" s="428"/>
      <c r="V4" s="428"/>
    </row>
    <row r="5" spans="1:22" s="425" customFormat="1" ht="39.75" customHeight="1">
      <c r="A5" s="731"/>
      <c r="B5" s="729"/>
      <c r="C5" s="739"/>
      <c r="D5" s="733"/>
      <c r="E5" s="727"/>
      <c r="F5" s="727"/>
      <c r="G5" s="727"/>
      <c r="H5" s="727"/>
      <c r="I5" s="728"/>
      <c r="J5" s="728"/>
      <c r="K5" s="728"/>
      <c r="L5" s="729"/>
      <c r="M5" s="728"/>
      <c r="N5" s="728"/>
      <c r="O5" s="727"/>
      <c r="P5" s="727"/>
      <c r="Q5" s="728"/>
      <c r="R5" s="728"/>
      <c r="S5" s="428"/>
      <c r="T5" s="428"/>
      <c r="U5" s="428"/>
      <c r="V5" s="428"/>
    </row>
    <row r="6" spans="1:22" s="425" customFormat="1" ht="39.75" customHeight="1">
      <c r="A6" s="731"/>
      <c r="B6" s="729"/>
      <c r="C6" s="739"/>
      <c r="D6" s="733"/>
      <c r="E6" s="727"/>
      <c r="F6" s="727"/>
      <c r="G6" s="727"/>
      <c r="H6" s="727"/>
      <c r="I6" s="728"/>
      <c r="J6" s="728"/>
      <c r="K6" s="728"/>
      <c r="L6" s="729"/>
      <c r="M6" s="728"/>
      <c r="N6" s="728"/>
      <c r="O6" s="727"/>
      <c r="P6" s="727"/>
      <c r="Q6" s="728"/>
      <c r="R6" s="728"/>
      <c r="S6" s="428"/>
      <c r="T6" s="428"/>
      <c r="U6" s="428"/>
      <c r="V6" s="428"/>
    </row>
    <row r="7" spans="1:22" s="425" customFormat="1" ht="39.75" customHeight="1">
      <c r="A7" s="731"/>
      <c r="B7" s="729"/>
      <c r="C7" s="739"/>
      <c r="D7" s="733"/>
      <c r="E7" s="727"/>
      <c r="F7" s="727"/>
      <c r="G7" s="727"/>
      <c r="H7" s="727"/>
      <c r="I7" s="728"/>
      <c r="J7" s="728"/>
      <c r="K7" s="728"/>
      <c r="L7" s="729"/>
      <c r="M7" s="728"/>
      <c r="N7" s="728"/>
      <c r="O7" s="727"/>
      <c r="P7" s="727"/>
      <c r="Q7" s="728"/>
      <c r="R7" s="728"/>
      <c r="S7" s="428"/>
      <c r="T7" s="428"/>
      <c r="U7" s="428"/>
      <c r="V7" s="428"/>
    </row>
    <row r="8" spans="1:22" s="425" customFormat="1" ht="45.6" customHeight="1">
      <c r="A8" s="731"/>
      <c r="B8" s="729"/>
      <c r="C8" s="732"/>
      <c r="D8" s="733"/>
      <c r="E8" s="727"/>
      <c r="F8" s="727"/>
      <c r="G8" s="727"/>
      <c r="H8" s="727"/>
      <c r="I8" s="728"/>
      <c r="J8" s="728"/>
      <c r="K8" s="728"/>
      <c r="L8" s="729"/>
      <c r="M8" s="728"/>
      <c r="N8" s="728"/>
      <c r="O8" s="727"/>
      <c r="P8" s="727"/>
      <c r="Q8" s="728"/>
      <c r="R8" s="728"/>
      <c r="S8" s="428"/>
      <c r="T8" s="428"/>
      <c r="U8" s="428"/>
      <c r="V8" s="428"/>
    </row>
    <row r="9" spans="1:22" s="425" customFormat="1" ht="45.6" customHeight="1">
      <c r="A9" s="731"/>
      <c r="B9" s="728"/>
      <c r="C9" s="732"/>
      <c r="D9" s="733"/>
      <c r="E9" s="727"/>
      <c r="F9" s="727"/>
      <c r="G9" s="727"/>
      <c r="H9" s="727"/>
      <c r="I9" s="728"/>
      <c r="J9" s="728"/>
      <c r="K9" s="728"/>
      <c r="L9" s="729"/>
      <c r="M9" s="728"/>
      <c r="N9" s="728"/>
      <c r="O9" s="727"/>
      <c r="P9" s="727"/>
      <c r="Q9" s="728"/>
      <c r="R9" s="728"/>
      <c r="S9" s="428"/>
      <c r="T9" s="428"/>
      <c r="U9" s="428"/>
      <c r="V9" s="428"/>
    </row>
    <row r="10" spans="1:22" s="425" customFormat="1" ht="39.75" customHeight="1">
      <c r="A10" s="731"/>
      <c r="B10" s="728"/>
      <c r="C10" s="732"/>
      <c r="D10" s="733"/>
      <c r="E10" s="727"/>
      <c r="F10" s="727"/>
      <c r="G10" s="727"/>
      <c r="H10" s="727"/>
      <c r="I10" s="728"/>
      <c r="J10" s="728"/>
      <c r="K10" s="728"/>
      <c r="L10" s="729"/>
      <c r="M10" s="728"/>
      <c r="N10" s="728"/>
      <c r="O10" s="727"/>
      <c r="P10" s="727"/>
      <c r="Q10" s="728"/>
      <c r="R10" s="728"/>
      <c r="S10" s="428"/>
      <c r="T10" s="428"/>
      <c r="U10" s="428"/>
      <c r="V10" s="428"/>
    </row>
    <row r="11" spans="1:22" s="425" customFormat="1" ht="39.75" customHeight="1">
      <c r="A11" s="731"/>
      <c r="B11" s="728"/>
      <c r="C11" s="732"/>
      <c r="D11" s="733"/>
      <c r="E11" s="727"/>
      <c r="F11" s="727"/>
      <c r="G11" s="727"/>
      <c r="H11" s="727"/>
      <c r="I11" s="728"/>
      <c r="J11" s="728"/>
      <c r="K11" s="728"/>
      <c r="L11" s="729"/>
      <c r="M11" s="728"/>
      <c r="N11" s="728"/>
      <c r="O11" s="727"/>
      <c r="P11" s="727"/>
      <c r="Q11" s="728"/>
      <c r="R11" s="728"/>
      <c r="S11" s="428"/>
      <c r="T11" s="428"/>
      <c r="U11" s="428"/>
      <c r="V11" s="428"/>
    </row>
    <row r="12" spans="1:22" s="425" customFormat="1" ht="39.75" customHeight="1">
      <c r="A12" s="731"/>
      <c r="B12" s="728"/>
      <c r="C12" s="732"/>
      <c r="D12" s="733"/>
      <c r="E12" s="727"/>
      <c r="F12" s="727"/>
      <c r="G12" s="727"/>
      <c r="H12" s="727"/>
      <c r="I12" s="728"/>
      <c r="J12" s="728"/>
      <c r="K12" s="728"/>
      <c r="L12" s="729"/>
      <c r="M12" s="728"/>
      <c r="N12" s="728"/>
      <c r="O12" s="727"/>
      <c r="P12" s="727"/>
      <c r="Q12" s="728"/>
      <c r="R12" s="728"/>
      <c r="S12" s="428"/>
      <c r="T12" s="428"/>
      <c r="U12" s="428"/>
      <c r="V12" s="428"/>
    </row>
    <row r="13" spans="1:22" s="425" customFormat="1" ht="39.75" customHeight="1">
      <c r="A13" s="731"/>
      <c r="B13" s="728"/>
      <c r="C13" s="732"/>
      <c r="D13" s="733"/>
      <c r="E13" s="727"/>
      <c r="F13" s="727"/>
      <c r="G13" s="727"/>
      <c r="H13" s="727"/>
      <c r="I13" s="728"/>
      <c r="J13" s="728"/>
      <c r="K13" s="728"/>
      <c r="L13" s="729"/>
      <c r="M13" s="728"/>
      <c r="N13" s="728"/>
      <c r="O13" s="727"/>
      <c r="P13" s="727"/>
      <c r="Q13" s="728"/>
      <c r="R13" s="728"/>
      <c r="S13" s="428"/>
      <c r="T13" s="428"/>
      <c r="U13" s="428"/>
      <c r="V13" s="428"/>
    </row>
    <row r="14" spans="1:22" s="425" customFormat="1" ht="39.75" customHeight="1">
      <c r="A14" s="731"/>
      <c r="B14" s="728"/>
      <c r="C14" s="732"/>
      <c r="D14" s="733"/>
      <c r="E14" s="727"/>
      <c r="F14" s="727"/>
      <c r="G14" s="727"/>
      <c r="H14" s="727"/>
      <c r="I14" s="728"/>
      <c r="J14" s="728"/>
      <c r="K14" s="728"/>
      <c r="L14" s="729"/>
      <c r="M14" s="728"/>
      <c r="N14" s="728"/>
      <c r="O14" s="727"/>
      <c r="P14" s="727"/>
      <c r="Q14" s="728"/>
      <c r="R14" s="728"/>
      <c r="S14" s="428"/>
      <c r="T14" s="428"/>
      <c r="U14" s="428"/>
      <c r="V14" s="428"/>
    </row>
    <row r="15" spans="1:22" s="425" customFormat="1" ht="39.75" customHeight="1">
      <c r="A15" s="731"/>
      <c r="B15" s="728"/>
      <c r="C15" s="732"/>
      <c r="D15" s="733"/>
      <c r="E15" s="727"/>
      <c r="F15" s="727"/>
      <c r="G15" s="727"/>
      <c r="H15" s="727"/>
      <c r="I15" s="728"/>
      <c r="J15" s="728"/>
      <c r="K15" s="728"/>
      <c r="L15" s="729"/>
      <c r="M15" s="728"/>
      <c r="N15" s="728"/>
      <c r="O15" s="727"/>
      <c r="P15" s="727"/>
      <c r="Q15" s="728"/>
      <c r="R15" s="728"/>
      <c r="S15" s="428"/>
      <c r="T15" s="428"/>
      <c r="U15" s="428"/>
      <c r="V15" s="428"/>
    </row>
    <row r="16" spans="1:22" s="425" customFormat="1" ht="39.75" customHeight="1">
      <c r="A16" s="731"/>
      <c r="B16" s="728"/>
      <c r="C16" s="732"/>
      <c r="D16" s="733"/>
      <c r="E16" s="727"/>
      <c r="F16" s="727"/>
      <c r="G16" s="727"/>
      <c r="H16" s="727"/>
      <c r="I16" s="728"/>
      <c r="J16" s="728"/>
      <c r="K16" s="728"/>
      <c r="L16" s="729"/>
      <c r="M16" s="728"/>
      <c r="N16" s="728"/>
      <c r="O16" s="727"/>
      <c r="P16" s="727"/>
      <c r="Q16" s="728"/>
      <c r="R16" s="728"/>
      <c r="S16" s="428"/>
      <c r="T16" s="428"/>
      <c r="U16" s="428"/>
      <c r="V16" s="428"/>
    </row>
    <row r="17" spans="1:22" s="425" customFormat="1" ht="39.75" customHeight="1">
      <c r="A17" s="731"/>
      <c r="B17" s="728"/>
      <c r="C17" s="732"/>
      <c r="D17" s="733"/>
      <c r="E17" s="727"/>
      <c r="F17" s="727"/>
      <c r="G17" s="727"/>
      <c r="H17" s="727"/>
      <c r="I17" s="728"/>
      <c r="J17" s="728"/>
      <c r="K17" s="728"/>
      <c r="L17" s="729"/>
      <c r="M17" s="728"/>
      <c r="N17" s="728"/>
      <c r="O17" s="727"/>
      <c r="P17" s="727"/>
      <c r="Q17" s="728"/>
      <c r="R17" s="728"/>
      <c r="S17" s="428"/>
      <c r="T17" s="428"/>
      <c r="U17" s="428"/>
      <c r="V17" s="428"/>
    </row>
    <row r="18" spans="1:22" s="425" customFormat="1" ht="39.75" customHeight="1">
      <c r="A18" s="731"/>
      <c r="B18" s="728"/>
      <c r="C18" s="732"/>
      <c r="D18" s="733"/>
      <c r="E18" s="727"/>
      <c r="F18" s="727"/>
      <c r="G18" s="727"/>
      <c r="H18" s="727"/>
      <c r="I18" s="728"/>
      <c r="J18" s="728"/>
      <c r="K18" s="728"/>
      <c r="L18" s="729"/>
      <c r="M18" s="728"/>
      <c r="N18" s="728"/>
      <c r="O18" s="727"/>
      <c r="P18" s="727"/>
      <c r="Q18" s="728"/>
      <c r="R18" s="728"/>
      <c r="S18" s="428"/>
      <c r="T18" s="428"/>
      <c r="U18" s="428"/>
      <c r="V18" s="428"/>
    </row>
    <row r="19" spans="1:22" s="425" customFormat="1" ht="39.75" customHeight="1">
      <c r="A19" s="731"/>
      <c r="B19" s="728"/>
      <c r="C19" s="732"/>
      <c r="D19" s="733"/>
      <c r="E19" s="727"/>
      <c r="F19" s="727"/>
      <c r="G19" s="727"/>
      <c r="H19" s="727"/>
      <c r="I19" s="728"/>
      <c r="J19" s="728"/>
      <c r="K19" s="728"/>
      <c r="L19" s="729"/>
      <c r="M19" s="728"/>
      <c r="N19" s="728"/>
      <c r="O19" s="727"/>
      <c r="P19" s="727"/>
      <c r="Q19" s="728"/>
      <c r="R19" s="728"/>
      <c r="S19" s="428"/>
      <c r="T19" s="428"/>
      <c r="U19" s="428"/>
      <c r="V19" s="428"/>
    </row>
    <row r="20" spans="1:22" s="425" customFormat="1" ht="39.75" customHeight="1">
      <c r="A20" s="731"/>
      <c r="B20" s="728"/>
      <c r="C20" s="732"/>
      <c r="D20" s="733"/>
      <c r="E20" s="727"/>
      <c r="F20" s="727"/>
      <c r="G20" s="727"/>
      <c r="H20" s="727"/>
      <c r="I20" s="728"/>
      <c r="J20" s="728"/>
      <c r="K20" s="728"/>
      <c r="L20" s="729"/>
      <c r="M20" s="728"/>
      <c r="N20" s="728"/>
      <c r="O20" s="727"/>
      <c r="P20" s="727"/>
      <c r="Q20" s="728"/>
      <c r="R20" s="728"/>
      <c r="S20" s="428"/>
      <c r="T20" s="428"/>
      <c r="U20" s="428"/>
      <c r="V20" s="428"/>
    </row>
    <row r="21" spans="1:22" s="425" customFormat="1" ht="39.75" customHeight="1">
      <c r="A21" s="731"/>
      <c r="B21" s="728"/>
      <c r="C21" s="732"/>
      <c r="D21" s="733"/>
      <c r="E21" s="727"/>
      <c r="F21" s="727"/>
      <c r="G21" s="727"/>
      <c r="H21" s="727"/>
      <c r="I21" s="728"/>
      <c r="J21" s="728"/>
      <c r="K21" s="728"/>
      <c r="L21" s="729"/>
      <c r="M21" s="728"/>
      <c r="N21" s="728"/>
      <c r="O21" s="727"/>
      <c r="P21" s="727"/>
      <c r="Q21" s="728"/>
      <c r="R21" s="728"/>
      <c r="S21" s="428"/>
      <c r="T21" s="428"/>
      <c r="U21" s="428"/>
      <c r="V21" s="428"/>
    </row>
    <row r="22" spans="1:22" s="425" customFormat="1" ht="39.75" customHeight="1">
      <c r="A22" s="731"/>
      <c r="B22" s="728"/>
      <c r="C22" s="732"/>
      <c r="D22" s="733"/>
      <c r="E22" s="727"/>
      <c r="F22" s="727"/>
      <c r="G22" s="727"/>
      <c r="H22" s="727"/>
      <c r="I22" s="728"/>
      <c r="J22" s="728"/>
      <c r="K22" s="728"/>
      <c r="L22" s="729"/>
      <c r="M22" s="728"/>
      <c r="N22" s="728"/>
      <c r="O22" s="727"/>
      <c r="P22" s="727"/>
      <c r="Q22" s="728"/>
      <c r="R22" s="728"/>
      <c r="S22" s="428"/>
      <c r="T22" s="428"/>
      <c r="U22" s="428"/>
      <c r="V22" s="428"/>
    </row>
    <row r="23" spans="1:22" s="425" customFormat="1" ht="39.75" customHeight="1">
      <c r="A23" s="731"/>
      <c r="B23" s="728"/>
      <c r="C23" s="734"/>
      <c r="D23" s="733"/>
      <c r="E23" s="727"/>
      <c r="F23" s="727"/>
      <c r="G23" s="727"/>
      <c r="H23" s="727"/>
      <c r="I23" s="728"/>
      <c r="J23" s="728"/>
      <c r="K23" s="728"/>
      <c r="L23" s="729"/>
      <c r="M23" s="728"/>
      <c r="N23" s="728"/>
      <c r="O23" s="727"/>
      <c r="P23" s="727"/>
      <c r="Q23" s="728"/>
      <c r="R23" s="728"/>
      <c r="S23" s="428"/>
      <c r="T23" s="428"/>
      <c r="U23" s="428"/>
      <c r="V23" s="428"/>
    </row>
    <row r="24" spans="1:22" s="425" customFormat="1" ht="39.75" customHeight="1">
      <c r="A24" s="731"/>
      <c r="B24" s="728"/>
      <c r="C24" s="732"/>
      <c r="D24" s="733"/>
      <c r="E24" s="727"/>
      <c r="F24" s="727"/>
      <c r="G24" s="727"/>
      <c r="H24" s="727"/>
      <c r="I24" s="728"/>
      <c r="J24" s="728"/>
      <c r="K24" s="728"/>
      <c r="L24" s="729"/>
      <c r="M24" s="728"/>
      <c r="N24" s="728"/>
      <c r="O24" s="727"/>
      <c r="P24" s="727"/>
      <c r="Q24" s="728"/>
      <c r="R24" s="728"/>
      <c r="S24" s="428"/>
      <c r="T24" s="428"/>
      <c r="U24" s="428"/>
      <c r="V24" s="428"/>
    </row>
    <row r="25" spans="1:22" s="425" customFormat="1" ht="39.75" customHeight="1">
      <c r="A25" s="731"/>
      <c r="B25" s="728"/>
      <c r="C25" s="732"/>
      <c r="D25" s="733"/>
      <c r="E25" s="727"/>
      <c r="F25" s="727"/>
      <c r="G25" s="727"/>
      <c r="H25" s="727"/>
      <c r="I25" s="728"/>
      <c r="J25" s="728"/>
      <c r="K25" s="728"/>
      <c r="L25" s="729"/>
      <c r="M25" s="728"/>
      <c r="N25" s="728"/>
      <c r="O25" s="727"/>
      <c r="P25" s="727"/>
      <c r="Q25" s="728"/>
      <c r="R25" s="728"/>
      <c r="S25" s="428"/>
      <c r="T25" s="428"/>
      <c r="U25" s="428"/>
      <c r="V25" s="428"/>
    </row>
    <row r="26" spans="1:22" s="425" customFormat="1" ht="39.75" customHeight="1">
      <c r="A26" s="731"/>
      <c r="B26" s="728"/>
      <c r="C26" s="732"/>
      <c r="D26" s="733"/>
      <c r="E26" s="727"/>
      <c r="F26" s="727"/>
      <c r="G26" s="727"/>
      <c r="H26" s="727"/>
      <c r="I26" s="728"/>
      <c r="J26" s="728"/>
      <c r="K26" s="728"/>
      <c r="L26" s="729"/>
      <c r="M26" s="728"/>
      <c r="N26" s="728"/>
      <c r="O26" s="727"/>
      <c r="P26" s="727"/>
      <c r="Q26" s="728"/>
      <c r="R26" s="728"/>
      <c r="S26" s="428"/>
      <c r="T26" s="428"/>
      <c r="U26" s="428"/>
      <c r="V26" s="428"/>
    </row>
    <row r="27" spans="1:22" s="425" customFormat="1" ht="39.75" customHeight="1">
      <c r="A27" s="731"/>
      <c r="B27" s="728"/>
      <c r="C27" s="732"/>
      <c r="D27" s="733"/>
      <c r="E27" s="727"/>
      <c r="F27" s="727"/>
      <c r="G27" s="727"/>
      <c r="H27" s="727"/>
      <c r="I27" s="728"/>
      <c r="J27" s="728"/>
      <c r="K27" s="728"/>
      <c r="L27" s="729"/>
      <c r="M27" s="728"/>
      <c r="N27" s="728"/>
      <c r="O27" s="727"/>
      <c r="P27" s="727"/>
      <c r="Q27" s="728"/>
      <c r="R27" s="728"/>
      <c r="S27" s="428"/>
      <c r="T27" s="428"/>
      <c r="U27" s="428"/>
      <c r="V27" s="428"/>
    </row>
    <row r="28" spans="1:22" s="425" customFormat="1" ht="39.75" customHeight="1">
      <c r="A28" s="731"/>
      <c r="B28" s="728"/>
      <c r="C28" s="734"/>
      <c r="D28" s="733"/>
      <c r="E28" s="727"/>
      <c r="F28" s="727"/>
      <c r="G28" s="727"/>
      <c r="H28" s="727"/>
      <c r="I28" s="728"/>
      <c r="J28" s="728"/>
      <c r="K28" s="728"/>
      <c r="L28" s="729"/>
      <c r="M28" s="728"/>
      <c r="N28" s="728"/>
      <c r="O28" s="727"/>
      <c r="P28" s="727"/>
      <c r="Q28" s="728"/>
      <c r="R28" s="728"/>
      <c r="S28" s="428"/>
      <c r="T28" s="428"/>
      <c r="U28" s="428"/>
      <c r="V28" s="428"/>
    </row>
    <row r="29" spans="1:22" s="425" customFormat="1" ht="39.75" customHeight="1">
      <c r="A29" s="731"/>
      <c r="B29" s="728"/>
      <c r="C29" s="732"/>
      <c r="D29" s="733"/>
      <c r="E29" s="727"/>
      <c r="F29" s="727"/>
      <c r="G29" s="727"/>
      <c r="H29" s="727"/>
      <c r="I29" s="728"/>
      <c r="J29" s="728"/>
      <c r="K29" s="728"/>
      <c r="L29" s="729"/>
      <c r="M29" s="728"/>
      <c r="N29" s="728"/>
      <c r="O29" s="727"/>
      <c r="P29" s="727"/>
      <c r="Q29" s="728"/>
      <c r="R29" s="728"/>
      <c r="S29" s="428"/>
      <c r="T29" s="428"/>
      <c r="U29" s="428"/>
      <c r="V29" s="428"/>
    </row>
    <row r="30" spans="1:22" s="425" customFormat="1" ht="39.75" customHeight="1">
      <c r="A30" s="731"/>
      <c r="B30" s="728"/>
      <c r="C30" s="732"/>
      <c r="D30" s="733"/>
      <c r="E30" s="727"/>
      <c r="F30" s="727"/>
      <c r="G30" s="727"/>
      <c r="H30" s="727"/>
      <c r="I30" s="728"/>
      <c r="J30" s="728"/>
      <c r="K30" s="728"/>
      <c r="L30" s="729"/>
      <c r="M30" s="728"/>
      <c r="N30" s="728"/>
      <c r="O30" s="727"/>
      <c r="P30" s="727"/>
      <c r="Q30" s="728"/>
      <c r="R30" s="728"/>
      <c r="S30" s="428"/>
      <c r="T30" s="428"/>
      <c r="U30" s="428"/>
      <c r="V30" s="428"/>
    </row>
    <row r="31" spans="1:22" s="425" customFormat="1" ht="39.75" customHeight="1">
      <c r="A31" s="731"/>
      <c r="B31" s="728"/>
      <c r="C31" s="732"/>
      <c r="D31" s="733"/>
      <c r="E31" s="727"/>
      <c r="F31" s="727"/>
      <c r="G31" s="727"/>
      <c r="H31" s="727"/>
      <c r="I31" s="728"/>
      <c r="J31" s="728"/>
      <c r="K31" s="728"/>
      <c r="L31" s="729"/>
      <c r="M31" s="728"/>
      <c r="N31" s="728"/>
      <c r="O31" s="727"/>
      <c r="P31" s="727"/>
      <c r="Q31" s="728"/>
      <c r="R31" s="728"/>
      <c r="S31" s="428"/>
      <c r="T31" s="428"/>
      <c r="U31" s="428"/>
      <c r="V31" s="428"/>
    </row>
    <row r="32" spans="1:22" s="425" customFormat="1" ht="39.75" customHeight="1">
      <c r="A32" s="731"/>
      <c r="B32" s="728"/>
      <c r="C32" s="732"/>
      <c r="D32" s="733"/>
      <c r="E32" s="727"/>
      <c r="F32" s="727"/>
      <c r="G32" s="727"/>
      <c r="H32" s="727"/>
      <c r="I32" s="728"/>
      <c r="J32" s="728"/>
      <c r="K32" s="728"/>
      <c r="L32" s="729"/>
      <c r="M32" s="728"/>
      <c r="N32" s="728"/>
      <c r="O32" s="727"/>
      <c r="P32" s="727"/>
      <c r="Q32" s="728"/>
      <c r="R32" s="728"/>
      <c r="S32" s="428"/>
      <c r="T32" s="428"/>
      <c r="U32" s="428"/>
      <c r="V32" s="428"/>
    </row>
    <row r="33" spans="1:22" s="425" customFormat="1" ht="39.75" customHeight="1">
      <c r="A33" s="731"/>
      <c r="B33" s="728"/>
      <c r="C33" s="732"/>
      <c r="D33" s="733"/>
      <c r="E33" s="727"/>
      <c r="F33" s="727"/>
      <c r="G33" s="727"/>
      <c r="H33" s="727"/>
      <c r="I33" s="728"/>
      <c r="J33" s="728"/>
      <c r="K33" s="728"/>
      <c r="L33" s="729"/>
      <c r="M33" s="728"/>
      <c r="N33" s="728"/>
      <c r="O33" s="727"/>
      <c r="P33" s="727"/>
      <c r="Q33" s="728"/>
      <c r="R33" s="728"/>
      <c r="S33" s="428"/>
      <c r="T33" s="428"/>
      <c r="U33" s="428"/>
      <c r="V33" s="428"/>
    </row>
    <row r="34" spans="1:22" s="425" customFormat="1" ht="39.75" customHeight="1">
      <c r="A34" s="731"/>
      <c r="B34" s="728"/>
      <c r="C34" s="732"/>
      <c r="D34" s="733"/>
      <c r="E34" s="727"/>
      <c r="F34" s="727"/>
      <c r="G34" s="727"/>
      <c r="H34" s="727"/>
      <c r="I34" s="728"/>
      <c r="J34" s="728"/>
      <c r="K34" s="728"/>
      <c r="L34" s="729"/>
      <c r="M34" s="728"/>
      <c r="N34" s="728"/>
      <c r="O34" s="727"/>
      <c r="P34" s="727"/>
      <c r="Q34" s="728"/>
      <c r="R34" s="728"/>
      <c r="S34" s="428"/>
      <c r="T34" s="428"/>
      <c r="U34" s="428"/>
      <c r="V34" s="428"/>
    </row>
    <row r="35" spans="1:22" s="425" customFormat="1" ht="39.75" customHeight="1">
      <c r="A35" s="731"/>
      <c r="B35" s="728"/>
      <c r="C35" s="732"/>
      <c r="D35" s="733"/>
      <c r="E35" s="727"/>
      <c r="F35" s="727"/>
      <c r="G35" s="727"/>
      <c r="H35" s="727"/>
      <c r="I35" s="728"/>
      <c r="J35" s="728"/>
      <c r="K35" s="728"/>
      <c r="L35" s="729"/>
      <c r="M35" s="728"/>
      <c r="N35" s="728"/>
      <c r="O35" s="727"/>
      <c r="P35" s="727"/>
      <c r="Q35" s="728"/>
      <c r="R35" s="728"/>
      <c r="S35" s="428"/>
      <c r="T35" s="428"/>
      <c r="U35" s="428"/>
      <c r="V35" s="428"/>
    </row>
    <row r="36" spans="1:22" s="425" customFormat="1" ht="39.75" customHeight="1">
      <c r="A36" s="731"/>
      <c r="B36" s="728"/>
      <c r="C36" s="732"/>
      <c r="D36" s="733"/>
      <c r="E36" s="727"/>
      <c r="F36" s="727"/>
      <c r="G36" s="727"/>
      <c r="H36" s="727"/>
      <c r="I36" s="728"/>
      <c r="J36" s="728"/>
      <c r="K36" s="728"/>
      <c r="L36" s="729"/>
      <c r="M36" s="728"/>
      <c r="N36" s="728"/>
      <c r="O36" s="727"/>
      <c r="P36" s="727"/>
      <c r="Q36" s="728"/>
      <c r="R36" s="728"/>
      <c r="S36" s="428"/>
      <c r="T36" s="428"/>
      <c r="U36" s="428"/>
      <c r="V36" s="428"/>
    </row>
    <row r="37" spans="1:22" s="425" customFormat="1" ht="39.75" customHeight="1">
      <c r="A37" s="731"/>
      <c r="B37" s="728"/>
      <c r="C37" s="732"/>
      <c r="D37" s="733"/>
      <c r="E37" s="727"/>
      <c r="F37" s="727"/>
      <c r="G37" s="727"/>
      <c r="H37" s="727"/>
      <c r="I37" s="728"/>
      <c r="J37" s="728"/>
      <c r="K37" s="728"/>
      <c r="L37" s="729"/>
      <c r="M37" s="728"/>
      <c r="N37" s="728"/>
      <c r="O37" s="727"/>
      <c r="P37" s="727"/>
      <c r="Q37" s="728"/>
      <c r="R37" s="728"/>
      <c r="S37" s="428"/>
      <c r="T37" s="428"/>
      <c r="U37" s="428"/>
      <c r="V37" s="428"/>
    </row>
    <row r="38" spans="1:22" s="425" customFormat="1" ht="39.75" customHeight="1">
      <c r="A38" s="731"/>
      <c r="B38" s="728"/>
      <c r="C38" s="732"/>
      <c r="D38" s="733"/>
      <c r="E38" s="727"/>
      <c r="F38" s="727"/>
      <c r="G38" s="727"/>
      <c r="H38" s="727"/>
      <c r="I38" s="728"/>
      <c r="J38" s="728"/>
      <c r="K38" s="728"/>
      <c r="L38" s="729"/>
      <c r="M38" s="728"/>
      <c r="N38" s="728"/>
      <c r="O38" s="727"/>
      <c r="P38" s="727"/>
      <c r="Q38" s="728"/>
      <c r="R38" s="728"/>
      <c r="S38" s="428"/>
      <c r="T38" s="428"/>
      <c r="U38" s="428"/>
      <c r="V38" s="428"/>
    </row>
    <row r="39" spans="1:22" s="425" customFormat="1" ht="39.75" customHeight="1">
      <c r="A39" s="731"/>
      <c r="B39" s="728"/>
      <c r="C39" s="732"/>
      <c r="D39" s="733"/>
      <c r="E39" s="727"/>
      <c r="F39" s="727"/>
      <c r="G39" s="727"/>
      <c r="H39" s="727"/>
      <c r="I39" s="728"/>
      <c r="J39" s="728"/>
      <c r="K39" s="728"/>
      <c r="L39" s="729"/>
      <c r="M39" s="728"/>
      <c r="N39" s="728"/>
      <c r="O39" s="727"/>
      <c r="P39" s="727"/>
      <c r="Q39" s="728"/>
      <c r="R39" s="728"/>
      <c r="S39" s="428"/>
      <c r="T39" s="428"/>
      <c r="U39" s="428"/>
      <c r="V39" s="428"/>
    </row>
    <row r="40" spans="1:22" s="425" customFormat="1" ht="39.75" customHeight="1">
      <c r="A40" s="731"/>
      <c r="B40" s="728"/>
      <c r="C40" s="732"/>
      <c r="D40" s="733"/>
      <c r="E40" s="727"/>
      <c r="F40" s="727"/>
      <c r="G40" s="727"/>
      <c r="H40" s="727"/>
      <c r="I40" s="728"/>
      <c r="J40" s="728"/>
      <c r="K40" s="728"/>
      <c r="L40" s="729"/>
      <c r="M40" s="728"/>
      <c r="N40" s="728"/>
      <c r="O40" s="727"/>
      <c r="P40" s="727"/>
      <c r="Q40" s="728"/>
      <c r="R40" s="728"/>
      <c r="S40" s="428"/>
      <c r="T40" s="428"/>
      <c r="U40" s="428"/>
      <c r="V40" s="428"/>
    </row>
    <row r="41" spans="1:22" s="425" customFormat="1" ht="39.75" customHeight="1">
      <c r="A41" s="731"/>
      <c r="B41" s="728"/>
      <c r="C41" s="734"/>
      <c r="D41" s="733"/>
      <c r="E41" s="727"/>
      <c r="F41" s="727"/>
      <c r="G41" s="727"/>
      <c r="H41" s="727"/>
      <c r="I41" s="728"/>
      <c r="J41" s="728"/>
      <c r="K41" s="728"/>
      <c r="L41" s="729"/>
      <c r="M41" s="728"/>
      <c r="N41" s="728"/>
      <c r="O41" s="727"/>
      <c r="P41" s="727"/>
      <c r="Q41" s="728"/>
      <c r="R41" s="728"/>
      <c r="S41" s="428"/>
      <c r="T41" s="428"/>
      <c r="U41" s="428"/>
      <c r="V41" s="428"/>
    </row>
    <row r="42" spans="1:22" s="425" customFormat="1" ht="39.75" customHeight="1">
      <c r="A42" s="731"/>
      <c r="B42" s="728"/>
      <c r="C42" s="732"/>
      <c r="D42" s="733"/>
      <c r="E42" s="727"/>
      <c r="F42" s="727"/>
      <c r="G42" s="727"/>
      <c r="H42" s="727"/>
      <c r="I42" s="728"/>
      <c r="J42" s="728"/>
      <c r="K42" s="728"/>
      <c r="L42" s="729"/>
      <c r="M42" s="728"/>
      <c r="N42" s="728"/>
      <c r="O42" s="727"/>
      <c r="P42" s="727"/>
      <c r="Q42" s="728"/>
      <c r="R42" s="728"/>
      <c r="S42" s="428"/>
      <c r="T42" s="428"/>
      <c r="U42" s="428"/>
      <c r="V42" s="428"/>
    </row>
    <row r="43" spans="1:22" s="425" customFormat="1" ht="39.75" customHeight="1">
      <c r="A43" s="731"/>
      <c r="B43" s="728"/>
      <c r="C43" s="732"/>
      <c r="D43" s="733"/>
      <c r="E43" s="727"/>
      <c r="F43" s="727"/>
      <c r="G43" s="727"/>
      <c r="H43" s="727"/>
      <c r="I43" s="728"/>
      <c r="J43" s="728"/>
      <c r="K43" s="728"/>
      <c r="L43" s="729"/>
      <c r="M43" s="728"/>
      <c r="N43" s="728"/>
      <c r="O43" s="727"/>
      <c r="P43" s="727"/>
      <c r="Q43" s="728"/>
      <c r="R43" s="728"/>
      <c r="S43" s="428"/>
      <c r="T43" s="428"/>
      <c r="U43" s="428"/>
      <c r="V43" s="428"/>
    </row>
    <row r="44" spans="1:22" s="425" customFormat="1" ht="39.75" customHeight="1">
      <c r="A44" s="731"/>
      <c r="B44" s="728"/>
      <c r="C44" s="732"/>
      <c r="D44" s="733"/>
      <c r="E44" s="727"/>
      <c r="F44" s="727"/>
      <c r="G44" s="727"/>
      <c r="H44" s="727"/>
      <c r="I44" s="728"/>
      <c r="J44" s="728"/>
      <c r="K44" s="728"/>
      <c r="L44" s="729"/>
      <c r="M44" s="728"/>
      <c r="N44" s="728"/>
      <c r="O44" s="727"/>
      <c r="P44" s="727"/>
      <c r="Q44" s="728"/>
      <c r="R44" s="728"/>
      <c r="S44" s="428"/>
      <c r="T44" s="428"/>
      <c r="U44" s="428"/>
      <c r="V44" s="428"/>
    </row>
    <row r="45" spans="1:22" s="425" customFormat="1" ht="39.75" customHeight="1">
      <c r="A45" s="731"/>
      <c r="B45" s="728"/>
      <c r="C45" s="732"/>
      <c r="D45" s="733"/>
      <c r="E45" s="727"/>
      <c r="F45" s="727"/>
      <c r="G45" s="727"/>
      <c r="H45" s="727"/>
      <c r="I45" s="728"/>
      <c r="J45" s="728"/>
      <c r="K45" s="728"/>
      <c r="L45" s="729"/>
      <c r="M45" s="728"/>
      <c r="N45" s="728"/>
      <c r="O45" s="727"/>
      <c r="P45" s="727"/>
      <c r="Q45" s="728"/>
      <c r="R45" s="728"/>
      <c r="S45" s="428"/>
      <c r="T45" s="428"/>
      <c r="U45" s="428"/>
      <c r="V45" s="428"/>
    </row>
    <row r="46" spans="1:22" s="425" customFormat="1" ht="39.75" customHeight="1">
      <c r="A46" s="731"/>
      <c r="B46" s="728"/>
      <c r="C46" s="732"/>
      <c r="D46" s="733"/>
      <c r="E46" s="727"/>
      <c r="F46" s="727"/>
      <c r="G46" s="727"/>
      <c r="H46" s="727"/>
      <c r="I46" s="728"/>
      <c r="J46" s="728"/>
      <c r="K46" s="728"/>
      <c r="L46" s="729"/>
      <c r="M46" s="728"/>
      <c r="N46" s="728"/>
      <c r="O46" s="727"/>
      <c r="P46" s="727"/>
      <c r="Q46" s="728"/>
      <c r="R46" s="728"/>
      <c r="S46" s="428"/>
      <c r="T46" s="428"/>
      <c r="U46" s="428"/>
      <c r="V46" s="428"/>
    </row>
    <row r="47" spans="1:22" s="425" customFormat="1" ht="39.75" customHeight="1">
      <c r="A47" s="731"/>
      <c r="B47" s="728"/>
      <c r="C47" s="732"/>
      <c r="D47" s="733"/>
      <c r="E47" s="727"/>
      <c r="F47" s="727"/>
      <c r="G47" s="727"/>
      <c r="H47" s="727"/>
      <c r="I47" s="728"/>
      <c r="J47" s="728"/>
      <c r="K47" s="728"/>
      <c r="L47" s="729"/>
      <c r="M47" s="728"/>
      <c r="N47" s="728"/>
      <c r="O47" s="727"/>
      <c r="P47" s="727"/>
      <c r="Q47" s="728"/>
      <c r="R47" s="728"/>
      <c r="S47" s="428"/>
      <c r="T47" s="428"/>
      <c r="U47" s="428"/>
      <c r="V47" s="428"/>
    </row>
    <row r="48" spans="1:22" s="425" customFormat="1" ht="39.75" customHeight="1">
      <c r="A48" s="731"/>
      <c r="B48" s="728"/>
      <c r="C48" s="732"/>
      <c r="D48" s="733"/>
      <c r="E48" s="727"/>
      <c r="F48" s="727"/>
      <c r="G48" s="727"/>
      <c r="H48" s="727"/>
      <c r="I48" s="728"/>
      <c r="J48" s="728"/>
      <c r="K48" s="728"/>
      <c r="L48" s="729"/>
      <c r="M48" s="728"/>
      <c r="N48" s="728"/>
      <c r="O48" s="727"/>
      <c r="P48" s="727"/>
      <c r="Q48" s="728"/>
      <c r="R48" s="728"/>
      <c r="S48" s="428"/>
      <c r="T48" s="428"/>
      <c r="U48" s="428"/>
      <c r="V48" s="428"/>
    </row>
    <row r="49" spans="1:22" s="425" customFormat="1" ht="39.75" customHeight="1">
      <c r="A49" s="731"/>
      <c r="B49" s="728"/>
      <c r="C49" s="732"/>
      <c r="D49" s="733"/>
      <c r="E49" s="727"/>
      <c r="F49" s="727"/>
      <c r="G49" s="727"/>
      <c r="H49" s="727"/>
      <c r="I49" s="728"/>
      <c r="J49" s="728"/>
      <c r="K49" s="728"/>
      <c r="L49" s="729"/>
      <c r="M49" s="728"/>
      <c r="N49" s="728"/>
      <c r="O49" s="727"/>
      <c r="P49" s="727"/>
      <c r="Q49" s="728"/>
      <c r="R49" s="728"/>
      <c r="S49" s="428"/>
      <c r="T49" s="428"/>
      <c r="U49" s="428"/>
      <c r="V49" s="428"/>
    </row>
    <row r="50" spans="1:22" s="425" customFormat="1" ht="39.75" customHeight="1">
      <c r="A50" s="731"/>
      <c r="B50" s="728"/>
      <c r="C50" s="732"/>
      <c r="D50" s="733"/>
      <c r="E50" s="727"/>
      <c r="F50" s="727"/>
      <c r="G50" s="727"/>
      <c r="H50" s="727"/>
      <c r="I50" s="728"/>
      <c r="J50" s="728"/>
      <c r="K50" s="728"/>
      <c r="L50" s="729"/>
      <c r="M50" s="728"/>
      <c r="N50" s="728"/>
      <c r="O50" s="727"/>
      <c r="P50" s="727"/>
      <c r="Q50" s="728"/>
      <c r="R50" s="728"/>
      <c r="S50" s="428"/>
      <c r="T50" s="428"/>
      <c r="U50" s="428"/>
      <c r="V50" s="428"/>
    </row>
    <row r="51" spans="1:22" s="425" customFormat="1" ht="39.75" customHeight="1">
      <c r="A51" s="731"/>
      <c r="B51" s="728"/>
      <c r="C51" s="732"/>
      <c r="D51" s="733"/>
      <c r="E51" s="727"/>
      <c r="F51" s="727"/>
      <c r="G51" s="727"/>
      <c r="H51" s="727"/>
      <c r="I51" s="728"/>
      <c r="J51" s="728"/>
      <c r="K51" s="728"/>
      <c r="L51" s="729"/>
      <c r="M51" s="728"/>
      <c r="N51" s="728"/>
      <c r="O51" s="727"/>
      <c r="P51" s="727"/>
      <c r="Q51" s="728"/>
      <c r="R51" s="728"/>
      <c r="S51" s="428"/>
      <c r="T51" s="428"/>
      <c r="U51" s="428"/>
      <c r="V51" s="428"/>
    </row>
    <row r="52" spans="1:22" s="425" customFormat="1" ht="39.75" customHeight="1">
      <c r="A52" s="731"/>
      <c r="B52" s="728"/>
      <c r="C52" s="732"/>
      <c r="D52" s="733"/>
      <c r="E52" s="727"/>
      <c r="F52" s="727"/>
      <c r="G52" s="727"/>
      <c r="H52" s="727"/>
      <c r="I52" s="728"/>
      <c r="J52" s="728"/>
      <c r="K52" s="728"/>
      <c r="L52" s="729"/>
      <c r="M52" s="728"/>
      <c r="N52" s="728"/>
      <c r="O52" s="727"/>
      <c r="P52" s="727"/>
      <c r="Q52" s="728"/>
      <c r="R52" s="728"/>
      <c r="S52" s="428"/>
      <c r="T52" s="428"/>
      <c r="U52" s="428"/>
      <c r="V52" s="428"/>
    </row>
    <row r="53" spans="1:22" s="425" customFormat="1" ht="39.75" customHeight="1">
      <c r="A53" s="731"/>
      <c r="B53" s="728"/>
      <c r="C53" s="732"/>
      <c r="D53" s="733"/>
      <c r="E53" s="727"/>
      <c r="F53" s="727"/>
      <c r="G53" s="727"/>
      <c r="H53" s="727"/>
      <c r="I53" s="728"/>
      <c r="J53" s="728"/>
      <c r="K53" s="728"/>
      <c r="L53" s="729"/>
      <c r="M53" s="728"/>
      <c r="N53" s="728"/>
      <c r="O53" s="727"/>
      <c r="P53" s="727"/>
      <c r="Q53" s="728"/>
      <c r="R53" s="728"/>
      <c r="S53" s="428"/>
      <c r="T53" s="428"/>
      <c r="U53" s="428"/>
      <c r="V53" s="428"/>
    </row>
    <row r="54" spans="1:22" s="425" customFormat="1" ht="45.6" customHeight="1">
      <c r="A54" s="731"/>
      <c r="B54" s="728"/>
      <c r="C54" s="732"/>
      <c r="D54" s="733"/>
      <c r="E54" s="727"/>
      <c r="F54" s="727"/>
      <c r="G54" s="727"/>
      <c r="H54" s="727"/>
      <c r="I54" s="728"/>
      <c r="J54" s="728"/>
      <c r="K54" s="728"/>
      <c r="L54" s="729"/>
      <c r="M54" s="728"/>
      <c r="N54" s="728"/>
      <c r="O54" s="727"/>
      <c r="P54" s="727"/>
      <c r="Q54" s="728"/>
      <c r="R54" s="728"/>
      <c r="S54" s="428"/>
      <c r="T54" s="428"/>
      <c r="U54" s="428"/>
      <c r="V54" s="428"/>
    </row>
    <row r="55" spans="1:22" s="425" customFormat="1" ht="45.6" customHeight="1">
      <c r="A55" s="731"/>
      <c r="B55" s="728"/>
      <c r="C55" s="732"/>
      <c r="D55" s="733"/>
      <c r="E55" s="727"/>
      <c r="F55" s="727"/>
      <c r="G55" s="727"/>
      <c r="H55" s="727"/>
      <c r="I55" s="728"/>
      <c r="J55" s="728"/>
      <c r="K55" s="728"/>
      <c r="L55" s="729"/>
      <c r="M55" s="728"/>
      <c r="N55" s="728"/>
      <c r="O55" s="727"/>
      <c r="P55" s="727"/>
      <c r="Q55" s="728"/>
      <c r="R55" s="728"/>
      <c r="S55" s="428"/>
      <c r="T55" s="428"/>
      <c r="U55" s="428"/>
      <c r="V55" s="428"/>
    </row>
    <row r="56" spans="1:22" s="425" customFormat="1" ht="45.6" customHeight="1">
      <c r="A56" s="731"/>
      <c r="B56" s="728"/>
      <c r="C56" s="732"/>
      <c r="D56" s="733"/>
      <c r="E56" s="727"/>
      <c r="F56" s="727"/>
      <c r="G56" s="727"/>
      <c r="H56" s="727"/>
      <c r="I56" s="728"/>
      <c r="J56" s="728"/>
      <c r="K56" s="728"/>
      <c r="L56" s="729"/>
      <c r="M56" s="728"/>
      <c r="N56" s="728"/>
      <c r="O56" s="727"/>
      <c r="P56" s="727"/>
      <c r="Q56" s="728"/>
      <c r="R56" s="728"/>
      <c r="S56" s="428"/>
      <c r="T56" s="428"/>
      <c r="U56" s="428"/>
      <c r="V56" s="428"/>
    </row>
    <row r="57" spans="1:22" s="425" customFormat="1" ht="45.6" customHeight="1">
      <c r="A57" s="731"/>
      <c r="B57" s="728"/>
      <c r="C57" s="732"/>
      <c r="D57" s="733"/>
      <c r="E57" s="727"/>
      <c r="F57" s="727"/>
      <c r="G57" s="727"/>
      <c r="H57" s="727"/>
      <c r="I57" s="728"/>
      <c r="J57" s="728"/>
      <c r="K57" s="728"/>
      <c r="L57" s="729"/>
      <c r="M57" s="728"/>
      <c r="N57" s="728"/>
      <c r="O57" s="727"/>
      <c r="P57" s="727"/>
      <c r="Q57" s="728"/>
      <c r="R57" s="728"/>
      <c r="S57" s="428"/>
      <c r="T57" s="428"/>
      <c r="U57" s="428"/>
      <c r="V57" s="428"/>
    </row>
    <row r="58" spans="1:22" s="425" customFormat="1" ht="45.6" customHeight="1">
      <c r="A58" s="731"/>
      <c r="B58" s="728"/>
      <c r="C58" s="732"/>
      <c r="D58" s="733"/>
      <c r="E58" s="727"/>
      <c r="F58" s="727"/>
      <c r="G58" s="727"/>
      <c r="H58" s="727"/>
      <c r="I58" s="728"/>
      <c r="J58" s="728"/>
      <c r="K58" s="728"/>
      <c r="L58" s="729"/>
      <c r="M58" s="728"/>
      <c r="N58" s="728"/>
      <c r="O58" s="727"/>
      <c r="P58" s="727"/>
      <c r="Q58" s="728"/>
      <c r="R58" s="728"/>
      <c r="S58" s="428"/>
      <c r="T58" s="428"/>
      <c r="U58" s="428"/>
      <c r="V58" s="428"/>
    </row>
    <row r="59" spans="1:22" s="425" customFormat="1" ht="45.6" customHeight="1">
      <c r="A59" s="731"/>
      <c r="B59" s="728"/>
      <c r="C59" s="732"/>
      <c r="D59" s="733"/>
      <c r="E59" s="727"/>
      <c r="F59" s="727"/>
      <c r="G59" s="727"/>
      <c r="H59" s="727"/>
      <c r="I59" s="728"/>
      <c r="J59" s="728"/>
      <c r="K59" s="728"/>
      <c r="L59" s="729"/>
      <c r="M59" s="728"/>
      <c r="N59" s="728"/>
      <c r="O59" s="727"/>
      <c r="P59" s="727"/>
      <c r="Q59" s="728"/>
      <c r="R59" s="728"/>
      <c r="S59" s="428"/>
      <c r="T59" s="428"/>
      <c r="U59" s="428"/>
      <c r="V59" s="428"/>
    </row>
    <row r="60" spans="1:22" s="425" customFormat="1" ht="45.6" customHeight="1">
      <c r="A60" s="731"/>
      <c r="B60" s="728"/>
      <c r="C60" s="732"/>
      <c r="D60" s="733"/>
      <c r="E60" s="727"/>
      <c r="F60" s="727"/>
      <c r="G60" s="727"/>
      <c r="H60" s="727"/>
      <c r="I60" s="728"/>
      <c r="J60" s="728"/>
      <c r="K60" s="728"/>
      <c r="L60" s="729"/>
      <c r="M60" s="728"/>
      <c r="N60" s="728"/>
      <c r="O60" s="727"/>
      <c r="P60" s="727"/>
      <c r="Q60" s="728"/>
      <c r="R60" s="728"/>
      <c r="S60" s="428"/>
      <c r="T60" s="428"/>
      <c r="U60" s="428"/>
      <c r="V60" s="428"/>
    </row>
    <row r="61" spans="1:22" s="425" customFormat="1" ht="45.6" customHeight="1">
      <c r="A61" s="731"/>
      <c r="B61" s="728"/>
      <c r="C61" s="732"/>
      <c r="D61" s="733"/>
      <c r="E61" s="727"/>
      <c r="F61" s="727"/>
      <c r="G61" s="727"/>
      <c r="H61" s="727"/>
      <c r="I61" s="728"/>
      <c r="J61" s="728"/>
      <c r="K61" s="728"/>
      <c r="L61" s="729"/>
      <c r="M61" s="728"/>
      <c r="N61" s="728"/>
      <c r="O61" s="727"/>
      <c r="P61" s="727"/>
      <c r="Q61" s="728"/>
      <c r="R61" s="728"/>
      <c r="S61" s="428"/>
      <c r="T61" s="428"/>
      <c r="U61" s="428"/>
      <c r="V61" s="428"/>
    </row>
    <row r="62" spans="1:22" s="425" customFormat="1" ht="45.6" customHeight="1">
      <c r="A62" s="731"/>
      <c r="B62" s="728"/>
      <c r="C62" s="732"/>
      <c r="D62" s="733"/>
      <c r="E62" s="727"/>
      <c r="F62" s="727"/>
      <c r="G62" s="727"/>
      <c r="H62" s="727"/>
      <c r="I62" s="728"/>
      <c r="J62" s="728"/>
      <c r="K62" s="728"/>
      <c r="L62" s="729"/>
      <c r="M62" s="728"/>
      <c r="N62" s="728"/>
      <c r="O62" s="727"/>
      <c r="P62" s="727"/>
      <c r="Q62" s="728"/>
      <c r="R62" s="728"/>
      <c r="S62" s="428"/>
      <c r="T62" s="428"/>
      <c r="U62" s="428"/>
      <c r="V62" s="428"/>
    </row>
    <row r="63" spans="1:22" s="425" customFormat="1" ht="45.6" customHeight="1">
      <c r="A63" s="731"/>
      <c r="B63" s="728"/>
      <c r="C63" s="732"/>
      <c r="D63" s="733"/>
      <c r="E63" s="727"/>
      <c r="F63" s="727"/>
      <c r="G63" s="727"/>
      <c r="H63" s="727"/>
      <c r="I63" s="728"/>
      <c r="J63" s="728"/>
      <c r="K63" s="728"/>
      <c r="L63" s="729"/>
      <c r="M63" s="728"/>
      <c r="N63" s="728"/>
      <c r="O63" s="727"/>
      <c r="P63" s="727"/>
      <c r="Q63" s="728"/>
      <c r="R63" s="728"/>
      <c r="S63" s="428"/>
      <c r="T63" s="428"/>
      <c r="U63" s="428"/>
      <c r="V63" s="428"/>
    </row>
    <row r="64" spans="1:22" s="425" customFormat="1" ht="39.75" customHeight="1">
      <c r="A64" s="731"/>
      <c r="B64" s="728"/>
      <c r="C64" s="732"/>
      <c r="D64" s="733"/>
      <c r="E64" s="727"/>
      <c r="F64" s="727"/>
      <c r="G64" s="727"/>
      <c r="H64" s="727"/>
      <c r="I64" s="728"/>
      <c r="J64" s="728"/>
      <c r="K64" s="728"/>
      <c r="L64" s="729"/>
      <c r="M64" s="728"/>
      <c r="N64" s="728"/>
      <c r="O64" s="727"/>
      <c r="P64" s="727"/>
      <c r="Q64" s="728"/>
      <c r="R64" s="728"/>
      <c r="S64" s="428"/>
      <c r="T64" s="428"/>
      <c r="U64" s="428"/>
      <c r="V64" s="428"/>
    </row>
    <row r="65" spans="1:22" s="425" customFormat="1" ht="39.75" customHeight="1">
      <c r="A65" s="731"/>
      <c r="B65" s="728"/>
      <c r="C65" s="732"/>
      <c r="D65" s="733"/>
      <c r="E65" s="727"/>
      <c r="F65" s="727"/>
      <c r="G65" s="727"/>
      <c r="H65" s="727"/>
      <c r="I65" s="728"/>
      <c r="J65" s="728"/>
      <c r="K65" s="728"/>
      <c r="L65" s="729"/>
      <c r="M65" s="728"/>
      <c r="N65" s="728"/>
      <c r="O65" s="727"/>
      <c r="P65" s="727"/>
      <c r="Q65" s="728"/>
      <c r="R65" s="728"/>
      <c r="S65" s="428"/>
      <c r="T65" s="428"/>
      <c r="U65" s="428"/>
      <c r="V65" s="428"/>
    </row>
    <row r="66" spans="1:22" s="425" customFormat="1" ht="39.75" customHeight="1">
      <c r="A66" s="731"/>
      <c r="B66" s="728"/>
      <c r="C66" s="732"/>
      <c r="D66" s="733"/>
      <c r="E66" s="727"/>
      <c r="F66" s="727"/>
      <c r="G66" s="727"/>
      <c r="H66" s="727"/>
      <c r="I66" s="728"/>
      <c r="J66" s="728"/>
      <c r="K66" s="728"/>
      <c r="L66" s="729"/>
      <c r="M66" s="728"/>
      <c r="N66" s="728"/>
      <c r="O66" s="727"/>
      <c r="P66" s="727"/>
      <c r="Q66" s="728"/>
      <c r="R66" s="728"/>
      <c r="S66" s="428"/>
      <c r="T66" s="428"/>
      <c r="U66" s="428"/>
      <c r="V66" s="428"/>
    </row>
    <row r="67" spans="1:22" s="425" customFormat="1" ht="39.75" customHeight="1">
      <c r="A67" s="731"/>
      <c r="B67" s="728"/>
      <c r="C67" s="732"/>
      <c r="D67" s="733"/>
      <c r="E67" s="727"/>
      <c r="F67" s="727"/>
      <c r="G67" s="727"/>
      <c r="H67" s="727"/>
      <c r="I67" s="728"/>
      <c r="J67" s="728"/>
      <c r="K67" s="728"/>
      <c r="L67" s="729"/>
      <c r="M67" s="728"/>
      <c r="N67" s="728"/>
      <c r="O67" s="727"/>
      <c r="P67" s="727"/>
      <c r="Q67" s="728"/>
      <c r="R67" s="728"/>
      <c r="S67" s="428"/>
      <c r="T67" s="428"/>
      <c r="U67" s="428"/>
      <c r="V67" s="428"/>
    </row>
    <row r="68" spans="1:22" s="425" customFormat="1" ht="39.75" customHeight="1">
      <c r="A68" s="731"/>
      <c r="B68" s="728"/>
      <c r="C68" s="732"/>
      <c r="D68" s="733"/>
      <c r="E68" s="727"/>
      <c r="F68" s="727"/>
      <c r="G68" s="727"/>
      <c r="H68" s="727"/>
      <c r="I68" s="728"/>
      <c r="J68" s="728"/>
      <c r="K68" s="728"/>
      <c r="L68" s="729"/>
      <c r="M68" s="728"/>
      <c r="N68" s="728"/>
      <c r="O68" s="727"/>
      <c r="P68" s="727"/>
      <c r="Q68" s="728"/>
      <c r="R68" s="728"/>
      <c r="S68" s="428"/>
      <c r="T68" s="428"/>
      <c r="U68" s="428"/>
      <c r="V68" s="428"/>
    </row>
    <row r="69" spans="1:22" s="425" customFormat="1" ht="39.75" customHeight="1">
      <c r="A69" s="731"/>
      <c r="B69" s="728"/>
      <c r="C69" s="732"/>
      <c r="D69" s="733"/>
      <c r="E69" s="727"/>
      <c r="F69" s="727"/>
      <c r="G69" s="727"/>
      <c r="H69" s="727"/>
      <c r="I69" s="728"/>
      <c r="J69" s="728"/>
      <c r="K69" s="728"/>
      <c r="L69" s="729"/>
      <c r="M69" s="728"/>
      <c r="N69" s="728"/>
      <c r="O69" s="727"/>
      <c r="P69" s="727"/>
      <c r="Q69" s="728"/>
      <c r="R69" s="728"/>
      <c r="S69" s="428"/>
      <c r="T69" s="428"/>
      <c r="U69" s="428"/>
      <c r="V69" s="428"/>
    </row>
    <row r="70" spans="1:22" s="425" customFormat="1" ht="39.75" customHeight="1">
      <c r="A70" s="731"/>
      <c r="B70" s="728"/>
      <c r="C70" s="732"/>
      <c r="D70" s="733"/>
      <c r="E70" s="727"/>
      <c r="F70" s="727"/>
      <c r="G70" s="727"/>
      <c r="H70" s="727"/>
      <c r="I70" s="728"/>
      <c r="J70" s="728"/>
      <c r="K70" s="728"/>
      <c r="L70" s="729"/>
      <c r="M70" s="728"/>
      <c r="N70" s="728"/>
      <c r="O70" s="727"/>
      <c r="P70" s="727"/>
      <c r="Q70" s="728"/>
      <c r="R70" s="728"/>
      <c r="S70" s="428"/>
      <c r="T70" s="428"/>
      <c r="U70" s="428"/>
      <c r="V70" s="428"/>
    </row>
    <row r="71" spans="1:22" s="425" customFormat="1" ht="39.75" customHeight="1">
      <c r="A71" s="731"/>
      <c r="B71" s="728"/>
      <c r="C71" s="732"/>
      <c r="D71" s="733"/>
      <c r="E71" s="727"/>
      <c r="F71" s="727"/>
      <c r="G71" s="727"/>
      <c r="H71" s="727"/>
      <c r="I71" s="728"/>
      <c r="J71" s="728"/>
      <c r="K71" s="728"/>
      <c r="L71" s="729"/>
      <c r="M71" s="728"/>
      <c r="N71" s="728"/>
      <c r="O71" s="727"/>
      <c r="P71" s="727"/>
      <c r="Q71" s="728"/>
      <c r="R71" s="728"/>
      <c r="S71" s="428"/>
      <c r="T71" s="428"/>
      <c r="U71" s="428"/>
      <c r="V71" s="428"/>
    </row>
    <row r="72" spans="1:22" s="425" customFormat="1" ht="39.75" customHeight="1">
      <c r="A72" s="731"/>
      <c r="B72" s="728"/>
      <c r="C72" s="732"/>
      <c r="D72" s="733"/>
      <c r="E72" s="727"/>
      <c r="F72" s="727"/>
      <c r="G72" s="727"/>
      <c r="H72" s="727"/>
      <c r="I72" s="728"/>
      <c r="J72" s="728"/>
      <c r="K72" s="728"/>
      <c r="L72" s="729"/>
      <c r="M72" s="728"/>
      <c r="N72" s="728"/>
      <c r="O72" s="727"/>
      <c r="P72" s="727"/>
      <c r="Q72" s="728"/>
      <c r="R72" s="728"/>
      <c r="S72" s="428"/>
      <c r="T72" s="428"/>
      <c r="U72" s="428"/>
      <c r="V72" s="428"/>
    </row>
    <row r="73" spans="1:22" s="425" customFormat="1" ht="39.75" customHeight="1">
      <c r="A73" s="731"/>
      <c r="B73" s="728"/>
      <c r="C73" s="732"/>
      <c r="D73" s="733"/>
      <c r="E73" s="727"/>
      <c r="F73" s="727"/>
      <c r="G73" s="727"/>
      <c r="H73" s="727"/>
      <c r="I73" s="728"/>
      <c r="J73" s="728"/>
      <c r="K73" s="728"/>
      <c r="L73" s="729"/>
      <c r="M73" s="728"/>
      <c r="N73" s="728"/>
      <c r="O73" s="727"/>
      <c r="P73" s="727"/>
      <c r="Q73" s="728"/>
      <c r="R73" s="728"/>
      <c r="S73" s="428"/>
      <c r="T73" s="428"/>
      <c r="U73" s="428"/>
      <c r="V73" s="428"/>
    </row>
    <row r="74" spans="1:22" s="425" customFormat="1" ht="39.75" customHeight="1">
      <c r="A74" s="731"/>
      <c r="B74" s="728"/>
      <c r="C74" s="732"/>
      <c r="D74" s="733"/>
      <c r="E74" s="727"/>
      <c r="F74" s="727"/>
      <c r="G74" s="727"/>
      <c r="H74" s="727"/>
      <c r="I74" s="728"/>
      <c r="J74" s="728"/>
      <c r="K74" s="728"/>
      <c r="L74" s="729"/>
      <c r="M74" s="728"/>
      <c r="N74" s="728"/>
      <c r="O74" s="727"/>
      <c r="P74" s="727"/>
      <c r="Q74" s="728"/>
      <c r="R74" s="728"/>
      <c r="S74" s="428"/>
      <c r="T74" s="428"/>
      <c r="U74" s="428"/>
      <c r="V74" s="428"/>
    </row>
    <row r="75" spans="1:22" s="425" customFormat="1" ht="39.75" customHeight="1">
      <c r="A75" s="731"/>
      <c r="B75" s="728"/>
      <c r="C75" s="732"/>
      <c r="D75" s="733"/>
      <c r="E75" s="727"/>
      <c r="F75" s="727"/>
      <c r="G75" s="727"/>
      <c r="H75" s="727"/>
      <c r="I75" s="728"/>
      <c r="J75" s="728"/>
      <c r="K75" s="728"/>
      <c r="L75" s="729"/>
      <c r="M75" s="728"/>
      <c r="N75" s="728"/>
      <c r="O75" s="727"/>
      <c r="P75" s="727"/>
      <c r="Q75" s="728"/>
      <c r="R75" s="728"/>
      <c r="S75" s="428"/>
      <c r="T75" s="428"/>
      <c r="U75" s="428"/>
      <c r="V75" s="428"/>
    </row>
    <row r="76" spans="1:22" s="425" customFormat="1" ht="39.75" customHeight="1">
      <c r="A76" s="731"/>
      <c r="B76" s="728"/>
      <c r="C76" s="732"/>
      <c r="D76" s="733"/>
      <c r="E76" s="727"/>
      <c r="F76" s="727"/>
      <c r="G76" s="727"/>
      <c r="H76" s="727"/>
      <c r="I76" s="728"/>
      <c r="J76" s="728"/>
      <c r="K76" s="728"/>
      <c r="L76" s="729"/>
      <c r="M76" s="728"/>
      <c r="N76" s="728"/>
      <c r="O76" s="727"/>
      <c r="P76" s="727"/>
      <c r="Q76" s="728"/>
      <c r="R76" s="728"/>
      <c r="S76" s="428"/>
      <c r="T76" s="428"/>
      <c r="U76" s="428"/>
      <c r="V76" s="428"/>
    </row>
    <row r="77" spans="1:22" s="425" customFormat="1" ht="39.75" customHeight="1">
      <c r="A77" s="731"/>
      <c r="B77" s="728"/>
      <c r="C77" s="732"/>
      <c r="D77" s="733"/>
      <c r="E77" s="727"/>
      <c r="F77" s="727"/>
      <c r="G77" s="727"/>
      <c r="H77" s="727"/>
      <c r="I77" s="728"/>
      <c r="J77" s="728"/>
      <c r="K77" s="728"/>
      <c r="L77" s="729"/>
      <c r="M77" s="728"/>
      <c r="N77" s="728"/>
      <c r="O77" s="727"/>
      <c r="P77" s="727"/>
      <c r="Q77" s="728"/>
      <c r="R77" s="728"/>
      <c r="S77" s="428"/>
      <c r="T77" s="428"/>
      <c r="U77" s="428"/>
      <c r="V77" s="428"/>
    </row>
    <row r="78" spans="1:22" s="425" customFormat="1" ht="39.75" customHeight="1">
      <c r="A78" s="731"/>
      <c r="B78" s="728"/>
      <c r="C78" s="732"/>
      <c r="D78" s="733"/>
      <c r="E78" s="727"/>
      <c r="F78" s="727"/>
      <c r="G78" s="727"/>
      <c r="H78" s="727"/>
      <c r="I78" s="728"/>
      <c r="J78" s="728"/>
      <c r="K78" s="728"/>
      <c r="L78" s="729"/>
      <c r="M78" s="728"/>
      <c r="N78" s="728"/>
      <c r="O78" s="727"/>
      <c r="P78" s="727"/>
      <c r="Q78" s="728"/>
      <c r="R78" s="728"/>
      <c r="S78" s="428"/>
      <c r="T78" s="428"/>
      <c r="U78" s="428"/>
      <c r="V78" s="428"/>
    </row>
    <row r="79" spans="1:22" s="425" customFormat="1" ht="39.75" customHeight="1">
      <c r="A79" s="731"/>
      <c r="B79" s="728"/>
      <c r="C79" s="732"/>
      <c r="D79" s="733"/>
      <c r="E79" s="727"/>
      <c r="F79" s="727"/>
      <c r="G79" s="727"/>
      <c r="H79" s="727"/>
      <c r="I79" s="728"/>
      <c r="J79" s="728"/>
      <c r="K79" s="728"/>
      <c r="L79" s="729"/>
      <c r="M79" s="728"/>
      <c r="N79" s="728"/>
      <c r="O79" s="727"/>
      <c r="P79" s="727"/>
      <c r="Q79" s="728"/>
      <c r="R79" s="728"/>
      <c r="S79" s="428"/>
      <c r="T79" s="428"/>
      <c r="U79" s="428"/>
      <c r="V79" s="428"/>
    </row>
    <row r="80" spans="1:22" s="425" customFormat="1" ht="39.75" customHeight="1">
      <c r="A80" s="731"/>
      <c r="B80" s="728"/>
      <c r="C80" s="732"/>
      <c r="D80" s="733"/>
      <c r="E80" s="727"/>
      <c r="F80" s="727"/>
      <c r="G80" s="727"/>
      <c r="H80" s="727"/>
      <c r="I80" s="728"/>
      <c r="J80" s="728"/>
      <c r="K80" s="728"/>
      <c r="L80" s="729"/>
      <c r="M80" s="728"/>
      <c r="N80" s="728"/>
      <c r="O80" s="727"/>
      <c r="P80" s="727"/>
      <c r="Q80" s="728"/>
      <c r="R80" s="728"/>
      <c r="S80" s="428"/>
      <c r="T80" s="428"/>
      <c r="U80" s="428"/>
      <c r="V80" s="428"/>
    </row>
    <row r="81" spans="1:22" s="425" customFormat="1" ht="39.75" customHeight="1">
      <c r="A81" s="731"/>
      <c r="B81" s="728"/>
      <c r="C81" s="732"/>
      <c r="D81" s="733"/>
      <c r="E81" s="727"/>
      <c r="F81" s="727"/>
      <c r="G81" s="727"/>
      <c r="H81" s="727"/>
      <c r="I81" s="728"/>
      <c r="J81" s="728"/>
      <c r="K81" s="728"/>
      <c r="L81" s="729"/>
      <c r="M81" s="728"/>
      <c r="N81" s="728"/>
      <c r="O81" s="727"/>
      <c r="P81" s="727"/>
      <c r="Q81" s="728"/>
      <c r="R81" s="728"/>
      <c r="S81" s="428"/>
      <c r="T81" s="428"/>
      <c r="U81" s="428"/>
      <c r="V81" s="428"/>
    </row>
    <row r="82" spans="1:22" s="425" customFormat="1" ht="39.75" customHeight="1">
      <c r="A82" s="731"/>
      <c r="B82" s="728"/>
      <c r="C82" s="732"/>
      <c r="D82" s="733"/>
      <c r="E82" s="727"/>
      <c r="F82" s="727"/>
      <c r="G82" s="727"/>
      <c r="H82" s="727"/>
      <c r="I82" s="728"/>
      <c r="J82" s="728"/>
      <c r="K82" s="728"/>
      <c r="L82" s="729"/>
      <c r="M82" s="728"/>
      <c r="N82" s="728"/>
      <c r="O82" s="727"/>
      <c r="P82" s="727"/>
      <c r="Q82" s="728"/>
      <c r="R82" s="728"/>
      <c r="S82" s="428"/>
      <c r="T82" s="428"/>
      <c r="U82" s="428"/>
      <c r="V82" s="428"/>
    </row>
    <row r="83" spans="1:22" s="425" customFormat="1" ht="39.75" customHeight="1">
      <c r="A83" s="728"/>
      <c r="B83" s="728"/>
      <c r="C83" s="728"/>
      <c r="D83" s="728"/>
      <c r="E83" s="728"/>
      <c r="F83" s="728"/>
      <c r="G83" s="728"/>
      <c r="H83" s="728"/>
      <c r="I83" s="728"/>
      <c r="J83" s="728"/>
      <c r="K83" s="728"/>
      <c r="L83" s="729"/>
      <c r="M83" s="728"/>
      <c r="N83" s="728"/>
      <c r="O83" s="728"/>
      <c r="P83" s="728"/>
      <c r="Q83" s="728"/>
      <c r="R83" s="728"/>
      <c r="S83" s="428"/>
      <c r="T83" s="428"/>
      <c r="U83" s="428"/>
      <c r="V83" s="428"/>
    </row>
    <row r="84" spans="1:22" s="425" customFormat="1" ht="39.75" customHeight="1">
      <c r="A84" s="728"/>
      <c r="B84" s="728"/>
      <c r="C84" s="728"/>
      <c r="D84" s="728"/>
      <c r="E84" s="728"/>
      <c r="F84" s="728"/>
      <c r="G84" s="728"/>
      <c r="H84" s="728"/>
      <c r="I84" s="728"/>
      <c r="J84" s="728"/>
      <c r="K84" s="728"/>
      <c r="L84" s="729"/>
      <c r="M84" s="728"/>
      <c r="N84" s="728"/>
      <c r="O84" s="728"/>
      <c r="P84" s="728"/>
      <c r="Q84" s="728"/>
      <c r="R84" s="728"/>
      <c r="S84" s="428"/>
      <c r="T84" s="428"/>
      <c r="U84" s="428"/>
      <c r="V84" s="428"/>
    </row>
    <row r="85" spans="1:22" s="425" customFormat="1" ht="39.75" customHeight="1">
      <c r="A85" s="728"/>
      <c r="B85" s="728"/>
      <c r="C85" s="728"/>
      <c r="D85" s="728"/>
      <c r="E85" s="728"/>
      <c r="F85" s="728"/>
      <c r="G85" s="728"/>
      <c r="H85" s="728"/>
      <c r="I85" s="728"/>
      <c r="J85" s="728"/>
      <c r="K85" s="728"/>
      <c r="L85" s="729"/>
      <c r="M85" s="728"/>
      <c r="N85" s="728"/>
      <c r="O85" s="728"/>
      <c r="P85" s="728"/>
      <c r="Q85" s="728"/>
      <c r="R85" s="728"/>
      <c r="S85" s="428"/>
      <c r="T85" s="428"/>
      <c r="U85" s="428"/>
      <c r="V85" s="428"/>
    </row>
    <row r="86" spans="1:22" s="425" customFormat="1" ht="39.75" customHeight="1">
      <c r="A86" s="728"/>
      <c r="B86" s="728"/>
      <c r="C86" s="728"/>
      <c r="D86" s="728"/>
      <c r="E86" s="728"/>
      <c r="F86" s="728"/>
      <c r="G86" s="728"/>
      <c r="H86" s="728"/>
      <c r="I86" s="728"/>
      <c r="J86" s="728"/>
      <c r="K86" s="728"/>
      <c r="L86" s="729"/>
      <c r="M86" s="728"/>
      <c r="N86" s="728"/>
      <c r="O86" s="728"/>
      <c r="P86" s="728"/>
      <c r="Q86" s="728"/>
      <c r="R86" s="728"/>
      <c r="S86" s="428"/>
      <c r="T86" s="428"/>
      <c r="U86" s="428"/>
      <c r="V86" s="428"/>
    </row>
    <row r="87" spans="1:22" s="425" customFormat="1" ht="39.75" customHeight="1">
      <c r="A87" s="728"/>
      <c r="B87" s="728"/>
      <c r="C87" s="728"/>
      <c r="D87" s="728"/>
      <c r="E87" s="728"/>
      <c r="F87" s="728"/>
      <c r="G87" s="728"/>
      <c r="H87" s="728"/>
      <c r="I87" s="728"/>
      <c r="J87" s="728"/>
      <c r="K87" s="728"/>
      <c r="L87" s="729"/>
      <c r="M87" s="728"/>
      <c r="N87" s="728"/>
      <c r="O87" s="728"/>
      <c r="P87" s="728"/>
      <c r="Q87" s="728"/>
      <c r="R87" s="728"/>
      <c r="S87" s="428"/>
      <c r="T87" s="428"/>
      <c r="U87" s="428"/>
      <c r="V87" s="428"/>
    </row>
    <row r="88" spans="1:22" s="425" customFormat="1" ht="39.75" customHeight="1">
      <c r="A88" s="728"/>
      <c r="B88" s="728"/>
      <c r="C88" s="728"/>
      <c r="D88" s="728"/>
      <c r="E88" s="728"/>
      <c r="F88" s="728"/>
      <c r="G88" s="728"/>
      <c r="H88" s="728"/>
      <c r="I88" s="728"/>
      <c r="J88" s="728"/>
      <c r="K88" s="728"/>
      <c r="L88" s="729"/>
      <c r="M88" s="728"/>
      <c r="N88" s="728"/>
      <c r="O88" s="728"/>
      <c r="P88" s="728"/>
      <c r="Q88" s="728"/>
      <c r="R88" s="728"/>
      <c r="S88" s="428"/>
      <c r="T88" s="428"/>
      <c r="U88" s="428"/>
      <c r="V88" s="428"/>
    </row>
    <row r="89" spans="1:22" s="425" customFormat="1" ht="39.75" customHeight="1">
      <c r="A89" s="728"/>
      <c r="B89" s="728"/>
      <c r="C89" s="728"/>
      <c r="D89" s="728"/>
      <c r="E89" s="728"/>
      <c r="F89" s="728"/>
      <c r="G89" s="728"/>
      <c r="H89" s="728"/>
      <c r="I89" s="728"/>
      <c r="J89" s="728"/>
      <c r="K89" s="728"/>
      <c r="L89" s="729"/>
      <c r="M89" s="728"/>
      <c r="N89" s="728"/>
      <c r="O89" s="728"/>
      <c r="P89" s="728"/>
      <c r="Q89" s="728"/>
      <c r="R89" s="728"/>
      <c r="S89" s="428"/>
      <c r="T89" s="428"/>
      <c r="U89" s="428"/>
      <c r="V89" s="428"/>
    </row>
    <row r="90" spans="1:22" s="425" customFormat="1" ht="39.75" customHeight="1">
      <c r="A90" s="728"/>
      <c r="B90" s="728"/>
      <c r="C90" s="728"/>
      <c r="D90" s="728"/>
      <c r="E90" s="728"/>
      <c r="F90" s="728"/>
      <c r="G90" s="728"/>
      <c r="H90" s="728"/>
      <c r="I90" s="728"/>
      <c r="J90" s="728"/>
      <c r="K90" s="728"/>
      <c r="L90" s="729"/>
      <c r="M90" s="728"/>
      <c r="N90" s="728"/>
      <c r="O90" s="728"/>
      <c r="P90" s="728"/>
      <c r="Q90" s="728"/>
      <c r="R90" s="728"/>
      <c r="S90" s="428"/>
      <c r="T90" s="428"/>
      <c r="U90" s="428"/>
      <c r="V90" s="428"/>
    </row>
    <row r="91" spans="1:22" s="425" customFormat="1" ht="39.75" customHeight="1">
      <c r="A91" s="728"/>
      <c r="B91" s="728"/>
      <c r="C91" s="728"/>
      <c r="D91" s="728"/>
      <c r="E91" s="728"/>
      <c r="F91" s="728"/>
      <c r="G91" s="728"/>
      <c r="H91" s="728"/>
      <c r="I91" s="728"/>
      <c r="J91" s="728"/>
      <c r="K91" s="728"/>
      <c r="L91" s="729"/>
      <c r="M91" s="728"/>
      <c r="N91" s="728"/>
      <c r="O91" s="728"/>
      <c r="P91" s="728"/>
      <c r="Q91" s="728"/>
      <c r="R91" s="728"/>
      <c r="S91" s="428"/>
      <c r="T91" s="428"/>
      <c r="U91" s="428"/>
      <c r="V91" s="428"/>
    </row>
    <row r="92" spans="1:22" s="425" customFormat="1" ht="39.75" customHeight="1">
      <c r="A92" s="728"/>
      <c r="B92" s="728"/>
      <c r="C92" s="728"/>
      <c r="D92" s="728"/>
      <c r="E92" s="728"/>
      <c r="F92" s="728"/>
      <c r="G92" s="728"/>
      <c r="H92" s="728"/>
      <c r="I92" s="728"/>
      <c r="J92" s="728"/>
      <c r="K92" s="728"/>
      <c r="L92" s="729"/>
      <c r="M92" s="728"/>
      <c r="N92" s="728"/>
      <c r="O92" s="728"/>
      <c r="P92" s="728"/>
      <c r="Q92" s="728"/>
      <c r="R92" s="728"/>
      <c r="S92" s="428"/>
      <c r="T92" s="428"/>
      <c r="U92" s="428"/>
      <c r="V92" s="428"/>
    </row>
    <row r="93" spans="1:22" s="425" customFormat="1" ht="39.75" customHeight="1">
      <c r="A93" s="728"/>
      <c r="B93" s="728"/>
      <c r="C93" s="728"/>
      <c r="D93" s="728"/>
      <c r="E93" s="728"/>
      <c r="F93" s="728"/>
      <c r="G93" s="728"/>
      <c r="H93" s="728"/>
      <c r="I93" s="728"/>
      <c r="J93" s="728"/>
      <c r="K93" s="728"/>
      <c r="L93" s="729"/>
      <c r="M93" s="728"/>
      <c r="N93" s="728"/>
      <c r="O93" s="728"/>
      <c r="P93" s="728"/>
      <c r="Q93" s="728"/>
      <c r="R93" s="728"/>
      <c r="S93" s="428"/>
      <c r="T93" s="428"/>
      <c r="U93" s="428"/>
      <c r="V93" s="428"/>
    </row>
    <row r="94" spans="1:22" s="425" customFormat="1" ht="39.75" customHeight="1">
      <c r="A94" s="728"/>
      <c r="B94" s="728"/>
      <c r="C94" s="728"/>
      <c r="D94" s="728"/>
      <c r="E94" s="728"/>
      <c r="F94" s="728"/>
      <c r="G94" s="728"/>
      <c r="H94" s="728"/>
      <c r="I94" s="728"/>
      <c r="J94" s="728"/>
      <c r="K94" s="728"/>
      <c r="L94" s="729"/>
      <c r="M94" s="728"/>
      <c r="N94" s="728"/>
      <c r="O94" s="728"/>
      <c r="P94" s="728"/>
      <c r="Q94" s="728"/>
      <c r="R94" s="728"/>
      <c r="S94" s="428"/>
      <c r="T94" s="428"/>
      <c r="U94" s="428"/>
      <c r="V94" s="428"/>
    </row>
    <row r="95" spans="1:22" s="425" customFormat="1" ht="39.75" customHeight="1">
      <c r="A95" s="728"/>
      <c r="B95" s="728"/>
      <c r="C95" s="728"/>
      <c r="D95" s="728"/>
      <c r="E95" s="728"/>
      <c r="F95" s="728"/>
      <c r="G95" s="728"/>
      <c r="H95" s="728"/>
      <c r="I95" s="728"/>
      <c r="J95" s="728"/>
      <c r="K95" s="728"/>
      <c r="L95" s="729"/>
      <c r="M95" s="728"/>
      <c r="N95" s="728"/>
      <c r="O95" s="728"/>
      <c r="P95" s="728"/>
      <c r="Q95" s="728"/>
      <c r="R95" s="728"/>
      <c r="S95" s="428"/>
      <c r="T95" s="428"/>
      <c r="U95" s="428"/>
      <c r="V95" s="428"/>
    </row>
    <row r="96" spans="1:22" s="425" customFormat="1" ht="39.75" customHeight="1">
      <c r="A96" s="728"/>
      <c r="B96" s="728"/>
      <c r="C96" s="728"/>
      <c r="D96" s="728"/>
      <c r="E96" s="728"/>
      <c r="F96" s="728"/>
      <c r="G96" s="728"/>
      <c r="H96" s="728"/>
      <c r="I96" s="728"/>
      <c r="J96" s="728"/>
      <c r="K96" s="728"/>
      <c r="L96" s="729"/>
      <c r="M96" s="728"/>
      <c r="N96" s="728"/>
      <c r="O96" s="728"/>
      <c r="P96" s="728"/>
      <c r="Q96" s="728"/>
      <c r="R96" s="728"/>
      <c r="S96" s="428"/>
      <c r="T96" s="428"/>
      <c r="U96" s="428"/>
      <c r="V96" s="428"/>
    </row>
    <row r="97" spans="1:22" s="425" customFormat="1" ht="39.75" customHeight="1">
      <c r="A97" s="728"/>
      <c r="B97" s="728"/>
      <c r="C97" s="728"/>
      <c r="D97" s="728"/>
      <c r="E97" s="728"/>
      <c r="F97" s="728"/>
      <c r="G97" s="728"/>
      <c r="H97" s="728"/>
      <c r="I97" s="728"/>
      <c r="J97" s="728"/>
      <c r="K97" s="728"/>
      <c r="L97" s="729"/>
      <c r="M97" s="728"/>
      <c r="N97" s="728"/>
      <c r="O97" s="728"/>
      <c r="P97" s="728"/>
      <c r="Q97" s="728"/>
      <c r="R97" s="728"/>
      <c r="S97" s="428"/>
      <c r="T97" s="428"/>
      <c r="U97" s="428"/>
      <c r="V97" s="428"/>
    </row>
    <row r="98" spans="1:22" s="425" customFormat="1" ht="39.75" customHeight="1">
      <c r="A98" s="728"/>
      <c r="B98" s="728"/>
      <c r="C98" s="728"/>
      <c r="D98" s="728"/>
      <c r="E98" s="728"/>
      <c r="F98" s="728"/>
      <c r="G98" s="728"/>
      <c r="H98" s="728"/>
      <c r="I98" s="728"/>
      <c r="J98" s="728"/>
      <c r="K98" s="728"/>
      <c r="L98" s="729"/>
      <c r="M98" s="728"/>
      <c r="N98" s="728"/>
      <c r="O98" s="728"/>
      <c r="P98" s="728"/>
      <c r="Q98" s="728"/>
      <c r="R98" s="728"/>
      <c r="S98" s="428"/>
      <c r="T98" s="428"/>
      <c r="U98" s="428"/>
      <c r="V98" s="428"/>
    </row>
    <row r="99" spans="1:22" s="425" customFormat="1" ht="39.75" customHeight="1">
      <c r="A99" s="728"/>
      <c r="B99" s="728"/>
      <c r="C99" s="728"/>
      <c r="D99" s="728"/>
      <c r="E99" s="728"/>
      <c r="F99" s="728"/>
      <c r="G99" s="728"/>
      <c r="H99" s="728"/>
      <c r="I99" s="728"/>
      <c r="J99" s="728"/>
      <c r="K99" s="728"/>
      <c r="L99" s="729"/>
      <c r="M99" s="728"/>
      <c r="N99" s="728"/>
      <c r="O99" s="728"/>
      <c r="P99" s="728"/>
      <c r="Q99" s="728"/>
      <c r="R99" s="728"/>
      <c r="S99" s="428"/>
      <c r="T99" s="428"/>
      <c r="U99" s="428"/>
      <c r="V99" s="428"/>
    </row>
    <row r="100" spans="1:22" s="425" customFormat="1" ht="39.75" customHeight="1">
      <c r="A100" s="728"/>
      <c r="B100" s="728"/>
      <c r="C100" s="728"/>
      <c r="D100" s="728"/>
      <c r="E100" s="728"/>
      <c r="F100" s="728"/>
      <c r="G100" s="728"/>
      <c r="H100" s="728"/>
      <c r="I100" s="728"/>
      <c r="J100" s="728"/>
      <c r="K100" s="728"/>
      <c r="L100" s="729"/>
      <c r="M100" s="728"/>
      <c r="N100" s="728"/>
      <c r="O100" s="728"/>
      <c r="P100" s="728"/>
      <c r="Q100" s="728"/>
      <c r="R100" s="728"/>
      <c r="S100" s="428"/>
      <c r="T100" s="428"/>
      <c r="U100" s="428"/>
      <c r="V100" s="428"/>
    </row>
    <row r="101" spans="1:22" s="425" customFormat="1" ht="39.75" customHeight="1">
      <c r="A101" s="728"/>
      <c r="B101" s="728"/>
      <c r="C101" s="728"/>
      <c r="D101" s="728"/>
      <c r="E101" s="728"/>
      <c r="F101" s="728"/>
      <c r="G101" s="728"/>
      <c r="H101" s="728"/>
      <c r="I101" s="728"/>
      <c r="J101" s="728"/>
      <c r="K101" s="728"/>
      <c r="L101" s="729"/>
      <c r="M101" s="728"/>
      <c r="N101" s="728"/>
      <c r="O101" s="728"/>
      <c r="P101" s="728"/>
      <c r="Q101" s="728"/>
      <c r="R101" s="728"/>
      <c r="S101" s="428"/>
      <c r="T101" s="428"/>
      <c r="U101" s="428"/>
      <c r="V101" s="428"/>
    </row>
    <row r="102" spans="1:22" s="425" customFormat="1" ht="39.75" customHeight="1">
      <c r="A102" s="728"/>
      <c r="B102" s="728"/>
      <c r="C102" s="728"/>
      <c r="D102" s="728"/>
      <c r="E102" s="728"/>
      <c r="F102" s="728"/>
      <c r="G102" s="728"/>
      <c r="H102" s="728"/>
      <c r="I102" s="728"/>
      <c r="J102" s="728"/>
      <c r="K102" s="728"/>
      <c r="L102" s="729"/>
      <c r="M102" s="728"/>
      <c r="N102" s="728"/>
      <c r="O102" s="728"/>
      <c r="P102" s="728"/>
      <c r="Q102" s="728"/>
      <c r="R102" s="728"/>
      <c r="S102" s="428"/>
      <c r="T102" s="428"/>
      <c r="U102" s="428"/>
      <c r="V102" s="428"/>
    </row>
    <row r="103" spans="1:22" s="425" customFormat="1" ht="39.75" customHeight="1">
      <c r="A103" s="728"/>
      <c r="B103" s="728"/>
      <c r="C103" s="728"/>
      <c r="D103" s="728"/>
      <c r="E103" s="728"/>
      <c r="F103" s="728"/>
      <c r="G103" s="728"/>
      <c r="H103" s="728"/>
      <c r="I103" s="728"/>
      <c r="J103" s="728"/>
      <c r="K103" s="728"/>
      <c r="L103" s="729"/>
      <c r="M103" s="728"/>
      <c r="N103" s="728"/>
      <c r="O103" s="728"/>
      <c r="P103" s="728"/>
      <c r="Q103" s="728"/>
      <c r="R103" s="728"/>
      <c r="S103" s="428"/>
      <c r="T103" s="428"/>
      <c r="U103" s="428"/>
      <c r="V103" s="428"/>
    </row>
    <row r="104" spans="1:22" s="425" customFormat="1" ht="39.75" customHeight="1">
      <c r="A104" s="728"/>
      <c r="B104" s="728"/>
      <c r="C104" s="728"/>
      <c r="D104" s="728"/>
      <c r="E104" s="728"/>
      <c r="F104" s="728"/>
      <c r="G104" s="728"/>
      <c r="H104" s="728"/>
      <c r="I104" s="728"/>
      <c r="J104" s="728"/>
      <c r="K104" s="728"/>
      <c r="L104" s="729"/>
      <c r="M104" s="728"/>
      <c r="N104" s="728"/>
      <c r="O104" s="728"/>
      <c r="P104" s="728"/>
      <c r="Q104" s="728"/>
      <c r="R104" s="728"/>
      <c r="S104" s="428"/>
      <c r="T104" s="428"/>
      <c r="U104" s="428"/>
      <c r="V104" s="428"/>
    </row>
    <row r="105" spans="1:22" s="425" customFormat="1" ht="39.75" customHeight="1">
      <c r="A105" s="728"/>
      <c r="B105" s="728"/>
      <c r="C105" s="728"/>
      <c r="D105" s="728"/>
      <c r="E105" s="728"/>
      <c r="F105" s="728"/>
      <c r="G105" s="728"/>
      <c r="H105" s="728"/>
      <c r="I105" s="728"/>
      <c r="J105" s="728"/>
      <c r="K105" s="728"/>
      <c r="L105" s="729"/>
      <c r="M105" s="728"/>
      <c r="N105" s="728"/>
      <c r="O105" s="728"/>
      <c r="P105" s="728"/>
      <c r="Q105" s="728"/>
      <c r="R105" s="728"/>
      <c r="S105" s="428"/>
      <c r="T105" s="428"/>
      <c r="U105" s="428"/>
      <c r="V105" s="428"/>
    </row>
    <row r="106" spans="1:22" s="425" customFormat="1" ht="39.75" customHeight="1">
      <c r="A106" s="728"/>
      <c r="B106" s="728"/>
      <c r="C106" s="728"/>
      <c r="D106" s="728"/>
      <c r="E106" s="728"/>
      <c r="F106" s="728"/>
      <c r="G106" s="728"/>
      <c r="H106" s="728"/>
      <c r="I106" s="728"/>
      <c r="J106" s="728"/>
      <c r="K106" s="728"/>
      <c r="L106" s="729"/>
      <c r="M106" s="728"/>
      <c r="N106" s="728"/>
      <c r="O106" s="728"/>
      <c r="P106" s="728"/>
      <c r="Q106" s="728"/>
      <c r="R106" s="728"/>
      <c r="S106" s="428"/>
      <c r="T106" s="428"/>
      <c r="U106" s="428"/>
      <c r="V106" s="428"/>
    </row>
    <row r="107" spans="1:22" s="425" customFormat="1" ht="39.75" customHeight="1">
      <c r="A107" s="728"/>
      <c r="B107" s="728"/>
      <c r="C107" s="728"/>
      <c r="D107" s="728"/>
      <c r="E107" s="728"/>
      <c r="F107" s="728"/>
      <c r="G107" s="728"/>
      <c r="H107" s="728"/>
      <c r="I107" s="728"/>
      <c r="J107" s="728"/>
      <c r="K107" s="728"/>
      <c r="L107" s="729"/>
      <c r="M107" s="728"/>
      <c r="N107" s="728"/>
      <c r="O107" s="728"/>
      <c r="P107" s="728"/>
      <c r="Q107" s="728"/>
      <c r="R107" s="728"/>
      <c r="S107" s="428"/>
      <c r="T107" s="428"/>
      <c r="U107" s="428"/>
      <c r="V107" s="428"/>
    </row>
    <row r="108" spans="1:22" s="425" customFormat="1" ht="39.75" customHeight="1">
      <c r="A108" s="728"/>
      <c r="B108" s="728"/>
      <c r="C108" s="728"/>
      <c r="D108" s="728"/>
      <c r="E108" s="728"/>
      <c r="F108" s="728"/>
      <c r="G108" s="728"/>
      <c r="H108" s="728"/>
      <c r="I108" s="728"/>
      <c r="J108" s="728"/>
      <c r="K108" s="728"/>
      <c r="L108" s="729"/>
      <c r="M108" s="728"/>
      <c r="N108" s="728"/>
      <c r="O108" s="728"/>
      <c r="P108" s="728"/>
      <c r="Q108" s="728"/>
      <c r="R108" s="728"/>
      <c r="S108" s="428"/>
      <c r="T108" s="428"/>
      <c r="U108" s="428"/>
      <c r="V108" s="428"/>
    </row>
    <row r="109" spans="1:22" s="425" customFormat="1" ht="39.75" customHeight="1">
      <c r="A109" s="728"/>
      <c r="B109" s="728"/>
      <c r="C109" s="728"/>
      <c r="D109" s="728"/>
      <c r="E109" s="728"/>
      <c r="F109" s="728"/>
      <c r="G109" s="728"/>
      <c r="H109" s="728"/>
      <c r="I109" s="728"/>
      <c r="J109" s="728"/>
      <c r="K109" s="728"/>
      <c r="L109" s="729"/>
      <c r="M109" s="728"/>
      <c r="N109" s="728"/>
      <c r="O109" s="728"/>
      <c r="P109" s="728"/>
      <c r="Q109" s="728"/>
      <c r="R109" s="728"/>
      <c r="S109" s="428"/>
      <c r="T109" s="428"/>
      <c r="U109" s="428"/>
      <c r="V109" s="428"/>
    </row>
    <row r="110" spans="1:22" s="425" customFormat="1" ht="39.75" customHeight="1">
      <c r="A110" s="728"/>
      <c r="B110" s="728"/>
      <c r="C110" s="728"/>
      <c r="D110" s="728"/>
      <c r="E110" s="728"/>
      <c r="F110" s="728"/>
      <c r="G110" s="728"/>
      <c r="H110" s="728"/>
      <c r="I110" s="728"/>
      <c r="J110" s="728"/>
      <c r="K110" s="728"/>
      <c r="L110" s="729"/>
      <c r="M110" s="728"/>
      <c r="N110" s="728"/>
      <c r="O110" s="728"/>
      <c r="P110" s="728"/>
      <c r="Q110" s="728"/>
      <c r="R110" s="728"/>
      <c r="S110" s="428"/>
      <c r="T110" s="428"/>
      <c r="U110" s="428"/>
      <c r="V110" s="428"/>
    </row>
    <row r="111" spans="1:22" s="425" customFormat="1" ht="39.75" customHeight="1">
      <c r="A111" s="728"/>
      <c r="B111" s="728"/>
      <c r="C111" s="728"/>
      <c r="D111" s="728"/>
      <c r="E111" s="728"/>
      <c r="F111" s="728"/>
      <c r="G111" s="728"/>
      <c r="H111" s="728"/>
      <c r="I111" s="728"/>
      <c r="J111" s="728"/>
      <c r="K111" s="728"/>
      <c r="L111" s="729"/>
      <c r="M111" s="728"/>
      <c r="N111" s="728"/>
      <c r="O111" s="728"/>
      <c r="P111" s="728"/>
      <c r="Q111" s="728"/>
      <c r="R111" s="728"/>
      <c r="S111" s="428"/>
      <c r="T111" s="428"/>
      <c r="U111" s="428"/>
      <c r="V111" s="428"/>
    </row>
    <row r="112" spans="1:22" s="425" customFormat="1" ht="39.75" customHeight="1">
      <c r="A112" s="728"/>
      <c r="B112" s="728"/>
      <c r="C112" s="728"/>
      <c r="D112" s="728"/>
      <c r="E112" s="728"/>
      <c r="F112" s="728"/>
      <c r="G112" s="728"/>
      <c r="H112" s="728"/>
      <c r="I112" s="728"/>
      <c r="J112" s="728"/>
      <c r="K112" s="728"/>
      <c r="L112" s="729"/>
      <c r="M112" s="728"/>
      <c r="N112" s="728"/>
      <c r="O112" s="728"/>
      <c r="P112" s="728"/>
      <c r="Q112" s="728"/>
      <c r="R112" s="728"/>
      <c r="S112" s="428"/>
      <c r="T112" s="428"/>
      <c r="U112" s="428"/>
      <c r="V112" s="428"/>
    </row>
    <row r="113" spans="1:22" s="425" customFormat="1" ht="39.75" customHeight="1">
      <c r="A113" s="728"/>
      <c r="B113" s="728"/>
      <c r="C113" s="728"/>
      <c r="D113" s="728"/>
      <c r="E113" s="728"/>
      <c r="F113" s="728"/>
      <c r="G113" s="728"/>
      <c r="H113" s="728"/>
      <c r="I113" s="728"/>
      <c r="J113" s="728"/>
      <c r="K113" s="728"/>
      <c r="L113" s="729"/>
      <c r="M113" s="728"/>
      <c r="N113" s="728"/>
      <c r="O113" s="728"/>
      <c r="P113" s="728"/>
      <c r="Q113" s="728"/>
      <c r="R113" s="728"/>
      <c r="S113" s="428"/>
      <c r="T113" s="428"/>
      <c r="U113" s="428"/>
      <c r="V113" s="428"/>
    </row>
    <row r="114" spans="1:22" s="425" customFormat="1" ht="39.75" customHeight="1">
      <c r="A114" s="728"/>
      <c r="B114" s="728"/>
      <c r="C114" s="728"/>
      <c r="D114" s="728"/>
      <c r="E114" s="728"/>
      <c r="F114" s="728"/>
      <c r="G114" s="728"/>
      <c r="H114" s="728"/>
      <c r="I114" s="728"/>
      <c r="J114" s="728"/>
      <c r="K114" s="728"/>
      <c r="L114" s="729"/>
      <c r="M114" s="728"/>
      <c r="N114" s="728"/>
      <c r="O114" s="728"/>
      <c r="P114" s="728"/>
      <c r="Q114" s="728"/>
      <c r="R114" s="728"/>
      <c r="S114" s="428"/>
      <c r="T114" s="428"/>
      <c r="U114" s="428"/>
      <c r="V114" s="428"/>
    </row>
    <row r="115" spans="1:22" s="425" customFormat="1" ht="39.75" customHeight="1">
      <c r="A115" s="728"/>
      <c r="B115" s="728"/>
      <c r="C115" s="728"/>
      <c r="D115" s="728"/>
      <c r="E115" s="728"/>
      <c r="F115" s="728"/>
      <c r="G115" s="728"/>
      <c r="H115" s="728"/>
      <c r="I115" s="728"/>
      <c r="J115" s="728"/>
      <c r="K115" s="728"/>
      <c r="L115" s="729"/>
      <c r="M115" s="728"/>
      <c r="N115" s="728"/>
      <c r="O115" s="728"/>
      <c r="P115" s="728"/>
      <c r="Q115" s="728"/>
      <c r="R115" s="728"/>
      <c r="S115" s="428"/>
      <c r="T115" s="428"/>
      <c r="U115" s="428"/>
      <c r="V115" s="428"/>
    </row>
    <row r="116" spans="1:22" s="425" customFormat="1" ht="39.75" customHeight="1">
      <c r="A116" s="728"/>
      <c r="B116" s="728"/>
      <c r="C116" s="728"/>
      <c r="D116" s="728"/>
      <c r="E116" s="728"/>
      <c r="F116" s="728"/>
      <c r="G116" s="728"/>
      <c r="H116" s="728"/>
      <c r="I116" s="728"/>
      <c r="J116" s="728"/>
      <c r="K116" s="728"/>
      <c r="L116" s="729"/>
      <c r="M116" s="728"/>
      <c r="N116" s="728"/>
      <c r="O116" s="728"/>
      <c r="P116" s="728"/>
      <c r="Q116" s="728"/>
      <c r="R116" s="728"/>
      <c r="S116" s="428"/>
      <c r="T116" s="428"/>
      <c r="U116" s="428"/>
      <c r="V116" s="428"/>
    </row>
    <row r="117" spans="1:22" ht="39.75" customHeight="1">
      <c r="A117" s="728"/>
      <c r="B117" s="728"/>
      <c r="C117" s="728"/>
      <c r="D117" s="728"/>
      <c r="E117" s="728"/>
      <c r="F117" s="728"/>
      <c r="G117" s="728"/>
      <c r="H117" s="728"/>
      <c r="I117" s="728"/>
      <c r="J117" s="728"/>
      <c r="K117" s="728"/>
      <c r="L117" s="729"/>
      <c r="M117" s="728"/>
      <c r="N117" s="728"/>
      <c r="O117" s="728"/>
      <c r="P117" s="728"/>
      <c r="Q117" s="728"/>
      <c r="R117" s="728"/>
      <c r="S117" s="429"/>
      <c r="T117" s="429"/>
      <c r="U117" s="429"/>
      <c r="V117" s="429"/>
    </row>
    <row r="118" spans="1:22" ht="39.75" customHeight="1">
      <c r="A118" s="728"/>
      <c r="B118" s="728"/>
      <c r="C118" s="728"/>
      <c r="D118" s="728"/>
      <c r="E118" s="728"/>
      <c r="F118" s="728"/>
      <c r="G118" s="728"/>
      <c r="H118" s="728"/>
      <c r="I118" s="728"/>
      <c r="J118" s="728"/>
      <c r="K118" s="728"/>
      <c r="L118" s="729"/>
      <c r="M118" s="728"/>
      <c r="N118" s="728"/>
      <c r="O118" s="728"/>
      <c r="P118" s="728"/>
      <c r="Q118" s="728"/>
      <c r="R118" s="728"/>
      <c r="S118" s="429"/>
      <c r="T118" s="429"/>
      <c r="U118" s="429"/>
      <c r="V118" s="429"/>
    </row>
    <row r="119" spans="1:22" ht="39.75" customHeight="1">
      <c r="A119" s="728"/>
      <c r="B119" s="728"/>
      <c r="C119" s="728"/>
      <c r="D119" s="728"/>
      <c r="E119" s="728"/>
      <c r="F119" s="728"/>
      <c r="G119" s="728"/>
      <c r="H119" s="728"/>
      <c r="I119" s="728"/>
      <c r="J119" s="728"/>
      <c r="K119" s="728"/>
      <c r="L119" s="729"/>
      <c r="M119" s="728"/>
      <c r="N119" s="728"/>
      <c r="O119" s="728"/>
      <c r="P119" s="728"/>
      <c r="Q119" s="728"/>
      <c r="R119" s="728"/>
      <c r="S119" s="429"/>
      <c r="T119" s="429"/>
      <c r="U119" s="429"/>
      <c r="V119" s="429"/>
    </row>
    <row r="120" spans="1:22" ht="39.75" customHeight="1">
      <c r="A120" s="728"/>
      <c r="B120" s="728"/>
      <c r="C120" s="728"/>
      <c r="D120" s="728"/>
      <c r="E120" s="728"/>
      <c r="F120" s="728"/>
      <c r="G120" s="728"/>
      <c r="H120" s="728"/>
      <c r="I120" s="728"/>
      <c r="J120" s="728"/>
      <c r="K120" s="728"/>
      <c r="L120" s="729"/>
      <c r="M120" s="728"/>
      <c r="N120" s="728"/>
      <c r="O120" s="728"/>
      <c r="P120" s="728"/>
      <c r="Q120" s="728"/>
      <c r="R120" s="728"/>
      <c r="S120" s="429"/>
      <c r="T120" s="429"/>
      <c r="U120" s="429"/>
      <c r="V120" s="429"/>
    </row>
    <row r="121" spans="1:22" ht="39.75" customHeight="1">
      <c r="A121" s="728"/>
      <c r="B121" s="728"/>
      <c r="C121" s="728"/>
      <c r="D121" s="728"/>
      <c r="E121" s="728"/>
      <c r="F121" s="728"/>
      <c r="G121" s="728"/>
      <c r="H121" s="728"/>
      <c r="I121" s="728"/>
      <c r="J121" s="728"/>
      <c r="K121" s="728"/>
      <c r="L121" s="729"/>
      <c r="M121" s="728"/>
      <c r="N121" s="728"/>
      <c r="O121" s="728"/>
      <c r="P121" s="728"/>
      <c r="Q121" s="728"/>
      <c r="R121" s="728"/>
      <c r="S121" s="429"/>
      <c r="T121" s="429"/>
      <c r="U121" s="429"/>
      <c r="V121" s="429"/>
    </row>
    <row r="122" spans="1:22" ht="39.75" customHeight="1">
      <c r="A122" s="728"/>
      <c r="B122" s="728"/>
      <c r="C122" s="728"/>
      <c r="D122" s="728"/>
      <c r="E122" s="728"/>
      <c r="F122" s="728"/>
      <c r="G122" s="728"/>
      <c r="H122" s="728"/>
      <c r="I122" s="728"/>
      <c r="J122" s="728"/>
      <c r="K122" s="728"/>
      <c r="L122" s="729"/>
      <c r="M122" s="728"/>
      <c r="N122" s="728"/>
      <c r="O122" s="728"/>
      <c r="P122" s="728"/>
      <c r="Q122" s="728"/>
      <c r="R122" s="728"/>
      <c r="S122" s="429"/>
      <c r="T122" s="429"/>
      <c r="U122" s="429"/>
      <c r="V122" s="429"/>
    </row>
    <row r="123" spans="1:22" ht="39.75" customHeight="1">
      <c r="A123" s="728"/>
      <c r="B123" s="728"/>
      <c r="C123" s="728"/>
      <c r="D123" s="728"/>
      <c r="E123" s="728"/>
      <c r="F123" s="728"/>
      <c r="G123" s="728"/>
      <c r="H123" s="728"/>
      <c r="I123" s="728"/>
      <c r="J123" s="728"/>
      <c r="K123" s="728"/>
      <c r="L123" s="729"/>
      <c r="M123" s="728"/>
      <c r="N123" s="728"/>
      <c r="O123" s="728"/>
      <c r="P123" s="728"/>
      <c r="Q123" s="728"/>
      <c r="R123" s="728"/>
      <c r="S123" s="429"/>
      <c r="T123" s="429"/>
      <c r="U123" s="429"/>
      <c r="V123" s="429"/>
    </row>
    <row r="124" spans="1:22" ht="39.75" customHeight="1">
      <c r="A124" s="728"/>
      <c r="B124" s="728"/>
      <c r="C124" s="728"/>
      <c r="D124" s="728"/>
      <c r="E124" s="728"/>
      <c r="F124" s="728"/>
      <c r="G124" s="728"/>
      <c r="H124" s="728"/>
      <c r="I124" s="728"/>
      <c r="J124" s="728"/>
      <c r="K124" s="728"/>
      <c r="L124" s="729"/>
      <c r="M124" s="728"/>
      <c r="N124" s="728"/>
      <c r="O124" s="728"/>
      <c r="P124" s="728"/>
      <c r="Q124" s="728"/>
      <c r="R124" s="728"/>
      <c r="S124" s="429"/>
      <c r="T124" s="429"/>
      <c r="U124" s="429"/>
      <c r="V124" s="429"/>
    </row>
    <row r="125" spans="1:22" ht="39.75" customHeight="1">
      <c r="A125" s="728"/>
      <c r="B125" s="728"/>
      <c r="C125" s="728"/>
      <c r="D125" s="728"/>
      <c r="E125" s="728"/>
      <c r="F125" s="728"/>
      <c r="G125" s="728"/>
      <c r="H125" s="728"/>
      <c r="I125" s="728"/>
      <c r="J125" s="728"/>
      <c r="K125" s="728"/>
      <c r="L125" s="729"/>
      <c r="M125" s="728"/>
      <c r="N125" s="728"/>
      <c r="O125" s="728"/>
      <c r="P125" s="728"/>
      <c r="Q125" s="728"/>
      <c r="R125" s="728"/>
      <c r="S125" s="429"/>
      <c r="T125" s="429"/>
      <c r="U125" s="429"/>
      <c r="V125" s="429"/>
    </row>
    <row r="126" spans="1:22" ht="39.75" customHeight="1">
      <c r="A126" s="728"/>
      <c r="B126" s="728"/>
      <c r="C126" s="728"/>
      <c r="D126" s="728"/>
      <c r="E126" s="728"/>
      <c r="F126" s="728"/>
      <c r="G126" s="728"/>
      <c r="H126" s="728"/>
      <c r="I126" s="728"/>
      <c r="J126" s="728"/>
      <c r="K126" s="728"/>
      <c r="L126" s="729"/>
      <c r="M126" s="728"/>
      <c r="N126" s="728"/>
      <c r="O126" s="728"/>
      <c r="P126" s="728"/>
      <c r="Q126" s="728"/>
      <c r="R126" s="728"/>
      <c r="S126" s="429"/>
      <c r="T126" s="429"/>
      <c r="U126" s="429"/>
      <c r="V126" s="429"/>
    </row>
    <row r="127" spans="1:22" ht="39.75" customHeight="1">
      <c r="A127" s="728"/>
      <c r="B127" s="728"/>
      <c r="C127" s="728"/>
      <c r="D127" s="728"/>
      <c r="E127" s="728"/>
      <c r="F127" s="728"/>
      <c r="G127" s="728"/>
      <c r="H127" s="728"/>
      <c r="I127" s="728"/>
      <c r="J127" s="728"/>
      <c r="K127" s="728"/>
      <c r="L127" s="729"/>
      <c r="M127" s="728"/>
      <c r="N127" s="728"/>
      <c r="O127" s="728"/>
      <c r="P127" s="728"/>
      <c r="Q127" s="728"/>
      <c r="R127" s="728"/>
      <c r="S127" s="429"/>
      <c r="T127" s="429"/>
      <c r="U127" s="429"/>
      <c r="V127" s="429"/>
    </row>
    <row r="128" spans="1:22" ht="39.75" customHeight="1">
      <c r="A128" s="728"/>
      <c r="B128" s="728"/>
      <c r="C128" s="728"/>
      <c r="D128" s="728"/>
      <c r="E128" s="728"/>
      <c r="F128" s="728"/>
      <c r="G128" s="728"/>
      <c r="H128" s="728"/>
      <c r="I128" s="728"/>
      <c r="J128" s="728"/>
      <c r="K128" s="728"/>
      <c r="L128" s="729"/>
      <c r="M128" s="728"/>
      <c r="N128" s="728"/>
      <c r="O128" s="728"/>
      <c r="P128" s="728"/>
      <c r="Q128" s="728"/>
      <c r="R128" s="728"/>
      <c r="S128" s="429"/>
      <c r="T128" s="429"/>
      <c r="U128" s="429"/>
      <c r="V128" s="429"/>
    </row>
    <row r="129" spans="1:22" ht="39.75" customHeight="1">
      <c r="A129" s="728"/>
      <c r="B129" s="728"/>
      <c r="C129" s="728"/>
      <c r="D129" s="728"/>
      <c r="E129" s="728"/>
      <c r="F129" s="728"/>
      <c r="G129" s="728"/>
      <c r="H129" s="728"/>
      <c r="I129" s="728"/>
      <c r="J129" s="728"/>
      <c r="K129" s="728"/>
      <c r="L129" s="729"/>
      <c r="M129" s="728"/>
      <c r="N129" s="728"/>
      <c r="O129" s="728"/>
      <c r="P129" s="728"/>
      <c r="Q129" s="728"/>
      <c r="R129" s="728"/>
      <c r="S129" s="429"/>
      <c r="T129" s="429"/>
      <c r="U129" s="429"/>
      <c r="V129" s="429"/>
    </row>
    <row r="130" spans="1:22" ht="39.75" customHeight="1">
      <c r="A130" s="728"/>
      <c r="B130" s="728"/>
      <c r="C130" s="728"/>
      <c r="D130" s="728"/>
      <c r="E130" s="728"/>
      <c r="F130" s="728"/>
      <c r="G130" s="728"/>
      <c r="H130" s="728"/>
      <c r="I130" s="728"/>
      <c r="J130" s="728"/>
      <c r="K130" s="728"/>
      <c r="L130" s="729"/>
      <c r="M130" s="728"/>
      <c r="N130" s="728"/>
      <c r="O130" s="728"/>
      <c r="P130" s="728"/>
      <c r="Q130" s="728"/>
      <c r="R130" s="728"/>
      <c r="S130" s="429"/>
      <c r="T130" s="429"/>
      <c r="U130" s="429"/>
      <c r="V130" s="429"/>
    </row>
    <row r="131" spans="1:22" ht="39.75" customHeight="1">
      <c r="A131" s="728"/>
      <c r="B131" s="728"/>
      <c r="C131" s="728"/>
      <c r="D131" s="728"/>
      <c r="E131" s="728"/>
      <c r="F131" s="728"/>
      <c r="G131" s="728"/>
      <c r="H131" s="728"/>
      <c r="I131" s="728"/>
      <c r="J131" s="728"/>
      <c r="K131" s="728"/>
      <c r="L131" s="729"/>
      <c r="M131" s="728"/>
      <c r="N131" s="728"/>
      <c r="O131" s="728"/>
      <c r="P131" s="728"/>
      <c r="Q131" s="728"/>
      <c r="R131" s="728"/>
      <c r="S131" s="429"/>
      <c r="T131" s="429"/>
      <c r="U131" s="429"/>
      <c r="V131" s="429"/>
    </row>
    <row r="132" spans="1:22" ht="39.75" customHeight="1">
      <c r="A132" s="728"/>
      <c r="B132" s="728"/>
      <c r="C132" s="728"/>
      <c r="D132" s="728"/>
      <c r="E132" s="728"/>
      <c r="F132" s="728"/>
      <c r="G132" s="728"/>
      <c r="H132" s="728"/>
      <c r="I132" s="728"/>
      <c r="J132" s="728"/>
      <c r="K132" s="728"/>
      <c r="L132" s="729"/>
      <c r="M132" s="728"/>
      <c r="N132" s="728"/>
      <c r="O132" s="728"/>
      <c r="P132" s="728"/>
      <c r="Q132" s="728"/>
      <c r="R132" s="728"/>
      <c r="S132" s="429"/>
      <c r="T132" s="429"/>
      <c r="U132" s="429"/>
      <c r="V132" s="429"/>
    </row>
    <row r="133" spans="1:22" ht="39.75" customHeight="1">
      <c r="A133" s="728"/>
      <c r="B133" s="728"/>
      <c r="C133" s="728"/>
      <c r="D133" s="728"/>
      <c r="E133" s="728"/>
      <c r="F133" s="728"/>
      <c r="G133" s="728"/>
      <c r="H133" s="728"/>
      <c r="I133" s="728"/>
      <c r="J133" s="728"/>
      <c r="K133" s="728"/>
      <c r="L133" s="729"/>
      <c r="M133" s="728"/>
      <c r="N133" s="728"/>
      <c r="O133" s="728"/>
      <c r="P133" s="728"/>
      <c r="Q133" s="728"/>
      <c r="R133" s="728"/>
      <c r="S133" s="429"/>
      <c r="T133" s="429"/>
      <c r="U133" s="429"/>
      <c r="V133" s="429"/>
    </row>
    <row r="134" spans="1:22" ht="39.75" customHeight="1">
      <c r="A134" s="728"/>
      <c r="B134" s="728"/>
      <c r="C134" s="728"/>
      <c r="D134" s="728"/>
      <c r="E134" s="728"/>
      <c r="F134" s="728"/>
      <c r="G134" s="728"/>
      <c r="H134" s="728"/>
      <c r="I134" s="728"/>
      <c r="J134" s="728"/>
      <c r="K134" s="728"/>
      <c r="L134" s="729"/>
      <c r="M134" s="728"/>
      <c r="N134" s="728"/>
      <c r="O134" s="728"/>
      <c r="P134" s="728"/>
      <c r="Q134" s="728"/>
      <c r="R134" s="728"/>
      <c r="S134" s="429"/>
      <c r="T134" s="429"/>
      <c r="U134" s="429"/>
      <c r="V134" s="429"/>
    </row>
    <row r="135" spans="1:22" ht="39.75" customHeight="1">
      <c r="A135" s="728"/>
      <c r="B135" s="728"/>
      <c r="C135" s="728"/>
      <c r="D135" s="728"/>
      <c r="E135" s="728"/>
      <c r="F135" s="728"/>
      <c r="G135" s="728"/>
      <c r="H135" s="728"/>
      <c r="I135" s="728"/>
      <c r="J135" s="728"/>
      <c r="K135" s="728"/>
      <c r="L135" s="729"/>
      <c r="M135" s="728"/>
      <c r="N135" s="728"/>
      <c r="O135" s="728"/>
      <c r="P135" s="728"/>
      <c r="Q135" s="728"/>
      <c r="R135" s="728"/>
      <c r="S135" s="429"/>
      <c r="T135" s="429"/>
      <c r="U135" s="429"/>
      <c r="V135" s="429"/>
    </row>
    <row r="136" spans="1:22" ht="39.75" customHeight="1">
      <c r="A136" s="728"/>
      <c r="B136" s="728"/>
      <c r="C136" s="728"/>
      <c r="D136" s="728"/>
      <c r="E136" s="728"/>
      <c r="F136" s="728"/>
      <c r="G136" s="728"/>
      <c r="H136" s="728"/>
      <c r="I136" s="728"/>
      <c r="J136" s="728"/>
      <c r="K136" s="728"/>
      <c r="L136" s="729"/>
      <c r="M136" s="728"/>
      <c r="N136" s="728"/>
      <c r="O136" s="728"/>
      <c r="P136" s="728"/>
      <c r="Q136" s="728"/>
      <c r="R136" s="728"/>
      <c r="S136" s="429"/>
      <c r="T136" s="429"/>
      <c r="U136" s="429"/>
      <c r="V136" s="429"/>
    </row>
    <row r="137" spans="1:22" ht="39.75" customHeight="1">
      <c r="A137" s="728"/>
      <c r="B137" s="728"/>
      <c r="C137" s="728"/>
      <c r="D137" s="728"/>
      <c r="E137" s="728"/>
      <c r="F137" s="728"/>
      <c r="G137" s="728"/>
      <c r="H137" s="728"/>
      <c r="I137" s="728"/>
      <c r="J137" s="728"/>
      <c r="K137" s="728"/>
      <c r="L137" s="729"/>
      <c r="M137" s="728"/>
      <c r="N137" s="728"/>
      <c r="O137" s="728"/>
      <c r="P137" s="728"/>
      <c r="Q137" s="728"/>
      <c r="R137" s="728"/>
      <c r="S137" s="429"/>
      <c r="T137" s="429"/>
      <c r="U137" s="429"/>
      <c r="V137" s="429"/>
    </row>
    <row r="138" spans="1:22" ht="39.75" customHeight="1">
      <c r="A138" s="728"/>
      <c r="B138" s="728"/>
      <c r="C138" s="728"/>
      <c r="D138" s="728"/>
      <c r="E138" s="728"/>
      <c r="F138" s="728"/>
      <c r="G138" s="728"/>
      <c r="H138" s="728"/>
      <c r="I138" s="728"/>
      <c r="J138" s="728"/>
      <c r="K138" s="728"/>
      <c r="L138" s="729"/>
      <c r="M138" s="728"/>
      <c r="N138" s="728"/>
      <c r="O138" s="728"/>
      <c r="P138" s="728"/>
      <c r="Q138" s="728"/>
      <c r="R138" s="728"/>
      <c r="S138" s="429"/>
      <c r="T138" s="429"/>
      <c r="U138" s="429"/>
      <c r="V138" s="429"/>
    </row>
    <row r="139" spans="1:22" ht="39.75" customHeight="1">
      <c r="A139" s="728"/>
      <c r="B139" s="728"/>
      <c r="C139" s="728"/>
      <c r="D139" s="728"/>
      <c r="E139" s="728"/>
      <c r="F139" s="728"/>
      <c r="G139" s="728"/>
      <c r="H139" s="728"/>
      <c r="I139" s="728"/>
      <c r="J139" s="728"/>
      <c r="K139" s="728"/>
      <c r="L139" s="729"/>
      <c r="M139" s="728"/>
      <c r="N139" s="728"/>
      <c r="O139" s="728"/>
      <c r="P139" s="728"/>
      <c r="Q139" s="728"/>
      <c r="R139" s="728"/>
      <c r="S139" s="429"/>
      <c r="T139" s="429"/>
      <c r="U139" s="429"/>
      <c r="V139" s="429"/>
    </row>
    <row r="140" spans="1:22" ht="39.75" customHeight="1">
      <c r="A140" s="728"/>
      <c r="B140" s="728"/>
      <c r="C140" s="728"/>
      <c r="D140" s="728"/>
      <c r="E140" s="728"/>
      <c r="F140" s="728"/>
      <c r="G140" s="728"/>
      <c r="H140" s="728"/>
      <c r="I140" s="728"/>
      <c r="J140" s="728"/>
      <c r="K140" s="728"/>
      <c r="L140" s="729"/>
      <c r="M140" s="728"/>
      <c r="N140" s="728"/>
      <c r="O140" s="728"/>
      <c r="P140" s="728"/>
      <c r="Q140" s="728"/>
      <c r="R140" s="728"/>
      <c r="S140" s="429"/>
      <c r="T140" s="429"/>
      <c r="U140" s="429"/>
      <c r="V140" s="429"/>
    </row>
    <row r="141" spans="1:22" ht="39.75" customHeight="1">
      <c r="A141" s="728"/>
      <c r="B141" s="728"/>
      <c r="C141" s="728"/>
      <c r="D141" s="728"/>
      <c r="E141" s="728"/>
      <c r="F141" s="728"/>
      <c r="G141" s="728"/>
      <c r="H141" s="728"/>
      <c r="I141" s="728"/>
      <c r="J141" s="728"/>
      <c r="K141" s="728"/>
      <c r="L141" s="729"/>
      <c r="M141" s="728"/>
      <c r="N141" s="728"/>
      <c r="O141" s="728"/>
      <c r="P141" s="728"/>
      <c r="Q141" s="728"/>
      <c r="R141" s="728"/>
      <c r="S141" s="429"/>
      <c r="T141" s="429"/>
      <c r="U141" s="429"/>
      <c r="V141" s="429"/>
    </row>
    <row r="142" spans="1:22" ht="39.75" customHeight="1">
      <c r="A142" s="728"/>
      <c r="B142" s="728"/>
      <c r="C142" s="728"/>
      <c r="D142" s="728"/>
      <c r="E142" s="728"/>
      <c r="F142" s="728"/>
      <c r="G142" s="728"/>
      <c r="H142" s="728"/>
      <c r="I142" s="728"/>
      <c r="J142" s="728"/>
      <c r="K142" s="728"/>
      <c r="L142" s="729"/>
      <c r="M142" s="728"/>
      <c r="N142" s="728"/>
      <c r="O142" s="728"/>
      <c r="P142" s="728"/>
      <c r="Q142" s="728"/>
      <c r="R142" s="728"/>
      <c r="S142" s="429"/>
      <c r="T142" s="429"/>
      <c r="U142" s="429"/>
      <c r="V142" s="429"/>
    </row>
    <row r="143" spans="1:22" ht="39.75" customHeight="1">
      <c r="A143" s="728"/>
      <c r="B143" s="728"/>
      <c r="C143" s="728"/>
      <c r="D143" s="728"/>
      <c r="E143" s="728"/>
      <c r="F143" s="728"/>
      <c r="G143" s="728"/>
      <c r="H143" s="728"/>
      <c r="I143" s="728"/>
      <c r="J143" s="728"/>
      <c r="K143" s="728"/>
      <c r="L143" s="729"/>
      <c r="M143" s="728"/>
      <c r="N143" s="728"/>
      <c r="O143" s="728"/>
      <c r="P143" s="728"/>
      <c r="Q143" s="728"/>
      <c r="R143" s="728"/>
      <c r="S143" s="429"/>
      <c r="T143" s="429"/>
      <c r="U143" s="429"/>
      <c r="V143" s="429"/>
    </row>
    <row r="144" spans="1:22" ht="39.75" customHeight="1">
      <c r="A144" s="728"/>
      <c r="B144" s="728"/>
      <c r="C144" s="728"/>
      <c r="D144" s="728"/>
      <c r="E144" s="728"/>
      <c r="F144" s="728"/>
      <c r="G144" s="728"/>
      <c r="H144" s="728"/>
      <c r="I144" s="728"/>
      <c r="J144" s="728"/>
      <c r="K144" s="728"/>
      <c r="L144" s="729"/>
      <c r="M144" s="728"/>
      <c r="N144" s="728"/>
      <c r="O144" s="728"/>
      <c r="P144" s="728"/>
      <c r="Q144" s="728"/>
      <c r="R144" s="728"/>
      <c r="S144" s="429"/>
      <c r="T144" s="429"/>
      <c r="U144" s="429"/>
      <c r="V144" s="429"/>
    </row>
    <row r="145" spans="1:22" ht="39.75" customHeight="1">
      <c r="A145" s="728"/>
      <c r="B145" s="728"/>
      <c r="C145" s="728"/>
      <c r="D145" s="728"/>
      <c r="E145" s="728"/>
      <c r="F145" s="728"/>
      <c r="G145" s="728"/>
      <c r="H145" s="728"/>
      <c r="I145" s="728"/>
      <c r="J145" s="728"/>
      <c r="K145" s="728"/>
      <c r="L145" s="729"/>
      <c r="M145" s="728"/>
      <c r="N145" s="728"/>
      <c r="O145" s="728"/>
      <c r="P145" s="728"/>
      <c r="Q145" s="728"/>
      <c r="R145" s="728"/>
      <c r="S145" s="429"/>
      <c r="T145" s="429"/>
      <c r="U145" s="429"/>
      <c r="V145" s="429"/>
    </row>
    <row r="146" spans="1:22" ht="39.75" customHeight="1">
      <c r="A146" s="728"/>
      <c r="B146" s="728"/>
      <c r="C146" s="728"/>
      <c r="D146" s="728"/>
      <c r="E146" s="728"/>
      <c r="F146" s="728"/>
      <c r="G146" s="728"/>
      <c r="H146" s="728"/>
      <c r="I146" s="728"/>
      <c r="J146" s="728"/>
      <c r="K146" s="728"/>
      <c r="L146" s="729"/>
      <c r="M146" s="728"/>
      <c r="N146" s="728"/>
      <c r="O146" s="728"/>
      <c r="P146" s="728"/>
      <c r="Q146" s="728"/>
      <c r="R146" s="728"/>
      <c r="S146" s="429"/>
      <c r="T146" s="429"/>
      <c r="U146" s="429"/>
      <c r="V146" s="429"/>
    </row>
    <row r="147" spans="1:22" ht="39.75" customHeight="1">
      <c r="A147" s="728"/>
      <c r="B147" s="728"/>
      <c r="C147" s="728"/>
      <c r="D147" s="728"/>
      <c r="E147" s="728"/>
      <c r="F147" s="728"/>
      <c r="G147" s="728"/>
      <c r="H147" s="728"/>
      <c r="I147" s="728"/>
      <c r="J147" s="728"/>
      <c r="K147" s="728"/>
      <c r="L147" s="729"/>
      <c r="M147" s="728"/>
      <c r="N147" s="728"/>
      <c r="O147" s="728"/>
      <c r="P147" s="728"/>
      <c r="Q147" s="728"/>
      <c r="R147" s="728"/>
      <c r="S147" s="429"/>
      <c r="T147" s="429"/>
      <c r="U147" s="429"/>
      <c r="V147" s="429"/>
    </row>
    <row r="148" spans="1:22" ht="39.75" customHeight="1">
      <c r="A148" s="728"/>
      <c r="B148" s="728"/>
      <c r="C148" s="728"/>
      <c r="D148" s="728"/>
      <c r="E148" s="728"/>
      <c r="F148" s="728"/>
      <c r="G148" s="728"/>
      <c r="H148" s="728"/>
      <c r="I148" s="728"/>
      <c r="J148" s="728"/>
      <c r="K148" s="728"/>
      <c r="L148" s="729"/>
      <c r="M148" s="728"/>
      <c r="N148" s="728"/>
      <c r="O148" s="728"/>
      <c r="P148" s="728"/>
      <c r="Q148" s="728"/>
      <c r="R148" s="728"/>
      <c r="S148" s="429"/>
      <c r="T148" s="429"/>
      <c r="U148" s="429"/>
      <c r="V148" s="429"/>
    </row>
    <row r="149" spans="1:22" ht="21" customHeight="1">
      <c r="A149" s="728"/>
      <c r="B149" s="728"/>
      <c r="C149" s="728"/>
      <c r="D149" s="728"/>
      <c r="E149" s="728"/>
      <c r="F149" s="728"/>
      <c r="G149" s="728"/>
      <c r="H149" s="728"/>
      <c r="I149" s="728"/>
      <c r="J149" s="728"/>
      <c r="K149" s="728"/>
      <c r="L149" s="729"/>
      <c r="M149" s="728"/>
      <c r="N149" s="728"/>
      <c r="O149" s="728"/>
      <c r="P149" s="728"/>
      <c r="Q149" s="728"/>
      <c r="R149" s="728"/>
      <c r="S149" s="429"/>
      <c r="T149" s="429"/>
      <c r="U149" s="429"/>
      <c r="V149" s="429"/>
    </row>
    <row r="150" spans="1:22" ht="21" customHeight="1">
      <c r="A150" s="728"/>
      <c r="B150" s="728"/>
      <c r="C150" s="728"/>
      <c r="D150" s="728"/>
      <c r="E150" s="728"/>
      <c r="F150" s="728"/>
      <c r="G150" s="728"/>
      <c r="H150" s="728"/>
      <c r="I150" s="728"/>
      <c r="J150" s="728"/>
      <c r="K150" s="728"/>
      <c r="L150" s="729"/>
      <c r="M150" s="728"/>
      <c r="N150" s="728"/>
      <c r="O150" s="728"/>
      <c r="P150" s="728"/>
      <c r="Q150" s="728"/>
      <c r="R150" s="728"/>
      <c r="S150" s="429"/>
      <c r="T150" s="429"/>
      <c r="U150" s="429"/>
      <c r="V150" s="429"/>
    </row>
    <row r="151" spans="1:22" ht="21" customHeight="1">
      <c r="A151" s="728"/>
      <c r="B151" s="728"/>
      <c r="C151" s="728"/>
      <c r="D151" s="728"/>
      <c r="E151" s="728"/>
      <c r="F151" s="728"/>
      <c r="G151" s="728"/>
      <c r="H151" s="728"/>
      <c r="I151" s="728"/>
      <c r="J151" s="728"/>
      <c r="K151" s="728"/>
      <c r="L151" s="729"/>
      <c r="M151" s="728"/>
      <c r="N151" s="728"/>
      <c r="O151" s="728"/>
      <c r="P151" s="728"/>
      <c r="Q151" s="728"/>
      <c r="R151" s="728"/>
      <c r="S151" s="429"/>
      <c r="T151" s="429"/>
      <c r="U151" s="429"/>
      <c r="V151" s="429"/>
    </row>
    <row r="152" spans="1:22" ht="21" customHeight="1">
      <c r="A152" s="728"/>
      <c r="B152" s="728"/>
      <c r="C152" s="728"/>
      <c r="D152" s="728"/>
      <c r="E152" s="728"/>
      <c r="F152" s="728"/>
      <c r="G152" s="728"/>
      <c r="H152" s="728"/>
      <c r="I152" s="728"/>
      <c r="J152" s="728"/>
      <c r="K152" s="728"/>
      <c r="L152" s="729"/>
      <c r="M152" s="728"/>
      <c r="N152" s="728"/>
      <c r="O152" s="728"/>
      <c r="P152" s="728"/>
      <c r="Q152" s="728"/>
      <c r="R152" s="728"/>
      <c r="S152" s="429"/>
      <c r="T152" s="429"/>
      <c r="U152" s="429"/>
      <c r="V152" s="429"/>
    </row>
    <row r="153" spans="1:22" ht="21" customHeight="1">
      <c r="A153" s="728"/>
      <c r="B153" s="728"/>
      <c r="C153" s="728"/>
      <c r="D153" s="728"/>
      <c r="E153" s="728"/>
      <c r="F153" s="728"/>
      <c r="G153" s="728"/>
      <c r="H153" s="728"/>
      <c r="I153" s="728"/>
      <c r="J153" s="728"/>
      <c r="K153" s="728"/>
      <c r="L153" s="729"/>
      <c r="M153" s="728"/>
      <c r="N153" s="728"/>
      <c r="O153" s="728"/>
      <c r="P153" s="728"/>
      <c r="Q153" s="728"/>
      <c r="R153" s="728"/>
      <c r="S153" s="429"/>
      <c r="T153" s="429"/>
      <c r="U153" s="429"/>
      <c r="V153" s="429"/>
    </row>
    <row r="154" spans="1:22" ht="21" customHeight="1">
      <c r="A154" s="728"/>
      <c r="B154" s="728"/>
      <c r="C154" s="728"/>
      <c r="D154" s="728"/>
      <c r="E154" s="728"/>
      <c r="F154" s="728"/>
      <c r="G154" s="728"/>
      <c r="H154" s="728"/>
      <c r="I154" s="728"/>
      <c r="J154" s="728"/>
      <c r="K154" s="728"/>
      <c r="L154" s="729"/>
      <c r="M154" s="728"/>
      <c r="N154" s="728"/>
      <c r="O154" s="728"/>
      <c r="P154" s="728"/>
      <c r="Q154" s="728"/>
      <c r="R154" s="728"/>
      <c r="S154" s="429"/>
      <c r="T154" s="429"/>
      <c r="U154" s="429"/>
      <c r="V154" s="429"/>
    </row>
    <row r="155" spans="1:22" ht="21" customHeight="1">
      <c r="A155" s="728"/>
      <c r="B155" s="728"/>
      <c r="C155" s="728"/>
      <c r="D155" s="728"/>
      <c r="E155" s="728"/>
      <c r="F155" s="728"/>
      <c r="G155" s="728"/>
      <c r="H155" s="728"/>
      <c r="I155" s="728"/>
      <c r="J155" s="728"/>
      <c r="K155" s="728"/>
      <c r="L155" s="729"/>
      <c r="M155" s="728"/>
      <c r="N155" s="728"/>
      <c r="O155" s="728"/>
      <c r="P155" s="728"/>
      <c r="Q155" s="728"/>
      <c r="R155" s="728"/>
      <c r="S155" s="429"/>
      <c r="T155" s="429"/>
      <c r="U155" s="429"/>
      <c r="V155" s="429"/>
    </row>
    <row r="156" spans="1:22" ht="21" customHeight="1">
      <c r="A156" s="728"/>
      <c r="B156" s="728"/>
      <c r="C156" s="728"/>
      <c r="D156" s="728"/>
      <c r="E156" s="728"/>
      <c r="F156" s="728"/>
      <c r="G156" s="728"/>
      <c r="H156" s="728"/>
      <c r="I156" s="728"/>
      <c r="J156" s="728"/>
      <c r="K156" s="728"/>
      <c r="L156" s="729"/>
      <c r="M156" s="728"/>
      <c r="N156" s="728"/>
      <c r="O156" s="728"/>
      <c r="P156" s="728"/>
      <c r="Q156" s="728"/>
      <c r="R156" s="728"/>
      <c r="S156" s="429"/>
      <c r="T156" s="429"/>
      <c r="U156" s="429"/>
      <c r="V156" s="429"/>
    </row>
    <row r="157" spans="1:22" ht="21" customHeight="1">
      <c r="A157" s="728"/>
      <c r="B157" s="728"/>
      <c r="C157" s="728"/>
      <c r="D157" s="728"/>
      <c r="E157" s="728"/>
      <c r="F157" s="728"/>
      <c r="G157" s="728"/>
      <c r="H157" s="728"/>
      <c r="I157" s="728"/>
      <c r="J157" s="728"/>
      <c r="K157" s="728"/>
      <c r="L157" s="729"/>
      <c r="M157" s="728"/>
      <c r="N157" s="728"/>
      <c r="O157" s="728"/>
      <c r="P157" s="728"/>
      <c r="Q157" s="728"/>
      <c r="R157" s="728"/>
      <c r="S157" s="429"/>
      <c r="T157" s="429"/>
      <c r="U157" s="429"/>
      <c r="V157" s="429"/>
    </row>
    <row r="158" spans="1:22" ht="21" customHeight="1">
      <c r="A158" s="728"/>
      <c r="B158" s="728"/>
      <c r="C158" s="728"/>
      <c r="D158" s="728"/>
      <c r="E158" s="728"/>
      <c r="F158" s="728"/>
      <c r="G158" s="728"/>
      <c r="H158" s="728"/>
      <c r="I158" s="728"/>
      <c r="J158" s="728"/>
      <c r="K158" s="728"/>
      <c r="L158" s="729"/>
      <c r="M158" s="728"/>
      <c r="N158" s="728"/>
      <c r="O158" s="728"/>
      <c r="P158" s="728"/>
      <c r="Q158" s="728"/>
      <c r="R158" s="728"/>
      <c r="S158" s="429"/>
      <c r="T158" s="429"/>
      <c r="U158" s="429"/>
      <c r="V158" s="429"/>
    </row>
    <row r="159" spans="1:22" ht="21" customHeight="1">
      <c r="A159" s="728"/>
      <c r="B159" s="728"/>
      <c r="C159" s="728"/>
      <c r="D159" s="728"/>
      <c r="E159" s="728"/>
      <c r="F159" s="728"/>
      <c r="G159" s="728"/>
      <c r="H159" s="728"/>
      <c r="I159" s="728"/>
      <c r="J159" s="728"/>
      <c r="K159" s="728"/>
      <c r="L159" s="729"/>
      <c r="M159" s="728"/>
      <c r="N159" s="728"/>
      <c r="O159" s="728"/>
      <c r="P159" s="728"/>
      <c r="Q159" s="728"/>
      <c r="R159" s="728"/>
      <c r="S159" s="429"/>
      <c r="T159" s="429"/>
      <c r="U159" s="429"/>
      <c r="V159" s="429"/>
    </row>
    <row r="160" spans="1:22" ht="21" customHeight="1">
      <c r="A160" s="728"/>
      <c r="B160" s="728"/>
      <c r="C160" s="728"/>
      <c r="D160" s="728"/>
      <c r="E160" s="728"/>
      <c r="F160" s="728"/>
      <c r="G160" s="728"/>
      <c r="H160" s="728"/>
      <c r="I160" s="728"/>
      <c r="J160" s="728"/>
      <c r="K160" s="728"/>
      <c r="L160" s="729"/>
      <c r="M160" s="728"/>
      <c r="N160" s="728"/>
      <c r="O160" s="728"/>
      <c r="P160" s="728"/>
      <c r="Q160" s="728"/>
      <c r="R160" s="728"/>
      <c r="S160" s="429"/>
      <c r="T160" s="429"/>
      <c r="U160" s="429"/>
      <c r="V160" s="429"/>
    </row>
    <row r="161" spans="1:22" ht="21" customHeight="1">
      <c r="A161" s="728"/>
      <c r="B161" s="728"/>
      <c r="C161" s="728"/>
      <c r="D161" s="728"/>
      <c r="E161" s="728"/>
      <c r="F161" s="728"/>
      <c r="G161" s="728"/>
      <c r="H161" s="728"/>
      <c r="I161" s="728"/>
      <c r="J161" s="728"/>
      <c r="K161" s="728"/>
      <c r="L161" s="729"/>
      <c r="M161" s="728"/>
      <c r="N161" s="728"/>
      <c r="O161" s="728"/>
      <c r="P161" s="728"/>
      <c r="Q161" s="728"/>
      <c r="R161" s="728"/>
      <c r="S161" s="429"/>
      <c r="T161" s="429"/>
      <c r="U161" s="429"/>
      <c r="V161" s="429"/>
    </row>
    <row r="162" spans="1:22" ht="21" customHeight="1">
      <c r="A162" s="728"/>
      <c r="B162" s="728"/>
      <c r="C162" s="728"/>
      <c r="D162" s="728"/>
      <c r="E162" s="728"/>
      <c r="F162" s="728"/>
      <c r="G162" s="728"/>
      <c r="H162" s="728"/>
      <c r="I162" s="728"/>
      <c r="J162" s="728"/>
      <c r="K162" s="728"/>
      <c r="L162" s="729"/>
      <c r="M162" s="728"/>
      <c r="N162" s="728"/>
      <c r="O162" s="728"/>
      <c r="P162" s="728"/>
      <c r="Q162" s="728"/>
      <c r="R162" s="728"/>
      <c r="S162" s="429"/>
      <c r="T162" s="429"/>
      <c r="U162" s="429"/>
      <c r="V162" s="429"/>
    </row>
    <row r="163" spans="1:22" ht="21" customHeight="1">
      <c r="A163" s="728"/>
      <c r="B163" s="728"/>
      <c r="C163" s="728"/>
      <c r="D163" s="728"/>
      <c r="E163" s="728"/>
      <c r="F163" s="728"/>
      <c r="G163" s="728"/>
      <c r="H163" s="728"/>
      <c r="I163" s="728"/>
      <c r="J163" s="728"/>
      <c r="K163" s="728"/>
      <c r="L163" s="729"/>
      <c r="M163" s="728"/>
      <c r="N163" s="728"/>
      <c r="O163" s="728"/>
      <c r="P163" s="728"/>
      <c r="Q163" s="728"/>
      <c r="R163" s="728"/>
      <c r="S163" s="429"/>
      <c r="T163" s="429"/>
      <c r="U163" s="429"/>
      <c r="V163" s="429"/>
    </row>
    <row r="164" spans="1:22" ht="21" customHeight="1">
      <c r="A164" s="728"/>
      <c r="B164" s="728"/>
      <c r="C164" s="728"/>
      <c r="D164" s="728"/>
      <c r="E164" s="728"/>
      <c r="F164" s="728"/>
      <c r="G164" s="728"/>
      <c r="H164" s="728"/>
      <c r="I164" s="728"/>
      <c r="J164" s="728"/>
      <c r="K164" s="728"/>
      <c r="L164" s="729"/>
      <c r="M164" s="728"/>
      <c r="N164" s="728"/>
      <c r="O164" s="728"/>
      <c r="P164" s="728"/>
      <c r="Q164" s="728"/>
      <c r="R164" s="728"/>
      <c r="S164" s="429"/>
      <c r="T164" s="429"/>
      <c r="U164" s="429"/>
      <c r="V164" s="429"/>
    </row>
    <row r="165" spans="1:22" ht="21" customHeight="1">
      <c r="A165" s="728"/>
      <c r="B165" s="728"/>
      <c r="C165" s="728"/>
      <c r="D165" s="728"/>
      <c r="E165" s="728"/>
      <c r="F165" s="728"/>
      <c r="G165" s="728"/>
      <c r="H165" s="728"/>
      <c r="I165" s="728"/>
      <c r="J165" s="728"/>
      <c r="K165" s="728"/>
      <c r="L165" s="729"/>
      <c r="M165" s="728"/>
      <c r="N165" s="728"/>
      <c r="O165" s="728"/>
      <c r="P165" s="728"/>
      <c r="Q165" s="728"/>
      <c r="R165" s="728"/>
      <c r="S165" s="429"/>
      <c r="T165" s="429"/>
      <c r="U165" s="429"/>
      <c r="V165" s="429"/>
    </row>
    <row r="166" spans="1:22" ht="21" customHeight="1">
      <c r="A166" s="728"/>
      <c r="B166" s="728"/>
      <c r="C166" s="728"/>
      <c r="D166" s="728"/>
      <c r="E166" s="728"/>
      <c r="F166" s="728"/>
      <c r="G166" s="728"/>
      <c r="H166" s="728"/>
      <c r="I166" s="728"/>
      <c r="J166" s="728"/>
      <c r="K166" s="728"/>
      <c r="L166" s="729"/>
      <c r="M166" s="728"/>
      <c r="N166" s="728"/>
      <c r="O166" s="728"/>
      <c r="P166" s="728"/>
      <c r="Q166" s="728"/>
      <c r="R166" s="728"/>
      <c r="S166" s="429"/>
      <c r="T166" s="429"/>
      <c r="U166" s="429"/>
      <c r="V166" s="429"/>
    </row>
    <row r="167" spans="1:22" ht="21" customHeight="1">
      <c r="A167" s="728"/>
      <c r="B167" s="728"/>
      <c r="C167" s="728"/>
      <c r="D167" s="728"/>
      <c r="E167" s="728"/>
      <c r="F167" s="728"/>
      <c r="G167" s="728"/>
      <c r="H167" s="728"/>
      <c r="I167" s="728"/>
      <c r="J167" s="728"/>
      <c r="K167" s="728"/>
      <c r="L167" s="729"/>
      <c r="M167" s="728"/>
      <c r="N167" s="728"/>
      <c r="O167" s="728"/>
      <c r="P167" s="728"/>
      <c r="Q167" s="728"/>
      <c r="R167" s="728"/>
      <c r="S167" s="429"/>
      <c r="T167" s="429"/>
      <c r="U167" s="429"/>
      <c r="V167" s="429"/>
    </row>
    <row r="168" spans="1:22" ht="21" customHeight="1">
      <c r="A168" s="728"/>
      <c r="B168" s="728"/>
      <c r="C168" s="728"/>
      <c r="D168" s="728"/>
      <c r="E168" s="728"/>
      <c r="F168" s="728"/>
      <c r="G168" s="728"/>
      <c r="H168" s="728"/>
      <c r="I168" s="728"/>
      <c r="J168" s="728"/>
      <c r="K168" s="728"/>
      <c r="L168" s="729"/>
      <c r="M168" s="728"/>
      <c r="N168" s="728"/>
      <c r="O168" s="728"/>
      <c r="P168" s="728"/>
      <c r="Q168" s="728"/>
      <c r="R168" s="728"/>
      <c r="S168" s="429"/>
      <c r="T168" s="429"/>
      <c r="U168" s="429"/>
      <c r="V168" s="429"/>
    </row>
    <row r="169" spans="1:22" ht="21" customHeight="1">
      <c r="A169" s="728"/>
      <c r="B169" s="728"/>
      <c r="C169" s="728"/>
      <c r="D169" s="728"/>
      <c r="E169" s="728"/>
      <c r="F169" s="728"/>
      <c r="G169" s="728"/>
      <c r="H169" s="728"/>
      <c r="I169" s="728"/>
      <c r="J169" s="728"/>
      <c r="K169" s="728"/>
      <c r="L169" s="729"/>
      <c r="M169" s="728"/>
      <c r="N169" s="728"/>
      <c r="O169" s="728"/>
      <c r="P169" s="728"/>
      <c r="Q169" s="728"/>
      <c r="R169" s="728"/>
      <c r="S169" s="429"/>
      <c r="T169" s="429"/>
      <c r="U169" s="429"/>
      <c r="V169" s="429"/>
    </row>
    <row r="170" spans="1:22" ht="21" customHeight="1">
      <c r="A170" s="728"/>
      <c r="B170" s="728"/>
      <c r="C170" s="728"/>
      <c r="D170" s="728"/>
      <c r="E170" s="728"/>
      <c r="F170" s="728"/>
      <c r="G170" s="728"/>
      <c r="H170" s="728"/>
      <c r="I170" s="728"/>
      <c r="J170" s="728"/>
      <c r="K170" s="728"/>
      <c r="L170" s="729"/>
      <c r="M170" s="728"/>
      <c r="N170" s="728"/>
      <c r="O170" s="728"/>
      <c r="P170" s="728"/>
      <c r="Q170" s="728"/>
      <c r="R170" s="728"/>
      <c r="S170" s="429"/>
      <c r="T170" s="429"/>
      <c r="U170" s="429"/>
      <c r="V170" s="429"/>
    </row>
    <row r="171" spans="1:22" ht="21" customHeight="1">
      <c r="A171" s="728"/>
      <c r="B171" s="728"/>
      <c r="C171" s="728"/>
      <c r="D171" s="728"/>
      <c r="E171" s="728"/>
      <c r="F171" s="728"/>
      <c r="G171" s="728"/>
      <c r="H171" s="728"/>
      <c r="I171" s="728"/>
      <c r="J171" s="728"/>
      <c r="K171" s="728"/>
      <c r="L171" s="729"/>
      <c r="M171" s="728"/>
      <c r="N171" s="728"/>
      <c r="O171" s="728"/>
      <c r="P171" s="728"/>
      <c r="Q171" s="728"/>
      <c r="R171" s="728"/>
      <c r="S171" s="429"/>
      <c r="T171" s="429"/>
      <c r="U171" s="429"/>
      <c r="V171" s="429"/>
    </row>
    <row r="172" spans="1:22" ht="21" customHeight="1">
      <c r="A172" s="728"/>
      <c r="B172" s="728"/>
      <c r="C172" s="728"/>
      <c r="D172" s="728"/>
      <c r="E172" s="728"/>
      <c r="F172" s="728"/>
      <c r="G172" s="728"/>
      <c r="H172" s="728"/>
      <c r="I172" s="728"/>
      <c r="J172" s="728"/>
      <c r="K172" s="728"/>
      <c r="L172" s="729"/>
      <c r="M172" s="728"/>
      <c r="N172" s="728"/>
      <c r="O172" s="728"/>
      <c r="P172" s="728"/>
      <c r="Q172" s="728"/>
      <c r="R172" s="728"/>
      <c r="S172" s="429"/>
      <c r="T172" s="429"/>
      <c r="U172" s="429"/>
      <c r="V172" s="429"/>
    </row>
    <row r="173" spans="1:22" ht="21" customHeight="1">
      <c r="A173" s="728"/>
      <c r="B173" s="728"/>
      <c r="C173" s="728"/>
      <c r="D173" s="728"/>
      <c r="E173" s="728"/>
      <c r="F173" s="728"/>
      <c r="G173" s="728"/>
      <c r="H173" s="728"/>
      <c r="I173" s="728"/>
      <c r="J173" s="728"/>
      <c r="K173" s="728"/>
      <c r="L173" s="729"/>
      <c r="M173" s="728"/>
      <c r="N173" s="728"/>
      <c r="O173" s="728"/>
      <c r="P173" s="728"/>
      <c r="Q173" s="728"/>
      <c r="R173" s="728"/>
      <c r="S173" s="429"/>
      <c r="T173" s="429"/>
      <c r="U173" s="429"/>
      <c r="V173" s="429"/>
    </row>
    <row r="174" spans="1:22" ht="21" customHeight="1">
      <c r="A174" s="728"/>
      <c r="B174" s="728"/>
      <c r="C174" s="728"/>
      <c r="D174" s="728"/>
      <c r="E174" s="728"/>
      <c r="F174" s="728"/>
      <c r="G174" s="728"/>
      <c r="H174" s="728"/>
      <c r="I174" s="728"/>
      <c r="J174" s="728"/>
      <c r="K174" s="728"/>
      <c r="L174" s="729"/>
      <c r="M174" s="728"/>
      <c r="N174" s="728"/>
      <c r="O174" s="728"/>
      <c r="P174" s="728"/>
      <c r="Q174" s="728"/>
      <c r="R174" s="728"/>
      <c r="S174" s="429"/>
      <c r="T174" s="429"/>
      <c r="U174" s="429"/>
      <c r="V174" s="429"/>
    </row>
    <row r="175" spans="1:22" ht="21" customHeight="1">
      <c r="A175" s="728"/>
      <c r="B175" s="728"/>
      <c r="C175" s="728"/>
      <c r="D175" s="728"/>
      <c r="E175" s="728"/>
      <c r="F175" s="728"/>
      <c r="G175" s="728"/>
      <c r="H175" s="728"/>
      <c r="I175" s="728"/>
      <c r="J175" s="728"/>
      <c r="K175" s="728"/>
      <c r="L175" s="729"/>
      <c r="M175" s="728"/>
      <c r="N175" s="728"/>
      <c r="O175" s="728"/>
      <c r="P175" s="728"/>
      <c r="Q175" s="728"/>
      <c r="R175" s="728"/>
      <c r="S175" s="429"/>
      <c r="T175" s="429"/>
      <c r="U175" s="429"/>
      <c r="V175" s="429"/>
    </row>
    <row r="176" spans="1:22" ht="21" customHeight="1">
      <c r="A176" s="728"/>
      <c r="B176" s="728"/>
      <c r="C176" s="728"/>
      <c r="D176" s="728"/>
      <c r="E176" s="728"/>
      <c r="F176" s="728"/>
      <c r="G176" s="728"/>
      <c r="H176" s="728"/>
      <c r="I176" s="728"/>
      <c r="J176" s="728"/>
      <c r="K176" s="728"/>
      <c r="L176" s="729"/>
      <c r="M176" s="728"/>
      <c r="N176" s="728"/>
      <c r="O176" s="728"/>
      <c r="P176" s="728"/>
      <c r="Q176" s="728"/>
      <c r="R176" s="728"/>
      <c r="S176" s="429"/>
      <c r="T176" s="429"/>
      <c r="U176" s="429"/>
      <c r="V176" s="429"/>
    </row>
    <row r="177" spans="1:22" ht="21" customHeight="1">
      <c r="A177" s="728"/>
      <c r="B177" s="728"/>
      <c r="C177" s="728"/>
      <c r="D177" s="728"/>
      <c r="E177" s="728"/>
      <c r="F177" s="728"/>
      <c r="G177" s="728"/>
      <c r="H177" s="728"/>
      <c r="I177" s="728"/>
      <c r="J177" s="728"/>
      <c r="K177" s="728"/>
      <c r="L177" s="729"/>
      <c r="M177" s="728"/>
      <c r="N177" s="728"/>
      <c r="O177" s="728"/>
      <c r="P177" s="728"/>
      <c r="Q177" s="728"/>
      <c r="R177" s="728"/>
      <c r="S177" s="429"/>
      <c r="T177" s="429"/>
      <c r="U177" s="429"/>
      <c r="V177" s="429"/>
    </row>
    <row r="178" spans="1:22" ht="21" customHeight="1">
      <c r="A178" s="728"/>
      <c r="B178" s="728"/>
      <c r="C178" s="728"/>
      <c r="D178" s="728"/>
      <c r="E178" s="728"/>
      <c r="F178" s="728"/>
      <c r="G178" s="728"/>
      <c r="H178" s="728"/>
      <c r="I178" s="728"/>
      <c r="J178" s="728"/>
      <c r="K178" s="728"/>
      <c r="L178" s="729"/>
      <c r="M178" s="728"/>
      <c r="N178" s="728"/>
      <c r="O178" s="728"/>
      <c r="P178" s="728"/>
      <c r="Q178" s="728"/>
      <c r="R178" s="728"/>
      <c r="S178" s="429"/>
      <c r="T178" s="429"/>
      <c r="U178" s="429"/>
      <c r="V178" s="429"/>
    </row>
    <row r="179" spans="1:22" ht="21" customHeight="1">
      <c r="A179" s="728"/>
      <c r="B179" s="728"/>
      <c r="C179" s="728"/>
      <c r="D179" s="728"/>
      <c r="E179" s="728"/>
      <c r="F179" s="728"/>
      <c r="G179" s="728"/>
      <c r="H179" s="728"/>
      <c r="I179" s="728"/>
      <c r="J179" s="728"/>
      <c r="K179" s="728"/>
      <c r="L179" s="729"/>
      <c r="M179" s="728"/>
      <c r="N179" s="728"/>
      <c r="O179" s="728"/>
      <c r="P179" s="728"/>
      <c r="Q179" s="728"/>
      <c r="R179" s="728"/>
      <c r="S179" s="429"/>
      <c r="T179" s="429"/>
      <c r="U179" s="429"/>
      <c r="V179" s="429"/>
    </row>
    <row r="180" spans="1:22" ht="21" customHeight="1">
      <c r="A180" s="728"/>
      <c r="B180" s="728"/>
      <c r="C180" s="728"/>
      <c r="D180" s="728"/>
      <c r="E180" s="728"/>
      <c r="F180" s="728"/>
      <c r="G180" s="728"/>
      <c r="H180" s="728"/>
      <c r="I180" s="728"/>
      <c r="J180" s="728"/>
      <c r="K180" s="728"/>
      <c r="L180" s="729"/>
      <c r="M180" s="728"/>
      <c r="N180" s="728"/>
      <c r="O180" s="728"/>
      <c r="P180" s="728"/>
      <c r="Q180" s="728"/>
      <c r="R180" s="728"/>
      <c r="S180" s="429"/>
      <c r="T180" s="429"/>
      <c r="U180" s="429"/>
      <c r="V180" s="429"/>
    </row>
    <row r="181" spans="1:22" ht="21" customHeight="1">
      <c r="A181" s="728"/>
      <c r="B181" s="728"/>
      <c r="C181" s="728"/>
      <c r="D181" s="728"/>
      <c r="E181" s="728"/>
      <c r="F181" s="728"/>
      <c r="G181" s="728"/>
      <c r="H181" s="728"/>
      <c r="I181" s="728"/>
      <c r="J181" s="728"/>
      <c r="K181" s="728"/>
      <c r="L181" s="729"/>
      <c r="M181" s="728"/>
      <c r="N181" s="728"/>
      <c r="O181" s="728"/>
      <c r="P181" s="728"/>
      <c r="Q181" s="728"/>
      <c r="R181" s="728"/>
      <c r="S181" s="429"/>
      <c r="T181" s="429"/>
      <c r="U181" s="429"/>
      <c r="V181" s="429"/>
    </row>
    <row r="182" spans="1:22" ht="21" customHeight="1">
      <c r="A182" s="728"/>
      <c r="B182" s="728"/>
      <c r="C182" s="728"/>
      <c r="D182" s="728"/>
      <c r="E182" s="728"/>
      <c r="F182" s="728"/>
      <c r="G182" s="728"/>
      <c r="H182" s="728"/>
      <c r="I182" s="728"/>
      <c r="J182" s="728"/>
      <c r="K182" s="728"/>
      <c r="L182" s="729"/>
      <c r="M182" s="728"/>
      <c r="N182" s="728"/>
      <c r="O182" s="728"/>
      <c r="P182" s="728"/>
      <c r="Q182" s="728"/>
      <c r="R182" s="728"/>
      <c r="S182" s="429"/>
      <c r="T182" s="429"/>
      <c r="U182" s="429"/>
      <c r="V182" s="429"/>
    </row>
    <row r="183" spans="1:22" ht="21" customHeight="1">
      <c r="A183" s="728"/>
      <c r="B183" s="728"/>
      <c r="C183" s="728"/>
      <c r="D183" s="728"/>
      <c r="E183" s="728"/>
      <c r="F183" s="728"/>
      <c r="G183" s="728"/>
      <c r="H183" s="728"/>
      <c r="I183" s="728"/>
      <c r="J183" s="728"/>
      <c r="K183" s="728"/>
      <c r="L183" s="729"/>
      <c r="M183" s="728"/>
      <c r="N183" s="728"/>
      <c r="O183" s="728"/>
      <c r="P183" s="728"/>
      <c r="Q183" s="728"/>
      <c r="R183" s="728"/>
      <c r="S183" s="429"/>
      <c r="T183" s="429"/>
      <c r="U183" s="429"/>
      <c r="V183" s="429"/>
    </row>
    <row r="184" spans="1:22" ht="21" customHeight="1">
      <c r="A184" s="728"/>
      <c r="B184" s="728"/>
      <c r="C184" s="728"/>
      <c r="D184" s="728"/>
      <c r="E184" s="728"/>
      <c r="F184" s="728"/>
      <c r="G184" s="728"/>
      <c r="H184" s="728"/>
      <c r="I184" s="728"/>
      <c r="J184" s="728"/>
      <c r="K184" s="728"/>
      <c r="L184" s="729"/>
      <c r="M184" s="728"/>
      <c r="N184" s="728"/>
      <c r="O184" s="728"/>
      <c r="P184" s="728"/>
      <c r="Q184" s="728"/>
      <c r="R184" s="728"/>
      <c r="S184" s="429"/>
      <c r="T184" s="429"/>
      <c r="U184" s="429"/>
      <c r="V184" s="429"/>
    </row>
    <row r="185" spans="1:22" ht="21" customHeight="1">
      <c r="A185" s="728"/>
      <c r="B185" s="728"/>
      <c r="C185" s="728"/>
      <c r="D185" s="728"/>
      <c r="E185" s="728"/>
      <c r="F185" s="728"/>
      <c r="G185" s="728"/>
      <c r="H185" s="728"/>
      <c r="I185" s="728"/>
      <c r="J185" s="728"/>
      <c r="K185" s="728"/>
      <c r="L185" s="729"/>
      <c r="M185" s="728"/>
      <c r="N185" s="728"/>
      <c r="O185" s="728"/>
      <c r="P185" s="728"/>
      <c r="Q185" s="728"/>
      <c r="R185" s="728"/>
      <c r="S185" s="429"/>
      <c r="T185" s="429"/>
      <c r="U185" s="429"/>
      <c r="V185" s="429"/>
    </row>
    <row r="186" spans="1:22" ht="21" customHeight="1">
      <c r="A186" s="728"/>
      <c r="B186" s="728"/>
      <c r="C186" s="728"/>
      <c r="D186" s="728"/>
      <c r="E186" s="728"/>
      <c r="F186" s="728"/>
      <c r="G186" s="728"/>
      <c r="H186" s="728"/>
      <c r="I186" s="728"/>
      <c r="J186" s="728"/>
      <c r="K186" s="728"/>
      <c r="L186" s="729"/>
      <c r="M186" s="728"/>
      <c r="N186" s="728"/>
      <c r="O186" s="728"/>
      <c r="P186" s="728"/>
      <c r="Q186" s="728"/>
      <c r="R186" s="728"/>
      <c r="S186" s="429"/>
      <c r="T186" s="429"/>
      <c r="U186" s="429"/>
      <c r="V186" s="429"/>
    </row>
    <row r="187" spans="1:22" ht="21" customHeight="1">
      <c r="A187" s="728"/>
      <c r="B187" s="728"/>
      <c r="C187" s="728"/>
      <c r="D187" s="728"/>
      <c r="E187" s="728"/>
      <c r="F187" s="728"/>
      <c r="G187" s="728"/>
      <c r="H187" s="728"/>
      <c r="I187" s="728"/>
      <c r="J187" s="728"/>
      <c r="K187" s="728"/>
      <c r="L187" s="729"/>
      <c r="M187" s="728"/>
      <c r="N187" s="728"/>
      <c r="O187" s="728"/>
      <c r="P187" s="728"/>
      <c r="Q187" s="728"/>
      <c r="R187" s="728"/>
      <c r="S187" s="429"/>
      <c r="T187" s="429"/>
      <c r="U187" s="429"/>
      <c r="V187" s="429"/>
    </row>
    <row r="188" spans="1:22" ht="21" customHeight="1">
      <c r="A188" s="728"/>
      <c r="B188" s="728"/>
      <c r="C188" s="728"/>
      <c r="D188" s="728"/>
      <c r="E188" s="728"/>
      <c r="F188" s="728"/>
      <c r="G188" s="728"/>
      <c r="H188" s="728"/>
      <c r="I188" s="728"/>
      <c r="J188" s="728"/>
      <c r="K188" s="728"/>
      <c r="L188" s="729"/>
      <c r="M188" s="728"/>
      <c r="N188" s="728"/>
      <c r="O188" s="728"/>
      <c r="P188" s="728"/>
      <c r="Q188" s="728"/>
      <c r="R188" s="728"/>
      <c r="S188" s="429"/>
      <c r="T188" s="429"/>
      <c r="U188" s="429"/>
      <c r="V188" s="429"/>
    </row>
    <row r="189" spans="1:22" ht="21" customHeight="1">
      <c r="A189" s="728"/>
      <c r="B189" s="728"/>
      <c r="C189" s="728"/>
      <c r="D189" s="728"/>
      <c r="E189" s="728"/>
      <c r="F189" s="728"/>
      <c r="G189" s="728"/>
      <c r="H189" s="728"/>
      <c r="I189" s="728"/>
      <c r="J189" s="728"/>
      <c r="K189" s="728"/>
      <c r="L189" s="729"/>
      <c r="M189" s="728"/>
      <c r="N189" s="728"/>
      <c r="O189" s="728"/>
      <c r="P189" s="728"/>
      <c r="Q189" s="728"/>
      <c r="R189" s="728"/>
      <c r="S189" s="429"/>
      <c r="T189" s="429"/>
      <c r="U189" s="429"/>
      <c r="V189" s="429"/>
    </row>
    <row r="190" spans="1:22" ht="21" customHeight="1">
      <c r="A190" s="728"/>
      <c r="B190" s="728"/>
      <c r="C190" s="728"/>
      <c r="D190" s="728"/>
      <c r="E190" s="728"/>
      <c r="F190" s="728"/>
      <c r="G190" s="728"/>
      <c r="H190" s="728"/>
      <c r="I190" s="728"/>
      <c r="J190" s="728"/>
      <c r="K190" s="728"/>
      <c r="L190" s="729"/>
      <c r="M190" s="728"/>
      <c r="N190" s="728"/>
      <c r="O190" s="728"/>
      <c r="P190" s="728"/>
      <c r="Q190" s="728"/>
      <c r="R190" s="728"/>
      <c r="S190" s="429"/>
      <c r="T190" s="429"/>
      <c r="U190" s="429"/>
      <c r="V190" s="429"/>
    </row>
    <row r="191" spans="1:22" ht="21" customHeight="1">
      <c r="A191" s="728"/>
      <c r="B191" s="728"/>
      <c r="C191" s="728"/>
      <c r="D191" s="728"/>
      <c r="E191" s="728"/>
      <c r="F191" s="728"/>
      <c r="G191" s="728"/>
      <c r="H191" s="728"/>
      <c r="I191" s="728"/>
      <c r="J191" s="728"/>
      <c r="K191" s="728"/>
      <c r="L191" s="729"/>
      <c r="M191" s="728"/>
      <c r="N191" s="728"/>
      <c r="O191" s="728"/>
      <c r="P191" s="728"/>
      <c r="Q191" s="728"/>
      <c r="R191" s="728"/>
      <c r="S191" s="429"/>
      <c r="T191" s="429"/>
      <c r="U191" s="429"/>
      <c r="V191" s="429"/>
    </row>
    <row r="192" spans="1:22" ht="21" customHeight="1">
      <c r="A192" s="728"/>
      <c r="B192" s="728"/>
      <c r="C192" s="728"/>
      <c r="D192" s="728"/>
      <c r="E192" s="728"/>
      <c r="F192" s="728"/>
      <c r="G192" s="728"/>
      <c r="H192" s="728"/>
      <c r="I192" s="728"/>
      <c r="J192" s="728"/>
      <c r="K192" s="728"/>
      <c r="L192" s="729"/>
      <c r="M192" s="728"/>
      <c r="N192" s="728"/>
      <c r="O192" s="728"/>
      <c r="P192" s="728"/>
      <c r="Q192" s="728"/>
      <c r="R192" s="728"/>
      <c r="S192" s="429"/>
      <c r="T192" s="429"/>
      <c r="U192" s="429"/>
      <c r="V192" s="429"/>
    </row>
    <row r="193" spans="1:22" ht="21" customHeight="1">
      <c r="A193" s="728"/>
      <c r="B193" s="728"/>
      <c r="C193" s="728"/>
      <c r="D193" s="728"/>
      <c r="E193" s="728"/>
      <c r="F193" s="728"/>
      <c r="G193" s="728"/>
      <c r="H193" s="728"/>
      <c r="I193" s="728"/>
      <c r="J193" s="728"/>
      <c r="K193" s="728"/>
      <c r="L193" s="729"/>
      <c r="M193" s="728"/>
      <c r="N193" s="728"/>
      <c r="O193" s="728"/>
      <c r="P193" s="728"/>
      <c r="Q193" s="728"/>
      <c r="R193" s="728"/>
      <c r="S193" s="429"/>
      <c r="T193" s="429"/>
      <c r="U193" s="429"/>
      <c r="V193" s="429"/>
    </row>
    <row r="194" spans="1:22" ht="21" customHeight="1">
      <c r="A194" s="728"/>
      <c r="B194" s="728"/>
      <c r="C194" s="728"/>
      <c r="D194" s="728"/>
      <c r="E194" s="728"/>
      <c r="F194" s="728"/>
      <c r="G194" s="728"/>
      <c r="H194" s="728"/>
      <c r="I194" s="728"/>
      <c r="J194" s="728"/>
      <c r="K194" s="728"/>
      <c r="L194" s="729"/>
      <c r="M194" s="728"/>
      <c r="N194" s="728"/>
      <c r="O194" s="728"/>
      <c r="P194" s="728"/>
      <c r="Q194" s="728"/>
      <c r="R194" s="728"/>
      <c r="S194" s="429"/>
      <c r="T194" s="429"/>
      <c r="U194" s="429"/>
      <c r="V194" s="429"/>
    </row>
    <row r="195" spans="1:22" ht="21" customHeight="1">
      <c r="A195" s="728"/>
      <c r="B195" s="728"/>
      <c r="C195" s="728"/>
      <c r="D195" s="728"/>
      <c r="E195" s="728"/>
      <c r="F195" s="728"/>
      <c r="G195" s="728"/>
      <c r="H195" s="728"/>
      <c r="I195" s="728"/>
      <c r="J195" s="728"/>
      <c r="K195" s="728"/>
      <c r="L195" s="729"/>
      <c r="M195" s="728"/>
      <c r="N195" s="728"/>
      <c r="O195" s="728"/>
      <c r="P195" s="728"/>
      <c r="Q195" s="728"/>
      <c r="R195" s="728"/>
      <c r="S195" s="429"/>
      <c r="T195" s="429"/>
      <c r="U195" s="429"/>
      <c r="V195" s="429"/>
    </row>
    <row r="196" spans="1:22" ht="21" customHeight="1">
      <c r="A196" s="728"/>
      <c r="B196" s="728"/>
      <c r="C196" s="728"/>
      <c r="D196" s="728"/>
      <c r="E196" s="728"/>
      <c r="F196" s="728"/>
      <c r="G196" s="728"/>
      <c r="H196" s="728"/>
      <c r="I196" s="728"/>
      <c r="J196" s="728"/>
      <c r="K196" s="728"/>
      <c r="L196" s="729"/>
      <c r="M196" s="728"/>
      <c r="N196" s="728"/>
      <c r="O196" s="728"/>
      <c r="P196" s="728"/>
      <c r="Q196" s="728"/>
      <c r="R196" s="728"/>
      <c r="S196" s="429"/>
      <c r="T196" s="429"/>
      <c r="U196" s="429"/>
      <c r="V196" s="429"/>
    </row>
    <row r="197" spans="1:22" ht="21" customHeight="1">
      <c r="A197" s="728"/>
      <c r="B197" s="728"/>
      <c r="C197" s="728"/>
      <c r="D197" s="728"/>
      <c r="E197" s="728"/>
      <c r="F197" s="728"/>
      <c r="G197" s="728"/>
      <c r="H197" s="728"/>
      <c r="I197" s="728"/>
      <c r="J197" s="728"/>
      <c r="K197" s="728"/>
      <c r="L197" s="729"/>
      <c r="M197" s="728"/>
      <c r="N197" s="728"/>
      <c r="O197" s="728"/>
      <c r="P197" s="728"/>
      <c r="Q197" s="728"/>
      <c r="R197" s="728"/>
      <c r="S197" s="429"/>
      <c r="T197" s="429"/>
      <c r="U197" s="429"/>
      <c r="V197" s="429"/>
    </row>
    <row r="198" spans="1:22" ht="21" customHeight="1">
      <c r="A198" s="728"/>
      <c r="B198" s="728"/>
      <c r="C198" s="728"/>
      <c r="D198" s="728"/>
      <c r="E198" s="728"/>
      <c r="F198" s="728"/>
      <c r="G198" s="728"/>
      <c r="H198" s="728"/>
      <c r="I198" s="728"/>
      <c r="J198" s="728"/>
      <c r="K198" s="728"/>
      <c r="L198" s="729"/>
      <c r="M198" s="728"/>
      <c r="N198" s="728"/>
      <c r="O198" s="728"/>
      <c r="P198" s="728"/>
      <c r="Q198" s="728"/>
      <c r="R198" s="728"/>
      <c r="S198" s="429"/>
      <c r="T198" s="429"/>
      <c r="U198" s="429"/>
      <c r="V198" s="429"/>
    </row>
    <row r="199" spans="1:22" ht="21" customHeight="1">
      <c r="A199" s="728"/>
      <c r="B199" s="728"/>
      <c r="C199" s="728"/>
      <c r="D199" s="728"/>
      <c r="E199" s="728"/>
      <c r="F199" s="728"/>
      <c r="G199" s="728"/>
      <c r="H199" s="728"/>
      <c r="I199" s="728"/>
      <c r="J199" s="728"/>
      <c r="K199" s="728"/>
      <c r="L199" s="729"/>
      <c r="M199" s="728"/>
      <c r="N199" s="728"/>
      <c r="O199" s="728"/>
      <c r="P199" s="728"/>
      <c r="Q199" s="728"/>
      <c r="R199" s="728"/>
      <c r="S199" s="429"/>
      <c r="T199" s="429"/>
      <c r="U199" s="429"/>
      <c r="V199" s="429"/>
    </row>
    <row r="200" spans="1:22" ht="21" customHeight="1">
      <c r="A200" s="728"/>
      <c r="B200" s="728"/>
      <c r="C200" s="728"/>
      <c r="D200" s="728"/>
      <c r="E200" s="728"/>
      <c r="F200" s="728"/>
      <c r="G200" s="728"/>
      <c r="H200" s="728"/>
      <c r="I200" s="728"/>
      <c r="J200" s="728"/>
      <c r="K200" s="728"/>
      <c r="L200" s="729"/>
      <c r="M200" s="728"/>
      <c r="N200" s="728"/>
      <c r="O200" s="728"/>
      <c r="P200" s="728"/>
      <c r="Q200" s="728"/>
      <c r="R200" s="728"/>
      <c r="S200" s="429"/>
      <c r="T200" s="429"/>
      <c r="U200" s="429"/>
      <c r="V200" s="429"/>
    </row>
    <row r="201" spans="1:22" ht="21" customHeight="1">
      <c r="A201" s="728"/>
      <c r="B201" s="728"/>
      <c r="C201" s="728"/>
      <c r="D201" s="728"/>
      <c r="E201" s="728"/>
      <c r="F201" s="728"/>
      <c r="G201" s="728"/>
      <c r="H201" s="728"/>
      <c r="I201" s="728"/>
      <c r="J201" s="728"/>
      <c r="K201" s="728"/>
      <c r="L201" s="729"/>
      <c r="M201" s="728"/>
      <c r="N201" s="728"/>
      <c r="O201" s="728"/>
      <c r="P201" s="728"/>
      <c r="Q201" s="728"/>
      <c r="R201" s="728"/>
      <c r="S201" s="429"/>
      <c r="T201" s="429"/>
      <c r="U201" s="429"/>
      <c r="V201" s="429"/>
    </row>
    <row r="202" spans="1:22" ht="21" customHeight="1">
      <c r="A202" s="728"/>
      <c r="B202" s="728"/>
      <c r="C202" s="728"/>
      <c r="D202" s="728"/>
      <c r="E202" s="728"/>
      <c r="F202" s="728"/>
      <c r="G202" s="728"/>
      <c r="H202" s="728"/>
      <c r="I202" s="728"/>
      <c r="J202" s="728"/>
      <c r="K202" s="728"/>
      <c r="L202" s="729"/>
      <c r="M202" s="728"/>
      <c r="N202" s="728"/>
      <c r="O202" s="728"/>
      <c r="P202" s="728"/>
      <c r="Q202" s="728"/>
      <c r="R202" s="728"/>
      <c r="S202" s="429"/>
      <c r="T202" s="429"/>
      <c r="U202" s="429"/>
      <c r="V202" s="429"/>
    </row>
    <row r="203" spans="1:22" ht="21" customHeight="1">
      <c r="A203" s="728"/>
      <c r="B203" s="728"/>
      <c r="C203" s="728"/>
      <c r="D203" s="728"/>
      <c r="E203" s="728"/>
      <c r="F203" s="728"/>
      <c r="G203" s="728"/>
      <c r="H203" s="728"/>
      <c r="I203" s="728"/>
      <c r="J203" s="728"/>
      <c r="K203" s="728"/>
      <c r="L203" s="729"/>
      <c r="M203" s="728"/>
      <c r="N203" s="728"/>
      <c r="O203" s="728"/>
      <c r="P203" s="728"/>
      <c r="Q203" s="728"/>
      <c r="R203" s="728"/>
      <c r="S203" s="429"/>
      <c r="T203" s="429"/>
      <c r="U203" s="429"/>
      <c r="V203" s="429"/>
    </row>
    <row r="204" spans="1:22" ht="21" customHeight="1">
      <c r="A204" s="728"/>
      <c r="B204" s="728"/>
      <c r="C204" s="728"/>
      <c r="D204" s="728"/>
      <c r="E204" s="728"/>
      <c r="F204" s="728"/>
      <c r="G204" s="728"/>
      <c r="H204" s="728"/>
      <c r="I204" s="728"/>
      <c r="J204" s="728"/>
      <c r="K204" s="728"/>
      <c r="L204" s="729"/>
      <c r="M204" s="728"/>
      <c r="N204" s="728"/>
      <c r="O204" s="728"/>
      <c r="P204" s="728"/>
      <c r="Q204" s="728"/>
      <c r="R204" s="728"/>
      <c r="S204" s="429"/>
      <c r="T204" s="429"/>
      <c r="U204" s="429"/>
      <c r="V204" s="429"/>
    </row>
    <row r="205" spans="1:22" ht="21" customHeight="1">
      <c r="A205" s="728"/>
      <c r="B205" s="728"/>
      <c r="C205" s="728"/>
      <c r="D205" s="728"/>
      <c r="E205" s="728"/>
      <c r="F205" s="728"/>
      <c r="G205" s="728"/>
      <c r="H205" s="728"/>
      <c r="I205" s="728"/>
      <c r="J205" s="728"/>
      <c r="K205" s="728"/>
      <c r="L205" s="729"/>
      <c r="M205" s="728"/>
      <c r="N205" s="728"/>
      <c r="O205" s="728"/>
      <c r="P205" s="728"/>
      <c r="Q205" s="728"/>
      <c r="R205" s="728"/>
      <c r="S205" s="429"/>
      <c r="T205" s="429"/>
      <c r="U205" s="429"/>
      <c r="V205" s="429"/>
    </row>
    <row r="206" spans="1:22" ht="21" customHeight="1">
      <c r="A206" s="728"/>
      <c r="B206" s="728"/>
      <c r="C206" s="728"/>
      <c r="D206" s="728"/>
      <c r="E206" s="728"/>
      <c r="F206" s="728"/>
      <c r="G206" s="728"/>
      <c r="H206" s="728"/>
      <c r="I206" s="728"/>
      <c r="J206" s="728"/>
      <c r="K206" s="728"/>
      <c r="L206" s="729"/>
      <c r="M206" s="728"/>
      <c r="N206" s="728"/>
      <c r="O206" s="728"/>
      <c r="P206" s="728"/>
      <c r="Q206" s="728"/>
      <c r="R206" s="728"/>
      <c r="S206" s="429"/>
      <c r="T206" s="429"/>
      <c r="U206" s="429"/>
      <c r="V206" s="429"/>
    </row>
    <row r="207" spans="1:22" ht="21" customHeight="1">
      <c r="A207" s="728"/>
      <c r="B207" s="728"/>
      <c r="C207" s="728"/>
      <c r="D207" s="728"/>
      <c r="E207" s="728"/>
      <c r="F207" s="728"/>
      <c r="G207" s="728"/>
      <c r="H207" s="728"/>
      <c r="I207" s="728"/>
      <c r="J207" s="728"/>
      <c r="K207" s="728"/>
      <c r="L207" s="729"/>
      <c r="M207" s="728"/>
      <c r="N207" s="728"/>
      <c r="O207" s="728"/>
      <c r="P207" s="728"/>
      <c r="Q207" s="728"/>
      <c r="R207" s="728"/>
      <c r="S207" s="429"/>
      <c r="T207" s="429"/>
      <c r="U207" s="429"/>
      <c r="V207" s="429"/>
    </row>
    <row r="208" spans="1:22" ht="21" customHeight="1">
      <c r="A208" s="728"/>
      <c r="B208" s="728"/>
      <c r="C208" s="728"/>
      <c r="D208" s="728"/>
      <c r="E208" s="728"/>
      <c r="F208" s="728"/>
      <c r="G208" s="728"/>
      <c r="H208" s="728"/>
      <c r="I208" s="728"/>
      <c r="J208" s="728"/>
      <c r="K208" s="728"/>
      <c r="L208" s="729"/>
      <c r="M208" s="728"/>
      <c r="N208" s="728"/>
      <c r="O208" s="728"/>
      <c r="P208" s="728"/>
      <c r="Q208" s="728"/>
      <c r="R208" s="728"/>
      <c r="S208" s="429"/>
      <c r="T208" s="429"/>
      <c r="U208" s="429"/>
      <c r="V208" s="429"/>
    </row>
    <row r="209" spans="1:22" ht="21" customHeight="1">
      <c r="A209" s="728"/>
      <c r="B209" s="728"/>
      <c r="C209" s="728"/>
      <c r="D209" s="728"/>
      <c r="E209" s="728"/>
      <c r="F209" s="728"/>
      <c r="G209" s="728"/>
      <c r="H209" s="728"/>
      <c r="I209" s="728"/>
      <c r="J209" s="728"/>
      <c r="K209" s="728"/>
      <c r="L209" s="729"/>
      <c r="M209" s="728"/>
      <c r="N209" s="728"/>
      <c r="O209" s="728"/>
      <c r="P209" s="728"/>
      <c r="Q209" s="728"/>
      <c r="R209" s="728"/>
      <c r="S209" s="429"/>
      <c r="T209" s="429"/>
      <c r="U209" s="429"/>
      <c r="V209" s="429"/>
    </row>
    <row r="210" spans="1:22" ht="21" customHeight="1">
      <c r="A210" s="728"/>
      <c r="B210" s="728"/>
      <c r="C210" s="728"/>
      <c r="D210" s="728"/>
      <c r="E210" s="728"/>
      <c r="F210" s="728"/>
      <c r="G210" s="728"/>
      <c r="H210" s="728"/>
      <c r="I210" s="728"/>
      <c r="J210" s="728"/>
      <c r="K210" s="728"/>
      <c r="L210" s="729"/>
      <c r="M210" s="728"/>
      <c r="N210" s="728"/>
      <c r="O210" s="728"/>
      <c r="P210" s="728"/>
      <c r="Q210" s="728"/>
      <c r="R210" s="728"/>
      <c r="S210" s="429"/>
      <c r="T210" s="429"/>
      <c r="U210" s="429"/>
      <c r="V210" s="429"/>
    </row>
    <row r="211" spans="1:22" ht="21" customHeight="1">
      <c r="A211" s="728"/>
      <c r="B211" s="728"/>
      <c r="C211" s="728"/>
      <c r="D211" s="728"/>
      <c r="E211" s="728"/>
      <c r="F211" s="728"/>
      <c r="G211" s="728"/>
      <c r="H211" s="728"/>
      <c r="I211" s="728"/>
      <c r="J211" s="728"/>
      <c r="K211" s="728"/>
      <c r="L211" s="729"/>
      <c r="M211" s="728"/>
      <c r="N211" s="728"/>
      <c r="O211" s="728"/>
      <c r="P211" s="728"/>
      <c r="Q211" s="728"/>
      <c r="R211" s="728"/>
      <c r="S211" s="429"/>
      <c r="T211" s="429"/>
      <c r="U211" s="429"/>
      <c r="V211" s="429"/>
    </row>
    <row r="212" spans="1:22" ht="21" customHeight="1">
      <c r="A212" s="728"/>
      <c r="B212" s="728"/>
      <c r="C212" s="728"/>
      <c r="D212" s="728"/>
      <c r="E212" s="728"/>
      <c r="F212" s="728"/>
      <c r="G212" s="728"/>
      <c r="H212" s="728"/>
      <c r="I212" s="728"/>
      <c r="J212" s="728"/>
      <c r="K212" s="728"/>
      <c r="L212" s="729"/>
      <c r="M212" s="728"/>
      <c r="N212" s="728"/>
      <c r="O212" s="728"/>
      <c r="P212" s="728"/>
      <c r="Q212" s="728"/>
      <c r="R212" s="728"/>
      <c r="S212" s="429"/>
      <c r="T212" s="429"/>
      <c r="U212" s="429"/>
      <c r="V212" s="429"/>
    </row>
    <row r="213" spans="1:22" ht="21" customHeight="1">
      <c r="A213" s="728"/>
      <c r="B213" s="728"/>
      <c r="C213" s="728"/>
      <c r="D213" s="728"/>
      <c r="E213" s="728"/>
      <c r="F213" s="728"/>
      <c r="G213" s="728"/>
      <c r="H213" s="728"/>
      <c r="I213" s="728"/>
      <c r="J213" s="728"/>
      <c r="K213" s="728"/>
      <c r="L213" s="729"/>
      <c r="M213" s="728"/>
      <c r="N213" s="728"/>
      <c r="O213" s="728"/>
      <c r="P213" s="728"/>
      <c r="Q213" s="728"/>
      <c r="R213" s="728"/>
      <c r="S213" s="429"/>
      <c r="T213" s="429"/>
      <c r="U213" s="429"/>
      <c r="V213" s="429"/>
    </row>
    <row r="214" spans="1:22" ht="21" customHeight="1">
      <c r="A214" s="728"/>
      <c r="B214" s="728"/>
      <c r="C214" s="728"/>
      <c r="D214" s="728"/>
      <c r="E214" s="728"/>
      <c r="F214" s="728"/>
      <c r="G214" s="728"/>
      <c r="H214" s="728"/>
      <c r="I214" s="728"/>
      <c r="J214" s="728"/>
      <c r="K214" s="728"/>
      <c r="L214" s="729"/>
      <c r="M214" s="728"/>
      <c r="N214" s="728"/>
      <c r="O214" s="728"/>
      <c r="P214" s="728"/>
      <c r="Q214" s="728"/>
      <c r="R214" s="728"/>
      <c r="S214" s="429"/>
      <c r="T214" s="429"/>
      <c r="U214" s="429"/>
      <c r="V214" s="429"/>
    </row>
    <row r="215" spans="1:22" ht="21" customHeight="1">
      <c r="A215" s="728"/>
      <c r="B215" s="728"/>
      <c r="C215" s="728"/>
      <c r="D215" s="728"/>
      <c r="E215" s="728"/>
      <c r="F215" s="728"/>
      <c r="G215" s="728"/>
      <c r="H215" s="728"/>
      <c r="I215" s="728"/>
      <c r="J215" s="728"/>
      <c r="K215" s="728"/>
      <c r="L215" s="729"/>
      <c r="M215" s="728"/>
      <c r="N215" s="728"/>
      <c r="O215" s="728"/>
      <c r="P215" s="728"/>
      <c r="Q215" s="728"/>
      <c r="R215" s="728"/>
      <c r="S215" s="429"/>
      <c r="T215" s="429"/>
      <c r="U215" s="429"/>
      <c r="V215" s="429"/>
    </row>
    <row r="216" spans="1:22" ht="21" customHeight="1">
      <c r="A216" s="728"/>
      <c r="B216" s="728"/>
      <c r="C216" s="728"/>
      <c r="D216" s="728"/>
      <c r="E216" s="728"/>
      <c r="F216" s="728"/>
      <c r="G216" s="728"/>
      <c r="H216" s="728"/>
      <c r="I216" s="728"/>
      <c r="J216" s="728"/>
      <c r="K216" s="728"/>
      <c r="L216" s="729"/>
      <c r="M216" s="728"/>
      <c r="N216" s="728"/>
      <c r="O216" s="728"/>
      <c r="P216" s="728"/>
      <c r="Q216" s="728"/>
      <c r="R216" s="728"/>
      <c r="S216" s="429"/>
      <c r="T216" s="429"/>
      <c r="U216" s="429"/>
      <c r="V216" s="429"/>
    </row>
    <row r="217" spans="1:22" ht="21" customHeight="1">
      <c r="A217" s="728"/>
      <c r="B217" s="728"/>
      <c r="C217" s="728"/>
      <c r="D217" s="728"/>
      <c r="E217" s="728"/>
      <c r="F217" s="728"/>
      <c r="G217" s="728"/>
      <c r="H217" s="728"/>
      <c r="I217" s="728"/>
      <c r="J217" s="728"/>
      <c r="K217" s="728"/>
      <c r="L217" s="729"/>
      <c r="M217" s="728"/>
      <c r="N217" s="728"/>
      <c r="O217" s="728"/>
      <c r="P217" s="728"/>
      <c r="Q217" s="728"/>
      <c r="R217" s="728"/>
      <c r="S217" s="429"/>
      <c r="T217" s="429"/>
      <c r="U217" s="429"/>
      <c r="V217" s="429"/>
    </row>
    <row r="218" spans="1:22" ht="21" customHeight="1">
      <c r="A218" s="728"/>
      <c r="B218" s="728"/>
      <c r="C218" s="728"/>
      <c r="D218" s="728"/>
      <c r="E218" s="728"/>
      <c r="F218" s="728"/>
      <c r="G218" s="728"/>
      <c r="H218" s="728"/>
      <c r="I218" s="728"/>
      <c r="J218" s="728"/>
      <c r="K218" s="728"/>
      <c r="L218" s="729"/>
      <c r="M218" s="728"/>
      <c r="N218" s="728"/>
      <c r="O218" s="728"/>
      <c r="P218" s="728"/>
      <c r="Q218" s="728"/>
      <c r="R218" s="728"/>
      <c r="S218" s="429"/>
      <c r="T218" s="429"/>
      <c r="U218" s="429"/>
      <c r="V218" s="429"/>
    </row>
    <row r="219" spans="1:22" ht="21" customHeight="1">
      <c r="A219" s="728"/>
      <c r="B219" s="728"/>
      <c r="C219" s="728"/>
      <c r="D219" s="728"/>
      <c r="E219" s="728"/>
      <c r="F219" s="728"/>
      <c r="G219" s="728"/>
      <c r="H219" s="728"/>
      <c r="I219" s="728"/>
      <c r="J219" s="728"/>
      <c r="K219" s="728"/>
      <c r="L219" s="729"/>
      <c r="M219" s="728"/>
      <c r="N219" s="728"/>
      <c r="O219" s="728"/>
      <c r="P219" s="728"/>
      <c r="Q219" s="728"/>
      <c r="R219" s="728"/>
      <c r="S219" s="429"/>
      <c r="T219" s="429"/>
      <c r="U219" s="429"/>
      <c r="V219" s="429"/>
    </row>
    <row r="220" spans="1:22" ht="21" customHeight="1">
      <c r="A220" s="728"/>
      <c r="B220" s="728"/>
      <c r="C220" s="728"/>
      <c r="D220" s="728"/>
      <c r="E220" s="728"/>
      <c r="F220" s="728"/>
      <c r="G220" s="728"/>
      <c r="H220" s="728"/>
      <c r="I220" s="728"/>
      <c r="J220" s="728"/>
      <c r="K220" s="728"/>
      <c r="L220" s="729"/>
      <c r="M220" s="728"/>
      <c r="N220" s="728"/>
      <c r="O220" s="728"/>
      <c r="P220" s="728"/>
      <c r="Q220" s="728"/>
      <c r="R220" s="728"/>
      <c r="S220" s="429"/>
      <c r="T220" s="429"/>
      <c r="U220" s="429"/>
      <c r="V220" s="429"/>
    </row>
    <row r="221" spans="1:22" ht="21" customHeight="1">
      <c r="A221" s="728"/>
      <c r="B221" s="728"/>
      <c r="C221" s="728"/>
      <c r="D221" s="728"/>
      <c r="E221" s="728"/>
      <c r="F221" s="728"/>
      <c r="G221" s="728"/>
      <c r="H221" s="728"/>
      <c r="I221" s="728"/>
      <c r="J221" s="728"/>
      <c r="K221" s="728"/>
      <c r="L221" s="729"/>
      <c r="M221" s="728"/>
      <c r="N221" s="728"/>
      <c r="O221" s="728"/>
      <c r="P221" s="728"/>
      <c r="Q221" s="728"/>
      <c r="R221" s="728"/>
      <c r="S221" s="429"/>
      <c r="T221" s="429"/>
      <c r="U221" s="429"/>
      <c r="V221" s="429"/>
    </row>
    <row r="222" spans="1:22" ht="21" customHeight="1">
      <c r="A222" s="728"/>
      <c r="B222" s="728"/>
      <c r="C222" s="728"/>
      <c r="D222" s="728"/>
      <c r="E222" s="728"/>
      <c r="F222" s="728"/>
      <c r="G222" s="728"/>
      <c r="H222" s="728"/>
      <c r="I222" s="728"/>
      <c r="J222" s="728"/>
      <c r="K222" s="728"/>
      <c r="L222" s="729"/>
      <c r="M222" s="728"/>
      <c r="N222" s="728"/>
      <c r="O222" s="728"/>
      <c r="P222" s="728"/>
      <c r="Q222" s="728"/>
      <c r="R222" s="728"/>
      <c r="S222" s="429"/>
      <c r="T222" s="429"/>
      <c r="U222" s="429"/>
      <c r="V222" s="429"/>
    </row>
    <row r="223" spans="1:22" ht="21" customHeight="1">
      <c r="A223" s="728"/>
      <c r="B223" s="728"/>
      <c r="C223" s="728"/>
      <c r="D223" s="728"/>
      <c r="E223" s="728"/>
      <c r="F223" s="728"/>
      <c r="G223" s="728"/>
      <c r="H223" s="728"/>
      <c r="I223" s="728"/>
      <c r="J223" s="728"/>
      <c r="K223" s="728"/>
      <c r="L223" s="729"/>
      <c r="M223" s="728"/>
      <c r="N223" s="728"/>
      <c r="O223" s="728"/>
      <c r="P223" s="728"/>
      <c r="Q223" s="728"/>
      <c r="R223" s="728"/>
      <c r="S223" s="429"/>
      <c r="T223" s="429"/>
      <c r="U223" s="429"/>
      <c r="V223" s="429"/>
    </row>
    <row r="224" spans="1:22" ht="21" customHeight="1">
      <c r="A224" s="728"/>
      <c r="B224" s="728"/>
      <c r="C224" s="728"/>
      <c r="D224" s="728"/>
      <c r="E224" s="728"/>
      <c r="F224" s="728"/>
      <c r="G224" s="728"/>
      <c r="H224" s="728"/>
      <c r="I224" s="728"/>
      <c r="J224" s="728"/>
      <c r="K224" s="728"/>
      <c r="L224" s="729"/>
      <c r="M224" s="728"/>
      <c r="N224" s="728"/>
      <c r="O224" s="728"/>
      <c r="P224" s="728"/>
      <c r="Q224" s="728"/>
      <c r="R224" s="728"/>
      <c r="S224" s="429"/>
      <c r="T224" s="429"/>
      <c r="U224" s="429"/>
      <c r="V224" s="429"/>
    </row>
    <row r="225" spans="1:22" ht="21" customHeight="1">
      <c r="A225" s="728"/>
      <c r="B225" s="728"/>
      <c r="C225" s="728"/>
      <c r="D225" s="728"/>
      <c r="E225" s="728"/>
      <c r="F225" s="728"/>
      <c r="G225" s="728"/>
      <c r="H225" s="728"/>
      <c r="I225" s="728"/>
      <c r="J225" s="728"/>
      <c r="K225" s="728"/>
      <c r="L225" s="729"/>
      <c r="M225" s="728"/>
      <c r="N225" s="728"/>
      <c r="O225" s="728"/>
      <c r="P225" s="728"/>
      <c r="Q225" s="728"/>
      <c r="R225" s="728"/>
      <c r="S225" s="429"/>
      <c r="T225" s="429"/>
      <c r="U225" s="429"/>
      <c r="V225" s="429"/>
    </row>
    <row r="226" spans="1:22" ht="21" customHeight="1">
      <c r="A226" s="728"/>
      <c r="B226" s="728"/>
      <c r="C226" s="728"/>
      <c r="D226" s="728"/>
      <c r="E226" s="728"/>
      <c r="F226" s="728"/>
      <c r="G226" s="728"/>
      <c r="H226" s="728"/>
      <c r="I226" s="728"/>
      <c r="J226" s="728"/>
      <c r="K226" s="728"/>
      <c r="L226" s="729"/>
      <c r="M226" s="728"/>
      <c r="N226" s="728"/>
      <c r="O226" s="728"/>
      <c r="P226" s="728"/>
      <c r="Q226" s="728"/>
      <c r="R226" s="728"/>
      <c r="S226" s="429"/>
      <c r="T226" s="429"/>
      <c r="U226" s="429"/>
      <c r="V226" s="429"/>
    </row>
    <row r="227" spans="1:22" ht="21" customHeight="1">
      <c r="A227" s="728"/>
      <c r="B227" s="728"/>
      <c r="C227" s="728"/>
      <c r="D227" s="728"/>
      <c r="E227" s="728"/>
      <c r="F227" s="728"/>
      <c r="G227" s="728"/>
      <c r="H227" s="728"/>
      <c r="I227" s="728"/>
      <c r="J227" s="728"/>
      <c r="K227" s="728"/>
      <c r="L227" s="729"/>
      <c r="M227" s="728"/>
      <c r="N227" s="728"/>
      <c r="O227" s="728"/>
      <c r="P227" s="728"/>
      <c r="Q227" s="728"/>
      <c r="R227" s="728"/>
      <c r="S227" s="429"/>
      <c r="T227" s="429"/>
      <c r="U227" s="429"/>
      <c r="V227" s="429"/>
    </row>
    <row r="228" spans="1:22" ht="21" customHeight="1">
      <c r="A228" s="728"/>
      <c r="B228" s="728"/>
      <c r="C228" s="728"/>
      <c r="D228" s="728"/>
      <c r="E228" s="728"/>
      <c r="F228" s="728"/>
      <c r="G228" s="728"/>
      <c r="H228" s="728"/>
      <c r="I228" s="728"/>
      <c r="J228" s="728"/>
      <c r="K228" s="728"/>
      <c r="L228" s="729"/>
      <c r="M228" s="728"/>
      <c r="N228" s="728"/>
      <c r="O228" s="728"/>
      <c r="P228" s="728"/>
      <c r="Q228" s="728"/>
      <c r="R228" s="728"/>
      <c r="S228" s="429"/>
      <c r="T228" s="429"/>
      <c r="U228" s="429"/>
      <c r="V228" s="429"/>
    </row>
    <row r="229" spans="1:22" ht="21" customHeight="1">
      <c r="A229" s="728"/>
      <c r="B229" s="728"/>
      <c r="C229" s="728"/>
      <c r="D229" s="728"/>
      <c r="E229" s="728"/>
      <c r="F229" s="728"/>
      <c r="G229" s="728"/>
      <c r="H229" s="728"/>
      <c r="I229" s="728"/>
      <c r="J229" s="728"/>
      <c r="K229" s="728"/>
      <c r="L229" s="729"/>
      <c r="M229" s="728"/>
      <c r="N229" s="728"/>
      <c r="O229" s="728"/>
      <c r="P229" s="728"/>
      <c r="Q229" s="728"/>
      <c r="R229" s="728"/>
      <c r="S229" s="429"/>
      <c r="T229" s="429"/>
      <c r="U229" s="429"/>
      <c r="V229" s="429"/>
    </row>
    <row r="230" spans="1:22" ht="21" customHeight="1">
      <c r="A230" s="728"/>
      <c r="B230" s="728"/>
      <c r="C230" s="728"/>
      <c r="D230" s="728"/>
      <c r="E230" s="728"/>
      <c r="F230" s="728"/>
      <c r="G230" s="728"/>
      <c r="H230" s="728"/>
      <c r="I230" s="728"/>
      <c r="J230" s="728"/>
      <c r="K230" s="728"/>
      <c r="L230" s="729"/>
      <c r="M230" s="728"/>
      <c r="N230" s="728"/>
      <c r="O230" s="728"/>
      <c r="P230" s="728"/>
      <c r="Q230" s="728"/>
      <c r="R230" s="728"/>
      <c r="S230" s="429"/>
      <c r="T230" s="429"/>
      <c r="U230" s="429"/>
      <c r="V230" s="429"/>
    </row>
    <row r="231" spans="1:22" ht="21" customHeight="1">
      <c r="A231" s="728"/>
      <c r="B231" s="728"/>
      <c r="C231" s="728"/>
      <c r="D231" s="728"/>
      <c r="E231" s="728"/>
      <c r="F231" s="728"/>
      <c r="G231" s="728"/>
      <c r="H231" s="728"/>
      <c r="I231" s="728"/>
      <c r="J231" s="728"/>
      <c r="K231" s="728"/>
      <c r="L231" s="729"/>
      <c r="M231" s="728"/>
      <c r="N231" s="728"/>
      <c r="O231" s="728"/>
      <c r="P231" s="728"/>
      <c r="Q231" s="728"/>
      <c r="R231" s="728"/>
      <c r="S231" s="429"/>
      <c r="T231" s="429"/>
      <c r="U231" s="429"/>
      <c r="V231" s="429"/>
    </row>
    <row r="232" spans="1:22" ht="21" customHeight="1">
      <c r="A232" s="728"/>
      <c r="B232" s="728"/>
      <c r="C232" s="728"/>
      <c r="D232" s="728"/>
      <c r="E232" s="728"/>
      <c r="F232" s="728"/>
      <c r="G232" s="728"/>
      <c r="H232" s="728"/>
      <c r="I232" s="728"/>
      <c r="J232" s="728"/>
      <c r="K232" s="728"/>
      <c r="L232" s="729"/>
      <c r="M232" s="728"/>
      <c r="N232" s="728"/>
      <c r="O232" s="728"/>
      <c r="P232" s="728"/>
      <c r="Q232" s="728"/>
      <c r="R232" s="728"/>
      <c r="S232" s="429"/>
      <c r="T232" s="429"/>
      <c r="U232" s="429"/>
      <c r="V232" s="429"/>
    </row>
    <row r="233" spans="1:22" ht="21" customHeight="1">
      <c r="A233" s="728"/>
      <c r="B233" s="728"/>
      <c r="C233" s="728"/>
      <c r="D233" s="728"/>
      <c r="E233" s="728"/>
      <c r="F233" s="728"/>
      <c r="G233" s="728"/>
      <c r="H233" s="728"/>
      <c r="I233" s="728"/>
      <c r="J233" s="728"/>
      <c r="K233" s="728"/>
      <c r="L233" s="729"/>
      <c r="M233" s="728"/>
      <c r="N233" s="728"/>
      <c r="O233" s="728"/>
      <c r="P233" s="728"/>
      <c r="Q233" s="728"/>
      <c r="R233" s="728"/>
      <c r="S233" s="429"/>
      <c r="T233" s="429"/>
      <c r="U233" s="429"/>
      <c r="V233" s="429"/>
    </row>
    <row r="234" spans="1:22" ht="21" customHeight="1">
      <c r="A234" s="728"/>
      <c r="B234" s="728"/>
      <c r="C234" s="728"/>
      <c r="D234" s="728"/>
      <c r="E234" s="728"/>
      <c r="F234" s="728"/>
      <c r="G234" s="728"/>
      <c r="H234" s="728"/>
      <c r="I234" s="728"/>
      <c r="J234" s="728"/>
      <c r="K234" s="728"/>
      <c r="L234" s="729"/>
      <c r="M234" s="728"/>
      <c r="N234" s="728"/>
      <c r="O234" s="728"/>
      <c r="P234" s="728"/>
      <c r="Q234" s="728"/>
      <c r="R234" s="728"/>
      <c r="S234" s="429"/>
      <c r="T234" s="429"/>
      <c r="U234" s="429"/>
      <c r="V234" s="429"/>
    </row>
    <row r="235" spans="1:22" ht="21" customHeight="1">
      <c r="A235" s="728"/>
      <c r="B235" s="728"/>
      <c r="C235" s="728"/>
      <c r="D235" s="728"/>
      <c r="E235" s="728"/>
      <c r="F235" s="728"/>
      <c r="G235" s="728"/>
      <c r="H235" s="728"/>
      <c r="I235" s="728"/>
      <c r="J235" s="728"/>
      <c r="K235" s="728"/>
      <c r="L235" s="729"/>
      <c r="M235" s="728"/>
      <c r="N235" s="728"/>
      <c r="O235" s="728"/>
      <c r="P235" s="728"/>
      <c r="Q235" s="728"/>
      <c r="R235" s="728"/>
      <c r="S235" s="429"/>
      <c r="T235" s="429"/>
      <c r="U235" s="429"/>
      <c r="V235" s="429"/>
    </row>
    <row r="236" spans="1:22" ht="21" customHeight="1">
      <c r="A236" s="728"/>
      <c r="B236" s="728"/>
      <c r="C236" s="728"/>
      <c r="D236" s="728"/>
      <c r="E236" s="728"/>
      <c r="F236" s="728"/>
      <c r="G236" s="728"/>
      <c r="H236" s="728"/>
      <c r="I236" s="728"/>
      <c r="J236" s="728"/>
      <c r="K236" s="728"/>
      <c r="L236" s="729"/>
      <c r="M236" s="728"/>
      <c r="N236" s="728"/>
      <c r="O236" s="728"/>
      <c r="P236" s="728"/>
      <c r="Q236" s="728"/>
      <c r="R236" s="728"/>
      <c r="S236" s="429"/>
      <c r="T236" s="429"/>
      <c r="U236" s="429"/>
      <c r="V236" s="429"/>
    </row>
    <row r="237" spans="1:22" ht="21" customHeight="1">
      <c r="A237" s="728"/>
      <c r="B237" s="728"/>
      <c r="C237" s="728"/>
      <c r="D237" s="728"/>
      <c r="E237" s="728"/>
      <c r="F237" s="728"/>
      <c r="G237" s="728"/>
      <c r="H237" s="728"/>
      <c r="I237" s="728"/>
      <c r="J237" s="728"/>
      <c r="K237" s="728"/>
      <c r="L237" s="729"/>
      <c r="M237" s="728"/>
      <c r="N237" s="728"/>
      <c r="O237" s="728"/>
      <c r="P237" s="728"/>
      <c r="Q237" s="728"/>
      <c r="R237" s="728"/>
      <c r="S237" s="429"/>
      <c r="T237" s="429"/>
      <c r="U237" s="429"/>
      <c r="V237" s="429"/>
    </row>
    <row r="238" spans="1:22" ht="21" customHeight="1">
      <c r="A238" s="728"/>
      <c r="B238" s="728"/>
      <c r="C238" s="728"/>
      <c r="D238" s="728"/>
      <c r="E238" s="728"/>
      <c r="F238" s="728"/>
      <c r="G238" s="728"/>
      <c r="H238" s="728"/>
      <c r="I238" s="728"/>
      <c r="J238" s="728"/>
      <c r="K238" s="728"/>
      <c r="L238" s="729"/>
      <c r="M238" s="728"/>
      <c r="N238" s="728"/>
      <c r="O238" s="728"/>
      <c r="P238" s="728"/>
      <c r="Q238" s="728"/>
      <c r="R238" s="728"/>
      <c r="S238" s="429"/>
      <c r="T238" s="429"/>
      <c r="U238" s="429"/>
      <c r="V238" s="429"/>
    </row>
    <row r="239" spans="1:22" ht="21" customHeight="1">
      <c r="A239" s="728"/>
      <c r="B239" s="728"/>
      <c r="C239" s="728"/>
      <c r="D239" s="728"/>
      <c r="E239" s="728"/>
      <c r="F239" s="728"/>
      <c r="G239" s="728"/>
      <c r="H239" s="728"/>
      <c r="I239" s="728"/>
      <c r="J239" s="728"/>
      <c r="K239" s="728"/>
      <c r="L239" s="729"/>
      <c r="M239" s="728"/>
      <c r="N239" s="728"/>
      <c r="O239" s="728"/>
      <c r="P239" s="728"/>
      <c r="Q239" s="728"/>
      <c r="R239" s="728"/>
      <c r="S239" s="429"/>
      <c r="T239" s="429"/>
      <c r="U239" s="429"/>
      <c r="V239" s="429"/>
    </row>
    <row r="240" spans="1:22" ht="21" customHeight="1">
      <c r="A240" s="728"/>
      <c r="B240" s="728"/>
      <c r="C240" s="728"/>
      <c r="D240" s="728"/>
      <c r="E240" s="728"/>
      <c r="F240" s="728"/>
      <c r="G240" s="728"/>
      <c r="H240" s="728"/>
      <c r="I240" s="728"/>
      <c r="J240" s="728"/>
      <c r="K240" s="728"/>
      <c r="L240" s="729"/>
      <c r="M240" s="728"/>
      <c r="N240" s="728"/>
      <c r="O240" s="728"/>
      <c r="P240" s="728"/>
      <c r="Q240" s="728"/>
      <c r="R240" s="728"/>
      <c r="S240" s="429"/>
      <c r="T240" s="429"/>
      <c r="U240" s="429"/>
      <c r="V240" s="429"/>
    </row>
    <row r="241" spans="1:22" ht="21" customHeight="1">
      <c r="A241" s="728"/>
      <c r="B241" s="728"/>
      <c r="C241" s="728"/>
      <c r="D241" s="728"/>
      <c r="E241" s="728"/>
      <c r="F241" s="728"/>
      <c r="G241" s="728"/>
      <c r="H241" s="728"/>
      <c r="I241" s="728"/>
      <c r="J241" s="728"/>
      <c r="K241" s="728"/>
      <c r="L241" s="729"/>
      <c r="M241" s="728"/>
      <c r="N241" s="728"/>
      <c r="O241" s="728"/>
      <c r="P241" s="728"/>
      <c r="Q241" s="728"/>
      <c r="R241" s="728"/>
      <c r="S241" s="429"/>
      <c r="T241" s="429"/>
      <c r="U241" s="429"/>
      <c r="V241" s="429"/>
    </row>
    <row r="242" spans="1:22" ht="21" customHeight="1">
      <c r="A242" s="728"/>
      <c r="B242" s="728"/>
      <c r="C242" s="728"/>
      <c r="D242" s="728"/>
      <c r="E242" s="728"/>
      <c r="F242" s="728"/>
      <c r="G242" s="728"/>
      <c r="H242" s="728"/>
      <c r="I242" s="728"/>
      <c r="J242" s="728"/>
      <c r="K242" s="728"/>
      <c r="L242" s="729"/>
      <c r="M242" s="728"/>
      <c r="N242" s="728"/>
      <c r="O242" s="728"/>
      <c r="P242" s="728"/>
      <c r="Q242" s="728"/>
      <c r="R242" s="728"/>
      <c r="S242" s="429"/>
      <c r="T242" s="429"/>
      <c r="U242" s="429"/>
      <c r="V242" s="429"/>
    </row>
    <row r="243" spans="1:22" ht="21" customHeight="1">
      <c r="A243" s="728"/>
      <c r="B243" s="728"/>
      <c r="C243" s="728"/>
      <c r="D243" s="728"/>
      <c r="E243" s="728"/>
      <c r="F243" s="728"/>
      <c r="G243" s="728"/>
      <c r="H243" s="728"/>
      <c r="I243" s="728"/>
      <c r="J243" s="728"/>
      <c r="K243" s="728"/>
      <c r="L243" s="729"/>
      <c r="M243" s="728"/>
      <c r="N243" s="728"/>
      <c r="O243" s="728"/>
      <c r="P243" s="728"/>
      <c r="Q243" s="728"/>
      <c r="R243" s="728"/>
      <c r="S243" s="429"/>
      <c r="T243" s="429"/>
      <c r="U243" s="429"/>
      <c r="V243" s="429"/>
    </row>
    <row r="244" spans="1:22" ht="21" customHeight="1">
      <c r="A244" s="728"/>
      <c r="B244" s="728"/>
      <c r="C244" s="728"/>
      <c r="D244" s="728"/>
      <c r="E244" s="728"/>
      <c r="F244" s="728"/>
      <c r="G244" s="728"/>
      <c r="H244" s="728"/>
      <c r="I244" s="728"/>
      <c r="J244" s="728"/>
      <c r="K244" s="728"/>
      <c r="L244" s="729"/>
      <c r="M244" s="728"/>
      <c r="N244" s="728"/>
      <c r="O244" s="728"/>
      <c r="P244" s="728"/>
      <c r="Q244" s="728"/>
      <c r="R244" s="728"/>
      <c r="S244" s="429"/>
      <c r="T244" s="429"/>
      <c r="U244" s="429"/>
      <c r="V244" s="429"/>
    </row>
    <row r="245" spans="1:22" ht="21" customHeight="1">
      <c r="A245" s="728"/>
      <c r="B245" s="728"/>
      <c r="C245" s="728"/>
      <c r="D245" s="728"/>
      <c r="E245" s="728"/>
      <c r="F245" s="728"/>
      <c r="G245" s="728"/>
      <c r="H245" s="728"/>
      <c r="I245" s="728"/>
      <c r="J245" s="728"/>
      <c r="K245" s="728"/>
      <c r="L245" s="729"/>
      <c r="M245" s="728"/>
      <c r="N245" s="728"/>
      <c r="O245" s="728"/>
      <c r="P245" s="728"/>
      <c r="Q245" s="728"/>
      <c r="R245" s="728"/>
      <c r="S245" s="429"/>
      <c r="T245" s="429"/>
      <c r="U245" s="429"/>
      <c r="V245" s="429"/>
    </row>
    <row r="246" spans="1:22" ht="21" customHeight="1">
      <c r="A246" s="728"/>
      <c r="B246" s="728"/>
      <c r="C246" s="728"/>
      <c r="D246" s="728"/>
      <c r="E246" s="728"/>
      <c r="F246" s="728"/>
      <c r="G246" s="728"/>
      <c r="H246" s="728"/>
      <c r="I246" s="728"/>
      <c r="J246" s="728"/>
      <c r="K246" s="728"/>
      <c r="L246" s="729"/>
      <c r="M246" s="728"/>
      <c r="N246" s="728"/>
      <c r="O246" s="728"/>
      <c r="P246" s="728"/>
      <c r="Q246" s="728"/>
      <c r="R246" s="728"/>
      <c r="S246" s="429"/>
      <c r="T246" s="429"/>
      <c r="U246" s="429"/>
      <c r="V246" s="429"/>
    </row>
    <row r="247" spans="1:22" ht="21" customHeight="1">
      <c r="A247" s="728"/>
      <c r="B247" s="728"/>
      <c r="C247" s="728"/>
      <c r="D247" s="728"/>
      <c r="E247" s="728"/>
      <c r="F247" s="728"/>
      <c r="G247" s="728"/>
      <c r="H247" s="728"/>
      <c r="I247" s="728"/>
      <c r="J247" s="728"/>
      <c r="K247" s="728"/>
      <c r="L247" s="729"/>
      <c r="M247" s="728"/>
      <c r="N247" s="728"/>
      <c r="O247" s="728"/>
      <c r="P247" s="728"/>
      <c r="Q247" s="728"/>
      <c r="R247" s="728"/>
      <c r="S247" s="429"/>
      <c r="T247" s="429"/>
      <c r="U247" s="429"/>
      <c r="V247" s="429"/>
    </row>
    <row r="248" spans="1:22" ht="21" customHeight="1">
      <c r="A248" s="728"/>
      <c r="B248" s="728"/>
      <c r="C248" s="728"/>
      <c r="D248" s="728"/>
      <c r="E248" s="728"/>
      <c r="F248" s="728"/>
      <c r="G248" s="728"/>
      <c r="H248" s="728"/>
      <c r="I248" s="728"/>
      <c r="J248" s="728"/>
      <c r="K248" s="728"/>
      <c r="L248" s="729"/>
      <c r="M248" s="728"/>
      <c r="N248" s="728"/>
      <c r="O248" s="728"/>
      <c r="P248" s="728"/>
      <c r="Q248" s="728"/>
      <c r="R248" s="728"/>
      <c r="S248" s="429"/>
      <c r="T248" s="429"/>
      <c r="U248" s="429"/>
      <c r="V248" s="429"/>
    </row>
    <row r="249" spans="1:22" ht="21" customHeight="1">
      <c r="A249" s="728"/>
      <c r="B249" s="728"/>
      <c r="C249" s="728"/>
      <c r="D249" s="728"/>
      <c r="E249" s="728"/>
      <c r="F249" s="728"/>
      <c r="G249" s="728"/>
      <c r="H249" s="728"/>
      <c r="I249" s="728"/>
      <c r="J249" s="728"/>
      <c r="K249" s="728"/>
      <c r="L249" s="729"/>
      <c r="M249" s="728"/>
      <c r="N249" s="728"/>
      <c r="O249" s="728"/>
      <c r="P249" s="728"/>
      <c r="Q249" s="728"/>
      <c r="R249" s="728"/>
      <c r="S249" s="429"/>
      <c r="T249" s="429"/>
      <c r="U249" s="429"/>
      <c r="V249" s="429"/>
    </row>
    <row r="250" spans="1:22" ht="21" customHeight="1">
      <c r="A250" s="728"/>
      <c r="B250" s="728"/>
      <c r="C250" s="728"/>
      <c r="D250" s="728"/>
      <c r="E250" s="728"/>
      <c r="F250" s="728"/>
      <c r="G250" s="728"/>
      <c r="H250" s="728"/>
      <c r="I250" s="728"/>
      <c r="J250" s="728"/>
      <c r="K250" s="728"/>
      <c r="L250" s="729"/>
      <c r="M250" s="728"/>
      <c r="N250" s="728"/>
      <c r="O250" s="728"/>
      <c r="P250" s="728"/>
      <c r="Q250" s="728"/>
      <c r="R250" s="728"/>
      <c r="S250" s="429"/>
      <c r="T250" s="429"/>
      <c r="U250" s="429"/>
      <c r="V250" s="429"/>
    </row>
    <row r="251" spans="1:22" ht="21" customHeight="1">
      <c r="A251" s="728"/>
      <c r="B251" s="728"/>
      <c r="C251" s="728"/>
      <c r="D251" s="728"/>
      <c r="E251" s="728"/>
      <c r="F251" s="728"/>
      <c r="G251" s="728"/>
      <c r="H251" s="728"/>
      <c r="I251" s="728"/>
      <c r="J251" s="728"/>
      <c r="K251" s="728"/>
      <c r="L251" s="729"/>
      <c r="M251" s="728"/>
      <c r="N251" s="728"/>
      <c r="O251" s="728"/>
      <c r="P251" s="728"/>
      <c r="Q251" s="728"/>
      <c r="R251" s="728"/>
      <c r="S251" s="429"/>
      <c r="T251" s="429"/>
      <c r="U251" s="429"/>
      <c r="V251" s="429"/>
    </row>
    <row r="252" spans="1:22" ht="21" customHeight="1">
      <c r="A252" s="728"/>
      <c r="B252" s="728"/>
      <c r="C252" s="728"/>
      <c r="D252" s="728"/>
      <c r="E252" s="728"/>
      <c r="F252" s="728"/>
      <c r="G252" s="728"/>
      <c r="H252" s="728"/>
      <c r="I252" s="728"/>
      <c r="J252" s="728"/>
      <c r="K252" s="728"/>
      <c r="L252" s="729"/>
      <c r="M252" s="728"/>
      <c r="N252" s="728"/>
      <c r="O252" s="728"/>
      <c r="P252" s="728"/>
      <c r="Q252" s="728"/>
      <c r="R252" s="728"/>
      <c r="S252" s="429"/>
      <c r="T252" s="429"/>
      <c r="U252" s="429"/>
      <c r="V252" s="429"/>
    </row>
    <row r="253" spans="1:22" ht="21" customHeight="1">
      <c r="A253" s="728"/>
      <c r="B253" s="728"/>
      <c r="C253" s="728"/>
      <c r="D253" s="728"/>
      <c r="E253" s="728"/>
      <c r="F253" s="728"/>
      <c r="G253" s="728"/>
      <c r="H253" s="728"/>
      <c r="I253" s="728"/>
      <c r="J253" s="728"/>
      <c r="K253" s="728"/>
      <c r="L253" s="729"/>
      <c r="M253" s="728"/>
      <c r="N253" s="728"/>
      <c r="O253" s="728"/>
      <c r="P253" s="728"/>
      <c r="Q253" s="728"/>
      <c r="R253" s="728"/>
      <c r="S253" s="429"/>
      <c r="T253" s="429"/>
      <c r="U253" s="429"/>
      <c r="V253" s="429"/>
    </row>
    <row r="254" spans="1:22" ht="21" customHeight="1">
      <c r="A254" s="728"/>
      <c r="B254" s="728"/>
      <c r="C254" s="728"/>
      <c r="D254" s="728"/>
      <c r="E254" s="728"/>
      <c r="F254" s="728"/>
      <c r="G254" s="728"/>
      <c r="H254" s="728"/>
      <c r="I254" s="728"/>
      <c r="J254" s="728"/>
      <c r="K254" s="728"/>
      <c r="L254" s="729"/>
      <c r="M254" s="728"/>
      <c r="N254" s="728"/>
      <c r="O254" s="728"/>
      <c r="P254" s="728"/>
      <c r="Q254" s="728"/>
      <c r="R254" s="728"/>
      <c r="S254" s="429"/>
      <c r="T254" s="429"/>
      <c r="U254" s="429"/>
      <c r="V254" s="429"/>
    </row>
    <row r="255" spans="1:22" ht="21" customHeight="1">
      <c r="A255" s="728"/>
      <c r="B255" s="728"/>
      <c r="C255" s="728"/>
      <c r="D255" s="728"/>
      <c r="E255" s="728"/>
      <c r="F255" s="728"/>
      <c r="G255" s="728"/>
      <c r="H255" s="728"/>
      <c r="I255" s="728"/>
      <c r="J255" s="728"/>
      <c r="K255" s="728"/>
      <c r="L255" s="729"/>
      <c r="M255" s="728"/>
      <c r="N255" s="728"/>
      <c r="O255" s="728"/>
      <c r="P255" s="728"/>
      <c r="Q255" s="728"/>
      <c r="R255" s="728"/>
      <c r="S255" s="429"/>
      <c r="T255" s="429"/>
      <c r="U255" s="429"/>
      <c r="V255" s="429"/>
    </row>
    <row r="256" spans="1:22" ht="21" customHeight="1">
      <c r="A256" s="728"/>
      <c r="B256" s="728"/>
      <c r="C256" s="728"/>
      <c r="D256" s="728"/>
      <c r="E256" s="728"/>
      <c r="F256" s="728"/>
      <c r="G256" s="728"/>
      <c r="H256" s="728"/>
      <c r="I256" s="728"/>
      <c r="J256" s="728"/>
      <c r="K256" s="728"/>
      <c r="L256" s="729"/>
      <c r="M256" s="728"/>
      <c r="N256" s="728"/>
      <c r="O256" s="728"/>
      <c r="P256" s="728"/>
      <c r="Q256" s="728"/>
      <c r="R256" s="728"/>
      <c r="S256" s="429"/>
      <c r="T256" s="429"/>
      <c r="U256" s="429"/>
      <c r="V256" s="429"/>
    </row>
    <row r="257" spans="1:22" ht="21" customHeight="1">
      <c r="A257" s="728"/>
      <c r="B257" s="728"/>
      <c r="C257" s="728"/>
      <c r="D257" s="728"/>
      <c r="E257" s="728"/>
      <c r="F257" s="728"/>
      <c r="G257" s="728"/>
      <c r="H257" s="728"/>
      <c r="I257" s="728"/>
      <c r="J257" s="728"/>
      <c r="K257" s="728"/>
      <c r="L257" s="729"/>
      <c r="M257" s="728"/>
      <c r="N257" s="728"/>
      <c r="O257" s="728"/>
      <c r="P257" s="728"/>
      <c r="Q257" s="728"/>
      <c r="R257" s="728"/>
      <c r="S257" s="429"/>
      <c r="T257" s="429"/>
      <c r="U257" s="429"/>
      <c r="V257" s="429"/>
    </row>
    <row r="258" spans="1:22" ht="21" customHeight="1">
      <c r="A258" s="728"/>
      <c r="B258" s="728"/>
      <c r="C258" s="728"/>
      <c r="D258" s="728"/>
      <c r="E258" s="728"/>
      <c r="F258" s="728"/>
      <c r="G258" s="728"/>
      <c r="H258" s="728"/>
      <c r="I258" s="728"/>
      <c r="J258" s="728"/>
      <c r="K258" s="728"/>
      <c r="L258" s="729"/>
      <c r="M258" s="728"/>
      <c r="N258" s="728"/>
      <c r="O258" s="728"/>
      <c r="P258" s="728"/>
      <c r="Q258" s="728"/>
      <c r="R258" s="728"/>
      <c r="S258" s="429"/>
      <c r="T258" s="429"/>
      <c r="U258" s="429"/>
      <c r="V258" s="429"/>
    </row>
    <row r="259" spans="1:22" ht="21" customHeight="1">
      <c r="A259" s="728"/>
      <c r="B259" s="728"/>
      <c r="C259" s="728"/>
      <c r="D259" s="728"/>
      <c r="E259" s="728"/>
      <c r="F259" s="728"/>
      <c r="G259" s="728"/>
      <c r="H259" s="728"/>
      <c r="I259" s="728"/>
      <c r="J259" s="728"/>
      <c r="K259" s="728"/>
      <c r="L259" s="729"/>
      <c r="M259" s="728"/>
      <c r="N259" s="728"/>
      <c r="O259" s="728"/>
      <c r="P259" s="728"/>
      <c r="Q259" s="728"/>
      <c r="R259" s="728"/>
      <c r="S259" s="429"/>
      <c r="T259" s="429"/>
      <c r="U259" s="429"/>
      <c r="V259" s="429"/>
    </row>
    <row r="260" spans="1:22" ht="21" customHeight="1">
      <c r="A260" s="728"/>
      <c r="B260" s="728"/>
      <c r="C260" s="728"/>
      <c r="D260" s="728"/>
      <c r="E260" s="728"/>
      <c r="F260" s="728"/>
      <c r="G260" s="728"/>
      <c r="H260" s="728"/>
      <c r="I260" s="728"/>
      <c r="J260" s="728"/>
      <c r="K260" s="728"/>
      <c r="L260" s="729"/>
      <c r="M260" s="728"/>
      <c r="N260" s="728"/>
      <c r="O260" s="728"/>
      <c r="P260" s="728"/>
      <c r="Q260" s="728"/>
      <c r="R260" s="728"/>
      <c r="S260" s="429"/>
      <c r="T260" s="429"/>
      <c r="U260" s="429"/>
      <c r="V260" s="429"/>
    </row>
    <row r="261" spans="1:22" ht="21" customHeight="1">
      <c r="A261" s="728"/>
      <c r="B261" s="728"/>
      <c r="C261" s="728"/>
      <c r="D261" s="728"/>
      <c r="E261" s="728"/>
      <c r="F261" s="728"/>
      <c r="G261" s="728"/>
      <c r="H261" s="728"/>
      <c r="I261" s="728"/>
      <c r="J261" s="728"/>
      <c r="K261" s="728"/>
      <c r="L261" s="729"/>
      <c r="M261" s="728"/>
      <c r="N261" s="728"/>
      <c r="O261" s="728"/>
      <c r="P261" s="728"/>
      <c r="Q261" s="728"/>
      <c r="R261" s="728"/>
      <c r="S261" s="429"/>
      <c r="T261" s="429"/>
      <c r="U261" s="429"/>
      <c r="V261" s="429"/>
    </row>
    <row r="262" spans="1:22" ht="21" customHeight="1">
      <c r="A262" s="728"/>
      <c r="B262" s="728"/>
      <c r="C262" s="728"/>
      <c r="D262" s="728"/>
      <c r="E262" s="728"/>
      <c r="F262" s="728"/>
      <c r="G262" s="728"/>
      <c r="H262" s="728"/>
      <c r="I262" s="728"/>
      <c r="J262" s="728"/>
      <c r="K262" s="728"/>
      <c r="L262" s="729"/>
      <c r="M262" s="728"/>
      <c r="N262" s="728"/>
      <c r="O262" s="728"/>
      <c r="P262" s="728"/>
      <c r="Q262" s="728"/>
      <c r="R262" s="728"/>
      <c r="S262" s="429"/>
      <c r="T262" s="429"/>
      <c r="U262" s="429"/>
      <c r="V262" s="429"/>
    </row>
    <row r="263" spans="1:22" ht="21" customHeight="1">
      <c r="A263" s="728"/>
      <c r="B263" s="728"/>
      <c r="C263" s="728"/>
      <c r="D263" s="728"/>
      <c r="E263" s="728"/>
      <c r="F263" s="728"/>
      <c r="G263" s="728"/>
      <c r="H263" s="728"/>
      <c r="I263" s="728"/>
      <c r="J263" s="728"/>
      <c r="K263" s="728"/>
      <c r="L263" s="729"/>
      <c r="M263" s="728"/>
      <c r="N263" s="728"/>
      <c r="O263" s="728"/>
      <c r="P263" s="728"/>
      <c r="Q263" s="728"/>
      <c r="R263" s="728"/>
      <c r="S263" s="429"/>
      <c r="T263" s="429"/>
      <c r="U263" s="429"/>
      <c r="V263" s="429"/>
    </row>
    <row r="264" spans="1:22" ht="21" customHeight="1">
      <c r="A264" s="728"/>
      <c r="B264" s="728"/>
      <c r="C264" s="728"/>
      <c r="D264" s="728"/>
      <c r="E264" s="728"/>
      <c r="F264" s="728"/>
      <c r="G264" s="728"/>
      <c r="H264" s="728"/>
      <c r="I264" s="728"/>
      <c r="J264" s="728"/>
      <c r="K264" s="728"/>
      <c r="L264" s="729"/>
      <c r="M264" s="728"/>
      <c r="N264" s="728"/>
      <c r="O264" s="728"/>
      <c r="P264" s="728"/>
      <c r="Q264" s="728"/>
      <c r="R264" s="728"/>
      <c r="S264" s="429"/>
      <c r="T264" s="429"/>
      <c r="U264" s="429"/>
      <c r="V264" s="429"/>
    </row>
    <row r="265" spans="1:22" ht="21" customHeight="1">
      <c r="A265" s="728"/>
      <c r="B265" s="728"/>
      <c r="C265" s="728"/>
      <c r="D265" s="728"/>
      <c r="E265" s="728"/>
      <c r="F265" s="728"/>
      <c r="G265" s="728"/>
      <c r="H265" s="728"/>
      <c r="I265" s="728"/>
      <c r="J265" s="728"/>
      <c r="K265" s="728"/>
      <c r="L265" s="729"/>
      <c r="M265" s="728"/>
      <c r="N265" s="728"/>
      <c r="O265" s="728"/>
      <c r="P265" s="728"/>
      <c r="Q265" s="728"/>
      <c r="R265" s="728"/>
      <c r="S265" s="429"/>
      <c r="T265" s="429"/>
      <c r="U265" s="429"/>
      <c r="V265" s="429"/>
    </row>
    <row r="266" spans="1:22" ht="21" customHeight="1">
      <c r="A266" s="728"/>
      <c r="B266" s="728"/>
      <c r="C266" s="728"/>
      <c r="D266" s="728"/>
      <c r="E266" s="728"/>
      <c r="F266" s="728"/>
      <c r="G266" s="728"/>
      <c r="H266" s="728"/>
      <c r="I266" s="728"/>
      <c r="J266" s="728"/>
      <c r="K266" s="728"/>
      <c r="L266" s="729"/>
      <c r="M266" s="728"/>
      <c r="N266" s="728"/>
      <c r="O266" s="728"/>
      <c r="P266" s="728"/>
      <c r="Q266" s="728"/>
      <c r="R266" s="728"/>
      <c r="S266" s="429"/>
      <c r="T266" s="429"/>
      <c r="U266" s="429"/>
      <c r="V266" s="429"/>
    </row>
    <row r="267" spans="1:22" ht="21" customHeight="1">
      <c r="A267" s="728"/>
      <c r="B267" s="728"/>
      <c r="C267" s="728"/>
      <c r="D267" s="728"/>
      <c r="E267" s="728"/>
      <c r="F267" s="728"/>
      <c r="G267" s="728"/>
      <c r="H267" s="728"/>
      <c r="I267" s="728"/>
      <c r="J267" s="728"/>
      <c r="K267" s="728"/>
      <c r="L267" s="729"/>
      <c r="M267" s="728"/>
      <c r="N267" s="728"/>
      <c r="O267" s="728"/>
      <c r="P267" s="728"/>
      <c r="Q267" s="728"/>
      <c r="R267" s="728"/>
      <c r="S267" s="429"/>
      <c r="T267" s="429"/>
      <c r="U267" s="429"/>
      <c r="V267" s="429"/>
    </row>
    <row r="268" spans="1:22" ht="21" customHeight="1">
      <c r="A268" s="728"/>
      <c r="B268" s="728"/>
      <c r="C268" s="728"/>
      <c r="D268" s="728"/>
      <c r="E268" s="728"/>
      <c r="F268" s="728"/>
      <c r="G268" s="728"/>
      <c r="H268" s="728"/>
      <c r="I268" s="728"/>
      <c r="J268" s="728"/>
      <c r="K268" s="728"/>
      <c r="L268" s="729"/>
      <c r="M268" s="728"/>
      <c r="N268" s="728"/>
      <c r="O268" s="728"/>
      <c r="P268" s="728"/>
      <c r="Q268" s="728"/>
      <c r="R268" s="728"/>
      <c r="S268" s="429"/>
      <c r="T268" s="429"/>
      <c r="U268" s="429"/>
      <c r="V268" s="429"/>
    </row>
    <row r="269" spans="1:22" ht="21" customHeight="1">
      <c r="A269" s="728"/>
      <c r="B269" s="728"/>
      <c r="C269" s="728"/>
      <c r="D269" s="728"/>
      <c r="E269" s="728"/>
      <c r="F269" s="728"/>
      <c r="G269" s="728"/>
      <c r="H269" s="728"/>
      <c r="I269" s="728"/>
      <c r="J269" s="728"/>
      <c r="K269" s="728"/>
      <c r="L269" s="729"/>
      <c r="M269" s="728"/>
      <c r="N269" s="728"/>
      <c r="O269" s="728"/>
      <c r="P269" s="728"/>
      <c r="Q269" s="728"/>
      <c r="R269" s="728"/>
      <c r="S269" s="429"/>
      <c r="T269" s="429"/>
      <c r="U269" s="429"/>
      <c r="V269" s="429"/>
    </row>
    <row r="270" spans="1:22" ht="21" customHeight="1">
      <c r="A270" s="728"/>
      <c r="B270" s="728"/>
      <c r="C270" s="728"/>
      <c r="D270" s="728"/>
      <c r="E270" s="728"/>
      <c r="F270" s="728"/>
      <c r="G270" s="728"/>
      <c r="H270" s="728"/>
      <c r="I270" s="728"/>
      <c r="J270" s="728"/>
      <c r="K270" s="728"/>
      <c r="L270" s="729"/>
      <c r="M270" s="728"/>
      <c r="N270" s="728"/>
      <c r="O270" s="728"/>
      <c r="P270" s="728"/>
      <c r="Q270" s="728"/>
      <c r="R270" s="728"/>
      <c r="S270" s="429"/>
      <c r="T270" s="429"/>
      <c r="U270" s="429"/>
      <c r="V270" s="429"/>
    </row>
    <row r="271" spans="1:22" ht="21" customHeight="1">
      <c r="A271" s="728"/>
      <c r="B271" s="728"/>
      <c r="C271" s="728"/>
      <c r="D271" s="728"/>
      <c r="E271" s="728"/>
      <c r="F271" s="728"/>
      <c r="G271" s="728"/>
      <c r="H271" s="728"/>
      <c r="I271" s="728"/>
      <c r="J271" s="728"/>
      <c r="K271" s="728"/>
      <c r="L271" s="729"/>
      <c r="M271" s="728"/>
      <c r="N271" s="728"/>
      <c r="O271" s="728"/>
      <c r="P271" s="728"/>
      <c r="Q271" s="728"/>
      <c r="R271" s="728"/>
      <c r="S271" s="429"/>
      <c r="T271" s="429"/>
      <c r="U271" s="429"/>
      <c r="V271" s="429"/>
    </row>
    <row r="272" spans="1:22" ht="21" customHeight="1">
      <c r="A272" s="728"/>
      <c r="B272" s="728"/>
      <c r="C272" s="728"/>
      <c r="D272" s="728"/>
      <c r="E272" s="728"/>
      <c r="F272" s="728"/>
      <c r="G272" s="728"/>
      <c r="H272" s="728"/>
      <c r="I272" s="728"/>
      <c r="J272" s="728"/>
      <c r="K272" s="728"/>
      <c r="L272" s="729"/>
      <c r="M272" s="728"/>
      <c r="N272" s="728"/>
      <c r="O272" s="728"/>
      <c r="P272" s="728"/>
      <c r="Q272" s="728"/>
      <c r="R272" s="728"/>
      <c r="S272" s="429"/>
      <c r="T272" s="429"/>
      <c r="U272" s="429"/>
      <c r="V272" s="429"/>
    </row>
    <row r="273" spans="1:22" ht="21" customHeight="1">
      <c r="A273" s="728"/>
      <c r="B273" s="728"/>
      <c r="C273" s="728"/>
      <c r="D273" s="728"/>
      <c r="E273" s="728"/>
      <c r="F273" s="728"/>
      <c r="G273" s="728"/>
      <c r="H273" s="728"/>
      <c r="I273" s="728"/>
      <c r="J273" s="728"/>
      <c r="K273" s="728"/>
      <c r="L273" s="729"/>
      <c r="M273" s="728"/>
      <c r="N273" s="728"/>
      <c r="O273" s="728"/>
      <c r="P273" s="728"/>
      <c r="Q273" s="728"/>
      <c r="R273" s="728"/>
      <c r="S273" s="429"/>
      <c r="T273" s="429"/>
      <c r="U273" s="429"/>
      <c r="V273" s="429"/>
    </row>
    <row r="274" spans="1:22" ht="21" customHeight="1">
      <c r="A274" s="728"/>
      <c r="B274" s="728"/>
      <c r="C274" s="728"/>
      <c r="D274" s="728"/>
      <c r="E274" s="728"/>
      <c r="F274" s="728"/>
      <c r="G274" s="728"/>
      <c r="H274" s="728"/>
      <c r="I274" s="728"/>
      <c r="J274" s="728"/>
      <c r="K274" s="728"/>
      <c r="L274" s="729"/>
      <c r="M274" s="728"/>
      <c r="N274" s="728"/>
      <c r="O274" s="728"/>
      <c r="P274" s="728"/>
      <c r="Q274" s="728"/>
      <c r="R274" s="728"/>
      <c r="S274" s="429"/>
      <c r="T274" s="429"/>
      <c r="U274" s="429"/>
      <c r="V274" s="429"/>
    </row>
    <row r="275" spans="1:22" ht="21" customHeight="1">
      <c r="A275" s="728"/>
      <c r="B275" s="728"/>
      <c r="C275" s="728"/>
      <c r="D275" s="728"/>
      <c r="E275" s="728"/>
      <c r="F275" s="728"/>
      <c r="G275" s="728"/>
      <c r="H275" s="728"/>
      <c r="I275" s="728"/>
      <c r="J275" s="728"/>
      <c r="K275" s="728"/>
      <c r="L275" s="729"/>
      <c r="M275" s="728"/>
      <c r="N275" s="728"/>
      <c r="O275" s="728"/>
      <c r="P275" s="728"/>
      <c r="Q275" s="728"/>
      <c r="R275" s="728"/>
      <c r="S275" s="429"/>
      <c r="T275" s="429"/>
      <c r="U275" s="429"/>
      <c r="V275" s="429"/>
    </row>
    <row r="276" spans="1:22" ht="21" customHeight="1">
      <c r="A276" s="728"/>
      <c r="B276" s="728"/>
      <c r="C276" s="728"/>
      <c r="D276" s="728"/>
      <c r="E276" s="728"/>
      <c r="F276" s="728"/>
      <c r="G276" s="728"/>
      <c r="H276" s="728"/>
      <c r="I276" s="728"/>
      <c r="J276" s="728"/>
      <c r="K276" s="728"/>
      <c r="L276" s="729"/>
      <c r="M276" s="728"/>
      <c r="N276" s="728"/>
      <c r="O276" s="728"/>
      <c r="P276" s="728"/>
      <c r="Q276" s="728"/>
      <c r="R276" s="728"/>
      <c r="S276" s="429"/>
      <c r="T276" s="429"/>
      <c r="U276" s="429"/>
      <c r="V276" s="429"/>
    </row>
    <row r="277" spans="1:22" ht="21" customHeight="1">
      <c r="A277" s="728"/>
      <c r="B277" s="728"/>
      <c r="C277" s="728"/>
      <c r="D277" s="728"/>
      <c r="E277" s="728"/>
      <c r="F277" s="728"/>
      <c r="G277" s="728"/>
      <c r="H277" s="728"/>
      <c r="I277" s="728"/>
      <c r="J277" s="728"/>
      <c r="K277" s="728"/>
      <c r="L277" s="729"/>
      <c r="M277" s="728"/>
      <c r="N277" s="728"/>
      <c r="O277" s="728"/>
      <c r="P277" s="728"/>
      <c r="Q277" s="728"/>
      <c r="R277" s="728"/>
      <c r="S277" s="429"/>
      <c r="T277" s="429"/>
      <c r="U277" s="429"/>
      <c r="V277" s="429"/>
    </row>
    <row r="278" spans="1:22" ht="21" customHeight="1">
      <c r="A278" s="728"/>
      <c r="B278" s="728"/>
      <c r="C278" s="728"/>
      <c r="D278" s="728"/>
      <c r="E278" s="728"/>
      <c r="F278" s="728"/>
      <c r="G278" s="728"/>
      <c r="H278" s="728"/>
      <c r="I278" s="728"/>
      <c r="J278" s="728"/>
      <c r="K278" s="728"/>
      <c r="L278" s="729"/>
      <c r="M278" s="728"/>
      <c r="N278" s="728"/>
      <c r="O278" s="728"/>
      <c r="P278" s="728"/>
      <c r="Q278" s="728"/>
      <c r="R278" s="728"/>
      <c r="S278" s="429"/>
      <c r="T278" s="429"/>
      <c r="U278" s="429"/>
      <c r="V278" s="429"/>
    </row>
    <row r="279" spans="1:22" ht="21" customHeight="1">
      <c r="A279" s="728"/>
      <c r="B279" s="728"/>
      <c r="C279" s="728"/>
      <c r="D279" s="728"/>
      <c r="E279" s="728"/>
      <c r="F279" s="728"/>
      <c r="G279" s="728"/>
      <c r="H279" s="728"/>
      <c r="I279" s="728"/>
      <c r="J279" s="728"/>
      <c r="K279" s="728"/>
      <c r="L279" s="729"/>
      <c r="M279" s="728"/>
      <c r="N279" s="728"/>
      <c r="O279" s="728"/>
      <c r="P279" s="728"/>
      <c r="Q279" s="728"/>
      <c r="R279" s="728"/>
      <c r="S279" s="429"/>
      <c r="T279" s="429"/>
      <c r="U279" s="429"/>
      <c r="V279" s="429"/>
    </row>
    <row r="280" spans="1:22" ht="21" customHeight="1">
      <c r="A280" s="728"/>
      <c r="B280" s="728"/>
      <c r="C280" s="728"/>
      <c r="D280" s="728"/>
      <c r="E280" s="728"/>
      <c r="F280" s="728"/>
      <c r="G280" s="728"/>
      <c r="H280" s="728"/>
      <c r="I280" s="728"/>
      <c r="J280" s="728"/>
      <c r="K280" s="728"/>
      <c r="L280" s="729"/>
      <c r="M280" s="728"/>
      <c r="N280" s="728"/>
      <c r="O280" s="728"/>
      <c r="P280" s="728"/>
      <c r="Q280" s="728"/>
      <c r="R280" s="728"/>
      <c r="S280" s="429"/>
      <c r="T280" s="429"/>
      <c r="U280" s="429"/>
      <c r="V280" s="429"/>
    </row>
    <row r="281" spans="1:22" ht="21" customHeight="1">
      <c r="A281" s="728"/>
      <c r="B281" s="728"/>
      <c r="C281" s="728"/>
      <c r="D281" s="728"/>
      <c r="E281" s="728"/>
      <c r="F281" s="728"/>
      <c r="G281" s="728"/>
      <c r="H281" s="728"/>
      <c r="I281" s="728"/>
      <c r="J281" s="728"/>
      <c r="K281" s="728"/>
      <c r="L281" s="729"/>
      <c r="M281" s="728"/>
      <c r="N281" s="728"/>
      <c r="O281" s="728"/>
      <c r="P281" s="728"/>
      <c r="Q281" s="728"/>
      <c r="R281" s="728"/>
      <c r="S281" s="429"/>
      <c r="T281" s="429"/>
      <c r="U281" s="429"/>
      <c r="V281" s="429"/>
    </row>
    <row r="282" spans="1:22" ht="21" customHeight="1">
      <c r="A282" s="728"/>
      <c r="B282" s="728"/>
      <c r="C282" s="728"/>
      <c r="D282" s="728"/>
      <c r="E282" s="728"/>
      <c r="F282" s="728"/>
      <c r="G282" s="728"/>
      <c r="H282" s="728"/>
      <c r="I282" s="728"/>
      <c r="J282" s="728"/>
      <c r="K282" s="728"/>
      <c r="L282" s="729"/>
      <c r="M282" s="728"/>
      <c r="N282" s="728"/>
      <c r="O282" s="728"/>
      <c r="P282" s="728"/>
      <c r="Q282" s="728"/>
      <c r="R282" s="728"/>
      <c r="S282" s="429"/>
      <c r="T282" s="429"/>
      <c r="U282" s="429"/>
      <c r="V282" s="429"/>
    </row>
    <row r="283" spans="1:22" ht="21" customHeight="1">
      <c r="A283" s="728"/>
      <c r="B283" s="728"/>
      <c r="C283" s="728"/>
      <c r="D283" s="728"/>
      <c r="E283" s="728"/>
      <c r="F283" s="728"/>
      <c r="G283" s="728"/>
      <c r="H283" s="728"/>
      <c r="I283" s="728"/>
      <c r="J283" s="728"/>
      <c r="K283" s="728"/>
      <c r="L283" s="729"/>
      <c r="M283" s="728"/>
      <c r="N283" s="728"/>
      <c r="O283" s="728"/>
      <c r="P283" s="728"/>
      <c r="Q283" s="728"/>
      <c r="R283" s="728"/>
      <c r="S283" s="429"/>
      <c r="T283" s="429"/>
      <c r="U283" s="429"/>
      <c r="V283" s="429"/>
    </row>
    <row r="284" spans="1:22" ht="21" customHeight="1">
      <c r="A284" s="728"/>
      <c r="B284" s="728"/>
      <c r="C284" s="728"/>
      <c r="D284" s="728"/>
      <c r="E284" s="728"/>
      <c r="F284" s="728"/>
      <c r="G284" s="728"/>
      <c r="H284" s="728"/>
      <c r="I284" s="728"/>
      <c r="J284" s="728"/>
      <c r="K284" s="728"/>
      <c r="L284" s="729"/>
      <c r="M284" s="728"/>
      <c r="N284" s="728"/>
      <c r="O284" s="728"/>
      <c r="P284" s="728"/>
      <c r="Q284" s="728"/>
      <c r="R284" s="728"/>
      <c r="S284" s="429"/>
      <c r="T284" s="429"/>
      <c r="U284" s="429"/>
      <c r="V284" s="429"/>
    </row>
    <row r="285" spans="1:22" ht="21" customHeight="1">
      <c r="A285" s="728"/>
      <c r="B285" s="728"/>
      <c r="C285" s="728"/>
      <c r="D285" s="728"/>
      <c r="E285" s="728"/>
      <c r="F285" s="728"/>
      <c r="G285" s="728"/>
      <c r="H285" s="728"/>
      <c r="I285" s="728"/>
      <c r="J285" s="728"/>
      <c r="K285" s="728"/>
      <c r="L285" s="729"/>
      <c r="M285" s="728"/>
      <c r="N285" s="728"/>
      <c r="O285" s="728"/>
      <c r="P285" s="728"/>
      <c r="Q285" s="728"/>
      <c r="R285" s="728"/>
      <c r="S285" s="429"/>
      <c r="T285" s="429"/>
      <c r="U285" s="429"/>
      <c r="V285" s="429"/>
    </row>
    <row r="286" spans="1:22" ht="21" customHeight="1">
      <c r="A286" s="728"/>
      <c r="B286" s="728"/>
      <c r="C286" s="728"/>
      <c r="D286" s="728"/>
      <c r="E286" s="728"/>
      <c r="F286" s="728"/>
      <c r="G286" s="728"/>
      <c r="H286" s="728"/>
      <c r="I286" s="728"/>
      <c r="J286" s="728"/>
      <c r="K286" s="728"/>
      <c r="L286" s="729"/>
      <c r="M286" s="728"/>
      <c r="N286" s="728"/>
      <c r="O286" s="728"/>
      <c r="P286" s="728"/>
      <c r="Q286" s="728"/>
      <c r="R286" s="728"/>
      <c r="S286" s="429"/>
      <c r="T286" s="429"/>
      <c r="U286" s="429"/>
      <c r="V286" s="429"/>
    </row>
    <row r="287" spans="1:22" ht="21" customHeight="1">
      <c r="A287" s="728"/>
      <c r="B287" s="728"/>
      <c r="C287" s="728"/>
      <c r="D287" s="728"/>
      <c r="E287" s="728"/>
      <c r="F287" s="728"/>
      <c r="G287" s="728"/>
      <c r="H287" s="728"/>
      <c r="I287" s="728"/>
      <c r="J287" s="728"/>
      <c r="K287" s="728"/>
      <c r="L287" s="729"/>
      <c r="M287" s="728"/>
      <c r="N287" s="728"/>
      <c r="O287" s="728"/>
      <c r="P287" s="728"/>
      <c r="Q287" s="728"/>
      <c r="R287" s="728"/>
      <c r="S287" s="429"/>
      <c r="T287" s="429"/>
      <c r="U287" s="429"/>
      <c r="V287" s="429"/>
    </row>
    <row r="288" spans="1:22" ht="21" customHeight="1">
      <c r="A288" s="728"/>
      <c r="B288" s="728"/>
      <c r="C288" s="728"/>
      <c r="D288" s="728"/>
      <c r="E288" s="728"/>
      <c r="F288" s="728"/>
      <c r="G288" s="728"/>
      <c r="H288" s="728"/>
      <c r="I288" s="728"/>
      <c r="J288" s="728"/>
      <c r="K288" s="728"/>
      <c r="L288" s="729"/>
      <c r="M288" s="728"/>
      <c r="N288" s="728"/>
      <c r="O288" s="728"/>
      <c r="P288" s="728"/>
      <c r="Q288" s="728"/>
      <c r="R288" s="728"/>
      <c r="S288" s="429"/>
      <c r="T288" s="429"/>
      <c r="U288" s="429"/>
      <c r="V288" s="429"/>
    </row>
    <row r="289" spans="1:22" ht="21" customHeight="1">
      <c r="A289" s="728"/>
      <c r="B289" s="728"/>
      <c r="C289" s="728"/>
      <c r="D289" s="728"/>
      <c r="E289" s="728"/>
      <c r="F289" s="728"/>
      <c r="G289" s="728"/>
      <c r="H289" s="728"/>
      <c r="I289" s="728"/>
      <c r="J289" s="728"/>
      <c r="K289" s="728"/>
      <c r="L289" s="729"/>
      <c r="M289" s="728"/>
      <c r="N289" s="728"/>
      <c r="O289" s="728"/>
      <c r="P289" s="728"/>
      <c r="Q289" s="728"/>
      <c r="R289" s="728"/>
      <c r="S289" s="429"/>
      <c r="T289" s="429"/>
      <c r="U289" s="429"/>
      <c r="V289" s="429"/>
    </row>
    <row r="290" spans="1:22" ht="21" customHeight="1">
      <c r="A290" s="728"/>
      <c r="B290" s="728"/>
      <c r="C290" s="728"/>
      <c r="D290" s="728"/>
      <c r="E290" s="728"/>
      <c r="F290" s="728"/>
      <c r="G290" s="728"/>
      <c r="H290" s="728"/>
      <c r="I290" s="728"/>
      <c r="J290" s="728"/>
      <c r="K290" s="728"/>
      <c r="L290" s="729"/>
      <c r="M290" s="728"/>
      <c r="N290" s="728"/>
      <c r="O290" s="728"/>
      <c r="P290" s="728"/>
      <c r="Q290" s="728"/>
      <c r="R290" s="728"/>
      <c r="S290" s="429"/>
      <c r="T290" s="429"/>
      <c r="U290" s="429"/>
      <c r="V290" s="429"/>
    </row>
    <row r="291" spans="1:22" ht="21" customHeight="1">
      <c r="A291" s="728"/>
      <c r="B291" s="728"/>
      <c r="C291" s="728"/>
      <c r="D291" s="728"/>
      <c r="E291" s="728"/>
      <c r="F291" s="728"/>
      <c r="G291" s="728"/>
      <c r="H291" s="728"/>
      <c r="I291" s="728"/>
      <c r="J291" s="728"/>
      <c r="K291" s="728"/>
      <c r="L291" s="729"/>
      <c r="M291" s="728"/>
      <c r="N291" s="728"/>
      <c r="O291" s="728"/>
      <c r="P291" s="728"/>
      <c r="Q291" s="728"/>
      <c r="R291" s="728"/>
      <c r="S291" s="429"/>
      <c r="T291" s="429"/>
      <c r="U291" s="429"/>
      <c r="V291" s="429"/>
    </row>
    <row r="292" spans="1:22" ht="21" customHeight="1">
      <c r="A292" s="728"/>
      <c r="B292" s="728"/>
      <c r="C292" s="728"/>
      <c r="D292" s="728"/>
      <c r="E292" s="728"/>
      <c r="F292" s="728"/>
      <c r="G292" s="728"/>
      <c r="H292" s="728"/>
      <c r="I292" s="728"/>
      <c r="J292" s="728"/>
      <c r="K292" s="728"/>
      <c r="L292" s="729"/>
      <c r="M292" s="728"/>
      <c r="N292" s="728"/>
      <c r="O292" s="728"/>
      <c r="P292" s="728"/>
      <c r="Q292" s="728"/>
      <c r="R292" s="728"/>
      <c r="S292" s="429"/>
      <c r="T292" s="429"/>
      <c r="U292" s="429"/>
      <c r="V292" s="429"/>
    </row>
    <row r="293" spans="1:22" ht="21" customHeight="1">
      <c r="A293" s="728"/>
      <c r="B293" s="728"/>
      <c r="C293" s="728"/>
      <c r="D293" s="728"/>
      <c r="E293" s="728"/>
      <c r="F293" s="728"/>
      <c r="G293" s="728"/>
      <c r="H293" s="728"/>
      <c r="I293" s="728"/>
      <c r="J293" s="728"/>
      <c r="K293" s="728"/>
      <c r="L293" s="729"/>
      <c r="M293" s="728"/>
      <c r="N293" s="728"/>
      <c r="O293" s="728"/>
      <c r="P293" s="728"/>
      <c r="Q293" s="728"/>
      <c r="R293" s="728"/>
      <c r="S293" s="429"/>
      <c r="T293" s="429"/>
      <c r="U293" s="429"/>
      <c r="V293" s="429"/>
    </row>
    <row r="294" spans="1:22" ht="21" customHeight="1">
      <c r="A294" s="728"/>
      <c r="B294" s="728"/>
      <c r="C294" s="728"/>
      <c r="D294" s="728"/>
      <c r="E294" s="728"/>
      <c r="F294" s="728"/>
      <c r="G294" s="728"/>
      <c r="H294" s="728"/>
      <c r="I294" s="728"/>
      <c r="J294" s="728"/>
      <c r="K294" s="728"/>
      <c r="L294" s="729"/>
      <c r="M294" s="728"/>
      <c r="N294" s="728"/>
      <c r="O294" s="728"/>
      <c r="P294" s="728"/>
      <c r="Q294" s="728"/>
      <c r="R294" s="728"/>
      <c r="S294" s="429"/>
      <c r="T294" s="429"/>
      <c r="U294" s="429"/>
      <c r="V294" s="429"/>
    </row>
    <row r="295" spans="1:22" ht="21" customHeight="1">
      <c r="A295" s="728"/>
      <c r="B295" s="728"/>
      <c r="C295" s="728"/>
      <c r="D295" s="728"/>
      <c r="E295" s="728"/>
      <c r="F295" s="728"/>
      <c r="G295" s="728"/>
      <c r="H295" s="728"/>
      <c r="I295" s="728"/>
      <c r="J295" s="728"/>
      <c r="K295" s="728"/>
      <c r="L295" s="729"/>
      <c r="M295" s="728"/>
      <c r="N295" s="728"/>
      <c r="O295" s="728"/>
      <c r="P295" s="728"/>
      <c r="Q295" s="728"/>
      <c r="R295" s="728"/>
      <c r="S295" s="429"/>
      <c r="T295" s="429"/>
      <c r="U295" s="429"/>
      <c r="V295" s="429"/>
    </row>
    <row r="296" spans="1:22" ht="21" customHeight="1">
      <c r="A296" s="728"/>
      <c r="B296" s="728"/>
      <c r="C296" s="728"/>
      <c r="D296" s="728"/>
      <c r="E296" s="728"/>
      <c r="F296" s="728"/>
      <c r="G296" s="728"/>
      <c r="H296" s="728"/>
      <c r="I296" s="728"/>
      <c r="J296" s="728"/>
      <c r="K296" s="728"/>
      <c r="L296" s="729"/>
      <c r="M296" s="728"/>
      <c r="N296" s="728"/>
      <c r="O296" s="728"/>
      <c r="P296" s="728"/>
      <c r="Q296" s="728"/>
      <c r="R296" s="728"/>
      <c r="S296" s="429"/>
      <c r="T296" s="429"/>
      <c r="U296" s="429"/>
      <c r="V296" s="429"/>
    </row>
    <row r="297" spans="1:22" ht="21" customHeight="1">
      <c r="A297" s="728"/>
      <c r="B297" s="728"/>
      <c r="C297" s="728"/>
      <c r="D297" s="728"/>
      <c r="E297" s="728"/>
      <c r="F297" s="728"/>
      <c r="G297" s="728"/>
      <c r="H297" s="728"/>
      <c r="I297" s="728"/>
      <c r="J297" s="728"/>
      <c r="K297" s="728"/>
      <c r="L297" s="729"/>
      <c r="M297" s="728"/>
      <c r="N297" s="728"/>
      <c r="O297" s="728"/>
      <c r="P297" s="728"/>
      <c r="Q297" s="728"/>
      <c r="R297" s="728"/>
      <c r="S297" s="429"/>
      <c r="T297" s="429"/>
      <c r="U297" s="429"/>
      <c r="V297" s="429"/>
    </row>
    <row r="298" spans="1:22" ht="21" customHeight="1">
      <c r="A298" s="728"/>
      <c r="B298" s="728"/>
      <c r="C298" s="728"/>
      <c r="D298" s="728"/>
      <c r="E298" s="728"/>
      <c r="F298" s="728"/>
      <c r="G298" s="728"/>
      <c r="H298" s="728"/>
      <c r="I298" s="728"/>
      <c r="J298" s="728"/>
      <c r="K298" s="728"/>
      <c r="L298" s="729"/>
      <c r="M298" s="728"/>
      <c r="N298" s="728"/>
      <c r="O298" s="728"/>
      <c r="P298" s="728"/>
      <c r="Q298" s="728"/>
      <c r="R298" s="728"/>
      <c r="S298" s="429"/>
      <c r="T298" s="429"/>
      <c r="U298" s="429"/>
      <c r="V298" s="429"/>
    </row>
    <row r="299" spans="1:22" ht="21" customHeight="1">
      <c r="A299" s="728"/>
      <c r="B299" s="728"/>
      <c r="C299" s="728"/>
      <c r="D299" s="728"/>
      <c r="E299" s="728"/>
      <c r="F299" s="728"/>
      <c r="G299" s="728"/>
      <c r="H299" s="728"/>
      <c r="I299" s="728"/>
      <c r="J299" s="728"/>
      <c r="K299" s="728"/>
      <c r="L299" s="729"/>
      <c r="M299" s="728"/>
      <c r="N299" s="728"/>
      <c r="O299" s="728"/>
      <c r="P299" s="728"/>
      <c r="Q299" s="728"/>
      <c r="R299" s="728"/>
      <c r="S299" s="429"/>
      <c r="T299" s="429"/>
      <c r="U299" s="429"/>
      <c r="V299" s="429"/>
    </row>
    <row r="300" spans="1:22" ht="21" customHeight="1">
      <c r="A300" s="728"/>
      <c r="B300" s="728"/>
      <c r="C300" s="728"/>
      <c r="D300" s="728"/>
      <c r="E300" s="728"/>
      <c r="F300" s="728"/>
      <c r="G300" s="728"/>
      <c r="H300" s="728"/>
      <c r="I300" s="728"/>
      <c r="J300" s="728"/>
      <c r="K300" s="728"/>
      <c r="L300" s="729"/>
      <c r="M300" s="728"/>
      <c r="N300" s="728"/>
      <c r="O300" s="728"/>
      <c r="P300" s="728"/>
      <c r="Q300" s="728"/>
      <c r="R300" s="728"/>
      <c r="S300" s="429"/>
      <c r="T300" s="429"/>
      <c r="U300" s="429"/>
      <c r="V300" s="429"/>
    </row>
    <row r="301" spans="1:22" ht="21" customHeight="1">
      <c r="A301" s="728"/>
      <c r="B301" s="728"/>
      <c r="C301" s="728"/>
      <c r="D301" s="728"/>
      <c r="E301" s="728"/>
      <c r="F301" s="728"/>
      <c r="G301" s="728"/>
      <c r="H301" s="728"/>
      <c r="I301" s="728"/>
      <c r="J301" s="728"/>
      <c r="K301" s="728"/>
      <c r="L301" s="729"/>
      <c r="M301" s="728"/>
      <c r="N301" s="728"/>
      <c r="O301" s="728"/>
      <c r="P301" s="728"/>
      <c r="Q301" s="728"/>
      <c r="R301" s="728"/>
      <c r="S301" s="429"/>
      <c r="T301" s="429"/>
      <c r="U301" s="429"/>
      <c r="V301" s="429"/>
    </row>
    <row r="302" spans="1:22" ht="21" customHeight="1">
      <c r="A302" s="728"/>
      <c r="B302" s="728"/>
      <c r="C302" s="728"/>
      <c r="D302" s="728"/>
      <c r="E302" s="728"/>
      <c r="F302" s="728"/>
      <c r="G302" s="728"/>
      <c r="H302" s="728"/>
      <c r="I302" s="728"/>
      <c r="J302" s="728"/>
      <c r="K302" s="728"/>
      <c r="L302" s="729"/>
      <c r="M302" s="728"/>
      <c r="N302" s="728"/>
      <c r="O302" s="728"/>
      <c r="P302" s="728"/>
      <c r="Q302" s="728"/>
      <c r="R302" s="728"/>
      <c r="S302" s="429"/>
      <c r="T302" s="429"/>
      <c r="U302" s="429"/>
      <c r="V302" s="429"/>
    </row>
    <row r="303" spans="1:22" ht="21" customHeight="1">
      <c r="A303" s="728"/>
      <c r="B303" s="728"/>
      <c r="C303" s="728"/>
      <c r="D303" s="728"/>
      <c r="E303" s="728"/>
      <c r="F303" s="728"/>
      <c r="G303" s="728"/>
      <c r="H303" s="728"/>
      <c r="I303" s="728"/>
      <c r="J303" s="728"/>
      <c r="K303" s="728"/>
      <c r="L303" s="729"/>
      <c r="M303" s="728"/>
      <c r="N303" s="728"/>
      <c r="O303" s="728"/>
      <c r="P303" s="728"/>
      <c r="Q303" s="728"/>
      <c r="R303" s="728"/>
      <c r="S303" s="429"/>
      <c r="T303" s="429"/>
      <c r="U303" s="429"/>
      <c r="V303" s="429"/>
    </row>
    <row r="304" spans="1:22" ht="21" customHeight="1">
      <c r="A304" s="728"/>
      <c r="B304" s="728"/>
      <c r="C304" s="728"/>
      <c r="D304" s="728"/>
      <c r="E304" s="728"/>
      <c r="F304" s="728"/>
      <c r="G304" s="728"/>
      <c r="H304" s="728"/>
      <c r="I304" s="728"/>
      <c r="J304" s="728"/>
      <c r="K304" s="728"/>
      <c r="L304" s="729"/>
      <c r="M304" s="728"/>
      <c r="N304" s="728"/>
      <c r="O304" s="728"/>
      <c r="P304" s="728"/>
      <c r="Q304" s="728"/>
      <c r="R304" s="728"/>
      <c r="S304" s="429"/>
      <c r="T304" s="429"/>
      <c r="U304" s="429"/>
      <c r="V304" s="429"/>
    </row>
    <row r="305" spans="1:22" ht="21" customHeight="1">
      <c r="A305" s="728"/>
      <c r="B305" s="728"/>
      <c r="C305" s="728"/>
      <c r="D305" s="728"/>
      <c r="E305" s="728"/>
      <c r="F305" s="728"/>
      <c r="G305" s="728"/>
      <c r="H305" s="728"/>
      <c r="I305" s="728"/>
      <c r="J305" s="728"/>
      <c r="K305" s="728"/>
      <c r="L305" s="729"/>
      <c r="M305" s="728"/>
      <c r="N305" s="728"/>
      <c r="O305" s="728"/>
      <c r="P305" s="728"/>
      <c r="Q305" s="728"/>
      <c r="R305" s="728"/>
      <c r="S305" s="429"/>
      <c r="T305" s="429"/>
      <c r="U305" s="429"/>
      <c r="V305" s="429"/>
    </row>
    <row r="306" spans="1:22" ht="21" customHeight="1">
      <c r="A306" s="728"/>
      <c r="B306" s="728"/>
      <c r="C306" s="728"/>
      <c r="D306" s="728"/>
      <c r="E306" s="728"/>
      <c r="F306" s="728"/>
      <c r="G306" s="728"/>
      <c r="H306" s="728"/>
      <c r="I306" s="728"/>
      <c r="J306" s="728"/>
      <c r="K306" s="728"/>
      <c r="L306" s="729"/>
      <c r="M306" s="728"/>
      <c r="N306" s="728"/>
      <c r="O306" s="728"/>
      <c r="P306" s="728"/>
      <c r="Q306" s="728"/>
      <c r="R306" s="728"/>
      <c r="S306" s="429"/>
      <c r="T306" s="429"/>
      <c r="U306" s="429"/>
      <c r="V306" s="429"/>
    </row>
    <row r="307" spans="1:22" ht="21" customHeight="1">
      <c r="A307" s="728"/>
      <c r="B307" s="728"/>
      <c r="C307" s="728"/>
      <c r="D307" s="728"/>
      <c r="E307" s="728"/>
      <c r="F307" s="728"/>
      <c r="G307" s="728"/>
      <c r="H307" s="728"/>
      <c r="I307" s="728"/>
      <c r="J307" s="728"/>
      <c r="K307" s="728"/>
      <c r="L307" s="729"/>
      <c r="M307" s="728"/>
      <c r="N307" s="728"/>
      <c r="O307" s="728"/>
      <c r="P307" s="728"/>
      <c r="Q307" s="728"/>
      <c r="R307" s="728"/>
      <c r="S307" s="429"/>
      <c r="T307" s="429"/>
      <c r="U307" s="429"/>
      <c r="V307" s="429"/>
    </row>
    <row r="308" spans="1:22" ht="21" customHeight="1">
      <c r="A308" s="728"/>
      <c r="B308" s="728"/>
      <c r="C308" s="728"/>
      <c r="D308" s="728"/>
      <c r="E308" s="728"/>
      <c r="F308" s="728"/>
      <c r="G308" s="728"/>
      <c r="H308" s="728"/>
      <c r="I308" s="728"/>
      <c r="J308" s="728"/>
      <c r="K308" s="728"/>
      <c r="L308" s="729"/>
      <c r="M308" s="728"/>
      <c r="N308" s="728"/>
      <c r="O308" s="728"/>
      <c r="P308" s="728"/>
      <c r="Q308" s="728"/>
      <c r="R308" s="728"/>
      <c r="S308" s="429"/>
      <c r="T308" s="429"/>
      <c r="U308" s="429"/>
      <c r="V308" s="429"/>
    </row>
    <row r="309" spans="1:22" ht="21" customHeight="1">
      <c r="A309" s="728"/>
      <c r="B309" s="728"/>
      <c r="C309" s="728"/>
      <c r="D309" s="728"/>
      <c r="E309" s="728"/>
      <c r="F309" s="728"/>
      <c r="G309" s="728"/>
      <c r="H309" s="728"/>
      <c r="I309" s="728"/>
      <c r="J309" s="728"/>
      <c r="K309" s="728"/>
      <c r="L309" s="729"/>
      <c r="M309" s="728"/>
      <c r="N309" s="728"/>
      <c r="O309" s="728"/>
      <c r="P309" s="728"/>
      <c r="Q309" s="728"/>
      <c r="R309" s="728"/>
      <c r="S309" s="429"/>
      <c r="T309" s="429"/>
      <c r="U309" s="429"/>
      <c r="V309" s="429"/>
    </row>
    <row r="310" spans="1:22" ht="21" customHeight="1">
      <c r="A310" s="728"/>
      <c r="B310" s="728"/>
      <c r="C310" s="728"/>
      <c r="D310" s="728"/>
      <c r="E310" s="728"/>
      <c r="F310" s="728"/>
      <c r="G310" s="728"/>
      <c r="H310" s="728"/>
      <c r="I310" s="728"/>
      <c r="J310" s="728"/>
      <c r="K310" s="728"/>
      <c r="L310" s="729"/>
      <c r="M310" s="728"/>
      <c r="N310" s="728"/>
      <c r="O310" s="728"/>
      <c r="P310" s="728"/>
      <c r="Q310" s="728"/>
      <c r="R310" s="728"/>
      <c r="S310" s="429"/>
      <c r="T310" s="429"/>
      <c r="U310" s="429"/>
      <c r="V310" s="429"/>
    </row>
    <row r="311" spans="1:22" ht="21" customHeight="1">
      <c r="A311" s="728"/>
      <c r="B311" s="728"/>
      <c r="C311" s="728"/>
      <c r="D311" s="728"/>
      <c r="E311" s="728"/>
      <c r="F311" s="728"/>
      <c r="G311" s="728"/>
      <c r="H311" s="728"/>
      <c r="I311" s="728"/>
      <c r="J311" s="728"/>
      <c r="K311" s="728"/>
      <c r="L311" s="729"/>
      <c r="M311" s="728"/>
      <c r="N311" s="728"/>
      <c r="O311" s="728"/>
      <c r="P311" s="728"/>
      <c r="Q311" s="728"/>
      <c r="R311" s="728"/>
      <c r="S311" s="429"/>
      <c r="T311" s="429"/>
      <c r="U311" s="429"/>
      <c r="V311" s="429"/>
    </row>
    <row r="312" spans="1:22" ht="21" customHeight="1">
      <c r="A312" s="728"/>
      <c r="B312" s="728"/>
      <c r="C312" s="728"/>
      <c r="D312" s="728"/>
      <c r="E312" s="728"/>
      <c r="F312" s="728"/>
      <c r="G312" s="728"/>
      <c r="H312" s="728"/>
      <c r="I312" s="728"/>
      <c r="J312" s="728"/>
      <c r="K312" s="728"/>
      <c r="L312" s="729"/>
      <c r="M312" s="728"/>
      <c r="N312" s="728"/>
      <c r="O312" s="728"/>
      <c r="P312" s="728"/>
      <c r="Q312" s="728"/>
      <c r="R312" s="728"/>
      <c r="S312" s="429"/>
      <c r="T312" s="429"/>
      <c r="U312" s="429"/>
      <c r="V312" s="429"/>
    </row>
    <row r="313" spans="1:22" ht="21" customHeight="1">
      <c r="A313" s="728"/>
      <c r="B313" s="728"/>
      <c r="C313" s="728"/>
      <c r="D313" s="728"/>
      <c r="E313" s="728"/>
      <c r="F313" s="728"/>
      <c r="G313" s="728"/>
      <c r="H313" s="728"/>
      <c r="I313" s="728"/>
      <c r="J313" s="728"/>
      <c r="K313" s="728"/>
      <c r="L313" s="729"/>
      <c r="M313" s="728"/>
      <c r="N313" s="728"/>
      <c r="O313" s="728"/>
      <c r="P313" s="728"/>
      <c r="Q313" s="728"/>
      <c r="R313" s="728"/>
      <c r="S313" s="429"/>
      <c r="T313" s="429"/>
      <c r="U313" s="429"/>
      <c r="V313" s="429"/>
    </row>
    <row r="314" spans="1:22" ht="21" customHeight="1">
      <c r="A314" s="728"/>
      <c r="B314" s="728"/>
      <c r="C314" s="728"/>
      <c r="D314" s="728"/>
      <c r="E314" s="728"/>
      <c r="F314" s="728"/>
      <c r="G314" s="728"/>
      <c r="H314" s="728"/>
      <c r="I314" s="728"/>
      <c r="J314" s="728"/>
      <c r="K314" s="728"/>
      <c r="L314" s="729"/>
      <c r="M314" s="728"/>
      <c r="N314" s="728"/>
      <c r="O314" s="728"/>
      <c r="P314" s="728"/>
      <c r="Q314" s="728"/>
      <c r="R314" s="728"/>
      <c r="S314" s="429"/>
      <c r="T314" s="429"/>
      <c r="U314" s="429"/>
      <c r="V314" s="429"/>
    </row>
    <row r="315" spans="1:22" ht="21" customHeight="1">
      <c r="A315" s="728"/>
      <c r="B315" s="728"/>
      <c r="C315" s="728"/>
      <c r="D315" s="728"/>
      <c r="E315" s="728"/>
      <c r="F315" s="728"/>
      <c r="G315" s="728"/>
      <c r="H315" s="728"/>
      <c r="I315" s="728"/>
      <c r="J315" s="728"/>
      <c r="K315" s="728"/>
      <c r="L315" s="729"/>
      <c r="M315" s="728"/>
      <c r="N315" s="728"/>
      <c r="O315" s="728"/>
      <c r="P315" s="728"/>
      <c r="Q315" s="728"/>
      <c r="R315" s="728"/>
      <c r="S315" s="429"/>
      <c r="T315" s="429"/>
      <c r="U315" s="429"/>
      <c r="V315" s="429"/>
    </row>
    <row r="316" spans="1:22" ht="21" customHeight="1">
      <c r="A316" s="728"/>
      <c r="B316" s="728"/>
      <c r="C316" s="728"/>
      <c r="D316" s="728"/>
      <c r="E316" s="728"/>
      <c r="F316" s="728"/>
      <c r="G316" s="728"/>
      <c r="H316" s="728"/>
      <c r="I316" s="728"/>
      <c r="J316" s="728"/>
      <c r="K316" s="728"/>
      <c r="L316" s="729"/>
      <c r="M316" s="728"/>
      <c r="N316" s="728"/>
      <c r="O316" s="728"/>
      <c r="P316" s="728"/>
      <c r="Q316" s="728"/>
      <c r="R316" s="728"/>
      <c r="S316" s="429"/>
      <c r="T316" s="429"/>
      <c r="U316" s="429"/>
      <c r="V316" s="429"/>
    </row>
    <row r="317" spans="1:22" ht="21" customHeight="1">
      <c r="A317" s="728"/>
      <c r="B317" s="728"/>
      <c r="C317" s="728"/>
      <c r="D317" s="728"/>
      <c r="E317" s="728"/>
      <c r="F317" s="728"/>
      <c r="G317" s="728"/>
      <c r="H317" s="728"/>
      <c r="I317" s="728"/>
      <c r="J317" s="728"/>
      <c r="K317" s="728"/>
      <c r="L317" s="729"/>
      <c r="M317" s="728"/>
      <c r="N317" s="728"/>
      <c r="O317" s="728"/>
      <c r="P317" s="728"/>
      <c r="Q317" s="728"/>
      <c r="R317" s="728"/>
      <c r="S317" s="429"/>
      <c r="T317" s="429"/>
      <c r="U317" s="429"/>
      <c r="V317" s="429"/>
    </row>
    <row r="318" spans="1:22" ht="21" customHeight="1">
      <c r="A318" s="728"/>
      <c r="B318" s="728"/>
      <c r="C318" s="728"/>
      <c r="D318" s="728"/>
      <c r="E318" s="728"/>
      <c r="F318" s="728"/>
      <c r="G318" s="728"/>
      <c r="H318" s="728"/>
      <c r="I318" s="728"/>
      <c r="J318" s="728"/>
      <c r="K318" s="728"/>
      <c r="L318" s="729"/>
      <c r="M318" s="728"/>
      <c r="N318" s="728"/>
      <c r="O318" s="728"/>
      <c r="P318" s="728"/>
      <c r="Q318" s="728"/>
      <c r="R318" s="728"/>
      <c r="S318" s="429"/>
      <c r="T318" s="429"/>
      <c r="U318" s="429"/>
      <c r="V318" s="429"/>
    </row>
    <row r="319" spans="1:22" ht="21" customHeight="1">
      <c r="A319" s="728"/>
      <c r="B319" s="728"/>
      <c r="C319" s="728"/>
      <c r="D319" s="728"/>
      <c r="E319" s="728"/>
      <c r="F319" s="728"/>
      <c r="G319" s="728"/>
      <c r="H319" s="728"/>
      <c r="I319" s="728"/>
      <c r="J319" s="728"/>
      <c r="K319" s="728"/>
      <c r="L319" s="729"/>
      <c r="M319" s="728"/>
      <c r="N319" s="728"/>
      <c r="O319" s="728"/>
      <c r="P319" s="728"/>
      <c r="Q319" s="728"/>
      <c r="R319" s="728"/>
      <c r="S319" s="429"/>
      <c r="T319" s="429"/>
      <c r="U319" s="429"/>
      <c r="V319" s="429"/>
    </row>
    <row r="320" spans="1:22" ht="21" customHeight="1">
      <c r="A320" s="728"/>
      <c r="B320" s="728"/>
      <c r="C320" s="728"/>
      <c r="D320" s="728"/>
      <c r="E320" s="728"/>
      <c r="F320" s="728"/>
      <c r="G320" s="728"/>
      <c r="H320" s="728"/>
      <c r="I320" s="728"/>
      <c r="J320" s="728"/>
      <c r="K320" s="728"/>
      <c r="L320" s="729"/>
      <c r="M320" s="728"/>
      <c r="N320" s="728"/>
      <c r="O320" s="728"/>
      <c r="P320" s="728"/>
      <c r="Q320" s="728"/>
      <c r="R320" s="728"/>
      <c r="S320" s="429"/>
      <c r="T320" s="429"/>
      <c r="U320" s="429"/>
      <c r="V320" s="429"/>
    </row>
    <row r="321" spans="1:22" ht="21" customHeight="1">
      <c r="A321" s="728"/>
      <c r="B321" s="728"/>
      <c r="C321" s="728"/>
      <c r="D321" s="728"/>
      <c r="E321" s="728"/>
      <c r="F321" s="728"/>
      <c r="G321" s="728"/>
      <c r="H321" s="728"/>
      <c r="I321" s="728"/>
      <c r="J321" s="728"/>
      <c r="K321" s="728"/>
      <c r="L321" s="729"/>
      <c r="M321" s="728"/>
      <c r="N321" s="728"/>
      <c r="O321" s="728"/>
      <c r="P321" s="728"/>
      <c r="Q321" s="728"/>
      <c r="R321" s="728"/>
      <c r="S321" s="429"/>
      <c r="T321" s="429"/>
      <c r="U321" s="429"/>
      <c r="V321" s="429"/>
    </row>
    <row r="322" spans="1:22" ht="21" customHeight="1">
      <c r="A322" s="728"/>
      <c r="B322" s="728"/>
      <c r="C322" s="728"/>
      <c r="D322" s="728"/>
      <c r="E322" s="728"/>
      <c r="F322" s="728"/>
      <c r="G322" s="728"/>
      <c r="H322" s="728"/>
      <c r="I322" s="728"/>
      <c r="J322" s="728"/>
      <c r="K322" s="728"/>
      <c r="L322" s="729"/>
      <c r="M322" s="728"/>
      <c r="N322" s="728"/>
      <c r="O322" s="728"/>
      <c r="P322" s="728"/>
      <c r="Q322" s="728"/>
      <c r="R322" s="728"/>
      <c r="S322" s="429"/>
      <c r="T322" s="429"/>
      <c r="U322" s="429"/>
      <c r="V322" s="429"/>
    </row>
    <row r="323" spans="1:22" ht="21" customHeight="1">
      <c r="A323" s="728"/>
      <c r="B323" s="728"/>
      <c r="C323" s="728"/>
      <c r="D323" s="728"/>
      <c r="E323" s="728"/>
      <c r="F323" s="728"/>
      <c r="G323" s="728"/>
      <c r="H323" s="728"/>
      <c r="I323" s="728"/>
      <c r="J323" s="728"/>
      <c r="K323" s="728"/>
      <c r="L323" s="729"/>
      <c r="M323" s="728"/>
      <c r="N323" s="728"/>
      <c r="O323" s="728"/>
      <c r="P323" s="728"/>
      <c r="Q323" s="728"/>
      <c r="R323" s="728"/>
      <c r="S323" s="429"/>
      <c r="T323" s="429"/>
      <c r="U323" s="429"/>
      <c r="V323" s="429"/>
    </row>
    <row r="324" spans="1:22" ht="21" customHeight="1">
      <c r="A324" s="728"/>
      <c r="B324" s="728"/>
      <c r="C324" s="728"/>
      <c r="D324" s="728"/>
      <c r="E324" s="728"/>
      <c r="F324" s="728"/>
      <c r="G324" s="728"/>
      <c r="H324" s="728"/>
      <c r="I324" s="728"/>
      <c r="J324" s="728"/>
      <c r="K324" s="728"/>
      <c r="L324" s="729"/>
      <c r="M324" s="728"/>
      <c r="N324" s="728"/>
      <c r="O324" s="728"/>
      <c r="P324" s="728"/>
      <c r="Q324" s="728"/>
      <c r="R324" s="728"/>
      <c r="S324" s="429"/>
      <c r="T324" s="429"/>
      <c r="U324" s="429"/>
      <c r="V324" s="429"/>
    </row>
    <row r="325" spans="1:22" ht="21" customHeight="1">
      <c r="A325" s="728"/>
      <c r="B325" s="728"/>
      <c r="C325" s="728"/>
      <c r="D325" s="728"/>
      <c r="E325" s="728"/>
      <c r="F325" s="728"/>
      <c r="G325" s="728"/>
      <c r="H325" s="728"/>
      <c r="I325" s="728"/>
      <c r="J325" s="728"/>
      <c r="K325" s="728"/>
      <c r="L325" s="729"/>
      <c r="M325" s="728"/>
      <c r="N325" s="728"/>
      <c r="O325" s="728"/>
      <c r="P325" s="728"/>
      <c r="Q325" s="728"/>
      <c r="R325" s="728"/>
      <c r="S325" s="429"/>
      <c r="T325" s="429"/>
      <c r="U325" s="429"/>
      <c r="V325" s="429"/>
    </row>
    <row r="326" spans="1:22" ht="21" customHeight="1">
      <c r="A326" s="728"/>
      <c r="B326" s="728"/>
      <c r="C326" s="728"/>
      <c r="D326" s="728"/>
      <c r="E326" s="728"/>
      <c r="F326" s="728"/>
      <c r="G326" s="728"/>
      <c r="H326" s="728"/>
      <c r="I326" s="728"/>
      <c r="J326" s="728"/>
      <c r="K326" s="728"/>
      <c r="L326" s="729"/>
      <c r="M326" s="728"/>
      <c r="N326" s="728"/>
      <c r="O326" s="728"/>
      <c r="P326" s="728"/>
      <c r="Q326" s="728"/>
      <c r="R326" s="728"/>
      <c r="S326" s="429"/>
      <c r="T326" s="429"/>
      <c r="U326" s="429"/>
      <c r="V326" s="429"/>
    </row>
    <row r="327" spans="1:22" ht="21" customHeight="1">
      <c r="A327" s="728"/>
      <c r="B327" s="728"/>
      <c r="C327" s="728"/>
      <c r="D327" s="728"/>
      <c r="E327" s="728"/>
      <c r="F327" s="728"/>
      <c r="G327" s="728"/>
      <c r="H327" s="728"/>
      <c r="I327" s="728"/>
      <c r="J327" s="728"/>
      <c r="K327" s="728"/>
      <c r="L327" s="729"/>
      <c r="M327" s="728"/>
      <c r="N327" s="728"/>
      <c r="O327" s="728"/>
      <c r="P327" s="728"/>
      <c r="Q327" s="728"/>
      <c r="R327" s="728"/>
      <c r="S327" s="429"/>
      <c r="T327" s="429"/>
      <c r="U327" s="429"/>
      <c r="V327" s="429"/>
    </row>
    <row r="328" spans="1:22" ht="21" customHeight="1">
      <c r="A328" s="728"/>
      <c r="B328" s="728"/>
      <c r="C328" s="728"/>
      <c r="D328" s="728"/>
      <c r="E328" s="728"/>
      <c r="F328" s="728"/>
      <c r="G328" s="728"/>
      <c r="H328" s="728"/>
      <c r="I328" s="728"/>
      <c r="J328" s="728"/>
      <c r="K328" s="728"/>
      <c r="L328" s="729"/>
      <c r="M328" s="728"/>
      <c r="N328" s="728"/>
      <c r="O328" s="728"/>
      <c r="P328" s="728"/>
      <c r="Q328" s="728"/>
      <c r="R328" s="728"/>
      <c r="S328" s="429"/>
      <c r="T328" s="429"/>
      <c r="U328" s="429"/>
      <c r="V328" s="429"/>
    </row>
    <row r="329" spans="1:22" ht="21" customHeight="1">
      <c r="A329" s="728"/>
      <c r="B329" s="728"/>
      <c r="C329" s="728"/>
      <c r="D329" s="728"/>
      <c r="E329" s="728"/>
      <c r="F329" s="728"/>
      <c r="G329" s="728"/>
      <c r="H329" s="728"/>
      <c r="I329" s="728"/>
      <c r="J329" s="728"/>
      <c r="K329" s="728"/>
      <c r="L329" s="729"/>
      <c r="M329" s="728"/>
      <c r="N329" s="728"/>
      <c r="O329" s="728"/>
      <c r="P329" s="728"/>
      <c r="Q329" s="728"/>
      <c r="R329" s="728"/>
      <c r="S329" s="429"/>
      <c r="T329" s="429"/>
      <c r="U329" s="429"/>
      <c r="V329" s="429"/>
    </row>
    <row r="330" spans="1:22" ht="21" customHeight="1">
      <c r="A330" s="728"/>
      <c r="B330" s="728"/>
      <c r="C330" s="728"/>
      <c r="D330" s="728"/>
      <c r="E330" s="728"/>
      <c r="F330" s="728"/>
      <c r="G330" s="728"/>
      <c r="H330" s="728"/>
      <c r="I330" s="728"/>
      <c r="J330" s="728"/>
      <c r="K330" s="728"/>
      <c r="L330" s="729"/>
      <c r="M330" s="728"/>
      <c r="N330" s="728"/>
      <c r="O330" s="728"/>
      <c r="P330" s="728"/>
      <c r="Q330" s="728"/>
      <c r="R330" s="728"/>
      <c r="S330" s="429"/>
      <c r="T330" s="429"/>
      <c r="U330" s="429"/>
      <c r="V330" s="429"/>
    </row>
    <row r="331" spans="1:22" ht="21" customHeight="1">
      <c r="A331" s="728"/>
      <c r="B331" s="728"/>
      <c r="C331" s="728"/>
      <c r="D331" s="728"/>
      <c r="E331" s="728"/>
      <c r="F331" s="728"/>
      <c r="G331" s="728"/>
      <c r="H331" s="728"/>
      <c r="I331" s="728"/>
      <c r="J331" s="728"/>
      <c r="K331" s="728"/>
      <c r="L331" s="729"/>
      <c r="M331" s="728"/>
      <c r="N331" s="728"/>
      <c r="O331" s="728"/>
      <c r="P331" s="728"/>
      <c r="Q331" s="728"/>
      <c r="R331" s="728"/>
      <c r="S331" s="429"/>
      <c r="T331" s="429"/>
      <c r="U331" s="429"/>
      <c r="V331" s="429"/>
    </row>
    <row r="332" spans="1:22" ht="21" customHeight="1">
      <c r="A332" s="728"/>
      <c r="B332" s="728"/>
      <c r="C332" s="728"/>
      <c r="D332" s="728"/>
      <c r="E332" s="728"/>
      <c r="F332" s="728"/>
      <c r="G332" s="728"/>
      <c r="H332" s="728"/>
      <c r="I332" s="728"/>
      <c r="J332" s="728"/>
      <c r="K332" s="728"/>
      <c r="L332" s="729"/>
      <c r="M332" s="728"/>
      <c r="N332" s="728"/>
      <c r="O332" s="728"/>
      <c r="P332" s="728"/>
      <c r="Q332" s="728"/>
      <c r="R332" s="728"/>
      <c r="S332" s="429"/>
      <c r="T332" s="429"/>
      <c r="U332" s="429"/>
      <c r="V332" s="429"/>
    </row>
    <row r="333" spans="1:22" ht="21" customHeight="1">
      <c r="A333" s="728"/>
      <c r="B333" s="728"/>
      <c r="C333" s="728"/>
      <c r="D333" s="728"/>
      <c r="E333" s="728"/>
      <c r="F333" s="728"/>
      <c r="G333" s="728"/>
      <c r="H333" s="728"/>
      <c r="I333" s="728"/>
      <c r="J333" s="728"/>
      <c r="K333" s="728"/>
      <c r="L333" s="729"/>
      <c r="M333" s="728"/>
      <c r="N333" s="728"/>
      <c r="O333" s="728"/>
      <c r="P333" s="728"/>
      <c r="Q333" s="728"/>
      <c r="R333" s="728"/>
      <c r="S333" s="429"/>
      <c r="T333" s="429"/>
      <c r="U333" s="429"/>
      <c r="V333" s="429"/>
    </row>
    <row r="334" spans="1:22" ht="21" customHeight="1">
      <c r="A334" s="728"/>
      <c r="B334" s="728"/>
      <c r="C334" s="728"/>
      <c r="D334" s="728"/>
      <c r="E334" s="728"/>
      <c r="F334" s="728"/>
      <c r="G334" s="728"/>
      <c r="H334" s="728"/>
      <c r="I334" s="728"/>
      <c r="J334" s="728"/>
      <c r="K334" s="728"/>
      <c r="L334" s="729"/>
      <c r="M334" s="728"/>
      <c r="N334" s="728"/>
      <c r="O334" s="728"/>
      <c r="P334" s="728"/>
      <c r="Q334" s="728"/>
      <c r="R334" s="728"/>
      <c r="S334" s="429"/>
      <c r="T334" s="429"/>
      <c r="U334" s="429"/>
      <c r="V334" s="429"/>
    </row>
    <row r="335" spans="1:22">
      <c r="A335" s="735"/>
      <c r="B335" s="735"/>
      <c r="C335" s="735"/>
      <c r="D335" s="735"/>
      <c r="E335" s="735"/>
      <c r="F335" s="735"/>
      <c r="G335" s="735"/>
      <c r="H335" s="735"/>
      <c r="I335" s="735"/>
      <c r="J335" s="735"/>
      <c r="K335" s="735"/>
      <c r="L335" s="736"/>
      <c r="M335" s="735"/>
      <c r="N335" s="735"/>
      <c r="O335" s="735"/>
      <c r="P335" s="735"/>
      <c r="Q335" s="735"/>
      <c r="R335" s="735"/>
      <c r="S335" s="427"/>
      <c r="T335" s="427"/>
      <c r="U335" s="427"/>
      <c r="V335" s="427"/>
    </row>
    <row r="336" spans="1:22">
      <c r="A336" s="735"/>
      <c r="B336" s="735"/>
      <c r="C336" s="735"/>
      <c r="D336" s="735"/>
      <c r="E336" s="735"/>
      <c r="F336" s="735"/>
      <c r="G336" s="735"/>
      <c r="H336" s="735"/>
      <c r="I336" s="735"/>
      <c r="J336" s="735"/>
      <c r="K336" s="735"/>
      <c r="L336" s="736"/>
      <c r="M336" s="735"/>
      <c r="N336" s="735"/>
      <c r="O336" s="735"/>
      <c r="P336" s="735"/>
      <c r="Q336" s="735"/>
      <c r="R336" s="735"/>
      <c r="S336" s="427"/>
      <c r="T336" s="427"/>
      <c r="U336" s="427"/>
      <c r="V336" s="427"/>
    </row>
    <row r="337" spans="1:18">
      <c r="A337" s="737"/>
      <c r="B337" s="737"/>
      <c r="C337" s="737"/>
      <c r="D337" s="737"/>
      <c r="E337" s="737"/>
      <c r="F337" s="737"/>
      <c r="G337" s="737"/>
      <c r="H337" s="737"/>
      <c r="I337" s="737"/>
      <c r="J337" s="737"/>
      <c r="K337" s="737"/>
      <c r="L337" s="738"/>
      <c r="M337" s="737"/>
      <c r="N337" s="737"/>
      <c r="O337" s="737"/>
      <c r="P337" s="737"/>
      <c r="Q337" s="737"/>
      <c r="R337" s="737"/>
    </row>
    <row r="338" spans="1:18">
      <c r="A338" s="737"/>
      <c r="B338" s="737"/>
      <c r="C338" s="737"/>
      <c r="D338" s="737"/>
      <c r="E338" s="737"/>
      <c r="F338" s="737"/>
      <c r="G338" s="737"/>
      <c r="H338" s="737"/>
      <c r="I338" s="737"/>
      <c r="J338" s="737"/>
      <c r="K338" s="737"/>
      <c r="L338" s="738"/>
      <c r="M338" s="737"/>
      <c r="N338" s="737"/>
      <c r="O338" s="737"/>
      <c r="P338" s="737"/>
      <c r="Q338" s="737"/>
      <c r="R338" s="737"/>
    </row>
    <row r="339" spans="1:18">
      <c r="A339" s="737"/>
      <c r="B339" s="737"/>
      <c r="C339" s="737"/>
      <c r="D339" s="737"/>
      <c r="E339" s="737"/>
      <c r="F339" s="737"/>
      <c r="G339" s="737"/>
      <c r="H339" s="737"/>
      <c r="I339" s="737"/>
      <c r="J339" s="737"/>
      <c r="K339" s="737"/>
      <c r="L339" s="738"/>
      <c r="M339" s="737"/>
      <c r="N339" s="737"/>
      <c r="O339" s="737"/>
      <c r="P339" s="737"/>
      <c r="Q339" s="737"/>
      <c r="R339" s="737"/>
    </row>
    <row r="340" spans="1:18">
      <c r="A340" s="737"/>
      <c r="B340" s="737"/>
      <c r="C340" s="737"/>
      <c r="D340" s="737"/>
      <c r="E340" s="737"/>
      <c r="F340" s="737"/>
      <c r="G340" s="737"/>
      <c r="H340" s="737"/>
      <c r="I340" s="737"/>
      <c r="J340" s="737"/>
      <c r="K340" s="737"/>
      <c r="L340" s="738"/>
      <c r="M340" s="737"/>
      <c r="N340" s="737"/>
      <c r="O340" s="737"/>
      <c r="P340" s="737"/>
      <c r="Q340" s="737"/>
      <c r="R340" s="737"/>
    </row>
    <row r="341" spans="1:18">
      <c r="A341" s="737"/>
      <c r="B341" s="737"/>
      <c r="C341" s="737"/>
      <c r="D341" s="737"/>
      <c r="E341" s="737"/>
      <c r="F341" s="737"/>
      <c r="G341" s="737"/>
      <c r="H341" s="737"/>
      <c r="I341" s="737"/>
      <c r="J341" s="737"/>
      <c r="K341" s="737"/>
      <c r="L341" s="738"/>
      <c r="M341" s="737"/>
      <c r="N341" s="737"/>
      <c r="O341" s="737"/>
      <c r="P341" s="737"/>
      <c r="Q341" s="737"/>
      <c r="R341" s="737"/>
    </row>
    <row r="342" spans="1:18">
      <c r="A342" s="737"/>
      <c r="B342" s="737"/>
      <c r="C342" s="737"/>
      <c r="D342" s="737"/>
      <c r="E342" s="737"/>
      <c r="F342" s="737"/>
      <c r="G342" s="737"/>
      <c r="H342" s="737"/>
      <c r="I342" s="737"/>
      <c r="J342" s="737"/>
      <c r="K342" s="737"/>
      <c r="L342" s="738"/>
      <c r="M342" s="737"/>
      <c r="N342" s="737"/>
      <c r="O342" s="737"/>
      <c r="P342" s="737"/>
      <c r="Q342" s="737"/>
      <c r="R342" s="737"/>
    </row>
    <row r="343" spans="1:18">
      <c r="A343" s="737"/>
      <c r="B343" s="737"/>
      <c r="C343" s="737"/>
      <c r="D343" s="737"/>
      <c r="E343" s="737"/>
      <c r="F343" s="737"/>
      <c r="G343" s="737"/>
      <c r="H343" s="737"/>
      <c r="I343" s="737"/>
      <c r="J343" s="737"/>
      <c r="K343" s="737"/>
      <c r="L343" s="738"/>
      <c r="M343" s="737"/>
      <c r="N343" s="737"/>
      <c r="O343" s="737"/>
      <c r="P343" s="737"/>
      <c r="Q343" s="737"/>
      <c r="R343" s="737"/>
    </row>
    <row r="344" spans="1:18">
      <c r="A344" s="737"/>
      <c r="B344" s="737"/>
      <c r="C344" s="737"/>
      <c r="D344" s="737"/>
      <c r="E344" s="737"/>
      <c r="F344" s="737"/>
      <c r="G344" s="737"/>
      <c r="H344" s="737"/>
      <c r="I344" s="737"/>
      <c r="J344" s="737"/>
      <c r="K344" s="737"/>
      <c r="L344" s="738"/>
      <c r="M344" s="737"/>
      <c r="N344" s="737"/>
      <c r="O344" s="737"/>
      <c r="P344" s="737"/>
      <c r="Q344" s="737"/>
      <c r="R344" s="737"/>
    </row>
    <row r="345" spans="1:18">
      <c r="A345" s="737"/>
      <c r="B345" s="737"/>
      <c r="C345" s="737"/>
      <c r="D345" s="737"/>
      <c r="E345" s="737"/>
      <c r="F345" s="737"/>
      <c r="G345" s="737"/>
      <c r="H345" s="737"/>
      <c r="I345" s="737"/>
      <c r="J345" s="737"/>
      <c r="K345" s="737"/>
      <c r="L345" s="738"/>
      <c r="M345" s="737"/>
      <c r="N345" s="737"/>
      <c r="O345" s="737"/>
      <c r="P345" s="737"/>
      <c r="Q345" s="737"/>
      <c r="R345" s="737"/>
    </row>
    <row r="346" spans="1:18">
      <c r="A346" s="737"/>
      <c r="B346" s="737"/>
      <c r="C346" s="737"/>
      <c r="D346" s="737"/>
      <c r="E346" s="737"/>
      <c r="F346" s="737"/>
      <c r="G346" s="737"/>
      <c r="H346" s="737"/>
      <c r="I346" s="737"/>
      <c r="J346" s="737"/>
      <c r="K346" s="737"/>
      <c r="L346" s="738"/>
      <c r="M346" s="737"/>
      <c r="N346" s="737"/>
      <c r="O346" s="737"/>
      <c r="P346" s="737"/>
      <c r="Q346" s="737"/>
      <c r="R346" s="737"/>
    </row>
    <row r="347" spans="1:18">
      <c r="A347" s="737"/>
      <c r="B347" s="737"/>
      <c r="C347" s="737"/>
      <c r="D347" s="737"/>
      <c r="E347" s="737"/>
      <c r="F347" s="737"/>
      <c r="G347" s="737"/>
      <c r="H347" s="737"/>
      <c r="I347" s="737"/>
      <c r="J347" s="737"/>
      <c r="K347" s="737"/>
      <c r="L347" s="738"/>
      <c r="M347" s="737"/>
      <c r="N347" s="737"/>
      <c r="O347" s="737"/>
      <c r="P347" s="737"/>
      <c r="Q347" s="737"/>
      <c r="R347" s="737"/>
    </row>
    <row r="348" spans="1:18">
      <c r="A348" s="737"/>
      <c r="B348" s="737"/>
      <c r="C348" s="737"/>
      <c r="D348" s="737"/>
      <c r="E348" s="737"/>
      <c r="F348" s="737"/>
      <c r="G348" s="737"/>
      <c r="H348" s="737"/>
      <c r="I348" s="737"/>
      <c r="J348" s="737"/>
      <c r="K348" s="737"/>
      <c r="L348" s="738"/>
      <c r="M348" s="737"/>
      <c r="N348" s="737"/>
      <c r="O348" s="737"/>
      <c r="P348" s="737"/>
      <c r="Q348" s="737"/>
      <c r="R348" s="737"/>
    </row>
    <row r="349" spans="1:18">
      <c r="A349" s="737"/>
      <c r="B349" s="737"/>
      <c r="C349" s="737"/>
      <c r="D349" s="737"/>
      <c r="E349" s="737"/>
      <c r="F349" s="737"/>
      <c r="G349" s="737"/>
      <c r="H349" s="737"/>
      <c r="I349" s="737"/>
      <c r="J349" s="737"/>
      <c r="K349" s="737"/>
      <c r="L349" s="738"/>
      <c r="M349" s="737"/>
      <c r="N349" s="737"/>
      <c r="O349" s="737"/>
      <c r="P349" s="737"/>
      <c r="Q349" s="737"/>
      <c r="R349" s="737"/>
    </row>
    <row r="350" spans="1:18">
      <c r="A350" s="737"/>
      <c r="B350" s="737"/>
      <c r="C350" s="737"/>
      <c r="D350" s="737"/>
      <c r="E350" s="737"/>
      <c r="F350" s="737"/>
      <c r="G350" s="737"/>
      <c r="H350" s="737"/>
      <c r="I350" s="737"/>
      <c r="J350" s="737"/>
      <c r="K350" s="737"/>
      <c r="L350" s="738"/>
      <c r="M350" s="737"/>
      <c r="N350" s="737"/>
      <c r="O350" s="737"/>
      <c r="P350" s="737"/>
      <c r="Q350" s="737"/>
      <c r="R350" s="737"/>
    </row>
    <row r="351" spans="1:18">
      <c r="A351" s="737"/>
      <c r="B351" s="737"/>
      <c r="C351" s="737"/>
      <c r="D351" s="737"/>
      <c r="E351" s="737"/>
      <c r="F351" s="737"/>
      <c r="G351" s="737"/>
      <c r="H351" s="737"/>
      <c r="I351" s="737"/>
      <c r="J351" s="737"/>
      <c r="K351" s="737"/>
      <c r="L351" s="738"/>
      <c r="M351" s="737"/>
      <c r="N351" s="737"/>
      <c r="O351" s="737"/>
      <c r="P351" s="737"/>
      <c r="Q351" s="737"/>
      <c r="R351" s="737"/>
    </row>
    <row r="352" spans="1:18">
      <c r="A352" s="737"/>
      <c r="B352" s="737"/>
      <c r="C352" s="737"/>
      <c r="D352" s="737"/>
      <c r="E352" s="737"/>
      <c r="F352" s="737"/>
      <c r="G352" s="737"/>
      <c r="H352" s="737"/>
      <c r="I352" s="737"/>
      <c r="J352" s="737"/>
      <c r="K352" s="737"/>
      <c r="L352" s="738"/>
      <c r="M352" s="737"/>
      <c r="N352" s="737"/>
      <c r="O352" s="737"/>
      <c r="P352" s="737"/>
      <c r="Q352" s="737"/>
      <c r="R352" s="737"/>
    </row>
    <row r="353" spans="1:18">
      <c r="A353" s="737"/>
      <c r="B353" s="737"/>
      <c r="C353" s="737"/>
      <c r="D353" s="737"/>
      <c r="E353" s="737"/>
      <c r="F353" s="737"/>
      <c r="G353" s="737"/>
      <c r="H353" s="737"/>
      <c r="I353" s="737"/>
      <c r="J353" s="737"/>
      <c r="K353" s="737"/>
      <c r="L353" s="738"/>
      <c r="M353" s="737"/>
      <c r="N353" s="737"/>
      <c r="O353" s="737"/>
      <c r="P353" s="737"/>
      <c r="Q353" s="737"/>
      <c r="R353" s="737"/>
    </row>
    <row r="354" spans="1:18">
      <c r="A354" s="737"/>
      <c r="B354" s="737"/>
      <c r="C354" s="737"/>
      <c r="D354" s="737"/>
      <c r="E354" s="737"/>
      <c r="F354" s="737"/>
      <c r="G354" s="737"/>
      <c r="H354" s="737"/>
      <c r="I354" s="737"/>
      <c r="J354" s="737"/>
      <c r="K354" s="737"/>
      <c r="L354" s="738"/>
      <c r="M354" s="737"/>
      <c r="N354" s="737"/>
      <c r="O354" s="737"/>
      <c r="P354" s="737"/>
      <c r="Q354" s="737"/>
      <c r="R354" s="737"/>
    </row>
    <row r="355" spans="1:18">
      <c r="A355" s="737"/>
      <c r="B355" s="737"/>
      <c r="C355" s="737"/>
      <c r="D355" s="737"/>
      <c r="E355" s="737"/>
      <c r="F355" s="737"/>
      <c r="G355" s="737"/>
      <c r="H355" s="737"/>
      <c r="I355" s="737"/>
      <c r="J355" s="737"/>
      <c r="K355" s="737"/>
      <c r="L355" s="738"/>
      <c r="M355" s="737"/>
      <c r="N355" s="737"/>
      <c r="O355" s="737"/>
      <c r="P355" s="737"/>
      <c r="Q355" s="737"/>
      <c r="R355" s="737"/>
    </row>
    <row r="356" spans="1:18">
      <c r="A356" s="737"/>
      <c r="B356" s="737"/>
      <c r="C356" s="737"/>
      <c r="D356" s="737"/>
      <c r="E356" s="737"/>
      <c r="F356" s="737"/>
      <c r="G356" s="737"/>
      <c r="H356" s="737"/>
      <c r="I356" s="737"/>
      <c r="J356" s="737"/>
      <c r="K356" s="737"/>
      <c r="L356" s="738"/>
      <c r="M356" s="737"/>
      <c r="N356" s="737"/>
      <c r="O356" s="737"/>
      <c r="P356" s="737"/>
      <c r="Q356" s="737"/>
      <c r="R356" s="737"/>
    </row>
    <row r="357" spans="1:18">
      <c r="A357" s="737"/>
      <c r="B357" s="737"/>
      <c r="C357" s="737"/>
      <c r="D357" s="737"/>
      <c r="E357" s="737"/>
      <c r="F357" s="737"/>
      <c r="G357" s="737"/>
      <c r="H357" s="737"/>
      <c r="I357" s="737"/>
      <c r="J357" s="737"/>
      <c r="K357" s="737"/>
      <c r="L357" s="738"/>
      <c r="M357" s="737"/>
      <c r="N357" s="737"/>
      <c r="O357" s="737"/>
      <c r="P357" s="737"/>
      <c r="Q357" s="737"/>
      <c r="R357" s="737"/>
    </row>
    <row r="358" spans="1:18">
      <c r="A358" s="737"/>
      <c r="B358" s="737"/>
      <c r="C358" s="737"/>
      <c r="D358" s="737"/>
      <c r="E358" s="737"/>
      <c r="F358" s="737"/>
      <c r="G358" s="737"/>
      <c r="H358" s="737"/>
      <c r="I358" s="737"/>
      <c r="J358" s="737"/>
      <c r="K358" s="737"/>
      <c r="L358" s="738"/>
      <c r="M358" s="737"/>
      <c r="N358" s="737"/>
      <c r="O358" s="737"/>
      <c r="P358" s="737"/>
      <c r="Q358" s="737"/>
      <c r="R358" s="737"/>
    </row>
    <row r="359" spans="1:18">
      <c r="A359" s="737"/>
      <c r="B359" s="737"/>
      <c r="C359" s="737"/>
      <c r="D359" s="737"/>
      <c r="E359" s="737"/>
      <c r="F359" s="737"/>
      <c r="G359" s="737"/>
      <c r="H359" s="737"/>
      <c r="I359" s="737"/>
      <c r="J359" s="737"/>
      <c r="K359" s="737"/>
      <c r="L359" s="738"/>
      <c r="M359" s="737"/>
      <c r="N359" s="737"/>
      <c r="O359" s="737"/>
      <c r="P359" s="737"/>
      <c r="Q359" s="737"/>
      <c r="R359" s="737"/>
    </row>
    <row r="360" spans="1:18">
      <c r="A360" s="737"/>
      <c r="B360" s="737"/>
      <c r="C360" s="737"/>
      <c r="D360" s="737"/>
      <c r="E360" s="737"/>
      <c r="F360" s="737"/>
      <c r="G360" s="737"/>
      <c r="H360" s="737"/>
      <c r="I360" s="737"/>
      <c r="J360" s="737"/>
      <c r="K360" s="737"/>
      <c r="L360" s="738"/>
      <c r="M360" s="737"/>
      <c r="N360" s="737"/>
      <c r="O360" s="737"/>
      <c r="P360" s="737"/>
      <c r="Q360" s="737"/>
      <c r="R360" s="737"/>
    </row>
    <row r="361" spans="1:18">
      <c r="A361" s="737"/>
      <c r="B361" s="737"/>
      <c r="C361" s="737"/>
      <c r="D361" s="737"/>
      <c r="E361" s="737"/>
      <c r="F361" s="737"/>
      <c r="G361" s="737"/>
      <c r="H361" s="737"/>
      <c r="I361" s="737"/>
      <c r="J361" s="737"/>
      <c r="K361" s="737"/>
      <c r="L361" s="738"/>
      <c r="M361" s="737"/>
      <c r="N361" s="737"/>
      <c r="O361" s="737"/>
      <c r="P361" s="737"/>
      <c r="Q361" s="737"/>
      <c r="R361" s="737"/>
    </row>
    <row r="362" spans="1:18">
      <c r="A362" s="737"/>
      <c r="B362" s="737"/>
      <c r="C362" s="737"/>
      <c r="D362" s="737"/>
      <c r="E362" s="737"/>
      <c r="F362" s="737"/>
      <c r="G362" s="737"/>
      <c r="H362" s="737"/>
      <c r="I362" s="737"/>
      <c r="J362" s="737"/>
      <c r="K362" s="737"/>
      <c r="L362" s="738"/>
      <c r="M362" s="737"/>
      <c r="N362" s="737"/>
      <c r="O362" s="737"/>
      <c r="P362" s="737"/>
      <c r="Q362" s="737"/>
      <c r="R362" s="737"/>
    </row>
    <row r="363" spans="1:18">
      <c r="A363" s="737"/>
      <c r="B363" s="737"/>
      <c r="C363" s="737"/>
      <c r="D363" s="737"/>
      <c r="E363" s="737"/>
      <c r="F363" s="737"/>
      <c r="G363" s="737"/>
      <c r="H363" s="737"/>
      <c r="I363" s="737"/>
      <c r="J363" s="737"/>
      <c r="K363" s="737"/>
      <c r="L363" s="738"/>
      <c r="M363" s="737"/>
      <c r="N363" s="737"/>
      <c r="O363" s="737"/>
      <c r="P363" s="737"/>
      <c r="Q363" s="737"/>
      <c r="R363" s="737"/>
    </row>
    <row r="364" spans="1:18">
      <c r="A364" s="737"/>
      <c r="B364" s="737"/>
      <c r="C364" s="737"/>
      <c r="D364" s="737"/>
      <c r="E364" s="737"/>
      <c r="F364" s="737"/>
      <c r="G364" s="737"/>
      <c r="H364" s="737"/>
      <c r="I364" s="737"/>
      <c r="J364" s="737"/>
      <c r="K364" s="737"/>
      <c r="L364" s="738"/>
      <c r="M364" s="737"/>
      <c r="N364" s="737"/>
      <c r="O364" s="737"/>
      <c r="P364" s="737"/>
      <c r="Q364" s="737"/>
      <c r="R364" s="737"/>
    </row>
    <row r="365" spans="1:18">
      <c r="A365" s="737"/>
      <c r="B365" s="737"/>
      <c r="C365" s="737"/>
      <c r="D365" s="737"/>
      <c r="E365" s="737"/>
      <c r="F365" s="737"/>
      <c r="G365" s="737"/>
      <c r="H365" s="737"/>
      <c r="I365" s="737"/>
      <c r="J365" s="737"/>
      <c r="K365" s="737"/>
      <c r="L365" s="738"/>
      <c r="M365" s="737"/>
      <c r="N365" s="737"/>
      <c r="O365" s="737"/>
      <c r="P365" s="737"/>
      <c r="Q365" s="737"/>
      <c r="R365" s="737"/>
    </row>
    <row r="366" spans="1:18">
      <c r="A366" s="737"/>
      <c r="B366" s="737"/>
      <c r="C366" s="737"/>
      <c r="D366" s="737"/>
      <c r="E366" s="737"/>
      <c r="F366" s="737"/>
      <c r="G366" s="737"/>
      <c r="H366" s="737"/>
      <c r="I366" s="737"/>
      <c r="J366" s="737"/>
      <c r="K366" s="737"/>
      <c r="L366" s="738"/>
      <c r="M366" s="737"/>
      <c r="N366" s="737"/>
      <c r="O366" s="737"/>
      <c r="P366" s="737"/>
      <c r="Q366" s="737"/>
      <c r="R366" s="737"/>
    </row>
    <row r="367" spans="1:18">
      <c r="A367" s="737"/>
      <c r="B367" s="737"/>
      <c r="C367" s="737"/>
      <c r="D367" s="737"/>
      <c r="E367" s="737"/>
      <c r="F367" s="737"/>
      <c r="G367" s="737"/>
      <c r="H367" s="737"/>
      <c r="I367" s="737"/>
      <c r="J367" s="737"/>
      <c r="K367" s="737"/>
      <c r="L367" s="738"/>
      <c r="M367" s="737"/>
      <c r="N367" s="737"/>
      <c r="O367" s="737"/>
      <c r="P367" s="737"/>
      <c r="Q367" s="737"/>
      <c r="R367" s="737"/>
    </row>
    <row r="368" spans="1:18">
      <c r="A368" s="737"/>
      <c r="B368" s="737"/>
      <c r="C368" s="737"/>
      <c r="D368" s="737"/>
      <c r="E368" s="737"/>
      <c r="F368" s="737"/>
      <c r="G368" s="737"/>
      <c r="H368" s="737"/>
      <c r="I368" s="737"/>
      <c r="J368" s="737"/>
      <c r="K368" s="737"/>
      <c r="L368" s="738"/>
      <c r="M368" s="737"/>
      <c r="N368" s="737"/>
      <c r="O368" s="737"/>
      <c r="P368" s="737"/>
      <c r="Q368" s="737"/>
      <c r="R368" s="737"/>
    </row>
    <row r="369" spans="1:18">
      <c r="A369" s="737"/>
      <c r="B369" s="737"/>
      <c r="C369" s="737"/>
      <c r="D369" s="737"/>
      <c r="E369" s="737"/>
      <c r="F369" s="737"/>
      <c r="G369" s="737"/>
      <c r="H369" s="737"/>
      <c r="I369" s="737"/>
      <c r="J369" s="737"/>
      <c r="K369" s="737"/>
      <c r="L369" s="738"/>
      <c r="M369" s="737"/>
      <c r="N369" s="737"/>
      <c r="O369" s="737"/>
      <c r="P369" s="737"/>
      <c r="Q369" s="737"/>
      <c r="R369" s="737"/>
    </row>
    <row r="370" spans="1:18">
      <c r="A370" s="737"/>
      <c r="B370" s="737"/>
      <c r="C370" s="737"/>
      <c r="D370" s="737"/>
      <c r="E370" s="737"/>
      <c r="F370" s="737"/>
      <c r="G370" s="737"/>
      <c r="H370" s="737"/>
      <c r="I370" s="737"/>
      <c r="J370" s="737"/>
      <c r="K370" s="737"/>
      <c r="L370" s="738"/>
      <c r="M370" s="737"/>
      <c r="N370" s="737"/>
      <c r="O370" s="737"/>
      <c r="P370" s="737"/>
      <c r="Q370" s="737"/>
      <c r="R370" s="737"/>
    </row>
    <row r="371" spans="1:18">
      <c r="A371" s="737"/>
      <c r="B371" s="737"/>
      <c r="C371" s="737"/>
      <c r="D371" s="737"/>
      <c r="E371" s="737"/>
      <c r="F371" s="737"/>
      <c r="G371" s="737"/>
      <c r="H371" s="737"/>
      <c r="I371" s="737"/>
      <c r="J371" s="737"/>
      <c r="K371" s="737"/>
      <c r="L371" s="738"/>
      <c r="M371" s="737"/>
      <c r="N371" s="737"/>
      <c r="O371" s="737"/>
      <c r="P371" s="737"/>
      <c r="Q371" s="737"/>
      <c r="R371" s="737"/>
    </row>
    <row r="372" spans="1:18">
      <c r="A372" s="737"/>
      <c r="B372" s="737"/>
      <c r="C372" s="737"/>
      <c r="D372" s="737"/>
      <c r="E372" s="737"/>
      <c r="F372" s="737"/>
      <c r="G372" s="737"/>
      <c r="H372" s="737"/>
      <c r="I372" s="737"/>
      <c r="J372" s="737"/>
      <c r="K372" s="737"/>
      <c r="L372" s="738"/>
      <c r="M372" s="737"/>
      <c r="N372" s="737"/>
      <c r="O372" s="737"/>
      <c r="P372" s="737"/>
      <c r="Q372" s="737"/>
      <c r="R372" s="737"/>
    </row>
    <row r="373" spans="1:18">
      <c r="A373" s="737"/>
      <c r="B373" s="737"/>
      <c r="C373" s="737"/>
      <c r="D373" s="737"/>
      <c r="E373" s="737"/>
      <c r="F373" s="737"/>
      <c r="G373" s="737"/>
      <c r="H373" s="737"/>
      <c r="I373" s="737"/>
      <c r="J373" s="737"/>
      <c r="K373" s="737"/>
      <c r="L373" s="738"/>
      <c r="M373" s="737"/>
      <c r="N373" s="737"/>
      <c r="O373" s="737"/>
      <c r="P373" s="737"/>
      <c r="Q373" s="737"/>
      <c r="R373" s="737"/>
    </row>
    <row r="374" spans="1:18">
      <c r="A374" s="737"/>
      <c r="B374" s="737"/>
      <c r="C374" s="737"/>
      <c r="D374" s="737"/>
      <c r="E374" s="737"/>
      <c r="F374" s="737"/>
      <c r="G374" s="737"/>
      <c r="H374" s="737"/>
      <c r="I374" s="737"/>
      <c r="J374" s="737"/>
      <c r="K374" s="737"/>
      <c r="L374" s="738"/>
      <c r="M374" s="737"/>
      <c r="N374" s="737"/>
      <c r="O374" s="737"/>
      <c r="P374" s="737"/>
      <c r="Q374" s="737"/>
      <c r="R374" s="737"/>
    </row>
    <row r="375" spans="1:18">
      <c r="A375" s="737"/>
      <c r="B375" s="737"/>
      <c r="C375" s="737"/>
      <c r="D375" s="737"/>
      <c r="E375" s="737"/>
      <c r="F375" s="737"/>
      <c r="G375" s="737"/>
      <c r="H375" s="737"/>
      <c r="I375" s="737"/>
      <c r="J375" s="737"/>
      <c r="K375" s="737"/>
      <c r="L375" s="738"/>
      <c r="M375" s="737"/>
      <c r="N375" s="737"/>
      <c r="O375" s="737"/>
      <c r="P375" s="737"/>
      <c r="Q375" s="737"/>
      <c r="R375" s="737"/>
    </row>
    <row r="376" spans="1:18">
      <c r="A376" s="737"/>
      <c r="B376" s="737"/>
      <c r="C376" s="737"/>
      <c r="D376" s="737"/>
      <c r="E376" s="737"/>
      <c r="F376" s="737"/>
      <c r="G376" s="737"/>
      <c r="H376" s="737"/>
      <c r="I376" s="737"/>
      <c r="J376" s="737"/>
      <c r="K376" s="737"/>
      <c r="L376" s="738"/>
      <c r="M376" s="737"/>
      <c r="N376" s="737"/>
      <c r="O376" s="737"/>
      <c r="P376" s="737"/>
      <c r="Q376" s="737"/>
      <c r="R376" s="737"/>
    </row>
    <row r="377" spans="1:18">
      <c r="A377" s="737"/>
      <c r="B377" s="737"/>
      <c r="C377" s="737"/>
      <c r="D377" s="737"/>
      <c r="E377" s="737"/>
      <c r="F377" s="737"/>
      <c r="G377" s="737"/>
      <c r="H377" s="737"/>
      <c r="I377" s="737"/>
      <c r="J377" s="737"/>
      <c r="K377" s="737"/>
      <c r="L377" s="738"/>
      <c r="M377" s="737"/>
      <c r="N377" s="737"/>
      <c r="O377" s="737"/>
      <c r="P377" s="737"/>
      <c r="Q377" s="737"/>
      <c r="R377" s="737"/>
    </row>
    <row r="378" spans="1:18">
      <c r="A378" s="737"/>
      <c r="B378" s="737"/>
      <c r="C378" s="737"/>
      <c r="D378" s="737"/>
      <c r="E378" s="737"/>
      <c r="F378" s="737"/>
      <c r="G378" s="737"/>
      <c r="H378" s="737"/>
      <c r="I378" s="737"/>
      <c r="J378" s="737"/>
      <c r="K378" s="737"/>
      <c r="L378" s="738"/>
      <c r="M378" s="737"/>
      <c r="N378" s="737"/>
      <c r="O378" s="737"/>
      <c r="P378" s="737"/>
      <c r="Q378" s="737"/>
      <c r="R378" s="737"/>
    </row>
    <row r="379" spans="1:18">
      <c r="A379" s="737"/>
      <c r="B379" s="737"/>
      <c r="C379" s="737"/>
      <c r="D379" s="737"/>
      <c r="E379" s="737"/>
      <c r="F379" s="737"/>
      <c r="G379" s="737"/>
      <c r="H379" s="737"/>
      <c r="I379" s="737"/>
      <c r="J379" s="737"/>
      <c r="K379" s="737"/>
      <c r="L379" s="738"/>
      <c r="M379" s="737"/>
      <c r="N379" s="737"/>
      <c r="O379" s="737"/>
      <c r="P379" s="737"/>
      <c r="Q379" s="737"/>
      <c r="R379" s="737"/>
    </row>
    <row r="380" spans="1:18">
      <c r="A380" s="737"/>
      <c r="B380" s="737"/>
      <c r="C380" s="737"/>
      <c r="D380" s="737"/>
      <c r="E380" s="737"/>
      <c r="F380" s="737"/>
      <c r="G380" s="737"/>
      <c r="H380" s="737"/>
      <c r="I380" s="737"/>
      <c r="J380" s="737"/>
      <c r="K380" s="737"/>
      <c r="L380" s="738"/>
      <c r="M380" s="737"/>
      <c r="N380" s="737"/>
      <c r="O380" s="737"/>
      <c r="P380" s="737"/>
      <c r="Q380" s="737"/>
      <c r="R380" s="737"/>
    </row>
    <row r="381" spans="1:18">
      <c r="A381" s="737"/>
      <c r="B381" s="737"/>
      <c r="C381" s="737"/>
      <c r="D381" s="737"/>
      <c r="E381" s="737"/>
      <c r="F381" s="737"/>
      <c r="G381" s="737"/>
      <c r="H381" s="737"/>
      <c r="I381" s="737"/>
      <c r="J381" s="737"/>
      <c r="K381" s="737"/>
      <c r="L381" s="738"/>
      <c r="M381" s="737"/>
      <c r="N381" s="737"/>
      <c r="O381" s="737"/>
      <c r="P381" s="737"/>
      <c r="Q381" s="737"/>
      <c r="R381" s="737"/>
    </row>
    <row r="382" spans="1:18">
      <c r="A382" s="737"/>
      <c r="B382" s="737"/>
      <c r="C382" s="737"/>
      <c r="D382" s="737"/>
      <c r="E382" s="737"/>
      <c r="F382" s="737"/>
      <c r="G382" s="737"/>
      <c r="H382" s="737"/>
      <c r="I382" s="737"/>
      <c r="J382" s="737"/>
      <c r="K382" s="737"/>
      <c r="L382" s="738"/>
      <c r="M382" s="737"/>
      <c r="N382" s="737"/>
      <c r="O382" s="737"/>
      <c r="P382" s="737"/>
      <c r="Q382" s="737"/>
      <c r="R382" s="737"/>
    </row>
    <row r="383" spans="1:18">
      <c r="A383" s="737"/>
      <c r="B383" s="737"/>
      <c r="C383" s="737"/>
      <c r="D383" s="737"/>
      <c r="E383" s="737"/>
      <c r="F383" s="737"/>
      <c r="G383" s="737"/>
      <c r="H383" s="737"/>
      <c r="I383" s="737"/>
      <c r="J383" s="737"/>
      <c r="K383" s="737"/>
      <c r="L383" s="738"/>
      <c r="M383" s="737"/>
      <c r="N383" s="737"/>
      <c r="O383" s="737"/>
      <c r="P383" s="737"/>
      <c r="Q383" s="737"/>
      <c r="R383" s="737"/>
    </row>
    <row r="384" spans="1:18">
      <c r="A384" s="737"/>
      <c r="B384" s="737"/>
      <c r="C384" s="737"/>
      <c r="D384" s="737"/>
      <c r="E384" s="737"/>
      <c r="F384" s="737"/>
      <c r="G384" s="737"/>
      <c r="H384" s="737"/>
      <c r="I384" s="737"/>
      <c r="J384" s="737"/>
      <c r="K384" s="737"/>
      <c r="L384" s="738"/>
      <c r="M384" s="737"/>
      <c r="N384" s="737"/>
      <c r="O384" s="737"/>
      <c r="P384" s="737"/>
      <c r="Q384" s="737"/>
      <c r="R384" s="737"/>
    </row>
    <row r="385" spans="1:18">
      <c r="A385" s="737"/>
      <c r="B385" s="737"/>
      <c r="C385" s="737"/>
      <c r="D385" s="737"/>
      <c r="E385" s="737"/>
      <c r="F385" s="737"/>
      <c r="G385" s="737"/>
      <c r="H385" s="737"/>
      <c r="I385" s="737"/>
      <c r="J385" s="737"/>
      <c r="K385" s="737"/>
      <c r="L385" s="738"/>
      <c r="M385" s="737"/>
      <c r="N385" s="737"/>
      <c r="O385" s="737"/>
      <c r="P385" s="737"/>
      <c r="Q385" s="737"/>
      <c r="R385" s="737"/>
    </row>
    <row r="386" spans="1:18">
      <c r="A386" s="737"/>
      <c r="B386" s="737"/>
      <c r="C386" s="737"/>
      <c r="D386" s="737"/>
      <c r="E386" s="737"/>
      <c r="F386" s="737"/>
      <c r="G386" s="737"/>
      <c r="H386" s="737"/>
      <c r="I386" s="737"/>
      <c r="J386" s="737"/>
      <c r="K386" s="737"/>
      <c r="L386" s="738"/>
      <c r="M386" s="737"/>
      <c r="N386" s="737"/>
      <c r="O386" s="737"/>
      <c r="P386" s="737"/>
      <c r="Q386" s="737"/>
      <c r="R386" s="737"/>
    </row>
    <row r="387" spans="1:18">
      <c r="A387" s="737"/>
      <c r="B387" s="737"/>
      <c r="C387" s="737"/>
      <c r="D387" s="737"/>
      <c r="E387" s="737"/>
      <c r="F387" s="737"/>
      <c r="G387" s="737"/>
      <c r="H387" s="737"/>
      <c r="I387" s="737"/>
      <c r="J387" s="737"/>
      <c r="K387" s="737"/>
      <c r="L387" s="738"/>
      <c r="M387" s="737"/>
      <c r="N387" s="737"/>
      <c r="O387" s="737"/>
      <c r="P387" s="737"/>
      <c r="Q387" s="737"/>
      <c r="R387" s="737"/>
    </row>
    <row r="388" spans="1:18">
      <c r="A388" s="737"/>
      <c r="B388" s="737"/>
      <c r="C388" s="737"/>
      <c r="D388" s="737"/>
      <c r="E388" s="737"/>
      <c r="F388" s="737"/>
      <c r="G388" s="737"/>
      <c r="H388" s="737"/>
      <c r="I388" s="737"/>
      <c r="J388" s="737"/>
      <c r="K388" s="737"/>
      <c r="L388" s="738"/>
      <c r="M388" s="737"/>
      <c r="N388" s="737"/>
      <c r="O388" s="737"/>
      <c r="P388" s="737"/>
      <c r="Q388" s="737"/>
      <c r="R388" s="737"/>
    </row>
    <row r="389" spans="1:18">
      <c r="A389" s="737"/>
      <c r="B389" s="737"/>
      <c r="C389" s="737"/>
      <c r="D389" s="737"/>
      <c r="E389" s="737"/>
      <c r="F389" s="737"/>
      <c r="G389" s="737"/>
      <c r="H389" s="737"/>
      <c r="I389" s="737"/>
      <c r="J389" s="737"/>
      <c r="K389" s="737"/>
      <c r="L389" s="738"/>
      <c r="M389" s="737"/>
      <c r="N389" s="737"/>
      <c r="O389" s="737"/>
      <c r="P389" s="737"/>
      <c r="Q389" s="737"/>
      <c r="R389" s="737"/>
    </row>
    <row r="390" spans="1:18">
      <c r="A390" s="737"/>
      <c r="B390" s="737"/>
      <c r="C390" s="737"/>
      <c r="D390" s="737"/>
      <c r="E390" s="737"/>
      <c r="F390" s="737"/>
      <c r="G390" s="737"/>
      <c r="H390" s="737"/>
      <c r="I390" s="737"/>
      <c r="J390" s="737"/>
      <c r="K390" s="737"/>
      <c r="L390" s="738"/>
      <c r="M390" s="737"/>
      <c r="N390" s="737"/>
      <c r="O390" s="737"/>
      <c r="P390" s="737"/>
      <c r="Q390" s="737"/>
      <c r="R390" s="737"/>
    </row>
    <row r="391" spans="1:18">
      <c r="A391" s="737"/>
      <c r="B391" s="737"/>
      <c r="C391" s="737"/>
      <c r="D391" s="737"/>
      <c r="E391" s="737"/>
      <c r="F391" s="737"/>
      <c r="G391" s="737"/>
      <c r="H391" s="737"/>
      <c r="I391" s="737"/>
      <c r="J391" s="737"/>
      <c r="K391" s="737"/>
      <c r="L391" s="738"/>
      <c r="M391" s="737"/>
      <c r="N391" s="737"/>
      <c r="O391" s="737"/>
      <c r="P391" s="737"/>
      <c r="Q391" s="737"/>
      <c r="R391" s="737"/>
    </row>
    <row r="392" spans="1:18">
      <c r="A392" s="737"/>
      <c r="B392" s="737"/>
      <c r="C392" s="737"/>
      <c r="D392" s="737"/>
      <c r="E392" s="737"/>
      <c r="F392" s="737"/>
      <c r="G392" s="737"/>
      <c r="H392" s="737"/>
      <c r="I392" s="737"/>
      <c r="J392" s="737"/>
      <c r="K392" s="737"/>
      <c r="L392" s="738"/>
      <c r="M392" s="737"/>
      <c r="N392" s="737"/>
      <c r="O392" s="737"/>
      <c r="P392" s="737"/>
      <c r="Q392" s="737"/>
      <c r="R392" s="737"/>
    </row>
    <row r="393" spans="1:18">
      <c r="A393" s="737"/>
      <c r="B393" s="737"/>
      <c r="C393" s="737"/>
      <c r="D393" s="737"/>
      <c r="E393" s="737"/>
      <c r="F393" s="737"/>
      <c r="G393" s="737"/>
      <c r="H393" s="737"/>
      <c r="I393" s="737"/>
      <c r="J393" s="737"/>
      <c r="K393" s="737"/>
      <c r="L393" s="738"/>
      <c r="M393" s="737"/>
      <c r="N393" s="737"/>
      <c r="O393" s="737"/>
      <c r="P393" s="737"/>
      <c r="Q393" s="737"/>
      <c r="R393" s="737"/>
    </row>
    <row r="394" spans="1:18">
      <c r="A394" s="737"/>
      <c r="B394" s="737"/>
      <c r="C394" s="737"/>
      <c r="D394" s="737"/>
      <c r="E394" s="737"/>
      <c r="F394" s="737"/>
      <c r="G394" s="737"/>
      <c r="H394" s="737"/>
      <c r="I394" s="737"/>
      <c r="J394" s="737"/>
      <c r="K394" s="737"/>
      <c r="L394" s="738"/>
      <c r="M394" s="737"/>
      <c r="N394" s="737"/>
      <c r="O394" s="737"/>
      <c r="P394" s="737"/>
      <c r="Q394" s="737"/>
      <c r="R394" s="737"/>
    </row>
    <row r="395" spans="1:18">
      <c r="A395" s="737"/>
      <c r="B395" s="737"/>
      <c r="C395" s="737"/>
      <c r="D395" s="737"/>
      <c r="E395" s="737"/>
      <c r="F395" s="737"/>
      <c r="G395" s="737"/>
      <c r="H395" s="737"/>
      <c r="I395" s="737"/>
      <c r="J395" s="737"/>
      <c r="K395" s="737"/>
      <c r="L395" s="738"/>
      <c r="M395" s="737"/>
      <c r="N395" s="737"/>
      <c r="O395" s="737"/>
      <c r="P395" s="737"/>
      <c r="Q395" s="737"/>
      <c r="R395" s="737"/>
    </row>
    <row r="396" spans="1:18">
      <c r="A396" s="737"/>
      <c r="B396" s="737"/>
      <c r="C396" s="737"/>
      <c r="D396" s="737"/>
      <c r="E396" s="737"/>
      <c r="F396" s="737"/>
      <c r="G396" s="737"/>
      <c r="H396" s="737"/>
      <c r="I396" s="737"/>
      <c r="J396" s="737"/>
      <c r="K396" s="737"/>
      <c r="L396" s="738"/>
      <c r="M396" s="737"/>
      <c r="N396" s="737"/>
      <c r="O396" s="737"/>
      <c r="P396" s="737"/>
      <c r="Q396" s="737"/>
      <c r="R396" s="737"/>
    </row>
    <row r="397" spans="1:18">
      <c r="A397" s="737"/>
      <c r="B397" s="737"/>
      <c r="C397" s="737"/>
      <c r="D397" s="737"/>
      <c r="E397" s="737"/>
      <c r="F397" s="737"/>
      <c r="G397" s="737"/>
      <c r="H397" s="737"/>
      <c r="I397" s="737"/>
      <c r="J397" s="737"/>
      <c r="K397" s="737"/>
      <c r="L397" s="738"/>
      <c r="M397" s="737"/>
      <c r="N397" s="737"/>
      <c r="O397" s="737"/>
      <c r="P397" s="737"/>
      <c r="Q397" s="737"/>
      <c r="R397" s="737"/>
    </row>
    <row r="398" spans="1:18">
      <c r="A398" s="737"/>
      <c r="B398" s="737"/>
      <c r="C398" s="737"/>
      <c r="D398" s="737"/>
      <c r="E398" s="737"/>
      <c r="F398" s="737"/>
      <c r="G398" s="737"/>
      <c r="H398" s="737"/>
      <c r="I398" s="737"/>
      <c r="J398" s="737"/>
      <c r="K398" s="737"/>
      <c r="L398" s="738"/>
      <c r="M398" s="737"/>
      <c r="N398" s="737"/>
      <c r="O398" s="737"/>
      <c r="P398" s="737"/>
      <c r="Q398" s="737"/>
      <c r="R398" s="737"/>
    </row>
    <row r="399" spans="1:18">
      <c r="A399" s="737"/>
      <c r="B399" s="737"/>
      <c r="C399" s="737"/>
      <c r="D399" s="737"/>
      <c r="E399" s="737"/>
      <c r="F399" s="737"/>
      <c r="G399" s="737"/>
      <c r="H399" s="737"/>
      <c r="I399" s="737"/>
      <c r="J399" s="737"/>
      <c r="K399" s="737"/>
      <c r="L399" s="738"/>
      <c r="M399" s="737"/>
      <c r="N399" s="737"/>
      <c r="O399" s="737"/>
      <c r="P399" s="737"/>
      <c r="Q399" s="737"/>
      <c r="R399" s="737"/>
    </row>
    <row r="400" spans="1:18">
      <c r="A400" s="737"/>
      <c r="B400" s="737"/>
      <c r="C400" s="737"/>
      <c r="D400" s="737"/>
      <c r="E400" s="737"/>
      <c r="F400" s="737"/>
      <c r="G400" s="737"/>
      <c r="H400" s="737"/>
      <c r="I400" s="737"/>
      <c r="J400" s="737"/>
      <c r="K400" s="737"/>
      <c r="L400" s="738"/>
      <c r="M400" s="737"/>
      <c r="N400" s="737"/>
      <c r="O400" s="737"/>
      <c r="P400" s="737"/>
      <c r="Q400" s="737"/>
      <c r="R400" s="737"/>
    </row>
    <row r="401" spans="1:18">
      <c r="A401" s="737"/>
      <c r="B401" s="737"/>
      <c r="C401" s="737"/>
      <c r="D401" s="737"/>
      <c r="E401" s="737"/>
      <c r="F401" s="737"/>
      <c r="G401" s="737"/>
      <c r="H401" s="737"/>
      <c r="I401" s="737"/>
      <c r="J401" s="737"/>
      <c r="K401" s="737"/>
      <c r="L401" s="738"/>
      <c r="M401" s="737"/>
      <c r="N401" s="737"/>
      <c r="O401" s="737"/>
      <c r="P401" s="737"/>
      <c r="Q401" s="737"/>
      <c r="R401" s="737"/>
    </row>
    <row r="402" spans="1:18">
      <c r="A402" s="737"/>
      <c r="B402" s="737"/>
      <c r="C402" s="737"/>
      <c r="D402" s="737"/>
      <c r="E402" s="737"/>
      <c r="F402" s="737"/>
      <c r="G402" s="737"/>
      <c r="H402" s="737"/>
      <c r="I402" s="737"/>
      <c r="J402" s="737"/>
      <c r="K402" s="737"/>
      <c r="L402" s="738"/>
      <c r="M402" s="737"/>
      <c r="N402" s="737"/>
      <c r="O402" s="737"/>
      <c r="P402" s="737"/>
      <c r="Q402" s="737"/>
      <c r="R402" s="737"/>
    </row>
    <row r="403" spans="1:18">
      <c r="A403" s="737"/>
      <c r="B403" s="737"/>
      <c r="C403" s="737"/>
      <c r="D403" s="737"/>
      <c r="E403" s="737"/>
      <c r="F403" s="737"/>
      <c r="G403" s="737"/>
      <c r="H403" s="737"/>
      <c r="I403" s="737"/>
      <c r="J403" s="737"/>
      <c r="K403" s="737"/>
      <c r="L403" s="738"/>
      <c r="M403" s="737"/>
      <c r="N403" s="737"/>
      <c r="O403" s="737"/>
      <c r="P403" s="737"/>
      <c r="Q403" s="737"/>
      <c r="R403" s="737"/>
    </row>
    <row r="404" spans="1:18">
      <c r="A404" s="737"/>
      <c r="B404" s="737"/>
      <c r="C404" s="737"/>
      <c r="D404" s="737"/>
      <c r="E404" s="737"/>
      <c r="F404" s="737"/>
      <c r="G404" s="737"/>
      <c r="H404" s="737"/>
      <c r="I404" s="737"/>
      <c r="J404" s="737"/>
      <c r="K404" s="737"/>
      <c r="L404" s="738"/>
      <c r="M404" s="737"/>
      <c r="N404" s="737"/>
      <c r="O404" s="737"/>
      <c r="P404" s="737"/>
      <c r="Q404" s="737"/>
      <c r="R404" s="737"/>
    </row>
    <row r="405" spans="1:18">
      <c r="A405" s="737"/>
      <c r="B405" s="737"/>
      <c r="C405" s="737"/>
      <c r="D405" s="737"/>
      <c r="E405" s="737"/>
      <c r="F405" s="737"/>
      <c r="G405" s="737"/>
      <c r="H405" s="737"/>
      <c r="I405" s="737"/>
      <c r="J405" s="737"/>
      <c r="K405" s="737"/>
      <c r="L405" s="738"/>
      <c r="M405" s="737"/>
      <c r="N405" s="737"/>
      <c r="O405" s="737"/>
      <c r="P405" s="737"/>
      <c r="Q405" s="737"/>
      <c r="R405" s="737"/>
    </row>
    <row r="406" spans="1:18">
      <c r="A406" s="737"/>
      <c r="B406" s="737"/>
      <c r="C406" s="737"/>
      <c r="D406" s="737"/>
      <c r="E406" s="737"/>
      <c r="F406" s="737"/>
      <c r="G406" s="737"/>
      <c r="H406" s="737"/>
      <c r="I406" s="737"/>
      <c r="J406" s="737"/>
      <c r="K406" s="737"/>
      <c r="L406" s="738"/>
      <c r="M406" s="737"/>
      <c r="N406" s="737"/>
      <c r="O406" s="737"/>
      <c r="P406" s="737"/>
      <c r="Q406" s="737"/>
      <c r="R406" s="737"/>
    </row>
    <row r="407" spans="1:18">
      <c r="A407" s="737"/>
      <c r="B407" s="737"/>
      <c r="C407" s="737"/>
      <c r="D407" s="737"/>
      <c r="E407" s="737"/>
      <c r="F407" s="737"/>
      <c r="G407" s="737"/>
      <c r="H407" s="737"/>
      <c r="I407" s="737"/>
      <c r="J407" s="737"/>
      <c r="K407" s="737"/>
      <c r="L407" s="738"/>
      <c r="M407" s="737"/>
      <c r="N407" s="737"/>
      <c r="O407" s="737"/>
      <c r="P407" s="737"/>
      <c r="Q407" s="737"/>
      <c r="R407" s="737"/>
    </row>
    <row r="408" spans="1:18">
      <c r="A408" s="737"/>
      <c r="B408" s="737"/>
      <c r="C408" s="737"/>
      <c r="D408" s="737"/>
      <c r="E408" s="737"/>
      <c r="F408" s="737"/>
      <c r="G408" s="737"/>
      <c r="H408" s="737"/>
      <c r="I408" s="737"/>
      <c r="J408" s="737"/>
      <c r="K408" s="737"/>
      <c r="L408" s="738"/>
      <c r="M408" s="737"/>
      <c r="N408" s="737"/>
      <c r="O408" s="737"/>
      <c r="P408" s="737"/>
      <c r="Q408" s="737"/>
      <c r="R408" s="737"/>
    </row>
    <row r="409" spans="1:18">
      <c r="A409" s="737"/>
      <c r="B409" s="737"/>
      <c r="C409" s="737"/>
      <c r="D409" s="737"/>
      <c r="E409" s="737"/>
      <c r="F409" s="737"/>
      <c r="G409" s="737"/>
      <c r="H409" s="737"/>
      <c r="I409" s="737"/>
      <c r="J409" s="737"/>
      <c r="K409" s="737"/>
      <c r="L409" s="738"/>
      <c r="M409" s="737"/>
      <c r="N409" s="737"/>
      <c r="O409" s="737"/>
      <c r="P409" s="737"/>
      <c r="Q409" s="737"/>
      <c r="R409" s="737"/>
    </row>
    <row r="410" spans="1:18">
      <c r="A410" s="737"/>
      <c r="B410" s="737"/>
      <c r="C410" s="737"/>
      <c r="D410" s="737"/>
      <c r="E410" s="737"/>
      <c r="F410" s="737"/>
      <c r="G410" s="737"/>
      <c r="H410" s="737"/>
      <c r="I410" s="737"/>
      <c r="J410" s="737"/>
      <c r="K410" s="737"/>
      <c r="L410" s="738"/>
      <c r="M410" s="737"/>
      <c r="N410" s="737"/>
      <c r="O410" s="737"/>
      <c r="P410" s="737"/>
      <c r="Q410" s="737"/>
      <c r="R410" s="737"/>
    </row>
    <row r="411" spans="1:18">
      <c r="A411" s="737"/>
      <c r="B411" s="737"/>
      <c r="C411" s="737"/>
      <c r="D411" s="737"/>
      <c r="E411" s="737"/>
      <c r="F411" s="737"/>
      <c r="G411" s="737"/>
      <c r="H411" s="737"/>
      <c r="I411" s="737"/>
      <c r="J411" s="737"/>
      <c r="K411" s="737"/>
      <c r="L411" s="738"/>
      <c r="M411" s="737"/>
      <c r="N411" s="737"/>
      <c r="O411" s="737"/>
      <c r="P411" s="737"/>
      <c r="Q411" s="737"/>
      <c r="R411" s="737"/>
    </row>
    <row r="412" spans="1:18">
      <c r="A412" s="737"/>
      <c r="B412" s="737"/>
      <c r="C412" s="737"/>
      <c r="D412" s="737"/>
      <c r="E412" s="737"/>
      <c r="F412" s="737"/>
      <c r="G412" s="737"/>
      <c r="H412" s="737"/>
      <c r="I412" s="737"/>
      <c r="J412" s="737"/>
      <c r="K412" s="737"/>
      <c r="L412" s="738"/>
      <c r="M412" s="737"/>
      <c r="N412" s="737"/>
      <c r="O412" s="737"/>
      <c r="P412" s="737"/>
      <c r="Q412" s="737"/>
      <c r="R412" s="737"/>
    </row>
    <row r="413" spans="1:18">
      <c r="A413" s="737"/>
      <c r="B413" s="737"/>
      <c r="C413" s="737"/>
      <c r="D413" s="737"/>
      <c r="E413" s="737"/>
      <c r="F413" s="737"/>
      <c r="G413" s="737"/>
      <c r="H413" s="737"/>
      <c r="I413" s="737"/>
      <c r="J413" s="737"/>
      <c r="K413" s="737"/>
      <c r="L413" s="738"/>
      <c r="M413" s="737"/>
      <c r="N413" s="737"/>
      <c r="O413" s="737"/>
      <c r="P413" s="737"/>
      <c r="Q413" s="737"/>
      <c r="R413" s="737"/>
    </row>
    <row r="414" spans="1:18">
      <c r="A414" s="737"/>
      <c r="B414" s="737"/>
      <c r="C414" s="737"/>
      <c r="D414" s="737"/>
      <c r="E414" s="737"/>
      <c r="F414" s="737"/>
      <c r="G414" s="737"/>
      <c r="H414" s="737"/>
      <c r="I414" s="737"/>
      <c r="J414" s="737"/>
      <c r="K414" s="737"/>
      <c r="L414" s="738"/>
      <c r="M414" s="737"/>
      <c r="N414" s="737"/>
      <c r="O414" s="737"/>
      <c r="P414" s="737"/>
      <c r="Q414" s="737"/>
      <c r="R414" s="737"/>
    </row>
    <row r="415" spans="1:18">
      <c r="A415" s="737"/>
      <c r="B415" s="737"/>
      <c r="C415" s="737"/>
      <c r="D415" s="737"/>
      <c r="E415" s="737"/>
      <c r="F415" s="737"/>
      <c r="G415" s="737"/>
      <c r="H415" s="737"/>
      <c r="I415" s="737"/>
      <c r="J415" s="737"/>
      <c r="K415" s="737"/>
      <c r="L415" s="738"/>
      <c r="M415" s="737"/>
      <c r="N415" s="737"/>
      <c r="O415" s="737"/>
      <c r="P415" s="737"/>
      <c r="Q415" s="737"/>
      <c r="R415" s="737"/>
    </row>
    <row r="416" spans="1:18">
      <c r="A416" s="737"/>
      <c r="B416" s="737"/>
      <c r="C416" s="737"/>
      <c r="D416" s="737"/>
      <c r="E416" s="737"/>
      <c r="F416" s="737"/>
      <c r="G416" s="737"/>
      <c r="H416" s="737"/>
      <c r="I416" s="737"/>
      <c r="J416" s="737"/>
      <c r="K416" s="737"/>
      <c r="L416" s="738"/>
      <c r="M416" s="737"/>
      <c r="N416" s="737"/>
      <c r="O416" s="737"/>
      <c r="P416" s="737"/>
      <c r="Q416" s="737"/>
      <c r="R416" s="737"/>
    </row>
    <row r="417" spans="1:18">
      <c r="A417" s="737"/>
      <c r="B417" s="737"/>
      <c r="C417" s="737"/>
      <c r="D417" s="737"/>
      <c r="E417" s="737"/>
      <c r="F417" s="737"/>
      <c r="G417" s="737"/>
      <c r="H417" s="737"/>
      <c r="I417" s="737"/>
      <c r="J417" s="737"/>
      <c r="K417" s="737"/>
      <c r="L417" s="738"/>
      <c r="M417" s="737"/>
      <c r="N417" s="737"/>
      <c r="O417" s="737"/>
      <c r="P417" s="737"/>
      <c r="Q417" s="737"/>
      <c r="R417" s="737"/>
    </row>
    <row r="418" spans="1:18">
      <c r="A418" s="737"/>
      <c r="B418" s="737"/>
      <c r="C418" s="737"/>
      <c r="D418" s="737"/>
      <c r="E418" s="737"/>
      <c r="F418" s="737"/>
      <c r="G418" s="737"/>
      <c r="H418" s="737"/>
      <c r="I418" s="737"/>
      <c r="J418" s="737"/>
      <c r="K418" s="737"/>
      <c r="L418" s="738"/>
      <c r="M418" s="737"/>
      <c r="N418" s="737"/>
      <c r="O418" s="737"/>
      <c r="P418" s="737"/>
      <c r="Q418" s="737"/>
      <c r="R418" s="737"/>
    </row>
    <row r="419" spans="1:18">
      <c r="A419" s="737"/>
      <c r="B419" s="737"/>
      <c r="C419" s="737"/>
      <c r="D419" s="737"/>
      <c r="E419" s="737"/>
      <c r="F419" s="737"/>
      <c r="G419" s="737"/>
      <c r="H419" s="737"/>
      <c r="I419" s="737"/>
      <c r="J419" s="737"/>
      <c r="K419" s="737"/>
      <c r="L419" s="738"/>
      <c r="M419" s="737"/>
      <c r="N419" s="737"/>
      <c r="O419" s="737"/>
      <c r="P419" s="737"/>
      <c r="Q419" s="737"/>
      <c r="R419" s="737"/>
    </row>
    <row r="420" spans="1:18">
      <c r="A420" s="737"/>
      <c r="B420" s="737"/>
      <c r="C420" s="737"/>
      <c r="D420" s="737"/>
      <c r="E420" s="737"/>
      <c r="F420" s="737"/>
      <c r="G420" s="737"/>
      <c r="H420" s="737"/>
      <c r="I420" s="737"/>
      <c r="J420" s="737"/>
      <c r="K420" s="737"/>
      <c r="L420" s="738"/>
      <c r="M420" s="737"/>
      <c r="N420" s="737"/>
      <c r="O420" s="737"/>
      <c r="P420" s="737"/>
      <c r="Q420" s="737"/>
      <c r="R420" s="737"/>
    </row>
    <row r="421" spans="1:18">
      <c r="A421" s="737"/>
      <c r="B421" s="737"/>
      <c r="C421" s="737"/>
      <c r="D421" s="737"/>
      <c r="E421" s="737"/>
      <c r="F421" s="737"/>
      <c r="G421" s="737"/>
      <c r="H421" s="737"/>
      <c r="I421" s="737"/>
      <c r="J421" s="737"/>
      <c r="K421" s="737"/>
      <c r="L421" s="738"/>
      <c r="M421" s="737"/>
      <c r="N421" s="737"/>
      <c r="O421" s="737"/>
      <c r="P421" s="737"/>
      <c r="Q421" s="737"/>
      <c r="R421" s="737"/>
    </row>
    <row r="422" spans="1:18">
      <c r="A422" s="737"/>
      <c r="B422" s="737"/>
      <c r="C422" s="737"/>
      <c r="D422" s="737"/>
      <c r="E422" s="737"/>
      <c r="F422" s="737"/>
      <c r="G422" s="737"/>
      <c r="H422" s="737"/>
      <c r="I422" s="737"/>
      <c r="J422" s="737"/>
      <c r="K422" s="737"/>
      <c r="L422" s="738"/>
      <c r="M422" s="737"/>
      <c r="N422" s="737"/>
      <c r="O422" s="737"/>
      <c r="P422" s="737"/>
      <c r="Q422" s="737"/>
      <c r="R422" s="737"/>
    </row>
    <row r="423" spans="1:18">
      <c r="A423" s="737"/>
      <c r="B423" s="737"/>
      <c r="C423" s="737"/>
      <c r="D423" s="737"/>
      <c r="E423" s="737"/>
      <c r="F423" s="737"/>
      <c r="G423" s="737"/>
      <c r="H423" s="737"/>
      <c r="I423" s="737"/>
      <c r="J423" s="737"/>
      <c r="K423" s="737"/>
      <c r="L423" s="738"/>
      <c r="M423" s="737"/>
      <c r="N423" s="737"/>
      <c r="O423" s="737"/>
      <c r="P423" s="737"/>
      <c r="Q423" s="737"/>
      <c r="R423" s="737"/>
    </row>
    <row r="424" spans="1:18">
      <c r="A424" s="737"/>
      <c r="B424" s="737"/>
      <c r="C424" s="737"/>
      <c r="D424" s="737"/>
      <c r="E424" s="737"/>
      <c r="F424" s="737"/>
      <c r="G424" s="737"/>
      <c r="H424" s="737"/>
      <c r="I424" s="737"/>
      <c r="J424" s="737"/>
      <c r="K424" s="737"/>
      <c r="L424" s="738"/>
      <c r="M424" s="737"/>
      <c r="N424" s="737"/>
      <c r="O424" s="737"/>
      <c r="P424" s="737"/>
      <c r="Q424" s="737"/>
      <c r="R424" s="737"/>
    </row>
    <row r="425" spans="1:18">
      <c r="A425" s="737"/>
      <c r="B425" s="737"/>
      <c r="C425" s="737"/>
      <c r="D425" s="737"/>
      <c r="E425" s="737"/>
      <c r="F425" s="737"/>
      <c r="G425" s="737"/>
      <c r="H425" s="737"/>
      <c r="I425" s="737"/>
      <c r="J425" s="737"/>
      <c r="K425" s="737"/>
      <c r="L425" s="738"/>
      <c r="M425" s="737"/>
      <c r="N425" s="737"/>
      <c r="O425" s="737"/>
      <c r="P425" s="737"/>
      <c r="Q425" s="737"/>
      <c r="R425" s="737"/>
    </row>
    <row r="426" spans="1:18">
      <c r="A426" s="737"/>
      <c r="B426" s="737"/>
      <c r="C426" s="737"/>
      <c r="D426" s="737"/>
      <c r="E426" s="737"/>
      <c r="F426" s="737"/>
      <c r="G426" s="737"/>
      <c r="H426" s="737"/>
      <c r="I426" s="737"/>
      <c r="J426" s="737"/>
      <c r="K426" s="737"/>
      <c r="L426" s="738"/>
      <c r="M426" s="737"/>
      <c r="N426" s="737"/>
      <c r="O426" s="737"/>
      <c r="P426" s="737"/>
      <c r="Q426" s="737"/>
      <c r="R426" s="737"/>
    </row>
    <row r="427" spans="1:18">
      <c r="A427" s="737"/>
      <c r="B427" s="737"/>
      <c r="C427" s="737"/>
      <c r="D427" s="737"/>
      <c r="E427" s="737"/>
      <c r="F427" s="737"/>
      <c r="G427" s="737"/>
      <c r="H427" s="737"/>
      <c r="I427" s="737"/>
      <c r="J427" s="737"/>
      <c r="K427" s="737"/>
      <c r="L427" s="738"/>
      <c r="M427" s="737"/>
      <c r="N427" s="737"/>
      <c r="O427" s="737"/>
      <c r="P427" s="737"/>
      <c r="Q427" s="737"/>
      <c r="R427" s="737"/>
    </row>
    <row r="428" spans="1:18">
      <c r="A428" s="737"/>
      <c r="B428" s="737"/>
      <c r="C428" s="737"/>
      <c r="D428" s="737"/>
      <c r="E428" s="737"/>
      <c r="F428" s="737"/>
      <c r="G428" s="737"/>
      <c r="H428" s="737"/>
      <c r="I428" s="737"/>
      <c r="J428" s="737"/>
      <c r="K428" s="737"/>
      <c r="L428" s="738"/>
      <c r="M428" s="737"/>
      <c r="N428" s="737"/>
      <c r="O428" s="737"/>
      <c r="P428" s="737"/>
      <c r="Q428" s="737"/>
      <c r="R428" s="737"/>
    </row>
    <row r="429" spans="1:18">
      <c r="A429" s="737"/>
      <c r="B429" s="737"/>
      <c r="C429" s="737"/>
      <c r="D429" s="737"/>
      <c r="E429" s="737"/>
      <c r="F429" s="737"/>
      <c r="G429" s="737"/>
      <c r="H429" s="737"/>
      <c r="I429" s="737"/>
      <c r="J429" s="737"/>
      <c r="K429" s="737"/>
      <c r="L429" s="738"/>
      <c r="M429" s="737"/>
      <c r="N429" s="737"/>
      <c r="O429" s="737"/>
      <c r="P429" s="737"/>
      <c r="Q429" s="737"/>
      <c r="R429" s="737"/>
    </row>
    <row r="430" spans="1:18">
      <c r="A430" s="737"/>
      <c r="B430" s="737"/>
      <c r="C430" s="737"/>
      <c r="D430" s="737"/>
      <c r="E430" s="737"/>
      <c r="F430" s="737"/>
      <c r="G430" s="737"/>
      <c r="H430" s="737"/>
      <c r="I430" s="737"/>
      <c r="J430" s="737"/>
      <c r="K430" s="737"/>
      <c r="L430" s="738"/>
      <c r="M430" s="737"/>
      <c r="N430" s="737"/>
      <c r="O430" s="737"/>
      <c r="P430" s="737"/>
      <c r="Q430" s="737"/>
      <c r="R430" s="737"/>
    </row>
    <row r="431" spans="1:18">
      <c r="A431" s="737"/>
      <c r="B431" s="737"/>
      <c r="C431" s="737"/>
      <c r="D431" s="737"/>
      <c r="E431" s="737"/>
      <c r="F431" s="737"/>
      <c r="G431" s="737"/>
      <c r="H431" s="737"/>
      <c r="I431" s="737"/>
      <c r="J431" s="737"/>
      <c r="K431" s="737"/>
      <c r="L431" s="738"/>
      <c r="M431" s="737"/>
      <c r="N431" s="737"/>
      <c r="O431" s="737"/>
      <c r="P431" s="737"/>
      <c r="Q431" s="737"/>
      <c r="R431" s="737"/>
    </row>
    <row r="432" spans="1:18">
      <c r="A432" s="737"/>
      <c r="B432" s="737"/>
      <c r="C432" s="737"/>
      <c r="D432" s="737"/>
      <c r="E432" s="737"/>
      <c r="F432" s="737"/>
      <c r="G432" s="737"/>
      <c r="H432" s="737"/>
      <c r="I432" s="737"/>
      <c r="J432" s="737"/>
      <c r="K432" s="737"/>
      <c r="L432" s="738"/>
      <c r="M432" s="737"/>
      <c r="N432" s="737"/>
      <c r="O432" s="737"/>
      <c r="P432" s="737"/>
      <c r="Q432" s="737"/>
      <c r="R432" s="737"/>
    </row>
    <row r="433" spans="1:18">
      <c r="A433" s="737"/>
      <c r="B433" s="737"/>
      <c r="C433" s="737"/>
      <c r="D433" s="737"/>
      <c r="E433" s="737"/>
      <c r="F433" s="737"/>
      <c r="G433" s="737"/>
      <c r="H433" s="737"/>
      <c r="I433" s="737"/>
      <c r="J433" s="737"/>
      <c r="K433" s="737"/>
      <c r="L433" s="738"/>
      <c r="M433" s="737"/>
      <c r="N433" s="737"/>
      <c r="O433" s="737"/>
      <c r="P433" s="737"/>
      <c r="Q433" s="737"/>
      <c r="R433" s="737"/>
    </row>
    <row r="434" spans="1:18">
      <c r="A434" s="737"/>
      <c r="B434" s="737"/>
      <c r="C434" s="737"/>
      <c r="D434" s="737"/>
      <c r="E434" s="737"/>
      <c r="F434" s="737"/>
      <c r="G434" s="737"/>
      <c r="H434" s="737"/>
      <c r="I434" s="737"/>
      <c r="J434" s="737"/>
      <c r="K434" s="737"/>
      <c r="L434" s="738"/>
      <c r="M434" s="737"/>
      <c r="N434" s="737"/>
      <c r="O434" s="737"/>
      <c r="P434" s="737"/>
      <c r="Q434" s="737"/>
      <c r="R434" s="737"/>
    </row>
    <row r="435" spans="1:18">
      <c r="A435" s="737"/>
      <c r="B435" s="737"/>
      <c r="C435" s="737"/>
      <c r="D435" s="737"/>
      <c r="E435" s="737"/>
      <c r="F435" s="737"/>
      <c r="G435" s="737"/>
      <c r="H435" s="737"/>
      <c r="I435" s="737"/>
      <c r="J435" s="737"/>
      <c r="K435" s="737"/>
      <c r="L435" s="738"/>
      <c r="M435" s="737"/>
      <c r="N435" s="737"/>
      <c r="O435" s="737"/>
      <c r="P435" s="737"/>
      <c r="Q435" s="737"/>
      <c r="R435" s="737"/>
    </row>
    <row r="436" spans="1:18">
      <c r="A436" s="737"/>
      <c r="B436" s="737"/>
      <c r="C436" s="737"/>
      <c r="D436" s="737"/>
      <c r="E436" s="737"/>
      <c r="F436" s="737"/>
      <c r="G436" s="737"/>
      <c r="H436" s="737"/>
      <c r="I436" s="737"/>
      <c r="J436" s="737"/>
      <c r="K436" s="737"/>
      <c r="L436" s="738"/>
      <c r="M436" s="737"/>
      <c r="N436" s="737"/>
      <c r="O436" s="737"/>
      <c r="P436" s="737"/>
      <c r="Q436" s="737"/>
      <c r="R436" s="737"/>
    </row>
    <row r="437" spans="1:18">
      <c r="A437" s="737"/>
      <c r="B437" s="737"/>
      <c r="C437" s="737"/>
      <c r="D437" s="737"/>
      <c r="E437" s="737"/>
      <c r="F437" s="737"/>
      <c r="G437" s="737"/>
      <c r="H437" s="737"/>
      <c r="I437" s="737"/>
      <c r="J437" s="737"/>
      <c r="K437" s="737"/>
      <c r="L437" s="738"/>
      <c r="M437" s="737"/>
      <c r="N437" s="737"/>
      <c r="O437" s="737"/>
      <c r="P437" s="737"/>
      <c r="Q437" s="737"/>
      <c r="R437" s="737"/>
    </row>
    <row r="438" spans="1:18">
      <c r="A438" s="737"/>
      <c r="B438" s="737"/>
      <c r="C438" s="737"/>
      <c r="D438" s="737"/>
      <c r="E438" s="737"/>
      <c r="F438" s="737"/>
      <c r="G438" s="737"/>
      <c r="H438" s="737"/>
      <c r="I438" s="737"/>
      <c r="J438" s="737"/>
      <c r="K438" s="737"/>
      <c r="L438" s="738"/>
      <c r="M438" s="737"/>
      <c r="N438" s="737"/>
      <c r="O438" s="737"/>
      <c r="P438" s="737"/>
      <c r="Q438" s="737"/>
      <c r="R438" s="737"/>
    </row>
    <row r="439" spans="1:18">
      <c r="A439" s="737"/>
      <c r="B439" s="737"/>
      <c r="C439" s="737"/>
      <c r="D439" s="737"/>
      <c r="E439" s="737"/>
      <c r="F439" s="737"/>
      <c r="G439" s="737"/>
      <c r="H439" s="737"/>
      <c r="I439" s="737"/>
      <c r="J439" s="737"/>
      <c r="K439" s="737"/>
      <c r="L439" s="738"/>
      <c r="M439" s="737"/>
      <c r="N439" s="737"/>
      <c r="O439" s="737"/>
      <c r="P439" s="737"/>
      <c r="Q439" s="737"/>
      <c r="R439" s="737"/>
    </row>
    <row r="440" spans="1:18">
      <c r="A440" s="737"/>
      <c r="B440" s="737"/>
      <c r="C440" s="737"/>
      <c r="D440" s="737"/>
      <c r="E440" s="737"/>
      <c r="F440" s="737"/>
      <c r="G440" s="737"/>
      <c r="H440" s="737"/>
      <c r="I440" s="737"/>
      <c r="J440" s="737"/>
      <c r="K440" s="737"/>
      <c r="L440" s="738"/>
      <c r="M440" s="737"/>
      <c r="N440" s="737"/>
      <c r="O440" s="737"/>
      <c r="P440" s="737"/>
      <c r="Q440" s="737"/>
      <c r="R440" s="737"/>
    </row>
    <row r="441" spans="1:18">
      <c r="A441" s="737"/>
      <c r="B441" s="737"/>
      <c r="C441" s="737"/>
      <c r="D441" s="737"/>
      <c r="E441" s="737"/>
      <c r="F441" s="737"/>
      <c r="G441" s="737"/>
      <c r="H441" s="737"/>
      <c r="I441" s="737"/>
      <c r="J441" s="737"/>
      <c r="K441" s="737"/>
      <c r="L441" s="738"/>
      <c r="M441" s="737"/>
      <c r="N441" s="737"/>
      <c r="O441" s="737"/>
      <c r="P441" s="737"/>
      <c r="Q441" s="737"/>
      <c r="R441" s="737"/>
    </row>
    <row r="442" spans="1:18">
      <c r="A442" s="737"/>
      <c r="B442" s="737"/>
      <c r="C442" s="737"/>
      <c r="D442" s="737"/>
      <c r="E442" s="737"/>
      <c r="F442" s="737"/>
      <c r="G442" s="737"/>
      <c r="H442" s="737"/>
      <c r="I442" s="737"/>
      <c r="J442" s="737"/>
      <c r="K442" s="737"/>
      <c r="L442" s="738"/>
      <c r="M442" s="737"/>
      <c r="N442" s="737"/>
      <c r="O442" s="737"/>
      <c r="P442" s="737"/>
      <c r="Q442" s="737"/>
      <c r="R442" s="737"/>
    </row>
    <row r="443" spans="1:18">
      <c r="A443" s="737"/>
      <c r="B443" s="737"/>
      <c r="C443" s="737"/>
      <c r="D443" s="737"/>
      <c r="E443" s="737"/>
      <c r="F443" s="737"/>
      <c r="G443" s="737"/>
      <c r="H443" s="737"/>
      <c r="I443" s="737"/>
      <c r="J443" s="737"/>
      <c r="K443" s="737"/>
      <c r="L443" s="738"/>
      <c r="M443" s="737"/>
      <c r="N443" s="737"/>
      <c r="O443" s="737"/>
      <c r="P443" s="737"/>
      <c r="Q443" s="737"/>
      <c r="R443" s="737"/>
    </row>
    <row r="444" spans="1:18">
      <c r="A444" s="737"/>
      <c r="B444" s="737"/>
      <c r="C444" s="737"/>
      <c r="D444" s="737"/>
      <c r="E444" s="737"/>
      <c r="F444" s="737"/>
      <c r="G444" s="737"/>
      <c r="H444" s="737"/>
      <c r="I444" s="737"/>
      <c r="J444" s="737"/>
      <c r="K444" s="737"/>
      <c r="L444" s="738"/>
      <c r="M444" s="737"/>
      <c r="N444" s="737"/>
      <c r="O444" s="737"/>
      <c r="P444" s="737"/>
      <c r="Q444" s="737"/>
      <c r="R444" s="737"/>
    </row>
    <row r="445" spans="1:18">
      <c r="A445" s="737"/>
      <c r="B445" s="737"/>
      <c r="C445" s="737"/>
      <c r="D445" s="737"/>
      <c r="E445" s="737"/>
      <c r="F445" s="737"/>
      <c r="G445" s="737"/>
      <c r="H445" s="737"/>
      <c r="I445" s="737"/>
      <c r="J445" s="737"/>
      <c r="K445" s="737"/>
      <c r="L445" s="738"/>
      <c r="M445" s="737"/>
      <c r="N445" s="737"/>
      <c r="O445" s="737"/>
      <c r="P445" s="737"/>
      <c r="Q445" s="737"/>
      <c r="R445" s="737"/>
    </row>
    <row r="446" spans="1:18">
      <c r="A446" s="737"/>
      <c r="B446" s="737"/>
      <c r="C446" s="737"/>
      <c r="D446" s="737"/>
      <c r="E446" s="737"/>
      <c r="F446" s="737"/>
      <c r="G446" s="737"/>
      <c r="H446" s="737"/>
      <c r="I446" s="737"/>
      <c r="J446" s="737"/>
      <c r="K446" s="737"/>
      <c r="L446" s="738"/>
      <c r="M446" s="737"/>
      <c r="N446" s="737"/>
      <c r="O446" s="737"/>
      <c r="P446" s="737"/>
      <c r="Q446" s="737"/>
      <c r="R446" s="737"/>
    </row>
    <row r="447" spans="1:18">
      <c r="A447" s="737"/>
      <c r="B447" s="737"/>
      <c r="C447" s="737"/>
      <c r="D447" s="737"/>
      <c r="E447" s="737"/>
      <c r="F447" s="737"/>
      <c r="G447" s="737"/>
      <c r="H447" s="737"/>
      <c r="I447" s="737"/>
      <c r="J447" s="737"/>
      <c r="K447" s="737"/>
      <c r="L447" s="738"/>
      <c r="M447" s="737"/>
      <c r="N447" s="737"/>
      <c r="O447" s="737"/>
      <c r="P447" s="737"/>
      <c r="Q447" s="737"/>
      <c r="R447" s="737"/>
    </row>
    <row r="448" spans="1:18">
      <c r="A448" s="737"/>
      <c r="B448" s="737"/>
      <c r="C448" s="737"/>
      <c r="D448" s="737"/>
      <c r="E448" s="737"/>
      <c r="F448" s="737"/>
      <c r="G448" s="737"/>
      <c r="H448" s="737"/>
      <c r="I448" s="737"/>
      <c r="J448" s="737"/>
      <c r="K448" s="737"/>
      <c r="L448" s="738"/>
      <c r="M448" s="737"/>
      <c r="N448" s="737"/>
      <c r="O448" s="737"/>
      <c r="P448" s="737"/>
      <c r="Q448" s="737"/>
      <c r="R448" s="737"/>
    </row>
    <row r="449" spans="1:18">
      <c r="A449" s="737"/>
      <c r="B449" s="737"/>
      <c r="C449" s="737"/>
      <c r="D449" s="737"/>
      <c r="E449" s="737"/>
      <c r="F449" s="737"/>
      <c r="G449" s="737"/>
      <c r="H449" s="737"/>
      <c r="I449" s="737"/>
      <c r="J449" s="737"/>
      <c r="K449" s="737"/>
      <c r="L449" s="738"/>
      <c r="M449" s="737"/>
      <c r="N449" s="737"/>
      <c r="O449" s="737"/>
      <c r="P449" s="737"/>
      <c r="Q449" s="737"/>
      <c r="R449" s="737"/>
    </row>
    <row r="450" spans="1:18">
      <c r="A450" s="737"/>
      <c r="B450" s="737"/>
      <c r="C450" s="737"/>
      <c r="D450" s="737"/>
      <c r="E450" s="737"/>
      <c r="F450" s="737"/>
      <c r="G450" s="737"/>
      <c r="H450" s="737"/>
      <c r="I450" s="737"/>
      <c r="J450" s="737"/>
      <c r="K450" s="737"/>
      <c r="L450" s="738"/>
      <c r="M450" s="737"/>
      <c r="N450" s="737"/>
      <c r="O450" s="737"/>
      <c r="P450" s="737"/>
      <c r="Q450" s="737"/>
      <c r="R450" s="737"/>
    </row>
    <row r="451" spans="1:18">
      <c r="A451" s="737"/>
      <c r="B451" s="737"/>
      <c r="C451" s="737"/>
      <c r="D451" s="737"/>
      <c r="E451" s="737"/>
      <c r="F451" s="737"/>
      <c r="G451" s="737"/>
      <c r="H451" s="737"/>
      <c r="I451" s="737"/>
      <c r="J451" s="737"/>
      <c r="K451" s="737"/>
      <c r="L451" s="738"/>
      <c r="M451" s="737"/>
      <c r="N451" s="737"/>
      <c r="O451" s="737"/>
      <c r="P451" s="737"/>
      <c r="Q451" s="737"/>
      <c r="R451" s="737"/>
    </row>
    <row r="452" spans="1:18">
      <c r="A452" s="737"/>
      <c r="B452" s="737"/>
      <c r="C452" s="737"/>
      <c r="D452" s="737"/>
      <c r="E452" s="737"/>
      <c r="F452" s="737"/>
      <c r="G452" s="737"/>
      <c r="H452" s="737"/>
      <c r="I452" s="737"/>
      <c r="J452" s="737"/>
      <c r="K452" s="737"/>
      <c r="L452" s="738"/>
      <c r="M452" s="737"/>
      <c r="N452" s="737"/>
      <c r="O452" s="737"/>
      <c r="P452" s="737"/>
      <c r="Q452" s="737"/>
      <c r="R452" s="737"/>
    </row>
    <row r="453" spans="1:18">
      <c r="A453" s="737"/>
      <c r="B453" s="737"/>
      <c r="C453" s="737"/>
      <c r="D453" s="737"/>
      <c r="E453" s="737"/>
      <c r="F453" s="737"/>
      <c r="G453" s="737"/>
      <c r="H453" s="737"/>
      <c r="I453" s="737"/>
      <c r="J453" s="737"/>
      <c r="K453" s="737"/>
      <c r="L453" s="738"/>
      <c r="M453" s="737"/>
      <c r="N453" s="737"/>
      <c r="O453" s="737"/>
      <c r="P453" s="737"/>
      <c r="Q453" s="737"/>
      <c r="R453" s="737"/>
    </row>
    <row r="454" spans="1:18">
      <c r="A454" s="737"/>
      <c r="B454" s="737"/>
      <c r="C454" s="737"/>
      <c r="D454" s="737"/>
      <c r="E454" s="737"/>
      <c r="F454" s="737"/>
      <c r="G454" s="737"/>
      <c r="H454" s="737"/>
      <c r="I454" s="737"/>
      <c r="J454" s="737"/>
      <c r="K454" s="737"/>
      <c r="L454" s="738"/>
      <c r="M454" s="737"/>
      <c r="N454" s="737"/>
      <c r="O454" s="737"/>
      <c r="P454" s="737"/>
      <c r="Q454" s="737"/>
      <c r="R454" s="737"/>
    </row>
    <row r="455" spans="1:18">
      <c r="A455" s="737"/>
      <c r="B455" s="737"/>
      <c r="C455" s="737"/>
      <c r="D455" s="737"/>
      <c r="E455" s="737"/>
      <c r="F455" s="737"/>
      <c r="G455" s="737"/>
      <c r="H455" s="737"/>
      <c r="I455" s="737"/>
      <c r="J455" s="737"/>
      <c r="K455" s="737"/>
      <c r="L455" s="738"/>
      <c r="M455" s="737"/>
      <c r="N455" s="737"/>
      <c r="O455" s="737"/>
      <c r="P455" s="737"/>
      <c r="Q455" s="737"/>
      <c r="R455" s="737"/>
    </row>
    <row r="456" spans="1:18">
      <c r="A456" s="737"/>
      <c r="B456" s="737"/>
      <c r="C456" s="737"/>
      <c r="D456" s="737"/>
      <c r="E456" s="737"/>
      <c r="F456" s="737"/>
      <c r="G456" s="737"/>
      <c r="H456" s="737"/>
      <c r="I456" s="737"/>
      <c r="J456" s="737"/>
      <c r="K456" s="737"/>
      <c r="L456" s="738"/>
      <c r="M456" s="737"/>
      <c r="N456" s="737"/>
      <c r="O456" s="737"/>
      <c r="P456" s="737"/>
      <c r="Q456" s="737"/>
      <c r="R456" s="737"/>
    </row>
    <row r="457" spans="1:18">
      <c r="A457" s="737"/>
      <c r="B457" s="737"/>
      <c r="C457" s="737"/>
      <c r="D457" s="737"/>
      <c r="E457" s="737"/>
      <c r="F457" s="737"/>
      <c r="G457" s="737"/>
      <c r="H457" s="737"/>
      <c r="I457" s="737"/>
      <c r="J457" s="737"/>
      <c r="K457" s="737"/>
      <c r="L457" s="738"/>
      <c r="M457" s="737"/>
      <c r="N457" s="737"/>
      <c r="O457" s="737"/>
      <c r="P457" s="737"/>
      <c r="Q457" s="737"/>
      <c r="R457" s="737"/>
    </row>
    <row r="458" spans="1:18">
      <c r="A458" s="737"/>
      <c r="B458" s="737"/>
      <c r="C458" s="737"/>
      <c r="D458" s="737"/>
      <c r="E458" s="737"/>
      <c r="F458" s="737"/>
      <c r="G458" s="737"/>
      <c r="H458" s="737"/>
      <c r="I458" s="737"/>
      <c r="J458" s="737"/>
      <c r="K458" s="737"/>
      <c r="L458" s="738"/>
      <c r="M458" s="737"/>
      <c r="N458" s="737"/>
      <c r="O458" s="737"/>
      <c r="P458" s="737"/>
      <c r="Q458" s="737"/>
      <c r="R458" s="737"/>
    </row>
    <row r="459" spans="1:18">
      <c r="A459" s="737"/>
      <c r="B459" s="737"/>
      <c r="C459" s="737"/>
      <c r="D459" s="737"/>
      <c r="E459" s="737"/>
      <c r="F459" s="737"/>
      <c r="G459" s="737"/>
      <c r="H459" s="737"/>
      <c r="I459" s="737"/>
      <c r="J459" s="737"/>
      <c r="K459" s="737"/>
      <c r="L459" s="738"/>
      <c r="M459" s="737"/>
      <c r="N459" s="737"/>
      <c r="O459" s="737"/>
      <c r="P459" s="737"/>
      <c r="Q459" s="737"/>
      <c r="R459" s="737"/>
    </row>
    <row r="460" spans="1:18">
      <c r="A460" s="737"/>
      <c r="B460" s="737"/>
      <c r="C460" s="737"/>
      <c r="D460" s="737"/>
      <c r="E460" s="737"/>
      <c r="F460" s="737"/>
      <c r="G460" s="737"/>
      <c r="H460" s="737"/>
      <c r="I460" s="737"/>
      <c r="J460" s="737"/>
      <c r="K460" s="737"/>
      <c r="L460" s="738"/>
      <c r="M460" s="737"/>
      <c r="N460" s="737"/>
      <c r="O460" s="737"/>
      <c r="P460" s="737"/>
      <c r="Q460" s="737"/>
      <c r="R460" s="737"/>
    </row>
    <row r="461" spans="1:18">
      <c r="A461" s="737"/>
      <c r="B461" s="737"/>
      <c r="C461" s="737"/>
      <c r="D461" s="737"/>
      <c r="E461" s="737"/>
      <c r="F461" s="737"/>
      <c r="G461" s="737"/>
      <c r="H461" s="737"/>
      <c r="I461" s="737"/>
      <c r="J461" s="737"/>
      <c r="K461" s="737"/>
      <c r="L461" s="738"/>
      <c r="M461" s="737"/>
      <c r="N461" s="737"/>
      <c r="O461" s="737"/>
      <c r="P461" s="737"/>
      <c r="Q461" s="737"/>
      <c r="R461" s="737"/>
    </row>
    <row r="462" spans="1:18">
      <c r="A462" s="737"/>
      <c r="B462" s="737"/>
      <c r="C462" s="737"/>
      <c r="D462" s="737"/>
      <c r="E462" s="737"/>
      <c r="F462" s="737"/>
      <c r="G462" s="737"/>
      <c r="H462" s="737"/>
      <c r="I462" s="737"/>
      <c r="J462" s="737"/>
      <c r="K462" s="737"/>
      <c r="L462" s="738"/>
      <c r="M462" s="737"/>
      <c r="N462" s="737"/>
      <c r="O462" s="737"/>
      <c r="P462" s="737"/>
      <c r="Q462" s="737"/>
      <c r="R462" s="737"/>
    </row>
    <row r="463" spans="1:18">
      <c r="A463" s="737"/>
      <c r="B463" s="737"/>
      <c r="C463" s="737"/>
      <c r="D463" s="737"/>
      <c r="E463" s="737"/>
      <c r="F463" s="737"/>
      <c r="G463" s="737"/>
      <c r="H463" s="737"/>
      <c r="I463" s="737"/>
      <c r="J463" s="737"/>
      <c r="K463" s="737"/>
      <c r="L463" s="738"/>
      <c r="M463" s="737"/>
      <c r="N463" s="737"/>
      <c r="O463" s="737"/>
      <c r="P463" s="737"/>
      <c r="Q463" s="737"/>
      <c r="R463" s="737"/>
    </row>
    <row r="464" spans="1:18">
      <c r="A464" s="737"/>
      <c r="B464" s="737"/>
      <c r="C464" s="737"/>
      <c r="D464" s="737"/>
      <c r="E464" s="737"/>
      <c r="F464" s="737"/>
      <c r="G464" s="737"/>
      <c r="H464" s="737"/>
      <c r="I464" s="737"/>
      <c r="J464" s="737"/>
      <c r="K464" s="737"/>
      <c r="L464" s="738"/>
      <c r="M464" s="737"/>
      <c r="N464" s="737"/>
      <c r="O464" s="737"/>
      <c r="P464" s="737"/>
      <c r="Q464" s="737"/>
      <c r="R464" s="737"/>
    </row>
    <row r="465" spans="1:18">
      <c r="A465" s="737"/>
      <c r="B465" s="737"/>
      <c r="C465" s="737"/>
      <c r="D465" s="737"/>
      <c r="E465" s="737"/>
      <c r="F465" s="737"/>
      <c r="G465" s="737"/>
      <c r="H465" s="737"/>
      <c r="I465" s="737"/>
      <c r="J465" s="737"/>
      <c r="K465" s="737"/>
      <c r="L465" s="738"/>
      <c r="M465" s="737"/>
      <c r="N465" s="737"/>
      <c r="O465" s="737"/>
      <c r="P465" s="737"/>
      <c r="Q465" s="737"/>
      <c r="R465" s="737"/>
    </row>
    <row r="466" spans="1:18">
      <c r="A466" s="737"/>
      <c r="B466" s="737"/>
      <c r="C466" s="737"/>
      <c r="D466" s="737"/>
      <c r="E466" s="737"/>
      <c r="F466" s="737"/>
      <c r="G466" s="737"/>
      <c r="H466" s="737"/>
      <c r="I466" s="737"/>
      <c r="J466" s="737"/>
      <c r="K466" s="737"/>
      <c r="L466" s="738"/>
      <c r="M466" s="737"/>
      <c r="N466" s="737"/>
      <c r="O466" s="737"/>
      <c r="P466" s="737"/>
      <c r="Q466" s="737"/>
      <c r="R466" s="737"/>
    </row>
    <row r="467" spans="1:18">
      <c r="A467" s="737"/>
      <c r="B467" s="737"/>
      <c r="C467" s="737"/>
      <c r="D467" s="737"/>
      <c r="E467" s="737"/>
      <c r="F467" s="737"/>
      <c r="G467" s="737"/>
      <c r="H467" s="737"/>
      <c r="I467" s="737"/>
      <c r="J467" s="737"/>
      <c r="K467" s="737"/>
      <c r="L467" s="738"/>
      <c r="M467" s="737"/>
      <c r="N467" s="737"/>
      <c r="O467" s="737"/>
      <c r="P467" s="737"/>
      <c r="Q467" s="737"/>
      <c r="R467" s="737"/>
    </row>
    <row r="468" spans="1:18">
      <c r="A468" s="737"/>
      <c r="B468" s="737"/>
      <c r="C468" s="737"/>
      <c r="D468" s="737"/>
      <c r="E468" s="737"/>
      <c r="F468" s="737"/>
      <c r="G468" s="737"/>
      <c r="H468" s="737"/>
      <c r="I468" s="737"/>
      <c r="J468" s="737"/>
      <c r="K468" s="737"/>
      <c r="L468" s="738"/>
      <c r="M468" s="737"/>
      <c r="N468" s="737"/>
      <c r="O468" s="737"/>
      <c r="P468" s="737"/>
      <c r="Q468" s="737"/>
      <c r="R468" s="737"/>
    </row>
    <row r="469" spans="1:18">
      <c r="A469" s="737"/>
      <c r="B469" s="737"/>
      <c r="C469" s="737"/>
      <c r="D469" s="737"/>
      <c r="E469" s="737"/>
      <c r="F469" s="737"/>
      <c r="G469" s="737"/>
      <c r="H469" s="737"/>
      <c r="I469" s="737"/>
      <c r="J469" s="737"/>
      <c r="K469" s="737"/>
      <c r="L469" s="738"/>
      <c r="M469" s="737"/>
      <c r="N469" s="737"/>
      <c r="O469" s="737"/>
      <c r="P469" s="737"/>
      <c r="Q469" s="737"/>
      <c r="R469" s="737"/>
    </row>
    <row r="470" spans="1:18">
      <c r="A470" s="737"/>
      <c r="B470" s="737"/>
      <c r="C470" s="737"/>
      <c r="D470" s="737"/>
      <c r="E470" s="737"/>
      <c r="F470" s="737"/>
      <c r="G470" s="737"/>
      <c r="H470" s="737"/>
      <c r="I470" s="737"/>
      <c r="J470" s="737"/>
      <c r="K470" s="737"/>
      <c r="L470" s="738"/>
      <c r="M470" s="737"/>
      <c r="N470" s="737"/>
      <c r="O470" s="737"/>
      <c r="P470" s="737"/>
      <c r="Q470" s="737"/>
      <c r="R470" s="737"/>
    </row>
    <row r="471" spans="1:18">
      <c r="A471" s="737"/>
      <c r="B471" s="737"/>
      <c r="C471" s="737"/>
      <c r="D471" s="737"/>
      <c r="E471" s="737"/>
      <c r="F471" s="737"/>
      <c r="G471" s="737"/>
      <c r="H471" s="737"/>
      <c r="I471" s="737"/>
      <c r="J471" s="737"/>
      <c r="K471" s="737"/>
      <c r="L471" s="738"/>
      <c r="M471" s="737"/>
      <c r="N471" s="737"/>
      <c r="O471" s="737"/>
      <c r="P471" s="737"/>
      <c r="Q471" s="737"/>
      <c r="R471" s="737"/>
    </row>
    <row r="472" spans="1:18">
      <c r="A472" s="737"/>
      <c r="B472" s="737"/>
      <c r="C472" s="737"/>
      <c r="D472" s="737"/>
      <c r="E472" s="737"/>
      <c r="F472" s="737"/>
      <c r="G472" s="737"/>
      <c r="H472" s="737"/>
      <c r="I472" s="737"/>
      <c r="J472" s="737"/>
      <c r="K472" s="737"/>
      <c r="L472" s="738"/>
      <c r="M472" s="737"/>
      <c r="N472" s="737"/>
      <c r="O472" s="737"/>
      <c r="P472" s="737"/>
      <c r="Q472" s="737"/>
      <c r="R472" s="737"/>
    </row>
    <row r="473" spans="1:18">
      <c r="A473" s="737"/>
      <c r="B473" s="737"/>
      <c r="C473" s="737"/>
      <c r="D473" s="737"/>
      <c r="E473" s="737"/>
      <c r="F473" s="737"/>
      <c r="G473" s="737"/>
      <c r="H473" s="737"/>
      <c r="I473" s="737"/>
      <c r="J473" s="737"/>
      <c r="K473" s="737"/>
      <c r="L473" s="738"/>
      <c r="M473" s="737"/>
      <c r="N473" s="737"/>
      <c r="O473" s="737"/>
      <c r="P473" s="737"/>
      <c r="Q473" s="737"/>
      <c r="R473" s="737"/>
    </row>
    <row r="474" spans="1:18">
      <c r="A474" s="737"/>
      <c r="B474" s="737"/>
      <c r="C474" s="737"/>
      <c r="D474" s="737"/>
      <c r="E474" s="737"/>
      <c r="F474" s="737"/>
      <c r="G474" s="737"/>
      <c r="H474" s="737"/>
      <c r="I474" s="737"/>
      <c r="J474" s="737"/>
      <c r="K474" s="737"/>
      <c r="L474" s="738"/>
      <c r="M474" s="737"/>
      <c r="N474" s="737"/>
      <c r="O474" s="737"/>
      <c r="P474" s="737"/>
      <c r="Q474" s="737"/>
      <c r="R474" s="737"/>
    </row>
    <row r="475" spans="1:18">
      <c r="A475" s="737"/>
      <c r="B475" s="737"/>
      <c r="C475" s="737"/>
      <c r="D475" s="737"/>
      <c r="E475" s="737"/>
      <c r="F475" s="737"/>
      <c r="G475" s="737"/>
      <c r="H475" s="737"/>
      <c r="I475" s="737"/>
      <c r="J475" s="737"/>
      <c r="K475" s="737"/>
      <c r="L475" s="738"/>
      <c r="M475" s="737"/>
      <c r="N475" s="737"/>
      <c r="O475" s="737"/>
      <c r="P475" s="737"/>
      <c r="Q475" s="737"/>
      <c r="R475" s="737"/>
    </row>
    <row r="476" spans="1:18">
      <c r="A476" s="737"/>
      <c r="B476" s="737"/>
      <c r="C476" s="737"/>
      <c r="D476" s="737"/>
      <c r="E476" s="737"/>
      <c r="F476" s="737"/>
      <c r="G476" s="737"/>
      <c r="H476" s="737"/>
      <c r="I476" s="737"/>
      <c r="J476" s="737"/>
      <c r="K476" s="737"/>
      <c r="L476" s="738"/>
      <c r="M476" s="737"/>
      <c r="N476" s="737"/>
      <c r="O476" s="737"/>
      <c r="P476" s="737"/>
      <c r="Q476" s="737"/>
      <c r="R476" s="737"/>
    </row>
    <row r="477" spans="1:18">
      <c r="A477" s="737"/>
      <c r="B477" s="737"/>
      <c r="C477" s="737"/>
      <c r="D477" s="737"/>
      <c r="E477" s="737"/>
      <c r="F477" s="737"/>
      <c r="G477" s="737"/>
      <c r="H477" s="737"/>
      <c r="I477" s="737"/>
      <c r="J477" s="737"/>
      <c r="K477" s="737"/>
      <c r="L477" s="738"/>
      <c r="M477" s="737"/>
      <c r="N477" s="737"/>
      <c r="O477" s="737"/>
      <c r="P477" s="737"/>
      <c r="Q477" s="737"/>
      <c r="R477" s="737"/>
    </row>
    <row r="478" spans="1:18">
      <c r="A478" s="737"/>
      <c r="B478" s="737"/>
      <c r="C478" s="737"/>
      <c r="D478" s="737"/>
      <c r="E478" s="737"/>
      <c r="F478" s="737"/>
      <c r="G478" s="737"/>
      <c r="H478" s="737"/>
      <c r="I478" s="737"/>
      <c r="J478" s="737"/>
      <c r="K478" s="737"/>
      <c r="L478" s="738"/>
      <c r="M478" s="737"/>
      <c r="N478" s="737"/>
      <c r="O478" s="737"/>
      <c r="P478" s="737"/>
      <c r="Q478" s="737"/>
      <c r="R478" s="737"/>
    </row>
    <row r="479" spans="1:18">
      <c r="A479" s="737"/>
      <c r="B479" s="737"/>
      <c r="C479" s="737"/>
      <c r="D479" s="737"/>
      <c r="E479" s="737"/>
      <c r="F479" s="737"/>
      <c r="G479" s="737"/>
      <c r="H479" s="737"/>
      <c r="I479" s="737"/>
      <c r="J479" s="737"/>
      <c r="K479" s="737"/>
      <c r="L479" s="738"/>
      <c r="M479" s="737"/>
      <c r="N479" s="737"/>
      <c r="O479" s="737"/>
      <c r="P479" s="737"/>
      <c r="Q479" s="737"/>
      <c r="R479" s="737"/>
    </row>
    <row r="480" spans="1:18">
      <c r="A480" s="737"/>
      <c r="B480" s="737"/>
      <c r="C480" s="737"/>
      <c r="D480" s="737"/>
      <c r="E480" s="737"/>
      <c r="F480" s="737"/>
      <c r="G480" s="737"/>
      <c r="H480" s="737"/>
      <c r="I480" s="737"/>
      <c r="J480" s="737"/>
      <c r="K480" s="737"/>
      <c r="L480" s="738"/>
      <c r="M480" s="737"/>
      <c r="N480" s="737"/>
      <c r="O480" s="737"/>
      <c r="P480" s="737"/>
      <c r="Q480" s="737"/>
      <c r="R480" s="737"/>
    </row>
    <row r="481" spans="1:18">
      <c r="A481" s="737"/>
      <c r="B481" s="737"/>
      <c r="C481" s="737"/>
      <c r="D481" s="737"/>
      <c r="E481" s="737"/>
      <c r="F481" s="737"/>
      <c r="G481" s="737"/>
      <c r="H481" s="737"/>
      <c r="I481" s="737"/>
      <c r="J481" s="737"/>
      <c r="K481" s="737"/>
      <c r="L481" s="738"/>
      <c r="M481" s="737"/>
      <c r="N481" s="737"/>
      <c r="O481" s="737"/>
      <c r="P481" s="737"/>
      <c r="Q481" s="737"/>
      <c r="R481" s="737"/>
    </row>
    <row r="482" spans="1:18">
      <c r="A482" s="737"/>
      <c r="B482" s="737"/>
      <c r="C482" s="737"/>
      <c r="D482" s="737"/>
      <c r="E482" s="737"/>
      <c r="F482" s="737"/>
      <c r="G482" s="737"/>
      <c r="H482" s="737"/>
      <c r="I482" s="737"/>
      <c r="J482" s="737"/>
      <c r="K482" s="737"/>
      <c r="L482" s="738"/>
      <c r="M482" s="737"/>
      <c r="N482" s="737"/>
      <c r="O482" s="737"/>
      <c r="P482" s="737"/>
      <c r="Q482" s="737"/>
      <c r="R482" s="737"/>
    </row>
    <row r="483" spans="1:18">
      <c r="A483" s="737"/>
      <c r="B483" s="737"/>
      <c r="C483" s="737"/>
      <c r="D483" s="737"/>
      <c r="E483" s="737"/>
      <c r="F483" s="737"/>
      <c r="G483" s="737"/>
      <c r="H483" s="737"/>
      <c r="I483" s="737"/>
      <c r="J483" s="737"/>
      <c r="K483" s="737"/>
      <c r="L483" s="738"/>
      <c r="M483" s="737"/>
      <c r="N483" s="737"/>
      <c r="O483" s="737"/>
      <c r="P483" s="737"/>
      <c r="Q483" s="737"/>
      <c r="R483" s="737"/>
    </row>
    <row r="484" spans="1:18">
      <c r="A484" s="737"/>
      <c r="B484" s="737"/>
      <c r="C484" s="737"/>
      <c r="D484" s="737"/>
      <c r="E484" s="737"/>
      <c r="F484" s="737"/>
      <c r="G484" s="737"/>
      <c r="H484" s="737"/>
      <c r="I484" s="737"/>
      <c r="J484" s="737"/>
      <c r="K484" s="737"/>
      <c r="L484" s="738"/>
      <c r="M484" s="737"/>
      <c r="N484" s="737"/>
      <c r="O484" s="737"/>
      <c r="P484" s="737"/>
      <c r="Q484" s="737"/>
      <c r="R484" s="737"/>
    </row>
    <row r="485" spans="1:18">
      <c r="A485" s="737"/>
      <c r="B485" s="737"/>
      <c r="C485" s="737"/>
      <c r="D485" s="737"/>
      <c r="E485" s="737"/>
      <c r="F485" s="737"/>
      <c r="G485" s="737"/>
      <c r="H485" s="737"/>
      <c r="I485" s="737"/>
      <c r="J485" s="737"/>
      <c r="K485" s="737"/>
      <c r="L485" s="738"/>
      <c r="M485" s="737"/>
      <c r="N485" s="737"/>
      <c r="O485" s="737"/>
      <c r="P485" s="737"/>
      <c r="Q485" s="737"/>
      <c r="R485" s="737"/>
    </row>
    <row r="486" spans="1:18">
      <c r="A486" s="737"/>
      <c r="B486" s="737"/>
      <c r="C486" s="737"/>
      <c r="D486" s="737"/>
      <c r="E486" s="737"/>
      <c r="F486" s="737"/>
      <c r="G486" s="737"/>
      <c r="H486" s="737"/>
      <c r="I486" s="737"/>
      <c r="J486" s="737"/>
      <c r="K486" s="737"/>
      <c r="L486" s="738"/>
      <c r="M486" s="737"/>
      <c r="N486" s="737"/>
      <c r="O486" s="737"/>
      <c r="P486" s="737"/>
      <c r="Q486" s="737"/>
      <c r="R486" s="737"/>
    </row>
    <row r="487" spans="1:18">
      <c r="A487" s="737"/>
      <c r="B487" s="737"/>
      <c r="C487" s="737"/>
      <c r="D487" s="737"/>
      <c r="E487" s="737"/>
      <c r="F487" s="737"/>
      <c r="G487" s="737"/>
      <c r="H487" s="737"/>
      <c r="I487" s="737"/>
      <c r="J487" s="737"/>
      <c r="K487" s="737"/>
      <c r="L487" s="738"/>
      <c r="M487" s="737"/>
      <c r="N487" s="737"/>
      <c r="O487" s="737"/>
      <c r="P487" s="737"/>
      <c r="Q487" s="737"/>
      <c r="R487" s="737"/>
    </row>
    <row r="488" spans="1:18">
      <c r="A488" s="737"/>
      <c r="B488" s="737"/>
      <c r="C488" s="737"/>
      <c r="D488" s="737"/>
      <c r="E488" s="737"/>
      <c r="F488" s="737"/>
      <c r="G488" s="737"/>
      <c r="H488" s="737"/>
      <c r="I488" s="737"/>
      <c r="J488" s="737"/>
      <c r="K488" s="737"/>
      <c r="L488" s="738"/>
      <c r="M488" s="737"/>
      <c r="N488" s="737"/>
      <c r="O488" s="737"/>
      <c r="P488" s="737"/>
      <c r="Q488" s="737"/>
      <c r="R488" s="737"/>
    </row>
    <row r="489" spans="1:18">
      <c r="A489" s="737"/>
      <c r="B489" s="737"/>
      <c r="C489" s="737"/>
      <c r="D489" s="737"/>
      <c r="E489" s="737"/>
      <c r="F489" s="737"/>
      <c r="G489" s="737"/>
      <c r="H489" s="737"/>
      <c r="I489" s="737"/>
      <c r="J489" s="737"/>
      <c r="K489" s="737"/>
      <c r="L489" s="738"/>
      <c r="M489" s="737"/>
      <c r="N489" s="737"/>
      <c r="O489" s="737"/>
      <c r="P489" s="737"/>
      <c r="Q489" s="737"/>
      <c r="R489" s="737"/>
    </row>
    <row r="490" spans="1:18">
      <c r="A490" s="737"/>
      <c r="B490" s="737"/>
      <c r="C490" s="737"/>
      <c r="D490" s="737"/>
      <c r="E490" s="737"/>
      <c r="F490" s="737"/>
      <c r="G490" s="737"/>
      <c r="H490" s="737"/>
      <c r="I490" s="737"/>
      <c r="J490" s="737"/>
      <c r="K490" s="737"/>
      <c r="L490" s="738"/>
      <c r="M490" s="737"/>
      <c r="N490" s="737"/>
      <c r="O490" s="737"/>
      <c r="P490" s="737"/>
      <c r="Q490" s="737"/>
      <c r="R490" s="737"/>
    </row>
    <row r="491" spans="1:18">
      <c r="A491" s="737"/>
      <c r="B491" s="737"/>
      <c r="C491" s="737"/>
      <c r="D491" s="737"/>
      <c r="E491" s="737"/>
      <c r="F491" s="737"/>
      <c r="G491" s="737"/>
      <c r="H491" s="737"/>
      <c r="I491" s="737"/>
      <c r="J491" s="737"/>
      <c r="K491" s="737"/>
      <c r="L491" s="738"/>
      <c r="M491" s="737"/>
      <c r="N491" s="737"/>
      <c r="O491" s="737"/>
      <c r="P491" s="737"/>
      <c r="Q491" s="737"/>
      <c r="R491" s="737"/>
    </row>
    <row r="492" spans="1:18">
      <c r="A492" s="737"/>
      <c r="B492" s="737"/>
      <c r="C492" s="737"/>
      <c r="D492" s="737"/>
      <c r="E492" s="737"/>
      <c r="F492" s="737"/>
      <c r="G492" s="737"/>
      <c r="H492" s="737"/>
      <c r="I492" s="737"/>
      <c r="J492" s="737"/>
      <c r="K492" s="737"/>
      <c r="L492" s="738"/>
      <c r="M492" s="737"/>
      <c r="N492" s="737"/>
      <c r="O492" s="737"/>
      <c r="P492" s="737"/>
      <c r="Q492" s="737"/>
      <c r="R492" s="737"/>
    </row>
    <row r="493" spans="1:18">
      <c r="A493" s="737"/>
      <c r="B493" s="737"/>
      <c r="C493" s="737"/>
      <c r="D493" s="737"/>
      <c r="E493" s="737"/>
      <c r="F493" s="737"/>
      <c r="G493" s="737"/>
      <c r="H493" s="737"/>
      <c r="I493" s="737"/>
      <c r="J493" s="737"/>
      <c r="K493" s="737"/>
      <c r="L493" s="738"/>
      <c r="M493" s="737"/>
      <c r="N493" s="737"/>
      <c r="O493" s="737"/>
      <c r="P493" s="737"/>
      <c r="Q493" s="737"/>
      <c r="R493" s="737"/>
    </row>
    <row r="494" spans="1:18">
      <c r="A494" s="737"/>
      <c r="B494" s="737"/>
      <c r="C494" s="737"/>
      <c r="D494" s="737"/>
      <c r="E494" s="737"/>
      <c r="F494" s="737"/>
      <c r="G494" s="737"/>
      <c r="H494" s="737"/>
      <c r="I494" s="737"/>
      <c r="J494" s="737"/>
      <c r="K494" s="737"/>
      <c r="L494" s="738"/>
      <c r="M494" s="737"/>
      <c r="N494" s="737"/>
      <c r="O494" s="737"/>
      <c r="P494" s="737"/>
      <c r="Q494" s="737"/>
      <c r="R494" s="737"/>
    </row>
    <row r="495" spans="1:18">
      <c r="A495" s="737"/>
      <c r="B495" s="737"/>
      <c r="C495" s="737"/>
      <c r="D495" s="737"/>
      <c r="E495" s="737"/>
      <c r="F495" s="737"/>
      <c r="G495" s="737"/>
      <c r="H495" s="737"/>
      <c r="I495" s="737"/>
      <c r="J495" s="737"/>
      <c r="K495" s="737"/>
      <c r="L495" s="738"/>
      <c r="M495" s="737"/>
      <c r="N495" s="737"/>
      <c r="O495" s="737"/>
      <c r="P495" s="737"/>
      <c r="Q495" s="737"/>
      <c r="R495" s="737"/>
    </row>
    <row r="496" spans="1:18">
      <c r="A496" s="737"/>
      <c r="B496" s="737"/>
      <c r="C496" s="737"/>
      <c r="D496" s="737"/>
      <c r="E496" s="737"/>
      <c r="F496" s="737"/>
      <c r="G496" s="737"/>
      <c r="H496" s="737"/>
      <c r="I496" s="737"/>
      <c r="J496" s="737"/>
      <c r="K496" s="737"/>
      <c r="L496" s="738"/>
      <c r="M496" s="737"/>
      <c r="N496" s="737"/>
      <c r="O496" s="737"/>
      <c r="P496" s="737"/>
      <c r="Q496" s="737"/>
      <c r="R496" s="737"/>
    </row>
    <row r="497" spans="1:18">
      <c r="A497" s="737"/>
      <c r="B497" s="737"/>
      <c r="C497" s="737"/>
      <c r="D497" s="737"/>
      <c r="E497" s="737"/>
      <c r="F497" s="737"/>
      <c r="G497" s="737"/>
      <c r="H497" s="737"/>
      <c r="I497" s="737"/>
      <c r="J497" s="737"/>
      <c r="K497" s="737"/>
      <c r="L497" s="738"/>
      <c r="M497" s="737"/>
      <c r="N497" s="737"/>
      <c r="O497" s="737"/>
      <c r="P497" s="737"/>
      <c r="Q497" s="737"/>
      <c r="R497" s="737"/>
    </row>
    <row r="498" spans="1:18">
      <c r="A498" s="737"/>
      <c r="B498" s="737"/>
      <c r="C498" s="737"/>
      <c r="D498" s="737"/>
      <c r="E498" s="737"/>
      <c r="F498" s="737"/>
      <c r="G498" s="737"/>
      <c r="H498" s="737"/>
      <c r="I498" s="737"/>
      <c r="J498" s="737"/>
      <c r="K498" s="737"/>
      <c r="L498" s="738"/>
      <c r="M498" s="737"/>
      <c r="N498" s="737"/>
      <c r="O498" s="737"/>
      <c r="P498" s="737"/>
      <c r="Q498" s="737"/>
      <c r="R498" s="737"/>
    </row>
    <row r="499" spans="1:18">
      <c r="A499" s="737"/>
      <c r="B499" s="737"/>
      <c r="C499" s="737"/>
      <c r="D499" s="737"/>
      <c r="E499" s="737"/>
      <c r="F499" s="737"/>
      <c r="G499" s="737"/>
      <c r="H499" s="737"/>
      <c r="I499" s="737"/>
      <c r="J499" s="737"/>
      <c r="K499" s="737"/>
      <c r="L499" s="738"/>
      <c r="M499" s="737"/>
      <c r="N499" s="737"/>
      <c r="O499" s="737"/>
      <c r="P499" s="737"/>
      <c r="Q499" s="737"/>
      <c r="R499" s="737"/>
    </row>
    <row r="500" spans="1:18">
      <c r="A500" s="737"/>
      <c r="B500" s="737"/>
      <c r="C500" s="737"/>
      <c r="D500" s="737"/>
      <c r="E500" s="737"/>
      <c r="F500" s="737"/>
      <c r="G500" s="737"/>
      <c r="H500" s="737"/>
      <c r="I500" s="737"/>
      <c r="J500" s="737"/>
      <c r="K500" s="737"/>
      <c r="L500" s="738"/>
      <c r="M500" s="737"/>
      <c r="N500" s="737"/>
      <c r="O500" s="737"/>
      <c r="P500" s="737"/>
      <c r="Q500" s="737"/>
      <c r="R500" s="737"/>
    </row>
    <row r="501" spans="1:18">
      <c r="A501" s="737"/>
      <c r="B501" s="737"/>
      <c r="C501" s="737"/>
      <c r="D501" s="737"/>
      <c r="E501" s="737"/>
      <c r="F501" s="737"/>
      <c r="G501" s="737"/>
      <c r="H501" s="737"/>
      <c r="I501" s="737"/>
      <c r="J501" s="737"/>
      <c r="K501" s="737"/>
      <c r="L501" s="738"/>
      <c r="M501" s="737"/>
      <c r="N501" s="737"/>
      <c r="O501" s="737"/>
      <c r="P501" s="737"/>
      <c r="Q501" s="737"/>
      <c r="R501" s="737"/>
    </row>
    <row r="502" spans="1:18">
      <c r="A502" s="737"/>
      <c r="B502" s="737"/>
      <c r="C502" s="737"/>
      <c r="D502" s="737"/>
      <c r="E502" s="737"/>
      <c r="F502" s="737"/>
      <c r="G502" s="737"/>
      <c r="H502" s="737"/>
      <c r="I502" s="737"/>
      <c r="J502" s="737"/>
      <c r="K502" s="737"/>
      <c r="L502" s="738"/>
      <c r="M502" s="737"/>
      <c r="N502" s="737"/>
      <c r="O502" s="737"/>
      <c r="P502" s="737"/>
      <c r="Q502" s="737"/>
      <c r="R502" s="737"/>
    </row>
    <row r="503" spans="1:18">
      <c r="A503" s="737"/>
      <c r="B503" s="737"/>
      <c r="C503" s="737"/>
      <c r="D503" s="737"/>
      <c r="E503" s="737"/>
      <c r="F503" s="737"/>
      <c r="G503" s="737"/>
      <c r="H503" s="737"/>
      <c r="I503" s="737"/>
      <c r="J503" s="737"/>
      <c r="K503" s="737"/>
      <c r="L503" s="738"/>
      <c r="M503" s="737"/>
      <c r="N503" s="737"/>
      <c r="O503" s="737"/>
      <c r="P503" s="737"/>
      <c r="Q503" s="737"/>
      <c r="R503" s="737"/>
    </row>
    <row r="504" spans="1:18">
      <c r="A504" s="737"/>
      <c r="B504" s="737"/>
      <c r="C504" s="737"/>
      <c r="D504" s="737"/>
      <c r="E504" s="737"/>
      <c r="F504" s="737"/>
      <c r="G504" s="737"/>
      <c r="H504" s="737"/>
      <c r="I504" s="737"/>
      <c r="J504" s="737"/>
      <c r="K504" s="737"/>
      <c r="L504" s="738"/>
      <c r="M504" s="737"/>
      <c r="N504" s="737"/>
      <c r="O504" s="737"/>
      <c r="P504" s="737"/>
      <c r="Q504" s="737"/>
      <c r="R504" s="737"/>
    </row>
  </sheetData>
  <autoFilter ref="A3:R53" xr:uid="{00000000-0001-0000-0100-000000000000}"/>
  <sortState xmlns:xlrd2="http://schemas.microsoft.com/office/spreadsheetml/2017/richdata2" ref="A4:R5">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R3" sqref="R3:R5"/>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856" t="s">
        <v>837</v>
      </c>
      <c r="B1" s="857"/>
      <c r="C1" s="857"/>
      <c r="D1" s="857"/>
      <c r="E1" s="857"/>
      <c r="F1" s="857"/>
      <c r="G1" s="857"/>
      <c r="H1" s="857"/>
      <c r="I1" s="857"/>
      <c r="J1" s="857"/>
      <c r="K1" s="857"/>
      <c r="L1" s="857"/>
      <c r="M1" s="857"/>
      <c r="N1" s="857"/>
      <c r="O1" s="857"/>
      <c r="P1" s="857"/>
      <c r="Q1" s="857"/>
      <c r="R1" s="858"/>
      <c r="S1" s="557" t="s">
        <v>1258</v>
      </c>
      <c r="T1" s="432"/>
      <c r="U1" s="432"/>
      <c r="V1" s="432"/>
    </row>
    <row r="2" spans="1:22" s="435" customFormat="1" ht="39.9" customHeight="1">
      <c r="A2" s="854" t="s">
        <v>1512</v>
      </c>
      <c r="B2" s="854"/>
      <c r="C2" s="854"/>
      <c r="D2" s="854"/>
      <c r="E2" s="854"/>
      <c r="F2" s="854"/>
      <c r="G2" s="854"/>
      <c r="H2" s="854"/>
      <c r="I2" s="854"/>
      <c r="J2" s="854"/>
      <c r="K2" s="854"/>
      <c r="L2" s="854"/>
      <c r="M2" s="854"/>
      <c r="N2" s="854"/>
      <c r="O2" s="854"/>
      <c r="P2" s="854"/>
      <c r="Q2" s="854"/>
      <c r="R2" s="855"/>
      <c r="S2" s="558" t="s">
        <v>1259</v>
      </c>
    </row>
    <row r="3" spans="1:22" s="435" customFormat="1" ht="40.049999999999997" customHeight="1">
      <c r="A3" s="437" t="s">
        <v>821</v>
      </c>
      <c r="B3" s="438" t="s">
        <v>1502</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6" t="str">
        <f>HYPERLINK("https://kabutan.jp/stock/?code="&amp;TEXT(C4,"0000"),"株探")</f>
        <v>株探</v>
      </c>
      <c r="B4" s="747">
        <v>1</v>
      </c>
      <c r="C4" s="830">
        <v>6027</v>
      </c>
      <c r="D4" s="746" t="s">
        <v>140</v>
      </c>
      <c r="E4" s="741">
        <v>2277</v>
      </c>
      <c r="F4" s="741">
        <v>2362</v>
      </c>
      <c r="G4" s="741">
        <v>2277</v>
      </c>
      <c r="H4" s="742">
        <v>48900</v>
      </c>
      <c r="I4" s="743">
        <v>44</v>
      </c>
      <c r="J4" s="538" t="s">
        <v>1223</v>
      </c>
      <c r="K4" s="755" t="s">
        <v>540</v>
      </c>
      <c r="L4" s="740" t="s">
        <v>1504</v>
      </c>
      <c r="M4" s="743">
        <v>-10.17</v>
      </c>
      <c r="N4" s="755" t="s">
        <v>1214</v>
      </c>
      <c r="O4" s="741">
        <v>2095</v>
      </c>
      <c r="P4" s="741">
        <v>2368</v>
      </c>
      <c r="Q4" s="745">
        <v>12</v>
      </c>
      <c r="R4" s="744" t="s">
        <v>1505</v>
      </c>
      <c r="S4" s="436"/>
      <c r="T4" s="436"/>
      <c r="U4" s="436"/>
      <c r="V4" s="436"/>
    </row>
    <row r="5" spans="1:22" s="435" customFormat="1" ht="40.5" customHeight="1">
      <c r="A5" s="716" t="str">
        <f>HYPERLINK("https://kabutan.jp/stock/?code="&amp;TEXT(C5,"0000"),"株探")</f>
        <v>株探</v>
      </c>
      <c r="B5" s="839">
        <v>2</v>
      </c>
      <c r="C5" s="832">
        <v>6954</v>
      </c>
      <c r="D5" s="833" t="s">
        <v>152</v>
      </c>
      <c r="E5" s="834">
        <v>6114</v>
      </c>
      <c r="F5" s="834">
        <v>6386</v>
      </c>
      <c r="G5" s="834">
        <v>5808</v>
      </c>
      <c r="H5" s="835">
        <v>21706000</v>
      </c>
      <c r="I5" s="836">
        <v>49.6</v>
      </c>
      <c r="J5" s="757" t="s">
        <v>1509</v>
      </c>
      <c r="K5" s="755" t="s">
        <v>540</v>
      </c>
      <c r="L5" s="831" t="s">
        <v>1510</v>
      </c>
      <c r="M5" s="836">
        <v>-75.34</v>
      </c>
      <c r="N5" s="769" t="s">
        <v>1214</v>
      </c>
      <c r="O5" s="834">
        <v>5625</v>
      </c>
      <c r="P5" s="834">
        <v>6359</v>
      </c>
      <c r="Q5" s="829">
        <v>11</v>
      </c>
      <c r="R5" s="837" t="s">
        <v>1511</v>
      </c>
      <c r="S5" s="436"/>
      <c r="T5" s="436"/>
      <c r="U5" s="436"/>
      <c r="V5" s="436"/>
    </row>
    <row r="6" spans="1:22" s="435" customFormat="1" ht="40.5" customHeight="1">
      <c r="A6" s="748"/>
      <c r="B6" s="764"/>
      <c r="C6" s="759"/>
      <c r="D6" s="758"/>
      <c r="E6" s="760"/>
      <c r="F6" s="760"/>
      <c r="G6" s="760"/>
      <c r="H6" s="761"/>
      <c r="I6" s="762"/>
      <c r="J6" s="763"/>
      <c r="K6" s="764"/>
      <c r="L6" s="764"/>
      <c r="M6" s="762"/>
      <c r="N6" s="765"/>
      <c r="O6" s="760"/>
      <c r="P6" s="760"/>
      <c r="Q6" s="766"/>
      <c r="R6" s="767"/>
      <c r="S6" s="436"/>
      <c r="T6" s="436"/>
      <c r="U6" s="436"/>
      <c r="V6" s="436"/>
    </row>
    <row r="7" spans="1:22" s="435" customFormat="1" ht="40.5" customHeight="1">
      <c r="A7" s="748"/>
      <c r="B7" s="755"/>
      <c r="C7" s="768"/>
      <c r="D7" s="750"/>
      <c r="E7" s="751"/>
      <c r="F7" s="751"/>
      <c r="G7" s="751"/>
      <c r="H7" s="752"/>
      <c r="I7" s="753"/>
      <c r="J7" s="754"/>
      <c r="K7" s="755"/>
      <c r="L7" s="755"/>
      <c r="M7" s="753"/>
      <c r="N7" s="755"/>
      <c r="O7" s="751"/>
      <c r="P7" s="751"/>
      <c r="Q7" s="756"/>
      <c r="R7" s="757"/>
      <c r="S7" s="436"/>
      <c r="T7" s="436"/>
      <c r="U7" s="436"/>
      <c r="V7" s="436"/>
    </row>
    <row r="8" spans="1:22" ht="40.5" customHeight="1">
      <c r="A8" s="748"/>
      <c r="B8" s="764"/>
      <c r="C8" s="759"/>
      <c r="D8" s="838"/>
      <c r="E8" s="760"/>
      <c r="F8" s="760"/>
      <c r="G8" s="760"/>
      <c r="H8" s="761"/>
      <c r="I8" s="762"/>
      <c r="J8" s="763"/>
      <c r="K8" s="764"/>
      <c r="L8" s="764"/>
      <c r="M8" s="762"/>
      <c r="N8" s="765"/>
      <c r="O8" s="760"/>
      <c r="P8" s="760"/>
      <c r="Q8" s="766"/>
      <c r="R8" s="767"/>
    </row>
    <row r="9" spans="1:22" ht="40.5" customHeight="1">
      <c r="A9" s="748"/>
      <c r="B9" s="764"/>
      <c r="C9" s="759"/>
      <c r="D9" s="758"/>
      <c r="E9" s="760"/>
      <c r="F9" s="760"/>
      <c r="G9" s="760"/>
      <c r="H9" s="761"/>
      <c r="I9" s="762"/>
      <c r="J9" s="763"/>
      <c r="K9" s="764"/>
      <c r="L9" s="764"/>
      <c r="M9" s="762"/>
      <c r="N9" s="765"/>
      <c r="O9" s="760"/>
      <c r="P9" s="760"/>
      <c r="Q9" s="766"/>
      <c r="R9" s="767"/>
    </row>
    <row r="10" spans="1:22" ht="40.5" customHeight="1">
      <c r="A10" s="770"/>
      <c r="B10" s="764"/>
      <c r="C10" s="759"/>
      <c r="D10" s="772"/>
      <c r="E10" s="760"/>
      <c r="F10" s="760"/>
      <c r="G10" s="760"/>
      <c r="H10" s="761"/>
      <c r="I10" s="762"/>
      <c r="J10" s="767"/>
      <c r="K10" s="764"/>
      <c r="L10" s="764"/>
      <c r="M10" s="762"/>
      <c r="N10" s="765"/>
      <c r="O10" s="760"/>
      <c r="P10" s="760"/>
      <c r="Q10" s="764"/>
      <c r="R10" s="767"/>
    </row>
    <row r="11" spans="1:22" ht="40.5" customHeight="1">
      <c r="A11" s="770"/>
      <c r="B11" s="755"/>
      <c r="C11" s="749"/>
      <c r="D11" s="771"/>
      <c r="E11" s="751"/>
      <c r="F11" s="751"/>
      <c r="G11" s="751"/>
      <c r="H11" s="752"/>
      <c r="I11" s="753"/>
      <c r="J11" s="757"/>
      <c r="K11" s="755"/>
      <c r="L11" s="755"/>
      <c r="M11" s="753"/>
      <c r="N11" s="769"/>
      <c r="O11" s="751"/>
      <c r="P11" s="751"/>
      <c r="Q11" s="755"/>
      <c r="R11" s="757"/>
    </row>
    <row r="12" spans="1:22" ht="40.5" customHeight="1">
      <c r="A12" s="770"/>
      <c r="B12" s="755"/>
      <c r="C12" s="768"/>
      <c r="D12" s="757"/>
      <c r="E12" s="751"/>
      <c r="F12" s="751"/>
      <c r="G12" s="751"/>
      <c r="H12" s="752"/>
      <c r="I12" s="753"/>
      <c r="J12" s="757"/>
      <c r="K12" s="755"/>
      <c r="L12" s="755"/>
      <c r="M12" s="753"/>
      <c r="N12" s="755"/>
      <c r="O12" s="751"/>
      <c r="P12" s="751"/>
      <c r="Q12" s="755"/>
      <c r="R12" s="757"/>
    </row>
    <row r="13" spans="1:22" ht="40.5" customHeight="1">
      <c r="A13" s="770"/>
      <c r="B13" s="755"/>
      <c r="C13" s="749"/>
      <c r="D13" s="771"/>
      <c r="E13" s="751"/>
      <c r="F13" s="751"/>
      <c r="G13" s="751"/>
      <c r="H13" s="752"/>
      <c r="I13" s="753"/>
      <c r="J13" s="757"/>
      <c r="K13" s="755"/>
      <c r="L13" s="755"/>
      <c r="M13" s="753"/>
      <c r="N13" s="755"/>
      <c r="O13" s="751"/>
      <c r="P13" s="751"/>
      <c r="Q13" s="755"/>
      <c r="R13" s="757"/>
    </row>
    <row r="14" spans="1:22" ht="40.5" customHeight="1">
      <c r="A14" s="770"/>
      <c r="B14" s="764"/>
      <c r="C14" s="759"/>
      <c r="D14" s="772"/>
      <c r="E14" s="760"/>
      <c r="F14" s="760"/>
      <c r="G14" s="760"/>
      <c r="H14" s="761"/>
      <c r="I14" s="762"/>
      <c r="J14" s="767"/>
      <c r="K14" s="764"/>
      <c r="L14" s="764"/>
      <c r="M14" s="762"/>
      <c r="N14" s="765"/>
      <c r="O14" s="760"/>
      <c r="P14" s="760"/>
      <c r="Q14" s="764"/>
      <c r="R14" s="767"/>
    </row>
    <row r="15" spans="1:22" ht="40.5" customHeight="1">
      <c r="A15" s="770"/>
      <c r="B15" s="755"/>
      <c r="C15" s="768"/>
      <c r="D15" s="757"/>
      <c r="E15" s="751"/>
      <c r="F15" s="751"/>
      <c r="G15" s="751"/>
      <c r="H15" s="752"/>
      <c r="I15" s="753"/>
      <c r="J15" s="757"/>
      <c r="K15" s="755"/>
      <c r="L15" s="755"/>
      <c r="M15" s="753"/>
      <c r="N15" s="755"/>
      <c r="O15" s="751"/>
      <c r="P15" s="751"/>
      <c r="Q15" s="755"/>
      <c r="R15" s="757"/>
    </row>
    <row r="16" spans="1:22" ht="40.5" customHeight="1">
      <c r="A16" s="770"/>
      <c r="B16" s="755"/>
      <c r="C16" s="768"/>
      <c r="D16" s="757"/>
      <c r="E16" s="751"/>
      <c r="F16" s="751"/>
      <c r="G16" s="751"/>
      <c r="H16" s="752"/>
      <c r="I16" s="753"/>
      <c r="J16" s="757"/>
      <c r="K16" s="755"/>
      <c r="L16" s="755"/>
      <c r="M16" s="753"/>
      <c r="N16" s="755"/>
      <c r="O16" s="751"/>
      <c r="P16" s="751"/>
      <c r="Q16" s="755"/>
      <c r="R16" s="757"/>
    </row>
    <row r="17" spans="1:18" ht="40.5" customHeight="1">
      <c r="A17" s="770"/>
      <c r="B17" s="764"/>
      <c r="C17" s="759"/>
      <c r="D17" s="772"/>
      <c r="E17" s="760"/>
      <c r="F17" s="760"/>
      <c r="G17" s="760"/>
      <c r="H17" s="761"/>
      <c r="I17" s="762"/>
      <c r="J17" s="767"/>
      <c r="K17" s="764"/>
      <c r="L17" s="764"/>
      <c r="M17" s="762"/>
      <c r="N17" s="765"/>
      <c r="O17" s="760"/>
      <c r="P17" s="760"/>
      <c r="Q17" s="764"/>
      <c r="R17" s="767"/>
    </row>
    <row r="18" spans="1:18" ht="40.5" customHeight="1">
      <c r="A18" s="770"/>
      <c r="B18" s="755"/>
      <c r="C18" s="768"/>
      <c r="D18" s="757"/>
      <c r="E18" s="751"/>
      <c r="F18" s="751"/>
      <c r="G18" s="751"/>
      <c r="H18" s="752"/>
      <c r="I18" s="753"/>
      <c r="J18" s="757"/>
      <c r="K18" s="755"/>
      <c r="L18" s="755"/>
      <c r="M18" s="753"/>
      <c r="N18" s="755"/>
      <c r="O18" s="751"/>
      <c r="P18" s="751"/>
      <c r="Q18" s="755"/>
      <c r="R18" s="757"/>
    </row>
    <row r="19" spans="1:18" ht="40.5" customHeight="1">
      <c r="A19" s="770"/>
      <c r="B19" s="755"/>
      <c r="C19" s="768"/>
      <c r="D19" s="757"/>
      <c r="E19" s="751"/>
      <c r="F19" s="751"/>
      <c r="G19" s="751"/>
      <c r="H19" s="752"/>
      <c r="I19" s="753"/>
      <c r="J19" s="757"/>
      <c r="K19" s="755"/>
      <c r="L19" s="755"/>
      <c r="M19" s="753"/>
      <c r="N19" s="755"/>
      <c r="O19" s="751"/>
      <c r="P19" s="751"/>
      <c r="Q19" s="755"/>
      <c r="R19" s="757"/>
    </row>
    <row r="20" spans="1:18" ht="40.5" customHeight="1">
      <c r="A20" s="770"/>
      <c r="B20" s="755"/>
      <c r="C20" s="749"/>
      <c r="D20" s="771"/>
      <c r="E20" s="751"/>
      <c r="F20" s="751"/>
      <c r="G20" s="751"/>
      <c r="H20" s="752"/>
      <c r="I20" s="753"/>
      <c r="J20" s="757"/>
      <c r="K20" s="755"/>
      <c r="L20" s="755"/>
      <c r="M20" s="753"/>
      <c r="N20" s="810"/>
      <c r="O20" s="751"/>
      <c r="P20" s="751"/>
      <c r="Q20" s="755"/>
      <c r="R20" s="757"/>
    </row>
    <row r="21" spans="1:18" ht="40.5" customHeight="1">
      <c r="A21" s="770"/>
      <c r="B21" s="773"/>
      <c r="C21" s="774"/>
      <c r="D21" s="775"/>
      <c r="E21" s="776"/>
      <c r="F21" s="776"/>
      <c r="G21" s="776"/>
      <c r="H21" s="777"/>
      <c r="I21" s="778"/>
      <c r="J21" s="779"/>
      <c r="K21" s="773"/>
      <c r="L21" s="773"/>
      <c r="M21" s="780"/>
      <c r="N21" s="781"/>
      <c r="O21" s="776"/>
      <c r="P21" s="776"/>
      <c r="Q21" s="773"/>
      <c r="R21" s="779"/>
    </row>
    <row r="22" spans="1:18" ht="40.5" customHeight="1">
      <c r="A22" s="770"/>
      <c r="B22" s="764"/>
      <c r="C22" s="759"/>
      <c r="D22" s="772"/>
      <c r="E22" s="760"/>
      <c r="F22" s="760"/>
      <c r="G22" s="760"/>
      <c r="H22" s="761"/>
      <c r="I22" s="762"/>
      <c r="J22" s="767"/>
      <c r="K22" s="764"/>
      <c r="L22" s="764"/>
      <c r="M22" s="762"/>
      <c r="N22" s="765"/>
      <c r="O22" s="760"/>
      <c r="P22" s="760"/>
      <c r="Q22" s="764"/>
      <c r="R22" s="767"/>
    </row>
    <row r="23" spans="1:18" ht="40.5" customHeight="1">
      <c r="A23" s="770"/>
      <c r="B23" s="764"/>
      <c r="C23" s="759"/>
      <c r="D23" s="772"/>
      <c r="E23" s="760"/>
      <c r="F23" s="760"/>
      <c r="G23" s="760"/>
      <c r="H23" s="761"/>
      <c r="I23" s="762"/>
      <c r="J23" s="767"/>
      <c r="K23" s="764"/>
      <c r="L23" s="764"/>
      <c r="M23" s="762"/>
      <c r="N23" s="765"/>
      <c r="O23" s="760"/>
      <c r="P23" s="760"/>
      <c r="Q23" s="764"/>
      <c r="R23" s="767"/>
    </row>
    <row r="24" spans="1:18" ht="40.5" customHeight="1">
      <c r="A24" s="770"/>
      <c r="B24" s="755"/>
      <c r="C24" s="749"/>
      <c r="D24" s="757"/>
      <c r="E24" s="751"/>
      <c r="F24" s="751"/>
      <c r="G24" s="751"/>
      <c r="H24" s="752"/>
      <c r="I24" s="753"/>
      <c r="J24" s="757"/>
      <c r="K24" s="755"/>
      <c r="L24" s="755"/>
      <c r="M24" s="753"/>
      <c r="N24" s="755"/>
      <c r="O24" s="751"/>
      <c r="P24" s="751"/>
      <c r="Q24" s="755"/>
      <c r="R24" s="757"/>
    </row>
    <row r="25" spans="1:18" ht="40.5" customHeight="1">
      <c r="A25" s="770"/>
      <c r="B25" s="771"/>
      <c r="C25" s="768"/>
      <c r="D25" s="757"/>
      <c r="E25" s="751"/>
      <c r="F25" s="751"/>
      <c r="G25" s="751"/>
      <c r="H25" s="752"/>
      <c r="I25" s="753"/>
      <c r="J25" s="757"/>
      <c r="K25" s="755"/>
      <c r="L25" s="755"/>
      <c r="M25" s="753"/>
      <c r="N25" s="755"/>
      <c r="O25" s="751"/>
      <c r="P25" s="751"/>
      <c r="Q25" s="755"/>
      <c r="R25" s="757"/>
    </row>
    <row r="26" spans="1:18" ht="40.5" customHeight="1">
      <c r="A26" s="770"/>
      <c r="B26" s="764"/>
      <c r="C26" s="759"/>
      <c r="D26" s="772"/>
      <c r="E26" s="760"/>
      <c r="F26" s="760"/>
      <c r="G26" s="760"/>
      <c r="H26" s="761"/>
      <c r="I26" s="762"/>
      <c r="J26" s="767"/>
      <c r="K26" s="764"/>
      <c r="L26" s="764"/>
      <c r="M26" s="762"/>
      <c r="N26" s="765"/>
      <c r="O26" s="760"/>
      <c r="P26" s="760"/>
      <c r="Q26" s="764"/>
      <c r="R26" s="767"/>
    </row>
    <row r="27" spans="1:18" ht="40.5" customHeight="1">
      <c r="A27" s="770"/>
      <c r="B27" s="755"/>
      <c r="C27" s="749"/>
      <c r="D27" s="771"/>
      <c r="E27" s="751"/>
      <c r="F27" s="751"/>
      <c r="G27" s="751"/>
      <c r="H27" s="752"/>
      <c r="I27" s="753"/>
      <c r="J27" s="757"/>
      <c r="K27" s="755"/>
      <c r="L27" s="755"/>
      <c r="M27" s="753"/>
      <c r="N27" s="755"/>
      <c r="O27" s="751"/>
      <c r="P27" s="751"/>
      <c r="Q27" s="755"/>
      <c r="R27" s="757"/>
    </row>
    <row r="28" spans="1:18" ht="40.5" customHeight="1">
      <c r="A28" s="770"/>
      <c r="B28" s="771"/>
      <c r="C28" s="749"/>
      <c r="D28" s="771"/>
      <c r="E28" s="751"/>
      <c r="F28" s="751"/>
      <c r="G28" s="751"/>
      <c r="H28" s="752"/>
      <c r="I28" s="753"/>
      <c r="J28" s="757"/>
      <c r="K28" s="755"/>
      <c r="L28" s="755"/>
      <c r="M28" s="753"/>
      <c r="N28" s="769"/>
      <c r="O28" s="751"/>
      <c r="P28" s="751"/>
      <c r="Q28" s="755"/>
      <c r="R28" s="757"/>
    </row>
    <row r="29" spans="1:18" ht="40.5" customHeight="1">
      <c r="A29" s="770"/>
      <c r="B29" s="764"/>
      <c r="C29" s="759"/>
      <c r="D29" s="772"/>
      <c r="E29" s="760"/>
      <c r="F29" s="760"/>
      <c r="G29" s="760"/>
      <c r="H29" s="761"/>
      <c r="I29" s="762"/>
      <c r="J29" s="767"/>
      <c r="K29" s="764"/>
      <c r="L29" s="764"/>
      <c r="M29" s="762"/>
      <c r="N29" s="765"/>
      <c r="O29" s="760"/>
      <c r="P29" s="760"/>
      <c r="Q29" s="764"/>
      <c r="R29" s="767"/>
    </row>
    <row r="30" spans="1:18" ht="40.5" customHeight="1">
      <c r="A30" s="731"/>
      <c r="B30" s="771"/>
      <c r="C30" s="749"/>
      <c r="D30" s="771"/>
      <c r="E30" s="751"/>
      <c r="F30" s="751"/>
      <c r="G30" s="751"/>
      <c r="H30" s="752"/>
      <c r="I30" s="753"/>
      <c r="J30" s="757"/>
      <c r="K30" s="755"/>
      <c r="L30" s="755"/>
      <c r="M30" s="753"/>
      <c r="N30" s="769"/>
      <c r="O30" s="751"/>
      <c r="P30" s="751"/>
      <c r="Q30" s="755"/>
      <c r="R30" s="757"/>
    </row>
    <row r="31" spans="1:18" ht="40.5" customHeight="1">
      <c r="A31" s="731"/>
      <c r="B31" s="783"/>
      <c r="C31" s="784"/>
      <c r="D31" s="783"/>
      <c r="E31" s="785"/>
      <c r="F31" s="785"/>
      <c r="G31" s="785"/>
      <c r="H31" s="786"/>
      <c r="I31" s="787"/>
      <c r="J31" s="788"/>
      <c r="K31" s="789"/>
      <c r="L31" s="789"/>
      <c r="M31" s="790"/>
      <c r="N31" s="791"/>
      <c r="O31" s="785"/>
      <c r="P31" s="785"/>
      <c r="Q31" s="789"/>
      <c r="R31" s="788"/>
    </row>
    <row r="32" spans="1:18" ht="40.5" customHeight="1">
      <c r="A32" s="731"/>
      <c r="B32" s="764"/>
      <c r="C32" s="759"/>
      <c r="D32" s="764"/>
      <c r="E32" s="760"/>
      <c r="F32" s="760"/>
      <c r="G32" s="760"/>
      <c r="H32" s="761"/>
      <c r="I32" s="762"/>
      <c r="J32" s="767"/>
      <c r="K32" s="764"/>
      <c r="L32" s="764"/>
      <c r="M32" s="762"/>
      <c r="N32" s="764"/>
      <c r="O32" s="760"/>
      <c r="P32" s="760"/>
      <c r="Q32" s="764"/>
      <c r="R32" s="767"/>
    </row>
    <row r="33" spans="1:18" ht="40.5" customHeight="1">
      <c r="A33" s="731"/>
      <c r="B33" s="771"/>
      <c r="C33" s="749"/>
      <c r="D33" s="771"/>
      <c r="E33" s="751"/>
      <c r="F33" s="751"/>
      <c r="G33" s="751"/>
      <c r="H33" s="752"/>
      <c r="I33" s="753"/>
      <c r="J33" s="757"/>
      <c r="K33" s="755"/>
      <c r="L33" s="755"/>
      <c r="M33" s="753"/>
      <c r="N33" s="769"/>
      <c r="O33" s="751"/>
      <c r="P33" s="751"/>
      <c r="Q33" s="755"/>
      <c r="R33" s="757"/>
    </row>
    <row r="34" spans="1:18" ht="40.5" customHeight="1">
      <c r="A34" s="731"/>
      <c r="B34" s="771"/>
      <c r="C34" s="749"/>
      <c r="D34" s="771"/>
      <c r="E34" s="751"/>
      <c r="F34" s="751"/>
      <c r="G34" s="751"/>
      <c r="H34" s="752"/>
      <c r="I34" s="753"/>
      <c r="J34" s="757"/>
      <c r="K34" s="755"/>
      <c r="L34" s="755"/>
      <c r="M34" s="753"/>
      <c r="N34" s="769"/>
      <c r="O34" s="751"/>
      <c r="P34" s="751"/>
      <c r="Q34" s="755"/>
      <c r="R34" s="757"/>
    </row>
    <row r="35" spans="1:18" ht="40.5" customHeight="1">
      <c r="A35" s="731"/>
      <c r="B35" s="783"/>
      <c r="C35" s="784"/>
      <c r="D35" s="783"/>
      <c r="E35" s="785"/>
      <c r="F35" s="785"/>
      <c r="G35" s="785"/>
      <c r="H35" s="786"/>
      <c r="I35" s="787"/>
      <c r="J35" s="788"/>
      <c r="K35" s="789"/>
      <c r="L35" s="789"/>
      <c r="M35" s="790"/>
      <c r="N35" s="791"/>
      <c r="O35" s="785"/>
      <c r="P35" s="785"/>
      <c r="Q35" s="789"/>
      <c r="R35" s="788"/>
    </row>
    <row r="36" spans="1:18" ht="40.5" customHeight="1">
      <c r="A36" s="731"/>
      <c r="B36" s="771"/>
      <c r="C36" s="749"/>
      <c r="D36" s="771"/>
      <c r="E36" s="751"/>
      <c r="F36" s="751"/>
      <c r="G36" s="751"/>
      <c r="H36" s="752"/>
      <c r="I36" s="753"/>
      <c r="J36" s="757"/>
      <c r="K36" s="755"/>
      <c r="L36" s="755"/>
      <c r="M36" s="753"/>
      <c r="N36" s="769"/>
      <c r="O36" s="751"/>
      <c r="P36" s="751"/>
      <c r="Q36" s="755"/>
      <c r="R36" s="757"/>
    </row>
    <row r="37" spans="1:18" ht="40.5" customHeight="1">
      <c r="A37" s="731"/>
      <c r="B37" s="771"/>
      <c r="C37" s="749"/>
      <c r="D37" s="771"/>
      <c r="E37" s="751"/>
      <c r="F37" s="751"/>
      <c r="G37" s="751"/>
      <c r="H37" s="752"/>
      <c r="I37" s="753"/>
      <c r="J37" s="757"/>
      <c r="K37" s="755"/>
      <c r="L37" s="755"/>
      <c r="M37" s="753"/>
      <c r="N37" s="769"/>
      <c r="O37" s="751"/>
      <c r="P37" s="751"/>
      <c r="Q37" s="755"/>
      <c r="R37" s="757"/>
    </row>
    <row r="38" spans="1:18" ht="40.5" customHeight="1">
      <c r="A38" s="731"/>
      <c r="B38" s="764"/>
      <c r="C38" s="759"/>
      <c r="D38" s="772"/>
      <c r="E38" s="760"/>
      <c r="F38" s="760"/>
      <c r="G38" s="760"/>
      <c r="H38" s="761"/>
      <c r="I38" s="762"/>
      <c r="J38" s="767"/>
      <c r="K38" s="764"/>
      <c r="L38" s="764"/>
      <c r="M38" s="762"/>
      <c r="N38" s="765"/>
      <c r="O38" s="760"/>
      <c r="P38" s="760"/>
      <c r="Q38" s="764"/>
      <c r="R38" s="767"/>
    </row>
    <row r="39" spans="1:18" ht="40.5" customHeight="1">
      <c r="A39" s="731"/>
      <c r="B39" s="771"/>
      <c r="C39" s="768"/>
      <c r="D39" s="757"/>
      <c r="E39" s="751"/>
      <c r="F39" s="751"/>
      <c r="G39" s="751"/>
      <c r="H39" s="752"/>
      <c r="I39" s="753"/>
      <c r="J39" s="757"/>
      <c r="K39" s="755"/>
      <c r="L39" s="755"/>
      <c r="M39" s="753"/>
      <c r="N39" s="755"/>
      <c r="O39" s="751"/>
      <c r="P39" s="751"/>
      <c r="Q39" s="755"/>
      <c r="R39" s="757"/>
    </row>
    <row r="40" spans="1:18" ht="40.5" customHeight="1">
      <c r="A40" s="731"/>
      <c r="B40" s="771"/>
      <c r="C40" s="768"/>
      <c r="D40" s="757"/>
      <c r="E40" s="751"/>
      <c r="F40" s="751"/>
      <c r="G40" s="751"/>
      <c r="H40" s="752"/>
      <c r="I40" s="753"/>
      <c r="J40" s="757"/>
      <c r="K40" s="755"/>
      <c r="L40" s="755"/>
      <c r="M40" s="753"/>
      <c r="N40" s="755"/>
      <c r="O40" s="751"/>
      <c r="P40" s="751"/>
      <c r="Q40" s="755"/>
      <c r="R40" s="757"/>
    </row>
    <row r="41" spans="1:18" ht="40.5" customHeight="1">
      <c r="A41" s="731"/>
      <c r="B41" s="771"/>
      <c r="C41" s="768"/>
      <c r="D41" s="757"/>
      <c r="E41" s="751"/>
      <c r="F41" s="751"/>
      <c r="G41" s="751"/>
      <c r="H41" s="752"/>
      <c r="I41" s="753"/>
      <c r="J41" s="757"/>
      <c r="K41" s="755"/>
      <c r="L41" s="755"/>
      <c r="M41" s="753"/>
      <c r="N41" s="755"/>
      <c r="O41" s="751"/>
      <c r="P41" s="751"/>
      <c r="Q41" s="755"/>
      <c r="R41" s="757"/>
    </row>
    <row r="42" spans="1:18" ht="40.5" customHeight="1">
      <c r="A42" s="731"/>
      <c r="B42" s="764"/>
      <c r="C42" s="792"/>
      <c r="D42" s="767"/>
      <c r="E42" s="760"/>
      <c r="F42" s="760"/>
      <c r="G42" s="760"/>
      <c r="H42" s="761"/>
      <c r="I42" s="762"/>
      <c r="J42" s="767"/>
      <c r="K42" s="764"/>
      <c r="L42" s="764"/>
      <c r="M42" s="762"/>
      <c r="N42" s="764"/>
      <c r="O42" s="760"/>
      <c r="P42" s="760"/>
      <c r="Q42" s="764"/>
      <c r="R42" s="779"/>
    </row>
    <row r="43" spans="1:18" ht="40.5" customHeight="1">
      <c r="A43" s="731"/>
      <c r="B43" s="793"/>
      <c r="C43" s="794"/>
      <c r="D43" s="795"/>
      <c r="E43" s="796"/>
      <c r="F43" s="796"/>
      <c r="G43" s="796"/>
      <c r="H43" s="797"/>
      <c r="I43" s="798"/>
      <c r="J43" s="795"/>
      <c r="K43" s="799"/>
      <c r="L43" s="799"/>
      <c r="M43" s="798"/>
      <c r="N43" s="799"/>
      <c r="O43" s="796"/>
      <c r="P43" s="796"/>
      <c r="Q43" s="799"/>
      <c r="R43" s="795"/>
    </row>
    <row r="44" spans="1:18" ht="40.5" customHeight="1">
      <c r="A44" s="731"/>
      <c r="B44" s="793"/>
      <c r="C44" s="794"/>
      <c r="D44" s="795"/>
      <c r="E44" s="796"/>
      <c r="F44" s="796"/>
      <c r="G44" s="796"/>
      <c r="H44" s="797"/>
      <c r="I44" s="798"/>
      <c r="J44" s="795"/>
      <c r="K44" s="799"/>
      <c r="L44" s="799"/>
      <c r="M44" s="798"/>
      <c r="N44" s="799"/>
      <c r="O44" s="796"/>
      <c r="P44" s="796"/>
      <c r="Q44" s="799"/>
      <c r="R44" s="795"/>
    </row>
    <row r="45" spans="1:18" ht="40.5" customHeight="1">
      <c r="A45" s="731"/>
      <c r="B45" s="793"/>
      <c r="C45" s="794"/>
      <c r="D45" s="795"/>
      <c r="E45" s="796"/>
      <c r="F45" s="796"/>
      <c r="G45" s="796"/>
      <c r="H45" s="797"/>
      <c r="I45" s="798"/>
      <c r="J45" s="795"/>
      <c r="K45" s="799"/>
      <c r="L45" s="799"/>
      <c r="M45" s="798"/>
      <c r="N45" s="799"/>
      <c r="O45" s="796"/>
      <c r="P45" s="796"/>
      <c r="Q45" s="799"/>
      <c r="R45" s="795"/>
    </row>
    <row r="46" spans="1:18" ht="24" customHeight="1">
      <c r="A46" s="731"/>
      <c r="B46" s="800"/>
      <c r="C46" s="801"/>
      <c r="D46" s="802"/>
      <c r="E46" s="803"/>
      <c r="F46" s="803"/>
      <c r="G46" s="803"/>
      <c r="H46" s="804"/>
      <c r="I46" s="805"/>
      <c r="J46" s="802"/>
      <c r="K46" s="806"/>
      <c r="L46" s="806"/>
      <c r="M46" s="805"/>
      <c r="N46" s="806"/>
      <c r="O46" s="803"/>
      <c r="P46" s="803"/>
      <c r="Q46" s="807"/>
      <c r="R46" s="808"/>
    </row>
    <row r="47" spans="1:18" ht="24" customHeight="1">
      <c r="A47" s="731"/>
      <c r="B47" s="793"/>
      <c r="C47" s="809"/>
      <c r="D47" s="793"/>
      <c r="E47" s="796"/>
      <c r="F47" s="796"/>
      <c r="G47" s="796"/>
      <c r="H47" s="797"/>
      <c r="I47" s="798"/>
      <c r="J47" s="795"/>
      <c r="K47" s="799"/>
      <c r="L47" s="799"/>
      <c r="M47" s="798"/>
      <c r="N47" s="810"/>
      <c r="O47" s="796"/>
      <c r="P47" s="796"/>
      <c r="Q47" s="799"/>
      <c r="R47" s="795"/>
    </row>
    <row r="48" spans="1:18" ht="24" customHeight="1">
      <c r="A48" s="731"/>
      <c r="B48" s="793"/>
      <c r="C48" s="794"/>
      <c r="D48" s="795"/>
      <c r="E48" s="796"/>
      <c r="F48" s="796"/>
      <c r="G48" s="796"/>
      <c r="H48" s="797"/>
      <c r="I48" s="798"/>
      <c r="J48" s="795"/>
      <c r="K48" s="799"/>
      <c r="L48" s="799"/>
      <c r="M48" s="798"/>
      <c r="N48" s="799"/>
      <c r="O48" s="796"/>
      <c r="P48" s="796"/>
      <c r="Q48" s="799"/>
      <c r="R48" s="795"/>
    </row>
    <row r="49" spans="1:18" ht="24" customHeight="1">
      <c r="A49" s="731"/>
      <c r="B49" s="793"/>
      <c r="C49" s="794"/>
      <c r="D49" s="795"/>
      <c r="E49" s="796"/>
      <c r="F49" s="796"/>
      <c r="G49" s="796"/>
      <c r="H49" s="797"/>
      <c r="I49" s="798"/>
      <c r="J49" s="795"/>
      <c r="K49" s="799"/>
      <c r="L49" s="799"/>
      <c r="M49" s="798"/>
      <c r="N49" s="799"/>
      <c r="O49" s="796"/>
      <c r="P49" s="796"/>
      <c r="Q49" s="799"/>
      <c r="R49" s="795"/>
    </row>
    <row r="50" spans="1:18" ht="24.6">
      <c r="A50" s="731"/>
      <c r="B50" s="793"/>
      <c r="C50" s="794"/>
      <c r="D50" s="795"/>
      <c r="E50" s="796"/>
      <c r="F50" s="796"/>
      <c r="G50" s="796"/>
      <c r="H50" s="797"/>
      <c r="I50" s="798"/>
      <c r="J50" s="795"/>
      <c r="K50" s="799"/>
      <c r="L50" s="799"/>
      <c r="M50" s="798"/>
      <c r="N50" s="799"/>
      <c r="O50" s="796"/>
      <c r="P50" s="796"/>
      <c r="Q50" s="799"/>
      <c r="R50" s="795"/>
    </row>
    <row r="51" spans="1:18" ht="24.6" customHeight="1">
      <c r="A51" s="731"/>
      <c r="B51" s="800"/>
      <c r="C51" s="801"/>
      <c r="D51" s="802"/>
      <c r="E51" s="803"/>
      <c r="F51" s="803"/>
      <c r="G51" s="803"/>
      <c r="H51" s="804"/>
      <c r="I51" s="805"/>
      <c r="J51" s="802"/>
      <c r="K51" s="806"/>
      <c r="L51" s="806"/>
      <c r="M51" s="805"/>
      <c r="N51" s="806"/>
      <c r="O51" s="803"/>
      <c r="P51" s="803"/>
      <c r="Q51" s="807"/>
      <c r="R51" s="808"/>
    </row>
    <row r="52" spans="1:18" ht="24.6">
      <c r="A52" s="731"/>
      <c r="B52" s="793"/>
      <c r="C52" s="794"/>
      <c r="D52" s="795"/>
      <c r="E52" s="796"/>
      <c r="F52" s="796"/>
      <c r="G52" s="796"/>
      <c r="H52" s="797"/>
      <c r="I52" s="798"/>
      <c r="J52" s="795"/>
      <c r="K52" s="799"/>
      <c r="L52" s="799"/>
      <c r="M52" s="798"/>
      <c r="N52" s="799"/>
      <c r="O52" s="796"/>
      <c r="P52" s="796"/>
      <c r="Q52" s="799"/>
      <c r="R52" s="795"/>
    </row>
    <row r="53" spans="1:18" ht="24.6">
      <c r="A53" s="731"/>
      <c r="B53" s="793"/>
      <c r="C53" s="794"/>
      <c r="D53" s="795"/>
      <c r="E53" s="796"/>
      <c r="F53" s="796"/>
      <c r="G53" s="796"/>
      <c r="H53" s="797"/>
      <c r="I53" s="798"/>
      <c r="J53" s="795"/>
      <c r="K53" s="799"/>
      <c r="L53" s="799"/>
      <c r="M53" s="798"/>
      <c r="N53" s="799"/>
      <c r="O53" s="796"/>
      <c r="P53" s="796"/>
      <c r="Q53" s="799"/>
      <c r="R53" s="795"/>
    </row>
    <row r="54" spans="1:18" ht="24.6">
      <c r="A54" s="731"/>
      <c r="B54" s="793"/>
      <c r="C54" s="794"/>
      <c r="D54" s="795"/>
      <c r="E54" s="796"/>
      <c r="F54" s="796"/>
      <c r="G54" s="796"/>
      <c r="H54" s="797"/>
      <c r="I54" s="798"/>
      <c r="J54" s="795"/>
      <c r="K54" s="799"/>
      <c r="L54" s="799"/>
      <c r="M54" s="798"/>
      <c r="N54" s="799"/>
      <c r="O54" s="796"/>
      <c r="P54" s="796"/>
      <c r="Q54" s="799"/>
      <c r="R54" s="795"/>
    </row>
    <row r="55" spans="1:18" ht="24.6">
      <c r="A55" s="731"/>
      <c r="B55" s="793"/>
      <c r="C55" s="794"/>
      <c r="D55" s="795"/>
      <c r="E55" s="796"/>
      <c r="F55" s="796"/>
      <c r="G55" s="796"/>
      <c r="H55" s="797"/>
      <c r="I55" s="798"/>
      <c r="J55" s="795"/>
      <c r="K55" s="799"/>
      <c r="L55" s="799"/>
      <c r="M55" s="798"/>
      <c r="N55" s="799"/>
      <c r="O55" s="796"/>
      <c r="P55" s="796"/>
      <c r="Q55" s="799"/>
      <c r="R55" s="795"/>
    </row>
    <row r="56" spans="1:18" ht="24.6">
      <c r="A56" s="731"/>
      <c r="B56" s="811"/>
      <c r="C56" s="812"/>
      <c r="D56" s="813"/>
      <c r="E56" s="814"/>
      <c r="F56" s="814"/>
      <c r="G56" s="814"/>
      <c r="H56" s="815"/>
      <c r="I56" s="816"/>
      <c r="J56" s="813"/>
      <c r="K56" s="817"/>
      <c r="L56" s="817"/>
      <c r="M56" s="818"/>
      <c r="N56" s="817"/>
      <c r="O56" s="814"/>
      <c r="P56" s="814"/>
      <c r="Q56" s="817"/>
      <c r="R56" s="813"/>
    </row>
    <row r="57" spans="1:18" ht="24.6">
      <c r="A57" s="731"/>
      <c r="B57" s="793"/>
      <c r="C57" s="794"/>
      <c r="D57" s="795"/>
      <c r="E57" s="796"/>
      <c r="F57" s="796"/>
      <c r="G57" s="796"/>
      <c r="H57" s="797"/>
      <c r="I57" s="798"/>
      <c r="J57" s="795"/>
      <c r="K57" s="799"/>
      <c r="L57" s="799"/>
      <c r="M57" s="798"/>
      <c r="N57" s="799"/>
      <c r="O57" s="796"/>
      <c r="P57" s="796"/>
      <c r="Q57" s="799"/>
      <c r="R57" s="795"/>
    </row>
    <row r="58" spans="1:18" ht="24.6">
      <c r="A58" s="731"/>
      <c r="B58" s="819"/>
      <c r="C58" s="820"/>
      <c r="D58" s="819"/>
      <c r="E58" s="821"/>
      <c r="F58" s="821"/>
      <c r="G58" s="821"/>
      <c r="H58" s="822"/>
      <c r="I58" s="823"/>
      <c r="J58" s="824"/>
      <c r="K58" s="819"/>
      <c r="L58" s="819"/>
      <c r="M58" s="823"/>
      <c r="N58" s="819"/>
      <c r="O58" s="821"/>
      <c r="P58" s="821"/>
      <c r="Q58" s="819"/>
      <c r="R58" s="824"/>
    </row>
    <row r="59" spans="1:18" ht="24.6">
      <c r="A59" s="731"/>
      <c r="B59" s="793"/>
      <c r="C59" s="794"/>
      <c r="D59" s="795"/>
      <c r="E59" s="796"/>
      <c r="F59" s="796"/>
      <c r="G59" s="796"/>
      <c r="H59" s="797"/>
      <c r="I59" s="798"/>
      <c r="J59" s="795"/>
      <c r="K59" s="799"/>
      <c r="L59" s="799"/>
      <c r="M59" s="798"/>
      <c r="N59" s="799"/>
      <c r="O59" s="796"/>
      <c r="P59" s="796"/>
      <c r="Q59" s="799"/>
      <c r="R59" s="795"/>
    </row>
    <row r="60" spans="1:18" ht="24.6">
      <c r="A60" s="731"/>
      <c r="B60" s="793"/>
      <c r="C60" s="794"/>
      <c r="D60" s="795"/>
      <c r="E60" s="796"/>
      <c r="F60" s="796"/>
      <c r="G60" s="796"/>
      <c r="H60" s="797"/>
      <c r="I60" s="798"/>
      <c r="J60" s="795"/>
      <c r="K60" s="799"/>
      <c r="L60" s="799"/>
      <c r="M60" s="798"/>
      <c r="N60" s="799"/>
      <c r="O60" s="796"/>
      <c r="P60" s="796"/>
      <c r="Q60" s="799"/>
      <c r="R60" s="795"/>
    </row>
    <row r="61" spans="1:18" ht="24.6">
      <c r="A61" s="731"/>
      <c r="B61" s="793"/>
      <c r="C61" s="794"/>
      <c r="D61" s="795"/>
      <c r="E61" s="796"/>
      <c r="F61" s="796"/>
      <c r="G61" s="796"/>
      <c r="H61" s="797"/>
      <c r="I61" s="798"/>
      <c r="J61" s="795"/>
      <c r="K61" s="799"/>
      <c r="L61" s="799"/>
      <c r="M61" s="798"/>
      <c r="N61" s="799"/>
      <c r="O61" s="796"/>
      <c r="P61" s="796"/>
      <c r="Q61" s="799"/>
      <c r="R61" s="795"/>
    </row>
    <row r="62" spans="1:18" ht="24.6">
      <c r="A62" s="731"/>
      <c r="B62" s="819"/>
      <c r="C62" s="825"/>
      <c r="D62" s="819"/>
      <c r="E62" s="821"/>
      <c r="F62" s="821"/>
      <c r="G62" s="821"/>
      <c r="H62" s="822"/>
      <c r="I62" s="823"/>
      <c r="J62" s="824"/>
      <c r="K62" s="819"/>
      <c r="L62" s="819"/>
      <c r="M62" s="823"/>
      <c r="N62" s="819"/>
      <c r="O62" s="821"/>
      <c r="P62" s="821"/>
      <c r="Q62" s="819"/>
      <c r="R62" s="824"/>
    </row>
    <row r="63" spans="1:18" ht="24.6" customHeight="1">
      <c r="A63" s="731"/>
      <c r="B63" s="800"/>
      <c r="C63" s="801"/>
      <c r="D63" s="802"/>
      <c r="E63" s="803"/>
      <c r="F63" s="803"/>
      <c r="G63" s="803"/>
      <c r="H63" s="804"/>
      <c r="I63" s="805"/>
      <c r="J63" s="802"/>
      <c r="K63" s="806"/>
      <c r="L63" s="806"/>
      <c r="M63" s="805"/>
      <c r="N63" s="806"/>
      <c r="O63" s="803"/>
      <c r="P63" s="803"/>
      <c r="Q63" s="807"/>
      <c r="R63" s="808"/>
    </row>
    <row r="64" spans="1:18" ht="24.6" customHeight="1">
      <c r="A64" s="731"/>
      <c r="B64" s="800"/>
      <c r="C64" s="801"/>
      <c r="D64" s="802"/>
      <c r="E64" s="803"/>
      <c r="F64" s="803"/>
      <c r="G64" s="803"/>
      <c r="H64" s="804"/>
      <c r="I64" s="805"/>
      <c r="J64" s="802"/>
      <c r="K64" s="806"/>
      <c r="L64" s="806"/>
      <c r="M64" s="805"/>
      <c r="N64" s="806"/>
      <c r="O64" s="803"/>
      <c r="P64" s="803"/>
      <c r="Q64" s="807"/>
      <c r="R64" s="808"/>
    </row>
    <row r="65" spans="1:18" ht="24.6">
      <c r="A65" s="731"/>
      <c r="B65" s="793"/>
      <c r="C65" s="794"/>
      <c r="D65" s="795"/>
      <c r="E65" s="796"/>
      <c r="F65" s="796"/>
      <c r="G65" s="796"/>
      <c r="H65" s="797"/>
      <c r="I65" s="798"/>
      <c r="J65" s="795"/>
      <c r="K65" s="799"/>
      <c r="L65" s="799"/>
      <c r="M65" s="798"/>
      <c r="N65" s="799"/>
      <c r="O65" s="796"/>
      <c r="P65" s="796"/>
      <c r="Q65" s="799"/>
      <c r="R65" s="795"/>
    </row>
    <row r="66" spans="1:18" ht="24.6">
      <c r="A66" s="731"/>
      <c r="B66" s="793"/>
      <c r="C66" s="794"/>
      <c r="D66" s="795"/>
      <c r="E66" s="796"/>
      <c r="F66" s="796"/>
      <c r="G66" s="796"/>
      <c r="H66" s="797"/>
      <c r="I66" s="798"/>
      <c r="J66" s="795"/>
      <c r="K66" s="799"/>
      <c r="L66" s="799"/>
      <c r="M66" s="798"/>
      <c r="N66" s="799"/>
      <c r="O66" s="796"/>
      <c r="P66" s="796"/>
      <c r="Q66" s="799"/>
      <c r="R66" s="795"/>
    </row>
    <row r="67" spans="1:18" ht="24.6" customHeight="1">
      <c r="A67" s="731"/>
      <c r="B67" s="800"/>
      <c r="C67" s="801"/>
      <c r="D67" s="802"/>
      <c r="E67" s="803"/>
      <c r="F67" s="803"/>
      <c r="G67" s="803"/>
      <c r="H67" s="804"/>
      <c r="I67" s="805"/>
      <c r="J67" s="802"/>
      <c r="K67" s="806"/>
      <c r="L67" s="806"/>
      <c r="M67" s="805"/>
      <c r="N67" s="806"/>
      <c r="O67" s="803"/>
      <c r="P67" s="803"/>
      <c r="Q67" s="807"/>
      <c r="R67" s="808"/>
    </row>
    <row r="68" spans="1:18" ht="19.2" customHeight="1">
      <c r="A68" s="731"/>
      <c r="B68" s="819"/>
      <c r="C68" s="820"/>
      <c r="D68" s="826"/>
      <c r="E68" s="821"/>
      <c r="F68" s="821"/>
      <c r="G68" s="821"/>
      <c r="H68" s="822"/>
      <c r="I68" s="823"/>
      <c r="J68" s="824"/>
      <c r="K68" s="819"/>
      <c r="L68" s="819"/>
      <c r="M68" s="823"/>
      <c r="N68" s="782"/>
      <c r="O68" s="821"/>
      <c r="P68" s="821"/>
      <c r="Q68" s="819"/>
      <c r="R68" s="824"/>
    </row>
    <row r="69" spans="1:18" ht="19.2" customHeight="1">
      <c r="A69" s="731"/>
      <c r="B69" s="793"/>
      <c r="C69" s="794"/>
      <c r="D69" s="795"/>
      <c r="E69" s="796"/>
      <c r="F69" s="796"/>
      <c r="G69" s="796"/>
      <c r="H69" s="797"/>
      <c r="I69" s="798"/>
      <c r="J69" s="795"/>
      <c r="K69" s="799"/>
      <c r="L69" s="799"/>
      <c r="M69" s="798"/>
      <c r="N69" s="799"/>
      <c r="O69" s="796"/>
      <c r="P69" s="796"/>
      <c r="Q69" s="799"/>
      <c r="R69" s="795"/>
    </row>
    <row r="70" spans="1:18" ht="19.2" customHeight="1">
      <c r="A70" s="731"/>
      <c r="B70" s="819"/>
      <c r="C70" s="825"/>
      <c r="D70" s="819"/>
      <c r="E70" s="821"/>
      <c r="F70" s="821"/>
      <c r="G70" s="821"/>
      <c r="H70" s="822"/>
      <c r="I70" s="823"/>
      <c r="J70" s="824"/>
      <c r="K70" s="819"/>
      <c r="L70" s="819"/>
      <c r="M70" s="823"/>
      <c r="N70" s="819"/>
      <c r="O70" s="821"/>
      <c r="P70" s="821"/>
      <c r="Q70" s="819"/>
      <c r="R70" s="824"/>
    </row>
    <row r="71" spans="1:18" ht="19.2" customHeight="1">
      <c r="A71" s="731"/>
      <c r="B71" s="811"/>
      <c r="C71" s="827"/>
      <c r="D71" s="813"/>
      <c r="E71" s="814"/>
      <c r="F71" s="814"/>
      <c r="G71" s="814"/>
      <c r="H71" s="815"/>
      <c r="I71" s="816"/>
      <c r="J71" s="813"/>
      <c r="K71" s="817"/>
      <c r="L71" s="817"/>
      <c r="M71" s="818"/>
      <c r="N71" s="817"/>
      <c r="O71" s="814"/>
      <c r="P71" s="814"/>
      <c r="Q71" s="817"/>
      <c r="R71" s="813"/>
    </row>
    <row r="72" spans="1:18">
      <c r="A72" s="731"/>
      <c r="B72" s="800"/>
      <c r="C72" s="801"/>
      <c r="D72" s="802"/>
      <c r="E72" s="803"/>
      <c r="F72" s="803"/>
      <c r="G72" s="803"/>
      <c r="H72" s="804"/>
      <c r="I72" s="805"/>
      <c r="J72" s="802"/>
      <c r="K72" s="806"/>
      <c r="L72" s="806"/>
      <c r="M72" s="805"/>
      <c r="N72" s="806"/>
      <c r="O72" s="803"/>
      <c r="P72" s="803"/>
      <c r="Q72" s="807"/>
      <c r="R72" s="808"/>
    </row>
    <row r="73" spans="1:18" ht="19.2" customHeight="1">
      <c r="A73" s="731"/>
      <c r="B73" s="793"/>
      <c r="C73" s="794"/>
      <c r="D73" s="795"/>
      <c r="E73" s="796"/>
      <c r="F73" s="796"/>
      <c r="G73" s="796"/>
      <c r="H73" s="797"/>
      <c r="I73" s="798"/>
      <c r="J73" s="795"/>
      <c r="K73" s="799"/>
      <c r="L73" s="799"/>
      <c r="M73" s="798"/>
      <c r="N73" s="799"/>
      <c r="O73" s="796"/>
      <c r="P73" s="796"/>
      <c r="Q73" s="799"/>
      <c r="R73" s="795"/>
    </row>
    <row r="74" spans="1:18">
      <c r="A74" s="800"/>
      <c r="B74" s="800"/>
      <c r="C74" s="808"/>
      <c r="D74" s="808"/>
      <c r="E74" s="805"/>
      <c r="F74" s="805"/>
      <c r="G74" s="805"/>
      <c r="H74" s="828"/>
      <c r="I74" s="805"/>
      <c r="J74" s="808"/>
      <c r="K74" s="800"/>
      <c r="L74" s="806"/>
      <c r="M74" s="805"/>
      <c r="N74" s="800"/>
      <c r="O74" s="805"/>
      <c r="P74" s="805"/>
      <c r="Q74" s="800"/>
      <c r="R74" s="808"/>
    </row>
    <row r="75" spans="1:18">
      <c r="A75" s="800"/>
      <c r="B75" s="800"/>
      <c r="C75" s="808"/>
      <c r="D75" s="808"/>
      <c r="E75" s="805"/>
      <c r="F75" s="805"/>
      <c r="G75" s="805"/>
      <c r="H75" s="828"/>
      <c r="I75" s="805"/>
      <c r="J75" s="808"/>
      <c r="K75" s="800"/>
      <c r="L75" s="806"/>
      <c r="M75" s="805"/>
      <c r="N75" s="800"/>
      <c r="O75" s="805"/>
      <c r="P75" s="805"/>
      <c r="Q75" s="800"/>
      <c r="R75" s="808"/>
    </row>
    <row r="76" spans="1:18">
      <c r="A76" s="800"/>
      <c r="B76" s="800"/>
      <c r="C76" s="808"/>
      <c r="D76" s="808"/>
      <c r="E76" s="805"/>
      <c r="F76" s="805"/>
      <c r="G76" s="805"/>
      <c r="H76" s="828"/>
      <c r="I76" s="805"/>
      <c r="J76" s="808"/>
      <c r="K76" s="800"/>
      <c r="L76" s="806"/>
      <c r="M76" s="805"/>
      <c r="N76" s="800"/>
      <c r="O76" s="805"/>
      <c r="P76" s="805"/>
      <c r="Q76" s="800"/>
      <c r="R76" s="808"/>
    </row>
    <row r="77" spans="1:18">
      <c r="A77" s="800"/>
      <c r="B77" s="800"/>
      <c r="C77" s="808"/>
      <c r="D77" s="808"/>
      <c r="E77" s="805"/>
      <c r="F77" s="805"/>
      <c r="G77" s="805"/>
      <c r="H77" s="828"/>
      <c r="I77" s="805"/>
      <c r="J77" s="808"/>
      <c r="K77" s="800"/>
      <c r="L77" s="806"/>
      <c r="M77" s="805"/>
      <c r="N77" s="800"/>
      <c r="O77" s="805"/>
      <c r="P77" s="805"/>
      <c r="Q77" s="800"/>
      <c r="R77" s="808"/>
    </row>
    <row r="78" spans="1:18">
      <c r="A78" s="800"/>
      <c r="B78" s="800"/>
      <c r="C78" s="808"/>
      <c r="D78" s="808"/>
      <c r="E78" s="805"/>
      <c r="F78" s="805"/>
      <c r="G78" s="805"/>
      <c r="H78" s="828"/>
      <c r="I78" s="805"/>
      <c r="J78" s="808"/>
      <c r="K78" s="800"/>
      <c r="L78" s="806"/>
      <c r="M78" s="805"/>
      <c r="N78" s="800"/>
      <c r="O78" s="805"/>
      <c r="P78" s="805"/>
      <c r="Q78" s="800"/>
      <c r="R78" s="808"/>
    </row>
    <row r="79" spans="1:18">
      <c r="A79" s="800"/>
      <c r="B79" s="800"/>
      <c r="C79" s="808"/>
      <c r="D79" s="808"/>
      <c r="E79" s="805"/>
      <c r="F79" s="805"/>
      <c r="G79" s="805"/>
      <c r="H79" s="828"/>
      <c r="I79" s="805"/>
      <c r="J79" s="808"/>
      <c r="K79" s="800"/>
      <c r="L79" s="806"/>
      <c r="M79" s="805"/>
      <c r="N79" s="800"/>
      <c r="O79" s="805"/>
      <c r="P79" s="805"/>
      <c r="Q79" s="800"/>
      <c r="R79" s="808"/>
    </row>
    <row r="80" spans="1:18">
      <c r="A80" s="800"/>
      <c r="B80" s="800"/>
      <c r="C80" s="808"/>
      <c r="D80" s="808"/>
      <c r="E80" s="805"/>
      <c r="F80" s="805"/>
      <c r="G80" s="805"/>
      <c r="H80" s="828"/>
      <c r="I80" s="805"/>
      <c r="J80" s="808"/>
      <c r="K80" s="800"/>
      <c r="L80" s="806"/>
      <c r="M80" s="805"/>
      <c r="N80" s="800"/>
      <c r="O80" s="805"/>
      <c r="P80" s="805"/>
      <c r="Q80" s="800"/>
      <c r="R80" s="808"/>
    </row>
    <row r="81" spans="1:18">
      <c r="A81" s="800"/>
      <c r="B81" s="800"/>
      <c r="C81" s="808"/>
      <c r="D81" s="808"/>
      <c r="E81" s="805"/>
      <c r="F81" s="805"/>
      <c r="G81" s="805"/>
      <c r="H81" s="828"/>
      <c r="I81" s="805"/>
      <c r="J81" s="808"/>
      <c r="K81" s="800"/>
      <c r="L81" s="806"/>
      <c r="M81" s="805"/>
      <c r="N81" s="800"/>
      <c r="O81" s="805"/>
      <c r="P81" s="805"/>
      <c r="Q81" s="800"/>
      <c r="R81" s="808"/>
    </row>
    <row r="82" spans="1:18">
      <c r="A82" s="800"/>
      <c r="B82" s="800"/>
      <c r="C82" s="808"/>
      <c r="D82" s="808"/>
      <c r="E82" s="805"/>
      <c r="F82" s="805"/>
      <c r="G82" s="805"/>
      <c r="H82" s="828"/>
      <c r="I82" s="805"/>
      <c r="J82" s="808"/>
      <c r="K82" s="800"/>
      <c r="L82" s="806"/>
      <c r="M82" s="805"/>
      <c r="N82" s="800"/>
      <c r="O82" s="805"/>
      <c r="P82" s="805"/>
      <c r="Q82" s="800"/>
      <c r="R82" s="808"/>
    </row>
    <row r="83" spans="1:18">
      <c r="A83" s="800"/>
      <c r="B83" s="800"/>
      <c r="C83" s="808"/>
      <c r="D83" s="808"/>
      <c r="E83" s="805"/>
      <c r="F83" s="805"/>
      <c r="G83" s="805"/>
      <c r="H83" s="828"/>
      <c r="I83" s="805"/>
      <c r="J83" s="808"/>
      <c r="K83" s="800"/>
      <c r="L83" s="806"/>
      <c r="M83" s="805"/>
      <c r="N83" s="800"/>
      <c r="O83" s="805"/>
      <c r="P83" s="805"/>
      <c r="Q83" s="800"/>
      <c r="R83" s="808"/>
    </row>
    <row r="84" spans="1:18">
      <c r="A84" s="800"/>
      <c r="B84" s="800"/>
      <c r="C84" s="808"/>
      <c r="D84" s="808"/>
      <c r="E84" s="805"/>
      <c r="F84" s="805"/>
      <c r="G84" s="805"/>
      <c r="H84" s="828"/>
      <c r="I84" s="805"/>
      <c r="J84" s="808"/>
      <c r="K84" s="800"/>
      <c r="L84" s="806"/>
      <c r="M84" s="805"/>
      <c r="N84" s="800"/>
      <c r="O84" s="805"/>
      <c r="P84" s="805"/>
      <c r="Q84" s="800"/>
      <c r="R84" s="808"/>
    </row>
    <row r="85" spans="1:18">
      <c r="A85" s="800"/>
      <c r="B85" s="800"/>
      <c r="C85" s="808"/>
      <c r="D85" s="808"/>
      <c r="E85" s="805"/>
      <c r="F85" s="805"/>
      <c r="G85" s="805"/>
      <c r="H85" s="828"/>
      <c r="I85" s="805"/>
      <c r="J85" s="808"/>
      <c r="K85" s="800"/>
      <c r="L85" s="806"/>
      <c r="M85" s="805"/>
      <c r="N85" s="800"/>
      <c r="O85" s="805"/>
      <c r="P85" s="805"/>
      <c r="Q85" s="800"/>
      <c r="R85" s="808"/>
    </row>
    <row r="86" spans="1:18">
      <c r="A86" s="800"/>
      <c r="B86" s="800"/>
      <c r="C86" s="808"/>
      <c r="D86" s="808"/>
      <c r="E86" s="805"/>
      <c r="F86" s="805"/>
      <c r="G86" s="805"/>
      <c r="H86" s="828"/>
      <c r="I86" s="805"/>
      <c r="J86" s="808"/>
      <c r="K86" s="800"/>
      <c r="L86" s="806"/>
      <c r="M86" s="805"/>
      <c r="N86" s="800"/>
      <c r="O86" s="805"/>
      <c r="P86" s="805"/>
      <c r="Q86" s="800"/>
      <c r="R86" s="808"/>
    </row>
    <row r="87" spans="1:18">
      <c r="A87" s="800"/>
      <c r="B87" s="800"/>
      <c r="C87" s="808"/>
      <c r="D87" s="808"/>
      <c r="E87" s="805"/>
      <c r="F87" s="805"/>
      <c r="G87" s="805"/>
      <c r="H87" s="828"/>
      <c r="I87" s="805"/>
      <c r="J87" s="808"/>
      <c r="K87" s="800"/>
      <c r="L87" s="806"/>
      <c r="M87" s="805"/>
      <c r="N87" s="800"/>
      <c r="O87" s="805"/>
      <c r="P87" s="805"/>
      <c r="Q87" s="800"/>
      <c r="R87" s="808"/>
    </row>
    <row r="88" spans="1:18">
      <c r="A88" s="800"/>
      <c r="B88" s="800"/>
      <c r="C88" s="808"/>
      <c r="D88" s="808"/>
      <c r="E88" s="805"/>
      <c r="F88" s="805"/>
      <c r="G88" s="805"/>
      <c r="H88" s="828"/>
      <c r="I88" s="805"/>
      <c r="J88" s="808"/>
      <c r="K88" s="800"/>
      <c r="L88" s="806"/>
      <c r="M88" s="805"/>
      <c r="N88" s="800"/>
      <c r="O88" s="805"/>
      <c r="P88" s="805"/>
      <c r="Q88" s="800"/>
      <c r="R88" s="808"/>
    </row>
    <row r="89" spans="1:18">
      <c r="A89" s="800"/>
      <c r="B89" s="800"/>
      <c r="C89" s="808"/>
      <c r="D89" s="808"/>
      <c r="E89" s="805"/>
      <c r="F89" s="805"/>
      <c r="G89" s="805"/>
      <c r="H89" s="828"/>
      <c r="I89" s="805"/>
      <c r="J89" s="808"/>
      <c r="K89" s="800"/>
      <c r="L89" s="806"/>
      <c r="M89" s="805"/>
      <c r="N89" s="800"/>
      <c r="O89" s="805"/>
      <c r="P89" s="805"/>
      <c r="Q89" s="800"/>
      <c r="R89" s="808"/>
    </row>
    <row r="90" spans="1:18">
      <c r="A90" s="800"/>
      <c r="B90" s="800"/>
      <c r="C90" s="808"/>
      <c r="D90" s="808"/>
      <c r="E90" s="805"/>
      <c r="F90" s="805"/>
      <c r="G90" s="805"/>
      <c r="H90" s="828"/>
      <c r="I90" s="805"/>
      <c r="J90" s="808"/>
      <c r="K90" s="800"/>
      <c r="L90" s="806"/>
      <c r="M90" s="805"/>
      <c r="N90" s="800"/>
      <c r="O90" s="805"/>
      <c r="P90" s="805"/>
      <c r="Q90" s="800"/>
      <c r="R90" s="808"/>
    </row>
    <row r="91" spans="1:18">
      <c r="A91" s="800"/>
      <c r="B91" s="800"/>
      <c r="C91" s="808"/>
      <c r="D91" s="808"/>
      <c r="E91" s="805"/>
      <c r="F91" s="805"/>
      <c r="G91" s="805"/>
      <c r="H91" s="828"/>
      <c r="I91" s="805"/>
      <c r="J91" s="808"/>
      <c r="K91" s="800"/>
      <c r="L91" s="806"/>
      <c r="M91" s="805"/>
      <c r="N91" s="800"/>
      <c r="O91" s="805"/>
      <c r="P91" s="805"/>
      <c r="Q91" s="800"/>
      <c r="R91" s="808"/>
    </row>
    <row r="92" spans="1:18">
      <c r="A92" s="800"/>
      <c r="B92" s="800"/>
      <c r="C92" s="808"/>
      <c r="D92" s="808"/>
      <c r="E92" s="805"/>
      <c r="F92" s="805"/>
      <c r="G92" s="805"/>
      <c r="H92" s="828"/>
      <c r="I92" s="805"/>
      <c r="J92" s="808"/>
      <c r="K92" s="800"/>
      <c r="L92" s="806"/>
      <c r="M92" s="805"/>
      <c r="N92" s="800"/>
      <c r="O92" s="805"/>
      <c r="P92" s="805"/>
      <c r="Q92" s="800"/>
      <c r="R92" s="808"/>
    </row>
    <row r="93" spans="1:18">
      <c r="A93" s="800"/>
      <c r="B93" s="800"/>
      <c r="C93" s="808"/>
      <c r="D93" s="808"/>
      <c r="E93" s="805"/>
      <c r="F93" s="805"/>
      <c r="G93" s="805"/>
      <c r="H93" s="828"/>
      <c r="I93" s="805"/>
      <c r="J93" s="808"/>
      <c r="K93" s="800"/>
      <c r="L93" s="806"/>
      <c r="M93" s="805"/>
      <c r="N93" s="800"/>
      <c r="O93" s="805"/>
      <c r="P93" s="805"/>
      <c r="Q93" s="800"/>
      <c r="R93" s="808"/>
    </row>
    <row r="94" spans="1:18">
      <c r="A94" s="800"/>
      <c r="B94" s="800"/>
      <c r="C94" s="808"/>
      <c r="D94" s="808"/>
      <c r="E94" s="805"/>
      <c r="F94" s="805"/>
      <c r="G94" s="805"/>
      <c r="H94" s="828"/>
      <c r="I94" s="805"/>
      <c r="J94" s="808"/>
      <c r="K94" s="800"/>
      <c r="L94" s="806"/>
      <c r="M94" s="805"/>
      <c r="N94" s="800"/>
      <c r="O94" s="805"/>
      <c r="P94" s="805"/>
      <c r="Q94" s="800"/>
      <c r="R94" s="808"/>
    </row>
    <row r="95" spans="1:18">
      <c r="A95" s="800"/>
      <c r="B95" s="800"/>
      <c r="C95" s="808"/>
      <c r="D95" s="808"/>
      <c r="E95" s="805"/>
      <c r="F95" s="805"/>
      <c r="G95" s="805"/>
      <c r="H95" s="828"/>
      <c r="I95" s="805"/>
      <c r="J95" s="808"/>
      <c r="K95" s="800"/>
      <c r="L95" s="806"/>
      <c r="M95" s="805"/>
      <c r="N95" s="800"/>
      <c r="O95" s="805"/>
      <c r="P95" s="805"/>
      <c r="Q95" s="800"/>
      <c r="R95" s="808"/>
    </row>
    <row r="96" spans="1:18">
      <c r="A96" s="800"/>
      <c r="B96" s="800"/>
      <c r="C96" s="808"/>
      <c r="D96" s="808"/>
      <c r="E96" s="805"/>
      <c r="F96" s="805"/>
      <c r="G96" s="805"/>
      <c r="H96" s="828"/>
      <c r="I96" s="805"/>
      <c r="J96" s="808"/>
      <c r="K96" s="800"/>
      <c r="L96" s="806"/>
      <c r="M96" s="805"/>
      <c r="N96" s="800"/>
      <c r="O96" s="805"/>
      <c r="P96" s="805"/>
      <c r="Q96" s="800"/>
      <c r="R96" s="808"/>
    </row>
    <row r="97" spans="1:18">
      <c r="A97" s="800"/>
      <c r="B97" s="800"/>
      <c r="C97" s="808"/>
      <c r="D97" s="808"/>
      <c r="E97" s="805"/>
      <c r="F97" s="805"/>
      <c r="G97" s="805"/>
      <c r="H97" s="828"/>
      <c r="I97" s="805"/>
      <c r="J97" s="808"/>
      <c r="K97" s="800"/>
      <c r="L97" s="806"/>
      <c r="M97" s="805"/>
      <c r="N97" s="800"/>
      <c r="O97" s="805"/>
      <c r="P97" s="805"/>
      <c r="Q97" s="800"/>
      <c r="R97" s="808"/>
    </row>
    <row r="98" spans="1:18">
      <c r="A98" s="800"/>
      <c r="B98" s="800"/>
      <c r="C98" s="808"/>
      <c r="D98" s="808"/>
      <c r="E98" s="805"/>
      <c r="F98" s="805"/>
      <c r="G98" s="805"/>
      <c r="H98" s="828"/>
      <c r="I98" s="805"/>
      <c r="J98" s="808"/>
      <c r="K98" s="800"/>
      <c r="L98" s="806"/>
      <c r="M98" s="805"/>
      <c r="N98" s="800"/>
      <c r="O98" s="805"/>
      <c r="P98" s="805"/>
      <c r="Q98" s="800"/>
      <c r="R98" s="808"/>
    </row>
    <row r="99" spans="1:18">
      <c r="A99" s="800"/>
      <c r="B99" s="800"/>
      <c r="C99" s="808"/>
      <c r="D99" s="808"/>
      <c r="E99" s="805"/>
      <c r="F99" s="805"/>
      <c r="G99" s="805"/>
      <c r="H99" s="828"/>
      <c r="I99" s="805"/>
      <c r="J99" s="808"/>
      <c r="K99" s="800"/>
      <c r="L99" s="806"/>
      <c r="M99" s="805"/>
      <c r="N99" s="800"/>
      <c r="O99" s="805"/>
      <c r="P99" s="805"/>
      <c r="Q99" s="800"/>
      <c r="R99" s="808"/>
    </row>
    <row r="100" spans="1:18">
      <c r="A100" s="800"/>
      <c r="B100" s="800"/>
      <c r="C100" s="808"/>
      <c r="D100" s="808"/>
      <c r="E100" s="805"/>
      <c r="F100" s="805"/>
      <c r="G100" s="805"/>
      <c r="H100" s="828"/>
      <c r="I100" s="805"/>
      <c r="J100" s="808"/>
      <c r="K100" s="800"/>
      <c r="L100" s="806"/>
      <c r="M100" s="805"/>
      <c r="N100" s="800"/>
      <c r="O100" s="805"/>
      <c r="P100" s="805"/>
      <c r="Q100" s="800"/>
      <c r="R100" s="808"/>
    </row>
    <row r="101" spans="1:18">
      <c r="A101" s="800"/>
      <c r="B101" s="800"/>
      <c r="C101" s="808"/>
      <c r="D101" s="808"/>
      <c r="E101" s="805"/>
      <c r="F101" s="805"/>
      <c r="G101" s="805"/>
      <c r="H101" s="828"/>
      <c r="I101" s="805"/>
      <c r="J101" s="808"/>
      <c r="K101" s="800"/>
      <c r="L101" s="806"/>
      <c r="M101" s="805"/>
      <c r="N101" s="800"/>
      <c r="O101" s="805"/>
      <c r="P101" s="805"/>
      <c r="Q101" s="800"/>
      <c r="R101" s="808"/>
    </row>
    <row r="102" spans="1:18">
      <c r="A102" s="800"/>
      <c r="B102" s="800"/>
      <c r="C102" s="808"/>
      <c r="D102" s="808"/>
      <c r="E102" s="805"/>
      <c r="F102" s="805"/>
      <c r="G102" s="805"/>
      <c r="H102" s="828"/>
      <c r="I102" s="805"/>
      <c r="J102" s="808"/>
      <c r="K102" s="800"/>
      <c r="L102" s="806"/>
      <c r="M102" s="805"/>
      <c r="N102" s="800"/>
      <c r="O102" s="805"/>
      <c r="P102" s="805"/>
      <c r="Q102" s="800"/>
      <c r="R102" s="808"/>
    </row>
    <row r="103" spans="1:18">
      <c r="A103" s="800"/>
      <c r="B103" s="800"/>
      <c r="C103" s="808"/>
      <c r="D103" s="808"/>
      <c r="E103" s="805"/>
      <c r="F103" s="805"/>
      <c r="G103" s="805"/>
      <c r="H103" s="828"/>
      <c r="I103" s="805"/>
      <c r="J103" s="808"/>
      <c r="K103" s="800"/>
      <c r="L103" s="806"/>
      <c r="M103" s="805"/>
      <c r="N103" s="800"/>
      <c r="O103" s="805"/>
      <c r="P103" s="805"/>
      <c r="Q103" s="800"/>
      <c r="R103" s="808"/>
    </row>
    <row r="104" spans="1:18">
      <c r="A104" s="800"/>
      <c r="B104" s="800"/>
      <c r="C104" s="808"/>
      <c r="D104" s="808"/>
      <c r="E104" s="805"/>
      <c r="F104" s="805"/>
      <c r="G104" s="805"/>
      <c r="H104" s="828"/>
      <c r="I104" s="805"/>
      <c r="J104" s="808"/>
      <c r="K104" s="800"/>
      <c r="L104" s="806"/>
      <c r="M104" s="805"/>
      <c r="N104" s="800"/>
      <c r="O104" s="805"/>
      <c r="P104" s="805"/>
      <c r="Q104" s="800"/>
      <c r="R104" s="808"/>
    </row>
    <row r="105" spans="1:18">
      <c r="A105" s="800"/>
      <c r="B105" s="800"/>
      <c r="C105" s="808"/>
      <c r="D105" s="808"/>
      <c r="E105" s="805"/>
      <c r="F105" s="805"/>
      <c r="G105" s="805"/>
      <c r="H105" s="828"/>
      <c r="I105" s="805"/>
      <c r="J105" s="808"/>
      <c r="K105" s="800"/>
      <c r="L105" s="806"/>
      <c r="M105" s="805"/>
      <c r="N105" s="800"/>
      <c r="O105" s="805"/>
      <c r="P105" s="805"/>
      <c r="Q105" s="800"/>
      <c r="R105" s="808"/>
    </row>
    <row r="106" spans="1:18">
      <c r="A106" s="800"/>
      <c r="B106" s="800"/>
      <c r="C106" s="808"/>
      <c r="D106" s="808"/>
      <c r="E106" s="805"/>
      <c r="F106" s="805"/>
      <c r="G106" s="805"/>
      <c r="H106" s="828"/>
      <c r="I106" s="805"/>
      <c r="J106" s="808"/>
      <c r="K106" s="800"/>
      <c r="L106" s="806"/>
      <c r="M106" s="805"/>
      <c r="N106" s="800"/>
      <c r="O106" s="805"/>
      <c r="P106" s="805"/>
      <c r="Q106" s="800"/>
      <c r="R106" s="808"/>
    </row>
    <row r="107" spans="1:18">
      <c r="A107" s="800"/>
      <c r="B107" s="800"/>
      <c r="C107" s="808"/>
      <c r="D107" s="808"/>
      <c r="E107" s="805"/>
      <c r="F107" s="805"/>
      <c r="G107" s="805"/>
      <c r="H107" s="828"/>
      <c r="I107" s="805"/>
      <c r="J107" s="808"/>
      <c r="K107" s="800"/>
      <c r="L107" s="806"/>
      <c r="M107" s="805"/>
      <c r="N107" s="800"/>
      <c r="O107" s="805"/>
      <c r="P107" s="805"/>
      <c r="Q107" s="800"/>
      <c r="R107" s="808"/>
    </row>
    <row r="108" spans="1:18">
      <c r="A108" s="800"/>
      <c r="B108" s="800"/>
      <c r="C108" s="808"/>
      <c r="D108" s="808"/>
      <c r="E108" s="805"/>
      <c r="F108" s="805"/>
      <c r="G108" s="805"/>
      <c r="H108" s="828"/>
      <c r="I108" s="805"/>
      <c r="J108" s="808"/>
      <c r="K108" s="800"/>
      <c r="L108" s="806"/>
      <c r="M108" s="805"/>
      <c r="N108" s="800"/>
      <c r="O108" s="805"/>
      <c r="P108" s="805"/>
      <c r="Q108" s="800"/>
      <c r="R108" s="808"/>
    </row>
    <row r="109" spans="1:18">
      <c r="A109" s="800"/>
      <c r="B109" s="800"/>
      <c r="C109" s="808"/>
      <c r="D109" s="808"/>
      <c r="E109" s="805"/>
      <c r="F109" s="805"/>
      <c r="G109" s="805"/>
      <c r="H109" s="828"/>
      <c r="I109" s="805"/>
      <c r="J109" s="808"/>
      <c r="K109" s="800"/>
      <c r="L109" s="806"/>
      <c r="M109" s="805"/>
      <c r="N109" s="800"/>
      <c r="O109" s="805"/>
      <c r="P109" s="805"/>
      <c r="Q109" s="800"/>
      <c r="R109" s="808"/>
    </row>
    <row r="110" spans="1:18">
      <c r="A110" s="800"/>
      <c r="B110" s="800"/>
      <c r="C110" s="808"/>
      <c r="D110" s="808"/>
      <c r="E110" s="805"/>
      <c r="F110" s="805"/>
      <c r="G110" s="805"/>
      <c r="H110" s="828"/>
      <c r="I110" s="805"/>
      <c r="J110" s="808"/>
      <c r="K110" s="800"/>
      <c r="L110" s="806"/>
      <c r="M110" s="805"/>
      <c r="N110" s="800"/>
      <c r="O110" s="805"/>
      <c r="P110" s="805"/>
      <c r="Q110" s="800"/>
      <c r="R110" s="808"/>
    </row>
    <row r="111" spans="1:18">
      <c r="A111" s="800"/>
      <c r="B111" s="800"/>
      <c r="C111" s="808"/>
      <c r="D111" s="808"/>
      <c r="E111" s="805"/>
      <c r="F111" s="805"/>
      <c r="G111" s="805"/>
      <c r="H111" s="828"/>
      <c r="I111" s="805"/>
      <c r="J111" s="808"/>
      <c r="K111" s="800"/>
      <c r="L111" s="806"/>
      <c r="M111" s="805"/>
      <c r="N111" s="800"/>
      <c r="O111" s="805"/>
      <c r="P111" s="805"/>
      <c r="Q111" s="800"/>
      <c r="R111" s="808"/>
    </row>
    <row r="112" spans="1:18">
      <c r="A112" s="800"/>
      <c r="B112" s="800"/>
      <c r="C112" s="808"/>
      <c r="D112" s="808"/>
      <c r="E112" s="805"/>
      <c r="F112" s="805"/>
      <c r="G112" s="805"/>
      <c r="H112" s="828"/>
      <c r="I112" s="805"/>
      <c r="J112" s="808"/>
      <c r="K112" s="800"/>
      <c r="L112" s="806"/>
      <c r="M112" s="805"/>
      <c r="N112" s="800"/>
      <c r="O112" s="805"/>
      <c r="P112" s="805"/>
      <c r="Q112" s="800"/>
      <c r="R112" s="808"/>
    </row>
    <row r="113" spans="1:18">
      <c r="A113" s="800"/>
      <c r="B113" s="800"/>
      <c r="C113" s="808"/>
      <c r="D113" s="808"/>
      <c r="E113" s="805"/>
      <c r="F113" s="805"/>
      <c r="G113" s="805"/>
      <c r="H113" s="828"/>
      <c r="I113" s="805"/>
      <c r="J113" s="808"/>
      <c r="K113" s="800"/>
      <c r="L113" s="806"/>
      <c r="M113" s="805"/>
      <c r="N113" s="800"/>
      <c r="O113" s="805"/>
      <c r="P113" s="805"/>
      <c r="Q113" s="800"/>
      <c r="R113" s="808"/>
    </row>
    <row r="114" spans="1:18">
      <c r="A114" s="800"/>
      <c r="B114" s="800"/>
      <c r="C114" s="808"/>
      <c r="D114" s="808"/>
      <c r="E114" s="805"/>
      <c r="F114" s="805"/>
      <c r="G114" s="805"/>
      <c r="H114" s="828"/>
      <c r="I114" s="805"/>
      <c r="J114" s="808"/>
      <c r="K114" s="800"/>
      <c r="L114" s="806"/>
      <c r="M114" s="805"/>
      <c r="N114" s="800"/>
      <c r="O114" s="805"/>
      <c r="P114" s="805"/>
      <c r="Q114" s="800"/>
      <c r="R114" s="808"/>
    </row>
    <row r="115" spans="1:18">
      <c r="A115" s="800"/>
      <c r="B115" s="800"/>
      <c r="C115" s="808"/>
      <c r="D115" s="808"/>
      <c r="E115" s="805"/>
      <c r="F115" s="805"/>
      <c r="G115" s="805"/>
      <c r="H115" s="828"/>
      <c r="I115" s="805"/>
      <c r="J115" s="808"/>
      <c r="K115" s="800"/>
      <c r="L115" s="806"/>
      <c r="M115" s="805"/>
      <c r="N115" s="800"/>
      <c r="O115" s="805"/>
      <c r="P115" s="805"/>
      <c r="Q115" s="800"/>
      <c r="R115" s="808"/>
    </row>
    <row r="116" spans="1:18">
      <c r="A116" s="800"/>
      <c r="B116" s="800"/>
      <c r="C116" s="808"/>
      <c r="D116" s="808"/>
      <c r="E116" s="805"/>
      <c r="F116" s="805"/>
      <c r="G116" s="805"/>
      <c r="H116" s="828"/>
      <c r="I116" s="805"/>
      <c r="J116" s="808"/>
      <c r="K116" s="800"/>
      <c r="L116" s="806"/>
      <c r="M116" s="805"/>
      <c r="N116" s="800"/>
      <c r="O116" s="805"/>
      <c r="P116" s="805"/>
      <c r="Q116" s="800"/>
      <c r="R116" s="808"/>
    </row>
    <row r="117" spans="1:18">
      <c r="A117" s="800"/>
      <c r="B117" s="800"/>
      <c r="C117" s="808"/>
      <c r="D117" s="808"/>
      <c r="E117" s="805"/>
      <c r="F117" s="805"/>
      <c r="G117" s="805"/>
      <c r="H117" s="828"/>
      <c r="I117" s="805"/>
      <c r="J117" s="808"/>
      <c r="K117" s="800"/>
      <c r="L117" s="806"/>
      <c r="M117" s="805"/>
      <c r="N117" s="800"/>
      <c r="O117" s="805"/>
      <c r="P117" s="805"/>
      <c r="Q117" s="800"/>
      <c r="R117" s="808"/>
    </row>
    <row r="118" spans="1:18">
      <c r="A118" s="800"/>
      <c r="B118" s="800"/>
      <c r="C118" s="808"/>
      <c r="D118" s="808"/>
      <c r="E118" s="805"/>
      <c r="F118" s="805"/>
      <c r="G118" s="805"/>
      <c r="H118" s="828"/>
      <c r="I118" s="805"/>
      <c r="J118" s="808"/>
      <c r="K118" s="800"/>
      <c r="L118" s="806"/>
      <c r="M118" s="805"/>
      <c r="N118" s="800"/>
      <c r="O118" s="805"/>
      <c r="P118" s="805"/>
      <c r="Q118" s="800"/>
      <c r="R118" s="808"/>
    </row>
    <row r="119" spans="1:18">
      <c r="A119" s="800"/>
      <c r="B119" s="800"/>
      <c r="C119" s="808"/>
      <c r="D119" s="808"/>
      <c r="E119" s="805"/>
      <c r="F119" s="805"/>
      <c r="G119" s="805"/>
      <c r="H119" s="828"/>
      <c r="I119" s="805"/>
      <c r="J119" s="808"/>
      <c r="K119" s="800"/>
      <c r="L119" s="806"/>
      <c r="M119" s="805"/>
      <c r="N119" s="800"/>
      <c r="O119" s="805"/>
      <c r="P119" s="805"/>
      <c r="Q119" s="800"/>
      <c r="R119" s="808"/>
    </row>
    <row r="120" spans="1:18">
      <c r="A120" s="800"/>
      <c r="B120" s="800"/>
      <c r="C120" s="808"/>
      <c r="D120" s="808"/>
      <c r="E120" s="805"/>
      <c r="F120" s="805"/>
      <c r="G120" s="805"/>
      <c r="H120" s="828"/>
      <c r="I120" s="805"/>
      <c r="J120" s="808"/>
      <c r="K120" s="800"/>
      <c r="L120" s="806"/>
      <c r="M120" s="805"/>
      <c r="N120" s="800"/>
      <c r="O120" s="805"/>
      <c r="P120" s="805"/>
      <c r="Q120" s="800"/>
      <c r="R120" s="808"/>
    </row>
    <row r="121" spans="1:18">
      <c r="A121" s="800"/>
      <c r="B121" s="800"/>
      <c r="C121" s="808"/>
      <c r="D121" s="808"/>
      <c r="E121" s="805"/>
      <c r="F121" s="805"/>
      <c r="G121" s="805"/>
      <c r="H121" s="828"/>
      <c r="I121" s="805"/>
      <c r="J121" s="808"/>
      <c r="K121" s="800"/>
      <c r="L121" s="806"/>
      <c r="M121" s="805"/>
      <c r="N121" s="800"/>
      <c r="O121" s="805"/>
      <c r="P121" s="805"/>
      <c r="Q121" s="800"/>
      <c r="R121" s="808"/>
    </row>
    <row r="122" spans="1:18">
      <c r="A122" s="800"/>
      <c r="B122" s="800"/>
      <c r="C122" s="808"/>
      <c r="D122" s="808"/>
      <c r="E122" s="805"/>
      <c r="F122" s="805"/>
      <c r="G122" s="805"/>
      <c r="H122" s="828"/>
      <c r="I122" s="805"/>
      <c r="J122" s="808"/>
      <c r="K122" s="800"/>
      <c r="L122" s="806"/>
      <c r="M122" s="805"/>
      <c r="N122" s="800"/>
      <c r="O122" s="805"/>
      <c r="P122" s="805"/>
      <c r="Q122" s="800"/>
      <c r="R122" s="808"/>
    </row>
    <row r="123" spans="1:18">
      <c r="A123" s="800"/>
      <c r="B123" s="800"/>
      <c r="C123" s="808"/>
      <c r="D123" s="808"/>
      <c r="E123" s="805"/>
      <c r="F123" s="805"/>
      <c r="G123" s="805"/>
      <c r="H123" s="828"/>
      <c r="I123" s="805"/>
      <c r="J123" s="808"/>
      <c r="K123" s="800"/>
      <c r="L123" s="806"/>
      <c r="M123" s="805"/>
      <c r="N123" s="800"/>
      <c r="O123" s="805"/>
      <c r="P123" s="805"/>
      <c r="Q123" s="800"/>
      <c r="R123" s="808"/>
    </row>
    <row r="124" spans="1:18">
      <c r="A124" s="800"/>
      <c r="B124" s="800"/>
      <c r="C124" s="808"/>
      <c r="D124" s="808"/>
      <c r="E124" s="805"/>
      <c r="F124" s="805"/>
      <c r="G124" s="805"/>
      <c r="H124" s="828"/>
      <c r="I124" s="805"/>
      <c r="J124" s="808"/>
      <c r="K124" s="800"/>
      <c r="L124" s="806"/>
      <c r="M124" s="805"/>
      <c r="N124" s="800"/>
      <c r="O124" s="805"/>
      <c r="P124" s="805"/>
      <c r="Q124" s="800"/>
      <c r="R124" s="808"/>
    </row>
    <row r="125" spans="1:18">
      <c r="A125" s="800"/>
      <c r="B125" s="800"/>
      <c r="C125" s="808"/>
      <c r="D125" s="808"/>
      <c r="E125" s="805"/>
      <c r="F125" s="805"/>
      <c r="G125" s="805"/>
      <c r="H125" s="828"/>
      <c r="I125" s="805"/>
      <c r="J125" s="808"/>
      <c r="K125" s="800"/>
      <c r="L125" s="806"/>
      <c r="M125" s="805"/>
      <c r="N125" s="800"/>
      <c r="O125" s="805"/>
      <c r="P125" s="805"/>
      <c r="Q125" s="800"/>
      <c r="R125" s="808"/>
    </row>
    <row r="126" spans="1:18">
      <c r="A126" s="800"/>
      <c r="B126" s="800"/>
      <c r="C126" s="808"/>
      <c r="D126" s="808"/>
      <c r="E126" s="805"/>
      <c r="F126" s="805"/>
      <c r="G126" s="805"/>
      <c r="H126" s="828"/>
      <c r="I126" s="805"/>
      <c r="J126" s="808"/>
      <c r="K126" s="800"/>
      <c r="L126" s="806"/>
      <c r="M126" s="805"/>
      <c r="N126" s="800"/>
      <c r="O126" s="805"/>
      <c r="P126" s="805"/>
      <c r="Q126" s="800"/>
      <c r="R126" s="808"/>
    </row>
    <row r="127" spans="1:18">
      <c r="A127" s="800"/>
      <c r="B127" s="800"/>
      <c r="C127" s="808"/>
      <c r="D127" s="808"/>
      <c r="E127" s="805"/>
      <c r="F127" s="805"/>
      <c r="G127" s="805"/>
      <c r="H127" s="828"/>
      <c r="I127" s="805"/>
      <c r="J127" s="808"/>
      <c r="K127" s="800"/>
      <c r="L127" s="806"/>
      <c r="M127" s="805"/>
      <c r="N127" s="800"/>
      <c r="O127" s="805"/>
      <c r="P127" s="805"/>
      <c r="Q127" s="800"/>
      <c r="R127" s="808"/>
    </row>
    <row r="128" spans="1:18">
      <c r="A128" s="800"/>
      <c r="B128" s="800"/>
      <c r="C128" s="808"/>
      <c r="D128" s="808"/>
      <c r="E128" s="805"/>
      <c r="F128" s="805"/>
      <c r="G128" s="805"/>
      <c r="H128" s="828"/>
      <c r="I128" s="805"/>
      <c r="J128" s="808"/>
      <c r="K128" s="800"/>
      <c r="L128" s="806"/>
      <c r="M128" s="805"/>
      <c r="N128" s="800"/>
      <c r="O128" s="805"/>
      <c r="P128" s="805"/>
      <c r="Q128" s="800"/>
      <c r="R128" s="808"/>
    </row>
    <row r="129" spans="1:18">
      <c r="A129" s="800"/>
      <c r="B129" s="800"/>
      <c r="C129" s="808"/>
      <c r="D129" s="808"/>
      <c r="E129" s="805"/>
      <c r="F129" s="805"/>
      <c r="G129" s="805"/>
      <c r="H129" s="828"/>
      <c r="I129" s="805"/>
      <c r="J129" s="808"/>
      <c r="K129" s="800"/>
      <c r="L129" s="806"/>
      <c r="M129" s="805"/>
      <c r="N129" s="800"/>
      <c r="O129" s="805"/>
      <c r="P129" s="805"/>
      <c r="Q129" s="800"/>
      <c r="R129" s="808"/>
    </row>
    <row r="130" spans="1:18">
      <c r="A130" s="800"/>
      <c r="B130" s="800"/>
      <c r="C130" s="808"/>
      <c r="D130" s="808"/>
      <c r="E130" s="805"/>
      <c r="F130" s="805"/>
      <c r="G130" s="805"/>
      <c r="H130" s="828"/>
      <c r="I130" s="805"/>
      <c r="J130" s="808"/>
      <c r="K130" s="800"/>
      <c r="L130" s="806"/>
      <c r="M130" s="805"/>
      <c r="N130" s="800"/>
      <c r="O130" s="805"/>
      <c r="P130" s="805"/>
      <c r="Q130" s="800"/>
      <c r="R130" s="808"/>
    </row>
    <row r="131" spans="1:18">
      <c r="A131" s="800"/>
      <c r="B131" s="800"/>
      <c r="C131" s="808"/>
      <c r="D131" s="808"/>
      <c r="E131" s="805"/>
      <c r="F131" s="805"/>
      <c r="G131" s="805"/>
      <c r="H131" s="828"/>
      <c r="I131" s="805"/>
      <c r="J131" s="808"/>
      <c r="K131" s="800"/>
      <c r="L131" s="806"/>
      <c r="M131" s="805"/>
      <c r="N131" s="800"/>
      <c r="O131" s="805"/>
      <c r="P131" s="805"/>
      <c r="Q131" s="800"/>
      <c r="R131" s="808"/>
    </row>
    <row r="132" spans="1:18">
      <c r="A132" s="800"/>
      <c r="B132" s="800"/>
      <c r="C132" s="808"/>
      <c r="D132" s="808"/>
      <c r="E132" s="805"/>
      <c r="F132" s="805"/>
      <c r="G132" s="805"/>
      <c r="H132" s="828"/>
      <c r="I132" s="805"/>
      <c r="J132" s="808"/>
      <c r="K132" s="800"/>
      <c r="L132" s="806"/>
      <c r="M132" s="805"/>
      <c r="N132" s="800"/>
      <c r="O132" s="805"/>
      <c r="P132" s="805"/>
      <c r="Q132" s="800"/>
      <c r="R132" s="808"/>
    </row>
    <row r="133" spans="1:18">
      <c r="A133" s="800"/>
      <c r="B133" s="800"/>
      <c r="C133" s="808"/>
      <c r="D133" s="808"/>
      <c r="E133" s="805"/>
      <c r="F133" s="805"/>
      <c r="G133" s="805"/>
      <c r="H133" s="828"/>
      <c r="I133" s="805"/>
      <c r="J133" s="808"/>
      <c r="K133" s="800"/>
      <c r="L133" s="806"/>
      <c r="M133" s="805"/>
      <c r="N133" s="800"/>
      <c r="O133" s="805"/>
      <c r="P133" s="805"/>
      <c r="Q133" s="800"/>
      <c r="R133" s="808"/>
    </row>
    <row r="134" spans="1:18">
      <c r="A134" s="800"/>
      <c r="B134" s="800"/>
      <c r="C134" s="808"/>
      <c r="D134" s="808"/>
      <c r="E134" s="805"/>
      <c r="F134" s="805"/>
      <c r="G134" s="805"/>
      <c r="H134" s="828"/>
      <c r="I134" s="805"/>
      <c r="J134" s="808"/>
      <c r="K134" s="800"/>
      <c r="L134" s="806"/>
      <c r="M134" s="805"/>
      <c r="N134" s="800"/>
      <c r="O134" s="805"/>
      <c r="P134" s="805"/>
      <c r="Q134" s="800"/>
      <c r="R134" s="808"/>
    </row>
    <row r="135" spans="1:18">
      <c r="A135" s="800"/>
      <c r="B135" s="800"/>
      <c r="C135" s="808"/>
      <c r="D135" s="808"/>
      <c r="E135" s="805"/>
      <c r="F135" s="805"/>
      <c r="G135" s="805"/>
      <c r="H135" s="828"/>
      <c r="I135" s="805"/>
      <c r="J135" s="808"/>
      <c r="K135" s="800"/>
      <c r="L135" s="806"/>
      <c r="M135" s="805"/>
      <c r="N135" s="800"/>
      <c r="O135" s="805"/>
      <c r="P135" s="805"/>
      <c r="Q135" s="800"/>
      <c r="R135" s="808"/>
    </row>
    <row r="136" spans="1:18">
      <c r="A136" s="800"/>
      <c r="B136" s="800"/>
      <c r="C136" s="808"/>
      <c r="D136" s="808"/>
      <c r="E136" s="805"/>
      <c r="F136" s="805"/>
      <c r="G136" s="805"/>
      <c r="H136" s="828"/>
      <c r="I136" s="805"/>
      <c r="J136" s="808"/>
      <c r="K136" s="800"/>
      <c r="L136" s="806"/>
      <c r="M136" s="805"/>
      <c r="N136" s="800"/>
      <c r="O136" s="805"/>
      <c r="P136" s="805"/>
      <c r="Q136" s="800"/>
      <c r="R136" s="808"/>
    </row>
    <row r="137" spans="1:18">
      <c r="A137" s="800"/>
      <c r="B137" s="800"/>
      <c r="C137" s="808"/>
      <c r="D137" s="808"/>
      <c r="E137" s="805"/>
      <c r="F137" s="805"/>
      <c r="G137" s="805"/>
      <c r="H137" s="828"/>
      <c r="I137" s="805"/>
      <c r="J137" s="808"/>
      <c r="K137" s="800"/>
      <c r="L137" s="806"/>
      <c r="M137" s="805"/>
      <c r="N137" s="800"/>
      <c r="O137" s="805"/>
      <c r="P137" s="805"/>
      <c r="Q137" s="800"/>
      <c r="R137" s="808"/>
    </row>
    <row r="138" spans="1:18">
      <c r="A138" s="800"/>
      <c r="B138" s="800"/>
      <c r="C138" s="808"/>
      <c r="D138" s="808"/>
      <c r="E138" s="805"/>
      <c r="F138" s="805"/>
      <c r="G138" s="805"/>
      <c r="H138" s="828"/>
      <c r="I138" s="805"/>
      <c r="J138" s="808"/>
      <c r="K138" s="800"/>
      <c r="L138" s="806"/>
      <c r="M138" s="805"/>
      <c r="N138" s="800"/>
      <c r="O138" s="805"/>
      <c r="P138" s="805"/>
      <c r="Q138" s="800"/>
      <c r="R138" s="808"/>
    </row>
    <row r="139" spans="1:18">
      <c r="A139" s="800"/>
      <c r="B139" s="800"/>
      <c r="C139" s="808"/>
      <c r="D139" s="808"/>
      <c r="E139" s="805"/>
      <c r="F139" s="805"/>
      <c r="G139" s="805"/>
      <c r="H139" s="828"/>
      <c r="I139" s="805"/>
      <c r="J139" s="808"/>
      <c r="K139" s="800"/>
      <c r="L139" s="806"/>
      <c r="M139" s="805"/>
      <c r="N139" s="800"/>
      <c r="O139" s="805"/>
      <c r="P139" s="805"/>
      <c r="Q139" s="800"/>
      <c r="R139" s="808"/>
    </row>
    <row r="140" spans="1:18">
      <c r="A140" s="800"/>
      <c r="B140" s="800"/>
      <c r="C140" s="808"/>
      <c r="D140" s="808"/>
      <c r="E140" s="805"/>
      <c r="F140" s="805"/>
      <c r="G140" s="805"/>
      <c r="H140" s="828"/>
      <c r="I140" s="805"/>
      <c r="J140" s="808"/>
      <c r="K140" s="800"/>
      <c r="L140" s="806"/>
      <c r="M140" s="805"/>
      <c r="N140" s="800"/>
      <c r="O140" s="805"/>
      <c r="P140" s="805"/>
      <c r="Q140" s="800"/>
      <c r="R140" s="808"/>
    </row>
    <row r="141" spans="1:18">
      <c r="A141" s="800"/>
      <c r="B141" s="800"/>
      <c r="C141" s="808"/>
      <c r="D141" s="808"/>
      <c r="E141" s="805"/>
      <c r="F141" s="805"/>
      <c r="G141" s="805"/>
      <c r="H141" s="828"/>
      <c r="I141" s="805"/>
      <c r="J141" s="808"/>
      <c r="K141" s="800"/>
      <c r="L141" s="806"/>
      <c r="M141" s="805"/>
      <c r="N141" s="800"/>
      <c r="O141" s="805"/>
      <c r="P141" s="805"/>
      <c r="Q141" s="800"/>
      <c r="R141" s="808"/>
    </row>
    <row r="142" spans="1:18">
      <c r="A142" s="800"/>
      <c r="B142" s="800"/>
      <c r="C142" s="808"/>
      <c r="D142" s="808"/>
      <c r="E142" s="805"/>
      <c r="F142" s="805"/>
      <c r="G142" s="805"/>
      <c r="H142" s="828"/>
      <c r="I142" s="805"/>
      <c r="J142" s="808"/>
      <c r="K142" s="800"/>
      <c r="L142" s="806"/>
      <c r="M142" s="805"/>
      <c r="N142" s="800"/>
      <c r="O142" s="805"/>
      <c r="P142" s="805"/>
      <c r="Q142" s="800"/>
      <c r="R142" s="808"/>
    </row>
    <row r="143" spans="1:18">
      <c r="A143" s="800"/>
      <c r="B143" s="800"/>
      <c r="C143" s="808"/>
      <c r="D143" s="808"/>
      <c r="E143" s="805"/>
      <c r="F143" s="805"/>
      <c r="G143" s="805"/>
      <c r="H143" s="828"/>
      <c r="I143" s="805"/>
      <c r="J143" s="808"/>
      <c r="K143" s="800"/>
      <c r="L143" s="806"/>
      <c r="M143" s="805"/>
      <c r="N143" s="800"/>
      <c r="O143" s="805"/>
      <c r="P143" s="805"/>
      <c r="Q143" s="800"/>
      <c r="R143" s="808"/>
    </row>
    <row r="144" spans="1:18">
      <c r="A144" s="800"/>
      <c r="B144" s="800"/>
      <c r="C144" s="808"/>
      <c r="D144" s="808"/>
      <c r="E144" s="805"/>
      <c r="F144" s="805"/>
      <c r="G144" s="805"/>
      <c r="H144" s="828"/>
      <c r="I144" s="805"/>
      <c r="J144" s="808"/>
      <c r="K144" s="800"/>
      <c r="L144" s="806"/>
      <c r="M144" s="805"/>
      <c r="N144" s="800"/>
      <c r="O144" s="805"/>
      <c r="P144" s="805"/>
      <c r="Q144" s="800"/>
      <c r="R144" s="808"/>
    </row>
    <row r="145" spans="1:18">
      <c r="A145" s="800"/>
      <c r="B145" s="800"/>
      <c r="C145" s="808"/>
      <c r="D145" s="808"/>
      <c r="E145" s="805"/>
      <c r="F145" s="805"/>
      <c r="G145" s="805"/>
      <c r="H145" s="828"/>
      <c r="I145" s="805"/>
      <c r="J145" s="808"/>
      <c r="K145" s="800"/>
      <c r="L145" s="806"/>
      <c r="M145" s="805"/>
      <c r="N145" s="800"/>
      <c r="O145" s="805"/>
      <c r="P145" s="805"/>
      <c r="Q145" s="800"/>
      <c r="R145" s="808"/>
    </row>
    <row r="146" spans="1:18">
      <c r="A146" s="800"/>
      <c r="B146" s="800"/>
      <c r="C146" s="808"/>
      <c r="D146" s="808"/>
      <c r="E146" s="805"/>
      <c r="F146" s="805"/>
      <c r="G146" s="805"/>
      <c r="H146" s="828"/>
      <c r="I146" s="805"/>
      <c r="J146" s="808"/>
      <c r="K146" s="800"/>
      <c r="L146" s="806"/>
      <c r="M146" s="805"/>
      <c r="N146" s="800"/>
      <c r="O146" s="805"/>
      <c r="P146" s="805"/>
      <c r="Q146" s="800"/>
      <c r="R146" s="808"/>
    </row>
    <row r="147" spans="1:18">
      <c r="A147" s="800"/>
      <c r="B147" s="800"/>
      <c r="C147" s="808"/>
      <c r="D147" s="808"/>
      <c r="E147" s="805"/>
      <c r="F147" s="805"/>
      <c r="G147" s="805"/>
      <c r="H147" s="828"/>
      <c r="I147" s="805"/>
      <c r="J147" s="808"/>
      <c r="K147" s="800"/>
      <c r="L147" s="806"/>
      <c r="M147" s="805"/>
      <c r="N147" s="800"/>
      <c r="O147" s="805"/>
      <c r="P147" s="805"/>
      <c r="Q147" s="800"/>
      <c r="R147" s="808"/>
    </row>
    <row r="148" spans="1:18">
      <c r="A148" s="800"/>
      <c r="B148" s="800"/>
      <c r="C148" s="808"/>
      <c r="D148" s="808"/>
      <c r="E148" s="805"/>
      <c r="F148" s="805"/>
      <c r="G148" s="805"/>
      <c r="H148" s="828"/>
      <c r="I148" s="805"/>
      <c r="J148" s="808"/>
      <c r="K148" s="800"/>
      <c r="L148" s="806"/>
      <c r="M148" s="805"/>
      <c r="N148" s="800"/>
      <c r="O148" s="805"/>
      <c r="P148" s="805"/>
      <c r="Q148" s="800"/>
      <c r="R148" s="808"/>
    </row>
    <row r="149" spans="1:18">
      <c r="A149" s="800"/>
      <c r="B149" s="800"/>
      <c r="C149" s="808"/>
      <c r="D149" s="808"/>
      <c r="E149" s="805"/>
      <c r="F149" s="805"/>
      <c r="G149" s="805"/>
      <c r="H149" s="828"/>
      <c r="I149" s="805"/>
      <c r="J149" s="808"/>
      <c r="K149" s="800"/>
      <c r="L149" s="806"/>
      <c r="M149" s="805"/>
      <c r="N149" s="800"/>
      <c r="O149" s="805"/>
      <c r="P149" s="805"/>
      <c r="Q149" s="800"/>
      <c r="R149" s="808"/>
    </row>
    <row r="150" spans="1:18">
      <c r="A150" s="800"/>
      <c r="B150" s="800"/>
      <c r="C150" s="808"/>
      <c r="D150" s="808"/>
      <c r="E150" s="805"/>
      <c r="F150" s="805"/>
      <c r="G150" s="805"/>
      <c r="H150" s="828"/>
      <c r="I150" s="805"/>
      <c r="J150" s="808"/>
      <c r="K150" s="800"/>
      <c r="L150" s="806"/>
      <c r="M150" s="805"/>
      <c r="N150" s="800"/>
      <c r="O150" s="805"/>
      <c r="P150" s="805"/>
      <c r="Q150" s="800"/>
      <c r="R150" s="808"/>
    </row>
    <row r="151" spans="1:18">
      <c r="A151" s="800"/>
      <c r="B151" s="800"/>
      <c r="C151" s="808"/>
      <c r="D151" s="808"/>
      <c r="E151" s="805"/>
      <c r="F151" s="805"/>
      <c r="G151" s="805"/>
      <c r="H151" s="828"/>
      <c r="I151" s="805"/>
      <c r="J151" s="808"/>
      <c r="K151" s="800"/>
      <c r="L151" s="806"/>
      <c r="M151" s="805"/>
      <c r="N151" s="800"/>
      <c r="O151" s="805"/>
      <c r="P151" s="805"/>
      <c r="Q151" s="800"/>
      <c r="R151" s="808"/>
    </row>
    <row r="152" spans="1:18">
      <c r="A152" s="800"/>
      <c r="B152" s="800"/>
      <c r="C152" s="808"/>
      <c r="D152" s="808"/>
      <c r="E152" s="805"/>
      <c r="F152" s="805"/>
      <c r="G152" s="805"/>
      <c r="H152" s="828"/>
      <c r="I152" s="805"/>
      <c r="J152" s="808"/>
      <c r="K152" s="800"/>
      <c r="L152" s="806"/>
      <c r="M152" s="805"/>
      <c r="N152" s="800"/>
      <c r="O152" s="805"/>
      <c r="P152" s="805"/>
      <c r="Q152" s="800"/>
      <c r="R152" s="808"/>
    </row>
    <row r="153" spans="1:18">
      <c r="A153" s="800"/>
      <c r="B153" s="800"/>
      <c r="C153" s="808"/>
      <c r="D153" s="808"/>
      <c r="E153" s="805"/>
      <c r="F153" s="805"/>
      <c r="G153" s="805"/>
      <c r="H153" s="828"/>
      <c r="I153" s="805"/>
      <c r="J153" s="808"/>
      <c r="K153" s="800"/>
      <c r="L153" s="806"/>
      <c r="M153" s="805"/>
      <c r="N153" s="800"/>
      <c r="O153" s="805"/>
      <c r="P153" s="805"/>
      <c r="Q153" s="800"/>
      <c r="R153" s="808"/>
    </row>
    <row r="154" spans="1:18">
      <c r="A154" s="800"/>
      <c r="B154" s="800"/>
      <c r="C154" s="808"/>
      <c r="D154" s="808"/>
      <c r="E154" s="805"/>
      <c r="F154" s="805"/>
      <c r="G154" s="805"/>
      <c r="H154" s="828"/>
      <c r="I154" s="805"/>
      <c r="J154" s="808"/>
      <c r="K154" s="800"/>
      <c r="L154" s="806"/>
      <c r="M154" s="805"/>
      <c r="N154" s="800"/>
      <c r="O154" s="805"/>
      <c r="P154" s="805"/>
      <c r="Q154" s="800"/>
      <c r="R154" s="808"/>
    </row>
    <row r="155" spans="1:18">
      <c r="A155" s="800"/>
      <c r="B155" s="800"/>
      <c r="C155" s="808"/>
      <c r="D155" s="808"/>
      <c r="E155" s="805"/>
      <c r="F155" s="805"/>
      <c r="G155" s="805"/>
      <c r="H155" s="828"/>
      <c r="I155" s="805"/>
      <c r="J155" s="808"/>
      <c r="K155" s="800"/>
      <c r="L155" s="806"/>
      <c r="M155" s="805"/>
      <c r="N155" s="800"/>
      <c r="O155" s="805"/>
      <c r="P155" s="805"/>
      <c r="Q155" s="800"/>
      <c r="R155" s="808"/>
    </row>
    <row r="156" spans="1:18">
      <c r="A156" s="800"/>
      <c r="B156" s="800"/>
      <c r="C156" s="808"/>
      <c r="D156" s="808"/>
      <c r="E156" s="805"/>
      <c r="F156" s="805"/>
      <c r="G156" s="805"/>
      <c r="H156" s="828"/>
      <c r="I156" s="805"/>
      <c r="J156" s="808"/>
      <c r="K156" s="800"/>
      <c r="L156" s="806"/>
      <c r="M156" s="805"/>
      <c r="N156" s="800"/>
      <c r="O156" s="805"/>
      <c r="P156" s="805"/>
      <c r="Q156" s="800"/>
      <c r="R156" s="808"/>
    </row>
    <row r="157" spans="1:18">
      <c r="A157" s="800"/>
      <c r="B157" s="800"/>
      <c r="C157" s="808"/>
      <c r="D157" s="808"/>
      <c r="E157" s="805"/>
      <c r="F157" s="805"/>
      <c r="G157" s="805"/>
      <c r="H157" s="828"/>
      <c r="I157" s="805"/>
      <c r="J157" s="808"/>
      <c r="K157" s="800"/>
      <c r="L157" s="806"/>
      <c r="M157" s="805"/>
      <c r="N157" s="800"/>
      <c r="O157" s="805"/>
      <c r="P157" s="805"/>
      <c r="Q157" s="800"/>
      <c r="R157" s="808"/>
    </row>
    <row r="158" spans="1:18">
      <c r="A158" s="800"/>
      <c r="B158" s="800"/>
      <c r="C158" s="808"/>
      <c r="D158" s="808"/>
      <c r="E158" s="805"/>
      <c r="F158" s="805"/>
      <c r="G158" s="805"/>
      <c r="H158" s="828"/>
      <c r="I158" s="805"/>
      <c r="J158" s="808"/>
      <c r="K158" s="800"/>
      <c r="L158" s="806"/>
      <c r="M158" s="805"/>
      <c r="N158" s="800"/>
      <c r="O158" s="805"/>
      <c r="P158" s="805"/>
      <c r="Q158" s="800"/>
      <c r="R158" s="808"/>
    </row>
    <row r="159" spans="1:18">
      <c r="A159" s="800"/>
      <c r="B159" s="800"/>
      <c r="C159" s="808"/>
      <c r="D159" s="808"/>
      <c r="E159" s="805"/>
      <c r="F159" s="805"/>
      <c r="G159" s="805"/>
      <c r="H159" s="828"/>
      <c r="I159" s="805"/>
      <c r="J159" s="808"/>
      <c r="K159" s="800"/>
      <c r="L159" s="806"/>
      <c r="M159" s="805"/>
      <c r="N159" s="800"/>
      <c r="O159" s="805"/>
      <c r="P159" s="805"/>
      <c r="Q159" s="800"/>
      <c r="R159" s="808"/>
    </row>
    <row r="160" spans="1:18">
      <c r="A160" s="800"/>
      <c r="B160" s="800"/>
      <c r="C160" s="808"/>
      <c r="D160" s="808"/>
      <c r="E160" s="805"/>
      <c r="F160" s="805"/>
      <c r="G160" s="805"/>
      <c r="H160" s="828"/>
      <c r="I160" s="805"/>
      <c r="J160" s="808"/>
      <c r="K160" s="800"/>
      <c r="L160" s="806"/>
      <c r="M160" s="805"/>
      <c r="N160" s="800"/>
      <c r="O160" s="805"/>
      <c r="P160" s="805"/>
      <c r="Q160" s="800"/>
      <c r="R160" s="808"/>
    </row>
    <row r="161" spans="1:18">
      <c r="A161" s="800"/>
      <c r="B161" s="800"/>
      <c r="C161" s="808"/>
      <c r="D161" s="808"/>
      <c r="E161" s="805"/>
      <c r="F161" s="805"/>
      <c r="G161" s="805"/>
      <c r="H161" s="828"/>
      <c r="I161" s="805"/>
      <c r="J161" s="808"/>
      <c r="K161" s="800"/>
      <c r="L161" s="806"/>
      <c r="M161" s="805"/>
      <c r="N161" s="800"/>
      <c r="O161" s="805"/>
      <c r="P161" s="805"/>
      <c r="Q161" s="800"/>
      <c r="R161" s="808"/>
    </row>
    <row r="162" spans="1:18">
      <c r="A162" s="800"/>
      <c r="B162" s="800"/>
      <c r="C162" s="808"/>
      <c r="D162" s="808"/>
      <c r="E162" s="805"/>
      <c r="F162" s="805"/>
      <c r="G162" s="805"/>
      <c r="H162" s="828"/>
      <c r="I162" s="805"/>
      <c r="J162" s="808"/>
      <c r="K162" s="800"/>
      <c r="L162" s="806"/>
      <c r="M162" s="805"/>
      <c r="N162" s="800"/>
      <c r="O162" s="805"/>
      <c r="P162" s="805"/>
      <c r="Q162" s="800"/>
      <c r="R162" s="808"/>
    </row>
    <row r="163" spans="1:18">
      <c r="A163" s="800"/>
      <c r="B163" s="800"/>
      <c r="C163" s="808"/>
      <c r="D163" s="808"/>
      <c r="E163" s="805"/>
      <c r="F163" s="805"/>
      <c r="G163" s="805"/>
      <c r="H163" s="828"/>
      <c r="I163" s="805"/>
      <c r="J163" s="808"/>
      <c r="K163" s="800"/>
      <c r="L163" s="806"/>
      <c r="M163" s="805"/>
      <c r="N163" s="800"/>
      <c r="O163" s="805"/>
      <c r="P163" s="805"/>
      <c r="Q163" s="800"/>
      <c r="R163" s="808"/>
    </row>
    <row r="164" spans="1:18">
      <c r="A164" s="800"/>
      <c r="B164" s="800"/>
      <c r="C164" s="808"/>
      <c r="D164" s="808"/>
      <c r="E164" s="805"/>
      <c r="F164" s="805"/>
      <c r="G164" s="805"/>
      <c r="H164" s="828"/>
      <c r="I164" s="805"/>
      <c r="J164" s="808"/>
      <c r="K164" s="800"/>
      <c r="L164" s="806"/>
      <c r="M164" s="805"/>
      <c r="N164" s="800"/>
      <c r="O164" s="805"/>
      <c r="P164" s="805"/>
      <c r="Q164" s="800"/>
      <c r="R164" s="808"/>
    </row>
    <row r="165" spans="1:18">
      <c r="A165" s="800"/>
      <c r="B165" s="800"/>
      <c r="C165" s="808"/>
      <c r="D165" s="808"/>
      <c r="E165" s="805"/>
      <c r="F165" s="805"/>
      <c r="G165" s="805"/>
      <c r="H165" s="828"/>
      <c r="I165" s="805"/>
      <c r="J165" s="808"/>
      <c r="K165" s="800"/>
      <c r="L165" s="806"/>
      <c r="M165" s="805"/>
      <c r="N165" s="800"/>
      <c r="O165" s="805"/>
      <c r="P165" s="805"/>
      <c r="Q165" s="800"/>
      <c r="R165" s="808"/>
    </row>
    <row r="166" spans="1:18">
      <c r="A166" s="800"/>
      <c r="B166" s="800"/>
      <c r="C166" s="808"/>
      <c r="D166" s="808"/>
      <c r="E166" s="805"/>
      <c r="F166" s="805"/>
      <c r="G166" s="805"/>
      <c r="H166" s="828"/>
      <c r="I166" s="805"/>
      <c r="J166" s="808"/>
      <c r="K166" s="800"/>
      <c r="L166" s="806"/>
      <c r="M166" s="805"/>
      <c r="N166" s="800"/>
      <c r="O166" s="805"/>
      <c r="P166" s="805"/>
      <c r="Q166" s="800"/>
      <c r="R166" s="808"/>
    </row>
    <row r="167" spans="1:18">
      <c r="A167" s="800"/>
      <c r="B167" s="800"/>
      <c r="C167" s="808"/>
      <c r="D167" s="808"/>
      <c r="E167" s="805"/>
      <c r="F167" s="805"/>
      <c r="G167" s="805"/>
      <c r="H167" s="828"/>
      <c r="I167" s="805"/>
      <c r="J167" s="808"/>
      <c r="K167" s="800"/>
      <c r="L167" s="806"/>
      <c r="M167" s="805"/>
      <c r="N167" s="800"/>
      <c r="O167" s="805"/>
      <c r="P167" s="805"/>
      <c r="Q167" s="800"/>
      <c r="R167" s="808"/>
    </row>
    <row r="168" spans="1:18">
      <c r="A168" s="800"/>
      <c r="B168" s="800"/>
      <c r="C168" s="808"/>
      <c r="D168" s="808"/>
      <c r="E168" s="805"/>
      <c r="F168" s="805"/>
      <c r="G168" s="805"/>
      <c r="H168" s="828"/>
      <c r="I168" s="805"/>
      <c r="J168" s="808"/>
      <c r="K168" s="800"/>
      <c r="L168" s="806"/>
      <c r="M168" s="805"/>
      <c r="N168" s="800"/>
      <c r="O168" s="805"/>
      <c r="P168" s="805"/>
      <c r="Q168" s="800"/>
      <c r="R168" s="808"/>
    </row>
    <row r="169" spans="1:18">
      <c r="A169" s="800"/>
      <c r="B169" s="800"/>
      <c r="C169" s="808"/>
      <c r="D169" s="808"/>
      <c r="E169" s="805"/>
      <c r="F169" s="805"/>
      <c r="G169" s="805"/>
      <c r="H169" s="828"/>
      <c r="I169" s="805"/>
      <c r="J169" s="808"/>
      <c r="K169" s="800"/>
      <c r="L169" s="806"/>
      <c r="M169" s="805"/>
      <c r="N169" s="800"/>
      <c r="O169" s="805"/>
      <c r="P169" s="805"/>
      <c r="Q169" s="800"/>
      <c r="R169" s="808"/>
    </row>
    <row r="170" spans="1:18">
      <c r="A170" s="800"/>
      <c r="B170" s="800"/>
      <c r="C170" s="808"/>
      <c r="D170" s="808"/>
      <c r="E170" s="805"/>
      <c r="F170" s="805"/>
      <c r="G170" s="805"/>
      <c r="H170" s="828"/>
      <c r="I170" s="805"/>
      <c r="J170" s="808"/>
      <c r="K170" s="800"/>
      <c r="L170" s="806"/>
      <c r="M170" s="805"/>
      <c r="N170" s="800"/>
      <c r="O170" s="805"/>
      <c r="P170" s="805"/>
      <c r="Q170" s="800"/>
      <c r="R170" s="808"/>
    </row>
    <row r="171" spans="1:18">
      <c r="A171" s="800"/>
      <c r="B171" s="800"/>
      <c r="C171" s="808"/>
      <c r="D171" s="808"/>
      <c r="E171" s="805"/>
      <c r="F171" s="805"/>
      <c r="G171" s="805"/>
      <c r="H171" s="828"/>
      <c r="I171" s="805"/>
      <c r="J171" s="808"/>
      <c r="K171" s="800"/>
      <c r="L171" s="806"/>
      <c r="M171" s="805"/>
      <c r="N171" s="800"/>
      <c r="O171" s="805"/>
      <c r="P171" s="805"/>
      <c r="Q171" s="800"/>
      <c r="R171" s="808"/>
    </row>
    <row r="172" spans="1:18">
      <c r="A172" s="800"/>
      <c r="B172" s="800"/>
      <c r="C172" s="808"/>
      <c r="D172" s="808"/>
      <c r="E172" s="805"/>
      <c r="F172" s="805"/>
      <c r="G172" s="805"/>
      <c r="H172" s="828"/>
      <c r="I172" s="805"/>
      <c r="J172" s="808"/>
      <c r="K172" s="800"/>
      <c r="L172" s="806"/>
      <c r="M172" s="805"/>
      <c r="N172" s="800"/>
      <c r="O172" s="805"/>
      <c r="P172" s="805"/>
      <c r="Q172" s="800"/>
      <c r="R172" s="808"/>
    </row>
    <row r="173" spans="1:18">
      <c r="A173" s="800"/>
      <c r="B173" s="800"/>
      <c r="C173" s="808"/>
      <c r="D173" s="808"/>
      <c r="E173" s="805"/>
      <c r="F173" s="805"/>
      <c r="G173" s="805"/>
      <c r="H173" s="828"/>
      <c r="I173" s="805"/>
      <c r="J173" s="808"/>
      <c r="K173" s="800"/>
      <c r="L173" s="806"/>
      <c r="M173" s="805"/>
      <c r="N173" s="800"/>
      <c r="O173" s="805"/>
      <c r="P173" s="805"/>
      <c r="Q173" s="800"/>
      <c r="R173" s="808"/>
    </row>
    <row r="174" spans="1:18">
      <c r="A174" s="800"/>
      <c r="B174" s="800"/>
      <c r="C174" s="808"/>
      <c r="D174" s="808"/>
      <c r="E174" s="805"/>
      <c r="F174" s="805"/>
      <c r="G174" s="805"/>
      <c r="H174" s="828"/>
      <c r="I174" s="805"/>
      <c r="J174" s="808"/>
      <c r="K174" s="800"/>
      <c r="L174" s="806"/>
      <c r="M174" s="805"/>
      <c r="N174" s="800"/>
      <c r="O174" s="805"/>
      <c r="P174" s="805"/>
      <c r="Q174" s="800"/>
      <c r="R174" s="808"/>
    </row>
    <row r="175" spans="1:18">
      <c r="A175" s="800"/>
      <c r="B175" s="800"/>
      <c r="C175" s="808"/>
      <c r="D175" s="808"/>
      <c r="E175" s="805"/>
      <c r="F175" s="805"/>
      <c r="G175" s="805"/>
      <c r="H175" s="828"/>
      <c r="I175" s="805"/>
      <c r="J175" s="808"/>
      <c r="K175" s="800"/>
      <c r="L175" s="806"/>
      <c r="M175" s="805"/>
      <c r="N175" s="800"/>
      <c r="O175" s="805"/>
      <c r="P175" s="805"/>
      <c r="Q175" s="800"/>
      <c r="R175" s="808"/>
    </row>
    <row r="176" spans="1:18">
      <c r="A176" s="800"/>
      <c r="B176" s="800"/>
      <c r="C176" s="808"/>
      <c r="D176" s="808"/>
      <c r="E176" s="805"/>
      <c r="F176" s="805"/>
      <c r="G176" s="805"/>
      <c r="H176" s="828"/>
      <c r="I176" s="805"/>
      <c r="J176" s="808"/>
      <c r="K176" s="800"/>
      <c r="L176" s="806"/>
      <c r="M176" s="805"/>
      <c r="N176" s="800"/>
      <c r="O176" s="805"/>
      <c r="P176" s="805"/>
      <c r="Q176" s="800"/>
      <c r="R176" s="808"/>
    </row>
    <row r="177" spans="1:18">
      <c r="A177" s="800"/>
      <c r="B177" s="800"/>
      <c r="C177" s="808"/>
      <c r="D177" s="808"/>
      <c r="E177" s="805"/>
      <c r="F177" s="805"/>
      <c r="G177" s="805"/>
      <c r="H177" s="828"/>
      <c r="I177" s="805"/>
      <c r="J177" s="808"/>
      <c r="K177" s="800"/>
      <c r="L177" s="806"/>
      <c r="M177" s="805"/>
      <c r="N177" s="800"/>
      <c r="O177" s="805"/>
      <c r="P177" s="805"/>
      <c r="Q177" s="800"/>
      <c r="R177" s="808"/>
    </row>
    <row r="178" spans="1:18">
      <c r="A178" s="800"/>
      <c r="B178" s="800"/>
      <c r="C178" s="808"/>
      <c r="D178" s="808"/>
      <c r="E178" s="805"/>
      <c r="F178" s="805"/>
      <c r="G178" s="805"/>
      <c r="H178" s="828"/>
      <c r="I178" s="805"/>
      <c r="J178" s="808"/>
      <c r="K178" s="800"/>
      <c r="L178" s="806"/>
      <c r="M178" s="805"/>
      <c r="N178" s="800"/>
      <c r="O178" s="805"/>
      <c r="P178" s="805"/>
      <c r="Q178" s="800"/>
      <c r="R178" s="808"/>
    </row>
    <row r="179" spans="1:18">
      <c r="A179" s="800"/>
      <c r="B179" s="800"/>
      <c r="C179" s="808"/>
      <c r="D179" s="808"/>
      <c r="E179" s="805"/>
      <c r="F179" s="805"/>
      <c r="G179" s="805"/>
      <c r="H179" s="828"/>
      <c r="I179" s="805"/>
      <c r="J179" s="808"/>
      <c r="K179" s="800"/>
      <c r="L179" s="806"/>
      <c r="M179" s="805"/>
      <c r="N179" s="800"/>
      <c r="O179" s="805"/>
      <c r="P179" s="805"/>
      <c r="Q179" s="800"/>
      <c r="R179" s="808"/>
    </row>
    <row r="180" spans="1:18">
      <c r="A180" s="800"/>
      <c r="B180" s="800"/>
      <c r="C180" s="808"/>
      <c r="D180" s="808"/>
      <c r="E180" s="805"/>
      <c r="F180" s="805"/>
      <c r="G180" s="805"/>
      <c r="H180" s="828"/>
      <c r="I180" s="805"/>
      <c r="J180" s="808"/>
      <c r="K180" s="800"/>
      <c r="L180" s="806"/>
      <c r="M180" s="805"/>
      <c r="N180" s="800"/>
      <c r="O180" s="805"/>
      <c r="P180" s="805"/>
      <c r="Q180" s="800"/>
      <c r="R180" s="808"/>
    </row>
    <row r="181" spans="1:18">
      <c r="A181" s="800"/>
      <c r="B181" s="800"/>
      <c r="C181" s="808"/>
      <c r="D181" s="808"/>
      <c r="E181" s="805"/>
      <c r="F181" s="805"/>
      <c r="G181" s="805"/>
      <c r="H181" s="828"/>
      <c r="I181" s="805"/>
      <c r="J181" s="808"/>
      <c r="K181" s="800"/>
      <c r="L181" s="806"/>
      <c r="M181" s="805"/>
      <c r="N181" s="800"/>
      <c r="O181" s="805"/>
      <c r="P181" s="805"/>
      <c r="Q181" s="800"/>
      <c r="R181" s="808"/>
    </row>
    <row r="182" spans="1:18">
      <c r="A182" s="800"/>
      <c r="B182" s="800"/>
      <c r="C182" s="808"/>
      <c r="D182" s="808"/>
      <c r="E182" s="805"/>
      <c r="F182" s="805"/>
      <c r="G182" s="805"/>
      <c r="H182" s="828"/>
      <c r="I182" s="805"/>
      <c r="J182" s="808"/>
      <c r="K182" s="800"/>
      <c r="L182" s="806"/>
      <c r="M182" s="805"/>
      <c r="N182" s="800"/>
      <c r="O182" s="805"/>
      <c r="P182" s="805"/>
      <c r="Q182" s="800"/>
      <c r="R182" s="808"/>
    </row>
    <row r="183" spans="1:18">
      <c r="A183" s="800"/>
      <c r="B183" s="800"/>
      <c r="C183" s="808"/>
      <c r="D183" s="808"/>
      <c r="E183" s="805"/>
      <c r="F183" s="805"/>
      <c r="G183" s="805"/>
      <c r="H183" s="828"/>
      <c r="I183" s="805"/>
      <c r="J183" s="808"/>
      <c r="K183" s="800"/>
      <c r="L183" s="806"/>
      <c r="M183" s="805"/>
      <c r="N183" s="800"/>
      <c r="O183" s="805"/>
      <c r="P183" s="805"/>
      <c r="Q183" s="800"/>
      <c r="R183" s="808"/>
    </row>
    <row r="184" spans="1:18">
      <c r="A184" s="800"/>
      <c r="B184" s="800"/>
      <c r="C184" s="808"/>
      <c r="D184" s="808"/>
      <c r="E184" s="805"/>
      <c r="F184" s="805"/>
      <c r="G184" s="805"/>
      <c r="H184" s="828"/>
      <c r="I184" s="805"/>
      <c r="J184" s="808"/>
      <c r="K184" s="800"/>
      <c r="L184" s="806"/>
      <c r="M184" s="805"/>
      <c r="N184" s="800"/>
      <c r="O184" s="805"/>
      <c r="P184" s="805"/>
      <c r="Q184" s="800"/>
      <c r="R184" s="808"/>
    </row>
    <row r="185" spans="1:18">
      <c r="A185" s="800"/>
      <c r="B185" s="800"/>
      <c r="C185" s="808"/>
      <c r="D185" s="808"/>
      <c r="E185" s="805"/>
      <c r="F185" s="805"/>
      <c r="G185" s="805"/>
      <c r="H185" s="828"/>
      <c r="I185" s="805"/>
      <c r="J185" s="808"/>
      <c r="K185" s="800"/>
      <c r="L185" s="806"/>
      <c r="M185" s="805"/>
      <c r="N185" s="800"/>
      <c r="O185" s="805"/>
      <c r="P185" s="805"/>
      <c r="Q185" s="800"/>
      <c r="R185" s="808"/>
    </row>
    <row r="186" spans="1:18">
      <c r="A186" s="800"/>
      <c r="B186" s="800"/>
      <c r="C186" s="808"/>
      <c r="D186" s="808"/>
      <c r="E186" s="805"/>
      <c r="F186" s="805"/>
      <c r="G186" s="805"/>
      <c r="H186" s="828"/>
      <c r="I186" s="805"/>
      <c r="J186" s="808"/>
      <c r="K186" s="800"/>
      <c r="L186" s="806"/>
      <c r="M186" s="805"/>
      <c r="N186" s="800"/>
      <c r="O186" s="805"/>
      <c r="P186" s="805"/>
      <c r="Q186" s="800"/>
      <c r="R186" s="808"/>
    </row>
    <row r="187" spans="1:18">
      <c r="A187" s="800"/>
      <c r="B187" s="800"/>
      <c r="C187" s="808"/>
      <c r="D187" s="808"/>
      <c r="E187" s="805"/>
      <c r="F187" s="805"/>
      <c r="G187" s="805"/>
      <c r="H187" s="828"/>
      <c r="I187" s="805"/>
      <c r="J187" s="808"/>
      <c r="K187" s="800"/>
      <c r="L187" s="806"/>
      <c r="M187" s="805"/>
      <c r="N187" s="800"/>
      <c r="O187" s="805"/>
      <c r="P187" s="805"/>
      <c r="Q187" s="800"/>
      <c r="R187" s="808"/>
    </row>
    <row r="188" spans="1:18">
      <c r="A188" s="800"/>
      <c r="B188" s="800"/>
      <c r="C188" s="808"/>
      <c r="D188" s="808"/>
      <c r="E188" s="805"/>
      <c r="F188" s="805"/>
      <c r="G188" s="805"/>
      <c r="H188" s="828"/>
      <c r="I188" s="805"/>
      <c r="J188" s="808"/>
      <c r="K188" s="800"/>
      <c r="L188" s="806"/>
      <c r="M188" s="805"/>
      <c r="N188" s="800"/>
      <c r="O188" s="805"/>
      <c r="P188" s="805"/>
      <c r="Q188" s="800"/>
      <c r="R188" s="808"/>
    </row>
    <row r="189" spans="1:18">
      <c r="A189" s="800"/>
      <c r="B189" s="800"/>
      <c r="C189" s="808"/>
      <c r="D189" s="808"/>
      <c r="E189" s="805"/>
      <c r="F189" s="805"/>
      <c r="G189" s="805"/>
      <c r="H189" s="828"/>
      <c r="I189" s="805"/>
      <c r="J189" s="808"/>
      <c r="K189" s="800"/>
      <c r="L189" s="806"/>
      <c r="M189" s="805"/>
      <c r="N189" s="800"/>
      <c r="O189" s="805"/>
      <c r="P189" s="805"/>
      <c r="Q189" s="800"/>
      <c r="R189" s="808"/>
    </row>
    <row r="190" spans="1:18">
      <c r="A190" s="800"/>
      <c r="B190" s="800"/>
      <c r="C190" s="808"/>
      <c r="D190" s="808"/>
      <c r="E190" s="805"/>
      <c r="F190" s="805"/>
      <c r="G190" s="805"/>
      <c r="H190" s="828"/>
      <c r="I190" s="805"/>
      <c r="J190" s="808"/>
      <c r="K190" s="800"/>
      <c r="L190" s="806"/>
      <c r="M190" s="805"/>
      <c r="N190" s="800"/>
      <c r="O190" s="805"/>
      <c r="P190" s="805"/>
      <c r="Q190" s="800"/>
      <c r="R190" s="808"/>
    </row>
    <row r="191" spans="1:18">
      <c r="A191" s="800"/>
      <c r="B191" s="800"/>
      <c r="C191" s="808"/>
      <c r="D191" s="808"/>
      <c r="E191" s="805"/>
      <c r="F191" s="805"/>
      <c r="G191" s="805"/>
      <c r="H191" s="828"/>
      <c r="I191" s="805"/>
      <c r="J191" s="808"/>
      <c r="K191" s="800"/>
      <c r="L191" s="806"/>
      <c r="M191" s="805"/>
      <c r="N191" s="800"/>
      <c r="O191" s="805"/>
      <c r="P191" s="805"/>
      <c r="Q191" s="800"/>
      <c r="R191" s="808"/>
    </row>
    <row r="192" spans="1:18">
      <c r="A192" s="800"/>
      <c r="B192" s="800"/>
      <c r="C192" s="808"/>
      <c r="D192" s="808"/>
      <c r="E192" s="805"/>
      <c r="F192" s="805"/>
      <c r="G192" s="805"/>
      <c r="H192" s="828"/>
      <c r="I192" s="805"/>
      <c r="J192" s="808"/>
      <c r="K192" s="800"/>
      <c r="L192" s="806"/>
      <c r="M192" s="805"/>
      <c r="N192" s="800"/>
      <c r="O192" s="805"/>
      <c r="P192" s="805"/>
      <c r="Q192" s="800"/>
      <c r="R192" s="808"/>
    </row>
    <row r="193" spans="1:18">
      <c r="A193" s="800"/>
      <c r="B193" s="800"/>
      <c r="C193" s="808"/>
      <c r="D193" s="808"/>
      <c r="E193" s="805"/>
      <c r="F193" s="805"/>
      <c r="G193" s="805"/>
      <c r="H193" s="828"/>
      <c r="I193" s="805"/>
      <c r="J193" s="808"/>
      <c r="K193" s="800"/>
      <c r="L193" s="806"/>
      <c r="M193" s="805"/>
      <c r="N193" s="800"/>
      <c r="O193" s="805"/>
      <c r="P193" s="805"/>
      <c r="Q193" s="800"/>
      <c r="R193" s="808"/>
    </row>
    <row r="194" spans="1:18">
      <c r="A194" s="800"/>
      <c r="B194" s="800"/>
      <c r="C194" s="808"/>
      <c r="D194" s="808"/>
      <c r="E194" s="805"/>
      <c r="F194" s="805"/>
      <c r="G194" s="805"/>
      <c r="H194" s="828"/>
      <c r="I194" s="805"/>
      <c r="J194" s="808"/>
      <c r="K194" s="800"/>
      <c r="L194" s="806"/>
      <c r="M194" s="805"/>
      <c r="N194" s="800"/>
      <c r="O194" s="805"/>
      <c r="P194" s="805"/>
      <c r="Q194" s="800"/>
      <c r="R194" s="808"/>
    </row>
    <row r="195" spans="1:18">
      <c r="A195" s="800"/>
      <c r="B195" s="800"/>
      <c r="C195" s="808"/>
      <c r="D195" s="808"/>
      <c r="E195" s="805"/>
      <c r="F195" s="805"/>
      <c r="G195" s="805"/>
      <c r="H195" s="828"/>
      <c r="I195" s="805"/>
      <c r="J195" s="808"/>
      <c r="K195" s="800"/>
      <c r="L195" s="806"/>
      <c r="M195" s="805"/>
      <c r="N195" s="800"/>
      <c r="O195" s="805"/>
      <c r="P195" s="805"/>
      <c r="Q195" s="800"/>
      <c r="R195" s="808"/>
    </row>
    <row r="196" spans="1:18">
      <c r="A196" s="800"/>
      <c r="B196" s="800"/>
      <c r="C196" s="808"/>
      <c r="D196" s="808"/>
      <c r="E196" s="805"/>
      <c r="F196" s="805"/>
      <c r="G196" s="805"/>
      <c r="H196" s="828"/>
      <c r="I196" s="805"/>
      <c r="J196" s="808"/>
      <c r="K196" s="800"/>
      <c r="L196" s="806"/>
      <c r="M196" s="805"/>
      <c r="N196" s="800"/>
      <c r="O196" s="805"/>
      <c r="P196" s="805"/>
      <c r="Q196" s="800"/>
      <c r="R196" s="808"/>
    </row>
    <row r="197" spans="1:18">
      <c r="A197" s="800"/>
      <c r="B197" s="800"/>
      <c r="C197" s="808"/>
      <c r="D197" s="808"/>
      <c r="E197" s="805"/>
      <c r="F197" s="805"/>
      <c r="G197" s="805"/>
      <c r="H197" s="828"/>
      <c r="I197" s="805"/>
      <c r="J197" s="808"/>
      <c r="K197" s="800"/>
      <c r="L197" s="806"/>
      <c r="M197" s="805"/>
      <c r="N197" s="800"/>
      <c r="O197" s="805"/>
      <c r="P197" s="805"/>
      <c r="Q197" s="800"/>
      <c r="R197" s="808"/>
    </row>
    <row r="198" spans="1:18">
      <c r="A198" s="800"/>
      <c r="B198" s="800"/>
      <c r="C198" s="808"/>
      <c r="D198" s="808"/>
      <c r="E198" s="805"/>
      <c r="F198" s="805"/>
      <c r="G198" s="805"/>
      <c r="H198" s="828"/>
      <c r="I198" s="805"/>
      <c r="J198" s="808"/>
      <c r="K198" s="800"/>
      <c r="L198" s="806"/>
      <c r="M198" s="805"/>
      <c r="N198" s="800"/>
      <c r="O198" s="805"/>
      <c r="P198" s="805"/>
      <c r="Q198" s="800"/>
      <c r="R198" s="808"/>
    </row>
    <row r="199" spans="1:18">
      <c r="A199" s="800"/>
      <c r="B199" s="800"/>
      <c r="C199" s="808"/>
      <c r="D199" s="808"/>
      <c r="E199" s="805"/>
      <c r="F199" s="805"/>
      <c r="G199" s="805"/>
      <c r="H199" s="828"/>
      <c r="I199" s="805"/>
      <c r="J199" s="808"/>
      <c r="K199" s="800"/>
      <c r="L199" s="806"/>
      <c r="M199" s="805"/>
      <c r="N199" s="800"/>
      <c r="O199" s="805"/>
      <c r="P199" s="805"/>
      <c r="Q199" s="800"/>
      <c r="R199" s="808"/>
    </row>
    <row r="200" spans="1:18">
      <c r="A200" s="800"/>
      <c r="B200" s="800"/>
      <c r="C200" s="808"/>
      <c r="D200" s="808"/>
      <c r="E200" s="805"/>
      <c r="F200" s="805"/>
      <c r="G200" s="805"/>
      <c r="H200" s="828"/>
      <c r="I200" s="805"/>
      <c r="J200" s="808"/>
      <c r="K200" s="800"/>
      <c r="L200" s="806"/>
      <c r="M200" s="805"/>
      <c r="N200" s="800"/>
      <c r="O200" s="805"/>
      <c r="P200" s="805"/>
      <c r="Q200" s="800"/>
      <c r="R200" s="808"/>
    </row>
    <row r="201" spans="1:18">
      <c r="A201" s="800"/>
      <c r="B201" s="800"/>
      <c r="C201" s="808"/>
      <c r="D201" s="808"/>
      <c r="E201" s="805"/>
      <c r="F201" s="805"/>
      <c r="G201" s="805"/>
      <c r="H201" s="828"/>
      <c r="I201" s="805"/>
      <c r="J201" s="808"/>
      <c r="K201" s="800"/>
      <c r="L201" s="806"/>
      <c r="M201" s="805"/>
      <c r="N201" s="800"/>
      <c r="O201" s="805"/>
      <c r="P201" s="805"/>
      <c r="Q201" s="800"/>
      <c r="R201" s="808"/>
    </row>
    <row r="202" spans="1:18">
      <c r="A202" s="800"/>
      <c r="B202" s="800"/>
      <c r="C202" s="808"/>
      <c r="D202" s="808"/>
      <c r="E202" s="805"/>
      <c r="F202" s="805"/>
      <c r="G202" s="805"/>
      <c r="H202" s="828"/>
      <c r="I202" s="805"/>
      <c r="J202" s="808"/>
      <c r="K202" s="800"/>
      <c r="L202" s="806"/>
      <c r="M202" s="805"/>
      <c r="N202" s="800"/>
      <c r="O202" s="805"/>
      <c r="P202" s="805"/>
      <c r="Q202" s="800"/>
      <c r="R202" s="808"/>
    </row>
    <row r="203" spans="1:18">
      <c r="A203" s="800"/>
      <c r="B203" s="800"/>
      <c r="C203" s="808"/>
      <c r="D203" s="808"/>
      <c r="E203" s="805"/>
      <c r="F203" s="805"/>
      <c r="G203" s="805"/>
      <c r="H203" s="828"/>
      <c r="I203" s="805"/>
      <c r="J203" s="808"/>
      <c r="K203" s="800"/>
      <c r="L203" s="806"/>
      <c r="M203" s="805"/>
      <c r="N203" s="800"/>
      <c r="O203" s="805"/>
      <c r="P203" s="805"/>
      <c r="Q203" s="800"/>
      <c r="R203" s="808"/>
    </row>
    <row r="204" spans="1:18">
      <c r="A204" s="800"/>
      <c r="B204" s="800"/>
      <c r="C204" s="808"/>
      <c r="D204" s="808"/>
      <c r="E204" s="805"/>
      <c r="F204" s="805"/>
      <c r="G204" s="805"/>
      <c r="H204" s="828"/>
      <c r="I204" s="805"/>
      <c r="J204" s="808"/>
      <c r="K204" s="800"/>
      <c r="L204" s="806"/>
      <c r="M204" s="805"/>
      <c r="N204" s="800"/>
      <c r="O204" s="805"/>
      <c r="P204" s="805"/>
      <c r="Q204" s="800"/>
      <c r="R204" s="808"/>
    </row>
    <row r="205" spans="1:18">
      <c r="A205" s="800"/>
      <c r="B205" s="800"/>
      <c r="C205" s="808"/>
      <c r="D205" s="808"/>
      <c r="E205" s="805"/>
      <c r="F205" s="805"/>
      <c r="G205" s="805"/>
      <c r="H205" s="828"/>
      <c r="I205" s="805"/>
      <c r="J205" s="808"/>
      <c r="K205" s="800"/>
      <c r="L205" s="806"/>
      <c r="M205" s="805"/>
      <c r="N205" s="800"/>
      <c r="O205" s="805"/>
      <c r="P205" s="805"/>
      <c r="Q205" s="800"/>
      <c r="R205" s="808"/>
    </row>
    <row r="206" spans="1:18">
      <c r="A206" s="800"/>
      <c r="B206" s="800"/>
      <c r="C206" s="808"/>
      <c r="D206" s="808"/>
      <c r="E206" s="805"/>
      <c r="F206" s="805"/>
      <c r="G206" s="805"/>
      <c r="H206" s="828"/>
      <c r="I206" s="805"/>
      <c r="J206" s="808"/>
      <c r="K206" s="800"/>
      <c r="L206" s="806"/>
      <c r="M206" s="805"/>
      <c r="N206" s="800"/>
      <c r="O206" s="805"/>
      <c r="P206" s="805"/>
      <c r="Q206" s="800"/>
      <c r="R206" s="808"/>
    </row>
    <row r="207" spans="1:18">
      <c r="A207" s="800"/>
      <c r="B207" s="800"/>
      <c r="C207" s="808"/>
      <c r="D207" s="808"/>
      <c r="E207" s="805"/>
      <c r="F207" s="805"/>
      <c r="G207" s="805"/>
      <c r="H207" s="828"/>
      <c r="I207" s="805"/>
      <c r="J207" s="808"/>
      <c r="K207" s="800"/>
      <c r="L207" s="806"/>
      <c r="M207" s="805"/>
      <c r="N207" s="800"/>
      <c r="O207" s="805"/>
      <c r="P207" s="805"/>
      <c r="Q207" s="800"/>
      <c r="R207" s="808"/>
    </row>
    <row r="208" spans="1:18">
      <c r="A208" s="800"/>
      <c r="B208" s="800"/>
      <c r="C208" s="808"/>
      <c r="D208" s="808"/>
      <c r="E208" s="805"/>
      <c r="F208" s="805"/>
      <c r="G208" s="805"/>
      <c r="H208" s="828"/>
      <c r="I208" s="805"/>
      <c r="J208" s="808"/>
      <c r="K208" s="800"/>
      <c r="L208" s="806"/>
      <c r="M208" s="805"/>
      <c r="N208" s="800"/>
      <c r="O208" s="805"/>
      <c r="P208" s="805"/>
      <c r="Q208" s="800"/>
      <c r="R208" s="808"/>
    </row>
    <row r="209" spans="1:18">
      <c r="A209" s="800"/>
      <c r="B209" s="800"/>
      <c r="C209" s="808"/>
      <c r="D209" s="808"/>
      <c r="E209" s="805"/>
      <c r="F209" s="805"/>
      <c r="G209" s="805"/>
      <c r="H209" s="828"/>
      <c r="I209" s="805"/>
      <c r="J209" s="808"/>
      <c r="K209" s="800"/>
      <c r="L209" s="806"/>
      <c r="M209" s="805"/>
      <c r="N209" s="800"/>
      <c r="O209" s="805"/>
      <c r="P209" s="805"/>
      <c r="Q209" s="800"/>
      <c r="R209" s="808"/>
    </row>
    <row r="210" spans="1:18">
      <c r="A210" s="800"/>
      <c r="B210" s="800"/>
      <c r="C210" s="808"/>
      <c r="D210" s="808"/>
      <c r="E210" s="805"/>
      <c r="F210" s="805"/>
      <c r="G210" s="805"/>
      <c r="H210" s="828"/>
      <c r="I210" s="805"/>
      <c r="J210" s="808"/>
      <c r="K210" s="800"/>
      <c r="L210" s="806"/>
      <c r="M210" s="805"/>
      <c r="N210" s="800"/>
      <c r="O210" s="805"/>
      <c r="P210" s="805"/>
      <c r="Q210" s="800"/>
      <c r="R210" s="808"/>
    </row>
    <row r="211" spans="1:18">
      <c r="A211" s="800"/>
      <c r="B211" s="800"/>
      <c r="C211" s="808"/>
      <c r="D211" s="808"/>
      <c r="E211" s="805"/>
      <c r="F211" s="805"/>
      <c r="G211" s="805"/>
      <c r="H211" s="828"/>
      <c r="I211" s="805"/>
      <c r="J211" s="808"/>
      <c r="K211" s="800"/>
      <c r="L211" s="806"/>
      <c r="M211" s="805"/>
      <c r="N211" s="800"/>
      <c r="O211" s="805"/>
      <c r="P211" s="805"/>
      <c r="Q211" s="800"/>
      <c r="R211" s="808"/>
    </row>
    <row r="212" spans="1:18">
      <c r="A212" s="800"/>
      <c r="B212" s="800"/>
      <c r="C212" s="808"/>
      <c r="D212" s="808"/>
      <c r="E212" s="805"/>
      <c r="F212" s="805"/>
      <c r="G212" s="805"/>
      <c r="H212" s="828"/>
      <c r="I212" s="805"/>
      <c r="J212" s="808"/>
      <c r="K212" s="800"/>
      <c r="L212" s="806"/>
      <c r="M212" s="805"/>
      <c r="N212" s="800"/>
      <c r="O212" s="805"/>
      <c r="P212" s="805"/>
      <c r="Q212" s="800"/>
      <c r="R212" s="808"/>
    </row>
    <row r="213" spans="1:18">
      <c r="A213" s="800"/>
      <c r="B213" s="800"/>
      <c r="C213" s="808"/>
      <c r="D213" s="808"/>
      <c r="E213" s="805"/>
      <c r="F213" s="805"/>
      <c r="G213" s="805"/>
      <c r="H213" s="828"/>
      <c r="I213" s="805"/>
      <c r="J213" s="808"/>
      <c r="K213" s="800"/>
      <c r="L213" s="806"/>
      <c r="M213" s="805"/>
      <c r="N213" s="800"/>
      <c r="O213" s="805"/>
      <c r="P213" s="805"/>
      <c r="Q213" s="800"/>
      <c r="R213" s="808"/>
    </row>
    <row r="214" spans="1:18">
      <c r="A214" s="800"/>
      <c r="B214" s="800"/>
      <c r="C214" s="808"/>
      <c r="D214" s="808"/>
      <c r="E214" s="805"/>
      <c r="F214" s="805"/>
      <c r="G214" s="805"/>
      <c r="H214" s="828"/>
      <c r="I214" s="805"/>
      <c r="J214" s="808"/>
      <c r="K214" s="800"/>
      <c r="L214" s="806"/>
      <c r="M214" s="805"/>
      <c r="N214" s="800"/>
      <c r="O214" s="805"/>
      <c r="P214" s="805"/>
      <c r="Q214" s="800"/>
      <c r="R214" s="808"/>
    </row>
    <row r="215" spans="1:18">
      <c r="A215" s="800"/>
      <c r="B215" s="800"/>
      <c r="C215" s="808"/>
      <c r="D215" s="808"/>
      <c r="E215" s="805"/>
      <c r="F215" s="805"/>
      <c r="G215" s="805"/>
      <c r="H215" s="828"/>
      <c r="I215" s="805"/>
      <c r="J215" s="808"/>
      <c r="K215" s="800"/>
      <c r="L215" s="806"/>
      <c r="M215" s="805"/>
      <c r="N215" s="800"/>
      <c r="O215" s="805"/>
      <c r="P215" s="805"/>
      <c r="Q215" s="800"/>
      <c r="R215" s="808"/>
    </row>
    <row r="216" spans="1:18">
      <c r="A216" s="800"/>
      <c r="B216" s="800"/>
      <c r="C216" s="808"/>
      <c r="D216" s="808"/>
      <c r="E216" s="805"/>
      <c r="F216" s="805"/>
      <c r="G216" s="805"/>
      <c r="H216" s="828"/>
      <c r="I216" s="805"/>
      <c r="J216" s="808"/>
      <c r="K216" s="800"/>
      <c r="L216" s="806"/>
      <c r="M216" s="805"/>
      <c r="N216" s="800"/>
      <c r="O216" s="805"/>
      <c r="P216" s="805"/>
      <c r="Q216" s="800"/>
      <c r="R216" s="808"/>
    </row>
    <row r="217" spans="1:18">
      <c r="A217" s="800"/>
      <c r="B217" s="800"/>
      <c r="C217" s="808"/>
      <c r="D217" s="808"/>
      <c r="E217" s="805"/>
      <c r="F217" s="805"/>
      <c r="G217" s="805"/>
      <c r="H217" s="828"/>
      <c r="I217" s="805"/>
      <c r="J217" s="808"/>
      <c r="K217" s="800"/>
      <c r="L217" s="806"/>
      <c r="M217" s="805"/>
      <c r="N217" s="800"/>
      <c r="O217" s="805"/>
      <c r="P217" s="805"/>
      <c r="Q217" s="800"/>
      <c r="R217" s="808"/>
    </row>
    <row r="218" spans="1:18">
      <c r="A218" s="800"/>
      <c r="B218" s="800"/>
      <c r="C218" s="808"/>
      <c r="D218" s="808"/>
      <c r="E218" s="805"/>
      <c r="F218" s="805"/>
      <c r="G218" s="805"/>
      <c r="H218" s="828"/>
      <c r="I218" s="805"/>
      <c r="J218" s="808"/>
      <c r="K218" s="800"/>
      <c r="L218" s="806"/>
      <c r="M218" s="805"/>
      <c r="N218" s="800"/>
      <c r="O218" s="805"/>
      <c r="P218" s="805"/>
      <c r="Q218" s="800"/>
      <c r="R218" s="808"/>
    </row>
    <row r="219" spans="1:18">
      <c r="A219" s="800"/>
      <c r="B219" s="800"/>
      <c r="C219" s="808"/>
      <c r="D219" s="808"/>
      <c r="E219" s="805"/>
      <c r="F219" s="805"/>
      <c r="G219" s="805"/>
      <c r="H219" s="828"/>
      <c r="I219" s="805"/>
      <c r="J219" s="808"/>
      <c r="K219" s="800"/>
      <c r="L219" s="806"/>
      <c r="M219" s="805"/>
      <c r="N219" s="800"/>
      <c r="O219" s="805"/>
      <c r="P219" s="805"/>
      <c r="Q219" s="800"/>
      <c r="R219" s="808"/>
    </row>
    <row r="220" spans="1:18">
      <c r="A220" s="800"/>
      <c r="B220" s="800"/>
      <c r="C220" s="808"/>
      <c r="D220" s="808"/>
      <c r="E220" s="805"/>
      <c r="F220" s="805"/>
      <c r="G220" s="805"/>
      <c r="H220" s="828"/>
      <c r="I220" s="805"/>
      <c r="J220" s="808"/>
      <c r="K220" s="800"/>
      <c r="L220" s="806"/>
      <c r="M220" s="805"/>
      <c r="N220" s="800"/>
      <c r="O220" s="805"/>
      <c r="P220" s="805"/>
      <c r="Q220" s="800"/>
      <c r="R220" s="808"/>
    </row>
    <row r="221" spans="1:18">
      <c r="A221" s="800"/>
      <c r="B221" s="800"/>
      <c r="C221" s="808"/>
      <c r="D221" s="808"/>
      <c r="E221" s="805"/>
      <c r="F221" s="805"/>
      <c r="G221" s="805"/>
      <c r="H221" s="828"/>
      <c r="I221" s="805"/>
      <c r="J221" s="808"/>
      <c r="K221" s="800"/>
      <c r="L221" s="806"/>
      <c r="M221" s="805"/>
      <c r="N221" s="800"/>
      <c r="O221" s="805"/>
      <c r="P221" s="805"/>
      <c r="Q221" s="800"/>
      <c r="R221" s="808"/>
    </row>
    <row r="222" spans="1:18">
      <c r="A222" s="800"/>
      <c r="B222" s="800"/>
      <c r="C222" s="808"/>
      <c r="D222" s="808"/>
      <c r="E222" s="805"/>
      <c r="F222" s="805"/>
      <c r="G222" s="805"/>
      <c r="H222" s="828"/>
      <c r="I222" s="805"/>
      <c r="J222" s="808"/>
      <c r="K222" s="800"/>
      <c r="L222" s="806"/>
      <c r="M222" s="805"/>
      <c r="N222" s="800"/>
      <c r="O222" s="805"/>
      <c r="P222" s="805"/>
      <c r="Q222" s="800"/>
      <c r="R222" s="808"/>
    </row>
    <row r="223" spans="1:18">
      <c r="A223" s="800"/>
      <c r="B223" s="800"/>
      <c r="C223" s="808"/>
      <c r="D223" s="808"/>
      <c r="E223" s="805"/>
      <c r="F223" s="805"/>
      <c r="G223" s="805"/>
      <c r="H223" s="828"/>
      <c r="I223" s="805"/>
      <c r="J223" s="808"/>
      <c r="K223" s="800"/>
      <c r="L223" s="806"/>
      <c r="M223" s="805"/>
      <c r="N223" s="800"/>
      <c r="O223" s="805"/>
      <c r="P223" s="805"/>
      <c r="Q223" s="800"/>
      <c r="R223" s="808"/>
    </row>
    <row r="224" spans="1:18">
      <c r="A224" s="800"/>
      <c r="B224" s="800"/>
      <c r="C224" s="808"/>
      <c r="D224" s="808"/>
      <c r="E224" s="805"/>
      <c r="F224" s="805"/>
      <c r="G224" s="805"/>
      <c r="H224" s="828"/>
      <c r="I224" s="805"/>
      <c r="J224" s="808"/>
      <c r="K224" s="800"/>
      <c r="L224" s="806"/>
      <c r="M224" s="805"/>
      <c r="N224" s="800"/>
      <c r="O224" s="805"/>
      <c r="P224" s="805"/>
      <c r="Q224" s="800"/>
      <c r="R224" s="808"/>
    </row>
    <row r="225" spans="1:18">
      <c r="A225" s="800"/>
      <c r="B225" s="800"/>
      <c r="C225" s="808"/>
      <c r="D225" s="808"/>
      <c r="E225" s="805"/>
      <c r="F225" s="805"/>
      <c r="G225" s="805"/>
      <c r="H225" s="828"/>
      <c r="I225" s="805"/>
      <c r="J225" s="808"/>
      <c r="K225" s="800"/>
      <c r="L225" s="806"/>
      <c r="M225" s="805"/>
      <c r="N225" s="800"/>
      <c r="O225" s="805"/>
      <c r="P225" s="805"/>
      <c r="Q225" s="800"/>
      <c r="R225" s="808"/>
    </row>
    <row r="226" spans="1:18">
      <c r="A226" s="800"/>
      <c r="B226" s="800"/>
      <c r="C226" s="808"/>
      <c r="D226" s="808"/>
      <c r="E226" s="805"/>
      <c r="F226" s="805"/>
      <c r="G226" s="805"/>
      <c r="H226" s="828"/>
      <c r="I226" s="805"/>
      <c r="J226" s="808"/>
      <c r="K226" s="800"/>
      <c r="L226" s="806"/>
      <c r="M226" s="805"/>
      <c r="N226" s="800"/>
      <c r="O226" s="805"/>
      <c r="P226" s="805"/>
      <c r="Q226" s="800"/>
      <c r="R226" s="808"/>
    </row>
    <row r="227" spans="1:18">
      <c r="A227" s="800"/>
      <c r="B227" s="800"/>
      <c r="C227" s="808"/>
      <c r="D227" s="808"/>
      <c r="E227" s="805"/>
      <c r="F227" s="805"/>
      <c r="G227" s="805"/>
      <c r="H227" s="828"/>
      <c r="I227" s="805"/>
      <c r="J227" s="808"/>
      <c r="K227" s="800"/>
      <c r="L227" s="806"/>
      <c r="M227" s="805"/>
      <c r="N227" s="800"/>
      <c r="O227" s="805"/>
      <c r="P227" s="805"/>
      <c r="Q227" s="800"/>
      <c r="R227" s="808"/>
    </row>
    <row r="228" spans="1:18">
      <c r="A228" s="800"/>
      <c r="B228" s="800"/>
      <c r="C228" s="808"/>
      <c r="D228" s="808"/>
      <c r="E228" s="805"/>
      <c r="F228" s="805"/>
      <c r="G228" s="805"/>
      <c r="H228" s="828"/>
      <c r="I228" s="805"/>
      <c r="J228" s="808"/>
      <c r="K228" s="800"/>
      <c r="L228" s="806"/>
      <c r="M228" s="805"/>
      <c r="N228" s="800"/>
      <c r="O228" s="805"/>
      <c r="P228" s="805"/>
      <c r="Q228" s="800"/>
      <c r="R228" s="808"/>
    </row>
    <row r="229" spans="1:18">
      <c r="A229" s="800"/>
      <c r="B229" s="800"/>
      <c r="C229" s="808"/>
      <c r="D229" s="808"/>
      <c r="E229" s="805"/>
      <c r="F229" s="805"/>
      <c r="G229" s="805"/>
      <c r="H229" s="828"/>
      <c r="I229" s="805"/>
      <c r="J229" s="808"/>
      <c r="K229" s="800"/>
      <c r="L229" s="806"/>
      <c r="M229" s="805"/>
      <c r="N229" s="800"/>
      <c r="O229" s="805"/>
      <c r="P229" s="805"/>
      <c r="Q229" s="800"/>
      <c r="R229" s="808"/>
    </row>
    <row r="230" spans="1:18">
      <c r="A230" s="800"/>
      <c r="B230" s="800"/>
      <c r="C230" s="808"/>
      <c r="D230" s="808"/>
      <c r="E230" s="805"/>
      <c r="F230" s="805"/>
      <c r="G230" s="805"/>
      <c r="H230" s="828"/>
      <c r="I230" s="805"/>
      <c r="J230" s="808"/>
      <c r="K230" s="800"/>
      <c r="L230" s="806"/>
      <c r="M230" s="805"/>
      <c r="N230" s="800"/>
      <c r="O230" s="805"/>
      <c r="P230" s="805"/>
      <c r="Q230" s="800"/>
      <c r="R230" s="808"/>
    </row>
    <row r="231" spans="1:18">
      <c r="A231" s="800"/>
      <c r="B231" s="800"/>
      <c r="C231" s="808"/>
      <c r="D231" s="808"/>
      <c r="E231" s="805"/>
      <c r="F231" s="805"/>
      <c r="G231" s="805"/>
      <c r="H231" s="828"/>
      <c r="I231" s="805"/>
      <c r="J231" s="808"/>
      <c r="K231" s="800"/>
      <c r="L231" s="806"/>
      <c r="M231" s="805"/>
      <c r="N231" s="800"/>
      <c r="O231" s="805"/>
      <c r="P231" s="805"/>
      <c r="Q231" s="800"/>
      <c r="R231" s="808"/>
    </row>
    <row r="232" spans="1:18">
      <c r="A232" s="800"/>
      <c r="B232" s="800"/>
      <c r="C232" s="808"/>
      <c r="D232" s="808"/>
      <c r="E232" s="805"/>
      <c r="F232" s="805"/>
      <c r="G232" s="805"/>
      <c r="H232" s="828"/>
      <c r="I232" s="805"/>
      <c r="J232" s="808"/>
      <c r="K232" s="800"/>
      <c r="L232" s="806"/>
      <c r="M232" s="805"/>
      <c r="N232" s="800"/>
      <c r="O232" s="805"/>
      <c r="P232" s="805"/>
      <c r="Q232" s="800"/>
      <c r="R232" s="808"/>
    </row>
    <row r="233" spans="1:18">
      <c r="A233" s="800"/>
      <c r="B233" s="800"/>
      <c r="C233" s="808"/>
      <c r="D233" s="808"/>
      <c r="E233" s="805"/>
      <c r="F233" s="805"/>
      <c r="G233" s="805"/>
      <c r="H233" s="828"/>
      <c r="I233" s="805"/>
      <c r="J233" s="808"/>
      <c r="K233" s="800"/>
      <c r="L233" s="806"/>
      <c r="M233" s="805"/>
      <c r="N233" s="800"/>
      <c r="O233" s="805"/>
      <c r="P233" s="805"/>
      <c r="Q233" s="800"/>
      <c r="R233" s="808"/>
    </row>
    <row r="234" spans="1:18">
      <c r="A234" s="800"/>
      <c r="B234" s="800"/>
      <c r="C234" s="808"/>
      <c r="D234" s="808"/>
      <c r="E234" s="805"/>
      <c r="F234" s="805"/>
      <c r="G234" s="805"/>
      <c r="H234" s="828"/>
      <c r="I234" s="805"/>
      <c r="J234" s="808"/>
      <c r="K234" s="800"/>
      <c r="L234" s="806"/>
      <c r="M234" s="805"/>
      <c r="N234" s="800"/>
      <c r="O234" s="805"/>
      <c r="P234" s="805"/>
      <c r="Q234" s="800"/>
      <c r="R234" s="808"/>
    </row>
    <row r="235" spans="1:18">
      <c r="A235" s="800"/>
      <c r="B235" s="800"/>
      <c r="C235" s="808"/>
      <c r="D235" s="808"/>
      <c r="E235" s="805"/>
      <c r="F235" s="805"/>
      <c r="G235" s="805"/>
      <c r="H235" s="828"/>
      <c r="I235" s="805"/>
      <c r="J235" s="808"/>
      <c r="K235" s="800"/>
      <c r="L235" s="806"/>
      <c r="M235" s="805"/>
      <c r="N235" s="800"/>
      <c r="O235" s="805"/>
      <c r="P235" s="805"/>
      <c r="Q235" s="800"/>
      <c r="R235" s="808"/>
    </row>
    <row r="236" spans="1:18">
      <c r="A236" s="800"/>
      <c r="B236" s="800"/>
      <c r="C236" s="808"/>
      <c r="D236" s="808"/>
      <c r="E236" s="805"/>
      <c r="F236" s="805"/>
      <c r="G236" s="805"/>
      <c r="H236" s="828"/>
      <c r="I236" s="805"/>
      <c r="J236" s="808"/>
      <c r="K236" s="800"/>
      <c r="L236" s="806"/>
      <c r="M236" s="805"/>
      <c r="N236" s="800"/>
      <c r="O236" s="805"/>
      <c r="P236" s="805"/>
      <c r="Q236" s="800"/>
      <c r="R236" s="808"/>
    </row>
    <row r="237" spans="1:18">
      <c r="A237" s="800"/>
      <c r="B237" s="800"/>
      <c r="C237" s="808"/>
      <c r="D237" s="808"/>
      <c r="E237" s="805"/>
      <c r="F237" s="805"/>
      <c r="G237" s="805"/>
      <c r="H237" s="828"/>
      <c r="I237" s="805"/>
      <c r="J237" s="808"/>
      <c r="K237" s="800"/>
      <c r="L237" s="806"/>
      <c r="M237" s="805"/>
      <c r="N237" s="800"/>
      <c r="O237" s="805"/>
      <c r="P237" s="805"/>
      <c r="Q237" s="800"/>
      <c r="R237" s="808"/>
    </row>
    <row r="238" spans="1:18">
      <c r="A238" s="800"/>
      <c r="B238" s="800"/>
      <c r="C238" s="808"/>
      <c r="D238" s="808"/>
      <c r="E238" s="805"/>
      <c r="F238" s="805"/>
      <c r="G238" s="805"/>
      <c r="H238" s="828"/>
      <c r="I238" s="805"/>
      <c r="J238" s="808"/>
      <c r="K238" s="800"/>
      <c r="L238" s="806"/>
      <c r="M238" s="805"/>
      <c r="N238" s="800"/>
      <c r="O238" s="805"/>
      <c r="P238" s="805"/>
      <c r="Q238" s="800"/>
      <c r="R238" s="808"/>
    </row>
    <row r="239" spans="1:18">
      <c r="A239" s="800"/>
      <c r="B239" s="800"/>
      <c r="C239" s="808"/>
      <c r="D239" s="808"/>
      <c r="E239" s="805"/>
      <c r="F239" s="805"/>
      <c r="G239" s="805"/>
      <c r="H239" s="828"/>
      <c r="I239" s="805"/>
      <c r="J239" s="808"/>
      <c r="K239" s="800"/>
      <c r="L239" s="806"/>
      <c r="M239" s="805"/>
      <c r="N239" s="800"/>
      <c r="O239" s="805"/>
      <c r="P239" s="805"/>
      <c r="Q239" s="800"/>
      <c r="R239" s="808"/>
    </row>
    <row r="240" spans="1:18">
      <c r="A240" s="800"/>
      <c r="B240" s="800"/>
      <c r="C240" s="808"/>
      <c r="D240" s="808"/>
      <c r="E240" s="805"/>
      <c r="F240" s="805"/>
      <c r="G240" s="805"/>
      <c r="H240" s="828"/>
      <c r="I240" s="805"/>
      <c r="J240" s="808"/>
      <c r="K240" s="800"/>
      <c r="L240" s="806"/>
      <c r="M240" s="805"/>
      <c r="N240" s="800"/>
      <c r="O240" s="805"/>
      <c r="P240" s="805"/>
      <c r="Q240" s="800"/>
      <c r="R240" s="808"/>
    </row>
    <row r="241" spans="1:18">
      <c r="A241" s="800"/>
      <c r="B241" s="800"/>
      <c r="C241" s="808"/>
      <c r="D241" s="808"/>
      <c r="E241" s="805"/>
      <c r="F241" s="805"/>
      <c r="G241" s="805"/>
      <c r="H241" s="828"/>
      <c r="I241" s="805"/>
      <c r="J241" s="808"/>
      <c r="K241" s="800"/>
      <c r="L241" s="806"/>
      <c r="M241" s="805"/>
      <c r="N241" s="800"/>
      <c r="O241" s="805"/>
      <c r="P241" s="805"/>
      <c r="Q241" s="800"/>
      <c r="R241" s="808"/>
    </row>
    <row r="242" spans="1:18">
      <c r="A242" s="800"/>
      <c r="B242" s="800"/>
      <c r="C242" s="808"/>
      <c r="D242" s="808"/>
      <c r="E242" s="805"/>
      <c r="F242" s="805"/>
      <c r="G242" s="805"/>
      <c r="H242" s="828"/>
      <c r="I242" s="805"/>
      <c r="J242" s="808"/>
      <c r="K242" s="800"/>
      <c r="L242" s="806"/>
      <c r="M242" s="805"/>
      <c r="N242" s="800"/>
      <c r="O242" s="805"/>
      <c r="P242" s="805"/>
      <c r="Q242" s="800"/>
      <c r="R242" s="808"/>
    </row>
    <row r="243" spans="1:18">
      <c r="A243" s="800"/>
      <c r="B243" s="800"/>
      <c r="C243" s="808"/>
      <c r="D243" s="808"/>
      <c r="E243" s="805"/>
      <c r="F243" s="805"/>
      <c r="G243" s="805"/>
      <c r="H243" s="828"/>
      <c r="I243" s="805"/>
      <c r="J243" s="808"/>
      <c r="K243" s="800"/>
      <c r="L243" s="806"/>
      <c r="M243" s="805"/>
      <c r="N243" s="800"/>
      <c r="O243" s="805"/>
      <c r="P243" s="805"/>
      <c r="Q243" s="800"/>
      <c r="R243" s="808"/>
    </row>
    <row r="244" spans="1:18">
      <c r="A244" s="800"/>
      <c r="B244" s="800"/>
      <c r="C244" s="808"/>
      <c r="D244" s="808"/>
      <c r="E244" s="805"/>
      <c r="F244" s="805"/>
      <c r="G244" s="805"/>
      <c r="H244" s="828"/>
      <c r="I244" s="805"/>
      <c r="J244" s="808"/>
      <c r="K244" s="800"/>
      <c r="L244" s="806"/>
      <c r="M244" s="805"/>
      <c r="N244" s="800"/>
      <c r="O244" s="805"/>
      <c r="P244" s="805"/>
      <c r="Q244" s="800"/>
      <c r="R244" s="808"/>
    </row>
    <row r="245" spans="1:18">
      <c r="A245" s="800"/>
      <c r="B245" s="800"/>
      <c r="C245" s="808"/>
      <c r="D245" s="808"/>
      <c r="E245" s="805"/>
      <c r="F245" s="805"/>
      <c r="G245" s="805"/>
      <c r="H245" s="828"/>
      <c r="I245" s="805"/>
      <c r="J245" s="808"/>
      <c r="K245" s="800"/>
      <c r="L245" s="806"/>
      <c r="M245" s="805"/>
      <c r="N245" s="800"/>
      <c r="O245" s="805"/>
      <c r="P245" s="805"/>
      <c r="Q245" s="800"/>
      <c r="R245" s="808"/>
    </row>
    <row r="246" spans="1:18">
      <c r="A246" s="800"/>
      <c r="B246" s="800"/>
      <c r="C246" s="808"/>
      <c r="D246" s="808"/>
      <c r="E246" s="805"/>
      <c r="F246" s="805"/>
      <c r="G246" s="805"/>
      <c r="H246" s="828"/>
      <c r="I246" s="805"/>
      <c r="J246" s="808"/>
      <c r="K246" s="800"/>
      <c r="L246" s="806"/>
      <c r="M246" s="805"/>
      <c r="N246" s="800"/>
      <c r="O246" s="805"/>
      <c r="P246" s="805"/>
      <c r="Q246" s="800"/>
      <c r="R246" s="808"/>
    </row>
    <row r="247" spans="1:18">
      <c r="A247" s="800"/>
      <c r="B247" s="800"/>
      <c r="C247" s="808"/>
      <c r="D247" s="808"/>
      <c r="E247" s="805"/>
      <c r="F247" s="805"/>
      <c r="G247" s="805"/>
      <c r="H247" s="828"/>
      <c r="I247" s="805"/>
      <c r="J247" s="808"/>
      <c r="K247" s="800"/>
      <c r="L247" s="806"/>
      <c r="M247" s="805"/>
      <c r="N247" s="800"/>
      <c r="O247" s="805"/>
      <c r="P247" s="805"/>
      <c r="Q247" s="800"/>
      <c r="R247" s="808"/>
    </row>
    <row r="248" spans="1:18">
      <c r="A248" s="800"/>
      <c r="B248" s="800"/>
      <c r="C248" s="808"/>
      <c r="D248" s="808"/>
      <c r="E248" s="805"/>
      <c r="F248" s="805"/>
      <c r="G248" s="805"/>
      <c r="H248" s="828"/>
      <c r="I248" s="805"/>
      <c r="J248" s="808"/>
      <c r="K248" s="800"/>
      <c r="L248" s="806"/>
      <c r="M248" s="805"/>
      <c r="N248" s="800"/>
      <c r="O248" s="805"/>
      <c r="P248" s="805"/>
      <c r="Q248" s="800"/>
      <c r="R248" s="808"/>
    </row>
    <row r="249" spans="1:18">
      <c r="A249" s="800"/>
      <c r="B249" s="800"/>
      <c r="C249" s="808"/>
      <c r="D249" s="808"/>
      <c r="E249" s="805"/>
      <c r="F249" s="805"/>
      <c r="G249" s="805"/>
      <c r="H249" s="828"/>
      <c r="I249" s="805"/>
      <c r="J249" s="808"/>
      <c r="K249" s="800"/>
      <c r="L249" s="806"/>
      <c r="M249" s="805"/>
      <c r="N249" s="800"/>
      <c r="O249" s="805"/>
      <c r="P249" s="805"/>
      <c r="Q249" s="800"/>
      <c r="R249" s="808"/>
    </row>
    <row r="250" spans="1:18">
      <c r="A250" s="800"/>
      <c r="B250" s="800"/>
      <c r="C250" s="808"/>
      <c r="D250" s="808"/>
      <c r="E250" s="805"/>
      <c r="F250" s="805"/>
      <c r="G250" s="805"/>
      <c r="H250" s="828"/>
      <c r="I250" s="805"/>
      <c r="J250" s="808"/>
      <c r="K250" s="800"/>
      <c r="L250" s="806"/>
      <c r="M250" s="805"/>
      <c r="N250" s="800"/>
      <c r="O250" s="805"/>
      <c r="P250" s="805"/>
      <c r="Q250" s="800"/>
      <c r="R250" s="808"/>
    </row>
    <row r="251" spans="1:18">
      <c r="A251" s="800"/>
      <c r="B251" s="800"/>
      <c r="C251" s="808"/>
      <c r="D251" s="808"/>
      <c r="E251" s="805"/>
      <c r="F251" s="805"/>
      <c r="G251" s="805"/>
      <c r="H251" s="828"/>
      <c r="I251" s="805"/>
      <c r="J251" s="808"/>
      <c r="K251" s="800"/>
      <c r="L251" s="806"/>
      <c r="M251" s="805"/>
      <c r="N251" s="800"/>
      <c r="O251" s="805"/>
      <c r="P251" s="805"/>
      <c r="Q251" s="800"/>
      <c r="R251" s="808"/>
    </row>
    <row r="252" spans="1:18">
      <c r="A252" s="800"/>
      <c r="B252" s="800"/>
      <c r="C252" s="808"/>
      <c r="D252" s="808"/>
      <c r="E252" s="805"/>
      <c r="F252" s="805"/>
      <c r="G252" s="805"/>
      <c r="H252" s="828"/>
      <c r="I252" s="805"/>
      <c r="J252" s="808"/>
      <c r="K252" s="800"/>
      <c r="L252" s="806"/>
      <c r="M252" s="805"/>
      <c r="N252" s="800"/>
      <c r="O252" s="805"/>
      <c r="P252" s="805"/>
      <c r="Q252" s="800"/>
      <c r="R252" s="808"/>
    </row>
    <row r="253" spans="1:18">
      <c r="A253" s="800"/>
      <c r="B253" s="800"/>
      <c r="C253" s="808"/>
      <c r="D253" s="808"/>
      <c r="E253" s="805"/>
      <c r="F253" s="805"/>
      <c r="G253" s="805"/>
      <c r="H253" s="828"/>
      <c r="I253" s="805"/>
      <c r="J253" s="808"/>
      <c r="K253" s="800"/>
      <c r="L253" s="806"/>
      <c r="M253" s="805"/>
      <c r="N253" s="800"/>
      <c r="O253" s="805"/>
      <c r="P253" s="805"/>
      <c r="Q253" s="800"/>
      <c r="R253" s="808"/>
    </row>
    <row r="254" spans="1:18">
      <c r="A254" s="800"/>
      <c r="B254" s="800"/>
      <c r="C254" s="808"/>
      <c r="D254" s="808"/>
      <c r="E254" s="805"/>
      <c r="F254" s="805"/>
      <c r="G254" s="805"/>
      <c r="H254" s="828"/>
      <c r="I254" s="805"/>
      <c r="J254" s="808"/>
      <c r="K254" s="800"/>
      <c r="L254" s="806"/>
      <c r="M254" s="805"/>
      <c r="N254" s="800"/>
      <c r="O254" s="805"/>
      <c r="P254" s="805"/>
      <c r="Q254" s="800"/>
      <c r="R254" s="808"/>
    </row>
    <row r="255" spans="1:18">
      <c r="A255" s="800"/>
      <c r="B255" s="800"/>
      <c r="C255" s="808"/>
      <c r="D255" s="808"/>
      <c r="E255" s="805"/>
      <c r="F255" s="805"/>
      <c r="G255" s="805"/>
      <c r="H255" s="828"/>
      <c r="I255" s="805"/>
      <c r="J255" s="808"/>
      <c r="K255" s="800"/>
      <c r="L255" s="806"/>
      <c r="M255" s="805"/>
      <c r="N255" s="800"/>
      <c r="O255" s="805"/>
      <c r="P255" s="805"/>
      <c r="Q255" s="800"/>
      <c r="R255" s="808"/>
    </row>
    <row r="256" spans="1:18">
      <c r="A256" s="800"/>
      <c r="B256" s="800"/>
      <c r="C256" s="808"/>
      <c r="D256" s="808"/>
      <c r="E256" s="805"/>
      <c r="F256" s="805"/>
      <c r="G256" s="805"/>
      <c r="H256" s="828"/>
      <c r="I256" s="805"/>
      <c r="J256" s="808"/>
      <c r="K256" s="800"/>
      <c r="L256" s="806"/>
      <c r="M256" s="805"/>
      <c r="N256" s="800"/>
      <c r="O256" s="805"/>
      <c r="P256" s="805"/>
      <c r="Q256" s="800"/>
      <c r="R256" s="808"/>
    </row>
    <row r="257" spans="1:18">
      <c r="A257" s="800"/>
      <c r="B257" s="800"/>
      <c r="C257" s="808"/>
      <c r="D257" s="808"/>
      <c r="E257" s="805"/>
      <c r="F257" s="805"/>
      <c r="G257" s="805"/>
      <c r="H257" s="828"/>
      <c r="I257" s="805"/>
      <c r="J257" s="808"/>
      <c r="K257" s="800"/>
      <c r="L257" s="806"/>
      <c r="M257" s="805"/>
      <c r="N257" s="800"/>
      <c r="O257" s="805"/>
      <c r="P257" s="805"/>
      <c r="Q257" s="800"/>
      <c r="R257" s="808"/>
    </row>
    <row r="258" spans="1:18">
      <c r="A258" s="800"/>
      <c r="B258" s="800"/>
      <c r="C258" s="808"/>
      <c r="D258" s="808"/>
      <c r="E258" s="805"/>
      <c r="F258" s="805"/>
      <c r="G258" s="805"/>
      <c r="H258" s="828"/>
      <c r="I258" s="805"/>
      <c r="J258" s="808"/>
      <c r="K258" s="800"/>
      <c r="L258" s="806"/>
      <c r="M258" s="805"/>
      <c r="N258" s="800"/>
      <c r="O258" s="805"/>
      <c r="P258" s="805"/>
      <c r="Q258" s="800"/>
      <c r="R258" s="808"/>
    </row>
    <row r="259" spans="1:18">
      <c r="A259" s="800"/>
      <c r="B259" s="800"/>
      <c r="C259" s="808"/>
      <c r="D259" s="808"/>
      <c r="E259" s="805"/>
      <c r="F259" s="805"/>
      <c r="G259" s="805"/>
      <c r="H259" s="828"/>
      <c r="I259" s="805"/>
      <c r="J259" s="808"/>
      <c r="K259" s="800"/>
      <c r="L259" s="806"/>
      <c r="M259" s="805"/>
      <c r="N259" s="800"/>
      <c r="O259" s="805"/>
      <c r="P259" s="805"/>
      <c r="Q259" s="800"/>
      <c r="R259" s="808"/>
    </row>
    <row r="260" spans="1:18">
      <c r="A260" s="800"/>
      <c r="B260" s="800"/>
      <c r="C260" s="808"/>
      <c r="D260" s="808"/>
      <c r="E260" s="805"/>
      <c r="F260" s="805"/>
      <c r="G260" s="805"/>
      <c r="H260" s="828"/>
      <c r="I260" s="805"/>
      <c r="J260" s="808"/>
      <c r="K260" s="800"/>
      <c r="L260" s="806"/>
      <c r="M260" s="805"/>
      <c r="N260" s="800"/>
      <c r="O260" s="805"/>
      <c r="P260" s="805"/>
      <c r="Q260" s="800"/>
      <c r="R260" s="808"/>
    </row>
    <row r="261" spans="1:18">
      <c r="A261" s="800"/>
      <c r="B261" s="800"/>
      <c r="C261" s="808"/>
      <c r="D261" s="808"/>
      <c r="E261" s="805"/>
      <c r="F261" s="805"/>
      <c r="G261" s="805"/>
      <c r="H261" s="828"/>
      <c r="I261" s="805"/>
      <c r="J261" s="808"/>
      <c r="K261" s="800"/>
      <c r="L261" s="806"/>
      <c r="M261" s="805"/>
      <c r="N261" s="800"/>
      <c r="O261" s="805"/>
      <c r="P261" s="805"/>
      <c r="Q261" s="800"/>
      <c r="R261" s="808"/>
    </row>
    <row r="262" spans="1:18">
      <c r="A262" s="800"/>
      <c r="B262" s="800"/>
      <c r="C262" s="808"/>
      <c r="D262" s="808"/>
      <c r="E262" s="805"/>
      <c r="F262" s="805"/>
      <c r="G262" s="805"/>
      <c r="H262" s="828"/>
      <c r="I262" s="805"/>
      <c r="J262" s="808"/>
      <c r="K262" s="800"/>
      <c r="L262" s="806"/>
      <c r="M262" s="805"/>
      <c r="N262" s="800"/>
      <c r="O262" s="805"/>
      <c r="P262" s="805"/>
      <c r="Q262" s="800"/>
      <c r="R262" s="808"/>
    </row>
    <row r="263" spans="1:18">
      <c r="A263" s="800"/>
      <c r="B263" s="800"/>
      <c r="C263" s="808"/>
      <c r="D263" s="808"/>
      <c r="E263" s="805"/>
      <c r="F263" s="805"/>
      <c r="G263" s="805"/>
      <c r="H263" s="828"/>
      <c r="I263" s="805"/>
      <c r="J263" s="808"/>
      <c r="K263" s="800"/>
      <c r="L263" s="806"/>
      <c r="M263" s="805"/>
      <c r="N263" s="800"/>
      <c r="O263" s="805"/>
      <c r="P263" s="805"/>
      <c r="Q263" s="800"/>
      <c r="R263" s="808"/>
    </row>
    <row r="264" spans="1:18">
      <c r="A264" s="800"/>
      <c r="B264" s="800"/>
      <c r="C264" s="808"/>
      <c r="D264" s="808"/>
      <c r="E264" s="805"/>
      <c r="F264" s="805"/>
      <c r="G264" s="805"/>
      <c r="H264" s="828"/>
      <c r="I264" s="805"/>
      <c r="J264" s="808"/>
      <c r="K264" s="800"/>
      <c r="L264" s="806"/>
      <c r="M264" s="805"/>
      <c r="N264" s="800"/>
      <c r="O264" s="805"/>
      <c r="P264" s="805"/>
      <c r="Q264" s="800"/>
      <c r="R264" s="808"/>
    </row>
    <row r="265" spans="1:18">
      <c r="A265" s="800"/>
      <c r="B265" s="800"/>
      <c r="C265" s="808"/>
      <c r="D265" s="808"/>
      <c r="E265" s="805"/>
      <c r="F265" s="805"/>
      <c r="G265" s="805"/>
      <c r="H265" s="828"/>
      <c r="I265" s="805"/>
      <c r="J265" s="808"/>
      <c r="K265" s="800"/>
      <c r="L265" s="806"/>
      <c r="M265" s="805"/>
      <c r="N265" s="800"/>
      <c r="O265" s="805"/>
      <c r="P265" s="805"/>
      <c r="Q265" s="800"/>
      <c r="R265" s="808"/>
    </row>
    <row r="266" spans="1:18">
      <c r="A266" s="800"/>
      <c r="B266" s="800"/>
      <c r="C266" s="808"/>
      <c r="D266" s="808"/>
      <c r="E266" s="805"/>
      <c r="F266" s="805"/>
      <c r="G266" s="805"/>
      <c r="H266" s="828"/>
      <c r="I266" s="805"/>
      <c r="J266" s="808"/>
      <c r="K266" s="800"/>
      <c r="L266" s="806"/>
      <c r="M266" s="805"/>
      <c r="N266" s="800"/>
      <c r="O266" s="805"/>
      <c r="P266" s="805"/>
      <c r="Q266" s="800"/>
      <c r="R266" s="808"/>
    </row>
    <row r="267" spans="1:18">
      <c r="A267" s="800"/>
      <c r="B267" s="800"/>
      <c r="C267" s="808"/>
      <c r="D267" s="808"/>
      <c r="E267" s="805"/>
      <c r="F267" s="805"/>
      <c r="G267" s="805"/>
      <c r="H267" s="828"/>
      <c r="I267" s="805"/>
      <c r="J267" s="808"/>
      <c r="K267" s="800"/>
      <c r="L267" s="806"/>
      <c r="M267" s="805"/>
      <c r="N267" s="800"/>
      <c r="O267" s="805"/>
      <c r="P267" s="805"/>
      <c r="Q267" s="800"/>
      <c r="R267" s="808"/>
    </row>
    <row r="268" spans="1:18">
      <c r="A268" s="800"/>
      <c r="B268" s="800"/>
      <c r="C268" s="808"/>
      <c r="D268" s="808"/>
      <c r="E268" s="805"/>
      <c r="F268" s="805"/>
      <c r="G268" s="805"/>
      <c r="H268" s="828"/>
      <c r="I268" s="805"/>
      <c r="J268" s="808"/>
      <c r="K268" s="800"/>
      <c r="L268" s="806"/>
      <c r="M268" s="805"/>
      <c r="N268" s="800"/>
      <c r="O268" s="805"/>
      <c r="P268" s="805"/>
      <c r="Q268" s="800"/>
      <c r="R268" s="808"/>
    </row>
    <row r="269" spans="1:18">
      <c r="A269" s="800"/>
      <c r="B269" s="800"/>
      <c r="C269" s="808"/>
      <c r="D269" s="808"/>
      <c r="E269" s="805"/>
      <c r="F269" s="805"/>
      <c r="G269" s="805"/>
      <c r="H269" s="828"/>
      <c r="I269" s="805"/>
      <c r="J269" s="808"/>
      <c r="K269" s="800"/>
      <c r="L269" s="806"/>
      <c r="M269" s="805"/>
      <c r="N269" s="800"/>
      <c r="O269" s="805"/>
      <c r="P269" s="805"/>
      <c r="Q269" s="800"/>
      <c r="R269" s="808"/>
    </row>
    <row r="270" spans="1:18">
      <c r="A270" s="800"/>
      <c r="B270" s="800"/>
      <c r="C270" s="808"/>
      <c r="D270" s="808"/>
      <c r="E270" s="805"/>
      <c r="F270" s="805"/>
      <c r="G270" s="805"/>
      <c r="H270" s="828"/>
      <c r="I270" s="805"/>
      <c r="J270" s="808"/>
      <c r="K270" s="800"/>
      <c r="L270" s="806"/>
      <c r="M270" s="805"/>
      <c r="N270" s="800"/>
      <c r="O270" s="805"/>
      <c r="P270" s="805"/>
      <c r="Q270" s="800"/>
      <c r="R270" s="808"/>
    </row>
    <row r="271" spans="1:18">
      <c r="A271" s="800"/>
      <c r="B271" s="800"/>
      <c r="C271" s="808"/>
      <c r="D271" s="808"/>
      <c r="E271" s="805"/>
      <c r="F271" s="805"/>
      <c r="G271" s="805"/>
      <c r="H271" s="828"/>
      <c r="I271" s="805"/>
      <c r="J271" s="808"/>
      <c r="K271" s="800"/>
      <c r="L271" s="806"/>
      <c r="M271" s="805"/>
      <c r="N271" s="800"/>
      <c r="O271" s="805"/>
      <c r="P271" s="805"/>
      <c r="Q271" s="800"/>
      <c r="R271" s="808"/>
    </row>
    <row r="272" spans="1:18">
      <c r="A272" s="800"/>
      <c r="B272" s="800"/>
      <c r="C272" s="808"/>
      <c r="D272" s="808"/>
      <c r="E272" s="805"/>
      <c r="F272" s="805"/>
      <c r="G272" s="805"/>
      <c r="H272" s="828"/>
      <c r="I272" s="805"/>
      <c r="J272" s="808"/>
      <c r="K272" s="800"/>
      <c r="L272" s="806"/>
      <c r="M272" s="805"/>
      <c r="N272" s="800"/>
      <c r="O272" s="805"/>
      <c r="P272" s="805"/>
      <c r="Q272" s="800"/>
      <c r="R272" s="808"/>
    </row>
    <row r="273" spans="1:18">
      <c r="A273" s="800"/>
      <c r="B273" s="800"/>
      <c r="C273" s="808"/>
      <c r="D273" s="808"/>
      <c r="E273" s="805"/>
      <c r="F273" s="805"/>
      <c r="G273" s="805"/>
      <c r="H273" s="828"/>
      <c r="I273" s="805"/>
      <c r="J273" s="808"/>
      <c r="K273" s="800"/>
      <c r="L273" s="806"/>
      <c r="M273" s="805"/>
      <c r="N273" s="800"/>
      <c r="O273" s="805"/>
      <c r="P273" s="805"/>
      <c r="Q273" s="800"/>
      <c r="R273" s="808"/>
    </row>
    <row r="274" spans="1:18">
      <c r="A274" s="800"/>
      <c r="B274" s="800"/>
      <c r="C274" s="808"/>
      <c r="D274" s="808"/>
      <c r="E274" s="805"/>
      <c r="F274" s="805"/>
      <c r="G274" s="805"/>
      <c r="H274" s="828"/>
      <c r="I274" s="805"/>
      <c r="J274" s="808"/>
      <c r="K274" s="800"/>
      <c r="L274" s="806"/>
      <c r="M274" s="805"/>
      <c r="N274" s="800"/>
      <c r="O274" s="805"/>
      <c r="P274" s="805"/>
      <c r="Q274" s="800"/>
      <c r="R274" s="808"/>
    </row>
    <row r="275" spans="1:18">
      <c r="A275" s="800"/>
      <c r="B275" s="800"/>
      <c r="C275" s="808"/>
      <c r="D275" s="808"/>
      <c r="E275" s="805"/>
      <c r="F275" s="805"/>
      <c r="G275" s="805"/>
      <c r="H275" s="828"/>
      <c r="I275" s="805"/>
      <c r="J275" s="808"/>
      <c r="K275" s="800"/>
      <c r="L275" s="806"/>
      <c r="M275" s="805"/>
      <c r="N275" s="800"/>
      <c r="O275" s="805"/>
      <c r="P275" s="805"/>
      <c r="Q275" s="800"/>
      <c r="R275" s="808"/>
    </row>
    <row r="276" spans="1:18">
      <c r="A276" s="800"/>
      <c r="B276" s="800"/>
      <c r="C276" s="808"/>
      <c r="D276" s="808"/>
      <c r="E276" s="805"/>
      <c r="F276" s="805"/>
      <c r="G276" s="805"/>
      <c r="H276" s="828"/>
      <c r="I276" s="805"/>
      <c r="J276" s="808"/>
      <c r="K276" s="800"/>
      <c r="L276" s="806"/>
      <c r="M276" s="805"/>
      <c r="N276" s="800"/>
      <c r="O276" s="805"/>
      <c r="P276" s="805"/>
      <c r="Q276" s="800"/>
      <c r="R276" s="808"/>
    </row>
    <row r="277" spans="1:18">
      <c r="A277" s="800"/>
      <c r="B277" s="800"/>
      <c r="C277" s="808"/>
      <c r="D277" s="808"/>
      <c r="E277" s="805"/>
      <c r="F277" s="805"/>
      <c r="G277" s="805"/>
      <c r="H277" s="828"/>
      <c r="I277" s="805"/>
      <c r="J277" s="808"/>
      <c r="K277" s="800"/>
      <c r="L277" s="806"/>
      <c r="M277" s="805"/>
      <c r="N277" s="800"/>
      <c r="O277" s="805"/>
      <c r="P277" s="805"/>
      <c r="Q277" s="800"/>
      <c r="R277" s="808"/>
    </row>
    <row r="278" spans="1:18">
      <c r="A278" s="800"/>
      <c r="B278" s="800"/>
      <c r="C278" s="808"/>
      <c r="D278" s="808"/>
      <c r="E278" s="805"/>
      <c r="F278" s="805"/>
      <c r="G278" s="805"/>
      <c r="H278" s="828"/>
      <c r="I278" s="805"/>
      <c r="J278" s="808"/>
      <c r="K278" s="800"/>
      <c r="L278" s="806"/>
      <c r="M278" s="805"/>
      <c r="N278" s="800"/>
      <c r="O278" s="805"/>
      <c r="P278" s="805"/>
      <c r="Q278" s="800"/>
      <c r="R278" s="808"/>
    </row>
    <row r="279" spans="1:18">
      <c r="A279" s="800"/>
      <c r="B279" s="800"/>
      <c r="C279" s="808"/>
      <c r="D279" s="808"/>
      <c r="E279" s="805"/>
      <c r="F279" s="805"/>
      <c r="G279" s="805"/>
      <c r="H279" s="828"/>
      <c r="I279" s="805"/>
      <c r="J279" s="808"/>
      <c r="K279" s="800"/>
      <c r="L279" s="806"/>
      <c r="M279" s="805"/>
      <c r="N279" s="800"/>
      <c r="O279" s="805"/>
      <c r="P279" s="805"/>
      <c r="Q279" s="800"/>
      <c r="R279" s="808"/>
    </row>
    <row r="280" spans="1:18">
      <c r="A280" s="800"/>
      <c r="B280" s="800"/>
      <c r="C280" s="808"/>
      <c r="D280" s="808"/>
      <c r="E280" s="805"/>
      <c r="F280" s="805"/>
      <c r="G280" s="805"/>
      <c r="H280" s="828"/>
      <c r="I280" s="805"/>
      <c r="J280" s="808"/>
      <c r="K280" s="800"/>
      <c r="L280" s="806"/>
      <c r="M280" s="805"/>
      <c r="N280" s="800"/>
      <c r="O280" s="805"/>
      <c r="P280" s="805"/>
      <c r="Q280" s="800"/>
      <c r="R280" s="808"/>
    </row>
    <row r="281" spans="1:18">
      <c r="A281" s="800"/>
      <c r="B281" s="800"/>
      <c r="C281" s="808"/>
      <c r="D281" s="808"/>
      <c r="E281" s="805"/>
      <c r="F281" s="805"/>
      <c r="G281" s="805"/>
      <c r="H281" s="828"/>
      <c r="I281" s="805"/>
      <c r="J281" s="808"/>
      <c r="K281" s="800"/>
      <c r="L281" s="806"/>
      <c r="M281" s="805"/>
      <c r="N281" s="800"/>
      <c r="O281" s="805"/>
      <c r="P281" s="805"/>
      <c r="Q281" s="800"/>
      <c r="R281" s="808"/>
    </row>
    <row r="282" spans="1:18">
      <c r="A282" s="800"/>
      <c r="B282" s="800"/>
      <c r="C282" s="808"/>
      <c r="D282" s="808"/>
      <c r="E282" s="805"/>
      <c r="F282" s="805"/>
      <c r="G282" s="805"/>
      <c r="H282" s="828"/>
      <c r="I282" s="805"/>
      <c r="J282" s="808"/>
      <c r="K282" s="800"/>
      <c r="L282" s="806"/>
      <c r="M282" s="805"/>
      <c r="N282" s="800"/>
      <c r="O282" s="805"/>
      <c r="P282" s="805"/>
      <c r="Q282" s="800"/>
      <c r="R282" s="808"/>
    </row>
    <row r="283" spans="1:18">
      <c r="A283" s="800"/>
      <c r="B283" s="800"/>
      <c r="C283" s="808"/>
      <c r="D283" s="808"/>
      <c r="E283" s="805"/>
      <c r="F283" s="805"/>
      <c r="G283" s="805"/>
      <c r="H283" s="828"/>
      <c r="I283" s="805"/>
      <c r="J283" s="808"/>
      <c r="K283" s="800"/>
      <c r="L283" s="806"/>
      <c r="M283" s="805"/>
      <c r="N283" s="800"/>
      <c r="O283" s="805"/>
      <c r="P283" s="805"/>
      <c r="Q283" s="800"/>
      <c r="R283" s="808"/>
    </row>
    <row r="284" spans="1:18">
      <c r="A284" s="800"/>
      <c r="B284" s="800"/>
      <c r="C284" s="808"/>
      <c r="D284" s="808"/>
      <c r="E284" s="805"/>
      <c r="F284" s="805"/>
      <c r="G284" s="805"/>
      <c r="H284" s="828"/>
      <c r="I284" s="805"/>
      <c r="J284" s="808"/>
      <c r="K284" s="800"/>
      <c r="L284" s="806"/>
      <c r="M284" s="805"/>
      <c r="N284" s="800"/>
      <c r="O284" s="805"/>
      <c r="P284" s="805"/>
      <c r="Q284" s="800"/>
      <c r="R284" s="808"/>
    </row>
    <row r="285" spans="1:18">
      <c r="A285" s="800"/>
      <c r="B285" s="800"/>
      <c r="C285" s="808"/>
      <c r="D285" s="808"/>
      <c r="E285" s="805"/>
      <c r="F285" s="805"/>
      <c r="G285" s="805"/>
      <c r="H285" s="828"/>
      <c r="I285" s="805"/>
      <c r="J285" s="808"/>
      <c r="K285" s="800"/>
      <c r="L285" s="806"/>
      <c r="M285" s="805"/>
      <c r="N285" s="800"/>
      <c r="O285" s="805"/>
      <c r="P285" s="805"/>
      <c r="Q285" s="800"/>
      <c r="R285" s="808"/>
    </row>
    <row r="286" spans="1:18">
      <c r="A286" s="800"/>
      <c r="B286" s="800"/>
      <c r="C286" s="808"/>
      <c r="D286" s="808"/>
      <c r="E286" s="805"/>
      <c r="F286" s="805"/>
      <c r="G286" s="805"/>
      <c r="H286" s="828"/>
      <c r="I286" s="805"/>
      <c r="J286" s="808"/>
      <c r="K286" s="800"/>
      <c r="L286" s="806"/>
      <c r="M286" s="805"/>
      <c r="N286" s="800"/>
      <c r="O286" s="805"/>
      <c r="P286" s="805"/>
      <c r="Q286" s="800"/>
      <c r="R286" s="808"/>
    </row>
    <row r="287" spans="1:18">
      <c r="A287" s="800"/>
      <c r="B287" s="800"/>
      <c r="C287" s="808"/>
      <c r="D287" s="808"/>
      <c r="E287" s="805"/>
      <c r="F287" s="805"/>
      <c r="G287" s="805"/>
      <c r="H287" s="828"/>
      <c r="I287" s="805"/>
      <c r="J287" s="808"/>
      <c r="K287" s="800"/>
      <c r="L287" s="806"/>
      <c r="M287" s="805"/>
      <c r="N287" s="800"/>
      <c r="O287" s="805"/>
      <c r="P287" s="805"/>
      <c r="Q287" s="800"/>
      <c r="R287" s="808"/>
    </row>
    <row r="288" spans="1:18">
      <c r="A288" s="800"/>
      <c r="B288" s="800"/>
      <c r="C288" s="808"/>
      <c r="D288" s="808"/>
      <c r="E288" s="805"/>
      <c r="F288" s="805"/>
      <c r="G288" s="805"/>
      <c r="H288" s="828"/>
      <c r="I288" s="805"/>
      <c r="J288" s="808"/>
      <c r="K288" s="800"/>
      <c r="L288" s="806"/>
      <c r="M288" s="805"/>
      <c r="N288" s="800"/>
      <c r="O288" s="805"/>
      <c r="P288" s="805"/>
      <c r="Q288" s="800"/>
      <c r="R288" s="808"/>
    </row>
    <row r="289" spans="1:18">
      <c r="A289" s="800"/>
      <c r="B289" s="800"/>
      <c r="C289" s="808"/>
      <c r="D289" s="808"/>
      <c r="E289" s="805"/>
      <c r="F289" s="805"/>
      <c r="G289" s="805"/>
      <c r="H289" s="828"/>
      <c r="I289" s="805"/>
      <c r="J289" s="808"/>
      <c r="K289" s="800"/>
      <c r="L289" s="806"/>
      <c r="M289" s="805"/>
      <c r="N289" s="800"/>
      <c r="O289" s="805"/>
      <c r="P289" s="805"/>
      <c r="Q289" s="800"/>
      <c r="R289" s="808"/>
    </row>
    <row r="290" spans="1:18">
      <c r="A290" s="800"/>
      <c r="B290" s="800"/>
      <c r="C290" s="808"/>
      <c r="D290" s="808"/>
      <c r="E290" s="805"/>
      <c r="F290" s="805"/>
      <c r="G290" s="805"/>
      <c r="H290" s="828"/>
      <c r="I290" s="805"/>
      <c r="J290" s="808"/>
      <c r="K290" s="800"/>
      <c r="L290" s="806"/>
      <c r="M290" s="805"/>
      <c r="N290" s="800"/>
      <c r="O290" s="805"/>
      <c r="P290" s="805"/>
      <c r="Q290" s="800"/>
      <c r="R290" s="808"/>
    </row>
    <row r="291" spans="1:18">
      <c r="A291" s="800"/>
      <c r="B291" s="800"/>
      <c r="C291" s="808"/>
      <c r="D291" s="808"/>
      <c r="E291" s="805"/>
      <c r="F291" s="805"/>
      <c r="G291" s="805"/>
      <c r="H291" s="828"/>
      <c r="I291" s="805"/>
      <c r="J291" s="808"/>
      <c r="K291" s="800"/>
      <c r="L291" s="806"/>
      <c r="M291" s="805"/>
      <c r="N291" s="800"/>
      <c r="O291" s="805"/>
      <c r="P291" s="805"/>
      <c r="Q291" s="800"/>
      <c r="R291" s="808"/>
    </row>
    <row r="292" spans="1:18">
      <c r="A292" s="800"/>
      <c r="B292" s="800"/>
      <c r="C292" s="808"/>
      <c r="D292" s="808"/>
      <c r="E292" s="805"/>
      <c r="F292" s="805"/>
      <c r="G292" s="805"/>
      <c r="H292" s="828"/>
      <c r="I292" s="805"/>
      <c r="J292" s="808"/>
      <c r="K292" s="800"/>
      <c r="L292" s="806"/>
      <c r="M292" s="805"/>
      <c r="N292" s="800"/>
      <c r="O292" s="805"/>
      <c r="P292" s="805"/>
      <c r="Q292" s="800"/>
      <c r="R292" s="808"/>
    </row>
    <row r="293" spans="1:18">
      <c r="A293" s="800"/>
      <c r="B293" s="800"/>
      <c r="C293" s="808"/>
      <c r="D293" s="808"/>
      <c r="E293" s="805"/>
      <c r="F293" s="805"/>
      <c r="G293" s="805"/>
      <c r="H293" s="828"/>
      <c r="I293" s="805"/>
      <c r="J293" s="808"/>
      <c r="K293" s="800"/>
      <c r="L293" s="806"/>
      <c r="M293" s="805"/>
      <c r="N293" s="800"/>
      <c r="O293" s="805"/>
      <c r="P293" s="805"/>
      <c r="Q293" s="800"/>
      <c r="R293" s="808"/>
    </row>
    <row r="294" spans="1:18">
      <c r="A294" s="800"/>
      <c r="B294" s="800"/>
      <c r="C294" s="808"/>
      <c r="D294" s="808"/>
      <c r="E294" s="805"/>
      <c r="F294" s="805"/>
      <c r="G294" s="805"/>
      <c r="H294" s="828"/>
      <c r="I294" s="805"/>
      <c r="J294" s="808"/>
      <c r="K294" s="800"/>
      <c r="L294" s="806"/>
      <c r="M294" s="805"/>
      <c r="N294" s="800"/>
      <c r="O294" s="805"/>
      <c r="P294" s="805"/>
      <c r="Q294" s="800"/>
      <c r="R294" s="808"/>
    </row>
    <row r="295" spans="1:18">
      <c r="A295" s="800"/>
      <c r="B295" s="800"/>
      <c r="C295" s="808"/>
      <c r="D295" s="808"/>
      <c r="E295" s="805"/>
      <c r="F295" s="805"/>
      <c r="G295" s="805"/>
      <c r="H295" s="828"/>
      <c r="I295" s="805"/>
      <c r="J295" s="808"/>
      <c r="K295" s="800"/>
      <c r="L295" s="806"/>
      <c r="M295" s="805"/>
      <c r="N295" s="800"/>
      <c r="O295" s="805"/>
      <c r="P295" s="805"/>
      <c r="Q295" s="800"/>
      <c r="R295" s="808"/>
    </row>
    <row r="296" spans="1:18">
      <c r="A296" s="800"/>
      <c r="B296" s="800"/>
      <c r="C296" s="808"/>
      <c r="D296" s="808"/>
      <c r="E296" s="805"/>
      <c r="F296" s="805"/>
      <c r="G296" s="805"/>
      <c r="H296" s="828"/>
      <c r="I296" s="805"/>
      <c r="J296" s="808"/>
      <c r="K296" s="800"/>
      <c r="L296" s="806"/>
      <c r="M296" s="805"/>
      <c r="N296" s="800"/>
      <c r="O296" s="805"/>
      <c r="P296" s="805"/>
      <c r="Q296" s="800"/>
      <c r="R296" s="808"/>
    </row>
    <row r="297" spans="1:18">
      <c r="A297" s="800"/>
      <c r="B297" s="800"/>
      <c r="C297" s="808"/>
      <c r="D297" s="808"/>
      <c r="E297" s="805"/>
      <c r="F297" s="805"/>
      <c r="G297" s="805"/>
      <c r="H297" s="828"/>
      <c r="I297" s="805"/>
      <c r="J297" s="808"/>
      <c r="K297" s="800"/>
      <c r="L297" s="806"/>
      <c r="M297" s="805"/>
      <c r="N297" s="800"/>
      <c r="O297" s="805"/>
      <c r="P297" s="805"/>
      <c r="Q297" s="800"/>
      <c r="R297" s="808"/>
    </row>
    <row r="298" spans="1:18">
      <c r="A298" s="800"/>
      <c r="B298" s="800"/>
      <c r="C298" s="808"/>
      <c r="D298" s="808"/>
      <c r="E298" s="805"/>
      <c r="F298" s="805"/>
      <c r="G298" s="805"/>
      <c r="H298" s="828"/>
      <c r="I298" s="805"/>
      <c r="J298" s="808"/>
      <c r="K298" s="800"/>
      <c r="L298" s="806"/>
      <c r="M298" s="805"/>
      <c r="N298" s="800"/>
      <c r="O298" s="805"/>
      <c r="P298" s="805"/>
      <c r="Q298" s="800"/>
      <c r="R298" s="808"/>
    </row>
    <row r="299" spans="1:18">
      <c r="A299" s="800"/>
      <c r="B299" s="800"/>
      <c r="C299" s="808"/>
      <c r="D299" s="808"/>
      <c r="E299" s="805"/>
      <c r="F299" s="805"/>
      <c r="G299" s="805"/>
      <c r="H299" s="828"/>
      <c r="I299" s="805"/>
      <c r="J299" s="808"/>
      <c r="K299" s="800"/>
      <c r="L299" s="806"/>
      <c r="M299" s="805"/>
      <c r="N299" s="800"/>
      <c r="O299" s="805"/>
      <c r="P299" s="805"/>
      <c r="Q299" s="800"/>
      <c r="R299" s="808"/>
    </row>
    <row r="300" spans="1:18">
      <c r="A300" s="800"/>
      <c r="B300" s="800"/>
      <c r="C300" s="808"/>
      <c r="D300" s="808"/>
      <c r="E300" s="805"/>
      <c r="F300" s="805"/>
      <c r="G300" s="805"/>
      <c r="H300" s="828"/>
      <c r="I300" s="805"/>
      <c r="J300" s="808"/>
      <c r="K300" s="800"/>
      <c r="L300" s="806"/>
      <c r="M300" s="805"/>
      <c r="N300" s="800"/>
      <c r="O300" s="805"/>
      <c r="P300" s="805"/>
      <c r="Q300" s="800"/>
      <c r="R300" s="808"/>
    </row>
    <row r="301" spans="1:18">
      <c r="A301" s="800"/>
      <c r="B301" s="800"/>
      <c r="C301" s="808"/>
      <c r="D301" s="808"/>
      <c r="E301" s="805"/>
      <c r="F301" s="805"/>
      <c r="G301" s="805"/>
      <c r="H301" s="828"/>
      <c r="I301" s="805"/>
      <c r="J301" s="808"/>
      <c r="K301" s="800"/>
      <c r="L301" s="806"/>
      <c r="M301" s="805"/>
      <c r="N301" s="800"/>
      <c r="O301" s="805"/>
      <c r="P301" s="805"/>
      <c r="Q301" s="800"/>
      <c r="R301" s="808"/>
    </row>
    <row r="302" spans="1:18">
      <c r="A302" s="800"/>
      <c r="B302" s="800"/>
      <c r="C302" s="808"/>
      <c r="D302" s="808"/>
      <c r="E302" s="805"/>
      <c r="F302" s="805"/>
      <c r="G302" s="805"/>
      <c r="H302" s="828"/>
      <c r="I302" s="805"/>
      <c r="J302" s="808"/>
      <c r="K302" s="800"/>
      <c r="L302" s="806"/>
      <c r="M302" s="805"/>
      <c r="N302" s="800"/>
      <c r="O302" s="805"/>
      <c r="P302" s="805"/>
      <c r="Q302" s="800"/>
      <c r="R302" s="808"/>
    </row>
    <row r="303" spans="1:18">
      <c r="A303" s="800"/>
      <c r="B303" s="800"/>
      <c r="C303" s="808"/>
      <c r="D303" s="808"/>
      <c r="E303" s="805"/>
      <c r="F303" s="805"/>
      <c r="G303" s="805"/>
      <c r="H303" s="828"/>
      <c r="I303" s="805"/>
      <c r="J303" s="808"/>
      <c r="K303" s="800"/>
      <c r="L303" s="806"/>
      <c r="M303" s="805"/>
      <c r="N303" s="800"/>
      <c r="O303" s="805"/>
      <c r="P303" s="805"/>
      <c r="Q303" s="800"/>
      <c r="R303" s="808"/>
    </row>
    <row r="304" spans="1:18">
      <c r="A304" s="800"/>
      <c r="B304" s="800"/>
      <c r="C304" s="808"/>
      <c r="D304" s="808"/>
      <c r="E304" s="805"/>
      <c r="F304" s="805"/>
      <c r="G304" s="805"/>
      <c r="H304" s="828"/>
      <c r="I304" s="805"/>
      <c r="J304" s="808"/>
      <c r="K304" s="800"/>
      <c r="L304" s="806"/>
      <c r="M304" s="805"/>
      <c r="N304" s="800"/>
      <c r="O304" s="805"/>
      <c r="P304" s="805"/>
      <c r="Q304" s="800"/>
      <c r="R304" s="808"/>
    </row>
    <row r="305" spans="1:18">
      <c r="A305" s="800"/>
      <c r="B305" s="800"/>
      <c r="C305" s="808"/>
      <c r="D305" s="808"/>
      <c r="E305" s="805"/>
      <c r="F305" s="805"/>
      <c r="G305" s="805"/>
      <c r="H305" s="828"/>
      <c r="I305" s="805"/>
      <c r="J305" s="808"/>
      <c r="K305" s="800"/>
      <c r="L305" s="806"/>
      <c r="M305" s="805"/>
      <c r="N305" s="800"/>
      <c r="O305" s="805"/>
      <c r="P305" s="805"/>
      <c r="Q305" s="800"/>
      <c r="R305" s="808"/>
    </row>
    <row r="306" spans="1:18">
      <c r="A306" s="800"/>
      <c r="B306" s="800"/>
      <c r="C306" s="808"/>
      <c r="D306" s="808"/>
      <c r="E306" s="805"/>
      <c r="F306" s="805"/>
      <c r="G306" s="805"/>
      <c r="H306" s="828"/>
      <c r="I306" s="805"/>
      <c r="J306" s="808"/>
      <c r="K306" s="800"/>
      <c r="L306" s="806"/>
      <c r="M306" s="805"/>
      <c r="N306" s="800"/>
      <c r="O306" s="805"/>
      <c r="P306" s="805"/>
      <c r="Q306" s="800"/>
      <c r="R306" s="808"/>
    </row>
    <row r="307" spans="1:18">
      <c r="A307" s="800"/>
      <c r="B307" s="800"/>
      <c r="C307" s="808"/>
      <c r="D307" s="808"/>
      <c r="E307" s="805"/>
      <c r="F307" s="805"/>
      <c r="G307" s="805"/>
      <c r="H307" s="828"/>
      <c r="I307" s="805"/>
      <c r="J307" s="808"/>
      <c r="K307" s="800"/>
      <c r="L307" s="806"/>
      <c r="M307" s="805"/>
      <c r="N307" s="800"/>
      <c r="O307" s="805"/>
      <c r="P307" s="805"/>
      <c r="Q307" s="800"/>
      <c r="R307" s="808"/>
    </row>
    <row r="308" spans="1:18">
      <c r="A308" s="800"/>
      <c r="B308" s="800"/>
      <c r="C308" s="808"/>
      <c r="D308" s="808"/>
      <c r="E308" s="805"/>
      <c r="F308" s="805"/>
      <c r="G308" s="805"/>
      <c r="H308" s="828"/>
      <c r="I308" s="805"/>
      <c r="J308" s="808"/>
      <c r="K308" s="800"/>
      <c r="L308" s="806"/>
      <c r="M308" s="805"/>
      <c r="N308" s="800"/>
      <c r="O308" s="805"/>
      <c r="P308" s="805"/>
      <c r="Q308" s="800"/>
      <c r="R308" s="808"/>
    </row>
    <row r="309" spans="1:18">
      <c r="A309" s="800"/>
      <c r="B309" s="800"/>
      <c r="C309" s="808"/>
      <c r="D309" s="808"/>
      <c r="E309" s="805"/>
      <c r="F309" s="805"/>
      <c r="G309" s="805"/>
      <c r="H309" s="828"/>
      <c r="I309" s="805"/>
      <c r="J309" s="808"/>
      <c r="K309" s="800"/>
      <c r="L309" s="806"/>
      <c r="M309" s="805"/>
      <c r="N309" s="800"/>
      <c r="O309" s="805"/>
      <c r="P309" s="805"/>
      <c r="Q309" s="800"/>
      <c r="R309" s="808"/>
    </row>
    <row r="310" spans="1:18">
      <c r="A310" s="800"/>
      <c r="B310" s="800"/>
      <c r="C310" s="808"/>
      <c r="D310" s="808"/>
      <c r="E310" s="805"/>
      <c r="F310" s="805"/>
      <c r="G310" s="805"/>
      <c r="H310" s="828"/>
      <c r="I310" s="805"/>
      <c r="J310" s="808"/>
      <c r="K310" s="800"/>
      <c r="L310" s="806"/>
      <c r="M310" s="805"/>
      <c r="N310" s="800"/>
      <c r="O310" s="805"/>
      <c r="P310" s="805"/>
      <c r="Q310" s="800"/>
      <c r="R310" s="808"/>
    </row>
    <row r="311" spans="1:18">
      <c r="A311" s="800"/>
      <c r="B311" s="800"/>
      <c r="C311" s="808"/>
      <c r="D311" s="808"/>
      <c r="E311" s="805"/>
      <c r="F311" s="805"/>
      <c r="G311" s="805"/>
      <c r="H311" s="828"/>
      <c r="I311" s="805"/>
      <c r="J311" s="808"/>
      <c r="K311" s="800"/>
      <c r="L311" s="806"/>
      <c r="M311" s="805"/>
      <c r="N311" s="800"/>
      <c r="O311" s="805"/>
      <c r="P311" s="805"/>
      <c r="Q311" s="800"/>
      <c r="R311" s="808"/>
    </row>
    <row r="312" spans="1:18">
      <c r="A312" s="800"/>
      <c r="B312" s="800"/>
      <c r="C312" s="808"/>
      <c r="D312" s="808"/>
      <c r="E312" s="805"/>
      <c r="F312" s="805"/>
      <c r="G312" s="805"/>
      <c r="H312" s="828"/>
      <c r="I312" s="805"/>
      <c r="J312" s="808"/>
      <c r="K312" s="800"/>
      <c r="L312" s="806"/>
      <c r="M312" s="805"/>
      <c r="N312" s="800"/>
      <c r="O312" s="805"/>
      <c r="P312" s="805"/>
      <c r="Q312" s="800"/>
      <c r="R312" s="808"/>
    </row>
    <row r="313" spans="1:18">
      <c r="A313" s="800"/>
      <c r="B313" s="800"/>
      <c r="C313" s="808"/>
      <c r="D313" s="808"/>
      <c r="E313" s="805"/>
      <c r="F313" s="805"/>
      <c r="G313" s="805"/>
      <c r="H313" s="828"/>
      <c r="I313" s="805"/>
      <c r="J313" s="808"/>
      <c r="K313" s="800"/>
      <c r="L313" s="806"/>
      <c r="M313" s="805"/>
      <c r="N313" s="800"/>
      <c r="O313" s="805"/>
      <c r="P313" s="805"/>
      <c r="Q313" s="800"/>
      <c r="R313" s="808"/>
    </row>
    <row r="314" spans="1:18">
      <c r="A314" s="800"/>
      <c r="B314" s="800"/>
      <c r="C314" s="808"/>
      <c r="D314" s="808"/>
      <c r="E314" s="805"/>
      <c r="F314" s="805"/>
      <c r="G314" s="805"/>
      <c r="H314" s="828"/>
      <c r="I314" s="805"/>
      <c r="J314" s="808"/>
      <c r="K314" s="800"/>
      <c r="L314" s="806"/>
      <c r="M314" s="805"/>
      <c r="N314" s="800"/>
      <c r="O314" s="805"/>
      <c r="P314" s="805"/>
      <c r="Q314" s="800"/>
      <c r="R314" s="808"/>
    </row>
    <row r="315" spans="1:18">
      <c r="A315" s="800"/>
      <c r="B315" s="800"/>
      <c r="C315" s="808"/>
      <c r="D315" s="808"/>
      <c r="E315" s="805"/>
      <c r="F315" s="805"/>
      <c r="G315" s="805"/>
      <c r="H315" s="828"/>
      <c r="I315" s="805"/>
      <c r="J315" s="808"/>
      <c r="K315" s="800"/>
      <c r="L315" s="806"/>
      <c r="M315" s="805"/>
      <c r="N315" s="800"/>
      <c r="O315" s="805"/>
      <c r="P315" s="805"/>
      <c r="Q315" s="800"/>
      <c r="R315" s="808"/>
    </row>
    <row r="316" spans="1:18">
      <c r="A316" s="800"/>
      <c r="B316" s="800"/>
      <c r="C316" s="808"/>
      <c r="D316" s="808"/>
      <c r="E316" s="805"/>
      <c r="F316" s="805"/>
      <c r="G316" s="805"/>
      <c r="H316" s="828"/>
      <c r="I316" s="805"/>
      <c r="J316" s="808"/>
      <c r="K316" s="800"/>
      <c r="L316" s="806"/>
      <c r="M316" s="805"/>
      <c r="N316" s="800"/>
      <c r="O316" s="805"/>
      <c r="P316" s="805"/>
      <c r="Q316" s="800"/>
      <c r="R316" s="808"/>
    </row>
    <row r="317" spans="1:18">
      <c r="A317" s="800"/>
      <c r="B317" s="800"/>
      <c r="C317" s="808"/>
      <c r="D317" s="808"/>
      <c r="E317" s="805"/>
      <c r="F317" s="805"/>
      <c r="G317" s="805"/>
      <c r="H317" s="828"/>
      <c r="I317" s="805"/>
      <c r="J317" s="808"/>
      <c r="K317" s="800"/>
      <c r="L317" s="806"/>
      <c r="M317" s="805"/>
      <c r="N317" s="800"/>
      <c r="O317" s="805"/>
      <c r="P317" s="805"/>
      <c r="Q317" s="800"/>
      <c r="R317" s="808"/>
    </row>
    <row r="318" spans="1:18">
      <c r="A318" s="800"/>
      <c r="B318" s="800"/>
      <c r="C318" s="808"/>
      <c r="D318" s="808"/>
      <c r="E318" s="805"/>
      <c r="F318" s="805"/>
      <c r="G318" s="805"/>
      <c r="H318" s="828"/>
      <c r="I318" s="805"/>
      <c r="J318" s="808"/>
      <c r="K318" s="800"/>
      <c r="L318" s="806"/>
      <c r="M318" s="805"/>
      <c r="N318" s="800"/>
      <c r="O318" s="805"/>
      <c r="P318" s="805"/>
      <c r="Q318" s="800"/>
      <c r="R318" s="808"/>
    </row>
    <row r="319" spans="1:18">
      <c r="A319" s="800"/>
      <c r="B319" s="800"/>
      <c r="C319" s="808"/>
      <c r="D319" s="808"/>
      <c r="E319" s="805"/>
      <c r="F319" s="805"/>
      <c r="G319" s="805"/>
      <c r="H319" s="828"/>
      <c r="I319" s="805"/>
      <c r="J319" s="808"/>
      <c r="K319" s="800"/>
      <c r="L319" s="806"/>
      <c r="M319" s="805"/>
      <c r="N319" s="800"/>
      <c r="O319" s="805"/>
      <c r="P319" s="805"/>
      <c r="Q319" s="800"/>
      <c r="R319" s="808"/>
    </row>
    <row r="320" spans="1:18">
      <c r="A320" s="800"/>
      <c r="B320" s="800"/>
      <c r="C320" s="808"/>
      <c r="D320" s="808"/>
      <c r="E320" s="805"/>
      <c r="F320" s="805"/>
      <c r="G320" s="805"/>
      <c r="H320" s="828"/>
      <c r="I320" s="805"/>
      <c r="J320" s="808"/>
      <c r="K320" s="800"/>
      <c r="L320" s="806"/>
      <c r="M320" s="805"/>
      <c r="N320" s="800"/>
      <c r="O320" s="805"/>
      <c r="P320" s="805"/>
      <c r="Q320" s="800"/>
      <c r="R320" s="808"/>
    </row>
    <row r="321" spans="1:18">
      <c r="A321" s="800"/>
      <c r="B321" s="800"/>
      <c r="C321" s="808"/>
      <c r="D321" s="808"/>
      <c r="E321" s="805"/>
      <c r="F321" s="805"/>
      <c r="G321" s="805"/>
      <c r="H321" s="828"/>
      <c r="I321" s="805"/>
      <c r="J321" s="808"/>
      <c r="K321" s="800"/>
      <c r="L321" s="806"/>
      <c r="M321" s="805"/>
      <c r="N321" s="800"/>
      <c r="O321" s="805"/>
      <c r="P321" s="805"/>
      <c r="Q321" s="800"/>
      <c r="R321" s="808"/>
    </row>
    <row r="322" spans="1:18">
      <c r="A322" s="800"/>
      <c r="B322" s="800"/>
      <c r="C322" s="808"/>
      <c r="D322" s="808"/>
      <c r="E322" s="805"/>
      <c r="F322" s="805"/>
      <c r="G322" s="805"/>
      <c r="H322" s="828"/>
      <c r="I322" s="805"/>
      <c r="J322" s="808"/>
      <c r="K322" s="800"/>
      <c r="L322" s="806"/>
      <c r="M322" s="805"/>
      <c r="N322" s="800"/>
      <c r="O322" s="805"/>
      <c r="P322" s="805"/>
      <c r="Q322" s="800"/>
      <c r="R322" s="808"/>
    </row>
    <row r="323" spans="1:18">
      <c r="A323" s="800"/>
      <c r="B323" s="800"/>
      <c r="C323" s="808"/>
      <c r="D323" s="808"/>
      <c r="E323" s="805"/>
      <c r="F323" s="805"/>
      <c r="G323" s="805"/>
      <c r="H323" s="828"/>
      <c r="I323" s="805"/>
      <c r="J323" s="808"/>
      <c r="K323" s="800"/>
      <c r="L323" s="806"/>
      <c r="M323" s="805"/>
      <c r="N323" s="800"/>
      <c r="O323" s="805"/>
      <c r="P323" s="805"/>
      <c r="Q323" s="800"/>
      <c r="R323" s="808"/>
    </row>
    <row r="324" spans="1:18">
      <c r="A324" s="800"/>
      <c r="B324" s="800"/>
      <c r="C324" s="808"/>
      <c r="D324" s="808"/>
      <c r="E324" s="805"/>
      <c r="F324" s="805"/>
      <c r="G324" s="805"/>
      <c r="H324" s="828"/>
      <c r="I324" s="805"/>
      <c r="J324" s="808"/>
      <c r="K324" s="800"/>
      <c r="L324" s="806"/>
      <c r="M324" s="805"/>
      <c r="N324" s="800"/>
      <c r="O324" s="805"/>
      <c r="P324" s="805"/>
      <c r="Q324" s="800"/>
      <c r="R324" s="808"/>
    </row>
    <row r="325" spans="1:18">
      <c r="A325" s="800"/>
      <c r="B325" s="800"/>
      <c r="C325" s="808"/>
      <c r="D325" s="808"/>
      <c r="E325" s="805"/>
      <c r="F325" s="805"/>
      <c r="G325" s="805"/>
      <c r="H325" s="828"/>
      <c r="I325" s="805"/>
      <c r="J325" s="808"/>
      <c r="K325" s="800"/>
      <c r="L325" s="806"/>
      <c r="M325" s="805"/>
      <c r="N325" s="800"/>
      <c r="O325" s="805"/>
      <c r="P325" s="805"/>
      <c r="Q325" s="800"/>
      <c r="R325" s="808"/>
    </row>
    <row r="326" spans="1:18">
      <c r="A326" s="800"/>
      <c r="B326" s="800"/>
      <c r="C326" s="808"/>
      <c r="D326" s="808"/>
      <c r="E326" s="805"/>
      <c r="F326" s="805"/>
      <c r="G326" s="805"/>
      <c r="H326" s="828"/>
      <c r="I326" s="805"/>
      <c r="J326" s="808"/>
      <c r="K326" s="800"/>
      <c r="L326" s="806"/>
      <c r="M326" s="805"/>
      <c r="N326" s="800"/>
      <c r="O326" s="805"/>
      <c r="P326" s="805"/>
      <c r="Q326" s="800"/>
      <c r="R326" s="808"/>
    </row>
    <row r="327" spans="1:18">
      <c r="A327" s="800"/>
      <c r="B327" s="800"/>
      <c r="C327" s="808"/>
      <c r="D327" s="808"/>
      <c r="E327" s="805"/>
      <c r="F327" s="805"/>
      <c r="G327" s="805"/>
      <c r="H327" s="828"/>
      <c r="I327" s="805"/>
      <c r="J327" s="808"/>
      <c r="K327" s="800"/>
      <c r="L327" s="806"/>
      <c r="M327" s="805"/>
      <c r="N327" s="800"/>
      <c r="O327" s="805"/>
      <c r="P327" s="805"/>
      <c r="Q327" s="800"/>
      <c r="R327" s="808"/>
    </row>
    <row r="328" spans="1:18">
      <c r="A328" s="800"/>
      <c r="B328" s="800"/>
      <c r="C328" s="808"/>
      <c r="D328" s="808"/>
      <c r="E328" s="805"/>
      <c r="F328" s="805"/>
      <c r="G328" s="805"/>
      <c r="H328" s="828"/>
      <c r="I328" s="805"/>
      <c r="J328" s="808"/>
      <c r="K328" s="800"/>
      <c r="L328" s="806"/>
      <c r="M328" s="805"/>
      <c r="N328" s="800"/>
      <c r="O328" s="805"/>
      <c r="P328" s="805"/>
      <c r="Q328" s="800"/>
      <c r="R328" s="808"/>
    </row>
    <row r="329" spans="1:18">
      <c r="A329" s="800"/>
      <c r="B329" s="800"/>
      <c r="C329" s="808"/>
      <c r="D329" s="808"/>
      <c r="E329" s="805"/>
      <c r="F329" s="805"/>
      <c r="G329" s="805"/>
      <c r="H329" s="828"/>
      <c r="I329" s="805"/>
      <c r="J329" s="808"/>
      <c r="K329" s="800"/>
      <c r="L329" s="806"/>
      <c r="M329" s="805"/>
      <c r="N329" s="800"/>
      <c r="O329" s="805"/>
      <c r="P329" s="805"/>
      <c r="Q329" s="800"/>
      <c r="R329" s="808"/>
    </row>
    <row r="330" spans="1:18">
      <c r="A330" s="800"/>
      <c r="B330" s="800"/>
      <c r="C330" s="808"/>
      <c r="D330" s="808"/>
      <c r="E330" s="805"/>
      <c r="F330" s="805"/>
      <c r="G330" s="805"/>
      <c r="H330" s="828"/>
      <c r="I330" s="805"/>
      <c r="J330" s="808"/>
      <c r="K330" s="800"/>
      <c r="L330" s="806"/>
      <c r="M330" s="805"/>
      <c r="N330" s="800"/>
      <c r="O330" s="805"/>
      <c r="P330" s="805"/>
      <c r="Q330" s="800"/>
      <c r="R330" s="808"/>
    </row>
    <row r="331" spans="1:18">
      <c r="A331" s="800"/>
      <c r="B331" s="800"/>
      <c r="C331" s="808"/>
      <c r="D331" s="808"/>
      <c r="E331" s="805"/>
      <c r="F331" s="805"/>
      <c r="G331" s="805"/>
      <c r="H331" s="828"/>
      <c r="I331" s="805"/>
      <c r="J331" s="808"/>
      <c r="K331" s="800"/>
      <c r="L331" s="806"/>
      <c r="M331" s="805"/>
      <c r="N331" s="800"/>
      <c r="O331" s="805"/>
      <c r="P331" s="805"/>
      <c r="Q331" s="800"/>
      <c r="R331" s="808"/>
    </row>
    <row r="332" spans="1:18">
      <c r="A332" s="800"/>
      <c r="B332" s="800"/>
      <c r="C332" s="808"/>
      <c r="D332" s="808"/>
      <c r="E332" s="805"/>
      <c r="F332" s="805"/>
      <c r="G332" s="805"/>
      <c r="H332" s="828"/>
      <c r="I332" s="805"/>
      <c r="J332" s="808"/>
      <c r="K332" s="800"/>
      <c r="L332" s="806"/>
      <c r="M332" s="805"/>
      <c r="N332" s="800"/>
      <c r="O332" s="805"/>
      <c r="P332" s="805"/>
      <c r="Q332" s="800"/>
      <c r="R332" s="808"/>
    </row>
    <row r="333" spans="1:18">
      <c r="A333" s="800"/>
      <c r="B333" s="800"/>
      <c r="C333" s="808"/>
      <c r="D333" s="808"/>
      <c r="E333" s="805"/>
      <c r="F333" s="805"/>
      <c r="G333" s="805"/>
      <c r="H333" s="828"/>
      <c r="I333" s="805"/>
      <c r="J333" s="808"/>
      <c r="K333" s="800"/>
      <c r="L333" s="806"/>
      <c r="M333" s="805"/>
      <c r="N333" s="800"/>
      <c r="O333" s="805"/>
      <c r="P333" s="805"/>
      <c r="Q333" s="800"/>
      <c r="R333" s="808"/>
    </row>
    <row r="334" spans="1:18">
      <c r="A334" s="800"/>
      <c r="B334" s="800"/>
      <c r="C334" s="808"/>
      <c r="D334" s="808"/>
      <c r="E334" s="805"/>
      <c r="F334" s="805"/>
      <c r="G334" s="805"/>
      <c r="H334" s="828"/>
      <c r="I334" s="805"/>
      <c r="J334" s="808"/>
      <c r="K334" s="800"/>
      <c r="L334" s="806"/>
      <c r="M334" s="805"/>
      <c r="N334" s="800"/>
      <c r="O334" s="805"/>
      <c r="P334" s="805"/>
      <c r="Q334" s="800"/>
      <c r="R334" s="808"/>
    </row>
    <row r="335" spans="1:18">
      <c r="A335" s="800"/>
      <c r="B335" s="800"/>
      <c r="C335" s="808"/>
      <c r="D335" s="808"/>
      <c r="E335" s="805"/>
      <c r="F335" s="805"/>
      <c r="G335" s="805"/>
      <c r="H335" s="828"/>
      <c r="I335" s="805"/>
      <c r="J335" s="808"/>
      <c r="K335" s="800"/>
      <c r="L335" s="806"/>
      <c r="M335" s="805"/>
      <c r="N335" s="800"/>
      <c r="O335" s="805"/>
      <c r="P335" s="805"/>
      <c r="Q335" s="800"/>
      <c r="R335" s="808"/>
    </row>
    <row r="336" spans="1:18">
      <c r="A336" s="800"/>
      <c r="B336" s="800"/>
      <c r="C336" s="808"/>
      <c r="D336" s="808"/>
      <c r="E336" s="805"/>
      <c r="F336" s="805"/>
      <c r="G336" s="805"/>
      <c r="H336" s="828"/>
      <c r="I336" s="805"/>
      <c r="J336" s="808"/>
      <c r="K336" s="800"/>
      <c r="L336" s="806"/>
      <c r="M336" s="805"/>
      <c r="N336" s="800"/>
      <c r="O336" s="805"/>
      <c r="P336" s="805"/>
      <c r="Q336" s="800"/>
      <c r="R336" s="808"/>
    </row>
    <row r="337" spans="1:18">
      <c r="A337" s="800"/>
      <c r="B337" s="800"/>
      <c r="C337" s="808"/>
      <c r="D337" s="808"/>
      <c r="E337" s="805"/>
      <c r="F337" s="805"/>
      <c r="G337" s="805"/>
      <c r="H337" s="828"/>
      <c r="I337" s="805"/>
      <c r="J337" s="808"/>
      <c r="K337" s="800"/>
      <c r="L337" s="806"/>
      <c r="M337" s="805"/>
      <c r="N337" s="800"/>
      <c r="O337" s="805"/>
      <c r="P337" s="805"/>
      <c r="Q337" s="800"/>
      <c r="R337" s="808"/>
    </row>
    <row r="338" spans="1:18">
      <c r="A338" s="800"/>
      <c r="B338" s="800"/>
      <c r="C338" s="808"/>
      <c r="D338" s="808"/>
      <c r="E338" s="805"/>
      <c r="F338" s="805"/>
      <c r="G338" s="805"/>
      <c r="H338" s="828"/>
      <c r="I338" s="805"/>
      <c r="J338" s="808"/>
      <c r="K338" s="800"/>
      <c r="L338" s="806"/>
      <c r="M338" s="805"/>
      <c r="N338" s="800"/>
      <c r="O338" s="805"/>
      <c r="P338" s="805"/>
      <c r="Q338" s="800"/>
      <c r="R338" s="808"/>
    </row>
    <row r="339" spans="1:18">
      <c r="A339" s="800"/>
      <c r="B339" s="800"/>
      <c r="C339" s="808"/>
      <c r="D339" s="808"/>
      <c r="E339" s="805"/>
      <c r="F339" s="805"/>
      <c r="G339" s="805"/>
      <c r="H339" s="828"/>
      <c r="I339" s="805"/>
      <c r="J339" s="808"/>
      <c r="K339" s="800"/>
      <c r="L339" s="806"/>
      <c r="M339" s="805"/>
      <c r="N339" s="800"/>
      <c r="O339" s="805"/>
      <c r="P339" s="805"/>
      <c r="Q339" s="800"/>
      <c r="R339" s="808"/>
    </row>
    <row r="340" spans="1:18">
      <c r="A340" s="800"/>
      <c r="B340" s="800"/>
      <c r="C340" s="808"/>
      <c r="D340" s="808"/>
      <c r="E340" s="805"/>
      <c r="F340" s="805"/>
      <c r="G340" s="805"/>
      <c r="H340" s="828"/>
      <c r="I340" s="805"/>
      <c r="J340" s="808"/>
      <c r="K340" s="800"/>
      <c r="L340" s="806"/>
      <c r="M340" s="805"/>
      <c r="N340" s="800"/>
      <c r="O340" s="805"/>
      <c r="P340" s="805"/>
      <c r="Q340" s="800"/>
      <c r="R340" s="808"/>
    </row>
    <row r="341" spans="1:18">
      <c r="A341" s="800"/>
      <c r="B341" s="800"/>
      <c r="C341" s="808"/>
      <c r="D341" s="808"/>
      <c r="E341" s="805"/>
      <c r="F341" s="805"/>
      <c r="G341" s="805"/>
      <c r="H341" s="828"/>
      <c r="I341" s="805"/>
      <c r="J341" s="808"/>
      <c r="K341" s="800"/>
      <c r="L341" s="806"/>
      <c r="M341" s="805"/>
      <c r="N341" s="800"/>
      <c r="O341" s="805"/>
      <c r="P341" s="805"/>
      <c r="Q341" s="800"/>
      <c r="R341" s="808"/>
    </row>
    <row r="342" spans="1:18">
      <c r="A342" s="800"/>
      <c r="B342" s="800"/>
      <c r="C342" s="808"/>
      <c r="D342" s="808"/>
      <c r="E342" s="805"/>
      <c r="F342" s="805"/>
      <c r="G342" s="805"/>
      <c r="H342" s="828"/>
      <c r="I342" s="805"/>
      <c r="J342" s="808"/>
      <c r="K342" s="800"/>
      <c r="L342" s="806"/>
      <c r="M342" s="805"/>
      <c r="N342" s="800"/>
      <c r="O342" s="805"/>
      <c r="P342" s="805"/>
      <c r="Q342" s="800"/>
      <c r="R342" s="808"/>
    </row>
    <row r="343" spans="1:18">
      <c r="A343" s="800"/>
      <c r="B343" s="800"/>
      <c r="C343" s="808"/>
      <c r="D343" s="808"/>
      <c r="E343" s="805"/>
      <c r="F343" s="805"/>
      <c r="G343" s="805"/>
      <c r="H343" s="828"/>
      <c r="I343" s="805"/>
      <c r="J343" s="808"/>
      <c r="K343" s="800"/>
      <c r="L343" s="806"/>
      <c r="M343" s="805"/>
      <c r="N343" s="800"/>
      <c r="O343" s="805"/>
      <c r="P343" s="805"/>
      <c r="Q343" s="800"/>
      <c r="R343" s="808"/>
    </row>
    <row r="344" spans="1:18">
      <c r="A344" s="800"/>
      <c r="B344" s="800"/>
      <c r="C344" s="808"/>
      <c r="D344" s="808"/>
      <c r="E344" s="805"/>
      <c r="F344" s="805"/>
      <c r="G344" s="805"/>
      <c r="H344" s="828"/>
      <c r="I344" s="805"/>
      <c r="J344" s="808"/>
      <c r="K344" s="800"/>
      <c r="L344" s="806"/>
      <c r="M344" s="805"/>
      <c r="N344" s="800"/>
      <c r="O344" s="805"/>
      <c r="P344" s="805"/>
      <c r="Q344" s="800"/>
      <c r="R344" s="808"/>
    </row>
    <row r="345" spans="1:18">
      <c r="A345" s="800"/>
      <c r="B345" s="800"/>
      <c r="C345" s="808"/>
      <c r="D345" s="808"/>
      <c r="E345" s="805"/>
      <c r="F345" s="805"/>
      <c r="G345" s="805"/>
      <c r="H345" s="828"/>
      <c r="I345" s="805"/>
      <c r="J345" s="808"/>
      <c r="K345" s="800"/>
      <c r="L345" s="806"/>
      <c r="M345" s="805"/>
      <c r="N345" s="800"/>
      <c r="O345" s="805"/>
      <c r="P345" s="805"/>
      <c r="Q345" s="800"/>
      <c r="R345" s="808"/>
    </row>
    <row r="346" spans="1:18">
      <c r="A346" s="800"/>
      <c r="B346" s="800"/>
      <c r="C346" s="808"/>
      <c r="D346" s="808"/>
      <c r="E346" s="805"/>
      <c r="F346" s="805"/>
      <c r="G346" s="805"/>
      <c r="H346" s="828"/>
      <c r="I346" s="805"/>
      <c r="J346" s="808"/>
      <c r="K346" s="800"/>
      <c r="L346" s="806"/>
      <c r="M346" s="805"/>
      <c r="N346" s="800"/>
      <c r="O346" s="805"/>
      <c r="P346" s="805"/>
      <c r="Q346" s="800"/>
      <c r="R346" s="808"/>
    </row>
    <row r="347" spans="1:18">
      <c r="A347" s="800"/>
      <c r="B347" s="800"/>
      <c r="C347" s="808"/>
      <c r="D347" s="808"/>
      <c r="E347" s="805"/>
      <c r="F347" s="805"/>
      <c r="G347" s="805"/>
      <c r="H347" s="828"/>
      <c r="I347" s="805"/>
      <c r="J347" s="808"/>
      <c r="K347" s="800"/>
      <c r="L347" s="806"/>
      <c r="M347" s="805"/>
      <c r="N347" s="800"/>
      <c r="O347" s="805"/>
      <c r="P347" s="805"/>
      <c r="Q347" s="800"/>
      <c r="R347" s="808"/>
    </row>
    <row r="348" spans="1:18">
      <c r="A348" s="800"/>
      <c r="B348" s="800"/>
      <c r="C348" s="808"/>
      <c r="D348" s="808"/>
      <c r="E348" s="805"/>
      <c r="F348" s="805"/>
      <c r="G348" s="805"/>
      <c r="H348" s="828"/>
      <c r="I348" s="805"/>
      <c r="J348" s="808"/>
      <c r="K348" s="800"/>
      <c r="L348" s="806"/>
      <c r="M348" s="805"/>
      <c r="N348" s="800"/>
      <c r="O348" s="805"/>
      <c r="P348" s="805"/>
      <c r="Q348" s="800"/>
      <c r="R348" s="808"/>
    </row>
    <row r="349" spans="1:18">
      <c r="A349" s="800"/>
      <c r="B349" s="800"/>
      <c r="C349" s="808"/>
      <c r="D349" s="808"/>
      <c r="E349" s="805"/>
      <c r="F349" s="805"/>
      <c r="G349" s="805"/>
      <c r="H349" s="828"/>
      <c r="I349" s="805"/>
      <c r="J349" s="808"/>
      <c r="K349" s="800"/>
      <c r="L349" s="806"/>
      <c r="M349" s="805"/>
      <c r="N349" s="800"/>
      <c r="O349" s="805"/>
      <c r="P349" s="805"/>
      <c r="Q349" s="800"/>
      <c r="R349" s="808"/>
    </row>
    <row r="350" spans="1:18">
      <c r="A350" s="800"/>
      <c r="B350" s="800"/>
      <c r="C350" s="808"/>
      <c r="D350" s="808"/>
      <c r="E350" s="805"/>
      <c r="F350" s="805"/>
      <c r="G350" s="805"/>
      <c r="H350" s="828"/>
      <c r="I350" s="805"/>
      <c r="J350" s="808"/>
      <c r="K350" s="800"/>
      <c r="L350" s="806"/>
      <c r="M350" s="805"/>
      <c r="N350" s="800"/>
      <c r="O350" s="805"/>
      <c r="P350" s="805"/>
      <c r="Q350" s="800"/>
      <c r="R350" s="808"/>
    </row>
    <row r="351" spans="1:18">
      <c r="A351" s="800"/>
      <c r="B351" s="800"/>
      <c r="C351" s="808"/>
      <c r="D351" s="808"/>
      <c r="E351" s="805"/>
      <c r="F351" s="805"/>
      <c r="G351" s="805"/>
      <c r="H351" s="828"/>
      <c r="I351" s="805"/>
      <c r="J351" s="808"/>
      <c r="K351" s="800"/>
      <c r="L351" s="806"/>
      <c r="M351" s="805"/>
      <c r="N351" s="800"/>
      <c r="O351" s="805"/>
      <c r="P351" s="805"/>
      <c r="Q351" s="800"/>
      <c r="R351" s="808"/>
    </row>
    <row r="352" spans="1:18">
      <c r="A352" s="800"/>
      <c r="B352" s="800"/>
      <c r="C352" s="808"/>
      <c r="D352" s="808"/>
      <c r="E352" s="805"/>
      <c r="F352" s="805"/>
      <c r="G352" s="805"/>
      <c r="H352" s="828"/>
      <c r="I352" s="805"/>
      <c r="J352" s="808"/>
      <c r="K352" s="800"/>
      <c r="L352" s="806"/>
      <c r="M352" s="805"/>
      <c r="N352" s="800"/>
      <c r="O352" s="805"/>
      <c r="P352" s="805"/>
      <c r="Q352" s="800"/>
      <c r="R352" s="808"/>
    </row>
    <row r="353" spans="1:18">
      <c r="A353" s="800"/>
      <c r="B353" s="800"/>
      <c r="C353" s="808"/>
      <c r="D353" s="808"/>
      <c r="E353" s="805"/>
      <c r="F353" s="805"/>
      <c r="G353" s="805"/>
      <c r="H353" s="828"/>
      <c r="I353" s="805"/>
      <c r="J353" s="808"/>
      <c r="K353" s="800"/>
      <c r="L353" s="806"/>
      <c r="M353" s="805"/>
      <c r="N353" s="800"/>
      <c r="O353" s="805"/>
      <c r="P353" s="805"/>
      <c r="Q353" s="800"/>
      <c r="R353" s="808"/>
    </row>
    <row r="354" spans="1:18">
      <c r="A354" s="800"/>
      <c r="B354" s="800"/>
      <c r="C354" s="808"/>
      <c r="D354" s="808"/>
      <c r="E354" s="805"/>
      <c r="F354" s="805"/>
      <c r="G354" s="805"/>
      <c r="H354" s="828"/>
      <c r="I354" s="805"/>
      <c r="J354" s="808"/>
      <c r="K354" s="800"/>
      <c r="L354" s="806"/>
      <c r="M354" s="805"/>
      <c r="N354" s="800"/>
      <c r="O354" s="805"/>
      <c r="P354" s="805"/>
      <c r="Q354" s="800"/>
      <c r="R354" s="808"/>
    </row>
    <row r="355" spans="1:18">
      <c r="A355" s="800"/>
      <c r="B355" s="800"/>
      <c r="C355" s="808"/>
      <c r="D355" s="808"/>
      <c r="E355" s="805"/>
      <c r="F355" s="805"/>
      <c r="G355" s="805"/>
      <c r="H355" s="828"/>
      <c r="I355" s="805"/>
      <c r="J355" s="808"/>
      <c r="K355" s="800"/>
      <c r="L355" s="806"/>
      <c r="M355" s="805"/>
      <c r="N355" s="800"/>
      <c r="O355" s="805"/>
      <c r="P355" s="805"/>
      <c r="Q355" s="800"/>
      <c r="R355" s="808"/>
    </row>
    <row r="356" spans="1:18">
      <c r="A356" s="800"/>
      <c r="B356" s="800"/>
      <c r="C356" s="808"/>
      <c r="D356" s="808"/>
      <c r="E356" s="805"/>
      <c r="F356" s="805"/>
      <c r="G356" s="805"/>
      <c r="H356" s="828"/>
      <c r="I356" s="805"/>
      <c r="J356" s="808"/>
      <c r="K356" s="800"/>
      <c r="L356" s="806"/>
      <c r="M356" s="805"/>
      <c r="N356" s="800"/>
      <c r="O356" s="805"/>
      <c r="P356" s="805"/>
      <c r="Q356" s="800"/>
      <c r="R356" s="808"/>
    </row>
    <row r="357" spans="1:18">
      <c r="A357" s="800"/>
      <c r="B357" s="800"/>
      <c r="C357" s="808"/>
      <c r="D357" s="808"/>
      <c r="E357" s="805"/>
      <c r="F357" s="805"/>
      <c r="G357" s="805"/>
      <c r="H357" s="828"/>
      <c r="I357" s="805"/>
      <c r="J357" s="808"/>
      <c r="K357" s="800"/>
      <c r="L357" s="806"/>
      <c r="M357" s="805"/>
      <c r="N357" s="800"/>
      <c r="O357" s="805"/>
      <c r="P357" s="805"/>
      <c r="Q357" s="800"/>
      <c r="R357" s="808"/>
    </row>
    <row r="358" spans="1:18">
      <c r="A358" s="800"/>
      <c r="B358" s="800"/>
      <c r="C358" s="808"/>
      <c r="D358" s="808"/>
      <c r="E358" s="805"/>
      <c r="F358" s="805"/>
      <c r="G358" s="805"/>
      <c r="H358" s="828"/>
      <c r="I358" s="805"/>
      <c r="J358" s="808"/>
      <c r="K358" s="800"/>
      <c r="L358" s="806"/>
      <c r="M358" s="805"/>
      <c r="N358" s="800"/>
      <c r="O358" s="805"/>
      <c r="P358" s="805"/>
      <c r="Q358" s="800"/>
      <c r="R358" s="808"/>
    </row>
    <row r="359" spans="1:18">
      <c r="A359" s="800"/>
      <c r="B359" s="800"/>
      <c r="C359" s="808"/>
      <c r="D359" s="808"/>
      <c r="E359" s="805"/>
      <c r="F359" s="805"/>
      <c r="G359" s="805"/>
      <c r="H359" s="828"/>
      <c r="I359" s="805"/>
      <c r="J359" s="808"/>
      <c r="K359" s="800"/>
      <c r="L359" s="806"/>
      <c r="M359" s="805"/>
      <c r="N359" s="800"/>
      <c r="O359" s="805"/>
      <c r="P359" s="805"/>
      <c r="Q359" s="800"/>
      <c r="R359" s="808"/>
    </row>
    <row r="360" spans="1:18">
      <c r="A360" s="800"/>
      <c r="B360" s="800"/>
      <c r="C360" s="808"/>
      <c r="D360" s="808"/>
      <c r="E360" s="805"/>
      <c r="F360" s="805"/>
      <c r="G360" s="805"/>
      <c r="H360" s="828"/>
      <c r="I360" s="805"/>
      <c r="J360" s="808"/>
      <c r="K360" s="800"/>
      <c r="L360" s="806"/>
      <c r="M360" s="805"/>
      <c r="N360" s="800"/>
      <c r="O360" s="805"/>
      <c r="P360" s="805"/>
      <c r="Q360" s="800"/>
      <c r="R360" s="808"/>
    </row>
    <row r="361" spans="1:18">
      <c r="A361" s="800"/>
      <c r="B361" s="800"/>
      <c r="C361" s="808"/>
      <c r="D361" s="808"/>
      <c r="E361" s="805"/>
      <c r="F361" s="805"/>
      <c r="G361" s="805"/>
      <c r="H361" s="828"/>
      <c r="I361" s="805"/>
      <c r="J361" s="808"/>
      <c r="K361" s="800"/>
      <c r="L361" s="806"/>
      <c r="M361" s="805"/>
      <c r="N361" s="800"/>
      <c r="O361" s="805"/>
      <c r="P361" s="805"/>
      <c r="Q361" s="800"/>
      <c r="R361" s="808"/>
    </row>
    <row r="362" spans="1:18">
      <c r="A362" s="800"/>
      <c r="B362" s="800"/>
      <c r="C362" s="808"/>
      <c r="D362" s="808"/>
      <c r="E362" s="805"/>
      <c r="F362" s="805"/>
      <c r="G362" s="805"/>
      <c r="H362" s="828"/>
      <c r="I362" s="805"/>
      <c r="J362" s="808"/>
      <c r="K362" s="800"/>
      <c r="L362" s="806"/>
      <c r="M362" s="805"/>
      <c r="N362" s="800"/>
      <c r="O362" s="805"/>
      <c r="P362" s="805"/>
      <c r="Q362" s="800"/>
      <c r="R362" s="808"/>
    </row>
    <row r="363" spans="1:18">
      <c r="A363" s="800"/>
      <c r="B363" s="800"/>
      <c r="C363" s="808"/>
      <c r="D363" s="808"/>
      <c r="E363" s="805"/>
      <c r="F363" s="805"/>
      <c r="G363" s="805"/>
      <c r="H363" s="828"/>
      <c r="I363" s="805"/>
      <c r="J363" s="808"/>
      <c r="K363" s="800"/>
      <c r="L363" s="806"/>
      <c r="M363" s="805"/>
      <c r="N363" s="800"/>
      <c r="O363" s="805"/>
      <c r="P363" s="805"/>
      <c r="Q363" s="800"/>
      <c r="R363" s="808"/>
    </row>
    <row r="364" spans="1:18">
      <c r="A364" s="800"/>
      <c r="B364" s="800"/>
      <c r="C364" s="808"/>
      <c r="D364" s="808"/>
      <c r="E364" s="805"/>
      <c r="F364" s="805"/>
      <c r="G364" s="805"/>
      <c r="H364" s="828"/>
      <c r="I364" s="805"/>
      <c r="J364" s="808"/>
      <c r="K364" s="800"/>
      <c r="L364" s="806"/>
      <c r="M364" s="805"/>
      <c r="N364" s="800"/>
      <c r="O364" s="805"/>
      <c r="P364" s="805"/>
      <c r="Q364" s="800"/>
      <c r="R364" s="808"/>
    </row>
    <row r="365" spans="1:18">
      <c r="A365" s="800"/>
      <c r="B365" s="800"/>
      <c r="C365" s="808"/>
      <c r="D365" s="808"/>
      <c r="E365" s="805"/>
      <c r="F365" s="805"/>
      <c r="G365" s="805"/>
      <c r="H365" s="828"/>
      <c r="I365" s="805"/>
      <c r="J365" s="808"/>
      <c r="K365" s="800"/>
      <c r="L365" s="806"/>
      <c r="M365" s="805"/>
      <c r="N365" s="800"/>
      <c r="O365" s="805"/>
      <c r="P365" s="805"/>
      <c r="Q365" s="800"/>
      <c r="R365" s="808"/>
    </row>
    <row r="366" spans="1:18">
      <c r="A366" s="800"/>
      <c r="B366" s="800"/>
      <c r="C366" s="808"/>
      <c r="D366" s="808"/>
      <c r="E366" s="805"/>
      <c r="F366" s="805"/>
      <c r="G366" s="805"/>
      <c r="H366" s="828"/>
      <c r="I366" s="805"/>
      <c r="J366" s="808"/>
      <c r="K366" s="800"/>
      <c r="L366" s="806"/>
      <c r="M366" s="805"/>
      <c r="N366" s="800"/>
      <c r="O366" s="805"/>
      <c r="P366" s="805"/>
      <c r="Q366" s="800"/>
      <c r="R366" s="808"/>
    </row>
    <row r="367" spans="1:18">
      <c r="A367" s="800"/>
      <c r="B367" s="800"/>
      <c r="C367" s="808"/>
      <c r="D367" s="808"/>
      <c r="E367" s="805"/>
      <c r="F367" s="805"/>
      <c r="G367" s="805"/>
      <c r="H367" s="828"/>
      <c r="I367" s="805"/>
      <c r="J367" s="808"/>
      <c r="K367" s="800"/>
      <c r="L367" s="806"/>
      <c r="M367" s="805"/>
      <c r="N367" s="800"/>
      <c r="O367" s="805"/>
      <c r="P367" s="805"/>
      <c r="Q367" s="800"/>
      <c r="R367" s="808"/>
    </row>
    <row r="368" spans="1:18">
      <c r="A368" s="800"/>
      <c r="B368" s="800"/>
      <c r="C368" s="808"/>
      <c r="D368" s="808"/>
      <c r="E368" s="805"/>
      <c r="F368" s="805"/>
      <c r="G368" s="805"/>
      <c r="H368" s="828"/>
      <c r="I368" s="805"/>
      <c r="J368" s="808"/>
      <c r="K368" s="800"/>
      <c r="L368" s="806"/>
      <c r="M368" s="805"/>
      <c r="N368" s="800"/>
      <c r="O368" s="805"/>
      <c r="P368" s="805"/>
      <c r="Q368" s="800"/>
      <c r="R368" s="808"/>
    </row>
    <row r="369" spans="1:18">
      <c r="A369" s="800"/>
      <c r="B369" s="800"/>
      <c r="C369" s="808"/>
      <c r="D369" s="808"/>
      <c r="E369" s="805"/>
      <c r="F369" s="805"/>
      <c r="G369" s="805"/>
      <c r="H369" s="828"/>
      <c r="I369" s="805"/>
      <c r="J369" s="808"/>
      <c r="K369" s="800"/>
      <c r="L369" s="806"/>
      <c r="M369" s="805"/>
      <c r="N369" s="800"/>
      <c r="O369" s="805"/>
      <c r="P369" s="805"/>
      <c r="Q369" s="800"/>
      <c r="R369" s="808"/>
    </row>
    <row r="370" spans="1:18">
      <c r="A370" s="800"/>
      <c r="B370" s="800"/>
      <c r="C370" s="808"/>
      <c r="D370" s="808"/>
      <c r="E370" s="805"/>
      <c r="F370" s="805"/>
      <c r="G370" s="805"/>
      <c r="H370" s="828"/>
      <c r="I370" s="805"/>
      <c r="J370" s="808"/>
      <c r="K370" s="800"/>
      <c r="L370" s="806"/>
      <c r="M370" s="805"/>
      <c r="N370" s="800"/>
      <c r="O370" s="805"/>
      <c r="P370" s="805"/>
      <c r="Q370" s="800"/>
      <c r="R370" s="808"/>
    </row>
    <row r="371" spans="1:18">
      <c r="A371" s="800"/>
      <c r="B371" s="800"/>
      <c r="C371" s="808"/>
      <c r="D371" s="808"/>
      <c r="E371" s="805"/>
      <c r="F371" s="805"/>
      <c r="G371" s="805"/>
      <c r="H371" s="828"/>
      <c r="I371" s="805"/>
      <c r="J371" s="808"/>
      <c r="K371" s="800"/>
      <c r="L371" s="806"/>
      <c r="M371" s="805"/>
      <c r="N371" s="800"/>
      <c r="O371" s="805"/>
      <c r="P371" s="805"/>
      <c r="Q371" s="800"/>
      <c r="R371" s="808"/>
    </row>
    <row r="372" spans="1:18">
      <c r="A372" s="800"/>
      <c r="B372" s="800"/>
      <c r="C372" s="808"/>
      <c r="D372" s="808"/>
      <c r="E372" s="805"/>
      <c r="F372" s="805"/>
      <c r="G372" s="805"/>
      <c r="H372" s="828"/>
      <c r="I372" s="805"/>
      <c r="J372" s="808"/>
      <c r="K372" s="800"/>
      <c r="L372" s="806"/>
      <c r="M372" s="805"/>
      <c r="N372" s="800"/>
      <c r="O372" s="805"/>
      <c r="P372" s="805"/>
      <c r="Q372" s="800"/>
      <c r="R372" s="808"/>
    </row>
    <row r="373" spans="1:18">
      <c r="A373" s="800"/>
      <c r="B373" s="800"/>
      <c r="C373" s="808"/>
      <c r="D373" s="808"/>
      <c r="E373" s="805"/>
      <c r="F373" s="805"/>
      <c r="G373" s="805"/>
      <c r="H373" s="828"/>
      <c r="I373" s="805"/>
      <c r="J373" s="808"/>
      <c r="K373" s="800"/>
      <c r="L373" s="806"/>
      <c r="M373" s="805"/>
      <c r="N373" s="800"/>
      <c r="O373" s="805"/>
      <c r="P373" s="805"/>
      <c r="Q373" s="800"/>
      <c r="R373" s="808"/>
    </row>
    <row r="374" spans="1:18">
      <c r="A374" s="800"/>
      <c r="B374" s="800"/>
      <c r="C374" s="808"/>
      <c r="D374" s="808"/>
      <c r="E374" s="805"/>
      <c r="F374" s="805"/>
      <c r="G374" s="805"/>
      <c r="H374" s="828"/>
      <c r="I374" s="805"/>
      <c r="J374" s="808"/>
      <c r="K374" s="800"/>
      <c r="L374" s="806"/>
      <c r="M374" s="805"/>
      <c r="N374" s="800"/>
      <c r="O374" s="805"/>
      <c r="P374" s="805"/>
      <c r="Q374" s="800"/>
      <c r="R374" s="808"/>
    </row>
    <row r="375" spans="1:18">
      <c r="A375" s="800"/>
      <c r="B375" s="800"/>
      <c r="C375" s="808"/>
      <c r="D375" s="808"/>
      <c r="E375" s="805"/>
      <c r="F375" s="805"/>
      <c r="G375" s="805"/>
      <c r="H375" s="828"/>
      <c r="I375" s="805"/>
      <c r="J375" s="808"/>
      <c r="K375" s="800"/>
      <c r="L375" s="806"/>
      <c r="M375" s="805"/>
      <c r="N375" s="800"/>
      <c r="O375" s="805"/>
      <c r="P375" s="805"/>
      <c r="Q375" s="800"/>
      <c r="R375" s="808"/>
    </row>
    <row r="376" spans="1:18">
      <c r="A376" s="800"/>
      <c r="B376" s="800"/>
      <c r="C376" s="808"/>
      <c r="D376" s="808"/>
      <c r="E376" s="805"/>
      <c r="F376" s="805"/>
      <c r="G376" s="805"/>
      <c r="H376" s="828"/>
      <c r="I376" s="805"/>
      <c r="J376" s="808"/>
      <c r="K376" s="800"/>
      <c r="L376" s="806"/>
      <c r="M376" s="805"/>
      <c r="N376" s="800"/>
      <c r="O376" s="805"/>
      <c r="P376" s="805"/>
      <c r="Q376" s="800"/>
      <c r="R376" s="808"/>
    </row>
    <row r="377" spans="1:18">
      <c r="A377" s="800"/>
      <c r="B377" s="800"/>
      <c r="C377" s="808"/>
      <c r="D377" s="808"/>
      <c r="E377" s="805"/>
      <c r="F377" s="805"/>
      <c r="G377" s="805"/>
      <c r="H377" s="828"/>
      <c r="I377" s="805"/>
      <c r="J377" s="808"/>
      <c r="K377" s="800"/>
      <c r="L377" s="806"/>
      <c r="M377" s="805"/>
      <c r="N377" s="800"/>
      <c r="O377" s="805"/>
      <c r="P377" s="805"/>
      <c r="Q377" s="800"/>
      <c r="R377" s="808"/>
    </row>
    <row r="378" spans="1:18">
      <c r="A378" s="800"/>
      <c r="B378" s="800"/>
      <c r="C378" s="808"/>
      <c r="D378" s="808"/>
      <c r="E378" s="805"/>
      <c r="F378" s="805"/>
      <c r="G378" s="805"/>
      <c r="H378" s="828"/>
      <c r="I378" s="805"/>
      <c r="J378" s="808"/>
      <c r="K378" s="800"/>
      <c r="L378" s="806"/>
      <c r="M378" s="805"/>
      <c r="N378" s="800"/>
      <c r="O378" s="805"/>
      <c r="P378" s="805"/>
      <c r="Q378" s="800"/>
      <c r="R378" s="808"/>
    </row>
    <row r="379" spans="1:18">
      <c r="A379" s="800"/>
      <c r="B379" s="800"/>
      <c r="C379" s="808"/>
      <c r="D379" s="808"/>
      <c r="E379" s="805"/>
      <c r="F379" s="805"/>
      <c r="G379" s="805"/>
      <c r="H379" s="828"/>
      <c r="I379" s="805"/>
      <c r="J379" s="808"/>
      <c r="K379" s="800"/>
      <c r="L379" s="806"/>
      <c r="M379" s="805"/>
      <c r="N379" s="800"/>
      <c r="O379" s="805"/>
      <c r="P379" s="805"/>
      <c r="Q379" s="800"/>
      <c r="R379" s="808"/>
    </row>
    <row r="380" spans="1:18">
      <c r="A380" s="800"/>
      <c r="B380" s="800"/>
      <c r="C380" s="808"/>
      <c r="D380" s="808"/>
      <c r="E380" s="805"/>
      <c r="F380" s="805"/>
      <c r="G380" s="805"/>
      <c r="H380" s="828"/>
      <c r="I380" s="805"/>
      <c r="J380" s="808"/>
      <c r="K380" s="800"/>
      <c r="L380" s="806"/>
      <c r="M380" s="805"/>
      <c r="N380" s="800"/>
      <c r="O380" s="805"/>
      <c r="P380" s="805"/>
      <c r="Q380" s="800"/>
      <c r="R380" s="808"/>
    </row>
    <row r="381" spans="1:18">
      <c r="A381" s="800"/>
      <c r="B381" s="800"/>
      <c r="C381" s="808"/>
      <c r="D381" s="808"/>
      <c r="E381" s="805"/>
      <c r="F381" s="805"/>
      <c r="G381" s="805"/>
      <c r="H381" s="828"/>
      <c r="I381" s="805"/>
      <c r="J381" s="808"/>
      <c r="K381" s="800"/>
      <c r="L381" s="806"/>
      <c r="M381" s="805"/>
      <c r="N381" s="800"/>
      <c r="O381" s="805"/>
      <c r="P381" s="805"/>
      <c r="Q381" s="800"/>
      <c r="R381" s="808"/>
    </row>
    <row r="382" spans="1:18">
      <c r="A382" s="800"/>
      <c r="B382" s="800"/>
      <c r="C382" s="808"/>
      <c r="D382" s="808"/>
      <c r="E382" s="805"/>
      <c r="F382" s="805"/>
      <c r="G382" s="805"/>
      <c r="H382" s="828"/>
      <c r="I382" s="805"/>
      <c r="J382" s="808"/>
      <c r="K382" s="800"/>
      <c r="L382" s="806"/>
      <c r="M382" s="805"/>
      <c r="N382" s="800"/>
      <c r="O382" s="805"/>
      <c r="P382" s="805"/>
      <c r="Q382" s="800"/>
      <c r="R382" s="808"/>
    </row>
    <row r="383" spans="1:18">
      <c r="A383" s="800"/>
      <c r="B383" s="800"/>
      <c r="C383" s="808"/>
      <c r="D383" s="808"/>
      <c r="E383" s="805"/>
      <c r="F383" s="805"/>
      <c r="G383" s="805"/>
      <c r="H383" s="828"/>
      <c r="I383" s="805"/>
      <c r="J383" s="808"/>
      <c r="K383" s="800"/>
      <c r="L383" s="806"/>
      <c r="M383" s="805"/>
      <c r="N383" s="800"/>
      <c r="O383" s="805"/>
      <c r="P383" s="805"/>
      <c r="Q383" s="800"/>
      <c r="R383" s="808"/>
    </row>
    <row r="384" spans="1:18">
      <c r="A384" s="800"/>
      <c r="B384" s="800"/>
      <c r="C384" s="808"/>
      <c r="D384" s="808"/>
      <c r="E384" s="805"/>
      <c r="F384" s="805"/>
      <c r="G384" s="805"/>
      <c r="H384" s="828"/>
      <c r="I384" s="805"/>
      <c r="J384" s="808"/>
      <c r="K384" s="800"/>
      <c r="L384" s="806"/>
      <c r="M384" s="805"/>
      <c r="N384" s="800"/>
      <c r="O384" s="805"/>
      <c r="P384" s="805"/>
      <c r="Q384" s="800"/>
      <c r="R384" s="808"/>
    </row>
    <row r="385" spans="1:18">
      <c r="A385" s="800"/>
      <c r="B385" s="800"/>
      <c r="C385" s="808"/>
      <c r="D385" s="808"/>
      <c r="E385" s="805"/>
      <c r="F385" s="805"/>
      <c r="G385" s="805"/>
      <c r="H385" s="828"/>
      <c r="I385" s="805"/>
      <c r="J385" s="808"/>
      <c r="K385" s="800"/>
      <c r="L385" s="806"/>
      <c r="M385" s="805"/>
      <c r="N385" s="800"/>
      <c r="O385" s="805"/>
      <c r="P385" s="805"/>
      <c r="Q385" s="800"/>
      <c r="R385" s="808"/>
    </row>
    <row r="386" spans="1:18">
      <c r="A386" s="800"/>
      <c r="B386" s="800"/>
      <c r="C386" s="808"/>
      <c r="D386" s="808"/>
      <c r="E386" s="805"/>
      <c r="F386" s="805"/>
      <c r="G386" s="805"/>
      <c r="H386" s="828"/>
      <c r="I386" s="805"/>
      <c r="J386" s="808"/>
      <c r="K386" s="800"/>
      <c r="L386" s="806"/>
      <c r="M386" s="805"/>
      <c r="N386" s="800"/>
      <c r="O386" s="805"/>
      <c r="P386" s="805"/>
      <c r="Q386" s="800"/>
      <c r="R386" s="808"/>
    </row>
    <row r="387" spans="1:18">
      <c r="A387" s="800"/>
      <c r="B387" s="800"/>
      <c r="C387" s="808"/>
      <c r="D387" s="808"/>
      <c r="E387" s="805"/>
      <c r="F387" s="805"/>
      <c r="G387" s="805"/>
      <c r="H387" s="828"/>
      <c r="I387" s="805"/>
      <c r="J387" s="808"/>
      <c r="K387" s="800"/>
      <c r="L387" s="806"/>
      <c r="M387" s="805"/>
      <c r="N387" s="800"/>
      <c r="O387" s="805"/>
      <c r="P387" s="805"/>
      <c r="Q387" s="800"/>
      <c r="R387" s="808"/>
    </row>
    <row r="388" spans="1:18">
      <c r="A388" s="800"/>
      <c r="B388" s="800"/>
      <c r="C388" s="808"/>
      <c r="D388" s="808"/>
      <c r="E388" s="805"/>
      <c r="F388" s="805"/>
      <c r="G388" s="805"/>
      <c r="H388" s="828"/>
      <c r="I388" s="805"/>
      <c r="J388" s="808"/>
      <c r="K388" s="800"/>
      <c r="L388" s="806"/>
      <c r="M388" s="805"/>
      <c r="N388" s="800"/>
      <c r="O388" s="805"/>
      <c r="P388" s="805"/>
      <c r="Q388" s="800"/>
      <c r="R388" s="808"/>
    </row>
    <row r="389" spans="1:18">
      <c r="A389" s="800"/>
      <c r="B389" s="800"/>
      <c r="C389" s="808"/>
      <c r="D389" s="808"/>
      <c r="E389" s="805"/>
      <c r="F389" s="805"/>
      <c r="G389" s="805"/>
      <c r="H389" s="828"/>
      <c r="I389" s="805"/>
      <c r="J389" s="808"/>
      <c r="K389" s="800"/>
      <c r="L389" s="806"/>
      <c r="M389" s="805"/>
      <c r="N389" s="800"/>
      <c r="O389" s="805"/>
      <c r="P389" s="805"/>
      <c r="Q389" s="800"/>
      <c r="R389" s="808"/>
    </row>
    <row r="390" spans="1:18">
      <c r="A390" s="800"/>
      <c r="B390" s="800"/>
      <c r="C390" s="808"/>
      <c r="D390" s="808"/>
      <c r="E390" s="805"/>
      <c r="F390" s="805"/>
      <c r="G390" s="805"/>
      <c r="H390" s="828"/>
      <c r="I390" s="805"/>
      <c r="J390" s="808"/>
      <c r="K390" s="800"/>
      <c r="L390" s="806"/>
      <c r="M390" s="805"/>
      <c r="N390" s="800"/>
      <c r="O390" s="805"/>
      <c r="P390" s="805"/>
      <c r="Q390" s="800"/>
      <c r="R390" s="808"/>
    </row>
    <row r="391" spans="1:18">
      <c r="A391" s="800"/>
      <c r="B391" s="800"/>
      <c r="C391" s="808"/>
      <c r="D391" s="808"/>
      <c r="E391" s="805"/>
      <c r="F391" s="805"/>
      <c r="G391" s="805"/>
      <c r="H391" s="828"/>
      <c r="I391" s="805"/>
      <c r="J391" s="808"/>
      <c r="K391" s="800"/>
      <c r="L391" s="806"/>
      <c r="M391" s="805"/>
      <c r="N391" s="800"/>
      <c r="O391" s="805"/>
      <c r="P391" s="805"/>
      <c r="Q391" s="800"/>
      <c r="R391" s="808"/>
    </row>
    <row r="392" spans="1:18">
      <c r="A392" s="800"/>
      <c r="B392" s="800"/>
      <c r="C392" s="808"/>
      <c r="D392" s="808"/>
      <c r="E392" s="805"/>
      <c r="F392" s="805"/>
      <c r="G392" s="805"/>
      <c r="H392" s="828"/>
      <c r="I392" s="805"/>
      <c r="J392" s="808"/>
      <c r="K392" s="800"/>
      <c r="L392" s="806"/>
      <c r="M392" s="805"/>
      <c r="N392" s="800"/>
      <c r="O392" s="805"/>
      <c r="P392" s="805"/>
      <c r="Q392" s="800"/>
      <c r="R392" s="808"/>
    </row>
    <row r="393" spans="1:18">
      <c r="A393" s="800"/>
      <c r="B393" s="800"/>
      <c r="C393" s="808"/>
      <c r="D393" s="808"/>
      <c r="E393" s="805"/>
      <c r="F393" s="805"/>
      <c r="G393" s="805"/>
      <c r="H393" s="828"/>
      <c r="I393" s="805"/>
      <c r="J393" s="808"/>
      <c r="K393" s="800"/>
      <c r="L393" s="806"/>
      <c r="M393" s="805"/>
      <c r="N393" s="800"/>
      <c r="O393" s="805"/>
      <c r="P393" s="805"/>
      <c r="Q393" s="800"/>
      <c r="R393" s="808"/>
    </row>
    <row r="394" spans="1:18">
      <c r="A394" s="800"/>
      <c r="B394" s="800"/>
      <c r="C394" s="808"/>
      <c r="D394" s="808"/>
      <c r="E394" s="805"/>
      <c r="F394" s="805"/>
      <c r="G394" s="805"/>
      <c r="H394" s="828"/>
      <c r="I394" s="805"/>
      <c r="J394" s="808"/>
      <c r="K394" s="800"/>
      <c r="L394" s="806"/>
      <c r="M394" s="805"/>
      <c r="N394" s="800"/>
      <c r="O394" s="805"/>
      <c r="P394" s="805"/>
      <c r="Q394" s="800"/>
      <c r="R394" s="808"/>
    </row>
    <row r="395" spans="1:18">
      <c r="A395" s="800"/>
      <c r="B395" s="800"/>
      <c r="C395" s="808"/>
      <c r="D395" s="808"/>
      <c r="E395" s="805"/>
      <c r="F395" s="805"/>
      <c r="G395" s="805"/>
      <c r="H395" s="828"/>
      <c r="I395" s="805"/>
      <c r="J395" s="808"/>
      <c r="K395" s="800"/>
      <c r="L395" s="806"/>
      <c r="M395" s="805"/>
      <c r="N395" s="800"/>
      <c r="O395" s="805"/>
      <c r="P395" s="805"/>
      <c r="Q395" s="800"/>
      <c r="R395" s="808"/>
    </row>
    <row r="396" spans="1:18">
      <c r="A396" s="800"/>
      <c r="B396" s="800"/>
      <c r="C396" s="808"/>
      <c r="D396" s="808"/>
      <c r="E396" s="805"/>
      <c r="F396" s="805"/>
      <c r="G396" s="805"/>
      <c r="H396" s="828"/>
      <c r="I396" s="805"/>
      <c r="J396" s="808"/>
      <c r="K396" s="800"/>
      <c r="L396" s="806"/>
      <c r="M396" s="805"/>
      <c r="N396" s="800"/>
      <c r="O396" s="805"/>
      <c r="P396" s="805"/>
      <c r="Q396" s="800"/>
      <c r="R396" s="808"/>
    </row>
    <row r="397" spans="1:18">
      <c r="A397" s="800"/>
      <c r="B397" s="800"/>
      <c r="C397" s="808"/>
      <c r="D397" s="808"/>
      <c r="E397" s="805"/>
      <c r="F397" s="805"/>
      <c r="G397" s="805"/>
      <c r="H397" s="828"/>
      <c r="I397" s="805"/>
      <c r="J397" s="808"/>
      <c r="K397" s="800"/>
      <c r="L397" s="806"/>
      <c r="M397" s="805"/>
      <c r="N397" s="800"/>
      <c r="O397" s="805"/>
      <c r="P397" s="805"/>
      <c r="Q397" s="800"/>
      <c r="R397" s="808"/>
    </row>
    <row r="398" spans="1:18">
      <c r="A398" s="800"/>
      <c r="B398" s="800"/>
      <c r="C398" s="808"/>
      <c r="D398" s="808"/>
      <c r="E398" s="805"/>
      <c r="F398" s="805"/>
      <c r="G398" s="805"/>
      <c r="H398" s="828"/>
      <c r="I398" s="805"/>
      <c r="J398" s="808"/>
      <c r="K398" s="800"/>
      <c r="L398" s="806"/>
      <c r="M398" s="805"/>
      <c r="N398" s="800"/>
      <c r="O398" s="805"/>
      <c r="P398" s="805"/>
      <c r="Q398" s="800"/>
      <c r="R398" s="808"/>
    </row>
    <row r="399" spans="1:18">
      <c r="A399" s="800"/>
      <c r="B399" s="800"/>
      <c r="C399" s="808"/>
      <c r="D399" s="808"/>
      <c r="E399" s="805"/>
      <c r="F399" s="805"/>
      <c r="G399" s="805"/>
      <c r="H399" s="828"/>
      <c r="I399" s="805"/>
      <c r="J399" s="808"/>
      <c r="K399" s="800"/>
      <c r="L399" s="806"/>
      <c r="M399" s="805"/>
      <c r="N399" s="800"/>
      <c r="O399" s="805"/>
      <c r="P399" s="805"/>
      <c r="Q399" s="800"/>
      <c r="R399" s="808"/>
    </row>
    <row r="400" spans="1:18">
      <c r="A400" s="800"/>
      <c r="B400" s="800"/>
      <c r="C400" s="808"/>
      <c r="D400" s="808"/>
      <c r="E400" s="805"/>
      <c r="F400" s="805"/>
      <c r="G400" s="805"/>
      <c r="H400" s="828"/>
      <c r="I400" s="805"/>
      <c r="J400" s="808"/>
      <c r="K400" s="800"/>
      <c r="L400" s="806"/>
      <c r="M400" s="805"/>
      <c r="N400" s="800"/>
      <c r="O400" s="805"/>
      <c r="P400" s="805"/>
      <c r="Q400" s="800"/>
      <c r="R400" s="808"/>
    </row>
    <row r="401" spans="1:18">
      <c r="A401" s="800"/>
      <c r="B401" s="800"/>
      <c r="C401" s="808"/>
      <c r="D401" s="808"/>
      <c r="E401" s="805"/>
      <c r="F401" s="805"/>
      <c r="G401" s="805"/>
      <c r="H401" s="828"/>
      <c r="I401" s="805"/>
      <c r="J401" s="808"/>
      <c r="K401" s="800"/>
      <c r="L401" s="806"/>
      <c r="M401" s="805"/>
      <c r="N401" s="800"/>
      <c r="O401" s="805"/>
      <c r="P401" s="805"/>
      <c r="Q401" s="800"/>
      <c r="R401" s="808"/>
    </row>
    <row r="402" spans="1:18">
      <c r="A402" s="800"/>
      <c r="B402" s="800"/>
      <c r="C402" s="808"/>
      <c r="D402" s="808"/>
      <c r="E402" s="805"/>
      <c r="F402" s="805"/>
      <c r="G402" s="805"/>
      <c r="H402" s="828"/>
      <c r="I402" s="805"/>
      <c r="J402" s="808"/>
      <c r="K402" s="800"/>
      <c r="L402" s="806"/>
      <c r="M402" s="805"/>
      <c r="N402" s="800"/>
      <c r="O402" s="805"/>
      <c r="P402" s="805"/>
      <c r="Q402" s="800"/>
      <c r="R402" s="808"/>
    </row>
    <row r="403" spans="1:18">
      <c r="A403" s="800"/>
      <c r="B403" s="800"/>
      <c r="C403" s="808"/>
      <c r="D403" s="808"/>
      <c r="E403" s="805"/>
      <c r="F403" s="805"/>
      <c r="G403" s="805"/>
      <c r="H403" s="828"/>
      <c r="I403" s="805"/>
      <c r="J403" s="808"/>
      <c r="K403" s="800"/>
      <c r="L403" s="806"/>
      <c r="M403" s="805"/>
      <c r="N403" s="800"/>
      <c r="O403" s="805"/>
      <c r="P403" s="805"/>
      <c r="Q403" s="800"/>
      <c r="R403" s="808"/>
    </row>
    <row r="404" spans="1:18">
      <c r="A404" s="800"/>
      <c r="B404" s="800"/>
      <c r="C404" s="808"/>
      <c r="D404" s="808"/>
      <c r="E404" s="805"/>
      <c r="F404" s="805"/>
      <c r="G404" s="805"/>
      <c r="H404" s="828"/>
      <c r="I404" s="805"/>
      <c r="J404" s="808"/>
      <c r="K404" s="800"/>
      <c r="L404" s="806"/>
      <c r="M404" s="805"/>
      <c r="N404" s="800"/>
      <c r="O404" s="805"/>
      <c r="P404" s="805"/>
      <c r="Q404" s="800"/>
      <c r="R404" s="808"/>
    </row>
    <row r="405" spans="1:18">
      <c r="A405" s="800"/>
      <c r="B405" s="800"/>
      <c r="C405" s="808"/>
      <c r="D405" s="808"/>
      <c r="E405" s="805"/>
      <c r="F405" s="805"/>
      <c r="G405" s="805"/>
      <c r="H405" s="828"/>
      <c r="I405" s="805"/>
      <c r="J405" s="808"/>
      <c r="K405" s="800"/>
      <c r="L405" s="806"/>
      <c r="M405" s="805"/>
      <c r="N405" s="800"/>
      <c r="O405" s="805"/>
      <c r="P405" s="805"/>
      <c r="Q405" s="800"/>
      <c r="R405" s="808"/>
    </row>
    <row r="406" spans="1:18">
      <c r="A406" s="800"/>
      <c r="B406" s="800"/>
      <c r="C406" s="808"/>
      <c r="D406" s="808"/>
      <c r="E406" s="805"/>
      <c r="F406" s="805"/>
      <c r="G406" s="805"/>
      <c r="H406" s="828"/>
      <c r="I406" s="805"/>
      <c r="J406" s="808"/>
      <c r="K406" s="800"/>
      <c r="L406" s="806"/>
      <c r="M406" s="805"/>
      <c r="N406" s="800"/>
      <c r="O406" s="805"/>
      <c r="P406" s="805"/>
      <c r="Q406" s="800"/>
      <c r="R406" s="808"/>
    </row>
    <row r="407" spans="1:18">
      <c r="A407" s="800"/>
      <c r="B407" s="800"/>
      <c r="C407" s="808"/>
      <c r="D407" s="808"/>
      <c r="E407" s="805"/>
      <c r="F407" s="805"/>
      <c r="G407" s="805"/>
      <c r="H407" s="828"/>
      <c r="I407" s="805"/>
      <c r="J407" s="808"/>
      <c r="K407" s="800"/>
      <c r="L407" s="806"/>
      <c r="M407" s="805"/>
      <c r="N407" s="800"/>
      <c r="O407" s="805"/>
      <c r="P407" s="805"/>
      <c r="Q407" s="800"/>
      <c r="R407" s="808"/>
    </row>
    <row r="408" spans="1:18">
      <c r="A408" s="800"/>
      <c r="B408" s="800"/>
      <c r="C408" s="808"/>
      <c r="D408" s="808"/>
      <c r="E408" s="805"/>
      <c r="F408" s="805"/>
      <c r="G408" s="805"/>
      <c r="H408" s="828"/>
      <c r="I408" s="805"/>
      <c r="J408" s="808"/>
      <c r="K408" s="800"/>
      <c r="L408" s="806"/>
      <c r="M408" s="805"/>
      <c r="N408" s="800"/>
      <c r="O408" s="805"/>
      <c r="P408" s="805"/>
      <c r="Q408" s="800"/>
      <c r="R408" s="808"/>
    </row>
    <row r="409" spans="1:18">
      <c r="A409" s="800"/>
      <c r="B409" s="800"/>
      <c r="C409" s="808"/>
      <c r="D409" s="808"/>
      <c r="E409" s="805"/>
      <c r="F409" s="805"/>
      <c r="G409" s="805"/>
      <c r="H409" s="828"/>
      <c r="I409" s="805"/>
      <c r="J409" s="808"/>
      <c r="K409" s="800"/>
      <c r="L409" s="806"/>
      <c r="M409" s="805"/>
      <c r="N409" s="800"/>
      <c r="O409" s="805"/>
      <c r="P409" s="805"/>
      <c r="Q409" s="800"/>
      <c r="R409" s="808"/>
    </row>
    <row r="410" spans="1:18">
      <c r="A410" s="800"/>
      <c r="B410" s="800"/>
      <c r="C410" s="808"/>
      <c r="D410" s="808"/>
      <c r="E410" s="805"/>
      <c r="F410" s="805"/>
      <c r="G410" s="805"/>
      <c r="H410" s="828"/>
      <c r="I410" s="805"/>
      <c r="J410" s="808"/>
      <c r="K410" s="800"/>
      <c r="L410" s="806"/>
      <c r="M410" s="805"/>
      <c r="N410" s="800"/>
      <c r="O410" s="805"/>
      <c r="P410" s="805"/>
      <c r="Q410" s="800"/>
      <c r="R410" s="808"/>
    </row>
    <row r="411" spans="1:18">
      <c r="A411" s="800"/>
      <c r="B411" s="800"/>
      <c r="C411" s="808"/>
      <c r="D411" s="808"/>
      <c r="E411" s="805"/>
      <c r="F411" s="805"/>
      <c r="G411" s="805"/>
      <c r="H411" s="828"/>
      <c r="I411" s="805"/>
      <c r="J411" s="808"/>
      <c r="K411" s="800"/>
      <c r="L411" s="806"/>
      <c r="M411" s="805"/>
      <c r="N411" s="800"/>
      <c r="O411" s="805"/>
      <c r="P411" s="805"/>
      <c r="Q411" s="800"/>
      <c r="R411" s="808"/>
    </row>
    <row r="412" spans="1:18">
      <c r="A412" s="800"/>
      <c r="B412" s="800"/>
      <c r="C412" s="808"/>
      <c r="D412" s="808"/>
      <c r="E412" s="805"/>
      <c r="F412" s="805"/>
      <c r="G412" s="805"/>
      <c r="H412" s="828"/>
      <c r="I412" s="805"/>
      <c r="J412" s="808"/>
      <c r="K412" s="800"/>
      <c r="L412" s="806"/>
      <c r="M412" s="805"/>
      <c r="N412" s="800"/>
      <c r="O412" s="805"/>
      <c r="P412" s="805"/>
      <c r="Q412" s="800"/>
      <c r="R412" s="808"/>
    </row>
    <row r="413" spans="1:18">
      <c r="A413" s="800"/>
      <c r="B413" s="800"/>
      <c r="C413" s="808"/>
      <c r="D413" s="808"/>
      <c r="E413" s="805"/>
      <c r="F413" s="805"/>
      <c r="G413" s="805"/>
      <c r="H413" s="828"/>
      <c r="I413" s="805"/>
      <c r="J413" s="808"/>
      <c r="K413" s="800"/>
      <c r="L413" s="806"/>
      <c r="M413" s="805"/>
      <c r="N413" s="800"/>
      <c r="O413" s="805"/>
      <c r="P413" s="805"/>
      <c r="Q413" s="800"/>
      <c r="R413" s="808"/>
    </row>
    <row r="414" spans="1:18">
      <c r="A414" s="800"/>
      <c r="B414" s="800"/>
      <c r="C414" s="808"/>
      <c r="D414" s="808"/>
      <c r="E414" s="805"/>
      <c r="F414" s="805"/>
      <c r="G414" s="805"/>
      <c r="H414" s="828"/>
      <c r="I414" s="805"/>
      <c r="J414" s="808"/>
      <c r="K414" s="800"/>
      <c r="L414" s="806"/>
      <c r="M414" s="805"/>
      <c r="N414" s="800"/>
      <c r="O414" s="805"/>
      <c r="P414" s="805"/>
      <c r="Q414" s="800"/>
      <c r="R414" s="808"/>
    </row>
    <row r="415" spans="1:18">
      <c r="A415" s="800"/>
      <c r="B415" s="800"/>
      <c r="C415" s="808"/>
      <c r="D415" s="808"/>
      <c r="E415" s="805"/>
      <c r="F415" s="805"/>
      <c r="G415" s="805"/>
      <c r="H415" s="828"/>
      <c r="I415" s="805"/>
      <c r="J415" s="808"/>
      <c r="K415" s="800"/>
      <c r="L415" s="806"/>
      <c r="M415" s="805"/>
      <c r="N415" s="800"/>
      <c r="O415" s="805"/>
      <c r="P415" s="805"/>
      <c r="Q415" s="800"/>
      <c r="R415" s="808"/>
    </row>
    <row r="416" spans="1:18">
      <c r="A416" s="800"/>
      <c r="B416" s="800"/>
      <c r="C416" s="808"/>
      <c r="D416" s="808"/>
      <c r="E416" s="805"/>
      <c r="F416" s="805"/>
      <c r="G416" s="805"/>
      <c r="H416" s="828"/>
      <c r="I416" s="805"/>
      <c r="J416" s="808"/>
      <c r="K416" s="800"/>
      <c r="L416" s="806"/>
      <c r="M416" s="805"/>
      <c r="N416" s="800"/>
      <c r="O416" s="805"/>
      <c r="P416" s="805"/>
      <c r="Q416" s="800"/>
      <c r="R416" s="808"/>
    </row>
    <row r="417" spans="1:18">
      <c r="A417" s="800"/>
      <c r="B417" s="800"/>
      <c r="C417" s="808"/>
      <c r="D417" s="808"/>
      <c r="E417" s="805"/>
      <c r="F417" s="805"/>
      <c r="G417" s="805"/>
      <c r="H417" s="828"/>
      <c r="I417" s="805"/>
      <c r="J417" s="808"/>
      <c r="K417" s="800"/>
      <c r="L417" s="806"/>
      <c r="M417" s="805"/>
      <c r="N417" s="800"/>
      <c r="O417" s="805"/>
      <c r="P417" s="805"/>
      <c r="Q417" s="800"/>
      <c r="R417" s="808"/>
    </row>
    <row r="418" spans="1:18">
      <c r="A418" s="800"/>
      <c r="B418" s="800"/>
      <c r="C418" s="808"/>
      <c r="D418" s="808"/>
      <c r="E418" s="805"/>
      <c r="F418" s="805"/>
      <c r="G418" s="805"/>
      <c r="H418" s="828"/>
      <c r="I418" s="805"/>
      <c r="J418" s="808"/>
      <c r="K418" s="800"/>
      <c r="L418" s="806"/>
      <c r="M418" s="805"/>
      <c r="N418" s="800"/>
      <c r="O418" s="805"/>
      <c r="P418" s="805"/>
      <c r="Q418" s="800"/>
      <c r="R418" s="808"/>
    </row>
    <row r="419" spans="1:18">
      <c r="A419" s="800"/>
      <c r="B419" s="800"/>
      <c r="C419" s="808"/>
      <c r="D419" s="808"/>
      <c r="E419" s="805"/>
      <c r="F419" s="805"/>
      <c r="G419" s="805"/>
      <c r="H419" s="828"/>
      <c r="I419" s="805"/>
      <c r="J419" s="808"/>
      <c r="K419" s="800"/>
      <c r="L419" s="806"/>
      <c r="M419" s="805"/>
      <c r="N419" s="800"/>
      <c r="O419" s="805"/>
      <c r="P419" s="805"/>
      <c r="Q419" s="800"/>
      <c r="R419" s="808"/>
    </row>
    <row r="420" spans="1:18">
      <c r="A420" s="800"/>
      <c r="B420" s="800"/>
      <c r="C420" s="808"/>
      <c r="D420" s="808"/>
      <c r="E420" s="805"/>
      <c r="F420" s="805"/>
      <c r="G420" s="805"/>
      <c r="H420" s="828"/>
      <c r="I420" s="805"/>
      <c r="J420" s="808"/>
      <c r="K420" s="800"/>
      <c r="L420" s="806"/>
      <c r="M420" s="805"/>
      <c r="N420" s="800"/>
      <c r="O420" s="805"/>
      <c r="P420" s="805"/>
      <c r="Q420" s="800"/>
      <c r="R420" s="808"/>
    </row>
    <row r="421" spans="1:18">
      <c r="A421" s="800"/>
      <c r="B421" s="800"/>
      <c r="C421" s="808"/>
      <c r="D421" s="808"/>
      <c r="E421" s="805"/>
      <c r="F421" s="805"/>
      <c r="G421" s="805"/>
      <c r="H421" s="828"/>
      <c r="I421" s="805"/>
      <c r="J421" s="808"/>
      <c r="K421" s="800"/>
      <c r="L421" s="806"/>
      <c r="M421" s="805"/>
      <c r="N421" s="800"/>
      <c r="O421" s="805"/>
      <c r="P421" s="805"/>
      <c r="Q421" s="800"/>
      <c r="R421" s="808"/>
    </row>
    <row r="422" spans="1:18">
      <c r="A422" s="800"/>
      <c r="B422" s="800"/>
      <c r="C422" s="808"/>
      <c r="D422" s="808"/>
      <c r="E422" s="805"/>
      <c r="F422" s="805"/>
      <c r="G422" s="805"/>
      <c r="H422" s="828"/>
      <c r="I422" s="805"/>
      <c r="J422" s="808"/>
      <c r="K422" s="800"/>
      <c r="L422" s="806"/>
      <c r="M422" s="805"/>
      <c r="N422" s="800"/>
      <c r="O422" s="805"/>
      <c r="P422" s="805"/>
      <c r="Q422" s="800"/>
      <c r="R422" s="808"/>
    </row>
    <row r="423" spans="1:18">
      <c r="A423" s="800"/>
      <c r="B423" s="800"/>
      <c r="C423" s="808"/>
      <c r="D423" s="808"/>
      <c r="E423" s="805"/>
      <c r="F423" s="805"/>
      <c r="G423" s="805"/>
      <c r="H423" s="828"/>
      <c r="I423" s="805"/>
      <c r="J423" s="808"/>
      <c r="K423" s="800"/>
      <c r="L423" s="806"/>
      <c r="M423" s="805"/>
      <c r="N423" s="800"/>
      <c r="O423" s="805"/>
      <c r="P423" s="805"/>
      <c r="Q423" s="800"/>
      <c r="R423" s="808"/>
    </row>
    <row r="424" spans="1:18">
      <c r="A424" s="800"/>
      <c r="B424" s="800"/>
      <c r="C424" s="808"/>
      <c r="D424" s="808"/>
      <c r="E424" s="805"/>
      <c r="F424" s="805"/>
      <c r="G424" s="805"/>
      <c r="H424" s="828"/>
      <c r="I424" s="805"/>
      <c r="J424" s="808"/>
      <c r="K424" s="800"/>
      <c r="L424" s="806"/>
      <c r="M424" s="805"/>
      <c r="N424" s="800"/>
      <c r="O424" s="805"/>
      <c r="P424" s="805"/>
      <c r="Q424" s="800"/>
      <c r="R424" s="808"/>
    </row>
    <row r="425" spans="1:18">
      <c r="A425" s="800"/>
      <c r="B425" s="800"/>
      <c r="C425" s="808"/>
      <c r="D425" s="808"/>
      <c r="E425" s="805"/>
      <c r="F425" s="805"/>
      <c r="G425" s="805"/>
      <c r="H425" s="828"/>
      <c r="I425" s="805"/>
      <c r="J425" s="808"/>
      <c r="K425" s="800"/>
      <c r="L425" s="806"/>
      <c r="M425" s="805"/>
      <c r="N425" s="800"/>
      <c r="O425" s="805"/>
      <c r="P425" s="805"/>
      <c r="Q425" s="800"/>
      <c r="R425" s="808"/>
    </row>
    <row r="426" spans="1:18">
      <c r="A426" s="800"/>
      <c r="B426" s="800"/>
      <c r="C426" s="808"/>
      <c r="D426" s="808"/>
      <c r="E426" s="805"/>
      <c r="F426" s="805"/>
      <c r="G426" s="805"/>
      <c r="H426" s="828"/>
      <c r="I426" s="805"/>
      <c r="J426" s="808"/>
      <c r="K426" s="800"/>
      <c r="L426" s="806"/>
      <c r="M426" s="805"/>
      <c r="N426" s="800"/>
      <c r="O426" s="805"/>
      <c r="P426" s="805"/>
      <c r="Q426" s="800"/>
      <c r="R426" s="808"/>
    </row>
    <row r="427" spans="1:18">
      <c r="A427" s="800"/>
      <c r="B427" s="800"/>
      <c r="C427" s="808"/>
      <c r="D427" s="808"/>
      <c r="E427" s="805"/>
      <c r="F427" s="805"/>
      <c r="G427" s="805"/>
      <c r="H427" s="828"/>
      <c r="I427" s="805"/>
      <c r="J427" s="808"/>
      <c r="K427" s="800"/>
      <c r="L427" s="806"/>
      <c r="M427" s="805"/>
      <c r="N427" s="800"/>
      <c r="O427" s="805"/>
      <c r="P427" s="805"/>
      <c r="Q427" s="800"/>
      <c r="R427" s="808"/>
    </row>
    <row r="428" spans="1:18">
      <c r="A428" s="800"/>
      <c r="B428" s="800"/>
      <c r="C428" s="808"/>
      <c r="D428" s="808"/>
      <c r="E428" s="805"/>
      <c r="F428" s="805"/>
      <c r="G428" s="805"/>
      <c r="H428" s="828"/>
      <c r="I428" s="805"/>
      <c r="J428" s="808"/>
      <c r="K428" s="800"/>
      <c r="L428" s="806"/>
      <c r="M428" s="805"/>
      <c r="N428" s="800"/>
      <c r="O428" s="805"/>
      <c r="P428" s="805"/>
      <c r="Q428" s="800"/>
      <c r="R428" s="808"/>
    </row>
    <row r="429" spans="1:18">
      <c r="A429" s="800"/>
      <c r="B429" s="800"/>
      <c r="C429" s="808"/>
      <c r="D429" s="808"/>
      <c r="E429" s="805"/>
      <c r="F429" s="805"/>
      <c r="G429" s="805"/>
      <c r="H429" s="828"/>
      <c r="I429" s="805"/>
      <c r="J429" s="808"/>
      <c r="K429" s="800"/>
      <c r="L429" s="806"/>
      <c r="M429" s="805"/>
      <c r="N429" s="800"/>
      <c r="O429" s="805"/>
      <c r="P429" s="805"/>
      <c r="Q429" s="800"/>
      <c r="R429" s="808"/>
    </row>
    <row r="430" spans="1:18">
      <c r="A430" s="800"/>
      <c r="B430" s="800"/>
      <c r="C430" s="808"/>
      <c r="D430" s="808"/>
      <c r="E430" s="805"/>
      <c r="F430" s="805"/>
      <c r="G430" s="805"/>
      <c r="H430" s="828"/>
      <c r="I430" s="805"/>
      <c r="J430" s="808"/>
      <c r="K430" s="800"/>
      <c r="L430" s="806"/>
      <c r="M430" s="805"/>
      <c r="N430" s="800"/>
      <c r="O430" s="805"/>
      <c r="P430" s="805"/>
      <c r="Q430" s="800"/>
      <c r="R430" s="808"/>
    </row>
    <row r="431" spans="1:18">
      <c r="A431" s="800"/>
      <c r="B431" s="800"/>
      <c r="C431" s="808"/>
      <c r="D431" s="808"/>
      <c r="E431" s="805"/>
      <c r="F431" s="805"/>
      <c r="G431" s="805"/>
      <c r="H431" s="828"/>
      <c r="I431" s="805"/>
      <c r="J431" s="808"/>
      <c r="K431" s="800"/>
      <c r="L431" s="806"/>
      <c r="M431" s="805"/>
      <c r="N431" s="800"/>
      <c r="O431" s="805"/>
      <c r="P431" s="805"/>
      <c r="Q431" s="800"/>
      <c r="R431" s="808"/>
    </row>
    <row r="432" spans="1:18">
      <c r="A432" s="800"/>
      <c r="B432" s="800"/>
      <c r="C432" s="808"/>
      <c r="D432" s="808"/>
      <c r="E432" s="805"/>
      <c r="F432" s="805"/>
      <c r="G432" s="805"/>
      <c r="H432" s="828"/>
      <c r="I432" s="805"/>
      <c r="J432" s="808"/>
      <c r="K432" s="800"/>
      <c r="L432" s="806"/>
      <c r="M432" s="805"/>
      <c r="N432" s="800"/>
      <c r="O432" s="805"/>
      <c r="P432" s="805"/>
      <c r="Q432" s="800"/>
      <c r="R432" s="808"/>
    </row>
    <row r="433" spans="1:18">
      <c r="A433" s="800"/>
      <c r="B433" s="800"/>
      <c r="C433" s="808"/>
      <c r="D433" s="808"/>
      <c r="E433" s="805"/>
      <c r="F433" s="805"/>
      <c r="G433" s="805"/>
      <c r="H433" s="828"/>
      <c r="I433" s="805"/>
      <c r="J433" s="808"/>
      <c r="K433" s="800"/>
      <c r="L433" s="806"/>
      <c r="M433" s="805"/>
      <c r="N433" s="800"/>
      <c r="O433" s="805"/>
      <c r="P433" s="805"/>
      <c r="Q433" s="800"/>
      <c r="R433" s="808"/>
    </row>
    <row r="434" spans="1:18">
      <c r="A434" s="800"/>
      <c r="B434" s="800"/>
      <c r="C434" s="808"/>
      <c r="D434" s="808"/>
      <c r="E434" s="805"/>
      <c r="F434" s="805"/>
      <c r="G434" s="805"/>
      <c r="H434" s="828"/>
      <c r="I434" s="805"/>
      <c r="J434" s="808"/>
      <c r="K434" s="800"/>
      <c r="L434" s="806"/>
      <c r="M434" s="805"/>
      <c r="N434" s="800"/>
      <c r="O434" s="805"/>
      <c r="P434" s="805"/>
      <c r="Q434" s="800"/>
      <c r="R434" s="808"/>
    </row>
    <row r="435" spans="1:18">
      <c r="A435" s="800"/>
      <c r="B435" s="800"/>
      <c r="C435" s="808"/>
      <c r="D435" s="808"/>
      <c r="E435" s="805"/>
      <c r="F435" s="805"/>
      <c r="G435" s="805"/>
      <c r="H435" s="828"/>
      <c r="I435" s="805"/>
      <c r="J435" s="808"/>
      <c r="K435" s="800"/>
      <c r="L435" s="806"/>
      <c r="M435" s="805"/>
      <c r="N435" s="800"/>
      <c r="O435" s="805"/>
      <c r="P435" s="805"/>
      <c r="Q435" s="800"/>
      <c r="R435" s="808"/>
    </row>
    <row r="436" spans="1:18">
      <c r="A436" s="800"/>
      <c r="B436" s="800"/>
      <c r="C436" s="808"/>
      <c r="D436" s="808"/>
      <c r="E436" s="805"/>
      <c r="F436" s="805"/>
      <c r="G436" s="805"/>
      <c r="H436" s="828"/>
      <c r="I436" s="805"/>
      <c r="J436" s="808"/>
      <c r="K436" s="800"/>
      <c r="L436" s="806"/>
      <c r="M436" s="805"/>
      <c r="N436" s="800"/>
      <c r="O436" s="805"/>
      <c r="P436" s="805"/>
      <c r="Q436" s="800"/>
      <c r="R436" s="808"/>
    </row>
    <row r="437" spans="1:18">
      <c r="A437" s="800"/>
      <c r="B437" s="800"/>
      <c r="C437" s="808"/>
      <c r="D437" s="808"/>
      <c r="E437" s="805"/>
      <c r="F437" s="805"/>
      <c r="G437" s="805"/>
      <c r="H437" s="828"/>
      <c r="I437" s="805"/>
      <c r="J437" s="808"/>
      <c r="K437" s="800"/>
      <c r="L437" s="806"/>
      <c r="M437" s="805"/>
      <c r="N437" s="800"/>
      <c r="O437" s="805"/>
      <c r="P437" s="805"/>
      <c r="Q437" s="800"/>
      <c r="R437" s="808"/>
    </row>
    <row r="438" spans="1:18">
      <c r="A438" s="800"/>
      <c r="B438" s="800"/>
      <c r="C438" s="808"/>
      <c r="D438" s="808"/>
      <c r="E438" s="805"/>
      <c r="F438" s="805"/>
      <c r="G438" s="805"/>
      <c r="H438" s="828"/>
      <c r="I438" s="805"/>
      <c r="J438" s="808"/>
      <c r="K438" s="800"/>
      <c r="L438" s="806"/>
      <c r="M438" s="805"/>
      <c r="N438" s="800"/>
      <c r="O438" s="805"/>
      <c r="P438" s="805"/>
      <c r="Q438" s="800"/>
      <c r="R438" s="808"/>
    </row>
    <row r="439" spans="1:18">
      <c r="A439" s="800"/>
      <c r="B439" s="800"/>
      <c r="C439" s="808"/>
      <c r="D439" s="808"/>
      <c r="E439" s="805"/>
      <c r="F439" s="805"/>
      <c r="G439" s="805"/>
      <c r="H439" s="828"/>
      <c r="I439" s="805"/>
      <c r="J439" s="808"/>
      <c r="K439" s="800"/>
      <c r="L439" s="806"/>
      <c r="M439" s="805"/>
      <c r="N439" s="800"/>
      <c r="O439" s="805"/>
      <c r="P439" s="805"/>
      <c r="Q439" s="800"/>
      <c r="R439" s="808"/>
    </row>
    <row r="440" spans="1:18">
      <c r="A440" s="800"/>
      <c r="B440" s="800"/>
      <c r="C440" s="808"/>
      <c r="D440" s="808"/>
      <c r="E440" s="805"/>
      <c r="F440" s="805"/>
      <c r="G440" s="805"/>
      <c r="H440" s="828"/>
      <c r="I440" s="805"/>
      <c r="J440" s="808"/>
      <c r="K440" s="800"/>
      <c r="L440" s="806"/>
      <c r="M440" s="805"/>
      <c r="N440" s="800"/>
      <c r="O440" s="805"/>
      <c r="P440" s="805"/>
      <c r="Q440" s="800"/>
      <c r="R440" s="808"/>
    </row>
    <row r="441" spans="1:18">
      <c r="A441" s="800"/>
      <c r="B441" s="800"/>
      <c r="C441" s="808"/>
      <c r="D441" s="808"/>
      <c r="E441" s="805"/>
      <c r="F441" s="805"/>
      <c r="G441" s="805"/>
      <c r="H441" s="828"/>
      <c r="I441" s="805"/>
      <c r="J441" s="808"/>
      <c r="K441" s="800"/>
      <c r="L441" s="806"/>
      <c r="M441" s="805"/>
      <c r="N441" s="800"/>
      <c r="O441" s="805"/>
      <c r="P441" s="805"/>
      <c r="Q441" s="800"/>
      <c r="R441" s="808"/>
    </row>
    <row r="442" spans="1:18">
      <c r="A442" s="800"/>
      <c r="B442" s="800"/>
      <c r="C442" s="808"/>
      <c r="D442" s="808"/>
      <c r="E442" s="805"/>
      <c r="F442" s="805"/>
      <c r="G442" s="805"/>
      <c r="H442" s="828"/>
      <c r="I442" s="805"/>
      <c r="J442" s="808"/>
      <c r="K442" s="800"/>
      <c r="L442" s="806"/>
      <c r="M442" s="805"/>
      <c r="N442" s="800"/>
      <c r="O442" s="805"/>
      <c r="P442" s="805"/>
      <c r="Q442" s="800"/>
      <c r="R442" s="808"/>
    </row>
    <row r="443" spans="1:18">
      <c r="A443" s="800"/>
      <c r="B443" s="800"/>
      <c r="C443" s="808"/>
      <c r="D443" s="808"/>
      <c r="E443" s="805"/>
      <c r="F443" s="805"/>
      <c r="G443" s="805"/>
      <c r="H443" s="828"/>
      <c r="I443" s="805"/>
      <c r="J443" s="808"/>
      <c r="K443" s="800"/>
      <c r="L443" s="806"/>
      <c r="M443" s="805"/>
      <c r="N443" s="800"/>
      <c r="O443" s="805"/>
      <c r="P443" s="805"/>
      <c r="Q443" s="800"/>
      <c r="R443" s="808"/>
    </row>
    <row r="444" spans="1:18">
      <c r="A444" s="800"/>
      <c r="B444" s="800"/>
      <c r="C444" s="808"/>
      <c r="D444" s="808"/>
      <c r="E444" s="805"/>
      <c r="F444" s="805"/>
      <c r="G444" s="805"/>
      <c r="H444" s="828"/>
      <c r="I444" s="805"/>
      <c r="J444" s="808"/>
      <c r="K444" s="800"/>
      <c r="L444" s="806"/>
      <c r="M444" s="805"/>
      <c r="N444" s="800"/>
      <c r="O444" s="805"/>
      <c r="P444" s="805"/>
      <c r="Q444" s="800"/>
      <c r="R444" s="808"/>
    </row>
    <row r="445" spans="1:18">
      <c r="A445" s="800"/>
      <c r="B445" s="800"/>
      <c r="C445" s="808"/>
      <c r="D445" s="808"/>
      <c r="E445" s="805"/>
      <c r="F445" s="805"/>
      <c r="G445" s="805"/>
      <c r="H445" s="828"/>
      <c r="I445" s="805"/>
      <c r="J445" s="808"/>
      <c r="K445" s="800"/>
      <c r="L445" s="806"/>
      <c r="M445" s="805"/>
      <c r="N445" s="800"/>
      <c r="O445" s="805"/>
      <c r="P445" s="805"/>
      <c r="Q445" s="800"/>
      <c r="R445" s="808"/>
    </row>
    <row r="446" spans="1:18">
      <c r="A446" s="800"/>
      <c r="B446" s="800"/>
      <c r="C446" s="808"/>
      <c r="D446" s="808"/>
      <c r="E446" s="805"/>
      <c r="F446" s="805"/>
      <c r="G446" s="805"/>
      <c r="H446" s="828"/>
      <c r="I446" s="805"/>
      <c r="J446" s="808"/>
      <c r="K446" s="800"/>
      <c r="L446" s="806"/>
      <c r="M446" s="805"/>
      <c r="N446" s="800"/>
      <c r="O446" s="805"/>
      <c r="P446" s="805"/>
      <c r="Q446" s="800"/>
      <c r="R446" s="808"/>
    </row>
    <row r="447" spans="1:18">
      <c r="A447" s="800"/>
      <c r="B447" s="800"/>
      <c r="C447" s="808"/>
      <c r="D447" s="808"/>
      <c r="E447" s="805"/>
      <c r="F447" s="805"/>
      <c r="G447" s="805"/>
      <c r="H447" s="828"/>
      <c r="I447" s="805"/>
      <c r="J447" s="808"/>
      <c r="K447" s="800"/>
      <c r="L447" s="806"/>
      <c r="M447" s="805"/>
      <c r="N447" s="800"/>
      <c r="O447" s="805"/>
      <c r="P447" s="805"/>
      <c r="Q447" s="800"/>
      <c r="R447" s="808"/>
    </row>
    <row r="448" spans="1:18">
      <c r="A448" s="800"/>
      <c r="B448" s="800"/>
      <c r="C448" s="808"/>
      <c r="D448" s="808"/>
      <c r="E448" s="805"/>
      <c r="F448" s="805"/>
      <c r="G448" s="805"/>
      <c r="H448" s="828"/>
      <c r="I448" s="805"/>
      <c r="J448" s="808"/>
      <c r="K448" s="800"/>
      <c r="L448" s="806"/>
      <c r="M448" s="805"/>
      <c r="N448" s="800"/>
      <c r="O448" s="805"/>
      <c r="P448" s="805"/>
      <c r="Q448" s="800"/>
      <c r="R448" s="808"/>
    </row>
    <row r="449" spans="1:18">
      <c r="A449" s="800"/>
      <c r="B449" s="800"/>
      <c r="C449" s="808"/>
      <c r="D449" s="808"/>
      <c r="E449" s="805"/>
      <c r="F449" s="805"/>
      <c r="G449" s="805"/>
      <c r="H449" s="828"/>
      <c r="I449" s="805"/>
      <c r="J449" s="808"/>
      <c r="K449" s="800"/>
      <c r="L449" s="806"/>
      <c r="M449" s="805"/>
      <c r="N449" s="800"/>
      <c r="O449" s="805"/>
      <c r="P449" s="805"/>
      <c r="Q449" s="800"/>
      <c r="R449" s="808"/>
    </row>
    <row r="450" spans="1:18">
      <c r="A450" s="800"/>
      <c r="B450" s="800"/>
      <c r="C450" s="808"/>
      <c r="D450" s="808"/>
      <c r="E450" s="805"/>
      <c r="F450" s="805"/>
      <c r="G450" s="805"/>
      <c r="H450" s="828"/>
      <c r="I450" s="805"/>
      <c r="J450" s="808"/>
      <c r="K450" s="800"/>
      <c r="L450" s="806"/>
      <c r="M450" s="805"/>
      <c r="N450" s="800"/>
      <c r="O450" s="805"/>
      <c r="P450" s="805"/>
      <c r="Q450" s="800"/>
      <c r="R450" s="808"/>
    </row>
    <row r="451" spans="1:18">
      <c r="A451" s="800"/>
      <c r="B451" s="800"/>
      <c r="C451" s="808"/>
      <c r="D451" s="808"/>
      <c r="E451" s="805"/>
      <c r="F451" s="805"/>
      <c r="G451" s="805"/>
      <c r="H451" s="828"/>
      <c r="I451" s="805"/>
      <c r="J451" s="808"/>
      <c r="K451" s="800"/>
      <c r="L451" s="806"/>
      <c r="M451" s="805"/>
      <c r="N451" s="800"/>
      <c r="O451" s="805"/>
      <c r="P451" s="805"/>
      <c r="Q451" s="800"/>
      <c r="R451" s="808"/>
    </row>
    <row r="452" spans="1:18">
      <c r="A452" s="800"/>
      <c r="B452" s="800"/>
      <c r="C452" s="808"/>
      <c r="D452" s="808"/>
      <c r="E452" s="805"/>
      <c r="F452" s="805"/>
      <c r="G452" s="805"/>
      <c r="H452" s="828"/>
      <c r="I452" s="805"/>
      <c r="J452" s="808"/>
      <c r="K452" s="800"/>
      <c r="L452" s="806"/>
      <c r="M452" s="805"/>
      <c r="N452" s="800"/>
      <c r="O452" s="805"/>
      <c r="P452" s="805"/>
      <c r="Q452" s="800"/>
      <c r="R452" s="808"/>
    </row>
    <row r="453" spans="1:18">
      <c r="A453" s="800"/>
      <c r="B453" s="800"/>
      <c r="C453" s="808"/>
      <c r="D453" s="808"/>
      <c r="E453" s="805"/>
      <c r="F453" s="805"/>
      <c r="G453" s="805"/>
      <c r="H453" s="828"/>
      <c r="I453" s="805"/>
      <c r="J453" s="808"/>
      <c r="K453" s="800"/>
      <c r="L453" s="806"/>
      <c r="M453" s="805"/>
      <c r="N453" s="800"/>
      <c r="O453" s="805"/>
      <c r="P453" s="805"/>
      <c r="Q453" s="800"/>
      <c r="R453" s="808"/>
    </row>
    <row r="454" spans="1:18">
      <c r="A454" s="800"/>
      <c r="B454" s="800"/>
      <c r="C454" s="808"/>
      <c r="D454" s="808"/>
      <c r="E454" s="805"/>
      <c r="F454" s="805"/>
      <c r="G454" s="805"/>
      <c r="H454" s="828"/>
      <c r="I454" s="805"/>
      <c r="J454" s="808"/>
      <c r="K454" s="800"/>
      <c r="L454" s="806"/>
      <c r="M454" s="805"/>
      <c r="N454" s="800"/>
      <c r="O454" s="805"/>
      <c r="P454" s="805"/>
      <c r="Q454" s="800"/>
      <c r="R454" s="808"/>
    </row>
    <row r="455" spans="1:18">
      <c r="A455" s="800"/>
      <c r="B455" s="800"/>
      <c r="C455" s="808"/>
      <c r="D455" s="808"/>
      <c r="E455" s="805"/>
      <c r="F455" s="805"/>
      <c r="G455" s="805"/>
      <c r="H455" s="828"/>
      <c r="I455" s="805"/>
      <c r="J455" s="808"/>
      <c r="K455" s="800"/>
      <c r="L455" s="806"/>
      <c r="M455" s="805"/>
      <c r="N455" s="800"/>
      <c r="O455" s="805"/>
      <c r="P455" s="805"/>
      <c r="Q455" s="800"/>
      <c r="R455" s="808"/>
    </row>
    <row r="456" spans="1:18">
      <c r="A456" s="800"/>
      <c r="B456" s="800"/>
      <c r="C456" s="808"/>
      <c r="D456" s="808"/>
      <c r="E456" s="805"/>
      <c r="F456" s="805"/>
      <c r="G456" s="805"/>
      <c r="H456" s="828"/>
      <c r="I456" s="805"/>
      <c r="J456" s="808"/>
      <c r="K456" s="800"/>
      <c r="L456" s="806"/>
      <c r="M456" s="805"/>
      <c r="N456" s="800"/>
      <c r="O456" s="805"/>
      <c r="P456" s="805"/>
      <c r="Q456" s="800"/>
      <c r="R456" s="808"/>
    </row>
    <row r="457" spans="1:18">
      <c r="A457" s="800"/>
      <c r="B457" s="800"/>
      <c r="C457" s="808"/>
      <c r="D457" s="808"/>
      <c r="E457" s="805"/>
      <c r="F457" s="805"/>
      <c r="G457" s="805"/>
      <c r="H457" s="828"/>
      <c r="I457" s="805"/>
      <c r="J457" s="808"/>
      <c r="K457" s="800"/>
      <c r="L457" s="806"/>
      <c r="M457" s="805"/>
      <c r="N457" s="800"/>
      <c r="O457" s="805"/>
      <c r="P457" s="805"/>
      <c r="Q457" s="800"/>
      <c r="R457" s="808"/>
    </row>
    <row r="458" spans="1:18">
      <c r="A458" s="800"/>
      <c r="B458" s="800"/>
      <c r="C458" s="808"/>
      <c r="D458" s="808"/>
      <c r="E458" s="805"/>
      <c r="F458" s="805"/>
      <c r="G458" s="805"/>
      <c r="H458" s="828"/>
      <c r="I458" s="805"/>
      <c r="J458" s="808"/>
      <c r="K458" s="800"/>
      <c r="L458" s="806"/>
      <c r="M458" s="805"/>
      <c r="N458" s="800"/>
      <c r="O458" s="805"/>
      <c r="P458" s="805"/>
      <c r="Q458" s="800"/>
      <c r="R458" s="808"/>
    </row>
    <row r="459" spans="1:18">
      <c r="A459" s="800"/>
      <c r="B459" s="800"/>
      <c r="C459" s="808"/>
      <c r="D459" s="808"/>
      <c r="E459" s="805"/>
      <c r="F459" s="805"/>
      <c r="G459" s="805"/>
      <c r="H459" s="828"/>
      <c r="I459" s="805"/>
      <c r="J459" s="808"/>
      <c r="K459" s="800"/>
      <c r="L459" s="806"/>
      <c r="M459" s="805"/>
      <c r="N459" s="800"/>
      <c r="O459" s="805"/>
      <c r="P459" s="805"/>
      <c r="Q459" s="800"/>
      <c r="R459" s="808"/>
    </row>
    <row r="460" spans="1:18">
      <c r="A460" s="800"/>
      <c r="B460" s="800"/>
      <c r="C460" s="808"/>
      <c r="D460" s="808"/>
      <c r="E460" s="805"/>
      <c r="F460" s="805"/>
      <c r="G460" s="805"/>
      <c r="H460" s="828"/>
      <c r="I460" s="805"/>
      <c r="J460" s="808"/>
      <c r="K460" s="800"/>
      <c r="L460" s="806"/>
      <c r="M460" s="805"/>
      <c r="N460" s="800"/>
      <c r="O460" s="805"/>
      <c r="P460" s="805"/>
      <c r="Q460" s="800"/>
      <c r="R460" s="808"/>
    </row>
    <row r="461" spans="1:18">
      <c r="A461" s="800"/>
      <c r="B461" s="800"/>
      <c r="C461" s="808"/>
      <c r="D461" s="808"/>
      <c r="E461" s="805"/>
      <c r="F461" s="805"/>
      <c r="G461" s="805"/>
      <c r="H461" s="828"/>
      <c r="I461" s="805"/>
      <c r="J461" s="808"/>
      <c r="K461" s="800"/>
      <c r="L461" s="806"/>
      <c r="M461" s="805"/>
      <c r="N461" s="800"/>
      <c r="O461" s="805"/>
      <c r="P461" s="805"/>
      <c r="Q461" s="800"/>
      <c r="R461" s="808"/>
    </row>
    <row r="462" spans="1:18">
      <c r="A462" s="800"/>
      <c r="B462" s="800"/>
      <c r="C462" s="808"/>
      <c r="D462" s="808"/>
      <c r="E462" s="805"/>
      <c r="F462" s="805"/>
      <c r="G462" s="805"/>
      <c r="H462" s="828"/>
      <c r="I462" s="805"/>
      <c r="J462" s="808"/>
      <c r="K462" s="800"/>
      <c r="L462" s="806"/>
      <c r="M462" s="805"/>
      <c r="N462" s="800"/>
      <c r="O462" s="805"/>
      <c r="P462" s="805"/>
      <c r="Q462" s="800"/>
      <c r="R462" s="808"/>
    </row>
    <row r="463" spans="1:18">
      <c r="A463" s="800"/>
      <c r="B463" s="800"/>
      <c r="C463" s="808"/>
      <c r="D463" s="808"/>
      <c r="E463" s="805"/>
      <c r="F463" s="805"/>
      <c r="G463" s="805"/>
      <c r="H463" s="828"/>
      <c r="I463" s="805"/>
      <c r="J463" s="808"/>
      <c r="K463" s="800"/>
      <c r="L463" s="806"/>
      <c r="M463" s="805"/>
      <c r="N463" s="800"/>
      <c r="O463" s="805"/>
      <c r="P463" s="805"/>
      <c r="Q463" s="800"/>
      <c r="R463" s="808"/>
    </row>
    <row r="464" spans="1:18">
      <c r="A464" s="800"/>
      <c r="B464" s="800"/>
      <c r="C464" s="808"/>
      <c r="D464" s="808"/>
      <c r="E464" s="805"/>
      <c r="F464" s="805"/>
      <c r="G464" s="805"/>
      <c r="H464" s="828"/>
      <c r="I464" s="805"/>
      <c r="J464" s="808"/>
      <c r="K464" s="800"/>
      <c r="L464" s="806"/>
      <c r="M464" s="805"/>
      <c r="N464" s="800"/>
      <c r="O464" s="805"/>
      <c r="P464" s="805"/>
      <c r="Q464" s="800"/>
      <c r="R464" s="808"/>
    </row>
    <row r="465" spans="1:18">
      <c r="A465" s="800"/>
      <c r="B465" s="800"/>
      <c r="C465" s="808"/>
      <c r="D465" s="808"/>
      <c r="E465" s="805"/>
      <c r="F465" s="805"/>
      <c r="G465" s="805"/>
      <c r="H465" s="828"/>
      <c r="I465" s="805"/>
      <c r="J465" s="808"/>
      <c r="K465" s="800"/>
      <c r="L465" s="806"/>
      <c r="M465" s="805"/>
      <c r="N465" s="800"/>
      <c r="O465" s="805"/>
      <c r="P465" s="805"/>
      <c r="Q465" s="800"/>
      <c r="R465" s="808"/>
    </row>
    <row r="466" spans="1:18">
      <c r="A466" s="800"/>
      <c r="B466" s="800"/>
      <c r="C466" s="808"/>
      <c r="D466" s="808"/>
      <c r="E466" s="805"/>
      <c r="F466" s="805"/>
      <c r="G466" s="805"/>
      <c r="H466" s="828"/>
      <c r="I466" s="805"/>
      <c r="J466" s="808"/>
      <c r="K466" s="800"/>
      <c r="L466" s="806"/>
      <c r="M466" s="805"/>
      <c r="N466" s="800"/>
      <c r="O466" s="805"/>
      <c r="P466" s="805"/>
      <c r="Q466" s="800"/>
      <c r="R466" s="808"/>
    </row>
    <row r="467" spans="1:18">
      <c r="A467" s="800"/>
      <c r="B467" s="800"/>
      <c r="C467" s="808"/>
      <c r="D467" s="808"/>
      <c r="E467" s="805"/>
      <c r="F467" s="805"/>
      <c r="G467" s="805"/>
      <c r="H467" s="828"/>
      <c r="I467" s="805"/>
      <c r="J467" s="808"/>
      <c r="K467" s="800"/>
      <c r="L467" s="806"/>
      <c r="M467" s="805"/>
      <c r="N467" s="800"/>
      <c r="O467" s="805"/>
      <c r="P467" s="805"/>
      <c r="Q467" s="800"/>
      <c r="R467" s="808"/>
    </row>
    <row r="468" spans="1:18">
      <c r="A468" s="800"/>
      <c r="B468" s="800"/>
      <c r="C468" s="808"/>
      <c r="D468" s="808"/>
      <c r="E468" s="805"/>
      <c r="F468" s="805"/>
      <c r="G468" s="805"/>
      <c r="H468" s="828"/>
      <c r="I468" s="805"/>
      <c r="J468" s="808"/>
      <c r="K468" s="800"/>
      <c r="L468" s="806"/>
      <c r="M468" s="805"/>
      <c r="N468" s="800"/>
      <c r="O468" s="805"/>
      <c r="P468" s="805"/>
      <c r="Q468" s="800"/>
      <c r="R468" s="808"/>
    </row>
    <row r="469" spans="1:18">
      <c r="A469" s="800"/>
      <c r="B469" s="800"/>
      <c r="C469" s="808"/>
      <c r="D469" s="808"/>
      <c r="E469" s="805"/>
      <c r="F469" s="805"/>
      <c r="G469" s="805"/>
      <c r="H469" s="828"/>
      <c r="I469" s="805"/>
      <c r="J469" s="808"/>
      <c r="K469" s="800"/>
      <c r="L469" s="806"/>
      <c r="M469" s="805"/>
      <c r="N469" s="800"/>
      <c r="O469" s="805"/>
      <c r="P469" s="805"/>
      <c r="Q469" s="800"/>
      <c r="R469" s="808"/>
    </row>
    <row r="470" spans="1:18">
      <c r="A470" s="800"/>
      <c r="B470" s="800"/>
      <c r="C470" s="808"/>
      <c r="D470" s="808"/>
      <c r="E470" s="805"/>
      <c r="F470" s="805"/>
      <c r="G470" s="805"/>
      <c r="H470" s="828"/>
      <c r="I470" s="805"/>
      <c r="J470" s="808"/>
      <c r="K470" s="800"/>
      <c r="L470" s="806"/>
      <c r="M470" s="805"/>
      <c r="N470" s="800"/>
      <c r="O470" s="805"/>
      <c r="P470" s="805"/>
      <c r="Q470" s="800"/>
      <c r="R470" s="808"/>
    </row>
    <row r="471" spans="1:18">
      <c r="A471" s="800"/>
      <c r="B471" s="800"/>
      <c r="C471" s="808"/>
      <c r="D471" s="808"/>
      <c r="E471" s="805"/>
      <c r="F471" s="805"/>
      <c r="G471" s="805"/>
      <c r="H471" s="828"/>
      <c r="I471" s="805"/>
      <c r="J471" s="808"/>
      <c r="K471" s="800"/>
      <c r="L471" s="806"/>
      <c r="M471" s="805"/>
      <c r="N471" s="800"/>
      <c r="O471" s="805"/>
      <c r="P471" s="805"/>
      <c r="Q471" s="800"/>
      <c r="R471" s="808"/>
    </row>
    <row r="472" spans="1:18">
      <c r="A472" s="800"/>
      <c r="B472" s="800"/>
      <c r="C472" s="808"/>
      <c r="D472" s="808"/>
      <c r="E472" s="805"/>
      <c r="F472" s="805"/>
      <c r="G472" s="805"/>
      <c r="H472" s="828"/>
      <c r="I472" s="805"/>
      <c r="J472" s="808"/>
      <c r="K472" s="800"/>
      <c r="L472" s="806"/>
      <c r="M472" s="805"/>
      <c r="N472" s="800"/>
      <c r="O472" s="805"/>
      <c r="P472" s="805"/>
      <c r="Q472" s="800"/>
      <c r="R472" s="808"/>
    </row>
    <row r="473" spans="1:18">
      <c r="A473" s="800"/>
      <c r="B473" s="800"/>
      <c r="C473" s="808"/>
      <c r="D473" s="808"/>
      <c r="E473" s="805"/>
      <c r="F473" s="805"/>
      <c r="G473" s="805"/>
      <c r="H473" s="828"/>
      <c r="I473" s="805"/>
      <c r="J473" s="808"/>
      <c r="K473" s="800"/>
      <c r="L473" s="806"/>
      <c r="M473" s="805"/>
      <c r="N473" s="800"/>
      <c r="O473" s="805"/>
      <c r="P473" s="805"/>
      <c r="Q473" s="800"/>
      <c r="R473" s="808"/>
    </row>
    <row r="474" spans="1:18">
      <c r="A474" s="800"/>
      <c r="B474" s="800"/>
      <c r="C474" s="808"/>
      <c r="D474" s="808"/>
      <c r="E474" s="805"/>
      <c r="F474" s="805"/>
      <c r="G474" s="805"/>
      <c r="H474" s="828"/>
      <c r="I474" s="805"/>
      <c r="J474" s="808"/>
      <c r="K474" s="800"/>
      <c r="L474" s="806"/>
      <c r="M474" s="805"/>
      <c r="N474" s="800"/>
      <c r="O474" s="805"/>
      <c r="P474" s="805"/>
      <c r="Q474" s="800"/>
      <c r="R474" s="808"/>
    </row>
    <row r="475" spans="1:18">
      <c r="A475" s="800"/>
      <c r="B475" s="800"/>
      <c r="C475" s="808"/>
      <c r="D475" s="808"/>
      <c r="E475" s="805"/>
      <c r="F475" s="805"/>
      <c r="G475" s="805"/>
      <c r="H475" s="828"/>
      <c r="I475" s="805"/>
      <c r="J475" s="808"/>
      <c r="K475" s="800"/>
      <c r="L475" s="806"/>
      <c r="M475" s="805"/>
      <c r="N475" s="800"/>
      <c r="O475" s="805"/>
      <c r="P475" s="805"/>
      <c r="Q475" s="800"/>
      <c r="R475" s="808"/>
    </row>
    <row r="476" spans="1:18">
      <c r="A476" s="800"/>
      <c r="B476" s="800"/>
      <c r="C476" s="808"/>
      <c r="D476" s="808"/>
      <c r="E476" s="805"/>
      <c r="F476" s="805"/>
      <c r="G476" s="805"/>
      <c r="H476" s="828"/>
      <c r="I476" s="805"/>
      <c r="J476" s="808"/>
      <c r="K476" s="800"/>
      <c r="L476" s="806"/>
      <c r="M476" s="805"/>
      <c r="N476" s="800"/>
      <c r="O476" s="805"/>
      <c r="P476" s="805"/>
      <c r="Q476" s="800"/>
      <c r="R476" s="808"/>
    </row>
    <row r="477" spans="1:18">
      <c r="A477" s="800"/>
      <c r="B477" s="800"/>
      <c r="C477" s="808"/>
      <c r="D477" s="808"/>
      <c r="E477" s="805"/>
      <c r="F477" s="805"/>
      <c r="G477" s="805"/>
      <c r="H477" s="828"/>
      <c r="I477" s="805"/>
      <c r="J477" s="808"/>
      <c r="K477" s="800"/>
      <c r="L477" s="806"/>
      <c r="M477" s="805"/>
      <c r="N477" s="800"/>
      <c r="O477" s="805"/>
      <c r="P477" s="805"/>
      <c r="Q477" s="800"/>
      <c r="R477" s="808"/>
    </row>
    <row r="478" spans="1:18">
      <c r="A478" s="800"/>
      <c r="B478" s="800"/>
      <c r="C478" s="808"/>
      <c r="D478" s="808"/>
      <c r="E478" s="805"/>
      <c r="F478" s="805"/>
      <c r="G478" s="805"/>
      <c r="H478" s="828"/>
      <c r="I478" s="805"/>
      <c r="J478" s="808"/>
      <c r="K478" s="800"/>
      <c r="L478" s="806"/>
      <c r="M478" s="805"/>
      <c r="N478" s="800"/>
      <c r="O478" s="805"/>
      <c r="P478" s="805"/>
      <c r="Q478" s="800"/>
      <c r="R478" s="808"/>
    </row>
    <row r="479" spans="1:18">
      <c r="A479" s="800"/>
      <c r="B479" s="800"/>
      <c r="C479" s="808"/>
      <c r="D479" s="808"/>
      <c r="E479" s="805"/>
      <c r="F479" s="805"/>
      <c r="G479" s="805"/>
      <c r="H479" s="828"/>
      <c r="I479" s="805"/>
      <c r="J479" s="808"/>
      <c r="K479" s="800"/>
      <c r="L479" s="806"/>
      <c r="M479" s="805"/>
      <c r="N479" s="800"/>
      <c r="O479" s="805"/>
      <c r="P479" s="805"/>
      <c r="Q479" s="800"/>
      <c r="R479" s="808"/>
    </row>
    <row r="480" spans="1:18">
      <c r="A480" s="800"/>
      <c r="B480" s="800"/>
      <c r="C480" s="808"/>
      <c r="D480" s="808"/>
      <c r="E480" s="805"/>
      <c r="F480" s="805"/>
      <c r="G480" s="805"/>
      <c r="H480" s="828"/>
      <c r="I480" s="805"/>
      <c r="J480" s="808"/>
      <c r="K480" s="800"/>
      <c r="L480" s="806"/>
      <c r="M480" s="805"/>
      <c r="N480" s="800"/>
      <c r="O480" s="805"/>
      <c r="P480" s="805"/>
      <c r="Q480" s="800"/>
      <c r="R480" s="808"/>
    </row>
    <row r="481" spans="1:18">
      <c r="A481" s="800"/>
      <c r="B481" s="800"/>
      <c r="C481" s="808"/>
      <c r="D481" s="808"/>
      <c r="E481" s="805"/>
      <c r="F481" s="805"/>
      <c r="G481" s="805"/>
      <c r="H481" s="828"/>
      <c r="I481" s="805"/>
      <c r="J481" s="808"/>
      <c r="K481" s="800"/>
      <c r="L481" s="806"/>
      <c r="M481" s="805"/>
      <c r="N481" s="800"/>
      <c r="O481" s="805"/>
      <c r="P481" s="805"/>
      <c r="Q481" s="800"/>
      <c r="R481" s="808"/>
    </row>
    <row r="482" spans="1:18">
      <c r="A482" s="800"/>
      <c r="B482" s="800"/>
      <c r="C482" s="808"/>
      <c r="D482" s="808"/>
      <c r="E482" s="805"/>
      <c r="F482" s="805"/>
      <c r="G482" s="805"/>
      <c r="H482" s="828"/>
      <c r="I482" s="805"/>
      <c r="J482" s="808"/>
      <c r="K482" s="800"/>
      <c r="L482" s="806"/>
      <c r="M482" s="805"/>
      <c r="N482" s="800"/>
      <c r="O482" s="805"/>
      <c r="P482" s="805"/>
      <c r="Q482" s="800"/>
      <c r="R482" s="808"/>
    </row>
    <row r="483" spans="1:18">
      <c r="A483" s="800"/>
      <c r="B483" s="800"/>
      <c r="C483" s="808"/>
      <c r="D483" s="808"/>
      <c r="E483" s="805"/>
      <c r="F483" s="805"/>
      <c r="G483" s="805"/>
      <c r="H483" s="828"/>
      <c r="I483" s="805"/>
      <c r="J483" s="808"/>
      <c r="K483" s="800"/>
      <c r="L483" s="806"/>
      <c r="M483" s="805"/>
      <c r="N483" s="800"/>
      <c r="O483" s="805"/>
      <c r="P483" s="805"/>
      <c r="Q483" s="800"/>
      <c r="R483" s="808"/>
    </row>
    <row r="484" spans="1:18">
      <c r="A484" s="800"/>
      <c r="B484" s="800"/>
      <c r="C484" s="808"/>
      <c r="D484" s="808"/>
      <c r="E484" s="805"/>
      <c r="F484" s="805"/>
      <c r="G484" s="805"/>
      <c r="H484" s="828"/>
      <c r="I484" s="805"/>
      <c r="J484" s="808"/>
      <c r="K484" s="800"/>
      <c r="L484" s="806"/>
      <c r="M484" s="805"/>
      <c r="N484" s="800"/>
      <c r="O484" s="805"/>
      <c r="P484" s="805"/>
      <c r="Q484" s="800"/>
      <c r="R484" s="808"/>
    </row>
    <row r="485" spans="1:18">
      <c r="A485" s="800"/>
      <c r="B485" s="800"/>
      <c r="C485" s="808"/>
      <c r="D485" s="808"/>
      <c r="E485" s="805"/>
      <c r="F485" s="805"/>
      <c r="G485" s="805"/>
      <c r="H485" s="828"/>
      <c r="I485" s="805"/>
      <c r="J485" s="808"/>
      <c r="K485" s="800"/>
      <c r="L485" s="806"/>
      <c r="M485" s="805"/>
      <c r="N485" s="800"/>
      <c r="O485" s="805"/>
      <c r="P485" s="805"/>
      <c r="Q485" s="800"/>
      <c r="R485" s="808"/>
    </row>
    <row r="486" spans="1:18">
      <c r="A486" s="800"/>
      <c r="B486" s="800"/>
      <c r="C486" s="808"/>
      <c r="D486" s="808"/>
      <c r="E486" s="805"/>
      <c r="F486" s="805"/>
      <c r="G486" s="805"/>
      <c r="H486" s="828"/>
      <c r="I486" s="805"/>
      <c r="J486" s="808"/>
      <c r="K486" s="800"/>
      <c r="L486" s="806"/>
      <c r="M486" s="805"/>
      <c r="N486" s="800"/>
      <c r="O486" s="805"/>
      <c r="P486" s="805"/>
      <c r="Q486" s="800"/>
      <c r="R486" s="808"/>
    </row>
    <row r="487" spans="1:18">
      <c r="A487" s="800"/>
      <c r="B487" s="800"/>
      <c r="C487" s="808"/>
      <c r="D487" s="808"/>
      <c r="E487" s="805"/>
      <c r="F487" s="805"/>
      <c r="G487" s="805"/>
      <c r="H487" s="828"/>
      <c r="I487" s="805"/>
      <c r="J487" s="808"/>
      <c r="K487" s="800"/>
      <c r="L487" s="806"/>
      <c r="M487" s="805"/>
      <c r="N487" s="800"/>
      <c r="O487" s="805"/>
      <c r="P487" s="805"/>
      <c r="Q487" s="800"/>
      <c r="R487" s="808"/>
    </row>
    <row r="488" spans="1:18">
      <c r="A488" s="800"/>
      <c r="B488" s="800"/>
      <c r="C488" s="808"/>
      <c r="D488" s="808"/>
      <c r="E488" s="805"/>
      <c r="F488" s="805"/>
      <c r="G488" s="805"/>
      <c r="H488" s="828"/>
      <c r="I488" s="805"/>
      <c r="J488" s="808"/>
      <c r="K488" s="800"/>
      <c r="L488" s="806"/>
      <c r="M488" s="805"/>
      <c r="N488" s="800"/>
      <c r="O488" s="805"/>
      <c r="P488" s="805"/>
      <c r="Q488" s="800"/>
      <c r="R488" s="808"/>
    </row>
    <row r="489" spans="1:18">
      <c r="A489" s="800"/>
      <c r="B489" s="800"/>
      <c r="C489" s="808"/>
      <c r="D489" s="808"/>
      <c r="E489" s="805"/>
      <c r="F489" s="805"/>
      <c r="G489" s="805"/>
      <c r="H489" s="828"/>
      <c r="I489" s="805"/>
      <c r="J489" s="808"/>
      <c r="K489" s="800"/>
      <c r="L489" s="806"/>
      <c r="M489" s="805"/>
      <c r="N489" s="800"/>
      <c r="O489" s="805"/>
      <c r="P489" s="805"/>
      <c r="Q489" s="800"/>
      <c r="R489" s="808"/>
    </row>
    <row r="490" spans="1:18">
      <c r="A490" s="800"/>
      <c r="B490" s="800"/>
      <c r="C490" s="808"/>
      <c r="D490" s="808"/>
      <c r="E490" s="805"/>
      <c r="F490" s="805"/>
      <c r="G490" s="805"/>
      <c r="H490" s="828"/>
      <c r="I490" s="805"/>
      <c r="J490" s="808"/>
      <c r="K490" s="800"/>
      <c r="L490" s="806"/>
      <c r="M490" s="805"/>
      <c r="N490" s="800"/>
      <c r="O490" s="805"/>
      <c r="P490" s="805"/>
      <c r="Q490" s="800"/>
      <c r="R490" s="808"/>
    </row>
    <row r="491" spans="1:18">
      <c r="A491" s="800"/>
      <c r="B491" s="800"/>
      <c r="C491" s="808"/>
      <c r="D491" s="808"/>
      <c r="E491" s="805"/>
      <c r="F491" s="805"/>
      <c r="G491" s="805"/>
      <c r="H491" s="828"/>
      <c r="I491" s="805"/>
      <c r="J491" s="808"/>
      <c r="K491" s="800"/>
      <c r="L491" s="806"/>
      <c r="M491" s="805"/>
      <c r="N491" s="800"/>
      <c r="O491" s="805"/>
      <c r="P491" s="805"/>
      <c r="Q491" s="800"/>
      <c r="R491" s="808"/>
    </row>
    <row r="492" spans="1:18">
      <c r="A492" s="800"/>
      <c r="B492" s="800"/>
      <c r="C492" s="808"/>
      <c r="D492" s="808"/>
      <c r="E492" s="805"/>
      <c r="F492" s="805"/>
      <c r="G492" s="805"/>
      <c r="H492" s="828"/>
      <c r="I492" s="805"/>
      <c r="J492" s="808"/>
      <c r="K492" s="800"/>
      <c r="L492" s="806"/>
      <c r="M492" s="805"/>
      <c r="N492" s="800"/>
      <c r="O492" s="805"/>
      <c r="P492" s="805"/>
      <c r="Q492" s="800"/>
      <c r="R492" s="808"/>
    </row>
    <row r="493" spans="1:18">
      <c r="A493" s="800"/>
      <c r="B493" s="800"/>
      <c r="C493" s="808"/>
      <c r="D493" s="808"/>
      <c r="E493" s="805"/>
      <c r="F493" s="805"/>
      <c r="G493" s="805"/>
      <c r="H493" s="828"/>
      <c r="I493" s="805"/>
      <c r="J493" s="808"/>
      <c r="K493" s="800"/>
      <c r="L493" s="806"/>
      <c r="M493" s="805"/>
      <c r="N493" s="800"/>
      <c r="O493" s="805"/>
      <c r="P493" s="805"/>
      <c r="Q493" s="800"/>
      <c r="R493" s="808"/>
    </row>
    <row r="494" spans="1:18">
      <c r="A494" s="800"/>
      <c r="B494" s="800"/>
      <c r="C494" s="808"/>
      <c r="D494" s="808"/>
      <c r="E494" s="805"/>
      <c r="F494" s="805"/>
      <c r="G494" s="805"/>
      <c r="H494" s="828"/>
      <c r="I494" s="805"/>
      <c r="J494" s="808"/>
      <c r="K494" s="800"/>
      <c r="L494" s="806"/>
      <c r="M494" s="805"/>
      <c r="N494" s="800"/>
      <c r="O494" s="805"/>
      <c r="P494" s="805"/>
      <c r="Q494" s="800"/>
      <c r="R494" s="808"/>
    </row>
    <row r="495" spans="1:18">
      <c r="A495" s="800"/>
      <c r="B495" s="800"/>
      <c r="C495" s="808"/>
      <c r="D495" s="808"/>
      <c r="E495" s="805"/>
      <c r="F495" s="805"/>
      <c r="G495" s="805"/>
      <c r="H495" s="828"/>
      <c r="I495" s="805"/>
      <c r="J495" s="808"/>
      <c r="K495" s="800"/>
      <c r="L495" s="806"/>
      <c r="M495" s="805"/>
      <c r="N495" s="800"/>
      <c r="O495" s="805"/>
      <c r="P495" s="805"/>
      <c r="Q495" s="800"/>
      <c r="R495" s="808"/>
    </row>
    <row r="496" spans="1:18">
      <c r="A496" s="800"/>
      <c r="B496" s="800"/>
      <c r="C496" s="808"/>
      <c r="D496" s="808"/>
      <c r="E496" s="805"/>
      <c r="F496" s="805"/>
      <c r="G496" s="805"/>
      <c r="H496" s="828"/>
      <c r="I496" s="805"/>
      <c r="J496" s="808"/>
      <c r="K496" s="800"/>
      <c r="L496" s="806"/>
      <c r="M496" s="805"/>
      <c r="N496" s="800"/>
      <c r="O496" s="805"/>
      <c r="P496" s="805"/>
      <c r="Q496" s="800"/>
      <c r="R496" s="808"/>
    </row>
    <row r="497" spans="1:18">
      <c r="A497" s="800"/>
      <c r="B497" s="800"/>
      <c r="C497" s="808"/>
      <c r="D497" s="808"/>
      <c r="E497" s="805"/>
      <c r="F497" s="805"/>
      <c r="G497" s="805"/>
      <c r="H497" s="828"/>
      <c r="I497" s="805"/>
      <c r="J497" s="808"/>
      <c r="K497" s="800"/>
      <c r="L497" s="806"/>
      <c r="M497" s="805"/>
      <c r="N497" s="800"/>
      <c r="O497" s="805"/>
      <c r="P497" s="805"/>
      <c r="Q497" s="800"/>
      <c r="R497" s="808"/>
    </row>
    <row r="498" spans="1:18">
      <c r="A498" s="800"/>
      <c r="B498" s="800"/>
      <c r="C498" s="808"/>
      <c r="D498" s="808"/>
      <c r="E498" s="805"/>
      <c r="F498" s="805"/>
      <c r="G498" s="805"/>
      <c r="H498" s="828"/>
      <c r="I498" s="805"/>
      <c r="J498" s="808"/>
      <c r="K498" s="800"/>
      <c r="L498" s="806"/>
      <c r="M498" s="805"/>
      <c r="N498" s="800"/>
      <c r="O498" s="805"/>
      <c r="P498" s="805"/>
      <c r="Q498" s="800"/>
      <c r="R498" s="808"/>
    </row>
    <row r="499" spans="1:18">
      <c r="A499" s="800"/>
      <c r="B499" s="800"/>
      <c r="C499" s="808"/>
      <c r="D499" s="808"/>
      <c r="E499" s="805"/>
      <c r="F499" s="805"/>
      <c r="G499" s="805"/>
      <c r="H499" s="828"/>
      <c r="I499" s="805"/>
      <c r="J499" s="808"/>
      <c r="K499" s="800"/>
      <c r="L499" s="806"/>
      <c r="M499" s="805"/>
      <c r="N499" s="800"/>
      <c r="O499" s="805"/>
      <c r="P499" s="805"/>
      <c r="Q499" s="800"/>
      <c r="R499" s="808"/>
    </row>
    <row r="500" spans="1:18">
      <c r="A500" s="800"/>
      <c r="B500" s="800"/>
      <c r="C500" s="808"/>
      <c r="D500" s="808"/>
      <c r="E500" s="805"/>
      <c r="F500" s="805"/>
      <c r="G500" s="805"/>
      <c r="H500" s="828"/>
      <c r="I500" s="805"/>
      <c r="J500" s="808"/>
      <c r="K500" s="800"/>
      <c r="L500" s="806"/>
      <c r="M500" s="805"/>
      <c r="N500" s="800"/>
      <c r="O500" s="805"/>
      <c r="P500" s="805"/>
      <c r="Q500" s="800"/>
      <c r="R500" s="808"/>
    </row>
    <row r="501" spans="1:18">
      <c r="A501" s="800"/>
      <c r="B501" s="800"/>
      <c r="C501" s="808"/>
      <c r="D501" s="808"/>
      <c r="E501" s="805"/>
      <c r="F501" s="805"/>
      <c r="G501" s="805"/>
      <c r="H501" s="828"/>
      <c r="I501" s="805"/>
      <c r="J501" s="808"/>
      <c r="K501" s="800"/>
      <c r="L501" s="806"/>
      <c r="M501" s="805"/>
      <c r="N501" s="800"/>
      <c r="O501" s="805"/>
      <c r="P501" s="805"/>
      <c r="Q501" s="800"/>
      <c r="R501" s="808"/>
    </row>
    <row r="502" spans="1:18">
      <c r="A502" s="800"/>
      <c r="B502" s="800"/>
      <c r="C502" s="808"/>
      <c r="D502" s="808"/>
      <c r="E502" s="805"/>
      <c r="F502" s="805"/>
      <c r="G502" s="805"/>
      <c r="H502" s="828"/>
      <c r="I502" s="805"/>
      <c r="J502" s="808"/>
      <c r="K502" s="800"/>
      <c r="L502" s="806"/>
      <c r="M502" s="805"/>
      <c r="N502" s="800"/>
      <c r="O502" s="805"/>
      <c r="P502" s="805"/>
      <c r="Q502" s="800"/>
      <c r="R502" s="808"/>
    </row>
    <row r="503" spans="1:18">
      <c r="A503" s="800"/>
      <c r="B503" s="800"/>
      <c r="C503" s="808"/>
      <c r="D503" s="808"/>
      <c r="E503" s="805"/>
      <c r="F503" s="805"/>
      <c r="G503" s="805"/>
      <c r="H503" s="828"/>
      <c r="I503" s="805"/>
      <c r="J503" s="808"/>
      <c r="K503" s="800"/>
      <c r="L503" s="806"/>
      <c r="M503" s="805"/>
      <c r="N503" s="800"/>
      <c r="O503" s="805"/>
      <c r="P503" s="805"/>
      <c r="Q503" s="800"/>
      <c r="R503" s="808"/>
    </row>
    <row r="504" spans="1:18">
      <c r="A504" s="800"/>
      <c r="B504" s="800"/>
      <c r="C504" s="808"/>
      <c r="D504" s="808"/>
      <c r="E504" s="805"/>
      <c r="F504" s="805"/>
      <c r="G504" s="805"/>
      <c r="H504" s="828"/>
      <c r="I504" s="805"/>
      <c r="J504" s="808"/>
      <c r="K504" s="800"/>
      <c r="L504" s="806"/>
      <c r="M504" s="805"/>
      <c r="N504" s="800"/>
      <c r="O504" s="805"/>
      <c r="P504" s="805"/>
      <c r="Q504" s="800"/>
      <c r="R504" s="808"/>
    </row>
    <row r="505" spans="1:18">
      <c r="A505" s="800"/>
      <c r="B505" s="800"/>
      <c r="C505" s="808"/>
      <c r="D505" s="808"/>
      <c r="E505" s="805"/>
      <c r="F505" s="805"/>
      <c r="G505" s="805"/>
      <c r="H505" s="828"/>
      <c r="I505" s="805"/>
      <c r="J505" s="808"/>
      <c r="K505" s="800"/>
      <c r="L505" s="806"/>
      <c r="M505" s="805"/>
      <c r="N505" s="800"/>
      <c r="O505" s="805"/>
      <c r="P505" s="805"/>
      <c r="Q505" s="800"/>
      <c r="R505" s="808"/>
    </row>
    <row r="506" spans="1:18">
      <c r="A506" s="800"/>
      <c r="B506" s="800"/>
      <c r="C506" s="808"/>
      <c r="D506" s="808"/>
      <c r="E506" s="805"/>
      <c r="F506" s="805"/>
      <c r="G506" s="805"/>
      <c r="H506" s="828"/>
      <c r="I506" s="805"/>
      <c r="J506" s="808"/>
      <c r="K506" s="800"/>
      <c r="L506" s="806"/>
      <c r="M506" s="805"/>
      <c r="N506" s="800"/>
      <c r="O506" s="805"/>
      <c r="P506" s="805"/>
      <c r="Q506" s="800"/>
      <c r="R506" s="808"/>
    </row>
    <row r="507" spans="1:18">
      <c r="A507" s="800"/>
      <c r="B507" s="800"/>
      <c r="C507" s="808"/>
      <c r="D507" s="808"/>
      <c r="E507" s="805"/>
      <c r="F507" s="805"/>
      <c r="G507" s="805"/>
      <c r="H507" s="828"/>
      <c r="I507" s="805"/>
      <c r="J507" s="808"/>
      <c r="K507" s="800"/>
      <c r="L507" s="806"/>
      <c r="M507" s="805"/>
      <c r="N507" s="800"/>
      <c r="O507" s="805"/>
      <c r="P507" s="805"/>
      <c r="Q507" s="800"/>
      <c r="R507" s="808"/>
    </row>
    <row r="508" spans="1:18">
      <c r="A508" s="800"/>
      <c r="B508" s="800"/>
      <c r="C508" s="808"/>
      <c r="D508" s="808"/>
      <c r="E508" s="805"/>
      <c r="F508" s="805"/>
      <c r="G508" s="805"/>
      <c r="H508" s="828"/>
      <c r="I508" s="805"/>
      <c r="J508" s="808"/>
      <c r="K508" s="800"/>
      <c r="L508" s="806"/>
      <c r="M508" s="805"/>
      <c r="N508" s="800"/>
      <c r="O508" s="805"/>
      <c r="P508" s="805"/>
      <c r="Q508" s="800"/>
      <c r="R508" s="808"/>
    </row>
    <row r="509" spans="1:18">
      <c r="A509" s="800"/>
      <c r="B509" s="800"/>
      <c r="C509" s="808"/>
      <c r="D509" s="808"/>
      <c r="E509" s="805"/>
      <c r="F509" s="805"/>
      <c r="G509" s="805"/>
      <c r="H509" s="828"/>
      <c r="I509" s="805"/>
      <c r="J509" s="808"/>
      <c r="K509" s="800"/>
      <c r="L509" s="806"/>
      <c r="M509" s="805"/>
      <c r="N509" s="800"/>
      <c r="O509" s="805"/>
      <c r="P509" s="805"/>
      <c r="Q509" s="800"/>
      <c r="R509" s="808"/>
    </row>
    <row r="510" spans="1:18">
      <c r="A510" s="800"/>
      <c r="B510" s="800"/>
      <c r="C510" s="808"/>
      <c r="D510" s="808"/>
      <c r="E510" s="805"/>
      <c r="F510" s="805"/>
      <c r="G510" s="805"/>
      <c r="H510" s="828"/>
      <c r="I510" s="805"/>
      <c r="J510" s="808"/>
      <c r="K510" s="800"/>
      <c r="L510" s="806"/>
      <c r="M510" s="805"/>
      <c r="N510" s="800"/>
      <c r="O510" s="805"/>
      <c r="P510" s="805"/>
      <c r="Q510" s="800"/>
      <c r="R510" s="808"/>
    </row>
    <row r="511" spans="1:18">
      <c r="A511" s="800"/>
      <c r="B511" s="800"/>
      <c r="C511" s="808"/>
      <c r="D511" s="808"/>
      <c r="E511" s="805"/>
      <c r="F511" s="805"/>
      <c r="G511" s="805"/>
      <c r="H511" s="828"/>
      <c r="I511" s="805"/>
      <c r="J511" s="808"/>
      <c r="K511" s="800"/>
      <c r="L511" s="806"/>
      <c r="M511" s="805"/>
      <c r="N511" s="800"/>
      <c r="O511" s="805"/>
      <c r="P511" s="805"/>
      <c r="Q511" s="800"/>
      <c r="R511" s="808"/>
    </row>
    <row r="512" spans="1:18">
      <c r="A512" s="800"/>
      <c r="B512" s="800"/>
      <c r="C512" s="808"/>
      <c r="D512" s="808"/>
      <c r="E512" s="805"/>
      <c r="F512" s="805"/>
      <c r="G512" s="805"/>
      <c r="H512" s="828"/>
      <c r="I512" s="805"/>
      <c r="J512" s="808"/>
      <c r="K512" s="800"/>
      <c r="L512" s="806"/>
      <c r="M512" s="805"/>
      <c r="N512" s="800"/>
      <c r="O512" s="805"/>
      <c r="P512" s="805"/>
      <c r="Q512" s="800"/>
      <c r="R512" s="808"/>
    </row>
    <row r="513" spans="1:18">
      <c r="A513" s="800"/>
      <c r="B513" s="800"/>
      <c r="C513" s="808"/>
      <c r="D513" s="808"/>
      <c r="E513" s="805"/>
      <c r="F513" s="805"/>
      <c r="G513" s="805"/>
      <c r="H513" s="828"/>
      <c r="I513" s="805"/>
      <c r="J513" s="808"/>
      <c r="K513" s="800"/>
      <c r="L513" s="806"/>
      <c r="M513" s="805"/>
      <c r="N513" s="800"/>
      <c r="O513" s="805"/>
      <c r="P513" s="805"/>
      <c r="Q513" s="800"/>
      <c r="R513" s="808"/>
    </row>
  </sheetData>
  <autoFilter ref="A3:R38" xr:uid="{00000000-0001-0000-0600-000000000000}"/>
  <sortState xmlns:xlrd2="http://schemas.microsoft.com/office/spreadsheetml/2017/richdata2" ref="A4:R9">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859" t="s">
        <v>541</v>
      </c>
      <c r="B1" s="860"/>
      <c r="C1" s="860"/>
      <c r="D1" s="860"/>
      <c r="E1" s="860"/>
      <c r="F1" s="860"/>
      <c r="G1" s="860"/>
      <c r="H1" s="860"/>
      <c r="I1" s="860"/>
      <c r="J1" s="860"/>
      <c r="K1" s="860"/>
      <c r="L1" s="860"/>
      <c r="M1" s="860"/>
      <c r="N1" s="860"/>
      <c r="O1" s="860"/>
      <c r="P1" s="860"/>
      <c r="Q1" s="860"/>
      <c r="R1" s="860"/>
      <c r="S1" s="860"/>
      <c r="T1" s="860"/>
      <c r="U1" s="860"/>
      <c r="V1" s="860"/>
      <c r="W1" s="860"/>
      <c r="X1" s="860"/>
      <c r="Y1" s="860"/>
      <c r="Z1" s="860"/>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3265</v>
      </c>
      <c r="F3" s="133">
        <f>IF(分析!F122&lt;&gt;"",分析!F122,"")</f>
        <v>3160</v>
      </c>
      <c r="G3" s="133">
        <f>IF(分析!H122&lt;&gt;"",分析!H122,"")</f>
        <v>3305</v>
      </c>
      <c r="H3" s="133">
        <f>IF(分析!I122&lt;&gt;"",分析!I122,"")</f>
        <v>3160</v>
      </c>
      <c r="I3" s="133">
        <f>IF(分析!J122&lt;&gt;"",分析!J122,"")</f>
        <v>1096300</v>
      </c>
      <c r="J3" s="133">
        <f>IF(分析!AB122&lt;&gt;"",分析!AB122,"")</f>
        <v>1526.3818737270872</v>
      </c>
      <c r="K3" s="133">
        <f>IF(分析!AC122&lt;&gt;"",分析!AC122,"")</f>
        <v>1548.5971394517273</v>
      </c>
      <c r="L3" s="133">
        <f>IF(分析!K122&lt;&gt;"",分析!K122,"")</f>
        <v>4720</v>
      </c>
      <c r="M3" s="128" t="str">
        <f>IF(分析!P122&lt;&gt;"",分析!P122,"")</f>
        <v>増加↑</v>
      </c>
      <c r="N3" s="134">
        <f>IF(分析!O122&lt;&gt;"",分析!O122,"")</f>
        <v>1.6217455621301775</v>
      </c>
      <c r="O3" s="135">
        <f>IF(分析!X122&lt;&gt;"",分析!X122,"")</f>
        <v>9.7021620847085615</v>
      </c>
      <c r="P3" s="136">
        <f>IF(分析!L122&lt;&gt;"",分析!L122,"")</f>
        <v>-30.826271186440678</v>
      </c>
      <c r="Q3" s="133">
        <f>IF(分析!S122&lt;&gt;"",分析!S122,"")</f>
        <v>3134</v>
      </c>
      <c r="R3" s="133">
        <f>IF(分析!R122&lt;&gt;"",分析!R122,"")</f>
        <v>3526</v>
      </c>
      <c r="S3" s="128" t="str">
        <f>IF(分析!AA122&lt;&gt;"",分析!AA122,"")</f>
        <v>上昇▲</v>
      </c>
      <c r="T3" s="137">
        <f>IF(分析!Z122&lt;&gt;"",分析!Z122,"")</f>
        <v>7.0491803278688518</v>
      </c>
      <c r="U3" s="128" t="str">
        <f>IF(分析!V122&lt;&gt;"",分析!V122,"")</f>
        <v>通常</v>
      </c>
      <c r="V3" s="138">
        <f>IF(分析!W122&lt;&gt;"",分析!W122,"")</f>
        <v>54.465270121278941</v>
      </c>
      <c r="W3" s="139" t="str">
        <f>IF(分析!AD122&lt;&gt;"",分析!AD122,"")</f>
        <v>上昇トレンド▲</v>
      </c>
      <c r="X3" s="140" t="str">
        <f>IF(分析!AE122&lt;&gt;"",分析!AE122,"")</f>
        <v>なし</v>
      </c>
      <c r="Y3" s="141">
        <f>IF(分析!T122&lt;&gt;"",分析!T122,"")</f>
        <v>13</v>
      </c>
      <c r="Z3" s="142" t="str">
        <f>IF(分析!Y122&lt;&gt;"",分析!Y122,"")</f>
        <v>★強い買い</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2209</v>
      </c>
      <c r="F4" s="133">
        <f>IF(分析!F180&lt;&gt;"",分析!F180,"")</f>
        <v>2225</v>
      </c>
      <c r="G4" s="133">
        <f>IF(分析!H180&lt;&gt;"",分析!H180,"")</f>
        <v>2243</v>
      </c>
      <c r="H4" s="133">
        <f>IF(分析!I180&lt;&gt;"",分析!I180,"")</f>
        <v>2201</v>
      </c>
      <c r="I4" s="133">
        <f>IF(分析!J180&lt;&gt;"",分析!J180,"")</f>
        <v>35600</v>
      </c>
      <c r="J4" s="133">
        <f>IF(分析!AB180&lt;&gt;"",分析!AB180,"")</f>
        <v>2372.4490835030542</v>
      </c>
      <c r="K4" s="133">
        <f>IF(分析!AC180&lt;&gt;"",分析!AC180,"")</f>
        <v>2341.7687723480331</v>
      </c>
      <c r="L4" s="133">
        <f>IF(分析!K180&lt;&gt;"",分析!K180,"")</f>
        <v>2653</v>
      </c>
      <c r="M4" s="128" t="str">
        <f>IF(分析!P180&lt;&gt;"",分析!P180,"")</f>
        <v>減少↓</v>
      </c>
      <c r="N4" s="134">
        <f>IF(分析!O180&lt;&gt;"",分析!O180,"")</f>
        <v>0.29627163781624499</v>
      </c>
      <c r="O4" s="135">
        <f>IF(分析!X180&lt;&gt;"",分析!X180,"")</f>
        <v>-18.557268178904906</v>
      </c>
      <c r="P4" s="136">
        <f>IF(分析!L180&lt;&gt;"",分析!L180,"")</f>
        <v>-16.735770825480589</v>
      </c>
      <c r="Q4" s="133">
        <f>IF(分析!S180&lt;&gt;"",分析!S180,"")</f>
        <v>2121</v>
      </c>
      <c r="R4" s="133">
        <f>IF(分析!R180&lt;&gt;"",分析!R180,"")</f>
        <v>2386</v>
      </c>
      <c r="S4" s="128" t="str">
        <f>IF(分析!AA180&lt;&gt;"",分析!AA180,"")</f>
        <v>下落▼</v>
      </c>
      <c r="T4" s="137">
        <f>IF(分析!Z180&lt;&gt;"",分析!Z180,"")</f>
        <v>-0.7191011235955056</v>
      </c>
      <c r="U4" s="128" t="str">
        <f>IF(分析!V180&lt;&gt;"",分析!V180,"")</f>
        <v>通常</v>
      </c>
      <c r="V4" s="138">
        <f>IF(分析!W180&lt;&gt;"",分析!W180,"")</f>
        <v>29.166666666666657</v>
      </c>
      <c r="W4" s="139" t="str">
        <f>IF(分析!AD180&lt;&gt;"",分析!AD180,"")</f>
        <v>もみ合い→</v>
      </c>
      <c r="X4" s="140" t="str">
        <f>IF(分析!AE180&lt;&gt;"",分析!AE180,"")</f>
        <v>なし</v>
      </c>
      <c r="Y4" s="141">
        <f>IF(分析!T180&lt;&gt;"",分析!T180,"")</f>
        <v>4</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3716</v>
      </c>
      <c r="F5" s="148">
        <f>IF(分析!F181&lt;&gt;"",分析!F181,"")</f>
        <v>3777</v>
      </c>
      <c r="G5" s="148">
        <f>IF(分析!H181&lt;&gt;"",分析!H181,"")</f>
        <v>3869</v>
      </c>
      <c r="H5" s="148">
        <f>IF(分析!I181&lt;&gt;"",分析!I181,"")</f>
        <v>3696</v>
      </c>
      <c r="I5" s="148">
        <f>IF(分析!J181&lt;&gt;"",分析!J181,"")</f>
        <v>9679400</v>
      </c>
      <c r="J5" s="148">
        <f>IF(分析!AB181&lt;&gt;"",分析!AB181,"")</f>
        <v>13403.533604887982</v>
      </c>
      <c r="K5" s="148">
        <f>IF(分析!AC181&lt;&gt;"",分析!AC181,"")</f>
        <v>13847.651966626929</v>
      </c>
      <c r="L5" s="148">
        <f>IF(分析!K181&lt;&gt;"",分析!K181,"")</f>
        <v>5939</v>
      </c>
      <c r="M5" s="143" t="str">
        <f>IF(分析!P181&lt;&gt;"",分析!P181,"")</f>
        <v>急増↑↑</v>
      </c>
      <c r="N5" s="149">
        <f>IF(分析!O181&lt;&gt;"",分析!O181,"")</f>
        <v>2.5086824453913064</v>
      </c>
      <c r="O5" s="150">
        <f>IF(分析!X181&lt;&gt;"",分析!X181,"")</f>
        <v>-19.412414075840388</v>
      </c>
      <c r="P5" s="151">
        <f>IF(分析!L181&lt;&gt;"",分析!L181,"")</f>
        <v>-37.43054386260313</v>
      </c>
      <c r="Q5" s="148">
        <f>IF(分析!S181&lt;&gt;"",分析!S181,"")</f>
        <v>3567</v>
      </c>
      <c r="R5" s="148">
        <f>IF(分析!R181&lt;&gt;"",分析!R181,"")</f>
        <v>4013</v>
      </c>
      <c r="S5" s="143" t="str">
        <f>IF(分析!AA181&lt;&gt;"",分析!AA181,"")</f>
        <v>下落▼</v>
      </c>
      <c r="T5" s="152">
        <f>IF(分析!Z181&lt;&gt;"",分析!Z181,"")</f>
        <v>-41.461877756773788</v>
      </c>
      <c r="U5" s="143" t="str">
        <f>IF(分析!V181&lt;&gt;"",分析!V181,"")</f>
        <v>通常</v>
      </c>
      <c r="V5" s="153">
        <f>IF(分析!W181&lt;&gt;"",分析!W181,"")</f>
        <v>49.722830991362642</v>
      </c>
      <c r="W5" s="154" t="str">
        <f>IF(分析!AD181&lt;&gt;"",分析!AD181,"")</f>
        <v>下降トレンド▼</v>
      </c>
      <c r="X5" s="155" t="str">
        <f>IF(分析!AE181&lt;&gt;"",分析!AE181,"")</f>
        <v>なし</v>
      </c>
      <c r="Y5" s="156">
        <f>IF(分析!T181&lt;&gt;"",分析!T181,"")</f>
        <v>7</v>
      </c>
      <c r="Z5" s="142" t="str">
        <f>IF(分析!Y181&lt;&gt;"",分析!Y181,"")</f>
        <v>△注目</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1073</v>
      </c>
      <c r="F6" s="133">
        <f>IF(分析!F32&lt;&gt;"",分析!F32,"")</f>
        <v>1073</v>
      </c>
      <c r="G6" s="133">
        <f>IF(分析!H32&lt;&gt;"",分析!H32,"")</f>
        <v>1084</v>
      </c>
      <c r="H6" s="133">
        <f>IF(分析!I32&lt;&gt;"",分析!I32,"")</f>
        <v>1066</v>
      </c>
      <c r="I6" s="133">
        <f>IF(分析!J32&lt;&gt;"",分析!J32,"")</f>
        <v>113700</v>
      </c>
      <c r="J6" s="133">
        <f>IF(分析!AB32&lt;&gt;"",分析!AB32,"")</f>
        <v>4056.622199592668</v>
      </c>
      <c r="K6" s="133">
        <f>IF(分析!AC32&lt;&gt;"",分析!AC32,"")</f>
        <v>4072.7091775923714</v>
      </c>
      <c r="L6" s="133">
        <f>IF(分析!K32&lt;&gt;"",分析!K32,"")</f>
        <v>1267</v>
      </c>
      <c r="M6" s="128" t="str">
        <f>IF(分析!P32&lt;&gt;"",分析!P32,"")</f>
        <v>減少↓</v>
      </c>
      <c r="N6" s="134">
        <f>IF(分析!O32&lt;&gt;"",分析!O32,"")</f>
        <v>0.3301968984143579</v>
      </c>
      <c r="O6" s="135">
        <f>IF(分析!X32&lt;&gt;"",分析!X32,"")</f>
        <v>-10.733317677589639</v>
      </c>
      <c r="P6" s="136">
        <f>IF(分析!L32&lt;&gt;"",分析!L32,"")</f>
        <v>-15.311760063141278</v>
      </c>
      <c r="Q6" s="133">
        <f>IF(分析!S32&lt;&gt;"",分析!S32,"")</f>
        <v>1030</v>
      </c>
      <c r="R6" s="133">
        <f>IF(分析!R32&lt;&gt;"",分析!R32,"")</f>
        <v>1159</v>
      </c>
      <c r="S6" s="128" t="str">
        <f>IF(分析!AA32&lt;&gt;"",分析!AA32,"")</f>
        <v>上昇▲</v>
      </c>
      <c r="T6" s="137">
        <f>IF(分析!Z32&lt;&gt;"",分析!Z32,"")</f>
        <v>0.46816479400749067</v>
      </c>
      <c r="U6" s="128" t="str">
        <f>IF(分析!V32&lt;&gt;"",分析!V32,"")</f>
        <v>通常</v>
      </c>
      <c r="V6" s="138">
        <f>IF(分析!W32&lt;&gt;"",分析!W32,"")</f>
        <v>48.859233749461907</v>
      </c>
      <c r="W6" s="139" t="str">
        <f>IF(分析!AD32&lt;&gt;"",分析!AD32,"")</f>
        <v>下降トレンド▼</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1664</v>
      </c>
      <c r="F7" s="148">
        <f>IF(分析!F51&lt;&gt;"",分析!F51,"")</f>
        <v>1642</v>
      </c>
      <c r="G7" s="148">
        <f>IF(分析!H51&lt;&gt;"",分析!H51,"")</f>
        <v>1666.5</v>
      </c>
      <c r="H7" s="148">
        <f>IF(分析!I51&lt;&gt;"",分析!I51,"")</f>
        <v>1621</v>
      </c>
      <c r="I7" s="148">
        <f>IF(分析!J51&lt;&gt;"",分析!J51,"")</f>
        <v>3664800</v>
      </c>
      <c r="J7" s="148">
        <f>IF(分析!AB51&lt;&gt;"",分析!AB51,"")</f>
        <v>5913.0794297352322</v>
      </c>
      <c r="K7" s="148">
        <f>IF(分析!AC51&lt;&gt;"",分析!AC51,"")</f>
        <v>6215.7759237187138</v>
      </c>
      <c r="L7" s="148">
        <f>IF(分析!K51&lt;&gt;"",分析!K51,"")</f>
        <v>1705</v>
      </c>
      <c r="M7" s="143" t="str">
        <f>IF(分析!P51&lt;&gt;"",分析!P51,"")</f>
        <v/>
      </c>
      <c r="N7" s="149" t="str">
        <f>IF(分析!O51&lt;&gt;"",分析!O51,"")</f>
        <v/>
      </c>
      <c r="O7" s="150">
        <f>IF(分析!X51&lt;&gt;"",分析!X51,"")</f>
        <v>0</v>
      </c>
      <c r="P7" s="151">
        <f>IF(分析!L51&lt;&gt;"",分析!L51,"")</f>
        <v>-2.404692082111437</v>
      </c>
      <c r="Q7" s="148">
        <f>IF(分析!S51&lt;&gt;"",分析!S51,"")</f>
        <v>1597</v>
      </c>
      <c r="R7" s="148">
        <f>IF(分析!R51&lt;&gt;"",分析!R51,"")</f>
        <v>1797</v>
      </c>
      <c r="S7" s="143" t="str">
        <f>IF(分析!AA51&lt;&gt;"",分析!AA51,"")</f>
        <v>上昇▲</v>
      </c>
      <c r="T7" s="152" t="str">
        <f>IF(分析!Z51&lt;&gt;"",分析!Z51,"")</f>
        <v/>
      </c>
      <c r="U7" s="143" t="str">
        <f>IF(分析!V51&lt;&gt;"",分析!V51,"")</f>
        <v>高値圏</v>
      </c>
      <c r="V7" s="153">
        <f>IF(分析!W51&lt;&gt;"",分析!W51,"")</f>
        <v>50</v>
      </c>
      <c r="W7" s="154" t="str">
        <f>IF(分析!AD51&lt;&gt;"",分析!AD51,"")</f>
        <v>下降トレンド▼</v>
      </c>
      <c r="X7" s="155" t="str">
        <f>IF(分析!AE51&lt;&gt;"",分析!AE51,"")</f>
        <v>なし</v>
      </c>
      <c r="Y7" s="156">
        <f>IF(分析!T51&lt;&gt;"",分析!T51,"")</f>
        <v>10</v>
      </c>
      <c r="Z7" s="142" t="str">
        <f>IF(分析!Y51&lt;&gt;"",分析!Y51,"")</f>
        <v>○買い候補</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1007</v>
      </c>
      <c r="F8" s="148">
        <f>IF(分析!F187&lt;&gt;"",分析!F187,"")</f>
        <v>914</v>
      </c>
      <c r="G8" s="148">
        <f>IF(分析!H187&lt;&gt;"",分析!H187,"")</f>
        <v>1025</v>
      </c>
      <c r="H8" s="148">
        <f>IF(分析!I187&lt;&gt;"",分析!I187,"")</f>
        <v>914</v>
      </c>
      <c r="I8" s="148">
        <f>IF(分析!J187&lt;&gt;"",分析!J187,"")</f>
        <v>4914500</v>
      </c>
      <c r="J8" s="148">
        <f>IF(分析!AB187&lt;&gt;"",分析!AB187,"")</f>
        <v>2025.9923625254576</v>
      </c>
      <c r="K8" s="148">
        <f>IF(分析!AC187&lt;&gt;"",分析!AC187,"")</f>
        <v>2023.1495828367104</v>
      </c>
      <c r="L8" s="148">
        <f>IF(分析!K187&lt;&gt;"",分析!K187,"")</f>
        <v>4380</v>
      </c>
      <c r="M8" s="143" t="str">
        <f>IF(分析!P187&lt;&gt;"",分析!P187,"")</f>
        <v>急増↑↑</v>
      </c>
      <c r="N8" s="149">
        <f>IF(分析!O187&lt;&gt;"",分析!O187,"")</f>
        <v>2.0582568999455542</v>
      </c>
      <c r="O8" s="150">
        <f>IF(分析!X187&lt;&gt;"",分析!X187,"")</f>
        <v>-19.148058223444536</v>
      </c>
      <c r="P8" s="151">
        <f>IF(分析!L187&lt;&gt;"",分析!L187,"")</f>
        <v>-77.009132420091319</v>
      </c>
      <c r="Q8" s="148">
        <f>IF(分析!S187&lt;&gt;"",分析!S187,"")</f>
        <v>967</v>
      </c>
      <c r="R8" s="148">
        <f>IF(分析!R187&lt;&gt;"",分析!R187,"")</f>
        <v>1088</v>
      </c>
      <c r="S8" s="143" t="str">
        <f>IF(分析!AA187&lt;&gt;"",分析!AA187,"")</f>
        <v>上昇▲</v>
      </c>
      <c r="T8" s="152">
        <f>IF(分析!Z187&lt;&gt;"",分析!Z187,"")</f>
        <v>20.167064439140812</v>
      </c>
      <c r="U8" s="143" t="str">
        <f>IF(分析!V187&lt;&gt;"",分析!V187,"")</f>
        <v>通常</v>
      </c>
      <c r="V8" s="153">
        <f>IF(分析!W187&lt;&gt;"",分析!W187,"")</f>
        <v>46.168224299065422</v>
      </c>
      <c r="W8" s="154" t="str">
        <f>IF(分析!AD187&lt;&gt;"",分析!AD187,"")</f>
        <v>もみ合い→</v>
      </c>
      <c r="X8" s="155" t="str">
        <f>IF(分析!AE187&lt;&gt;"",分析!AE187,"")</f>
        <v>なし</v>
      </c>
      <c r="Y8" s="156">
        <f>IF(分析!T187&lt;&gt;"",分析!T187,"")</f>
        <v>7</v>
      </c>
      <c r="Z8" s="142" t="str">
        <f>IF(分析!Y187&lt;&gt;"",分析!Y187,"")</f>
        <v>△注目</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1013</v>
      </c>
      <c r="F9" s="133">
        <f>IF(分析!F154&lt;&gt;"",分析!F154,"")</f>
        <v>1010</v>
      </c>
      <c r="G9" s="133">
        <f>IF(分析!H154&lt;&gt;"",分析!H154,"")</f>
        <v>1019</v>
      </c>
      <c r="H9" s="133">
        <f>IF(分析!I154&lt;&gt;"",分析!I154,"")</f>
        <v>1007</v>
      </c>
      <c r="I9" s="133">
        <f>IF(分析!J154&lt;&gt;"",分析!J154,"")</f>
        <v>38700</v>
      </c>
      <c r="J9" s="133">
        <f>IF(分析!AB154&lt;&gt;"",分析!AB154,"")</f>
        <v>2550.5733197556006</v>
      </c>
      <c r="K9" s="133">
        <f>IF(分析!AC154&lt;&gt;"",分析!AC154,"")</f>
        <v>2589.8927294398081</v>
      </c>
      <c r="L9" s="133">
        <f>IF(分析!K154&lt;&gt;"",分析!K154,"")</f>
        <v>1161</v>
      </c>
      <c r="M9" s="128" t="str">
        <f>IF(分析!P154&lt;&gt;"",分析!P154,"")</f>
        <v>減少↓</v>
      </c>
      <c r="N9" s="134">
        <f>IF(分析!O154&lt;&gt;"",分析!O154,"")</f>
        <v>0.29682466635987115</v>
      </c>
      <c r="O9" s="135">
        <f>IF(分析!X154&lt;&gt;"",分析!X154,"")</f>
        <v>-3.7962060030483826</v>
      </c>
      <c r="P9" s="136">
        <f>IF(分析!L154&lt;&gt;"",分析!L154,"")</f>
        <v>-12.747631352282514</v>
      </c>
      <c r="Q9" s="133">
        <f>IF(分析!S154&lt;&gt;"",分析!S154,"")</f>
        <v>972</v>
      </c>
      <c r="R9" s="133">
        <f>IF(分析!R154&lt;&gt;"",分析!R154,"")</f>
        <v>1094</v>
      </c>
      <c r="S9" s="128" t="str">
        <f>IF(分析!AA154&lt;&gt;"",分析!AA154,"")</f>
        <v>下落▼</v>
      </c>
      <c r="T9" s="137">
        <f>IF(分析!Z154&lt;&gt;"",分析!Z154,"")</f>
        <v>-2.0309477756286265</v>
      </c>
      <c r="U9" s="128" t="str">
        <f>IF(分析!V154&lt;&gt;"",分析!V154,"")</f>
        <v>通常</v>
      </c>
      <c r="V9" s="138">
        <f>IF(分析!W154&lt;&gt;"",分析!W154,"")</f>
        <v>35.123966942148769</v>
      </c>
      <c r="W9" s="139" t="str">
        <f>IF(分析!AD154&lt;&gt;"",分析!AD154,"")</f>
        <v>下降トレンド▼</v>
      </c>
      <c r="X9" s="140" t="str">
        <f>IF(分析!AE154&lt;&gt;"",分析!AE154,"")</f>
        <v>なし</v>
      </c>
      <c r="Y9" s="141">
        <f>IF(分析!T154&lt;&gt;"",分析!T154,"")</f>
        <v>0</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2776</v>
      </c>
      <c r="F10" s="148">
        <f>IF(分析!F23&lt;&gt;"",分析!F23,"")</f>
        <v>2833.5</v>
      </c>
      <c r="G10" s="148">
        <f>IF(分析!H23&lt;&gt;"",分析!H23,"")</f>
        <v>2844</v>
      </c>
      <c r="H10" s="148">
        <f>IF(分析!I23&lt;&gt;"",分析!I23,"")</f>
        <v>2753</v>
      </c>
      <c r="I10" s="148">
        <f>IF(分析!J23&lt;&gt;"",分析!J23,"")</f>
        <v>252400</v>
      </c>
      <c r="J10" s="148">
        <f>IF(分析!AB23&lt;&gt;"",分析!AB23,"")</f>
        <v>0</v>
      </c>
      <c r="K10" s="148">
        <f>IF(分析!AC23&lt;&gt;"",分析!AC23,"")</f>
        <v>0</v>
      </c>
      <c r="L10" s="148">
        <f>IF(分析!K23&lt;&gt;"",分析!K23,"")</f>
        <v>3953</v>
      </c>
      <c r="M10" s="143" t="str">
        <f>IF(分析!P23&lt;&gt;"",分析!P23,"")</f>
        <v>減少↓</v>
      </c>
      <c r="N10" s="149">
        <f>IF(分析!O23&lt;&gt;"",分析!O23,"")</f>
        <v>0.37483664013306406</v>
      </c>
      <c r="O10" s="150">
        <f>IF(分析!X23&lt;&gt;"",分析!X23,"")</f>
        <v>4.3050501713523772</v>
      </c>
      <c r="P10" s="151">
        <f>IF(分析!L23&lt;&gt;"",分析!L23,"")</f>
        <v>-29.774854540855046</v>
      </c>
      <c r="Q10" s="148">
        <f>IF(分析!S23&lt;&gt;"",分析!S23,"")</f>
        <v>2665</v>
      </c>
      <c r="R10" s="148">
        <f>IF(分析!R23&lt;&gt;"",分析!R23,"")</f>
        <v>2998</v>
      </c>
      <c r="S10" s="143" t="str">
        <f>IF(分析!AA23&lt;&gt;"",分析!AA23,"")</f>
        <v>下落▼</v>
      </c>
      <c r="T10" s="152">
        <f>IF(分析!Z23&lt;&gt;"",分析!Z23,"")</f>
        <v>-4.1932700603968938</v>
      </c>
      <c r="U10" s="143" t="str">
        <f>IF(分析!V23&lt;&gt;"",分析!V23,"")</f>
        <v>通常</v>
      </c>
      <c r="V10" s="153">
        <f>IF(分析!W23&lt;&gt;"",分析!W23,"")</f>
        <v>51.877133105802045</v>
      </c>
      <c r="W10" s="154" t="str">
        <f>IF(分析!AD23&lt;&gt;"",分析!AD23,"")</f>
        <v>上昇トレンド▲</v>
      </c>
      <c r="X10" s="155" t="e">
        <f>IF(分析!AE23&lt;&gt;"",分析!AE23,"")</f>
        <v>#DIV/0!</v>
      </c>
      <c r="Y10" s="156">
        <f>IF(分析!T23&lt;&gt;"",分析!T23,"")</f>
        <v>0</v>
      </c>
      <c r="Z10" s="142" t="e">
        <f>IF(分析!Y23&lt;&gt;"",分析!Y23,"")</f>
        <v>#DIV/0!</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46420</v>
      </c>
      <c r="F11" s="148">
        <f>IF(分析!F81&lt;&gt;"",分析!F81,"")</f>
        <v>45140</v>
      </c>
      <c r="G11" s="148">
        <f>IF(分析!H81&lt;&gt;"",分析!H81,"")</f>
        <v>46730</v>
      </c>
      <c r="H11" s="148">
        <f>IF(分析!I81&lt;&gt;"",分析!I81,"")</f>
        <v>44560</v>
      </c>
      <c r="I11" s="148">
        <f>IF(分析!J81&lt;&gt;"",分析!J81,"")</f>
        <v>3233800</v>
      </c>
      <c r="J11" s="148">
        <f>IF(分析!AB81&lt;&gt;"",分析!AB81,"")</f>
        <v>4644.0224032586548</v>
      </c>
      <c r="K11" s="148">
        <f>IF(分析!AC81&lt;&gt;"",分析!AC81,"")</f>
        <v>4633.1072705601891</v>
      </c>
      <c r="L11" s="148">
        <f>IF(分析!K81&lt;&gt;"",分析!K81,"")</f>
        <v>58580</v>
      </c>
      <c r="M11" s="143" t="str">
        <f>IF(分析!P81&lt;&gt;"",分析!P81,"")</f>
        <v>減少↓</v>
      </c>
      <c r="N11" s="149">
        <f>IF(分析!O81&lt;&gt;"",分析!O81,"")</f>
        <v>0.73720637583892612</v>
      </c>
      <c r="O11" s="150">
        <f>IF(分析!X81&lt;&gt;"",分析!X81,"")</f>
        <v>-971.39343414040195</v>
      </c>
      <c r="P11" s="151">
        <f>IF(分析!L81&lt;&gt;"",分析!L81,"")</f>
        <v>-20.757937862751792</v>
      </c>
      <c r="Q11" s="148">
        <f>IF(分析!S81&lt;&gt;"",分析!S81,"")</f>
        <v>44563</v>
      </c>
      <c r="R11" s="148">
        <f>IF(分析!R81&lt;&gt;"",分析!R81,"")</f>
        <v>50134</v>
      </c>
      <c r="S11" s="143" t="str">
        <f>IF(分析!AA81&lt;&gt;"",分析!AA81,"")</f>
        <v>上昇▲</v>
      </c>
      <c r="T11" s="152">
        <f>IF(分析!Z81&lt;&gt;"",分析!Z81,"")</f>
        <v>13.468589586898069</v>
      </c>
      <c r="U11" s="143" t="str">
        <f>IF(分析!V81&lt;&gt;"",分析!V81,"")</f>
        <v>通常</v>
      </c>
      <c r="V11" s="153">
        <f>IF(分析!W81&lt;&gt;"",分析!W81,"")</f>
        <v>44.569499155880699</v>
      </c>
      <c r="W11" s="154" t="str">
        <f>IF(分析!AD81&lt;&gt;"",分析!AD81,"")</f>
        <v>パーフェクト▲</v>
      </c>
      <c r="X11" s="155" t="str">
        <f>IF(分析!AE81&lt;&gt;"",分析!AE81,"")</f>
        <v>なし</v>
      </c>
      <c r="Y11" s="156">
        <f>IF(分析!T81&lt;&gt;"",分析!T81,"")</f>
        <v>3</v>
      </c>
      <c r="Z11" s="142" t="str">
        <f>IF(分析!Y81&lt;&gt;"",分析!Y81,"")</f>
        <v>様子見</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1177</v>
      </c>
      <c r="F12" s="148">
        <f>IF(分析!F183&lt;&gt;"",分析!F183,"")</f>
        <v>1151</v>
      </c>
      <c r="G12" s="148">
        <f>IF(分析!H183&lt;&gt;"",分析!H183,"")</f>
        <v>1182.5</v>
      </c>
      <c r="H12" s="148">
        <f>IF(分析!I183&lt;&gt;"",分析!I183,"")</f>
        <v>1150.5</v>
      </c>
      <c r="I12" s="148">
        <f>IF(分析!J183&lt;&gt;"",分析!J183,"")</f>
        <v>2992400</v>
      </c>
      <c r="J12" s="148">
        <f>IF(分析!AB183&lt;&gt;"",分析!AB183,"")</f>
        <v>2383.9989816700599</v>
      </c>
      <c r="K12" s="148">
        <f>IF(分析!AC183&lt;&gt;"",分析!AC183,"")</f>
        <v>2352.6162097735387</v>
      </c>
      <c r="L12" s="148">
        <f>IF(分析!K183&lt;&gt;"",分析!K183,"")</f>
        <v>1353.5</v>
      </c>
      <c r="M12" s="143" t="str">
        <f>IF(分析!P183&lt;&gt;"",分析!P183,"")</f>
        <v>減少↓</v>
      </c>
      <c r="N12" s="149">
        <f>IF(分析!O183&lt;&gt;"",分析!O183,"")</f>
        <v>0.65623958315058162</v>
      </c>
      <c r="O12" s="150">
        <f>IF(分析!X183&lt;&gt;"",分析!X183,"")</f>
        <v>-0.23988313916242987</v>
      </c>
      <c r="P12" s="151">
        <f>IF(分析!L183&lt;&gt;"",分析!L183,"")</f>
        <v>-13.040265977096416</v>
      </c>
      <c r="Q12" s="148">
        <f>IF(分析!S183&lt;&gt;"",分析!S183,"")</f>
        <v>1130</v>
      </c>
      <c r="R12" s="148">
        <f>IF(分析!R183&lt;&gt;"",分析!R183,"")</f>
        <v>1271</v>
      </c>
      <c r="S12" s="143" t="str">
        <f>IF(分析!AA183&lt;&gt;"",分析!AA183,"")</f>
        <v>上昇▲</v>
      </c>
      <c r="T12" s="152">
        <f>IF(分析!Z183&lt;&gt;"",分析!Z183,"")</f>
        <v>4.2054006197432496</v>
      </c>
      <c r="U12" s="143" t="str">
        <f>IF(分析!V183&lt;&gt;"",分析!V183,"")</f>
        <v>通常</v>
      </c>
      <c r="V12" s="153">
        <f>IF(分析!W183&lt;&gt;"",分析!W183,"")</f>
        <v>48.054919908466822</v>
      </c>
      <c r="W12" s="154" t="str">
        <f>IF(分析!AD183&lt;&gt;"",分析!AD183,"")</f>
        <v>もみ合い→</v>
      </c>
      <c r="X12" s="155" t="str">
        <f>IF(分析!AE183&lt;&gt;"",分析!AE183,"")</f>
        <v>なし</v>
      </c>
      <c r="Y12" s="156">
        <f>IF(分析!T183&lt;&gt;"",分析!T183,"")</f>
        <v>3</v>
      </c>
      <c r="Z12" s="142" t="str">
        <f>IF(分析!Y183&lt;&gt;"",分析!Y183,"")</f>
        <v>様子見</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1891.5</v>
      </c>
      <c r="F13" s="133">
        <f>IF(分析!F4&lt;&gt;"",分析!F4,"")</f>
        <v>1910</v>
      </c>
      <c r="G13" s="133">
        <f>IF(分析!H4&lt;&gt;"",分析!H4,"")</f>
        <v>1961.5</v>
      </c>
      <c r="H13" s="133">
        <f>IF(分析!I4&lt;&gt;"",分析!I4,"")</f>
        <v>1884.5</v>
      </c>
      <c r="I13" s="133">
        <f>IF(分析!J4&lt;&gt;"",分析!J4,"")</f>
        <v>859400</v>
      </c>
      <c r="J13" s="133">
        <f>IF(分析!AB4&lt;&gt;"",分析!AB4,"")</f>
        <v>30473.192464358446</v>
      </c>
      <c r="K13" s="133">
        <f>IF(分析!AC4&lt;&gt;"",分析!AC4,"")</f>
        <v>32119.290822407616</v>
      </c>
      <c r="L13" s="133">
        <f>IF(分析!K4&lt;&gt;"",分析!K4,"")</f>
        <v>2275</v>
      </c>
      <c r="M13" s="128" t="str">
        <f>IF(分析!P4&lt;&gt;"",分析!P4,"")</f>
        <v>減少↓</v>
      </c>
      <c r="N13" s="134">
        <f>IF(分析!O4&lt;&gt;"",分析!O4,"")</f>
        <v>0.44318615468712935</v>
      </c>
      <c r="O13" s="135">
        <f>IF(分析!X4&lt;&gt;"",分析!X4,"")</f>
        <v>16.478482640036873</v>
      </c>
      <c r="P13" s="136">
        <f>IF(分析!L4&lt;&gt;"",分析!L4,"")</f>
        <v>-16.857142857142858</v>
      </c>
      <c r="Q13" s="133">
        <f>IF(分析!S4&lt;&gt;"",分析!S4,"")</f>
        <v>1816</v>
      </c>
      <c r="R13" s="133">
        <f>IF(分析!R4&lt;&gt;"",分析!R4,"")</f>
        <v>2043</v>
      </c>
      <c r="S13" s="128" t="str">
        <f>IF(分析!AA4&lt;&gt;"",分析!AA4,"")</f>
        <v>下落▼</v>
      </c>
      <c r="T13" s="137">
        <f>IF(分析!Z4&lt;&gt;"",分析!Z4,"")</f>
        <v>-7.3248407643312099</v>
      </c>
      <c r="U13" s="128" t="str">
        <f>IF(分析!V4&lt;&gt;"",分析!V4,"")</f>
        <v>通常</v>
      </c>
      <c r="V13" s="138">
        <f>IF(分析!W4&lt;&gt;"",分析!W4,"")</f>
        <v>63.218390804597703</v>
      </c>
      <c r="W13" s="139" t="str">
        <f>IF(分析!AD4&lt;&gt;"",分析!AD4,"")</f>
        <v>下降トレンド▼</v>
      </c>
      <c r="X13" s="140" t="str">
        <f>IF(分析!AE4&lt;&gt;"",分析!AE4,"")</f>
        <v>なし</v>
      </c>
      <c r="Y13" s="141">
        <f>IF(分析!T4&lt;&gt;"",分析!T4,"")</f>
        <v>2</v>
      </c>
      <c r="Z13" s="142" t="str">
        <f>IF(分析!Y4&lt;&gt;"",分析!Y4,"")</f>
        <v>見送り</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6584</v>
      </c>
      <c r="F14" s="133">
        <f>IF(分析!F142&lt;&gt;"",分析!F142,"")</f>
        <v>6352</v>
      </c>
      <c r="G14" s="133">
        <f>IF(分析!H142&lt;&gt;"",分析!H142,"")</f>
        <v>6599</v>
      </c>
      <c r="H14" s="133">
        <f>IF(分析!I142&lt;&gt;"",分析!I142,"")</f>
        <v>6344</v>
      </c>
      <c r="I14" s="133">
        <f>IF(分析!J142&lt;&gt;"",分析!J142,"")</f>
        <v>783300</v>
      </c>
      <c r="J14" s="133">
        <f>IF(分析!AB142&lt;&gt;"",分析!AB142,"")</f>
        <v>17530.315682281056</v>
      </c>
      <c r="K14" s="133">
        <f>IF(分析!AC142&lt;&gt;"",分析!AC142,"")</f>
        <v>18007.640047675799</v>
      </c>
      <c r="L14" s="133">
        <f>IF(分析!K142&lt;&gt;"",分析!K142,"")</f>
        <v>9500</v>
      </c>
      <c r="M14" s="128" t="str">
        <f>IF(分析!P142&lt;&gt;"",分析!P142,"")</f>
        <v>減少↓</v>
      </c>
      <c r="N14" s="134">
        <f>IF(分析!O142&lt;&gt;"",分析!O142,"")</f>
        <v>0.37322037774686007</v>
      </c>
      <c r="O14" s="135">
        <f>IF(分析!X142&lt;&gt;"",分析!X142,"")</f>
        <v>-277.75279116697675</v>
      </c>
      <c r="P14" s="136">
        <f>IF(分析!L142&lt;&gt;"",分析!L142,"")</f>
        <v>-30.694736842105264</v>
      </c>
      <c r="Q14" s="133">
        <f>IF(分析!S142&lt;&gt;"",分析!S142,"")</f>
        <v>6321</v>
      </c>
      <c r="R14" s="133">
        <f>IF(分析!R142&lt;&gt;"",分析!R142,"")</f>
        <v>7111</v>
      </c>
      <c r="S14" s="128" t="str">
        <f>IF(分析!AA142&lt;&gt;"",分析!AA142,"")</f>
        <v>上昇▲</v>
      </c>
      <c r="T14" s="137">
        <f>IF(分析!Z142&lt;&gt;"",分析!Z142,"")</f>
        <v>6.6925943931291529</v>
      </c>
      <c r="U14" s="128" t="str">
        <f>IF(分析!V142&lt;&gt;"",分析!V142,"")</f>
        <v>通常</v>
      </c>
      <c r="V14" s="138">
        <f>IF(分析!W142&lt;&gt;"",分析!W142,"")</f>
        <v>45.152182506070361</v>
      </c>
      <c r="W14" s="139" t="str">
        <f>IF(分析!AD142&lt;&gt;"",分析!AD142,"")</f>
        <v>下降トレンド▼</v>
      </c>
      <c r="X14" s="140" t="str">
        <f>IF(分析!AE142&lt;&gt;"",分析!AE142,"")</f>
        <v>なし</v>
      </c>
      <c r="Y14" s="141">
        <f>IF(分析!T142&lt;&gt;"",分析!T142,"")</f>
        <v>0</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1354</v>
      </c>
      <c r="F15" s="133">
        <f>IF(分析!F178&lt;&gt;"",分析!F178,"")</f>
        <v>1325</v>
      </c>
      <c r="G15" s="133">
        <f>IF(分析!H178&lt;&gt;"",分析!H178,"")</f>
        <v>1373</v>
      </c>
      <c r="H15" s="133">
        <f>IF(分析!I178&lt;&gt;"",分析!I178,"")</f>
        <v>1317</v>
      </c>
      <c r="I15" s="133">
        <f>IF(分析!J178&lt;&gt;"",分析!J178,"")</f>
        <v>346900</v>
      </c>
      <c r="J15" s="133">
        <f>IF(分析!AB178&lt;&gt;"",分析!AB178,"")</f>
        <v>1872.5947046843173</v>
      </c>
      <c r="K15" s="133">
        <f>IF(分析!AC178&lt;&gt;"",分析!AC178,"")</f>
        <v>1786.4970202622167</v>
      </c>
      <c r="L15" s="133">
        <f>IF(分析!K178&lt;&gt;"",分析!K178,"")</f>
        <v>1612</v>
      </c>
      <c r="M15" s="128" t="str">
        <f>IF(分析!P178&lt;&gt;"",分析!P178,"")</f>
        <v>減少↓</v>
      </c>
      <c r="N15" s="134">
        <f>IF(分析!O178&lt;&gt;"",分析!O178,"")</f>
        <v>0.26001768929797475</v>
      </c>
      <c r="O15" s="135">
        <f>IF(分析!X178&lt;&gt;"",分析!X178,"")</f>
        <v>12.420470149937273</v>
      </c>
      <c r="P15" s="136">
        <f>IF(分析!L178&lt;&gt;"",分析!L178,"")</f>
        <v>-16.00496277915633</v>
      </c>
      <c r="Q15" s="133">
        <f>IF(分析!S178&lt;&gt;"",分析!S178,"")</f>
        <v>1300</v>
      </c>
      <c r="R15" s="133">
        <f>IF(分析!R178&lt;&gt;"",分析!R178,"")</f>
        <v>1462</v>
      </c>
      <c r="S15" s="128" t="str">
        <f>IF(分析!AA178&lt;&gt;"",分析!AA178,"")</f>
        <v>上昇▲</v>
      </c>
      <c r="T15" s="137">
        <f>IF(分析!Z178&lt;&gt;"",分析!Z178,"")</f>
        <v>0.66914498141263945</v>
      </c>
      <c r="U15" s="128" t="str">
        <f>IF(分析!V178&lt;&gt;"",分析!V178,"")</f>
        <v>通常</v>
      </c>
      <c r="V15" s="138">
        <f>IF(分析!W178&lt;&gt;"",分析!W178,"")</f>
        <v>50.300601202404813</v>
      </c>
      <c r="W15" s="139" t="str">
        <f>IF(分析!AD178&lt;&gt;"",分析!AD178,"")</f>
        <v>もみ合い→</v>
      </c>
      <c r="X15" s="140" t="str">
        <f>IF(分析!AE178&lt;&gt;"",分析!AE178,"")</f>
        <v>なし</v>
      </c>
      <c r="Y15" s="141">
        <f>IF(分析!T178&lt;&gt;"",分析!T178,"")</f>
        <v>6</v>
      </c>
      <c r="Z15" s="142" t="str">
        <f>IF(分析!Y178&lt;&gt;"",分析!Y178,"")</f>
        <v>△注目</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1717</v>
      </c>
      <c r="F16" s="148">
        <f>IF(分析!F9&lt;&gt;"",分析!F9,"")</f>
        <v>1725</v>
      </c>
      <c r="G16" s="148">
        <f>IF(分析!H9&lt;&gt;"",分析!H9,"")</f>
        <v>1728</v>
      </c>
      <c r="H16" s="148">
        <f>IF(分析!I9&lt;&gt;"",分析!I9,"")</f>
        <v>1707</v>
      </c>
      <c r="I16" s="148">
        <f>IF(分析!J9&lt;&gt;"",分析!J9,"")</f>
        <v>106500</v>
      </c>
      <c r="J16" s="148">
        <f>IF(分析!AB9&lt;&gt;"",分析!AB9,"")</f>
        <v>4668.55397148676</v>
      </c>
      <c r="K16" s="148">
        <f>IF(分析!AC9&lt;&gt;"",分析!AC9,"")</f>
        <v>4486.2598331346826</v>
      </c>
      <c r="L16" s="148">
        <f>IF(分析!K9&lt;&gt;"",分析!K9,"")</f>
        <v>1891</v>
      </c>
      <c r="M16" s="143" t="str">
        <f>IF(分析!P9&lt;&gt;"",分析!P9,"")</f>
        <v>減少↓</v>
      </c>
      <c r="N16" s="149">
        <f>IF(分析!O9&lt;&gt;"",分析!O9,"")</f>
        <v>0.41384938214035905</v>
      </c>
      <c r="O16" s="150">
        <f>IF(分析!X9&lt;&gt;"",分析!X9,"")</f>
        <v>-2.2970557914970868</v>
      </c>
      <c r="P16" s="151">
        <f>IF(分析!L9&lt;&gt;"",分析!L9,"")</f>
        <v>-9.2014806980433619</v>
      </c>
      <c r="Q16" s="148">
        <f>IF(分析!S9&lt;&gt;"",分析!S9,"")</f>
        <v>1648</v>
      </c>
      <c r="R16" s="148">
        <f>IF(分析!R9&lt;&gt;"",分析!R9,"")</f>
        <v>1854</v>
      </c>
      <c r="S16" s="143" t="str">
        <f>IF(分析!AA9&lt;&gt;"",分析!AA9,"")</f>
        <v>下落▼</v>
      </c>
      <c r="T16" s="152">
        <f>IF(分析!Z9&lt;&gt;"",分析!Z9,"")</f>
        <v>-1.6045845272206303</v>
      </c>
      <c r="U16" s="143" t="str">
        <f>IF(分析!V9&lt;&gt;"",分析!V9,"")</f>
        <v>通常</v>
      </c>
      <c r="V16" s="153">
        <f>IF(分析!W9&lt;&gt;"",分析!W9,"")</f>
        <v>38.275862068965516</v>
      </c>
      <c r="W16" s="154" t="str">
        <f>IF(分析!AD9&lt;&gt;"",分析!AD9,"")</f>
        <v>もみ合い→</v>
      </c>
      <c r="X16" s="155" t="str">
        <f>IF(分析!AE9&lt;&gt;"",分析!AE9,"")</f>
        <v>なし</v>
      </c>
      <c r="Y16" s="156">
        <f>IF(分析!T9&lt;&gt;"",分析!T9,"")</f>
        <v>1</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1516</v>
      </c>
      <c r="F17" s="148">
        <f>IF(分析!F75&lt;&gt;"",分析!F75,"")</f>
        <v>1490</v>
      </c>
      <c r="G17" s="148">
        <f>IF(分析!H75&lt;&gt;"",分析!H75,"")</f>
        <v>1517</v>
      </c>
      <c r="H17" s="148">
        <f>IF(分析!I75&lt;&gt;"",分析!I75,"")</f>
        <v>1479</v>
      </c>
      <c r="I17" s="148">
        <f>IF(分析!J75&lt;&gt;"",分析!J75,"")</f>
        <v>1271200</v>
      </c>
      <c r="J17" s="148">
        <f>IF(分析!AB75&lt;&gt;"",分析!AB75,"")</f>
        <v>2998.0926680244397</v>
      </c>
      <c r="K17" s="148">
        <f>IF(分析!AC75&lt;&gt;"",分析!AC75,"")</f>
        <v>2955.9386174016672</v>
      </c>
      <c r="L17" s="148">
        <f>IF(分析!K75&lt;&gt;"",分析!K75,"")</f>
        <v>1585.5</v>
      </c>
      <c r="M17" s="143" t="str">
        <f>IF(分析!P75&lt;&gt;"",分析!P75,"")</f>
        <v>減少↓</v>
      </c>
      <c r="N17" s="149">
        <f>IF(分析!O75&lt;&gt;"",分析!O75,"")</f>
        <v>0.41748771708573079</v>
      </c>
      <c r="O17" s="150">
        <f>IF(分析!X75&lt;&gt;"",分析!X75,"")</f>
        <v>-3.5794014862342465</v>
      </c>
      <c r="P17" s="151">
        <f>IF(分析!L75&lt;&gt;"",分析!L75,"")</f>
        <v>-4.3834752444023968</v>
      </c>
      <c r="Q17" s="148">
        <f>IF(分析!S75&lt;&gt;"",分析!S75,"")</f>
        <v>1455</v>
      </c>
      <c r="R17" s="148">
        <f>IF(分析!R75&lt;&gt;"",分析!R75,"")</f>
        <v>1637</v>
      </c>
      <c r="S17" s="143" t="str">
        <f>IF(分析!AA75&lt;&gt;"",分析!AA75,"")</f>
        <v>上昇▲</v>
      </c>
      <c r="T17" s="152">
        <f>IF(分析!Z75&lt;&gt;"",分析!Z75,"")</f>
        <v>2.2252191503708696</v>
      </c>
      <c r="U17" s="143" t="str">
        <f>IF(分析!V75&lt;&gt;"",分析!V75,"")</f>
        <v>高値圏</v>
      </c>
      <c r="V17" s="153">
        <f>IF(分析!W75&lt;&gt;"",分析!W75,"")</f>
        <v>43.676662320730109</v>
      </c>
      <c r="W17" s="154" t="str">
        <f>IF(分析!AD75&lt;&gt;"",分析!AD75,"")</f>
        <v>もみ合い→</v>
      </c>
      <c r="X17" s="155" t="str">
        <f>IF(分析!AE75&lt;&gt;"",分析!AE75,"")</f>
        <v>なし</v>
      </c>
      <c r="Y17" s="156">
        <f>IF(分析!T75&lt;&gt;"",分析!T75,"")</f>
        <v>8</v>
      </c>
      <c r="Z17" s="142" t="str">
        <f>IF(分析!Y75&lt;&gt;"",分析!Y75,"")</f>
        <v>△注目</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5781</v>
      </c>
      <c r="F18" s="148">
        <f>IF(分析!F145&lt;&gt;"",分析!F145,"")</f>
        <v>5634</v>
      </c>
      <c r="G18" s="148">
        <f>IF(分析!H145&lt;&gt;"",分析!H145,"")</f>
        <v>5821</v>
      </c>
      <c r="H18" s="148">
        <f>IF(分析!I145&lt;&gt;"",分析!I145,"")</f>
        <v>5611</v>
      </c>
      <c r="I18" s="148">
        <f>IF(分析!J145&lt;&gt;"",分析!J145,"")</f>
        <v>2097000</v>
      </c>
      <c r="J18" s="148">
        <f>IF(分析!AB145&lt;&gt;"",分析!AB145,"")</f>
        <v>8515.5193482688373</v>
      </c>
      <c r="K18" s="148">
        <f>IF(分析!AC145&lt;&gt;"",分析!AC145,"")</f>
        <v>9455.2800953516089</v>
      </c>
      <c r="L18" s="148">
        <f>IF(分析!K145&lt;&gt;"",分析!K145,"")</f>
        <v>8315</v>
      </c>
      <c r="M18" s="143" t="str">
        <f>IF(分析!P145&lt;&gt;"",分析!P145,"")</f>
        <v>減少↓</v>
      </c>
      <c r="N18" s="149">
        <f>IF(分析!O145&lt;&gt;"",分析!O145,"")</f>
        <v>0.77198330130541382</v>
      </c>
      <c r="O18" s="150">
        <f>IF(分析!X145&lt;&gt;"",分析!X145,"")</f>
        <v>-90.322443967692379</v>
      </c>
      <c r="P18" s="151">
        <f>IF(分析!L145&lt;&gt;"",分析!L145,"")</f>
        <v>-30.475045099218278</v>
      </c>
      <c r="Q18" s="148">
        <f>IF(分析!S145&lt;&gt;"",分析!S145,"")</f>
        <v>5550</v>
      </c>
      <c r="R18" s="148">
        <f>IF(分析!R145&lt;&gt;"",分析!R145,"")</f>
        <v>6243</v>
      </c>
      <c r="S18" s="143" t="str">
        <f>IF(分析!AA145&lt;&gt;"",分析!AA145,"")</f>
        <v>下落▼</v>
      </c>
      <c r="T18" s="152">
        <f>IF(分析!Z145&lt;&gt;"",分析!Z145,"")</f>
        <v>-4.6511627906976747</v>
      </c>
      <c r="U18" s="143" t="str">
        <f>IF(分析!V145&lt;&gt;"",分析!V145,"")</f>
        <v>通常</v>
      </c>
      <c r="V18" s="153">
        <f>IF(分析!W145&lt;&gt;"",分析!W145,"")</f>
        <v>40.156918687589162</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315</v>
      </c>
      <c r="F19" s="148">
        <f>IF(分析!F151&lt;&gt;"",分析!F151,"")</f>
        <v>316</v>
      </c>
      <c r="G19" s="148">
        <f>IF(分析!H151&lt;&gt;"",分析!H151,"")</f>
        <v>322</v>
      </c>
      <c r="H19" s="148">
        <f>IF(分析!I151&lt;&gt;"",分析!I151,"")</f>
        <v>314</v>
      </c>
      <c r="I19" s="148">
        <f>IF(分析!J151&lt;&gt;"",分析!J151,"")</f>
        <v>92300</v>
      </c>
      <c r="J19" s="148">
        <f>IF(分析!AB151&lt;&gt;"",分析!AB151,"")</f>
        <v>4313.1720977596742</v>
      </c>
      <c r="K19" s="148">
        <f>IF(分析!AC151&lt;&gt;"",分析!AC151,"")</f>
        <v>4275.3992848629296</v>
      </c>
      <c r="L19" s="148">
        <f>IF(分析!K151&lt;&gt;"",分析!K151,"")</f>
        <v>995</v>
      </c>
      <c r="M19" s="143" t="str">
        <f>IF(分析!P151&lt;&gt;"",分析!P151,"")</f>
        <v>減少↓</v>
      </c>
      <c r="N19" s="149">
        <f>IF(分析!O151&lt;&gt;"",分析!O151,"")</f>
        <v>0.39911787598374127</v>
      </c>
      <c r="O19" s="150">
        <f>IF(分析!X151&lt;&gt;"",分析!X151,"")</f>
        <v>-1.4053112773094654</v>
      </c>
      <c r="P19" s="151">
        <f>IF(分析!L151&lt;&gt;"",分析!L151,"")</f>
        <v>-68.341708542713562</v>
      </c>
      <c r="Q19" s="148">
        <f>IF(分析!S151&lt;&gt;"",分析!S151,"")</f>
        <v>302</v>
      </c>
      <c r="R19" s="148">
        <f>IF(分析!R151&lt;&gt;"",分析!R151,"")</f>
        <v>340</v>
      </c>
      <c r="S19" s="143" t="str">
        <f>IF(分析!AA151&lt;&gt;"",分析!AA151,"")</f>
        <v>上昇▲</v>
      </c>
      <c r="T19" s="152">
        <f>IF(分析!Z151&lt;&gt;"",分析!Z151,"")</f>
        <v>1.2861736334405145</v>
      </c>
      <c r="U19" s="143" t="str">
        <f>IF(分析!V151&lt;&gt;"",分析!V151,"")</f>
        <v>通常</v>
      </c>
      <c r="V19" s="153">
        <f>IF(分析!W151&lt;&gt;"",分析!W151,"")</f>
        <v>42.857142857142854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8020</v>
      </c>
      <c r="F20" s="133">
        <f>IF(分析!F192&lt;&gt;"",分析!F192,"")</f>
        <v>8140</v>
      </c>
      <c r="G20" s="133">
        <f>IF(分析!H192&lt;&gt;"",分析!H192,"")</f>
        <v>8150</v>
      </c>
      <c r="H20" s="133">
        <f>IF(分析!I192&lt;&gt;"",分析!I192,"")</f>
        <v>8000</v>
      </c>
      <c r="I20" s="133">
        <f>IF(分析!J192&lt;&gt;"",分析!J192,"")</f>
        <v>247000</v>
      </c>
      <c r="J20" s="133">
        <f>IF(分析!AB192&lt;&gt;"",分析!AB192,"")</f>
        <v>7958.8798370672084</v>
      </c>
      <c r="K20" s="133">
        <f>IF(分析!AC192&lt;&gt;"",分析!AC192,"")</f>
        <v>7461.7401668653129</v>
      </c>
      <c r="L20" s="133">
        <f>IF(分析!K192&lt;&gt;"",分析!K192,"")</f>
        <v>8780</v>
      </c>
      <c r="M20" s="128" t="str">
        <f>IF(分析!P192&lt;&gt;"",分析!P192,"")</f>
        <v>減少↓</v>
      </c>
      <c r="N20" s="134">
        <f>IF(分析!O192&lt;&gt;"",分析!O192,"")</f>
        <v>0.31931947460957699</v>
      </c>
      <c r="O20" s="135">
        <f>IF(分析!X192&lt;&gt;"",分析!X192,"")</f>
        <v>5.759575543608662</v>
      </c>
      <c r="P20" s="136">
        <f>IF(分析!L192&lt;&gt;"",分析!L192,"")</f>
        <v>-8.6560364464692476</v>
      </c>
      <c r="Q20" s="133">
        <f>IF(分析!S192&lt;&gt;"",分析!S192,"")</f>
        <v>7699</v>
      </c>
      <c r="R20" s="133">
        <f>IF(分析!R192&lt;&gt;"",分析!R192,"")</f>
        <v>8662</v>
      </c>
      <c r="S20" s="128" t="str">
        <f>IF(分析!AA192&lt;&gt;"",分析!AA192,"")</f>
        <v>下落▼</v>
      </c>
      <c r="T20" s="137">
        <f>IF(分析!Z192&lt;&gt;"",分析!Z192,"")</f>
        <v>-2.4330900243309004</v>
      </c>
      <c r="U20" s="128" t="str">
        <f>IF(分析!V192&lt;&gt;"",分析!V192,"")</f>
        <v>通常</v>
      </c>
      <c r="V20" s="138">
        <f>IF(分析!W192&lt;&gt;"",分析!W192,"")</f>
        <v>51.503990178023336</v>
      </c>
      <c r="W20" s="139" t="str">
        <f>IF(分析!AD192&lt;&gt;"",分析!AD192,"")</f>
        <v>パーフェクト▲</v>
      </c>
      <c r="X20" s="140" t="str">
        <f>IF(分析!AE192&lt;&gt;"",分析!AE192,"")</f>
        <v>5日押し目○</v>
      </c>
      <c r="Y20" s="141">
        <f>IF(分析!T192&lt;&gt;"",分析!T192,"")</f>
        <v>8</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1707.5</v>
      </c>
      <c r="F21" s="133">
        <f>IF(分析!F188&lt;&gt;"",分析!F188,"")</f>
        <v>1719</v>
      </c>
      <c r="G21" s="133">
        <f>IF(分析!H188&lt;&gt;"",分析!H188,"")</f>
        <v>1728</v>
      </c>
      <c r="H21" s="133">
        <f>IF(分析!I188&lt;&gt;"",分析!I188,"")</f>
        <v>1699</v>
      </c>
      <c r="I21" s="133">
        <f>IF(分析!J188&lt;&gt;"",分析!J188,"")</f>
        <v>1578300</v>
      </c>
      <c r="J21" s="133">
        <f>IF(分析!AB188&lt;&gt;"",分析!AB188,"")</f>
        <v>1731.961812627291</v>
      </c>
      <c r="K21" s="133">
        <f>IF(分析!AC188&lt;&gt;"",分析!AC188,"")</f>
        <v>1707.172824791418</v>
      </c>
      <c r="L21" s="133">
        <f>IF(分析!K188&lt;&gt;"",分析!K188,"")</f>
        <v>2094</v>
      </c>
      <c r="M21" s="128" t="str">
        <f>IF(分析!P188&lt;&gt;"",分析!P188,"")</f>
        <v>減少↓</v>
      </c>
      <c r="N21" s="134">
        <f>IF(分析!O188&lt;&gt;"",分析!O188,"")</f>
        <v>0.41413240271837526</v>
      </c>
      <c r="O21" s="135">
        <f>IF(分析!X188&lt;&gt;"",分析!X188,"")</f>
        <v>2.1459377325979858</v>
      </c>
      <c r="P21" s="136">
        <f>IF(分析!L188&lt;&gt;"",分析!L188,"")</f>
        <v>-18.457497612225406</v>
      </c>
      <c r="Q21" s="133">
        <f>IF(分析!S188&lt;&gt;"",分析!S188,"")</f>
        <v>1639</v>
      </c>
      <c r="R21" s="133">
        <f>IF(分析!R188&lt;&gt;"",分析!R188,"")</f>
        <v>1844</v>
      </c>
      <c r="S21" s="128" t="str">
        <f>IF(分析!AA188&lt;&gt;"",分析!AA188,"")</f>
        <v>下落▼</v>
      </c>
      <c r="T21" s="137">
        <f>IF(分析!Z188&lt;&gt;"",分析!Z188,"")</f>
        <v>-0.14619883040935672</v>
      </c>
      <c r="U21" s="128" t="str">
        <f>IF(分析!V188&lt;&gt;"",分析!V188,"")</f>
        <v>通常</v>
      </c>
      <c r="V21" s="138">
        <f>IF(分析!W188&lt;&gt;"",分析!W188,"")</f>
        <v>44.553483807654565</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1627.5</v>
      </c>
      <c r="F22" s="133">
        <f>IF(分析!F184&lt;&gt;"",分析!F184,"")</f>
        <v>1628.5</v>
      </c>
      <c r="G22" s="133">
        <f>IF(分析!H184&lt;&gt;"",分析!H184,"")</f>
        <v>1659</v>
      </c>
      <c r="H22" s="133">
        <f>IF(分析!I184&lt;&gt;"",分析!I184,"")</f>
        <v>1612</v>
      </c>
      <c r="I22" s="133">
        <f>IF(分析!J184&lt;&gt;"",分析!J184,"")</f>
        <v>523700</v>
      </c>
      <c r="J22" s="133">
        <f>IF(分析!AB184&lt;&gt;"",分析!AB184,"")</f>
        <v>1183.0386965376781</v>
      </c>
      <c r="K22" s="133">
        <f>IF(分析!AC184&lt;&gt;"",分析!AC184,"")</f>
        <v>1147.7312276519663</v>
      </c>
      <c r="L22" s="133">
        <f>IF(分析!K184&lt;&gt;"",分析!K184,"")</f>
        <v>1773</v>
      </c>
      <c r="M22" s="128" t="str">
        <f>IF(分析!P184&lt;&gt;"",分析!P184,"")</f>
        <v/>
      </c>
      <c r="N22" s="134" t="str">
        <f>IF(分析!O184&lt;&gt;"",分析!O184,"")</f>
        <v/>
      </c>
      <c r="O22" s="135">
        <f>IF(分析!X184&lt;&gt;"",分析!X184,"")</f>
        <v>0</v>
      </c>
      <c r="P22" s="136">
        <f>IF(分析!L184&lt;&gt;"",分析!L184,"")</f>
        <v>-8.2064297800338419</v>
      </c>
      <c r="Q22" s="133">
        <f>IF(分析!S184&lt;&gt;"",分析!S184,"")</f>
        <v>1562</v>
      </c>
      <c r="R22" s="133">
        <f>IF(分析!R184&lt;&gt;"",分析!R184,"")</f>
        <v>1758</v>
      </c>
      <c r="S22" s="128" t="str">
        <f>IF(分析!AA184&lt;&gt;"",分析!AA184,"")</f>
        <v>上昇▲</v>
      </c>
      <c r="T22" s="137" t="str">
        <f>IF(分析!Z184&lt;&gt;"",分析!Z184,"")</f>
        <v/>
      </c>
      <c r="U22" s="128" t="str">
        <f>IF(分析!V184&lt;&gt;"",分析!V184,"")</f>
        <v>通常</v>
      </c>
      <c r="V22" s="138">
        <f>IF(分析!W184&lt;&gt;"",分析!W184,"")</f>
        <v>50</v>
      </c>
      <c r="W22" s="139" t="str">
        <f>IF(分析!AD184&lt;&gt;"",分析!AD184,"")</f>
        <v>パーフェクト▲</v>
      </c>
      <c r="X22" s="140" t="str">
        <f>IF(分析!AE184&lt;&gt;"",分析!AE184,"")</f>
        <v>なし</v>
      </c>
      <c r="Y22" s="141">
        <f>IF(分析!T184&lt;&gt;"",分析!T184,"")</f>
        <v>10</v>
      </c>
      <c r="Z22" s="142" t="str">
        <f>IF(分析!Y184&lt;&gt;"",分析!Y184,"")</f>
        <v>○買い候補</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5561</v>
      </c>
      <c r="F23" s="133">
        <f>IF(分析!F124&lt;&gt;"",分析!F124,"")</f>
        <v>5355</v>
      </c>
      <c r="G23" s="133">
        <f>IF(分析!H124&lt;&gt;"",分析!H124,"")</f>
        <v>5602</v>
      </c>
      <c r="H23" s="133">
        <f>IF(分析!I124&lt;&gt;"",分析!I124,"")</f>
        <v>5291</v>
      </c>
      <c r="I23" s="133">
        <f>IF(分析!J124&lt;&gt;"",分析!J124,"")</f>
        <v>699800</v>
      </c>
      <c r="J23" s="133">
        <f>IF(分析!AB124&lt;&gt;"",分析!AB124,"")</f>
        <v>1022.6313645621179</v>
      </c>
      <c r="K23" s="133">
        <f>IF(分析!AC124&lt;&gt;"",分析!AC124,"")</f>
        <v>1014.38021454112</v>
      </c>
      <c r="L23" s="133">
        <f>IF(分析!K124&lt;&gt;"",分析!K124,"")</f>
        <v>9317</v>
      </c>
      <c r="M23" s="128" t="str">
        <f>IF(分析!P124&lt;&gt;"",分析!P124,"")</f>
        <v>減少↓</v>
      </c>
      <c r="N23" s="134">
        <f>IF(分析!O124&lt;&gt;"",分析!O124,"")</f>
        <v>0.67806135302211112</v>
      </c>
      <c r="O23" s="135">
        <f>IF(分析!X124&lt;&gt;"",分析!X124,"")</f>
        <v>-29.937786330942799</v>
      </c>
      <c r="P23" s="136">
        <f>IF(分析!L124&lt;&gt;"",分析!L124,"")</f>
        <v>-40.313405602661803</v>
      </c>
      <c r="Q23" s="133">
        <f>IF(分析!S124&lt;&gt;"",分析!S124,"")</f>
        <v>5339</v>
      </c>
      <c r="R23" s="133">
        <f>IF(分析!R124&lt;&gt;"",分析!R124,"")</f>
        <v>6006</v>
      </c>
      <c r="S23" s="128" t="str">
        <f>IF(分析!AA124&lt;&gt;"",分析!AA124,"")</f>
        <v>上昇▲</v>
      </c>
      <c r="T23" s="137">
        <f>IF(分析!Z124&lt;&gt;"",分析!Z124,"")</f>
        <v>4.8453996983408754</v>
      </c>
      <c r="U23" s="128" t="str">
        <f>IF(分析!V124&lt;&gt;"",分析!V124,"")</f>
        <v>通常</v>
      </c>
      <c r="V23" s="138">
        <f>IF(分析!W124&lt;&gt;"",分析!W124,"")</f>
        <v>37.097598364844146</v>
      </c>
      <c r="W23" s="139" t="str">
        <f>IF(分析!AD124&lt;&gt;"",分析!AD124,"")</f>
        <v>パーフェクト▲</v>
      </c>
      <c r="X23" s="140" t="str">
        <f>IF(分析!AE124&lt;&gt;"",分析!AE124,"")</f>
        <v>なし</v>
      </c>
      <c r="Y23" s="141">
        <f>IF(分析!T124&lt;&gt;"",分析!T124,"")</f>
        <v>9</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9870</v>
      </c>
      <c r="F24" s="148">
        <f>IF(分析!F103&lt;&gt;"",分析!F103,"")</f>
        <v>9950</v>
      </c>
      <c r="G24" s="148">
        <f>IF(分析!H103&lt;&gt;"",分析!H103,"")</f>
        <v>9960</v>
      </c>
      <c r="H24" s="148">
        <f>IF(分析!I103&lt;&gt;"",分析!I103,"")</f>
        <v>9460</v>
      </c>
      <c r="I24" s="148">
        <f>IF(分析!J103&lt;&gt;"",分析!J103,"")</f>
        <v>121300</v>
      </c>
      <c r="J24" s="148">
        <f>IF(分析!AB103&lt;&gt;"",分析!AB103,"")</f>
        <v>3861.9602851323816</v>
      </c>
      <c r="K24" s="148">
        <f>IF(分析!AC103&lt;&gt;"",分析!AC103,"")</f>
        <v>4024.2431466030962</v>
      </c>
      <c r="L24" s="148">
        <f>IF(分析!K103&lt;&gt;"",分析!K103,"")</f>
        <v>16930</v>
      </c>
      <c r="M24" s="143" t="str">
        <f>IF(分析!P103&lt;&gt;"",分析!P103,"")</f>
        <v>減少↓</v>
      </c>
      <c r="N24" s="149">
        <f>IF(分析!O103&lt;&gt;"",分析!O103,"")</f>
        <v>0.72756717850287911</v>
      </c>
      <c r="O24" s="150">
        <f>IF(分析!X103&lt;&gt;"",分析!X103,"")</f>
        <v>-674.44176660470475</v>
      </c>
      <c r="P24" s="151">
        <f>IF(分析!L103&lt;&gt;"",分析!L103,"")</f>
        <v>-41.701122268163026</v>
      </c>
      <c r="Q24" s="148">
        <f>IF(分析!S103&lt;&gt;"",分析!S103,"")</f>
        <v>9475</v>
      </c>
      <c r="R24" s="148">
        <f>IF(分析!R103&lt;&gt;"",分析!R103,"")</f>
        <v>10660</v>
      </c>
      <c r="S24" s="143" t="str">
        <f>IF(分析!AA103&lt;&gt;"",分析!AA103,"")</f>
        <v>上昇▲</v>
      </c>
      <c r="T24" s="152">
        <f>IF(分析!Z103&lt;&gt;"",分析!Z103,"")</f>
        <v>15.845070422535212</v>
      </c>
      <c r="U24" s="143" t="str">
        <f>IF(分析!V103&lt;&gt;"",分析!V103,"")</f>
        <v>通常</v>
      </c>
      <c r="V24" s="153">
        <f>IF(分析!W103&lt;&gt;"",分析!W103,"")</f>
        <v>41.74793698424606</v>
      </c>
      <c r="W24" s="154" t="str">
        <f>IF(分析!AD103&lt;&gt;"",分析!AD103,"")</f>
        <v>上昇トレンド▲</v>
      </c>
      <c r="X24" s="155" t="str">
        <f>IF(分析!AE103&lt;&gt;"",分析!AE103,"")</f>
        <v>なし</v>
      </c>
      <c r="Y24" s="156">
        <f>IF(分析!T103&lt;&gt;"",分析!T103,"")</f>
        <v>2</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2529</v>
      </c>
      <c r="F25" s="148">
        <f>IF(分析!F133&lt;&gt;"",分析!F133,"")</f>
        <v>2495</v>
      </c>
      <c r="G25" s="148">
        <f>IF(分析!H133&lt;&gt;"",分析!H133,"")</f>
        <v>2558</v>
      </c>
      <c r="H25" s="148">
        <f>IF(分析!I133&lt;&gt;"",分析!I133,"")</f>
        <v>2485</v>
      </c>
      <c r="I25" s="148">
        <f>IF(分析!J133&lt;&gt;"",分析!J133,"")</f>
        <v>299800</v>
      </c>
      <c r="J25" s="148">
        <f>IF(分析!AB133&lt;&gt;"",分析!AB133,"")</f>
        <v>2982.9582484725042</v>
      </c>
      <c r="K25" s="148">
        <f>IF(分析!AC133&lt;&gt;"",分析!AC133,"")</f>
        <v>3956.4529201430259</v>
      </c>
      <c r="L25" s="148">
        <f>IF(分析!K133&lt;&gt;"",分析!K133,"")</f>
        <v>3865</v>
      </c>
      <c r="M25" s="143" t="str">
        <f>IF(分析!P133&lt;&gt;"",分析!P133,"")</f>
        <v>普通→</v>
      </c>
      <c r="N25" s="149">
        <f>IF(分析!O133&lt;&gt;"",分析!O133,"")</f>
        <v>1.2283864623453249</v>
      </c>
      <c r="O25" s="150">
        <f>IF(分析!X133&lt;&gt;"",分析!X133,"")</f>
        <v>9.2872901898203963</v>
      </c>
      <c r="P25" s="151">
        <f>IF(分析!L133&lt;&gt;"",分析!L133,"")</f>
        <v>-34.566623544631305</v>
      </c>
      <c r="Q25" s="148">
        <f>IF(分析!S133&lt;&gt;"",分析!S133,"")</f>
        <v>2428</v>
      </c>
      <c r="R25" s="148">
        <f>IF(分析!R133&lt;&gt;"",分析!R133,"")</f>
        <v>2731</v>
      </c>
      <c r="S25" s="143" t="str">
        <f>IF(分析!AA133&lt;&gt;"",分析!AA133,"")</f>
        <v>上昇▲</v>
      </c>
      <c r="T25" s="152">
        <f>IF(分析!Z133&lt;&gt;"",分析!Z133,"")</f>
        <v>4.0740740740740744</v>
      </c>
      <c r="U25" s="143" t="str">
        <f>IF(分析!V133&lt;&gt;"",分析!V133,"")</f>
        <v>通常</v>
      </c>
      <c r="V25" s="153">
        <f>IF(分析!W133&lt;&gt;"",分析!W133,"")</f>
        <v>51.782548749261373</v>
      </c>
      <c r="W25" s="154" t="str">
        <f>IF(分析!AD133&lt;&gt;"",分析!AD133,"")</f>
        <v>下降トレンド▼</v>
      </c>
      <c r="X25" s="155" t="str">
        <f>IF(分析!AE133&lt;&gt;"",分析!AE133,"")</f>
        <v>なし</v>
      </c>
      <c r="Y25" s="156">
        <f>IF(分析!T133&lt;&gt;"",分析!T133,"")</f>
        <v>7</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2638</v>
      </c>
      <c r="F26" s="148">
        <f>IF(分析!F195&lt;&gt;"",分析!F195,"")</f>
        <v>2532</v>
      </c>
      <c r="G26" s="148">
        <f>IF(分析!H195&lt;&gt;"",分析!H195,"")</f>
        <v>2665</v>
      </c>
      <c r="H26" s="148">
        <f>IF(分析!I195&lt;&gt;"",分析!I195,"")</f>
        <v>2526</v>
      </c>
      <c r="I26" s="148">
        <f>IF(分析!J195&lt;&gt;"",分析!J195,"")</f>
        <v>619200</v>
      </c>
      <c r="J26" s="148">
        <f>IF(分析!AB195&lt;&gt;"",分析!AB195,"")</f>
        <v>58857.535641547853</v>
      </c>
      <c r="K26" s="148">
        <f>IF(分析!AC195&lt;&gt;"",分析!AC195,"")</f>
        <v>63882.574493444547</v>
      </c>
      <c r="L26" s="148">
        <f>IF(分析!K195&lt;&gt;"",分析!K195,"")</f>
        <v>3740</v>
      </c>
      <c r="M26" s="143" t="str">
        <f>IF(分析!P195&lt;&gt;"",分析!P195,"")</f>
        <v>減少↓</v>
      </c>
      <c r="N26" s="149">
        <f>IF(分析!O195&lt;&gt;"",分析!O195,"")</f>
        <v>0.57778441325768881</v>
      </c>
      <c r="O26" s="150">
        <f>IF(分析!X195&lt;&gt;"",分析!X195,"")</f>
        <v>-30.779252026953145</v>
      </c>
      <c r="P26" s="151">
        <f>IF(分析!L195&lt;&gt;"",分析!L195,"")</f>
        <v>-29.465240641711233</v>
      </c>
      <c r="Q26" s="148">
        <f>IF(分析!S195&lt;&gt;"",分析!S195,"")</f>
        <v>2532</v>
      </c>
      <c r="R26" s="148">
        <f>IF(分析!R195&lt;&gt;"",分析!R195,"")</f>
        <v>2849</v>
      </c>
      <c r="S26" s="143" t="str">
        <f>IF(分析!AA195&lt;&gt;"",分析!AA195,"")</f>
        <v>上昇▲</v>
      </c>
      <c r="T26" s="152">
        <f>IF(分析!Z195&lt;&gt;"",分析!Z195,"")</f>
        <v>6.028938906752412</v>
      </c>
      <c r="U26" s="143" t="str">
        <f>IF(分析!V195&lt;&gt;"",分析!V195,"")</f>
        <v>通常</v>
      </c>
      <c r="V26" s="153">
        <f>IF(分析!W195&lt;&gt;"",分析!W195,"")</f>
        <v>45.187793427230048</v>
      </c>
      <c r="W26" s="154" t="str">
        <f>IF(分析!AD195&lt;&gt;"",分析!AD195,"")</f>
        <v>下降トレンド▼</v>
      </c>
      <c r="X26" s="155" t="str">
        <f>IF(分析!AE195&lt;&gt;"",分析!AE195,"")</f>
        <v>なし</v>
      </c>
      <c r="Y26" s="156">
        <f>IF(分析!T195&lt;&gt;"",分析!T195,"")</f>
        <v>0</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35080</v>
      </c>
      <c r="F27" s="148">
        <f>IF(分析!F131&lt;&gt;"",分析!F131,"")</f>
        <v>33900</v>
      </c>
      <c r="G27" s="148">
        <f>IF(分析!H131&lt;&gt;"",分析!H131,"")</f>
        <v>35270</v>
      </c>
      <c r="H27" s="148">
        <f>IF(分析!I131&lt;&gt;"",分析!I131,"")</f>
        <v>33370</v>
      </c>
      <c r="I27" s="148">
        <f>IF(分析!J131&lt;&gt;"",分析!J131,"")</f>
        <v>1106200</v>
      </c>
      <c r="J27" s="148">
        <f>IF(分析!AB131&lt;&gt;"",分析!AB131,"")</f>
        <v>2949.1374745417506</v>
      </c>
      <c r="K27" s="148">
        <f>IF(分析!AC131&lt;&gt;"",分析!AC131,"")</f>
        <v>3866.8653158522038</v>
      </c>
      <c r="L27" s="148">
        <f>IF(分析!K131&lt;&gt;"",分析!K131,"")</f>
        <v>57700</v>
      </c>
      <c r="M27" s="143" t="str">
        <f>IF(分析!P131&lt;&gt;"",分析!P131,"")</f>
        <v>減少↓</v>
      </c>
      <c r="N27" s="149">
        <f>IF(分析!O131&lt;&gt;"",分析!O131,"")</f>
        <v>0.75878342227648743</v>
      </c>
      <c r="O27" s="150">
        <f>IF(分析!X131&lt;&gt;"",分析!X131,"")</f>
        <v>-980.84847495810027</v>
      </c>
      <c r="P27" s="151">
        <f>IF(分析!L131&lt;&gt;"",分析!L131,"")</f>
        <v>-39.202772963604851</v>
      </c>
      <c r="Q27" s="148">
        <f>IF(分析!S131&lt;&gt;"",分析!S131,"")</f>
        <v>33677</v>
      </c>
      <c r="R27" s="148">
        <f>IF(分析!R131&lt;&gt;"",分析!R131,"")</f>
        <v>37886</v>
      </c>
      <c r="S27" s="143" t="str">
        <f>IF(分析!AA131&lt;&gt;"",分析!AA131,"")</f>
        <v>上昇▲</v>
      </c>
      <c r="T27" s="152">
        <f>IF(分析!Z131&lt;&gt;"",分析!Z131,"")</f>
        <v>13.56426027840725</v>
      </c>
      <c r="U27" s="143" t="str">
        <f>IF(分析!V131&lt;&gt;"",分析!V131,"")</f>
        <v>通常</v>
      </c>
      <c r="V27" s="153">
        <f>IF(分析!W131&lt;&gt;"",分析!W131,"")</f>
        <v>40.846538782318596</v>
      </c>
      <c r="W27" s="154" t="str">
        <f>IF(分析!AD131&lt;&gt;"",分析!AD131,"")</f>
        <v>上昇トレンド▲</v>
      </c>
      <c r="X27" s="155" t="str">
        <f>IF(分析!AE131&lt;&gt;"",分析!AE131,"")</f>
        <v>なし</v>
      </c>
      <c r="Y27" s="156">
        <f>IF(分析!T131&lt;&gt;"",分析!T131,"")</f>
        <v>2</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5022</v>
      </c>
      <c r="F28" s="133">
        <f>IF(分析!F34&lt;&gt;"",分析!F34,"")</f>
        <v>5020</v>
      </c>
      <c r="G28" s="133">
        <f>IF(分析!H34&lt;&gt;"",分析!H34,"")</f>
        <v>5040</v>
      </c>
      <c r="H28" s="133">
        <f>IF(分析!I34&lt;&gt;"",分析!I34,"")</f>
        <v>4973</v>
      </c>
      <c r="I28" s="133">
        <f>IF(分析!J34&lt;&gt;"",分析!J34,"")</f>
        <v>581000</v>
      </c>
      <c r="J28" s="133">
        <f>IF(分析!AB34&lt;&gt;"",分析!AB34,"")</f>
        <v>1770.6782077393068</v>
      </c>
      <c r="K28" s="133">
        <f>IF(分析!AC34&lt;&gt;"",分析!AC34,"")</f>
        <v>1832.2234803337299</v>
      </c>
      <c r="L28" s="133">
        <f>IF(分析!K34&lt;&gt;"",分析!K34,"")</f>
        <v>5176</v>
      </c>
      <c r="M28" s="128" t="str">
        <f>IF(分析!P34&lt;&gt;"",分析!P34,"")</f>
        <v>減少↓</v>
      </c>
      <c r="N28" s="134">
        <f>IF(分析!O34&lt;&gt;"",分析!O34,"")</f>
        <v>0.38472744609842668</v>
      </c>
      <c r="O28" s="135">
        <f>IF(分析!X34&lt;&gt;"",分析!X34,"")</f>
        <v>-20.865460776391956</v>
      </c>
      <c r="P28" s="136">
        <f>IF(分析!L34&lt;&gt;"",分析!L34,"")</f>
        <v>-2.9752704791344669</v>
      </c>
      <c r="Q28" s="133">
        <f>IF(分析!S34&lt;&gt;"",分析!S34,"")</f>
        <v>4821</v>
      </c>
      <c r="R28" s="133">
        <f>IF(分析!R34&lt;&gt;"",分析!R34,"")</f>
        <v>5424</v>
      </c>
      <c r="S28" s="128" t="str">
        <f>IF(分析!AA34&lt;&gt;"",分析!AA34,"")</f>
        <v>上昇▲</v>
      </c>
      <c r="T28" s="137">
        <f>IF(分析!Z34&lt;&gt;"",分析!Z34,"")</f>
        <v>1.0666130006037433</v>
      </c>
      <c r="U28" s="128" t="str">
        <f>IF(分析!V34&lt;&gt;"",分析!V34,"")</f>
        <v>高値圏</v>
      </c>
      <c r="V28" s="138">
        <f>IF(分析!W34&lt;&gt;"",分析!W34,"")</f>
        <v>50.180823851106993</v>
      </c>
      <c r="W28" s="139" t="str">
        <f>IF(分析!AD34&lt;&gt;"",分析!AD34,"")</f>
        <v>上昇トレンド▲</v>
      </c>
      <c r="X28" s="140" t="str">
        <f>IF(分析!AE34&lt;&gt;"",分析!AE34,"")</f>
        <v>なし</v>
      </c>
      <c r="Y28" s="141">
        <f>IF(分析!T34&lt;&gt;"",分析!T34,"")</f>
        <v>10</v>
      </c>
      <c r="Z28" s="142" t="str">
        <f>IF(分析!Y34&lt;&gt;"",分析!Y34,"")</f>
        <v>○買い候補</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3545</v>
      </c>
      <c r="F29" s="133">
        <f>IF(分析!F88&lt;&gt;"",分析!F88,"")</f>
        <v>3522</v>
      </c>
      <c r="G29" s="133">
        <f>IF(分析!H88&lt;&gt;"",分析!H88,"")</f>
        <v>3642</v>
      </c>
      <c r="H29" s="133">
        <f>IF(分析!I88&lt;&gt;"",分析!I88,"")</f>
        <v>3515</v>
      </c>
      <c r="I29" s="133">
        <f>IF(分析!J88&lt;&gt;"",分析!J88,"")</f>
        <v>10225800</v>
      </c>
      <c r="J29" s="133">
        <f>IF(分析!AB88&lt;&gt;"",分析!AB88,"")</f>
        <v>4022.7749490835022</v>
      </c>
      <c r="K29" s="133">
        <f>IF(分析!AC88&lt;&gt;"",分析!AC88,"")</f>
        <v>4249.3253873659087</v>
      </c>
      <c r="L29" s="133">
        <f>IF(分析!K88&lt;&gt;"",分析!K88,"")</f>
        <v>4124</v>
      </c>
      <c r="M29" s="128" t="str">
        <f>IF(分析!P88&lt;&gt;"",分析!P88,"")</f>
        <v/>
      </c>
      <c r="N29" s="134" t="str">
        <f>IF(分析!O88&lt;&gt;"",分析!O88,"")</f>
        <v/>
      </c>
      <c r="O29" s="135">
        <f>IF(分析!X88&lt;&gt;"",分析!X88,"")</f>
        <v>0</v>
      </c>
      <c r="P29" s="136">
        <f>IF(分析!L88&lt;&gt;"",分析!L88,"")</f>
        <v>-14.039767216294861</v>
      </c>
      <c r="Q29" s="133">
        <f>IF(分析!S88&lt;&gt;"",分析!S88,"")</f>
        <v>3403</v>
      </c>
      <c r="R29" s="133">
        <f>IF(分析!R88&lt;&gt;"",分析!R88,"")</f>
        <v>3829</v>
      </c>
      <c r="S29" s="128" t="str">
        <f>IF(分析!AA88&lt;&gt;"",分析!AA88,"")</f>
        <v>上昇▲</v>
      </c>
      <c r="T29" s="137" t="str">
        <f>IF(分析!Z88&lt;&gt;"",分析!Z88,"")</f>
        <v/>
      </c>
      <c r="U29" s="128" t="str">
        <f>IF(分析!V88&lt;&gt;"",分析!V88,"")</f>
        <v>通常</v>
      </c>
      <c r="V29" s="138">
        <f>IF(分析!W88&lt;&gt;"",分析!W88,"")</f>
        <v>50</v>
      </c>
      <c r="W29" s="139" t="str">
        <f>IF(分析!AD88&lt;&gt;"",分析!AD88,"")</f>
        <v>下降トレンド▼</v>
      </c>
      <c r="X29" s="140" t="str">
        <f>IF(分析!AE88&lt;&gt;"",分析!AE88,"")</f>
        <v>なし</v>
      </c>
      <c r="Y29" s="141">
        <f>IF(分析!T88&lt;&gt;"",分析!T88,"")</f>
        <v>7</v>
      </c>
      <c r="Z29" s="142" t="str">
        <f>IF(分析!Y88&lt;&gt;"",分析!Y88,"")</f>
        <v>△注目</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2545</v>
      </c>
      <c r="F30" s="133">
        <f>IF(分析!F170&lt;&gt;"",分析!F170,"")</f>
        <v>2524</v>
      </c>
      <c r="G30" s="133">
        <f>IF(分析!H170&lt;&gt;"",分析!H170,"")</f>
        <v>2577</v>
      </c>
      <c r="H30" s="133">
        <f>IF(分析!I170&lt;&gt;"",分析!I170,"")</f>
        <v>2520</v>
      </c>
      <c r="I30" s="133">
        <f>IF(分析!J170&lt;&gt;"",分析!J170,"")</f>
        <v>427500</v>
      </c>
      <c r="J30" s="133">
        <f>IF(分析!AB170&lt;&gt;"",分析!AB170,"")</f>
        <v>1447.2464358452135</v>
      </c>
      <c r="K30" s="133">
        <f>IF(分析!AC170&lt;&gt;"",分析!AC170,"")</f>
        <v>1443.8092967818827</v>
      </c>
      <c r="L30" s="133">
        <f>IF(分析!K170&lt;&gt;"",分析!K170,"")</f>
        <v>2949</v>
      </c>
      <c r="M30" s="128" t="str">
        <f>IF(分析!P170&lt;&gt;"",分析!P170,"")</f>
        <v>減少↓</v>
      </c>
      <c r="N30" s="134">
        <f>IF(分析!O170&lt;&gt;"",分析!O170,"")</f>
        <v>0.30187693307158897</v>
      </c>
      <c r="O30" s="135">
        <f>IF(分析!X170&lt;&gt;"",分析!X170,"")</f>
        <v>-12.451928243623115</v>
      </c>
      <c r="P30" s="136">
        <f>IF(分析!L170&lt;&gt;"",分析!L170,"")</f>
        <v>-13.69955917260088</v>
      </c>
      <c r="Q30" s="133">
        <f>IF(分析!S170&lt;&gt;"",分析!S170,"")</f>
        <v>2443</v>
      </c>
      <c r="R30" s="133">
        <f>IF(分析!R170&lt;&gt;"",分析!R170,"")</f>
        <v>2749</v>
      </c>
      <c r="S30" s="128" t="str">
        <f>IF(分析!AA170&lt;&gt;"",分析!AA170,"")</f>
        <v>上昇▲</v>
      </c>
      <c r="T30" s="137">
        <f>IF(分析!Z170&lt;&gt;"",分析!Z170,"")</f>
        <v>0.43409629044988163</v>
      </c>
      <c r="U30" s="128" t="str">
        <f>IF(分析!V170&lt;&gt;"",分析!V170,"")</f>
        <v>通常</v>
      </c>
      <c r="V30" s="138">
        <f>IF(分析!W170&lt;&gt;"",分析!W170,"")</f>
        <v>51.612903225806448</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2839</v>
      </c>
      <c r="F31" s="133">
        <f>IF(分析!F138&lt;&gt;"",分析!F138,"")</f>
        <v>2828</v>
      </c>
      <c r="G31" s="133">
        <f>IF(分析!H138&lt;&gt;"",分析!H138,"")</f>
        <v>2862</v>
      </c>
      <c r="H31" s="133">
        <f>IF(分析!I138&lt;&gt;"",分析!I138,"")</f>
        <v>2817</v>
      </c>
      <c r="I31" s="133">
        <f>IF(分析!J138&lt;&gt;"",分析!J138,"")</f>
        <v>74800</v>
      </c>
      <c r="J31" s="133">
        <f>IF(分析!AB138&lt;&gt;"",分析!AB138,"")</f>
        <v>45.786150712830953</v>
      </c>
      <c r="K31" s="133">
        <f>IF(分析!AC138&lt;&gt;"",分析!AC138,"")</f>
        <v>45.970202622169225</v>
      </c>
      <c r="L31" s="133">
        <f>IF(分析!K138&lt;&gt;"",分析!K138,"")</f>
        <v>4280</v>
      </c>
      <c r="M31" s="128" t="str">
        <f>IF(分析!P138&lt;&gt;"",分析!P138,"")</f>
        <v>減少↓</v>
      </c>
      <c r="N31" s="134">
        <f>IF(分析!O138&lt;&gt;"",分析!O138,"")</f>
        <v>0.56223692122669877</v>
      </c>
      <c r="O31" s="135">
        <f>IF(分析!X138&lt;&gt;"",分析!X138,"")</f>
        <v>28.243956949360836</v>
      </c>
      <c r="P31" s="136">
        <f>IF(分析!L138&lt;&gt;"",分析!L138,"")</f>
        <v>-33.668224299065422</v>
      </c>
      <c r="Q31" s="133">
        <f>IF(分析!S138&lt;&gt;"",分析!S138,"")</f>
        <v>2725</v>
      </c>
      <c r="R31" s="133">
        <f>IF(分析!R138&lt;&gt;"",分析!R138,"")</f>
        <v>3066</v>
      </c>
      <c r="S31" s="128" t="str">
        <f>IF(分析!AA138&lt;&gt;"",分析!AA138,"")</f>
        <v>下落▼</v>
      </c>
      <c r="T31" s="137">
        <f>IF(分析!Z138&lt;&gt;"",分析!Z138,"")</f>
        <v>-1.149025069637883</v>
      </c>
      <c r="U31" s="128" t="str">
        <f>IF(分析!V138&lt;&gt;"",分析!V138,"")</f>
        <v>通常</v>
      </c>
      <c r="V31" s="138">
        <f>IF(分析!W138&lt;&gt;"",分析!W138,"")</f>
        <v>69.565217391304344</v>
      </c>
      <c r="W31" s="139" t="str">
        <f>IF(分析!AD138&lt;&gt;"",分析!AD138,"")</f>
        <v>上昇トレンド▲</v>
      </c>
      <c r="X31" s="140" t="str">
        <f>IF(分析!AE138&lt;&gt;"",分析!AE138,"")</f>
        <v>なし</v>
      </c>
      <c r="Y31" s="141">
        <f>IF(分析!T138&lt;&gt;"",分析!T138,"")</f>
        <v>6</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20330</v>
      </c>
      <c r="F32" s="148">
        <f>IF(分析!F173&lt;&gt;"",分析!F173,"")</f>
        <v>19930</v>
      </c>
      <c r="G32" s="148">
        <f>IF(分析!H173&lt;&gt;"",分析!H173,"")</f>
        <v>20330</v>
      </c>
      <c r="H32" s="148">
        <f>IF(分析!I173&lt;&gt;"",分析!I173,"")</f>
        <v>19155</v>
      </c>
      <c r="I32" s="148">
        <f>IF(分析!J173&lt;&gt;"",分析!J173,"")</f>
        <v>8304600</v>
      </c>
      <c r="J32" s="148">
        <f>IF(分析!AB173&lt;&gt;"",分析!AB173,"")</f>
        <v>5505.6812627291238</v>
      </c>
      <c r="K32" s="148">
        <f>IF(分析!AC173&lt;&gt;"",分析!AC173,"")</f>
        <v>5905.9249106078669</v>
      </c>
      <c r="L32" s="148">
        <f>IF(分析!K173&lt;&gt;"",分析!K173,"")</f>
        <v>27480</v>
      </c>
      <c r="M32" s="143" t="str">
        <f>IF(分析!P173&lt;&gt;"",分析!P173,"")</f>
        <v>普通→</v>
      </c>
      <c r="N32" s="149">
        <f>IF(分析!O173&lt;&gt;"",分析!O173,"")</f>
        <v>1.0739003144914343</v>
      </c>
      <c r="O32" s="150">
        <f>IF(分析!X173&lt;&gt;"",分析!X173,"")</f>
        <v>-721.69798478739176</v>
      </c>
      <c r="P32" s="151">
        <f>IF(分析!L173&lt;&gt;"",分析!L173,"")</f>
        <v>-26.018922852983987</v>
      </c>
      <c r="Q32" s="148">
        <f>IF(分析!S173&lt;&gt;"",分析!S173,"")</f>
        <v>19517</v>
      </c>
      <c r="R32" s="148">
        <f>IF(分析!R173&lt;&gt;"",分析!R173,"")</f>
        <v>21956</v>
      </c>
      <c r="S32" s="143" t="str">
        <f>IF(分析!AA173&lt;&gt;"",分析!AA173,"")</f>
        <v>上昇▲</v>
      </c>
      <c r="T32" s="152">
        <f>IF(分析!Z173&lt;&gt;"",分析!Z173,"")</f>
        <v>30.86578693273254</v>
      </c>
      <c r="U32" s="143" t="str">
        <f>IF(分析!V173&lt;&gt;"",分析!V173,"")</f>
        <v>通常</v>
      </c>
      <c r="V32" s="153">
        <f>IF(分析!W173&lt;&gt;"",分析!W173,"")</f>
        <v>40.915634897782901</v>
      </c>
      <c r="W32" s="154" t="str">
        <f>IF(分析!AD173&lt;&gt;"",分析!AD173,"")</f>
        <v>上昇トレンド▲</v>
      </c>
      <c r="X32" s="155" t="str">
        <f>IF(分析!AE173&lt;&gt;"",分析!AE173,"")</f>
        <v>なし</v>
      </c>
      <c r="Y32" s="156">
        <f>IF(分析!T173&lt;&gt;"",分析!T173,"")</f>
        <v>3</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1748</v>
      </c>
      <c r="F33" s="133">
        <f>IF(分析!F118&lt;&gt;"",分析!F118,"")</f>
        <v>1720</v>
      </c>
      <c r="G33" s="133">
        <f>IF(分析!H118&lt;&gt;"",分析!H118,"")</f>
        <v>1753</v>
      </c>
      <c r="H33" s="133">
        <f>IF(分析!I118&lt;&gt;"",分析!I118,"")</f>
        <v>1719</v>
      </c>
      <c r="I33" s="133">
        <f>IF(分析!J118&lt;&gt;"",分析!J118,"")</f>
        <v>1391100</v>
      </c>
      <c r="J33" s="133">
        <f>IF(分析!AB118&lt;&gt;"",分析!AB118,"")</f>
        <v>4364.6995926680238</v>
      </c>
      <c r="K33" s="133">
        <f>IF(分析!AC118&lt;&gt;"",分析!AC118,"")</f>
        <v>4135.5303933253845</v>
      </c>
      <c r="L33" s="133">
        <f>IF(分析!K118&lt;&gt;"",分析!K118,"")</f>
        <v>1943</v>
      </c>
      <c r="M33" s="128" t="str">
        <f>IF(分析!P118&lt;&gt;"",分析!P118,"")</f>
        <v>減少↓</v>
      </c>
      <c r="N33" s="134">
        <f>IF(分析!O118&lt;&gt;"",分析!O118,"")</f>
        <v>0.37401797093032635</v>
      </c>
      <c r="O33" s="135">
        <f>IF(分析!X118&lt;&gt;"",分析!X118,"")</f>
        <v>-9.7146591492557945</v>
      </c>
      <c r="P33" s="136">
        <f>IF(分析!L118&lt;&gt;"",分析!L118,"")</f>
        <v>-10.036026762738034</v>
      </c>
      <c r="Q33" s="133">
        <f>IF(分析!S118&lt;&gt;"",分析!S118,"")</f>
        <v>1678</v>
      </c>
      <c r="R33" s="133">
        <f>IF(分析!R118&lt;&gt;"",分析!R118,"")</f>
        <v>1888</v>
      </c>
      <c r="S33" s="128" t="str">
        <f>IF(分析!AA118&lt;&gt;"",分析!AA118,"")</f>
        <v>上昇▲</v>
      </c>
      <c r="T33" s="137">
        <f>IF(分析!Z118&lt;&gt;"",分析!Z118,"")</f>
        <v>1.6870273414776031</v>
      </c>
      <c r="U33" s="128" t="str">
        <f>IF(分析!V118&lt;&gt;"",分析!V118,"")</f>
        <v>通常</v>
      </c>
      <c r="V33" s="138">
        <f>IF(分析!W118&lt;&gt;"",分析!W118,"")</f>
        <v>37.941473259334003</v>
      </c>
      <c r="W33" s="139" t="str">
        <f>IF(分析!AD118&lt;&gt;"",分析!AD118,"")</f>
        <v>もみ合い→</v>
      </c>
      <c r="X33" s="140" t="str">
        <f>IF(分析!AE118&lt;&gt;"",分析!AE118,"")</f>
        <v>なし</v>
      </c>
      <c r="Y33" s="141">
        <f>IF(分析!T118&lt;&gt;"",分析!T118,"")</f>
        <v>1</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2865</v>
      </c>
      <c r="F34" s="133">
        <f>IF(分析!F156&lt;&gt;"",分析!F156,"")</f>
        <v>2915</v>
      </c>
      <c r="G34" s="133">
        <f>IF(分析!H156&lt;&gt;"",分析!H156,"")</f>
        <v>2943</v>
      </c>
      <c r="H34" s="133">
        <f>IF(分析!I156&lt;&gt;"",分析!I156,"")</f>
        <v>2847</v>
      </c>
      <c r="I34" s="133">
        <f>IF(分析!J156&lt;&gt;"",分析!J156,"")</f>
        <v>4178300</v>
      </c>
      <c r="J34" s="133">
        <f>IF(分析!AB156&lt;&gt;"",分析!AB156,"")</f>
        <v>30245.728105906306</v>
      </c>
      <c r="K34" s="133">
        <f>IF(分析!AC156&lt;&gt;"",分析!AC156,"")</f>
        <v>29394.189511322998</v>
      </c>
      <c r="L34" s="133">
        <f>IF(分析!K156&lt;&gt;"",分析!K156,"")</f>
        <v>3167</v>
      </c>
      <c r="M34" s="128" t="str">
        <f>IF(分析!P156&lt;&gt;"",分析!P156,"")</f>
        <v>減少↓</v>
      </c>
      <c r="N34" s="134">
        <f>IF(分析!O156&lt;&gt;"",分析!O156,"")</f>
        <v>0.33700968530814251</v>
      </c>
      <c r="O34" s="135">
        <f>IF(分析!X156&lt;&gt;"",分析!X156,"")</f>
        <v>38.512060229503277</v>
      </c>
      <c r="P34" s="136">
        <f>IF(分析!L156&lt;&gt;"",分析!L156,"")</f>
        <v>-9.5358383328070726</v>
      </c>
      <c r="Q34" s="133">
        <f>IF(分析!S156&lt;&gt;"",分析!S156,"")</f>
        <v>2750</v>
      </c>
      <c r="R34" s="133">
        <f>IF(分析!R156&lt;&gt;"",分析!R156,"")</f>
        <v>3094</v>
      </c>
      <c r="S34" s="128" t="str">
        <f>IF(分析!AA156&lt;&gt;"",分析!AA156,"")</f>
        <v>下落▼</v>
      </c>
      <c r="T34" s="137">
        <f>IF(分析!Z156&lt;&gt;"",分析!Z156,"")</f>
        <v>-7.1914480077745386</v>
      </c>
      <c r="U34" s="128" t="str">
        <f>IF(分析!V156&lt;&gt;"",分析!V156,"")</f>
        <v>通常</v>
      </c>
      <c r="V34" s="138">
        <f>IF(分析!W156&lt;&gt;"",分析!W156,"")</f>
        <v>53.344558395836529</v>
      </c>
      <c r="W34" s="139" t="str">
        <f>IF(分析!AD156&lt;&gt;"",分析!AD156,"")</f>
        <v>もみ合い→</v>
      </c>
      <c r="X34" s="140" t="str">
        <f>IF(分析!AE156&lt;&gt;"",分析!AE156,"")</f>
        <v>なし</v>
      </c>
      <c r="Y34" s="141">
        <f>IF(分析!T156&lt;&gt;"",分析!T156,"")</f>
        <v>5</v>
      </c>
      <c r="Z34" s="142" t="str">
        <f>IF(分析!Y156&lt;&gt;"",分析!Y156,"")</f>
        <v>様子見</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14950</v>
      </c>
      <c r="F35" s="148">
        <f>IF(分析!F97&lt;&gt;"",分析!F97,"")</f>
        <v>14450</v>
      </c>
      <c r="G35" s="148">
        <f>IF(分析!H97&lt;&gt;"",分析!H97,"")</f>
        <v>15060</v>
      </c>
      <c r="H35" s="148">
        <f>IF(分析!I97&lt;&gt;"",分析!I97,"")</f>
        <v>14150</v>
      </c>
      <c r="I35" s="148">
        <f>IF(分析!J97&lt;&gt;"",分析!J97,"")</f>
        <v>128300</v>
      </c>
      <c r="J35" s="148">
        <f>IF(分析!AB97&lt;&gt;"",分析!AB97,"")</f>
        <v>4746.0132382892043</v>
      </c>
      <c r="K35" s="148">
        <f>IF(分析!AC97&lt;&gt;"",分析!AC97,"")</f>
        <v>4606.6853396901051</v>
      </c>
      <c r="L35" s="148">
        <f>IF(分析!K97&lt;&gt;"",分析!K97,"")</f>
        <v>16900</v>
      </c>
      <c r="M35" s="143" t="str">
        <f>IF(分析!P97&lt;&gt;"",分析!P97,"")</f>
        <v>減少↓</v>
      </c>
      <c r="N35" s="149">
        <f>IF(分析!O97&lt;&gt;"",分析!O97,"")</f>
        <v>0.63133549847455961</v>
      </c>
      <c r="O35" s="150">
        <f>IF(分析!X97&lt;&gt;"",分析!X97,"")</f>
        <v>-267.56009218313011</v>
      </c>
      <c r="P35" s="151">
        <f>IF(分析!L97&lt;&gt;"",分析!L97,"")</f>
        <v>-11.538461538461538</v>
      </c>
      <c r="Q35" s="148">
        <f>IF(分析!S97&lt;&gt;"",分析!S97,"")</f>
        <v>14352</v>
      </c>
      <c r="R35" s="148">
        <f>IF(分析!R97&lt;&gt;"",分析!R97,"")</f>
        <v>16146</v>
      </c>
      <c r="S35" s="143" t="str">
        <f>IF(分析!AA97&lt;&gt;"",分析!AA97,"")</f>
        <v>上昇▲</v>
      </c>
      <c r="T35" s="152">
        <f>IF(分析!Z97&lt;&gt;"",分析!Z97,"")</f>
        <v>11.152416356877323</v>
      </c>
      <c r="U35" s="143" t="str">
        <f>IF(分析!V97&lt;&gt;"",分析!V97,"")</f>
        <v>通常</v>
      </c>
      <c r="V35" s="153">
        <f>IF(分析!W97&lt;&gt;"",分析!W97,"")</f>
        <v>43.768545994065285</v>
      </c>
      <c r="W35" s="154" t="str">
        <f>IF(分析!AD97&lt;&gt;"",分析!AD97,"")</f>
        <v>パーフェクト▲</v>
      </c>
      <c r="X35" s="155" t="str">
        <f>IF(分析!AE97&lt;&gt;"",分析!AE97,"")</f>
        <v>なし</v>
      </c>
      <c r="Y35" s="156">
        <f>IF(分析!T97&lt;&gt;"",分析!T97,"")</f>
        <v>3</v>
      </c>
      <c r="Z35" s="142" t="str">
        <f>IF(分析!Y97&lt;&gt;"",分析!Y97,"")</f>
        <v>様子見</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622.29999999999995</v>
      </c>
      <c r="F36" s="133">
        <f>IF(分析!F90&lt;&gt;"",分析!F90,"")</f>
        <v>617</v>
      </c>
      <c r="G36" s="133">
        <f>IF(分析!H90&lt;&gt;"",分析!H90,"")</f>
        <v>632.9</v>
      </c>
      <c r="H36" s="133">
        <f>IF(分析!I90&lt;&gt;"",分析!I90,"")</f>
        <v>612.5</v>
      </c>
      <c r="I36" s="133">
        <f>IF(分析!J90&lt;&gt;"",分析!J90,"")</f>
        <v>1832600</v>
      </c>
      <c r="J36" s="133">
        <f>IF(分析!AB90&lt;&gt;"",分析!AB90,"")</f>
        <v>7484.0274949083487</v>
      </c>
      <c r="K36" s="133">
        <f>IF(分析!AC90&lt;&gt;"",分析!AC90,"")</f>
        <v>7516.5852205005922</v>
      </c>
      <c r="L36" s="133">
        <f>IF(分析!K90&lt;&gt;"",分析!K90,"")</f>
        <v>830.5</v>
      </c>
      <c r="M36" s="128" t="str">
        <f>IF(分析!P90&lt;&gt;"",分析!P90,"")</f>
        <v>減少↓</v>
      </c>
      <c r="N36" s="134">
        <f>IF(分析!O90&lt;&gt;"",分析!O90,"")</f>
        <v>0.49046423620218066</v>
      </c>
      <c r="O36" s="135">
        <f>IF(分析!X90&lt;&gt;"",分析!X90,"")</f>
        <v>-3.606133402855221</v>
      </c>
      <c r="P36" s="136">
        <f>IF(分析!L90&lt;&gt;"",分析!L90,"")</f>
        <v>-25.069235400361233</v>
      </c>
      <c r="Q36" s="133">
        <f>IF(分析!S90&lt;&gt;"",分析!S90,"")</f>
        <v>597</v>
      </c>
      <c r="R36" s="133">
        <f>IF(分析!R90&lt;&gt;"",分析!R90,"")</f>
        <v>672</v>
      </c>
      <c r="S36" s="128" t="str">
        <f>IF(分析!AA90&lt;&gt;"",分析!AA90,"")</f>
        <v>下落▼</v>
      </c>
      <c r="T36" s="137">
        <f>IF(分析!Z90&lt;&gt;"",分析!Z90,"")</f>
        <v>-0.12839030653186778</v>
      </c>
      <c r="U36" s="128" t="str">
        <f>IF(分析!V90&lt;&gt;"",分析!V90,"")</f>
        <v>通常</v>
      </c>
      <c r="V36" s="138">
        <f>IF(分析!W90&lt;&gt;"",分析!W90,"")</f>
        <v>44.761904761904788</v>
      </c>
      <c r="W36" s="139" t="str">
        <f>IF(分析!AD90&lt;&gt;"",分析!AD90,"")</f>
        <v>下降トレンド▼</v>
      </c>
      <c r="X36" s="140" t="str">
        <f>IF(分析!AE90&lt;&gt;"",分析!AE90,"")</f>
        <v>なし</v>
      </c>
      <c r="Y36" s="141">
        <f>IF(分析!T90&lt;&gt;"",分析!T90,"")</f>
        <v>0</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4671</v>
      </c>
      <c r="F37" s="133">
        <f>IF(分析!F58&lt;&gt;"",分析!F58,"")</f>
        <v>4694</v>
      </c>
      <c r="G37" s="133">
        <f>IF(分析!H58&lt;&gt;"",分析!H58,"")</f>
        <v>4744</v>
      </c>
      <c r="H37" s="133">
        <f>IF(分析!I58&lt;&gt;"",分析!I58,"")</f>
        <v>4643</v>
      </c>
      <c r="I37" s="133">
        <f>IF(分析!J58&lt;&gt;"",分析!J58,"")</f>
        <v>4566800</v>
      </c>
      <c r="J37" s="133">
        <f>IF(分析!AB58&lt;&gt;"",分析!AB58,"")</f>
        <v>3582.4297352342155</v>
      </c>
      <c r="K37" s="133">
        <f>IF(分析!AC58&lt;&gt;"",分析!AC58,"")</f>
        <v>3521.1096543504168</v>
      </c>
      <c r="L37" s="133">
        <f>IF(分析!K58&lt;&gt;"",分析!K58,"")</f>
        <v>6012</v>
      </c>
      <c r="M37" s="128" t="str">
        <f>IF(分析!P58&lt;&gt;"",分析!P58,"")</f>
        <v>減少↓</v>
      </c>
      <c r="N37" s="134">
        <f>IF(分析!O58&lt;&gt;"",分析!O58,"")</f>
        <v>0.45259308444743962</v>
      </c>
      <c r="O37" s="135">
        <f>IF(分析!X58&lt;&gt;"",分析!X58,"")</f>
        <v>51.484900831478626</v>
      </c>
      <c r="P37" s="136">
        <f>IF(分析!L58&lt;&gt;"",分析!L58,"")</f>
        <v>-22.305389221556887</v>
      </c>
      <c r="Q37" s="133">
        <f>IF(分析!S58&lt;&gt;"",分析!S58,"")</f>
        <v>4484</v>
      </c>
      <c r="R37" s="133">
        <f>IF(分析!R58&lt;&gt;"",分析!R58,"")</f>
        <v>5045</v>
      </c>
      <c r="S37" s="128" t="str">
        <f>IF(分析!AA58&lt;&gt;"",分析!AA58,"")</f>
        <v>下落▼</v>
      </c>
      <c r="T37" s="137">
        <f>IF(分析!Z58&lt;&gt;"",分析!Z58,"")</f>
        <v>-2.4232295801128054</v>
      </c>
      <c r="U37" s="128" t="str">
        <f>IF(分析!V58&lt;&gt;"",分析!V58,"")</f>
        <v>通常</v>
      </c>
      <c r="V37" s="138">
        <f>IF(分析!W58&lt;&gt;"",分析!W58,"")</f>
        <v>67.472306143001006</v>
      </c>
      <c r="W37" s="139" t="str">
        <f>IF(分析!AD58&lt;&gt;"",分析!AD58,"")</f>
        <v>パーフェクト▲</v>
      </c>
      <c r="X37" s="140" t="str">
        <f>IF(分析!AE58&lt;&gt;"",分析!AE58,"")</f>
        <v>なし</v>
      </c>
      <c r="Y37" s="141">
        <f>IF(分析!T58&lt;&gt;"",分析!T58,"")</f>
        <v>7</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2270.5</v>
      </c>
      <c r="F38" s="133">
        <f>IF(分析!F52&lt;&gt;"",分析!F52,"")</f>
        <v>2208</v>
      </c>
      <c r="G38" s="133">
        <f>IF(分析!H52&lt;&gt;"",分析!H52,"")</f>
        <v>2271</v>
      </c>
      <c r="H38" s="133">
        <f>IF(分析!I52&lt;&gt;"",分析!I52,"")</f>
        <v>2183.5</v>
      </c>
      <c r="I38" s="133">
        <f>IF(分析!J52&lt;&gt;"",分析!J52,"")</f>
        <v>6488700</v>
      </c>
      <c r="J38" s="133">
        <f>IF(分析!AB52&lt;&gt;"",分析!AB52,"")</f>
        <v>6989.2912423625248</v>
      </c>
      <c r="K38" s="133">
        <f>IF(分析!AC52&lt;&gt;"",分析!AC52,"")</f>
        <v>6907.7604290822383</v>
      </c>
      <c r="L38" s="133">
        <f>IF(分析!K52&lt;&gt;"",分析!K52,"")</f>
        <v>2420.5</v>
      </c>
      <c r="M38" s="128" t="str">
        <f>IF(分析!P52&lt;&gt;"",分析!P52,"")</f>
        <v>減少↓</v>
      </c>
      <c r="N38" s="134">
        <f>IF(分析!O52&lt;&gt;"",分析!O52,"")</f>
        <v>0.44106970977372467</v>
      </c>
      <c r="O38" s="135">
        <f>IF(分析!X52&lt;&gt;"",分析!X52,"")</f>
        <v>-11.892902773851802</v>
      </c>
      <c r="P38" s="136">
        <f>IF(分析!L52&lt;&gt;"",分析!L52,"")</f>
        <v>-6.1970667217517041</v>
      </c>
      <c r="Q38" s="133">
        <f>IF(分析!S52&lt;&gt;"",分析!S52,"")</f>
        <v>2180</v>
      </c>
      <c r="R38" s="133">
        <f>IF(分析!R52&lt;&gt;"",分析!R52,"")</f>
        <v>2452</v>
      </c>
      <c r="S38" s="128" t="str">
        <f>IF(分析!AA52&lt;&gt;"",分析!AA52,"")</f>
        <v>上昇▲</v>
      </c>
      <c r="T38" s="137">
        <f>IF(分析!Z52&lt;&gt;"",分析!Z52,"")</f>
        <v>1.0683285110171379</v>
      </c>
      <c r="U38" s="128" t="str">
        <f>IF(分析!V52&lt;&gt;"",分析!V52,"")</f>
        <v>通常</v>
      </c>
      <c r="V38" s="138">
        <f>IF(分析!W52&lt;&gt;"",分析!W52,"")</f>
        <v>40.720000000000006</v>
      </c>
      <c r="W38" s="139" t="str">
        <f>IF(分析!AD52&lt;&gt;"",分析!AD52,"")</f>
        <v>もみ合い→</v>
      </c>
      <c r="X38" s="140" t="str">
        <f>IF(分析!AE52&lt;&gt;"",分析!AE52,"")</f>
        <v>なし</v>
      </c>
      <c r="Y38" s="141">
        <f>IF(分析!T52&lt;&gt;"",分析!T52,"")</f>
        <v>3</v>
      </c>
      <c r="Z38" s="142" t="str">
        <f>IF(分析!Y52&lt;&gt;"",分析!Y52,"")</f>
        <v>様子見</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3174</v>
      </c>
      <c r="F39" s="133">
        <f>IF(分析!F74&lt;&gt;"",分析!F74,"")</f>
        <v>3127</v>
      </c>
      <c r="G39" s="133">
        <f>IF(分析!H74&lt;&gt;"",分析!H74,"")</f>
        <v>3176</v>
      </c>
      <c r="H39" s="133">
        <f>IF(分析!I74&lt;&gt;"",分析!I74,"")</f>
        <v>3081</v>
      </c>
      <c r="I39" s="133">
        <f>IF(分析!J74&lt;&gt;"",分析!J74,"")</f>
        <v>2817000</v>
      </c>
      <c r="J39" s="133">
        <f>IF(分析!AB74&lt;&gt;"",分析!AB74,"")</f>
        <v>4931.3075356415466</v>
      </c>
      <c r="K39" s="133">
        <f>IF(分析!AC74&lt;&gt;"",分析!AC74,"")</f>
        <v>5218.0858164481524</v>
      </c>
      <c r="L39" s="133">
        <f>IF(分析!K74&lt;&gt;"",分析!K74,"")</f>
        <v>3465</v>
      </c>
      <c r="M39" s="128" t="str">
        <f>IF(分析!P74&lt;&gt;"",分析!P74,"")</f>
        <v>減少↓</v>
      </c>
      <c r="N39" s="134">
        <f>IF(分析!O74&lt;&gt;"",分析!O74,"")</f>
        <v>0.3246768215095801</v>
      </c>
      <c r="O39" s="135">
        <f>IF(分析!X74&lt;&gt;"",分析!X74,"")</f>
        <v>-13.284448274351689</v>
      </c>
      <c r="P39" s="136">
        <f>IF(分析!L74&lt;&gt;"",分析!L74,"")</f>
        <v>-8.3982683982683977</v>
      </c>
      <c r="Q39" s="133">
        <f>IF(分析!S74&lt;&gt;"",分析!S74,"")</f>
        <v>3047</v>
      </c>
      <c r="R39" s="133">
        <f>IF(分析!R74&lt;&gt;"",分析!R74,"")</f>
        <v>3428</v>
      </c>
      <c r="S39" s="128" t="str">
        <f>IF(分析!AA74&lt;&gt;"",分析!AA74,"")</f>
        <v>上昇▲</v>
      </c>
      <c r="T39" s="137">
        <f>IF(分析!Z74&lt;&gt;"",分析!Z74,"")</f>
        <v>2.3210831721470022</v>
      </c>
      <c r="U39" s="128" t="str">
        <f>IF(分析!V74&lt;&gt;"",分析!V74,"")</f>
        <v>通常</v>
      </c>
      <c r="V39" s="138">
        <f>IF(分析!W74&lt;&gt;"",分析!W74,"")</f>
        <v>39.211391018619935</v>
      </c>
      <c r="W39" s="139" t="str">
        <f>IF(分析!AD74&lt;&gt;"",分析!AD74,"")</f>
        <v>下降トレンド▼</v>
      </c>
      <c r="X39" s="140" t="str">
        <f>IF(分析!AE74&lt;&gt;"",分析!AE74,"")</f>
        <v>なし</v>
      </c>
      <c r="Y39" s="141">
        <f>IF(分析!T74&lt;&gt;"",分析!T74,"")</f>
        <v>4</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1161</v>
      </c>
      <c r="F40" s="148">
        <f>IF(分析!F71&lt;&gt;"",分析!F71,"")</f>
        <v>1138</v>
      </c>
      <c r="G40" s="148">
        <f>IF(分析!H71&lt;&gt;"",分析!H71,"")</f>
        <v>1170</v>
      </c>
      <c r="H40" s="148">
        <f>IF(分析!I71&lt;&gt;"",分析!I71,"")</f>
        <v>1134</v>
      </c>
      <c r="I40" s="148">
        <f>IF(分析!J71&lt;&gt;"",分析!J71,"")</f>
        <v>11100</v>
      </c>
      <c r="J40" s="148">
        <f>IF(分析!AB71&lt;&gt;"",分析!AB71,"")</f>
        <v>7518.1975560081428</v>
      </c>
      <c r="K40" s="148">
        <f>IF(分析!AC71&lt;&gt;"",分析!AC71,"")</f>
        <v>7589.8212157330136</v>
      </c>
      <c r="L40" s="148">
        <f>IF(分析!K71&lt;&gt;"",分析!K71,"")</f>
        <v>2660</v>
      </c>
      <c r="M40" s="143" t="str">
        <f>IF(分析!P71&lt;&gt;"",分析!P71,"")</f>
        <v/>
      </c>
      <c r="N40" s="149" t="str">
        <f>IF(分析!O71&lt;&gt;"",分析!O71,"")</f>
        <v/>
      </c>
      <c r="O40" s="150">
        <f>IF(分析!X71&lt;&gt;"",分析!X71,"")</f>
        <v>0</v>
      </c>
      <c r="P40" s="151">
        <f>IF(分析!L71&lt;&gt;"",分析!L71,"")</f>
        <v>-56.353383458646618</v>
      </c>
      <c r="Q40" s="148">
        <f>IF(分析!S71&lt;&gt;"",分析!S71,"")</f>
        <v>1115</v>
      </c>
      <c r="R40" s="148">
        <f>IF(分析!R71&lt;&gt;"",分析!R71,"")</f>
        <v>1254</v>
      </c>
      <c r="S40" s="143" t="str">
        <f>IF(分析!AA71&lt;&gt;"",分析!AA71,"")</f>
        <v>上昇▲</v>
      </c>
      <c r="T40" s="152" t="str">
        <f>IF(分析!Z71&lt;&gt;"",分析!Z71,"")</f>
        <v/>
      </c>
      <c r="U40" s="143" t="str">
        <f>IF(分析!V71&lt;&gt;"",分析!V71,"")</f>
        <v>通常</v>
      </c>
      <c r="V40" s="153">
        <f>IF(分析!W71&lt;&gt;"",分析!W71,"")</f>
        <v>50</v>
      </c>
      <c r="W40" s="154" t="str">
        <f>IF(分析!AD71&lt;&gt;"",分析!AD71,"")</f>
        <v>下降トレンド▼</v>
      </c>
      <c r="X40" s="155" t="str">
        <f>IF(分析!AE71&lt;&gt;"",分析!AE71,"")</f>
        <v>なし</v>
      </c>
      <c r="Y40" s="156">
        <f>IF(分析!T71&lt;&gt;"",分析!T71,"")</f>
        <v>7</v>
      </c>
      <c r="Z40" s="142" t="str">
        <f>IF(分析!Y71&lt;&gt;"",分析!Y71,"")</f>
        <v>△注目</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4664</v>
      </c>
      <c r="F41" s="148">
        <f>IF(分析!F93&lt;&gt;"",分析!F93,"")</f>
        <v>4677</v>
      </c>
      <c r="G41" s="148">
        <f>IF(分析!H93&lt;&gt;"",分析!H93,"")</f>
        <v>4753</v>
      </c>
      <c r="H41" s="148">
        <f>IF(分析!I93&lt;&gt;"",分析!I93,"")</f>
        <v>4635</v>
      </c>
      <c r="I41" s="148">
        <f>IF(分析!J93&lt;&gt;"",分析!J93,"")</f>
        <v>2879200</v>
      </c>
      <c r="J41" s="148">
        <f>IF(分析!AB93&lt;&gt;"",分析!AB93,"")</f>
        <v>1207.4124236252544</v>
      </c>
      <c r="K41" s="148">
        <f>IF(分析!AC93&lt;&gt;"",分析!AC93,"")</f>
        <v>1196.3206197854586</v>
      </c>
      <c r="L41" s="148">
        <f>IF(分析!K93&lt;&gt;"",分析!K93,"")</f>
        <v>6036</v>
      </c>
      <c r="M41" s="143" t="str">
        <f>IF(分析!P93&lt;&gt;"",分析!P93,"")</f>
        <v>減少↓</v>
      </c>
      <c r="N41" s="149">
        <f>IF(分析!O93&lt;&gt;"",分析!O93,"")</f>
        <v>0.26441897072031945</v>
      </c>
      <c r="O41" s="150">
        <f>IF(分析!X93&lt;&gt;"",分析!X93,"")</f>
        <v>54.269347115693563</v>
      </c>
      <c r="P41" s="151">
        <f>IF(分析!L93&lt;&gt;"",分析!L93,"")</f>
        <v>-22.730284956925114</v>
      </c>
      <c r="Q41" s="148">
        <f>IF(分析!S93&lt;&gt;"",分析!S93,"")</f>
        <v>4477</v>
      </c>
      <c r="R41" s="148">
        <f>IF(分析!R93&lt;&gt;"",分析!R93,"")</f>
        <v>5037</v>
      </c>
      <c r="S41" s="143" t="str">
        <f>IF(分析!AA93&lt;&gt;"",分析!AA93,"")</f>
        <v>下落▼</v>
      </c>
      <c r="T41" s="152">
        <f>IF(分析!Z93&lt;&gt;"",分析!Z93,"")</f>
        <v>-1.4578491443059372</v>
      </c>
      <c r="U41" s="143" t="str">
        <f>IF(分析!V93&lt;&gt;"",分析!V93,"")</f>
        <v>通常</v>
      </c>
      <c r="V41" s="153">
        <f>IF(分析!W93&lt;&gt;"",分析!W93,"")</f>
        <v>61.924939467312342</v>
      </c>
      <c r="W41" s="154" t="str">
        <f>IF(分析!AD93&lt;&gt;"",分析!AD93,"")</f>
        <v>パーフェクト▲</v>
      </c>
      <c r="X41" s="155" t="str">
        <f>IF(分析!AE93&lt;&gt;"",分析!AE93,"")</f>
        <v>なし</v>
      </c>
      <c r="Y41" s="156">
        <f>IF(分析!T93&lt;&gt;"",分析!T93,"")</f>
        <v>7</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25610</v>
      </c>
      <c r="F42" s="133">
        <f>IF(分析!F150&lt;&gt;"",分析!F150,"")</f>
        <v>24790</v>
      </c>
      <c r="G42" s="133">
        <f>IF(分析!H150&lt;&gt;"",分析!H150,"")</f>
        <v>25750</v>
      </c>
      <c r="H42" s="133">
        <f>IF(分析!I150&lt;&gt;"",分析!I150,"")</f>
        <v>24710</v>
      </c>
      <c r="I42" s="133">
        <f>IF(分析!J150&lt;&gt;"",分析!J150,"")</f>
        <v>47900</v>
      </c>
      <c r="J42" s="133">
        <f>IF(分析!AB150&lt;&gt;"",分析!AB150,"")</f>
        <v>1120.0845213849284</v>
      </c>
      <c r="K42" s="133">
        <f>IF(分析!AC150&lt;&gt;"",分析!AC150,"")</f>
        <v>1107.8653158522043</v>
      </c>
      <c r="L42" s="133">
        <f>IF(分析!K150&lt;&gt;"",分析!K150,"")</f>
        <v>28430</v>
      </c>
      <c r="M42" s="128" t="str">
        <f>IF(分析!P150&lt;&gt;"",分析!P150,"")</f>
        <v>減少↓</v>
      </c>
      <c r="N42" s="134">
        <f>IF(分析!O150&lt;&gt;"",分析!O150,"")</f>
        <v>0.42836701842246466</v>
      </c>
      <c r="O42" s="135">
        <f>IF(分析!X150&lt;&gt;"",分析!X150,"")</f>
        <v>-370.91916462013978</v>
      </c>
      <c r="P42" s="136">
        <f>IF(分析!L150&lt;&gt;"",分析!L150,"")</f>
        <v>-9.9190995427365447</v>
      </c>
      <c r="Q42" s="133">
        <f>IF(分析!S150&lt;&gt;"",分析!S150,"")</f>
        <v>24586</v>
      </c>
      <c r="R42" s="133">
        <f>IF(分析!R150&lt;&gt;"",分析!R150,"")</f>
        <v>27659</v>
      </c>
      <c r="S42" s="128" t="str">
        <f>IF(分析!AA150&lt;&gt;"",分析!AA150,"")</f>
        <v>上昇▲</v>
      </c>
      <c r="T42" s="137">
        <f>IF(分析!Z150&lt;&gt;"",分析!Z150,"")</f>
        <v>11.687745311818579</v>
      </c>
      <c r="U42" s="128" t="str">
        <f>IF(分析!V150&lt;&gt;"",分析!V150,"")</f>
        <v>通常</v>
      </c>
      <c r="V42" s="138">
        <f>IF(分析!W150&lt;&gt;"",分析!W150,"")</f>
        <v>47.64309764309764</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889</v>
      </c>
      <c r="F43" s="148">
        <f>IF(分析!F25&lt;&gt;"",分析!F25,"")</f>
        <v>866</v>
      </c>
      <c r="G43" s="148">
        <f>IF(分析!H25&lt;&gt;"",分析!H25,"")</f>
        <v>898</v>
      </c>
      <c r="H43" s="148">
        <f>IF(分析!I25&lt;&gt;"",分析!I25,"")</f>
        <v>865</v>
      </c>
      <c r="I43" s="148">
        <f>IF(分析!J25&lt;&gt;"",分析!J25,"")</f>
        <v>136200</v>
      </c>
      <c r="J43" s="148">
        <f>IF(分析!AB25&lt;&gt;"",分析!AB25,"")</f>
        <v>0</v>
      </c>
      <c r="K43" s="148">
        <f>IF(分析!AC25&lt;&gt;"",分析!AC25,"")</f>
        <v>0</v>
      </c>
      <c r="L43" s="148">
        <f>IF(分析!K25&lt;&gt;"",分析!K25,"")</f>
        <v>1620</v>
      </c>
      <c r="M43" s="143" t="str">
        <f>IF(分析!P25&lt;&gt;"",分析!P25,"")</f>
        <v>減少↓</v>
      </c>
      <c r="N43" s="149">
        <f>IF(分析!O25&lt;&gt;"",分析!O25,"")</f>
        <v>0.10276763347719796</v>
      </c>
      <c r="O43" s="150">
        <f>IF(分析!X25&lt;&gt;"",分析!X25,"")</f>
        <v>-9.3561688272915262</v>
      </c>
      <c r="P43" s="151">
        <f>IF(分析!L25&lt;&gt;"",分析!L25,"")</f>
        <v>-45.123456790123456</v>
      </c>
      <c r="Q43" s="148">
        <f>IF(分析!S25&lt;&gt;"",分析!S25,"")</f>
        <v>853</v>
      </c>
      <c r="R43" s="148">
        <f>IF(分析!R25&lt;&gt;"",分析!R25,"")</f>
        <v>960</v>
      </c>
      <c r="S43" s="143" t="str">
        <f>IF(分析!AA25&lt;&gt;"",分析!AA25,"")</f>
        <v>上昇▲</v>
      </c>
      <c r="T43" s="152">
        <f>IF(分析!Z25&lt;&gt;"",分析!Z25,"")</f>
        <v>4.5882352941176467</v>
      </c>
      <c r="U43" s="143" t="str">
        <f>IF(分析!V25&lt;&gt;"",分析!V25,"")</f>
        <v>通常</v>
      </c>
      <c r="V43" s="153">
        <f>IF(分析!W25&lt;&gt;"",分析!W25,"")</f>
        <v>50.386001029336079</v>
      </c>
      <c r="W43" s="154" t="str">
        <f>IF(分析!AD25&lt;&gt;"",分析!AD25,"")</f>
        <v>上昇トレンド▲</v>
      </c>
      <c r="X43" s="155" t="e">
        <f>IF(分析!AE25&lt;&gt;"",分析!AE25,"")</f>
        <v>#DIV/0!</v>
      </c>
      <c r="Y43" s="156">
        <f>IF(分析!T25&lt;&gt;"",分析!T25,"")</f>
        <v>0</v>
      </c>
      <c r="Z43" s="142" t="e">
        <f>IF(分析!Y25&lt;&gt;"",分析!Y25,"")</f>
        <v>#DIV/0!</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4235</v>
      </c>
      <c r="F44" s="133">
        <f>IF(分析!F120&lt;&gt;"",分析!F120,"")</f>
        <v>4000</v>
      </c>
      <c r="G44" s="133">
        <f>IF(分析!H120&lt;&gt;"",分析!H120,"")</f>
        <v>4305</v>
      </c>
      <c r="H44" s="133">
        <f>IF(分析!I120&lt;&gt;"",分析!I120,"")</f>
        <v>3990</v>
      </c>
      <c r="I44" s="133">
        <f>IF(分析!J120&lt;&gt;"",分析!J120,"")</f>
        <v>194600</v>
      </c>
      <c r="J44" s="133">
        <f>IF(分析!AB120&lt;&gt;"",分析!AB120,"")</f>
        <v>2520.6619144602846</v>
      </c>
      <c r="K44" s="133">
        <f>IF(分析!AC120&lt;&gt;"",分析!AC120,"")</f>
        <v>2525.3939213349208</v>
      </c>
      <c r="L44" s="133">
        <f>IF(分析!K120&lt;&gt;"",分析!K120,"")</f>
        <v>4404</v>
      </c>
      <c r="M44" s="128" t="str">
        <f>IF(分析!P120&lt;&gt;"",分析!P120,"")</f>
        <v>減少↓</v>
      </c>
      <c r="N44" s="134">
        <f>IF(分析!O120&lt;&gt;"",分析!O120,"")</f>
        <v>0.80220958034462853</v>
      </c>
      <c r="O44" s="135">
        <f>IF(分析!X120&lt;&gt;"",分析!X120,"")</f>
        <v>1.7296259736772299</v>
      </c>
      <c r="P44" s="136">
        <f>IF(分析!L120&lt;&gt;"",分析!L120,"")</f>
        <v>-3.8374205267938235</v>
      </c>
      <c r="Q44" s="133">
        <f>IF(分析!S120&lt;&gt;"",分析!S120,"")</f>
        <v>4066</v>
      </c>
      <c r="R44" s="133">
        <f>IF(分析!R120&lt;&gt;"",分析!R120,"")</f>
        <v>4574</v>
      </c>
      <c r="S44" s="128" t="str">
        <f>IF(分析!AA120&lt;&gt;"",分析!AA120,"")</f>
        <v>上昇▲</v>
      </c>
      <c r="T44" s="137">
        <f>IF(分析!Z120&lt;&gt;"",分析!Z120,"")</f>
        <v>5.6900424257549282</v>
      </c>
      <c r="U44" s="128" t="str">
        <f>IF(分析!V120&lt;&gt;"",分析!V120,"")</f>
        <v>高値圏</v>
      </c>
      <c r="V44" s="138">
        <f>IF(分析!W120&lt;&gt;"",分析!W120,"")</f>
        <v>50.826446280991732</v>
      </c>
      <c r="W44" s="139" t="str">
        <f>IF(分析!AD120&lt;&gt;"",分析!AD120,"")</f>
        <v>上昇トレンド▲</v>
      </c>
      <c r="X44" s="140" t="str">
        <f>IF(分析!AE120&lt;&gt;"",分析!AE120,"")</f>
        <v>なし</v>
      </c>
      <c r="Y44" s="141">
        <f>IF(分析!T120&lt;&gt;"",分析!T120,"")</f>
        <v>7</v>
      </c>
      <c r="Z44" s="142" t="str">
        <f>IF(分析!Y120&lt;&gt;"",分析!Y120,"")</f>
        <v>△注目</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6655</v>
      </c>
      <c r="F45" s="133">
        <f>IF(分析!F50&lt;&gt;"",分析!F50,"")</f>
        <v>6560</v>
      </c>
      <c r="G45" s="133">
        <f>IF(分析!H50&lt;&gt;"",分析!H50,"")</f>
        <v>6655</v>
      </c>
      <c r="H45" s="133">
        <f>IF(分析!I50&lt;&gt;"",分析!I50,"")</f>
        <v>6474</v>
      </c>
      <c r="I45" s="133">
        <f>IF(分析!J50&lt;&gt;"",分析!J50,"")</f>
        <v>7788200</v>
      </c>
      <c r="J45" s="133">
        <f>IF(分析!AB50&lt;&gt;"",分析!AB50,"")</f>
        <v>7958.3655804480632</v>
      </c>
      <c r="K45" s="133">
        <f>IF(分析!AC50&lt;&gt;"",分析!AC50,"")</f>
        <v>7917.550655542308</v>
      </c>
      <c r="L45" s="133">
        <f>IF(分析!K50&lt;&gt;"",分析!K50,"")</f>
        <v>7260</v>
      </c>
      <c r="M45" s="128" t="str">
        <f>IF(分析!P50&lt;&gt;"",分析!P50,"")</f>
        <v>減少↓</v>
      </c>
      <c r="N45" s="134">
        <f>IF(分析!O50&lt;&gt;"",分析!O50,"")</f>
        <v>0.47948393388364624</v>
      </c>
      <c r="O45" s="135">
        <f>IF(分析!X50&lt;&gt;"",分析!X50,"")</f>
        <v>-9.0071187196217579</v>
      </c>
      <c r="P45" s="136">
        <f>IF(分析!L50&lt;&gt;"",分析!L50,"")</f>
        <v>-8.3333333333333321</v>
      </c>
      <c r="Q45" s="133">
        <f>IF(分析!S50&lt;&gt;"",分析!S50,"")</f>
        <v>6389</v>
      </c>
      <c r="R45" s="133">
        <f>IF(分析!R50&lt;&gt;"",分析!R50,"")</f>
        <v>7187</v>
      </c>
      <c r="S45" s="128" t="str">
        <f>IF(分析!AA50&lt;&gt;"",分析!AA50,"")</f>
        <v>上昇▲</v>
      </c>
      <c r="T45" s="137">
        <f>IF(分析!Z50&lt;&gt;"",分析!Z50,"")</f>
        <v>0.61989718778348957</v>
      </c>
      <c r="U45" s="128" t="str">
        <f>IF(分析!V50&lt;&gt;"",分析!V50,"")</f>
        <v>通常</v>
      </c>
      <c r="V45" s="138">
        <f>IF(分析!W50&lt;&gt;"",分析!W50,"")</f>
        <v>42.21331997996996</v>
      </c>
      <c r="W45" s="139" t="str">
        <f>IF(分析!AD50&lt;&gt;"",分析!AD50,"")</f>
        <v>もみ合い→</v>
      </c>
      <c r="X45" s="140" t="str">
        <f>IF(分析!AE50&lt;&gt;"",分析!AE50,"")</f>
        <v>なし</v>
      </c>
      <c r="Y45" s="141">
        <f>IF(分析!T50&lt;&gt;"",分析!T50,"")</f>
        <v>3</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2190</v>
      </c>
      <c r="F46" s="133">
        <f>IF(分析!F28&lt;&gt;"",分析!F28,"")</f>
        <v>2202.5</v>
      </c>
      <c r="G46" s="133">
        <f>IF(分析!H28&lt;&gt;"",分析!H28,"")</f>
        <v>2218.5</v>
      </c>
      <c r="H46" s="133">
        <f>IF(分析!I28&lt;&gt;"",分析!I28,"")</f>
        <v>2190</v>
      </c>
      <c r="I46" s="133">
        <f>IF(分析!J28&lt;&gt;"",分析!J28,"")</f>
        <v>206400</v>
      </c>
      <c r="J46" s="133">
        <f>IF(分析!AB28&lt;&gt;"",分析!AB28,"")</f>
        <v>3979.9389002036655</v>
      </c>
      <c r="K46" s="133">
        <f>IF(分析!AC28&lt;&gt;"",分析!AC28,"")</f>
        <v>4111.7699642431462</v>
      </c>
      <c r="L46" s="133">
        <f>IF(分析!K28&lt;&gt;"",分析!K28,"")</f>
        <v>2274</v>
      </c>
      <c r="M46" s="128" t="str">
        <f>IF(分析!P28&lt;&gt;"",分析!P28,"")</f>
        <v>減少↓</v>
      </c>
      <c r="N46" s="134">
        <f>IF(分析!O28&lt;&gt;"",分析!O28,"")</f>
        <v>0.41046853870018296</v>
      </c>
      <c r="O46" s="135">
        <f>IF(分析!X28&lt;&gt;"",分析!X28,"")</f>
        <v>26.783381560983798</v>
      </c>
      <c r="P46" s="136">
        <f>IF(分析!L28&lt;&gt;"",分析!L28,"")</f>
        <v>-3.6939313984168867</v>
      </c>
      <c r="Q46" s="133">
        <f>IF(分析!S28&lt;&gt;"",分析!S28,"")</f>
        <v>2102</v>
      </c>
      <c r="R46" s="133">
        <f>IF(分析!R28&lt;&gt;"",分析!R28,"")</f>
        <v>2365</v>
      </c>
      <c r="S46" s="128" t="str">
        <f>IF(分析!AA28&lt;&gt;"",分析!AA28,"")</f>
        <v>下落▼</v>
      </c>
      <c r="T46" s="137">
        <f>IF(分析!Z28&lt;&gt;"",分析!Z28,"")</f>
        <v>-1.3291281820229781</v>
      </c>
      <c r="U46" s="128" t="str">
        <f>IF(分析!V28&lt;&gt;"",分析!V28,"")</f>
        <v>高値圏</v>
      </c>
      <c r="V46" s="138">
        <f>IF(分析!W28&lt;&gt;"",分析!W28,"")</f>
        <v>67.84615384615384</v>
      </c>
      <c r="W46" s="139" t="str">
        <f>IF(分析!AD28&lt;&gt;"",分析!AD28,"")</f>
        <v>下降トレンド▼</v>
      </c>
      <c r="X46" s="140" t="str">
        <f>IF(分析!AE28&lt;&gt;"",分析!AE28,"")</f>
        <v>なし</v>
      </c>
      <c r="Y46" s="141">
        <f>IF(分析!T28&lt;&gt;"",分析!T28,"")</f>
        <v>7</v>
      </c>
      <c r="Z46" s="142" t="str">
        <f>IF(分析!Y28&lt;&gt;"",分析!Y28,"")</f>
        <v>△注目</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1509</v>
      </c>
      <c r="F47" s="148">
        <f>IF(分析!F85&lt;&gt;"",分析!F85,"")</f>
        <v>1468</v>
      </c>
      <c r="G47" s="148">
        <f>IF(分析!H85&lt;&gt;"",分析!H85,"")</f>
        <v>1519</v>
      </c>
      <c r="H47" s="148">
        <f>IF(分析!I85&lt;&gt;"",分析!I85,"")</f>
        <v>1457</v>
      </c>
      <c r="I47" s="148">
        <f>IF(分析!J85&lt;&gt;"",分析!J85,"")</f>
        <v>162600</v>
      </c>
      <c r="J47" s="148">
        <f>IF(分析!AB85&lt;&gt;"",分析!AB85,"")</f>
        <v>6855.5224032586548</v>
      </c>
      <c r="K47" s="148">
        <f>IF(分析!AC85&lt;&gt;"",分析!AC85,"")</f>
        <v>6537.460071513703</v>
      </c>
      <c r="L47" s="148">
        <f>IF(分析!K85&lt;&gt;"",分析!K85,"")</f>
        <v>2496</v>
      </c>
      <c r="M47" s="143" t="str">
        <f>IF(分析!P85&lt;&gt;"",分析!P85,"")</f>
        <v>減少↓</v>
      </c>
      <c r="N47" s="149">
        <f>IF(分析!O85&lt;&gt;"",分析!O85,"")</f>
        <v>0.527579493835172</v>
      </c>
      <c r="O47" s="150">
        <f>IF(分析!X85&lt;&gt;"",分析!X85,"")</f>
        <v>-37.25844116558369</v>
      </c>
      <c r="P47" s="151">
        <f>IF(分析!L85&lt;&gt;"",分析!L85,"")</f>
        <v>-39.543269230769226</v>
      </c>
      <c r="Q47" s="148">
        <f>IF(分析!S85&lt;&gt;"",分析!S85,"")</f>
        <v>1449</v>
      </c>
      <c r="R47" s="148">
        <f>IF(分析!R85&lt;&gt;"",分析!R85,"")</f>
        <v>1630</v>
      </c>
      <c r="S47" s="143" t="str">
        <f>IF(分析!AA85&lt;&gt;"",分析!AA85,"")</f>
        <v>上昇▲</v>
      </c>
      <c r="T47" s="152">
        <f>IF(分析!Z85&lt;&gt;"",分析!Z85,"")</f>
        <v>8.8744588744588757</v>
      </c>
      <c r="U47" s="143" t="str">
        <f>IF(分析!V85&lt;&gt;"",分析!V85,"")</f>
        <v>通常</v>
      </c>
      <c r="V47" s="153">
        <f>IF(分析!W85&lt;&gt;"",分析!W85,"")</f>
        <v>44.791666666666671</v>
      </c>
      <c r="W47" s="154" t="str">
        <f>IF(分析!AD85&lt;&gt;"",分析!AD85,"")</f>
        <v>もみ合い→</v>
      </c>
      <c r="X47" s="155" t="str">
        <f>IF(分析!AE85&lt;&gt;"",分析!AE85,"")</f>
        <v>なし</v>
      </c>
      <c r="Y47" s="156">
        <f>IF(分析!T85&lt;&gt;"",分析!T85,"")</f>
        <v>0</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1808.5</v>
      </c>
      <c r="F48" s="148">
        <f>IF(分析!F41&lt;&gt;"",分析!F41,"")</f>
        <v>1787</v>
      </c>
      <c r="G48" s="148">
        <f>IF(分析!H41&lt;&gt;"",分析!H41,"")</f>
        <v>1830</v>
      </c>
      <c r="H48" s="148">
        <f>IF(分析!I41&lt;&gt;"",分析!I41,"")</f>
        <v>1782</v>
      </c>
      <c r="I48" s="148">
        <f>IF(分析!J41&lt;&gt;"",分析!J41,"")</f>
        <v>2585900</v>
      </c>
      <c r="J48" s="148">
        <f>IF(分析!AB41&lt;&gt;"",分析!AB41,"")</f>
        <v>1861.1013238289204</v>
      </c>
      <c r="K48" s="148">
        <f>IF(分析!AC41&lt;&gt;"",分析!AC41,"")</f>
        <v>1787.7425506555414</v>
      </c>
      <c r="L48" s="148">
        <f>IF(分析!K41&lt;&gt;"",分析!K41,"")</f>
        <v>1886.5</v>
      </c>
      <c r="M48" s="143" t="str">
        <f>IF(分析!P41&lt;&gt;"",分析!P41,"")</f>
        <v>減少↓</v>
      </c>
      <c r="N48" s="149">
        <f>IF(分析!O41&lt;&gt;"",分析!O41,"")</f>
        <v>0.38837007422270414</v>
      </c>
      <c r="O48" s="150">
        <f>IF(分析!X41&lt;&gt;"",分析!X41,"")</f>
        <v>8.6475119308704507</v>
      </c>
      <c r="P48" s="151">
        <f>IF(分析!L41&lt;&gt;"",分析!L41,"")</f>
        <v>-4.1346408693347474</v>
      </c>
      <c r="Q48" s="148">
        <f>IF(分析!S41&lt;&gt;"",分析!S41,"")</f>
        <v>1736</v>
      </c>
      <c r="R48" s="148">
        <f>IF(分析!R41&lt;&gt;"",分析!R41,"")</f>
        <v>1953</v>
      </c>
      <c r="S48" s="143" t="str">
        <f>IF(分析!AA41&lt;&gt;"",分析!AA41,"")</f>
        <v>下落▼</v>
      </c>
      <c r="T48" s="152">
        <f>IF(分析!Z41&lt;&gt;"",分析!Z41,"")</f>
        <v>-0.19315673289183224</v>
      </c>
      <c r="U48" s="143" t="str">
        <f>IF(分析!V41&lt;&gt;"",分析!V41,"")</f>
        <v>高値圏</v>
      </c>
      <c r="V48" s="153">
        <f>IF(分析!W41&lt;&gt;"",分析!W41,"")</f>
        <v>54.186602870813395</v>
      </c>
      <c r="W48" s="154" t="str">
        <f>IF(分析!AD41&lt;&gt;"",分析!AD41,"")</f>
        <v>上昇トレンド▲</v>
      </c>
      <c r="X48" s="155" t="str">
        <f>IF(分析!AE41&lt;&gt;"",分析!AE41,"")</f>
        <v>25日押し目★</v>
      </c>
      <c r="Y48" s="156">
        <f>IF(分析!T41&lt;&gt;"",分析!T41,"")</f>
        <v>10</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3717</v>
      </c>
      <c r="F49" s="133">
        <f>IF(分析!F186&lt;&gt;"",分析!F186,"")</f>
        <v>3618</v>
      </c>
      <c r="G49" s="133">
        <f>IF(分析!H186&lt;&gt;"",分析!H186,"")</f>
        <v>3718</v>
      </c>
      <c r="H49" s="133">
        <f>IF(分析!I186&lt;&gt;"",分析!I186,"")</f>
        <v>3618</v>
      </c>
      <c r="I49" s="133">
        <f>IF(分析!J186&lt;&gt;"",分析!J186,"")</f>
        <v>176900</v>
      </c>
      <c r="J49" s="133">
        <f>IF(分析!AB186&lt;&gt;"",分析!AB186,"")</f>
        <v>620.50529531568202</v>
      </c>
      <c r="K49" s="133">
        <f>IF(分析!AC186&lt;&gt;"",分析!AC186,"")</f>
        <v>625.33277711561368</v>
      </c>
      <c r="L49" s="133">
        <f>IF(分析!K186&lt;&gt;"",分析!K186,"")</f>
        <v>3673</v>
      </c>
      <c r="M49" s="128" t="str">
        <f>IF(分析!P186&lt;&gt;"",分析!P186,"")</f>
        <v>減少↓</v>
      </c>
      <c r="N49" s="134">
        <f>IF(分析!O186&lt;&gt;"",分析!O186,"")</f>
        <v>0.60853113175094597</v>
      </c>
      <c r="O49" s="135">
        <f>IF(分析!X186&lt;&gt;"",分析!X186,"")</f>
        <v>24.004101672112029</v>
      </c>
      <c r="P49" s="136">
        <f>IF(分析!L186&lt;&gt;"",分析!L186,"")</f>
        <v>1.1979308467193031</v>
      </c>
      <c r="Q49" s="133">
        <f>IF(分析!S186&lt;&gt;"",分析!S186,"")</f>
        <v>3568</v>
      </c>
      <c r="R49" s="133">
        <f>IF(分析!R186&lt;&gt;"",分析!R186,"")</f>
        <v>4014</v>
      </c>
      <c r="S49" s="128" t="str">
        <f>IF(分析!AA186&lt;&gt;"",分析!AA186,"")</f>
        <v>上昇▲</v>
      </c>
      <c r="T49" s="137">
        <f>IF(分析!Z186&lt;&gt;"",分析!Z186,"")</f>
        <v>5.1485148514851486</v>
      </c>
      <c r="U49" s="128" t="str">
        <f>IF(分析!V186&lt;&gt;"",分析!V186,"")</f>
        <v>年初来高値更新●</v>
      </c>
      <c r="V49" s="138">
        <f>IF(分析!W186&lt;&gt;"",分析!W186,"")</f>
        <v>66.275167785234899</v>
      </c>
      <c r="W49" s="139" t="str">
        <f>IF(分析!AD186&lt;&gt;"",分析!AD186,"")</f>
        <v>上昇トレンド▲</v>
      </c>
      <c r="X49" s="140" t="str">
        <f>IF(分析!AE186&lt;&gt;"",分析!AE186,"")</f>
        <v>なし</v>
      </c>
      <c r="Y49" s="141">
        <f>IF(分析!T186&lt;&gt;"",分析!T186,"")</f>
        <v>9</v>
      </c>
      <c r="Z49" s="142" t="str">
        <f>IF(分析!Y186&lt;&gt;"",分析!Y186,"")</f>
        <v>△注目</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1770.5</v>
      </c>
      <c r="F50" s="133">
        <f>IF(分析!F64&lt;&gt;"",分析!F64,"")</f>
        <v>1789.5</v>
      </c>
      <c r="G50" s="133">
        <f>IF(分析!H64&lt;&gt;"",分析!H64,"")</f>
        <v>1789.5</v>
      </c>
      <c r="H50" s="133">
        <f>IF(分析!I64&lt;&gt;"",分析!I64,"")</f>
        <v>1758.5</v>
      </c>
      <c r="I50" s="133">
        <f>IF(分析!J64&lt;&gt;"",分析!J64,"")</f>
        <v>101800</v>
      </c>
      <c r="J50" s="133">
        <f>IF(分析!AB64&lt;&gt;"",分析!AB64,"")</f>
        <v>5919.8268839103857</v>
      </c>
      <c r="K50" s="133">
        <f>IF(分析!AC64&lt;&gt;"",分析!AC64,"")</f>
        <v>6493.6567342073877</v>
      </c>
      <c r="L50" s="133">
        <f>IF(分析!K64&lt;&gt;"",分析!K64,"")</f>
        <v>1862.5</v>
      </c>
      <c r="M50" s="128" t="str">
        <f>IF(分析!P64&lt;&gt;"",分析!P64,"")</f>
        <v/>
      </c>
      <c r="N50" s="134" t="str">
        <f>IF(分析!O64&lt;&gt;"",分析!O64,"")</f>
        <v/>
      </c>
      <c r="O50" s="135">
        <f>IF(分析!X64&lt;&gt;"",分析!X64,"")</f>
        <v>0</v>
      </c>
      <c r="P50" s="136">
        <f>IF(分析!L64&lt;&gt;"",分析!L64,"")</f>
        <v>-4.9395973154362416</v>
      </c>
      <c r="Q50" s="133">
        <f>IF(分析!S64&lt;&gt;"",分析!S64,"")</f>
        <v>1700</v>
      </c>
      <c r="R50" s="133">
        <f>IF(分析!R64&lt;&gt;"",分析!R64,"")</f>
        <v>1912</v>
      </c>
      <c r="S50" s="128" t="str">
        <f>IF(分析!AA64&lt;&gt;"",分析!AA64,"")</f>
        <v>上昇▲</v>
      </c>
      <c r="T50" s="137" t="str">
        <f>IF(分析!Z64&lt;&gt;"",分析!Z64,"")</f>
        <v/>
      </c>
      <c r="U50" s="128" t="str">
        <f>IF(分析!V64&lt;&gt;"",分析!V64,"")</f>
        <v>高値圏</v>
      </c>
      <c r="V50" s="138">
        <f>IF(分析!W64&lt;&gt;"",分析!W64,"")</f>
        <v>50</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1457</v>
      </c>
      <c r="F51" s="148">
        <f>IF(分析!F111&lt;&gt;"",分析!F111,"")</f>
        <v>1405</v>
      </c>
      <c r="G51" s="148">
        <f>IF(分析!H111&lt;&gt;"",分析!H111,"")</f>
        <v>1472</v>
      </c>
      <c r="H51" s="148">
        <f>IF(分析!I111&lt;&gt;"",分析!I111,"")</f>
        <v>1405</v>
      </c>
      <c r="I51" s="148">
        <f>IF(分析!J111&lt;&gt;"",分析!J111,"")</f>
        <v>224700</v>
      </c>
      <c r="J51" s="148">
        <f>IF(分析!AB111&lt;&gt;"",分析!AB111,"")</f>
        <v>4166.7688391038682</v>
      </c>
      <c r="K51" s="148">
        <f>IF(分析!AC111&lt;&gt;"",分析!AC111,"")</f>
        <v>4023.0953516090558</v>
      </c>
      <c r="L51" s="148">
        <f>IF(分析!K111&lt;&gt;"",分析!K111,"")</f>
        <v>2030</v>
      </c>
      <c r="M51" s="143" t="str">
        <f>IF(分析!P111&lt;&gt;"",分析!P111,"")</f>
        <v>減少↓</v>
      </c>
      <c r="N51" s="149">
        <f>IF(分析!O111&lt;&gt;"",分析!O111,"")</f>
        <v>0.92180833606826384</v>
      </c>
      <c r="O51" s="150">
        <f>IF(分析!X111&lt;&gt;"",分析!X111,"")</f>
        <v>-37.226811920123055</v>
      </c>
      <c r="P51" s="151">
        <f>IF(分析!L111&lt;&gt;"",分析!L111,"")</f>
        <v>-28.226600985221673</v>
      </c>
      <c r="Q51" s="148">
        <f>IF(分析!S111&lt;&gt;"",分析!S111,"")</f>
        <v>1399</v>
      </c>
      <c r="R51" s="148">
        <f>IF(分析!R111&lt;&gt;"",分析!R111,"")</f>
        <v>1574</v>
      </c>
      <c r="S51" s="143" t="str">
        <f>IF(分析!AA111&lt;&gt;"",分析!AA111,"")</f>
        <v>上昇▲</v>
      </c>
      <c r="T51" s="152">
        <f>IF(分析!Z111&lt;&gt;"",分析!Z111,"")</f>
        <v>7.1323529411764701</v>
      </c>
      <c r="U51" s="143" t="str">
        <f>IF(分析!V111&lt;&gt;"",分析!V111,"")</f>
        <v>通常</v>
      </c>
      <c r="V51" s="153">
        <f>IF(分析!W111&lt;&gt;"",分析!W111,"")</f>
        <v>28.051001821493628</v>
      </c>
      <c r="W51" s="154" t="str">
        <f>IF(分析!AD111&lt;&gt;"",分析!AD111,"")</f>
        <v>もみ合い→</v>
      </c>
      <c r="X51" s="155" t="str">
        <f>IF(分析!AE111&lt;&gt;"",分析!AE111,"")</f>
        <v>なし</v>
      </c>
      <c r="Y51" s="156">
        <f>IF(分析!T111&lt;&gt;"",分析!T111,"")</f>
        <v>2</v>
      </c>
      <c r="Z51" s="142" t="str">
        <f>IF(分析!Y111&lt;&gt;"",分析!Y111,"")</f>
        <v>見送り</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6831</v>
      </c>
      <c r="F52" s="148">
        <f>IF(分析!F189&lt;&gt;"",分析!F189,"")</f>
        <v>6758</v>
      </c>
      <c r="G52" s="148">
        <f>IF(分析!H189&lt;&gt;"",分析!H189,"")</f>
        <v>6835</v>
      </c>
      <c r="H52" s="148">
        <f>IF(分析!I189&lt;&gt;"",分析!I189,"")</f>
        <v>6671</v>
      </c>
      <c r="I52" s="148">
        <f>IF(分析!J189&lt;&gt;"",分析!J189,"")</f>
        <v>2973600</v>
      </c>
      <c r="J52" s="148">
        <f>IF(分析!AB189&lt;&gt;"",分析!AB189,"")</f>
        <v>1573.6924643584518</v>
      </c>
      <c r="K52" s="148">
        <f>IF(分析!AC189&lt;&gt;"",分析!AC189,"")</f>
        <v>1557.99284862932</v>
      </c>
      <c r="L52" s="148">
        <f>IF(分析!K189&lt;&gt;"",分析!K189,"")</f>
        <v>7218</v>
      </c>
      <c r="M52" s="143" t="str">
        <f>IF(分析!P189&lt;&gt;"",分析!P189,"")</f>
        <v>減少↓</v>
      </c>
      <c r="N52" s="149">
        <f>IF(分析!O189&lt;&gt;"",分析!O189,"")</f>
        <v>0.42509999914225183</v>
      </c>
      <c r="O52" s="150">
        <f>IF(分析!X189&lt;&gt;"",分析!X189,"")</f>
        <v>106.41490771735153</v>
      </c>
      <c r="P52" s="151">
        <f>IF(分析!L189&lt;&gt;"",分析!L189,"")</f>
        <v>-5.3615960099750621</v>
      </c>
      <c r="Q52" s="148">
        <f>IF(分析!S189&lt;&gt;"",分析!S189,"")</f>
        <v>6558</v>
      </c>
      <c r="R52" s="148">
        <f>IF(分析!R189&lt;&gt;"",分析!R189,"")</f>
        <v>7377</v>
      </c>
      <c r="S52" s="143" t="str">
        <f>IF(分析!AA189&lt;&gt;"",分析!AA189,"")</f>
        <v>下落▼</v>
      </c>
      <c r="T52" s="152">
        <f>IF(分析!Z189&lt;&gt;"",分析!Z189,"")</f>
        <v>-2.3166023166023164</v>
      </c>
      <c r="U52" s="143" t="str">
        <f>IF(分析!V189&lt;&gt;"",分析!V189,"")</f>
        <v>通常</v>
      </c>
      <c r="V52" s="153">
        <f>IF(分析!W189&lt;&gt;"",分析!W189,"")</f>
        <v>77.90988735919899</v>
      </c>
      <c r="W52" s="154" t="str">
        <f>IF(分析!AD189&lt;&gt;"",分析!AD189,"")</f>
        <v>パーフェクト▲</v>
      </c>
      <c r="X52" s="155" t="str">
        <f>IF(分析!AE189&lt;&gt;"",分析!AE189,"")</f>
        <v>なし</v>
      </c>
      <c r="Y52" s="156">
        <f>IF(分析!T189&lt;&gt;"",分析!T189,"")</f>
        <v>7</v>
      </c>
      <c r="Z52" s="142" t="str">
        <f>IF(分析!Y189&lt;&gt;"",分析!Y189,"")</f>
        <v>△注目</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24720</v>
      </c>
      <c r="F53" s="133">
        <f>IF(分析!F86&lt;&gt;"",分析!F86,"")</f>
        <v>23340</v>
      </c>
      <c r="G53" s="133">
        <f>IF(分析!H86&lt;&gt;"",分析!H86,"")</f>
        <v>24740</v>
      </c>
      <c r="H53" s="133">
        <f>IF(分析!I86&lt;&gt;"",分析!I86,"")</f>
        <v>22980</v>
      </c>
      <c r="I53" s="133">
        <f>IF(分析!J86&lt;&gt;"",分析!J86,"")</f>
        <v>466000</v>
      </c>
      <c r="J53" s="133">
        <f>IF(分析!AB86&lt;&gt;"",分析!AB86,"")</f>
        <v>1755.3584521384923</v>
      </c>
      <c r="K53" s="133">
        <f>IF(分析!AC86&lt;&gt;"",分析!AC86,"")</f>
        <v>1779.0589988081042</v>
      </c>
      <c r="L53" s="133">
        <f>IF(分析!K86&lt;&gt;"",分析!K86,"")</f>
        <v>45300</v>
      </c>
      <c r="M53" s="128" t="str">
        <f>IF(分析!P86&lt;&gt;"",分析!P86,"")</f>
        <v>減少↓</v>
      </c>
      <c r="N53" s="134">
        <f>IF(分析!O86&lt;&gt;"",分析!O86,"")</f>
        <v>0.92828685258964139</v>
      </c>
      <c r="O53" s="135">
        <f>IF(分析!X86&lt;&gt;"",分析!X86,"")</f>
        <v>-919.77306469137693</v>
      </c>
      <c r="P53" s="136">
        <f>IF(分析!L86&lt;&gt;"",分析!L86,"")</f>
        <v>-45.430463576158942</v>
      </c>
      <c r="Q53" s="133">
        <f>IF(分析!S86&lt;&gt;"",分析!S86,"")</f>
        <v>23731</v>
      </c>
      <c r="R53" s="133">
        <f>IF(分析!R86&lt;&gt;"",分析!R86,"")</f>
        <v>26698</v>
      </c>
      <c r="S53" s="128" t="str">
        <f>IF(分析!AA86&lt;&gt;"",分析!AA86,"")</f>
        <v>上昇▲</v>
      </c>
      <c r="T53" s="137">
        <f>IF(分析!Z86&lt;&gt;"",分析!Z86,"")</f>
        <v>16.71388101983003</v>
      </c>
      <c r="U53" s="128" t="str">
        <f>IF(分析!V86&lt;&gt;"",分析!V86,"")</f>
        <v>通常</v>
      </c>
      <c r="V53" s="138">
        <f>IF(分析!W86&lt;&gt;"",分析!W86,"")</f>
        <v>35.403726708074529</v>
      </c>
      <c r="W53" s="139" t="str">
        <f>IF(分析!AD86&lt;&gt;"",分析!AD86,"")</f>
        <v>上昇トレンド▲</v>
      </c>
      <c r="X53" s="140" t="str">
        <f>IF(分析!AE86&lt;&gt;"",分析!AE86,"")</f>
        <v>なし</v>
      </c>
      <c r="Y53" s="141">
        <f>IF(分析!T86&lt;&gt;"",分析!T86,"")</f>
        <v>3</v>
      </c>
      <c r="Z53" s="142" t="str">
        <f>IF(分析!Y86&lt;&gt;"",分析!Y86,"")</f>
        <v>様子見</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4367</v>
      </c>
      <c r="F54" s="133">
        <f>IF(分析!F130&lt;&gt;"",分析!F130,"")</f>
        <v>4236</v>
      </c>
      <c r="G54" s="133">
        <f>IF(分析!H130&lt;&gt;"",分析!H130,"")</f>
        <v>4404</v>
      </c>
      <c r="H54" s="133">
        <f>IF(分析!I130&lt;&gt;"",分析!I130,"")</f>
        <v>4230</v>
      </c>
      <c r="I54" s="133">
        <f>IF(分析!J130&lt;&gt;"",分析!J130,"")</f>
        <v>911000</v>
      </c>
      <c r="J54" s="133">
        <f>IF(分析!AB130&lt;&gt;"",分析!AB130,"")</f>
        <v>6342.6069246435836</v>
      </c>
      <c r="K54" s="133">
        <f>IF(分析!AC130&lt;&gt;"",分析!AC130,"")</f>
        <v>6251.1680572109617</v>
      </c>
      <c r="L54" s="133">
        <f>IF(分析!K130&lt;&gt;"",分析!K130,"")</f>
        <v>6126</v>
      </c>
      <c r="M54" s="128" t="str">
        <f>IF(分析!P130&lt;&gt;"",分析!P130,"")</f>
        <v>減少↓</v>
      </c>
      <c r="N54" s="134">
        <f>IF(分析!O130&lt;&gt;"",分析!O130,"")</f>
        <v>0.72024920148002913</v>
      </c>
      <c r="O54" s="135">
        <f>IF(分析!X130&lt;&gt;"",分析!X130,"")</f>
        <v>-18.738571638955364</v>
      </c>
      <c r="P54" s="136">
        <f>IF(分析!L130&lt;&gt;"",分析!L130,"")</f>
        <v>-28.713679399281748</v>
      </c>
      <c r="Q54" s="133">
        <f>IF(分析!S130&lt;&gt;"",分析!S130,"")</f>
        <v>4192</v>
      </c>
      <c r="R54" s="133">
        <f>IF(分析!R130&lt;&gt;"",分析!R130,"")</f>
        <v>4716</v>
      </c>
      <c r="S54" s="128" t="str">
        <f>IF(分析!AA130&lt;&gt;"",分析!AA130,"")</f>
        <v>上昇▲</v>
      </c>
      <c r="T54" s="137">
        <f>IF(分析!Z130&lt;&gt;"",分析!Z130,"")</f>
        <v>5.203565405926283</v>
      </c>
      <c r="U54" s="128" t="str">
        <f>IF(分析!V130&lt;&gt;"",分析!V130,"")</f>
        <v>通常</v>
      </c>
      <c r="V54" s="138">
        <f>IF(分析!W130&lt;&gt;"",分析!W130,"")</f>
        <v>53.359173126614984</v>
      </c>
      <c r="W54" s="139" t="str">
        <f>IF(分析!AD130&lt;&gt;"",分析!AD130,"")</f>
        <v>もみ合い→</v>
      </c>
      <c r="X54" s="140" t="str">
        <f>IF(分析!AE130&lt;&gt;"",分析!AE130,"")</f>
        <v>なし</v>
      </c>
      <c r="Y54" s="141">
        <f>IF(分析!T130&lt;&gt;"",分析!T130,"")</f>
        <v>0</v>
      </c>
      <c r="Z54" s="142" t="str">
        <f>IF(分析!Y130&lt;&gt;"",分析!Y130,"")</f>
        <v>見送り</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1576</v>
      </c>
      <c r="F55" s="133">
        <f>IF(分析!F6&lt;&gt;"",分析!F6,"")</f>
        <v>1580</v>
      </c>
      <c r="G55" s="133">
        <f>IF(分析!H6&lt;&gt;"",分析!H6,"")</f>
        <v>1592</v>
      </c>
      <c r="H55" s="133">
        <f>IF(分析!I6&lt;&gt;"",分析!I6,"")</f>
        <v>1571</v>
      </c>
      <c r="I55" s="133">
        <f>IF(分析!J6&lt;&gt;"",分析!J6,"")</f>
        <v>9700</v>
      </c>
      <c r="J55" s="133">
        <f>IF(分析!AB6&lt;&gt;"",分析!AB6,"")</f>
        <v>7884.2484725050899</v>
      </c>
      <c r="K55" s="133">
        <f>IF(分析!AC6&lt;&gt;"",分析!AC6,"")</f>
        <v>7594.2634088200221</v>
      </c>
      <c r="L55" s="133">
        <f>IF(分析!K6&lt;&gt;"",分析!K6,"")</f>
        <v>1787</v>
      </c>
      <c r="M55" s="128" t="str">
        <f>IF(分析!P6&lt;&gt;"",分析!P6,"")</f>
        <v>減少↓</v>
      </c>
      <c r="N55" s="134">
        <f>IF(分析!O6&lt;&gt;"",分析!O6,"")</f>
        <v>0.37307692307692308</v>
      </c>
      <c r="O55" s="135">
        <f>IF(分析!X6&lt;&gt;"",分析!X6,"")</f>
        <v>5.1979031917819611</v>
      </c>
      <c r="P55" s="136">
        <f>IF(分析!L6&lt;&gt;"",分析!L6,"")</f>
        <v>-11.807498601007275</v>
      </c>
      <c r="Q55" s="133">
        <f>IF(分析!S6&lt;&gt;"",分析!S6,"")</f>
        <v>1513</v>
      </c>
      <c r="R55" s="133">
        <f>IF(分析!R6&lt;&gt;"",分析!R6,"")</f>
        <v>1702</v>
      </c>
      <c r="S55" s="128" t="str">
        <f>IF(分析!AA6&lt;&gt;"",分析!AA6,"")</f>
        <v>上昇▲</v>
      </c>
      <c r="T55" s="137">
        <f>IF(分析!Z6&lt;&gt;"",分析!Z6,"")</f>
        <v>0.44614404079031234</v>
      </c>
      <c r="U55" s="128" t="str">
        <f>IF(分析!V6&lt;&gt;"",分析!V6,"")</f>
        <v>通常</v>
      </c>
      <c r="V55" s="138">
        <f>IF(分析!W6&lt;&gt;"",分析!W6,"")</f>
        <v>58.720930232558146</v>
      </c>
      <c r="W55" s="139" t="str">
        <f>IF(分析!AD6&lt;&gt;"",分析!AD6,"")</f>
        <v>もみ合い→</v>
      </c>
      <c r="X55" s="140" t="str">
        <f>IF(分析!AE6&lt;&gt;"",分析!AE6,"")</f>
        <v>なし</v>
      </c>
      <c r="Y55" s="141">
        <f>IF(分析!T6&lt;&gt;"",分析!T6,"")</f>
        <v>6</v>
      </c>
      <c r="Z55" s="142" t="str">
        <f>IF(分析!Y6&lt;&gt;"",分析!Y6,"")</f>
        <v>△注目</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5472</v>
      </c>
      <c r="F56" s="133">
        <f>IF(分析!F100&lt;&gt;"",分析!F100,"")</f>
        <v>5425</v>
      </c>
      <c r="G56" s="133">
        <f>IF(分析!H100&lt;&gt;"",分析!H100,"")</f>
        <v>5473</v>
      </c>
      <c r="H56" s="133">
        <f>IF(分析!I100&lt;&gt;"",分析!I100,"")</f>
        <v>5314</v>
      </c>
      <c r="I56" s="133">
        <f>IF(分析!J100&lt;&gt;"",分析!J100,"")</f>
        <v>9062200</v>
      </c>
      <c r="J56" s="133">
        <f>IF(分析!AB100&lt;&gt;"",分析!AB100,"")</f>
        <v>0</v>
      </c>
      <c r="K56" s="133">
        <f>IF(分析!AC100&lt;&gt;"",分析!AC100,"")</f>
        <v>0</v>
      </c>
      <c r="L56" s="133">
        <f>IF(分析!K100&lt;&gt;"",分析!K100,"")</f>
        <v>6039</v>
      </c>
      <c r="M56" s="128" t="str">
        <f>IF(分析!P100&lt;&gt;"",分析!P100,"")</f>
        <v>減少↓</v>
      </c>
      <c r="N56" s="134">
        <f>IF(分析!O100&lt;&gt;"",分析!O100,"")</f>
        <v>0.51642882135786672</v>
      </c>
      <c r="O56" s="135">
        <f>IF(分析!X100&lt;&gt;"",分析!X100,"")</f>
        <v>70.089920354725109</v>
      </c>
      <c r="P56" s="136">
        <f>IF(分析!L100&lt;&gt;"",分析!L100,"")</f>
        <v>-9.3889716840536508</v>
      </c>
      <c r="Q56" s="133">
        <f>IF(分析!S100&lt;&gt;"",分析!S100,"")</f>
        <v>5253</v>
      </c>
      <c r="R56" s="133">
        <f>IF(分析!R100&lt;&gt;"",分析!R100,"")</f>
        <v>5910</v>
      </c>
      <c r="S56" s="128" t="str">
        <f>IF(分析!AA100&lt;&gt;"",分析!AA100,"")</f>
        <v>上昇▲</v>
      </c>
      <c r="T56" s="137">
        <f>IF(分析!Z100&lt;&gt;"",分析!Z100,"")</f>
        <v>3.225806451612903</v>
      </c>
      <c r="U56" s="128" t="str">
        <f>IF(分析!V100&lt;&gt;"",分析!V100,"")</f>
        <v>通常</v>
      </c>
      <c r="V56" s="138">
        <f>IF(分析!W100&lt;&gt;"",分析!W100,"")</f>
        <v>78.425655976676381</v>
      </c>
      <c r="W56" s="139" t="str">
        <f>IF(分析!AD100&lt;&gt;"",分析!AD100,"")</f>
        <v>上昇トレンド▲</v>
      </c>
      <c r="X56" s="140" t="e">
        <f>IF(分析!AE100&lt;&gt;"",分析!AE100,"")</f>
        <v>#DIV/0!</v>
      </c>
      <c r="Y56" s="141">
        <f>IF(分析!T100&lt;&gt;"",分析!T100,"")</f>
        <v>0</v>
      </c>
      <c r="Z56" s="142" t="e">
        <f>IF(分析!Y100&lt;&gt;"",分析!Y100,"")</f>
        <v>#DIV/0!</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63950</v>
      </c>
      <c r="F57" s="148">
        <f>IF(分析!F113&lt;&gt;"",分析!F113,"")</f>
        <v>63890</v>
      </c>
      <c r="G57" s="148">
        <f>IF(分析!H113&lt;&gt;"",分析!H113,"")</f>
        <v>64480</v>
      </c>
      <c r="H57" s="148">
        <f>IF(分析!I113&lt;&gt;"",分析!I113,"")</f>
        <v>62440</v>
      </c>
      <c r="I57" s="148">
        <f>IF(分析!J113&lt;&gt;"",分析!J113,"")</f>
        <v>1155400</v>
      </c>
      <c r="J57" s="148">
        <f>IF(分析!AB113&lt;&gt;"",分析!AB113,"")</f>
        <v>6159.2820773930762</v>
      </c>
      <c r="K57" s="148">
        <f>IF(分析!AC113&lt;&gt;"",分析!AC113,"")</f>
        <v>6151.2502979737765</v>
      </c>
      <c r="L57" s="148">
        <f>IF(分析!K113&lt;&gt;"",分析!K113,"")</f>
        <v>91680</v>
      </c>
      <c r="M57" s="143" t="str">
        <f>IF(分析!P113&lt;&gt;"",分析!P113,"")</f>
        <v>減少↓</v>
      </c>
      <c r="N57" s="149">
        <f>IF(分析!O113&lt;&gt;"",分析!O113,"")</f>
        <v>0.42404979667337084</v>
      </c>
      <c r="O57" s="150">
        <f>IF(分析!X113&lt;&gt;"",分析!X113,"")</f>
        <v>-2339.8319528416978</v>
      </c>
      <c r="P57" s="151">
        <f>IF(分析!L113&lt;&gt;"",分析!L113,"")</f>
        <v>-30.246509598603836</v>
      </c>
      <c r="Q57" s="148">
        <f>IF(分析!S113&lt;&gt;"",分析!S113,"")</f>
        <v>61392</v>
      </c>
      <c r="R57" s="148">
        <f>IF(分析!R113&lt;&gt;"",分析!R113,"")</f>
        <v>69066</v>
      </c>
      <c r="S57" s="143" t="str">
        <f>IF(分析!AA113&lt;&gt;"",分析!AA113,"")</f>
        <v>上昇▲</v>
      </c>
      <c r="T57" s="152">
        <f>IF(分析!Z113&lt;&gt;"",分析!Z113,"")</f>
        <v>5.6675479180436223</v>
      </c>
      <c r="U57" s="143" t="str">
        <f>IF(分析!V113&lt;&gt;"",分析!V113,"")</f>
        <v>通常</v>
      </c>
      <c r="V57" s="153">
        <f>IF(分析!W113&lt;&gt;"",分析!W113,"")</f>
        <v>38.963531669865645</v>
      </c>
      <c r="W57" s="154" t="str">
        <f>IF(分析!AD113&lt;&gt;"",分析!AD113,"")</f>
        <v>パーフェクト▲</v>
      </c>
      <c r="X57" s="155" t="str">
        <f>IF(分析!AE113&lt;&gt;"",分析!AE113,"")</f>
        <v>なし</v>
      </c>
      <c r="Y57" s="156">
        <f>IF(分析!T113&lt;&gt;"",分析!T113,"")</f>
        <v>4</v>
      </c>
      <c r="Z57" s="142" t="str">
        <f>IF(分析!Y113&lt;&gt;"",分析!Y113,"")</f>
        <v>様子見</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1484.5</v>
      </c>
      <c r="F58" s="148">
        <f>IF(分析!F33&lt;&gt;"",分析!F33,"")</f>
        <v>1479.5</v>
      </c>
      <c r="G58" s="148">
        <f>IF(分析!H33&lt;&gt;"",分析!H33,"")</f>
        <v>1495.5</v>
      </c>
      <c r="H58" s="148">
        <f>IF(分析!I33&lt;&gt;"",分析!I33,"")</f>
        <v>1473.5</v>
      </c>
      <c r="I58" s="148">
        <f>IF(分析!J33&lt;&gt;"",分析!J33,"")</f>
        <v>3874700</v>
      </c>
      <c r="J58" s="148">
        <f>IF(分析!AB33&lt;&gt;"",分析!AB33,"")</f>
        <v>2222.1216904276989</v>
      </c>
      <c r="K58" s="148">
        <f>IF(分析!AC33&lt;&gt;"",分析!AC33,"")</f>
        <v>2271.7002383790218</v>
      </c>
      <c r="L58" s="148">
        <f>IF(分析!K33&lt;&gt;"",分析!K33,"")</f>
        <v>2158</v>
      </c>
      <c r="M58" s="143" t="str">
        <f>IF(分析!P33&lt;&gt;"",分析!P33,"")</f>
        <v>減少↓</v>
      </c>
      <c r="N58" s="149">
        <f>IF(分析!O33&lt;&gt;"",分析!O33,"")</f>
        <v>0.33361574478270678</v>
      </c>
      <c r="O58" s="150">
        <f>IF(分析!X33&lt;&gt;"",分析!X33,"")</f>
        <v>1.8838436707678738</v>
      </c>
      <c r="P58" s="151">
        <f>IF(分析!L33&lt;&gt;"",分析!L33,"")</f>
        <v>-31.209453197405008</v>
      </c>
      <c r="Q58" s="148">
        <f>IF(分析!S33&lt;&gt;"",分析!S33,"")</f>
        <v>1425</v>
      </c>
      <c r="R58" s="148">
        <f>IF(分析!R33&lt;&gt;"",分析!R33,"")</f>
        <v>1603</v>
      </c>
      <c r="S58" s="143" t="str">
        <f>IF(分析!AA33&lt;&gt;"",分析!AA33,"")</f>
        <v>下落▼</v>
      </c>
      <c r="T58" s="152">
        <f>IF(分析!Z33&lt;&gt;"",分析!Z33,"")</f>
        <v>-0.26872690628149143</v>
      </c>
      <c r="U58" s="143" t="str">
        <f>IF(分析!V33&lt;&gt;"",分析!V33,"")</f>
        <v>通常</v>
      </c>
      <c r="V58" s="153">
        <f>IF(分析!W33&lt;&gt;"",分析!W33,"")</f>
        <v>45.701357466063349</v>
      </c>
      <c r="W58" s="154" t="str">
        <f>IF(分析!AD33&lt;&gt;"",分析!AD33,"")</f>
        <v>下降トレンド▼</v>
      </c>
      <c r="X58" s="155" t="str">
        <f>IF(分析!AE33&lt;&gt;"",分析!AE33,"")</f>
        <v>なし</v>
      </c>
      <c r="Y58" s="156">
        <f>IF(分析!T33&lt;&gt;"",分析!T33,"")</f>
        <v>1</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5320</v>
      </c>
      <c r="F59" s="133">
        <f>IF(分析!F84&lt;&gt;"",分析!F84,"")</f>
        <v>5460</v>
      </c>
      <c r="G59" s="133">
        <f>IF(分析!H84&lt;&gt;"",分析!H84,"")</f>
        <v>5581</v>
      </c>
      <c r="H59" s="133">
        <f>IF(分析!I84&lt;&gt;"",分析!I84,"")</f>
        <v>5253</v>
      </c>
      <c r="I59" s="133">
        <f>IF(分析!J84&lt;&gt;"",分析!J84,"")</f>
        <v>1649400</v>
      </c>
      <c r="J59" s="133">
        <f>IF(分析!AB84&lt;&gt;"",分析!AB84,"")</f>
        <v>2227.3253564154784</v>
      </c>
      <c r="K59" s="133">
        <f>IF(分析!AC84&lt;&gt;"",分析!AC84,"")</f>
        <v>2190.1615017878426</v>
      </c>
      <c r="L59" s="133">
        <f>IF(分析!K84&lt;&gt;"",分析!K84,"")</f>
        <v>6317</v>
      </c>
      <c r="M59" s="128" t="str">
        <f>IF(分析!P84&lt;&gt;"",分析!P84,"")</f>
        <v>普通→</v>
      </c>
      <c r="N59" s="134">
        <f>IF(分析!O84&lt;&gt;"",分析!O84,"")</f>
        <v>1.3251385876114727</v>
      </c>
      <c r="O59" s="135">
        <f>IF(分析!X84&lt;&gt;"",分析!X84,"")</f>
        <v>27.583122047138204</v>
      </c>
      <c r="P59" s="136">
        <f>IF(分析!L84&lt;&gt;"",分析!L84,"")</f>
        <v>-15.782808295076778</v>
      </c>
      <c r="Q59" s="133">
        <f>IF(分析!S84&lt;&gt;"",分析!S84,"")</f>
        <v>5107</v>
      </c>
      <c r="R59" s="133">
        <f>IF(分析!R84&lt;&gt;"",分析!R84,"")</f>
        <v>5746</v>
      </c>
      <c r="S59" s="128" t="str">
        <f>IF(分析!AA84&lt;&gt;"",分析!AA84,"")</f>
        <v>下落▼</v>
      </c>
      <c r="T59" s="137">
        <f>IF(分析!Z84&lt;&gt;"",分析!Z84,"")</f>
        <v>-6.7321178120617109</v>
      </c>
      <c r="U59" s="128" t="str">
        <f>IF(分析!V84&lt;&gt;"",分析!V84,"")</f>
        <v>通常</v>
      </c>
      <c r="V59" s="138">
        <f>IF(分析!W84&lt;&gt;"",分析!W84,"")</f>
        <v>53.768545994065278</v>
      </c>
      <c r="W59" s="139" t="str">
        <f>IF(分析!AD84&lt;&gt;"",分析!AD84,"")</f>
        <v>パーフェクト▲</v>
      </c>
      <c r="X59" s="140" t="str">
        <f>IF(分析!AE84&lt;&gt;"",分析!AE84,"")</f>
        <v>なし</v>
      </c>
      <c r="Y59" s="141">
        <f>IF(分析!T84&lt;&gt;"",分析!T84,"")</f>
        <v>9</v>
      </c>
      <c r="Z59" s="142" t="str">
        <f>IF(分析!Y84&lt;&gt;"",分析!Y84,"")</f>
        <v>△注目</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1413</v>
      </c>
      <c r="F60" s="133">
        <f>IF(分析!F42&lt;&gt;"",分析!F42,"")</f>
        <v>1414.5</v>
      </c>
      <c r="G60" s="133">
        <f>IF(分析!H42&lt;&gt;"",分析!H42,"")</f>
        <v>1422</v>
      </c>
      <c r="H60" s="133">
        <f>IF(分析!I42&lt;&gt;"",分析!I42,"")</f>
        <v>1405</v>
      </c>
      <c r="I60" s="133">
        <f>IF(分析!J42&lt;&gt;"",分析!J42,"")</f>
        <v>2117800</v>
      </c>
      <c r="J60" s="133">
        <f>IF(分析!AB42&lt;&gt;"",分析!AB42,"")</f>
        <v>1148.3009164969446</v>
      </c>
      <c r="K60" s="133">
        <f>IF(分析!AC42&lt;&gt;"",分析!AC42,"")</f>
        <v>1155.1662693682952</v>
      </c>
      <c r="L60" s="133">
        <f>IF(分析!K42&lt;&gt;"",分析!K42,"")</f>
        <v>1541.5</v>
      </c>
      <c r="M60" s="128" t="str">
        <f>IF(分析!P42&lt;&gt;"",分析!P42,"")</f>
        <v>減少↓</v>
      </c>
      <c r="N60" s="134">
        <f>IF(分析!O42&lt;&gt;"",分析!O42,"")</f>
        <v>0.35500915265829402</v>
      </c>
      <c r="O60" s="135">
        <f>IF(分析!X42&lt;&gt;"",分析!X42,"")</f>
        <v>12.441501916501693</v>
      </c>
      <c r="P60" s="136">
        <f>IF(分析!L42&lt;&gt;"",分析!L42,"")</f>
        <v>-8.3360363282517032</v>
      </c>
      <c r="Q60" s="133">
        <f>IF(分析!S42&lt;&gt;"",分析!S42,"")</f>
        <v>1356</v>
      </c>
      <c r="R60" s="133">
        <f>IF(分析!R42&lt;&gt;"",分析!R42,"")</f>
        <v>1526</v>
      </c>
      <c r="S60" s="128" t="str">
        <f>IF(分析!AA42&lt;&gt;"",分析!AA42,"")</f>
        <v>下落▼</v>
      </c>
      <c r="T60" s="137">
        <f>IF(分析!Z42&lt;&gt;"",分析!Z42,"")</f>
        <v>-1.223348479552604</v>
      </c>
      <c r="U60" s="128" t="str">
        <f>IF(分析!V42&lt;&gt;"",分析!V42,"")</f>
        <v>通常</v>
      </c>
      <c r="V60" s="138">
        <f>IF(分析!W42&lt;&gt;"",分析!W42,"")</f>
        <v>59.098786828422874</v>
      </c>
      <c r="W60" s="139" t="str">
        <f>IF(分析!AD42&lt;&gt;"",分析!AD42,"")</f>
        <v>上昇トレンド▲</v>
      </c>
      <c r="X60" s="140" t="str">
        <f>IF(分析!AE42&lt;&gt;"",分析!AE42,"")</f>
        <v>なし</v>
      </c>
      <c r="Y60" s="141">
        <f>IF(分析!T42&lt;&gt;"",分析!T42,"")</f>
        <v>7</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2329</v>
      </c>
      <c r="F61" s="148">
        <f>IF(分析!F197&lt;&gt;"",分析!F197,"")</f>
        <v>2310</v>
      </c>
      <c r="G61" s="148">
        <f>IF(分析!H197&lt;&gt;"",分析!H197,"")</f>
        <v>2355.5</v>
      </c>
      <c r="H61" s="148">
        <f>IF(分析!I197&lt;&gt;"",分析!I197,"")</f>
        <v>2302.5</v>
      </c>
      <c r="I61" s="148">
        <f>IF(分析!J197&lt;&gt;"",分析!J197,"")</f>
        <v>742500</v>
      </c>
      <c r="J61" s="148">
        <f>IF(分析!AB197&lt;&gt;"",分析!AB197,"")</f>
        <v>40403.859470468436</v>
      </c>
      <c r="K61" s="148">
        <f>IF(分析!AC197&lt;&gt;"",分析!AC197,"")</f>
        <v>41913.992848629307</v>
      </c>
      <c r="L61" s="148">
        <f>IF(分析!K197&lt;&gt;"",分析!K197,"")</f>
        <v>2927.5</v>
      </c>
      <c r="M61" s="143" t="str">
        <f>IF(分析!P197&lt;&gt;"",分析!P197,"")</f>
        <v>減少↓</v>
      </c>
      <c r="N61" s="149">
        <f>IF(分析!O197&lt;&gt;"",分析!O197,"")</f>
        <v>0.43538683460577698</v>
      </c>
      <c r="O61" s="150">
        <f>IF(分析!X197&lt;&gt;"",分析!X197,"")</f>
        <v>-32.672418493943042</v>
      </c>
      <c r="P61" s="151">
        <f>IF(分析!L197&lt;&gt;"",分析!L197,"")</f>
        <v>-20.44406490179334</v>
      </c>
      <c r="Q61" s="148">
        <f>IF(分析!S197&lt;&gt;"",分析!S197,"")</f>
        <v>2236</v>
      </c>
      <c r="R61" s="148">
        <f>IF(分析!R197&lt;&gt;"",分析!R197,"")</f>
        <v>2515</v>
      </c>
      <c r="S61" s="143" t="str">
        <f>IF(分析!AA197&lt;&gt;"",分析!AA197,"")</f>
        <v>上昇▲</v>
      </c>
      <c r="T61" s="152">
        <f>IF(分析!Z197&lt;&gt;"",分析!Z197,"")</f>
        <v>3.0759017481743749</v>
      </c>
      <c r="U61" s="143" t="str">
        <f>IF(分析!V197&lt;&gt;"",分析!V197,"")</f>
        <v>通常</v>
      </c>
      <c r="V61" s="153">
        <f>IF(分析!W197&lt;&gt;"",分析!W197,"")</f>
        <v>49.579344357412246</v>
      </c>
      <c r="W61" s="154" t="str">
        <f>IF(分析!AD197&lt;&gt;"",分析!AD197,"")</f>
        <v>下降トレンド▼</v>
      </c>
      <c r="X61" s="155" t="str">
        <f>IF(分析!AE197&lt;&gt;"",分析!AE197,"")</f>
        <v>なし</v>
      </c>
      <c r="Y61" s="156">
        <f>IF(分析!T197&lt;&gt;"",分析!T197,"")</f>
        <v>0</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2050</v>
      </c>
      <c r="F62" s="133">
        <f>IF(分析!F76&lt;&gt;"",分析!F76,"")</f>
        <v>2101</v>
      </c>
      <c r="G62" s="133">
        <f>IF(分析!H76&lt;&gt;"",分析!H76,"")</f>
        <v>2149</v>
      </c>
      <c r="H62" s="133">
        <f>IF(分析!I76&lt;&gt;"",分析!I76,"")</f>
        <v>2050</v>
      </c>
      <c r="I62" s="133">
        <f>IF(分析!J76&lt;&gt;"",分析!J76,"")</f>
        <v>1300</v>
      </c>
      <c r="J62" s="133">
        <f>IF(分析!AB76&lt;&gt;"",分析!AB76,"")</f>
        <v>6426.6568228105898</v>
      </c>
      <c r="K62" s="133">
        <f>IF(分析!AC76&lt;&gt;"",分析!AC76,"")</f>
        <v>6719.2610250297939</v>
      </c>
      <c r="L62" s="133">
        <f>IF(分析!K76&lt;&gt;"",分析!K76,"")</f>
        <v>2539</v>
      </c>
      <c r="M62" s="128" t="str">
        <f>IF(分析!P76&lt;&gt;"",分析!P76,"")</f>
        <v>減少↓</v>
      </c>
      <c r="N62" s="134">
        <f>IF(分析!O76&lt;&gt;"",分析!O76,"")</f>
        <v>0.85526315789473684</v>
      </c>
      <c r="O62" s="135">
        <f>IF(分析!X76&lt;&gt;"",分析!X76,"")</f>
        <v>27.146559650373547</v>
      </c>
      <c r="P62" s="136">
        <f>IF(分析!L76&lt;&gt;"",分析!L76,"")</f>
        <v>-19.259551004332415</v>
      </c>
      <c r="Q62" s="133">
        <f>IF(分析!S76&lt;&gt;"",分析!S76,"")</f>
        <v>1968</v>
      </c>
      <c r="R62" s="133">
        <f>IF(分析!R76&lt;&gt;"",分析!R76,"")</f>
        <v>2214</v>
      </c>
      <c r="S62" s="128" t="str">
        <f>IF(分析!AA76&lt;&gt;"",分析!AA76,"")</f>
        <v>上昇▲</v>
      </c>
      <c r="T62" s="137">
        <f>IF(分析!Z76&lt;&gt;"",分析!Z76,"")</f>
        <v>0.98522167487684731</v>
      </c>
      <c r="U62" s="128" t="str">
        <f>IF(分析!V76&lt;&gt;"",分析!V76,"")</f>
        <v>通常</v>
      </c>
      <c r="V62" s="138">
        <f>IF(分析!W76&lt;&gt;"",分析!W76,"")</f>
        <v>90</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2913.5</v>
      </c>
      <c r="F63" s="148">
        <f>IF(分析!F73&lt;&gt;"",分析!F73,"")</f>
        <v>2903</v>
      </c>
      <c r="G63" s="148">
        <f>IF(分析!H73&lt;&gt;"",分析!H73,"")</f>
        <v>2917.5</v>
      </c>
      <c r="H63" s="148">
        <f>IF(分析!I73&lt;&gt;"",分析!I73,"")</f>
        <v>2869.5</v>
      </c>
      <c r="I63" s="148">
        <f>IF(分析!J73&lt;&gt;"",分析!J73,"")</f>
        <v>33371100</v>
      </c>
      <c r="J63" s="148">
        <f>IF(分析!AB73&lt;&gt;"",分析!AB73,"")</f>
        <v>0</v>
      </c>
      <c r="K63" s="148">
        <f>IF(分析!AC73&lt;&gt;"",分析!AC73,"")</f>
        <v>0</v>
      </c>
      <c r="L63" s="148">
        <f>IF(分析!K73&lt;&gt;"",分析!K73,"")</f>
        <v>4000</v>
      </c>
      <c r="M63" s="143" t="str">
        <f>IF(分析!P73&lt;&gt;"",分析!P73,"")</f>
        <v>減少↓</v>
      </c>
      <c r="N63" s="149">
        <f>IF(分析!O73&lt;&gt;"",分析!O73,"")</f>
        <v>0.53052947862928546</v>
      </c>
      <c r="O63" s="150">
        <f>IF(分析!X73&lt;&gt;"",分析!X73,"")</f>
        <v>26.766339023799446</v>
      </c>
      <c r="P63" s="151">
        <f>IF(分析!L73&lt;&gt;"",分析!L73,"")</f>
        <v>-27.162500000000001</v>
      </c>
      <c r="Q63" s="148">
        <f>IF(分析!S73&lt;&gt;"",分析!S73,"")</f>
        <v>2797</v>
      </c>
      <c r="R63" s="148">
        <f>IF(分析!R73&lt;&gt;"",分析!R73,"")</f>
        <v>3147</v>
      </c>
      <c r="S63" s="143" t="str">
        <f>IF(分析!AA73&lt;&gt;"",分析!AA73,"")</f>
        <v>下落▼</v>
      </c>
      <c r="T63" s="152">
        <f>IF(分析!Z73&lt;&gt;"",分析!Z73,"")</f>
        <v>-1.6871941960519654</v>
      </c>
      <c r="U63" s="143" t="str">
        <f>IF(分析!V73&lt;&gt;"",分析!V73,"")</f>
        <v>通常</v>
      </c>
      <c r="V63" s="153">
        <f>IF(分析!W73&lt;&gt;"",分析!W73,"")</f>
        <v>59.899434318038971</v>
      </c>
      <c r="W63" s="154" t="str">
        <f>IF(分析!AD73&lt;&gt;"",分析!AD73,"")</f>
        <v>上昇トレンド▲</v>
      </c>
      <c r="X63" s="155" t="e">
        <f>IF(分析!AE73&lt;&gt;"",分析!AE73,"")</f>
        <v>#DIV/0!</v>
      </c>
      <c r="Y63" s="156">
        <f>IF(分析!T73&lt;&gt;"",分析!T73,"")</f>
        <v>0</v>
      </c>
      <c r="Z63" s="142" t="e">
        <f>IF(分析!Y73&lt;&gt;"",分析!Y73,"")</f>
        <v>#DIV/0!</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1774</v>
      </c>
      <c r="F64" s="148">
        <f>IF(分析!F137&lt;&gt;"",分析!F137,"")</f>
        <v>1777</v>
      </c>
      <c r="G64" s="148">
        <f>IF(分析!H137&lt;&gt;"",分析!H137,"")</f>
        <v>1805.5</v>
      </c>
      <c r="H64" s="148">
        <f>IF(分析!I137&lt;&gt;"",分析!I137,"")</f>
        <v>1758</v>
      </c>
      <c r="I64" s="148">
        <f>IF(分析!J137&lt;&gt;"",分析!J137,"")</f>
        <v>4759700</v>
      </c>
      <c r="J64" s="148">
        <f>IF(分析!AB137&lt;&gt;"",分析!AB137,"")</f>
        <v>528.42057026476562</v>
      </c>
      <c r="K64" s="148">
        <f>IF(分析!AC137&lt;&gt;"",分析!AC137,"")</f>
        <v>534.26102502979711</v>
      </c>
      <c r="L64" s="148">
        <f>IF(分析!K137&lt;&gt;"",分析!K137,"")</f>
        <v>2359</v>
      </c>
      <c r="M64" s="143" t="str">
        <f>IF(分析!P137&lt;&gt;"",分析!P137,"")</f>
        <v>減少↓</v>
      </c>
      <c r="N64" s="149">
        <f>IF(分析!O137&lt;&gt;"",分析!O137,"")</f>
        <v>0.70506971149573083</v>
      </c>
      <c r="O64" s="150">
        <f>IF(分析!X137&lt;&gt;"",分析!X137,"")</f>
        <v>27.477388064752404</v>
      </c>
      <c r="P64" s="151">
        <f>IF(分析!L137&lt;&gt;"",分析!L137,"")</f>
        <v>-24.798643493005514</v>
      </c>
      <c r="Q64" s="148">
        <f>IF(分析!S137&lt;&gt;"",分析!S137,"")</f>
        <v>1703</v>
      </c>
      <c r="R64" s="148">
        <f>IF(分析!R137&lt;&gt;"",分析!R137,"")</f>
        <v>1916</v>
      </c>
      <c r="S64" s="143" t="str">
        <f>IF(分析!AA137&lt;&gt;"",分析!AA137,"")</f>
        <v>下落▼</v>
      </c>
      <c r="T64" s="152">
        <f>IF(分析!Z137&lt;&gt;"",分析!Z137,"")</f>
        <v>-1.1148272017837235</v>
      </c>
      <c r="U64" s="143" t="str">
        <f>IF(分析!V137&lt;&gt;"",分析!V137,"")</f>
        <v>通常</v>
      </c>
      <c r="V64" s="153">
        <f>IF(分析!W137&lt;&gt;"",分析!W137,"")</f>
        <v>71.612903225806448</v>
      </c>
      <c r="W64" s="154" t="str">
        <f>IF(分析!AD137&lt;&gt;"",分析!AD137,"")</f>
        <v>上昇トレンド▲</v>
      </c>
      <c r="X64" s="155" t="str">
        <f>IF(分析!AE137&lt;&gt;"",分析!AE137,"")</f>
        <v>なし</v>
      </c>
      <c r="Y64" s="156">
        <f>IF(分析!T137&lt;&gt;"",分析!T137,"")</f>
        <v>6</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4076</v>
      </c>
      <c r="F65" s="133">
        <f>IF(分析!F144&lt;&gt;"",分析!F144,"")</f>
        <v>4058</v>
      </c>
      <c r="G65" s="133">
        <f>IF(分析!H144&lt;&gt;"",分析!H144,"")</f>
        <v>4126</v>
      </c>
      <c r="H65" s="133">
        <f>IF(分析!I144&lt;&gt;"",分析!I144,"")</f>
        <v>4026</v>
      </c>
      <c r="I65" s="133">
        <f>IF(分析!J144&lt;&gt;"",分析!J144,"")</f>
        <v>206100</v>
      </c>
      <c r="J65" s="133">
        <f>IF(分析!AB144&lt;&gt;"",分析!AB144,"")</f>
        <v>309.96435845213847</v>
      </c>
      <c r="K65" s="133">
        <f>IF(分析!AC144&lt;&gt;"",分析!AC144,"")</f>
        <v>310.26221692491049</v>
      </c>
      <c r="L65" s="133">
        <f>IF(分析!K144&lt;&gt;"",分析!K144,"")</f>
        <v>4968</v>
      </c>
      <c r="M65" s="128" t="str">
        <f>IF(分析!P144&lt;&gt;"",分析!P144,"")</f>
        <v>減少↓</v>
      </c>
      <c r="N65" s="134">
        <f>IF(分析!O144&lt;&gt;"",分析!O144,"")</f>
        <v>0.30741922973658303</v>
      </c>
      <c r="O65" s="135">
        <f>IF(分析!X144&lt;&gt;"",分析!X144,"")</f>
        <v>17.598877960828304</v>
      </c>
      <c r="P65" s="136">
        <f>IF(分析!L144&lt;&gt;"",分析!L144,"")</f>
        <v>-17.954911433172303</v>
      </c>
      <c r="Q65" s="133">
        <f>IF(分析!S144&lt;&gt;"",分析!S144,"")</f>
        <v>3913</v>
      </c>
      <c r="R65" s="133">
        <f>IF(分析!R144&lt;&gt;"",分析!R144,"")</f>
        <v>4402</v>
      </c>
      <c r="S65" s="128" t="str">
        <f>IF(分析!AA144&lt;&gt;"",分析!AA144,"")</f>
        <v>上昇▲</v>
      </c>
      <c r="T65" s="137">
        <f>IF(分析!Z144&lt;&gt;"",分析!Z144,"")</f>
        <v>2.9552917403384691</v>
      </c>
      <c r="U65" s="128" t="str">
        <f>IF(分析!V144&lt;&gt;"",分析!V144,"")</f>
        <v>通常</v>
      </c>
      <c r="V65" s="138">
        <f>IF(分析!W144&lt;&gt;"",分析!W144,"")</f>
        <v>54.945054945054949</v>
      </c>
      <c r="W65" s="139" t="str">
        <f>IF(分析!AD144&lt;&gt;"",分析!AD144,"")</f>
        <v>上昇トレンド▲</v>
      </c>
      <c r="X65" s="140" t="str">
        <f>IF(分析!AE144&lt;&gt;"",分析!AE144,"")</f>
        <v>なし</v>
      </c>
      <c r="Y65" s="141">
        <f>IF(分析!T144&lt;&gt;"",分析!T144,"")</f>
        <v>4</v>
      </c>
      <c r="Z65" s="142" t="str">
        <f>IF(分析!Y144&lt;&gt;"",分析!Y144,"")</f>
        <v>様子見</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4336</v>
      </c>
      <c r="F66" s="133">
        <f>IF(分析!F80&lt;&gt;"",分析!F80,"")</f>
        <v>4363</v>
      </c>
      <c r="G66" s="133">
        <f>IF(分析!H80&lt;&gt;"",分析!H80,"")</f>
        <v>4416</v>
      </c>
      <c r="H66" s="133">
        <f>IF(分析!I80&lt;&gt;"",分析!I80,"")</f>
        <v>4245</v>
      </c>
      <c r="I66" s="133">
        <f>IF(分析!J80&lt;&gt;"",分析!J80,"")</f>
        <v>849700</v>
      </c>
      <c r="J66" s="133">
        <f>IF(分析!AB80&lt;&gt;"",分析!AB80,"")</f>
        <v>1494.4338085539709</v>
      </c>
      <c r="K66" s="133">
        <f>IF(分析!AC80&lt;&gt;"",分析!AC80,"")</f>
        <v>1503.0166865315848</v>
      </c>
      <c r="L66" s="133">
        <f>IF(分析!K80&lt;&gt;"",分析!K80,"")</f>
        <v>5164</v>
      </c>
      <c r="M66" s="128" t="str">
        <f>IF(分析!P80&lt;&gt;"",分析!P80,"")</f>
        <v>増加↑</v>
      </c>
      <c r="N66" s="134">
        <f>IF(分析!O80&lt;&gt;"",分析!O80,"")</f>
        <v>1.7472034874156934</v>
      </c>
      <c r="O66" s="135">
        <f>IF(分析!X80&lt;&gt;"",分析!X80,"")</f>
        <v>-71.788368844008801</v>
      </c>
      <c r="P66" s="136">
        <f>IF(分析!L80&lt;&gt;"",分析!L80,"")</f>
        <v>-16.03408210689388</v>
      </c>
      <c r="Q66" s="133">
        <f>IF(分析!S80&lt;&gt;"",分析!S80,"")</f>
        <v>4163</v>
      </c>
      <c r="R66" s="133">
        <f>IF(分析!R80&lt;&gt;"",分析!R80,"")</f>
        <v>4683</v>
      </c>
      <c r="S66" s="128" t="str">
        <f>IF(分析!AA80&lt;&gt;"",分析!AA80,"")</f>
        <v>上昇▲</v>
      </c>
      <c r="T66" s="137">
        <f>IF(分析!Z80&lt;&gt;"",分析!Z80,"")</f>
        <v>14.165350184307529</v>
      </c>
      <c r="U66" s="128" t="str">
        <f>IF(分析!V80&lt;&gt;"",分析!V80,"")</f>
        <v>通常</v>
      </c>
      <c r="V66" s="138">
        <f>IF(分析!W80&lt;&gt;"",分析!W80,"")</f>
        <v>39.804827940421163</v>
      </c>
      <c r="W66" s="139" t="str">
        <f>IF(分析!AD80&lt;&gt;"",分析!AD80,"")</f>
        <v>上昇トレンド▲</v>
      </c>
      <c r="X66" s="140" t="str">
        <f>IF(分析!AE80&lt;&gt;"",分析!AE80,"")</f>
        <v>なし</v>
      </c>
      <c r="Y66" s="141">
        <f>IF(分析!T80&lt;&gt;"",分析!T80,"")</f>
        <v>8</v>
      </c>
      <c r="Z66" s="142" t="str">
        <f>IF(分析!Y80&lt;&gt;"",分析!Y80,"")</f>
        <v>△注目</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2364</v>
      </c>
      <c r="F67" s="133">
        <f>IF(分析!F116&lt;&gt;"",分析!F116,"")</f>
        <v>2318</v>
      </c>
      <c r="G67" s="133">
        <f>IF(分析!H116&lt;&gt;"",分析!H116,"")</f>
        <v>2364</v>
      </c>
      <c r="H67" s="133">
        <f>IF(分析!I116&lt;&gt;"",分析!I116,"")</f>
        <v>2305</v>
      </c>
      <c r="I67" s="133">
        <f>IF(分析!J116&lt;&gt;"",分析!J116,"")</f>
        <v>21600</v>
      </c>
      <c r="J67" s="133">
        <f>IF(分析!AB116&lt;&gt;"",分析!AB116,"")</f>
        <v>4528.8299389002032</v>
      </c>
      <c r="K67" s="133">
        <f>IF(分析!AC116&lt;&gt;"",分析!AC116,"")</f>
        <v>4586.4994040524425</v>
      </c>
      <c r="L67" s="133">
        <f>IF(分析!K116&lt;&gt;"",分析!K116,"")</f>
        <v>3490</v>
      </c>
      <c r="M67" s="128" t="str">
        <f>IF(分析!P116&lt;&gt;"",分析!P116,"")</f>
        <v>減少↓</v>
      </c>
      <c r="N67" s="134">
        <f>IF(分析!O116&lt;&gt;"",分析!O116,"")</f>
        <v>0.32219570405727921</v>
      </c>
      <c r="O67" s="135">
        <f>IF(分析!X116&lt;&gt;"",分析!X116,"")</f>
        <v>-14.137032865119636</v>
      </c>
      <c r="P67" s="136">
        <f>IF(分析!L116&lt;&gt;"",分析!L116,"")</f>
        <v>-32.263610315186249</v>
      </c>
      <c r="Q67" s="133">
        <f>IF(分析!S116&lt;&gt;"",分析!S116,"")</f>
        <v>2269</v>
      </c>
      <c r="R67" s="133">
        <f>IF(分析!R116&lt;&gt;"",分析!R116,"")</f>
        <v>2553</v>
      </c>
      <c r="S67" s="128" t="str">
        <f>IF(分析!AA116&lt;&gt;"",分析!AA116,"")</f>
        <v>上昇▲</v>
      </c>
      <c r="T67" s="137">
        <f>IF(分析!Z116&lt;&gt;"",分析!Z116,"")</f>
        <v>3.820816864295125</v>
      </c>
      <c r="U67" s="128" t="str">
        <f>IF(分析!V116&lt;&gt;"",分析!V116,"")</f>
        <v>通常</v>
      </c>
      <c r="V67" s="138">
        <f>IF(分析!W116&lt;&gt;"",分析!W116,"")</f>
        <v>42.486085343228204</v>
      </c>
      <c r="W67" s="139" t="str">
        <f>IF(分析!AD116&lt;&gt;"",分析!AD116,"")</f>
        <v>下降トレンド▼</v>
      </c>
      <c r="X67" s="140" t="str">
        <f>IF(分析!AE116&lt;&gt;"",分析!AE116,"")</f>
        <v>なし</v>
      </c>
      <c r="Y67" s="141">
        <f>IF(分析!T116&lt;&gt;"",分析!T116,"")</f>
        <v>3</v>
      </c>
      <c r="Z67" s="142" t="str">
        <f>IF(分析!Y116&lt;&gt;"",分析!Y116,"")</f>
        <v>様子見</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5372</v>
      </c>
      <c r="F68" s="148">
        <f>IF(分析!F191&lt;&gt;"",分析!F191,"")</f>
        <v>5255</v>
      </c>
      <c r="G68" s="148">
        <f>IF(分析!H191&lt;&gt;"",分析!H191,"")</f>
        <v>5380</v>
      </c>
      <c r="H68" s="148">
        <f>IF(分析!I191&lt;&gt;"",分析!I191,"")</f>
        <v>5217</v>
      </c>
      <c r="I68" s="148">
        <f>IF(分析!J191&lt;&gt;"",分析!J191,"")</f>
        <v>621100</v>
      </c>
      <c r="J68" s="148">
        <f>IF(分析!AB191&lt;&gt;"",分析!AB191,"")</f>
        <v>2083.0417515274944</v>
      </c>
      <c r="K68" s="148">
        <f>IF(分析!AC191&lt;&gt;"",分析!AC191,"")</f>
        <v>2071.21811680572</v>
      </c>
      <c r="L68" s="148">
        <f>IF(分析!K191&lt;&gt;"",分析!K191,"")</f>
        <v>7257</v>
      </c>
      <c r="M68" s="143" t="str">
        <f>IF(分析!P191&lt;&gt;"",分析!P191,"")</f>
        <v>減少↓</v>
      </c>
      <c r="N68" s="149">
        <f>IF(分析!O191&lt;&gt;"",分析!O191,"")</f>
        <v>0.36634854722834997</v>
      </c>
      <c r="O68" s="150">
        <f>IF(分析!X191&lt;&gt;"",分析!X191,"")</f>
        <v>21.827542698389152</v>
      </c>
      <c r="P68" s="151">
        <f>IF(分析!L191&lt;&gt;"",分析!L191,"")</f>
        <v>-25.97492076615681</v>
      </c>
      <c r="Q68" s="148">
        <f>IF(分析!S191&lt;&gt;"",分析!S191,"")</f>
        <v>5157</v>
      </c>
      <c r="R68" s="148">
        <f>IF(分析!R191&lt;&gt;"",分析!R191,"")</f>
        <v>5802</v>
      </c>
      <c r="S68" s="143" t="str">
        <f>IF(分析!AA191&lt;&gt;"",分析!AA191,"")</f>
        <v>上昇▲</v>
      </c>
      <c r="T68" s="152">
        <f>IF(分析!Z191&lt;&gt;"",分析!Z191,"")</f>
        <v>3.4469478143654921</v>
      </c>
      <c r="U68" s="143" t="str">
        <f>IF(分析!V191&lt;&gt;"",分析!V191,"")</f>
        <v>通常</v>
      </c>
      <c r="V68" s="153">
        <f>IF(分析!W191&lt;&gt;"",分析!W191,"")</f>
        <v>55.85509688289806</v>
      </c>
      <c r="W68" s="154" t="str">
        <f>IF(分析!AD191&lt;&gt;"",分析!AD191,"")</f>
        <v>パーフェクト▲</v>
      </c>
      <c r="X68" s="155" t="str">
        <f>IF(分析!AE191&lt;&gt;"",分析!AE191,"")</f>
        <v>なし</v>
      </c>
      <c r="Y68" s="156">
        <f>IF(分析!T191&lt;&gt;"",分析!T191,"")</f>
        <v>7</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3450</v>
      </c>
      <c r="F69" s="148">
        <f>IF(分析!F185&lt;&gt;"",分析!F185,"")</f>
        <v>3350</v>
      </c>
      <c r="G69" s="148">
        <f>IF(分析!H185&lt;&gt;"",分析!H185,"")</f>
        <v>3610</v>
      </c>
      <c r="H69" s="148">
        <f>IF(分析!I185&lt;&gt;"",分析!I185,"")</f>
        <v>3350</v>
      </c>
      <c r="I69" s="148">
        <f>IF(分析!J185&lt;&gt;"",分析!J185,"")</f>
        <v>8213100</v>
      </c>
      <c r="J69" s="148">
        <f>IF(分析!AB185&lt;&gt;"",分析!AB185,"")</f>
        <v>651.8396130346232</v>
      </c>
      <c r="K69" s="148">
        <f>IF(分析!AC185&lt;&gt;"",分析!AC185,"")</f>
        <v>666.16364719904652</v>
      </c>
      <c r="L69" s="148">
        <f>IF(分析!K185&lt;&gt;"",分析!K185,"")</f>
        <v>4580</v>
      </c>
      <c r="M69" s="143" t="str">
        <f>IF(分析!P185&lt;&gt;"",分析!P185,"")</f>
        <v/>
      </c>
      <c r="N69" s="149" t="str">
        <f>IF(分析!O185&lt;&gt;"",分析!O185,"")</f>
        <v/>
      </c>
      <c r="O69" s="150">
        <f>IF(分析!X185&lt;&gt;"",分析!X185,"")</f>
        <v>0</v>
      </c>
      <c r="P69" s="151">
        <f>IF(分析!L185&lt;&gt;"",分析!L185,"")</f>
        <v>-24.672489082969431</v>
      </c>
      <c r="Q69" s="148">
        <f>IF(分析!S185&lt;&gt;"",分析!S185,"")</f>
        <v>3312</v>
      </c>
      <c r="R69" s="148">
        <f>IF(分析!R185&lt;&gt;"",分析!R185,"")</f>
        <v>3726</v>
      </c>
      <c r="S69" s="143" t="str">
        <f>IF(分析!AA185&lt;&gt;"",分析!AA185,"")</f>
        <v>上昇▲</v>
      </c>
      <c r="T69" s="152" t="str">
        <f>IF(分析!Z185&lt;&gt;"",分析!Z185,"")</f>
        <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9</v>
      </c>
      <c r="Z69" s="142" t="str">
        <f>IF(分析!Y185&lt;&gt;"",分析!Y185,"")</f>
        <v>△注目</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1946</v>
      </c>
      <c r="F70" s="148">
        <f>IF(分析!F171&lt;&gt;"",分析!F171,"")</f>
        <v>1888</v>
      </c>
      <c r="G70" s="148">
        <f>IF(分析!H171&lt;&gt;"",分析!H171,"")</f>
        <v>1958</v>
      </c>
      <c r="H70" s="148">
        <f>IF(分析!I171&lt;&gt;"",分析!I171,"")</f>
        <v>1853</v>
      </c>
      <c r="I70" s="148">
        <f>IF(分析!J171&lt;&gt;"",分析!J171,"")</f>
        <v>238900</v>
      </c>
      <c r="J70" s="148">
        <f>IF(分析!AB171&lt;&gt;"",分析!AB171,"")</f>
        <v>689.25661914460272</v>
      </c>
      <c r="K70" s="148">
        <f>IF(分析!AC171&lt;&gt;"",分析!AC171,"")</f>
        <v>668.7306317044098</v>
      </c>
      <c r="L70" s="148">
        <f>IF(分析!K171&lt;&gt;"",分析!K171,"")</f>
        <v>4400</v>
      </c>
      <c r="M70" s="143" t="str">
        <f>IF(分析!P171&lt;&gt;"",分析!P171,"")</f>
        <v>普通→</v>
      </c>
      <c r="N70" s="149">
        <f>IF(分析!O171&lt;&gt;"",分析!O171,"")</f>
        <v>1.1643435032654255</v>
      </c>
      <c r="O70" s="150">
        <f>IF(分析!X171&lt;&gt;"",分析!X171,"")</f>
        <v>-30.691548684718327</v>
      </c>
      <c r="P70" s="151">
        <f>IF(分析!L171&lt;&gt;"",分析!L171,"")</f>
        <v>-55.772727272727273</v>
      </c>
      <c r="Q70" s="148">
        <f>IF(分析!S171&lt;&gt;"",分析!S171,"")</f>
        <v>1868</v>
      </c>
      <c r="R70" s="148">
        <f>IF(分析!R171&lt;&gt;"",分析!R171,"")</f>
        <v>2102</v>
      </c>
      <c r="S70" s="143" t="str">
        <f>IF(分析!AA171&lt;&gt;"",分析!AA171,"")</f>
        <v>上昇▲</v>
      </c>
      <c r="T70" s="152">
        <f>IF(分析!Z171&lt;&gt;"",分析!Z171,"")</f>
        <v>8.4122562674094716</v>
      </c>
      <c r="U70" s="143" t="str">
        <f>IF(分析!V171&lt;&gt;"",分析!V171,"")</f>
        <v>通常</v>
      </c>
      <c r="V70" s="153">
        <f>IF(分析!W171&lt;&gt;"",分析!W171,"")</f>
        <v>43.11926605504587</v>
      </c>
      <c r="W70" s="154" t="str">
        <f>IF(分析!AD171&lt;&gt;"",分析!AD171,"")</f>
        <v>パーフェクト▲</v>
      </c>
      <c r="X70" s="155" t="str">
        <f>IF(分析!AE171&lt;&gt;"",分析!AE171,"")</f>
        <v>なし</v>
      </c>
      <c r="Y70" s="156">
        <f>IF(分析!T171&lt;&gt;"",分析!T171,"")</f>
        <v>4</v>
      </c>
      <c r="Z70" s="142" t="str">
        <f>IF(分析!Y171&lt;&gt;"",分析!Y171,"")</f>
        <v>様子見</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1592.5</v>
      </c>
      <c r="F71" s="133">
        <f>IF(分析!F176&lt;&gt;"",分析!F176,"")</f>
        <v>1507</v>
      </c>
      <c r="G71" s="133">
        <f>IF(分析!H176&lt;&gt;"",分析!H176,"")</f>
        <v>1614.5</v>
      </c>
      <c r="H71" s="133">
        <f>IF(分析!I176&lt;&gt;"",分析!I176,"")</f>
        <v>1492</v>
      </c>
      <c r="I71" s="133">
        <f>IF(分析!J176&lt;&gt;"",分析!J176,"")</f>
        <v>1443500</v>
      </c>
      <c r="J71" s="133">
        <f>IF(分析!AB176&lt;&gt;"",分析!AB176,"")</f>
        <v>3818.6252545824836</v>
      </c>
      <c r="K71" s="133">
        <f>IF(分析!AC176&lt;&gt;"",分析!AC176,"")</f>
        <v>3640.1704410011907</v>
      </c>
      <c r="L71" s="133">
        <f>IF(分析!K176&lt;&gt;"",分析!K176,"")</f>
        <v>1565</v>
      </c>
      <c r="M71" s="128" t="str">
        <f>IF(分析!P176&lt;&gt;"",分析!P176,"")</f>
        <v>普通→</v>
      </c>
      <c r="N71" s="134">
        <f>IF(分析!O176&lt;&gt;"",分析!O176,"")</f>
        <v>1.2830654910047643</v>
      </c>
      <c r="O71" s="135">
        <f>IF(分析!X176&lt;&gt;"",分析!X176,"")</f>
        <v>12.498327289951703</v>
      </c>
      <c r="P71" s="136">
        <f>IF(分析!L176&lt;&gt;"",分析!L176,"")</f>
        <v>1.7571884984025559</v>
      </c>
      <c r="Q71" s="133">
        <f>IF(分析!S176&lt;&gt;"",分析!S176,"")</f>
        <v>1529</v>
      </c>
      <c r="R71" s="133">
        <f>IF(分析!R176&lt;&gt;"",分析!R176,"")</f>
        <v>1720</v>
      </c>
      <c r="S71" s="128" t="str">
        <f>IF(分析!AA176&lt;&gt;"",分析!AA176,"")</f>
        <v>上昇▲</v>
      </c>
      <c r="T71" s="137">
        <f>IF(分析!Z176&lt;&gt;"",分析!Z176,"")</f>
        <v>6.8791946308724832</v>
      </c>
      <c r="U71" s="128" t="str">
        <f>IF(分析!V176&lt;&gt;"",分析!V176,"")</f>
        <v>年初来高値更新●</v>
      </c>
      <c r="V71" s="138">
        <f>IF(分析!W176&lt;&gt;"",分析!W176,"")</f>
        <v>67.857142857142861</v>
      </c>
      <c r="W71" s="139" t="str">
        <f>IF(分析!AD176&lt;&gt;"",分析!AD176,"")</f>
        <v>もみ合い→</v>
      </c>
      <c r="X71" s="140" t="str">
        <f>IF(分析!AE176&lt;&gt;"",分析!AE176,"")</f>
        <v>なし</v>
      </c>
      <c r="Y71" s="141">
        <f>IF(分析!T176&lt;&gt;"",分析!T176,"")</f>
        <v>8</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8476</v>
      </c>
      <c r="F72" s="148">
        <f>IF(分析!F129&lt;&gt;"",分析!F129,"")</f>
        <v>8358</v>
      </c>
      <c r="G72" s="148">
        <f>IF(分析!H129&lt;&gt;"",分析!H129,"")</f>
        <v>8574</v>
      </c>
      <c r="H72" s="148">
        <f>IF(分析!I129&lt;&gt;"",分析!I129,"")</f>
        <v>8233</v>
      </c>
      <c r="I72" s="148">
        <f>IF(分析!J129&lt;&gt;"",分析!J129,"")</f>
        <v>1906800</v>
      </c>
      <c r="J72" s="148">
        <f>IF(分析!AB129&lt;&gt;"",分析!AB129,"")</f>
        <v>2478.2026476578408</v>
      </c>
      <c r="K72" s="148">
        <f>IF(分析!AC129&lt;&gt;"",分析!AC129,"")</f>
        <v>2537.1537544696057</v>
      </c>
      <c r="L72" s="148">
        <f>IF(分析!K129&lt;&gt;"",分析!K129,"")</f>
        <v>13300</v>
      </c>
      <c r="M72" s="143" t="str">
        <f>IF(分析!P129&lt;&gt;"",分析!P129,"")</f>
        <v>減少↓</v>
      </c>
      <c r="N72" s="149">
        <f>IF(分析!O129&lt;&gt;"",分析!O129,"")</f>
        <v>0.57366691938337122</v>
      </c>
      <c r="O72" s="150">
        <f>IF(分析!X129&lt;&gt;"",分析!X129,"")</f>
        <v>61.4309263291143</v>
      </c>
      <c r="P72" s="151">
        <f>IF(分析!L129&lt;&gt;"",分析!L129,"")</f>
        <v>-36.270676691729328</v>
      </c>
      <c r="Q72" s="148">
        <f>IF(分析!S129&lt;&gt;"",分析!S129,"")</f>
        <v>8137</v>
      </c>
      <c r="R72" s="148">
        <f>IF(分析!R129&lt;&gt;"",分析!R129,"")</f>
        <v>9154</v>
      </c>
      <c r="S72" s="143" t="str">
        <f>IF(分析!AA129&lt;&gt;"",分析!AA129,"")</f>
        <v>上昇▲</v>
      </c>
      <c r="T72" s="152">
        <f>IF(分析!Z129&lt;&gt;"",分析!Z129,"")</f>
        <v>6.4690365531968341</v>
      </c>
      <c r="U72" s="143" t="str">
        <f>IF(分析!V129&lt;&gt;"",分析!V129,"")</f>
        <v>通常</v>
      </c>
      <c r="V72" s="153">
        <f>IF(分析!W129&lt;&gt;"",分析!W129,"")</f>
        <v>59.367000232720507</v>
      </c>
      <c r="W72" s="154" t="str">
        <f>IF(分析!AD129&lt;&gt;"",分析!AD129,"")</f>
        <v>上昇トレンド▲</v>
      </c>
      <c r="X72" s="155" t="str">
        <f>IF(分析!AE129&lt;&gt;"",分析!AE129,"")</f>
        <v>なし</v>
      </c>
      <c r="Y72" s="156">
        <f>IF(分析!T129&lt;&gt;"",分析!T129,"")</f>
        <v>8</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3333</v>
      </c>
      <c r="F73" s="148">
        <f>IF(分析!F149&lt;&gt;"",分析!F149,"")</f>
        <v>3271</v>
      </c>
      <c r="G73" s="148">
        <f>IF(分析!H149&lt;&gt;"",分析!H149,"")</f>
        <v>3347</v>
      </c>
      <c r="H73" s="148">
        <f>IF(分析!I149&lt;&gt;"",分析!I149,"")</f>
        <v>3170</v>
      </c>
      <c r="I73" s="148">
        <f>IF(分析!J149&lt;&gt;"",分析!J149,"")</f>
        <v>3426300</v>
      </c>
      <c r="J73" s="148">
        <f>IF(分析!AB149&lt;&gt;"",分析!AB149,"")</f>
        <v>5402.0468431771887</v>
      </c>
      <c r="K73" s="148">
        <f>IF(分析!AC149&lt;&gt;"",分析!AC149,"")</f>
        <v>5401.8593563766381</v>
      </c>
      <c r="L73" s="148">
        <f>IF(分析!K149&lt;&gt;"",分析!K149,"")</f>
        <v>5228</v>
      </c>
      <c r="M73" s="143" t="str">
        <f>IF(分析!P149&lt;&gt;"",分析!P149,"")</f>
        <v>増加↑</v>
      </c>
      <c r="N73" s="149">
        <f>IF(分析!O149&lt;&gt;"",分析!O149,"")</f>
        <v>1.5251181796330422</v>
      </c>
      <c r="O73" s="150">
        <f>IF(分析!X149&lt;&gt;"",分析!X149,"")</f>
        <v>-108.77714845226956</v>
      </c>
      <c r="P73" s="151">
        <f>IF(分析!L149&lt;&gt;"",分析!L149,"")</f>
        <v>-36.247130833970928</v>
      </c>
      <c r="Q73" s="148">
        <f>IF(分析!S149&lt;&gt;"",分析!S149,"")</f>
        <v>3200</v>
      </c>
      <c r="R73" s="148">
        <f>IF(分析!R149&lt;&gt;"",分析!R149,"")</f>
        <v>3600</v>
      </c>
      <c r="S73" s="143" t="str">
        <f>IF(分析!AA149&lt;&gt;"",分析!AA149,"")</f>
        <v>上昇▲</v>
      </c>
      <c r="T73" s="152">
        <f>IF(分析!Z149&lt;&gt;"",分析!Z149,"")</f>
        <v>1</v>
      </c>
      <c r="U73" s="143" t="str">
        <f>IF(分析!V149&lt;&gt;"",分析!V149,"")</f>
        <v>通常</v>
      </c>
      <c r="V73" s="153">
        <f>IF(分析!W149&lt;&gt;"",分析!W149,"")</f>
        <v>29.752604166666671</v>
      </c>
      <c r="W73" s="154" t="str">
        <f>IF(分析!AD149&lt;&gt;"",分析!AD149,"")</f>
        <v>もみ合い→</v>
      </c>
      <c r="X73" s="155" t="str">
        <f>IF(分析!AE149&lt;&gt;"",分析!AE149,"")</f>
        <v>なし</v>
      </c>
      <c r="Y73" s="156">
        <f>IF(分析!T149&lt;&gt;"",分析!T149,"")</f>
        <v>7</v>
      </c>
      <c r="Z73" s="142" t="str">
        <f>IF(分析!Y149&lt;&gt;"",分析!Y149,"")</f>
        <v>△注目</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2305</v>
      </c>
      <c r="F74" s="148">
        <f>IF(分析!F159&lt;&gt;"",分析!F159,"")</f>
        <v>2320</v>
      </c>
      <c r="G74" s="148">
        <f>IF(分析!H159&lt;&gt;"",分析!H159,"")</f>
        <v>2320</v>
      </c>
      <c r="H74" s="148">
        <f>IF(分析!I159&lt;&gt;"",分析!I159,"")</f>
        <v>2264.5</v>
      </c>
      <c r="I74" s="148">
        <f>IF(分析!J159&lt;&gt;"",分析!J159,"")</f>
        <v>723300</v>
      </c>
      <c r="J74" s="148">
        <f>IF(分析!AB159&lt;&gt;"",分析!AB159,"")</f>
        <v>1058.896130346232</v>
      </c>
      <c r="K74" s="148">
        <f>IF(分析!AC159&lt;&gt;"",分析!AC159,"")</f>
        <v>1041.1191895113227</v>
      </c>
      <c r="L74" s="148">
        <f>IF(分析!K159&lt;&gt;"",分析!K159,"")</f>
        <v>2674.5</v>
      </c>
      <c r="M74" s="143" t="str">
        <f>IF(分析!P159&lt;&gt;"",分析!P159,"")</f>
        <v>減少↓</v>
      </c>
      <c r="N74" s="149">
        <f>IF(分析!O159&lt;&gt;"",分析!O159,"")</f>
        <v>0.32071405767798233</v>
      </c>
      <c r="O74" s="150">
        <f>IF(分析!X159&lt;&gt;"",分析!X159,"")</f>
        <v>-22.301266921138904</v>
      </c>
      <c r="P74" s="151">
        <f>IF(分析!L159&lt;&gt;"",分析!L159,"")</f>
        <v>-13.815666479715835</v>
      </c>
      <c r="Q74" s="148">
        <f>IF(分析!S159&lt;&gt;"",分析!S159,"")</f>
        <v>2213</v>
      </c>
      <c r="R74" s="148">
        <f>IF(分析!R159&lt;&gt;"",分析!R159,"")</f>
        <v>2489</v>
      </c>
      <c r="S74" s="143" t="str">
        <f>IF(分析!AA159&lt;&gt;"",分析!AA159,"")</f>
        <v>下落▼</v>
      </c>
      <c r="T74" s="152">
        <f>IF(分析!Z159&lt;&gt;"",分析!Z159,"")</f>
        <v>-1.3903743315508021</v>
      </c>
      <c r="U74" s="143" t="str">
        <f>IF(分析!V159&lt;&gt;"",分析!V159,"")</f>
        <v>通常</v>
      </c>
      <c r="V74" s="153">
        <f>IF(分析!W159&lt;&gt;"",分析!W159,"")</f>
        <v>49.399428026692085</v>
      </c>
      <c r="W74" s="154" t="str">
        <f>IF(分析!AD159&lt;&gt;"",分析!AD159,"")</f>
        <v>パーフェクト▲</v>
      </c>
      <c r="X74" s="155" t="str">
        <f>IF(分析!AE159&lt;&gt;"",分析!AE159,"")</f>
        <v>なし</v>
      </c>
      <c r="Y74" s="156">
        <f>IF(分析!T159&lt;&gt;"",分析!T159,"")</f>
        <v>2</v>
      </c>
      <c r="Z74" s="142" t="str">
        <f>IF(分析!Y159&lt;&gt;"",分析!Y159,"")</f>
        <v>見送り</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5956</v>
      </c>
      <c r="F75" s="148">
        <f>IF(分析!F15&lt;&gt;"",分析!F15,"")</f>
        <v>6059</v>
      </c>
      <c r="G75" s="148">
        <f>IF(分析!H15&lt;&gt;"",分析!H15,"")</f>
        <v>6079</v>
      </c>
      <c r="H75" s="148">
        <f>IF(分析!I15&lt;&gt;"",分析!I15,"")</f>
        <v>5901</v>
      </c>
      <c r="I75" s="148">
        <f>IF(分析!J15&lt;&gt;"",分析!J15,"")</f>
        <v>481100</v>
      </c>
      <c r="J75" s="148">
        <f>IF(分析!AB15&lt;&gt;"",分析!AB15,"")</f>
        <v>5554.7902240325848</v>
      </c>
      <c r="K75" s="148">
        <f>IF(分析!AC15&lt;&gt;"",分析!AC15,"")</f>
        <v>6079.4886769964232</v>
      </c>
      <c r="L75" s="148">
        <f>IF(分析!K15&lt;&gt;"",分析!K15,"")</f>
        <v>7967</v>
      </c>
      <c r="M75" s="143" t="str">
        <f>IF(分析!P15&lt;&gt;"",分析!P15,"")</f>
        <v>減少↓</v>
      </c>
      <c r="N75" s="149">
        <f>IF(分析!O15&lt;&gt;"",分析!O15,"")</f>
        <v>0.38270014000254549</v>
      </c>
      <c r="O75" s="150">
        <f>IF(分析!X15&lt;&gt;"",分析!X15,"")</f>
        <v>21.276660868736144</v>
      </c>
      <c r="P75" s="151">
        <f>IF(分析!L15&lt;&gt;"",分析!L15,"")</f>
        <v>-25.241621689469063</v>
      </c>
      <c r="Q75" s="148">
        <f>IF(分析!S15&lt;&gt;"",分析!S15,"")</f>
        <v>5718</v>
      </c>
      <c r="R75" s="148">
        <f>IF(分析!R15&lt;&gt;"",分析!R15,"")</f>
        <v>6432</v>
      </c>
      <c r="S75" s="143" t="str">
        <f>IF(分析!AA15&lt;&gt;"",分析!AA15,"")</f>
        <v>下落▼</v>
      </c>
      <c r="T75" s="152">
        <f>IF(分析!Z15&lt;&gt;"",分析!Z15,"")</f>
        <v>-3.6401876718977508</v>
      </c>
      <c r="U75" s="143" t="str">
        <f>IF(分析!V15&lt;&gt;"",分析!V15,"")</f>
        <v>通常</v>
      </c>
      <c r="V75" s="153">
        <f>IF(分析!W15&lt;&gt;"",分析!W15,"")</f>
        <v>74.21052631578948</v>
      </c>
      <c r="W75" s="154" t="str">
        <f>IF(分析!AD15&lt;&gt;"",分析!AD15,"")</f>
        <v>もみ合い→</v>
      </c>
      <c r="X75" s="155" t="str">
        <f>IF(分析!AE15&lt;&gt;"",分析!AE15,"")</f>
        <v>なし</v>
      </c>
      <c r="Y75" s="156">
        <f>IF(分析!T15&lt;&gt;"",分析!T15,"")</f>
        <v>0</v>
      </c>
      <c r="Z75" s="142" t="str">
        <f>IF(分析!Y15&lt;&gt;"",分析!Y15,"")</f>
        <v>見送り</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3718</v>
      </c>
      <c r="F76" s="148">
        <f>IF(分析!F157&lt;&gt;"",分析!F157,"")</f>
        <v>3754</v>
      </c>
      <c r="G76" s="148">
        <f>IF(分析!H157&lt;&gt;"",分析!H157,"")</f>
        <v>3770</v>
      </c>
      <c r="H76" s="148">
        <f>IF(分析!I157&lt;&gt;"",分析!I157,"")</f>
        <v>3702</v>
      </c>
      <c r="I76" s="148">
        <f>IF(分析!J157&lt;&gt;"",分析!J157,"")</f>
        <v>206500</v>
      </c>
      <c r="J76" s="148">
        <f>IF(分析!AB157&lt;&gt;"",分析!AB157,"")</f>
        <v>6579.8472505091631</v>
      </c>
      <c r="K76" s="148">
        <f>IF(分析!AC157&lt;&gt;"",分析!AC157,"")</f>
        <v>7108.7961859356355</v>
      </c>
      <c r="L76" s="148">
        <f>IF(分析!K157&lt;&gt;"",分析!K157,"")</f>
        <v>4403</v>
      </c>
      <c r="M76" s="143" t="str">
        <f>IF(分析!P157&lt;&gt;"",分析!P157,"")</f>
        <v>減少↓</v>
      </c>
      <c r="N76" s="149">
        <f>IF(分析!O157&lt;&gt;"",分析!O157,"")</f>
        <v>0.44433446658346604</v>
      </c>
      <c r="O76" s="150">
        <f>IF(分析!X157&lt;&gt;"",分析!X157,"")</f>
        <v>7.2414513670250926</v>
      </c>
      <c r="P76" s="151">
        <f>IF(分析!L157&lt;&gt;"",分析!L157,"")</f>
        <v>-15.557574381103793</v>
      </c>
      <c r="Q76" s="148">
        <f>IF(分析!S157&lt;&gt;"",分析!S157,"")</f>
        <v>3569</v>
      </c>
      <c r="R76" s="148">
        <f>IF(分析!R157&lt;&gt;"",分析!R157,"")</f>
        <v>4015</v>
      </c>
      <c r="S76" s="143" t="str">
        <f>IF(分析!AA157&lt;&gt;"",分析!AA157,"")</f>
        <v>下落▼</v>
      </c>
      <c r="T76" s="152">
        <f>IF(分析!Z157&lt;&gt;"",分析!Z157,"")</f>
        <v>-1.8997361477572559</v>
      </c>
      <c r="U76" s="143" t="str">
        <f>IF(分析!V157&lt;&gt;"",分析!V157,"")</f>
        <v>通常</v>
      </c>
      <c r="V76" s="153">
        <f>IF(分析!W157&lt;&gt;"",分析!W157,"")</f>
        <v>47.773279352226716</v>
      </c>
      <c r="W76" s="154" t="str">
        <f>IF(分析!AD157&lt;&gt;"",分析!AD157,"")</f>
        <v>下降トレンド▼</v>
      </c>
      <c r="X76" s="155" t="str">
        <f>IF(分析!AE157&lt;&gt;"",分析!AE157,"")</f>
        <v>なし</v>
      </c>
      <c r="Y76" s="156">
        <f>IF(分析!T157&lt;&gt;"",分析!T157,"")</f>
        <v>3</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2058</v>
      </c>
      <c r="F77" s="148">
        <f>IF(分析!F193&lt;&gt;"",分析!F193,"")</f>
        <v>2016</v>
      </c>
      <c r="G77" s="148">
        <f>IF(分析!H193&lt;&gt;"",分析!H193,"")</f>
        <v>2059</v>
      </c>
      <c r="H77" s="148">
        <f>IF(分析!I193&lt;&gt;"",分析!I193,"")</f>
        <v>2016</v>
      </c>
      <c r="I77" s="148">
        <f>IF(分析!J193&lt;&gt;"",分析!J193,"")</f>
        <v>24000</v>
      </c>
      <c r="J77" s="148">
        <f>IF(分析!AB193&lt;&gt;"",分析!AB193,"")</f>
        <v>8227.2708757637465</v>
      </c>
      <c r="K77" s="148">
        <f>IF(分析!AC193&lt;&gt;"",分析!AC193,"")</f>
        <v>8191.3468414779481</v>
      </c>
      <c r="L77" s="148">
        <f>IF(分析!K193&lt;&gt;"",分析!K193,"")</f>
        <v>2348</v>
      </c>
      <c r="M77" s="143" t="str">
        <f>IF(分析!P193&lt;&gt;"",分析!P193,"")</f>
        <v>減少↓</v>
      </c>
      <c r="N77" s="149">
        <f>IF(分析!O193&lt;&gt;"",分析!O193,"")</f>
        <v>0.68415051311288488</v>
      </c>
      <c r="O77" s="150">
        <f>IF(分析!X193&lt;&gt;"",分析!X193,"")</f>
        <v>-6.2025342403037484</v>
      </c>
      <c r="P77" s="151">
        <f>IF(分析!L193&lt;&gt;"",分析!L193,"")</f>
        <v>-12.350936967632027</v>
      </c>
      <c r="Q77" s="148">
        <f>IF(分析!S193&lt;&gt;"",分析!S193,"")</f>
        <v>1976</v>
      </c>
      <c r="R77" s="148">
        <f>IF(分析!R193&lt;&gt;"",分析!R193,"")</f>
        <v>2223</v>
      </c>
      <c r="S77" s="143" t="str">
        <f>IF(分析!AA193&lt;&gt;"",分析!AA193,"")</f>
        <v>上昇▲</v>
      </c>
      <c r="T77" s="152">
        <f>IF(分析!Z193&lt;&gt;"",分析!Z193,"")</f>
        <v>0.98135426889106969</v>
      </c>
      <c r="U77" s="143" t="str">
        <f>IF(分析!V193&lt;&gt;"",分析!V193,"")</f>
        <v>通常</v>
      </c>
      <c r="V77" s="153">
        <f>IF(分析!W193&lt;&gt;"",分析!W193,"")</f>
        <v>50.511782908831229</v>
      </c>
      <c r="W77" s="154" t="str">
        <f>IF(分析!AD193&lt;&gt;"",分析!AD193,"")</f>
        <v>もみ合い→</v>
      </c>
      <c r="X77" s="155" t="str">
        <f>IF(分析!AE193&lt;&gt;"",分析!AE193,"")</f>
        <v>なし</v>
      </c>
      <c r="Y77" s="156">
        <f>IF(分析!T193&lt;&gt;"",分析!T193,"")</f>
        <v>3</v>
      </c>
      <c r="Z77" s="142" t="str">
        <f>IF(分析!Y193&lt;&gt;"",分析!Y193,"")</f>
        <v>様子見</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4507</v>
      </c>
      <c r="F78" s="133">
        <f>IF(分析!F160&lt;&gt;"",分析!F160,"")</f>
        <v>4590</v>
      </c>
      <c r="G78" s="133">
        <f>IF(分析!H160&lt;&gt;"",分析!H160,"")</f>
        <v>4607</v>
      </c>
      <c r="H78" s="133">
        <f>IF(分析!I160&lt;&gt;"",分析!I160,"")</f>
        <v>4476</v>
      </c>
      <c r="I78" s="133">
        <f>IF(分析!J160&lt;&gt;"",分析!J160,"")</f>
        <v>971300</v>
      </c>
      <c r="J78" s="133">
        <f>IF(分析!AB160&lt;&gt;"",分析!AB160,"")</f>
        <v>4355.1629327902228</v>
      </c>
      <c r="K78" s="133">
        <f>IF(分析!AC160&lt;&gt;"",分析!AC160,"")</f>
        <v>4211.5554231227643</v>
      </c>
      <c r="L78" s="133">
        <f>IF(分析!K160&lt;&gt;"",分析!K160,"")</f>
        <v>5243</v>
      </c>
      <c r="M78" s="128" t="str">
        <f>IF(分析!P160&lt;&gt;"",分析!P160,"")</f>
        <v>減少↓</v>
      </c>
      <c r="N78" s="134">
        <f>IF(分析!O160&lt;&gt;"",分析!O160,"")</f>
        <v>0.39050375909620871</v>
      </c>
      <c r="O78" s="135">
        <f>IF(分析!X160&lt;&gt;"",分析!X160,"")</f>
        <v>78.470936040983361</v>
      </c>
      <c r="P78" s="136">
        <f>IF(分析!L160&lt;&gt;"",分析!L160,"")</f>
        <v>-14.037764638565706</v>
      </c>
      <c r="Q78" s="133">
        <f>IF(分析!S160&lt;&gt;"",分析!S160,"")</f>
        <v>4327</v>
      </c>
      <c r="R78" s="133">
        <f>IF(分析!R160&lt;&gt;"",分析!R160,"")</f>
        <v>4868</v>
      </c>
      <c r="S78" s="128" t="str">
        <f>IF(分析!AA160&lt;&gt;"",分析!AA160,"")</f>
        <v>下落▼</v>
      </c>
      <c r="T78" s="137">
        <f>IF(分析!Z160&lt;&gt;"",分析!Z160,"")</f>
        <v>-3.2001718213058417</v>
      </c>
      <c r="U78" s="128" t="str">
        <f>IF(分析!V160&lt;&gt;"",分析!V160,"")</f>
        <v>通常</v>
      </c>
      <c r="V78" s="138">
        <f>IF(分析!W160&lt;&gt;"",分析!W160,"")</f>
        <v>63.228699551569512</v>
      </c>
      <c r="W78" s="139" t="str">
        <f>IF(分析!AD160&lt;&gt;"",分析!AD160,"")</f>
        <v>パーフェクト▲</v>
      </c>
      <c r="X78" s="140" t="str">
        <f>IF(分析!AE160&lt;&gt;"",分析!AE160,"")</f>
        <v>なし</v>
      </c>
      <c r="Y78" s="141">
        <f>IF(分析!T160&lt;&gt;"",分析!T160,"")</f>
        <v>7</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7846</v>
      </c>
      <c r="F79" s="148">
        <f>IF(分析!F153&lt;&gt;"",分析!F153,"")</f>
        <v>7781</v>
      </c>
      <c r="G79" s="148">
        <f>IF(分析!H153&lt;&gt;"",分析!H153,"")</f>
        <v>7935</v>
      </c>
      <c r="H79" s="148">
        <f>IF(分析!I153&lt;&gt;"",分析!I153,"")</f>
        <v>7756</v>
      </c>
      <c r="I79" s="148">
        <f>IF(分析!J153&lt;&gt;"",分析!J153,"")</f>
        <v>93200</v>
      </c>
      <c r="J79" s="148">
        <f>IF(分析!AB153&lt;&gt;"",分析!AB153,"")</f>
        <v>3510.9796334012208</v>
      </c>
      <c r="K79" s="148">
        <f>IF(分析!AC153&lt;&gt;"",分析!AC153,"")</f>
        <v>3620.0297973778288</v>
      </c>
      <c r="L79" s="148">
        <f>IF(分析!K153&lt;&gt;"",分析!K153,"")</f>
        <v>8611</v>
      </c>
      <c r="M79" s="143" t="str">
        <f>IF(分析!P153&lt;&gt;"",分析!P153,"")</f>
        <v>減少↓</v>
      </c>
      <c r="N79" s="149">
        <f>IF(分析!O153&lt;&gt;"",分析!O153,"")</f>
        <v>0.27402093378807479</v>
      </c>
      <c r="O79" s="150">
        <f>IF(分析!X153&lt;&gt;"",分析!X153,"")</f>
        <v>221.88564474464783</v>
      </c>
      <c r="P79" s="151">
        <f>IF(分析!L153&lt;&gt;"",分析!L153,"")</f>
        <v>-8.8839855998141903</v>
      </c>
      <c r="Q79" s="148">
        <f>IF(分析!S153&lt;&gt;"",分析!S153,"")</f>
        <v>7532</v>
      </c>
      <c r="R79" s="148">
        <f>IF(分析!R153&lt;&gt;"",分析!R153,"")</f>
        <v>8474</v>
      </c>
      <c r="S79" s="143" t="str">
        <f>IF(分析!AA153&lt;&gt;"",分析!AA153,"")</f>
        <v>下落▼</v>
      </c>
      <c r="T79" s="152">
        <f>IF(分析!Z153&lt;&gt;"",分析!Z153,"")</f>
        <v>-0.34294423980693511</v>
      </c>
      <c r="U79" s="143" t="str">
        <f>IF(分析!V153&lt;&gt;"",分析!V153,"")</f>
        <v>通常</v>
      </c>
      <c r="V79" s="153">
        <f>IF(分析!W153&lt;&gt;"",分析!W153,"")</f>
        <v>73.566176470588232</v>
      </c>
      <c r="W79" s="154" t="str">
        <f>IF(分析!AD153&lt;&gt;"",分析!AD153,"")</f>
        <v>上昇トレンド▲</v>
      </c>
      <c r="X79" s="155" t="str">
        <f>IF(分析!AE153&lt;&gt;"",分析!AE153,"")</f>
        <v>なし</v>
      </c>
      <c r="Y79" s="156">
        <f>IF(分析!T153&lt;&gt;"",分析!T153,"")</f>
        <v>6</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8533</v>
      </c>
      <c r="F80" s="133">
        <f>IF(分析!F128&lt;&gt;"",分析!F128,"")</f>
        <v>8347</v>
      </c>
      <c r="G80" s="133">
        <f>IF(分析!H128&lt;&gt;"",分析!H128,"")</f>
        <v>8628</v>
      </c>
      <c r="H80" s="133">
        <f>IF(分析!I128&lt;&gt;"",分析!I128,"")</f>
        <v>8330</v>
      </c>
      <c r="I80" s="133">
        <f>IF(分析!J128&lt;&gt;"",分析!J128,"")</f>
        <v>357200</v>
      </c>
      <c r="J80" s="133">
        <f>IF(分析!AB128&lt;&gt;"",分析!AB128,"")</f>
        <v>6687.913441955192</v>
      </c>
      <c r="K80" s="133">
        <f>IF(分析!AC128&lt;&gt;"",分析!AC128,"")</f>
        <v>6734.1895113230021</v>
      </c>
      <c r="L80" s="133">
        <f>IF(分析!K128&lt;&gt;"",分析!K128,"")</f>
        <v>12380</v>
      </c>
      <c r="M80" s="128" t="str">
        <f>IF(分析!P128&lt;&gt;"",分析!P128,"")</f>
        <v>減少↓</v>
      </c>
      <c r="N80" s="134">
        <f>IF(分析!O128&lt;&gt;"",分析!O128,"")</f>
        <v>0.70215442679666618</v>
      </c>
      <c r="O80" s="135">
        <f>IF(分析!X128&lt;&gt;"",分析!X128,"")</f>
        <v>-50.461472940104613</v>
      </c>
      <c r="P80" s="136">
        <f>IF(分析!L128&lt;&gt;"",分析!L128,"")</f>
        <v>-31.074313408723746</v>
      </c>
      <c r="Q80" s="133">
        <f>IF(分析!S128&lt;&gt;"",分析!S128,"")</f>
        <v>8192</v>
      </c>
      <c r="R80" s="133">
        <f>IF(分析!R128&lt;&gt;"",分析!R128,"")</f>
        <v>9216</v>
      </c>
      <c r="S80" s="128" t="str">
        <f>IF(分析!AA128&lt;&gt;"",分析!AA128,"")</f>
        <v>上昇▲</v>
      </c>
      <c r="T80" s="137">
        <f>IF(分析!Z128&lt;&gt;"",分析!Z128,"")</f>
        <v>4.5838950851820073</v>
      </c>
      <c r="U80" s="128" t="str">
        <f>IF(分析!V128&lt;&gt;"",分析!V128,"")</f>
        <v>通常</v>
      </c>
      <c r="V80" s="138">
        <f>IF(分析!W128&lt;&gt;"",分析!W128,"")</f>
        <v>47.679324894514764</v>
      </c>
      <c r="W80" s="139" t="str">
        <f>IF(分析!AD128&lt;&gt;"",分析!AD128,"")</f>
        <v>上昇トレンド▲</v>
      </c>
      <c r="X80" s="140" t="str">
        <f>IF(分析!AE128&lt;&gt;"",分析!AE128,"")</f>
        <v>なし</v>
      </c>
      <c r="Y80" s="141">
        <f>IF(分析!T128&lt;&gt;"",分析!T128,"")</f>
        <v>2</v>
      </c>
      <c r="Z80" s="142" t="str">
        <f>IF(分析!Y128&lt;&gt;"",分析!Y128,"")</f>
        <v>見送り</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3615</v>
      </c>
      <c r="F81" s="148">
        <f>IF(分析!F119&lt;&gt;"",分析!F119,"")</f>
        <v>3516</v>
      </c>
      <c r="G81" s="148">
        <f>IF(分析!H119&lt;&gt;"",分析!H119,"")</f>
        <v>3629</v>
      </c>
      <c r="H81" s="148">
        <f>IF(分析!I119&lt;&gt;"",分析!I119,"")</f>
        <v>3516</v>
      </c>
      <c r="I81" s="148">
        <f>IF(分析!J119&lt;&gt;"",分析!J119,"")</f>
        <v>438700</v>
      </c>
      <c r="J81" s="148">
        <f>IF(分析!AB119&lt;&gt;"",分析!AB119,"")</f>
        <v>2925.2586558044804</v>
      </c>
      <c r="K81" s="148">
        <f>IF(分析!AC119&lt;&gt;"",分析!AC119,"")</f>
        <v>3028.321811680571</v>
      </c>
      <c r="L81" s="148">
        <f>IF(分析!K119&lt;&gt;"",分析!K119,"")</f>
        <v>4284</v>
      </c>
      <c r="M81" s="143" t="str">
        <f>IF(分析!P119&lt;&gt;"",分析!P119,"")</f>
        <v>減少↓</v>
      </c>
      <c r="N81" s="149">
        <f>IF(分析!O119&lt;&gt;"",分析!O119,"")</f>
        <v>0.3947060622964389</v>
      </c>
      <c r="O81" s="150">
        <f>IF(分析!X119&lt;&gt;"",分析!X119,"")</f>
        <v>-33.753656876518562</v>
      </c>
      <c r="P81" s="151">
        <f>IF(分析!L119&lt;&gt;"",分析!L119,"")</f>
        <v>-15.616246498599439</v>
      </c>
      <c r="Q81" s="148">
        <f>IF(分析!S119&lt;&gt;"",分析!S119,"")</f>
        <v>3470</v>
      </c>
      <c r="R81" s="148">
        <f>IF(分析!R119&lt;&gt;"",分析!R119,"")</f>
        <v>3904</v>
      </c>
      <c r="S81" s="143" t="str">
        <f>IF(分析!AA119&lt;&gt;"",分析!AA119,"")</f>
        <v>上昇▲</v>
      </c>
      <c r="T81" s="152">
        <f>IF(分析!Z119&lt;&gt;"",分析!Z119,"")</f>
        <v>2.4079320113314444</v>
      </c>
      <c r="U81" s="143" t="str">
        <f>IF(分析!V119&lt;&gt;"",分析!V119,"")</f>
        <v>通常</v>
      </c>
      <c r="V81" s="153">
        <f>IF(分析!W119&lt;&gt;"",分析!W119,"")</f>
        <v>49.235114144504593</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4500</v>
      </c>
      <c r="F82" s="133">
        <f>IF(分析!F166&lt;&gt;"",分析!F166,"")</f>
        <v>4589</v>
      </c>
      <c r="G82" s="133">
        <f>IF(分析!H166&lt;&gt;"",分析!H166,"")</f>
        <v>4660</v>
      </c>
      <c r="H82" s="133">
        <f>IF(分析!I166&lt;&gt;"",分析!I166,"")</f>
        <v>4486</v>
      </c>
      <c r="I82" s="133">
        <f>IF(分析!J166&lt;&gt;"",分析!J166,"")</f>
        <v>2812000</v>
      </c>
      <c r="J82" s="133">
        <f>IF(分析!AB166&lt;&gt;"",分析!AB166,"")</f>
        <v>1987.3431771894091</v>
      </c>
      <c r="K82" s="133">
        <f>IF(分析!AC166&lt;&gt;"",分析!AC166,"")</f>
        <v>1903.2061978545878</v>
      </c>
      <c r="L82" s="133">
        <f>IF(分析!K166&lt;&gt;"",分析!K166,"")</f>
        <v>6300</v>
      </c>
      <c r="M82" s="128" t="str">
        <f>IF(分析!P166&lt;&gt;"",分析!P166,"")</f>
        <v>減少↓</v>
      </c>
      <c r="N82" s="134">
        <f>IF(分析!O166&lt;&gt;"",分析!O166,"")</f>
        <v>0.58453031783316356</v>
      </c>
      <c r="O82" s="135">
        <f>IF(分析!X166&lt;&gt;"",分析!X166,"")</f>
        <v>2.618602207463482</v>
      </c>
      <c r="P82" s="136">
        <f>IF(分析!L166&lt;&gt;"",分析!L166,"")</f>
        <v>-28.571428571428569</v>
      </c>
      <c r="Q82" s="133">
        <f>IF(分析!S166&lt;&gt;"",分析!S166,"")</f>
        <v>4320</v>
      </c>
      <c r="R82" s="133">
        <f>IF(分析!R166&lt;&gt;"",分析!R166,"")</f>
        <v>4860</v>
      </c>
      <c r="S82" s="128" t="str">
        <f>IF(分析!AA166&lt;&gt;"",分析!AA166,"")</f>
        <v>下落▼</v>
      </c>
      <c r="T82" s="137">
        <f>IF(分析!Z166&lt;&gt;"",分析!Z166,"")</f>
        <v>-4.0102389078498293</v>
      </c>
      <c r="U82" s="128" t="str">
        <f>IF(分析!V166&lt;&gt;"",分析!V166,"")</f>
        <v>通常</v>
      </c>
      <c r="V82" s="138">
        <f>IF(分析!W166&lt;&gt;"",分析!W166,"")</f>
        <v>41.646720919100048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2196</v>
      </c>
      <c r="F83" s="148">
        <f>IF(分析!F121&lt;&gt;"",分析!F121,"")</f>
        <v>2124</v>
      </c>
      <c r="G83" s="148">
        <f>IF(分析!H121&lt;&gt;"",分析!H121,"")</f>
        <v>2206</v>
      </c>
      <c r="H83" s="148">
        <f>IF(分析!I121&lt;&gt;"",分析!I121,"")</f>
        <v>2120</v>
      </c>
      <c r="I83" s="148">
        <f>IF(分析!J121&lt;&gt;"",分析!J121,"")</f>
        <v>33300</v>
      </c>
      <c r="J83" s="148">
        <f>IF(分析!AB121&lt;&gt;"",分析!AB121,"")</f>
        <v>2514.4348268839099</v>
      </c>
      <c r="K83" s="148">
        <f>IF(分析!AC121&lt;&gt;"",分析!AC121,"")</f>
        <v>2553.29201430274</v>
      </c>
      <c r="L83" s="148">
        <f>IF(分析!K121&lt;&gt;"",分析!K121,"")</f>
        <v>2993</v>
      </c>
      <c r="M83" s="143" t="str">
        <f>IF(分析!P121&lt;&gt;"",分析!P121,"")</f>
        <v>減少↓</v>
      </c>
      <c r="N83" s="149">
        <f>IF(分析!O121&lt;&gt;"",分析!O121,"")</f>
        <v>0.94014680971202713</v>
      </c>
      <c r="O83" s="150">
        <f>IF(分析!X121&lt;&gt;"",分析!X121,"")</f>
        <v>1.2102798530486325</v>
      </c>
      <c r="P83" s="151">
        <f>IF(分析!L121&lt;&gt;"",分析!L121,"")</f>
        <v>-26.628800534580687</v>
      </c>
      <c r="Q83" s="148">
        <f>IF(分析!S121&lt;&gt;"",分析!S121,"")</f>
        <v>2108</v>
      </c>
      <c r="R83" s="148">
        <f>IF(分析!R121&lt;&gt;"",分析!R121,"")</f>
        <v>2372</v>
      </c>
      <c r="S83" s="143" t="str">
        <f>IF(分析!AA121&lt;&gt;"",分析!AA121,"")</f>
        <v>上昇▲</v>
      </c>
      <c r="T83" s="152">
        <f>IF(分析!Z121&lt;&gt;"",分析!Z121,"")</f>
        <v>2.2822543083372149</v>
      </c>
      <c r="U83" s="143" t="str">
        <f>IF(分析!V121&lt;&gt;"",分析!V121,"")</f>
        <v>通常</v>
      </c>
      <c r="V83" s="153">
        <f>IF(分析!W121&lt;&gt;"",分析!W121,"")</f>
        <v>60.391198044009784</v>
      </c>
      <c r="W83" s="154" t="str">
        <f>IF(分析!AD121&lt;&gt;"",分析!AD121,"")</f>
        <v>下降トレンド▼</v>
      </c>
      <c r="X83" s="155" t="str">
        <f>IF(分析!AE121&lt;&gt;"",分析!AE121,"")</f>
        <v>なし</v>
      </c>
      <c r="Y83" s="156">
        <f>IF(分析!T121&lt;&gt;"",分析!T121,"")</f>
        <v>3</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33320</v>
      </c>
      <c r="F84" s="148">
        <f>IF(分析!F83&lt;&gt;"",分析!F83,"")</f>
        <v>32500</v>
      </c>
      <c r="G84" s="148">
        <f>IF(分析!H83&lt;&gt;"",分析!H83,"")</f>
        <v>33640</v>
      </c>
      <c r="H84" s="148">
        <f>IF(分析!I83&lt;&gt;"",分析!I83,"")</f>
        <v>32390</v>
      </c>
      <c r="I84" s="148">
        <f>IF(分析!J83&lt;&gt;"",分析!J83,"")</f>
        <v>6993800</v>
      </c>
      <c r="J84" s="148">
        <f>IF(分析!AB83&lt;&gt;"",分析!AB83,"")</f>
        <v>3139.6018329938893</v>
      </c>
      <c r="K84" s="148">
        <f>IF(分析!AC83&lt;&gt;"",分析!AC83,"")</f>
        <v>3237.0846245530383</v>
      </c>
      <c r="L84" s="148">
        <f>IF(分析!K83&lt;&gt;"",分析!K83,"")</f>
        <v>35940</v>
      </c>
      <c r="M84" s="143" t="str">
        <f>IF(分析!P83&lt;&gt;"",分析!P83,"")</f>
        <v>減少↓</v>
      </c>
      <c r="N84" s="149">
        <f>IF(分析!O83&lt;&gt;"",分析!O83,"")</f>
        <v>0.50593554454371181</v>
      </c>
      <c r="O84" s="150">
        <f>IF(分析!X83&lt;&gt;"",分析!X83,"")</f>
        <v>-29.366818049737049</v>
      </c>
      <c r="P84" s="151">
        <f>IF(分析!L83&lt;&gt;"",分析!L83,"")</f>
        <v>-7.2899276572064551</v>
      </c>
      <c r="Q84" s="148">
        <f>IF(分析!S83&lt;&gt;"",分析!S83,"")</f>
        <v>31987</v>
      </c>
      <c r="R84" s="148">
        <f>IF(分析!R83&lt;&gt;"",分析!R83,"")</f>
        <v>35986</v>
      </c>
      <c r="S84" s="143" t="str">
        <f>IF(分析!AA83&lt;&gt;"",分析!AA83,"")</f>
        <v>上昇▲</v>
      </c>
      <c r="T84" s="152">
        <f>IF(分析!Z83&lt;&gt;"",分析!Z83,"")</f>
        <v>6.0133630289532292</v>
      </c>
      <c r="U84" s="143" t="str">
        <f>IF(分析!V83&lt;&gt;"",分析!V83,"")</f>
        <v>通常</v>
      </c>
      <c r="V84" s="153">
        <f>IF(分析!W83&lt;&gt;"",分析!W83,"")</f>
        <v>55.426195426195427</v>
      </c>
      <c r="W84" s="154" t="str">
        <f>IF(分析!AD83&lt;&gt;"",分析!AD83,"")</f>
        <v>上昇トレンド▲</v>
      </c>
      <c r="X84" s="155" t="str">
        <f>IF(分析!AE83&lt;&gt;"",分析!AE83,"")</f>
        <v>なし</v>
      </c>
      <c r="Y84" s="156">
        <f>IF(分析!T83&lt;&gt;"",分析!T83,"")</f>
        <v>3</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3489</v>
      </c>
      <c r="F85" s="148">
        <f>IF(分析!F117&lt;&gt;"",分析!F117,"")</f>
        <v>3481</v>
      </c>
      <c r="G85" s="148">
        <f>IF(分析!H117&lt;&gt;"",分析!H117,"")</f>
        <v>3497</v>
      </c>
      <c r="H85" s="148">
        <f>IF(分析!I117&lt;&gt;"",分析!I117,"")</f>
        <v>3463</v>
      </c>
      <c r="I85" s="148">
        <f>IF(分析!J117&lt;&gt;"",分析!J117,"")</f>
        <v>104800</v>
      </c>
      <c r="J85" s="148">
        <f>IF(分析!AB117&lt;&gt;"",分析!AB117,"")</f>
        <v>2884.8126272912423</v>
      </c>
      <c r="K85" s="148">
        <f>IF(分析!AC117&lt;&gt;"",分析!AC117,"")</f>
        <v>2899.3009535160895</v>
      </c>
      <c r="L85" s="148">
        <f>IF(分析!K117&lt;&gt;"",分析!K117,"")</f>
        <v>4456</v>
      </c>
      <c r="M85" s="143" t="str">
        <f>IF(分析!P117&lt;&gt;"",分析!P117,"")</f>
        <v>減少↓</v>
      </c>
      <c r="N85" s="149">
        <f>IF(分析!O117&lt;&gt;"",分析!O117,"")</f>
        <v>0.25817895151754039</v>
      </c>
      <c r="O85" s="150">
        <f>IF(分析!X117&lt;&gt;"",分析!X117,"")</f>
        <v>1.4256385354196937</v>
      </c>
      <c r="P85" s="151">
        <f>IF(分析!L117&lt;&gt;"",分析!L117,"")</f>
        <v>-21.701077199281869</v>
      </c>
      <c r="Q85" s="148">
        <f>IF(分析!S117&lt;&gt;"",分析!S117,"")</f>
        <v>3349</v>
      </c>
      <c r="R85" s="148">
        <f>IF(分析!R117&lt;&gt;"",分析!R117,"")</f>
        <v>3768</v>
      </c>
      <c r="S85" s="143" t="str">
        <f>IF(分析!AA117&lt;&gt;"",分析!AA117,"")</f>
        <v>下落▼</v>
      </c>
      <c r="T85" s="152">
        <f>IF(分析!Z117&lt;&gt;"",分析!Z117,"")</f>
        <v>-1.5519187358916477</v>
      </c>
      <c r="U85" s="143" t="str">
        <f>IF(分析!V117&lt;&gt;"",分析!V117,"")</f>
        <v>通常</v>
      </c>
      <c r="V85" s="153">
        <f>IF(分析!W117&lt;&gt;"",分析!W117,"")</f>
        <v>48.522550544323487</v>
      </c>
      <c r="W85" s="154" t="str">
        <f>IF(分析!AD117&lt;&gt;"",分析!AD117,"")</f>
        <v>上昇トレンド▲</v>
      </c>
      <c r="X85" s="155" t="str">
        <f>IF(分析!AE117&lt;&gt;"",分析!AE117,"")</f>
        <v>なし</v>
      </c>
      <c r="Y85" s="156">
        <f>IF(分析!T117&lt;&gt;"",分析!T117,"")</f>
        <v>3</v>
      </c>
      <c r="Z85" s="142" t="str">
        <f>IF(分析!Y117&lt;&gt;"",分析!Y117,"")</f>
        <v>様子見</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3406</v>
      </c>
      <c r="F86" s="133">
        <f>IF(分析!F206&lt;&gt;"",分析!F206,"")</f>
        <v>3451</v>
      </c>
      <c r="G86" s="133">
        <f>IF(分析!H206&lt;&gt;"",分析!H206,"")</f>
        <v>3472</v>
      </c>
      <c r="H86" s="133">
        <f>IF(分析!I206&lt;&gt;"",分析!I206,"")</f>
        <v>3385</v>
      </c>
      <c r="I86" s="133">
        <f>IF(分析!J206&lt;&gt;"",分析!J206,"")</f>
        <v>2896500</v>
      </c>
      <c r="J86" s="133">
        <f>IF(分析!AB206&lt;&gt;"",分析!AB206,"")</f>
        <v>5268.3790322580635</v>
      </c>
      <c r="K86" s="133">
        <f>IF(分析!AC206&lt;&gt;"",分析!AC206,"")</f>
        <v>5281.1191895113207</v>
      </c>
      <c r="L86" s="133">
        <f>IF(分析!K206&lt;&gt;"",分析!K206,"")</f>
        <v>4955</v>
      </c>
      <c r="M86" s="128" t="str">
        <f>IF(分析!P206&lt;&gt;"",分析!P206,"")</f>
        <v>減少↓</v>
      </c>
      <c r="N86" s="134">
        <f>IF(分析!O206&lt;&gt;"",分析!O206,"")</f>
        <v>0.78380806511844392</v>
      </c>
      <c r="O86" s="135">
        <f>IF(分析!X206&lt;&gt;"",分析!X206,"")</f>
        <v>32.526106615613116</v>
      </c>
      <c r="P86" s="136">
        <f>IF(分析!L206&lt;&gt;"",分析!L206,"")</f>
        <v>-31.261352169525729</v>
      </c>
      <c r="Q86" s="133">
        <f>IF(分析!S206&lt;&gt;"",分析!S206,"")</f>
        <v>3270</v>
      </c>
      <c r="R86" s="133">
        <f>IF(分析!R206&lt;&gt;"",分析!R206,"")</f>
        <v>3678</v>
      </c>
      <c r="S86" s="128" t="str">
        <f>IF(分析!AA206&lt;&gt;"",分析!AA206,"")</f>
        <v>下落▼</v>
      </c>
      <c r="T86" s="137">
        <f>IF(分析!Z206&lt;&gt;"",分析!Z206,"")</f>
        <v>-3.2111395282750781</v>
      </c>
      <c r="U86" s="128" t="str">
        <f>IF(分析!V206&lt;&gt;"",分析!V206,"")</f>
        <v>通常</v>
      </c>
      <c r="V86" s="138">
        <f>IF(分析!W206&lt;&gt;"",分析!W206,"")</f>
        <v>56.517311608961307</v>
      </c>
      <c r="W86" s="139" t="str">
        <f>IF(分析!AD206&lt;&gt;"",分析!AD206,"")</f>
        <v>下降トレンド▼</v>
      </c>
      <c r="X86" s="140" t="str">
        <f>IF(分析!AE206&lt;&gt;"",分析!AE206,"")</f>
        <v>なし</v>
      </c>
      <c r="Y86" s="141">
        <f>IF(分析!T206&lt;&gt;"",分析!T206,"")</f>
        <v>5</v>
      </c>
      <c r="Z86" s="142" t="str">
        <f>IF(分析!Y206&lt;&gt;"",分析!Y206,"")</f>
        <v>様子見</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5948</v>
      </c>
      <c r="F87" s="148">
        <f>IF(分析!F169&lt;&gt;"",分析!F169,"")</f>
        <v>5800</v>
      </c>
      <c r="G87" s="148">
        <f>IF(分析!H169&lt;&gt;"",分析!H169,"")</f>
        <v>5948</v>
      </c>
      <c r="H87" s="148">
        <f>IF(分析!I169&lt;&gt;"",分析!I169,"")</f>
        <v>5800</v>
      </c>
      <c r="I87" s="148">
        <f>IF(分析!J169&lt;&gt;"",分析!J169,"")</f>
        <v>214000</v>
      </c>
      <c r="J87" s="148">
        <f>IF(分析!AB169&lt;&gt;"",分析!AB169,"")</f>
        <v>3044.6792260692464</v>
      </c>
      <c r="K87" s="148">
        <f>IF(分析!AC169&lt;&gt;"",分析!AC169,"")</f>
        <v>3094.7735399284852</v>
      </c>
      <c r="L87" s="148">
        <f>IF(分析!K169&lt;&gt;"",分析!K169,"")</f>
        <v>6509</v>
      </c>
      <c r="M87" s="143" t="str">
        <f>IF(分析!P169&lt;&gt;"",分析!P169,"")</f>
        <v>減少↓</v>
      </c>
      <c r="N87" s="149">
        <f>IF(分析!O169&lt;&gt;"",分析!O169,"")</f>
        <v>0.28500652585035824</v>
      </c>
      <c r="O87" s="150">
        <f>IF(分析!X169&lt;&gt;"",分析!X169,"")</f>
        <v>-50.222901301151978</v>
      </c>
      <c r="P87" s="151">
        <f>IF(分析!L169&lt;&gt;"",分析!L169,"")</f>
        <v>-8.6188354585957896</v>
      </c>
      <c r="Q87" s="148">
        <f>IF(分析!S169&lt;&gt;"",分析!S169,"")</f>
        <v>5710</v>
      </c>
      <c r="R87" s="148">
        <f>IF(分析!R169&lt;&gt;"",分析!R169,"")</f>
        <v>6424</v>
      </c>
      <c r="S87" s="143" t="str">
        <f>IF(分析!AA169&lt;&gt;"",分析!AA169,"")</f>
        <v>上昇▲</v>
      </c>
      <c r="T87" s="152">
        <f>IF(分析!Z169&lt;&gt;"",分析!Z169,"")</f>
        <v>5.1626591230551622</v>
      </c>
      <c r="U87" s="143" t="str">
        <f>IF(分析!V169&lt;&gt;"",分析!V169,"")</f>
        <v>通常</v>
      </c>
      <c r="V87" s="153">
        <f>IF(分析!W169&lt;&gt;"",分析!W169,"")</f>
        <v>30.77669902912622</v>
      </c>
      <c r="W87" s="154" t="str">
        <f>IF(分析!AD169&lt;&gt;"",分析!AD169,"")</f>
        <v>上昇トレンド▲</v>
      </c>
      <c r="X87" s="155" t="str">
        <f>IF(分析!AE169&lt;&gt;"",分析!AE169,"")</f>
        <v>なし</v>
      </c>
      <c r="Y87" s="156">
        <f>IF(分析!T169&lt;&gt;"",分析!T169,"")</f>
        <v>4</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6150</v>
      </c>
      <c r="F88" s="133">
        <f>IF(分析!F172&lt;&gt;"",分析!F172,"")</f>
        <v>6004</v>
      </c>
      <c r="G88" s="133">
        <f>IF(分析!H172&lt;&gt;"",分析!H172,"")</f>
        <v>6213</v>
      </c>
      <c r="H88" s="133">
        <f>IF(分析!I172&lt;&gt;"",分析!I172,"")</f>
        <v>6004</v>
      </c>
      <c r="I88" s="133">
        <f>IF(分析!J172&lt;&gt;"",分析!J172,"")</f>
        <v>6211400</v>
      </c>
      <c r="J88" s="133">
        <f>IF(分析!AB172&lt;&gt;"",分析!AB172,"")</f>
        <v>3798.5132382892043</v>
      </c>
      <c r="K88" s="133">
        <f>IF(分析!AC172&lt;&gt;"",分析!AC172,"")</f>
        <v>3796.3957091775919</v>
      </c>
      <c r="L88" s="133">
        <f>IF(分析!K172&lt;&gt;"",分析!K172,"")</f>
        <v>7930</v>
      </c>
      <c r="M88" s="128" t="str">
        <f>IF(分析!P172&lt;&gt;"",分析!P172,"")</f>
        <v>減少↓</v>
      </c>
      <c r="N88" s="134">
        <f>IF(分析!O172&lt;&gt;"",分析!O172,"")</f>
        <v>0.54578844700630902</v>
      </c>
      <c r="O88" s="135">
        <f>IF(分析!X172&lt;&gt;"",分析!X172,"")</f>
        <v>-200.63659503500367</v>
      </c>
      <c r="P88" s="136">
        <f>IF(分析!L172&lt;&gt;"",分析!L172,"")</f>
        <v>-22.446406052963429</v>
      </c>
      <c r="Q88" s="133">
        <f>IF(分析!S172&lt;&gt;"",分析!S172,"")</f>
        <v>5904</v>
      </c>
      <c r="R88" s="133">
        <f>IF(分析!R172&lt;&gt;"",分析!R172,"")</f>
        <v>6642</v>
      </c>
      <c r="S88" s="128" t="str">
        <f>IF(分析!AA172&lt;&gt;"",分析!AA172,"")</f>
        <v>上昇▲</v>
      </c>
      <c r="T88" s="137">
        <f>IF(分析!Z172&lt;&gt;"",分析!Z172,"")</f>
        <v>5.2181351582549187</v>
      </c>
      <c r="U88" s="128" t="str">
        <f>IF(分析!V172&lt;&gt;"",分析!V172,"")</f>
        <v>通常</v>
      </c>
      <c r="V88" s="138">
        <f>IF(分析!W172&lt;&gt;"",分析!W172,"")</f>
        <v>21.261053440984242</v>
      </c>
      <c r="W88" s="139" t="str">
        <f>IF(分析!AD172&lt;&gt;"",分析!AD172,"")</f>
        <v>パーフェクト▲</v>
      </c>
      <c r="X88" s="140" t="str">
        <f>IF(分析!AE172&lt;&gt;"",分析!AE172,"")</f>
        <v>なし</v>
      </c>
      <c r="Y88" s="141">
        <f>IF(分析!T172&lt;&gt;"",分析!T172,"")</f>
        <v>5</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4659</v>
      </c>
      <c r="F89" s="148">
        <f>IF(分析!F123&lt;&gt;"",分析!F123,"")</f>
        <v>4540</v>
      </c>
      <c r="G89" s="148">
        <f>IF(分析!H123&lt;&gt;"",分析!H123,"")</f>
        <v>4659</v>
      </c>
      <c r="H89" s="148">
        <f>IF(分析!I123&lt;&gt;"",分析!I123,"")</f>
        <v>4535</v>
      </c>
      <c r="I89" s="148">
        <f>IF(分析!J123&lt;&gt;"",分析!J123,"")</f>
        <v>487700</v>
      </c>
      <c r="J89" s="148">
        <f>IF(分析!AB123&lt;&gt;"",分析!AB123,"")</f>
        <v>2470.8594704684315</v>
      </c>
      <c r="K89" s="148">
        <f>IF(分析!AC123&lt;&gt;"",分析!AC123,"")</f>
        <v>2501.5876042908226</v>
      </c>
      <c r="L89" s="148">
        <f>IF(分析!K123&lt;&gt;"",分析!K123,"")</f>
        <v>4890</v>
      </c>
      <c r="M89" s="143" t="str">
        <f>IF(分析!P123&lt;&gt;"",分析!P123,"")</f>
        <v>減少↓</v>
      </c>
      <c r="N89" s="149">
        <f>IF(分析!O123&lt;&gt;"",分析!O123,"")</f>
        <v>0.40861638487189367</v>
      </c>
      <c r="O89" s="150">
        <f>IF(分析!X123&lt;&gt;"",分析!X123,"")</f>
        <v>-25.866457834968969</v>
      </c>
      <c r="P89" s="151">
        <f>IF(分析!L123&lt;&gt;"",分析!L123,"")</f>
        <v>-4.7239263803680975</v>
      </c>
      <c r="Q89" s="148">
        <f>IF(分析!S123&lt;&gt;"",分析!S123,"")</f>
        <v>4473</v>
      </c>
      <c r="R89" s="148">
        <f>IF(分析!R123&lt;&gt;"",分析!R123,"")</f>
        <v>5032</v>
      </c>
      <c r="S89" s="143" t="str">
        <f>IF(分析!AA123&lt;&gt;"",分析!AA123,"")</f>
        <v>上昇▲</v>
      </c>
      <c r="T89" s="152">
        <f>IF(分析!Z123&lt;&gt;"",分析!Z123,"")</f>
        <v>3.7639198218262808</v>
      </c>
      <c r="U89" s="143" t="str">
        <f>IF(分析!V123&lt;&gt;"",分析!V123,"")</f>
        <v>高値圏</v>
      </c>
      <c r="V89" s="153">
        <f>IF(分析!W123&lt;&gt;"",分析!W123,"")</f>
        <v>42.697594501718214</v>
      </c>
      <c r="W89" s="154" t="str">
        <f>IF(分析!AD123&lt;&gt;"",分析!AD123,"")</f>
        <v>上昇トレンド▲</v>
      </c>
      <c r="X89" s="155" t="str">
        <f>IF(分析!AE123&lt;&gt;"",分析!AE123,"")</f>
        <v>なし</v>
      </c>
      <c r="Y89" s="156">
        <f>IF(分析!T123&lt;&gt;"",分析!T123,"")</f>
        <v>8</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1023</v>
      </c>
      <c r="F90" s="148">
        <f>IF(分析!F21&lt;&gt;"",分析!F21,"")</f>
        <v>1010</v>
      </c>
      <c r="G90" s="148">
        <f>IF(分析!H21&lt;&gt;"",分析!H21,"")</f>
        <v>1025</v>
      </c>
      <c r="H90" s="148">
        <f>IF(分析!I21&lt;&gt;"",分析!I21,"")</f>
        <v>1009</v>
      </c>
      <c r="I90" s="148">
        <f>IF(分析!J21&lt;&gt;"",分析!J21,"")</f>
        <v>101600</v>
      </c>
      <c r="J90" s="148">
        <f>IF(分析!AB21&lt;&gt;"",分析!AB21,"")</f>
        <v>4914.2973523421579</v>
      </c>
      <c r="K90" s="148">
        <f>IF(分析!AC21&lt;&gt;"",分析!AC21,"")</f>
        <v>4743.0131108462447</v>
      </c>
      <c r="L90" s="148">
        <f>IF(分析!K21&lt;&gt;"",分析!K21,"")</f>
        <v>1343</v>
      </c>
      <c r="M90" s="143" t="str">
        <f>IF(分析!P21&lt;&gt;"",分析!P21,"")</f>
        <v>減少↓</v>
      </c>
      <c r="N90" s="149">
        <f>IF(分析!O21&lt;&gt;"",分析!O21,"")</f>
        <v>0.28078708821578596</v>
      </c>
      <c r="O90" s="150">
        <f>IF(分析!X21&lt;&gt;"",分析!X21,"")</f>
        <v>2.5025234935657181</v>
      </c>
      <c r="P90" s="151">
        <f>IF(分析!L21&lt;&gt;"",分析!L21,"")</f>
        <v>-23.827252419955325</v>
      </c>
      <c r="Q90" s="148">
        <f>IF(分析!S21&lt;&gt;"",分析!S21,"")</f>
        <v>982</v>
      </c>
      <c r="R90" s="148">
        <f>IF(分析!R21&lt;&gt;"",分析!R21,"")</f>
        <v>1105</v>
      </c>
      <c r="S90" s="143" t="str">
        <f>IF(分析!AA21&lt;&gt;"",分析!AA21,"")</f>
        <v>下落▼</v>
      </c>
      <c r="T90" s="152">
        <f>IF(分析!Z21&lt;&gt;"",分析!Z21,"")</f>
        <v>-0.38948393378773127</v>
      </c>
      <c r="U90" s="143" t="str">
        <f>IF(分析!V21&lt;&gt;"",分析!V21,"")</f>
        <v>通常</v>
      </c>
      <c r="V90" s="153">
        <f>IF(分析!W21&lt;&gt;"",分析!W21,"")</f>
        <v>55.038759689922479</v>
      </c>
      <c r="W90" s="154" t="str">
        <f>IF(分析!AD21&lt;&gt;"",分析!AD21,"")</f>
        <v>もみ合い→</v>
      </c>
      <c r="X90" s="155" t="str">
        <f>IF(分析!AE21&lt;&gt;"",分析!AE21,"")</f>
        <v>なし</v>
      </c>
      <c r="Y90" s="156">
        <f>IF(分析!T21&lt;&gt;"",分析!T21,"")</f>
        <v>3</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7370</v>
      </c>
      <c r="F91" s="148">
        <f>IF(分析!F177&lt;&gt;"",分析!F177,"")</f>
        <v>7300</v>
      </c>
      <c r="G91" s="148">
        <f>IF(分析!H177&lt;&gt;"",分析!H177,"")</f>
        <v>7700</v>
      </c>
      <c r="H91" s="148">
        <f>IF(分析!I177&lt;&gt;"",分析!I177,"")</f>
        <v>7140</v>
      </c>
      <c r="I91" s="148">
        <f>IF(分析!J177&lt;&gt;"",分析!J177,"")</f>
        <v>244100</v>
      </c>
      <c r="J91" s="148">
        <f>IF(分析!AB177&lt;&gt;"",分析!AB177,"")</f>
        <v>2852.1313645621171</v>
      </c>
      <c r="K91" s="148">
        <f>IF(分析!AC177&lt;&gt;"",分析!AC177,"")</f>
        <v>2780.8939213349217</v>
      </c>
      <c r="L91" s="148">
        <f>IF(分析!K177&lt;&gt;"",分析!K177,"")</f>
        <v>11110</v>
      </c>
      <c r="M91" s="143" t="str">
        <f>IF(分析!P177&lt;&gt;"",分析!P177,"")</f>
        <v>減少↓</v>
      </c>
      <c r="N91" s="149">
        <f>IF(分析!O177&lt;&gt;"",分析!O177,"")</f>
        <v>0.63857060639355412</v>
      </c>
      <c r="O91" s="150">
        <f>IF(分析!X177&lt;&gt;"",分析!X177,"")</f>
        <v>-269.95004756426806</v>
      </c>
      <c r="P91" s="151">
        <f>IF(分析!L177&lt;&gt;"",分析!L177,"")</f>
        <v>-33.663366336633665</v>
      </c>
      <c r="Q91" s="148">
        <f>IF(分析!S177&lt;&gt;"",分析!S177,"")</f>
        <v>7075</v>
      </c>
      <c r="R91" s="148">
        <f>IF(分析!R177&lt;&gt;"",分析!R177,"")</f>
        <v>7960</v>
      </c>
      <c r="S91" s="143" t="str">
        <f>IF(分析!AA177&lt;&gt;"",分析!AA177,"")</f>
        <v>上昇▲</v>
      </c>
      <c r="T91" s="152">
        <f>IF(分析!Z177&lt;&gt;"",分析!Z177,"")</f>
        <v>8.2232011747430249</v>
      </c>
      <c r="U91" s="143" t="str">
        <f>IF(分析!V177&lt;&gt;"",分析!V177,"")</f>
        <v>通常</v>
      </c>
      <c r="V91" s="153">
        <f>IF(分析!W177&lt;&gt;"",分析!W177,"")</f>
        <v>42.372881355932208</v>
      </c>
      <c r="W91" s="154" t="str">
        <f>IF(分析!AD177&lt;&gt;"",分析!AD177,"")</f>
        <v>パーフェクト▲</v>
      </c>
      <c r="X91" s="155" t="str">
        <f>IF(分析!AE177&lt;&gt;"",分析!AE177,"")</f>
        <v>なし</v>
      </c>
      <c r="Y91" s="156">
        <f>IF(分析!T177&lt;&gt;"",分析!T177,"")</f>
        <v>3</v>
      </c>
      <c r="Z91" s="142" t="str">
        <f>IF(分析!Y177&lt;&gt;"",分析!Y177,"")</f>
        <v>様子見</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660</v>
      </c>
      <c r="F92" s="133">
        <f>IF(分析!F140&lt;&gt;"",分析!F140,"")</f>
        <v>658</v>
      </c>
      <c r="G92" s="133">
        <f>IF(分析!H140&lt;&gt;"",分析!H140,"")</f>
        <v>675.7</v>
      </c>
      <c r="H92" s="133">
        <f>IF(分析!I140&lt;&gt;"",分析!I140,"")</f>
        <v>655.9</v>
      </c>
      <c r="I92" s="133">
        <f>IF(分析!J140&lt;&gt;"",分析!J140,"")</f>
        <v>58725600</v>
      </c>
      <c r="J92" s="133">
        <f>IF(分析!AB140&lt;&gt;"",分析!AB140,"")</f>
        <v>2629.7347250509165</v>
      </c>
      <c r="K92" s="133">
        <f>IF(分析!AC140&lt;&gt;"",分析!AC140,"")</f>
        <v>2718.7592371871256</v>
      </c>
      <c r="L92" s="133">
        <f>IF(分析!K140&lt;&gt;"",分析!K140,"")</f>
        <v>699.8</v>
      </c>
      <c r="M92" s="128" t="str">
        <f>IF(分析!P140&lt;&gt;"",分析!P140,"")</f>
        <v>普通→</v>
      </c>
      <c r="N92" s="134">
        <f>IF(分析!O140&lt;&gt;"",分析!O140,"")</f>
        <v>1.0632339362337733</v>
      </c>
      <c r="O92" s="135">
        <f>IF(分析!X140&lt;&gt;"",分析!X140,"")</f>
        <v>9.7992538976832293</v>
      </c>
      <c r="P92" s="136">
        <f>IF(分析!L140&lt;&gt;"",分析!L140,"")</f>
        <v>-5.6873392397827889</v>
      </c>
      <c r="Q92" s="133">
        <f>IF(分析!S140&lt;&gt;"",分析!S140,"")</f>
        <v>634</v>
      </c>
      <c r="R92" s="133">
        <f>IF(分析!R140&lt;&gt;"",分析!R140,"")</f>
        <v>713</v>
      </c>
      <c r="S92" s="128" t="str">
        <f>IF(分析!AA140&lt;&gt;"",分析!AA140,"")</f>
        <v>上昇▲</v>
      </c>
      <c r="T92" s="137">
        <f>IF(分析!Z140&lt;&gt;"",分析!Z140,"")</f>
        <v>2.009273570324575</v>
      </c>
      <c r="U92" s="128" t="str">
        <f>IF(分析!V140&lt;&gt;"",分析!V140,"")</f>
        <v>高値圏</v>
      </c>
      <c r="V92" s="138">
        <f>IF(分析!W140&lt;&gt;"",分析!W140,"")</f>
        <v>53.212228622064693</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5895</v>
      </c>
      <c r="F93" s="148">
        <f>IF(分析!F141&lt;&gt;"",分析!F141,"")</f>
        <v>5796</v>
      </c>
      <c r="G93" s="148">
        <f>IF(分析!H141&lt;&gt;"",分析!H141,"")</f>
        <v>5915</v>
      </c>
      <c r="H93" s="148">
        <f>IF(分析!I141&lt;&gt;"",分析!I141,"")</f>
        <v>5702</v>
      </c>
      <c r="I93" s="148">
        <f>IF(分析!J141&lt;&gt;"",分析!J141,"")</f>
        <v>1197100</v>
      </c>
      <c r="J93" s="148">
        <f>IF(分析!AB141&lt;&gt;"",分析!AB141,"")</f>
        <v>1626.5509164969449</v>
      </c>
      <c r="K93" s="148">
        <f>IF(分析!AC141&lt;&gt;"",分析!AC141,"")</f>
        <v>1650.8653158522045</v>
      </c>
      <c r="L93" s="148">
        <f>IF(分析!K141&lt;&gt;"",分析!K141,"")</f>
        <v>7894</v>
      </c>
      <c r="M93" s="143" t="str">
        <f>IF(分析!P141&lt;&gt;"",分析!P141,"")</f>
        <v>減少↓</v>
      </c>
      <c r="N93" s="149">
        <f>IF(分析!O141&lt;&gt;"",分析!O141,"")</f>
        <v>0.45723649030602109</v>
      </c>
      <c r="O93" s="150">
        <f>IF(分析!X141&lt;&gt;"",分析!X141,"")</f>
        <v>-223.63524174192571</v>
      </c>
      <c r="P93" s="151">
        <f>IF(分析!L141&lt;&gt;"",分析!L141,"")</f>
        <v>-25.323030149480619</v>
      </c>
      <c r="Q93" s="148">
        <f>IF(分析!S141&lt;&gt;"",分析!S141,"")</f>
        <v>5659</v>
      </c>
      <c r="R93" s="148">
        <f>IF(分析!R141&lt;&gt;"",分析!R141,"")</f>
        <v>6367</v>
      </c>
      <c r="S93" s="143" t="str">
        <f>IF(分析!AA141&lt;&gt;"",分析!AA141,"")</f>
        <v>上昇▲</v>
      </c>
      <c r="T93" s="152">
        <f>IF(分析!Z141&lt;&gt;"",分析!Z141,"")</f>
        <v>6.5618221258134488</v>
      </c>
      <c r="U93" s="143" t="str">
        <f>IF(分析!V141&lt;&gt;"",分析!V141,"")</f>
        <v>通常</v>
      </c>
      <c r="V93" s="153">
        <f>IF(分析!W141&lt;&gt;"",分析!W141,"")</f>
        <v>28.817365269461078</v>
      </c>
      <c r="W93" s="154" t="str">
        <f>IF(分析!AD141&lt;&gt;"",分析!AD141,"")</f>
        <v>上昇トレンド▲</v>
      </c>
      <c r="X93" s="155" t="str">
        <f>IF(分析!AE141&lt;&gt;"",分析!AE141,"")</f>
        <v>なし</v>
      </c>
      <c r="Y93" s="156">
        <f>IF(分析!T141&lt;&gt;"",分析!T141,"")</f>
        <v>4</v>
      </c>
      <c r="Z93" s="142" t="str">
        <f>IF(分析!Y141&lt;&gt;"",分析!Y141,"")</f>
        <v>様子見</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2573.5</v>
      </c>
      <c r="F94" s="148">
        <f>IF(分析!F7&lt;&gt;"",分析!F7,"")</f>
        <v>2509</v>
      </c>
      <c r="G94" s="148">
        <f>IF(分析!H7&lt;&gt;"",分析!H7,"")</f>
        <v>2586.5</v>
      </c>
      <c r="H94" s="148">
        <f>IF(分析!I7&lt;&gt;"",分析!I7,"")</f>
        <v>2508</v>
      </c>
      <c r="I94" s="148">
        <f>IF(分析!J7&lt;&gt;"",分析!J7,"")</f>
        <v>3828900</v>
      </c>
      <c r="J94" s="148">
        <f>IF(分析!AB7&lt;&gt;"",分析!AB7,"")</f>
        <v>4122.4796334012208</v>
      </c>
      <c r="K94" s="148">
        <f>IF(分析!AC7&lt;&gt;"",分析!AC7,"")</f>
        <v>4154.6483909415965</v>
      </c>
      <c r="L94" s="148">
        <f>IF(分析!K7&lt;&gt;"",分析!K7,"")</f>
        <v>3625</v>
      </c>
      <c r="M94" s="143" t="str">
        <f>IF(分析!P7&lt;&gt;"",分析!P7,"")</f>
        <v>減少↓</v>
      </c>
      <c r="N94" s="149">
        <f>IF(分析!O7&lt;&gt;"",分析!O7,"")</f>
        <v>0.37832288611877418</v>
      </c>
      <c r="O94" s="150">
        <f>IF(分析!X7&lt;&gt;"",分析!X7,"")</f>
        <v>1.0845250936199591E-2</v>
      </c>
      <c r="P94" s="151">
        <f>IF(分析!L7&lt;&gt;"",分析!L7,"")</f>
        <v>-29.006896551724136</v>
      </c>
      <c r="Q94" s="148">
        <f>IF(分析!S7&lt;&gt;"",分析!S7,"")</f>
        <v>2471</v>
      </c>
      <c r="R94" s="148">
        <f>IF(分析!R7&lt;&gt;"",分析!R7,"")</f>
        <v>2779</v>
      </c>
      <c r="S94" s="143" t="str">
        <f>IF(分析!AA7&lt;&gt;"",分析!AA7,"")</f>
        <v>上昇▲</v>
      </c>
      <c r="T94" s="152">
        <f>IF(分析!Z7&lt;&gt;"",分析!Z7,"")</f>
        <v>0.13618677042801555</v>
      </c>
      <c r="U94" s="143" t="str">
        <f>IF(分析!V7&lt;&gt;"",分析!V7,"")</f>
        <v>通常</v>
      </c>
      <c r="V94" s="153">
        <f>IF(分析!W7&lt;&gt;"",分析!W7,"")</f>
        <v>41.019955654101999</v>
      </c>
      <c r="W94" s="154" t="str">
        <f>IF(分析!AD7&lt;&gt;"",分析!AD7,"")</f>
        <v>下降トレンド▼</v>
      </c>
      <c r="X94" s="155" t="str">
        <f>IF(分析!AE7&lt;&gt;"",分析!AE7,"")</f>
        <v>なし</v>
      </c>
      <c r="Y94" s="156">
        <f>IF(分析!T7&lt;&gt;"",分析!T7,"")</f>
        <v>1</v>
      </c>
      <c r="Z94" s="142" t="str">
        <f>IF(分析!Y7&lt;&gt;"",分析!Y7,"")</f>
        <v>見送り</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1064</v>
      </c>
      <c r="F95" s="148">
        <f>IF(分析!F165&lt;&gt;"",分析!F165,"")</f>
        <v>1100</v>
      </c>
      <c r="G95" s="148">
        <f>IF(分析!H165&lt;&gt;"",分析!H165,"")</f>
        <v>1105</v>
      </c>
      <c r="H95" s="148">
        <f>IF(分析!I165&lt;&gt;"",分析!I165,"")</f>
        <v>1060</v>
      </c>
      <c r="I95" s="148">
        <f>IF(分析!J165&lt;&gt;"",分析!J165,"")</f>
        <v>710100</v>
      </c>
      <c r="J95" s="148">
        <f>IF(分析!AB165&lt;&gt;"",分析!AB165,"")</f>
        <v>3087.1537678207733</v>
      </c>
      <c r="K95" s="148">
        <f>IF(分析!AC165&lt;&gt;"",分析!AC165,"")</f>
        <v>3011.1144219308676</v>
      </c>
      <c r="L95" s="148">
        <f>IF(分析!K165&lt;&gt;"",分析!K165,"")</f>
        <v>1212</v>
      </c>
      <c r="M95" s="143" t="str">
        <f>IF(分析!P165&lt;&gt;"",分析!P165,"")</f>
        <v>減少↓</v>
      </c>
      <c r="N95" s="149">
        <f>IF(分析!O165&lt;&gt;"",分析!O165,"")</f>
        <v>0.59529198732458122</v>
      </c>
      <c r="O95" s="150">
        <f>IF(分析!X165&lt;&gt;"",分析!X165,"")</f>
        <v>13.525495643590148</v>
      </c>
      <c r="P95" s="151">
        <f>IF(分析!L165&lt;&gt;"",分析!L165,"")</f>
        <v>-12.211221122112212</v>
      </c>
      <c r="Q95" s="148">
        <f>IF(分析!S165&lt;&gt;"",分析!S165,"")</f>
        <v>1021</v>
      </c>
      <c r="R95" s="148">
        <f>IF(分析!R165&lt;&gt;"",分析!R165,"")</f>
        <v>1149</v>
      </c>
      <c r="S95" s="143" t="str">
        <f>IF(分析!AA165&lt;&gt;"",分析!AA165,"")</f>
        <v>下落▼</v>
      </c>
      <c r="T95" s="152">
        <f>IF(分析!Z165&lt;&gt;"",分析!Z165,"")</f>
        <v>-2.9197080291970803</v>
      </c>
      <c r="U95" s="143" t="str">
        <f>IF(分析!V165&lt;&gt;"",分析!V165,"")</f>
        <v>通常</v>
      </c>
      <c r="V95" s="153">
        <f>IF(分析!W165&lt;&gt;"",分析!W165,"")</f>
        <v>59.077809798270891</v>
      </c>
      <c r="W95" s="154" t="str">
        <f>IF(分析!AD165&lt;&gt;"",分析!AD165,"")</f>
        <v>もみ合い→</v>
      </c>
      <c r="X95" s="155" t="str">
        <f>IF(分析!AE165&lt;&gt;"",分析!AE165,"")</f>
        <v>なし</v>
      </c>
      <c r="Y95" s="156">
        <f>IF(分析!T165&lt;&gt;"",分析!T165,"")</f>
        <v>5</v>
      </c>
      <c r="Z95" s="142" t="str">
        <f>IF(分析!Y165&lt;&gt;"",分析!Y165,"")</f>
        <v>様子見</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21400</v>
      </c>
      <c r="F96" s="148">
        <f>IF(分析!F87&lt;&gt;"",分析!F87,"")</f>
        <v>21000</v>
      </c>
      <c r="G96" s="148">
        <f>IF(分析!H87&lt;&gt;"",分析!H87,"")</f>
        <v>21540</v>
      </c>
      <c r="H96" s="148">
        <f>IF(分析!I87&lt;&gt;"",分析!I87,"")</f>
        <v>20320</v>
      </c>
      <c r="I96" s="148">
        <f>IF(分析!J87&lt;&gt;"",分析!J87,"")</f>
        <v>164400</v>
      </c>
      <c r="J96" s="148">
        <f>IF(分析!AB87&lt;&gt;"",分析!AB87,"")</f>
        <v>2106.5356415478614</v>
      </c>
      <c r="K96" s="148">
        <f>IF(分析!AC87&lt;&gt;"",分析!AC87,"")</f>
        <v>2066.2967818831935</v>
      </c>
      <c r="L96" s="148">
        <f>IF(分析!K87&lt;&gt;"",分析!K87,"")</f>
        <v>34700</v>
      </c>
      <c r="M96" s="143" t="str">
        <f>IF(分析!P87&lt;&gt;"",分析!P87,"")</f>
        <v>普通→</v>
      </c>
      <c r="N96" s="149">
        <f>IF(分析!O87&lt;&gt;"",分析!O87,"")</f>
        <v>1.0119414009602363</v>
      </c>
      <c r="O96" s="150">
        <f>IF(分析!X87&lt;&gt;"",分析!X87,"")</f>
        <v>-816.49116976265213</v>
      </c>
      <c r="P96" s="151">
        <f>IF(分析!L87&lt;&gt;"",分析!L87,"")</f>
        <v>-38.328530259365998</v>
      </c>
      <c r="Q96" s="148">
        <f>IF(分析!S87&lt;&gt;"",分析!S87,"")</f>
        <v>20544</v>
      </c>
      <c r="R96" s="148">
        <f>IF(分析!R87&lt;&gt;"",分析!R87,"")</f>
        <v>23112</v>
      </c>
      <c r="S96" s="143" t="str">
        <f>IF(分析!AA87&lt;&gt;"",分析!AA87,"")</f>
        <v>上昇▲</v>
      </c>
      <c r="T96" s="152">
        <f>IF(分析!Z87&lt;&gt;"",分析!Z87,"")</f>
        <v>19.220055710306408</v>
      </c>
      <c r="U96" s="143" t="str">
        <f>IF(分析!V87&lt;&gt;"",分析!V87,"")</f>
        <v>通常</v>
      </c>
      <c r="V96" s="153">
        <f>IF(分析!W87&lt;&gt;"",分析!W87,"")</f>
        <v>46.997279765641345</v>
      </c>
      <c r="W96" s="154" t="str">
        <f>IF(分析!AD87&lt;&gt;"",分析!AD87,"")</f>
        <v>パーフェクト▲</v>
      </c>
      <c r="X96" s="155" t="str">
        <f>IF(分析!AE87&lt;&gt;"",分析!AE87,"")</f>
        <v>なし</v>
      </c>
      <c r="Y96" s="156">
        <f>IF(分析!T87&lt;&gt;"",分析!T87,"")</f>
        <v>4</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4360</v>
      </c>
      <c r="F97" s="133">
        <f>IF(分析!F46&lt;&gt;"",分析!F46,"")</f>
        <v>4389</v>
      </c>
      <c r="G97" s="133">
        <f>IF(分析!H46&lt;&gt;"",分析!H46,"")</f>
        <v>4409</v>
      </c>
      <c r="H97" s="133">
        <f>IF(分析!I46&lt;&gt;"",分析!I46,"")</f>
        <v>4356</v>
      </c>
      <c r="I97" s="133">
        <f>IF(分析!J46&lt;&gt;"",分析!J46,"")</f>
        <v>62000</v>
      </c>
      <c r="J97" s="133">
        <f>IF(分析!AB46&lt;&gt;"",分析!AB46,"")</f>
        <v>1498.9796334012215</v>
      </c>
      <c r="K97" s="133">
        <f>IF(分析!AC46&lt;&gt;"",分析!AC46,"")</f>
        <v>1474.0458879618591</v>
      </c>
      <c r="L97" s="133">
        <f>IF(分析!K46&lt;&gt;"",分析!K46,"")</f>
        <v>4664</v>
      </c>
      <c r="M97" s="128" t="str">
        <f>IF(分析!P46&lt;&gt;"",分析!P46,"")</f>
        <v>減少↓</v>
      </c>
      <c r="N97" s="134">
        <f>IF(分析!O46&lt;&gt;"",分析!O46,"")</f>
        <v>0.22134951802927527</v>
      </c>
      <c r="O97" s="135">
        <f>IF(分析!X46&lt;&gt;"",分析!X46,"")</f>
        <v>31.29400093138338</v>
      </c>
      <c r="P97" s="136">
        <f>IF(分析!L46&lt;&gt;"",分析!L46,"")</f>
        <v>-6.5180102915951972</v>
      </c>
      <c r="Q97" s="133">
        <f>IF(分析!S46&lt;&gt;"",分析!S46,"")</f>
        <v>4186</v>
      </c>
      <c r="R97" s="133">
        <f>IF(分析!R46&lt;&gt;"",分析!R46,"")</f>
        <v>4709</v>
      </c>
      <c r="S97" s="128" t="str">
        <f>IF(分析!AA46&lt;&gt;"",分析!AA46,"")</f>
        <v>下落▼</v>
      </c>
      <c r="T97" s="137">
        <f>IF(分析!Z46&lt;&gt;"",分析!Z46,"")</f>
        <v>-2.3297491039426523</v>
      </c>
      <c r="U97" s="128" t="str">
        <f>IF(分析!V46&lt;&gt;"",分析!V46,"")</f>
        <v>通常</v>
      </c>
      <c r="V97" s="138">
        <f>IF(分析!W46&lt;&gt;"",分析!W46,"")</f>
        <v>65.390749601275914</v>
      </c>
      <c r="W97" s="139" t="str">
        <f>IF(分析!AD46&lt;&gt;"",分析!AD46,"")</f>
        <v>パーフェクト▲</v>
      </c>
      <c r="X97" s="140" t="str">
        <f>IF(分析!AE46&lt;&gt;"",分析!AE46,"")</f>
        <v>なし</v>
      </c>
      <c r="Y97" s="141">
        <f>IF(分析!T46&lt;&gt;"",分析!T46,"")</f>
        <v>5</v>
      </c>
      <c r="Z97" s="142" t="str">
        <f>IF(分析!Y46&lt;&gt;"",分析!Y46,"")</f>
        <v>様子見</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3130</v>
      </c>
      <c r="F98" s="148">
        <f>IF(分析!F69&lt;&gt;"",分析!F69,"")</f>
        <v>2980</v>
      </c>
      <c r="G98" s="148">
        <f>IF(分析!H69&lt;&gt;"",分析!H69,"")</f>
        <v>3130</v>
      </c>
      <c r="H98" s="148">
        <f>IF(分析!I69&lt;&gt;"",分析!I69,"")</f>
        <v>2972</v>
      </c>
      <c r="I98" s="148">
        <f>IF(分析!J69&lt;&gt;"",分析!J69,"")</f>
        <v>130400</v>
      </c>
      <c r="J98" s="148">
        <f>IF(分析!AB69&lt;&gt;"",分析!AB69,"")</f>
        <v>2249.5152749490831</v>
      </c>
      <c r="K98" s="148">
        <f>IF(分析!AC69&lt;&gt;"",分析!AC69,"")</f>
        <v>2305.1918951132293</v>
      </c>
      <c r="L98" s="148">
        <f>IF(分析!K69&lt;&gt;"",分析!K69,"")</f>
        <v>4155</v>
      </c>
      <c r="M98" s="143" t="str">
        <f>IF(分析!P69&lt;&gt;"",分析!P69,"")</f>
        <v>減少↓</v>
      </c>
      <c r="N98" s="149">
        <f>IF(分析!O69&lt;&gt;"",分析!O69,"")</f>
        <v>0.40823993488197358</v>
      </c>
      <c r="O98" s="150">
        <f>IF(分析!X69&lt;&gt;"",分析!X69,"")</f>
        <v>-102.04879218592623</v>
      </c>
      <c r="P98" s="151">
        <f>IF(分析!L69&lt;&gt;"",分析!L69,"")</f>
        <v>-24.669073405535499</v>
      </c>
      <c r="Q98" s="148">
        <f>IF(分析!S69&lt;&gt;"",分析!S69,"")</f>
        <v>3005</v>
      </c>
      <c r="R98" s="148">
        <f>IF(分析!R69&lt;&gt;"",分析!R69,"")</f>
        <v>3380</v>
      </c>
      <c r="S98" s="143" t="str">
        <f>IF(分析!AA69&lt;&gt;"",分析!AA69,"")</f>
        <v>上昇▲</v>
      </c>
      <c r="T98" s="152">
        <f>IF(分析!Z69&lt;&gt;"",分析!Z69,"")</f>
        <v>6.0298102981029809</v>
      </c>
      <c r="U98" s="143" t="str">
        <f>IF(分析!V69&lt;&gt;"",分析!V69,"")</f>
        <v>通常</v>
      </c>
      <c r="V98" s="153">
        <f>IF(分析!W69&lt;&gt;"",分析!W69,"")</f>
        <v>45.534050179211469</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6080</v>
      </c>
      <c r="F99" s="133">
        <f>IF(分析!F96&lt;&gt;"",分析!F96,"")</f>
        <v>5990</v>
      </c>
      <c r="G99" s="133">
        <f>IF(分析!H96&lt;&gt;"",分析!H96,"")</f>
        <v>6190</v>
      </c>
      <c r="H99" s="133">
        <f>IF(分析!I96&lt;&gt;"",分析!I96,"")</f>
        <v>5920</v>
      </c>
      <c r="I99" s="133">
        <f>IF(分析!J96&lt;&gt;"",分析!J96,"")</f>
        <v>164700</v>
      </c>
      <c r="J99" s="133">
        <f>IF(分析!AB96&lt;&gt;"",分析!AB96,"")</f>
        <v>1122.4648676171078</v>
      </c>
      <c r="K99" s="133">
        <f>IF(分析!AC96&lt;&gt;"",分析!AC96,"")</f>
        <v>1108.2586412395706</v>
      </c>
      <c r="L99" s="133">
        <f>IF(分析!K96&lt;&gt;"",分析!K96,"")</f>
        <v>7880</v>
      </c>
      <c r="M99" s="128" t="str">
        <f>IF(分析!P96&lt;&gt;"",分析!P96,"")</f>
        <v>減少↓</v>
      </c>
      <c r="N99" s="134">
        <f>IF(分析!O96&lt;&gt;"",分析!O96,"")</f>
        <v>0.42547145440454665</v>
      </c>
      <c r="O99" s="135">
        <f>IF(分析!X96&lt;&gt;"",分析!X96,"")</f>
        <v>-134.74755113656283</v>
      </c>
      <c r="P99" s="136">
        <f>IF(分析!L96&lt;&gt;"",分析!L96,"")</f>
        <v>-22.842639593908629</v>
      </c>
      <c r="Q99" s="133">
        <f>IF(分析!S96&lt;&gt;"",分析!S96,"")</f>
        <v>5837</v>
      </c>
      <c r="R99" s="133">
        <f>IF(分析!R96&lt;&gt;"",分析!R96,"")</f>
        <v>6566</v>
      </c>
      <c r="S99" s="128" t="str">
        <f>IF(分析!AA96&lt;&gt;"",分析!AA96,"")</f>
        <v>上昇▲</v>
      </c>
      <c r="T99" s="137">
        <f>IF(分析!Z96&lt;&gt;"",分析!Z96,"")</f>
        <v>10.545454545454545</v>
      </c>
      <c r="U99" s="128" t="str">
        <f>IF(分析!V96&lt;&gt;"",分析!V96,"")</f>
        <v>通常</v>
      </c>
      <c r="V99" s="138">
        <f>IF(分析!W96&lt;&gt;"",分析!W96,"")</f>
        <v>48.363095238095241</v>
      </c>
      <c r="W99" s="139" t="str">
        <f>IF(分析!AD96&lt;&gt;"",分析!AD96,"")</f>
        <v>パーフェクト▲</v>
      </c>
      <c r="X99" s="140" t="str">
        <f>IF(分析!AE96&lt;&gt;"",分析!AE96,"")</f>
        <v>なし</v>
      </c>
      <c r="Y99" s="141">
        <f>IF(分析!T96&lt;&gt;"",分析!T96,"")</f>
        <v>3</v>
      </c>
      <c r="Z99" s="142" t="str">
        <f>IF(分析!Y96&lt;&gt;"",分析!Y96,"")</f>
        <v>様子見</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5374</v>
      </c>
      <c r="F100" s="133">
        <f>IF(分析!F98&lt;&gt;"",分析!F98,"")</f>
        <v>5231</v>
      </c>
      <c r="G100" s="133">
        <f>IF(分析!H98&lt;&gt;"",分析!H98,"")</f>
        <v>5405</v>
      </c>
      <c r="H100" s="133">
        <f>IF(分析!I98&lt;&gt;"",分析!I98,"")</f>
        <v>5211</v>
      </c>
      <c r="I100" s="133">
        <f>IF(分析!J98&lt;&gt;"",分析!J98,"")</f>
        <v>5132000</v>
      </c>
      <c r="J100" s="133">
        <f>IF(分析!AB98&lt;&gt;"",分析!AB98,"")</f>
        <v>2319.3874745417511</v>
      </c>
      <c r="K100" s="133">
        <f>IF(分析!AC98&lt;&gt;"",分析!AC98,"")</f>
        <v>2282.6698450536342</v>
      </c>
      <c r="L100" s="133">
        <f>IF(分析!K98&lt;&gt;"",分析!K98,"")</f>
        <v>7915</v>
      </c>
      <c r="M100" s="128" t="str">
        <f>IF(分析!P98&lt;&gt;"",分析!P98,"")</f>
        <v>減少↓</v>
      </c>
      <c r="N100" s="134">
        <f>IF(分析!O98&lt;&gt;"",分析!O98,"")</f>
        <v>0.72904562075421842</v>
      </c>
      <c r="O100" s="135">
        <f>IF(分析!X98&lt;&gt;"",分析!X98,"")</f>
        <v>-239.39750397032276</v>
      </c>
      <c r="P100" s="136">
        <f>IF(分析!L98&lt;&gt;"",分析!L98,"")</f>
        <v>-32.103600758054327</v>
      </c>
      <c r="Q100" s="133">
        <f>IF(分析!S98&lt;&gt;"",分析!S98,"")</f>
        <v>5159</v>
      </c>
      <c r="R100" s="133">
        <f>IF(分析!R98&lt;&gt;"",分析!R98,"")</f>
        <v>5804</v>
      </c>
      <c r="S100" s="128" t="str">
        <f>IF(分析!AA98&lt;&gt;"",分析!AA98,"")</f>
        <v>上昇▲</v>
      </c>
      <c r="T100" s="137">
        <f>IF(分析!Z98&lt;&gt;"",分析!Z98,"")</f>
        <v>8.8956433637284693</v>
      </c>
      <c r="U100" s="128" t="str">
        <f>IF(分析!V98&lt;&gt;"",分析!V98,"")</f>
        <v>通常</v>
      </c>
      <c r="V100" s="138">
        <f>IF(分析!W98&lt;&gt;"",分析!W98,"")</f>
        <v>30.396975425330808</v>
      </c>
      <c r="W100" s="139" t="str">
        <f>IF(分析!AD98&lt;&gt;"",分析!AD98,"")</f>
        <v>パーフェクト▲</v>
      </c>
      <c r="X100" s="140" t="str">
        <f>IF(分析!AE98&lt;&gt;"",分析!AE98,"")</f>
        <v>なし</v>
      </c>
      <c r="Y100" s="141">
        <f>IF(分析!T98&lt;&gt;"",分析!T98,"")</f>
        <v>4</v>
      </c>
      <c r="Z100" s="142" t="str">
        <f>IF(分析!Y98&lt;&gt;"",分析!Y98,"")</f>
        <v>様子見</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4540</v>
      </c>
      <c r="F101" s="133">
        <f>IF(分析!F108&lt;&gt;"",分析!F108,"")</f>
        <v>4280</v>
      </c>
      <c r="G101" s="133">
        <f>IF(分析!H108&lt;&gt;"",分析!H108,"")</f>
        <v>4565</v>
      </c>
      <c r="H101" s="133">
        <f>IF(分析!I108&lt;&gt;"",分析!I108,"")</f>
        <v>4240</v>
      </c>
      <c r="I101" s="133">
        <f>IF(分析!J108&lt;&gt;"",分析!J108,"")</f>
        <v>840900</v>
      </c>
      <c r="J101" s="133">
        <f>IF(分析!AB108&lt;&gt;"",分析!AB108,"")</f>
        <v>2210.9725050916495</v>
      </c>
      <c r="K101" s="133">
        <f>IF(分析!AC108&lt;&gt;"",分析!AC108,"")</f>
        <v>2162.0667461263397</v>
      </c>
      <c r="L101" s="133">
        <f>IF(分析!K108&lt;&gt;"",分析!K108,"")</f>
        <v>5500</v>
      </c>
      <c r="M101" s="128" t="str">
        <f>IF(分析!P108&lt;&gt;"",分析!P108,"")</f>
        <v>減少↓</v>
      </c>
      <c r="N101" s="134">
        <f>IF(分析!O108&lt;&gt;"",分析!O108,"")</f>
        <v>0.8013608553948196</v>
      </c>
      <c r="O101" s="135">
        <f>IF(分析!X108&lt;&gt;"",分析!X108,"")</f>
        <v>-89.841575153538088</v>
      </c>
      <c r="P101" s="136">
        <f>IF(分析!L108&lt;&gt;"",分析!L108,"")</f>
        <v>-17.454545454545457</v>
      </c>
      <c r="Q101" s="133">
        <f>IF(分析!S108&lt;&gt;"",分析!S108,"")</f>
        <v>4358</v>
      </c>
      <c r="R101" s="133">
        <f>IF(分析!R108&lt;&gt;"",分析!R108,"")</f>
        <v>4903</v>
      </c>
      <c r="S101" s="128" t="str">
        <f>IF(分析!AA108&lt;&gt;"",分析!AA108,"")</f>
        <v>上昇▲</v>
      </c>
      <c r="T101" s="137">
        <f>IF(分析!Z108&lt;&gt;"",分析!Z108,"")</f>
        <v>14.357682619647354</v>
      </c>
      <c r="U101" s="128" t="str">
        <f>IF(分析!V108&lt;&gt;"",分析!V108,"")</f>
        <v>通常</v>
      </c>
      <c r="V101" s="138">
        <f>IF(分析!W108&lt;&gt;"",分析!W108,"")</f>
        <v>42.912621359223301</v>
      </c>
      <c r="W101" s="139" t="str">
        <f>IF(分析!AD108&lt;&gt;"",分析!AD108,"")</f>
        <v>パーフェクト▲</v>
      </c>
      <c r="X101" s="140" t="str">
        <f>IF(分析!AE108&lt;&gt;"",分析!AE108,"")</f>
        <v>なし</v>
      </c>
      <c r="Y101" s="141">
        <f>IF(分析!T108&lt;&gt;"",分析!T108,"")</f>
        <v>3</v>
      </c>
      <c r="Z101" s="142" t="str">
        <f>IF(分析!Y108&lt;&gt;"",分析!Y108,"")</f>
        <v>様子見</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4075</v>
      </c>
      <c r="F102" s="148">
        <f>IF(分析!F155&lt;&gt;"",分析!F155,"")</f>
        <v>4004</v>
      </c>
      <c r="G102" s="148">
        <f>IF(分析!H155&lt;&gt;"",分析!H155,"")</f>
        <v>4103</v>
      </c>
      <c r="H102" s="148">
        <f>IF(分析!I155&lt;&gt;"",分析!I155,"")</f>
        <v>3934</v>
      </c>
      <c r="I102" s="148">
        <f>IF(分析!J155&lt;&gt;"",分析!J155,"")</f>
        <v>588800</v>
      </c>
      <c r="J102" s="148">
        <f>IF(分析!AB155&lt;&gt;"",分析!AB155,"")</f>
        <v>5774.9511201629321</v>
      </c>
      <c r="K102" s="148">
        <f>IF(分析!AC155&lt;&gt;"",分析!AC155,"")</f>
        <v>5930.0059594755639</v>
      </c>
      <c r="L102" s="148">
        <f>IF(分析!K155&lt;&gt;"",分析!K155,"")</f>
        <v>4466</v>
      </c>
      <c r="M102" s="143" t="str">
        <f>IF(分析!P155&lt;&gt;"",分析!P155,"")</f>
        <v>減少↓</v>
      </c>
      <c r="N102" s="149">
        <f>IF(分析!O155&lt;&gt;"",分析!O155,"")</f>
        <v>0.86828289978174955</v>
      </c>
      <c r="O102" s="150">
        <f>IF(分析!X155&lt;&gt;"",分析!X155,"")</f>
        <v>-9.960690816312308</v>
      </c>
      <c r="P102" s="151">
        <f>IF(分析!L155&lt;&gt;"",分析!L155,"")</f>
        <v>-8.7550380653828928</v>
      </c>
      <c r="Q102" s="148">
        <f>IF(分析!S155&lt;&gt;"",分析!S155,"")</f>
        <v>3912</v>
      </c>
      <c r="R102" s="148">
        <f>IF(分析!R155&lt;&gt;"",分析!R155,"")</f>
        <v>4401</v>
      </c>
      <c r="S102" s="143" t="str">
        <f>IF(分析!AA155&lt;&gt;"",分析!AA155,"")</f>
        <v>上昇▲</v>
      </c>
      <c r="T102" s="152">
        <f>IF(分析!Z155&lt;&gt;"",分析!Z155,"")</f>
        <v>3.9806072977800455</v>
      </c>
      <c r="U102" s="143" t="str">
        <f>IF(分析!V155&lt;&gt;"",分析!V155,"")</f>
        <v>通常</v>
      </c>
      <c r="V102" s="153">
        <f>IF(分析!W155&lt;&gt;"",分析!W155,"")</f>
        <v>37.32767762460233</v>
      </c>
      <c r="W102" s="154" t="str">
        <f>IF(分析!AD155&lt;&gt;"",分析!AD155,"")</f>
        <v>下降トレンド▼</v>
      </c>
      <c r="X102" s="155" t="str">
        <f>IF(分析!AE155&lt;&gt;"",分析!AE155,"")</f>
        <v>なし</v>
      </c>
      <c r="Y102" s="156">
        <f>IF(分析!T155&lt;&gt;"",分析!T155,"")</f>
        <v>4</v>
      </c>
      <c r="Z102" s="142" t="str">
        <f>IF(分析!Y155&lt;&gt;"",分析!Y155,"")</f>
        <v>様子見</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1937</v>
      </c>
      <c r="F103" s="148">
        <f>IF(分析!F139&lt;&gt;"",分析!F139,"")</f>
        <v>2080</v>
      </c>
      <c r="G103" s="148">
        <f>IF(分析!H139&lt;&gt;"",分析!H139,"")</f>
        <v>2093.5</v>
      </c>
      <c r="H103" s="148">
        <f>IF(分析!I139&lt;&gt;"",分析!I139,"")</f>
        <v>1927.5</v>
      </c>
      <c r="I103" s="148">
        <f>IF(分析!J139&lt;&gt;"",分析!J139,"")</f>
        <v>4763000</v>
      </c>
      <c r="J103" s="148">
        <f>IF(分析!AB139&lt;&gt;"",分析!AB139,"")</f>
        <v>1511.7067209775967</v>
      </c>
      <c r="K103" s="148">
        <f>IF(分析!AC139&lt;&gt;"",分析!AC139,"")</f>
        <v>1814.891537544695</v>
      </c>
      <c r="L103" s="148">
        <f>IF(分析!K139&lt;&gt;"",分析!K139,"")</f>
        <v>2379.5</v>
      </c>
      <c r="M103" s="143" t="str">
        <f>IF(分析!P139&lt;&gt;"",分析!P139,"")</f>
        <v>増加↑</v>
      </c>
      <c r="N103" s="149">
        <f>IF(分析!O139&lt;&gt;"",分析!O139,"")</f>
        <v>1.9535543779633489</v>
      </c>
      <c r="O103" s="150">
        <f>IF(分析!X139&lt;&gt;"",分析!X139,"")</f>
        <v>25.246273468689651</v>
      </c>
      <c r="P103" s="151">
        <f>IF(分析!L139&lt;&gt;"",分析!L139,"")</f>
        <v>-18.596343769699516</v>
      </c>
      <c r="Q103" s="148">
        <f>IF(分析!S139&lt;&gt;"",分析!S139,"")</f>
        <v>1860</v>
      </c>
      <c r="R103" s="148">
        <f>IF(分析!R139&lt;&gt;"",分析!R139,"")</f>
        <v>2092</v>
      </c>
      <c r="S103" s="143" t="str">
        <f>IF(分析!AA139&lt;&gt;"",分析!AA139,"")</f>
        <v>下落▼</v>
      </c>
      <c r="T103" s="152">
        <f>IF(分析!Z139&lt;&gt;"",分析!Z139,"")</f>
        <v>-6.5605402797877463</v>
      </c>
      <c r="U103" s="143" t="str">
        <f>IF(分析!V139&lt;&gt;"",分析!V139,"")</f>
        <v>通常</v>
      </c>
      <c r="V103" s="153">
        <f>IF(分析!W139&lt;&gt;"",分析!W139,"")</f>
        <v>84.322678843226782</v>
      </c>
      <c r="W103" s="154" t="str">
        <f>IF(分析!AD139&lt;&gt;"",分析!AD139,"")</f>
        <v>上昇トレンド▲</v>
      </c>
      <c r="X103" s="155" t="str">
        <f>IF(分析!AE139&lt;&gt;"",分析!AE139,"")</f>
        <v>なし</v>
      </c>
      <c r="Y103" s="156">
        <f>IF(分析!T139&lt;&gt;"",分析!T139,"")</f>
        <v>9</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525.20000000000005</v>
      </c>
      <c r="F104" s="133">
        <f>IF(分析!F18&lt;&gt;"",分析!F18,"")</f>
        <v>527.79999999999995</v>
      </c>
      <c r="G104" s="133">
        <f>IF(分析!H18&lt;&gt;"",分析!H18,"")</f>
        <v>534.29999999999995</v>
      </c>
      <c r="H104" s="133">
        <f>IF(分析!I18&lt;&gt;"",分析!I18,"")</f>
        <v>518.79999999999995</v>
      </c>
      <c r="I104" s="133">
        <f>IF(分析!J18&lt;&gt;"",分析!J18,"")</f>
        <v>20332400</v>
      </c>
      <c r="J104" s="133">
        <f>IF(分析!AB18&lt;&gt;"",分析!AB18,"")</f>
        <v>2394.3767820773924</v>
      </c>
      <c r="K104" s="133">
        <f>IF(分析!AC18&lt;&gt;"",分析!AC18,"")</f>
        <v>2231.9761620977351</v>
      </c>
      <c r="L104" s="133">
        <f>IF(分析!K18&lt;&gt;"",分析!K18,"")</f>
        <v>760</v>
      </c>
      <c r="M104" s="128" t="str">
        <f>IF(分析!P18&lt;&gt;"",分析!P18,"")</f>
        <v>減少↓</v>
      </c>
      <c r="N104" s="134">
        <f>IF(分析!O18&lt;&gt;"",分析!O18,"")</f>
        <v>0.44604344955126701</v>
      </c>
      <c r="O104" s="135">
        <f>IF(分析!X18&lt;&gt;"",分析!X18,"")</f>
        <v>6.6040220666375262</v>
      </c>
      <c r="P104" s="136">
        <f>IF(分析!L18&lt;&gt;"",分析!L18,"")</f>
        <v>-30.894736842105257</v>
      </c>
      <c r="Q104" s="133">
        <f>IF(分析!S18&lt;&gt;"",分析!S18,"")</f>
        <v>504</v>
      </c>
      <c r="R104" s="133">
        <f>IF(分析!R18&lt;&gt;"",分析!R18,"")</f>
        <v>567</v>
      </c>
      <c r="S104" s="128" t="str">
        <f>IF(分析!AA18&lt;&gt;"",分析!AA18,"")</f>
        <v>下落▼</v>
      </c>
      <c r="T104" s="137">
        <f>IF(分析!Z18&lt;&gt;"",分析!Z18,"")</f>
        <v>-0.17107013875688601</v>
      </c>
      <c r="U104" s="128" t="str">
        <f>IF(分析!V18&lt;&gt;"",分析!V18,"")</f>
        <v>通常</v>
      </c>
      <c r="V104" s="138">
        <f>IF(分析!W18&lt;&gt;"",分析!W18,"")</f>
        <v>69.318181818181813</v>
      </c>
      <c r="W104" s="139" t="str">
        <f>IF(分析!AD18&lt;&gt;"",分析!AD18,"")</f>
        <v>もみ合い→</v>
      </c>
      <c r="X104" s="140" t="str">
        <f>IF(分析!AE18&lt;&gt;"",分析!AE18,"")</f>
        <v>なし</v>
      </c>
      <c r="Y104" s="141">
        <f>IF(分析!T18&lt;&gt;"",分析!T18,"")</f>
        <v>4</v>
      </c>
      <c r="Z104" s="142" t="str">
        <f>IF(分析!Y18&lt;&gt;"",分析!Y18,"")</f>
        <v>様子見</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1077</v>
      </c>
      <c r="F105" s="148">
        <f>IF(分析!F55&lt;&gt;"",分析!F55,"")</f>
        <v>1074</v>
      </c>
      <c r="G105" s="148">
        <f>IF(分析!H55&lt;&gt;"",分析!H55,"")</f>
        <v>1079</v>
      </c>
      <c r="H105" s="148">
        <f>IF(分析!I55&lt;&gt;"",分析!I55,"")</f>
        <v>1067</v>
      </c>
      <c r="I105" s="148">
        <f>IF(分析!J55&lt;&gt;"",分析!J55,"")</f>
        <v>39800</v>
      </c>
      <c r="J105" s="148">
        <f>IF(分析!AB55&lt;&gt;"",分析!AB55,"")</f>
        <v>1373.7861507128309</v>
      </c>
      <c r="K105" s="148">
        <f>IF(分析!AC55&lt;&gt;"",分析!AC55,"")</f>
        <v>1451.7234803337303</v>
      </c>
      <c r="L105" s="148">
        <f>IF(分析!K55&lt;&gt;"",分析!K55,"")</f>
        <v>1168</v>
      </c>
      <c r="M105" s="143" t="str">
        <f>IF(分析!P55&lt;&gt;"",分析!P55,"")</f>
        <v>減少↓</v>
      </c>
      <c r="N105" s="149">
        <f>IF(分析!O55&lt;&gt;"",分析!O55,"")</f>
        <v>0.38491295938104447</v>
      </c>
      <c r="O105" s="150">
        <f>IF(分析!X55&lt;&gt;"",分析!X55,"")</f>
        <v>-5.842629926086147</v>
      </c>
      <c r="P105" s="151">
        <f>IF(分析!L55&lt;&gt;"",分析!L55,"")</f>
        <v>-7.7910958904109595</v>
      </c>
      <c r="Q105" s="148">
        <f>IF(分析!S55&lt;&gt;"",分析!S55,"")</f>
        <v>1034</v>
      </c>
      <c r="R105" s="148">
        <f>IF(分析!R55&lt;&gt;"",分析!R55,"")</f>
        <v>1163</v>
      </c>
      <c r="S105" s="143" t="str">
        <f>IF(分析!AA55&lt;&gt;"",分析!AA55,"")</f>
        <v>下落▼</v>
      </c>
      <c r="T105" s="152">
        <f>IF(分析!Z55&lt;&gt;"",分析!Z55,"")</f>
        <v>-1.1019283746556474</v>
      </c>
      <c r="U105" s="143" t="str">
        <f>IF(分析!V55&lt;&gt;"",分析!V55,"")</f>
        <v>通常</v>
      </c>
      <c r="V105" s="153">
        <f>IF(分析!W55&lt;&gt;"",分析!W55,"")</f>
        <v>50.127768313458255</v>
      </c>
      <c r="W105" s="154" t="str">
        <f>IF(分析!AD55&lt;&gt;"",分析!AD55,"")</f>
        <v>下降トレンド▼</v>
      </c>
      <c r="X105" s="155" t="str">
        <f>IF(分析!AE55&lt;&gt;"",分析!AE55,"")</f>
        <v>なし</v>
      </c>
      <c r="Y105" s="156">
        <f>IF(分析!T55&lt;&gt;"",分析!T55,"")</f>
        <v>2</v>
      </c>
      <c r="Z105" s="142" t="str">
        <f>IF(分析!Y55&lt;&gt;"",分析!Y55,"")</f>
        <v>見送り</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1158</v>
      </c>
      <c r="F106" s="148">
        <f>IF(分析!F167&lt;&gt;"",分析!F167,"")</f>
        <v>1130</v>
      </c>
      <c r="G106" s="148">
        <f>IF(分析!H167&lt;&gt;"",分析!H167,"")</f>
        <v>1164</v>
      </c>
      <c r="H106" s="148">
        <f>IF(分析!I167&lt;&gt;"",分析!I167,"")</f>
        <v>1123</v>
      </c>
      <c r="I106" s="148">
        <f>IF(分析!J167&lt;&gt;"",分析!J167,"")</f>
        <v>2985400</v>
      </c>
      <c r="J106" s="148">
        <f>IF(分析!AB167&lt;&gt;"",分析!AB167,"")</f>
        <v>903.52443991853352</v>
      </c>
      <c r="K106" s="148">
        <f>IF(分析!AC167&lt;&gt;"",分析!AC167,"")</f>
        <v>907.46364719904614</v>
      </c>
      <c r="L106" s="148">
        <f>IF(分析!K167&lt;&gt;"",分析!K167,"")</f>
        <v>1232.5</v>
      </c>
      <c r="M106" s="143" t="str">
        <f>IF(分析!P167&lt;&gt;"",分析!P167,"")</f>
        <v>減少↓</v>
      </c>
      <c r="N106" s="149">
        <f>IF(分析!O167&lt;&gt;"",分析!O167,"")</f>
        <v>0.32815680825899041</v>
      </c>
      <c r="O106" s="150">
        <f>IF(分析!X167&lt;&gt;"",分析!X167,"")</f>
        <v>-11.282621328694631</v>
      </c>
      <c r="P106" s="151">
        <f>IF(分析!L167&lt;&gt;"",分析!L167,"")</f>
        <v>-6.044624746450304</v>
      </c>
      <c r="Q106" s="148">
        <f>IF(分析!S167&lt;&gt;"",分析!S167,"")</f>
        <v>1112</v>
      </c>
      <c r="R106" s="148">
        <f>IF(分析!R167&lt;&gt;"",分析!R167,"")</f>
        <v>1251</v>
      </c>
      <c r="S106" s="143" t="str">
        <f>IF(分析!AA167&lt;&gt;"",分析!AA167,"")</f>
        <v>上昇▲</v>
      </c>
      <c r="T106" s="152">
        <f>IF(分析!Z167&lt;&gt;"",分析!Z167,"")</f>
        <v>1.9815059445178336</v>
      </c>
      <c r="U106" s="143" t="str">
        <f>IF(分析!V167&lt;&gt;"",分析!V167,"")</f>
        <v>通常</v>
      </c>
      <c r="V106" s="153">
        <f>IF(分析!W167&lt;&gt;"",分析!W167,"")</f>
        <v>49.534717251252687</v>
      </c>
      <c r="W106" s="154" t="str">
        <f>IF(分析!AD167&lt;&gt;"",分析!AD167,"")</f>
        <v>上昇トレンド▲</v>
      </c>
      <c r="X106" s="155" t="str">
        <f>IF(分析!AE167&lt;&gt;"",分析!AE167,"")</f>
        <v>なし</v>
      </c>
      <c r="Y106" s="156">
        <f>IF(分析!T167&lt;&gt;"",分析!T167,"")</f>
        <v>3</v>
      </c>
      <c r="Z106" s="142" t="str">
        <f>IF(分析!Y167&lt;&gt;"",分析!Y167,"")</f>
        <v>様子見</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1858</v>
      </c>
      <c r="F107" s="133">
        <f>IF(分析!F158&lt;&gt;"",分析!F158,"")</f>
        <v>1860</v>
      </c>
      <c r="G107" s="133">
        <f>IF(分析!H158&lt;&gt;"",分析!H158,"")</f>
        <v>1875</v>
      </c>
      <c r="H107" s="133">
        <f>IF(分析!I158&lt;&gt;"",分析!I158,"")</f>
        <v>1845</v>
      </c>
      <c r="I107" s="133">
        <f>IF(分析!J158&lt;&gt;"",分析!J158,"")</f>
        <v>279300</v>
      </c>
      <c r="J107" s="133">
        <f>IF(分析!AB158&lt;&gt;"",分析!AB158,"")</f>
        <v>1109.0865580448065</v>
      </c>
      <c r="K107" s="133">
        <f>IF(分析!AC158&lt;&gt;"",分析!AC158,"")</f>
        <v>1084.3718712753273</v>
      </c>
      <c r="L107" s="133">
        <f>IF(分析!K158&lt;&gt;"",分析!K158,"")</f>
        <v>2254</v>
      </c>
      <c r="M107" s="128" t="str">
        <f>IF(分析!P158&lt;&gt;"",分析!P158,"")</f>
        <v>減少↓</v>
      </c>
      <c r="N107" s="134">
        <f>IF(分析!O158&lt;&gt;"",分析!O158,"")</f>
        <v>0.22024382166006909</v>
      </c>
      <c r="O107" s="135">
        <f>IF(分析!X158&lt;&gt;"",分析!X158,"")</f>
        <v>-50.615494608718336</v>
      </c>
      <c r="P107" s="136">
        <f>IF(分析!L158&lt;&gt;"",分析!L158,"")</f>
        <v>-17.56876663708962</v>
      </c>
      <c r="Q107" s="133">
        <f>IF(分析!S158&lt;&gt;"",分析!S158,"")</f>
        <v>1784</v>
      </c>
      <c r="R107" s="133">
        <f>IF(分析!R158&lt;&gt;"",分析!R158,"")</f>
        <v>2007</v>
      </c>
      <c r="S107" s="128" t="str">
        <f>IF(分析!AA158&lt;&gt;"",分析!AA158,"")</f>
        <v>下落▼</v>
      </c>
      <c r="T107" s="137">
        <f>IF(分析!Z158&lt;&gt;"",分析!Z158,"")</f>
        <v>-0.58855002675227397</v>
      </c>
      <c r="U107" s="128" t="str">
        <f>IF(分析!V158&lt;&gt;"",分析!V158,"")</f>
        <v>通常</v>
      </c>
      <c r="V107" s="138">
        <f>IF(分析!W158&lt;&gt;"",分析!W158,"")</f>
        <v>46.756383712905453</v>
      </c>
      <c r="W107" s="139" t="str">
        <f>IF(分析!AD158&lt;&gt;"",分析!AD158,"")</f>
        <v>パーフェクト▲</v>
      </c>
      <c r="X107" s="140" t="str">
        <f>IF(分析!AE158&lt;&gt;"",分析!AE158,"")</f>
        <v>なし</v>
      </c>
      <c r="Y107" s="141">
        <f>IF(分析!T158&lt;&gt;"",分析!T158,"")</f>
        <v>2</v>
      </c>
      <c r="Z107" s="142" t="str">
        <f>IF(分析!Y158&lt;&gt;"",分析!Y158,"")</f>
        <v>見送り</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1763</v>
      </c>
      <c r="F108" s="133">
        <f>IF(分析!F94&lt;&gt;"",分析!F94,"")</f>
        <v>1820</v>
      </c>
      <c r="G108" s="133">
        <f>IF(分析!H94&lt;&gt;"",分析!H94,"")</f>
        <v>1920</v>
      </c>
      <c r="H108" s="133">
        <f>IF(分析!I94&lt;&gt;"",分析!I94,"")</f>
        <v>1757</v>
      </c>
      <c r="I108" s="133">
        <f>IF(分析!J94&lt;&gt;"",分析!J94,"")</f>
        <v>3397500</v>
      </c>
      <c r="J108" s="133">
        <f>IF(分析!AB94&lt;&gt;"",分析!AB94,"")</f>
        <v>15741.756619144602</v>
      </c>
      <c r="K108" s="133">
        <f>IF(分析!AC94&lt;&gt;"",分析!AC94,"")</f>
        <v>17250.601907032171</v>
      </c>
      <c r="L108" s="133">
        <f>IF(分析!K94&lt;&gt;"",分析!K94,"")</f>
        <v>3620</v>
      </c>
      <c r="M108" s="128" t="str">
        <f>IF(分析!P94&lt;&gt;"",分析!P94,"")</f>
        <v>普通→</v>
      </c>
      <c r="N108" s="134">
        <f>IF(分析!O94&lt;&gt;"",分析!O94,"")</f>
        <v>1.0871165094520741</v>
      </c>
      <c r="O108" s="135">
        <f>IF(分析!X94&lt;&gt;"",分析!X94,"")</f>
        <v>-167.65458786255249</v>
      </c>
      <c r="P108" s="136">
        <f>IF(分析!L94&lt;&gt;"",分析!L94,"")</f>
        <v>-51.298342541436462</v>
      </c>
      <c r="Q108" s="133">
        <f>IF(分析!S94&lt;&gt;"",分析!S94,"")</f>
        <v>1692</v>
      </c>
      <c r="R108" s="133">
        <f>IF(分析!R94&lt;&gt;"",分析!R94,"")</f>
        <v>1904</v>
      </c>
      <c r="S108" s="128" t="str">
        <f>IF(分析!AA94&lt;&gt;"",分析!AA94,"")</f>
        <v>上昇▲</v>
      </c>
      <c r="T108" s="137">
        <f>IF(分析!Z94&lt;&gt;"",分析!Z94,"")</f>
        <v>18.72053872053872</v>
      </c>
      <c r="U108" s="128" t="str">
        <f>IF(分析!V94&lt;&gt;"",分析!V94,"")</f>
        <v>通常</v>
      </c>
      <c r="V108" s="138">
        <f>IF(分析!W94&lt;&gt;"",分析!W94,"")</f>
        <v>21.258134490238618</v>
      </c>
      <c r="W108" s="139" t="str">
        <f>IF(分析!AD94&lt;&gt;"",分析!AD94,"")</f>
        <v>下降トレンド▼</v>
      </c>
      <c r="X108" s="140" t="str">
        <f>IF(分析!AE94&lt;&gt;"",分析!AE94,"")</f>
        <v>なし</v>
      </c>
      <c r="Y108" s="141">
        <f>IF(分析!T94&lt;&gt;"",分析!T94,"")</f>
        <v>3</v>
      </c>
      <c r="Z108" s="142" t="str">
        <f>IF(分析!Y94&lt;&gt;"",分析!Y94,"")</f>
        <v>様子見</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1328</v>
      </c>
      <c r="F109" s="133">
        <f>IF(分析!F38&lt;&gt;"",分析!F38,"")</f>
        <v>1304</v>
      </c>
      <c r="G109" s="133">
        <f>IF(分析!H38&lt;&gt;"",分析!H38,"")</f>
        <v>1340</v>
      </c>
      <c r="H109" s="133">
        <f>IF(分析!I38&lt;&gt;"",分析!I38,"")</f>
        <v>1304</v>
      </c>
      <c r="I109" s="133">
        <f>IF(分析!J38&lt;&gt;"",分析!J38,"")</f>
        <v>53100</v>
      </c>
      <c r="J109" s="133">
        <f>IF(分析!AB38&lt;&gt;"",分析!AB38,"")</f>
        <v>1522.0162932790222</v>
      </c>
      <c r="K109" s="133">
        <f>IF(分析!AC38&lt;&gt;"",分析!AC38,"")</f>
        <v>1541.8104886769959</v>
      </c>
      <c r="L109" s="133">
        <f>IF(分析!K38&lt;&gt;"",分析!K38,"")</f>
        <v>1332</v>
      </c>
      <c r="M109" s="128" t="str">
        <f>IF(分析!P38&lt;&gt;"",分析!P38,"")</f>
        <v>減少↓</v>
      </c>
      <c r="N109" s="134">
        <f>IF(分析!O38&lt;&gt;"",分析!O38,"")</f>
        <v>0.36645962732919257</v>
      </c>
      <c r="O109" s="135">
        <f>IF(分析!X38&lt;&gt;"",分析!X38,"")</f>
        <v>3.5119865944384401</v>
      </c>
      <c r="P109" s="136">
        <f>IF(分析!L38&lt;&gt;"",分析!L38,"")</f>
        <v>-0.3003003003003003</v>
      </c>
      <c r="Q109" s="133">
        <f>IF(分析!S38&lt;&gt;"",分析!S38,"")</f>
        <v>1275</v>
      </c>
      <c r="R109" s="133">
        <f>IF(分析!R38&lt;&gt;"",分析!R38,"")</f>
        <v>1434</v>
      </c>
      <c r="S109" s="128" t="str">
        <f>IF(分析!AA38&lt;&gt;"",分析!AA38,"")</f>
        <v>上昇▲</v>
      </c>
      <c r="T109" s="137">
        <f>IF(分析!Z38&lt;&gt;"",分析!Z38,"")</f>
        <v>0.22641509433962265</v>
      </c>
      <c r="U109" s="128" t="str">
        <f>IF(分析!V38&lt;&gt;"",分析!V38,"")</f>
        <v>年初来高値更新●</v>
      </c>
      <c r="V109" s="138">
        <f>IF(分析!W38&lt;&gt;"",分析!W38,"")</f>
        <v>59.915611814345993</v>
      </c>
      <c r="W109" s="139" t="str">
        <f>IF(分析!AD38&lt;&gt;"",分析!AD38,"")</f>
        <v>下降トレンド▼</v>
      </c>
      <c r="X109" s="140" t="str">
        <f>IF(分析!AE38&lt;&gt;"",分析!AE38,"")</f>
        <v>なし</v>
      </c>
      <c r="Y109" s="141">
        <f>IF(分析!T38&lt;&gt;"",分析!T38,"")</f>
        <v>10</v>
      </c>
      <c r="Z109" s="142" t="str">
        <f>IF(分析!Y38&lt;&gt;"",分析!Y38,"")</f>
        <v>○買い候補</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1834.5</v>
      </c>
      <c r="F110" s="133">
        <f>IF(分析!F174&lt;&gt;"",分析!F174,"")</f>
        <v>1829</v>
      </c>
      <c r="G110" s="133">
        <f>IF(分析!H174&lt;&gt;"",分析!H174,"")</f>
        <v>1845</v>
      </c>
      <c r="H110" s="133">
        <f>IF(分析!I174&lt;&gt;"",分析!I174,"")</f>
        <v>1826.5</v>
      </c>
      <c r="I110" s="133">
        <f>IF(分析!J174&lt;&gt;"",分析!J174,"")</f>
        <v>125800</v>
      </c>
      <c r="J110" s="133">
        <f>IF(分析!AB174&lt;&gt;"",分析!AB174,"")</f>
        <v>2424.3350305498975</v>
      </c>
      <c r="K110" s="133">
        <f>IF(分析!AC174&lt;&gt;"",分析!AC174,"")</f>
        <v>2498.3337306317035</v>
      </c>
      <c r="L110" s="133">
        <f>IF(分析!K174&lt;&gt;"",分析!K174,"")</f>
        <v>1922.5</v>
      </c>
      <c r="M110" s="128" t="str">
        <f>IF(分析!P174&lt;&gt;"",分析!P174,"")</f>
        <v>減少↓</v>
      </c>
      <c r="N110" s="134">
        <f>IF(分析!O174&lt;&gt;"",分析!O174,"")</f>
        <v>0.25732286041564389</v>
      </c>
      <c r="O110" s="135">
        <f>IF(分析!X174&lt;&gt;"",分析!X174,"")</f>
        <v>9.9421228392100147</v>
      </c>
      <c r="P110" s="136">
        <f>IF(分析!L174&lt;&gt;"",分析!L174,"")</f>
        <v>-4.5773732119635886</v>
      </c>
      <c r="Q110" s="133">
        <f>IF(分析!S174&lt;&gt;"",分析!S174,"")</f>
        <v>1761</v>
      </c>
      <c r="R110" s="133">
        <f>IF(分析!R174&lt;&gt;"",分析!R174,"")</f>
        <v>1981</v>
      </c>
      <c r="S110" s="128" t="str">
        <f>IF(分析!AA174&lt;&gt;"",分析!AA174,"")</f>
        <v>上昇▲</v>
      </c>
      <c r="T110" s="137">
        <f>IF(分析!Z174&lt;&gt;"",分析!Z174,"")</f>
        <v>0.10914051841746249</v>
      </c>
      <c r="U110" s="128" t="str">
        <f>IF(分析!V174&lt;&gt;"",分析!V174,"")</f>
        <v>高値圏</v>
      </c>
      <c r="V110" s="138">
        <f>IF(分析!W174&lt;&gt;"",分析!W174,"")</f>
        <v>79.625292740046831</v>
      </c>
      <c r="W110" s="139" t="str">
        <f>IF(分析!AD174&lt;&gt;"",分析!AD174,"")</f>
        <v>下降トレンド▼</v>
      </c>
      <c r="X110" s="140" t="str">
        <f>IF(分析!AE174&lt;&gt;"",分析!AE174,"")</f>
        <v>なし</v>
      </c>
      <c r="Y110" s="141">
        <f>IF(分析!T174&lt;&gt;"",分析!T174,"")</f>
        <v>6</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8426</v>
      </c>
      <c r="F111" s="133">
        <f>IF(分析!F114&lt;&gt;"",分析!F114,"")</f>
        <v>8131</v>
      </c>
      <c r="G111" s="133">
        <f>IF(分析!H114&lt;&gt;"",分析!H114,"")</f>
        <v>8470</v>
      </c>
      <c r="H111" s="133">
        <f>IF(分析!I114&lt;&gt;"",分析!I114,"")</f>
        <v>7933</v>
      </c>
      <c r="I111" s="133">
        <f>IF(分析!J114&lt;&gt;"",分析!J114,"")</f>
        <v>1317600</v>
      </c>
      <c r="J111" s="133">
        <f>IF(分析!AB114&lt;&gt;"",分析!AB114,"")</f>
        <v>1776.7851323828918</v>
      </c>
      <c r="K111" s="133">
        <f>IF(分析!AC114&lt;&gt;"",分析!AC114,"")</f>
        <v>1805.6090584028595</v>
      </c>
      <c r="L111" s="133">
        <f>IF(分析!K114&lt;&gt;"",分析!K114,"")</f>
        <v>8943</v>
      </c>
      <c r="M111" s="128" t="str">
        <f>IF(分析!P114&lt;&gt;"",分析!P114,"")</f>
        <v>減少↓</v>
      </c>
      <c r="N111" s="134">
        <f>IF(分析!O114&lt;&gt;"",分析!O114,"")</f>
        <v>0.76030005770340447</v>
      </c>
      <c r="O111" s="135">
        <f>IF(分析!X114&lt;&gt;"",分析!X114,"")</f>
        <v>-108.80626614498578</v>
      </c>
      <c r="P111" s="136">
        <f>IF(分析!L114&lt;&gt;"",分析!L114,"")</f>
        <v>-5.7810578105781056</v>
      </c>
      <c r="Q111" s="133">
        <f>IF(分析!S114&lt;&gt;"",分析!S114,"")</f>
        <v>8089</v>
      </c>
      <c r="R111" s="133">
        <f>IF(分析!R114&lt;&gt;"",分析!R114,"")</f>
        <v>9100</v>
      </c>
      <c r="S111" s="128" t="str">
        <f>IF(分析!AA114&lt;&gt;"",分析!AA114,"")</f>
        <v>上昇▲</v>
      </c>
      <c r="T111" s="137">
        <f>IF(分析!Z114&lt;&gt;"",分析!Z114,"")</f>
        <v>13.176628609805238</v>
      </c>
      <c r="U111" s="128" t="str">
        <f>IF(分析!V114&lt;&gt;"",分析!V114,"")</f>
        <v>通常</v>
      </c>
      <c r="V111" s="138">
        <f>IF(分析!W114&lt;&gt;"",分析!W114,"")</f>
        <v>44.970565651394935</v>
      </c>
      <c r="W111" s="139" t="str">
        <f>IF(分析!AD114&lt;&gt;"",分析!AD114,"")</f>
        <v>上昇トレンド▲</v>
      </c>
      <c r="X111" s="140" t="str">
        <f>IF(分析!AE114&lt;&gt;"",分析!AE114,"")</f>
        <v>なし</v>
      </c>
      <c r="Y111" s="141">
        <f>IF(分析!T114&lt;&gt;"",分析!T114,"")</f>
        <v>5</v>
      </c>
      <c r="Z111" s="142" t="str">
        <f>IF(分析!Y114&lt;&gt;"",分析!Y114,"")</f>
        <v>様子見</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2105</v>
      </c>
      <c r="F112" s="133">
        <f>IF(分析!F104&lt;&gt;"",分析!F104,"")</f>
        <v>2025</v>
      </c>
      <c r="G112" s="133">
        <f>IF(分析!H104&lt;&gt;"",分析!H104,"")</f>
        <v>2110</v>
      </c>
      <c r="H112" s="133">
        <f>IF(分析!I104&lt;&gt;"",分析!I104,"")</f>
        <v>2011</v>
      </c>
      <c r="I112" s="133">
        <f>IF(分析!J104&lt;&gt;"",分析!J104,"")</f>
        <v>1282600</v>
      </c>
      <c r="J112" s="133">
        <f>IF(分析!AB104&lt;&gt;"",分析!AB104,"")</f>
        <v>2020.1792260692462</v>
      </c>
      <c r="K112" s="133">
        <f>IF(分析!AC104&lt;&gt;"",分析!AC104,"")</f>
        <v>1935.0202622169236</v>
      </c>
      <c r="L112" s="133">
        <f>IF(分析!K104&lt;&gt;"",分析!K104,"")</f>
        <v>8760</v>
      </c>
      <c r="M112" s="128" t="str">
        <f>IF(分析!P104&lt;&gt;"",分析!P104,"")</f>
        <v>減少↓</v>
      </c>
      <c r="N112" s="134">
        <f>IF(分析!O104&lt;&gt;"",分析!O104,"")</f>
        <v>0.68253900679026802</v>
      </c>
      <c r="O112" s="135">
        <f>IF(分析!X104&lt;&gt;"",分析!X104,"")</f>
        <v>-20.490357786807635</v>
      </c>
      <c r="P112" s="136">
        <f>IF(分析!L104&lt;&gt;"",分析!L104,"")</f>
        <v>-75.970319634703202</v>
      </c>
      <c r="Q112" s="133">
        <f>IF(分析!S104&lt;&gt;"",分析!S104,"")</f>
        <v>2021</v>
      </c>
      <c r="R112" s="133">
        <f>IF(分析!R104&lt;&gt;"",分析!R104,"")</f>
        <v>2273</v>
      </c>
      <c r="S112" s="128" t="str">
        <f>IF(分析!AA104&lt;&gt;"",分析!AA104,"")</f>
        <v>上昇▲</v>
      </c>
      <c r="T112" s="137">
        <f>IF(分析!Z104&lt;&gt;"",分析!Z104,"")</f>
        <v>10.964681075382183</v>
      </c>
      <c r="U112" s="128" t="str">
        <f>IF(分析!V104&lt;&gt;"",分析!V104,"")</f>
        <v>通常</v>
      </c>
      <c r="V112" s="138">
        <f>IF(分析!W104&lt;&gt;"",分析!W104,"")</f>
        <v>49.596260093497662</v>
      </c>
      <c r="W112" s="139" t="str">
        <f>IF(分析!AD104&lt;&gt;"",分析!AD104,"")</f>
        <v>パーフェクト▲</v>
      </c>
      <c r="X112" s="140" t="str">
        <f>IF(分析!AE104&lt;&gt;"",分析!AE104,"")</f>
        <v>なし</v>
      </c>
      <c r="Y112" s="141">
        <f>IF(分析!T104&lt;&gt;"",分析!T104,"")</f>
        <v>3</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714</v>
      </c>
      <c r="F113" s="133">
        <f>IF(分析!F164&lt;&gt;"",分析!F164,"")</f>
        <v>706</v>
      </c>
      <c r="G113" s="133">
        <f>IF(分析!H164&lt;&gt;"",分析!H164,"")</f>
        <v>716</v>
      </c>
      <c r="H113" s="133">
        <f>IF(分析!I164&lt;&gt;"",分析!I164,"")</f>
        <v>706</v>
      </c>
      <c r="I113" s="133">
        <f>IF(分析!J164&lt;&gt;"",分析!J164,"")</f>
        <v>31600</v>
      </c>
      <c r="J113" s="133">
        <f>IF(分析!AB164&lt;&gt;"",分析!AB164,"")</f>
        <v>2315.7331975560078</v>
      </c>
      <c r="K113" s="133">
        <f>IF(分析!AC164&lt;&gt;"",分析!AC164,"")</f>
        <v>2334.0190703218109</v>
      </c>
      <c r="L113" s="133">
        <f>IF(分析!K164&lt;&gt;"",分析!K164,"")</f>
        <v>995</v>
      </c>
      <c r="M113" s="128" t="str">
        <f>IF(分析!P164&lt;&gt;"",分析!P164,"")</f>
        <v>減少↓</v>
      </c>
      <c r="N113" s="134">
        <f>IF(分析!O164&lt;&gt;"",分析!O164,"")</f>
        <v>0.84946236559139787</v>
      </c>
      <c r="O113" s="135">
        <f>IF(分析!X164&lt;&gt;"",分析!X164,"")</f>
        <v>-6.0150155827715253</v>
      </c>
      <c r="P113" s="136">
        <f>IF(分析!L164&lt;&gt;"",分析!L164,"")</f>
        <v>-28.241206030150757</v>
      </c>
      <c r="Q113" s="133">
        <f>IF(分析!S164&lt;&gt;"",分析!S164,"")</f>
        <v>685</v>
      </c>
      <c r="R113" s="133">
        <f>IF(分析!R164&lt;&gt;"",分析!R164,"")</f>
        <v>771</v>
      </c>
      <c r="S113" s="128" t="str">
        <f>IF(分析!AA164&lt;&gt;"",分析!AA164,"")</f>
        <v>上昇▲</v>
      </c>
      <c r="T113" s="137">
        <f>IF(分析!Z164&lt;&gt;"",分析!Z164,"")</f>
        <v>1.2765957446808509</v>
      </c>
      <c r="U113" s="128" t="str">
        <f>IF(分析!V164&lt;&gt;"",分析!V164,"")</f>
        <v>通常</v>
      </c>
      <c r="V113" s="138">
        <f>IF(分析!W164&lt;&gt;"",分析!W164,"")</f>
        <v>50.436534586971128</v>
      </c>
      <c r="W113" s="139" t="str">
        <f>IF(分析!AD164&lt;&gt;"",分析!AD164,"")</f>
        <v>下降トレンド▼</v>
      </c>
      <c r="X113" s="140" t="str">
        <f>IF(分析!AE164&lt;&gt;"",分析!AE164,"")</f>
        <v>なし</v>
      </c>
      <c r="Y113" s="141">
        <f>IF(分析!T164&lt;&gt;"",分析!T164,"")</f>
        <v>0</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7873</v>
      </c>
      <c r="F114" s="133">
        <f>IF(分析!F78&lt;&gt;"",分析!F78,"")</f>
        <v>7351</v>
      </c>
      <c r="G114" s="133">
        <f>IF(分析!H78&lt;&gt;"",分析!H78,"")</f>
        <v>7907</v>
      </c>
      <c r="H114" s="133">
        <f>IF(分析!I78&lt;&gt;"",分析!I78,"")</f>
        <v>7305</v>
      </c>
      <c r="I114" s="133">
        <f>IF(分析!J78&lt;&gt;"",分析!J78,"")</f>
        <v>30347200</v>
      </c>
      <c r="J114" s="133">
        <f>IF(分析!AB78&lt;&gt;"",分析!AB78,"")</f>
        <v>5659.2769857433786</v>
      </c>
      <c r="K114" s="133">
        <f>IF(分析!AC78&lt;&gt;"",分析!AC78,"")</f>
        <v>5441.9427890345632</v>
      </c>
      <c r="L114" s="133">
        <f>IF(分析!K78&lt;&gt;"",分析!K78,"")</f>
        <v>12895</v>
      </c>
      <c r="M114" s="128" t="str">
        <f>IF(分析!P78&lt;&gt;"",分析!P78,"")</f>
        <v>減少↓</v>
      </c>
      <c r="N114" s="134">
        <f>IF(分析!O78&lt;&gt;"",分析!O78,"")</f>
        <v>0.93434245471176802</v>
      </c>
      <c r="O114" s="135">
        <f>IF(分析!X78&lt;&gt;"",分析!X78,"")</f>
        <v>-394.05014149872932</v>
      </c>
      <c r="P114" s="136">
        <f>IF(分析!L78&lt;&gt;"",分析!L78,"")</f>
        <v>-38.945327646374558</v>
      </c>
      <c r="Q114" s="133">
        <f>IF(分析!S78&lt;&gt;"",分析!S78,"")</f>
        <v>7558</v>
      </c>
      <c r="R114" s="133">
        <f>IF(分析!R78&lt;&gt;"",分析!R78,"")</f>
        <v>8503</v>
      </c>
      <c r="S114" s="128" t="str">
        <f>IF(分析!AA78&lt;&gt;"",分析!AA78,"")</f>
        <v>上昇▲</v>
      </c>
      <c r="T114" s="137">
        <f>IF(分析!Z78&lt;&gt;"",分析!Z78,"")</f>
        <v>9.9427454266163942</v>
      </c>
      <c r="U114" s="128" t="str">
        <f>IF(分析!V78&lt;&gt;"",分析!V78,"")</f>
        <v>通常</v>
      </c>
      <c r="V114" s="138">
        <f>IF(分析!W78&lt;&gt;"",分析!W78,"")</f>
        <v>34.524776604386687</v>
      </c>
      <c r="W114" s="139" t="str">
        <f>IF(分析!AD78&lt;&gt;"",分析!AD78,"")</f>
        <v>パーフェクト▲</v>
      </c>
      <c r="X114" s="140" t="str">
        <f>IF(分析!AE78&lt;&gt;"",分析!AE78,"")</f>
        <v>なし</v>
      </c>
      <c r="Y114" s="141">
        <f>IF(分析!T78&lt;&gt;"",分析!T78,"")</f>
        <v>4</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5443</v>
      </c>
      <c r="F115" s="148">
        <f>IF(分析!F107&lt;&gt;"",分析!F107,"")</f>
        <v>5318</v>
      </c>
      <c r="G115" s="148">
        <f>IF(分析!H107&lt;&gt;"",分析!H107,"")</f>
        <v>5482</v>
      </c>
      <c r="H115" s="148">
        <f>IF(分析!I107&lt;&gt;"",分析!I107,"")</f>
        <v>5312</v>
      </c>
      <c r="I115" s="148">
        <f>IF(分析!J107&lt;&gt;"",分析!J107,"")</f>
        <v>980200</v>
      </c>
      <c r="J115" s="148">
        <f>IF(分析!AB107&lt;&gt;"",分析!AB107,"")</f>
        <v>3565.9928716904269</v>
      </c>
      <c r="K115" s="148">
        <f>IF(分析!AC107&lt;&gt;"",分析!AC107,"")</f>
        <v>3610.2574493444567</v>
      </c>
      <c r="L115" s="148">
        <f>IF(分析!K107&lt;&gt;"",分析!K107,"")</f>
        <v>7225</v>
      </c>
      <c r="M115" s="143" t="str">
        <f>IF(分析!P107&lt;&gt;"",分析!P107,"")</f>
        <v>減少↓</v>
      </c>
      <c r="N115" s="149">
        <f>IF(分析!O107&lt;&gt;"",分析!O107,"")</f>
        <v>0.41624201657833942</v>
      </c>
      <c r="O115" s="150">
        <f>IF(分析!X107&lt;&gt;"",分析!X107,"")</f>
        <v>21.449462464031058</v>
      </c>
      <c r="P115" s="151">
        <f>IF(分析!L107&lt;&gt;"",分析!L107,"")</f>
        <v>-24.664359861591695</v>
      </c>
      <c r="Q115" s="148">
        <f>IF(分析!S107&lt;&gt;"",分析!S107,"")</f>
        <v>5225</v>
      </c>
      <c r="R115" s="148">
        <f>IF(分析!R107&lt;&gt;"",分析!R107,"")</f>
        <v>5878</v>
      </c>
      <c r="S115" s="143" t="str">
        <f>IF(分析!AA107&lt;&gt;"",分析!AA107,"")</f>
        <v>上昇▲</v>
      </c>
      <c r="T115" s="152">
        <f>IF(分析!Z107&lt;&gt;"",分析!Z107,"")</f>
        <v>3.7948131197559118</v>
      </c>
      <c r="U115" s="143" t="str">
        <f>IF(分析!V107&lt;&gt;"",分析!V107,"")</f>
        <v>通常</v>
      </c>
      <c r="V115" s="153">
        <f>IF(分析!W107&lt;&gt;"",分析!W107,"")</f>
        <v>51.873884592504467</v>
      </c>
      <c r="W115" s="154" t="str">
        <f>IF(分析!AD107&lt;&gt;"",分析!AD107,"")</f>
        <v>上昇トレンド▲</v>
      </c>
      <c r="X115" s="155" t="str">
        <f>IF(分析!AE107&lt;&gt;"",分析!AE107,"")</f>
        <v>なし</v>
      </c>
      <c r="Y115" s="156">
        <f>IF(分析!T107&lt;&gt;"",分析!T107,"")</f>
        <v>6</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3380</v>
      </c>
      <c r="F116" s="148">
        <f>IF(分析!F105&lt;&gt;"",分析!F105,"")</f>
        <v>3415</v>
      </c>
      <c r="G116" s="148">
        <f>IF(分析!H105&lt;&gt;"",分析!H105,"")</f>
        <v>3500</v>
      </c>
      <c r="H116" s="148">
        <f>IF(分析!I105&lt;&gt;"",分析!I105,"")</f>
        <v>3215</v>
      </c>
      <c r="I116" s="148">
        <f>IF(分析!J105&lt;&gt;"",分析!J105,"")</f>
        <v>745700</v>
      </c>
      <c r="J116" s="148">
        <f>IF(分析!AB105&lt;&gt;"",分析!AB105,"")</f>
        <v>17156.181262729122</v>
      </c>
      <c r="K116" s="148">
        <f>IF(分析!AC105&lt;&gt;"",分析!AC105,"")</f>
        <v>17559.255065554229</v>
      </c>
      <c r="L116" s="148">
        <f>IF(分析!K105&lt;&gt;"",分析!K105,"")</f>
        <v>9480</v>
      </c>
      <c r="M116" s="143" t="str">
        <f>IF(分析!P105&lt;&gt;"",分析!P105,"")</f>
        <v>減少↓</v>
      </c>
      <c r="N116" s="149">
        <f>IF(分析!O105&lt;&gt;"",分析!O105,"")</f>
        <v>0.90845962672384384</v>
      </c>
      <c r="O116" s="150">
        <f>IF(分析!X105&lt;&gt;"",分析!X105,"")</f>
        <v>-477.24323452966883</v>
      </c>
      <c r="P116" s="151">
        <f>IF(分析!L105&lt;&gt;"",分析!L105,"")</f>
        <v>-64.345991561181435</v>
      </c>
      <c r="Q116" s="148">
        <f>IF(分析!S105&lt;&gt;"",分析!S105,"")</f>
        <v>3245</v>
      </c>
      <c r="R116" s="148">
        <f>IF(分析!R105&lt;&gt;"",分析!R105,"")</f>
        <v>3650</v>
      </c>
      <c r="S116" s="143" t="str">
        <f>IF(分析!AA105&lt;&gt;"",分析!AA105,"")</f>
        <v>上昇▲</v>
      </c>
      <c r="T116" s="152">
        <f>IF(分析!Z105&lt;&gt;"",分析!Z105,"")</f>
        <v>15.005103776794829</v>
      </c>
      <c r="U116" s="143" t="str">
        <f>IF(分析!V105&lt;&gt;"",分析!V105,"")</f>
        <v>通常</v>
      </c>
      <c r="V116" s="153">
        <f>IF(分析!W105&lt;&gt;"",分析!W105,"")</f>
        <v>38.805828016379394</v>
      </c>
      <c r="W116" s="154" t="str">
        <f>IF(分析!AD105&lt;&gt;"",分析!AD105,"")</f>
        <v>下降トレンド▼</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5740</v>
      </c>
      <c r="F117" s="148">
        <f>IF(分析!F203&lt;&gt;"",分析!F203,"")</f>
        <v>5750</v>
      </c>
      <c r="G117" s="148">
        <f>IF(分析!H203&lt;&gt;"",分析!H203,"")</f>
        <v>5770</v>
      </c>
      <c r="H117" s="148">
        <f>IF(分析!I203&lt;&gt;"",分析!I203,"")</f>
        <v>5710</v>
      </c>
      <c r="I117" s="148">
        <f>IF(分析!J203&lt;&gt;"",分析!J203,"")</f>
        <v>44800</v>
      </c>
      <c r="J117" s="148">
        <f>IF(分析!AB203&lt;&gt;"",分析!AB203,"")</f>
        <v>6150.2592165898623</v>
      </c>
      <c r="K117" s="148">
        <f>IF(分析!AC203&lt;&gt;"",分析!AC203,"")</f>
        <v>6151.2502979737765</v>
      </c>
      <c r="L117" s="148">
        <f>IF(分析!K203&lt;&gt;"",分析!K203,"")</f>
        <v>7490</v>
      </c>
      <c r="M117" s="143" t="str">
        <f>IF(分析!P203&lt;&gt;"",分析!P203,"")</f>
        <v>減少↓</v>
      </c>
      <c r="N117" s="149">
        <f>IF(分析!O203&lt;&gt;"",分析!O203,"")</f>
        <v>0.37159920371599203</v>
      </c>
      <c r="O117" s="150">
        <f>IF(分析!X203&lt;&gt;"",分析!X203,"")</f>
        <v>-21.646977579117447</v>
      </c>
      <c r="P117" s="151">
        <f>IF(分析!L203&lt;&gt;"",分析!L203,"")</f>
        <v>-23.364485981308412</v>
      </c>
      <c r="Q117" s="148">
        <f>IF(分析!S203&lt;&gt;"",分析!S203,"")</f>
        <v>5510</v>
      </c>
      <c r="R117" s="148">
        <f>IF(分析!R203&lt;&gt;"",分析!R203,"")</f>
        <v>6199</v>
      </c>
      <c r="S117" s="143" t="str">
        <f>IF(分析!AA203&lt;&gt;"",分析!AA203,"")</f>
        <v>下落▼</v>
      </c>
      <c r="T117" s="152">
        <f>IF(分析!Z203&lt;&gt;"",分析!Z203,"")</f>
        <v>-0.69204152249134954</v>
      </c>
      <c r="U117" s="143" t="str">
        <f>IF(分析!V203&lt;&gt;"",分析!V203,"")</f>
        <v>通常</v>
      </c>
      <c r="V117" s="153">
        <f>IF(分析!W203&lt;&gt;"",分析!W203,"")</f>
        <v>50.918196994991654</v>
      </c>
      <c r="W117" s="154" t="str">
        <f>IF(分析!AD203&lt;&gt;"",分析!AD203,"")</f>
        <v>下降トレンド▼</v>
      </c>
      <c r="X117" s="155" t="str">
        <f>IF(分析!AE203&lt;&gt;"",分析!AE203,"")</f>
        <v>なし</v>
      </c>
      <c r="Y117" s="156">
        <f>IF(分析!T203&lt;&gt;"",分析!T203,"")</f>
        <v>2</v>
      </c>
      <c r="Z117" s="142" t="str">
        <f>IF(分析!Y203&lt;&gt;"",分析!Y203,"")</f>
        <v>見送り</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6472</v>
      </c>
      <c r="F118" s="148">
        <f>IF(分析!F79&lt;&gt;"",分析!F79,"")</f>
        <v>6487</v>
      </c>
      <c r="G118" s="148">
        <f>IF(分析!H79&lt;&gt;"",分析!H79,"")</f>
        <v>6495</v>
      </c>
      <c r="H118" s="148">
        <f>IF(分析!I79&lt;&gt;"",分析!I79,"")</f>
        <v>6327</v>
      </c>
      <c r="I118" s="148">
        <f>IF(分析!J79&lt;&gt;"",分析!J79,"")</f>
        <v>5721900</v>
      </c>
      <c r="J118" s="148">
        <f>IF(分析!AB79&lt;&gt;"",分析!AB79,"")</f>
        <v>5770.4959266802416</v>
      </c>
      <c r="K118" s="148">
        <f>IF(分析!AC79&lt;&gt;"",分析!AC79,"")</f>
        <v>5694.9845053635245</v>
      </c>
      <c r="L118" s="148">
        <f>IF(分析!K79&lt;&gt;"",分析!K79,"")</f>
        <v>8880</v>
      </c>
      <c r="M118" s="143" t="str">
        <f>IF(分析!P79&lt;&gt;"",分析!P79,"")</f>
        <v>減少↓</v>
      </c>
      <c r="N118" s="149">
        <f>IF(分析!O79&lt;&gt;"",分析!O79,"")</f>
        <v>0.47686791811263013</v>
      </c>
      <c r="O118" s="150">
        <f>IF(分析!X79&lt;&gt;"",分析!X79,"")</f>
        <v>-85.487380542030223</v>
      </c>
      <c r="P118" s="151">
        <f>IF(分析!L79&lt;&gt;"",分析!L79,"")</f>
        <v>-27.117117117117118</v>
      </c>
      <c r="Q118" s="148">
        <f>IF(分析!S79&lt;&gt;"",分析!S79,"")</f>
        <v>6213</v>
      </c>
      <c r="R118" s="148">
        <f>IF(分析!R79&lt;&gt;"",分析!R79,"")</f>
        <v>6990</v>
      </c>
      <c r="S118" s="143" t="str">
        <f>IF(分析!AA79&lt;&gt;"",分析!AA79,"")</f>
        <v>上昇▲</v>
      </c>
      <c r="T118" s="152">
        <f>IF(分析!Z79&lt;&gt;"",分析!Z79,"")</f>
        <v>5.8554138043833825</v>
      </c>
      <c r="U118" s="143" t="str">
        <f>IF(分析!V79&lt;&gt;"",分析!V79,"")</f>
        <v>通常</v>
      </c>
      <c r="V118" s="153">
        <f>IF(分析!W79&lt;&gt;"",分析!W79,"")</f>
        <v>38.385230090934137</v>
      </c>
      <c r="W118" s="154" t="str">
        <f>IF(分析!AD79&lt;&gt;"",分析!AD79,"")</f>
        <v>パーフェクト▲</v>
      </c>
      <c r="X118" s="155" t="str">
        <f>IF(分析!AE79&lt;&gt;"",分析!AE79,"")</f>
        <v>なし</v>
      </c>
      <c r="Y118" s="156">
        <f>IF(分析!T79&lt;&gt;"",分析!T79,"")</f>
        <v>4</v>
      </c>
      <c r="Z118" s="142" t="str">
        <f>IF(分析!Y79&lt;&gt;"",分析!Y79,"")</f>
        <v>様子見</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2722</v>
      </c>
      <c r="F119" s="133">
        <f>IF(分析!F134&lt;&gt;"",分析!F134,"")</f>
        <v>2498</v>
      </c>
      <c r="G119" s="133">
        <f>IF(分析!H134&lt;&gt;"",分析!H134,"")</f>
        <v>2739</v>
      </c>
      <c r="H119" s="133">
        <f>IF(分析!I134&lt;&gt;"",分析!I134,"")</f>
        <v>2491</v>
      </c>
      <c r="I119" s="133">
        <f>IF(分析!J134&lt;&gt;"",分析!J134,"")</f>
        <v>35200</v>
      </c>
      <c r="J119" s="133">
        <f>IF(分析!AB134&lt;&gt;"",分析!AB134,"")</f>
        <v>849.88085539714848</v>
      </c>
      <c r="K119" s="133">
        <f>IF(分析!AC134&lt;&gt;"",分析!AC134,"")</f>
        <v>899.14779499404005</v>
      </c>
      <c r="L119" s="133">
        <f>IF(分析!K134&lt;&gt;"",分析!K134,"")</f>
        <v>3935</v>
      </c>
      <c r="M119" s="128" t="str">
        <f>IF(分析!P134&lt;&gt;"",分析!P134,"")</f>
        <v>減少↓</v>
      </c>
      <c r="N119" s="134">
        <f>IF(分析!O134&lt;&gt;"",分析!O134,"")</f>
        <v>0.43510506798516685</v>
      </c>
      <c r="O119" s="135">
        <f>IF(分析!X134&lt;&gt;"",分析!X134,"")</f>
        <v>18.046897575615731</v>
      </c>
      <c r="P119" s="136">
        <f>IF(分析!L134&lt;&gt;"",分析!L134,"")</f>
        <v>-30.82592121982211</v>
      </c>
      <c r="Q119" s="133">
        <f>IF(分析!S134&lt;&gt;"",分析!S134,"")</f>
        <v>2613</v>
      </c>
      <c r="R119" s="133">
        <f>IF(分析!R134&lt;&gt;"",分析!R134,"")</f>
        <v>2940</v>
      </c>
      <c r="S119" s="128" t="str">
        <f>IF(分析!AA134&lt;&gt;"",分析!AA134,"")</f>
        <v>上昇▲</v>
      </c>
      <c r="T119" s="137">
        <f>IF(分析!Z134&lt;&gt;"",分析!Z134,"")</f>
        <v>14.949324324324326</v>
      </c>
      <c r="U119" s="128" t="str">
        <f>IF(分析!V134&lt;&gt;"",分析!V134,"")</f>
        <v>通常</v>
      </c>
      <c r="V119" s="138">
        <f>IF(分析!W134&lt;&gt;"",分析!W134,"")</f>
        <v>41.528925619834716</v>
      </c>
      <c r="W119" s="139" t="str">
        <f>IF(分析!AD134&lt;&gt;"",分析!AD134,"")</f>
        <v>上昇トレンド▲</v>
      </c>
      <c r="X119" s="140" t="str">
        <f>IF(分析!AE134&lt;&gt;"",分析!AE134,"")</f>
        <v>なし</v>
      </c>
      <c r="Y119" s="141">
        <f>IF(分析!T134&lt;&gt;"",分析!T134,"")</f>
        <v>6</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7530</v>
      </c>
      <c r="F120" s="133">
        <f>IF(分析!F110&lt;&gt;"",分析!F110,"")</f>
        <v>7180</v>
      </c>
      <c r="G120" s="133">
        <f>IF(分析!H110&lt;&gt;"",分析!H110,"")</f>
        <v>7600</v>
      </c>
      <c r="H120" s="133">
        <f>IF(分析!I110&lt;&gt;"",分析!I110,"")</f>
        <v>7080</v>
      </c>
      <c r="I120" s="133">
        <f>IF(分析!J110&lt;&gt;"",分析!J110,"")</f>
        <v>937300</v>
      </c>
      <c r="J120" s="133">
        <f>IF(分析!AB110&lt;&gt;"",分析!AB110,"")</f>
        <v>399.97454175152745</v>
      </c>
      <c r="K120" s="133">
        <f>IF(分析!AC110&lt;&gt;"",分析!AC110,"")</f>
        <v>398.94517282479131</v>
      </c>
      <c r="L120" s="133">
        <f>IF(分析!K110&lt;&gt;"",分析!K110,"")</f>
        <v>9190</v>
      </c>
      <c r="M120" s="128" t="str">
        <f>IF(分析!P110&lt;&gt;"",分析!P110,"")</f>
        <v>減少↓</v>
      </c>
      <c r="N120" s="134">
        <f>IF(分析!O110&lt;&gt;"",分析!O110,"")</f>
        <v>0.81677646484715394</v>
      </c>
      <c r="O120" s="135">
        <f>IF(分析!X110&lt;&gt;"",分析!X110,"")</f>
        <v>-130.05144503838892</v>
      </c>
      <c r="P120" s="136">
        <f>IF(分析!L110&lt;&gt;"",分析!L110,"")</f>
        <v>-18.063112078346027</v>
      </c>
      <c r="Q120" s="133">
        <f>IF(分析!S110&lt;&gt;"",分析!S110,"")</f>
        <v>7229</v>
      </c>
      <c r="R120" s="133">
        <f>IF(分析!R110&lt;&gt;"",分析!R110,"")</f>
        <v>8132</v>
      </c>
      <c r="S120" s="128" t="str">
        <f>IF(分析!AA110&lt;&gt;"",分析!AA110,"")</f>
        <v>上昇▲</v>
      </c>
      <c r="T120" s="137">
        <f>IF(分析!Z110&lt;&gt;"",分析!Z110,"")</f>
        <v>16.383307573415763</v>
      </c>
      <c r="U120" s="128" t="str">
        <f>IF(分析!V110&lt;&gt;"",分析!V110,"")</f>
        <v>通常</v>
      </c>
      <c r="V120" s="138">
        <f>IF(分析!W110&lt;&gt;"",分析!W110,"")</f>
        <v>46.555323590814197</v>
      </c>
      <c r="W120" s="139" t="str">
        <f>IF(分析!AD110&lt;&gt;"",分析!AD110,"")</f>
        <v>パーフェクト▲</v>
      </c>
      <c r="X120" s="140" t="str">
        <f>IF(分析!AE110&lt;&gt;"",分析!AE110,"")</f>
        <v>なし</v>
      </c>
      <c r="Y120" s="141">
        <f>IF(分析!T110&lt;&gt;"",分析!T110,"")</f>
        <v>6</v>
      </c>
      <c r="Z120" s="142" t="str">
        <f>IF(分析!Y110&lt;&gt;"",分析!Y110,"")</f>
        <v>△注目</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3657</v>
      </c>
      <c r="F121" s="133">
        <f>IF(分析!F194&lt;&gt;"",分析!F194,"")</f>
        <v>3710</v>
      </c>
      <c r="G121" s="133">
        <f>IF(分析!H194&lt;&gt;"",分析!H194,"")</f>
        <v>3713</v>
      </c>
      <c r="H121" s="133">
        <f>IF(分析!I194&lt;&gt;"",分析!I194,"")</f>
        <v>3617</v>
      </c>
      <c r="I121" s="133">
        <f>IF(分析!J194&lt;&gt;"",分析!J194,"")</f>
        <v>110600</v>
      </c>
      <c r="J121" s="133">
        <f>IF(分析!AB194&lt;&gt;"",分析!AB194,"")</f>
        <v>22726.7515274949</v>
      </c>
      <c r="K121" s="133">
        <f>IF(分析!AC194&lt;&gt;"",分析!AC194,"")</f>
        <v>23301.430274135866</v>
      </c>
      <c r="L121" s="133">
        <f>IF(分析!K194&lt;&gt;"",分析!K194,"")</f>
        <v>4655</v>
      </c>
      <c r="M121" s="128" t="str">
        <f>IF(分析!P194&lt;&gt;"",分析!P194,"")</f>
        <v>減少↓</v>
      </c>
      <c r="N121" s="134">
        <f>IF(分析!O194&lt;&gt;"",分析!O194,"")</f>
        <v>0.26586538461538461</v>
      </c>
      <c r="O121" s="135">
        <f>IF(分析!X194&lt;&gt;"",分析!X194,"")</f>
        <v>18.753760363640595</v>
      </c>
      <c r="P121" s="136">
        <f>IF(分析!L194&lt;&gt;"",分析!L194,"")</f>
        <v>-21.439312567132117</v>
      </c>
      <c r="Q121" s="133">
        <f>IF(分析!S194&lt;&gt;"",分析!S194,"")</f>
        <v>3511</v>
      </c>
      <c r="R121" s="133">
        <f>IF(分析!R194&lt;&gt;"",分析!R194,"")</f>
        <v>3950</v>
      </c>
      <c r="S121" s="128" t="str">
        <f>IF(分析!AA194&lt;&gt;"",分析!AA194,"")</f>
        <v>下落▼</v>
      </c>
      <c r="T121" s="137">
        <f>IF(分析!Z194&lt;&gt;"",分析!Z194,"")</f>
        <v>-1.8518518518518516</v>
      </c>
      <c r="U121" s="128" t="str">
        <f>IF(分析!V194&lt;&gt;"",分析!V194,"")</f>
        <v>通常</v>
      </c>
      <c r="V121" s="138">
        <f>IF(分析!W194&lt;&gt;"",分析!W194,"")</f>
        <v>46.796338672768876</v>
      </c>
      <c r="W121" s="139" t="str">
        <f>IF(分析!AD194&lt;&gt;"",分析!AD194,"")</f>
        <v>下降トレンド▼</v>
      </c>
      <c r="X121" s="140" t="str">
        <f>IF(分析!AE194&lt;&gt;"",分析!AE194,"")</f>
        <v>なし</v>
      </c>
      <c r="Y121" s="141">
        <f>IF(分析!T194&lt;&gt;"",分析!T194,"")</f>
        <v>5</v>
      </c>
      <c r="Z121" s="142" t="str">
        <f>IF(分析!Y194&lt;&gt;"",分析!Y194,"")</f>
        <v>様子見</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4385</v>
      </c>
      <c r="F122" s="148">
        <f>IF(分析!F163&lt;&gt;"",分析!F163,"")</f>
        <v>4155</v>
      </c>
      <c r="G122" s="148">
        <f>IF(分析!H163&lt;&gt;"",分析!H163,"")</f>
        <v>4465</v>
      </c>
      <c r="H122" s="148">
        <f>IF(分析!I163&lt;&gt;"",分析!I163,"")</f>
        <v>4150</v>
      </c>
      <c r="I122" s="148">
        <f>IF(分析!J163&lt;&gt;"",分析!J163,"")</f>
        <v>25600</v>
      </c>
      <c r="J122" s="148">
        <f>IF(分析!AB163&lt;&gt;"",分析!AB163,"")</f>
        <v>7905.8727087576353</v>
      </c>
      <c r="K122" s="148">
        <f>IF(分析!AC163&lt;&gt;"",分析!AC163,"")</f>
        <v>7371.3420738974946</v>
      </c>
      <c r="L122" s="148">
        <f>IF(分析!K163&lt;&gt;"",分析!K163,"")</f>
        <v>4700</v>
      </c>
      <c r="M122" s="143" t="str">
        <f>IF(分析!P163&lt;&gt;"",分析!P163,"")</f>
        <v>減少↓</v>
      </c>
      <c r="N122" s="149">
        <f>IF(分析!O163&lt;&gt;"",分析!O163,"")</f>
        <v>0.34650785056848943</v>
      </c>
      <c r="O122" s="150">
        <f>IF(分析!X163&lt;&gt;"",分析!X163,"")</f>
        <v>44.087134163087285</v>
      </c>
      <c r="P122" s="151">
        <f>IF(分析!L163&lt;&gt;"",分析!L163,"")</f>
        <v>-6.7021276595744679</v>
      </c>
      <c r="Q122" s="148">
        <f>IF(分析!S163&lt;&gt;"",分析!S163,"")</f>
        <v>4210</v>
      </c>
      <c r="R122" s="148">
        <f>IF(分析!R163&lt;&gt;"",分析!R163,"")</f>
        <v>4736</v>
      </c>
      <c r="S122" s="143" t="str">
        <f>IF(分析!AA163&lt;&gt;"",分析!AA163,"")</f>
        <v>上昇▲</v>
      </c>
      <c r="T122" s="152">
        <f>IF(分析!Z163&lt;&gt;"",分析!Z163,"")</f>
        <v>4.4047619047619051</v>
      </c>
      <c r="U122" s="143" t="str">
        <f>IF(分析!V163&lt;&gt;"",分析!V163,"")</f>
        <v>高値圏</v>
      </c>
      <c r="V122" s="153">
        <f>IF(分析!W163&lt;&gt;"",分析!W163,"")</f>
        <v>56.983240223463689</v>
      </c>
      <c r="W122" s="154" t="str">
        <f>IF(分析!AD163&lt;&gt;"",分析!AD163,"")</f>
        <v>もみ合い→</v>
      </c>
      <c r="X122" s="155" t="str">
        <f>IF(分析!AE163&lt;&gt;"",分析!AE163,"")</f>
        <v>なし</v>
      </c>
      <c r="Y122" s="156">
        <f>IF(分析!T163&lt;&gt;"",分析!T163,"")</f>
        <v>8</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5760</v>
      </c>
      <c r="F123" s="148">
        <f>IF(分析!F27&lt;&gt;"",分析!F27,"")</f>
        <v>5994</v>
      </c>
      <c r="G123" s="148">
        <f>IF(分析!H27&lt;&gt;"",分析!H27,"")</f>
        <v>6005</v>
      </c>
      <c r="H123" s="148">
        <f>IF(分析!I27&lt;&gt;"",分析!I27,"")</f>
        <v>5758</v>
      </c>
      <c r="I123" s="148">
        <f>IF(分析!J27&lt;&gt;"",分析!J27,"")</f>
        <v>3758600</v>
      </c>
      <c r="J123" s="148">
        <f>IF(分析!AB27&lt;&gt;"",分析!AB27,"")</f>
        <v>1299.1985743380851</v>
      </c>
      <c r="K123" s="148">
        <f>IF(分析!AC27&lt;&gt;"",分析!AC27,"")</f>
        <v>1288.7532777115605</v>
      </c>
      <c r="L123" s="148">
        <f>IF(分析!K27&lt;&gt;"",分析!K27,"")</f>
        <v>6394</v>
      </c>
      <c r="M123" s="143" t="str">
        <f>IF(分析!P27&lt;&gt;"",分析!P27,"")</f>
        <v>普通→</v>
      </c>
      <c r="N123" s="149">
        <f>IF(分析!O27&lt;&gt;"",分析!O27,"")</f>
        <v>1.200592853811705</v>
      </c>
      <c r="O123" s="150">
        <f>IF(分析!X27&lt;&gt;"",分析!X27,"")</f>
        <v>106.17834611664784</v>
      </c>
      <c r="P123" s="151">
        <f>IF(分析!L27&lt;&gt;"",分析!L27,"")</f>
        <v>-9.9155458242101968</v>
      </c>
      <c r="Q123" s="148">
        <f>IF(分析!S27&lt;&gt;"",分析!S27,"")</f>
        <v>5530</v>
      </c>
      <c r="R123" s="148">
        <f>IF(分析!R27&lt;&gt;"",分析!R27,"")</f>
        <v>6221</v>
      </c>
      <c r="S123" s="143" t="str">
        <f>IF(分析!AA27&lt;&gt;"",分析!AA27,"")</f>
        <v>下落▼</v>
      </c>
      <c r="T123" s="152">
        <f>IF(分析!Z27&lt;&gt;"",分析!Z27,"")</f>
        <v>-4.6673286991062559</v>
      </c>
      <c r="U123" s="143" t="str">
        <f>IF(分析!V27&lt;&gt;"",分析!V27,"")</f>
        <v>通常</v>
      </c>
      <c r="V123" s="153">
        <f>IF(分析!W27&lt;&gt;"",分析!W27,"")</f>
        <v>84.330484330484325</v>
      </c>
      <c r="W123" s="154" t="str">
        <f>IF(分析!AD27&lt;&gt;"",分析!AD27,"")</f>
        <v>パーフェクト▲</v>
      </c>
      <c r="X123" s="155" t="str">
        <f>IF(分析!AE27&lt;&gt;"",分析!AE27,"")</f>
        <v>なし</v>
      </c>
      <c r="Y123" s="156">
        <f>IF(分析!T27&lt;&gt;"",分析!T27,"")</f>
        <v>8</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5872</v>
      </c>
      <c r="F124" s="133">
        <f>IF(分析!F8&lt;&gt;"",分析!F8,"")</f>
        <v>5628</v>
      </c>
      <c r="G124" s="133">
        <f>IF(分析!H8&lt;&gt;"",分析!H8,"")</f>
        <v>5880</v>
      </c>
      <c r="H124" s="133">
        <f>IF(分析!I8&lt;&gt;"",分析!I8,"")</f>
        <v>5605</v>
      </c>
      <c r="I124" s="133">
        <f>IF(分析!J8&lt;&gt;"",分析!J8,"")</f>
        <v>42788800</v>
      </c>
      <c r="J124" s="133">
        <f>IF(分析!AB8&lt;&gt;"",分析!AB8,"")</f>
        <v>8164.3564154786145</v>
      </c>
      <c r="K124" s="133">
        <f>IF(分析!AC8&lt;&gt;"",分析!AC8,"")</f>
        <v>8282.4004767580445</v>
      </c>
      <c r="L124" s="133">
        <f>IF(分析!K8&lt;&gt;"",分析!K8,"")</f>
        <v>9074</v>
      </c>
      <c r="M124" s="128" t="str">
        <f>IF(分析!P8&lt;&gt;"",分析!P8,"")</f>
        <v>減少↓</v>
      </c>
      <c r="N124" s="134">
        <f>IF(分析!O8&lt;&gt;"",分析!O8,"")</f>
        <v>0.74680413321167249</v>
      </c>
      <c r="O124" s="135">
        <f>IF(分析!X8&lt;&gt;"",分析!X8,"")</f>
        <v>-154.48934480713433</v>
      </c>
      <c r="P124" s="136">
        <f>IF(分析!L8&lt;&gt;"",分析!L8,"")</f>
        <v>-35.287635001102053</v>
      </c>
      <c r="Q124" s="133">
        <f>IF(分析!S8&lt;&gt;"",分析!S8,"")</f>
        <v>5637</v>
      </c>
      <c r="R124" s="133">
        <f>IF(分析!R8&lt;&gt;"",分析!R8,"")</f>
        <v>6342</v>
      </c>
      <c r="S124" s="128" t="str">
        <f>IF(分析!AA8&lt;&gt;"",分析!AA8,"")</f>
        <v>上昇▲</v>
      </c>
      <c r="T124" s="137">
        <f>IF(分析!Z8&lt;&gt;"",分析!Z8,"")</f>
        <v>8.881883923604672</v>
      </c>
      <c r="U124" s="128" t="str">
        <f>IF(分析!V8&lt;&gt;"",分析!V8,"")</f>
        <v>通常</v>
      </c>
      <c r="V124" s="138">
        <f>IF(分析!W8&lt;&gt;"",分析!W8,"")</f>
        <v>37.913866069205866</v>
      </c>
      <c r="W124" s="139" t="str">
        <f>IF(分析!AD8&lt;&gt;"",分析!AD8,"")</f>
        <v>下降トレンド▼</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1486</v>
      </c>
      <c r="F125" s="133">
        <f>IF(分析!F54&lt;&gt;"",分析!F54,"")</f>
        <v>1449.5</v>
      </c>
      <c r="G125" s="133">
        <f>IF(分析!H54&lt;&gt;"",分析!H54,"")</f>
        <v>1501</v>
      </c>
      <c r="H125" s="133">
        <f>IF(分析!I54&lt;&gt;"",分析!I54,"")</f>
        <v>1443</v>
      </c>
      <c r="I125" s="133">
        <f>IF(分析!J54&lt;&gt;"",分析!J54,"")</f>
        <v>4793300</v>
      </c>
      <c r="J125" s="133">
        <f>IF(分析!AB54&lt;&gt;"",分析!AB54,"")</f>
        <v>2155.1690427698572</v>
      </c>
      <c r="K125" s="133">
        <f>IF(分析!AC54&lt;&gt;"",分析!AC54,"")</f>
        <v>2281.7103694874845</v>
      </c>
      <c r="L125" s="133">
        <f>IF(分析!K54&lt;&gt;"",分析!K54,"")</f>
        <v>2200</v>
      </c>
      <c r="M125" s="128" t="str">
        <f>IF(分析!P54&lt;&gt;"",分析!P54,"")</f>
        <v>減少↓</v>
      </c>
      <c r="N125" s="134">
        <f>IF(分析!O54&lt;&gt;"",分析!O54,"")</f>
        <v>0.80108899837552727</v>
      </c>
      <c r="O125" s="135">
        <f>IF(分析!X54&lt;&gt;"",分析!X54,"")</f>
        <v>-0.44804747670536926</v>
      </c>
      <c r="P125" s="136">
        <f>IF(分析!L54&lt;&gt;"",分析!L54,"")</f>
        <v>-32.454545454545453</v>
      </c>
      <c r="Q125" s="133">
        <f>IF(分析!S54&lt;&gt;"",分析!S54,"")</f>
        <v>1427</v>
      </c>
      <c r="R125" s="133">
        <f>IF(分析!R54&lt;&gt;"",分析!R54,"")</f>
        <v>1605</v>
      </c>
      <c r="S125" s="128" t="str">
        <f>IF(分析!AA54&lt;&gt;"",分析!AA54,"")</f>
        <v>上昇▲</v>
      </c>
      <c r="T125" s="137">
        <f>IF(分析!Z54&lt;&gt;"",分析!Z54,"")</f>
        <v>2.2711631108052308</v>
      </c>
      <c r="U125" s="128" t="str">
        <f>IF(分析!V54&lt;&gt;"",分析!V54,"")</f>
        <v>通常</v>
      </c>
      <c r="V125" s="138">
        <f>IF(分析!W54&lt;&gt;"",分析!W54,"")</f>
        <v>51.293103448275865</v>
      </c>
      <c r="W125" s="139" t="str">
        <f>IF(分析!AD54&lt;&gt;"",分析!AD54,"")</f>
        <v>下降トレンド▼</v>
      </c>
      <c r="X125" s="140" t="str">
        <f>IF(分析!AE54&lt;&gt;"",分析!AE54,"")</f>
        <v>なし</v>
      </c>
      <c r="Y125" s="141">
        <f>IF(分析!T54&lt;&gt;"",分析!T54,"")</f>
        <v>3</v>
      </c>
      <c r="Z125" s="142" t="str">
        <f>IF(分析!Y54&lt;&gt;"",分析!Y54,"")</f>
        <v>様子見</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6505</v>
      </c>
      <c r="F126" s="148">
        <f>IF(分析!F43&lt;&gt;"",分析!F43,"")</f>
        <v>6384</v>
      </c>
      <c r="G126" s="148">
        <f>IF(分析!H43&lt;&gt;"",分析!H43,"")</f>
        <v>6508</v>
      </c>
      <c r="H126" s="148">
        <f>IF(分析!I43&lt;&gt;"",分析!I43,"")</f>
        <v>6384</v>
      </c>
      <c r="I126" s="148">
        <f>IF(分析!J43&lt;&gt;"",分析!J43,"")</f>
        <v>1734500</v>
      </c>
      <c r="J126" s="148">
        <f>IF(分析!AB43&lt;&gt;"",分析!AB43,"")</f>
        <v>3553.8818737270863</v>
      </c>
      <c r="K126" s="148">
        <f>IF(分析!AC43&lt;&gt;"",分析!AC43,"")</f>
        <v>3566.3230035756842</v>
      </c>
      <c r="L126" s="148">
        <f>IF(分析!K43&lt;&gt;"",分析!K43,"")</f>
        <v>6680</v>
      </c>
      <c r="M126" s="143" t="str">
        <f>IF(分析!P43&lt;&gt;"",分析!P43,"")</f>
        <v>減少↓</v>
      </c>
      <c r="N126" s="149">
        <f>IF(分析!O43&lt;&gt;"",分析!O43,"")</f>
        <v>0.44954332929016472</v>
      </c>
      <c r="O126" s="150">
        <f>IF(分析!X43&lt;&gt;"",分析!X43,"")</f>
        <v>0.36107650484154874</v>
      </c>
      <c r="P126" s="151">
        <f>IF(分析!L43&lt;&gt;"",分析!L43,"")</f>
        <v>-2.6197604790419158</v>
      </c>
      <c r="Q126" s="148">
        <f>IF(分析!S43&lt;&gt;"",分析!S43,"")</f>
        <v>6245</v>
      </c>
      <c r="R126" s="148">
        <f>IF(分析!R43&lt;&gt;"",分析!R43,"")</f>
        <v>7025</v>
      </c>
      <c r="S126" s="143" t="str">
        <f>IF(分析!AA43&lt;&gt;"",分析!AA43,"")</f>
        <v>上昇▲</v>
      </c>
      <c r="T126" s="152">
        <f>IF(分析!Z43&lt;&gt;"",分析!Z43,"")</f>
        <v>2.473219911783239</v>
      </c>
      <c r="U126" s="143" t="str">
        <f>IF(分析!V43&lt;&gt;"",分析!V43,"")</f>
        <v>高値圏</v>
      </c>
      <c r="V126" s="153">
        <f>IF(分析!W43&lt;&gt;"",分析!W43,"")</f>
        <v>48.887739265390586</v>
      </c>
      <c r="W126" s="154" t="str">
        <f>IF(分析!AD43&lt;&gt;"",分析!AD43,"")</f>
        <v>上昇トレンド▲</v>
      </c>
      <c r="X126" s="155" t="str">
        <f>IF(分析!AE43&lt;&gt;"",分析!AE43,"")</f>
        <v>なし</v>
      </c>
      <c r="Y126" s="156">
        <f>IF(分析!T43&lt;&gt;"",分析!T43,"")</f>
        <v>9</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3923</v>
      </c>
      <c r="F127" s="148">
        <f>IF(分析!F127&lt;&gt;"",分析!F127,"")</f>
        <v>3846</v>
      </c>
      <c r="G127" s="148">
        <f>IF(分析!H127&lt;&gt;"",分析!H127,"")</f>
        <v>3976</v>
      </c>
      <c r="H127" s="148">
        <f>IF(分析!I127&lt;&gt;"",分析!I127,"")</f>
        <v>3781</v>
      </c>
      <c r="I127" s="148">
        <f>IF(分析!J127&lt;&gt;"",分析!J127,"")</f>
        <v>23086900</v>
      </c>
      <c r="J127" s="148">
        <f>IF(分析!AB127&lt;&gt;"",分析!AB127,"")</f>
        <v>1795.5997963340117</v>
      </c>
      <c r="K127" s="148">
        <f>IF(分析!AC127&lt;&gt;"",分析!AC127,"")</f>
        <v>1841.1370679380209</v>
      </c>
      <c r="L127" s="148">
        <f>IF(分析!K127&lt;&gt;"",分析!K127,"")</f>
        <v>4870</v>
      </c>
      <c r="M127" s="143" t="str">
        <f>IF(分析!P127&lt;&gt;"",分析!P127,"")</f>
        <v>減少↓</v>
      </c>
      <c r="N127" s="149">
        <f>IF(分析!O127&lt;&gt;"",分析!O127,"")</f>
        <v>0.92844130409429626</v>
      </c>
      <c r="O127" s="150">
        <f>IF(分析!X127&lt;&gt;"",分析!X127,"")</f>
        <v>-90.792388920510348</v>
      </c>
      <c r="P127" s="151">
        <f>IF(分析!L127&lt;&gt;"",分析!L127,"")</f>
        <v>-19.44558521560575</v>
      </c>
      <c r="Q127" s="148">
        <f>IF(分析!S127&lt;&gt;"",分析!S127,"")</f>
        <v>3766</v>
      </c>
      <c r="R127" s="148">
        <f>IF(分析!R127&lt;&gt;"",分析!R127,"")</f>
        <v>4237</v>
      </c>
      <c r="S127" s="143" t="str">
        <f>IF(分析!AA127&lt;&gt;"",分析!AA127,"")</f>
        <v>上昇▲</v>
      </c>
      <c r="T127" s="152">
        <f>IF(分析!Z127&lt;&gt;"",分析!Z127,"")</f>
        <v>22.59375</v>
      </c>
      <c r="U127" s="143" t="str">
        <f>IF(分析!V127&lt;&gt;"",分析!V127,"")</f>
        <v>通常</v>
      </c>
      <c r="V127" s="153">
        <f>IF(分析!W127&lt;&gt;"",分析!W127,"")</f>
        <v>41.40141467727674</v>
      </c>
      <c r="W127" s="154" t="str">
        <f>IF(分析!AD127&lt;&gt;"",分析!AD127,"")</f>
        <v>上昇トレンド▲</v>
      </c>
      <c r="X127" s="155" t="str">
        <f>IF(分析!AE127&lt;&gt;"",分析!AE127,"")</f>
        <v>なし</v>
      </c>
      <c r="Y127" s="156">
        <f>IF(分析!T127&lt;&gt;"",分析!T127,"")</f>
        <v>2</v>
      </c>
      <c r="Z127" s="142" t="str">
        <f>IF(分析!Y127&lt;&gt;"",分析!Y127,"")</f>
        <v>見送り</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890</v>
      </c>
      <c r="F128" s="133">
        <f>IF(分析!F56&lt;&gt;"",分析!F56,"")</f>
        <v>891</v>
      </c>
      <c r="G128" s="133">
        <f>IF(分析!H56&lt;&gt;"",分析!H56,"")</f>
        <v>900</v>
      </c>
      <c r="H128" s="133">
        <f>IF(分析!I56&lt;&gt;"",分析!I56,"")</f>
        <v>886</v>
      </c>
      <c r="I128" s="133">
        <f>IF(分析!J56&lt;&gt;"",分析!J56,"")</f>
        <v>97600</v>
      </c>
      <c r="J128" s="133">
        <f>IF(分析!AB56&lt;&gt;"",分析!AB56,"")</f>
        <v>3985.6832993890016</v>
      </c>
      <c r="K128" s="133">
        <f>IF(分析!AC56&lt;&gt;"",分析!AC56,"")</f>
        <v>4064.444576877233</v>
      </c>
      <c r="L128" s="133">
        <f>IF(分析!K56&lt;&gt;"",分析!K56,"")</f>
        <v>1041</v>
      </c>
      <c r="M128" s="128" t="str">
        <f>IF(分析!P56&lt;&gt;"",分析!P56,"")</f>
        <v>減少↓</v>
      </c>
      <c r="N128" s="134">
        <f>IF(分析!O56&lt;&gt;"",分析!O56,"")</f>
        <v>0.4073455759599332</v>
      </c>
      <c r="O128" s="135">
        <f>IF(分析!X56&lt;&gt;"",分析!X56,"")</f>
        <v>0.25704209935565814</v>
      </c>
      <c r="P128" s="136">
        <f>IF(分析!L56&lt;&gt;"",分析!L56,"")</f>
        <v>-14.505283381364073</v>
      </c>
      <c r="Q128" s="133">
        <f>IF(分析!S56&lt;&gt;"",分析!S56,"")</f>
        <v>854</v>
      </c>
      <c r="R128" s="133">
        <f>IF(分析!R56&lt;&gt;"",分析!R56,"")</f>
        <v>961</v>
      </c>
      <c r="S128" s="128" t="str">
        <f>IF(分析!AA56&lt;&gt;"",分析!AA56,"")</f>
        <v>下落▼</v>
      </c>
      <c r="T128" s="137">
        <f>IF(分析!Z56&lt;&gt;"",分析!Z56,"")</f>
        <v>-0.89086859688195985</v>
      </c>
      <c r="U128" s="128" t="str">
        <f>IF(分析!V56&lt;&gt;"",分析!V56,"")</f>
        <v>通常</v>
      </c>
      <c r="V128" s="138">
        <f>IF(分析!W56&lt;&gt;"",分析!W56,"")</f>
        <v>49.21875</v>
      </c>
      <c r="W128" s="139" t="str">
        <f>IF(分析!AD56&lt;&gt;"",分析!AD56,"")</f>
        <v>下降トレンド▼</v>
      </c>
      <c r="X128" s="140" t="str">
        <f>IF(分析!AE56&lt;&gt;"",分析!AE56,"")</f>
        <v>なし</v>
      </c>
      <c r="Y128" s="141">
        <f>IF(分析!T56&lt;&gt;"",分析!T56,"")</f>
        <v>3</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1604</v>
      </c>
      <c r="F129" s="133">
        <f>IF(分析!F152&lt;&gt;"",分析!F152,"")</f>
        <v>1605</v>
      </c>
      <c r="G129" s="133">
        <f>IF(分析!H152&lt;&gt;"",分析!H152,"")</f>
        <v>1619</v>
      </c>
      <c r="H129" s="133">
        <f>IF(分析!I152&lt;&gt;"",分析!I152,"")</f>
        <v>1601.5</v>
      </c>
      <c r="I129" s="133">
        <f>IF(分析!J152&lt;&gt;"",分析!J152,"")</f>
        <v>252700</v>
      </c>
      <c r="J129" s="133">
        <f>IF(分析!AB152&lt;&gt;"",分析!AB152,"")</f>
        <v>7129.4735234215868</v>
      </c>
      <c r="K129" s="133">
        <f>IF(分析!AC152&lt;&gt;"",分析!AC152,"")</f>
        <v>8073.2681764004737</v>
      </c>
      <c r="L129" s="133">
        <f>IF(分析!K152&lt;&gt;"",分析!K152,"")</f>
        <v>2447</v>
      </c>
      <c r="M129" s="128" t="str">
        <f>IF(分析!P152&lt;&gt;"",分析!P152,"")</f>
        <v>減少↓</v>
      </c>
      <c r="N129" s="134">
        <f>IF(分析!O152&lt;&gt;"",分析!O152,"")</f>
        <v>0.47048966672872833</v>
      </c>
      <c r="O129" s="135">
        <f>IF(分析!X152&lt;&gt;"",分析!X152,"")</f>
        <v>-6.5120353527902353</v>
      </c>
      <c r="P129" s="136">
        <f>IF(分析!L152&lt;&gt;"",分析!L152,"")</f>
        <v>-34.450347364119331</v>
      </c>
      <c r="Q129" s="133">
        <f>IF(分析!S152&lt;&gt;"",分析!S152,"")</f>
        <v>1540</v>
      </c>
      <c r="R129" s="133">
        <f>IF(分析!R152&lt;&gt;"",分析!R152,"")</f>
        <v>1732</v>
      </c>
      <c r="S129" s="128" t="str">
        <f>IF(分析!AA152&lt;&gt;"",分析!AA152,"")</f>
        <v>下落▼</v>
      </c>
      <c r="T129" s="137">
        <f>IF(分析!Z152&lt;&gt;"",分析!Z152,"")</f>
        <v>-0.77327559542220847</v>
      </c>
      <c r="U129" s="128" t="str">
        <f>IF(分析!V152&lt;&gt;"",分析!V152,"")</f>
        <v>通常</v>
      </c>
      <c r="V129" s="138">
        <f>IF(分析!W152&lt;&gt;"",分析!W152,"")</f>
        <v>39.863325740318906</v>
      </c>
      <c r="W129" s="139" t="str">
        <f>IF(分析!AD152&lt;&gt;"",分析!AD152,"")</f>
        <v>下降トレンド▼</v>
      </c>
      <c r="X129" s="140" t="str">
        <f>IF(分析!AE152&lt;&gt;"",分析!AE152,"")</f>
        <v>なし</v>
      </c>
      <c r="Y129" s="141">
        <f>IF(分析!T152&lt;&gt;"",分析!T152,"")</f>
        <v>1</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1728</v>
      </c>
      <c r="F130" s="148">
        <f>IF(分析!F5&lt;&gt;"",分析!F5,"")</f>
        <v>1698.5</v>
      </c>
      <c r="G130" s="148">
        <f>IF(分析!H5&lt;&gt;"",分析!H5,"")</f>
        <v>1728</v>
      </c>
      <c r="H130" s="148">
        <f>IF(分析!I5&lt;&gt;"",分析!I5,"")</f>
        <v>1696.5</v>
      </c>
      <c r="I130" s="148">
        <f>IF(分析!J5&lt;&gt;"",分析!J5,"")</f>
        <v>905600</v>
      </c>
      <c r="J130" s="148">
        <f>IF(分析!AB5&lt;&gt;"",分析!AB5,"")</f>
        <v>1722.6761710794297</v>
      </c>
      <c r="K130" s="148">
        <f>IF(分析!AC5&lt;&gt;"",分析!AC5,"")</f>
        <v>1733.9284862932057</v>
      </c>
      <c r="L130" s="148">
        <f>IF(分析!K5&lt;&gt;"",分析!K5,"")</f>
        <v>1797.5</v>
      </c>
      <c r="M130" s="143" t="str">
        <f>IF(分析!P5&lt;&gt;"",分析!P5,"")</f>
        <v>減少↓</v>
      </c>
      <c r="N130" s="149">
        <f>IF(分析!O5&lt;&gt;"",分析!O5,"")</f>
        <v>0.34692267026256712</v>
      </c>
      <c r="O130" s="150">
        <f>IF(分析!X5&lt;&gt;"",分析!X5,"")</f>
        <v>17.954190034190788</v>
      </c>
      <c r="P130" s="151">
        <f>IF(分析!L5&lt;&gt;"",分析!L5,"")</f>
        <v>-3.8664812239221145</v>
      </c>
      <c r="Q130" s="148">
        <f>IF(分析!S5&lt;&gt;"",分析!S5,"")</f>
        <v>1659</v>
      </c>
      <c r="R130" s="148">
        <f>IF(分析!R5&lt;&gt;"",分析!R5,"")</f>
        <v>1866</v>
      </c>
      <c r="S130" s="143" t="str">
        <f>IF(分析!AA5&lt;&gt;"",分析!AA5,"")</f>
        <v>横ばい→</v>
      </c>
      <c r="T130" s="152">
        <f>IF(分析!Z5&lt;&gt;"",分析!Z5,"")</f>
        <v>0</v>
      </c>
      <c r="U130" s="143" t="str">
        <f>IF(分析!V5&lt;&gt;"",分析!V5,"")</f>
        <v>高値圏</v>
      </c>
      <c r="V130" s="153">
        <f>IF(分析!W5&lt;&gt;"",分析!W5,"")</f>
        <v>62.084765177548682</v>
      </c>
      <c r="W130" s="154" t="str">
        <f>IF(分析!AD5&lt;&gt;"",分析!AD5,"")</f>
        <v>もみ合い→</v>
      </c>
      <c r="X130" s="155" t="str">
        <f>IF(分析!AE5&lt;&gt;"",分析!AE5,"")</f>
        <v>5日押し目○</v>
      </c>
      <c r="Y130" s="156">
        <f>IF(分析!T5&lt;&gt;"",分析!T5,"")</f>
        <v>7</v>
      </c>
      <c r="Z130" s="142" t="str">
        <f>IF(分析!Y5&lt;&gt;"",分析!Y5,"")</f>
        <v>△注目</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3382</v>
      </c>
      <c r="F131" s="133">
        <f>IF(分析!F30&lt;&gt;"",分析!F30,"")</f>
        <v>3412</v>
      </c>
      <c r="G131" s="133">
        <f>IF(分析!H30&lt;&gt;"",分析!H30,"")</f>
        <v>3447</v>
      </c>
      <c r="H131" s="133">
        <f>IF(分析!I30&lt;&gt;"",分析!I30,"")</f>
        <v>3351</v>
      </c>
      <c r="I131" s="133">
        <f>IF(分析!J30&lt;&gt;"",分析!J30,"")</f>
        <v>1737900</v>
      </c>
      <c r="J131" s="133">
        <f>IF(分析!AB30&lt;&gt;"",分析!AB30,"")</f>
        <v>1385.9582484725049</v>
      </c>
      <c r="K131" s="133">
        <f>IF(分析!AC30&lt;&gt;"",分析!AC30,"")</f>
        <v>1416.7306317044099</v>
      </c>
      <c r="L131" s="133">
        <f>IF(分析!K30&lt;&gt;"",分析!K30,"")</f>
        <v>4211</v>
      </c>
      <c r="M131" s="128" t="str">
        <f>IF(分析!P30&lt;&gt;"",分析!P30,"")</f>
        <v>減少↓</v>
      </c>
      <c r="N131" s="134">
        <f>IF(分析!O30&lt;&gt;"",分析!O30,"")</f>
        <v>0.372267276723174</v>
      </c>
      <c r="O131" s="135">
        <f>IF(分析!X30&lt;&gt;"",分析!X30,"")</f>
        <v>17.399024434901548</v>
      </c>
      <c r="P131" s="136">
        <f>IF(分析!L30&lt;&gt;"",分析!L30,"")</f>
        <v>-19.686535264782712</v>
      </c>
      <c r="Q131" s="133">
        <f>IF(分析!S30&lt;&gt;"",分析!S30,"")</f>
        <v>3247</v>
      </c>
      <c r="R131" s="133">
        <f>IF(分析!R30&lt;&gt;"",分析!R30,"")</f>
        <v>3653</v>
      </c>
      <c r="S131" s="128" t="str">
        <f>IF(分析!AA30&lt;&gt;"",分析!AA30,"")</f>
        <v>下落▼</v>
      </c>
      <c r="T131" s="137">
        <f>IF(分析!Z30&lt;&gt;"",分析!Z30,"")</f>
        <v>-1.168907071887785</v>
      </c>
      <c r="U131" s="128" t="str">
        <f>IF(分析!V30&lt;&gt;"",分析!V30,"")</f>
        <v>通常</v>
      </c>
      <c r="V131" s="138">
        <f>IF(分析!W30&lt;&gt;"",分析!W30,"")</f>
        <v>44.976958525345616</v>
      </c>
      <c r="W131" s="139" t="str">
        <f>IF(分析!AD30&lt;&gt;"",分析!AD30,"")</f>
        <v>上昇トレンド▲</v>
      </c>
      <c r="X131" s="140" t="str">
        <f>IF(分析!AE30&lt;&gt;"",分析!AE30,"")</f>
        <v>なし</v>
      </c>
      <c r="Y131" s="141">
        <f>IF(分析!T30&lt;&gt;"",分析!T30,"")</f>
        <v>3</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5284</v>
      </c>
      <c r="F132" s="133">
        <f>IF(分析!F190&lt;&gt;"",分析!F190,"")</f>
        <v>5198</v>
      </c>
      <c r="G132" s="133">
        <f>IF(分析!H190&lt;&gt;"",分析!H190,"")</f>
        <v>5295</v>
      </c>
      <c r="H132" s="133">
        <f>IF(分析!I190&lt;&gt;"",分析!I190,"")</f>
        <v>5127</v>
      </c>
      <c r="I132" s="133">
        <f>IF(分析!J190&lt;&gt;"",分析!J190,"")</f>
        <v>3920800</v>
      </c>
      <c r="J132" s="133">
        <f>IF(分析!AB190&lt;&gt;"",分析!AB190,"")</f>
        <v>1637.5157841140528</v>
      </c>
      <c r="K132" s="133">
        <f>IF(分析!AC190&lt;&gt;"",分析!AC190,"")</f>
        <v>1670.1257449344448</v>
      </c>
      <c r="L132" s="133">
        <f>IF(分析!K190&lt;&gt;"",分析!K190,"")</f>
        <v>6340</v>
      </c>
      <c r="M132" s="128" t="str">
        <f>IF(分析!P190&lt;&gt;"",分析!P190,"")</f>
        <v>減少↓</v>
      </c>
      <c r="N132" s="134">
        <f>IF(分析!O190&lt;&gt;"",分析!O190,"")</f>
        <v>0.8888324665962396</v>
      </c>
      <c r="O132" s="135">
        <f>IF(分析!X190&lt;&gt;"",分析!X190,"")</f>
        <v>-130.59260902964979</v>
      </c>
      <c r="P132" s="136">
        <f>IF(分析!L190&lt;&gt;"",分析!L190,"")</f>
        <v>-16.656151419558359</v>
      </c>
      <c r="Q132" s="133">
        <f>IF(分析!S190&lt;&gt;"",分析!S190,"")</f>
        <v>5073</v>
      </c>
      <c r="R132" s="133">
        <f>IF(分析!R190&lt;&gt;"",分析!R190,"")</f>
        <v>5707</v>
      </c>
      <c r="S132" s="128" t="str">
        <f>IF(分析!AA190&lt;&gt;"",分析!AA190,"")</f>
        <v>上昇▲</v>
      </c>
      <c r="T132" s="137">
        <f>IF(分析!Z190&lt;&gt;"",分析!Z190,"")</f>
        <v>7.9248366013071889</v>
      </c>
      <c r="U132" s="128" t="str">
        <f>IF(分析!V190&lt;&gt;"",分析!V190,"")</f>
        <v>通常</v>
      </c>
      <c r="V132" s="138">
        <f>IF(分析!W190&lt;&gt;"",分析!W190,"")</f>
        <v>19.299743808710502</v>
      </c>
      <c r="W132" s="139" t="str">
        <f>IF(分析!AD190&lt;&gt;"",分析!AD190,"")</f>
        <v>上昇トレンド▲</v>
      </c>
      <c r="X132" s="140" t="str">
        <f>IF(分析!AE190&lt;&gt;"",分析!AE190,"")</f>
        <v>なし</v>
      </c>
      <c r="Y132" s="141">
        <f>IF(分析!T190&lt;&gt;"",分析!T190,"")</f>
        <v>4</v>
      </c>
      <c r="Z132" s="142" t="str">
        <f>IF(分析!Y190&lt;&gt;"",分析!Y190,"")</f>
        <v>様子見</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3541</v>
      </c>
      <c r="F133" s="148">
        <f>IF(分析!F53&lt;&gt;"",分析!F53,"")</f>
        <v>3480</v>
      </c>
      <c r="G133" s="148">
        <f>IF(分析!H53&lt;&gt;"",分析!H53,"")</f>
        <v>3550</v>
      </c>
      <c r="H133" s="148">
        <f>IF(分析!I53&lt;&gt;"",分析!I53,"")</f>
        <v>3449</v>
      </c>
      <c r="I133" s="148">
        <f>IF(分析!J53&lt;&gt;"",分析!J53,"")</f>
        <v>29938900</v>
      </c>
      <c r="J133" s="148">
        <f>IF(分析!AB53&lt;&gt;"",分析!AB53,"")</f>
        <v>4048.7331975560069</v>
      </c>
      <c r="K133" s="148">
        <f>IF(分析!AC53&lt;&gt;"",分析!AC53,"")</f>
        <v>4080.4636471990452</v>
      </c>
      <c r="L133" s="148">
        <f>IF(分析!K53&lt;&gt;"",分析!K53,"")</f>
        <v>3813</v>
      </c>
      <c r="M133" s="143" t="str">
        <f>IF(分析!P53&lt;&gt;"",分析!P53,"")</f>
        <v>減少↓</v>
      </c>
      <c r="N133" s="149">
        <f>IF(分析!O53&lt;&gt;"",分析!O53,"")</f>
        <v>0.60765782533315849</v>
      </c>
      <c r="O133" s="150">
        <f>IF(分析!X53&lt;&gt;"",分析!X53,"")</f>
        <v>17.990863281576821</v>
      </c>
      <c r="P133" s="151">
        <f>IF(分析!L53&lt;&gt;"",分析!L53,"")</f>
        <v>-7.1334906897456074</v>
      </c>
      <c r="Q133" s="148">
        <f>IF(分析!S53&lt;&gt;"",分析!S53,"")</f>
        <v>3399</v>
      </c>
      <c r="R133" s="148">
        <f>IF(分析!R53&lt;&gt;"",分析!R53,"")</f>
        <v>3824</v>
      </c>
      <c r="S133" s="143" t="str">
        <f>IF(分析!AA53&lt;&gt;"",分析!AA53,"")</f>
        <v>下落▼</v>
      </c>
      <c r="T133" s="152">
        <f>IF(分析!Z53&lt;&gt;"",分析!Z53,"")</f>
        <v>-0.72890384076254555</v>
      </c>
      <c r="U133" s="143" t="str">
        <f>IF(分析!V53&lt;&gt;"",分析!V53,"")</f>
        <v>通常</v>
      </c>
      <c r="V133" s="153">
        <f>IF(分析!W53&lt;&gt;"",分析!W53,"")</f>
        <v>51.262135922330096</v>
      </c>
      <c r="W133" s="154" t="str">
        <f>IF(分析!AD53&lt;&gt;"",分析!AD53,"")</f>
        <v>下降トレンド▼</v>
      </c>
      <c r="X133" s="155" t="str">
        <f>IF(分析!AE53&lt;&gt;"",分析!AE53,"")</f>
        <v>なし</v>
      </c>
      <c r="Y133" s="156">
        <f>IF(分析!T53&lt;&gt;"",分析!T53,"")</f>
        <v>5</v>
      </c>
      <c r="Z133" s="142" t="str">
        <f>IF(分析!Y53&lt;&gt;"",分析!Y53,"")</f>
        <v>様子見</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1629</v>
      </c>
      <c r="F134" s="133">
        <f>IF(分析!F182&lt;&gt;"",分析!F182,"")</f>
        <v>1610</v>
      </c>
      <c r="G134" s="133">
        <f>IF(分析!H182&lt;&gt;"",分析!H182,"")</f>
        <v>1639.5</v>
      </c>
      <c r="H134" s="133">
        <f>IF(分析!I182&lt;&gt;"",分析!I182,"")</f>
        <v>1605</v>
      </c>
      <c r="I134" s="133">
        <f>IF(分析!J182&lt;&gt;"",分析!J182,"")</f>
        <v>5390900</v>
      </c>
      <c r="J134" s="133">
        <f>IF(分析!AB182&lt;&gt;"",分析!AB182,"")</f>
        <v>3947.3737270875758</v>
      </c>
      <c r="K134" s="133">
        <f>IF(分析!AC182&lt;&gt;"",分析!AC182,"")</f>
        <v>3864.8796185935626</v>
      </c>
      <c r="L134" s="133">
        <f>IF(分析!K182&lt;&gt;"",分析!K182,"")</f>
        <v>1906</v>
      </c>
      <c r="M134" s="128" t="str">
        <f>IF(分析!P182&lt;&gt;"",分析!P182,"")</f>
        <v>減少↓</v>
      </c>
      <c r="N134" s="134">
        <f>IF(分析!O182&lt;&gt;"",分析!O182,"")</f>
        <v>0.53694650953394052</v>
      </c>
      <c r="O134" s="135">
        <f>IF(分析!X182&lt;&gt;"",分析!X182,"")</f>
        <v>-18.90746162020946</v>
      </c>
      <c r="P134" s="136">
        <f>IF(分析!L182&lt;&gt;"",分析!L182,"")</f>
        <v>-14.53305351521511</v>
      </c>
      <c r="Q134" s="133">
        <f>IF(分析!S182&lt;&gt;"",分析!S182,"")</f>
        <v>1564</v>
      </c>
      <c r="R134" s="133">
        <f>IF(分析!R182&lt;&gt;"",分析!R182,"")</f>
        <v>1759</v>
      </c>
      <c r="S134" s="128" t="str">
        <f>IF(分析!AA182&lt;&gt;"",分析!AA182,"")</f>
        <v>下落▼</v>
      </c>
      <c r="T134" s="137">
        <f>IF(分析!Z182&lt;&gt;"",分析!Z182,"")</f>
        <v>-1.1229135053110775</v>
      </c>
      <c r="U134" s="128" t="str">
        <f>IF(分析!V182&lt;&gt;"",分析!V182,"")</f>
        <v>通常</v>
      </c>
      <c r="V134" s="138">
        <f>IF(分析!W182&lt;&gt;"",分析!W182,"")</f>
        <v>32.389937106918239</v>
      </c>
      <c r="W134" s="139" t="str">
        <f>IF(分析!AD182&lt;&gt;"",分析!AD182,"")</f>
        <v>もみ合い→</v>
      </c>
      <c r="X134" s="140" t="str">
        <f>IF(分析!AE182&lt;&gt;"",分析!AE182,"")</f>
        <v>なし</v>
      </c>
      <c r="Y134" s="141">
        <f>IF(分析!T182&lt;&gt;"",分析!T182,"")</f>
        <v>0</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916.6</v>
      </c>
      <c r="F135" s="148">
        <f>IF(分析!F17&lt;&gt;"",分析!F17,"")</f>
        <v>924.7</v>
      </c>
      <c r="G135" s="148">
        <f>IF(分析!H17&lt;&gt;"",分析!H17,"")</f>
        <v>939.6</v>
      </c>
      <c r="H135" s="148">
        <f>IF(分析!I17&lt;&gt;"",分析!I17,"")</f>
        <v>915.6</v>
      </c>
      <c r="I135" s="148">
        <f>IF(分析!J17&lt;&gt;"",分析!J17,"")</f>
        <v>446700</v>
      </c>
      <c r="J135" s="148">
        <f>IF(分析!AB17&lt;&gt;"",分析!AB17,"")</f>
        <v>8135.6690427698559</v>
      </c>
      <c r="K135" s="148">
        <f>IF(分析!AC17&lt;&gt;"",分析!AC17,"")</f>
        <v>8241.5351609058362</v>
      </c>
      <c r="L135" s="148">
        <f>IF(分析!K17&lt;&gt;"",分析!K17,"")</f>
        <v>1142</v>
      </c>
      <c r="M135" s="143" t="str">
        <f>IF(分析!P17&lt;&gt;"",分析!P17,"")</f>
        <v>減少↓</v>
      </c>
      <c r="N135" s="149">
        <f>IF(分析!O17&lt;&gt;"",分析!O17,"")</f>
        <v>0.33586971232650115</v>
      </c>
      <c r="O135" s="150">
        <f>IF(分析!X17&lt;&gt;"",分析!X17,"")</f>
        <v>8.5646742742968627</v>
      </c>
      <c r="P135" s="151">
        <f>IF(分析!L17&lt;&gt;"",分析!L17,"")</f>
        <v>-19.737302977232922</v>
      </c>
      <c r="Q135" s="148">
        <f>IF(分析!S17&lt;&gt;"",分析!S17,"")</f>
        <v>880</v>
      </c>
      <c r="R135" s="148">
        <f>IF(分析!R17&lt;&gt;"",分析!R17,"")</f>
        <v>990</v>
      </c>
      <c r="S135" s="143" t="str">
        <f>IF(分析!AA17&lt;&gt;"",分析!AA17,"")</f>
        <v>下落▼</v>
      </c>
      <c r="T135" s="152">
        <f>IF(分析!Z17&lt;&gt;"",分析!Z17,"")</f>
        <v>-2.4893617021276571</v>
      </c>
      <c r="U135" s="143" t="str">
        <f>IF(分析!V17&lt;&gt;"",分析!V17,"")</f>
        <v>通常</v>
      </c>
      <c r="V135" s="153">
        <f>IF(分析!W17&lt;&gt;"",分析!W17,"")</f>
        <v>63.209302325581397</v>
      </c>
      <c r="W135" s="154" t="str">
        <f>IF(分析!AD17&lt;&gt;"",分析!AD17,"")</f>
        <v>下降トレンド▼</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5076</v>
      </c>
      <c r="F136" s="148">
        <f>IF(分析!F125&lt;&gt;"",分析!F125,"")</f>
        <v>4830</v>
      </c>
      <c r="G136" s="148">
        <f>IF(分析!H125&lt;&gt;"",分析!H125,"")</f>
        <v>5095</v>
      </c>
      <c r="H136" s="148">
        <f>IF(分析!I125&lt;&gt;"",分析!I125,"")</f>
        <v>4799</v>
      </c>
      <c r="I136" s="148">
        <f>IF(分析!J125&lt;&gt;"",分析!J125,"")</f>
        <v>37509700</v>
      </c>
      <c r="J136" s="148">
        <f>IF(分析!AB125&lt;&gt;"",分析!AB125,"")</f>
        <v>5454.3217922606909</v>
      </c>
      <c r="K136" s="148">
        <f>IF(分析!AC125&lt;&gt;"",分析!AC125,"")</f>
        <v>5458.9332538736562</v>
      </c>
      <c r="L136" s="148">
        <f>IF(分析!K125&lt;&gt;"",分析!K125,"")</f>
        <v>7933</v>
      </c>
      <c r="M136" s="143" t="str">
        <f>IF(分析!P125&lt;&gt;"",分析!P125,"")</f>
        <v>減少↓</v>
      </c>
      <c r="N136" s="149">
        <f>IF(分析!O125&lt;&gt;"",分析!O125,"")</f>
        <v>0.69798292300689946</v>
      </c>
      <c r="O136" s="150">
        <f>IF(分析!X125&lt;&gt;"",分析!X125,"")</f>
        <v>-143.01137164214106</v>
      </c>
      <c r="P136" s="151">
        <f>IF(分析!L125&lt;&gt;"",分析!L125,"")</f>
        <v>-36.014118240262192</v>
      </c>
      <c r="Q136" s="148">
        <f>IF(分析!S125&lt;&gt;"",分析!S125,"")</f>
        <v>4873</v>
      </c>
      <c r="R136" s="148">
        <f>IF(分析!R125&lt;&gt;"",分析!R125,"")</f>
        <v>5482</v>
      </c>
      <c r="S136" s="143" t="str">
        <f>IF(分析!AA125&lt;&gt;"",分析!AA125,"")</f>
        <v>上昇▲</v>
      </c>
      <c r="T136" s="152">
        <f>IF(分析!Z125&lt;&gt;"",分析!Z125,"")</f>
        <v>18.321678321678323</v>
      </c>
      <c r="U136" s="143" t="str">
        <f>IF(分析!V125&lt;&gt;"",分析!V125,"")</f>
        <v>通常</v>
      </c>
      <c r="V136" s="153">
        <f>IF(分析!W125&lt;&gt;"",分析!W125,"")</f>
        <v>38.45410628019323</v>
      </c>
      <c r="W136" s="154" t="str">
        <f>IF(分析!AD125&lt;&gt;"",分析!AD125,"")</f>
        <v>下降トレンド▼</v>
      </c>
      <c r="X136" s="155" t="str">
        <f>IF(分析!AE125&lt;&gt;"",分析!AE125,"")</f>
        <v>なし</v>
      </c>
      <c r="Y136" s="156">
        <f>IF(分析!T125&lt;&gt;"",分析!T125,"")</f>
        <v>1</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77</v>
      </c>
      <c r="F137" s="148">
        <f>IF(分析!F115&lt;&gt;"",分析!F115,"")</f>
        <v>78</v>
      </c>
      <c r="G137" s="148">
        <f>IF(分析!H115&lt;&gt;"",分析!H115,"")</f>
        <v>81</v>
      </c>
      <c r="H137" s="148">
        <f>IF(分析!I115&lt;&gt;"",分析!I115,"")</f>
        <v>74</v>
      </c>
      <c r="I137" s="148">
        <f>IF(分析!J115&lt;&gt;"",分析!J115,"")</f>
        <v>1831800</v>
      </c>
      <c r="J137" s="148">
        <f>IF(分析!AB115&lt;&gt;"",分析!AB115,"")</f>
        <v>5408.4195519348268</v>
      </c>
      <c r="K137" s="148">
        <f>IF(分析!AC115&lt;&gt;"",分析!AC115,"")</f>
        <v>5488.3980929678173</v>
      </c>
      <c r="L137" s="148">
        <f>IF(分析!K115&lt;&gt;"",分析!K115,"")</f>
        <v>720</v>
      </c>
      <c r="M137" s="143" t="str">
        <f>IF(分析!P115&lt;&gt;"",分析!P115,"")</f>
        <v>減少↓</v>
      </c>
      <c r="N137" s="149">
        <f>IF(分析!O115&lt;&gt;"",分析!O115,"")</f>
        <v>0.35843149532344537</v>
      </c>
      <c r="O137" s="150">
        <f>IF(分析!X115&lt;&gt;"",分析!X115,"")</f>
        <v>-22.519085412694665</v>
      </c>
      <c r="P137" s="151">
        <f>IF(分析!L115&lt;&gt;"",分析!L115,"")</f>
        <v>-89.305555555555557</v>
      </c>
      <c r="Q137" s="148">
        <f>IF(分析!S115&lt;&gt;"",分析!S115,"")</f>
        <v>74</v>
      </c>
      <c r="R137" s="148">
        <f>IF(分析!R115&lt;&gt;"",分析!R115,"")</f>
        <v>83</v>
      </c>
      <c r="S137" s="143" t="str">
        <f>IF(分析!AA115&lt;&gt;"",分析!AA115,"")</f>
        <v>上昇▲</v>
      </c>
      <c r="T137" s="152">
        <f>IF(分析!Z115&lt;&gt;"",分析!Z115,"")</f>
        <v>10</v>
      </c>
      <c r="U137" s="143" t="str">
        <f>IF(分析!V115&lt;&gt;"",分析!V115,"")</f>
        <v>通常</v>
      </c>
      <c r="V137" s="153">
        <f>IF(分析!W115&lt;&gt;"",分析!W115,"")</f>
        <v>34.06326034063261</v>
      </c>
      <c r="W137" s="154" t="str">
        <f>IF(分析!AD115&lt;&gt;"",分析!AD115,"")</f>
        <v>下降トレンド▼</v>
      </c>
      <c r="X137" s="155" t="str">
        <f>IF(分析!AE115&lt;&gt;"",分析!AE115,"")</f>
        <v>なし</v>
      </c>
      <c r="Y137" s="156">
        <f>IF(分析!T115&lt;&gt;"",分析!T115,"")</f>
        <v>1</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8471</v>
      </c>
      <c r="F138" s="148">
        <f>IF(分析!F47&lt;&gt;"",分析!F47,"")</f>
        <v>8188</v>
      </c>
      <c r="G138" s="148">
        <f>IF(分析!H47&lt;&gt;"",分析!H47,"")</f>
        <v>8473</v>
      </c>
      <c r="H138" s="148">
        <f>IF(分析!I47&lt;&gt;"",分析!I47,"")</f>
        <v>8137</v>
      </c>
      <c r="I138" s="148">
        <f>IF(分析!J47&lt;&gt;"",分析!J47,"")</f>
        <v>6986100</v>
      </c>
      <c r="J138" s="148">
        <f>IF(分析!AB47&lt;&gt;"",分析!AB47,"")</f>
        <v>3543.3044806517305</v>
      </c>
      <c r="K138" s="148">
        <f>IF(分析!AC47&lt;&gt;"",分析!AC47,"")</f>
        <v>3542.8116805721088</v>
      </c>
      <c r="L138" s="148">
        <f>IF(分析!K47&lt;&gt;"",分析!K47,"")</f>
        <v>8816</v>
      </c>
      <c r="M138" s="143" t="str">
        <f>IF(分析!P47&lt;&gt;"",分析!P47,"")</f>
        <v>減少↓</v>
      </c>
      <c r="N138" s="149">
        <f>IF(分析!O47&lt;&gt;"",分析!O47,"")</f>
        <v>0.6115015974440895</v>
      </c>
      <c r="O138" s="150">
        <f>IF(分析!X47&lt;&gt;"",分析!X47,"")</f>
        <v>-15.346753489704497</v>
      </c>
      <c r="P138" s="151">
        <f>IF(分析!L47&lt;&gt;"",分析!L47,"")</f>
        <v>-3.9133393829401091</v>
      </c>
      <c r="Q138" s="148">
        <f>IF(分析!S47&lt;&gt;"",分析!S47,"")</f>
        <v>8132</v>
      </c>
      <c r="R138" s="148">
        <f>IF(分析!R47&lt;&gt;"",分析!R47,"")</f>
        <v>9149</v>
      </c>
      <c r="S138" s="143" t="str">
        <f>IF(分析!AA47&lt;&gt;"",分析!AA47,"")</f>
        <v>上昇▲</v>
      </c>
      <c r="T138" s="152">
        <f>IF(分析!Z47&lt;&gt;"",分析!Z47,"")</f>
        <v>4.6577711885347171</v>
      </c>
      <c r="U138" s="143" t="str">
        <f>IF(分析!V47&lt;&gt;"",分析!V47,"")</f>
        <v>高値圏</v>
      </c>
      <c r="V138" s="153">
        <f>IF(分析!W47&lt;&gt;"",分析!W47,"")</f>
        <v>44.802059864821373</v>
      </c>
      <c r="W138" s="154" t="str">
        <f>IF(分析!AD47&lt;&gt;"",分析!AD47,"")</f>
        <v>パーフェクト▲</v>
      </c>
      <c r="X138" s="155" t="str">
        <f>IF(分析!AE47&lt;&gt;"",分析!AE47,"")</f>
        <v>なし</v>
      </c>
      <c r="Y138" s="156">
        <f>IF(分析!T47&lt;&gt;"",分析!T47,"")</f>
        <v>11</v>
      </c>
      <c r="Z138" s="142" t="str">
        <f>IF(分析!Y47&lt;&gt;"",分析!Y47,"")</f>
        <v>○買い候補</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7159</v>
      </c>
      <c r="F139" s="148">
        <f>IF(分析!F61&lt;&gt;"",分析!F61,"")</f>
        <v>6990</v>
      </c>
      <c r="G139" s="148">
        <f>IF(分析!H61&lt;&gt;"",分析!H61,"")</f>
        <v>7174</v>
      </c>
      <c r="H139" s="148">
        <f>IF(分析!I61&lt;&gt;"",分析!I61,"")</f>
        <v>6868</v>
      </c>
      <c r="I139" s="148">
        <f>IF(分析!J61&lt;&gt;"",分析!J61,"")</f>
        <v>1867400</v>
      </c>
      <c r="J139" s="148">
        <f>IF(分析!AB61&lt;&gt;"",分析!AB61,"")</f>
        <v>1072.5376782077387</v>
      </c>
      <c r="K139" s="148">
        <f>IF(分析!AC61&lt;&gt;"",分析!AC61,"")</f>
        <v>1043.5589988081044</v>
      </c>
      <c r="L139" s="148">
        <f>IF(分析!K61&lt;&gt;"",分析!K61,"")</f>
        <v>7559</v>
      </c>
      <c r="M139" s="143" t="str">
        <f>IF(分析!P61&lt;&gt;"",分析!P61,"")</f>
        <v>減少↓</v>
      </c>
      <c r="N139" s="149">
        <f>IF(分析!O61&lt;&gt;"",分析!O61,"")</f>
        <v>0.36982465312847812</v>
      </c>
      <c r="O139" s="150">
        <f>IF(分析!X61&lt;&gt;"",分析!X61,"")</f>
        <v>83.434647885082995</v>
      </c>
      <c r="P139" s="151">
        <f>IF(分析!L61&lt;&gt;"",分析!L61,"")</f>
        <v>-5.2917052520174623</v>
      </c>
      <c r="Q139" s="148">
        <f>IF(分析!S61&lt;&gt;"",分析!S61,"")</f>
        <v>6873</v>
      </c>
      <c r="R139" s="148">
        <f>IF(分析!R61&lt;&gt;"",分析!R61,"")</f>
        <v>7732</v>
      </c>
      <c r="S139" s="143" t="str">
        <f>IF(分析!AA61&lt;&gt;"",分析!AA61,"")</f>
        <v>上昇▲</v>
      </c>
      <c r="T139" s="152">
        <f>IF(分析!Z61&lt;&gt;"",分析!Z61,"")</f>
        <v>7.3474284000599788</v>
      </c>
      <c r="U139" s="143" t="str">
        <f>IF(分析!V61&lt;&gt;"",分析!V61,"")</f>
        <v>通常</v>
      </c>
      <c r="V139" s="153">
        <f>IF(分析!W61&lt;&gt;"",分析!W61,"")</f>
        <v>68.761439902379493</v>
      </c>
      <c r="W139" s="154" t="str">
        <f>IF(分析!AD61&lt;&gt;"",分析!AD61,"")</f>
        <v>パーフェクト▲</v>
      </c>
      <c r="X139" s="155" t="str">
        <f>IF(分析!AE61&lt;&gt;"",分析!AE61,"")</f>
        <v>なし</v>
      </c>
      <c r="Y139" s="156">
        <f>IF(分析!T61&lt;&gt;"",分析!T61,"")</f>
        <v>8</v>
      </c>
      <c r="Z139" s="142" t="str">
        <f>IF(分析!Y61&lt;&gt;"",分析!Y61,"")</f>
        <v>△注目</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1707</v>
      </c>
      <c r="F140" s="148">
        <f>IF(分析!F59&lt;&gt;"",分析!F59,"")</f>
        <v>1660</v>
      </c>
      <c r="G140" s="148">
        <f>IF(分析!H59&lt;&gt;"",分析!H59,"")</f>
        <v>1712.5</v>
      </c>
      <c r="H140" s="148">
        <f>IF(分析!I59&lt;&gt;"",分析!I59,"")</f>
        <v>1657.5</v>
      </c>
      <c r="I140" s="148">
        <f>IF(分析!J59&lt;&gt;"",分析!J59,"")</f>
        <v>6146900</v>
      </c>
      <c r="J140" s="148">
        <f>IF(分析!AB59&lt;&gt;"",分析!AB59,"")</f>
        <v>1812.2927698574335</v>
      </c>
      <c r="K140" s="148">
        <f>IF(分析!AC59&lt;&gt;"",分析!AC59,"")</f>
        <v>1777.8337306317044</v>
      </c>
      <c r="L140" s="148">
        <f>IF(分析!K59&lt;&gt;"",分析!K59,"")</f>
        <v>1697.5</v>
      </c>
      <c r="M140" s="143" t="str">
        <f>IF(分析!P59&lt;&gt;"",分析!P59,"")</f>
        <v/>
      </c>
      <c r="N140" s="149" t="str">
        <f>IF(分析!O59&lt;&gt;"",分析!O59,"")</f>
        <v/>
      </c>
      <c r="O140" s="150">
        <f>IF(分析!X59&lt;&gt;"",分析!X59,"")</f>
        <v>0</v>
      </c>
      <c r="P140" s="151">
        <f>IF(分析!L59&lt;&gt;"",分析!L59,"")</f>
        <v>0.55964653902798234</v>
      </c>
      <c r="Q140" s="148">
        <f>IF(分析!S59&lt;&gt;"",分析!S59,"")</f>
        <v>1639</v>
      </c>
      <c r="R140" s="148">
        <f>IF(分析!R59&lt;&gt;"",分析!R59,"")</f>
        <v>1844</v>
      </c>
      <c r="S140" s="143" t="str">
        <f>IF(分析!AA59&lt;&gt;"",分析!AA59,"")</f>
        <v>上昇▲</v>
      </c>
      <c r="T140" s="152" t="str">
        <f>IF(分析!Z59&lt;&gt;"",分析!Z59,"")</f>
        <v/>
      </c>
      <c r="U140" s="143" t="str">
        <f>IF(分析!V59&lt;&gt;"",分析!V59,"")</f>
        <v>年初来高値更新●</v>
      </c>
      <c r="V140" s="153">
        <f>IF(分析!W59&lt;&gt;"",分析!W59,"")</f>
        <v>50</v>
      </c>
      <c r="W140" s="154" t="str">
        <f>IF(分析!AD59&lt;&gt;"",分析!AD59,"")</f>
        <v>もみ合い→</v>
      </c>
      <c r="X140" s="155" t="str">
        <f>IF(分析!AE59&lt;&gt;"",分析!AE59,"")</f>
        <v>なし</v>
      </c>
      <c r="Y140" s="156">
        <f>IF(分析!T59&lt;&gt;"",分析!T59,"")</f>
        <v>11</v>
      </c>
      <c r="Z140" s="142" t="str">
        <f>IF(分析!Y59&lt;&gt;"",分析!Y59,"")</f>
        <v>○買い候補</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4820</v>
      </c>
      <c r="F141" s="133">
        <f>IF(分析!F62&lt;&gt;"",分析!F62,"")</f>
        <v>4901</v>
      </c>
      <c r="G141" s="133">
        <f>IF(分析!H62&lt;&gt;"",分析!H62,"")</f>
        <v>4922</v>
      </c>
      <c r="H141" s="133">
        <f>IF(分析!I62&lt;&gt;"",分析!I62,"")</f>
        <v>4788</v>
      </c>
      <c r="I141" s="133">
        <f>IF(分析!J62&lt;&gt;"",分析!J62,"")</f>
        <v>5208400</v>
      </c>
      <c r="J141" s="133">
        <f>IF(分析!AB62&lt;&gt;"",分析!AB62,"")</f>
        <v>3830.0631364562119</v>
      </c>
      <c r="K141" s="133">
        <f>IF(分析!AC62&lt;&gt;"",分析!AC62,"")</f>
        <v>3847.276519666269</v>
      </c>
      <c r="L141" s="133">
        <f>IF(分析!K62&lt;&gt;"",分析!K62,"")</f>
        <v>6328</v>
      </c>
      <c r="M141" s="128" t="str">
        <f>IF(分析!P62&lt;&gt;"",分析!P62,"")</f>
        <v>減少↓</v>
      </c>
      <c r="N141" s="134">
        <f>IF(分析!O62&lt;&gt;"",分析!O62,"")</f>
        <v>0.7194300253328213</v>
      </c>
      <c r="O141" s="135">
        <f>IF(分析!X62&lt;&gt;"",分析!X62,"")</f>
        <v>38.023927415728394</v>
      </c>
      <c r="P141" s="136">
        <f>IF(分析!L62&lt;&gt;"",分析!L62,"")</f>
        <v>-23.830594184576487</v>
      </c>
      <c r="Q141" s="133">
        <f>IF(分析!S62&lt;&gt;"",分析!S62,"")</f>
        <v>4627</v>
      </c>
      <c r="R141" s="133">
        <f>IF(分析!R62&lt;&gt;"",分析!R62,"")</f>
        <v>5206</v>
      </c>
      <c r="S141" s="128" t="str">
        <f>IF(分析!AA62&lt;&gt;"",分析!AA62,"")</f>
        <v>下落▼</v>
      </c>
      <c r="T141" s="137">
        <f>IF(分析!Z62&lt;&gt;"",分析!Z62,"")</f>
        <v>-6.0795011691348408</v>
      </c>
      <c r="U141" s="128" t="str">
        <f>IF(分析!V62&lt;&gt;"",分析!V62,"")</f>
        <v>通常</v>
      </c>
      <c r="V141" s="138">
        <f>IF(分析!W62&lt;&gt;"",分析!W62,"")</f>
        <v>61.36363636363636</v>
      </c>
      <c r="W141" s="139" t="str">
        <f>IF(分析!AD62&lt;&gt;"",分析!AD62,"")</f>
        <v>上昇トレンド▲</v>
      </c>
      <c r="X141" s="140" t="str">
        <f>IF(分析!AE62&lt;&gt;"",分析!AE62,"")</f>
        <v>なし</v>
      </c>
      <c r="Y141" s="141">
        <f>IF(分析!T62&lt;&gt;"",分析!T62,"")</f>
        <v>6</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6938</v>
      </c>
      <c r="F142" s="148">
        <f>IF(分析!F39&lt;&gt;"",分析!F39,"")</f>
        <v>6863</v>
      </c>
      <c r="G142" s="148">
        <f>IF(分析!H39&lt;&gt;"",分析!H39,"")</f>
        <v>6944</v>
      </c>
      <c r="H142" s="148">
        <f>IF(分析!I39&lt;&gt;"",分析!I39,"")</f>
        <v>6852</v>
      </c>
      <c r="I142" s="148">
        <f>IF(分析!J39&lt;&gt;"",分析!J39,"")</f>
        <v>752800</v>
      </c>
      <c r="J142" s="148">
        <f>IF(分析!AB39&lt;&gt;"",分析!AB39,"")</f>
        <v>878.50356415478598</v>
      </c>
      <c r="K142" s="148">
        <f>IF(分析!AC39&lt;&gt;"",分析!AC39,"")</f>
        <v>859.56579261025013</v>
      </c>
      <c r="L142" s="148">
        <f>IF(分析!K39&lt;&gt;"",分析!K39,"")</f>
        <v>7413</v>
      </c>
      <c r="M142" s="143" t="str">
        <f>IF(分析!P39&lt;&gt;"",分析!P39,"")</f>
        <v>減少↓</v>
      </c>
      <c r="N142" s="149">
        <f>IF(分析!O39&lt;&gt;"",分析!O39,"")</f>
        <v>0.25772878222465678</v>
      </c>
      <c r="O142" s="150">
        <f>IF(分析!X39&lt;&gt;"",分析!X39,"")</f>
        <v>76.339272565170177</v>
      </c>
      <c r="P142" s="151">
        <f>IF(分析!L39&lt;&gt;"",分析!L39,"")</f>
        <v>-6.4076622150276545</v>
      </c>
      <c r="Q142" s="148">
        <f>IF(分析!S39&lt;&gt;"",分析!S39,"")</f>
        <v>6660</v>
      </c>
      <c r="R142" s="148">
        <f>IF(分析!R39&lt;&gt;"",分析!R39,"")</f>
        <v>7493</v>
      </c>
      <c r="S142" s="143" t="str">
        <f>IF(分析!AA39&lt;&gt;"",分析!AA39,"")</f>
        <v>上昇▲</v>
      </c>
      <c r="T142" s="152">
        <f>IF(分析!Z39&lt;&gt;"",分析!Z39,"")</f>
        <v>0.96041909196740405</v>
      </c>
      <c r="U142" s="143" t="str">
        <f>IF(分析!V39&lt;&gt;"",分析!V39,"")</f>
        <v>通常</v>
      </c>
      <c r="V142" s="153">
        <f>IF(分析!W39&lt;&gt;"",分析!W39,"")</f>
        <v>63.437926330150063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4100</v>
      </c>
      <c r="F143" s="148">
        <f>IF(分析!F101&lt;&gt;"",分析!F101,"")</f>
        <v>3927</v>
      </c>
      <c r="G143" s="148">
        <f>IF(分析!H101&lt;&gt;"",分析!H101,"")</f>
        <v>4126</v>
      </c>
      <c r="H143" s="148">
        <f>IF(分析!I101&lt;&gt;"",分析!I101,"")</f>
        <v>3913</v>
      </c>
      <c r="I143" s="148">
        <f>IF(分析!J101&lt;&gt;"",分析!J101,"")</f>
        <v>2553100</v>
      </c>
      <c r="J143" s="148">
        <f>IF(分析!AB101&lt;&gt;"",分析!AB101,"")</f>
        <v>4300.9307535641537</v>
      </c>
      <c r="K143" s="148">
        <f>IF(分析!AC101&lt;&gt;"",分析!AC101,"")</f>
        <v>4553.9976162097728</v>
      </c>
      <c r="L143" s="148">
        <f>IF(分析!K101&lt;&gt;"",分析!K101,"")</f>
        <v>5307</v>
      </c>
      <c r="M143" s="143" t="str">
        <f>IF(分析!P101&lt;&gt;"",分析!P101,"")</f>
        <v>減少↓</v>
      </c>
      <c r="N143" s="149">
        <f>IF(分析!O101&lt;&gt;"",分析!O101,"")</f>
        <v>0.77671232043224037</v>
      </c>
      <c r="O143" s="150">
        <f>IF(分析!X101&lt;&gt;"",分析!X101,"")</f>
        <v>-101.80795776133436</v>
      </c>
      <c r="P143" s="151">
        <f>IF(分析!L101&lt;&gt;"",分析!L101,"")</f>
        <v>-22.743546259657059</v>
      </c>
      <c r="Q143" s="148">
        <f>IF(分析!S101&lt;&gt;"",分析!S101,"")</f>
        <v>3936</v>
      </c>
      <c r="R143" s="148">
        <f>IF(分析!R101&lt;&gt;"",分析!R101,"")</f>
        <v>4428</v>
      </c>
      <c r="S143" s="143" t="str">
        <f>IF(分析!AA101&lt;&gt;"",分析!AA101,"")</f>
        <v>上昇▲</v>
      </c>
      <c r="T143" s="152">
        <f>IF(分析!Z101&lt;&gt;"",分析!Z101,"")</f>
        <v>8.897742363877823</v>
      </c>
      <c r="U143" s="143" t="str">
        <f>IF(分析!V101&lt;&gt;"",分析!V101,"")</f>
        <v>通常</v>
      </c>
      <c r="V143" s="153">
        <f>IF(分析!W101&lt;&gt;"",分析!W101,"")</f>
        <v>34.776006074411541</v>
      </c>
      <c r="W143" s="154" t="str">
        <f>IF(分析!AD101&lt;&gt;"",分析!AD101,"")</f>
        <v>下降トレンド▼</v>
      </c>
      <c r="X143" s="155" t="str">
        <f>IF(分析!AE101&lt;&gt;"",分析!AE101,"")</f>
        <v>なし</v>
      </c>
      <c r="Y143" s="156">
        <f>IF(分析!T101&lt;&gt;"",分析!T101,"")</f>
        <v>1</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3860</v>
      </c>
      <c r="F144" s="133">
        <f>IF(分析!F102&lt;&gt;"",分析!F102,"")</f>
        <v>3868</v>
      </c>
      <c r="G144" s="133">
        <f>IF(分析!H102&lt;&gt;"",分析!H102,"")</f>
        <v>3884</v>
      </c>
      <c r="H144" s="133">
        <f>IF(分析!I102&lt;&gt;"",分析!I102,"")</f>
        <v>3829</v>
      </c>
      <c r="I144" s="133">
        <f>IF(分析!J102&lt;&gt;"",分析!J102,"")</f>
        <v>154400</v>
      </c>
      <c r="J144" s="133">
        <f>IF(分析!AB102&lt;&gt;"",分析!AB102,"")</f>
        <v>2374.9485743380851</v>
      </c>
      <c r="K144" s="133">
        <f>IF(分析!AC102&lt;&gt;"",分析!AC102,"")</f>
        <v>2388.4410011918944</v>
      </c>
      <c r="L144" s="133">
        <f>IF(分析!K102&lt;&gt;"",分析!K102,"")</f>
        <v>4310</v>
      </c>
      <c r="M144" s="128" t="str">
        <f>IF(分析!P102&lt;&gt;"",分析!P102,"")</f>
        <v>減少↓</v>
      </c>
      <c r="N144" s="134">
        <f>IF(分析!O102&lt;&gt;"",分析!O102,"")</f>
        <v>0.29516344867138217</v>
      </c>
      <c r="O144" s="135">
        <f>IF(分析!X102&lt;&gt;"",分析!X102,"")</f>
        <v>-0.68984114727345514</v>
      </c>
      <c r="P144" s="136">
        <f>IF(分析!L102&lt;&gt;"",分析!L102,"")</f>
        <v>-10.440835266821345</v>
      </c>
      <c r="Q144" s="133">
        <f>IF(分析!S102&lt;&gt;"",分析!S102,"")</f>
        <v>3706</v>
      </c>
      <c r="R144" s="133">
        <f>IF(分析!R102&lt;&gt;"",分析!R102,"")</f>
        <v>4169</v>
      </c>
      <c r="S144" s="128" t="str">
        <f>IF(分析!AA102&lt;&gt;"",分析!AA102,"")</f>
        <v>下落▼</v>
      </c>
      <c r="T144" s="137">
        <f>IF(分析!Z102&lt;&gt;"",分析!Z102,"")</f>
        <v>-1.8560894991100942</v>
      </c>
      <c r="U144" s="128" t="str">
        <f>IF(分析!V102&lt;&gt;"",分析!V102,"")</f>
        <v>通常</v>
      </c>
      <c r="V144" s="138">
        <f>IF(分析!W102&lt;&gt;"",分析!W102,"")</f>
        <v>51.222636236609226</v>
      </c>
      <c r="W144" s="139" t="str">
        <f>IF(分析!AD102&lt;&gt;"",分析!AD102,"")</f>
        <v>上昇トレンド▲</v>
      </c>
      <c r="X144" s="140" t="str">
        <f>IF(分析!AE102&lt;&gt;"",分析!AE102,"")</f>
        <v>なし</v>
      </c>
      <c r="Y144" s="141">
        <f>IF(分析!T102&lt;&gt;"",分析!T102,"")</f>
        <v>6</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3005</v>
      </c>
      <c r="F145" s="148">
        <f>IF(分析!F63&lt;&gt;"",分析!F63,"")</f>
        <v>2990</v>
      </c>
      <c r="G145" s="148">
        <f>IF(分析!H63&lt;&gt;"",分析!H63,"")</f>
        <v>3010</v>
      </c>
      <c r="H145" s="148">
        <f>IF(分析!I63&lt;&gt;"",分析!I63,"")</f>
        <v>2980</v>
      </c>
      <c r="I145" s="148">
        <f>IF(分析!J63&lt;&gt;"",分析!J63,"")</f>
        <v>59500</v>
      </c>
      <c r="J145" s="148">
        <f>IF(分析!AB63&lt;&gt;"",分析!AB63,"")</f>
        <v>5192.1323828920567</v>
      </c>
      <c r="K145" s="148">
        <f>IF(分析!AC63&lt;&gt;"",分析!AC63,"")</f>
        <v>5511.7187127532743</v>
      </c>
      <c r="L145" s="148">
        <f>IF(分析!K63&lt;&gt;"",分析!K63,"")</f>
        <v>3330</v>
      </c>
      <c r="M145" s="143" t="str">
        <f>IF(分析!P63&lt;&gt;"",分析!P63,"")</f>
        <v>減少↓</v>
      </c>
      <c r="N145" s="149">
        <f>IF(分析!O63&lt;&gt;"",分析!O63,"")</f>
        <v>0.19808242892336375</v>
      </c>
      <c r="O145" s="150">
        <f>IF(分析!X63&lt;&gt;"",分析!X63,"")</f>
        <v>-1.6318923415547033</v>
      </c>
      <c r="P145" s="151">
        <f>IF(分析!L63&lt;&gt;"",分析!L63,"")</f>
        <v>-9.7597597597597598</v>
      </c>
      <c r="Q145" s="148">
        <f>IF(分析!S63&lt;&gt;"",分析!S63,"")</f>
        <v>2885</v>
      </c>
      <c r="R145" s="148">
        <f>IF(分析!R63&lt;&gt;"",分析!R63,"")</f>
        <v>3245</v>
      </c>
      <c r="S145" s="143" t="str">
        <f>IF(分析!AA63&lt;&gt;"",分析!AA63,"")</f>
        <v>上昇▲</v>
      </c>
      <c r="T145" s="152">
        <f>IF(分析!Z63&lt;&gt;"",分析!Z63,"")</f>
        <v>0.333889816360601</v>
      </c>
      <c r="U145" s="143" t="str">
        <f>IF(分析!V63&lt;&gt;"",分析!V63,"")</f>
        <v>通常</v>
      </c>
      <c r="V145" s="153">
        <f>IF(分析!W63&lt;&gt;"",分析!W63,"")</f>
        <v>45.98540145985401</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7650</v>
      </c>
      <c r="F146" s="148">
        <f>IF(分析!F65&lt;&gt;"",分析!F65,"")</f>
        <v>7850</v>
      </c>
      <c r="G146" s="148">
        <f>IF(分析!H65&lt;&gt;"",分析!H65,"")</f>
        <v>7940</v>
      </c>
      <c r="H146" s="148">
        <f>IF(分析!I65&lt;&gt;"",分析!I65,"")</f>
        <v>7120</v>
      </c>
      <c r="I146" s="148">
        <f>IF(分析!J65&lt;&gt;"",分析!J65,"")</f>
        <v>329900</v>
      </c>
      <c r="J146" s="148">
        <f>IF(分析!AB65&lt;&gt;"",分析!AB65,"")</f>
        <v>1861.8635437881874</v>
      </c>
      <c r="K146" s="148">
        <f>IF(分析!AC65&lt;&gt;"",分析!AC65,"")</f>
        <v>1902.005959475566</v>
      </c>
      <c r="L146" s="148">
        <f>IF(分析!K65&lt;&gt;"",分析!K65,"")</f>
        <v>8380</v>
      </c>
      <c r="M146" s="143" t="str">
        <f>IF(分析!P65&lt;&gt;"",分析!P65,"")</f>
        <v>急増↑↑</v>
      </c>
      <c r="N146" s="149">
        <f>IF(分析!O65&lt;&gt;"",分析!O65,"")</f>
        <v>2.3618270332187858</v>
      </c>
      <c r="O146" s="150">
        <f>IF(分析!X65&lt;&gt;"",分析!X65,"")</f>
        <v>-18.58154983899658</v>
      </c>
      <c r="P146" s="151">
        <f>IF(分析!L65&lt;&gt;"",分析!L65,"")</f>
        <v>-8.7112171837708843</v>
      </c>
      <c r="Q146" s="148">
        <f>IF(分析!S65&lt;&gt;"",分析!S65,"")</f>
        <v>7344</v>
      </c>
      <c r="R146" s="148">
        <f>IF(分析!R65&lt;&gt;"",分析!R65,"")</f>
        <v>8262</v>
      </c>
      <c r="S146" s="143" t="str">
        <f>IF(分析!AA65&lt;&gt;"",分析!AA65,"")</f>
        <v>下落▼</v>
      </c>
      <c r="T146" s="152">
        <f>IF(分析!Z65&lt;&gt;"",分析!Z65,"")</f>
        <v>-1.9230769230769231</v>
      </c>
      <c r="U146" s="143" t="str">
        <f>IF(分析!V65&lt;&gt;"",分析!V65,"")</f>
        <v>通常</v>
      </c>
      <c r="V146" s="153">
        <f>IF(分析!W65&lt;&gt;"",分析!W65,"")</f>
        <v>59.706959706959708</v>
      </c>
      <c r="W146" s="154" t="str">
        <f>IF(分析!AD65&lt;&gt;"",分析!AD65,"")</f>
        <v>上昇トレンド▲</v>
      </c>
      <c r="X146" s="155" t="str">
        <f>IF(分析!AE65&lt;&gt;"",分析!AE65,"")</f>
        <v>なし</v>
      </c>
      <c r="Y146" s="156">
        <f>IF(分析!T65&lt;&gt;"",分析!T65,"")</f>
        <v>9</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1523</v>
      </c>
      <c r="F147" s="148">
        <f>IF(分析!F201&lt;&gt;"",分析!F201,"")</f>
        <v>1493</v>
      </c>
      <c r="G147" s="148">
        <f>IF(分析!H201&lt;&gt;"",分析!H201,"")</f>
        <v>1528</v>
      </c>
      <c r="H147" s="148">
        <f>IF(分析!I201&lt;&gt;"",分析!I201,"")</f>
        <v>1484</v>
      </c>
      <c r="I147" s="148">
        <f>IF(分析!J201&lt;&gt;"",分析!J201,"")</f>
        <v>67100</v>
      </c>
      <c r="J147" s="148">
        <f>IF(分析!AB201&lt;&gt;"",分析!AB201,"")</f>
        <v>5374.1608961303455</v>
      </c>
      <c r="K147" s="148">
        <f>IF(分析!AC201&lt;&gt;"",分析!AC201,"")</f>
        <v>5363.3313468414754</v>
      </c>
      <c r="L147" s="148">
        <f>IF(分析!K201&lt;&gt;"",分析!K201,"")</f>
        <v>1821</v>
      </c>
      <c r="M147" s="143" t="str">
        <f>IF(分析!P201&lt;&gt;"",分析!P201,"")</f>
        <v>減少↓</v>
      </c>
      <c r="N147" s="149">
        <f>IF(分析!O201&lt;&gt;"",分析!O201,"")</f>
        <v>0.41256763403836694</v>
      </c>
      <c r="O147" s="150">
        <f>IF(分析!X201&lt;&gt;"",分析!X201,"")</f>
        <v>-20.38485267016631</v>
      </c>
      <c r="P147" s="151">
        <f>IF(分析!L201&lt;&gt;"",分析!L201,"")</f>
        <v>-16.364634816035146</v>
      </c>
      <c r="Q147" s="148">
        <f>IF(分析!S201&lt;&gt;"",分析!S201,"")</f>
        <v>1462</v>
      </c>
      <c r="R147" s="148">
        <f>IF(分析!R201&lt;&gt;"",分析!R201,"")</f>
        <v>1645</v>
      </c>
      <c r="S147" s="143" t="str">
        <f>IF(分析!AA201&lt;&gt;"",分析!AA201,"")</f>
        <v>上昇▲</v>
      </c>
      <c r="T147" s="152">
        <f>IF(分析!Z201&lt;&gt;"",分析!Z201,"")</f>
        <v>3.746594005449591</v>
      </c>
      <c r="U147" s="143" t="str">
        <f>IF(分析!V201&lt;&gt;"",分析!V201,"")</f>
        <v>通常</v>
      </c>
      <c r="V147" s="153">
        <f>IF(分析!W201&lt;&gt;"",分析!W201,"")</f>
        <v>33.055555555555557</v>
      </c>
      <c r="W147" s="154" t="str">
        <f>IF(分析!AD201&lt;&gt;"",分析!AD201,"")</f>
        <v>もみ合い→</v>
      </c>
      <c r="X147" s="155" t="str">
        <f>IF(分析!AE201&lt;&gt;"",分析!AE201,"")</f>
        <v>なし</v>
      </c>
      <c r="Y147" s="156">
        <f>IF(分析!T201&lt;&gt;"",分析!T201,"")</f>
        <v>1</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18900</v>
      </c>
      <c r="F148" s="133">
        <f>IF(分析!F68&lt;&gt;"",分析!F68,"")</f>
        <v>18100</v>
      </c>
      <c r="G148" s="133">
        <f>IF(分析!H68&lt;&gt;"",分析!H68,"")</f>
        <v>18945</v>
      </c>
      <c r="H148" s="133">
        <f>IF(分析!I68&lt;&gt;"",分析!I68,"")</f>
        <v>17625</v>
      </c>
      <c r="I148" s="133">
        <f>IF(分析!J68&lt;&gt;"",分析!J68,"")</f>
        <v>761100</v>
      </c>
      <c r="J148" s="133">
        <f>IF(分析!AB68&lt;&gt;"",分析!AB68,"")</f>
        <v>112.55193482688388</v>
      </c>
      <c r="K148" s="133">
        <f>IF(分析!AC68&lt;&gt;"",分析!AC68,"")</f>
        <v>107.71752085816445</v>
      </c>
      <c r="L148" s="133">
        <f>IF(分析!K68&lt;&gt;"",分析!K68,"")</f>
        <v>21310</v>
      </c>
      <c r="M148" s="128" t="str">
        <f>IF(分析!P68&lt;&gt;"",分析!P68,"")</f>
        <v>普通→</v>
      </c>
      <c r="N148" s="134">
        <f>IF(分析!O68&lt;&gt;"",分析!O68,"")</f>
        <v>1.1956077790694022</v>
      </c>
      <c r="O148" s="135">
        <f>IF(分析!X68&lt;&gt;"",分析!X68,"")</f>
        <v>-272.8845840016802</v>
      </c>
      <c r="P148" s="136">
        <f>IF(分析!L68&lt;&gt;"",分析!L68,"")</f>
        <v>-11.309244486156734</v>
      </c>
      <c r="Q148" s="133">
        <f>IF(分析!S68&lt;&gt;"",分析!S68,"")</f>
        <v>18144</v>
      </c>
      <c r="R148" s="133">
        <f>IF(分析!R68&lt;&gt;"",分析!R68,"")</f>
        <v>20412</v>
      </c>
      <c r="S148" s="128" t="str">
        <f>IF(分析!AA68&lt;&gt;"",分析!AA68,"")</f>
        <v>上昇▲</v>
      </c>
      <c r="T148" s="137">
        <f>IF(分析!Z68&lt;&gt;"",分析!Z68,"")</f>
        <v>9.660574412532636</v>
      </c>
      <c r="U148" s="128" t="str">
        <f>IF(分析!V68&lt;&gt;"",分析!V68,"")</f>
        <v>通常</v>
      </c>
      <c r="V148" s="138">
        <f>IF(分析!W68&lt;&gt;"",分析!W68,"")</f>
        <v>43.28802039082413</v>
      </c>
      <c r="W148" s="139" t="str">
        <f>IF(分析!AD68&lt;&gt;"",分析!AD68,"")</f>
        <v>パーフェクト▲</v>
      </c>
      <c r="X148" s="140" t="str">
        <f>IF(分析!AE68&lt;&gt;"",分析!AE68,"")</f>
        <v>なし</v>
      </c>
      <c r="Y148" s="141">
        <f>IF(分析!T68&lt;&gt;"",分析!T68,"")</f>
        <v>4</v>
      </c>
      <c r="Z148" s="142" t="str">
        <f>IF(分析!Y68&lt;&gt;"",分析!Y68,"")</f>
        <v>様子見</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1154</v>
      </c>
      <c r="F149" s="133">
        <f>IF(分析!F70&lt;&gt;"",分析!F70,"")</f>
        <v>1138</v>
      </c>
      <c r="G149" s="133">
        <f>IF(分析!H70&lt;&gt;"",分析!H70,"")</f>
        <v>1178</v>
      </c>
      <c r="H149" s="133">
        <f>IF(分析!I70&lt;&gt;"",分析!I70,"")</f>
        <v>1138</v>
      </c>
      <c r="I149" s="133">
        <f>IF(分析!J70&lt;&gt;"",分析!J70,"")</f>
        <v>402100</v>
      </c>
      <c r="J149" s="133">
        <f>IF(分析!AB70&lt;&gt;"",分析!AB70,"")</f>
        <v>2290.3828920570263</v>
      </c>
      <c r="K149" s="133">
        <f>IF(分析!AC70&lt;&gt;"",分析!AC70,"")</f>
        <v>2315.1680572109653</v>
      </c>
      <c r="L149" s="133">
        <f>IF(分析!K70&lt;&gt;"",分析!K70,"")</f>
        <v>1189</v>
      </c>
      <c r="M149" s="128" t="str">
        <f>IF(分析!P70&lt;&gt;"",分析!P70,"")</f>
        <v>減少↓</v>
      </c>
      <c r="N149" s="134">
        <f>IF(分析!O70&lt;&gt;"",分析!O70,"")</f>
        <v>0.54168013794589931</v>
      </c>
      <c r="O149" s="135">
        <f>IF(分析!X70&lt;&gt;"",分析!X70,"")</f>
        <v>10.544505431083508</v>
      </c>
      <c r="P149" s="136">
        <f>IF(分析!L70&lt;&gt;"",分析!L70,"")</f>
        <v>-2.9436501261564341</v>
      </c>
      <c r="Q149" s="133">
        <f>IF(分析!S70&lt;&gt;"",分析!S70,"")</f>
        <v>1108</v>
      </c>
      <c r="R149" s="133">
        <f>IF(分析!R70&lt;&gt;"",分析!R70,"")</f>
        <v>1246</v>
      </c>
      <c r="S149" s="128" t="str">
        <f>IF(分析!AA70&lt;&gt;"",分析!AA70,"")</f>
        <v>上昇▲</v>
      </c>
      <c r="T149" s="137">
        <f>IF(分析!Z70&lt;&gt;"",分析!Z70,"")</f>
        <v>2.3957409050576755</v>
      </c>
      <c r="U149" s="128" t="str">
        <f>IF(分析!V70&lt;&gt;"",分析!V70,"")</f>
        <v>高値圏</v>
      </c>
      <c r="V149" s="138">
        <f>IF(分析!W70&lt;&gt;"",分析!W70,"")</f>
        <v>59.477124183006538</v>
      </c>
      <c r="W149" s="139" t="str">
        <f>IF(分析!AD70&lt;&gt;"",分析!AD70,"")</f>
        <v>下降トレンド▼</v>
      </c>
      <c r="X149" s="140" t="str">
        <f>IF(分析!AE70&lt;&gt;"",分析!AE70,"")</f>
        <v>なし</v>
      </c>
      <c r="Y149" s="141">
        <f>IF(分析!T70&lt;&gt;"",分析!T70,"")</f>
        <v>9</v>
      </c>
      <c r="Z149" s="142" t="str">
        <f>IF(分析!Y70&lt;&gt;"",分析!Y70,"")</f>
        <v>△注目</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5224</v>
      </c>
      <c r="F150" s="133">
        <f>IF(分析!F204&lt;&gt;"",分析!F204,"")</f>
        <v>5356</v>
      </c>
      <c r="G150" s="133">
        <f>IF(分析!H204&lt;&gt;"",分析!H204,"")</f>
        <v>5454</v>
      </c>
      <c r="H150" s="133">
        <f>IF(分析!I204&lt;&gt;"",分析!I204,"")</f>
        <v>5102</v>
      </c>
      <c r="I150" s="133">
        <f>IF(分析!J204&lt;&gt;"",分析!J204,"")</f>
        <v>2227400</v>
      </c>
      <c r="J150" s="133">
        <f>IF(分析!AB204&lt;&gt;"",分析!AB204,"")</f>
        <v>2509.7805299539168</v>
      </c>
      <c r="K150" s="133">
        <f>IF(分析!AC204&lt;&gt;"",分析!AC204,"")</f>
        <v>2525.3939213349208</v>
      </c>
      <c r="L150" s="133">
        <f>IF(分析!K204&lt;&gt;"",分析!K204,"")</f>
        <v>8040</v>
      </c>
      <c r="M150" s="128" t="str">
        <f>IF(分析!P204&lt;&gt;"",分析!P204,"")</f>
        <v>普通→</v>
      </c>
      <c r="N150" s="134">
        <f>IF(分析!O204&lt;&gt;"",分析!O204,"")</f>
        <v>1.1625625019572638</v>
      </c>
      <c r="O150" s="135">
        <f>IF(分析!X204&lt;&gt;"",分析!X204,"")</f>
        <v>-65.829833345937004</v>
      </c>
      <c r="P150" s="136">
        <f>IF(分析!L204&lt;&gt;"",分析!L204,"")</f>
        <v>-35.024875621890551</v>
      </c>
      <c r="Q150" s="133">
        <f>IF(分析!S204&lt;&gt;"",分析!S204,"")</f>
        <v>5015</v>
      </c>
      <c r="R150" s="133">
        <f>IF(分析!R204&lt;&gt;"",分析!R204,"")</f>
        <v>5642</v>
      </c>
      <c r="S150" s="128" t="str">
        <f>IF(分析!AA204&lt;&gt;"",分析!AA204,"")</f>
        <v>下落▼</v>
      </c>
      <c r="T150" s="137">
        <f>IF(分析!Z204&lt;&gt;"",分析!Z204,"")</f>
        <v>-0.58991436726926738</v>
      </c>
      <c r="U150" s="128" t="str">
        <f>IF(分析!V204&lt;&gt;"",分析!V204,"")</f>
        <v>通常</v>
      </c>
      <c r="V150" s="138">
        <f>IF(分析!W204&lt;&gt;"",分析!W204,"")</f>
        <v>33.243243243243242</v>
      </c>
      <c r="W150" s="139" t="str">
        <f>IF(分析!AD204&lt;&gt;"",分析!AD204,"")</f>
        <v>上昇トレンド▲</v>
      </c>
      <c r="X150" s="140" t="str">
        <f>IF(分析!AE204&lt;&gt;"",分析!AE204,"")</f>
        <v>なし</v>
      </c>
      <c r="Y150" s="141">
        <f>IF(分析!T204&lt;&gt;"",分析!T204,"")</f>
        <v>3</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3135</v>
      </c>
      <c r="F151" s="133">
        <f>IF(分析!F26&lt;&gt;"",分析!F26,"")</f>
        <v>3115</v>
      </c>
      <c r="G151" s="133">
        <f>IF(分析!H26&lt;&gt;"",分析!H26,"")</f>
        <v>3157</v>
      </c>
      <c r="H151" s="133">
        <f>IF(分析!I26&lt;&gt;"",分析!I26,"")</f>
        <v>3103</v>
      </c>
      <c r="I151" s="133">
        <f>IF(分析!J26&lt;&gt;"",分析!J26,"")</f>
        <v>1398900</v>
      </c>
      <c r="J151" s="133">
        <f>IF(分析!AB26&lt;&gt;"",分析!AB26,"")</f>
        <v>6322.091649694501</v>
      </c>
      <c r="K151" s="133">
        <f>IF(分析!AC26&lt;&gt;"",分析!AC26,"")</f>
        <v>6274.980929678185</v>
      </c>
      <c r="L151" s="133">
        <f>IF(分析!K26&lt;&gt;"",分析!K26,"")</f>
        <v>3419</v>
      </c>
      <c r="M151" s="128" t="str">
        <f>IF(分析!P26&lt;&gt;"",分析!P26,"")</f>
        <v>減少↓</v>
      </c>
      <c r="N151" s="134">
        <f>IF(分析!O26&lt;&gt;"",分析!O26,"")</f>
        <v>0.37882234426282779</v>
      </c>
      <c r="O151" s="135">
        <f>IF(分析!X26&lt;&gt;"",分析!X26,"")</f>
        <v>9.2258019256569241</v>
      </c>
      <c r="P151" s="136">
        <f>IF(分析!L26&lt;&gt;"",分析!L26,"")</f>
        <v>-8.3065223749634391</v>
      </c>
      <c r="Q151" s="133">
        <f>IF(分析!S26&lt;&gt;"",分析!S26,"")</f>
        <v>3010</v>
      </c>
      <c r="R151" s="133">
        <f>IF(分析!R26&lt;&gt;"",分析!R26,"")</f>
        <v>3386</v>
      </c>
      <c r="S151" s="128" t="str">
        <f>IF(分析!AA26&lt;&gt;"",分析!AA26,"")</f>
        <v>上昇▲</v>
      </c>
      <c r="T151" s="137">
        <f>IF(分析!Z26&lt;&gt;"",分析!Z26,"")</f>
        <v>0.19175455417066153</v>
      </c>
      <c r="U151" s="128" t="str">
        <f>IF(分析!V26&lt;&gt;"",分析!V26,"")</f>
        <v>通常</v>
      </c>
      <c r="V151" s="138">
        <f>IF(分析!W26&lt;&gt;"",分析!W26,"")</f>
        <v>59.437086092715234</v>
      </c>
      <c r="W151" s="139" t="str">
        <f>IF(分析!AD26&lt;&gt;"",分析!AD26,"")</f>
        <v>もみ合い→</v>
      </c>
      <c r="X151" s="140" t="str">
        <f>IF(分析!AE26&lt;&gt;"",分析!AE26,"")</f>
        <v>なし</v>
      </c>
      <c r="Y151" s="141">
        <f>IF(分析!T26&lt;&gt;"",分析!T26,"")</f>
        <v>4</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4605</v>
      </c>
      <c r="F152" s="148">
        <f>IF(分析!F91&lt;&gt;"",分析!F91,"")</f>
        <v>4550</v>
      </c>
      <c r="G152" s="148">
        <f>IF(分析!H91&lt;&gt;"",分析!H91,"")</f>
        <v>4605</v>
      </c>
      <c r="H152" s="148">
        <f>IF(分析!I91&lt;&gt;"",分析!I91,"")</f>
        <v>4545</v>
      </c>
      <c r="I152" s="148">
        <f>IF(分析!J91&lt;&gt;"",分析!J91,"")</f>
        <v>37900</v>
      </c>
      <c r="J152" s="148">
        <f>IF(分析!AB91&lt;&gt;"",分析!AB91,"")</f>
        <v>729.30142566191444</v>
      </c>
      <c r="K152" s="148">
        <f>IF(分析!AC91&lt;&gt;"",分析!AC91,"")</f>
        <v>761.89272943980893</v>
      </c>
      <c r="L152" s="148">
        <f>IF(分析!K91&lt;&gt;"",分析!K91,"")</f>
        <v>5020</v>
      </c>
      <c r="M152" s="143" t="str">
        <f>IF(分析!P91&lt;&gt;"",分析!P91,"")</f>
        <v>減少↓</v>
      </c>
      <c r="N152" s="149">
        <f>IF(分析!O91&lt;&gt;"",分析!O91,"")</f>
        <v>0.37413622902270482</v>
      </c>
      <c r="O152" s="150">
        <f>IF(分析!X91&lt;&gt;"",分析!X91,"")</f>
        <v>-7.7822312618636715</v>
      </c>
      <c r="P152" s="151">
        <f>IF(分析!L91&lt;&gt;"",分析!L91,"")</f>
        <v>-8.2669322709163335</v>
      </c>
      <c r="Q152" s="148">
        <f>IF(分析!S91&lt;&gt;"",分析!S91,"")</f>
        <v>4421</v>
      </c>
      <c r="R152" s="148">
        <f>IF(分析!R91&lt;&gt;"",分析!R91,"")</f>
        <v>4973</v>
      </c>
      <c r="S152" s="143" t="str">
        <f>IF(分析!AA91&lt;&gt;"",分析!AA91,"")</f>
        <v>上昇▲</v>
      </c>
      <c r="T152" s="152">
        <f>IF(分析!Z91&lt;&gt;"",分析!Z91,"")</f>
        <v>3.0201342281879198</v>
      </c>
      <c r="U152" s="143" t="str">
        <f>IF(分析!V91&lt;&gt;"",分析!V91,"")</f>
        <v>通常</v>
      </c>
      <c r="V152" s="153">
        <f>IF(分析!W91&lt;&gt;"",分析!W91,"")</f>
        <v>51.280653950953678</v>
      </c>
      <c r="W152" s="154" t="str">
        <f>IF(分析!AD91&lt;&gt;"",分析!AD91,"")</f>
        <v>上昇トレンド▲</v>
      </c>
      <c r="X152" s="155" t="str">
        <f>IF(分析!AE91&lt;&gt;"",分析!AE91,"")</f>
        <v>なし</v>
      </c>
      <c r="Y152" s="156">
        <f>IF(分析!T91&lt;&gt;"",分析!T91,"")</f>
        <v>7</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1560.5</v>
      </c>
      <c r="F153" s="133">
        <f>IF(分析!F40&lt;&gt;"",分析!F40,"")</f>
        <v>1548</v>
      </c>
      <c r="G153" s="133">
        <f>IF(分析!H40&lt;&gt;"",分析!H40,"")</f>
        <v>1564</v>
      </c>
      <c r="H153" s="133">
        <f>IF(分析!I40&lt;&gt;"",分析!I40,"")</f>
        <v>1531.5</v>
      </c>
      <c r="I153" s="133">
        <f>IF(分析!J40&lt;&gt;"",分析!J40,"")</f>
        <v>4918000</v>
      </c>
      <c r="J153" s="133">
        <f>IF(分析!AB40&lt;&gt;"",分析!AB40,"")</f>
        <v>3576.8727087576362</v>
      </c>
      <c r="K153" s="133">
        <f>IF(分析!AC40&lt;&gt;"",分析!AC40,"")</f>
        <v>3610.4243146603076</v>
      </c>
      <c r="L153" s="133">
        <f>IF(分析!K40&lt;&gt;"",分析!K40,"")</f>
        <v>1636</v>
      </c>
      <c r="M153" s="128" t="str">
        <f>IF(分析!P40&lt;&gt;"",分析!P40,"")</f>
        <v>減少↓</v>
      </c>
      <c r="N153" s="134">
        <f>IF(分析!O40&lt;&gt;"",分析!O40,"")</f>
        <v>0.32248461345779833</v>
      </c>
      <c r="O153" s="135">
        <f>IF(分析!X40&lt;&gt;"",分析!X40,"")</f>
        <v>0.50776750424938655</v>
      </c>
      <c r="P153" s="136">
        <f>IF(分析!L40&lt;&gt;"",分析!L40,"")</f>
        <v>-4.6149144254278722</v>
      </c>
      <c r="Q153" s="133">
        <f>IF(分析!S40&lt;&gt;"",分析!S40,"")</f>
        <v>1498</v>
      </c>
      <c r="R153" s="133">
        <f>IF(分析!R40&lt;&gt;"",分析!R40,"")</f>
        <v>1685</v>
      </c>
      <c r="S153" s="128" t="str">
        <f>IF(分析!AA40&lt;&gt;"",分析!AA40,"")</f>
        <v>上昇▲</v>
      </c>
      <c r="T153" s="137">
        <f>IF(分析!Z40&lt;&gt;"",分析!Z40,"")</f>
        <v>3.6532713384257725</v>
      </c>
      <c r="U153" s="128" t="str">
        <f>IF(分析!V40&lt;&gt;"",分析!V40,"")</f>
        <v>高値圏</v>
      </c>
      <c r="V153" s="138">
        <f>IF(分析!W40&lt;&gt;"",分析!W40,"")</f>
        <v>46.489563567362431</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6683</v>
      </c>
      <c r="F154" s="148">
        <f>IF(分析!F161&lt;&gt;"",分析!F161,"")</f>
        <v>6601</v>
      </c>
      <c r="G154" s="148">
        <f>IF(分析!H161&lt;&gt;"",分析!H161,"")</f>
        <v>6686</v>
      </c>
      <c r="H154" s="148">
        <f>IF(分析!I161&lt;&gt;"",分析!I161,"")</f>
        <v>6601</v>
      </c>
      <c r="I154" s="148">
        <f>IF(分析!J161&lt;&gt;"",分析!J161,"")</f>
        <v>1376300</v>
      </c>
      <c r="J154" s="148">
        <f>IF(分析!AB161&lt;&gt;"",分析!AB161,"")</f>
        <v>1484.0101832993887</v>
      </c>
      <c r="K154" s="148">
        <f>IF(分析!AC161&lt;&gt;"",分析!AC161,"")</f>
        <v>1551.9880810488671</v>
      </c>
      <c r="L154" s="148">
        <f>IF(分析!K161&lt;&gt;"",分析!K161,"")</f>
        <v>10700</v>
      </c>
      <c r="M154" s="143" t="str">
        <f>IF(分析!P161&lt;&gt;"",分析!P161,"")</f>
        <v>減少↓</v>
      </c>
      <c r="N154" s="149">
        <f>IF(分析!O161&lt;&gt;"",分析!O161,"")</f>
        <v>0.459238151168533</v>
      </c>
      <c r="O154" s="150">
        <f>IF(分析!X161&lt;&gt;"",分析!X161,"")</f>
        <v>-119.07026775301438</v>
      </c>
      <c r="P154" s="151">
        <f>IF(分析!L161&lt;&gt;"",分析!L161,"")</f>
        <v>-37.542056074766357</v>
      </c>
      <c r="Q154" s="148">
        <f>IF(分析!S161&lt;&gt;"",分析!S161,"")</f>
        <v>6416</v>
      </c>
      <c r="R154" s="148">
        <f>IF(分析!R161&lt;&gt;"",分析!R161,"")</f>
        <v>7218</v>
      </c>
      <c r="S154" s="143" t="str">
        <f>IF(分析!AA161&lt;&gt;"",分析!AA161,"")</f>
        <v>下落▼</v>
      </c>
      <c r="T154" s="152">
        <f>IF(分析!Z161&lt;&gt;"",分析!Z161,"")</f>
        <v>-5.9817556452818901E-2</v>
      </c>
      <c r="U154" s="143" t="str">
        <f>IF(分析!V161&lt;&gt;"",分析!V161,"")</f>
        <v>通常</v>
      </c>
      <c r="V154" s="153">
        <f>IF(分析!W161&lt;&gt;"",分析!W161,"")</f>
        <v>48.219088225647752</v>
      </c>
      <c r="W154" s="154" t="str">
        <f>IF(分析!AD161&lt;&gt;"",分析!AD161,"")</f>
        <v>上昇トレンド▲</v>
      </c>
      <c r="X154" s="155" t="str">
        <f>IF(分析!AE161&lt;&gt;"",分析!AE161,"")</f>
        <v>なし</v>
      </c>
      <c r="Y154" s="156">
        <f>IF(分析!T161&lt;&gt;"",分析!T161,"")</f>
        <v>1</v>
      </c>
      <c r="Z154" s="142" t="str">
        <f>IF(分析!Y161&lt;&gt;"",分析!Y161,"")</f>
        <v>見送り</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1860</v>
      </c>
      <c r="F155" s="148">
        <f>IF(分析!F135&lt;&gt;"",分析!F135,"")</f>
        <v>1866</v>
      </c>
      <c r="G155" s="148">
        <f>IF(分析!H135&lt;&gt;"",分析!H135,"")</f>
        <v>1873</v>
      </c>
      <c r="H155" s="148">
        <f>IF(分析!I135&lt;&gt;"",分析!I135,"")</f>
        <v>1852</v>
      </c>
      <c r="I155" s="148">
        <f>IF(分析!J135&lt;&gt;"",分析!J135,"")</f>
        <v>65900</v>
      </c>
      <c r="J155" s="148">
        <f>IF(分析!AB135&lt;&gt;"",分析!AB135,"")</f>
        <v>80.431771894093671</v>
      </c>
      <c r="K155" s="148">
        <f>IF(分析!AC135&lt;&gt;"",分析!AC135,"")</f>
        <v>130.35399284862928</v>
      </c>
      <c r="L155" s="148">
        <f>IF(分析!K135&lt;&gt;"",分析!K135,"")</f>
        <v>2696</v>
      </c>
      <c r="M155" s="143" t="str">
        <f>IF(分析!P135&lt;&gt;"",分析!P135,"")</f>
        <v>減少↓</v>
      </c>
      <c r="N155" s="149">
        <f>IF(分析!O135&lt;&gt;"",分析!O135,"")</f>
        <v>0.35064382249654147</v>
      </c>
      <c r="O155" s="150">
        <f>IF(分析!X135&lt;&gt;"",分析!X135,"")</f>
        <v>5.7361098396347643</v>
      </c>
      <c r="P155" s="151">
        <f>IF(分析!L135&lt;&gt;"",分析!L135,"")</f>
        <v>-31.008902077151333</v>
      </c>
      <c r="Q155" s="148">
        <f>IF(分析!S135&lt;&gt;"",分析!S135,"")</f>
        <v>1786</v>
      </c>
      <c r="R155" s="148">
        <f>IF(分析!R135&lt;&gt;"",分析!R135,"")</f>
        <v>2009</v>
      </c>
      <c r="S155" s="143" t="str">
        <f>IF(分析!AA135&lt;&gt;"",分析!AA135,"")</f>
        <v>下落▼</v>
      </c>
      <c r="T155" s="152">
        <f>IF(分析!Z135&lt;&gt;"",分析!Z135,"")</f>
        <v>-0.85287846481876328</v>
      </c>
      <c r="U155" s="143" t="str">
        <f>IF(分析!V135&lt;&gt;"",分析!V135,"")</f>
        <v>通常</v>
      </c>
      <c r="V155" s="153">
        <f>IF(分析!W135&lt;&gt;"",分析!W135,"")</f>
        <v>50.924813836175829</v>
      </c>
      <c r="W155" s="154" t="str">
        <f>IF(分析!AD135&lt;&gt;"",分析!AD135,"")</f>
        <v>上昇トレンド▲</v>
      </c>
      <c r="X155" s="155" t="str">
        <f>IF(分析!AE135&lt;&gt;"",分析!AE135,"")</f>
        <v>なし</v>
      </c>
      <c r="Y155" s="156">
        <f>IF(分析!T135&lt;&gt;"",分析!T135,"")</f>
        <v>7</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636.29999999999995</v>
      </c>
      <c r="F156" s="133">
        <f>IF(分析!F196&lt;&gt;"",分析!F196,"")</f>
        <v>637</v>
      </c>
      <c r="G156" s="133">
        <f>IF(分析!H196&lt;&gt;"",分析!H196,"")</f>
        <v>637</v>
      </c>
      <c r="H156" s="133">
        <f>IF(分析!I196&lt;&gt;"",分析!I196,"")</f>
        <v>629.29999999999995</v>
      </c>
      <c r="I156" s="133">
        <f>IF(分析!J196&lt;&gt;"",分析!J196,"")</f>
        <v>1137200</v>
      </c>
      <c r="J156" s="133">
        <f>IF(分析!AB196&lt;&gt;"",分析!AB196,"")</f>
        <v>55700.458248472496</v>
      </c>
      <c r="K156" s="133">
        <f>IF(分析!AC196&lt;&gt;"",分析!AC196,"")</f>
        <v>62158.963051251463</v>
      </c>
      <c r="L156" s="133">
        <f>IF(分析!K196&lt;&gt;"",分析!K196,"")</f>
        <v>763.7</v>
      </c>
      <c r="M156" s="128" t="str">
        <f>IF(分析!P196&lt;&gt;"",分析!P196,"")</f>
        <v>減少↓</v>
      </c>
      <c r="N156" s="134">
        <f>IF(分析!O196&lt;&gt;"",分析!O196,"")</f>
        <v>0.25025196843462683</v>
      </c>
      <c r="O156" s="135">
        <f>IF(分析!X196&lt;&gt;"",分析!X196,"")</f>
        <v>-1.8648734869983628</v>
      </c>
      <c r="P156" s="136">
        <f>IF(分析!L196&lt;&gt;"",分析!L196,"")</f>
        <v>-16.681943171402395</v>
      </c>
      <c r="Q156" s="133">
        <f>IF(分析!S196&lt;&gt;"",分析!S196,"")</f>
        <v>611</v>
      </c>
      <c r="R156" s="133">
        <f>IF(分析!R196&lt;&gt;"",分析!R196,"")</f>
        <v>687</v>
      </c>
      <c r="S156" s="128" t="str">
        <f>IF(分析!AA196&lt;&gt;"",分析!AA196,"")</f>
        <v>下落▼</v>
      </c>
      <c r="T156" s="137">
        <f>IF(分析!Z196&lt;&gt;"",分析!Z196,"")</f>
        <v>-0.46926325668700142</v>
      </c>
      <c r="U156" s="128" t="str">
        <f>IF(分析!V196&lt;&gt;"",分析!V196,"")</f>
        <v>通常</v>
      </c>
      <c r="V156" s="138">
        <f>IF(分析!W196&lt;&gt;"",分析!W196,"")</f>
        <v>38.953888506538178</v>
      </c>
      <c r="W156" s="139" t="str">
        <f>IF(分析!AD196&lt;&gt;"",分析!AD196,"")</f>
        <v>下降トレンド▼</v>
      </c>
      <c r="X156" s="140" t="str">
        <f>IF(分析!AE196&lt;&gt;"",分析!AE196,"")</f>
        <v>なし</v>
      </c>
      <c r="Y156" s="141">
        <f>IF(分析!T196&lt;&gt;"",分析!T196,"")</f>
        <v>3</v>
      </c>
      <c r="Z156" s="142" t="str">
        <f>IF(分析!Y196&lt;&gt;"",分析!Y196,"")</f>
        <v>様子見</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2269</v>
      </c>
      <c r="F157" s="148">
        <f>IF(分析!F143&lt;&gt;"",分析!F143,"")</f>
        <v>2182</v>
      </c>
      <c r="G157" s="148">
        <f>IF(分析!H143&lt;&gt;"",分析!H143,"")</f>
        <v>2310</v>
      </c>
      <c r="H157" s="148">
        <f>IF(分析!I143&lt;&gt;"",分析!I143,"")</f>
        <v>2160</v>
      </c>
      <c r="I157" s="148">
        <f>IF(分析!J143&lt;&gt;"",分析!J143,"")</f>
        <v>296700</v>
      </c>
      <c r="J157" s="148">
        <f>IF(分析!AB143&lt;&gt;"",分析!AB143,"")</f>
        <v>21132.189409368631</v>
      </c>
      <c r="K157" s="148">
        <f>IF(分析!AC143&lt;&gt;"",分析!AC143,"")</f>
        <v>23126.102502979727</v>
      </c>
      <c r="L157" s="148">
        <f>IF(分析!K143&lt;&gt;"",分析!K143,"")</f>
        <v>3405</v>
      </c>
      <c r="M157" s="143" t="str">
        <f>IF(分析!P143&lt;&gt;"",分析!P143,"")</f>
        <v>減少↓</v>
      </c>
      <c r="N157" s="149">
        <f>IF(分析!O143&lt;&gt;"",分析!O143,"")</f>
        <v>0.90396685150204137</v>
      </c>
      <c r="O157" s="150">
        <f>IF(分析!X143&lt;&gt;"",分析!X143,"")</f>
        <v>-6.6071808118949775</v>
      </c>
      <c r="P157" s="151">
        <f>IF(分析!L143&lt;&gt;"",分析!L143,"")</f>
        <v>-33.362701908957412</v>
      </c>
      <c r="Q157" s="148">
        <f>IF(分析!S143&lt;&gt;"",分析!S143,"")</f>
        <v>2178</v>
      </c>
      <c r="R157" s="148">
        <f>IF(分析!R143&lt;&gt;"",分析!R143,"")</f>
        <v>2451</v>
      </c>
      <c r="S157" s="143" t="str">
        <f>IF(分析!AA143&lt;&gt;"",分析!AA143,"")</f>
        <v>上昇▲</v>
      </c>
      <c r="T157" s="152">
        <f>IF(分析!Z143&lt;&gt;"",分析!Z143,"")</f>
        <v>14.36491935483871</v>
      </c>
      <c r="U157" s="143" t="str">
        <f>IF(分析!V143&lt;&gt;"",分析!V143,"")</f>
        <v>通常</v>
      </c>
      <c r="V157" s="153">
        <f>IF(分析!W143&lt;&gt;"",分析!W143,"")</f>
        <v>43.0045871559633</v>
      </c>
      <c r="W157" s="154" t="str">
        <f>IF(分析!AD143&lt;&gt;"",分析!AD143,"")</f>
        <v>下降トレンド▼</v>
      </c>
      <c r="X157" s="155" t="str">
        <f>IF(分析!AE143&lt;&gt;"",分析!AE143,"")</f>
        <v>なし</v>
      </c>
      <c r="Y157" s="156">
        <f>IF(分析!T143&lt;&gt;"",分析!T143,"")</f>
        <v>5</v>
      </c>
      <c r="Z157" s="142" t="str">
        <f>IF(分析!Y143&lt;&gt;"",分析!Y143,"")</f>
        <v>様子見</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2352</v>
      </c>
      <c r="F158" s="148">
        <f>IF(分析!F13&lt;&gt;"",分析!F13,"")</f>
        <v>2381</v>
      </c>
      <c r="G158" s="148">
        <f>IF(分析!H13&lt;&gt;"",分析!H13,"")</f>
        <v>2397</v>
      </c>
      <c r="H158" s="148">
        <f>IF(分析!I13&lt;&gt;"",分析!I13,"")</f>
        <v>2347</v>
      </c>
      <c r="I158" s="148">
        <f>IF(分析!J13&lt;&gt;"",分析!J13,"")</f>
        <v>45000</v>
      </c>
      <c r="J158" s="148">
        <f>IF(分析!AB13&lt;&gt;"",分析!AB13,"")</f>
        <v>3881.5173116089609</v>
      </c>
      <c r="K158" s="148">
        <f>IF(分析!AC13&lt;&gt;"",分析!AC13,"")</f>
        <v>3906.7640047675791</v>
      </c>
      <c r="L158" s="148">
        <f>IF(分析!K13&lt;&gt;"",分析!K13,"")</f>
        <v>2634</v>
      </c>
      <c r="M158" s="143" t="str">
        <f>IF(分析!P13&lt;&gt;"",分析!P13,"")</f>
        <v>減少↓</v>
      </c>
      <c r="N158" s="149">
        <f>IF(分析!O13&lt;&gt;"",分析!O13,"")</f>
        <v>0.4622971029381549</v>
      </c>
      <c r="O158" s="150">
        <f>IF(分析!X13&lt;&gt;"",分析!X13,"")</f>
        <v>11.583693216420215</v>
      </c>
      <c r="P158" s="151">
        <f>IF(分析!L13&lt;&gt;"",分析!L13,"")</f>
        <v>-10.70615034168565</v>
      </c>
      <c r="Q158" s="148">
        <f>IF(分析!S13&lt;&gt;"",分析!S13,"")</f>
        <v>2258</v>
      </c>
      <c r="R158" s="148">
        <f>IF(分析!R13&lt;&gt;"",分析!R13,"")</f>
        <v>2540</v>
      </c>
      <c r="S158" s="143" t="str">
        <f>IF(分析!AA13&lt;&gt;"",分析!AA13,"")</f>
        <v>下落▼</v>
      </c>
      <c r="T158" s="152">
        <f>IF(分析!Z13&lt;&gt;"",分析!Z13,"")</f>
        <v>-2.7697395618023974</v>
      </c>
      <c r="U158" s="143" t="str">
        <f>IF(分析!V13&lt;&gt;"",分析!V13,"")</f>
        <v>通常</v>
      </c>
      <c r="V158" s="153">
        <f>IF(分析!W13&lt;&gt;"",分析!W13,"")</f>
        <v>70.39473684210526</v>
      </c>
      <c r="W158" s="154" t="str">
        <f>IF(分析!AD13&lt;&gt;"",分析!AD13,"")</f>
        <v>下降トレンド▼</v>
      </c>
      <c r="X158" s="155" t="str">
        <f>IF(分析!AE13&lt;&gt;"",分析!AE13,"")</f>
        <v>なし</v>
      </c>
      <c r="Y158" s="156">
        <f>IF(分析!T13&lt;&gt;"",分析!T13,"")</f>
        <v>4</v>
      </c>
      <c r="Z158" s="142" t="str">
        <f>IF(分析!Y13&lt;&gt;"",分析!Y13,"")</f>
        <v>様子見</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1832</v>
      </c>
      <c r="F159" s="148">
        <f>IF(分析!F109&lt;&gt;"",分析!F109,"")</f>
        <v>1750</v>
      </c>
      <c r="G159" s="148">
        <f>IF(分析!H109&lt;&gt;"",分析!H109,"")</f>
        <v>1840</v>
      </c>
      <c r="H159" s="148">
        <f>IF(分析!I109&lt;&gt;"",分析!I109,"")</f>
        <v>1731</v>
      </c>
      <c r="I159" s="148">
        <f>IF(分析!J109&lt;&gt;"",分析!J109,"")</f>
        <v>529000</v>
      </c>
      <c r="J159" s="148">
        <f>IF(分析!AB109&lt;&gt;"",分析!AB109,"")</f>
        <v>850.16191446028483</v>
      </c>
      <c r="K159" s="148">
        <f>IF(分析!AC109&lt;&gt;"",分析!AC109,"")</f>
        <v>816.15613825983269</v>
      </c>
      <c r="L159" s="148">
        <f>IF(分析!K109&lt;&gt;"",分析!K109,"")</f>
        <v>4130</v>
      </c>
      <c r="M159" s="143" t="str">
        <f>IF(分析!P109&lt;&gt;"",分析!P109,"")</f>
        <v>減少↓</v>
      </c>
      <c r="N159" s="149">
        <f>IF(分析!O109&lt;&gt;"",分析!O109,"")</f>
        <v>0.64446177086886602</v>
      </c>
      <c r="O159" s="150">
        <f>IF(分析!X109&lt;&gt;"",分析!X109,"")</f>
        <v>-465.37370790362729</v>
      </c>
      <c r="P159" s="151">
        <f>IF(分析!L109&lt;&gt;"",分析!L109,"")</f>
        <v>-55.641646489104112</v>
      </c>
      <c r="Q159" s="148">
        <f>IF(分析!S109&lt;&gt;"",分析!S109,"")</f>
        <v>1759</v>
      </c>
      <c r="R159" s="148">
        <f>IF(分析!R109&lt;&gt;"",分析!R109,"")</f>
        <v>1979</v>
      </c>
      <c r="S159" s="143" t="str">
        <f>IF(分析!AA109&lt;&gt;"",分析!AA109,"")</f>
        <v>下落▼</v>
      </c>
      <c r="T159" s="152">
        <f>IF(分析!Z109&lt;&gt;"",分析!Z109,"")</f>
        <v>-37.665872745831912</v>
      </c>
      <c r="U159" s="143" t="str">
        <f>IF(分析!V109&lt;&gt;"",分析!V109,"")</f>
        <v>通常</v>
      </c>
      <c r="V159" s="153">
        <f>IF(分析!W109&lt;&gt;"",分析!W109,"")</f>
        <v>33.219129193433261</v>
      </c>
      <c r="W159" s="154" t="str">
        <f>IF(分析!AD109&lt;&gt;"",分析!AD109,"")</f>
        <v>パーフェクト▲</v>
      </c>
      <c r="X159" s="155" t="str">
        <f>IF(分析!AE109&lt;&gt;"",分析!AE109,"")</f>
        <v>なし</v>
      </c>
      <c r="Y159" s="156">
        <f>IF(分析!T109&lt;&gt;"",分析!T109,"")</f>
        <v>3</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5334</v>
      </c>
      <c r="F160" s="133">
        <f>IF(分析!F14&lt;&gt;"",分析!F14,"")</f>
        <v>5375</v>
      </c>
      <c r="G160" s="133">
        <f>IF(分析!H14&lt;&gt;"",分析!H14,"")</f>
        <v>5389</v>
      </c>
      <c r="H160" s="133">
        <f>IF(分析!I14&lt;&gt;"",分析!I14,"")</f>
        <v>5266</v>
      </c>
      <c r="I160" s="133">
        <f>IF(分析!J14&lt;&gt;"",分析!J14,"")</f>
        <v>357600</v>
      </c>
      <c r="J160" s="133">
        <f>IF(分析!AB14&lt;&gt;"",分析!AB14,"")</f>
        <v>4776.3156822810588</v>
      </c>
      <c r="K160" s="133">
        <f>IF(分析!AC14&lt;&gt;"",分析!AC14,"")</f>
        <v>4694.4386174016672</v>
      </c>
      <c r="L160" s="133">
        <f>IF(分析!K14&lt;&gt;"",分析!K14,"")</f>
        <v>6828</v>
      </c>
      <c r="M160" s="128" t="str">
        <f>IF(分析!P14&lt;&gt;"",分析!P14,"")</f>
        <v>減少↓</v>
      </c>
      <c r="N160" s="134">
        <f>IF(分析!O14&lt;&gt;"",分析!O14,"")</f>
        <v>0.25130713442401753</v>
      </c>
      <c r="O160" s="135">
        <f>IF(分析!X14&lt;&gt;"",分析!X14,"")</f>
        <v>11.876515986775303</v>
      </c>
      <c r="P160" s="136">
        <f>IF(分析!L14&lt;&gt;"",分析!L14,"")</f>
        <v>-21.880492091388401</v>
      </c>
      <c r="Q160" s="133">
        <f>IF(分析!S14&lt;&gt;"",分析!S14,"")</f>
        <v>5121</v>
      </c>
      <c r="R160" s="133">
        <f>IF(分析!R14&lt;&gt;"",分析!R14,"")</f>
        <v>5761</v>
      </c>
      <c r="S160" s="128" t="str">
        <f>IF(分析!AA14&lt;&gt;"",分析!AA14,"")</f>
        <v>下落▼</v>
      </c>
      <c r="T160" s="137">
        <f>IF(分析!Z14&lt;&gt;"",分析!Z14,"")</f>
        <v>-1.6048699501936912</v>
      </c>
      <c r="U160" s="128" t="str">
        <f>IF(分析!V14&lt;&gt;"",分析!V14,"")</f>
        <v>通常</v>
      </c>
      <c r="V160" s="138">
        <f>IF(分析!W14&lt;&gt;"",分析!W14,"")</f>
        <v>58.970588235294116</v>
      </c>
      <c r="W160" s="139" t="str">
        <f>IF(分析!AD14&lt;&gt;"",分析!AD14,"")</f>
        <v>パーフェクト▲</v>
      </c>
      <c r="X160" s="140" t="str">
        <f>IF(分析!AE14&lt;&gt;"",分析!AE14,"")</f>
        <v>なし</v>
      </c>
      <c r="Y160" s="141">
        <f>IF(分析!T14&lt;&gt;"",分析!T14,"")</f>
        <v>4</v>
      </c>
      <c r="Z160" s="142" t="str">
        <f>IF(分析!Y14&lt;&gt;"",分析!Y14,"")</f>
        <v>様子見</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2856</v>
      </c>
      <c r="F161" s="133">
        <f>IF(分析!F132&lt;&gt;"",分析!F132,"")</f>
        <v>2841</v>
      </c>
      <c r="G161" s="133">
        <f>IF(分析!H132&lt;&gt;"",分析!H132,"")</f>
        <v>2886</v>
      </c>
      <c r="H161" s="133">
        <f>IF(分析!I132&lt;&gt;"",分析!I132,"")</f>
        <v>2811</v>
      </c>
      <c r="I161" s="133">
        <f>IF(分析!J132&lt;&gt;"",分析!J132,"")</f>
        <v>175500</v>
      </c>
      <c r="J161" s="133">
        <f>IF(分析!AB132&lt;&gt;"",分析!AB132,"")</f>
        <v>0</v>
      </c>
      <c r="K161" s="133">
        <f>IF(分析!AC132&lt;&gt;"",分析!AC132,"")</f>
        <v>0</v>
      </c>
      <c r="L161" s="133">
        <f>IF(分析!K132&lt;&gt;"",分析!K132,"")</f>
        <v>3330</v>
      </c>
      <c r="M161" s="128" t="str">
        <f>IF(分析!P132&lt;&gt;"",分析!P132,"")</f>
        <v>減少↓</v>
      </c>
      <c r="N161" s="134">
        <f>IF(分析!O132&lt;&gt;"",分析!O132,"")</f>
        <v>0.2698422460715274</v>
      </c>
      <c r="O161" s="135">
        <f>IF(分析!X132&lt;&gt;"",分析!X132,"")</f>
        <v>-0.27794450702231188</v>
      </c>
      <c r="P161" s="136">
        <f>IF(分析!L132&lt;&gt;"",分析!L132,"")</f>
        <v>-14.234234234234233</v>
      </c>
      <c r="Q161" s="133">
        <f>IF(分析!S132&lt;&gt;"",分析!S132,"")</f>
        <v>2742</v>
      </c>
      <c r="R161" s="133">
        <f>IF(分析!R132&lt;&gt;"",分析!R132,"")</f>
        <v>3084</v>
      </c>
      <c r="S161" s="128" t="str">
        <f>IF(分析!AA132&lt;&gt;"",分析!AA132,"")</f>
        <v>上昇▲</v>
      </c>
      <c r="T161" s="137">
        <f>IF(分析!Z132&lt;&gt;"",分析!Z132,"")</f>
        <v>0.74074074074074081</v>
      </c>
      <c r="U161" s="128" t="str">
        <f>IF(分析!V132&lt;&gt;"",分析!V132,"")</f>
        <v>通常</v>
      </c>
      <c r="V161" s="138">
        <f>IF(分析!W132&lt;&gt;"",分析!W132,"")</f>
        <v>60.296096904441455</v>
      </c>
      <c r="W161" s="139" t="str">
        <f>IF(分析!AD132&lt;&gt;"",分析!AD132,"")</f>
        <v>上昇トレンド▲</v>
      </c>
      <c r="X161" s="140" t="e">
        <f>IF(分析!AE132&lt;&gt;"",分析!AE132,"")</f>
        <v>#DIV/0!</v>
      </c>
      <c r="Y161" s="141">
        <f>IF(分析!T132&lt;&gt;"",分析!T132,"")</f>
        <v>0</v>
      </c>
      <c r="Z161" s="142" t="e">
        <f>IF(分析!Y132&lt;&gt;"",分析!Y132,"")</f>
        <v>#DIV/0!</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9370</v>
      </c>
      <c r="F162" s="133">
        <f>IF(分析!F82&lt;&gt;"",分析!F82,"")</f>
        <v>8980</v>
      </c>
      <c r="G162" s="133">
        <f>IF(分析!H82&lt;&gt;"",分析!H82,"")</f>
        <v>9420</v>
      </c>
      <c r="H162" s="133">
        <f>IF(分析!I82&lt;&gt;"",分析!I82,"")</f>
        <v>8700</v>
      </c>
      <c r="I162" s="133">
        <f>IF(分析!J82&lt;&gt;"",分析!J82,"")</f>
        <v>1182300</v>
      </c>
      <c r="J162" s="133">
        <f>IF(分析!AB82&lt;&gt;"",分析!AB82,"")</f>
        <v>1808.9399185336049</v>
      </c>
      <c r="K162" s="133">
        <f>IF(分析!AC82&lt;&gt;"",分析!AC82,"")</f>
        <v>1745.3563766388552</v>
      </c>
      <c r="L162" s="133">
        <f>IF(分析!K82&lt;&gt;"",分析!K82,"")</f>
        <v>11700</v>
      </c>
      <c r="M162" s="128" t="str">
        <f>IF(分析!P82&lt;&gt;"",分析!P82,"")</f>
        <v>減少↓</v>
      </c>
      <c r="N162" s="134">
        <f>IF(分析!O82&lt;&gt;"",分析!O82,"")</f>
        <v>0.59560512634506102</v>
      </c>
      <c r="O162" s="135">
        <f>IF(分析!X82&lt;&gt;"",分析!X82,"")</f>
        <v>-81.35325327675946</v>
      </c>
      <c r="P162" s="136">
        <f>IF(分析!L82&lt;&gt;"",分析!L82,"")</f>
        <v>-19.914529914529915</v>
      </c>
      <c r="Q162" s="133">
        <f>IF(分析!S82&lt;&gt;"",分析!S82,"")</f>
        <v>8995</v>
      </c>
      <c r="R162" s="133">
        <f>IF(分析!R82&lt;&gt;"",分析!R82,"")</f>
        <v>10120</v>
      </c>
      <c r="S162" s="128" t="str">
        <f>IF(分析!AA82&lt;&gt;"",分析!AA82,"")</f>
        <v>上昇▲</v>
      </c>
      <c r="T162" s="137">
        <f>IF(分析!Z82&lt;&gt;"",分析!Z82,"")</f>
        <v>14.407814407814406</v>
      </c>
      <c r="U162" s="128" t="str">
        <f>IF(分析!V82&lt;&gt;"",分析!V82,"")</f>
        <v>通常</v>
      </c>
      <c r="V162" s="138">
        <f>IF(分析!W82&lt;&gt;"",分析!W82,"")</f>
        <v>48.208955223880601</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2347</v>
      </c>
      <c r="F163" s="133">
        <f>IF(分析!F112&lt;&gt;"",分析!F112,"")</f>
        <v>2340</v>
      </c>
      <c r="G163" s="133">
        <f>IF(分析!H112&lt;&gt;"",分析!H112,"")</f>
        <v>2350</v>
      </c>
      <c r="H163" s="133">
        <f>IF(分析!I112&lt;&gt;"",分析!I112,"")</f>
        <v>2316.5</v>
      </c>
      <c r="I163" s="133">
        <f>IF(分析!J112&lt;&gt;"",分析!J112,"")</f>
        <v>2014900</v>
      </c>
      <c r="J163" s="133">
        <f>IF(分析!AB112&lt;&gt;"",分析!AB112,"")</f>
        <v>524.07230142566175</v>
      </c>
      <c r="K163" s="133">
        <f>IF(分析!AC112&lt;&gt;"",分析!AC112,"")</f>
        <v>509.83301549463641</v>
      </c>
      <c r="L163" s="133">
        <f>IF(分析!K112&lt;&gt;"",分析!K112,"")</f>
        <v>2539.5</v>
      </c>
      <c r="M163" s="128" t="str">
        <f>IF(分析!P112&lt;&gt;"",分析!P112,"")</f>
        <v>減少↓</v>
      </c>
      <c r="N163" s="134">
        <f>IF(分析!O112&lt;&gt;"",分析!O112,"")</f>
        <v>0.33083756136807713</v>
      </c>
      <c r="O163" s="135">
        <f>IF(分析!X112&lt;&gt;"",分析!X112,"")</f>
        <v>11.585487324818587</v>
      </c>
      <c r="P163" s="136">
        <f>IF(分析!L112&lt;&gt;"",分析!L112,"")</f>
        <v>-7.5802323291986609</v>
      </c>
      <c r="Q163" s="133">
        <f>IF(分析!S112&lt;&gt;"",分析!S112,"")</f>
        <v>2253</v>
      </c>
      <c r="R163" s="133">
        <f>IF(分析!R112&lt;&gt;"",分析!R112,"")</f>
        <v>2535</v>
      </c>
      <c r="S163" s="128" t="str">
        <f>IF(分析!AA112&lt;&gt;"",分析!AA112,"")</f>
        <v>上昇▲</v>
      </c>
      <c r="T163" s="137">
        <f>IF(分析!Z112&lt;&gt;"",分析!Z112,"")</f>
        <v>0.49239991436523228</v>
      </c>
      <c r="U163" s="128" t="str">
        <f>IF(分析!V112&lt;&gt;"",分析!V112,"")</f>
        <v>通常</v>
      </c>
      <c r="V163" s="138">
        <f>IF(分析!W112&lt;&gt;"",分析!W112,"")</f>
        <v>50.220264317180622</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1683</v>
      </c>
      <c r="F164" s="148">
        <f>IF(分析!F205&lt;&gt;"",分析!F205,"")</f>
        <v>1701</v>
      </c>
      <c r="G164" s="148">
        <f>IF(分析!H205&lt;&gt;"",分析!H205,"")</f>
        <v>1711</v>
      </c>
      <c r="H164" s="148">
        <f>IF(分析!I205&lt;&gt;"",分析!I205,"")</f>
        <v>1673</v>
      </c>
      <c r="I164" s="148">
        <f>IF(分析!J205&lt;&gt;"",分析!J205,"")</f>
        <v>1011900</v>
      </c>
      <c r="J164" s="148">
        <f>IF(分析!AB205&lt;&gt;"",分析!AB205,"")</f>
        <v>6798.9320276497683</v>
      </c>
      <c r="K164" s="148">
        <f>IF(分析!AC205&lt;&gt;"",分析!AC205,"")</f>
        <v>6734.1895113230021</v>
      </c>
      <c r="L164" s="148">
        <f>IF(分析!K205&lt;&gt;"",分析!K205,"")</f>
        <v>2819</v>
      </c>
      <c r="M164" s="143" t="str">
        <f>IF(分析!P205&lt;&gt;"",分析!P205,"")</f>
        <v>減少↓</v>
      </c>
      <c r="N164" s="149">
        <f>IF(分析!O205&lt;&gt;"",分析!O205,"")</f>
        <v>0.79838098844915739</v>
      </c>
      <c r="O164" s="150">
        <f>IF(分析!X205&lt;&gt;"",分析!X205,"")</f>
        <v>-1.111614836868057</v>
      </c>
      <c r="P164" s="151">
        <f>IF(分析!L205&lt;&gt;"",分析!L205,"")</f>
        <v>-40.297978006385243</v>
      </c>
      <c r="Q164" s="148">
        <f>IF(分析!S205&lt;&gt;"",分析!S205,"")</f>
        <v>1616</v>
      </c>
      <c r="R164" s="148">
        <f>IF(分析!R205&lt;&gt;"",分析!R205,"")</f>
        <v>1818</v>
      </c>
      <c r="S164" s="143" t="str">
        <f>IF(分析!AA205&lt;&gt;"",分析!AA205,"")</f>
        <v>下落▼</v>
      </c>
      <c r="T164" s="152">
        <f>IF(分析!Z205&lt;&gt;"",分析!Z205,"")</f>
        <v>-1.5789473684210527</v>
      </c>
      <c r="U164" s="143" t="str">
        <f>IF(分析!V205&lt;&gt;"",分析!V205,"")</f>
        <v>通常</v>
      </c>
      <c r="V164" s="153">
        <f>IF(分析!W205&lt;&gt;"",分析!W205,"")</f>
        <v>50.545171339563865</v>
      </c>
      <c r="W164" s="154" t="str">
        <f>IF(分析!AD205&lt;&gt;"",分析!AD205,"")</f>
        <v>もみ合い→</v>
      </c>
      <c r="X164" s="155" t="str">
        <f>IF(分析!AE205&lt;&gt;"",分析!AE205,"")</f>
        <v>なし</v>
      </c>
      <c r="Y164" s="156">
        <f>IF(分析!T205&lt;&gt;"",分析!T205,"")</f>
        <v>4</v>
      </c>
      <c r="Z164" s="142" t="str">
        <f>IF(分析!Y205&lt;&gt;"",分析!Y205,"")</f>
        <v>様子見</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1523</v>
      </c>
      <c r="F165" s="133">
        <f>IF(分析!F72&lt;&gt;"",分析!F72,"")</f>
        <v>1465</v>
      </c>
      <c r="G165" s="133">
        <f>IF(分析!H72&lt;&gt;"",分析!H72,"")</f>
        <v>1535</v>
      </c>
      <c r="H165" s="133">
        <f>IF(分析!I72&lt;&gt;"",分析!I72,"")</f>
        <v>1465</v>
      </c>
      <c r="I165" s="133">
        <f>IF(分析!J72&lt;&gt;"",分析!J72,"")</f>
        <v>514800</v>
      </c>
      <c r="J165" s="133">
        <f>IF(分析!AB72&lt;&gt;"",分析!AB72,"")</f>
        <v>3118.5224032586552</v>
      </c>
      <c r="K165" s="133">
        <f>IF(分析!AC72&lt;&gt;"",分析!AC72,"")</f>
        <v>3083.7342073897489</v>
      </c>
      <c r="L165" s="133">
        <f>IF(分析!K72&lt;&gt;"",分析!K72,"")</f>
        <v>1596</v>
      </c>
      <c r="M165" s="128" t="str">
        <f>IF(分析!P72&lt;&gt;"",分析!P72,"")</f>
        <v/>
      </c>
      <c r="N165" s="134" t="str">
        <f>IF(分析!O72&lt;&gt;"",分析!O72,"")</f>
        <v/>
      </c>
      <c r="O165" s="135">
        <f>IF(分析!X72&lt;&gt;"",分析!X72,"")</f>
        <v>0</v>
      </c>
      <c r="P165" s="136">
        <f>IF(分析!L72&lt;&gt;"",分析!L72,"")</f>
        <v>-4.5739348370927315</v>
      </c>
      <c r="Q165" s="133">
        <f>IF(分析!S72&lt;&gt;"",分析!S72,"")</f>
        <v>1462</v>
      </c>
      <c r="R165" s="133">
        <f>IF(分析!R72&lt;&gt;"",分析!R72,"")</f>
        <v>1645</v>
      </c>
      <c r="S165" s="128" t="str">
        <f>IF(分析!AA72&lt;&gt;"",分析!AA72,"")</f>
        <v>上昇▲</v>
      </c>
      <c r="T165" s="137" t="str">
        <f>IF(分析!Z72&lt;&gt;"",分析!Z72,"")</f>
        <v/>
      </c>
      <c r="U165" s="128" t="str">
        <f>IF(分析!V72&lt;&gt;"",分析!V72,"")</f>
        <v>高値圏</v>
      </c>
      <c r="V165" s="138">
        <f>IF(分析!W72&lt;&gt;"",分析!W72,"")</f>
        <v>50</v>
      </c>
      <c r="W165" s="139" t="str">
        <f>IF(分析!AD72&lt;&gt;"",分析!AD72,"")</f>
        <v>もみ合い→</v>
      </c>
      <c r="X165" s="140" t="str">
        <f>IF(分析!AE72&lt;&gt;"",分析!AE72,"")</f>
        <v>なし</v>
      </c>
      <c r="Y165" s="141">
        <f>IF(分析!T72&lt;&gt;"",分析!T72,"")</f>
        <v>10</v>
      </c>
      <c r="Z165" s="142" t="str">
        <f>IF(分析!Y72&lt;&gt;"",分析!Y72,"")</f>
        <v>○買い候補</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1262</v>
      </c>
      <c r="F166" s="148">
        <f>IF(分析!F175&lt;&gt;"",分析!F175,"")</f>
        <v>1248</v>
      </c>
      <c r="G166" s="148">
        <f>IF(分析!H175&lt;&gt;"",分析!H175,"")</f>
        <v>1263</v>
      </c>
      <c r="H166" s="148">
        <f>IF(分析!I175&lt;&gt;"",分析!I175,"")</f>
        <v>1240</v>
      </c>
      <c r="I166" s="148">
        <f>IF(分析!J175&lt;&gt;"",分析!J175,"")</f>
        <v>85300</v>
      </c>
      <c r="J166" s="148">
        <f>IF(分析!AB175&lt;&gt;"",分析!AB175,"")</f>
        <v>0</v>
      </c>
      <c r="K166" s="148">
        <f>IF(分析!AC175&lt;&gt;"",分析!AC175,"")</f>
        <v>0</v>
      </c>
      <c r="L166" s="148">
        <f>IF(分析!K175&lt;&gt;"",分析!K175,"")</f>
        <v>1398</v>
      </c>
      <c r="M166" s="143" t="str">
        <f>IF(分析!P175&lt;&gt;"",分析!P175,"")</f>
        <v>減少↓</v>
      </c>
      <c r="N166" s="149">
        <f>IF(分析!O175&lt;&gt;"",分析!O175,"")</f>
        <v>0.45949148890325359</v>
      </c>
      <c r="O166" s="150">
        <f>IF(分析!X175&lt;&gt;"",分析!X175,"")</f>
        <v>-17.509769581951332</v>
      </c>
      <c r="P166" s="151">
        <f>IF(分析!L175&lt;&gt;"",分析!L175,"")</f>
        <v>-9.7281831187410592</v>
      </c>
      <c r="Q166" s="148">
        <f>IF(分析!S175&lt;&gt;"",分析!S175,"")</f>
        <v>1212</v>
      </c>
      <c r="R166" s="148">
        <f>IF(分析!R175&lt;&gt;"",分析!R175,"")</f>
        <v>1363</v>
      </c>
      <c r="S166" s="143" t="str">
        <f>IF(分析!AA175&lt;&gt;"",分析!AA175,"")</f>
        <v>上昇▲</v>
      </c>
      <c r="T166" s="152">
        <f>IF(分析!Z175&lt;&gt;"",分析!Z175,"")</f>
        <v>3.6124794745484397</v>
      </c>
      <c r="U166" s="143" t="str">
        <f>IF(分析!V175&lt;&gt;"",分析!V175,"")</f>
        <v>通常</v>
      </c>
      <c r="V166" s="153">
        <f>IF(分析!W175&lt;&gt;"",分析!W175,"")</f>
        <v>49.226340410219507</v>
      </c>
      <c r="W166" s="154" t="str">
        <f>IF(分析!AD175&lt;&gt;"",分析!AD175,"")</f>
        <v>上昇トレンド▲</v>
      </c>
      <c r="X166" s="155" t="e">
        <f>IF(分析!AE175&lt;&gt;"",分析!AE175,"")</f>
        <v>#DIV/0!</v>
      </c>
      <c r="Y166" s="156">
        <f>IF(分析!T175&lt;&gt;"",分析!T175,"")</f>
        <v>0</v>
      </c>
      <c r="Z166" s="142" t="e">
        <f>IF(分析!Y175&lt;&gt;"",分析!Y175,"")</f>
        <v>#DIV/0!</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3335</v>
      </c>
      <c r="F167" s="133">
        <f>IF(分析!F12&lt;&gt;"",分析!F12,"")</f>
        <v>3235</v>
      </c>
      <c r="G167" s="133">
        <f>IF(分析!H12&lt;&gt;"",分析!H12,"")</f>
        <v>3350</v>
      </c>
      <c r="H167" s="133">
        <f>IF(分析!I12&lt;&gt;"",分析!I12,"")</f>
        <v>3235</v>
      </c>
      <c r="I167" s="133">
        <f>IF(分析!J12&lt;&gt;"",分析!J12,"")</f>
        <v>75500</v>
      </c>
      <c r="J167" s="133">
        <f>IF(分析!AB12&lt;&gt;"",分析!AB12,"")</f>
        <v>5112.4103869653763</v>
      </c>
      <c r="K167" s="133">
        <f>IF(分析!AC12&lt;&gt;"",分析!AC12,"")</f>
        <v>5122.3492252681745</v>
      </c>
      <c r="L167" s="133">
        <f>IF(分析!K12&lt;&gt;"",分析!K12,"")</f>
        <v>4220</v>
      </c>
      <c r="M167" s="128" t="str">
        <f>IF(分析!P12&lt;&gt;"",分析!P12,"")</f>
        <v>減少↓</v>
      </c>
      <c r="N167" s="134">
        <f>IF(分析!O12&lt;&gt;"",分析!O12,"")</f>
        <v>0.27769604237163453</v>
      </c>
      <c r="O167" s="135">
        <f>IF(分析!X12&lt;&gt;"",分析!X12,"")</f>
        <v>-39.421298046877837</v>
      </c>
      <c r="P167" s="136">
        <f>IF(分析!L12&lt;&gt;"",分析!L12,"")</f>
        <v>-20.971563981042653</v>
      </c>
      <c r="Q167" s="133">
        <f>IF(分析!S12&lt;&gt;"",分析!S12,"")</f>
        <v>3202</v>
      </c>
      <c r="R167" s="133">
        <f>IF(分析!R12&lt;&gt;"",分析!R12,"")</f>
        <v>3602</v>
      </c>
      <c r="S167" s="128" t="str">
        <f>IF(分析!AA12&lt;&gt;"",分析!AA12,"")</f>
        <v>上昇▲</v>
      </c>
      <c r="T167" s="137">
        <f>IF(分析!Z12&lt;&gt;"",分析!Z12,"")</f>
        <v>6.72</v>
      </c>
      <c r="U167" s="128" t="str">
        <f>IF(分析!V12&lt;&gt;"",分析!V12,"")</f>
        <v>通常</v>
      </c>
      <c r="V167" s="138">
        <f>IF(分析!W12&lt;&gt;"",分析!W12,"")</f>
        <v>49.428571428571431</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4749</v>
      </c>
      <c r="F168" s="148">
        <f>IF(分析!F37&lt;&gt;"",分析!F37,"")</f>
        <v>4809</v>
      </c>
      <c r="G168" s="148">
        <f>IF(分析!H37&lt;&gt;"",分析!H37,"")</f>
        <v>4822</v>
      </c>
      <c r="H168" s="148">
        <f>IF(分析!I37&lt;&gt;"",分析!I37,"")</f>
        <v>4737</v>
      </c>
      <c r="I168" s="148">
        <f>IF(分析!J37&lt;&gt;"",分析!J37,"")</f>
        <v>1896000</v>
      </c>
      <c r="J168" s="148">
        <f>IF(分析!AB37&lt;&gt;"",分析!AB37,"")</f>
        <v>1444.8589613034621</v>
      </c>
      <c r="K168" s="148">
        <f>IF(分析!AC37&lt;&gt;"",分析!AC37,"")</f>
        <v>1429.619189511322</v>
      </c>
      <c r="L168" s="148">
        <f>IF(分析!K37&lt;&gt;"",分析!K37,"")</f>
        <v>5073</v>
      </c>
      <c r="M168" s="143" t="str">
        <f>IF(分析!P37&lt;&gt;"",分析!P37,"")</f>
        <v>減少↓</v>
      </c>
      <c r="N168" s="149">
        <f>IF(分析!O37&lt;&gt;"",分析!O37,"")</f>
        <v>0.40188223324430877</v>
      </c>
      <c r="O168" s="150">
        <f>IF(分析!X37&lt;&gt;"",分析!X37,"")</f>
        <v>66.176535092086851</v>
      </c>
      <c r="P168" s="151">
        <f>IF(分析!L37&lt;&gt;"",分析!L37,"")</f>
        <v>-6.3867534003548192</v>
      </c>
      <c r="Q168" s="148">
        <f>IF(分析!S37&lt;&gt;"",分析!S37,"")</f>
        <v>4559</v>
      </c>
      <c r="R168" s="148">
        <f>IF(分析!R37&lt;&gt;"",分析!R37,"")</f>
        <v>5129</v>
      </c>
      <c r="S168" s="143" t="str">
        <f>IF(分析!AA37&lt;&gt;"",分析!AA37,"")</f>
        <v>下落▼</v>
      </c>
      <c r="T168" s="152">
        <f>IF(分析!Z37&lt;&gt;"",分析!Z37,"")</f>
        <v>-1.4730290456431534</v>
      </c>
      <c r="U168" s="143" t="str">
        <f>IF(分析!V37&lt;&gt;"",分析!V37,"")</f>
        <v>高値圏</v>
      </c>
      <c r="V168" s="153">
        <f>IF(分析!W37&lt;&gt;"",分析!W37,"")</f>
        <v>68.86517943743938</v>
      </c>
      <c r="W168" s="154" t="str">
        <f>IF(分析!AD37&lt;&gt;"",分析!AD37,"")</f>
        <v>パーフェクト▲</v>
      </c>
      <c r="X168" s="155" t="str">
        <f>IF(分析!AE37&lt;&gt;"",分析!AE37,"")</f>
        <v>なし</v>
      </c>
      <c r="Y168" s="156">
        <f>IF(分析!T37&lt;&gt;"",分析!T37,"")</f>
        <v>9</v>
      </c>
      <c r="Z168" s="142" t="str">
        <f>IF(分析!Y37&lt;&gt;"",分析!Y37,"")</f>
        <v>△注目</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1709</v>
      </c>
      <c r="F169" s="148">
        <f>IF(分析!F95&lt;&gt;"",分析!F95,"")</f>
        <v>1746</v>
      </c>
      <c r="G169" s="148">
        <f>IF(分析!H95&lt;&gt;"",分析!H95,"")</f>
        <v>1783</v>
      </c>
      <c r="H169" s="148">
        <f>IF(分析!I95&lt;&gt;"",分析!I95,"")</f>
        <v>1653</v>
      </c>
      <c r="I169" s="148">
        <f>IF(分析!J95&lt;&gt;"",分析!J95,"")</f>
        <v>917000</v>
      </c>
      <c r="J169" s="148">
        <f>IF(分析!AB95&lt;&gt;"",分析!AB95,"")</f>
        <v>4191.3828920570259</v>
      </c>
      <c r="K169" s="148">
        <f>IF(分析!AC95&lt;&gt;"",分析!AC95,"")</f>
        <v>4371.8796185935626</v>
      </c>
      <c r="L169" s="148">
        <f>IF(分析!K95&lt;&gt;"",分析!K95,"")</f>
        <v>2580</v>
      </c>
      <c r="M169" s="143" t="str">
        <f>IF(分析!P95&lt;&gt;"",分析!P95,"")</f>
        <v>減少↓</v>
      </c>
      <c r="N169" s="149">
        <f>IF(分析!O95&lt;&gt;"",分析!O95,"")</f>
        <v>0.66600816350246217</v>
      </c>
      <c r="O169" s="150">
        <f>IF(分析!X95&lt;&gt;"",分析!X95,"")</f>
        <v>-47.364708504650253</v>
      </c>
      <c r="P169" s="151">
        <f>IF(分析!L95&lt;&gt;"",分析!L95,"")</f>
        <v>-33.759689922480618</v>
      </c>
      <c r="Q169" s="148">
        <f>IF(分析!S95&lt;&gt;"",分析!S95,"")</f>
        <v>1641</v>
      </c>
      <c r="R169" s="148">
        <f>IF(分析!R95&lt;&gt;"",分析!R95,"")</f>
        <v>1846</v>
      </c>
      <c r="S169" s="143" t="str">
        <f>IF(分析!AA95&lt;&gt;"",分析!AA95,"")</f>
        <v>上昇▲</v>
      </c>
      <c r="T169" s="152">
        <f>IF(分析!Z95&lt;&gt;"",分析!Z95,"")</f>
        <v>13.933333333333334</v>
      </c>
      <c r="U169" s="143" t="str">
        <f>IF(分析!V95&lt;&gt;"",分析!V95,"")</f>
        <v>通常</v>
      </c>
      <c r="V169" s="153">
        <f>IF(分析!W95&lt;&gt;"",分析!W95,"")</f>
        <v>37.525987525987524</v>
      </c>
      <c r="W169" s="154" t="str">
        <f>IF(分析!AD95&lt;&gt;"",分析!AD95,"")</f>
        <v>下降トレンド▼</v>
      </c>
      <c r="X169" s="155" t="str">
        <f>IF(分析!AE95&lt;&gt;"",分析!AE95,"")</f>
        <v>なし</v>
      </c>
      <c r="Y169" s="156">
        <f>IF(分析!T95&lt;&gt;"",分析!T95,"")</f>
        <v>6</v>
      </c>
      <c r="Z169" s="142" t="str">
        <f>IF(分析!Y95&lt;&gt;"",分析!Y95,"")</f>
        <v>△注目</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2568</v>
      </c>
      <c r="F170" s="133">
        <f>IF(分析!F48&lt;&gt;"",分析!F48,"")</f>
        <v>2497</v>
      </c>
      <c r="G170" s="133">
        <f>IF(分析!H48&lt;&gt;"",分析!H48,"")</f>
        <v>2568</v>
      </c>
      <c r="H170" s="133">
        <f>IF(分析!I48&lt;&gt;"",分析!I48,"")</f>
        <v>2482</v>
      </c>
      <c r="I170" s="133">
        <f>IF(分析!J48&lt;&gt;"",分析!J48,"")</f>
        <v>789600</v>
      </c>
      <c r="J170" s="133">
        <f>IF(分析!AB48&lt;&gt;"",分析!AB48,"")</f>
        <v>6687.5814663951123</v>
      </c>
      <c r="K170" s="133">
        <f>IF(分析!AC48&lt;&gt;"",分析!AC48,"")</f>
        <v>6834.5792610250255</v>
      </c>
      <c r="L170" s="133">
        <f>IF(分析!K48&lt;&gt;"",分析!K48,"")</f>
        <v>2699.5</v>
      </c>
      <c r="M170" s="128" t="str">
        <f>IF(分析!P48&lt;&gt;"",分析!P48,"")</f>
        <v>減少↓</v>
      </c>
      <c r="N170" s="134">
        <f>IF(分析!O48&lt;&gt;"",分析!O48,"")</f>
        <v>0.43857407880558547</v>
      </c>
      <c r="O170" s="135">
        <f>IF(分析!X48&lt;&gt;"",分析!X48,"")</f>
        <v>-2.8634626789626054</v>
      </c>
      <c r="P170" s="136">
        <f>IF(分析!L48&lt;&gt;"",分析!L48,"")</f>
        <v>-4.8712724578625677</v>
      </c>
      <c r="Q170" s="133">
        <f>IF(分析!S48&lt;&gt;"",分析!S48,"")</f>
        <v>2465</v>
      </c>
      <c r="R170" s="133">
        <f>IF(分析!R48&lt;&gt;"",分析!R48,"")</f>
        <v>2773</v>
      </c>
      <c r="S170" s="128" t="str">
        <f>IF(分析!AA48&lt;&gt;"",分析!AA48,"")</f>
        <v>上昇▲</v>
      </c>
      <c r="T170" s="137">
        <f>IF(分析!Z48&lt;&gt;"",分析!Z48,"")</f>
        <v>3.0290872617853561</v>
      </c>
      <c r="U170" s="128" t="str">
        <f>IF(分析!V48&lt;&gt;"",分析!V48,"")</f>
        <v>高値圏</v>
      </c>
      <c r="V170" s="138">
        <f>IF(分析!W48&lt;&gt;"",分析!W48,"")</f>
        <v>45.051194539249146</v>
      </c>
      <c r="W170" s="139" t="str">
        <f>IF(分析!AD48&lt;&gt;"",分析!AD48,"")</f>
        <v>下降トレンド▼</v>
      </c>
      <c r="X170" s="140" t="str">
        <f>IF(分析!AE48&lt;&gt;"",分析!AE48,"")</f>
        <v>なし</v>
      </c>
      <c r="Y170" s="141">
        <f>IF(分析!T48&lt;&gt;"",分析!T48,"")</f>
        <v>8</v>
      </c>
      <c r="Z170" s="142" t="str">
        <f>IF(分析!Y48&lt;&gt;"",分析!Y48,"")</f>
        <v>△注目</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4375</v>
      </c>
      <c r="F171" s="148">
        <f>IF(分析!F11&lt;&gt;"",分析!F11,"")</f>
        <v>4375</v>
      </c>
      <c r="G171" s="148">
        <f>IF(分析!H11&lt;&gt;"",分析!H11,"")</f>
        <v>4375</v>
      </c>
      <c r="H171" s="148">
        <f>IF(分析!I11&lt;&gt;"",分析!I11,"")</f>
        <v>4375</v>
      </c>
      <c r="I171" s="148">
        <f>IF(分析!J11&lt;&gt;"",分析!J11,"")</f>
        <v>200</v>
      </c>
      <c r="J171" s="148">
        <f>IF(分析!AB11&lt;&gt;"",分析!AB11,"")</f>
        <v>2740.4276985743372</v>
      </c>
      <c r="K171" s="148">
        <f>IF(分析!AC11&lt;&gt;"",分析!AC11,"")</f>
        <v>2700.0083432657916</v>
      </c>
      <c r="L171" s="148">
        <f>IF(分析!K11&lt;&gt;"",分析!K11,"")</f>
        <v>5320</v>
      </c>
      <c r="M171" s="143" t="str">
        <f>IF(分析!P11&lt;&gt;"",分析!P11,"")</f>
        <v>減少↓</v>
      </c>
      <c r="N171" s="149">
        <f>IF(分析!O11&lt;&gt;"",分析!O11,"")</f>
        <v>0.16129032258064516</v>
      </c>
      <c r="O171" s="150">
        <f>IF(分析!X11&lt;&gt;"",分析!X11,"")</f>
        <v>-15.781138676717092</v>
      </c>
      <c r="P171" s="151">
        <f>IF(分析!L11&lt;&gt;"",分析!L11,"")</f>
        <v>-17.763157894736842</v>
      </c>
      <c r="Q171" s="148">
        <f>IF(分析!S11&lt;&gt;"",分析!S11,"")</f>
        <v>4200</v>
      </c>
      <c r="R171" s="148">
        <f>IF(分析!R11&lt;&gt;"",分析!R11,"")</f>
        <v>4725</v>
      </c>
      <c r="S171" s="143" t="str">
        <f>IF(分析!AA11&lt;&gt;"",分析!AA11,"")</f>
        <v>下落▼</v>
      </c>
      <c r="T171" s="152">
        <f>IF(分析!Z11&lt;&gt;"",分析!Z11,"")</f>
        <v>-1.0180995475113122</v>
      </c>
      <c r="U171" s="143" t="str">
        <f>IF(分析!V11&lt;&gt;"",分析!V11,"")</f>
        <v>通常</v>
      </c>
      <c r="V171" s="153">
        <f>IF(分析!W11&lt;&gt;"",分析!W11,"")</f>
        <v>50.131648235913637</v>
      </c>
      <c r="W171" s="154" t="str">
        <f>IF(分析!AD11&lt;&gt;"",分析!AD11,"")</f>
        <v>パーフェクト▲</v>
      </c>
      <c r="X171" s="155" t="str">
        <f>IF(分析!AE11&lt;&gt;"",分析!AE11,"")</f>
        <v>なし</v>
      </c>
      <c r="Y171" s="156">
        <f>IF(分析!T11&lt;&gt;"",分析!T11,"")</f>
        <v>5</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1548.5</v>
      </c>
      <c r="F172" s="148">
        <f>IF(分析!F45&lt;&gt;"",分析!F45,"")</f>
        <v>1541.5</v>
      </c>
      <c r="G172" s="148">
        <f>IF(分析!H45&lt;&gt;"",分析!H45,"")</f>
        <v>1549</v>
      </c>
      <c r="H172" s="148">
        <f>IF(分析!I45&lt;&gt;"",分析!I45,"")</f>
        <v>1528</v>
      </c>
      <c r="I172" s="148">
        <f>IF(分析!J45&lt;&gt;"",分析!J45,"")</f>
        <v>139100</v>
      </c>
      <c r="J172" s="148">
        <f>IF(分析!AB45&lt;&gt;"",分析!AB45,"")</f>
        <v>478.03747454175141</v>
      </c>
      <c r="K172" s="148">
        <f>IF(分析!AC45&lt;&gt;"",分析!AC45,"")</f>
        <v>482.44886769964216</v>
      </c>
      <c r="L172" s="148">
        <f>IF(分析!K45&lt;&gt;"",分析!K45,"")</f>
        <v>1860</v>
      </c>
      <c r="M172" s="143" t="str">
        <f>IF(分析!P45&lt;&gt;"",分析!P45,"")</f>
        <v>減少↓</v>
      </c>
      <c r="N172" s="149">
        <f>IF(分析!O45&lt;&gt;"",分析!O45,"")</f>
        <v>0.25649063283670159</v>
      </c>
      <c r="O172" s="150">
        <f>IF(分析!X45&lt;&gt;"",分析!X45,"")</f>
        <v>5.1546853792603997</v>
      </c>
      <c r="P172" s="151">
        <f>IF(分析!L45&lt;&gt;"",分析!L45,"")</f>
        <v>-16.747311827956992</v>
      </c>
      <c r="Q172" s="148">
        <f>IF(分析!S45&lt;&gt;"",分析!S45,"")</f>
        <v>1487</v>
      </c>
      <c r="R172" s="148">
        <f>IF(分析!R45&lt;&gt;"",分析!R45,"")</f>
        <v>1672</v>
      </c>
      <c r="S172" s="143" t="str">
        <f>IF(分析!AA45&lt;&gt;"",分析!AA45,"")</f>
        <v>上昇▲</v>
      </c>
      <c r="T172" s="152">
        <f>IF(分析!Z45&lt;&gt;"",分析!Z45,"")</f>
        <v>0.29145077720207252</v>
      </c>
      <c r="U172" s="143" t="str">
        <f>IF(分析!V45&lt;&gt;"",分析!V45,"")</f>
        <v>通常</v>
      </c>
      <c r="V172" s="153">
        <f>IF(分析!W45&lt;&gt;"",分析!W45,"")</f>
        <v>49.870801033591732</v>
      </c>
      <c r="W172" s="154" t="str">
        <f>IF(分析!AD45&lt;&gt;"",分析!AD45,"")</f>
        <v>上昇トレンド▲</v>
      </c>
      <c r="X172" s="155" t="str">
        <f>IF(分析!AE45&lt;&gt;"",分析!AE45,"")</f>
        <v>なし</v>
      </c>
      <c r="Y172" s="156">
        <f>IF(分析!T45&lt;&gt;"",分析!T45,"")</f>
        <v>6</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2339</v>
      </c>
      <c r="F173" s="148">
        <f>IF(分析!F57&lt;&gt;"",分析!F57,"")</f>
        <v>2357</v>
      </c>
      <c r="G173" s="148">
        <f>IF(分析!H57&lt;&gt;"",分析!H57,"")</f>
        <v>2358</v>
      </c>
      <c r="H173" s="148">
        <f>IF(分析!I57&lt;&gt;"",分析!I57,"")</f>
        <v>2339</v>
      </c>
      <c r="I173" s="148">
        <f>IF(分析!J57&lt;&gt;"",分析!J57,"")</f>
        <v>4600</v>
      </c>
      <c r="J173" s="148">
        <f>IF(分析!AB57&lt;&gt;"",分析!AB57,"")</f>
        <v>2286.9032586558042</v>
      </c>
      <c r="K173" s="148">
        <f>IF(分析!AC57&lt;&gt;"",分析!AC57,"")</f>
        <v>2446.0965435041703</v>
      </c>
      <c r="L173" s="148">
        <f>IF(分析!K57&lt;&gt;"",分析!K57,"")</f>
        <v>2730</v>
      </c>
      <c r="M173" s="143" t="str">
        <f>IF(分析!P57&lt;&gt;"",分析!P57,"")</f>
        <v>減少↓</v>
      </c>
      <c r="N173" s="149">
        <f>IF(分析!O57&lt;&gt;"",分析!O57,"")</f>
        <v>0.26558891454965355</v>
      </c>
      <c r="O173" s="150">
        <f>IF(分析!X57&lt;&gt;"",分析!X57,"")</f>
        <v>11.533947754927794</v>
      </c>
      <c r="P173" s="151">
        <f>IF(分析!L57&lt;&gt;"",分析!L57,"")</f>
        <v>-14.322344322344321</v>
      </c>
      <c r="Q173" s="148">
        <f>IF(分析!S57&lt;&gt;"",分析!S57,"")</f>
        <v>2245</v>
      </c>
      <c r="R173" s="148">
        <f>IF(分析!R57&lt;&gt;"",分析!R57,"")</f>
        <v>2526</v>
      </c>
      <c r="S173" s="143" t="str">
        <f>IF(分析!AA57&lt;&gt;"",分析!AA57,"")</f>
        <v>下落▼</v>
      </c>
      <c r="T173" s="152">
        <f>IF(分析!Z57&lt;&gt;"",分析!Z57,"")</f>
        <v>-1.8052057094878253</v>
      </c>
      <c r="U173" s="143" t="str">
        <f>IF(分析!V57&lt;&gt;"",分析!V57,"")</f>
        <v>通常</v>
      </c>
      <c r="V173" s="153">
        <f>IF(分析!W57&lt;&gt;"",分析!W57,"")</f>
        <v>77.832512315270932</v>
      </c>
      <c r="W173" s="154" t="str">
        <f>IF(分析!AD57&lt;&gt;"",分析!AD57,"")</f>
        <v>もみ合い→</v>
      </c>
      <c r="X173" s="155" t="str">
        <f>IF(分析!AE57&lt;&gt;"",分析!AE57,"")</f>
        <v>なし</v>
      </c>
      <c r="Y173" s="156">
        <f>IF(分析!T57&lt;&gt;"",分析!T57,"")</f>
        <v>2</v>
      </c>
      <c r="Z173" s="142" t="str">
        <f>IF(分析!Y57&lt;&gt;"",分析!Y57,"")</f>
        <v>見送り</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1283.5</v>
      </c>
      <c r="F174" s="148">
        <f>IF(分析!F147&lt;&gt;"",分析!F147,"")</f>
        <v>1279</v>
      </c>
      <c r="G174" s="148">
        <f>IF(分析!H147&lt;&gt;"",分析!H147,"")</f>
        <v>1301</v>
      </c>
      <c r="H174" s="148">
        <f>IF(分析!I147&lt;&gt;"",分析!I147,"")</f>
        <v>1273.5</v>
      </c>
      <c r="I174" s="148">
        <f>IF(分析!J147&lt;&gt;"",分析!J147,"")</f>
        <v>3076900</v>
      </c>
      <c r="J174" s="148">
        <f>IF(分析!AB147&lt;&gt;"",分析!AB147,"")</f>
        <v>0</v>
      </c>
      <c r="K174" s="148">
        <f>IF(分析!AC147&lt;&gt;"",分析!AC147,"")</f>
        <v>0</v>
      </c>
      <c r="L174" s="148">
        <f>IF(分析!K147&lt;&gt;"",分析!K147,"")</f>
        <v>1552.5</v>
      </c>
      <c r="M174" s="143" t="str">
        <f>IF(分析!P147&lt;&gt;"",分析!P147,"")</f>
        <v>減少↓</v>
      </c>
      <c r="N174" s="149">
        <f>IF(分析!O147&lt;&gt;"",分析!O147,"")</f>
        <v>0.42037254114374556</v>
      </c>
      <c r="O174" s="150">
        <f>IF(分析!X147&lt;&gt;"",分析!X147,"")</f>
        <v>8.4842749334304699</v>
      </c>
      <c r="P174" s="151">
        <f>IF(分析!L147&lt;&gt;"",分析!L147,"")</f>
        <v>-17.326892109500804</v>
      </c>
      <c r="Q174" s="148">
        <f>IF(分析!S147&lt;&gt;"",分析!S147,"")</f>
        <v>1232</v>
      </c>
      <c r="R174" s="148">
        <f>IF(分析!R147&lt;&gt;"",分析!R147,"")</f>
        <v>1386</v>
      </c>
      <c r="S174" s="143" t="str">
        <f>IF(分析!AA147&lt;&gt;"",分析!AA147,"")</f>
        <v>下落▼</v>
      </c>
      <c r="T174" s="152">
        <f>IF(分析!Z147&lt;&gt;"",分析!Z147,"")</f>
        <v>-0.81143740340030912</v>
      </c>
      <c r="U174" s="143" t="str">
        <f>IF(分析!V147&lt;&gt;"",分析!V147,"")</f>
        <v>通常</v>
      </c>
      <c r="V174" s="153">
        <f>IF(分析!W147&lt;&gt;"",分析!W147,"")</f>
        <v>56.869565217391305</v>
      </c>
      <c r="W174" s="154" t="str">
        <f>IF(分析!AD147&lt;&gt;"",分析!AD147,"")</f>
        <v>上昇トレンド▲</v>
      </c>
      <c r="X174" s="155" t="e">
        <f>IF(分析!AE147&lt;&gt;"",分析!AE147,"")</f>
        <v>#DIV/0!</v>
      </c>
      <c r="Y174" s="156">
        <f>IF(分析!T147&lt;&gt;"",分析!T147,"")</f>
        <v>0</v>
      </c>
      <c r="Z174" s="142" t="e">
        <f>IF(分析!Y147&lt;&gt;"",分析!Y147,"")</f>
        <v>#DIV/0!</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421</v>
      </c>
      <c r="F175" s="133">
        <f>IF(分析!F24&lt;&gt;"",分析!F24,"")</f>
        <v>416</v>
      </c>
      <c r="G175" s="133">
        <f>IF(分析!H24&lt;&gt;"",分析!H24,"")</f>
        <v>422</v>
      </c>
      <c r="H175" s="133">
        <f>IF(分析!I24&lt;&gt;"",分析!I24,"")</f>
        <v>412</v>
      </c>
      <c r="I175" s="133">
        <f>IF(分析!J24&lt;&gt;"",分析!J24,"")</f>
        <v>702600</v>
      </c>
      <c r="J175" s="133">
        <f>IF(分析!AB24&lt;&gt;"",分析!AB24,"")</f>
        <v>6378.4338085539712</v>
      </c>
      <c r="K175" s="133">
        <f>IF(分析!AC24&lt;&gt;"",分析!AC24,"")</f>
        <v>6424.2252681763975</v>
      </c>
      <c r="L175" s="133">
        <f>IF(分析!K24&lt;&gt;"",分析!K24,"")</f>
        <v>710</v>
      </c>
      <c r="M175" s="128" t="str">
        <f>IF(分析!P24&lt;&gt;"",分析!P24,"")</f>
        <v>減少↓</v>
      </c>
      <c r="N175" s="134">
        <f>IF(分析!O24&lt;&gt;"",分析!O24,"")</f>
        <v>0.55140480301365558</v>
      </c>
      <c r="O175" s="135">
        <f>IF(分析!X24&lt;&gt;"",分析!X24,"")</f>
        <v>-9.2319066705406385</v>
      </c>
      <c r="P175" s="136">
        <f>IF(分析!L24&lt;&gt;"",分析!L24,"")</f>
        <v>-40.70422535211268</v>
      </c>
      <c r="Q175" s="133">
        <f>IF(分析!S24&lt;&gt;"",分析!S24,"")</f>
        <v>404</v>
      </c>
      <c r="R175" s="133">
        <f>IF(分析!R24&lt;&gt;"",分析!R24,"")</f>
        <v>455</v>
      </c>
      <c r="S175" s="128" t="str">
        <f>IF(分析!AA24&lt;&gt;"",分析!AA24,"")</f>
        <v>上昇▲</v>
      </c>
      <c r="T175" s="137">
        <f>IF(分析!Z24&lt;&gt;"",分析!Z24,"")</f>
        <v>4.4665012406947886</v>
      </c>
      <c r="U175" s="128" t="str">
        <f>IF(分析!V24&lt;&gt;"",分析!V24,"")</f>
        <v>通常</v>
      </c>
      <c r="V175" s="138">
        <f>IF(分析!W24&lt;&gt;"",分析!W24,"")</f>
        <v>47.87350054525627</v>
      </c>
      <c r="W175" s="139" t="str">
        <f>IF(分析!AD24&lt;&gt;"",分析!AD24,"")</f>
        <v>下降トレンド▼</v>
      </c>
      <c r="X175" s="140" t="str">
        <f>IF(分析!AE24&lt;&gt;"",分析!AE24,"")</f>
        <v>なし</v>
      </c>
      <c r="Y175" s="141">
        <f>IF(分析!T24&lt;&gt;"",分析!T24,"")</f>
        <v>0</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2359.5</v>
      </c>
      <c r="F176" s="133">
        <f>IF(分析!F126&lt;&gt;"",分析!F126,"")</f>
        <v>2352</v>
      </c>
      <c r="G176" s="133">
        <f>IF(分析!H126&lt;&gt;"",分析!H126,"")</f>
        <v>2395</v>
      </c>
      <c r="H176" s="133">
        <f>IF(分析!I126&lt;&gt;"",分析!I126,"")</f>
        <v>2294</v>
      </c>
      <c r="I176" s="133">
        <f>IF(分析!J126&lt;&gt;"",分析!J126,"")</f>
        <v>22279800</v>
      </c>
      <c r="J176" s="133">
        <f>IF(分析!AB126&lt;&gt;"",分析!AB126,"")</f>
        <v>1911.080448065173</v>
      </c>
      <c r="K176" s="133">
        <f>IF(分析!AC126&lt;&gt;"",分析!AC126,"")</f>
        <v>1851.8295589988074</v>
      </c>
      <c r="L176" s="133">
        <f>IF(分析!K126&lt;&gt;"",分析!K126,"")</f>
        <v>3019</v>
      </c>
      <c r="M176" s="128" t="str">
        <f>IF(分析!P126&lt;&gt;"",分析!P126,"")</f>
        <v/>
      </c>
      <c r="N176" s="134" t="str">
        <f>IF(分析!O126&lt;&gt;"",分析!O126,"")</f>
        <v/>
      </c>
      <c r="O176" s="135">
        <f>IF(分析!X126&lt;&gt;"",分析!X126,"")</f>
        <v>0</v>
      </c>
      <c r="P176" s="136">
        <f>IF(分析!L126&lt;&gt;"",分析!L126,"")</f>
        <v>-21.844981782047036</v>
      </c>
      <c r="Q176" s="133">
        <f>IF(分析!S126&lt;&gt;"",分析!S126,"")</f>
        <v>2265</v>
      </c>
      <c r="R176" s="133">
        <f>IF(分析!R126&lt;&gt;"",分析!R126,"")</f>
        <v>2548</v>
      </c>
      <c r="S176" s="128" t="str">
        <f>IF(分析!AA126&lt;&gt;"",分析!AA126,"")</f>
        <v>上昇▲</v>
      </c>
      <c r="T176" s="137" t="str">
        <f>IF(分析!Z126&lt;&gt;"",分析!Z126,"")</f>
        <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10</v>
      </c>
      <c r="Z176" s="142" t="str">
        <f>IF(分析!Y126&lt;&gt;"",分析!Y126,"")</f>
        <v>○買い候補</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115</v>
      </c>
      <c r="F177" s="133">
        <f>IF(分析!F20&lt;&gt;"",分析!F20,"")</f>
        <v>114</v>
      </c>
      <c r="G177" s="133">
        <f>IF(分析!H20&lt;&gt;"",分析!H20,"")</f>
        <v>116</v>
      </c>
      <c r="H177" s="133">
        <f>IF(分析!I20&lt;&gt;"",分析!I20,"")</f>
        <v>113</v>
      </c>
      <c r="I177" s="133">
        <f>IF(分析!J20&lt;&gt;"",分析!J20,"")</f>
        <v>1218700</v>
      </c>
      <c r="J177" s="133">
        <f>IF(分析!AB20&lt;&gt;"",分析!AB20,"")</f>
        <v>4859.6405295315672</v>
      </c>
      <c r="K177" s="133">
        <f>IF(分析!AC20&lt;&gt;"",分析!AC20,"")</f>
        <v>4764.3969010727042</v>
      </c>
      <c r="L177" s="133">
        <f>IF(分析!K20&lt;&gt;"",分析!K20,"")</f>
        <v>155</v>
      </c>
      <c r="M177" s="128" t="str">
        <f>IF(分析!P20&lt;&gt;"",分析!P20,"")</f>
        <v>減少↓</v>
      </c>
      <c r="N177" s="134">
        <f>IF(分析!O20&lt;&gt;"",分析!O20,"")</f>
        <v>0.80110170382835511</v>
      </c>
      <c r="O177" s="135">
        <f>IF(分析!X20&lt;&gt;"",分析!X20,"")</f>
        <v>-0.52050637042813719</v>
      </c>
      <c r="P177" s="136">
        <f>IF(分析!L20&lt;&gt;"",分析!L20,"")</f>
        <v>-25.806451612903224</v>
      </c>
      <c r="Q177" s="133">
        <f>IF(分析!S20&lt;&gt;"",分析!S20,"")</f>
        <v>110</v>
      </c>
      <c r="R177" s="133">
        <f>IF(分析!R20&lt;&gt;"",分析!R20,"")</f>
        <v>124</v>
      </c>
      <c r="S177" s="128" t="str">
        <f>IF(分析!AA20&lt;&gt;"",分析!AA20,"")</f>
        <v>下落▼</v>
      </c>
      <c r="T177" s="137">
        <f>IF(分析!Z20&lt;&gt;"",分析!Z20,"")</f>
        <v>-0.86206896551724133</v>
      </c>
      <c r="U177" s="128" t="str">
        <f>IF(分析!V20&lt;&gt;"",分析!V20,"")</f>
        <v>通常</v>
      </c>
      <c r="V177" s="138">
        <f>IF(分析!W20&lt;&gt;"",分析!W20,"")</f>
        <v>50</v>
      </c>
      <c r="W177" s="139" t="str">
        <f>IF(分析!AD20&lt;&gt;"",分析!AD20,"")</f>
        <v>もみ合い→</v>
      </c>
      <c r="X177" s="140" t="str">
        <f>IF(分析!AE20&lt;&gt;"",分析!AE20,"")</f>
        <v>なし</v>
      </c>
      <c r="Y177" s="141">
        <f>IF(分析!T20&lt;&gt;"",分析!T20,"")</f>
        <v>4</v>
      </c>
      <c r="Z177" s="142" t="str">
        <f>IF(分析!Y20&lt;&gt;"",分析!Y20,"")</f>
        <v>様子見</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3779</v>
      </c>
      <c r="F178" s="148">
        <f>IF(分析!F29&lt;&gt;"",分析!F29,"")</f>
        <v>3840</v>
      </c>
      <c r="G178" s="148">
        <f>IF(分析!H29&lt;&gt;"",分析!H29,"")</f>
        <v>3844</v>
      </c>
      <c r="H178" s="148">
        <f>IF(分析!I29&lt;&gt;"",分析!I29,"")</f>
        <v>3764</v>
      </c>
      <c r="I178" s="148">
        <f>IF(分析!J29&lt;&gt;"",分析!J29,"")</f>
        <v>1150800</v>
      </c>
      <c r="J178" s="148">
        <f>IF(分析!AB29&lt;&gt;"",分析!AB29,"")</f>
        <v>0</v>
      </c>
      <c r="K178" s="148">
        <f>IF(分析!AC29&lt;&gt;"",分析!AC29,"")</f>
        <v>0</v>
      </c>
      <c r="L178" s="148">
        <f>IF(分析!K29&lt;&gt;"",分析!K29,"")</f>
        <v>4830</v>
      </c>
      <c r="M178" s="143" t="str">
        <f>IF(分析!P29&lt;&gt;"",分析!P29,"")</f>
        <v>減少↓</v>
      </c>
      <c r="N178" s="149">
        <f>IF(分析!O29&lt;&gt;"",分析!O29,"")</f>
        <v>0.28470913058322322</v>
      </c>
      <c r="O178" s="150">
        <f>IF(分析!X29&lt;&gt;"",分析!X29,"")</f>
        <v>55.321486711855869</v>
      </c>
      <c r="P178" s="151">
        <f>IF(分析!L29&lt;&gt;"",分析!L29,"")</f>
        <v>-21.759834368530022</v>
      </c>
      <c r="Q178" s="148">
        <f>IF(分析!S29&lt;&gt;"",分析!S29,"")</f>
        <v>3628</v>
      </c>
      <c r="R178" s="148">
        <f>IF(分析!R29&lt;&gt;"",分析!R29,"")</f>
        <v>4081</v>
      </c>
      <c r="S178" s="143" t="str">
        <f>IF(分析!AA29&lt;&gt;"",分析!AA29,"")</f>
        <v>下落▼</v>
      </c>
      <c r="T178" s="152">
        <f>IF(分析!Z29&lt;&gt;"",分析!Z29,"")</f>
        <v>-3.1522296258329066</v>
      </c>
      <c r="U178" s="143" t="str">
        <f>IF(分析!V29&lt;&gt;"",分析!V29,"")</f>
        <v>通常</v>
      </c>
      <c r="V178" s="153">
        <f>IF(分析!W29&lt;&gt;"",分析!W29,"")</f>
        <v>61.767531219980782</v>
      </c>
      <c r="W178" s="154" t="str">
        <f>IF(分析!AD29&lt;&gt;"",分析!AD29,"")</f>
        <v>上昇トレンド▲</v>
      </c>
      <c r="X178" s="155" t="e">
        <f>IF(分析!AE29&lt;&gt;"",分析!AE29,"")</f>
        <v>#DIV/0!</v>
      </c>
      <c r="Y178" s="156">
        <f>IF(分析!T29&lt;&gt;"",分析!T29,"")</f>
        <v>0</v>
      </c>
      <c r="Z178" s="142" t="e">
        <f>IF(分析!Y29&lt;&gt;"",分析!Y29,"")</f>
        <v>#DIV/0!</v>
      </c>
    </row>
    <row r="179" spans="1:26" ht="21.9" customHeight="1">
      <c r="A179" s="114" t="str">
        <f>"◆"</f>
        <v>◆</v>
      </c>
      <c r="B179" s="115" t="str">
        <f>IF(分析!C3&lt;&gt;"",HYPERLINK("https://kabutan.jp/stock/?code="&amp;分析!C3,"株探"),"")</f>
        <v>株探</v>
      </c>
      <c r="C179" s="116" t="str">
        <f>IF(分析!C3&lt;&gt;"",分析!C3,"")</f>
        <v>TOPX</v>
      </c>
      <c r="D179" s="117">
        <f>IF(分析!D3&lt;&gt;"",分析!D3,"")</f>
        <v>4037.09</v>
      </c>
      <c r="E179" s="118" t="str">
        <f>IF(分析!E3&lt;&gt;"",分析!E3,"")</f>
        <v/>
      </c>
      <c r="F179" s="118" t="str">
        <f>IF(分析!F3&lt;&gt;"",分析!F3,"")</f>
        <v/>
      </c>
      <c r="G179" s="118" t="str">
        <f>IF(分析!H3&lt;&gt;"",分析!H3,"")</f>
        <v/>
      </c>
      <c r="H179" s="118" t="str">
        <f>IF(分析!I3&lt;&gt;"",分析!I3,"")</f>
        <v/>
      </c>
      <c r="I179" s="118" t="str">
        <f>IF(分析!J3&lt;&gt;"",分析!J3,"")</f>
        <v/>
      </c>
      <c r="J179" s="118">
        <f>IF(分析!AB3&lt;&gt;"",分析!AB3,"")</f>
        <v>3973.5221690427697</v>
      </c>
      <c r="K179" s="118">
        <f>IF(分析!AC3&lt;&gt;"",分析!AC3,"")</f>
        <v>4002.3658879618583</v>
      </c>
      <c r="L179" s="118" t="str">
        <f>IF(分析!K3&lt;&gt;"",分析!K3,"")</f>
        <v/>
      </c>
      <c r="M179" s="119" t="str">
        <f>IF(分析!P3&lt;&gt;"",分析!P3,"")</f>
        <v/>
      </c>
      <c r="N179" s="120" t="str">
        <f>IF(分析!O3&lt;&gt;"",分析!O3,"")</f>
        <v/>
      </c>
      <c r="O179" s="121" t="str">
        <f>IF(分析!X3&lt;&gt;"",分析!X3,"")</f>
        <v/>
      </c>
      <c r="P179" s="122" t="str">
        <f>IF(分析!L3&lt;&gt;"",分析!L3,"")</f>
        <v/>
      </c>
      <c r="Q179" s="118" t="str">
        <f>IF(分析!S3&lt;&gt;"",分析!S3,"")</f>
        <v/>
      </c>
      <c r="R179" s="118" t="str">
        <f>IF(分析!R3&lt;&gt;"",分析!R3,"")</f>
        <v/>
      </c>
      <c r="S179" s="119" t="str">
        <f>IF(分析!AA3&lt;&gt;"",分析!AA3,"")</f>
        <v/>
      </c>
      <c r="T179" s="123" t="str">
        <f>IF(分析!Z3&lt;&gt;"",分析!Z3,"")</f>
        <v/>
      </c>
      <c r="U179" s="119" t="str">
        <f>IF(分析!V3&lt;&gt;"",分析!V3,"")</f>
        <v/>
      </c>
      <c r="V179" s="124" t="str">
        <f>IF(分析!W3&lt;&gt;"",分析!W3,"")</f>
        <v/>
      </c>
      <c r="W179" s="119" t="str">
        <f>IF(分析!AD3&lt;&gt;"",分析!AD3,"")</f>
        <v>上昇トレンド▲</v>
      </c>
      <c r="X179" s="125" t="e">
        <f>IF(分析!AE3&lt;&gt;"",分析!AE3,"")</f>
        <v>#VALUE!</v>
      </c>
      <c r="Y179" s="126">
        <f>IF(分析!T3&lt;&gt;"",分析!T3,"")</f>
        <v>0</v>
      </c>
      <c r="Z179" s="127" t="e">
        <f>IF(分析!Y3&lt;&gt;"",分析!Y3,"")</f>
        <v>#VALUE!</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4485</v>
      </c>
      <c r="F180" s="133">
        <f>IF(分析!F106&lt;&gt;"",分析!F106,"")</f>
        <v>4400</v>
      </c>
      <c r="G180" s="133">
        <f>IF(分析!H106&lt;&gt;"",分析!H106,"")</f>
        <v>4517</v>
      </c>
      <c r="H180" s="133">
        <f>IF(分析!I106&lt;&gt;"",分析!I106,"")</f>
        <v>4372</v>
      </c>
      <c r="I180" s="133">
        <f>IF(分析!J106&lt;&gt;"",分析!J106,"")</f>
        <v>2044400</v>
      </c>
      <c r="J180" s="133">
        <f>IF(分析!AB106&lt;&gt;"",分析!AB106,"")</f>
        <v>4460.596741344194</v>
      </c>
      <c r="K180" s="133">
        <f>IF(分析!AC106&lt;&gt;"",分析!AC106,"")</f>
        <v>4412.9499404052431</v>
      </c>
      <c r="L180" s="133">
        <f>IF(分析!K106&lt;&gt;"",分析!K106,"")</f>
        <v>5199</v>
      </c>
      <c r="M180" s="128" t="str">
        <f>IF(分析!P106&lt;&gt;"",分析!P106,"")</f>
        <v>減少↓</v>
      </c>
      <c r="N180" s="134">
        <f>IF(分析!O106&lt;&gt;"",分析!O106,"")</f>
        <v>0.49106928390933807</v>
      </c>
      <c r="O180" s="135">
        <f>IF(分析!X106&lt;&gt;"",分析!X106,"")</f>
        <v>-103.53348803330573</v>
      </c>
      <c r="P180" s="136">
        <f>IF(分析!L106&lt;&gt;"",分析!L106,"")</f>
        <v>-13.733410271206001</v>
      </c>
      <c r="Q180" s="133">
        <f>IF(分析!S106&lt;&gt;"",分析!S106,"")</f>
        <v>4306</v>
      </c>
      <c r="R180" s="133">
        <f>IF(分析!R106&lt;&gt;"",分析!R106,"")</f>
        <v>4844</v>
      </c>
      <c r="S180" s="128" t="str">
        <f>IF(分析!AA106&lt;&gt;"",分析!AA106,"")</f>
        <v>上昇▲</v>
      </c>
      <c r="T180" s="137">
        <f>IF(分析!Z106&lt;&gt;"",分析!Z106,"")</f>
        <v>12.830188679245284</v>
      </c>
      <c r="U180" s="128" t="str">
        <f>IF(分析!V106&lt;&gt;"",分析!V106,"")</f>
        <v>通常</v>
      </c>
      <c r="V180" s="138">
        <f>IF(分析!W106&lt;&gt;"",分析!W106,"")</f>
        <v>40.139082058414466</v>
      </c>
      <c r="W180" s="139" t="str">
        <f>IF(分析!AD106&lt;&gt;"",分析!AD106,"")</f>
        <v>パーフェクト▲</v>
      </c>
      <c r="X180" s="140" t="str">
        <f>IF(分析!AE106&lt;&gt;"",分析!AE106,"")</f>
        <v>25日押し目★</v>
      </c>
      <c r="Y180" s="141">
        <f>IF(分析!T106&lt;&gt;"",分析!T106,"")</f>
        <v>3</v>
      </c>
      <c r="Z180" s="142" t="str">
        <f>IF(分析!Y106&lt;&gt;"",分析!Y106,"")</f>
        <v>様子見</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561</v>
      </c>
      <c r="F181" s="133">
        <f>IF(分析!F162&lt;&gt;"",分析!F162,"")</f>
        <v>552</v>
      </c>
      <c r="G181" s="133">
        <f>IF(分析!H162&lt;&gt;"",分析!H162,"")</f>
        <v>572</v>
      </c>
      <c r="H181" s="133">
        <f>IF(分析!I162&lt;&gt;"",分析!I162,"")</f>
        <v>542</v>
      </c>
      <c r="I181" s="133">
        <f>IF(分析!J162&lt;&gt;"",分析!J162,"")</f>
        <v>46100</v>
      </c>
      <c r="J181" s="133">
        <f>IF(分析!AB162&lt;&gt;"",分析!AB162,"")</f>
        <v>1278.9276985743379</v>
      </c>
      <c r="K181" s="133">
        <f>IF(分析!AC162&lt;&gt;"",分析!AC162,"")</f>
        <v>1258.4719904648387</v>
      </c>
      <c r="L181" s="133">
        <f>IF(分析!K162&lt;&gt;"",分析!K162,"")</f>
        <v>1630</v>
      </c>
      <c r="M181" s="128" t="str">
        <f>IF(分析!P162&lt;&gt;"",分析!P162,"")</f>
        <v>減少↓</v>
      </c>
      <c r="N181" s="134">
        <f>IF(分析!O162&lt;&gt;"",分析!O162,"")</f>
        <v>0.55770626663440603</v>
      </c>
      <c r="O181" s="135">
        <f>IF(分析!X162&lt;&gt;"",分析!X162,"")</f>
        <v>-6.1315002845893787</v>
      </c>
      <c r="P181" s="136">
        <f>IF(分析!L162&lt;&gt;"",分析!L162,"")</f>
        <v>-65.582822085889575</v>
      </c>
      <c r="Q181" s="133">
        <f>IF(分析!S162&lt;&gt;"",分析!S162,"")</f>
        <v>539</v>
      </c>
      <c r="R181" s="133">
        <f>IF(分析!R162&lt;&gt;"",分析!R162,"")</f>
        <v>606</v>
      </c>
      <c r="S181" s="128" t="str">
        <f>IF(分析!AA162&lt;&gt;"",分析!AA162,"")</f>
        <v>上昇▲</v>
      </c>
      <c r="T181" s="137">
        <f>IF(分析!Z162&lt;&gt;"",分析!Z162,"")</f>
        <v>6.4516129032258061</v>
      </c>
      <c r="U181" s="128" t="str">
        <f>IF(分析!V162&lt;&gt;"",分析!V162,"")</f>
        <v>通常</v>
      </c>
      <c r="V181" s="138">
        <f>IF(分析!W162&lt;&gt;"",分析!W162,"")</f>
        <v>44.71153846153846</v>
      </c>
      <c r="W181" s="139" t="str">
        <f>IF(分析!AD162&lt;&gt;"",分析!AD162,"")</f>
        <v>もみ合い→</v>
      </c>
      <c r="X181" s="140" t="str">
        <f>IF(分析!AE162&lt;&gt;"",分析!AE162,"")</f>
        <v>なし</v>
      </c>
      <c r="Y181" s="141">
        <f>IF(分析!T162&lt;&gt;"",分析!T162,"")</f>
        <v>1</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2434</v>
      </c>
      <c r="F182" s="148">
        <f>IF(分析!F31&lt;&gt;"",分析!F31,"")</f>
        <v>2425</v>
      </c>
      <c r="G182" s="148">
        <f>IF(分析!H31&lt;&gt;"",分析!H31,"")</f>
        <v>2435</v>
      </c>
      <c r="H182" s="148">
        <f>IF(分析!I31&lt;&gt;"",分析!I31,"")</f>
        <v>2414</v>
      </c>
      <c r="I182" s="148">
        <f>IF(分析!J31&lt;&gt;"",分析!J31,"")</f>
        <v>42500</v>
      </c>
      <c r="J182" s="148">
        <f>IF(分析!AB31&lt;&gt;"",分析!AB31,"")</f>
        <v>1800.1023421588588</v>
      </c>
      <c r="K182" s="148">
        <f>IF(分析!AC31&lt;&gt;"",分析!AC31,"")</f>
        <v>1800.937425506555</v>
      </c>
      <c r="L182" s="148">
        <f>IF(分析!K31&lt;&gt;"",分析!K31,"")</f>
        <v>2885</v>
      </c>
      <c r="M182" s="143" t="str">
        <f>IF(分析!P31&lt;&gt;"",分析!P31,"")</f>
        <v>減少↓</v>
      </c>
      <c r="N182" s="149">
        <f>IF(分析!O31&lt;&gt;"",分析!O31,"")</f>
        <v>0.33151326053042124</v>
      </c>
      <c r="O182" s="150">
        <f>IF(分析!X31&lt;&gt;"",分析!X31,"")</f>
        <v>0.13912847925757887</v>
      </c>
      <c r="P182" s="151">
        <f>IF(分析!L31&lt;&gt;"",分析!L31,"")</f>
        <v>-15.632582322357019</v>
      </c>
      <c r="Q182" s="148">
        <f>IF(分析!S31&lt;&gt;"",分析!S31,"")</f>
        <v>2337</v>
      </c>
      <c r="R182" s="148">
        <f>IF(分析!R31&lt;&gt;"",分析!R31,"")</f>
        <v>2629</v>
      </c>
      <c r="S182" s="143" t="str">
        <f>IF(分析!AA31&lt;&gt;"",分析!AA31,"")</f>
        <v>下落▼</v>
      </c>
      <c r="T182" s="152">
        <f>IF(分析!Z31&lt;&gt;"",分析!Z31,"")</f>
        <v>-4.1067761806981518E-2</v>
      </c>
      <c r="U182" s="143" t="str">
        <f>IF(分析!V31&lt;&gt;"",分析!V31,"")</f>
        <v>通常</v>
      </c>
      <c r="V182" s="153">
        <f>IF(分析!W31&lt;&gt;"",分析!W31,"")</f>
        <v>46.351931330472098</v>
      </c>
      <c r="W182" s="154" t="str">
        <f>IF(分析!AD31&lt;&gt;"",分析!AD31,"")</f>
        <v>上昇トレンド▲</v>
      </c>
      <c r="X182" s="155" t="str">
        <f>IF(分析!AE31&lt;&gt;"",分析!AE31,"")</f>
        <v>なし</v>
      </c>
      <c r="Y182" s="156">
        <f>IF(分析!T31&lt;&gt;"",分析!T31,"")</f>
        <v>3</v>
      </c>
      <c r="Z182" s="142" t="str">
        <f>IF(分析!Y31&lt;&gt;"",分析!Y31,"")</f>
        <v>様子見</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2289</v>
      </c>
      <c r="F183" s="133">
        <f>IF(分析!F10&lt;&gt;"",分析!F10,"")</f>
        <v>2312</v>
      </c>
      <c r="G183" s="133">
        <f>IF(分析!H10&lt;&gt;"",分析!H10,"")</f>
        <v>2312</v>
      </c>
      <c r="H183" s="133">
        <f>IF(分析!I10&lt;&gt;"",分析!I10,"")</f>
        <v>2289</v>
      </c>
      <c r="I183" s="133">
        <f>IF(分析!J10&lt;&gt;"",分析!J10,"")</f>
        <v>7000</v>
      </c>
      <c r="J183" s="133">
        <f>IF(分析!AB10&lt;&gt;"",分析!AB10,"")</f>
        <v>3557.581466395111</v>
      </c>
      <c r="K183" s="133">
        <f>IF(分析!AC10&lt;&gt;"",分析!AC10,"")</f>
        <v>3528.2061978545871</v>
      </c>
      <c r="L183" s="133">
        <f>IF(分析!K10&lt;&gt;"",分析!K10,"")</f>
        <v>2877</v>
      </c>
      <c r="M183" s="128" t="str">
        <f>IF(分析!P10&lt;&gt;"",分析!P10,"")</f>
        <v>減少↓</v>
      </c>
      <c r="N183" s="134">
        <f>IF(分析!O10&lt;&gt;"",分析!O10,"")</f>
        <v>0.27407987470634299</v>
      </c>
      <c r="O183" s="135">
        <f>IF(分析!X10&lt;&gt;"",分析!X10,"")</f>
        <v>-6.4093671762739177</v>
      </c>
      <c r="P183" s="136">
        <f>IF(分析!L10&lt;&gt;"",分析!L10,"")</f>
        <v>-20.437956204379564</v>
      </c>
      <c r="Q183" s="133">
        <f>IF(分析!S10&lt;&gt;"",分析!S10,"")</f>
        <v>2197</v>
      </c>
      <c r="R183" s="133">
        <f>IF(分析!R10&lt;&gt;"",分析!R10,"")</f>
        <v>2472</v>
      </c>
      <c r="S183" s="128" t="str">
        <f>IF(分析!AA10&lt;&gt;"",分析!AA10,"")</f>
        <v>下落▼</v>
      </c>
      <c r="T183" s="137">
        <f>IF(分析!Z10&lt;&gt;"",分析!Z10,"")</f>
        <v>-1.421188630490956</v>
      </c>
      <c r="U183" s="128" t="str">
        <f>IF(分析!V10&lt;&gt;"",分析!V10,"")</f>
        <v>通常</v>
      </c>
      <c r="V183" s="138">
        <f>IF(分析!W10&lt;&gt;"",分析!W10,"")</f>
        <v>42.168674698795179</v>
      </c>
      <c r="W183" s="139" t="str">
        <f>IF(分析!AD10&lt;&gt;"",分析!AD10,"")</f>
        <v>もみ合い→</v>
      </c>
      <c r="X183" s="140" t="str">
        <f>IF(分析!AE10&lt;&gt;"",分析!AE10,"")</f>
        <v>なし</v>
      </c>
      <c r="Y183" s="141">
        <f>IF(分析!T10&lt;&gt;"",分析!T10,"")</f>
        <v>0</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1192.5</v>
      </c>
      <c r="F184" s="133">
        <f>IF(分析!F16&lt;&gt;"",分析!F16,"")</f>
        <v>1192</v>
      </c>
      <c r="G184" s="133">
        <f>IF(分析!H16&lt;&gt;"",分析!H16,"")</f>
        <v>1208</v>
      </c>
      <c r="H184" s="133">
        <f>IF(分析!I16&lt;&gt;"",分析!I16,"")</f>
        <v>1188.5</v>
      </c>
      <c r="I184" s="133">
        <f>IF(分析!J16&lt;&gt;"",分析!J16,"")</f>
        <v>1241700</v>
      </c>
      <c r="J184" s="133">
        <f>IF(分析!AB16&lt;&gt;"",分析!AB16,"")</f>
        <v>1694.7657841140528</v>
      </c>
      <c r="K184" s="133">
        <f>IF(分析!AC16&lt;&gt;"",分析!AC16,"")</f>
        <v>1625.6245530393319</v>
      </c>
      <c r="L184" s="133">
        <f>IF(分析!K16&lt;&gt;"",分析!K16,"")</f>
        <v>1323</v>
      </c>
      <c r="M184" s="128" t="str">
        <f>IF(分析!P16&lt;&gt;"",分析!P16,"")</f>
        <v>減少↓</v>
      </c>
      <c r="N184" s="134">
        <f>IF(分析!O16&lt;&gt;"",分析!O16,"")</f>
        <v>0.31179064301641191</v>
      </c>
      <c r="O184" s="135">
        <f>IF(分析!X16&lt;&gt;"",分析!X16,"")</f>
        <v>13.686721607713025</v>
      </c>
      <c r="P184" s="136">
        <f>IF(分析!L16&lt;&gt;"",分析!L16,"")</f>
        <v>-9.8639455782312915</v>
      </c>
      <c r="Q184" s="133">
        <f>IF(分析!S16&lt;&gt;"",分析!S16,"")</f>
        <v>1145</v>
      </c>
      <c r="R184" s="133">
        <f>IF(分析!R16&lt;&gt;"",分析!R16,"")</f>
        <v>1288</v>
      </c>
      <c r="S184" s="128" t="str">
        <f>IF(分析!AA16&lt;&gt;"",分析!AA16,"")</f>
        <v>上昇▲</v>
      </c>
      <c r="T184" s="137">
        <f>IF(分析!Z16&lt;&gt;"",分析!Z16,"")</f>
        <v>0.16799664006719867</v>
      </c>
      <c r="U184" s="128" t="str">
        <f>IF(分析!V16&lt;&gt;"",分析!V16,"")</f>
        <v>通常</v>
      </c>
      <c r="V184" s="138">
        <f>IF(分析!W16&lt;&gt;"",分析!W16,"")</f>
        <v>78.71148459383754</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1239.5</v>
      </c>
      <c r="F185" s="133">
        <f>IF(分析!F148&lt;&gt;"",分析!F148,"")</f>
        <v>1244.5</v>
      </c>
      <c r="G185" s="133">
        <f>IF(分析!H148&lt;&gt;"",分析!H148,"")</f>
        <v>1255</v>
      </c>
      <c r="H185" s="133">
        <f>IF(分析!I148&lt;&gt;"",分析!I148,"")</f>
        <v>1231</v>
      </c>
      <c r="I185" s="133">
        <f>IF(分析!J148&lt;&gt;"",分析!J148,"")</f>
        <v>2064000</v>
      </c>
      <c r="J185" s="133">
        <f>IF(分析!AB148&lt;&gt;"",分析!AB148,"")</f>
        <v>4866.8696537678197</v>
      </c>
      <c r="K185" s="133">
        <f>IF(分析!AC148&lt;&gt;"",分析!AC148,"")</f>
        <v>5005.3873659117971</v>
      </c>
      <c r="L185" s="133">
        <f>IF(分析!K148&lt;&gt;"",分析!K148,"")</f>
        <v>1671</v>
      </c>
      <c r="M185" s="128" t="str">
        <f>IF(分析!P148&lt;&gt;"",分析!P148,"")</f>
        <v>減少↓</v>
      </c>
      <c r="N185" s="134">
        <f>IF(分析!O148&lt;&gt;"",分析!O148,"")</f>
        <v>0.61465523916163889</v>
      </c>
      <c r="O185" s="135">
        <f>IF(分析!X148&lt;&gt;"",分析!X148,"")</f>
        <v>7.5642545544289987</v>
      </c>
      <c r="P185" s="136">
        <f>IF(分析!L148&lt;&gt;"",分析!L148,"")</f>
        <v>-25.822860562537404</v>
      </c>
      <c r="Q185" s="133">
        <f>IF(分析!S148&lt;&gt;"",分析!S148,"")</f>
        <v>1190</v>
      </c>
      <c r="R185" s="133">
        <f>IF(分析!R148&lt;&gt;"",分析!R148,"")</f>
        <v>1339</v>
      </c>
      <c r="S185" s="128" t="str">
        <f>IF(分析!AA148&lt;&gt;"",分析!AA148,"")</f>
        <v>下落▼</v>
      </c>
      <c r="T185" s="137">
        <f>IF(分析!Z148&lt;&gt;"",分析!Z148,"")</f>
        <v>-2.1704814522494082</v>
      </c>
      <c r="U185" s="128" t="str">
        <f>IF(分析!V148&lt;&gt;"",分析!V148,"")</f>
        <v>通常</v>
      </c>
      <c r="V185" s="138">
        <f>IF(分析!W148&lt;&gt;"",分析!W148,"")</f>
        <v>53.889943074003796</v>
      </c>
      <c r="W185" s="139" t="str">
        <f>IF(分析!AD148&lt;&gt;"",分析!AD148,"")</f>
        <v>下降トレンド▼</v>
      </c>
      <c r="X185" s="140" t="str">
        <f>IF(分析!AE148&lt;&gt;"",分析!AE148,"")</f>
        <v>なし</v>
      </c>
      <c r="Y185" s="141">
        <f>IF(分析!T148&lt;&gt;"",分析!T148,"")</f>
        <v>3</v>
      </c>
      <c r="Z185" s="142" t="str">
        <f>IF(分析!Y148&lt;&gt;"",分析!Y148,"")</f>
        <v>様子見</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4505</v>
      </c>
      <c r="F186" s="133">
        <f>IF(分析!F202&lt;&gt;"",分析!F202,"")</f>
        <v>4560</v>
      </c>
      <c r="G186" s="133">
        <f>IF(分析!H202&lt;&gt;"",分析!H202,"")</f>
        <v>4573</v>
      </c>
      <c r="H186" s="133">
        <f>IF(分析!I202&lt;&gt;"",分析!I202,"")</f>
        <v>4484</v>
      </c>
      <c r="I186" s="133">
        <f>IF(分析!J202&lt;&gt;"",分析!J202,"")</f>
        <v>1092700</v>
      </c>
      <c r="J186" s="133">
        <f>IF(分析!AB202&lt;&gt;"",分析!AB202,"")</f>
        <v>6692.0448065173096</v>
      </c>
      <c r="K186" s="133">
        <f>IF(分析!AC202&lt;&gt;"",分析!AC202,"")</f>
        <v>6453.2550655542291</v>
      </c>
      <c r="L186" s="133">
        <f>IF(分析!K202&lt;&gt;"",分析!K202,"")</f>
        <v>5805</v>
      </c>
      <c r="M186" s="128" t="str">
        <f>IF(分析!P202&lt;&gt;"",分析!P202,"")</f>
        <v>減少↓</v>
      </c>
      <c r="N186" s="134">
        <f>IF(分析!O202&lt;&gt;"",分析!O202,"")</f>
        <v>0.44827246695493073</v>
      </c>
      <c r="O186" s="135">
        <f>IF(分析!X202&lt;&gt;"",分析!X202,"")</f>
        <v>21.087603835392656</v>
      </c>
      <c r="P186" s="136">
        <f>IF(分析!L202&lt;&gt;"",分析!L202,"")</f>
        <v>-22.394487510766581</v>
      </c>
      <c r="Q186" s="133">
        <f>IF(分析!S202&lt;&gt;"",分析!S202,"")</f>
        <v>4325</v>
      </c>
      <c r="R186" s="133">
        <f>IF(分析!R202&lt;&gt;"",分析!R202,"")</f>
        <v>4865</v>
      </c>
      <c r="S186" s="128" t="str">
        <f>IF(分析!AA202&lt;&gt;"",分析!AA202,"")</f>
        <v>下落▼</v>
      </c>
      <c r="T186" s="137">
        <f>IF(分析!Z202&lt;&gt;"",分析!Z202,"")</f>
        <v>-1.7233856893542756</v>
      </c>
      <c r="U186" s="128" t="str">
        <f>IF(分析!V202&lt;&gt;"",分析!V202,"")</f>
        <v>通常</v>
      </c>
      <c r="V186" s="138">
        <f>IF(分析!W202&lt;&gt;"",分析!W202,"")</f>
        <v>52.457142857142856</v>
      </c>
      <c r="W186" s="139" t="str">
        <f>IF(分析!AD202&lt;&gt;"",分析!AD202,"")</f>
        <v>もみ合い→</v>
      </c>
      <c r="X186" s="140" t="str">
        <f>IF(分析!AE202&lt;&gt;"",分析!AE202,"")</f>
        <v>なし</v>
      </c>
      <c r="Y186" s="141">
        <f>IF(分析!T202&lt;&gt;"",分析!T202,"")</f>
        <v>3</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7712</v>
      </c>
      <c r="F187" s="148">
        <f>IF(分析!F35&lt;&gt;"",分析!F35,"")</f>
        <v>7717</v>
      </c>
      <c r="G187" s="148">
        <f>IF(分析!H35&lt;&gt;"",分析!H35,"")</f>
        <v>7819</v>
      </c>
      <c r="H187" s="148">
        <f>IF(分析!I35&lt;&gt;"",分析!I35,"")</f>
        <v>7696</v>
      </c>
      <c r="I187" s="148">
        <f>IF(分析!J35&lt;&gt;"",分析!J35,"")</f>
        <v>1818500</v>
      </c>
      <c r="J187" s="148">
        <f>IF(分析!AB35&lt;&gt;"",分析!AB35,"")</f>
        <v>1550.6705702647657</v>
      </c>
      <c r="K187" s="148">
        <f>IF(分析!AC35&lt;&gt;"",分析!AC35,"")</f>
        <v>1550.1764004767572</v>
      </c>
      <c r="L187" s="148">
        <f>IF(分析!K35&lt;&gt;"",分析!K35,"")</f>
        <v>8468</v>
      </c>
      <c r="M187" s="143" t="str">
        <f>IF(分析!P35&lt;&gt;"",分析!P35,"")</f>
        <v>減少↓</v>
      </c>
      <c r="N187" s="149">
        <f>IF(分析!O35&lt;&gt;"",分析!O35,"")</f>
        <v>0.35542985806259941</v>
      </c>
      <c r="O187" s="150">
        <f>IF(分析!X35&lt;&gt;"",分析!X35,"")</f>
        <v>60.344956396102134</v>
      </c>
      <c r="P187" s="151">
        <f>IF(分析!L35&lt;&gt;"",分析!L35,"")</f>
        <v>-8.9277279168634855</v>
      </c>
      <c r="Q187" s="148">
        <f>IF(分析!S35&lt;&gt;"",分析!S35,"")</f>
        <v>7404</v>
      </c>
      <c r="R187" s="148">
        <f>IF(分析!R35&lt;&gt;"",分析!R35,"")</f>
        <v>8329</v>
      </c>
      <c r="S187" s="143" t="str">
        <f>IF(分析!AA35&lt;&gt;"",分析!AA35,"")</f>
        <v>下落▼</v>
      </c>
      <c r="T187" s="152">
        <f>IF(分析!Z35&lt;&gt;"",分析!Z35,"")</f>
        <v>-2.1940393151553583</v>
      </c>
      <c r="U187" s="143" t="str">
        <f>IF(分析!V35&lt;&gt;"",分析!V35,"")</f>
        <v>通常</v>
      </c>
      <c r="V187" s="153">
        <f>IF(分析!W35&lt;&gt;"",分析!W35,"")</f>
        <v>57.456140350877192</v>
      </c>
      <c r="W187" s="154" t="str">
        <f>IF(分析!AD35&lt;&gt;"",分析!AD35,"")</f>
        <v>パーフェクト▲</v>
      </c>
      <c r="X187" s="155" t="str">
        <f>IF(分析!AE35&lt;&gt;"",分析!AE35,"")</f>
        <v>なし</v>
      </c>
      <c r="Y187" s="156">
        <f>IF(分析!T35&lt;&gt;"",分析!T35,"")</f>
        <v>8</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2560.5</v>
      </c>
      <c r="F188" s="148">
        <f>IF(分析!F49&lt;&gt;"",分析!F49,"")</f>
        <v>2496.5</v>
      </c>
      <c r="G188" s="148">
        <f>IF(分析!H49&lt;&gt;"",分析!H49,"")</f>
        <v>2570</v>
      </c>
      <c r="H188" s="148">
        <f>IF(分析!I49&lt;&gt;"",分析!I49,"")</f>
        <v>2496.5</v>
      </c>
      <c r="I188" s="148">
        <f>IF(分析!J49&lt;&gt;"",分析!J49,"")</f>
        <v>548400</v>
      </c>
      <c r="J188" s="148">
        <f>IF(分析!AB49&lt;&gt;"",分析!AB49,"")</f>
        <v>2534.325865580448</v>
      </c>
      <c r="K188" s="148">
        <f>IF(分析!AC49&lt;&gt;"",分析!AC49,"")</f>
        <v>2570.2932061978531</v>
      </c>
      <c r="L188" s="148">
        <f>IF(分析!K49&lt;&gt;"",分析!K49,"")</f>
        <v>2661</v>
      </c>
      <c r="M188" s="143" t="str">
        <f>IF(分析!P49&lt;&gt;"",分析!P49,"")</f>
        <v>減少↓</v>
      </c>
      <c r="N188" s="149">
        <f>IF(分析!O49&lt;&gt;"",分析!O49,"")</f>
        <v>0.4968381380347533</v>
      </c>
      <c r="O188" s="150">
        <f>IF(分析!X49&lt;&gt;"",分析!X49,"")</f>
        <v>5.4566468581720073</v>
      </c>
      <c r="P188" s="151">
        <f>IF(分析!L49&lt;&gt;"",分析!L49,"")</f>
        <v>-3.7767756482525368</v>
      </c>
      <c r="Q188" s="148">
        <f>IF(分析!S49&lt;&gt;"",分析!S49,"")</f>
        <v>2458</v>
      </c>
      <c r="R188" s="148">
        <f>IF(分析!R49&lt;&gt;"",分析!R49,"")</f>
        <v>2765</v>
      </c>
      <c r="S188" s="143" t="str">
        <f>IF(分析!AA49&lt;&gt;"",分析!AA49,"")</f>
        <v>上昇▲</v>
      </c>
      <c r="T188" s="152">
        <f>IF(分析!Z49&lt;&gt;"",分析!Z49,"")</f>
        <v>1.3056379821958457</v>
      </c>
      <c r="U188" s="143" t="str">
        <f>IF(分析!V49&lt;&gt;"",分析!V49,"")</f>
        <v>高値圏</v>
      </c>
      <c r="V188" s="153">
        <f>IF(分析!W49&lt;&gt;"",分析!W49,"")</f>
        <v>50.906735751295336</v>
      </c>
      <c r="W188" s="154" t="str">
        <f>IF(分析!AD49&lt;&gt;"",分析!AD49,"")</f>
        <v>もみ合い→</v>
      </c>
      <c r="X188" s="155" t="str">
        <f>IF(分析!AE49&lt;&gt;"",分析!AE49,"")</f>
        <v>なし</v>
      </c>
      <c r="Y188" s="156">
        <f>IF(分析!T49&lt;&gt;"",分析!T49,"")</f>
        <v>9</v>
      </c>
      <c r="Z188" s="142" t="str">
        <f>IF(分析!Y49&lt;&gt;"",分析!Y49,"")</f>
        <v>△注目</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3844</v>
      </c>
      <c r="F189" s="148">
        <f>IF(分析!F89&lt;&gt;"",分析!F89,"")</f>
        <v>3635</v>
      </c>
      <c r="G189" s="148">
        <f>IF(分析!H89&lt;&gt;"",分析!H89,"")</f>
        <v>3873</v>
      </c>
      <c r="H189" s="148">
        <f>IF(分析!I89&lt;&gt;"",分析!I89,"")</f>
        <v>3630</v>
      </c>
      <c r="I189" s="148">
        <f>IF(分析!J89&lt;&gt;"",分析!J89,"")</f>
        <v>1758100</v>
      </c>
      <c r="J189" s="148">
        <f>IF(分析!AB89&lt;&gt;"",分析!AB89,"")</f>
        <v>5259.9623217922599</v>
      </c>
      <c r="K189" s="148">
        <f>IF(分析!AC89&lt;&gt;"",分析!AC89,"")</f>
        <v>4976.411203814062</v>
      </c>
      <c r="L189" s="148">
        <f>IF(分析!K89&lt;&gt;"",分析!K89,"")</f>
        <v>4855</v>
      </c>
      <c r="M189" s="143" t="str">
        <f>IF(分析!P89&lt;&gt;"",分析!P89,"")</f>
        <v>減少↓</v>
      </c>
      <c r="N189" s="149">
        <f>IF(分析!O89&lt;&gt;"",分析!O89,"")</f>
        <v>0.68414949255961643</v>
      </c>
      <c r="O189" s="150">
        <f>IF(分析!X89&lt;&gt;"",分析!X89,"")</f>
        <v>-114.12956587153985</v>
      </c>
      <c r="P189" s="151">
        <f>IF(分析!L89&lt;&gt;"",分析!L89,"")</f>
        <v>-20.823892893923791</v>
      </c>
      <c r="Q189" s="148">
        <f>IF(分析!S89&lt;&gt;"",分析!S89,"")</f>
        <v>3690</v>
      </c>
      <c r="R189" s="148">
        <f>IF(分析!R89&lt;&gt;"",分析!R89,"")</f>
        <v>4152</v>
      </c>
      <c r="S189" s="143" t="str">
        <f>IF(分析!AA89&lt;&gt;"",分析!AA89,"")</f>
        <v>上昇▲</v>
      </c>
      <c r="T189" s="152">
        <f>IF(分析!Z89&lt;&gt;"",分析!Z89,"")</f>
        <v>9.7972007997714936</v>
      </c>
      <c r="U189" s="143" t="str">
        <f>IF(分析!V89&lt;&gt;"",分析!V89,"")</f>
        <v>通常</v>
      </c>
      <c r="V189" s="153">
        <f>IF(分析!W89&lt;&gt;"",分析!W89,"")</f>
        <v>47.079439252336442</v>
      </c>
      <c r="W189" s="154" t="str">
        <f>IF(分析!AD89&lt;&gt;"",分析!AD89,"")</f>
        <v>もみ合い→</v>
      </c>
      <c r="X189" s="155" t="str">
        <f>IF(分析!AE89&lt;&gt;"",分析!AE89,"")</f>
        <v>なし</v>
      </c>
      <c r="Y189" s="156">
        <f>IF(分析!T89&lt;&gt;"",分析!T89,"")</f>
        <v>0</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1706</v>
      </c>
      <c r="F190" s="133">
        <f>IF(分析!F136&lt;&gt;"",分析!F136,"")</f>
        <v>1697</v>
      </c>
      <c r="G190" s="133">
        <f>IF(分析!H136&lt;&gt;"",分析!H136,"")</f>
        <v>1722</v>
      </c>
      <c r="H190" s="133">
        <f>IF(分析!I136&lt;&gt;"",分析!I136,"")</f>
        <v>1689</v>
      </c>
      <c r="I190" s="133">
        <f>IF(分析!J136&lt;&gt;"",分析!J136,"")</f>
        <v>137200</v>
      </c>
      <c r="J190" s="133">
        <f>IF(分析!AB136&lt;&gt;"",分析!AB136,"")</f>
        <v>839.47556008146637</v>
      </c>
      <c r="K190" s="133">
        <f>IF(分析!AC136&lt;&gt;"",分析!AC136,"")</f>
        <v>873.19427890345605</v>
      </c>
      <c r="L190" s="133">
        <f>IF(分析!K136&lt;&gt;"",分析!K136,"")</f>
        <v>1973</v>
      </c>
      <c r="M190" s="128" t="str">
        <f>IF(分析!P136&lt;&gt;"",分析!P136,"")</f>
        <v>減少↓</v>
      </c>
      <c r="N190" s="134">
        <f>IF(分析!O136&lt;&gt;"",分析!O136,"")</f>
        <v>0.30548628428927682</v>
      </c>
      <c r="O190" s="135">
        <f>IF(分析!X136&lt;&gt;"",分析!X136,"")</f>
        <v>-1.0704886582088875</v>
      </c>
      <c r="P190" s="136">
        <f>IF(分析!L136&lt;&gt;"",分析!L136,"")</f>
        <v>-13.532691332995439</v>
      </c>
      <c r="Q190" s="133">
        <f>IF(分析!S136&lt;&gt;"",分析!S136,"")</f>
        <v>1638</v>
      </c>
      <c r="R190" s="133">
        <f>IF(分析!R136&lt;&gt;"",分析!R136,"")</f>
        <v>1842</v>
      </c>
      <c r="S190" s="128" t="str">
        <f>IF(分析!AA136&lt;&gt;"",分析!AA136,"")</f>
        <v>上昇▲</v>
      </c>
      <c r="T190" s="137">
        <f>IF(分析!Z136&lt;&gt;"",分析!Z136,"")</f>
        <v>0.64896755162241893</v>
      </c>
      <c r="U190" s="128" t="str">
        <f>IF(分析!V136&lt;&gt;"",分析!V136,"")</f>
        <v>通常</v>
      </c>
      <c r="V190" s="138">
        <f>IF(分析!W136&lt;&gt;"",分析!W136,"")</f>
        <v>45.481049562682216</v>
      </c>
      <c r="W190" s="139" t="str">
        <f>IF(分析!AD136&lt;&gt;"",分析!AD136,"")</f>
        <v>上昇トレンド▲</v>
      </c>
      <c r="X190" s="140" t="str">
        <f>IF(分析!AE136&lt;&gt;"",分析!AE136,"")</f>
        <v>なし</v>
      </c>
      <c r="Y190" s="141">
        <f>IF(分析!T136&lt;&gt;"",分析!T136,"")</f>
        <v>5</v>
      </c>
      <c r="Z190" s="142" t="str">
        <f>IF(分析!Y136&lt;&gt;"",分析!Y136,"")</f>
        <v>様子見</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857.2</v>
      </c>
      <c r="F191" s="148">
        <f>IF(分析!F179&lt;&gt;"",分析!F179,"")</f>
        <v>864.3</v>
      </c>
      <c r="G191" s="148">
        <f>IF(分析!H179&lt;&gt;"",分析!H179,"")</f>
        <v>878.1</v>
      </c>
      <c r="H191" s="148">
        <f>IF(分析!I179&lt;&gt;"",分析!I179,"")</f>
        <v>842.5</v>
      </c>
      <c r="I191" s="148">
        <f>IF(分析!J179&lt;&gt;"",分析!J179,"")</f>
        <v>4205000</v>
      </c>
      <c r="J191" s="148">
        <f>IF(分析!AB179&lt;&gt;"",分析!AB179,"")</f>
        <v>949.82973523421583</v>
      </c>
      <c r="K191" s="148">
        <f>IF(分析!AC179&lt;&gt;"",分析!AC179,"")</f>
        <v>937.43611442193082</v>
      </c>
      <c r="L191" s="148">
        <f>IF(分析!K179&lt;&gt;"",分析!K179,"")</f>
        <v>990.7</v>
      </c>
      <c r="M191" s="143" t="str">
        <f>IF(分析!P179&lt;&gt;"",分析!P179,"")</f>
        <v>減少↓</v>
      </c>
      <c r="N191" s="149">
        <f>IF(分析!O179&lt;&gt;"",分析!O179,"")</f>
        <v>0.81949002580272989</v>
      </c>
      <c r="O191" s="150">
        <f>IF(分析!X179&lt;&gt;"",分析!X179,"")</f>
        <v>9.3065702379013828</v>
      </c>
      <c r="P191" s="151">
        <f>IF(分析!L179&lt;&gt;"",分析!L179,"")</f>
        <v>-13.475320480468355</v>
      </c>
      <c r="Q191" s="148">
        <f>IF(分析!S179&lt;&gt;"",分析!S179,"")</f>
        <v>823</v>
      </c>
      <c r="R191" s="148">
        <f>IF(分析!R179&lt;&gt;"",分析!R179,"")</f>
        <v>926</v>
      </c>
      <c r="S191" s="143" t="str">
        <f>IF(分析!AA179&lt;&gt;"",分析!AA179,"")</f>
        <v>下落▼</v>
      </c>
      <c r="T191" s="152">
        <f>IF(分析!Z179&lt;&gt;"",分析!Z179,"")</f>
        <v>-2.1796188519913171</v>
      </c>
      <c r="U191" s="143" t="str">
        <f>IF(分析!V179&lt;&gt;"",分析!V179,"")</f>
        <v>通常</v>
      </c>
      <c r="V191" s="153">
        <f>IF(分析!W179&lt;&gt;"",分析!W179,"")</f>
        <v>75.847457627118587</v>
      </c>
      <c r="W191" s="154" t="str">
        <f>IF(分析!AD179&lt;&gt;"",分析!AD179,"")</f>
        <v>もみ合い→</v>
      </c>
      <c r="X191" s="155" t="str">
        <f>IF(分析!AE179&lt;&gt;"",分析!AE179,"")</f>
        <v>なし</v>
      </c>
      <c r="Y191" s="156">
        <f>IF(分析!T179&lt;&gt;"",分析!T179,"")</f>
        <v>4</v>
      </c>
      <c r="Z191" s="142" t="str">
        <f>IF(分析!Y179&lt;&gt;"",分析!Y179,"")</f>
        <v>様子見</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47</v>
      </c>
      <c r="F192" s="133">
        <f>IF(分析!F92&lt;&gt;"",分析!F92,"")</f>
        <v>46</v>
      </c>
      <c r="G192" s="133">
        <f>IF(分析!H92&lt;&gt;"",分析!H92,"")</f>
        <v>48</v>
      </c>
      <c r="H192" s="133">
        <f>IF(分析!I92&lt;&gt;"",分析!I92,"")</f>
        <v>46</v>
      </c>
      <c r="I192" s="133">
        <f>IF(分析!J92&lt;&gt;"",分析!J92,"")</f>
        <v>6248600</v>
      </c>
      <c r="J192" s="133">
        <f>IF(分析!AB92&lt;&gt;"",分析!AB92,"")</f>
        <v>1687.3156822810588</v>
      </c>
      <c r="K192" s="133">
        <f>IF(分析!AC92&lt;&gt;"",分析!AC92,"")</f>
        <v>1793.0679380214533</v>
      </c>
      <c r="L192" s="133">
        <f>IF(分析!K92&lt;&gt;"",分析!K92,"")</f>
        <v>164</v>
      </c>
      <c r="M192" s="128" t="str">
        <f>IF(分析!P92&lt;&gt;"",分析!P92,"")</f>
        <v>減少↓</v>
      </c>
      <c r="N192" s="134">
        <f>IF(分析!O92&lt;&gt;"",分析!O92,"")</f>
        <v>0.39705162827640983</v>
      </c>
      <c r="O192" s="135">
        <f>IF(分析!X92&lt;&gt;"",分析!X92,"")</f>
        <v>-1.2017083334991696</v>
      </c>
      <c r="P192" s="136">
        <f>IF(分析!L92&lt;&gt;"",分析!L92,"")</f>
        <v>-71.341463414634148</v>
      </c>
      <c r="Q192" s="133">
        <f>IF(分析!S92&lt;&gt;"",分析!S92,"")</f>
        <v>45</v>
      </c>
      <c r="R192" s="133">
        <f>IF(分析!R92&lt;&gt;"",分析!R92,"")</f>
        <v>51</v>
      </c>
      <c r="S192" s="128" t="str">
        <f>IF(分析!AA92&lt;&gt;"",分析!AA92,"")</f>
        <v>横ばい→</v>
      </c>
      <c r="T192" s="137">
        <f>IF(分析!Z92&lt;&gt;"",分析!Z92,"")</f>
        <v>0</v>
      </c>
      <c r="U192" s="128" t="str">
        <f>IF(分析!V92&lt;&gt;"",分析!V92,"")</f>
        <v>通常</v>
      </c>
      <c r="V192" s="138">
        <f>IF(分析!W92&lt;&gt;"",分析!W92,"")</f>
        <v>47.787610619469028</v>
      </c>
      <c r="W192" s="139" t="str">
        <f>IF(分析!AD92&lt;&gt;"",分析!AD92,"")</f>
        <v>下降トレンド▼</v>
      </c>
      <c r="X192" s="140" t="str">
        <f>IF(分析!AE92&lt;&gt;"",分析!AE92,"")</f>
        <v>なし</v>
      </c>
      <c r="Y192" s="141">
        <f>IF(分析!T92&lt;&gt;"",分析!T92,"")</f>
        <v>-1</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899</v>
      </c>
      <c r="F193" s="133">
        <f>IF(分析!F66&lt;&gt;"",分析!F66,"")</f>
        <v>886</v>
      </c>
      <c r="G193" s="133">
        <f>IF(分析!H66&lt;&gt;"",分析!H66,"")</f>
        <v>908</v>
      </c>
      <c r="H193" s="133">
        <f>IF(分析!I66&lt;&gt;"",分析!I66,"")</f>
        <v>871</v>
      </c>
      <c r="I193" s="133">
        <f>IF(分析!J66&lt;&gt;"",分析!J66,"")</f>
        <v>274900</v>
      </c>
      <c r="J193" s="133">
        <f>IF(分析!AB66&lt;&gt;"",分析!AB66,"")</f>
        <v>5584.5875763747454</v>
      </c>
      <c r="K193" s="133">
        <f>IF(分析!AC66&lt;&gt;"",分析!AC66,"")</f>
        <v>5621.5566150178765</v>
      </c>
      <c r="L193" s="133">
        <f>IF(分析!K66&lt;&gt;"",分析!K66,"")</f>
        <v>3100</v>
      </c>
      <c r="M193" s="128" t="str">
        <f>IF(分析!P66&lt;&gt;"",分析!P66,"")</f>
        <v>減少↓</v>
      </c>
      <c r="N193" s="134">
        <f>IF(分析!O66&lt;&gt;"",分析!O66,"")</f>
        <v>0.68044554455445549</v>
      </c>
      <c r="O193" s="135">
        <f>IF(分析!X66&lt;&gt;"",分析!X66,"")</f>
        <v>-40.575052042079619</v>
      </c>
      <c r="P193" s="136">
        <f>IF(分析!L66&lt;&gt;"",分析!L66,"")</f>
        <v>-71</v>
      </c>
      <c r="Q193" s="133">
        <f>IF(分析!S66&lt;&gt;"",分析!S66,"")</f>
        <v>863</v>
      </c>
      <c r="R193" s="133">
        <f>IF(分析!R66&lt;&gt;"",分析!R66,"")</f>
        <v>971</v>
      </c>
      <c r="S193" s="128" t="str">
        <f>IF(分析!AA66&lt;&gt;"",分析!AA66,"")</f>
        <v>上昇▲</v>
      </c>
      <c r="T193" s="137">
        <f>IF(分析!Z66&lt;&gt;"",分析!Z66,"")</f>
        <v>5.0233644859813085</v>
      </c>
      <c r="U193" s="128" t="str">
        <f>IF(分析!V66&lt;&gt;"",分析!V66,"")</f>
        <v>通常</v>
      </c>
      <c r="V193" s="138">
        <f>IF(分析!W66&lt;&gt;"",分析!W66,"")</f>
        <v>45.696259576385764</v>
      </c>
      <c r="W193" s="139" t="str">
        <f>IF(分析!AD66&lt;&gt;"",分析!AD66,"")</f>
        <v>下降トレンド▼</v>
      </c>
      <c r="X193" s="140" t="str">
        <f>IF(分析!AE66&lt;&gt;"",分析!AE66,"")</f>
        <v>なし</v>
      </c>
      <c r="Y193" s="141">
        <f>IF(分析!T66&lt;&gt;"",分析!T66,"")</f>
        <v>0</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747</v>
      </c>
      <c r="F194" s="148">
        <f>IF(分析!F67&lt;&gt;"",分析!F67,"")</f>
        <v>733</v>
      </c>
      <c r="G194" s="148">
        <f>IF(分析!H67&lt;&gt;"",分析!H67,"")</f>
        <v>755</v>
      </c>
      <c r="H194" s="148">
        <f>IF(分析!I67&lt;&gt;"",分析!I67,"")</f>
        <v>733</v>
      </c>
      <c r="I194" s="148">
        <f>IF(分析!J67&lt;&gt;"",分析!J67,"")</f>
        <v>288900</v>
      </c>
      <c r="J194" s="148">
        <f>IF(分析!AB67&lt;&gt;"",分析!AB67,"")</f>
        <v>3356.2230142566186</v>
      </c>
      <c r="K194" s="148">
        <f>IF(分析!AC67&lt;&gt;"",分析!AC67,"")</f>
        <v>3594.9439809296778</v>
      </c>
      <c r="L194" s="148">
        <f>IF(分析!K67&lt;&gt;"",分析!K67,"")</f>
        <v>1638</v>
      </c>
      <c r="M194" s="143" t="str">
        <f>IF(分析!P67&lt;&gt;"",分析!P67,"")</f>
        <v>減少↓</v>
      </c>
      <c r="N194" s="149">
        <f>IF(分析!O67&lt;&gt;"",分析!O67,"")</f>
        <v>0.9668674698795181</v>
      </c>
      <c r="O194" s="150">
        <f>IF(分析!X67&lt;&gt;"",分析!X67,"")</f>
        <v>-12.866153344027111</v>
      </c>
      <c r="P194" s="151">
        <f>IF(分析!L67&lt;&gt;"",分析!L67,"")</f>
        <v>-54.395604395604394</v>
      </c>
      <c r="Q194" s="148">
        <f>IF(分析!S67&lt;&gt;"",分析!S67,"")</f>
        <v>717</v>
      </c>
      <c r="R194" s="148">
        <f>IF(分析!R67&lt;&gt;"",分析!R67,"")</f>
        <v>807</v>
      </c>
      <c r="S194" s="143" t="str">
        <f>IF(分析!AA67&lt;&gt;"",分析!AA67,"")</f>
        <v>上昇▲</v>
      </c>
      <c r="T194" s="152">
        <f>IF(分析!Z67&lt;&gt;"",分析!Z67,"")</f>
        <v>3.4626038781163437</v>
      </c>
      <c r="U194" s="143" t="str">
        <f>IF(分析!V67&lt;&gt;"",分析!V67,"")</f>
        <v>通常</v>
      </c>
      <c r="V194" s="153">
        <f>IF(分析!W67&lt;&gt;"",分析!W67,"")</f>
        <v>31.979695431472081</v>
      </c>
      <c r="W194" s="154" t="str">
        <f>IF(分析!AD67&lt;&gt;"",分析!AD67,"")</f>
        <v>下降トレンド▼</v>
      </c>
      <c r="X194" s="155" t="str">
        <f>IF(分析!AE67&lt;&gt;"",分析!AE67,"")</f>
        <v>なし</v>
      </c>
      <c r="Y194" s="156">
        <f>IF(分析!T67&lt;&gt;"",分析!T67,"")</f>
        <v>1</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2458</v>
      </c>
      <c r="F195" s="133">
        <f>IF(分析!F198&lt;&gt;"",分析!F198,"")</f>
        <v>2291</v>
      </c>
      <c r="G195" s="133">
        <f>IF(分析!H198&lt;&gt;"",分析!H198,"")</f>
        <v>2472</v>
      </c>
      <c r="H195" s="133">
        <f>IF(分析!I198&lt;&gt;"",分析!I198,"")</f>
        <v>2282</v>
      </c>
      <c r="I195" s="133">
        <f>IF(分析!J198&lt;&gt;"",分析!J198,"")</f>
        <v>773500</v>
      </c>
      <c r="J195" s="133">
        <f>IF(分析!AB198&lt;&gt;"",分析!AB198,"")</f>
        <v>3248.9271894093677</v>
      </c>
      <c r="K195" s="133">
        <f>IF(分析!AC198&lt;&gt;"",分析!AC198,"")</f>
        <v>3381.1078665077466</v>
      </c>
      <c r="L195" s="133">
        <f>IF(分析!K198&lt;&gt;"",分析!K198,"")</f>
        <v>3275</v>
      </c>
      <c r="M195" s="128" t="str">
        <f>IF(分析!P198&lt;&gt;"",分析!P198,"")</f>
        <v>減少↓</v>
      </c>
      <c r="N195" s="134">
        <f>IF(分析!O198&lt;&gt;"",分析!O198,"")</f>
        <v>0.7226405575589977</v>
      </c>
      <c r="O195" s="135">
        <f>IF(分析!X198&lt;&gt;"",分析!X198,"")</f>
        <v>-63.044298456846263</v>
      </c>
      <c r="P195" s="136">
        <f>IF(分析!L198&lt;&gt;"",分析!L198,"")</f>
        <v>-24.946564885496183</v>
      </c>
      <c r="Q195" s="133">
        <f>IF(分析!S198&lt;&gt;"",分析!S198,"")</f>
        <v>2360</v>
      </c>
      <c r="R195" s="133">
        <f>IF(分析!R198&lt;&gt;"",分析!R198,"")</f>
        <v>2655</v>
      </c>
      <c r="S195" s="128" t="str">
        <f>IF(分析!AA198&lt;&gt;"",分析!AA198,"")</f>
        <v>上昇▲</v>
      </c>
      <c r="T195" s="137">
        <f>IF(分析!Z198&lt;&gt;"",分析!Z198,"")</f>
        <v>10.621062106210621</v>
      </c>
      <c r="U195" s="128" t="str">
        <f>IF(分析!V198&lt;&gt;"",分析!V198,"")</f>
        <v>通常</v>
      </c>
      <c r="V195" s="138">
        <f>IF(分析!W198&lt;&gt;"",分析!W198,"")</f>
        <v>29.477611940298502</v>
      </c>
      <c r="W195" s="139" t="str">
        <f>IF(分析!AD198&lt;&gt;"",分析!AD198,"")</f>
        <v>下降トレンド▼</v>
      </c>
      <c r="X195" s="140" t="str">
        <f>IF(分析!AE198&lt;&gt;"",分析!AE198,"")</f>
        <v>なし</v>
      </c>
      <c r="Y195" s="141">
        <f>IF(分析!T198&lt;&gt;"",分析!T198,"")</f>
        <v>2</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5677</v>
      </c>
      <c r="F196" s="148">
        <f>IF(分析!F199&lt;&gt;"",分析!F199,"")</f>
        <v>5584</v>
      </c>
      <c r="G196" s="148">
        <f>IF(分析!H199&lt;&gt;"",分析!H199,"")</f>
        <v>5704</v>
      </c>
      <c r="H196" s="148">
        <f>IF(分析!I199&lt;&gt;"",分析!I199,"")</f>
        <v>5496</v>
      </c>
      <c r="I196" s="148">
        <f>IF(分析!J199&lt;&gt;"",分析!J199,"")</f>
        <v>737500</v>
      </c>
      <c r="J196" s="148">
        <f>IF(分析!AB199&lt;&gt;"",分析!AB199,"")</f>
        <v>4944.7627291242361</v>
      </c>
      <c r="K196" s="148">
        <f>IF(分析!AC199&lt;&gt;"",分析!AC199,"")</f>
        <v>5405.3051251489851</v>
      </c>
      <c r="L196" s="148">
        <f>IF(分析!K199&lt;&gt;"",分析!K199,"")</f>
        <v>7460</v>
      </c>
      <c r="M196" s="143" t="str">
        <f>IF(分析!P199&lt;&gt;"",分析!P199,"")</f>
        <v>減少↓</v>
      </c>
      <c r="N196" s="149">
        <f>IF(分析!O199&lt;&gt;"",分析!O199,"")</f>
        <v>0.26938080766758227</v>
      </c>
      <c r="O196" s="150">
        <f>IF(分析!X199&lt;&gt;"",分析!X199,"")</f>
        <v>-136.87240834424483</v>
      </c>
      <c r="P196" s="151">
        <f>IF(分析!L199&lt;&gt;"",分析!L199,"")</f>
        <v>-23.900804289544237</v>
      </c>
      <c r="Q196" s="148">
        <f>IF(分析!S199&lt;&gt;"",分析!S199,"")</f>
        <v>5450</v>
      </c>
      <c r="R196" s="148">
        <f>IF(分析!R199&lt;&gt;"",分析!R199,"")</f>
        <v>6131</v>
      </c>
      <c r="S196" s="143" t="str">
        <f>IF(分析!AA199&lt;&gt;"",分析!AA199,"")</f>
        <v>上昇▲</v>
      </c>
      <c r="T196" s="152">
        <f>IF(分析!Z199&lt;&gt;"",分析!Z199,"")</f>
        <v>6.6503851211722713</v>
      </c>
      <c r="U196" s="143" t="str">
        <f>IF(分析!V199&lt;&gt;"",分析!V199,"")</f>
        <v>通常</v>
      </c>
      <c r="V196" s="153">
        <f>IF(分析!W199&lt;&gt;"",分析!W199,"")</f>
        <v>26.472303206997083</v>
      </c>
      <c r="W196" s="154" t="str">
        <f>IF(分析!AD199&lt;&gt;"",分析!AD199,"")</f>
        <v>上昇トレンド▲</v>
      </c>
      <c r="X196" s="155" t="str">
        <f>IF(分析!AE199&lt;&gt;"",分析!AE199,"")</f>
        <v>なし</v>
      </c>
      <c r="Y196" s="156">
        <f>IF(分析!T199&lt;&gt;"",分析!T199,"")</f>
        <v>4</v>
      </c>
      <c r="Z196" s="142" t="str">
        <f>IF(分析!Y199&lt;&gt;"",分析!Y199,"")</f>
        <v>様子見</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4185</v>
      </c>
      <c r="F197" s="148">
        <f>IF(分析!F19&lt;&gt;"",分析!F19,"")</f>
        <v>4218</v>
      </c>
      <c r="G197" s="148">
        <f>IF(分析!H19&lt;&gt;"",分析!H19,"")</f>
        <v>4274</v>
      </c>
      <c r="H197" s="148">
        <f>IF(分析!I19&lt;&gt;"",分析!I19,"")</f>
        <v>4151</v>
      </c>
      <c r="I197" s="148">
        <f>IF(分析!J19&lt;&gt;"",分析!J19,"")</f>
        <v>182600</v>
      </c>
      <c r="J197" s="148">
        <f>IF(分析!AB19&lt;&gt;"",分析!AB19,"")</f>
        <v>6414.9022403258632</v>
      </c>
      <c r="K197" s="148">
        <f>IF(分析!AC19&lt;&gt;"",分析!AC19,"")</f>
        <v>6908.3230035756824</v>
      </c>
      <c r="L197" s="148">
        <f>IF(分析!K19&lt;&gt;"",分析!K19,"")</f>
        <v>4302</v>
      </c>
      <c r="M197" s="143" t="str">
        <f>IF(分析!P19&lt;&gt;"",分析!P19,"")</f>
        <v>減少↓</v>
      </c>
      <c r="N197" s="149">
        <f>IF(分析!O19&lt;&gt;"",分析!O19,"")</f>
        <v>0.26141732283464569</v>
      </c>
      <c r="O197" s="150">
        <f>IF(分析!X19&lt;&gt;"",分析!X19,"")</f>
        <v>55.797521483529181</v>
      </c>
      <c r="P197" s="151">
        <f>IF(分析!L19&lt;&gt;"",分析!L19,"")</f>
        <v>-2.7196652719665275</v>
      </c>
      <c r="Q197" s="148">
        <f>IF(分析!S19&lt;&gt;"",分析!S19,"")</f>
        <v>4018</v>
      </c>
      <c r="R197" s="148">
        <f>IF(分析!R19&lt;&gt;"",分析!R19,"")</f>
        <v>4520</v>
      </c>
      <c r="S197" s="143" t="str">
        <f>IF(分析!AA19&lt;&gt;"",分析!AA19,"")</f>
        <v>上昇▲</v>
      </c>
      <c r="T197" s="152">
        <f>IF(分析!Z19&lt;&gt;"",分析!Z19,"")</f>
        <v>0.81907973982172977</v>
      </c>
      <c r="U197" s="143" t="str">
        <f>IF(分析!V19&lt;&gt;"",分析!V19,"")</f>
        <v>高値圏</v>
      </c>
      <c r="V197" s="153">
        <f>IF(分析!W19&lt;&gt;"",分析!W19,"")</f>
        <v>63.472378804960542</v>
      </c>
      <c r="W197" s="154" t="str">
        <f>IF(分析!AD19&lt;&gt;"",分析!AD19,"")</f>
        <v>下降トレンド▼</v>
      </c>
      <c r="X197" s="155" t="str">
        <f>IF(分析!AE19&lt;&gt;"",分析!AE19,"")</f>
        <v>なし</v>
      </c>
      <c r="Y197" s="156">
        <f>IF(分析!T19&lt;&gt;"",分析!T19,"")</f>
        <v>8</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4700</v>
      </c>
      <c r="F198" s="133">
        <f>IF(分析!F168&lt;&gt;"",分析!F168,"")</f>
        <v>4590</v>
      </c>
      <c r="G198" s="133">
        <f>IF(分析!H168&lt;&gt;"",分析!H168,"")</f>
        <v>4715</v>
      </c>
      <c r="H198" s="133">
        <f>IF(分析!I168&lt;&gt;"",分析!I168,"")</f>
        <v>4539</v>
      </c>
      <c r="I198" s="133">
        <f>IF(分析!J168&lt;&gt;"",分析!J168,"")</f>
        <v>913900</v>
      </c>
      <c r="J198" s="133">
        <f>IF(分析!AB168&lt;&gt;"",分析!AB168,"")</f>
        <v>1052.896130346232</v>
      </c>
      <c r="K198" s="133">
        <f>IF(分析!AC168&lt;&gt;"",分析!AC168,"")</f>
        <v>1090.3253873659114</v>
      </c>
      <c r="L198" s="133">
        <f>IF(分析!K168&lt;&gt;"",分析!K168,"")</f>
        <v>5738</v>
      </c>
      <c r="M198" s="128" t="str">
        <f>IF(分析!P168&lt;&gt;"",分析!P168,"")</f>
        <v>減少↓</v>
      </c>
      <c r="N198" s="134">
        <f>IF(分析!O168&lt;&gt;"",分析!O168,"")</f>
        <v>0.61284568546981033</v>
      </c>
      <c r="O198" s="135">
        <f>IF(分析!X168&lt;&gt;"",分析!X168,"")</f>
        <v>-89.040716210459323</v>
      </c>
      <c r="P198" s="136">
        <f>IF(分析!L168&lt;&gt;"",分析!L168,"")</f>
        <v>-18.089926803764378</v>
      </c>
      <c r="Q198" s="133">
        <f>IF(分析!S168&lt;&gt;"",分析!S168,"")</f>
        <v>4512</v>
      </c>
      <c r="R198" s="133">
        <f>IF(分析!R168&lt;&gt;"",分析!R168,"")</f>
        <v>5076</v>
      </c>
      <c r="S198" s="128" t="str">
        <f>IF(分析!AA168&lt;&gt;"",分析!AA168,"")</f>
        <v>上昇▲</v>
      </c>
      <c r="T198" s="137">
        <f>IF(分析!Z168&lt;&gt;"",分析!Z168,"")</f>
        <v>11.718564297599238</v>
      </c>
      <c r="U198" s="128" t="str">
        <f>IF(分析!V168&lt;&gt;"",分析!V168,"")</f>
        <v>通常</v>
      </c>
      <c r="V198" s="138">
        <f>IF(分析!W168&lt;&gt;"",分析!W168,"")</f>
        <v>41.106128550074743</v>
      </c>
      <c r="W198" s="139" t="str">
        <f>IF(分析!AD168&lt;&gt;"",分析!AD168,"")</f>
        <v>上昇トレンド▲</v>
      </c>
      <c r="X198" s="140" t="str">
        <f>IF(分析!AE168&lt;&gt;"",分析!AE168,"")</f>
        <v>なし</v>
      </c>
      <c r="Y198" s="141">
        <f>IF(分析!T168&lt;&gt;"",分析!T168,"")</f>
        <v>2</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2493</v>
      </c>
      <c r="F199" s="133">
        <f>IF(分析!F200&lt;&gt;"",分析!F200,"")</f>
        <v>2462</v>
      </c>
      <c r="G199" s="133">
        <f>IF(分析!H200&lt;&gt;"",分析!H200,"")</f>
        <v>2498</v>
      </c>
      <c r="H199" s="133">
        <f>IF(分析!I200&lt;&gt;"",分析!I200,"")</f>
        <v>2428</v>
      </c>
      <c r="I199" s="133">
        <f>IF(分析!J200&lt;&gt;"",分析!J200,"")</f>
        <v>85100</v>
      </c>
      <c r="J199" s="133">
        <f>IF(分析!AB200&lt;&gt;"",分析!AB200,"")</f>
        <v>5283.8126272912414</v>
      </c>
      <c r="K199" s="133">
        <f>IF(分析!AC200&lt;&gt;"",分析!AC200,"")</f>
        <v>5281.1191895113207</v>
      </c>
      <c r="L199" s="133">
        <f>IF(分析!K200&lt;&gt;"",分析!K200,"")</f>
        <v>3245</v>
      </c>
      <c r="M199" s="128" t="str">
        <f>IF(分析!P200&lt;&gt;"",分析!P200,"")</f>
        <v>減少↓</v>
      </c>
      <c r="N199" s="134">
        <f>IF(分析!O200&lt;&gt;"",分析!O200,"")</f>
        <v>0.76528776978417268</v>
      </c>
      <c r="O199" s="135">
        <f>IF(分析!X200&lt;&gt;"",分析!X200,"")</f>
        <v>-28.889429984993058</v>
      </c>
      <c r="P199" s="136">
        <f>IF(分析!L200&lt;&gt;"",分析!L200,"")</f>
        <v>-23.174114021571647</v>
      </c>
      <c r="Q199" s="133">
        <f>IF(分析!S200&lt;&gt;"",分析!S200,"")</f>
        <v>2393</v>
      </c>
      <c r="R199" s="133">
        <f>IF(分析!R200&lt;&gt;"",分析!R200,"")</f>
        <v>2692</v>
      </c>
      <c r="S199" s="128" t="str">
        <f>IF(分析!AA200&lt;&gt;"",分析!AA200,"")</f>
        <v>上昇▲</v>
      </c>
      <c r="T199" s="137">
        <f>IF(分析!Z200&lt;&gt;"",分析!Z200,"")</f>
        <v>4.3532858936793639</v>
      </c>
      <c r="U199" s="128" t="str">
        <f>IF(分析!V200&lt;&gt;"",分析!V200,"")</f>
        <v>通常</v>
      </c>
      <c r="V199" s="138">
        <f>IF(分析!W200&lt;&gt;"",分析!W200,"")</f>
        <v>31.756756756756758</v>
      </c>
      <c r="W199" s="139" t="str">
        <f>IF(分析!AD200&lt;&gt;"",分析!AD200,"")</f>
        <v>もみ合い→</v>
      </c>
      <c r="X199" s="140" t="str">
        <f>IF(分析!AE200&lt;&gt;"",分析!AE200,"")</f>
        <v>なし</v>
      </c>
      <c r="Y199" s="141">
        <f>IF(分析!T200&lt;&gt;"",分析!T200,"")</f>
        <v>1</v>
      </c>
      <c r="Z199" s="142" t="str">
        <f>IF(分析!Y200&lt;&gt;"",分析!Y200,"")</f>
        <v>見送り</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58720</v>
      </c>
      <c r="F200" s="133">
        <f>IF(分析!F60&lt;&gt;"",分析!F60,"")</f>
        <v>59000</v>
      </c>
      <c r="G200" s="133">
        <f>IF(分析!H60&lt;&gt;"",分析!H60,"")</f>
        <v>59700</v>
      </c>
      <c r="H200" s="133">
        <f>IF(分析!I60&lt;&gt;"",分析!I60,"")</f>
        <v>58300</v>
      </c>
      <c r="I200" s="133">
        <f>IF(分析!J60&lt;&gt;"",分析!J60,"")</f>
        <v>2442300</v>
      </c>
      <c r="J200" s="133">
        <f>IF(分析!AB60&lt;&gt;"",分析!AB60,"")</f>
        <v>3064.7769857433805</v>
      </c>
      <c r="K200" s="133">
        <f>IF(分析!AC60&lt;&gt;"",分析!AC60,"")</f>
        <v>3041.1120381406427</v>
      </c>
      <c r="L200" s="133">
        <f>IF(分析!K60&lt;&gt;"",分析!K60,"")</f>
        <v>81260</v>
      </c>
      <c r="M200" s="128" t="str">
        <f>IF(分析!P60&lt;&gt;"",分析!P60,"")</f>
        <v>減少↓</v>
      </c>
      <c r="N200" s="134">
        <f>IF(分析!O60&lt;&gt;"",分析!O60,"")</f>
        <v>0.33754125458153894</v>
      </c>
      <c r="O200" s="135">
        <f>IF(分析!X60&lt;&gt;"",分析!X60,"")</f>
        <v>-2504.87752697627</v>
      </c>
      <c r="P200" s="136">
        <f>IF(分析!L60&lt;&gt;"",分析!L60,"")</f>
        <v>-27.738124538518338</v>
      </c>
      <c r="Q200" s="133">
        <f>IF(分析!S60&lt;&gt;"",分析!S60,"")</f>
        <v>56371</v>
      </c>
      <c r="R200" s="133">
        <f>IF(分析!R60&lt;&gt;"",分析!R60,"")</f>
        <v>63418</v>
      </c>
      <c r="S200" s="128" t="str">
        <f>IF(分析!AA60&lt;&gt;"",分析!AA60,"")</f>
        <v>上昇▲</v>
      </c>
      <c r="T200" s="137">
        <f>IF(分析!Z60&lt;&gt;"",分析!Z60,"")</f>
        <v>6.7830514639025274</v>
      </c>
      <c r="U200" s="128" t="str">
        <f>IF(分析!V60&lt;&gt;"",分析!V60,"")</f>
        <v>通常</v>
      </c>
      <c r="V200" s="138">
        <f>IF(分析!W60&lt;&gt;"",分析!W60,"")</f>
        <v>27.80952380952381</v>
      </c>
      <c r="W200" s="139" t="str">
        <f>IF(分析!AD60&lt;&gt;"",分析!AD60,"")</f>
        <v>パーフェクト▲</v>
      </c>
      <c r="X200" s="140" t="str">
        <f>IF(分析!AE60&lt;&gt;"",分析!AE60,"")</f>
        <v>なし</v>
      </c>
      <c r="Y200" s="141">
        <f>IF(分析!T60&lt;&gt;"",分析!T60,"")</f>
        <v>5</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5838</v>
      </c>
      <c r="F201" s="148">
        <f>IF(分析!F99&lt;&gt;"",分析!F99,"")</f>
        <v>5748</v>
      </c>
      <c r="G201" s="148">
        <f>IF(分析!H99&lt;&gt;"",分析!H99,"")</f>
        <v>5838</v>
      </c>
      <c r="H201" s="148">
        <f>IF(分析!I99&lt;&gt;"",分析!I99,"")</f>
        <v>5678</v>
      </c>
      <c r="I201" s="148">
        <f>IF(分析!J99&lt;&gt;"",分析!J99,"")</f>
        <v>3886800</v>
      </c>
      <c r="J201" s="148">
        <f>IF(分析!AB99&lt;&gt;"",分析!AB99,"")</f>
        <v>2944.9246435845203</v>
      </c>
      <c r="K201" s="148">
        <f>IF(分析!AC99&lt;&gt;"",分析!AC99,"")</f>
        <v>2679.073301549462</v>
      </c>
      <c r="L201" s="148">
        <f>IF(分析!K99&lt;&gt;"",分析!K99,"")</f>
        <v>6686</v>
      </c>
      <c r="M201" s="143" t="str">
        <f>IF(分析!P99&lt;&gt;"",分析!P99,"")</f>
        <v>減少↓</v>
      </c>
      <c r="N201" s="149">
        <f>IF(分析!O99&lt;&gt;"",分析!O99,"")</f>
        <v>0.40635990682619405</v>
      </c>
      <c r="O201" s="150">
        <f>IF(分析!X99&lt;&gt;"",分析!X99,"")</f>
        <v>-36.820744390797699</v>
      </c>
      <c r="P201" s="151">
        <f>IF(分析!L99&lt;&gt;"",分析!L99,"")</f>
        <v>-12.683218665868981</v>
      </c>
      <c r="Q201" s="148">
        <f>IF(分析!S99&lt;&gt;"",分析!S99,"")</f>
        <v>5604</v>
      </c>
      <c r="R201" s="148">
        <f>IF(分析!R99&lt;&gt;"",分析!R99,"")</f>
        <v>6305</v>
      </c>
      <c r="S201" s="143" t="str">
        <f>IF(分析!AA99&lt;&gt;"",分析!AA99,"")</f>
        <v>上昇▲</v>
      </c>
      <c r="T201" s="152">
        <f>IF(分析!Z99&lt;&gt;"",分析!Z99,"")</f>
        <v>5.4552023121387281</v>
      </c>
      <c r="U201" s="143" t="str">
        <f>IF(分析!V99&lt;&gt;"",分析!V99,"")</f>
        <v>通常</v>
      </c>
      <c r="V201" s="153">
        <f>IF(分析!W99&lt;&gt;"",分析!W99,"")</f>
        <v>47.963302752293579</v>
      </c>
      <c r="W201" s="154" t="str">
        <f>IF(分析!AD99&lt;&gt;"",分析!AD99,"")</f>
        <v>パーフェクト▲</v>
      </c>
      <c r="X201" s="155" t="str">
        <f>IF(分析!AE99&lt;&gt;"",分析!AE99,"")</f>
        <v>なし</v>
      </c>
      <c r="Y201" s="156">
        <f>IF(分析!T99&lt;&gt;"",分析!T99,"")</f>
        <v>4</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3762</v>
      </c>
      <c r="F202" s="133">
        <f>IF(分析!F146&lt;&gt;"",分析!F146,"")</f>
        <v>3790</v>
      </c>
      <c r="G202" s="133">
        <f>IF(分析!H146&lt;&gt;"",分析!H146,"")</f>
        <v>3828</v>
      </c>
      <c r="H202" s="133">
        <f>IF(分析!I146&lt;&gt;"",分析!I146,"")</f>
        <v>3755</v>
      </c>
      <c r="I202" s="133">
        <f>IF(分析!J146&lt;&gt;"",分析!J146,"")</f>
        <v>167200</v>
      </c>
      <c r="J202" s="133">
        <f>IF(分析!AB146&lt;&gt;"",分析!AB146,"")</f>
        <v>1360.9052953156818</v>
      </c>
      <c r="K202" s="133">
        <f>IF(分析!AC146&lt;&gt;"",分析!AC146,"")</f>
        <v>1405.5959475566149</v>
      </c>
      <c r="L202" s="133">
        <f>IF(分析!K146&lt;&gt;"",分析!K146,"")</f>
        <v>5034</v>
      </c>
      <c r="M202" s="128" t="str">
        <f>IF(分析!P146&lt;&gt;"",分析!P146,"")</f>
        <v>減少↓</v>
      </c>
      <c r="N202" s="134">
        <f>IF(分析!O146&lt;&gt;"",分析!O146,"")</f>
        <v>0.28245151699439153</v>
      </c>
      <c r="O202" s="135">
        <f>IF(分析!X146&lt;&gt;"",分析!X146,"")</f>
        <v>6.3507934675749311</v>
      </c>
      <c r="P202" s="136">
        <f>IF(分析!L146&lt;&gt;"",分析!L146,"")</f>
        <v>-25.268176400476762</v>
      </c>
      <c r="Q202" s="133">
        <f>IF(分析!S146&lt;&gt;"",分析!S146,"")</f>
        <v>3612</v>
      </c>
      <c r="R202" s="133">
        <f>IF(分析!R146&lt;&gt;"",分析!R146,"")</f>
        <v>4063</v>
      </c>
      <c r="S202" s="128" t="str">
        <f>IF(分析!AA146&lt;&gt;"",分析!AA146,"")</f>
        <v>下落▼</v>
      </c>
      <c r="T202" s="137">
        <f>IF(分析!Z146&lt;&gt;"",分析!Z146,"")</f>
        <v>-1.9290928050052139</v>
      </c>
      <c r="U202" s="128" t="str">
        <f>IF(分析!V146&lt;&gt;"",分析!V146,"")</f>
        <v>通常</v>
      </c>
      <c r="V202" s="138">
        <f>IF(分析!W146&lt;&gt;"",分析!W146,"")</f>
        <v>49.261083743842363</v>
      </c>
      <c r="W202" s="139" t="str">
        <f>IF(分析!AD146&lt;&gt;"",分析!AD146,"")</f>
        <v>上昇トレンド▲</v>
      </c>
      <c r="X202" s="140" t="str">
        <f>IF(分析!AE146&lt;&gt;"",分析!AE146,"")</f>
        <v>なし</v>
      </c>
      <c r="Y202" s="141">
        <f>IF(分析!T146&lt;&gt;"",分析!T146,"")</f>
        <v>5</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2297</v>
      </c>
      <c r="F203" s="133">
        <f>IF(分析!F22&lt;&gt;"",分析!F22,"")</f>
        <v>2260</v>
      </c>
      <c r="G203" s="133">
        <f>IF(分析!H22&lt;&gt;"",分析!H22,"")</f>
        <v>2308</v>
      </c>
      <c r="H203" s="133">
        <f>IF(分析!I22&lt;&gt;"",分析!I22,"")</f>
        <v>2235</v>
      </c>
      <c r="I203" s="133">
        <f>IF(分析!J22&lt;&gt;"",分析!J22,"")</f>
        <v>1701000</v>
      </c>
      <c r="J203" s="133">
        <f>IF(分析!AB22&lt;&gt;"",分析!AB22,"")</f>
        <v>1281.1939918533603</v>
      </c>
      <c r="K203" s="133">
        <f>IF(分析!AC22&lt;&gt;"",分析!AC22,"")</f>
        <v>1280.8974970202621</v>
      </c>
      <c r="L203" s="133">
        <f>IF(分析!K22&lt;&gt;"",分析!K22,"")</f>
        <v>4720</v>
      </c>
      <c r="M203" s="128" t="str">
        <f>IF(分析!P22&lt;&gt;"",分析!P22,"")</f>
        <v>減少↓</v>
      </c>
      <c r="N203" s="134">
        <f>IF(分析!O22&lt;&gt;"",分析!O22,"")</f>
        <v>0.7467863163810059</v>
      </c>
      <c r="O203" s="135">
        <f>IF(分析!X22&lt;&gt;"",分析!X22,"")</f>
        <v>-62.381853533885533</v>
      </c>
      <c r="P203" s="136">
        <f>IF(分析!L22&lt;&gt;"",分析!L22,"")</f>
        <v>-51.334745762711862</v>
      </c>
      <c r="Q203" s="133">
        <f>IF(分析!S22&lt;&gt;"",分析!S22,"")</f>
        <v>2205</v>
      </c>
      <c r="R203" s="133">
        <f>IF(分析!R22&lt;&gt;"",分析!R22,"")</f>
        <v>2481</v>
      </c>
      <c r="S203" s="128" t="str">
        <f>IF(分析!AA22&lt;&gt;"",分析!AA22,"")</f>
        <v>上昇▲</v>
      </c>
      <c r="T203" s="137">
        <f>IF(分析!Z22&lt;&gt;"",分析!Z22,"")</f>
        <v>6.5398886827458256</v>
      </c>
      <c r="U203" s="128" t="str">
        <f>IF(分析!V22&lt;&gt;"",分析!V22,"")</f>
        <v>通常</v>
      </c>
      <c r="V203" s="138">
        <f>IF(分析!W22&lt;&gt;"",分析!W22,"")</f>
        <v>23.001631321370311</v>
      </c>
      <c r="W203" s="139" t="str">
        <f>IF(分析!AD22&lt;&gt;"",分析!AD22,"")</f>
        <v>パーフェクト▲</v>
      </c>
      <c r="X203" s="140" t="str">
        <f>IF(分析!AE22&lt;&gt;"",分析!AE22,"")</f>
        <v>なし</v>
      </c>
      <c r="Y203" s="141">
        <f>IF(分析!T22&lt;&gt;"",分析!T22,"")</f>
        <v>5</v>
      </c>
      <c r="Z203" s="142" t="str">
        <f>IF(分析!Y22&lt;&gt;"",分析!Y22,"")</f>
        <v>様子見</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3979</v>
      </c>
      <c r="F204" s="148">
        <f>IF(分析!F77&lt;&gt;"",分析!F77,"")</f>
        <v>4040</v>
      </c>
      <c r="G204" s="148">
        <f>IF(分析!H77&lt;&gt;"",分析!H77,"")</f>
        <v>4072</v>
      </c>
      <c r="H204" s="148">
        <f>IF(分析!I77&lt;&gt;"",分析!I77,"")</f>
        <v>3887</v>
      </c>
      <c r="I204" s="148">
        <f>IF(分析!J77&lt;&gt;"",分析!J77,"")</f>
        <v>23415700</v>
      </c>
      <c r="J204" s="148">
        <f>IF(分析!AB77&lt;&gt;"",分析!AB77,"")</f>
        <v>3749.2881873727079</v>
      </c>
      <c r="K204" s="148">
        <f>IF(分析!AC77&lt;&gt;"",分析!AC77,"")</f>
        <v>3948.9630512514877</v>
      </c>
      <c r="L204" s="148">
        <f>IF(分析!K77&lt;&gt;"",分析!K77,"")</f>
        <v>5208</v>
      </c>
      <c r="M204" s="143" t="str">
        <f>IF(分析!P77&lt;&gt;"",分析!P77,"")</f>
        <v>減少↓</v>
      </c>
      <c r="N204" s="149">
        <f>IF(分析!O77&lt;&gt;"",分析!O77,"")</f>
        <v>0.88653655685022581</v>
      </c>
      <c r="O204" s="150">
        <f>IF(分析!X77&lt;&gt;"",分析!X77,"")</f>
        <v>8.3681355203611929</v>
      </c>
      <c r="P204" s="151">
        <f>IF(分析!L77&lt;&gt;"",分析!L77,"")</f>
        <v>-23.598310291858677</v>
      </c>
      <c r="Q204" s="148">
        <f>IF(分析!S77&lt;&gt;"",分析!S77,"")</f>
        <v>3820</v>
      </c>
      <c r="R204" s="148">
        <f>IF(分析!R77&lt;&gt;"",分析!R77,"")</f>
        <v>4297</v>
      </c>
      <c r="S204" s="143" t="str">
        <f>IF(分析!AA77&lt;&gt;"",分析!AA77,"")</f>
        <v>上昇▲</v>
      </c>
      <c r="T204" s="152">
        <f>IF(分析!Z77&lt;&gt;"",分析!Z77,"")</f>
        <v>4.738088970781785</v>
      </c>
      <c r="U204" s="143" t="str">
        <f>IF(分析!V77&lt;&gt;"",分析!V77,"")</f>
        <v>通常</v>
      </c>
      <c r="V204" s="153">
        <f>IF(分析!W77&lt;&gt;"",分析!W77,"")</f>
        <v>52.638352638352636</v>
      </c>
      <c r="W204" s="154" t="str">
        <f>IF(分析!AD77&lt;&gt;"",分析!AD77,"")</f>
        <v>上昇トレンド▲</v>
      </c>
      <c r="X204" s="155" t="str">
        <f>IF(分析!AE77&lt;&gt;"",分析!AE77,"")</f>
        <v>25日押し目★</v>
      </c>
      <c r="Y204" s="156">
        <f>IF(分析!T77&lt;&gt;"",分析!T77,"")</f>
        <v>8</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474.4</v>
      </c>
      <c r="F205" s="133">
        <f>IF(分析!F44&lt;&gt;"",分析!F44,"")</f>
        <v>476</v>
      </c>
      <c r="G205" s="133">
        <f>IF(分析!H44&lt;&gt;"",分析!H44,"")</f>
        <v>480</v>
      </c>
      <c r="H205" s="133">
        <f>IF(分析!I44&lt;&gt;"",分析!I44,"")</f>
        <v>473</v>
      </c>
      <c r="I205" s="133">
        <f>IF(分析!J44&lt;&gt;"",分析!J44,"")</f>
        <v>669800</v>
      </c>
      <c r="J205" s="133">
        <f>IF(分析!AB44&lt;&gt;"",分析!AB44,"")</f>
        <v>636.63553971486749</v>
      </c>
      <c r="K205" s="133">
        <f>IF(分析!AC44&lt;&gt;"",分析!AC44,"")</f>
        <v>583.3150178784266</v>
      </c>
      <c r="L205" s="133">
        <f>IF(分析!K44&lt;&gt;"",分析!K44,"")</f>
        <v>539.9</v>
      </c>
      <c r="M205" s="128" t="str">
        <f>IF(分析!P44&lt;&gt;"",分析!P44,"")</f>
        <v>減少↓</v>
      </c>
      <c r="N205" s="134">
        <f>IF(分析!O44&lt;&gt;"",分析!O44,"")</f>
        <v>0.37568428609889615</v>
      </c>
      <c r="O205" s="135">
        <f>IF(分析!X44&lt;&gt;"",分析!X44,"")</f>
        <v>0.37523433861804278</v>
      </c>
      <c r="P205" s="136">
        <f>IF(分析!L44&lt;&gt;"",分析!L44,"")</f>
        <v>-12.131876273383961</v>
      </c>
      <c r="Q205" s="133">
        <f>IF(分析!S44&lt;&gt;"",分析!S44,"")</f>
        <v>455</v>
      </c>
      <c r="R205" s="133">
        <f>IF(分析!R44&lt;&gt;"",分析!R44,"")</f>
        <v>512</v>
      </c>
      <c r="S205" s="128" t="str">
        <f>IF(分析!AA44&lt;&gt;"",分析!AA44,"")</f>
        <v>下落▼</v>
      </c>
      <c r="T205" s="137">
        <f>IF(分析!Z44&lt;&gt;"",分析!Z44,"")</f>
        <v>-0.21034917963819941</v>
      </c>
      <c r="U205" s="128" t="str">
        <f>IF(分析!V44&lt;&gt;"",分析!V44,"")</f>
        <v>通常</v>
      </c>
      <c r="V205" s="138">
        <f>IF(分析!W44&lt;&gt;"",分析!W44,"")</f>
        <v>44.936708860759467</v>
      </c>
      <c r="W205" s="139" t="str">
        <f>IF(分析!AD44&lt;&gt;"",分析!AD44,"")</f>
        <v>もみ合い→</v>
      </c>
      <c r="X205" s="140" t="str">
        <f>IF(分析!AE44&lt;&gt;"",分析!AE44,"")</f>
        <v>なし</v>
      </c>
      <c r="Y205" s="141">
        <f>IF(分析!T44&lt;&gt;"",分析!T44,"")</f>
        <v>3</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1903</v>
      </c>
      <c r="F206" s="133">
        <f>IF(分析!F36&lt;&gt;"",分析!F36,"")</f>
        <v>1891.5</v>
      </c>
      <c r="G206" s="133">
        <f>IF(分析!H36&lt;&gt;"",分析!H36,"")</f>
        <v>1903</v>
      </c>
      <c r="H206" s="133">
        <f>IF(分析!I36&lt;&gt;"",分析!I36,"")</f>
        <v>1880</v>
      </c>
      <c r="I206" s="133">
        <f>IF(分析!J36&lt;&gt;"",分析!J36,"")</f>
        <v>3884100</v>
      </c>
      <c r="J206" s="133">
        <f>IF(分析!AB36&lt;&gt;"",分析!AB36,"")</f>
        <v>2058.2973523421583</v>
      </c>
      <c r="K206" s="133">
        <f>IF(分析!AC36&lt;&gt;"",分析!AC36,"")</f>
        <v>1993.4874851013108</v>
      </c>
      <c r="L206" s="133">
        <f>IF(分析!K36&lt;&gt;"",分析!K36,"")</f>
        <v>1959</v>
      </c>
      <c r="M206" s="128" t="str">
        <f>IF(分析!P36&lt;&gt;"",分析!P36,"")</f>
        <v>減少↓</v>
      </c>
      <c r="N206" s="134">
        <f>IF(分析!O36&lt;&gt;"",分析!O36,"")</f>
        <v>0.38977264516750559</v>
      </c>
      <c r="O206" s="135">
        <f>IF(分析!X36&lt;&gt;"",分析!X36,"")</f>
        <v>-4.542583953923895</v>
      </c>
      <c r="P206" s="136">
        <f>IF(分析!L36&lt;&gt;"",分析!L36,"")</f>
        <v>-2.8586013272077588</v>
      </c>
      <c r="Q206" s="133">
        <f>IF(分析!S36&lt;&gt;"",分析!S36,"")</f>
        <v>1827</v>
      </c>
      <c r="R206" s="133">
        <f>IF(分析!R36&lt;&gt;"",分析!R36,"")</f>
        <v>2055</v>
      </c>
      <c r="S206" s="128" t="str">
        <f>IF(分析!AA36&lt;&gt;"",分析!AA36,"")</f>
        <v>上昇▲</v>
      </c>
      <c r="T206" s="137">
        <f>IF(分析!Z36&lt;&gt;"",分析!Z36,"")</f>
        <v>0.76780513635160175</v>
      </c>
      <c r="U206" s="128" t="str">
        <f>IF(分析!V36&lt;&gt;"",分析!V36,"")</f>
        <v>高値圏</v>
      </c>
      <c r="V206" s="138">
        <f>IF(分析!W36&lt;&gt;"",分析!W36,"")</f>
        <v>50.705046031931012</v>
      </c>
      <c r="W206" s="139" t="str">
        <f>IF(分析!AD36&lt;&gt;"",分析!AD36,"")</f>
        <v>もみ合い→</v>
      </c>
      <c r="X206" s="140" t="str">
        <f>IF(分析!AE36&lt;&gt;"",分析!AE36,"")</f>
        <v>なし</v>
      </c>
      <c r="Y206" s="141">
        <f>IF(分析!T36&lt;&gt;"",分析!T36,"")</f>
        <v>8</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34" priority="1" stopIfTrue="1" operator="containsText" text="★強い買い">
      <formula>NOT(ISERROR(SEARCH("★強い買い",Z3)))</formula>
    </cfRule>
    <cfRule type="containsText" dxfId="33" priority="2" stopIfTrue="1" operator="containsText" text="★逆張り候補">
      <formula>NOT(ISERROR(SEARCH("★逆張り候補",Z3)))</formula>
    </cfRule>
    <cfRule type="containsText" dxfId="32" priority="3" stopIfTrue="1" operator="containsText" text="◎押し目買い">
      <formula>NOT(ISERROR(SEARCH("◎押し目買い",Z3)))</formula>
    </cfRule>
    <cfRule type="containsText" dxfId="31" priority="4" stopIfTrue="1" operator="containsText" text="◎反発確認">
      <formula>NOT(ISERROR(SEARCH("◎反発確認",Z3)))</formula>
    </cfRule>
    <cfRule type="containsText" dxfId="30" priority="5" stopIfTrue="1" operator="containsText" text="○買い候補">
      <formula>NOT(ISERROR(SEARCH("○買い候補",Z3)))</formula>
    </cfRule>
    <cfRule type="containsText" dxfId="29" priority="6" stopIfTrue="1" operator="containsText" text="○逆張り候補">
      <formula>NOT(ISERROR(SEARCH("○逆張り候補",Z3)))</formula>
    </cfRule>
    <cfRule type="containsText" dxfId="28" priority="7" stopIfTrue="1" operator="containsText" text="△要注意">
      <formula>NOT(ISERROR(SEARCH("△要注意",Z3)))</formula>
    </cfRule>
    <cfRule type="containsText" dxfId="27" priority="8" stopIfTrue="1" operator="containsText" text="△">
      <formula>NOT(ISERROR(SEARCH("△",Z3)))</formula>
    </cfRule>
    <cfRule type="containsText" dxfId="26" priority="9" stopIfTrue="1" operator="containsText" text="様子見">
      <formula>NOT(ISERROR(SEARCH("様子見",Z3)))</formula>
    </cfRule>
    <cfRule type="containsText" dxfId="25"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24" priority="12" stopIfTrue="1" operator="greaterThan">
      <formula>0</formula>
    </cfRule>
    <cfRule type="cellIs" dxfId="23" priority="13" stopIfTrue="1" operator="lessThan">
      <formula>0</formula>
    </cfRule>
  </conditionalFormatting>
  <conditionalFormatting sqref="S3:S502">
    <cfRule type="containsText" dxfId="22" priority="14" stopIfTrue="1" operator="containsText" text="上昇▲">
      <formula>NOT(ISERROR(SEARCH("上昇▲",S3)))</formula>
    </cfRule>
    <cfRule type="containsText" dxfId="21" priority="15" stopIfTrue="1" operator="containsText" text="下落▼">
      <formula>NOT(ISERROR(SEARCH("下落▼",S3)))</formula>
    </cfRule>
  </conditionalFormatting>
  <conditionalFormatting sqref="U3:U502">
    <cfRule type="containsText" dxfId="20"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135" activePane="bottomRight" state="frozen"/>
      <selection activeCell="C162" sqref="C162"/>
      <selection pane="topRight" activeCell="C162" sqref="C162"/>
      <selection pane="bottomLeft" activeCell="C162" sqref="C162"/>
      <selection pane="bottomRight" activeCell="D163" sqref="D163"/>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861" t="s">
        <v>553</v>
      </c>
      <c r="B1" s="848"/>
      <c r="C1" s="848"/>
      <c r="D1" s="848"/>
      <c r="E1" s="848"/>
      <c r="F1" s="848"/>
      <c r="G1" s="848"/>
      <c r="H1" s="848"/>
      <c r="I1" s="848"/>
      <c r="J1" s="848"/>
      <c r="K1" s="848"/>
      <c r="L1" s="848"/>
      <c r="M1" s="848"/>
      <c r="N1" s="848"/>
      <c r="O1" s="848"/>
      <c r="P1" s="848"/>
      <c r="Q1" s="848"/>
      <c r="R1" s="848"/>
      <c r="S1" s="848"/>
      <c r="T1" s="848"/>
      <c r="U1" s="848"/>
      <c r="V1" s="848"/>
      <c r="W1" s="848"/>
      <c r="X1" s="848"/>
      <c r="Y1" s="848"/>
      <c r="Z1" s="848"/>
      <c r="AA1" s="848"/>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COUNT(終値!$E$5:$CZ$5)</f>
        <v>55</v>
      </c>
      <c r="AL2" s="368">
        <f>MIN(25,AK2)</f>
        <v>25</v>
      </c>
    </row>
    <row r="3" spans="1:38" s="174" customFormat="1" ht="18" customHeight="1">
      <c r="A3" s="163" t="str">
        <f>IF(銘柄管理!B5&lt;&gt;"",HYPERLINK("https://kabutan.jp/stock/?code="&amp;銘柄管理!B5,"株探"),"")</f>
        <v>株探</v>
      </c>
      <c r="B3" s="164"/>
      <c r="C3" s="165" t="str">
        <f>IF(銘柄管理!B5="","",銘柄管理!B5)</f>
        <v>TOPX</v>
      </c>
      <c r="D3" s="103">
        <f>IF(銘柄管理!C5="","",銘柄管理!C5)</f>
        <v>4037.09</v>
      </c>
      <c r="E3" s="166" t="str">
        <f>IF(C3&lt;&gt;"",_xll.RssMarket(C3,"現在値"),"")</f>
        <v/>
      </c>
      <c r="F3" s="166" t="str">
        <f>IF(C3&lt;&gt;"",_xll.RssMarket(C3,"始値"),"")</f>
        <v/>
      </c>
      <c r="G3" s="166">
        <f>IF(C3&lt;&gt;"",終値!C5,"")</f>
        <v>4037.09</v>
      </c>
      <c r="H3" s="166" t="str">
        <f>IF(C3&lt;&gt;"",_xll.RssMarket(C3,"高値"),"")</f>
        <v/>
      </c>
      <c r="I3" s="166" t="str">
        <f>IF(C3&lt;&gt;"",_xll.RssMarket(C3,"安値"),"")</f>
        <v/>
      </c>
      <c r="J3" s="166" t="str">
        <f>IF(C3&lt;&gt;"",_xll.RssMarket(C3,"出来高"),"")</f>
        <v/>
      </c>
      <c r="K3" s="166" t="str">
        <f>IF(C3&lt;&gt;"",_xll.RssMarket(C3,"年初来高値"),"")</f>
        <v/>
      </c>
      <c r="L3" s="167" t="str">
        <f t="shared" ref="L3:L66" si="0">IF(AND(E3&lt;&gt;"",K3&lt;&gt;"",K3&lt;&gt;0),(E3-K3)/K3*100,"")</f>
        <v/>
      </c>
      <c r="M3" s="166">
        <f>IF(C3&lt;&gt;"",IFERROR(AVERAGE(出来高!E5:H5),""),"")</f>
        <v>322005</v>
      </c>
      <c r="N3" s="166">
        <f>IF(C3&lt;&gt;"",IFERROR(AVERAGE(出来高!E5:AB5),""),"")</f>
        <v>273310.08333333331</v>
      </c>
      <c r="O3" s="168" t="str">
        <f t="shared" ref="O3:O66" si="1">IF(AND(J3&lt;&gt;"",M3&lt;&gt;"",M3&lt;&gt;0),J3/M3,"")</f>
        <v/>
      </c>
      <c r="P3" s="163" t="str">
        <f t="shared" ref="P3:P66" si="2">IF(O3="","",IF(O3&gt;=2,"急増↑↑",IF(O3&gt;=1.5,"増加↑",IF(O3&gt;=1,"普通→","減少↓"))))</f>
        <v/>
      </c>
      <c r="Q3" s="163" t="str">
        <f t="shared" ref="Q3:Q66" si="3">IF(E3="","",IF(AND(E3&gt;G3,O3&gt;=1.5),"買い▲",IF(E3&lt;G3,"様子見▼","中立→")))</f>
        <v/>
      </c>
      <c r="R3" s="166" t="str">
        <f>IF(E3&lt;&gt;"",ROUND(E3*1.05,0),"")</f>
        <v/>
      </c>
      <c r="S3" s="166" t="str">
        <f>IF(E3&lt;&gt;"",ROUND(E3*0.95,0),"")</f>
        <v/>
      </c>
      <c r="T3" s="163">
        <f t="shared" ref="T3:T66" si="4">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0</v>
      </c>
      <c r="U3" s="163"/>
      <c r="V3" s="163" t="str">
        <f t="shared" ref="V3:V66" si="5">IF(AND(H3&lt;&gt;"",K3&lt;&gt;""),IF(H3&gt;=K3,"年初来高値更新●",IF(H3&gt;=K3*0.95,"高値圏","通常")),"")</f>
        <v/>
      </c>
      <c r="W3" s="169"/>
      <c r="X3" s="170"/>
      <c r="Y3" s="1" t="e">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#VALUE!</v>
      </c>
      <c r="Z3" s="171"/>
      <c r="AA3" s="163"/>
      <c r="AB3" s="401">
        <f>IF(C3="","",IFERROR(((終値!E5*0.333)+(終値!F5*0.222)+(終値!G5*0.148)+(終値!H5*0.099)+(終値!I5*0.066)+(終値!J5*0.044)+(終値!K5*0.029)+(終値!L5*0.019)+(終値!M5*0.013)+(終値!N5*0.009))/(0.333+0.222+0.148+0.099+0.066+0.044+0.029+0.019+0.013+0.009),""))</f>
        <v>3973.5221690427697</v>
      </c>
      <c r="AC3" s="401">
        <f>IF(C3="","",IFERROR(SUMPRODUCT((終値!E5:AC5),({0.077,0.071,0.065,0.06,0.055,0.051,0.047,0.043,0.039,0.036,0.033,0.031,0.028,0.026,0.024,0.022,0.02,0.018,0.017,0.016,0.014,0.013,0.012,0.011,0.01}))/SUM({0.077,0.071,0.065,0.06,0.055,0.051,0.047,0.043,0.039,0.036,0.033,0.031,0.028,0.026,0.024,0.022,0.02,0.018,0.017,0.016,0.014,0.013,0.012,0.011,0.01}),""))</f>
        <v>4002.3658879618583</v>
      </c>
      <c r="AD3" s="402" t="str">
        <f t="shared" ref="AD3:AD34" si="6">IF(OR(C3="",AB3="",AC3=""),"",IF(AND(E3&gt;AB3,AB3&gt;AC3),"パーフェクト▲",IF(E3&gt;AC3,"上昇トレンド▲",IF(AND(E3&lt;AB3,AB3&lt;AC3),"下降トレンド▼","もみ合い→"))))</f>
        <v>上昇トレンド▲</v>
      </c>
      <c r="AE3" s="402" t="e">
        <f t="shared" ref="AE3:AE34" si="7">IF(OR(C3="",AB3="",AC3=""),"",IF(AND(ABS(E3-AC3)/AC3&lt;=0.02,E3&gt;AC3),"25日押し目★",IF(AND(ABS(E3-AB3)/AB3&lt;=0.01,E3&gt;AB3),"5日押し目○","なし")))</f>
        <v>#VALUE!</v>
      </c>
      <c r="AF3" s="365">
        <f t="array" ref="AF3">IF(C3="","",IFERROR((INDEX(終値!$E:$E,MATCH(TEXT(C3,"0"),終値!$A:$A,0))-INDEX(終値!$E:$CZ,MATCH(TEXT(C3,"0"),終値!$A:$A,0),$AL$2))/INDEX(終値!$E:$CZ,MATCH(TEXT(C3,"0"),終値!$A:$A,0),$AL$2)*100,""))</f>
        <v>-0.82558151178043282</v>
      </c>
      <c r="AG3" s="365">
        <f t="array" ref="AG3">IFERROR((終値!$E$5-INDEX(終値!$E$5:$CZ$5,1,$AL$2))/INDEX(終値!$E$5:$CZ$5,1,$AL$2)*100,"")</f>
        <v>-0.82558151178043282</v>
      </c>
      <c r="AH3" s="366">
        <f t="shared" ref="AH3:AH66" si="8">IF(OR(AF3="",AG3=""),"",AF3-AG3)</f>
        <v>0</v>
      </c>
      <c r="AI3" s="364">
        <f t="shared" ref="AI3:AI66" si="9">IF(AH3="","",IF(AH3&gt;5,3,IF(AH3&gt;0,1,IF(AH3&gt;-3,-1,-2))))</f>
        <v>-1</v>
      </c>
    </row>
    <row r="4" spans="1:38"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1891.5</v>
      </c>
      <c r="F4" s="166">
        <f>IF(C4&lt;&gt;"",_xll.RssMarket(C4,"始値"),"")</f>
        <v>1910</v>
      </c>
      <c r="G4" s="165">
        <f>IF(C4&lt;&gt;"",終値!F189,"")</f>
        <v>2041</v>
      </c>
      <c r="H4" s="166">
        <f>IF(C4&lt;&gt;"",_xll.RssMarket(C4,"高値"),"")</f>
        <v>1961.5</v>
      </c>
      <c r="I4" s="166">
        <f>IF(C4&lt;&gt;"",_xll.RssMarket(C4,"安値"),"")</f>
        <v>1884.5</v>
      </c>
      <c r="J4" s="166">
        <f>IF(C4&lt;&gt;"",_xll.RssMarket(C4,"出来高"),"")</f>
        <v>859400</v>
      </c>
      <c r="K4" s="166">
        <f>IF(C4&lt;&gt;"",_xll.RssMarket(C4,"年初来高値"),"")</f>
        <v>2275</v>
      </c>
      <c r="L4" s="167">
        <f t="shared" si="0"/>
        <v>-16.857142857142858</v>
      </c>
      <c r="M4" s="166">
        <f>IF(C4&lt;&gt;"",IFERROR(AVERAGE(出来高!E189:I189),""),"")</f>
        <v>1939140</v>
      </c>
      <c r="N4" s="166">
        <f>IF(C4&lt;&gt;"",IFERROR(AVERAGE(出来高!E189:AC189),""),"")</f>
        <v>1394584</v>
      </c>
      <c r="O4" s="168">
        <f t="shared" si="1"/>
        <v>0.44318615468712935</v>
      </c>
      <c r="P4" s="163" t="str">
        <f t="shared" si="2"/>
        <v>減少↓</v>
      </c>
      <c r="Q4" s="163" t="str">
        <f t="shared" si="3"/>
        <v>様子見▼</v>
      </c>
      <c r="R4" s="166">
        <f t="shared" ref="R4:R67" si="10">IF(E4&lt;&gt;"",ROUND(E4*1.08,0),"")</f>
        <v>2043</v>
      </c>
      <c r="S4" s="166">
        <f t="shared" ref="S4:S67" si="11">IF(E4&lt;&gt;"",ROUND(E4*0.96,0),"")</f>
        <v>1816</v>
      </c>
      <c r="T4" s="163">
        <f t="shared" si="4"/>
        <v>2</v>
      </c>
      <c r="U4" s="163" t="str">
        <f t="shared" ref="U4:U67" si="12">IF(T4="","",IF(AND(T4&gt;=3,O4&gt;=1.5),"有効",IF(T4&gt;=3,"要確認","除外")))</f>
        <v>除外</v>
      </c>
      <c r="V4" s="163" t="str">
        <f t="shared" si="5"/>
        <v>通常</v>
      </c>
      <c r="W4" s="169">
        <f t="array" ref="W4">IF(C4&lt;&gt;"",IFERROR(100-100/(1+SUMPRODUCT((終値!F189:R189&gt;終値!G189:S189)*( 終値!F189:R189-終値!G189:S189))/SUMPRODUCT((終値!F189:R189&lt;終値!G189:S189)*(終値!G189:S189-終値!F189:R189))),50),"")</f>
        <v>63.218390804597703</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16.478482640036873</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見送り</v>
      </c>
      <c r="Z4" s="171">
        <f t="shared" ref="Z4:Z67" si="13">IF(AND(E4&lt;&gt;"",G4&lt;&gt;"",G4&lt;&gt;0),(E4-G4)/G4*100,"")</f>
        <v>-7.3248407643312099</v>
      </c>
      <c r="AA4" s="163" t="str">
        <f t="shared" ref="AA4:AA67" si="14">IF(OR(C4="",E4="",E4=0),"",IF(E4&gt;G4,"上昇▲",IF(E4&lt;G4,"下落▼","横ばい→")))</f>
        <v>下落▼</v>
      </c>
      <c r="AB4" s="403">
        <f>IF(C4="","",IFERROR(((終値!E6*0.333)+(終値!F6*0.222)+(終値!G6*0.148)+(終値!H6*0.099)+(終値!I6*0.066)+(終値!J6*0.044)+(終値!K6*0.029)+(終値!L6*0.019)+(終値!M6*0.013)+(終値!N6*0.009))/(0.333+0.222+0.148+0.099+0.066+0.044+0.029+0.019+0.013+0.009),""))</f>
        <v>30473.192464358446</v>
      </c>
      <c r="AC4" s="403">
        <f>IF(C4="","",IFERROR(SUMPRODUCT((終値!E6:AC6),({0.077,0.071,0.065,0.06,0.055,0.051,0.047,0.043,0.039,0.036,0.033,0.031,0.028,0.026,0.024,0.022,0.02,0.018,0.017,0.016,0.014,0.013,0.012,0.011,0.01}))/SUM({0.077,0.071,0.065,0.06,0.055,0.051,0.047,0.043,0.039,0.036,0.033,0.031,0.028,0.026,0.024,0.022,0.02,0.018,0.017,0.016,0.014,0.013,0.012,0.011,0.01}),""))</f>
        <v>32119.290822407616</v>
      </c>
      <c r="AD4" s="404" t="str">
        <f t="shared" si="6"/>
        <v>下降トレンド▼</v>
      </c>
      <c r="AE4" s="404" t="str">
        <f t="shared" si="7"/>
        <v>なし</v>
      </c>
      <c r="AF4" s="365">
        <f t="array" ref="AF4">IF(C4="","",IFERROR((INDEX(終値!$E:$E,MATCH(TEXT(C4,"0"),終値!$A:$A,0))-INDEX(終値!$E:$CZ,MATCH(TEXT(C4,"0"),終値!$A:$A,0),$AL$2))/INDEX(終値!$E:$CZ,MATCH(TEXT(C4,"0"),終値!$A:$A,0),$AL$2)*100,""))</f>
        <v>3.3171521035598706</v>
      </c>
      <c r="AG4" s="365">
        <f t="array" ref="AG4">IFERROR((終値!$E$5-INDEX(終値!$E$5:$CZ$5,1,$AL$2))/INDEX(終値!$E$5:$CZ$5,1,$AL$2)*100,"")</f>
        <v>-0.82558151178043282</v>
      </c>
      <c r="AH4" s="366">
        <f t="shared" si="8"/>
        <v>4.1427336153403029</v>
      </c>
      <c r="AI4" s="364">
        <f t="shared" si="9"/>
        <v>1</v>
      </c>
    </row>
    <row r="5" spans="1:38"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1728</v>
      </c>
      <c r="F5" s="166">
        <f>IF(C5&lt;&gt;"",_xll.RssMarket(C5,"始値"),"")</f>
        <v>1698.5</v>
      </c>
      <c r="G5" s="165">
        <f>IF(C5&lt;&gt;"",終値!F190,"")</f>
        <v>1728</v>
      </c>
      <c r="H5" s="166">
        <f>IF(C5&lt;&gt;"",_xll.RssMarket(C5,"高値"),"")</f>
        <v>1728</v>
      </c>
      <c r="I5" s="166">
        <f>IF(C5&lt;&gt;"",_xll.RssMarket(C5,"安値"),"")</f>
        <v>1696.5</v>
      </c>
      <c r="J5" s="166">
        <f>IF(C5&lt;&gt;"",_xll.RssMarket(C5,"出来高"),"")</f>
        <v>905600</v>
      </c>
      <c r="K5" s="166">
        <f>IF(C5&lt;&gt;"",_xll.RssMarket(C5,"年初来高値"),"")</f>
        <v>1797.5</v>
      </c>
      <c r="L5" s="167">
        <f t="shared" si="0"/>
        <v>-3.8664812239221145</v>
      </c>
      <c r="M5" s="166">
        <f>IF(C5&lt;&gt;"",IFERROR(AVERAGE(出来高!E190:I190),""),"")</f>
        <v>2610380</v>
      </c>
      <c r="N5" s="166">
        <f>IF(C5&lt;&gt;"",IFERROR(AVERAGE(出来高!E190:AC190),""),"")</f>
        <v>2390120</v>
      </c>
      <c r="O5" s="168">
        <f t="shared" si="1"/>
        <v>0.34692267026256712</v>
      </c>
      <c r="P5" s="163" t="str">
        <f t="shared" si="2"/>
        <v>減少↓</v>
      </c>
      <c r="Q5" s="163" t="str">
        <f t="shared" si="3"/>
        <v>中立→</v>
      </c>
      <c r="R5" s="166">
        <f t="shared" si="10"/>
        <v>1866</v>
      </c>
      <c r="S5" s="166">
        <f t="shared" si="11"/>
        <v>1659</v>
      </c>
      <c r="T5" s="163">
        <f t="shared" si="4"/>
        <v>7</v>
      </c>
      <c r="U5" s="163" t="str">
        <f t="shared" si="12"/>
        <v>要確認</v>
      </c>
      <c r="V5" s="163" t="str">
        <f t="shared" si="5"/>
        <v>高値圏</v>
      </c>
      <c r="W5" s="169">
        <f t="array" ref="W5">IF(C5&lt;&gt;"",IFERROR(100-100/(1+SUMPRODUCT((終値!F190:R190&gt;終値!G190:S190)*( 終値!F190:R190-終値!G190:S190))/SUMPRODUCT((終値!F190:R190&lt;終値!G190:S190)*(終値!G190:S190-終値!F190:R190))),50),"")</f>
        <v>62.084765177548682</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17.954190034190788</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△注目</v>
      </c>
      <c r="Z5" s="171">
        <f t="shared" si="13"/>
        <v>0</v>
      </c>
      <c r="AA5" s="163" t="str">
        <f t="shared" si="14"/>
        <v>横ばい→</v>
      </c>
      <c r="AB5" s="405">
        <f>IF(C5="","",IFERROR(((終値!E7*0.333)+(終値!F7*0.222)+(終値!G7*0.148)+(終値!H7*0.099)+(終値!I7*0.066)+(終値!J7*0.044)+(終値!K7*0.029)+(終値!L7*0.019)+(終値!M7*0.013)+(終値!N7*0.009))/(0.333+0.222+0.148+0.099+0.066+0.044+0.029+0.019+0.013+0.009),""))</f>
        <v>1722.6761710794297</v>
      </c>
      <c r="AC5" s="405">
        <f>IF(C5="","",IFERROR(SUMPRODUCT((終値!E7:AC7),({0.077,0.071,0.065,0.06,0.055,0.051,0.047,0.043,0.039,0.036,0.033,0.031,0.028,0.026,0.024,0.022,0.02,0.018,0.017,0.016,0.014,0.013,0.012,0.011,0.01}))/SUM({0.077,0.071,0.065,0.06,0.055,0.051,0.047,0.043,0.039,0.036,0.033,0.031,0.028,0.026,0.024,0.022,0.02,0.018,0.017,0.016,0.014,0.013,0.012,0.011,0.01}),""))</f>
        <v>1733.9284862932057</v>
      </c>
      <c r="AD5" s="406" t="str">
        <f t="shared" si="6"/>
        <v>もみ合い→</v>
      </c>
      <c r="AE5" s="406" t="str">
        <f t="shared" si="7"/>
        <v>5日押し目○</v>
      </c>
      <c r="AF5" s="365">
        <f t="array" ref="AF5">IF(C5="","",IFERROR((INDEX(終値!$E:$E,MATCH(TEXT(C5,"0"),終値!$A:$A,0))-INDEX(終値!$E:$CZ,MATCH(TEXT(C5,"0"),終値!$A:$A,0),$AL$2))/INDEX(終値!$E:$CZ,MATCH(TEXT(C5,"0"),終値!$A:$A,0),$AL$2)*100,""))</f>
        <v>12.474983322214809</v>
      </c>
      <c r="AG5" s="365">
        <f t="array" ref="AG5">IFERROR((終値!$E$5-INDEX(終値!$E$5:$CZ$5,1,$AL$2))/INDEX(終値!$E$5:$CZ$5,1,$AL$2)*100,"")</f>
        <v>-0.82558151178043282</v>
      </c>
      <c r="AH5" s="366">
        <f t="shared" si="8"/>
        <v>13.300564833995242</v>
      </c>
      <c r="AI5" s="364">
        <f t="shared" si="9"/>
        <v>3</v>
      </c>
    </row>
    <row r="6" spans="1:38"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1576</v>
      </c>
      <c r="F6" s="166">
        <f>IF(C6&lt;&gt;"",_xll.RssMarket(C6,"始値"),"")</f>
        <v>1580</v>
      </c>
      <c r="G6" s="165">
        <f>IF(C6&lt;&gt;"",終値!F191,"")</f>
        <v>1569</v>
      </c>
      <c r="H6" s="166">
        <f>IF(C6&lt;&gt;"",_xll.RssMarket(C6,"高値"),"")</f>
        <v>1592</v>
      </c>
      <c r="I6" s="166">
        <f>IF(C6&lt;&gt;"",_xll.RssMarket(C6,"安値"),"")</f>
        <v>1571</v>
      </c>
      <c r="J6" s="166">
        <f>IF(C6&lt;&gt;"",_xll.RssMarket(C6,"出来高"),"")</f>
        <v>9700</v>
      </c>
      <c r="K6" s="166">
        <f>IF(C6&lt;&gt;"",_xll.RssMarket(C6,"年初来高値"),"")</f>
        <v>1787</v>
      </c>
      <c r="L6" s="167">
        <f t="shared" si="0"/>
        <v>-11.807498601007275</v>
      </c>
      <c r="M6" s="166">
        <f>IF(C6&lt;&gt;"",IFERROR(AVERAGE(出来高!E191:I191),""),"")</f>
        <v>26000</v>
      </c>
      <c r="N6" s="166">
        <f>IF(C6&lt;&gt;"",IFERROR(AVERAGE(出来高!E191:AC191),""),"")</f>
        <v>22940</v>
      </c>
      <c r="O6" s="168">
        <f t="shared" si="1"/>
        <v>0.37307692307692308</v>
      </c>
      <c r="P6" s="163" t="str">
        <f t="shared" si="2"/>
        <v>減少↓</v>
      </c>
      <c r="Q6" s="163" t="str">
        <f t="shared" si="3"/>
        <v>中立→</v>
      </c>
      <c r="R6" s="166">
        <f t="shared" si="10"/>
        <v>1702</v>
      </c>
      <c r="S6" s="166">
        <f t="shared" si="11"/>
        <v>1513</v>
      </c>
      <c r="T6" s="163">
        <f t="shared" si="4"/>
        <v>6</v>
      </c>
      <c r="U6" s="163" t="str">
        <f t="shared" si="12"/>
        <v>要確認</v>
      </c>
      <c r="V6" s="163" t="str">
        <f t="shared" si="5"/>
        <v>通常</v>
      </c>
      <c r="W6" s="169">
        <f t="array" ref="W6">IF(C6&lt;&gt;"",IFERROR(100-100/(1+SUMPRODUCT((終値!F191:R191&gt;終値!G191:S191)*( 終値!F191:R191-終値!G191:S191))/SUMPRODUCT((終値!F191:R191&lt;終値!G191:S191)*(終値!G191:S191-終値!F191:R191))),50),"")</f>
        <v>58.720930232558146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5.1979031917819611</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△注目</v>
      </c>
      <c r="Z6" s="171">
        <f t="shared" si="13"/>
        <v>0.44614404079031234</v>
      </c>
      <c r="AA6" s="163" t="str">
        <f t="shared" si="14"/>
        <v>上昇▲</v>
      </c>
      <c r="AB6" s="403">
        <f>IF(C6="","",IFERROR(((終値!E8*0.333)+(終値!F8*0.222)+(終値!G8*0.148)+(終値!H8*0.099)+(終値!I8*0.066)+(終値!J8*0.044)+(終値!K8*0.029)+(終値!L8*0.019)+(終値!M8*0.013)+(終値!N8*0.009))/(0.333+0.222+0.148+0.099+0.066+0.044+0.029+0.019+0.013+0.009),""))</f>
        <v>7884.2484725050899</v>
      </c>
      <c r="AC6" s="403">
        <f>IF(C6="","",IFERROR(SUMPRODUCT((終値!E8:AC8),({0.077,0.071,0.065,0.06,0.055,0.051,0.047,0.043,0.039,0.036,0.033,0.031,0.028,0.026,0.024,0.022,0.02,0.018,0.017,0.016,0.014,0.013,0.012,0.011,0.01}))/SUM({0.077,0.071,0.065,0.06,0.055,0.051,0.047,0.043,0.039,0.036,0.033,0.031,0.028,0.026,0.024,0.022,0.02,0.018,0.017,0.016,0.014,0.013,0.012,0.011,0.01}),""))</f>
        <v>7594.2634088200221</v>
      </c>
      <c r="AD6" s="404" t="str">
        <f t="shared" si="6"/>
        <v>もみ合い→</v>
      </c>
      <c r="AE6" s="404" t="str">
        <f t="shared" si="7"/>
        <v>なし</v>
      </c>
      <c r="AF6" s="365">
        <f t="array" ref="AF6">IF(C6="","",IFERROR((INDEX(終値!$E:$E,MATCH(TEXT(C6,"0"),終値!$A:$A,0))-INDEX(終値!$E:$CZ,MATCH(TEXT(C6,"0"),終値!$A:$A,0),$AL$2))/INDEX(終値!$E:$CZ,MATCH(TEXT(C6,"0"),終値!$A:$A,0),$AL$2)*100,""))</f>
        <v>4.2412193505632869</v>
      </c>
      <c r="AG6" s="365">
        <f t="array" ref="AG6">IFERROR((終値!$E$5-INDEX(終値!$E$5:$CZ$5,1,$AL$2))/INDEX(終値!$E$5:$CZ$5,1,$AL$2)*100,"")</f>
        <v>-0.82558151178043282</v>
      </c>
      <c r="AH6" s="366">
        <f t="shared" si="8"/>
        <v>5.0668008623437197</v>
      </c>
      <c r="AI6" s="364">
        <f t="shared" si="9"/>
        <v>3</v>
      </c>
    </row>
    <row r="7" spans="1:38"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2573.5</v>
      </c>
      <c r="F7" s="166">
        <f>IF(C7&lt;&gt;"",_xll.RssMarket(C7,"始値"),"")</f>
        <v>2509</v>
      </c>
      <c r="G7" s="165">
        <f>IF(C7&lt;&gt;"",終値!F142,"")</f>
        <v>2570</v>
      </c>
      <c r="H7" s="166">
        <f>IF(C7&lt;&gt;"",_xll.RssMarket(C7,"高値"),"")</f>
        <v>2586.5</v>
      </c>
      <c r="I7" s="166">
        <f>IF(C7&lt;&gt;"",_xll.RssMarket(C7,"安値"),"")</f>
        <v>2508</v>
      </c>
      <c r="J7" s="166">
        <f>IF(C7&lt;&gt;"",_xll.RssMarket(C7,"出来高"),"")</f>
        <v>3828900</v>
      </c>
      <c r="K7" s="166">
        <f>IF(C7&lt;&gt;"",_xll.RssMarket(C7,"年初来高値"),"")</f>
        <v>3625</v>
      </c>
      <c r="L7" s="167">
        <f t="shared" si="0"/>
        <v>-29.006896551724136</v>
      </c>
      <c r="M7" s="166">
        <f>IF(C7&lt;&gt;"",IFERROR(AVERAGE(出来高!E142:I142),""),"")</f>
        <v>10120720</v>
      </c>
      <c r="N7" s="166">
        <f>IF(C7&lt;&gt;"",IFERROR(AVERAGE(出来高!E142:AC142),""),"")</f>
        <v>7103808</v>
      </c>
      <c r="O7" s="168">
        <f t="shared" si="1"/>
        <v>0.37832288611877418</v>
      </c>
      <c r="P7" s="163" t="str">
        <f t="shared" si="2"/>
        <v>減少↓</v>
      </c>
      <c r="Q7" s="163" t="str">
        <f t="shared" si="3"/>
        <v>中立→</v>
      </c>
      <c r="R7" s="166">
        <f t="shared" si="10"/>
        <v>2779</v>
      </c>
      <c r="S7" s="166">
        <f t="shared" si="11"/>
        <v>2471</v>
      </c>
      <c r="T7" s="163">
        <f t="shared" si="4"/>
        <v>1</v>
      </c>
      <c r="U7" s="163" t="str">
        <f t="shared" si="12"/>
        <v>除外</v>
      </c>
      <c r="V7" s="163" t="str">
        <f t="shared" si="5"/>
        <v>通常</v>
      </c>
      <c r="W7" s="169">
        <f t="array" ref="W7">IF(C7&lt;&gt;"",IFERROR(100-100/(1+SUMPRODUCT((終値!F142:R142&gt;終値!G142:S142)*( 終値!F142:R142-終値!G142:S142))/SUMPRODUCT((終値!F142:R142&lt;終値!G142:S142)*(終値!G142:S142-終値!F142:R142))),50),"")</f>
        <v>41.019955654101999</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1.0845250936199591E-2</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見送り</v>
      </c>
      <c r="Z7" s="171">
        <f t="shared" si="13"/>
        <v>0.13618677042801555</v>
      </c>
      <c r="AA7" s="163" t="str">
        <f t="shared" si="14"/>
        <v>上昇▲</v>
      </c>
      <c r="AB7" s="405">
        <f>IF(C7="","",IFERROR(((終値!E9*0.333)+(終値!F9*0.222)+(終値!G9*0.148)+(終値!H9*0.099)+(終値!I9*0.066)+(終値!J9*0.044)+(終値!K9*0.029)+(終値!L9*0.019)+(終値!M9*0.013)+(終値!N9*0.009))/(0.333+0.222+0.148+0.099+0.066+0.044+0.029+0.019+0.013+0.009),""))</f>
        <v>4122.4796334012208</v>
      </c>
      <c r="AC7" s="405">
        <f>IF(C7="","",IFERROR(SUMPRODUCT((終値!E9:AC9),({0.077,0.071,0.065,0.06,0.055,0.051,0.047,0.043,0.039,0.036,0.033,0.031,0.028,0.026,0.024,0.022,0.02,0.018,0.017,0.016,0.014,0.013,0.012,0.011,0.01}))/SUM({0.077,0.071,0.065,0.06,0.055,0.051,0.047,0.043,0.039,0.036,0.033,0.031,0.028,0.026,0.024,0.022,0.02,0.018,0.017,0.016,0.014,0.013,0.012,0.011,0.01}),""))</f>
        <v>4154.6483909415965</v>
      </c>
      <c r="AD7" s="406" t="str">
        <f t="shared" si="6"/>
        <v>下降トレンド▼</v>
      </c>
      <c r="AE7" s="406" t="str">
        <f t="shared" si="7"/>
        <v>なし</v>
      </c>
      <c r="AF7" s="365">
        <f t="array" ref="AF7">IF(C7="","",IFERROR((INDEX(終値!$E:$E,MATCH(TEXT(C7,"0"),終値!$A:$A,0))-INDEX(終値!$E:$CZ,MATCH(TEXT(C7,"0"),終値!$A:$A,0),$AL$2))/INDEX(終値!$E:$CZ,MATCH(TEXT(C7,"0"),終値!$A:$A,0),$AL$2)*100,""))</f>
        <v>-4.3611323641928079</v>
      </c>
      <c r="AG7" s="365">
        <f t="array" ref="AG7">IFERROR((終値!$E$5-INDEX(終値!$E$5:$CZ$5,1,$AL$2))/INDEX(終値!$E$5:$CZ$5,1,$AL$2)*100,"")</f>
        <v>-0.82558151178043282</v>
      </c>
      <c r="AH7" s="366">
        <f t="shared" si="8"/>
        <v>-3.5355508524123751</v>
      </c>
      <c r="AI7" s="364">
        <f t="shared" si="9"/>
        <v>-2</v>
      </c>
    </row>
    <row r="8" spans="1:38"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5872</v>
      </c>
      <c r="F8" s="166">
        <f>IF(C8&lt;&gt;"",_xll.RssMarket(C8,"始値"),"")</f>
        <v>5628</v>
      </c>
      <c r="G8" s="165">
        <f>IF(C8&lt;&gt;"",終値!F65,"")</f>
        <v>5393</v>
      </c>
      <c r="H8" s="166">
        <f>IF(C8&lt;&gt;"",_xll.RssMarket(C8,"高値"),"")</f>
        <v>5880</v>
      </c>
      <c r="I8" s="166">
        <f>IF(C8&lt;&gt;"",_xll.RssMarket(C8,"安値"),"")</f>
        <v>5605</v>
      </c>
      <c r="J8" s="166">
        <f>IF(C8&lt;&gt;"",_xll.RssMarket(C8,"出来高"),"")</f>
        <v>42788800</v>
      </c>
      <c r="K8" s="166">
        <f>IF(C8&lt;&gt;"",_xll.RssMarket(C8,"年初来高値"),"")</f>
        <v>9074</v>
      </c>
      <c r="L8" s="167">
        <f t="shared" si="0"/>
        <v>-35.287635001102053</v>
      </c>
      <c r="M8" s="166">
        <f>IF(C8&lt;&gt;"",IFERROR(AVERAGE(出来高!E65:I65),""),"")</f>
        <v>57295880</v>
      </c>
      <c r="N8" s="166">
        <f>IF(C8&lt;&gt;"",IFERROR(AVERAGE(出来高!E65:AC65),""),"")</f>
        <v>52796436</v>
      </c>
      <c r="O8" s="168">
        <f t="shared" si="1"/>
        <v>0.74680413321167249</v>
      </c>
      <c r="P8" s="163" t="str">
        <f t="shared" si="2"/>
        <v>減少↓</v>
      </c>
      <c r="Q8" s="163" t="str">
        <f t="shared" si="3"/>
        <v>中立→</v>
      </c>
      <c r="R8" s="166">
        <f t="shared" si="10"/>
        <v>6342</v>
      </c>
      <c r="S8" s="166">
        <f t="shared" si="11"/>
        <v>5637</v>
      </c>
      <c r="T8" s="163">
        <f t="shared" si="4"/>
        <v>1</v>
      </c>
      <c r="U8" s="163" t="str">
        <f t="shared" si="12"/>
        <v>除外</v>
      </c>
      <c r="V8" s="163" t="str">
        <f t="shared" si="5"/>
        <v>通常</v>
      </c>
      <c r="W8" s="169">
        <f t="array" ref="W8">IF(C8&lt;&gt;"",IFERROR(100-100/(1+SUMPRODUCT((終値!F65:R65&gt;終値!G65:S65)*( 終値!F65:R65-終値!G65:S65))/SUMPRODUCT((終値!F65:R65&lt;終値!G65:S65)*(終値!G65:S65-終値!F65:R65))),50),"")</f>
        <v>37.913866069205866</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-154.48934480713433</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 t="shared" si="13"/>
        <v>8.881883923604672</v>
      </c>
      <c r="AA8" s="163" t="str">
        <f t="shared" si="14"/>
        <v>上昇▲</v>
      </c>
      <c r="AB8" s="403">
        <f>IF(C8="","",IFERROR(((終値!E10*0.333)+(終値!F10*0.222)+(終値!G10*0.148)+(終値!H10*0.099)+(終値!I10*0.066)+(終値!J10*0.044)+(終値!K10*0.029)+(終値!L10*0.019)+(終値!M10*0.013)+(終値!N10*0.009))/(0.333+0.222+0.148+0.099+0.066+0.044+0.029+0.019+0.013+0.009),""))</f>
        <v>8164.3564154786145</v>
      </c>
      <c r="AC8" s="403">
        <f>IF(C8="","",IFERROR(SUMPRODUCT((終値!E10:AC10),({0.077,0.071,0.065,0.06,0.055,0.051,0.047,0.043,0.039,0.036,0.033,0.031,0.028,0.026,0.024,0.022,0.02,0.018,0.017,0.016,0.014,0.013,0.012,0.011,0.01}))/SUM({0.077,0.071,0.065,0.06,0.055,0.051,0.047,0.043,0.039,0.036,0.033,0.031,0.028,0.026,0.024,0.022,0.02,0.018,0.017,0.016,0.014,0.013,0.012,0.011,0.01}),""))</f>
        <v>8282.4004767580445</v>
      </c>
      <c r="AD8" s="404" t="str">
        <f t="shared" si="6"/>
        <v>下降トレンド▼</v>
      </c>
      <c r="AE8" s="404" t="str">
        <f t="shared" si="7"/>
        <v>なし</v>
      </c>
      <c r="AF8" s="365">
        <f t="array" ref="AF8">IF(C8="","",IFERROR((INDEX(終値!$E:$E,MATCH(TEXT(C8,"0"),終値!$A:$A,0))-INDEX(終値!$E:$CZ,MATCH(TEXT(C8,"0"),終値!$A:$A,0),$AL$2))/INDEX(終値!$E:$CZ,MATCH(TEXT(C8,"0"),終値!$A:$A,0),$AL$2)*100,""))</f>
        <v>-11.299626739056666</v>
      </c>
      <c r="AG8" s="365">
        <f t="array" ref="AG8">IFERROR((終値!$E$5-INDEX(終値!$E$5:$CZ$5,1,$AL$2))/INDEX(終値!$E$5:$CZ$5,1,$AL$2)*100,"")</f>
        <v>-0.82558151178043282</v>
      </c>
      <c r="AH8" s="366">
        <f t="shared" si="8"/>
        <v>-10.474045227276234</v>
      </c>
      <c r="AI8" s="364">
        <f t="shared" si="9"/>
        <v>-2</v>
      </c>
    </row>
    <row r="9" spans="1:38"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1717</v>
      </c>
      <c r="F9" s="166">
        <f>IF(C9&lt;&gt;"",_xll.RssMarket(C9,"始値"),"")</f>
        <v>1725</v>
      </c>
      <c r="G9" s="165">
        <f>IF(C9&lt;&gt;"",終値!F116,"")</f>
        <v>1745</v>
      </c>
      <c r="H9" s="166">
        <f>IF(C9&lt;&gt;"",_xll.RssMarket(C9,"高値"),"")</f>
        <v>1728</v>
      </c>
      <c r="I9" s="166">
        <f>IF(C9&lt;&gt;"",_xll.RssMarket(C9,"安値"),"")</f>
        <v>1707</v>
      </c>
      <c r="J9" s="166">
        <f>IF(C9&lt;&gt;"",_xll.RssMarket(C9,"出来高"),"")</f>
        <v>106500</v>
      </c>
      <c r="K9" s="166">
        <f>IF(C9&lt;&gt;"",_xll.RssMarket(C9,"年初来高値"),"")</f>
        <v>1891</v>
      </c>
      <c r="L9" s="167">
        <f t="shared" si="0"/>
        <v>-9.2014806980433619</v>
      </c>
      <c r="M9" s="166">
        <f>IF(C9&lt;&gt;"",IFERROR(AVERAGE(出来高!E116:I116),""),"")</f>
        <v>257340</v>
      </c>
      <c r="N9" s="166">
        <f>IF(C9&lt;&gt;"",IFERROR(AVERAGE(出来高!E116:AC116),""),"")</f>
        <v>196936</v>
      </c>
      <c r="O9" s="168">
        <f t="shared" si="1"/>
        <v>0.41384938214035905</v>
      </c>
      <c r="P9" s="163" t="str">
        <f t="shared" si="2"/>
        <v>減少↓</v>
      </c>
      <c r="Q9" s="163" t="str">
        <f t="shared" si="3"/>
        <v>様子見▼</v>
      </c>
      <c r="R9" s="166">
        <f t="shared" si="10"/>
        <v>1854</v>
      </c>
      <c r="S9" s="166">
        <f t="shared" si="11"/>
        <v>1648</v>
      </c>
      <c r="T9" s="163">
        <f t="shared" si="4"/>
        <v>1</v>
      </c>
      <c r="U9" s="163" t="str">
        <f t="shared" si="12"/>
        <v>除外</v>
      </c>
      <c r="V9" s="163" t="str">
        <f t="shared" si="5"/>
        <v>通常</v>
      </c>
      <c r="W9" s="169">
        <f t="array" ref="W9">IF(C9&lt;&gt;"",IFERROR(100-100/(1+SUMPRODUCT((終値!F116:R116&gt;終値!G116:S116)*( 終値!F116:R116-終値!G116:S116))/SUMPRODUCT((終値!F116:R116&lt;終値!G116:S116)*(終値!G116:S116-終値!F116:R116))),50),"")</f>
        <v>38.275862068965516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-2.2970557914970868</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 t="shared" si="13"/>
        <v>-1.6045845272206303</v>
      </c>
      <c r="AA9" s="163" t="str">
        <f t="shared" si="14"/>
        <v>下落▼</v>
      </c>
      <c r="AB9" s="405">
        <f>IF(C9="","",IFERROR(((終値!E11*0.333)+(終値!F11*0.222)+(終値!G11*0.148)+(終値!H11*0.099)+(終値!I11*0.066)+(終値!J11*0.044)+(終値!K11*0.029)+(終値!L11*0.019)+(終値!M11*0.013)+(終値!N11*0.009))/(0.333+0.222+0.148+0.099+0.066+0.044+0.029+0.019+0.013+0.009),""))</f>
        <v>4668.55397148676</v>
      </c>
      <c r="AC9" s="405">
        <f>IF(C9="","",IFERROR(SUMPRODUCT((終値!E11:AC11),({0.077,0.071,0.065,0.06,0.055,0.051,0.047,0.043,0.039,0.036,0.033,0.031,0.028,0.026,0.024,0.022,0.02,0.018,0.017,0.016,0.014,0.013,0.012,0.011,0.01}))/SUM({0.077,0.071,0.065,0.06,0.055,0.051,0.047,0.043,0.039,0.036,0.033,0.031,0.028,0.026,0.024,0.022,0.02,0.018,0.017,0.016,0.014,0.013,0.012,0.011,0.01}),""))</f>
        <v>4486.2598331346826</v>
      </c>
      <c r="AD9" s="406" t="str">
        <f t="shared" si="6"/>
        <v>もみ合い→</v>
      </c>
      <c r="AE9" s="406" t="str">
        <f t="shared" si="7"/>
        <v>なし</v>
      </c>
      <c r="AF9" s="365">
        <f t="array" ref="AF9">IF(C9="","",IFERROR((INDEX(終値!$E:$E,MATCH(TEXT(C9,"0"),終値!$A:$A,0))-INDEX(終値!$E:$CZ,MATCH(TEXT(C9,"0"),終値!$A:$A,0),$AL$2))/INDEX(終値!$E:$CZ,MATCH(TEXT(C9,"0"),終値!$A:$A,0),$AL$2)*100,""))</f>
        <v>-2.9345372460496613</v>
      </c>
      <c r="AG9" s="365">
        <f t="array" ref="AG9">IFERROR((終値!$E$5-INDEX(終値!$E$5:$CZ$5,1,$AL$2))/INDEX(終値!$E$5:$CZ$5,1,$AL$2)*100,"")</f>
        <v>-0.82558151178043282</v>
      </c>
      <c r="AH9" s="366">
        <f t="shared" si="8"/>
        <v>-2.1089557342692284</v>
      </c>
      <c r="AI9" s="364">
        <f t="shared" si="9"/>
        <v>-1</v>
      </c>
    </row>
    <row r="10" spans="1:38"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2289</v>
      </c>
      <c r="F10" s="166">
        <f>IF(C10&lt;&gt;"",_xll.RssMarket(C10,"始値"),"")</f>
        <v>2312</v>
      </c>
      <c r="G10" s="165">
        <f>IF(C10&lt;&gt;"",終値!F166,"")</f>
        <v>2322</v>
      </c>
      <c r="H10" s="166">
        <f>IF(C10&lt;&gt;"",_xll.RssMarket(C10,"高値"),"")</f>
        <v>2312</v>
      </c>
      <c r="I10" s="166">
        <f>IF(C10&lt;&gt;"",_xll.RssMarket(C10,"安値"),"")</f>
        <v>2289</v>
      </c>
      <c r="J10" s="166">
        <f>IF(C10&lt;&gt;"",_xll.RssMarket(C10,"出来高"),"")</f>
        <v>7000</v>
      </c>
      <c r="K10" s="166">
        <f>IF(C10&lt;&gt;"",_xll.RssMarket(C10,"年初来高値"),"")</f>
        <v>2877</v>
      </c>
      <c r="L10" s="167">
        <f t="shared" si="0"/>
        <v>-20.437956204379564</v>
      </c>
      <c r="M10" s="166">
        <f>IF(C10&lt;&gt;"",IFERROR(AVERAGE(出来高!E166:I166),""),"")</f>
        <v>25540</v>
      </c>
      <c r="N10" s="166">
        <f>IF(C10&lt;&gt;"",IFERROR(AVERAGE(出来高!E166:AC166),""),"")</f>
        <v>28596</v>
      </c>
      <c r="O10" s="168">
        <f t="shared" si="1"/>
        <v>0.27407987470634299</v>
      </c>
      <c r="P10" s="163" t="str">
        <f t="shared" si="2"/>
        <v>減少↓</v>
      </c>
      <c r="Q10" s="163" t="str">
        <f t="shared" si="3"/>
        <v>様子見▼</v>
      </c>
      <c r="R10" s="166">
        <f t="shared" si="10"/>
        <v>2472</v>
      </c>
      <c r="S10" s="166">
        <f t="shared" si="11"/>
        <v>2197</v>
      </c>
      <c r="T10" s="163">
        <f t="shared" si="4"/>
        <v>0</v>
      </c>
      <c r="U10" s="163" t="str">
        <f t="shared" si="12"/>
        <v>除外</v>
      </c>
      <c r="V10" s="163" t="str">
        <f t="shared" si="5"/>
        <v>通常</v>
      </c>
      <c r="W10" s="169">
        <f t="array" ref="W10">IF(C10&lt;&gt;"",IFERROR(100-100/(1+SUMPRODUCT((終値!F166:R166&gt;終値!G166:S166)*( 終値!F166:R166-終値!G166:S166))/SUMPRODUCT((終値!F166:R166&lt;終値!G166:S166)*(終値!G166:S166-終値!F166:R166))),50),"")</f>
        <v>42.168674698795179</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-6.4093671762739177</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 t="shared" si="13"/>
        <v>-1.421188630490956</v>
      </c>
      <c r="AA10" s="163" t="str">
        <f t="shared" si="14"/>
        <v>下落▼</v>
      </c>
      <c r="AB10" s="403">
        <f>IF(C10="","",IFERROR(((終値!E12*0.333)+(終値!F12*0.222)+(終値!G12*0.148)+(終値!H12*0.099)+(終値!I12*0.066)+(終値!J12*0.044)+(終値!K12*0.029)+(終値!L12*0.019)+(終値!M12*0.013)+(終値!N12*0.009))/(0.333+0.222+0.148+0.099+0.066+0.044+0.029+0.019+0.013+0.009),""))</f>
        <v>3557.581466395111</v>
      </c>
      <c r="AC10" s="403">
        <f>IF(C10="","",IFERROR(SUMPRODUCT((終値!E12:AC12),({0.077,0.071,0.065,0.06,0.055,0.051,0.047,0.043,0.039,0.036,0.033,0.031,0.028,0.026,0.024,0.022,0.02,0.018,0.017,0.016,0.014,0.013,0.012,0.011,0.01}))/SUM({0.077,0.071,0.065,0.06,0.055,0.051,0.047,0.043,0.039,0.036,0.033,0.031,0.028,0.026,0.024,0.022,0.02,0.018,0.017,0.016,0.014,0.013,0.012,0.011,0.01}),""))</f>
        <v>3528.2061978545871</v>
      </c>
      <c r="AD10" s="404" t="str">
        <f t="shared" si="6"/>
        <v>もみ合い→</v>
      </c>
      <c r="AE10" s="404" t="str">
        <f t="shared" si="7"/>
        <v>なし</v>
      </c>
      <c r="AF10" s="365">
        <f t="array" ref="AF10">IF(C10="","",IFERROR((INDEX(終値!$E:$E,MATCH(TEXT(C10,"0"),終値!$A:$A,0))-INDEX(終値!$E:$CZ,MATCH(TEXT(C10,"0"),終値!$A:$A,0),$AL$2))/INDEX(終値!$E:$CZ,MATCH(TEXT(C10,"0"),終値!$A:$A,0),$AL$2)*100,""))</f>
        <v>-1.6738197424892705</v>
      </c>
      <c r="AG10" s="365">
        <f t="array" ref="AG10">IFERROR((終値!$E$5-INDEX(終値!$E$5:$CZ$5,1,$AL$2))/INDEX(終値!$E$5:$CZ$5,1,$AL$2)*100,"")</f>
        <v>-0.82558151178043282</v>
      </c>
      <c r="AH10" s="366">
        <f t="shared" si="8"/>
        <v>-0.84823823070883764</v>
      </c>
      <c r="AI10" s="364">
        <f t="shared" si="9"/>
        <v>-1</v>
      </c>
    </row>
    <row r="11" spans="1:38"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4375</v>
      </c>
      <c r="F11" s="166">
        <f>IF(C11&lt;&gt;"",_xll.RssMarket(C11,"始値"),"")</f>
        <v>4375</v>
      </c>
      <c r="G11" s="165">
        <f>IF(C11&lt;&gt;"",終値!F162,"")</f>
        <v>4420</v>
      </c>
      <c r="H11" s="166">
        <f>IF(C11&lt;&gt;"",_xll.RssMarket(C11,"高値"),"")</f>
        <v>4375</v>
      </c>
      <c r="I11" s="166">
        <f>IF(C11&lt;&gt;"",_xll.RssMarket(C11,"安値"),"")</f>
        <v>4375</v>
      </c>
      <c r="J11" s="166">
        <f>IF(C11&lt;&gt;"",_xll.RssMarket(C11,"出来高"),"")</f>
        <v>200</v>
      </c>
      <c r="K11" s="166">
        <f>IF(C11&lt;&gt;"",_xll.RssMarket(C11,"年初来高値"),"")</f>
        <v>5320</v>
      </c>
      <c r="L11" s="167">
        <f t="shared" si="0"/>
        <v>-17.763157894736842</v>
      </c>
      <c r="M11" s="166">
        <f>IF(C11&lt;&gt;"",IFERROR(AVERAGE(出来高!E162:I162),""),"")</f>
        <v>1240</v>
      </c>
      <c r="N11" s="166">
        <f>IF(C11&lt;&gt;"",IFERROR(AVERAGE(出来高!E162:AC162),""),"")</f>
        <v>1279.1666666666667</v>
      </c>
      <c r="O11" s="168">
        <f t="shared" si="1"/>
        <v>0.16129032258064516</v>
      </c>
      <c r="P11" s="163" t="str">
        <f t="shared" si="2"/>
        <v>減少↓</v>
      </c>
      <c r="Q11" s="163" t="str">
        <f t="shared" si="3"/>
        <v>様子見▼</v>
      </c>
      <c r="R11" s="166">
        <f t="shared" si="10"/>
        <v>4725</v>
      </c>
      <c r="S11" s="166">
        <f t="shared" si="11"/>
        <v>4200</v>
      </c>
      <c r="T11" s="163">
        <f t="shared" si="4"/>
        <v>5</v>
      </c>
      <c r="U11" s="163" t="str">
        <f t="shared" si="12"/>
        <v>要確認</v>
      </c>
      <c r="V11" s="163" t="str">
        <f t="shared" si="5"/>
        <v>通常</v>
      </c>
      <c r="W11" s="169">
        <f t="array" ref="W11">IF(C11&lt;&gt;"",IFERROR(100-100/(1+SUMPRODUCT((終値!F162:R162&gt;終値!G162:S162)*( 終値!F162:R162-終値!G162:S162))/SUMPRODUCT((終値!F162:R162&lt;終値!G162:S162)*(終値!G162:S162-終値!F162:R162))),50),"")</f>
        <v>50.131648235913637</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-15.781138676717092</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 t="shared" si="13"/>
        <v>-1.0180995475113122</v>
      </c>
      <c r="AA11" s="163" t="str">
        <f t="shared" si="14"/>
        <v>下落▼</v>
      </c>
      <c r="AB11" s="405">
        <f>IF(C11="","",IFERROR(((終値!E13*0.333)+(終値!F13*0.222)+(終値!G13*0.148)+(終値!H13*0.099)+(終値!I13*0.066)+(終値!J13*0.044)+(終値!K13*0.029)+(終値!L13*0.019)+(終値!M13*0.013)+(終値!N13*0.009))/(0.333+0.222+0.148+0.099+0.066+0.044+0.029+0.019+0.013+0.009),""))</f>
        <v>2740.4276985743372</v>
      </c>
      <c r="AC11" s="405">
        <f>IF(C11="","",IFERROR(SUMPRODUCT((終値!E13:AC13),({0.077,0.071,0.065,0.06,0.055,0.051,0.047,0.043,0.039,0.036,0.033,0.031,0.028,0.026,0.024,0.022,0.02,0.018,0.017,0.016,0.014,0.013,0.012,0.011,0.01}))/SUM({0.077,0.071,0.065,0.06,0.055,0.051,0.047,0.043,0.039,0.036,0.033,0.031,0.028,0.026,0.024,0.022,0.02,0.018,0.017,0.016,0.014,0.013,0.012,0.011,0.01}),""))</f>
        <v>2700.0083432657916</v>
      </c>
      <c r="AD11" s="406" t="str">
        <f t="shared" si="6"/>
        <v>パーフェクト▲</v>
      </c>
      <c r="AE11" s="406" t="str">
        <f t="shared" si="7"/>
        <v>なし</v>
      </c>
      <c r="AF11" s="365">
        <f t="array" ref="AF11">IF(C11="","",IFERROR((INDEX(終値!$E:$E,MATCH(TEXT(C11,"0"),終値!$A:$A,0))-INDEX(終値!$E:$CZ,MATCH(TEXT(C11,"0"),終値!$A:$A,0),$AL$2))/INDEX(終値!$E:$CZ,MATCH(TEXT(C11,"0"),終値!$A:$A,0),$AL$2)*100,""))</f>
        <v>1.3904982618771726</v>
      </c>
      <c r="AG11" s="365">
        <f t="array" ref="AG11">IFERROR((終値!$E$5-INDEX(終値!$E$5:$CZ$5,1,$AL$2))/INDEX(終値!$E$5:$CZ$5,1,$AL$2)*100,"")</f>
        <v>-0.82558151178043282</v>
      </c>
      <c r="AH11" s="366">
        <f t="shared" si="8"/>
        <v>2.2160797736576052</v>
      </c>
      <c r="AI11" s="364">
        <f t="shared" si="9"/>
        <v>1</v>
      </c>
    </row>
    <row r="12" spans="1:38"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3335</v>
      </c>
      <c r="F12" s="166">
        <f>IF(C12&lt;&gt;"",_xll.RssMarket(C12,"始値"),"")</f>
        <v>3235</v>
      </c>
      <c r="G12" s="165">
        <f>IF(C12&lt;&gt;"",終値!F167,"")</f>
        <v>3125</v>
      </c>
      <c r="H12" s="166">
        <f>IF(C12&lt;&gt;"",_xll.RssMarket(C12,"高値"),"")</f>
        <v>3350</v>
      </c>
      <c r="I12" s="166">
        <f>IF(C12&lt;&gt;"",_xll.RssMarket(C12,"安値"),"")</f>
        <v>3235</v>
      </c>
      <c r="J12" s="166">
        <f>IF(C12&lt;&gt;"",_xll.RssMarket(C12,"出来高"),"")</f>
        <v>75500</v>
      </c>
      <c r="K12" s="166">
        <f>IF(C12&lt;&gt;"",_xll.RssMarket(C12,"年初来高値"),"")</f>
        <v>4220</v>
      </c>
      <c r="L12" s="167">
        <f t="shared" si="0"/>
        <v>-20.971563981042653</v>
      </c>
      <c r="M12" s="166">
        <f>IF(C12&lt;&gt;"",IFERROR(AVERAGE(出来高!E167:I167),""),"")</f>
        <v>271880</v>
      </c>
      <c r="N12" s="166">
        <f>IF(C12&lt;&gt;"",IFERROR(AVERAGE(出来高!E167:AC167),""),"")</f>
        <v>146075</v>
      </c>
      <c r="O12" s="168">
        <f t="shared" si="1"/>
        <v>0.27769604237163453</v>
      </c>
      <c r="P12" s="163" t="str">
        <f t="shared" si="2"/>
        <v>減少↓</v>
      </c>
      <c r="Q12" s="163" t="str">
        <f t="shared" si="3"/>
        <v>中立→</v>
      </c>
      <c r="R12" s="166">
        <f t="shared" si="10"/>
        <v>3602</v>
      </c>
      <c r="S12" s="166">
        <f t="shared" si="11"/>
        <v>3202</v>
      </c>
      <c r="T12" s="163">
        <f t="shared" si="4"/>
        <v>0</v>
      </c>
      <c r="U12" s="163" t="str">
        <f t="shared" si="12"/>
        <v>除外</v>
      </c>
      <c r="V12" s="163" t="str">
        <f t="shared" si="5"/>
        <v>通常</v>
      </c>
      <c r="W12" s="169">
        <f t="array" ref="W12">IF(C12&lt;&gt;"",IFERROR(100-100/(1+SUMPRODUCT((終値!F167:R167&gt;終値!G167:S167)*( 終値!F167:R167-終値!G167:S167))/SUMPRODUCT((終値!F167:R167&lt;終値!G167:S167)*(終値!G167:S167-終値!F167:R167))),50),"")</f>
        <v>49.428571428571431</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-39.421298046877837</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 t="shared" si="13"/>
        <v>6.72</v>
      </c>
      <c r="AA12" s="163" t="str">
        <f t="shared" si="14"/>
        <v>上昇▲</v>
      </c>
      <c r="AB12" s="403">
        <f>IF(C12="","",IFERROR(((終値!E14*0.333)+(終値!F14*0.222)+(終値!G14*0.148)+(終値!H14*0.099)+(終値!I14*0.066)+(終値!J14*0.044)+(終値!K14*0.029)+(終値!L14*0.019)+(終値!M14*0.013)+(終値!N14*0.009))/(0.333+0.222+0.148+0.099+0.066+0.044+0.029+0.019+0.013+0.009),""))</f>
        <v>5112.4103869653763</v>
      </c>
      <c r="AC12" s="403">
        <f>IF(C12="","",IFERROR(SUMPRODUCT((終値!E14:AC14),({0.077,0.071,0.065,0.06,0.055,0.051,0.047,0.043,0.039,0.036,0.033,0.031,0.028,0.026,0.024,0.022,0.02,0.018,0.017,0.016,0.014,0.013,0.012,0.011,0.01}))/SUM({0.077,0.071,0.065,0.06,0.055,0.051,0.047,0.043,0.039,0.036,0.033,0.031,0.028,0.026,0.024,0.022,0.02,0.018,0.017,0.016,0.014,0.013,0.012,0.011,0.01}),""))</f>
        <v>5122.3492252681745</v>
      </c>
      <c r="AD12" s="404" t="str">
        <f t="shared" si="6"/>
        <v>下降トレンド▼</v>
      </c>
      <c r="AE12" s="404" t="str">
        <f t="shared" si="7"/>
        <v>なし</v>
      </c>
      <c r="AF12" s="365">
        <f t="array" ref="AF12">IF(C12="","",IFERROR((INDEX(終値!$E:$E,MATCH(TEXT(C12,"0"),終値!$A:$A,0))-INDEX(終値!$E:$CZ,MATCH(TEXT(C12,"0"),終値!$A:$A,0),$AL$2))/INDEX(終値!$E:$CZ,MATCH(TEXT(C12,"0"),終値!$A:$A,0),$AL$2)*100,""))</f>
        <v>-4.7128129602356408</v>
      </c>
      <c r="AG12" s="365">
        <f t="array" ref="AG12">IFERROR((終値!$E$5-INDEX(終値!$E$5:$CZ$5,1,$AL$2))/INDEX(終値!$E$5:$CZ$5,1,$AL$2)*100,"")</f>
        <v>-0.82558151178043282</v>
      </c>
      <c r="AH12" s="366">
        <f t="shared" si="8"/>
        <v>-3.887231448455208</v>
      </c>
      <c r="AI12" s="364">
        <f t="shared" si="9"/>
        <v>-2</v>
      </c>
    </row>
    <row r="13" spans="1:38"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2352</v>
      </c>
      <c r="F13" s="166">
        <f>IF(C13&lt;&gt;"",_xll.RssMarket(C13,"始値"),"")</f>
        <v>2381</v>
      </c>
      <c r="G13" s="165">
        <f>IF(C13&lt;&gt;"",終値!F185,"")</f>
        <v>2419</v>
      </c>
      <c r="H13" s="166">
        <f>IF(C13&lt;&gt;"",_xll.RssMarket(C13,"高値"),"")</f>
        <v>2397</v>
      </c>
      <c r="I13" s="166">
        <f>IF(C13&lt;&gt;"",_xll.RssMarket(C13,"安値"),"")</f>
        <v>2347</v>
      </c>
      <c r="J13" s="166">
        <f>IF(C13&lt;&gt;"",_xll.RssMarket(C13,"出来高"),"")</f>
        <v>45000</v>
      </c>
      <c r="K13" s="166">
        <f>IF(C13&lt;&gt;"",_xll.RssMarket(C13,"年初来高値"),"")</f>
        <v>2634</v>
      </c>
      <c r="L13" s="167">
        <f t="shared" si="0"/>
        <v>-10.70615034168565</v>
      </c>
      <c r="M13" s="166">
        <f>IF(C13&lt;&gt;"",IFERROR(AVERAGE(出来高!E185:I185),""),"")</f>
        <v>97340</v>
      </c>
      <c r="N13" s="166">
        <f>IF(C13&lt;&gt;"",IFERROR(AVERAGE(出来高!E185:AC185),""),"")</f>
        <v>75996</v>
      </c>
      <c r="O13" s="168">
        <f t="shared" si="1"/>
        <v>0.4622971029381549</v>
      </c>
      <c r="P13" s="163" t="str">
        <f t="shared" si="2"/>
        <v>減少↓</v>
      </c>
      <c r="Q13" s="163" t="str">
        <f t="shared" si="3"/>
        <v>様子見▼</v>
      </c>
      <c r="R13" s="166">
        <f t="shared" si="10"/>
        <v>2540</v>
      </c>
      <c r="S13" s="166">
        <f t="shared" si="11"/>
        <v>2258</v>
      </c>
      <c r="T13" s="163">
        <f t="shared" si="4"/>
        <v>4</v>
      </c>
      <c r="U13" s="163" t="str">
        <f t="shared" si="12"/>
        <v>要確認</v>
      </c>
      <c r="V13" s="163" t="str">
        <f t="shared" si="5"/>
        <v>通常</v>
      </c>
      <c r="W13" s="169">
        <f t="array" ref="W13">IF(C13&lt;&gt;"",IFERROR(100-100/(1+SUMPRODUCT((終値!F185:R185&gt;終値!G185:S185)*( 終値!F185:R185-終値!G185:S185))/SUMPRODUCT((終値!F185:R185&lt;終値!G185:S185)*(終値!G185:S185-終値!F185:R185))),50),"")</f>
        <v>70.39473684210526</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11.583693216420215</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様子見</v>
      </c>
      <c r="Z13" s="171">
        <f t="shared" si="13"/>
        <v>-2.7697395618023974</v>
      </c>
      <c r="AA13" s="163" t="str">
        <f t="shared" si="14"/>
        <v>下落▼</v>
      </c>
      <c r="AB13" s="405">
        <f>IF(C13="","",IFERROR(((終値!E15*0.333)+(終値!F15*0.222)+(終値!G15*0.148)+(終値!H15*0.099)+(終値!I15*0.066)+(終値!J15*0.044)+(終値!K15*0.029)+(終値!L15*0.019)+(終値!M15*0.013)+(終値!N15*0.009))/(0.333+0.222+0.148+0.099+0.066+0.044+0.029+0.019+0.013+0.009),""))</f>
        <v>3881.5173116089609</v>
      </c>
      <c r="AC13" s="405">
        <f>IF(C13="","",IFERROR(SUMPRODUCT((終値!E15:AC15),({0.077,0.071,0.065,0.06,0.055,0.051,0.047,0.043,0.039,0.036,0.033,0.031,0.028,0.026,0.024,0.022,0.02,0.018,0.017,0.016,0.014,0.013,0.012,0.011,0.01}))/SUM({0.077,0.071,0.065,0.06,0.055,0.051,0.047,0.043,0.039,0.036,0.033,0.031,0.028,0.026,0.024,0.022,0.02,0.018,0.017,0.016,0.014,0.013,0.012,0.011,0.01}),""))</f>
        <v>3906.7640047675791</v>
      </c>
      <c r="AD13" s="406" t="str">
        <f t="shared" si="6"/>
        <v>下降トレンド▼</v>
      </c>
      <c r="AE13" s="406" t="str">
        <f t="shared" si="7"/>
        <v>なし</v>
      </c>
      <c r="AF13" s="365">
        <f t="array" ref="AF13">IF(C13="","",IFERROR((INDEX(終値!$E:$E,MATCH(TEXT(C13,"0"),終値!$A:$A,0))-INDEX(終値!$E:$CZ,MATCH(TEXT(C13,"0"),終値!$A:$A,0),$AL$2))/INDEX(終値!$E:$CZ,MATCH(TEXT(C13,"0"),終値!$A:$A,0),$AL$2)*100,""))</f>
        <v>4.8898678414096919</v>
      </c>
      <c r="AG13" s="365">
        <f t="array" ref="AG13">IFERROR((終値!$E$5-INDEX(終値!$E$5:$CZ$5,1,$AL$2))/INDEX(終値!$E$5:$CZ$5,1,$AL$2)*100,"")</f>
        <v>-0.82558151178043282</v>
      </c>
      <c r="AH13" s="366">
        <f t="shared" si="8"/>
        <v>5.7154493531901247</v>
      </c>
      <c r="AI13" s="364">
        <f t="shared" si="9"/>
        <v>3</v>
      </c>
    </row>
    <row r="14" spans="1:38"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5334</v>
      </c>
      <c r="F14" s="166">
        <f>IF(C14&lt;&gt;"",_xll.RssMarket(C14,"始値"),"")</f>
        <v>5375</v>
      </c>
      <c r="G14" s="165">
        <f>IF(C14&lt;&gt;"",終値!F127,"")</f>
        <v>5421</v>
      </c>
      <c r="H14" s="166">
        <f>IF(C14&lt;&gt;"",_xll.RssMarket(C14,"高値"),"")</f>
        <v>5389</v>
      </c>
      <c r="I14" s="166">
        <f>IF(C14&lt;&gt;"",_xll.RssMarket(C14,"安値"),"")</f>
        <v>5266</v>
      </c>
      <c r="J14" s="166">
        <f>IF(C14&lt;&gt;"",_xll.RssMarket(C14,"出来高"),"")</f>
        <v>357600</v>
      </c>
      <c r="K14" s="166">
        <f>IF(C14&lt;&gt;"",_xll.RssMarket(C14,"年初来高値"),"")</f>
        <v>6828</v>
      </c>
      <c r="L14" s="167">
        <f t="shared" si="0"/>
        <v>-21.880492091388401</v>
      </c>
      <c r="M14" s="166">
        <f>IF(C14&lt;&gt;"",IFERROR(AVERAGE(出来高!E127:I127),""),"")</f>
        <v>1422960</v>
      </c>
      <c r="N14" s="166">
        <f>IF(C14&lt;&gt;"",IFERROR(AVERAGE(出来高!E127:AC127),""),"")</f>
        <v>925724</v>
      </c>
      <c r="O14" s="168">
        <f t="shared" si="1"/>
        <v>0.25130713442401753</v>
      </c>
      <c r="P14" s="163" t="str">
        <f t="shared" si="2"/>
        <v>減少↓</v>
      </c>
      <c r="Q14" s="163" t="str">
        <f t="shared" si="3"/>
        <v>様子見▼</v>
      </c>
      <c r="R14" s="166">
        <f t="shared" si="10"/>
        <v>5761</v>
      </c>
      <c r="S14" s="166">
        <f t="shared" si="11"/>
        <v>5121</v>
      </c>
      <c r="T14" s="163">
        <f t="shared" si="4"/>
        <v>4</v>
      </c>
      <c r="U14" s="163" t="str">
        <f t="shared" si="12"/>
        <v>要確認</v>
      </c>
      <c r="V14" s="163" t="str">
        <f t="shared" si="5"/>
        <v>通常</v>
      </c>
      <c r="W14" s="169">
        <f t="array" ref="W14">IF(C14&lt;&gt;"",IFERROR(100-100/(1+SUMPRODUCT((終値!F127:R127&gt;終値!G127:S127)*( 終値!F127:R127-終値!G127:S127))/SUMPRODUCT((終値!F127:R127&lt;終値!G127:S127)*(終値!G127:S127-終値!F127:R127))),50),"")</f>
        <v>58.970588235294116</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11.876515986775303</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様子見</v>
      </c>
      <c r="Z14" s="171">
        <f t="shared" si="13"/>
        <v>-1.6048699501936912</v>
      </c>
      <c r="AA14" s="163" t="str">
        <f t="shared" si="14"/>
        <v>下落▼</v>
      </c>
      <c r="AB14" s="403">
        <f>IF(C14="","",IFERROR(((終値!E16*0.333)+(終値!F16*0.222)+(終値!G16*0.148)+(終値!H16*0.099)+(終値!I16*0.066)+(終値!J16*0.044)+(終値!K16*0.029)+(終値!L16*0.019)+(終値!M16*0.013)+(終値!N16*0.009))/(0.333+0.222+0.148+0.099+0.066+0.044+0.029+0.019+0.013+0.009),""))</f>
        <v>4776.3156822810588</v>
      </c>
      <c r="AC14" s="403">
        <f>IF(C14="","",IFERROR(SUMPRODUCT((終値!E16:AC16),({0.077,0.071,0.065,0.06,0.055,0.051,0.047,0.043,0.039,0.036,0.033,0.031,0.028,0.026,0.024,0.022,0.02,0.018,0.017,0.016,0.014,0.013,0.012,0.011,0.01}))/SUM({0.077,0.071,0.065,0.06,0.055,0.051,0.047,0.043,0.039,0.036,0.033,0.031,0.028,0.026,0.024,0.022,0.02,0.018,0.017,0.016,0.014,0.013,0.012,0.011,0.01}),""))</f>
        <v>4694.4386174016672</v>
      </c>
      <c r="AD14" s="404" t="str">
        <f t="shared" si="6"/>
        <v>パーフェクト▲</v>
      </c>
      <c r="AE14" s="404" t="str">
        <f t="shared" si="7"/>
        <v>なし</v>
      </c>
      <c r="AF14" s="365">
        <f t="array" ref="AF14">IF(C14="","",IFERROR((INDEX(終値!$E:$E,MATCH(TEXT(C14,"0"),終値!$A:$A,0))-INDEX(終値!$E:$CZ,MATCH(TEXT(C14,"0"),終値!$A:$A,0),$AL$2))/INDEX(終値!$E:$CZ,MATCH(TEXT(C14,"0"),終値!$A:$A,0),$AL$2)*100,""))</f>
        <v>-1.6108365367014459</v>
      </c>
      <c r="AG14" s="365">
        <f t="array" ref="AG14">IFERROR((終値!$E$5-INDEX(終値!$E$5:$CZ$5,1,$AL$2))/INDEX(終値!$E$5:$CZ$5,1,$AL$2)*100,"")</f>
        <v>-0.82558151178043282</v>
      </c>
      <c r="AH14" s="366">
        <f t="shared" si="8"/>
        <v>-0.78525502492101307</v>
      </c>
      <c r="AI14" s="364">
        <f t="shared" si="9"/>
        <v>-1</v>
      </c>
    </row>
    <row r="15" spans="1:38"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5956</v>
      </c>
      <c r="F15" s="166">
        <f>IF(C15&lt;&gt;"",_xll.RssMarket(C15,"始値"),"")</f>
        <v>6059</v>
      </c>
      <c r="G15" s="165">
        <f>IF(C15&lt;&gt;"",終値!F115,"")</f>
        <v>6181</v>
      </c>
      <c r="H15" s="166">
        <f>IF(C15&lt;&gt;"",_xll.RssMarket(C15,"高値"),"")</f>
        <v>6079</v>
      </c>
      <c r="I15" s="166">
        <f>IF(C15&lt;&gt;"",_xll.RssMarket(C15,"安値"),"")</f>
        <v>5901</v>
      </c>
      <c r="J15" s="166">
        <f>IF(C15&lt;&gt;"",_xll.RssMarket(C15,"出来高"),"")</f>
        <v>481100</v>
      </c>
      <c r="K15" s="166">
        <f>IF(C15&lt;&gt;"",_xll.RssMarket(C15,"年初来高値"),"")</f>
        <v>7967</v>
      </c>
      <c r="L15" s="167">
        <f t="shared" si="0"/>
        <v>-25.241621689469063</v>
      </c>
      <c r="M15" s="166">
        <f>IF(C15&lt;&gt;"",IFERROR(AVERAGE(出来高!E115:I115),""),"")</f>
        <v>1257120</v>
      </c>
      <c r="N15" s="166">
        <f>IF(C15&lt;&gt;"",IFERROR(AVERAGE(出来高!E115:AC115),""),"")</f>
        <v>1045116</v>
      </c>
      <c r="O15" s="168">
        <f t="shared" si="1"/>
        <v>0.38270014000254549</v>
      </c>
      <c r="P15" s="163" t="str">
        <f t="shared" si="2"/>
        <v>減少↓</v>
      </c>
      <c r="Q15" s="163" t="str">
        <f t="shared" si="3"/>
        <v>様子見▼</v>
      </c>
      <c r="R15" s="166">
        <f t="shared" si="10"/>
        <v>6432</v>
      </c>
      <c r="S15" s="166">
        <f t="shared" si="11"/>
        <v>5718</v>
      </c>
      <c r="T15" s="163">
        <f t="shared" si="4"/>
        <v>0</v>
      </c>
      <c r="U15" s="163" t="str">
        <f t="shared" si="12"/>
        <v>除外</v>
      </c>
      <c r="V15" s="163" t="str">
        <f t="shared" si="5"/>
        <v>通常</v>
      </c>
      <c r="W15" s="169">
        <f t="array" ref="W15">IF(C15&lt;&gt;"",IFERROR(100-100/(1+SUMPRODUCT((終値!F115:R115&gt;終値!G115:S115)*( 終値!F115:R115-終値!G115:S115))/SUMPRODUCT((終値!F115:R115&lt;終値!G115:S115)*(終値!G115:S115-終値!F115:R115))),50),"")</f>
        <v>74.21052631578948</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21.276660868736144</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見送り</v>
      </c>
      <c r="Z15" s="171">
        <f t="shared" si="13"/>
        <v>-3.6401876718977508</v>
      </c>
      <c r="AA15" s="163" t="str">
        <f t="shared" si="14"/>
        <v>下落▼</v>
      </c>
      <c r="AB15" s="405">
        <f>IF(C15="","",IFERROR(((終値!E17*0.333)+(終値!F17*0.222)+(終値!G17*0.148)+(終値!H17*0.099)+(終値!I17*0.066)+(終値!J17*0.044)+(終値!K17*0.029)+(終値!L17*0.019)+(終値!M17*0.013)+(終値!N17*0.009))/(0.333+0.222+0.148+0.099+0.066+0.044+0.029+0.019+0.013+0.009),""))</f>
        <v>5554.7902240325848</v>
      </c>
      <c r="AC15" s="405">
        <f>IF(C15="","",IFERROR(SUMPRODUCT((終値!E17:AC17),({0.077,0.071,0.065,0.06,0.055,0.051,0.047,0.043,0.039,0.036,0.033,0.031,0.028,0.026,0.024,0.022,0.02,0.018,0.017,0.016,0.014,0.013,0.012,0.011,0.01}))/SUM({0.077,0.071,0.065,0.06,0.055,0.051,0.047,0.043,0.039,0.036,0.033,0.031,0.028,0.026,0.024,0.022,0.02,0.018,0.017,0.016,0.014,0.013,0.012,0.011,0.01}),""))</f>
        <v>6079.4886769964232</v>
      </c>
      <c r="AD15" s="406" t="str">
        <f t="shared" si="6"/>
        <v>もみ合い→</v>
      </c>
      <c r="AE15" s="406" t="str">
        <f t="shared" si="7"/>
        <v>なし</v>
      </c>
      <c r="AF15" s="365">
        <f t="array" ref="AF15">IF(C15="","",IFERROR((INDEX(終値!$E:$E,MATCH(TEXT(C15,"0"),終値!$A:$A,0))-INDEX(終値!$E:$CZ,MATCH(TEXT(C15,"0"),終値!$A:$A,0),$AL$2))/INDEX(終値!$E:$CZ,MATCH(TEXT(C15,"0"),終値!$A:$A,0),$AL$2)*100,""))</f>
        <v>-2.0282330034074314</v>
      </c>
      <c r="AG15" s="365">
        <f t="array" ref="AG15">IFERROR((終値!$E$5-INDEX(終値!$E$5:$CZ$5,1,$AL$2))/INDEX(終値!$E$5:$CZ$5,1,$AL$2)*100,"")</f>
        <v>-0.82558151178043282</v>
      </c>
      <c r="AH15" s="366">
        <f t="shared" si="8"/>
        <v>-1.2026514916269986</v>
      </c>
      <c r="AI15" s="364">
        <f t="shared" si="9"/>
        <v>-1</v>
      </c>
    </row>
    <row r="16" spans="1:38"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1192.5</v>
      </c>
      <c r="F16" s="166">
        <f>IF(C16&lt;&gt;"",_xll.RssMarket(C16,"始値"),"")</f>
        <v>1192</v>
      </c>
      <c r="G16" s="165">
        <f>IF(C16&lt;&gt;"",終値!F186,"")</f>
        <v>1190.5</v>
      </c>
      <c r="H16" s="166">
        <f>IF(C16&lt;&gt;"",_xll.RssMarket(C16,"高値"),"")</f>
        <v>1208</v>
      </c>
      <c r="I16" s="166">
        <f>IF(C16&lt;&gt;"",_xll.RssMarket(C16,"安値"),"")</f>
        <v>1188.5</v>
      </c>
      <c r="J16" s="166">
        <f>IF(C16&lt;&gt;"",_xll.RssMarket(C16,"出来高"),"")</f>
        <v>1241700</v>
      </c>
      <c r="K16" s="166">
        <f>IF(C16&lt;&gt;"",_xll.RssMarket(C16,"年初来高値"),"")</f>
        <v>1323</v>
      </c>
      <c r="L16" s="167">
        <f t="shared" si="0"/>
        <v>-9.8639455782312915</v>
      </c>
      <c r="M16" s="166">
        <f>IF(C16&lt;&gt;"",IFERROR(AVERAGE(出来高!E186:I186),""),"")</f>
        <v>3982480</v>
      </c>
      <c r="N16" s="166">
        <f>IF(C16&lt;&gt;"",IFERROR(AVERAGE(出来高!E186:AC186),""),"")</f>
        <v>2722796</v>
      </c>
      <c r="O16" s="168">
        <f t="shared" si="1"/>
        <v>0.31179064301641191</v>
      </c>
      <c r="P16" s="163" t="str">
        <f t="shared" si="2"/>
        <v>減少↓</v>
      </c>
      <c r="Q16" s="163" t="str">
        <f t="shared" si="3"/>
        <v>中立→</v>
      </c>
      <c r="R16" s="166">
        <f t="shared" si="10"/>
        <v>1288</v>
      </c>
      <c r="S16" s="166">
        <f t="shared" si="11"/>
        <v>1145</v>
      </c>
      <c r="T16" s="163">
        <f t="shared" si="4"/>
        <v>5</v>
      </c>
      <c r="U16" s="163" t="str">
        <f t="shared" si="12"/>
        <v>要確認</v>
      </c>
      <c r="V16" s="163" t="str">
        <f t="shared" si="5"/>
        <v>通常</v>
      </c>
      <c r="W16" s="169">
        <f t="array" ref="W16">IF(C16&lt;&gt;"",IFERROR(100-100/(1+SUMPRODUCT((終値!F186:R186&gt;終値!G186:S186)*( 終値!F186:R186-終値!G186:S186))/SUMPRODUCT((終値!F186:R186&lt;終値!G186:S186)*(終値!G186:S186-終値!F186:R186))),50),"")</f>
        <v>78.71148459383754</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13.686721607713025</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 t="shared" si="13"/>
        <v>0.16799664006719867</v>
      </c>
      <c r="AA16" s="163" t="str">
        <f t="shared" si="14"/>
        <v>上昇▲</v>
      </c>
      <c r="AB16" s="403">
        <f>IF(C16="","",IFERROR(((終値!E18*0.333)+(終値!F18*0.222)+(終値!G18*0.148)+(終値!H18*0.099)+(終値!I18*0.066)+(終値!J18*0.044)+(終値!K18*0.029)+(終値!L18*0.019)+(終値!M18*0.013)+(終値!N18*0.009))/(0.333+0.222+0.148+0.099+0.066+0.044+0.029+0.019+0.013+0.009),""))</f>
        <v>1694.7657841140528</v>
      </c>
      <c r="AC16" s="403">
        <f>IF(C16="","",IFERROR(SUMPRODUCT((終値!E18:AC18),({0.077,0.071,0.065,0.06,0.055,0.051,0.047,0.043,0.039,0.036,0.033,0.031,0.028,0.026,0.024,0.022,0.02,0.018,0.017,0.016,0.014,0.013,0.012,0.011,0.01}))/SUM({0.077,0.071,0.065,0.06,0.055,0.051,0.047,0.043,0.039,0.036,0.033,0.031,0.028,0.026,0.024,0.022,0.02,0.018,0.017,0.016,0.014,0.013,0.012,0.011,0.01}),""))</f>
        <v>1625.6245530393319</v>
      </c>
      <c r="AD16" s="404" t="str">
        <f t="shared" si="6"/>
        <v>もみ合い→</v>
      </c>
      <c r="AE16" s="404" t="str">
        <f t="shared" si="7"/>
        <v>なし</v>
      </c>
      <c r="AF16" s="365">
        <f t="array" ref="AF16">IF(C16="","",IFERROR((INDEX(終値!$E:$E,MATCH(TEXT(C16,"0"),終値!$A:$A,0))-INDEX(終値!$E:$CZ,MATCH(TEXT(C16,"0"),終値!$A:$A,0),$AL$2))/INDEX(終値!$E:$CZ,MATCH(TEXT(C16,"0"),終値!$A:$A,0),$AL$2)*100,""))</f>
        <v>13</v>
      </c>
      <c r="AG16" s="365">
        <f t="array" ref="AG16">IFERROR((終値!$E$5-INDEX(終値!$E$5:$CZ$5,1,$AL$2))/INDEX(終値!$E$5:$CZ$5,1,$AL$2)*100,"")</f>
        <v>-0.82558151178043282</v>
      </c>
      <c r="AH16" s="366">
        <f t="shared" si="8"/>
        <v>13.825581511780433</v>
      </c>
      <c r="AI16" s="364">
        <f t="shared" si="9"/>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916.6</v>
      </c>
      <c r="F17" s="166">
        <f>IF(C17&lt;&gt;"",_xll.RssMarket(C17,"始値"),"")</f>
        <v>924.7</v>
      </c>
      <c r="G17" s="165">
        <f>IF(C17&lt;&gt;"",終値!F181,"")</f>
        <v>940</v>
      </c>
      <c r="H17" s="166">
        <f>IF(C17&lt;&gt;"",_xll.RssMarket(C17,"高値"),"")</f>
        <v>939.6</v>
      </c>
      <c r="I17" s="166">
        <f>IF(C17&lt;&gt;"",_xll.RssMarket(C17,"安値"),"")</f>
        <v>915.6</v>
      </c>
      <c r="J17" s="166">
        <f>IF(C17&lt;&gt;"",_xll.RssMarket(C17,"出来高"),"")</f>
        <v>446700</v>
      </c>
      <c r="K17" s="166">
        <f>IF(C17&lt;&gt;"",_xll.RssMarket(C17,"年初来高値"),"")</f>
        <v>1142</v>
      </c>
      <c r="L17" s="167">
        <f t="shared" si="0"/>
        <v>-19.737302977232922</v>
      </c>
      <c r="M17" s="166">
        <f>IF(C17&lt;&gt;"",IFERROR(AVERAGE(出来高!E181:I181),""),"")</f>
        <v>1329980</v>
      </c>
      <c r="N17" s="166">
        <f>IF(C17&lt;&gt;"",IFERROR(AVERAGE(出来高!E181:AC181),""),"")</f>
        <v>918732</v>
      </c>
      <c r="O17" s="168">
        <f t="shared" si="1"/>
        <v>0.33586971232650115</v>
      </c>
      <c r="P17" s="163" t="str">
        <f t="shared" si="2"/>
        <v>減少↓</v>
      </c>
      <c r="Q17" s="163" t="str">
        <f t="shared" si="3"/>
        <v>様子見▼</v>
      </c>
      <c r="R17" s="166">
        <f t="shared" si="10"/>
        <v>990</v>
      </c>
      <c r="S17" s="166">
        <f t="shared" si="11"/>
        <v>880</v>
      </c>
      <c r="T17" s="163">
        <f t="shared" si="4"/>
        <v>4</v>
      </c>
      <c r="U17" s="163" t="str">
        <f t="shared" si="12"/>
        <v>要確認</v>
      </c>
      <c r="V17" s="163" t="str">
        <f t="shared" si="5"/>
        <v>通常</v>
      </c>
      <c r="W17" s="169">
        <f t="array" ref="W17">IF(C17&lt;&gt;"",IFERROR(100-100/(1+SUMPRODUCT((終値!F181:R181&gt;終値!G181:S181)*( 終値!F181:R181-終値!G181:S181))/SUMPRODUCT((終値!F181:R181&lt;終値!G181:S181)*(終値!G181:S181-終値!F181:R181))),50),"")</f>
        <v>63.209302325581397</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8.5646742742968627</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 t="shared" si="13"/>
        <v>-2.4893617021276571</v>
      </c>
      <c r="AA17" s="163" t="str">
        <f t="shared" si="14"/>
        <v>下落▼</v>
      </c>
      <c r="AB17" s="405">
        <f>IF(C17="","",IFERROR(((終値!E19*0.333)+(終値!F19*0.222)+(終値!G19*0.148)+(終値!H19*0.099)+(終値!I19*0.066)+(終値!J19*0.044)+(終値!K19*0.029)+(終値!L19*0.019)+(終値!M19*0.013)+(終値!N19*0.009))/(0.333+0.222+0.148+0.099+0.066+0.044+0.029+0.019+0.013+0.009),""))</f>
        <v>8135.6690427698559</v>
      </c>
      <c r="AC17" s="405">
        <f>IF(C17="","",IFERROR(SUMPRODUCT((終値!E19:AC19),({0.077,0.071,0.065,0.06,0.055,0.051,0.047,0.043,0.039,0.036,0.033,0.031,0.028,0.026,0.024,0.022,0.02,0.018,0.017,0.016,0.014,0.013,0.012,0.011,0.01}))/SUM({0.077,0.071,0.065,0.06,0.055,0.051,0.047,0.043,0.039,0.036,0.033,0.031,0.028,0.026,0.024,0.022,0.02,0.018,0.017,0.016,0.014,0.013,0.012,0.011,0.01}),""))</f>
        <v>8241.5351609058362</v>
      </c>
      <c r="AD17" s="406" t="str">
        <f t="shared" si="6"/>
        <v>下降トレンド▼</v>
      </c>
      <c r="AE17" s="406" t="str">
        <f t="shared" si="7"/>
        <v>なし</v>
      </c>
      <c r="AF17" s="365">
        <f t="array" ref="AF17">IF(C17="","",IFERROR((INDEX(終値!$E:$E,MATCH(TEXT(C17,"0"),終値!$A:$A,0))-INDEX(終値!$E:$CZ,MATCH(TEXT(C17,"0"),終値!$A:$A,0),$AL$2))/INDEX(終値!$E:$CZ,MATCH(TEXT(C17,"0"),終値!$A:$A,0),$AL$2)*100,""))</f>
        <v>6.1389521640091091</v>
      </c>
      <c r="AG17" s="365">
        <f t="array" ref="AG17">IFERROR((終値!$E$5-INDEX(終値!$E$5:$CZ$5,1,$AL$2))/INDEX(終値!$E$5:$CZ$5,1,$AL$2)*100,"")</f>
        <v>-0.82558151178043282</v>
      </c>
      <c r="AH17" s="366">
        <f t="shared" si="8"/>
        <v>6.964533675789542</v>
      </c>
      <c r="AI17" s="364">
        <f t="shared" si="9"/>
        <v>3</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525.20000000000005</v>
      </c>
      <c r="F18" s="166">
        <f>IF(C18&lt;&gt;"",_xll.RssMarket(C18,"始値"),"")</f>
        <v>527.79999999999995</v>
      </c>
      <c r="G18" s="165">
        <f>IF(C18&lt;&gt;"",終値!F114,"")</f>
        <v>526.1</v>
      </c>
      <c r="H18" s="166">
        <f>IF(C18&lt;&gt;"",_xll.RssMarket(C18,"高値"),"")</f>
        <v>534.29999999999995</v>
      </c>
      <c r="I18" s="166">
        <f>IF(C18&lt;&gt;"",_xll.RssMarket(C18,"安値"),"")</f>
        <v>518.79999999999995</v>
      </c>
      <c r="J18" s="166">
        <f>IF(C18&lt;&gt;"",_xll.RssMarket(C18,"出来高"),"")</f>
        <v>20332400</v>
      </c>
      <c r="K18" s="166">
        <f>IF(C18&lt;&gt;"",_xll.RssMarket(C18,"年初来高値"),"")</f>
        <v>760</v>
      </c>
      <c r="L18" s="167">
        <f t="shared" si="0"/>
        <v>-30.894736842105257</v>
      </c>
      <c r="M18" s="166">
        <f>IF(C18&lt;&gt;"",IFERROR(AVERAGE(出来高!E114:I114),""),"")</f>
        <v>45583900</v>
      </c>
      <c r="N18" s="166">
        <f>IF(C18&lt;&gt;"",IFERROR(AVERAGE(出来高!E114:AC114),""),"")</f>
        <v>35103644</v>
      </c>
      <c r="O18" s="168">
        <f t="shared" si="1"/>
        <v>0.44604344955126701</v>
      </c>
      <c r="P18" s="163" t="str">
        <f t="shared" si="2"/>
        <v>減少↓</v>
      </c>
      <c r="Q18" s="163" t="str">
        <f t="shared" si="3"/>
        <v>様子見▼</v>
      </c>
      <c r="R18" s="166">
        <f t="shared" si="10"/>
        <v>567</v>
      </c>
      <c r="S18" s="166">
        <f t="shared" si="11"/>
        <v>504</v>
      </c>
      <c r="T18" s="163">
        <f t="shared" si="4"/>
        <v>4</v>
      </c>
      <c r="U18" s="163" t="str">
        <f t="shared" si="12"/>
        <v>要確認</v>
      </c>
      <c r="V18" s="163" t="str">
        <f t="shared" si="5"/>
        <v>通常</v>
      </c>
      <c r="W18" s="169">
        <f t="array" ref="W18">IF(C18&lt;&gt;"",IFERROR(100-100/(1+SUMPRODUCT((終値!F114:R114&gt;終値!G114:S114)*( 終値!F114:R114-終値!G114:S114))/SUMPRODUCT((終値!F114:R114&lt;終値!G114:S114)*(終値!G114:S114-終値!F114:R114))),50),"")</f>
        <v>69.318181818181813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6.6040220666375262</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様子見</v>
      </c>
      <c r="Z18" s="171">
        <f t="shared" si="13"/>
        <v>-0.17107013875688601</v>
      </c>
      <c r="AA18" s="163" t="str">
        <f t="shared" si="14"/>
        <v>下落▼</v>
      </c>
      <c r="AB18" s="403">
        <f>IF(C18="","",IFERROR(((終値!E20*0.333)+(終値!F20*0.222)+(終値!G20*0.148)+(終値!H20*0.099)+(終値!I20*0.066)+(終値!J20*0.044)+(終値!K20*0.029)+(終値!L20*0.019)+(終値!M20*0.013)+(終値!N20*0.009))/(0.333+0.222+0.148+0.099+0.066+0.044+0.029+0.019+0.013+0.009),""))</f>
        <v>2394.3767820773924</v>
      </c>
      <c r="AC18" s="403">
        <f>IF(C18="","",IFERROR(SUMPRODUCT((終値!E20:AC20),({0.077,0.071,0.065,0.06,0.055,0.051,0.047,0.043,0.039,0.036,0.033,0.031,0.028,0.026,0.024,0.022,0.02,0.018,0.017,0.016,0.014,0.013,0.012,0.011,0.01}))/SUM({0.077,0.071,0.065,0.06,0.055,0.051,0.047,0.043,0.039,0.036,0.033,0.031,0.028,0.026,0.024,0.022,0.02,0.018,0.017,0.016,0.014,0.013,0.012,0.011,0.01}),""))</f>
        <v>2231.9761620977351</v>
      </c>
      <c r="AD18" s="404" t="str">
        <f t="shared" si="6"/>
        <v>もみ合い→</v>
      </c>
      <c r="AE18" s="404" t="str">
        <f t="shared" si="7"/>
        <v>なし</v>
      </c>
      <c r="AF18" s="365">
        <f t="array" ref="AF18">IF(C18="","",IFERROR((INDEX(終値!$E:$E,MATCH(TEXT(C18,"0"),終値!$A:$A,0))-INDEX(終値!$E:$CZ,MATCH(TEXT(C18,"0"),終値!$A:$A,0),$AL$2))/INDEX(終値!$E:$CZ,MATCH(TEXT(C18,"0"),終値!$A:$A,0),$AL$2)*100,""))</f>
        <v>13.16017316017315</v>
      </c>
      <c r="AG18" s="365">
        <f t="array" ref="AG18">IFERROR((終値!$E$5-INDEX(終値!$E$5:$CZ$5,1,$AL$2))/INDEX(終値!$E$5:$CZ$5,1,$AL$2)*100,"")</f>
        <v>-0.82558151178043282</v>
      </c>
      <c r="AH18" s="366">
        <f t="shared" si="8"/>
        <v>13.985754671953583</v>
      </c>
      <c r="AI18" s="364">
        <f t="shared" si="9"/>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4185</v>
      </c>
      <c r="F19" s="166">
        <f>IF(C19&lt;&gt;"",_xll.RssMarket(C19,"始値"),"")</f>
        <v>4218</v>
      </c>
      <c r="G19" s="165">
        <f>IF(C19&lt;&gt;"",終値!F113,"")</f>
        <v>4151</v>
      </c>
      <c r="H19" s="166">
        <f>IF(C19&lt;&gt;"",_xll.RssMarket(C19,"高値"),"")</f>
        <v>4274</v>
      </c>
      <c r="I19" s="166">
        <f>IF(C19&lt;&gt;"",_xll.RssMarket(C19,"安値"),"")</f>
        <v>4151</v>
      </c>
      <c r="J19" s="166">
        <f>IF(C19&lt;&gt;"",_xll.RssMarket(C19,"出来高"),"")</f>
        <v>182600</v>
      </c>
      <c r="K19" s="166">
        <f>IF(C19&lt;&gt;"",_xll.RssMarket(C19,"年初来高値"),"")</f>
        <v>4302</v>
      </c>
      <c r="L19" s="167">
        <f t="shared" si="0"/>
        <v>-2.7196652719665275</v>
      </c>
      <c r="M19" s="166">
        <f>IF(C19&lt;&gt;"",IFERROR(AVERAGE(出来高!E113:I113),""),"")</f>
        <v>698500</v>
      </c>
      <c r="N19" s="166">
        <f>IF(C19&lt;&gt;"",IFERROR(AVERAGE(出来高!E113:AC113),""),"")</f>
        <v>519916</v>
      </c>
      <c r="O19" s="168">
        <f t="shared" si="1"/>
        <v>0.26141732283464569</v>
      </c>
      <c r="P19" s="163" t="str">
        <f t="shared" si="2"/>
        <v>減少↓</v>
      </c>
      <c r="Q19" s="163" t="str">
        <f t="shared" si="3"/>
        <v>中立→</v>
      </c>
      <c r="R19" s="166">
        <f t="shared" si="10"/>
        <v>4520</v>
      </c>
      <c r="S19" s="166">
        <f t="shared" si="11"/>
        <v>4018</v>
      </c>
      <c r="T19" s="163">
        <f t="shared" si="4"/>
        <v>8</v>
      </c>
      <c r="U19" s="163" t="str">
        <f t="shared" si="12"/>
        <v>要確認</v>
      </c>
      <c r="V19" s="163" t="str">
        <f t="shared" si="5"/>
        <v>高値圏</v>
      </c>
      <c r="W19" s="169">
        <f t="array" ref="W19">IF(C19&lt;&gt;"",IFERROR(100-100/(1+SUMPRODUCT((終値!F113:R113&gt;終値!G113:S113)*( 終値!F113:R113-終値!G113:S113))/SUMPRODUCT((終値!F113:R113&lt;終値!G113:S113)*(終値!G113:S113-終値!F113:R113))),50),"")</f>
        <v>63.472378804960542</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55.797521483529181</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 t="shared" si="13"/>
        <v>0.81907973982172977</v>
      </c>
      <c r="AA19" s="163" t="str">
        <f t="shared" si="14"/>
        <v>上昇▲</v>
      </c>
      <c r="AB19" s="405">
        <f>IF(C19="","",IFERROR(((終値!E21*0.333)+(終値!F21*0.222)+(終値!G21*0.148)+(終値!H21*0.099)+(終値!I21*0.066)+(終値!J21*0.044)+(終値!K21*0.029)+(終値!L21*0.019)+(終値!M21*0.013)+(終値!N21*0.009))/(0.333+0.222+0.148+0.099+0.066+0.044+0.029+0.019+0.013+0.009),""))</f>
        <v>6414.9022403258632</v>
      </c>
      <c r="AC19" s="405">
        <f>IF(C19="","",IFERROR(SUMPRODUCT((終値!E21:AC21),({0.077,0.071,0.065,0.06,0.055,0.051,0.047,0.043,0.039,0.036,0.033,0.031,0.028,0.026,0.024,0.022,0.02,0.018,0.017,0.016,0.014,0.013,0.012,0.011,0.01}))/SUM({0.077,0.071,0.065,0.06,0.055,0.051,0.047,0.043,0.039,0.036,0.033,0.031,0.028,0.026,0.024,0.022,0.02,0.018,0.017,0.016,0.014,0.013,0.012,0.011,0.01}),""))</f>
        <v>6908.3230035756824</v>
      </c>
      <c r="AD19" s="406" t="str">
        <f t="shared" si="6"/>
        <v>下降トレンド▼</v>
      </c>
      <c r="AE19" s="406" t="str">
        <f t="shared" si="7"/>
        <v>なし</v>
      </c>
      <c r="AF19" s="365">
        <f t="array" ref="AF19">IF(C19="","",IFERROR((INDEX(終値!$E:$E,MATCH(TEXT(C19,"0"),終値!$A:$A,0))-INDEX(終値!$E:$CZ,MATCH(TEXT(C19,"0"),終値!$A:$A,0),$AL$2))/INDEX(終値!$E:$CZ,MATCH(TEXT(C19,"0"),終値!$A:$A,0),$AL$2)*100,""))</f>
        <v>22.43211334120425</v>
      </c>
      <c r="AG19" s="365">
        <f t="array" ref="AG19">IFERROR((終値!$E$5-INDEX(終値!$E$5:$CZ$5,1,$AL$2))/INDEX(終値!$E$5:$CZ$5,1,$AL$2)*100,"")</f>
        <v>-0.82558151178043282</v>
      </c>
      <c r="AH19" s="366">
        <f t="shared" si="8"/>
        <v>23.257694852984685</v>
      </c>
      <c r="AI19" s="364">
        <f t="shared" si="9"/>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115</v>
      </c>
      <c r="F20" s="166">
        <f>IF(C20&lt;&gt;"",_xll.RssMarket(C20,"始値"),"")</f>
        <v>114</v>
      </c>
      <c r="G20" s="165">
        <f>IF(C20&lt;&gt;"",終値!F70,"")</f>
        <v>116</v>
      </c>
      <c r="H20" s="166">
        <f>IF(C20&lt;&gt;"",_xll.RssMarket(C20,"高値"),"")</f>
        <v>116</v>
      </c>
      <c r="I20" s="166">
        <f>IF(C20&lt;&gt;"",_xll.RssMarket(C20,"安値"),"")</f>
        <v>113</v>
      </c>
      <c r="J20" s="166">
        <f>IF(C20&lt;&gt;"",_xll.RssMarket(C20,"出来高"),"")</f>
        <v>1218700</v>
      </c>
      <c r="K20" s="166">
        <f>IF(C20&lt;&gt;"",_xll.RssMarket(C20,"年初来高値"),"")</f>
        <v>155</v>
      </c>
      <c r="L20" s="167">
        <f t="shared" si="0"/>
        <v>-25.806451612903224</v>
      </c>
      <c r="M20" s="166">
        <f>IF(C20&lt;&gt;"",IFERROR(AVERAGE(出来高!E70:I70),""),"")</f>
        <v>1521280</v>
      </c>
      <c r="N20" s="166">
        <f>IF(C20&lt;&gt;"",IFERROR(AVERAGE(出来高!E70:AC70),""),"")</f>
        <v>1443354.1666666667</v>
      </c>
      <c r="O20" s="168">
        <f t="shared" si="1"/>
        <v>0.80110170382835511</v>
      </c>
      <c r="P20" s="163" t="str">
        <f t="shared" si="2"/>
        <v>減少↓</v>
      </c>
      <c r="Q20" s="163" t="str">
        <f t="shared" si="3"/>
        <v>様子見▼</v>
      </c>
      <c r="R20" s="166">
        <f t="shared" si="10"/>
        <v>124</v>
      </c>
      <c r="S20" s="166">
        <f t="shared" si="11"/>
        <v>110</v>
      </c>
      <c r="T20" s="163">
        <f t="shared" si="4"/>
        <v>4</v>
      </c>
      <c r="U20" s="163" t="str">
        <f t="shared" si="12"/>
        <v>要確認</v>
      </c>
      <c r="V20" s="163" t="str">
        <f t="shared" si="5"/>
        <v>通常</v>
      </c>
      <c r="W20" s="169">
        <f t="array" ref="W20">IF(C20&lt;&gt;"",IFERROR(100-100/(1+SUMPRODUCT((終値!F70:R70&gt;終値!G70:S70)*( 終値!F70:R70-終値!G70:S70))/SUMPRODUCT((終値!F70:R70&lt;終値!G70:S70)*(終値!G70:S70-終値!F70:R70))),50),"")</f>
        <v>50</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-0.52050637042813719</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様子見</v>
      </c>
      <c r="Z20" s="171">
        <f t="shared" si="13"/>
        <v>-0.86206896551724133</v>
      </c>
      <c r="AA20" s="163" t="str">
        <f t="shared" si="14"/>
        <v>下落▼</v>
      </c>
      <c r="AB20" s="403">
        <f>IF(C20="","",IFERROR(((終値!E22*0.333)+(終値!F22*0.222)+(終値!G22*0.148)+(終値!H22*0.099)+(終値!I22*0.066)+(終値!J22*0.044)+(終値!K22*0.029)+(終値!L22*0.019)+(終値!M22*0.013)+(終値!N22*0.009))/(0.333+0.222+0.148+0.099+0.066+0.044+0.029+0.019+0.013+0.009),""))</f>
        <v>4859.6405295315672</v>
      </c>
      <c r="AC20" s="403">
        <f>IF(C20="","",IFERROR(SUMPRODUCT((終値!E22:AC22),({0.077,0.071,0.065,0.06,0.055,0.051,0.047,0.043,0.039,0.036,0.033,0.031,0.028,0.026,0.024,0.022,0.02,0.018,0.017,0.016,0.014,0.013,0.012,0.011,0.01}))/SUM({0.077,0.071,0.065,0.06,0.055,0.051,0.047,0.043,0.039,0.036,0.033,0.031,0.028,0.026,0.024,0.022,0.02,0.018,0.017,0.016,0.014,0.013,0.012,0.011,0.01}),""))</f>
        <v>4764.3969010727042</v>
      </c>
      <c r="AD20" s="404" t="str">
        <f t="shared" si="6"/>
        <v>もみ合い→</v>
      </c>
      <c r="AE20" s="404" t="str">
        <f t="shared" si="7"/>
        <v>なし</v>
      </c>
      <c r="AF20" s="365">
        <f t="array" ref="AF20">IF(C20="","",IFERROR((INDEX(終値!$E:$E,MATCH(TEXT(C20,"0"),終値!$A:$A,0))-INDEX(終値!$E:$CZ,MATCH(TEXT(C20,"0"),終値!$A:$A,0),$AL$2))/INDEX(終値!$E:$CZ,MATCH(TEXT(C20,"0"),終値!$A:$A,0),$AL$2)*100,""))</f>
        <v>6.481481481481481</v>
      </c>
      <c r="AG20" s="365">
        <f t="array" ref="AG20">IFERROR((終値!$E$5-INDEX(終値!$E$5:$CZ$5,1,$AL$2))/INDEX(終値!$E$5:$CZ$5,1,$AL$2)*100,"")</f>
        <v>-0.82558151178043282</v>
      </c>
      <c r="AH20" s="366">
        <f t="shared" si="8"/>
        <v>7.3070629932619138</v>
      </c>
      <c r="AI20" s="364">
        <f t="shared" si="9"/>
        <v>3</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1023</v>
      </c>
      <c r="F21" s="166">
        <f>IF(C21&lt;&gt;"",_xll.RssMarket(C21,"始値"),"")</f>
        <v>1010</v>
      </c>
      <c r="G21" s="165">
        <f>IF(C21&lt;&gt;"",終値!F126,"")</f>
        <v>1027</v>
      </c>
      <c r="H21" s="166">
        <f>IF(C21&lt;&gt;"",_xll.RssMarket(C21,"高値"),"")</f>
        <v>1025</v>
      </c>
      <c r="I21" s="166">
        <f>IF(C21&lt;&gt;"",_xll.RssMarket(C21,"安値"),"")</f>
        <v>1009</v>
      </c>
      <c r="J21" s="166">
        <f>IF(C21&lt;&gt;"",_xll.RssMarket(C21,"出来高"),"")</f>
        <v>101600</v>
      </c>
      <c r="K21" s="166">
        <f>IF(C21&lt;&gt;"",_xll.RssMarket(C21,"年初来高値"),"")</f>
        <v>1343</v>
      </c>
      <c r="L21" s="167">
        <f t="shared" si="0"/>
        <v>-23.827252419955325</v>
      </c>
      <c r="M21" s="166">
        <f>IF(C21&lt;&gt;"",IFERROR(AVERAGE(出来高!E126:I126),""),"")</f>
        <v>361840</v>
      </c>
      <c r="N21" s="166">
        <f>IF(C21&lt;&gt;"",IFERROR(AVERAGE(出来高!E126:AC126),""),"")</f>
        <v>357804</v>
      </c>
      <c r="O21" s="168">
        <f t="shared" si="1"/>
        <v>0.28078708821578596</v>
      </c>
      <c r="P21" s="163" t="str">
        <f t="shared" si="2"/>
        <v>減少↓</v>
      </c>
      <c r="Q21" s="163" t="str">
        <f t="shared" si="3"/>
        <v>様子見▼</v>
      </c>
      <c r="R21" s="166">
        <f t="shared" si="10"/>
        <v>1105</v>
      </c>
      <c r="S21" s="166">
        <f t="shared" si="11"/>
        <v>982</v>
      </c>
      <c r="T21" s="163">
        <f t="shared" si="4"/>
        <v>3</v>
      </c>
      <c r="U21" s="163" t="str">
        <f t="shared" si="12"/>
        <v>要確認</v>
      </c>
      <c r="V21" s="163" t="str">
        <f t="shared" si="5"/>
        <v>通常</v>
      </c>
      <c r="W21" s="169">
        <f t="array" ref="W21">IF(C21&lt;&gt;"",IFERROR(100-100/(1+SUMPRODUCT((終値!F126:R126&gt;終値!G126:S126)*( 終値!F126:R126-終値!G126:S126))/SUMPRODUCT((終値!F126:R126&lt;終値!G126:S126)*(終値!G126:S126-終値!F126:R126))),50),"")</f>
        <v>55.038759689922479</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2.5025234935657181</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 t="shared" si="13"/>
        <v>-0.38948393378773127</v>
      </c>
      <c r="AA21" s="163" t="str">
        <f t="shared" si="14"/>
        <v>下落▼</v>
      </c>
      <c r="AB21" s="405">
        <f>IF(C21="","",IFERROR(((終値!E23*0.333)+(終値!F23*0.222)+(終値!G23*0.148)+(終値!H23*0.099)+(終値!I23*0.066)+(終値!J23*0.044)+(終値!K23*0.029)+(終値!L23*0.019)+(終値!M23*0.013)+(終値!N23*0.009))/(0.333+0.222+0.148+0.099+0.066+0.044+0.029+0.019+0.013+0.009),""))</f>
        <v>4914.2973523421579</v>
      </c>
      <c r="AC21" s="405">
        <f>IF(C21="","",IFERROR(SUMPRODUCT((終値!E23:AC23),({0.077,0.071,0.065,0.06,0.055,0.051,0.047,0.043,0.039,0.036,0.033,0.031,0.028,0.026,0.024,0.022,0.02,0.018,0.017,0.016,0.014,0.013,0.012,0.011,0.01}))/SUM({0.077,0.071,0.065,0.06,0.055,0.051,0.047,0.043,0.039,0.036,0.033,0.031,0.028,0.026,0.024,0.022,0.02,0.018,0.017,0.016,0.014,0.013,0.012,0.011,0.01}),""))</f>
        <v>4743.0131108462447</v>
      </c>
      <c r="AD21" s="406" t="str">
        <f t="shared" si="6"/>
        <v>もみ合い→</v>
      </c>
      <c r="AE21" s="406" t="str">
        <f t="shared" si="7"/>
        <v>なし</v>
      </c>
      <c r="AF21" s="365">
        <f t="array" ref="AF21">IF(C21="","",IFERROR((INDEX(終値!$E:$E,MATCH(TEXT(C21,"0"),終値!$A:$A,0))-INDEX(終値!$E:$CZ,MATCH(TEXT(C21,"0"),終値!$A:$A,0),$AL$2))/INDEX(終値!$E:$CZ,MATCH(TEXT(C21,"0"),終値!$A:$A,0),$AL$2)*100,""))</f>
        <v>3.4871794871794872</v>
      </c>
      <c r="AG21" s="365">
        <f t="array" ref="AG21">IFERROR((終値!$E$5-INDEX(終値!$E$5:$CZ$5,1,$AL$2))/INDEX(終値!$E$5:$CZ$5,1,$AL$2)*100,"")</f>
        <v>-0.82558151178043282</v>
      </c>
      <c r="AH21" s="366">
        <f t="shared" si="8"/>
        <v>4.31276099895992</v>
      </c>
      <c r="AI21" s="364">
        <f t="shared" si="9"/>
        <v>1</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2297</v>
      </c>
      <c r="F22" s="166">
        <f>IF(C22&lt;&gt;"",_xll.RssMarket(C22,"始値"),"")</f>
        <v>2260</v>
      </c>
      <c r="G22" s="165">
        <f>IF(C22&lt;&gt;"",終値!F56,"")</f>
        <v>2156</v>
      </c>
      <c r="H22" s="166">
        <f>IF(C22&lt;&gt;"",_xll.RssMarket(C22,"高値"),"")</f>
        <v>2308</v>
      </c>
      <c r="I22" s="166">
        <f>IF(C22&lt;&gt;"",_xll.RssMarket(C22,"安値"),"")</f>
        <v>2235</v>
      </c>
      <c r="J22" s="166">
        <f>IF(C22&lt;&gt;"",_xll.RssMarket(C22,"出来高"),"")</f>
        <v>1701000</v>
      </c>
      <c r="K22" s="166">
        <f>IF(C22&lt;&gt;"",_xll.RssMarket(C22,"年初来高値"),"")</f>
        <v>4720</v>
      </c>
      <c r="L22" s="167">
        <f t="shared" si="0"/>
        <v>-51.334745762711862</v>
      </c>
      <c r="M22" s="166">
        <f>IF(C22&lt;&gt;"",IFERROR(AVERAGE(出来高!E56:I56),""),"")</f>
        <v>2277760</v>
      </c>
      <c r="N22" s="166">
        <f>IF(C22&lt;&gt;"",IFERROR(AVERAGE(出来高!E56:AC56),""),"")</f>
        <v>2604308</v>
      </c>
      <c r="O22" s="168">
        <f t="shared" si="1"/>
        <v>0.7467863163810059</v>
      </c>
      <c r="P22" s="163" t="str">
        <f t="shared" si="2"/>
        <v>減少↓</v>
      </c>
      <c r="Q22" s="163" t="str">
        <f t="shared" si="3"/>
        <v>中立→</v>
      </c>
      <c r="R22" s="166">
        <f t="shared" si="10"/>
        <v>2481</v>
      </c>
      <c r="S22" s="166">
        <f t="shared" si="11"/>
        <v>2205</v>
      </c>
      <c r="T22" s="163">
        <f t="shared" si="4"/>
        <v>5</v>
      </c>
      <c r="U22" s="163" t="str">
        <f t="shared" si="12"/>
        <v>要確認</v>
      </c>
      <c r="V22" s="163" t="str">
        <f t="shared" si="5"/>
        <v>通常</v>
      </c>
      <c r="W22" s="169">
        <f t="array" ref="W22">IF(C22&lt;&gt;"",IFERROR(100-100/(1+SUMPRODUCT((終値!F56:R56&gt;終値!G56:S56)*( 終値!F56:R56-終値!G56:S56))/SUMPRODUCT((終値!F56:R56&lt;終値!G56:S56)*(終値!G56:S56-終値!F56:R56))),50),"")</f>
        <v>23.001631321370311</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-62.381853533885533</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様子見</v>
      </c>
      <c r="Z22" s="171">
        <f t="shared" si="13"/>
        <v>6.5398886827458256</v>
      </c>
      <c r="AA22" s="163" t="str">
        <f t="shared" si="14"/>
        <v>上昇▲</v>
      </c>
      <c r="AB22" s="403">
        <f>IF(C22="","",IFERROR(((終値!E24*0.333)+(終値!F24*0.222)+(終値!G24*0.148)+(終値!H24*0.099)+(終値!I24*0.066)+(終値!J24*0.044)+(終値!K24*0.029)+(終値!L24*0.019)+(終値!M24*0.013)+(終値!N24*0.009))/(0.333+0.222+0.148+0.099+0.066+0.044+0.029+0.019+0.013+0.009),""))</f>
        <v>1281.1939918533603</v>
      </c>
      <c r="AC22" s="403">
        <f>IF(C22="","",IFERROR(SUMPRODUCT((終値!E24:AC24),({0.077,0.071,0.065,0.06,0.055,0.051,0.047,0.043,0.039,0.036,0.033,0.031,0.028,0.026,0.024,0.022,0.02,0.018,0.017,0.016,0.014,0.013,0.012,0.011,0.01}))/SUM({0.077,0.071,0.065,0.06,0.055,0.051,0.047,0.043,0.039,0.036,0.033,0.031,0.028,0.026,0.024,0.022,0.02,0.018,0.017,0.016,0.014,0.013,0.012,0.011,0.01}),""))</f>
        <v>1280.8974970202621</v>
      </c>
      <c r="AD22" s="404" t="str">
        <f t="shared" si="6"/>
        <v>パーフェクト▲</v>
      </c>
      <c r="AE22" s="404" t="str">
        <f t="shared" si="7"/>
        <v>なし</v>
      </c>
      <c r="AF22" s="365">
        <f t="array" ref="AF22">IF(C22="","",IFERROR((INDEX(終値!$E:$E,MATCH(TEXT(C22,"0"),終値!$A:$A,0))-INDEX(終値!$E:$CZ,MATCH(TEXT(C22,"0"),終値!$A:$A,0),$AL$2))/INDEX(終値!$E:$CZ,MATCH(TEXT(C22,"0"),終値!$A:$A,0),$AL$2)*100,""))</f>
        <v>-14.616274585422289</v>
      </c>
      <c r="AG22" s="365">
        <f t="array" ref="AG22">IFERROR((終値!$E$5-INDEX(終値!$E$5:$CZ$5,1,$AL$2))/INDEX(終値!$E$5:$CZ$5,1,$AL$2)*100,"")</f>
        <v>-0.82558151178043282</v>
      </c>
      <c r="AH22" s="366">
        <f t="shared" si="8"/>
        <v>-13.790693073641856</v>
      </c>
      <c r="AI22" s="364">
        <f t="shared" si="9"/>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2776</v>
      </c>
      <c r="F23" s="166">
        <f>IF(C23&lt;&gt;"",_xll.RssMarket(C23,"始値"),"")</f>
        <v>2833.5</v>
      </c>
      <c r="G23" s="165">
        <f>IF(C23&lt;&gt;"",終値!F119,"")</f>
        <v>2897.5</v>
      </c>
      <c r="H23" s="166">
        <f>IF(C23&lt;&gt;"",_xll.RssMarket(C23,"高値"),"")</f>
        <v>2844</v>
      </c>
      <c r="I23" s="166">
        <f>IF(C23&lt;&gt;"",_xll.RssMarket(C23,"安値"),"")</f>
        <v>2753</v>
      </c>
      <c r="J23" s="166">
        <f>IF(C23&lt;&gt;"",_xll.RssMarket(C23,"出来高"),"")</f>
        <v>252400</v>
      </c>
      <c r="K23" s="166">
        <f>IF(C23&lt;&gt;"",_xll.RssMarket(C23,"年初来高値"),"")</f>
        <v>3953</v>
      </c>
      <c r="L23" s="167">
        <f t="shared" si="0"/>
        <v>-29.774854540855046</v>
      </c>
      <c r="M23" s="166">
        <f>IF(C23&lt;&gt;"",IFERROR(AVERAGE(出来高!E119:I119),""),"")</f>
        <v>673360</v>
      </c>
      <c r="N23" s="166">
        <f>IF(C23&lt;&gt;"",IFERROR(AVERAGE(出来高!E119:AC119),""),"")</f>
        <v>531956</v>
      </c>
      <c r="O23" s="168">
        <f t="shared" si="1"/>
        <v>0.37483664013306406</v>
      </c>
      <c r="P23" s="163" t="str">
        <f t="shared" si="2"/>
        <v>減少↓</v>
      </c>
      <c r="Q23" s="163" t="str">
        <f t="shared" si="3"/>
        <v>様子見▼</v>
      </c>
      <c r="R23" s="166">
        <f t="shared" si="10"/>
        <v>2998</v>
      </c>
      <c r="S23" s="166">
        <f t="shared" si="11"/>
        <v>2665</v>
      </c>
      <c r="T23" s="163">
        <f t="shared" si="4"/>
        <v>0</v>
      </c>
      <c r="U23" s="163" t="str">
        <f t="shared" si="12"/>
        <v>除外</v>
      </c>
      <c r="V23" s="163" t="str">
        <f t="shared" si="5"/>
        <v>通常</v>
      </c>
      <c r="W23" s="169">
        <f t="array" ref="W23">IF(C23&lt;&gt;"",IFERROR(100-100/(1+SUMPRODUCT((終値!F119:R119&gt;終値!G119:S119)*( 終値!F119:R119-終値!G119:S119))/SUMPRODUCT((終値!F119:R119&lt;終値!G119:S119)*(終値!G119:S119-終値!F119:R119))),50),"")</f>
        <v>51.877133105802045</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4.3050501713523772</v>
      </c>
      <c r="Y23" s="1" t="e">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#DIV/0!</v>
      </c>
      <c r="Z23" s="171">
        <f t="shared" si="13"/>
        <v>-4.1932700603968938</v>
      </c>
      <c r="AA23" s="163" t="str">
        <f t="shared" si="14"/>
        <v>下落▼</v>
      </c>
      <c r="AB23" s="405">
        <f>IF(C23="","",IFERROR(((終値!E25*0.333)+(終値!F25*0.222)+(終値!G25*0.148)+(終値!H25*0.099)+(終値!I25*0.066)+(終値!J25*0.044)+(終値!K25*0.029)+(終値!L25*0.019)+(終値!M25*0.013)+(終値!N25*0.009))/(0.333+0.222+0.148+0.099+0.066+0.044+0.029+0.019+0.013+0.009),""))</f>
        <v>0</v>
      </c>
      <c r="AC23" s="405">
        <f>IF(C23="","",IFERROR(SUMPRODUCT((終値!E25:AC25),({0.077,0.071,0.065,0.06,0.055,0.051,0.047,0.043,0.039,0.036,0.033,0.031,0.028,0.026,0.024,0.022,0.02,0.018,0.017,0.016,0.014,0.013,0.012,0.011,0.01}))/SUM({0.077,0.071,0.065,0.06,0.055,0.051,0.047,0.043,0.039,0.036,0.033,0.031,0.028,0.026,0.024,0.022,0.02,0.018,0.017,0.016,0.014,0.013,0.012,0.011,0.01}),""))</f>
        <v>0</v>
      </c>
      <c r="AD23" s="406" t="str">
        <f t="shared" si="6"/>
        <v>上昇トレンド▲</v>
      </c>
      <c r="AE23" s="406" t="e">
        <f t="shared" si="7"/>
        <v>#DIV/0!</v>
      </c>
      <c r="AF23" s="365">
        <f t="array" ref="AF23">IF(C23="","",IFERROR((INDEX(終値!$E:$E,MATCH(TEXT(C23,"0"),終値!$A:$A,0))-INDEX(終値!$E:$CZ,MATCH(TEXT(C23,"0"),終値!$A:$A,0),$AL$2))/INDEX(終値!$E:$CZ,MATCH(TEXT(C23,"0"),終値!$A:$A,0),$AL$2)*100,""))</f>
        <v>1.5875912408759123</v>
      </c>
      <c r="AG23" s="365">
        <f t="array" ref="AG23">IFERROR((終値!$E$5-INDEX(終値!$E$5:$CZ$5,1,$AL$2))/INDEX(終値!$E$5:$CZ$5,1,$AL$2)*100,"")</f>
        <v>-0.82558151178043282</v>
      </c>
      <c r="AH23" s="366">
        <f t="shared" si="8"/>
        <v>2.4131727526563451</v>
      </c>
      <c r="AI23" s="364">
        <f t="shared" si="9"/>
        <v>1</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421</v>
      </c>
      <c r="F24" s="166">
        <f>IF(C24&lt;&gt;"",_xll.RssMarket(C24,"始値"),"")</f>
        <v>416</v>
      </c>
      <c r="G24" s="165">
        <f>IF(C24&lt;&gt;"",終値!F112,"")</f>
        <v>403</v>
      </c>
      <c r="H24" s="166">
        <f>IF(C24&lt;&gt;"",_xll.RssMarket(C24,"高値"),"")</f>
        <v>422</v>
      </c>
      <c r="I24" s="166">
        <f>IF(C24&lt;&gt;"",_xll.RssMarket(C24,"安値"),"")</f>
        <v>412</v>
      </c>
      <c r="J24" s="166">
        <f>IF(C24&lt;&gt;"",_xll.RssMarket(C24,"出来高"),"")</f>
        <v>702600</v>
      </c>
      <c r="K24" s="166">
        <f>IF(C24&lt;&gt;"",_xll.RssMarket(C24,"年初来高値"),"")</f>
        <v>710</v>
      </c>
      <c r="L24" s="167">
        <f t="shared" si="0"/>
        <v>-40.70422535211268</v>
      </c>
      <c r="M24" s="166">
        <f>IF(C24&lt;&gt;"",IFERROR(AVERAGE(出来高!E112:I112),""),"")</f>
        <v>1274200</v>
      </c>
      <c r="N24" s="166">
        <f>IF(C24&lt;&gt;"",IFERROR(AVERAGE(出来高!E112:AC112),""),"")</f>
        <v>1614079.1666666667</v>
      </c>
      <c r="O24" s="168">
        <f t="shared" si="1"/>
        <v>0.55140480301365558</v>
      </c>
      <c r="P24" s="163" t="str">
        <f t="shared" si="2"/>
        <v>減少↓</v>
      </c>
      <c r="Q24" s="163" t="str">
        <f t="shared" si="3"/>
        <v>中立→</v>
      </c>
      <c r="R24" s="166">
        <f t="shared" si="10"/>
        <v>455</v>
      </c>
      <c r="S24" s="166">
        <f t="shared" si="11"/>
        <v>404</v>
      </c>
      <c r="T24" s="163">
        <f t="shared" si="4"/>
        <v>0</v>
      </c>
      <c r="U24" s="163" t="str">
        <f t="shared" si="12"/>
        <v>除外</v>
      </c>
      <c r="V24" s="163" t="str">
        <f t="shared" si="5"/>
        <v>通常</v>
      </c>
      <c r="W24" s="169">
        <f t="array" ref="W24">IF(C24&lt;&gt;"",IFERROR(100-100/(1+SUMPRODUCT((終値!F112:R112&gt;終値!G112:S112)*( 終値!F112:R112-終値!G112:S112))/SUMPRODUCT((終値!F112:R112&lt;終値!G112:S112)*(終値!G112:S112-終値!F112:R112))),50),"")</f>
        <v>47.87350054525627</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-9.2319066705406385</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 t="shared" si="13"/>
        <v>4.4665012406947886</v>
      </c>
      <c r="AA24" s="163" t="str">
        <f t="shared" si="14"/>
        <v>上昇▲</v>
      </c>
      <c r="AB24" s="403">
        <f>IF(C24="","",IFERROR(((終値!E26*0.333)+(終値!F26*0.222)+(終値!G26*0.148)+(終値!H26*0.099)+(終値!I26*0.066)+(終値!J26*0.044)+(終値!K26*0.029)+(終値!L26*0.019)+(終値!M26*0.013)+(終値!N26*0.009))/(0.333+0.222+0.148+0.099+0.066+0.044+0.029+0.019+0.013+0.009),""))</f>
        <v>6378.4338085539712</v>
      </c>
      <c r="AC24" s="403">
        <f>IF(C24="","",IFERROR(SUMPRODUCT((終値!E26:AC26),({0.077,0.071,0.065,0.06,0.055,0.051,0.047,0.043,0.039,0.036,0.033,0.031,0.028,0.026,0.024,0.022,0.02,0.018,0.017,0.016,0.014,0.013,0.012,0.011,0.01}))/SUM({0.077,0.071,0.065,0.06,0.055,0.051,0.047,0.043,0.039,0.036,0.033,0.031,0.028,0.026,0.024,0.022,0.02,0.018,0.017,0.016,0.014,0.013,0.012,0.011,0.01}),""))</f>
        <v>6424.2252681763975</v>
      </c>
      <c r="AD24" s="404" t="str">
        <f t="shared" si="6"/>
        <v>下降トレンド▼</v>
      </c>
      <c r="AE24" s="404" t="str">
        <f t="shared" si="7"/>
        <v>なし</v>
      </c>
      <c r="AF24" s="365">
        <f t="array" ref="AF24">IF(C24="","",IFERROR((INDEX(終値!$E:$E,MATCH(TEXT(C24,"0"),終値!$A:$A,0))-INDEX(終値!$E:$CZ,MATCH(TEXT(C24,"0"),終値!$A:$A,0),$AL$2))/INDEX(終値!$E:$CZ,MATCH(TEXT(C24,"0"),終値!$A:$A,0),$AL$2)*100,""))</f>
        <v>-5.9225512528473807</v>
      </c>
      <c r="AG24" s="365">
        <f t="array" ref="AG24">IFERROR((終値!$E$5-INDEX(終値!$E$5:$CZ$5,1,$AL$2))/INDEX(終値!$E$5:$CZ$5,1,$AL$2)*100,"")</f>
        <v>-0.82558151178043282</v>
      </c>
      <c r="AH24" s="366">
        <f t="shared" si="8"/>
        <v>-5.0969697410669479</v>
      </c>
      <c r="AI24" s="364">
        <f t="shared" si="9"/>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889</v>
      </c>
      <c r="F25" s="166">
        <f>IF(C25&lt;&gt;"",_xll.RssMarket(C25,"始値"),"")</f>
        <v>866</v>
      </c>
      <c r="G25" s="165">
        <f>IF(C25&lt;&gt;"",終値!F111,"")</f>
        <v>850</v>
      </c>
      <c r="H25" s="166">
        <f>IF(C25&lt;&gt;"",_xll.RssMarket(C25,"高値"),"")</f>
        <v>898</v>
      </c>
      <c r="I25" s="166">
        <f>IF(C25&lt;&gt;"",_xll.RssMarket(C25,"安値"),"")</f>
        <v>865</v>
      </c>
      <c r="J25" s="166">
        <f>IF(C25&lt;&gt;"",_xll.RssMarket(C25,"出来高"),"")</f>
        <v>136200</v>
      </c>
      <c r="K25" s="166">
        <f>IF(C25&lt;&gt;"",_xll.RssMarket(C25,"年初来高値"),"")</f>
        <v>1620</v>
      </c>
      <c r="L25" s="167">
        <f t="shared" si="0"/>
        <v>-45.123456790123456</v>
      </c>
      <c r="M25" s="166">
        <f>IF(C25&lt;&gt;"",IFERROR(AVERAGE(出来高!E111:I111),""),"")</f>
        <v>1325320</v>
      </c>
      <c r="N25" s="166">
        <f>IF(C25&lt;&gt;"",IFERROR(AVERAGE(出来高!E111:AC111),""),"")</f>
        <v>391195.83333333331</v>
      </c>
      <c r="O25" s="168">
        <f t="shared" si="1"/>
        <v>0.10276763347719796</v>
      </c>
      <c r="P25" s="163" t="str">
        <f t="shared" si="2"/>
        <v>減少↓</v>
      </c>
      <c r="Q25" s="163" t="str">
        <f t="shared" si="3"/>
        <v>中立→</v>
      </c>
      <c r="R25" s="166">
        <f t="shared" si="10"/>
        <v>960</v>
      </c>
      <c r="S25" s="166">
        <f t="shared" si="11"/>
        <v>853</v>
      </c>
      <c r="T25" s="163">
        <f t="shared" si="4"/>
        <v>0</v>
      </c>
      <c r="U25" s="163" t="str">
        <f t="shared" si="12"/>
        <v>除外</v>
      </c>
      <c r="V25" s="163" t="str">
        <f t="shared" si="5"/>
        <v>通常</v>
      </c>
      <c r="W25" s="169">
        <f t="array" ref="W25">IF(C25&lt;&gt;"",IFERROR(100-100/(1+SUMPRODUCT((終値!F111:R111&gt;終値!G111:S111)*( 終値!F111:R111-終値!G111:S111))/SUMPRODUCT((終値!F111:R111&lt;終値!G111:S111)*(終値!G111:S111-終値!F111:R111))),50),"")</f>
        <v>50.386001029336079</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-9.3561688272915262</v>
      </c>
      <c r="Y25" s="1" t="e">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#DIV/0!</v>
      </c>
      <c r="Z25" s="171">
        <f t="shared" si="13"/>
        <v>4.5882352941176467</v>
      </c>
      <c r="AA25" s="163" t="str">
        <f t="shared" si="14"/>
        <v>上昇▲</v>
      </c>
      <c r="AB25" s="405">
        <f>IF(C25="","",IFERROR(((終値!E27*0.333)+(終値!F27*0.222)+(終値!G27*0.148)+(終値!H27*0.099)+(終値!I27*0.066)+(終値!J27*0.044)+(終値!K27*0.029)+(終値!L27*0.019)+(終値!M27*0.013)+(終値!N27*0.009))/(0.333+0.222+0.148+0.099+0.066+0.044+0.029+0.019+0.013+0.009),""))</f>
        <v>0</v>
      </c>
      <c r="AC25" s="405">
        <f>IF(C25="","",IFERROR(SUMPRODUCT((終値!E27:AC27),({0.077,0.071,0.065,0.06,0.055,0.051,0.047,0.043,0.039,0.036,0.033,0.031,0.028,0.026,0.024,0.022,0.02,0.018,0.017,0.016,0.014,0.013,0.012,0.011,0.01}))/SUM({0.077,0.071,0.065,0.06,0.055,0.051,0.047,0.043,0.039,0.036,0.033,0.031,0.028,0.026,0.024,0.022,0.02,0.018,0.017,0.016,0.014,0.013,0.012,0.011,0.01}),""))</f>
        <v>0</v>
      </c>
      <c r="AD25" s="406" t="str">
        <f t="shared" si="6"/>
        <v>上昇トレンド▲</v>
      </c>
      <c r="AE25" s="406" t="e">
        <f t="shared" si="7"/>
        <v>#DIV/0!</v>
      </c>
      <c r="AF25" s="365">
        <f t="array" ref="AF25">IF(C25="","",IFERROR((INDEX(終値!$E:$E,MATCH(TEXT(C25,"0"),終値!$A:$A,0))-INDEX(終値!$E:$CZ,MATCH(TEXT(C25,"0"),終値!$A:$A,0),$AL$2))/INDEX(終値!$E:$CZ,MATCH(TEXT(C25,"0"),終値!$A:$A,0),$AL$2)*100,""))</f>
        <v>0.45662100456621002</v>
      </c>
      <c r="AG25" s="365">
        <f t="array" ref="AG25">IFERROR((終値!$E$5-INDEX(終値!$E$5:$CZ$5,1,$AL$2))/INDEX(終値!$E$5:$CZ$5,1,$AL$2)*100,"")</f>
        <v>-0.82558151178043282</v>
      </c>
      <c r="AH25" s="366">
        <f t="shared" si="8"/>
        <v>1.2822025163466428</v>
      </c>
      <c r="AI25" s="364">
        <f t="shared" si="9"/>
        <v>1</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3135</v>
      </c>
      <c r="F26" s="166">
        <f>IF(C26&lt;&gt;"",_xll.RssMarket(C26,"始値"),"")</f>
        <v>3115</v>
      </c>
      <c r="G26" s="165">
        <f>IF(C26&lt;&gt;"",終値!F74,"")</f>
        <v>3129</v>
      </c>
      <c r="H26" s="166">
        <f>IF(C26&lt;&gt;"",_xll.RssMarket(C26,"高値"),"")</f>
        <v>3157</v>
      </c>
      <c r="I26" s="166">
        <f>IF(C26&lt;&gt;"",_xll.RssMarket(C26,"安値"),"")</f>
        <v>3103</v>
      </c>
      <c r="J26" s="166">
        <f>IF(C26&lt;&gt;"",_xll.RssMarket(C26,"出来高"),"")</f>
        <v>1398900</v>
      </c>
      <c r="K26" s="166">
        <f>IF(C26&lt;&gt;"",_xll.RssMarket(C26,"年初来高値"),"")</f>
        <v>3419</v>
      </c>
      <c r="L26" s="167">
        <f t="shared" si="0"/>
        <v>-8.3065223749634391</v>
      </c>
      <c r="M26" s="166">
        <f>IF(C26&lt;&gt;"",IFERROR(AVERAGE(出来高!E74:I74),""),"")</f>
        <v>3692760</v>
      </c>
      <c r="N26" s="166">
        <f>IF(C26&lt;&gt;"",IFERROR(AVERAGE(出来高!E74:AC74),""),"")</f>
        <v>2677932</v>
      </c>
      <c r="O26" s="168">
        <f t="shared" si="1"/>
        <v>0.37882234426282779</v>
      </c>
      <c r="P26" s="163" t="str">
        <f t="shared" si="2"/>
        <v>減少↓</v>
      </c>
      <c r="Q26" s="163" t="str">
        <f t="shared" si="3"/>
        <v>中立→</v>
      </c>
      <c r="R26" s="166">
        <f t="shared" si="10"/>
        <v>3386</v>
      </c>
      <c r="S26" s="166">
        <f t="shared" si="11"/>
        <v>3010</v>
      </c>
      <c r="T26" s="163">
        <f t="shared" si="4"/>
        <v>4</v>
      </c>
      <c r="U26" s="163" t="str">
        <f t="shared" si="12"/>
        <v>要確認</v>
      </c>
      <c r="V26" s="163" t="str">
        <f t="shared" si="5"/>
        <v>通常</v>
      </c>
      <c r="W26" s="169">
        <f t="array" ref="W26">IF(C26&lt;&gt;"",IFERROR(100-100/(1+SUMPRODUCT((終値!F74:R74&gt;終値!G74:S74)*( 終値!F74:R74-終値!G74:S74))/SUMPRODUCT((終値!F74:R74&lt;終値!G74:S74)*(終値!G74:S74-終値!F74:R74))),50),"")</f>
        <v>59.437086092715234</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9.2258019256569241</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 t="shared" si="13"/>
        <v>0.19175455417066153</v>
      </c>
      <c r="AA26" s="163" t="str">
        <f t="shared" si="14"/>
        <v>上昇▲</v>
      </c>
      <c r="AB26" s="403">
        <f>IF(C26="","",IFERROR(((終値!E28*0.333)+(終値!F28*0.222)+(終値!G28*0.148)+(終値!H28*0.099)+(終値!I28*0.066)+(終値!J28*0.044)+(終値!K28*0.029)+(終値!L28*0.019)+(終値!M28*0.013)+(終値!N28*0.009))/(0.333+0.222+0.148+0.099+0.066+0.044+0.029+0.019+0.013+0.009),""))</f>
        <v>6322.091649694501</v>
      </c>
      <c r="AC26" s="403">
        <f>IF(C26="","",IFERROR(SUMPRODUCT((終値!E28:AC28),({0.077,0.071,0.065,0.06,0.055,0.051,0.047,0.043,0.039,0.036,0.033,0.031,0.028,0.026,0.024,0.022,0.02,0.018,0.017,0.016,0.014,0.013,0.012,0.011,0.01}))/SUM({0.077,0.071,0.065,0.06,0.055,0.051,0.047,0.043,0.039,0.036,0.033,0.031,0.028,0.026,0.024,0.022,0.02,0.018,0.017,0.016,0.014,0.013,0.012,0.011,0.01}),""))</f>
        <v>6274.980929678185</v>
      </c>
      <c r="AD26" s="404" t="str">
        <f t="shared" si="6"/>
        <v>もみ合い→</v>
      </c>
      <c r="AE26" s="404" t="str">
        <f t="shared" si="7"/>
        <v>なし</v>
      </c>
      <c r="AF26" s="365">
        <f t="array" ref="AF26">IF(C26="","",IFERROR((INDEX(終値!$E:$E,MATCH(TEXT(C26,"0"),終値!$A:$A,0))-INDEX(終値!$E:$CZ,MATCH(TEXT(C26,"0"),終値!$A:$A,0),$AL$2))/INDEX(終値!$E:$CZ,MATCH(TEXT(C26,"0"),終値!$A:$A,0),$AL$2)*100,""))</f>
        <v>3.3677892630876958</v>
      </c>
      <c r="AG26" s="365">
        <f t="array" ref="AG26">IFERROR((終値!$E$5-INDEX(終値!$E$5:$CZ$5,1,$AL$2))/INDEX(終値!$E$5:$CZ$5,1,$AL$2)*100,"")</f>
        <v>-0.82558151178043282</v>
      </c>
      <c r="AH26" s="366">
        <f t="shared" si="8"/>
        <v>4.1933707748681286</v>
      </c>
      <c r="AI26" s="364">
        <f t="shared" si="9"/>
        <v>1</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5760</v>
      </c>
      <c r="F27" s="166">
        <f>IF(C27&lt;&gt;"",_xll.RssMarket(C27,"始値"),"")</f>
        <v>5994</v>
      </c>
      <c r="G27" s="165">
        <f>IF(C27&lt;&gt;"",終値!F206,"")</f>
        <v>6042</v>
      </c>
      <c r="H27" s="166">
        <f>IF(C27&lt;&gt;"",_xll.RssMarket(C27,"高値"),"")</f>
        <v>6005</v>
      </c>
      <c r="I27" s="166">
        <f>IF(C27&lt;&gt;"",_xll.RssMarket(C27,"安値"),"")</f>
        <v>5758</v>
      </c>
      <c r="J27" s="166">
        <f>IF(C27&lt;&gt;"",_xll.RssMarket(C27,"出来高"),"")</f>
        <v>3758600</v>
      </c>
      <c r="K27" s="166">
        <f>IF(C27&lt;&gt;"",_xll.RssMarket(C27,"年初来高値"),"")</f>
        <v>6394</v>
      </c>
      <c r="L27" s="167">
        <f t="shared" si="0"/>
        <v>-9.9155458242101968</v>
      </c>
      <c r="M27" s="166">
        <f>IF(C27&lt;&gt;"",IFERROR(AVERAGE(出来高!E206:I206),""),"")</f>
        <v>3130620</v>
      </c>
      <c r="N27" s="166">
        <f>IF(C27&lt;&gt;"",IFERROR(AVERAGE(出来高!E206:AC206),""),"")</f>
        <v>2831400</v>
      </c>
      <c r="O27" s="168">
        <f t="shared" si="1"/>
        <v>1.200592853811705</v>
      </c>
      <c r="P27" s="163" t="str">
        <f t="shared" si="2"/>
        <v>普通→</v>
      </c>
      <c r="Q27" s="163" t="str">
        <f t="shared" si="3"/>
        <v>様子見▼</v>
      </c>
      <c r="R27" s="166">
        <f t="shared" si="10"/>
        <v>6221</v>
      </c>
      <c r="S27" s="166">
        <f t="shared" si="11"/>
        <v>5530</v>
      </c>
      <c r="T27" s="163">
        <f t="shared" si="4"/>
        <v>8</v>
      </c>
      <c r="U27" s="163" t="str">
        <f t="shared" si="12"/>
        <v>要確認</v>
      </c>
      <c r="V27" s="163" t="str">
        <f t="shared" si="5"/>
        <v>通常</v>
      </c>
      <c r="W27" s="169">
        <f t="array" ref="W27">IF(C27&lt;&gt;"",IFERROR(100-100/(1+SUMPRODUCT((終値!F206:R206&gt;終値!G206:S206)*( 終値!F206:R206-終値!G206:S206))/SUMPRODUCT((終値!F206:R206&lt;終値!G206:S206)*(終値!G206:S206-終値!F206:R206))),50),"")</f>
        <v>84.330484330484325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106.17834611664784</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 t="shared" si="13"/>
        <v>-4.6673286991062559</v>
      </c>
      <c r="AA27" s="163" t="str">
        <f t="shared" si="14"/>
        <v>下落▼</v>
      </c>
      <c r="AB27" s="405">
        <f>IF(C27="","",IFERROR(((終値!E29*0.333)+(終値!F29*0.222)+(終値!G29*0.148)+(終値!H29*0.099)+(終値!I29*0.066)+(終値!J29*0.044)+(終値!K29*0.029)+(終値!L29*0.019)+(終値!M29*0.013)+(終値!N29*0.009))/(0.333+0.222+0.148+0.099+0.066+0.044+0.029+0.019+0.013+0.009),""))</f>
        <v>1299.1985743380851</v>
      </c>
      <c r="AC27" s="405">
        <f>IF(C27="","",IFERROR(SUMPRODUCT((終値!E29:AC29),({0.077,0.071,0.065,0.06,0.055,0.051,0.047,0.043,0.039,0.036,0.033,0.031,0.028,0.026,0.024,0.022,0.02,0.018,0.017,0.016,0.014,0.013,0.012,0.011,0.01}))/SUM({0.077,0.071,0.065,0.06,0.055,0.051,0.047,0.043,0.039,0.036,0.033,0.031,0.028,0.026,0.024,0.022,0.02,0.018,0.017,0.016,0.014,0.013,0.012,0.011,0.01}),""))</f>
        <v>1288.7532777115605</v>
      </c>
      <c r="AD27" s="406" t="str">
        <f t="shared" si="6"/>
        <v>パーフェクト▲</v>
      </c>
      <c r="AE27" s="406" t="str">
        <f t="shared" si="7"/>
        <v>なし</v>
      </c>
      <c r="AF27" s="365">
        <f t="array" ref="AF27">IF(C27="","",IFERROR((INDEX(終値!$E:$E,MATCH(TEXT(C27,"0"),終値!$A:$A,0))-INDEX(終値!$E:$CZ,MATCH(TEXT(C27,"0"),終値!$A:$A,0),$AL$2))/INDEX(終値!$E:$CZ,MATCH(TEXT(C27,"0"),終値!$A:$A,0),$AL$2)*100,""))</f>
        <v>15.794536360138514</v>
      </c>
      <c r="AG27" s="365">
        <f t="array" ref="AG27">IFERROR((終値!$E$5-INDEX(終値!$E$5:$CZ$5,1,$AL$2))/INDEX(終値!$E$5:$CZ$5,1,$AL$2)*100,"")</f>
        <v>-0.82558151178043282</v>
      </c>
      <c r="AH27" s="366">
        <f t="shared" si="8"/>
        <v>16.620117871918946</v>
      </c>
      <c r="AI27" s="364">
        <f t="shared" si="9"/>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2190</v>
      </c>
      <c r="F28" s="166">
        <f>IF(C28&lt;&gt;"",_xll.RssMarket(C28,"始値"),"")</f>
        <v>2202.5</v>
      </c>
      <c r="G28" s="165">
        <f>IF(C28&lt;&gt;"",終値!F110,"")</f>
        <v>2219.5</v>
      </c>
      <c r="H28" s="166">
        <f>IF(C28&lt;&gt;"",_xll.RssMarket(C28,"高値"),"")</f>
        <v>2218.5</v>
      </c>
      <c r="I28" s="166">
        <f>IF(C28&lt;&gt;"",_xll.RssMarket(C28,"安値"),"")</f>
        <v>2190</v>
      </c>
      <c r="J28" s="166">
        <f>IF(C28&lt;&gt;"",_xll.RssMarket(C28,"出来高"),"")</f>
        <v>206400</v>
      </c>
      <c r="K28" s="166">
        <f>IF(C28&lt;&gt;"",_xll.RssMarket(C28,"年初来高値"),"")</f>
        <v>2274</v>
      </c>
      <c r="L28" s="167">
        <f t="shared" si="0"/>
        <v>-3.6939313984168867</v>
      </c>
      <c r="M28" s="166">
        <f>IF(C28&lt;&gt;"",IFERROR(AVERAGE(出来高!E110:I110),""),"")</f>
        <v>502840</v>
      </c>
      <c r="N28" s="166">
        <f>IF(C28&lt;&gt;"",IFERROR(AVERAGE(出来高!E110:AC110),""),"")</f>
        <v>398168</v>
      </c>
      <c r="O28" s="168">
        <f t="shared" si="1"/>
        <v>0.41046853870018296</v>
      </c>
      <c r="P28" s="163" t="str">
        <f t="shared" si="2"/>
        <v>減少↓</v>
      </c>
      <c r="Q28" s="163" t="str">
        <f t="shared" si="3"/>
        <v>様子見▼</v>
      </c>
      <c r="R28" s="166">
        <f t="shared" si="10"/>
        <v>2365</v>
      </c>
      <c r="S28" s="166">
        <f t="shared" si="11"/>
        <v>2102</v>
      </c>
      <c r="T28" s="163">
        <f t="shared" si="4"/>
        <v>7</v>
      </c>
      <c r="U28" s="163" t="str">
        <f t="shared" si="12"/>
        <v>要確認</v>
      </c>
      <c r="V28" s="163" t="str">
        <f t="shared" si="5"/>
        <v>高値圏</v>
      </c>
      <c r="W28" s="169">
        <f t="array" ref="W28">IF(C28&lt;&gt;"",IFERROR(100-100/(1+SUMPRODUCT((終値!F110:R110&gt;終値!G110:S110)*( 終値!F110:R110-終値!G110:S110))/SUMPRODUCT((終値!F110:R110&lt;終値!G110:S110)*(終値!G110:S110-終値!F110:R110))),50),"")</f>
        <v>67.84615384615384</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26.783381560983798</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△注目</v>
      </c>
      <c r="Z28" s="171">
        <f t="shared" si="13"/>
        <v>-1.3291281820229781</v>
      </c>
      <c r="AA28" s="163" t="str">
        <f t="shared" si="14"/>
        <v>下落▼</v>
      </c>
      <c r="AB28" s="403">
        <f>IF(C28="","",IFERROR(((終値!E30*0.333)+(終値!F30*0.222)+(終値!G30*0.148)+(終値!H30*0.099)+(終値!I30*0.066)+(終値!J30*0.044)+(終値!K30*0.029)+(終値!L30*0.019)+(終値!M30*0.013)+(終値!N30*0.009))/(0.333+0.222+0.148+0.099+0.066+0.044+0.029+0.019+0.013+0.009),""))</f>
        <v>3979.9389002036655</v>
      </c>
      <c r="AC28" s="403">
        <f>IF(C28="","",IFERROR(SUMPRODUCT((終値!E30:AC30),({0.077,0.071,0.065,0.06,0.055,0.051,0.047,0.043,0.039,0.036,0.033,0.031,0.028,0.026,0.024,0.022,0.02,0.018,0.017,0.016,0.014,0.013,0.012,0.011,0.01}))/SUM({0.077,0.071,0.065,0.06,0.055,0.051,0.047,0.043,0.039,0.036,0.033,0.031,0.028,0.026,0.024,0.022,0.02,0.018,0.017,0.016,0.014,0.013,0.012,0.011,0.01}),""))</f>
        <v>4111.7699642431462</v>
      </c>
      <c r="AD28" s="404" t="str">
        <f t="shared" si="6"/>
        <v>下降トレンド▼</v>
      </c>
      <c r="AE28" s="404" t="str">
        <f t="shared" si="7"/>
        <v>なし</v>
      </c>
      <c r="AF28" s="365">
        <f t="array" ref="AF28">IF(C28="","",IFERROR((INDEX(終値!$E:$E,MATCH(TEXT(C28,"0"),終値!$A:$A,0))-INDEX(終値!$E:$CZ,MATCH(TEXT(C28,"0"),終値!$A:$A,0),$AL$2))/INDEX(終値!$E:$CZ,MATCH(TEXT(C28,"0"),終値!$A:$A,0),$AL$2)*100,""))</f>
        <v>13.436692506459949</v>
      </c>
      <c r="AG28" s="365">
        <f t="array" ref="AG28">IFERROR((終値!$E$5-INDEX(終値!$E$5:$CZ$5,1,$AL$2))/INDEX(終値!$E$5:$CZ$5,1,$AL$2)*100,"")</f>
        <v>-0.82558151178043282</v>
      </c>
      <c r="AH28" s="366">
        <f t="shared" si="8"/>
        <v>14.262274018240381</v>
      </c>
      <c r="AI28" s="364">
        <f t="shared" si="9"/>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3779</v>
      </c>
      <c r="F29" s="166">
        <f>IF(C29&lt;&gt;"",_xll.RssMarket(C29,"始値"),"")</f>
        <v>3840</v>
      </c>
      <c r="G29" s="165">
        <f>IF(C29&lt;&gt;"",終値!F184,"")</f>
        <v>3902</v>
      </c>
      <c r="H29" s="166">
        <f>IF(C29&lt;&gt;"",_xll.RssMarket(C29,"高値"),"")</f>
        <v>3844</v>
      </c>
      <c r="I29" s="166">
        <f>IF(C29&lt;&gt;"",_xll.RssMarket(C29,"安値"),"")</f>
        <v>3764</v>
      </c>
      <c r="J29" s="166">
        <f>IF(C29&lt;&gt;"",_xll.RssMarket(C29,"出来高"),"")</f>
        <v>1150800</v>
      </c>
      <c r="K29" s="166">
        <f>IF(C29&lt;&gt;"",_xll.RssMarket(C29,"年初来高値"),"")</f>
        <v>4830</v>
      </c>
      <c r="L29" s="167">
        <f t="shared" si="0"/>
        <v>-21.759834368530022</v>
      </c>
      <c r="M29" s="166">
        <f>IF(C29&lt;&gt;"",IFERROR(AVERAGE(出来高!E184:I184),""),"")</f>
        <v>4042020</v>
      </c>
      <c r="N29" s="166">
        <f>IF(C29&lt;&gt;"",IFERROR(AVERAGE(出来高!E184:AC184),""),"")</f>
        <v>3259748</v>
      </c>
      <c r="O29" s="168">
        <f t="shared" si="1"/>
        <v>0.28470913058322322</v>
      </c>
      <c r="P29" s="163" t="str">
        <f t="shared" si="2"/>
        <v>減少↓</v>
      </c>
      <c r="Q29" s="163" t="str">
        <f t="shared" si="3"/>
        <v>様子見▼</v>
      </c>
      <c r="R29" s="166">
        <f t="shared" si="10"/>
        <v>4081</v>
      </c>
      <c r="S29" s="166">
        <f t="shared" si="11"/>
        <v>3628</v>
      </c>
      <c r="T29" s="163">
        <f t="shared" si="4"/>
        <v>0</v>
      </c>
      <c r="U29" s="163" t="str">
        <f t="shared" si="12"/>
        <v>除外</v>
      </c>
      <c r="V29" s="163" t="str">
        <f t="shared" si="5"/>
        <v>通常</v>
      </c>
      <c r="W29" s="169">
        <f t="array" ref="W29">IF(C29&lt;&gt;"",IFERROR(100-100/(1+SUMPRODUCT((終値!F184:R184&gt;終値!G184:S184)*( 終値!F184:R184-終値!G184:S184))/SUMPRODUCT((終値!F184:R184&lt;終値!G184:S184)*(終値!G184:S184-終値!F184:R184))),50),"")</f>
        <v>61.767531219980782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55.321486711855869</v>
      </c>
      <c r="Y29" s="1" t="e">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#DIV/0!</v>
      </c>
      <c r="Z29" s="171">
        <f t="shared" si="13"/>
        <v>-3.1522296258329066</v>
      </c>
      <c r="AA29" s="163" t="str">
        <f t="shared" si="14"/>
        <v>下落▼</v>
      </c>
      <c r="AB29" s="405">
        <f>IF(C29="","",IFERROR(((終値!E31*0.333)+(終値!F31*0.222)+(終値!G31*0.148)+(終値!H31*0.099)+(終値!I31*0.066)+(終値!J31*0.044)+(終値!K31*0.029)+(終値!L31*0.019)+(終値!M31*0.013)+(終値!N31*0.009))/(0.333+0.222+0.148+0.099+0.066+0.044+0.029+0.019+0.013+0.009),""))</f>
        <v>0</v>
      </c>
      <c r="AC29" s="405">
        <f>IF(C29="","",IFERROR(SUMPRODUCT((終値!E31:AC31),({0.077,0.071,0.065,0.06,0.055,0.051,0.047,0.043,0.039,0.036,0.033,0.031,0.028,0.026,0.024,0.022,0.02,0.018,0.017,0.016,0.014,0.013,0.012,0.011,0.01}))/SUM({0.077,0.071,0.065,0.06,0.055,0.051,0.047,0.043,0.039,0.036,0.033,0.031,0.028,0.026,0.024,0.022,0.02,0.018,0.017,0.016,0.014,0.013,0.012,0.011,0.01}),""))</f>
        <v>0</v>
      </c>
      <c r="AD29" s="406" t="str">
        <f t="shared" si="6"/>
        <v>上昇トレンド▲</v>
      </c>
      <c r="AE29" s="406" t="e">
        <f t="shared" si="7"/>
        <v>#DIV/0!</v>
      </c>
      <c r="AF29" s="365">
        <f t="array" ref="AF29">IF(C29="","",IFERROR((INDEX(終値!$E:$E,MATCH(TEXT(C29,"0"),終値!$A:$A,0))-INDEX(終値!$E:$CZ,MATCH(TEXT(C29,"0"),終値!$A:$A,0),$AL$2))/INDEX(終値!$E:$CZ,MATCH(TEXT(C29,"0"),終値!$A:$A,0),$AL$2)*100,""))</f>
        <v>9.6126255380200867</v>
      </c>
      <c r="AG29" s="365">
        <f t="array" ref="AG29">IFERROR((終値!$E$5-INDEX(終値!$E$5:$CZ$5,1,$AL$2))/INDEX(終値!$E$5:$CZ$5,1,$AL$2)*100,"")</f>
        <v>-0.82558151178043282</v>
      </c>
      <c r="AH29" s="366">
        <f t="shared" si="8"/>
        <v>10.438207049800519</v>
      </c>
      <c r="AI29" s="364">
        <f t="shared" si="9"/>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3382</v>
      </c>
      <c r="F30" s="166">
        <f>IF(C30&lt;&gt;"",_xll.RssMarket(C30,"始値"),"")</f>
        <v>3412</v>
      </c>
      <c r="G30" s="165">
        <f>IF(C30&lt;&gt;"",終値!F109,"")</f>
        <v>3422</v>
      </c>
      <c r="H30" s="166">
        <f>IF(C30&lt;&gt;"",_xll.RssMarket(C30,"高値"),"")</f>
        <v>3447</v>
      </c>
      <c r="I30" s="166">
        <f>IF(C30&lt;&gt;"",_xll.RssMarket(C30,"安値"),"")</f>
        <v>3351</v>
      </c>
      <c r="J30" s="166">
        <f>IF(C30&lt;&gt;"",_xll.RssMarket(C30,"出来高"),"")</f>
        <v>1737900</v>
      </c>
      <c r="K30" s="166">
        <f>IF(C30&lt;&gt;"",_xll.RssMarket(C30,"年初来高値"),"")</f>
        <v>4211</v>
      </c>
      <c r="L30" s="167">
        <f t="shared" si="0"/>
        <v>-19.686535264782712</v>
      </c>
      <c r="M30" s="166">
        <f>IF(C30&lt;&gt;"",IFERROR(AVERAGE(出来高!E109:I109),""),"")</f>
        <v>4668420</v>
      </c>
      <c r="N30" s="166">
        <f>IF(C30&lt;&gt;"",IFERROR(AVERAGE(出来高!E109:AC109),""),"")</f>
        <v>3257660</v>
      </c>
      <c r="O30" s="168">
        <f t="shared" si="1"/>
        <v>0.372267276723174</v>
      </c>
      <c r="P30" s="163" t="str">
        <f t="shared" si="2"/>
        <v>減少↓</v>
      </c>
      <c r="Q30" s="163" t="str">
        <f t="shared" si="3"/>
        <v>様子見▼</v>
      </c>
      <c r="R30" s="166">
        <f t="shared" si="10"/>
        <v>3653</v>
      </c>
      <c r="S30" s="166">
        <f t="shared" si="11"/>
        <v>3247</v>
      </c>
      <c r="T30" s="163">
        <f t="shared" si="4"/>
        <v>3</v>
      </c>
      <c r="U30" s="163" t="str">
        <f t="shared" si="12"/>
        <v>要確認</v>
      </c>
      <c r="V30" s="163" t="str">
        <f t="shared" si="5"/>
        <v>通常</v>
      </c>
      <c r="W30" s="169">
        <f t="array" ref="W30">IF(C30&lt;&gt;"",IFERROR(100-100/(1+SUMPRODUCT((終値!F109:R109&gt;終値!G109:S109)*( 終値!F109:R109-終値!G109:S109))/SUMPRODUCT((終値!F109:R109&lt;終値!G109:S109)*(終値!G109:S109-終値!F109:R109))),50),"")</f>
        <v>44.976958525345616</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17.399024434901548</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 t="shared" si="13"/>
        <v>-1.168907071887785</v>
      </c>
      <c r="AA30" s="163" t="str">
        <f t="shared" si="14"/>
        <v>下落▼</v>
      </c>
      <c r="AB30" s="403">
        <f>IF(C30="","",IFERROR(((終値!E32*0.333)+(終値!F32*0.222)+(終値!G32*0.148)+(終値!H32*0.099)+(終値!I32*0.066)+(終値!J32*0.044)+(終値!K32*0.029)+(終値!L32*0.019)+(終値!M32*0.013)+(終値!N32*0.009))/(0.333+0.222+0.148+0.099+0.066+0.044+0.029+0.019+0.013+0.009),""))</f>
        <v>1385.9582484725049</v>
      </c>
      <c r="AC30" s="403">
        <f>IF(C30="","",IFERROR(SUMPRODUCT((終値!E32:AC32),({0.077,0.071,0.065,0.06,0.055,0.051,0.047,0.043,0.039,0.036,0.033,0.031,0.028,0.026,0.024,0.022,0.02,0.018,0.017,0.016,0.014,0.013,0.012,0.011,0.01}))/SUM({0.077,0.071,0.065,0.06,0.055,0.051,0.047,0.043,0.039,0.036,0.033,0.031,0.028,0.026,0.024,0.022,0.02,0.018,0.017,0.016,0.014,0.013,0.012,0.011,0.01}),""))</f>
        <v>1416.7306317044099</v>
      </c>
      <c r="AD30" s="404" t="str">
        <f t="shared" si="6"/>
        <v>上昇トレンド▲</v>
      </c>
      <c r="AE30" s="404" t="str">
        <f t="shared" si="7"/>
        <v>なし</v>
      </c>
      <c r="AF30" s="365">
        <f t="array" ref="AF30">IF(C30="","",IFERROR((INDEX(終値!$E:$E,MATCH(TEXT(C30,"0"),終値!$A:$A,0))-INDEX(終値!$E:$CZ,MATCH(TEXT(C30,"0"),終値!$A:$A,0),$AL$2))/INDEX(終値!$E:$CZ,MATCH(TEXT(C30,"0"),終値!$A:$A,0),$AL$2)*100,""))</f>
        <v>-1.2746234067207416</v>
      </c>
      <c r="AG30" s="365">
        <f t="array" ref="AG30">IFERROR((終値!$E$5-INDEX(終値!$E$5:$CZ$5,1,$AL$2))/INDEX(終値!$E$5:$CZ$5,1,$AL$2)*100,"")</f>
        <v>-0.82558151178043282</v>
      </c>
      <c r="AH30" s="366">
        <f t="shared" si="8"/>
        <v>-0.44904189494030877</v>
      </c>
      <c r="AI30" s="364">
        <f t="shared" si="9"/>
        <v>-1</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2434</v>
      </c>
      <c r="F31" s="166">
        <f>IF(C31&lt;&gt;"",_xll.RssMarket(C31,"始値"),"")</f>
        <v>2425</v>
      </c>
      <c r="G31" s="165">
        <f>IF(C31&lt;&gt;"",終値!F125,"")</f>
        <v>2435</v>
      </c>
      <c r="H31" s="166">
        <f>IF(C31&lt;&gt;"",_xll.RssMarket(C31,"高値"),"")</f>
        <v>2435</v>
      </c>
      <c r="I31" s="166">
        <f>IF(C31&lt;&gt;"",_xll.RssMarket(C31,"安値"),"")</f>
        <v>2414</v>
      </c>
      <c r="J31" s="166">
        <f>IF(C31&lt;&gt;"",_xll.RssMarket(C31,"出来高"),"")</f>
        <v>42500</v>
      </c>
      <c r="K31" s="166">
        <f>IF(C31&lt;&gt;"",_xll.RssMarket(C31,"年初来高値"),"")</f>
        <v>2885</v>
      </c>
      <c r="L31" s="167">
        <f t="shared" si="0"/>
        <v>-15.632582322357019</v>
      </c>
      <c r="M31" s="166">
        <f>IF(C31&lt;&gt;"",IFERROR(AVERAGE(出来高!E125:I125),""),"")</f>
        <v>128200</v>
      </c>
      <c r="N31" s="166">
        <f>IF(C31&lt;&gt;"",IFERROR(AVERAGE(出来高!E125:AC125),""),"")</f>
        <v>116440</v>
      </c>
      <c r="O31" s="168">
        <f t="shared" si="1"/>
        <v>0.33151326053042124</v>
      </c>
      <c r="P31" s="163" t="str">
        <f t="shared" si="2"/>
        <v>減少↓</v>
      </c>
      <c r="Q31" s="163" t="str">
        <f t="shared" si="3"/>
        <v>様子見▼</v>
      </c>
      <c r="R31" s="166">
        <f t="shared" si="10"/>
        <v>2629</v>
      </c>
      <c r="S31" s="166">
        <f t="shared" si="11"/>
        <v>2337</v>
      </c>
      <c r="T31" s="163">
        <f t="shared" si="4"/>
        <v>3</v>
      </c>
      <c r="U31" s="163" t="str">
        <f t="shared" si="12"/>
        <v>要確認</v>
      </c>
      <c r="V31" s="163" t="str">
        <f t="shared" si="5"/>
        <v>通常</v>
      </c>
      <c r="W31" s="169">
        <f t="array" ref="W31">IF(C31&lt;&gt;"",IFERROR(100-100/(1+SUMPRODUCT((終値!F125:R125&gt;終値!G125:S125)*( 終値!F125:R125-終値!G125:S125))/SUMPRODUCT((終値!F125:R125&lt;終値!G125:S125)*(終値!G125:S125-終値!F125:R125))),50),"")</f>
        <v>46.351931330472098</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0.13912847925757887</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様子見</v>
      </c>
      <c r="Z31" s="171">
        <f t="shared" si="13"/>
        <v>-4.1067761806981518E-2</v>
      </c>
      <c r="AA31" s="163" t="str">
        <f t="shared" si="14"/>
        <v>下落▼</v>
      </c>
      <c r="AB31" s="405">
        <f>IF(C31="","",IFERROR(((終値!E33*0.333)+(終値!F33*0.222)+(終値!G33*0.148)+(終値!H33*0.099)+(終値!I33*0.066)+(終値!J33*0.044)+(終値!K33*0.029)+(終値!L33*0.019)+(終値!M33*0.013)+(終値!N33*0.009))/(0.333+0.222+0.148+0.099+0.066+0.044+0.029+0.019+0.013+0.009),""))</f>
        <v>1800.1023421588588</v>
      </c>
      <c r="AC31" s="405">
        <f>IF(C31="","",IFERROR(SUMPRODUCT((終値!E33:AC33),({0.077,0.071,0.065,0.06,0.055,0.051,0.047,0.043,0.039,0.036,0.033,0.031,0.028,0.026,0.024,0.022,0.02,0.018,0.017,0.016,0.014,0.013,0.012,0.011,0.01}))/SUM({0.077,0.071,0.065,0.06,0.055,0.051,0.047,0.043,0.039,0.036,0.033,0.031,0.028,0.026,0.024,0.022,0.02,0.018,0.017,0.016,0.014,0.013,0.012,0.011,0.01}),""))</f>
        <v>1800.937425506555</v>
      </c>
      <c r="AD31" s="406" t="str">
        <f t="shared" si="6"/>
        <v>上昇トレンド▲</v>
      </c>
      <c r="AE31" s="406" t="str">
        <f t="shared" si="7"/>
        <v>なし</v>
      </c>
      <c r="AF31" s="365">
        <f t="array" ref="AF31">IF(C31="","",IFERROR((INDEX(終値!$E:$E,MATCH(TEXT(C31,"0"),終値!$A:$A,0))-INDEX(終値!$E:$CZ,MATCH(TEXT(C31,"0"),終値!$A:$A,0),$AL$2))/INDEX(終値!$E:$CZ,MATCH(TEXT(C31,"0"),終値!$A:$A,0),$AL$2)*100,""))</f>
        <v>-1.6319869441044472</v>
      </c>
      <c r="AG31" s="365">
        <f t="array" ref="AG31">IFERROR((終値!$E$5-INDEX(終値!$E$5:$CZ$5,1,$AL$2))/INDEX(終値!$E$5:$CZ$5,1,$AL$2)*100,"")</f>
        <v>-0.82558151178043282</v>
      </c>
      <c r="AH31" s="366">
        <f t="shared" si="8"/>
        <v>-0.8064054323240144</v>
      </c>
      <c r="AI31" s="364">
        <f t="shared" si="9"/>
        <v>-1</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1073</v>
      </c>
      <c r="F32" s="166">
        <f>IF(C32&lt;&gt;"",_xll.RssMarket(C32,"始値"),"")</f>
        <v>1073</v>
      </c>
      <c r="G32" s="165">
        <f>IF(C32&lt;&gt;"",終値!F161,"")</f>
        <v>1068</v>
      </c>
      <c r="H32" s="166">
        <f>IF(C32&lt;&gt;"",_xll.RssMarket(C32,"高値"),"")</f>
        <v>1084</v>
      </c>
      <c r="I32" s="166">
        <f>IF(C32&lt;&gt;"",_xll.RssMarket(C32,"安値"),"")</f>
        <v>1066</v>
      </c>
      <c r="J32" s="166">
        <f>IF(C32&lt;&gt;"",_xll.RssMarket(C32,"出来高"),"")</f>
        <v>113700</v>
      </c>
      <c r="K32" s="166">
        <f>IF(C32&lt;&gt;"",_xll.RssMarket(C32,"年初来高値"),"")</f>
        <v>1267</v>
      </c>
      <c r="L32" s="167">
        <f t="shared" si="0"/>
        <v>-15.311760063141278</v>
      </c>
      <c r="M32" s="166">
        <f>IF(C32&lt;&gt;"",IFERROR(AVERAGE(出来高!E161:I161),""),"")</f>
        <v>344340</v>
      </c>
      <c r="N32" s="166">
        <f>IF(C32&lt;&gt;"",IFERROR(AVERAGE(出来高!E161:AC161),""),"")</f>
        <v>194066.66666666666</v>
      </c>
      <c r="O32" s="168">
        <f t="shared" si="1"/>
        <v>0.3301968984143579</v>
      </c>
      <c r="P32" s="163" t="str">
        <f t="shared" si="2"/>
        <v>減少↓</v>
      </c>
      <c r="Q32" s="163" t="str">
        <f t="shared" si="3"/>
        <v>中立→</v>
      </c>
      <c r="R32" s="166">
        <f t="shared" si="10"/>
        <v>1159</v>
      </c>
      <c r="S32" s="166">
        <f t="shared" si="11"/>
        <v>1030</v>
      </c>
      <c r="T32" s="163">
        <f t="shared" si="4"/>
        <v>1</v>
      </c>
      <c r="U32" s="163" t="str">
        <f t="shared" si="12"/>
        <v>除外</v>
      </c>
      <c r="V32" s="163" t="str">
        <f t="shared" si="5"/>
        <v>通常</v>
      </c>
      <c r="W32" s="169">
        <f t="array" ref="W32">IF(C32&lt;&gt;"",IFERROR(100-100/(1+SUMPRODUCT((終値!F161:R161&gt;終値!G161:S161)*( 終値!F161:R161-終値!G161:S161))/SUMPRODUCT((終値!F161:R161&lt;終値!G161:S161)*(終値!G161:S161-終値!F161:R161))),50),"")</f>
        <v>48.859233749461907</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-10.733317677589639</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 t="shared" si="13"/>
        <v>0.46816479400749067</v>
      </c>
      <c r="AA32" s="163" t="str">
        <f t="shared" si="14"/>
        <v>上昇▲</v>
      </c>
      <c r="AB32" s="403">
        <f>IF(C32="","",IFERROR(((終値!E34*0.333)+(終値!F34*0.222)+(終値!G34*0.148)+(終値!H34*0.099)+(終値!I34*0.066)+(終値!J34*0.044)+(終値!K34*0.029)+(終値!L34*0.019)+(終値!M34*0.013)+(終値!N34*0.009))/(0.333+0.222+0.148+0.099+0.066+0.044+0.029+0.019+0.013+0.009),""))</f>
        <v>4056.622199592668</v>
      </c>
      <c r="AC32" s="403">
        <f>IF(C32="","",IFERROR(SUMPRODUCT((終値!E34:AC34),({0.077,0.071,0.065,0.06,0.055,0.051,0.047,0.043,0.039,0.036,0.033,0.031,0.028,0.026,0.024,0.022,0.02,0.018,0.017,0.016,0.014,0.013,0.012,0.011,0.01}))/SUM({0.077,0.071,0.065,0.06,0.055,0.051,0.047,0.043,0.039,0.036,0.033,0.031,0.028,0.026,0.024,0.022,0.02,0.018,0.017,0.016,0.014,0.013,0.012,0.011,0.01}),""))</f>
        <v>4072.7091775923714</v>
      </c>
      <c r="AD32" s="404" t="str">
        <f t="shared" si="6"/>
        <v>下降トレンド▼</v>
      </c>
      <c r="AE32" s="404" t="str">
        <f t="shared" si="7"/>
        <v>なし</v>
      </c>
      <c r="AF32" s="365">
        <f t="array" ref="AF32">IF(C32="","",IFERROR((INDEX(終値!$E:$E,MATCH(TEXT(C32,"0"),終値!$A:$A,0))-INDEX(終値!$E:$CZ,MATCH(TEXT(C32,"0"),終値!$A:$A,0),$AL$2))/INDEX(終値!$E:$CZ,MATCH(TEXT(C32,"0"),終値!$A:$A,0),$AL$2)*100,""))</f>
        <v>-0.92421441774491686</v>
      </c>
      <c r="AG32" s="365">
        <f t="array" ref="AG32">IFERROR((終値!$E$5-INDEX(終値!$E$5:$CZ$5,1,$AL$2))/INDEX(終値!$E$5:$CZ$5,1,$AL$2)*100,"")</f>
        <v>-0.82558151178043282</v>
      </c>
      <c r="AH32" s="366">
        <f t="shared" si="8"/>
        <v>-9.8632905964484041E-2</v>
      </c>
      <c r="AI32" s="364">
        <f t="shared" si="9"/>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1484.5</v>
      </c>
      <c r="F33" s="166">
        <f>IF(C33&lt;&gt;"",_xll.RssMarket(C33,"始値"),"")</f>
        <v>1479.5</v>
      </c>
      <c r="G33" s="165">
        <f>IF(C33&lt;&gt;"",終値!F124,"")</f>
        <v>1488.5</v>
      </c>
      <c r="H33" s="166">
        <f>IF(C33&lt;&gt;"",_xll.RssMarket(C33,"高値"),"")</f>
        <v>1495.5</v>
      </c>
      <c r="I33" s="166">
        <f>IF(C33&lt;&gt;"",_xll.RssMarket(C33,"安値"),"")</f>
        <v>1473.5</v>
      </c>
      <c r="J33" s="166">
        <f>IF(C33&lt;&gt;"",_xll.RssMarket(C33,"出来高"),"")</f>
        <v>3874700</v>
      </c>
      <c r="K33" s="166">
        <f>IF(C33&lt;&gt;"",_xll.RssMarket(C33,"年初来高値"),"")</f>
        <v>2158</v>
      </c>
      <c r="L33" s="167">
        <f t="shared" si="0"/>
        <v>-31.209453197405008</v>
      </c>
      <c r="M33" s="166">
        <f>IF(C33&lt;&gt;"",IFERROR(AVERAGE(出来高!E124:I124),""),"")</f>
        <v>11614260</v>
      </c>
      <c r="N33" s="166">
        <f>IF(C33&lt;&gt;"",IFERROR(AVERAGE(出来高!E124:AC124),""),"")</f>
        <v>9091984</v>
      </c>
      <c r="O33" s="168">
        <f t="shared" si="1"/>
        <v>0.33361574478270678</v>
      </c>
      <c r="P33" s="163" t="str">
        <f t="shared" si="2"/>
        <v>減少↓</v>
      </c>
      <c r="Q33" s="163" t="str">
        <f t="shared" si="3"/>
        <v>様子見▼</v>
      </c>
      <c r="R33" s="166">
        <f t="shared" si="10"/>
        <v>1603</v>
      </c>
      <c r="S33" s="166">
        <f t="shared" si="11"/>
        <v>1425</v>
      </c>
      <c r="T33" s="163">
        <f t="shared" si="4"/>
        <v>1</v>
      </c>
      <c r="U33" s="163" t="str">
        <f t="shared" si="12"/>
        <v>除外</v>
      </c>
      <c r="V33" s="163" t="str">
        <f t="shared" si="5"/>
        <v>通常</v>
      </c>
      <c r="W33" s="169">
        <f t="array" ref="W33">IF(C33&lt;&gt;"",IFERROR(100-100/(1+SUMPRODUCT((終値!F124:R124&gt;終値!G124:S124)*( 終値!F124:R124-終値!G124:S124))/SUMPRODUCT((終値!F124:R124&lt;終値!G124:S124)*(終値!G124:S124-終値!F124:R124))),50),"")</f>
        <v>45.701357466063349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1.8838436707678738</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 t="shared" si="13"/>
        <v>-0.26872690628149143</v>
      </c>
      <c r="AA33" s="163" t="str">
        <f t="shared" si="14"/>
        <v>下落▼</v>
      </c>
      <c r="AB33" s="405">
        <f>IF(C33="","",IFERROR(((終値!E35*0.333)+(終値!F35*0.222)+(終値!G35*0.148)+(終値!H35*0.099)+(終値!I35*0.066)+(終値!J35*0.044)+(終値!K35*0.029)+(終値!L35*0.019)+(終値!M35*0.013)+(終値!N35*0.009))/(0.333+0.222+0.148+0.099+0.066+0.044+0.029+0.019+0.013+0.009),""))</f>
        <v>2222.1216904276989</v>
      </c>
      <c r="AC33" s="405">
        <f>IF(C33="","",IFERROR(SUMPRODUCT((終値!E35:AC35),({0.077,0.071,0.065,0.06,0.055,0.051,0.047,0.043,0.039,0.036,0.033,0.031,0.028,0.026,0.024,0.022,0.02,0.018,0.017,0.016,0.014,0.013,0.012,0.011,0.01}))/SUM({0.077,0.071,0.065,0.06,0.055,0.051,0.047,0.043,0.039,0.036,0.033,0.031,0.028,0.026,0.024,0.022,0.02,0.018,0.017,0.016,0.014,0.013,0.012,0.011,0.01}),""))</f>
        <v>2271.7002383790218</v>
      </c>
      <c r="AD33" s="406" t="str">
        <f t="shared" si="6"/>
        <v>下降トレンド▼</v>
      </c>
      <c r="AE33" s="406" t="str">
        <f t="shared" si="7"/>
        <v>なし</v>
      </c>
      <c r="AF33" s="365">
        <f t="array" ref="AF33">IF(C33="","",IFERROR((INDEX(終値!$E:$E,MATCH(TEXT(C33,"0"),終値!$A:$A,0))-INDEX(終値!$E:$CZ,MATCH(TEXT(C33,"0"),終値!$A:$A,0),$AL$2))/INDEX(終値!$E:$CZ,MATCH(TEXT(C33,"0"),終値!$A:$A,0),$AL$2)*100,""))</f>
        <v>-3.0582045379809273</v>
      </c>
      <c r="AG33" s="365">
        <f t="array" ref="AG33">IFERROR((終値!$E$5-INDEX(終値!$E$5:$CZ$5,1,$AL$2))/INDEX(終値!$E$5:$CZ$5,1,$AL$2)*100,"")</f>
        <v>-0.82558151178043282</v>
      </c>
      <c r="AH33" s="366">
        <f t="shared" si="8"/>
        <v>-2.2326230262004945</v>
      </c>
      <c r="AI33" s="364">
        <f t="shared" si="9"/>
        <v>-1</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5022</v>
      </c>
      <c r="F34" s="166">
        <f>IF(C34&lt;&gt;"",_xll.RssMarket(C34,"始値"),"")</f>
        <v>5020</v>
      </c>
      <c r="G34" s="165">
        <f>IF(C34&lt;&gt;"",終値!F23,"")</f>
        <v>4969</v>
      </c>
      <c r="H34" s="166">
        <f>IF(C34&lt;&gt;"",_xll.RssMarket(C34,"高値"),"")</f>
        <v>5040</v>
      </c>
      <c r="I34" s="166">
        <f>IF(C34&lt;&gt;"",_xll.RssMarket(C34,"安値"),"")</f>
        <v>4973</v>
      </c>
      <c r="J34" s="166">
        <f>IF(C34&lt;&gt;"",_xll.RssMarket(C34,"出来高"),"")</f>
        <v>581000</v>
      </c>
      <c r="K34" s="166">
        <f>IF(C34&lt;&gt;"",_xll.RssMarket(C34,"年初来高値"),"")</f>
        <v>5176</v>
      </c>
      <c r="L34" s="167">
        <f t="shared" si="0"/>
        <v>-2.9752704791344669</v>
      </c>
      <c r="M34" s="166">
        <f>IF(C34&lt;&gt;"",IFERROR(AVERAGE(出来高!E23:I23),""),"")</f>
        <v>1510160</v>
      </c>
      <c r="N34" s="166">
        <f>IF(C34&lt;&gt;"",IFERROR(AVERAGE(出来高!E23:AC23),""),"")</f>
        <v>1682983.3333333333</v>
      </c>
      <c r="O34" s="168">
        <f t="shared" si="1"/>
        <v>0.38472744609842668</v>
      </c>
      <c r="P34" s="163" t="str">
        <f t="shared" si="2"/>
        <v>減少↓</v>
      </c>
      <c r="Q34" s="163" t="str">
        <f t="shared" si="3"/>
        <v>中立→</v>
      </c>
      <c r="R34" s="166">
        <f t="shared" si="10"/>
        <v>5424</v>
      </c>
      <c r="S34" s="166">
        <f t="shared" si="11"/>
        <v>4821</v>
      </c>
      <c r="T34" s="163">
        <f t="shared" si="4"/>
        <v>10</v>
      </c>
      <c r="U34" s="163" t="str">
        <f t="shared" si="12"/>
        <v>要確認</v>
      </c>
      <c r="V34" s="163" t="str">
        <f t="shared" si="5"/>
        <v>高値圏</v>
      </c>
      <c r="W34" s="169">
        <f t="array" ref="W34">IF(C34&lt;&gt;"",IFERROR(100-100/(1+SUMPRODUCT((終値!F23:R23&gt;終値!G23:S23)*( 終値!F23:R23-終値!G23:S23))/SUMPRODUCT((終値!F23:R23&lt;終値!G23:S23)*(終値!G23:S23-終値!F23:R23))),50),"")</f>
        <v>50.180823851106993</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-20.865460776391956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○買い候補</v>
      </c>
      <c r="Z34" s="171">
        <f t="shared" si="13"/>
        <v>1.0666130006037433</v>
      </c>
      <c r="AA34" s="163" t="str">
        <f t="shared" si="14"/>
        <v>上昇▲</v>
      </c>
      <c r="AB34" s="403">
        <f>IF(C34="","",IFERROR(((終値!E36*0.333)+(終値!F36*0.222)+(終値!G36*0.148)+(終値!H36*0.099)+(終値!I36*0.066)+(終値!J36*0.044)+(終値!K36*0.029)+(終値!L36*0.019)+(終値!M36*0.013)+(終値!N36*0.009))/(0.333+0.222+0.148+0.099+0.066+0.044+0.029+0.019+0.013+0.009),""))</f>
        <v>1770.6782077393068</v>
      </c>
      <c r="AC34" s="403">
        <f>IF(C34="","",IFERROR(SUMPRODUCT((終値!E36:AC36),({0.077,0.071,0.065,0.06,0.055,0.051,0.047,0.043,0.039,0.036,0.033,0.031,0.028,0.026,0.024,0.022,0.02,0.018,0.017,0.016,0.014,0.013,0.012,0.011,0.01}))/SUM({0.077,0.071,0.065,0.06,0.055,0.051,0.047,0.043,0.039,0.036,0.033,0.031,0.028,0.026,0.024,0.022,0.02,0.018,0.017,0.016,0.014,0.013,0.012,0.011,0.01}),""))</f>
        <v>1832.2234803337299</v>
      </c>
      <c r="AD34" s="404" t="str">
        <f t="shared" si="6"/>
        <v>上昇トレンド▲</v>
      </c>
      <c r="AE34" s="404" t="str">
        <f t="shared" si="7"/>
        <v>なし</v>
      </c>
      <c r="AF34" s="365">
        <f t="array" ref="AF34">IF(C34="","",IFERROR((INDEX(終値!$E:$E,MATCH(TEXT(C34,"0"),終値!$A:$A,0))-INDEX(終値!$E:$CZ,MATCH(TEXT(C34,"0"),終値!$A:$A,0),$AL$2))/INDEX(終値!$E:$CZ,MATCH(TEXT(C34,"0"),終値!$A:$A,0),$AL$2)*100,""))</f>
        <v>6.1752136752136755</v>
      </c>
      <c r="AG34" s="365">
        <f t="array" ref="AG34">IFERROR((終値!$E$5-INDEX(終値!$E$5:$CZ$5,1,$AL$2))/INDEX(終値!$E$5:$CZ$5,1,$AL$2)*100,"")</f>
        <v>-0.82558151178043282</v>
      </c>
      <c r="AH34" s="366">
        <f t="shared" si="8"/>
        <v>7.0007951869941083</v>
      </c>
      <c r="AI34" s="364">
        <f t="shared" si="9"/>
        <v>3</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7712</v>
      </c>
      <c r="F35" s="166">
        <f>IF(C35&lt;&gt;"",_xll.RssMarket(C35,"始値"),"")</f>
        <v>7717</v>
      </c>
      <c r="G35" s="165">
        <f>IF(C35&lt;&gt;"",終値!F52,"")</f>
        <v>7885</v>
      </c>
      <c r="H35" s="166">
        <f>IF(C35&lt;&gt;"",_xll.RssMarket(C35,"高値"),"")</f>
        <v>7819</v>
      </c>
      <c r="I35" s="166">
        <f>IF(C35&lt;&gt;"",_xll.RssMarket(C35,"安値"),"")</f>
        <v>7696</v>
      </c>
      <c r="J35" s="166">
        <f>IF(C35&lt;&gt;"",_xll.RssMarket(C35,"出来高"),"")</f>
        <v>1818500</v>
      </c>
      <c r="K35" s="166">
        <f>IF(C35&lt;&gt;"",_xll.RssMarket(C35,"年初来高値"),"")</f>
        <v>8468</v>
      </c>
      <c r="L35" s="167">
        <f t="shared" si="0"/>
        <v>-8.9277279168634855</v>
      </c>
      <c r="M35" s="166">
        <f>IF(C35&lt;&gt;"",IFERROR(AVERAGE(出来高!E52:I52),""),"")</f>
        <v>5116340</v>
      </c>
      <c r="N35" s="166">
        <f>IF(C35&lt;&gt;"",IFERROR(AVERAGE(出来高!E52:AC52),""),"")</f>
        <v>5307096</v>
      </c>
      <c r="O35" s="168">
        <f t="shared" si="1"/>
        <v>0.35542985806259941</v>
      </c>
      <c r="P35" s="163" t="str">
        <f t="shared" si="2"/>
        <v>減少↓</v>
      </c>
      <c r="Q35" s="163" t="str">
        <f t="shared" si="3"/>
        <v>様子見▼</v>
      </c>
      <c r="R35" s="166">
        <f t="shared" si="10"/>
        <v>8329</v>
      </c>
      <c r="S35" s="166">
        <f t="shared" si="11"/>
        <v>7404</v>
      </c>
      <c r="T35" s="163">
        <f t="shared" si="4"/>
        <v>8</v>
      </c>
      <c r="U35" s="163" t="str">
        <f t="shared" si="12"/>
        <v>要確認</v>
      </c>
      <c r="V35" s="163" t="str">
        <f t="shared" si="5"/>
        <v>通常</v>
      </c>
      <c r="W35" s="169">
        <f t="array" ref="W35">IF(C35&lt;&gt;"",IFERROR(100-100/(1+SUMPRODUCT((終値!F52:R52&gt;終値!G52:S52)*( 終値!F52:R52-終値!G52:S52))/SUMPRODUCT((終値!F52:R52&lt;終値!G52:S52)*(終値!G52:S52-終値!F52:R52))),50),"")</f>
        <v>57.456140350877192</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60.344956396102134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 t="shared" si="13"/>
        <v>-2.1940393151553583</v>
      </c>
      <c r="AA35" s="163" t="str">
        <f t="shared" si="14"/>
        <v>下落▼</v>
      </c>
      <c r="AB35" s="405">
        <f>IF(C35="","",IFERROR(((終値!E37*0.333)+(終値!F37*0.222)+(終値!G37*0.148)+(終値!H37*0.099)+(終値!I37*0.066)+(終値!J37*0.044)+(終値!K37*0.029)+(終値!L37*0.019)+(終値!M37*0.013)+(終値!N37*0.009))/(0.333+0.222+0.148+0.099+0.066+0.044+0.029+0.019+0.013+0.009),""))</f>
        <v>1550.6705702647657</v>
      </c>
      <c r="AC35" s="405">
        <f>IF(C35="","",IFERROR(SUMPRODUCT((終値!E37:AC37),({0.077,0.071,0.065,0.06,0.055,0.051,0.047,0.043,0.039,0.036,0.033,0.031,0.028,0.026,0.024,0.022,0.02,0.018,0.017,0.016,0.014,0.013,0.012,0.011,0.01}))/SUM({0.077,0.071,0.065,0.06,0.055,0.051,0.047,0.043,0.039,0.036,0.033,0.031,0.028,0.026,0.024,0.022,0.02,0.018,0.017,0.016,0.014,0.013,0.012,0.011,0.01}),""))</f>
        <v>1550.1764004767572</v>
      </c>
      <c r="AD35" s="406" t="str">
        <f t="shared" ref="AD35:AD66" si="15">IF(OR(C35="",AB35="",AC35=""),"",IF(AND(E35&gt;AB35,AB35&gt;AC35),"パーフェクト▲",IF(E35&gt;AC35,"上昇トレンド▲",IF(AND(E35&lt;AB35,AB35&lt;AC35),"下降トレンド▼","もみ合い→"))))</f>
        <v>パーフェクト▲</v>
      </c>
      <c r="AE35" s="406" t="str">
        <f t="shared" ref="AE35:AE66" si="16">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6.3603752759381909</v>
      </c>
      <c r="AG35" s="365">
        <f t="array" ref="AG35">IFERROR((終値!$E$5-INDEX(終値!$E$5:$CZ$5,1,$AL$2))/INDEX(終値!$E$5:$CZ$5,1,$AL$2)*100,"")</f>
        <v>-0.82558151178043282</v>
      </c>
      <c r="AH35" s="366">
        <f t="shared" si="8"/>
        <v>7.1859567877186237</v>
      </c>
      <c r="AI35" s="364">
        <f t="shared" si="9"/>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1903</v>
      </c>
      <c r="F36" s="166">
        <f>IF(C36&lt;&gt;"",_xll.RssMarket(C36,"始値"),"")</f>
        <v>1891.5</v>
      </c>
      <c r="G36" s="165">
        <f>IF(C36&lt;&gt;"",終値!F43,"")</f>
        <v>1888.5</v>
      </c>
      <c r="H36" s="166">
        <f>IF(C36&lt;&gt;"",_xll.RssMarket(C36,"高値"),"")</f>
        <v>1903</v>
      </c>
      <c r="I36" s="166">
        <f>IF(C36&lt;&gt;"",_xll.RssMarket(C36,"安値"),"")</f>
        <v>1880</v>
      </c>
      <c r="J36" s="166">
        <f>IF(C36&lt;&gt;"",_xll.RssMarket(C36,"出来高"),"")</f>
        <v>3884100</v>
      </c>
      <c r="K36" s="166">
        <f>IF(C36&lt;&gt;"",_xll.RssMarket(C36,"年初来高値"),"")</f>
        <v>1959</v>
      </c>
      <c r="L36" s="167">
        <f t="shared" si="0"/>
        <v>-2.8586013272077588</v>
      </c>
      <c r="M36" s="166">
        <f>IF(C36&lt;&gt;"",IFERROR(AVERAGE(出来高!E43:I43),""),"")</f>
        <v>9965040</v>
      </c>
      <c r="N36" s="166">
        <f>IF(C36&lt;&gt;"",IFERROR(AVERAGE(出来高!E43:AC43),""),"")</f>
        <v>10656370.833333334</v>
      </c>
      <c r="O36" s="168">
        <f t="shared" si="1"/>
        <v>0.38977264516750559</v>
      </c>
      <c r="P36" s="163" t="str">
        <f t="shared" si="2"/>
        <v>減少↓</v>
      </c>
      <c r="Q36" s="163" t="str">
        <f t="shared" si="3"/>
        <v>中立→</v>
      </c>
      <c r="R36" s="166">
        <f t="shared" si="10"/>
        <v>2055</v>
      </c>
      <c r="S36" s="166">
        <f t="shared" si="11"/>
        <v>1827</v>
      </c>
      <c r="T36" s="163">
        <f t="shared" si="4"/>
        <v>8</v>
      </c>
      <c r="U36" s="163" t="str">
        <f t="shared" si="12"/>
        <v>要確認</v>
      </c>
      <c r="V36" s="163" t="str">
        <f t="shared" si="5"/>
        <v>高値圏</v>
      </c>
      <c r="W36" s="169">
        <f t="array" ref="W36">IF(C36&lt;&gt;"",IFERROR(100-100/(1+SUMPRODUCT((終値!F43:R43&gt;終値!G43:S43)*( 終値!F43:R43-終値!G43:S43))/SUMPRODUCT((終値!F43:R43&lt;終値!G43:S43)*(終値!G43:S43-終値!F43:R43))),50),"")</f>
        <v>50.705046031931012</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-4.542583953923895</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 t="shared" si="13"/>
        <v>0.76780513635160175</v>
      </c>
      <c r="AA36" s="163" t="str">
        <f t="shared" si="14"/>
        <v>上昇▲</v>
      </c>
      <c r="AB36" s="403">
        <f>IF(C36="","",IFERROR(((終値!E38*0.333)+(終値!F38*0.222)+(終値!G38*0.148)+(終値!H38*0.099)+(終値!I38*0.066)+(終値!J38*0.044)+(終値!K38*0.029)+(終値!L38*0.019)+(終値!M38*0.013)+(終値!N38*0.009))/(0.333+0.222+0.148+0.099+0.066+0.044+0.029+0.019+0.013+0.009),""))</f>
        <v>2058.2973523421583</v>
      </c>
      <c r="AC36" s="403">
        <f>IF(C36="","",IFERROR(SUMPRODUCT((終値!E38:AC38),({0.077,0.071,0.065,0.06,0.055,0.051,0.047,0.043,0.039,0.036,0.033,0.031,0.028,0.026,0.024,0.022,0.02,0.018,0.017,0.016,0.014,0.013,0.012,0.011,0.01}))/SUM({0.077,0.071,0.065,0.06,0.055,0.051,0.047,0.043,0.039,0.036,0.033,0.031,0.028,0.026,0.024,0.022,0.02,0.018,0.017,0.016,0.014,0.013,0.012,0.011,0.01}),""))</f>
        <v>1993.4874851013108</v>
      </c>
      <c r="AD36" s="404" t="str">
        <f t="shared" si="15"/>
        <v>もみ合い→</v>
      </c>
      <c r="AE36" s="404" t="str">
        <f t="shared" si="16"/>
        <v>なし</v>
      </c>
      <c r="AF36" s="365">
        <f t="array" ref="AF36">IF(C36="","",IFERROR((INDEX(終値!$E:$E,MATCH(TEXT(C36,"0"),終値!$A:$A,0))-INDEX(終値!$E:$CZ,MATCH(TEXT(C36,"0"),終値!$A:$A,0),$AL$2))/INDEX(終値!$E:$CZ,MATCH(TEXT(C36,"0"),終値!$A:$A,0),$AL$2)*100,""))</f>
        <v>8.1656124209315699</v>
      </c>
      <c r="AG36" s="365">
        <f t="array" ref="AG36">IFERROR((終値!$E$5-INDEX(終値!$E$5:$CZ$5,1,$AL$2))/INDEX(終値!$E$5:$CZ$5,1,$AL$2)*100,"")</f>
        <v>-0.82558151178043282</v>
      </c>
      <c r="AH36" s="366">
        <f t="shared" si="8"/>
        <v>8.9911939327120027</v>
      </c>
      <c r="AI36" s="364">
        <f t="shared" si="9"/>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4749</v>
      </c>
      <c r="F37" s="166">
        <f>IF(C37&lt;&gt;"",_xll.RssMarket(C37,"始値"),"")</f>
        <v>4809</v>
      </c>
      <c r="G37" s="165">
        <f>IF(C37&lt;&gt;"",終値!F22,"")</f>
        <v>4820</v>
      </c>
      <c r="H37" s="166">
        <f>IF(C37&lt;&gt;"",_xll.RssMarket(C37,"高値"),"")</f>
        <v>4822</v>
      </c>
      <c r="I37" s="166">
        <f>IF(C37&lt;&gt;"",_xll.RssMarket(C37,"安値"),"")</f>
        <v>4737</v>
      </c>
      <c r="J37" s="166">
        <f>IF(C37&lt;&gt;"",_xll.RssMarket(C37,"出来高"),"")</f>
        <v>1896000</v>
      </c>
      <c r="K37" s="166">
        <f>IF(C37&lt;&gt;"",_xll.RssMarket(C37,"年初来高値"),"")</f>
        <v>5073</v>
      </c>
      <c r="L37" s="167">
        <f t="shared" si="0"/>
        <v>-6.3867534003548192</v>
      </c>
      <c r="M37" s="166">
        <f>IF(C37&lt;&gt;"",IFERROR(AVERAGE(出来高!E22:I22),""),"")</f>
        <v>4717800</v>
      </c>
      <c r="N37" s="166">
        <f>IF(C37&lt;&gt;"",IFERROR(AVERAGE(出来高!E22:AC22),""),"")</f>
        <v>4937276</v>
      </c>
      <c r="O37" s="168">
        <f t="shared" si="1"/>
        <v>0.40188223324430877</v>
      </c>
      <c r="P37" s="163" t="str">
        <f t="shared" si="2"/>
        <v>減少↓</v>
      </c>
      <c r="Q37" s="163" t="str">
        <f t="shared" si="3"/>
        <v>様子見▼</v>
      </c>
      <c r="R37" s="166">
        <f t="shared" si="10"/>
        <v>5129</v>
      </c>
      <c r="S37" s="166">
        <f t="shared" si="11"/>
        <v>4559</v>
      </c>
      <c r="T37" s="163">
        <f t="shared" si="4"/>
        <v>9</v>
      </c>
      <c r="U37" s="163" t="str">
        <f t="shared" si="12"/>
        <v>要確認</v>
      </c>
      <c r="V37" s="163" t="str">
        <f t="shared" si="5"/>
        <v>高値圏</v>
      </c>
      <c r="W37" s="169">
        <f t="array" ref="W37">IF(C37&lt;&gt;"",IFERROR(100-100/(1+SUMPRODUCT((終値!F22:R22&gt;終値!G22:S22)*( 終値!F22:R22-終値!G22:S22))/SUMPRODUCT((終値!F22:R22&lt;終値!G22:S22)*(終値!G22:S22-終値!F22:R22))),50),"")</f>
        <v>68.86517943743938</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66.176535092086851</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△注目</v>
      </c>
      <c r="Z37" s="171">
        <f t="shared" si="13"/>
        <v>-1.4730290456431534</v>
      </c>
      <c r="AA37" s="163" t="str">
        <f t="shared" si="14"/>
        <v>下落▼</v>
      </c>
      <c r="AB37" s="405">
        <f>IF(C37="","",IFERROR(((終値!E39*0.333)+(終値!F39*0.222)+(終値!G39*0.148)+(終値!H39*0.099)+(終値!I39*0.066)+(終値!J39*0.044)+(終値!K39*0.029)+(終値!L39*0.019)+(終値!M39*0.013)+(終値!N39*0.009))/(0.333+0.222+0.148+0.099+0.066+0.044+0.029+0.019+0.013+0.009),""))</f>
        <v>1444.8589613034621</v>
      </c>
      <c r="AC37" s="405">
        <f>IF(C37="","",IFERROR(SUMPRODUCT((終値!E39:AC39),({0.077,0.071,0.065,0.06,0.055,0.051,0.047,0.043,0.039,0.036,0.033,0.031,0.028,0.026,0.024,0.022,0.02,0.018,0.017,0.016,0.014,0.013,0.012,0.011,0.01}))/SUM({0.077,0.071,0.065,0.06,0.055,0.051,0.047,0.043,0.039,0.036,0.033,0.031,0.028,0.026,0.024,0.022,0.02,0.018,0.017,0.016,0.014,0.013,0.012,0.011,0.01}),""))</f>
        <v>1429.619189511322</v>
      </c>
      <c r="AD37" s="406" t="str">
        <f t="shared" si="15"/>
        <v>パーフェクト▲</v>
      </c>
      <c r="AE37" s="406" t="str">
        <f t="shared" si="16"/>
        <v>なし</v>
      </c>
      <c r="AF37" s="365">
        <f t="array" ref="AF37">IF(C37="","",IFERROR((INDEX(終値!$E:$E,MATCH(TEXT(C37,"0"),終値!$A:$A,0))-INDEX(終値!$E:$CZ,MATCH(TEXT(C37,"0"),終値!$A:$A,0),$AL$2))/INDEX(終値!$E:$CZ,MATCH(TEXT(C37,"0"),終値!$A:$A,0),$AL$2)*100,""))</f>
        <v>11.31455399061033</v>
      </c>
      <c r="AG37" s="365">
        <f t="array" ref="AG37">IFERROR((終値!$E$5-INDEX(終値!$E$5:$CZ$5,1,$AL$2))/INDEX(終値!$E$5:$CZ$5,1,$AL$2)*100,"")</f>
        <v>-0.82558151178043282</v>
      </c>
      <c r="AH37" s="366">
        <f t="shared" si="8"/>
        <v>12.140135502390763</v>
      </c>
      <c r="AI37" s="364">
        <f t="shared" si="9"/>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1328</v>
      </c>
      <c r="F38" s="166">
        <f>IF(C38&lt;&gt;"",_xll.RssMarket(C38,"始値"),"")</f>
        <v>1304</v>
      </c>
      <c r="G38" s="165">
        <f>IF(C38&lt;&gt;"",終値!F164,"")</f>
        <v>1325</v>
      </c>
      <c r="H38" s="166">
        <f>IF(C38&lt;&gt;"",_xll.RssMarket(C38,"高値"),"")</f>
        <v>1340</v>
      </c>
      <c r="I38" s="166">
        <f>IF(C38&lt;&gt;"",_xll.RssMarket(C38,"安値"),"")</f>
        <v>1304</v>
      </c>
      <c r="J38" s="166">
        <f>IF(C38&lt;&gt;"",_xll.RssMarket(C38,"出来高"),"")</f>
        <v>53100</v>
      </c>
      <c r="K38" s="166">
        <f>IF(C38&lt;&gt;"",_xll.RssMarket(C38,"年初来高値"),"")</f>
        <v>1332</v>
      </c>
      <c r="L38" s="167">
        <f t="shared" si="0"/>
        <v>-0.3003003003003003</v>
      </c>
      <c r="M38" s="166">
        <f>IF(C38&lt;&gt;"",IFERROR(AVERAGE(出来高!E164:I164),""),"")</f>
        <v>144900</v>
      </c>
      <c r="N38" s="166">
        <f>IF(C38&lt;&gt;"",IFERROR(AVERAGE(出来高!E164:AC164),""),"")</f>
        <v>98860</v>
      </c>
      <c r="O38" s="168">
        <f t="shared" si="1"/>
        <v>0.36645962732919257</v>
      </c>
      <c r="P38" s="163" t="str">
        <f t="shared" si="2"/>
        <v>減少↓</v>
      </c>
      <c r="Q38" s="163" t="str">
        <f t="shared" si="3"/>
        <v>中立→</v>
      </c>
      <c r="R38" s="166">
        <f t="shared" si="10"/>
        <v>1434</v>
      </c>
      <c r="S38" s="166">
        <f t="shared" si="11"/>
        <v>1275</v>
      </c>
      <c r="T38" s="163">
        <f t="shared" si="4"/>
        <v>10</v>
      </c>
      <c r="U38" s="163" t="str">
        <f t="shared" si="12"/>
        <v>要確認</v>
      </c>
      <c r="V38" s="163" t="str">
        <f t="shared" si="5"/>
        <v>年初来高値更新●</v>
      </c>
      <c r="W38" s="169">
        <f t="array" ref="W38">IF(C38&lt;&gt;"",IFERROR(100-100/(1+SUMPRODUCT((終値!F164:R164&gt;終値!G164:S164)*( 終値!F164:R164-終値!G164:S164))/SUMPRODUCT((終値!F164:R164&lt;終値!G164:S164)*(終値!G164:S164-終値!F164:R164))),50),"")</f>
        <v>59.915611814345993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3.5119865944384401</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○買い候補</v>
      </c>
      <c r="Z38" s="171">
        <f t="shared" si="13"/>
        <v>0.22641509433962265</v>
      </c>
      <c r="AA38" s="163" t="str">
        <f t="shared" si="14"/>
        <v>上昇▲</v>
      </c>
      <c r="AB38" s="403">
        <f>IF(C38="","",IFERROR(((終値!E40*0.333)+(終値!F40*0.222)+(終値!G40*0.148)+(終値!H40*0.099)+(終値!I40*0.066)+(終値!J40*0.044)+(終値!K40*0.029)+(終値!L40*0.019)+(終値!M40*0.013)+(終値!N40*0.009))/(0.333+0.222+0.148+0.099+0.066+0.044+0.029+0.019+0.013+0.009),""))</f>
        <v>1522.0162932790222</v>
      </c>
      <c r="AC38" s="403">
        <f>IF(C38="","",IFERROR(SUMPRODUCT((終値!E40:AC40),({0.077,0.071,0.065,0.06,0.055,0.051,0.047,0.043,0.039,0.036,0.033,0.031,0.028,0.026,0.024,0.022,0.02,0.018,0.017,0.016,0.014,0.013,0.012,0.011,0.01}))/SUM({0.077,0.071,0.065,0.06,0.055,0.051,0.047,0.043,0.039,0.036,0.033,0.031,0.028,0.026,0.024,0.022,0.02,0.018,0.017,0.016,0.014,0.013,0.012,0.011,0.01}),""))</f>
        <v>1541.8104886769959</v>
      </c>
      <c r="AD38" s="404" t="str">
        <f t="shared" si="15"/>
        <v>下降トレンド▼</v>
      </c>
      <c r="AE38" s="404" t="str">
        <f t="shared" si="16"/>
        <v>なし</v>
      </c>
      <c r="AF38" s="365">
        <f t="array" ref="AF38">IF(C38="","",IFERROR((INDEX(終値!$E:$E,MATCH(TEXT(C38,"0"),終値!$A:$A,0))-INDEX(終値!$E:$CZ,MATCH(TEXT(C38,"0"),終値!$A:$A,0),$AL$2))/INDEX(終値!$E:$CZ,MATCH(TEXT(C38,"0"),終値!$A:$A,0),$AL$2)*100,""))</f>
        <v>13.886462882096071</v>
      </c>
      <c r="AG38" s="365">
        <f t="array" ref="AG38">IFERROR((終値!$E$5-INDEX(終値!$E$5:$CZ$5,1,$AL$2))/INDEX(終値!$E$5:$CZ$5,1,$AL$2)*100,"")</f>
        <v>-0.82558151178043282</v>
      </c>
      <c r="AH38" s="366">
        <f t="shared" si="8"/>
        <v>14.712044393876504</v>
      </c>
      <c r="AI38" s="364">
        <f t="shared" si="9"/>
        <v>3</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6938</v>
      </c>
      <c r="F39" s="166">
        <f>IF(C39&lt;&gt;"",_xll.RssMarket(C39,"始値"),"")</f>
        <v>6863</v>
      </c>
      <c r="G39" s="165">
        <f>IF(C39&lt;&gt;"",終値!F54,"")</f>
        <v>6872</v>
      </c>
      <c r="H39" s="166">
        <f>IF(C39&lt;&gt;"",_xll.RssMarket(C39,"高値"),"")</f>
        <v>6944</v>
      </c>
      <c r="I39" s="166">
        <f>IF(C39&lt;&gt;"",_xll.RssMarket(C39,"安値"),"")</f>
        <v>6852</v>
      </c>
      <c r="J39" s="166">
        <f>IF(C39&lt;&gt;"",_xll.RssMarket(C39,"出来高"),"")</f>
        <v>752800</v>
      </c>
      <c r="K39" s="166">
        <f>IF(C39&lt;&gt;"",_xll.RssMarket(C39,"年初来高値"),"")</f>
        <v>7413</v>
      </c>
      <c r="L39" s="167">
        <f t="shared" si="0"/>
        <v>-6.4076622150276545</v>
      </c>
      <c r="M39" s="166">
        <f>IF(C39&lt;&gt;"",IFERROR(AVERAGE(出来高!E54:I54),""),"")</f>
        <v>2920900</v>
      </c>
      <c r="N39" s="166">
        <f>IF(C39&lt;&gt;"",IFERROR(AVERAGE(出来高!E54:AC54),""),"")</f>
        <v>2660764</v>
      </c>
      <c r="O39" s="168">
        <f t="shared" si="1"/>
        <v>0.25772878222465678</v>
      </c>
      <c r="P39" s="163" t="str">
        <f t="shared" si="2"/>
        <v>減少↓</v>
      </c>
      <c r="Q39" s="163" t="str">
        <f t="shared" si="3"/>
        <v>中立→</v>
      </c>
      <c r="R39" s="166">
        <f t="shared" si="10"/>
        <v>7493</v>
      </c>
      <c r="S39" s="166">
        <f t="shared" si="11"/>
        <v>6660</v>
      </c>
      <c r="T39" s="163">
        <f t="shared" si="4"/>
        <v>8</v>
      </c>
      <c r="U39" s="163" t="str">
        <f t="shared" si="12"/>
        <v>要確認</v>
      </c>
      <c r="V39" s="163" t="str">
        <f t="shared" si="5"/>
        <v>通常</v>
      </c>
      <c r="W39" s="169">
        <f t="array" ref="W39">IF(C39&lt;&gt;"",IFERROR(100-100/(1+SUMPRODUCT((終値!F54:R54&gt;終値!G54:S54)*( 終値!F54:R54-終値!G54:S54))/SUMPRODUCT((終値!F54:R54&lt;終値!G54:S54)*(終値!G54:S54-終値!F54:R54))),50),"")</f>
        <v>63.437926330150063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76.339272565170177</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 t="shared" si="13"/>
        <v>0.96041909196740405</v>
      </c>
      <c r="AA39" s="163" t="str">
        <f t="shared" si="14"/>
        <v>上昇▲</v>
      </c>
      <c r="AB39" s="405">
        <f>IF(C39="","",IFERROR(((終値!E41*0.333)+(終値!F41*0.222)+(終値!G41*0.148)+(終値!H41*0.099)+(終値!I41*0.066)+(終値!J41*0.044)+(終値!K41*0.029)+(終値!L41*0.019)+(終値!M41*0.013)+(終値!N41*0.009))/(0.333+0.222+0.148+0.099+0.066+0.044+0.029+0.019+0.013+0.009),""))</f>
        <v>878.50356415478598</v>
      </c>
      <c r="AC39" s="405">
        <f>IF(C39="","",IFERROR(SUMPRODUCT((終値!E41:AC41),({0.077,0.071,0.065,0.06,0.055,0.051,0.047,0.043,0.039,0.036,0.033,0.031,0.028,0.026,0.024,0.022,0.02,0.018,0.017,0.016,0.014,0.013,0.012,0.011,0.01}))/SUM({0.077,0.071,0.065,0.06,0.055,0.051,0.047,0.043,0.039,0.036,0.033,0.031,0.028,0.026,0.024,0.022,0.02,0.018,0.017,0.016,0.014,0.013,0.012,0.011,0.01}),""))</f>
        <v>859.56579261025013</v>
      </c>
      <c r="AD39" s="406" t="str">
        <f t="shared" si="15"/>
        <v>パーフェクト▲</v>
      </c>
      <c r="AE39" s="406" t="str">
        <f t="shared" si="16"/>
        <v>なし</v>
      </c>
      <c r="AF39" s="365">
        <f t="array" ref="AF39">IF(C39="","",IFERROR((INDEX(終値!$E:$E,MATCH(TEXT(C39,"0"),終値!$A:$A,0))-INDEX(終値!$E:$CZ,MATCH(TEXT(C39,"0"),終値!$A:$A,0),$AL$2))/INDEX(終値!$E:$CZ,MATCH(TEXT(C39,"0"),終値!$A:$A,0),$AL$2)*100,""))</f>
        <v>9.6073382684261333</v>
      </c>
      <c r="AG39" s="365">
        <f t="array" ref="AG39">IFERROR((終値!$E$5-INDEX(終値!$E$5:$CZ$5,1,$AL$2))/INDEX(終値!$E$5:$CZ$5,1,$AL$2)*100,"")</f>
        <v>-0.82558151178043282</v>
      </c>
      <c r="AH39" s="366">
        <f t="shared" si="8"/>
        <v>10.432919780206566</v>
      </c>
      <c r="AI39" s="364">
        <f t="shared" si="9"/>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1560.5</v>
      </c>
      <c r="F40" s="166">
        <f>IF(C40&lt;&gt;"",_xll.RssMarket(C40,"始値"),"")</f>
        <v>1548</v>
      </c>
      <c r="G40" s="165">
        <f>IF(C40&lt;&gt;"",終値!F40,"")</f>
        <v>1505.5</v>
      </c>
      <c r="H40" s="166">
        <f>IF(C40&lt;&gt;"",_xll.RssMarket(C40,"高値"),"")</f>
        <v>1564</v>
      </c>
      <c r="I40" s="166">
        <f>IF(C40&lt;&gt;"",_xll.RssMarket(C40,"安値"),"")</f>
        <v>1531.5</v>
      </c>
      <c r="J40" s="166">
        <f>IF(C40&lt;&gt;"",_xll.RssMarket(C40,"出来高"),"")</f>
        <v>4918000</v>
      </c>
      <c r="K40" s="166">
        <f>IF(C40&lt;&gt;"",_xll.RssMarket(C40,"年初来高値"),"")</f>
        <v>1636</v>
      </c>
      <c r="L40" s="167">
        <f t="shared" si="0"/>
        <v>-4.6149144254278722</v>
      </c>
      <c r="M40" s="166">
        <f>IF(C40&lt;&gt;"",IFERROR(AVERAGE(出来高!E40:I40),""),"")</f>
        <v>15250340</v>
      </c>
      <c r="N40" s="166">
        <f>IF(C40&lt;&gt;"",IFERROR(AVERAGE(出来高!E40:AC40),""),"")</f>
        <v>11214732</v>
      </c>
      <c r="O40" s="168">
        <f t="shared" si="1"/>
        <v>0.32248461345779833</v>
      </c>
      <c r="P40" s="163" t="str">
        <f t="shared" si="2"/>
        <v>減少↓</v>
      </c>
      <c r="Q40" s="163" t="str">
        <f t="shared" si="3"/>
        <v>中立→</v>
      </c>
      <c r="R40" s="166">
        <f t="shared" si="10"/>
        <v>1685</v>
      </c>
      <c r="S40" s="166">
        <f t="shared" si="11"/>
        <v>1498</v>
      </c>
      <c r="T40" s="163">
        <f t="shared" si="4"/>
        <v>9</v>
      </c>
      <c r="U40" s="163" t="str">
        <f t="shared" si="12"/>
        <v>要確認</v>
      </c>
      <c r="V40" s="163" t="str">
        <f t="shared" si="5"/>
        <v>高値圏</v>
      </c>
      <c r="W40" s="169">
        <f t="array" ref="W40">IF(C40&lt;&gt;"",IFERROR(100-100/(1+SUMPRODUCT((終値!F40:R40&gt;終値!G40:S40)*( 終値!F40:R40-終値!G40:S40))/SUMPRODUCT((終値!F40:R40&lt;終値!G40:S40)*(終値!G40:S40-終値!F40:R40))),50),"")</f>
        <v>46.489563567362431</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0.50776750424938655</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 t="shared" si="13"/>
        <v>3.6532713384257725</v>
      </c>
      <c r="AA40" s="163" t="str">
        <f t="shared" si="14"/>
        <v>上昇▲</v>
      </c>
      <c r="AB40" s="403">
        <f>IF(C40="","",IFERROR(((終値!E42*0.333)+(終値!F42*0.222)+(終値!G42*0.148)+(終値!H42*0.099)+(終値!I42*0.066)+(終値!J42*0.044)+(終値!K42*0.029)+(終値!L42*0.019)+(終値!M42*0.013)+(終値!N42*0.009))/(0.333+0.222+0.148+0.099+0.066+0.044+0.029+0.019+0.013+0.009),""))</f>
        <v>3576.8727087576362</v>
      </c>
      <c r="AC40" s="403">
        <f>IF(C40="","",IFERROR(SUMPRODUCT((終値!E42:AC42),({0.077,0.071,0.065,0.06,0.055,0.051,0.047,0.043,0.039,0.036,0.033,0.031,0.028,0.026,0.024,0.022,0.02,0.018,0.017,0.016,0.014,0.013,0.012,0.011,0.01}))/SUM({0.077,0.071,0.065,0.06,0.055,0.051,0.047,0.043,0.039,0.036,0.033,0.031,0.028,0.026,0.024,0.022,0.02,0.018,0.017,0.016,0.014,0.013,0.012,0.011,0.01}),""))</f>
        <v>3610.4243146603076</v>
      </c>
      <c r="AD40" s="404" t="str">
        <f t="shared" si="15"/>
        <v>下降トレンド▼</v>
      </c>
      <c r="AE40" s="404" t="str">
        <f t="shared" si="16"/>
        <v>なし</v>
      </c>
      <c r="AF40" s="365">
        <f t="array" ref="AF40">IF(C40="","",IFERROR((INDEX(終値!$E:$E,MATCH(TEXT(C40,"0"),終値!$A:$A,0))-INDEX(終値!$E:$CZ,MATCH(TEXT(C40,"0"),終値!$A:$A,0),$AL$2))/INDEX(終値!$E:$CZ,MATCH(TEXT(C40,"0"),終値!$A:$A,0),$AL$2)*100,""))</f>
        <v>7.0671378091872796</v>
      </c>
      <c r="AG40" s="365">
        <f t="array" ref="AG40">IFERROR((終値!$E$5-INDEX(終値!$E$5:$CZ$5,1,$AL$2))/INDEX(終値!$E$5:$CZ$5,1,$AL$2)*100,"")</f>
        <v>-0.82558151178043282</v>
      </c>
      <c r="AH40" s="366">
        <f t="shared" si="8"/>
        <v>7.8927193209677124</v>
      </c>
      <c r="AI40" s="364">
        <f t="shared" si="9"/>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1808.5</v>
      </c>
      <c r="F41" s="166">
        <f>IF(C41&lt;&gt;"",_xll.RssMarket(C41,"始値"),"")</f>
        <v>1787</v>
      </c>
      <c r="G41" s="165">
        <f>IF(C41&lt;&gt;"",終値!F33,"")</f>
        <v>1812</v>
      </c>
      <c r="H41" s="166">
        <f>IF(C41&lt;&gt;"",_xll.RssMarket(C41,"高値"),"")</f>
        <v>1830</v>
      </c>
      <c r="I41" s="166">
        <f>IF(C41&lt;&gt;"",_xll.RssMarket(C41,"安値"),"")</f>
        <v>1782</v>
      </c>
      <c r="J41" s="166">
        <f>IF(C41&lt;&gt;"",_xll.RssMarket(C41,"出来高"),"")</f>
        <v>2585900</v>
      </c>
      <c r="K41" s="166">
        <f>IF(C41&lt;&gt;"",_xll.RssMarket(C41,"年初来高値"),"")</f>
        <v>1886.5</v>
      </c>
      <c r="L41" s="167">
        <f t="shared" si="0"/>
        <v>-4.1346408693347474</v>
      </c>
      <c r="M41" s="166">
        <f>IF(C41&lt;&gt;"",IFERROR(AVERAGE(出来高!E33:I33),""),"")</f>
        <v>6658340</v>
      </c>
      <c r="N41" s="166">
        <f>IF(C41&lt;&gt;"",IFERROR(AVERAGE(出来高!E33:AC33),""),"")</f>
        <v>5264408</v>
      </c>
      <c r="O41" s="168">
        <f t="shared" si="1"/>
        <v>0.38837007422270414</v>
      </c>
      <c r="P41" s="163" t="str">
        <f t="shared" si="2"/>
        <v>減少↓</v>
      </c>
      <c r="Q41" s="163" t="str">
        <f t="shared" si="3"/>
        <v>様子見▼</v>
      </c>
      <c r="R41" s="166">
        <f t="shared" si="10"/>
        <v>1953</v>
      </c>
      <c r="S41" s="166">
        <f t="shared" si="11"/>
        <v>1736</v>
      </c>
      <c r="T41" s="163">
        <f t="shared" si="4"/>
        <v>10</v>
      </c>
      <c r="U41" s="163" t="str">
        <f t="shared" si="12"/>
        <v>要確認</v>
      </c>
      <c r="V41" s="163" t="str">
        <f t="shared" si="5"/>
        <v>高値圏</v>
      </c>
      <c r="W41" s="169">
        <f t="array" ref="W41">IF(C41&lt;&gt;"",IFERROR(100-100/(1+SUMPRODUCT((終値!F33:R33&gt;終値!G33:S33)*( 終値!F33:R33-終値!G33:S33))/SUMPRODUCT((終値!F33:R33&lt;終値!G33:S33)*(終値!G33:S33-終値!F33:R33))),50),"")</f>
        <v>54.186602870813395</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8.6475119308704507</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 t="shared" si="13"/>
        <v>-0.19315673289183224</v>
      </c>
      <c r="AA41" s="163" t="str">
        <f t="shared" si="14"/>
        <v>下落▼</v>
      </c>
      <c r="AB41" s="405">
        <f>IF(C41="","",IFERROR(((終値!E43*0.333)+(終値!F43*0.222)+(終値!G43*0.148)+(終値!H43*0.099)+(終値!I43*0.066)+(終値!J43*0.044)+(終値!K43*0.029)+(終値!L43*0.019)+(終値!M43*0.013)+(終値!N43*0.009))/(0.333+0.222+0.148+0.099+0.066+0.044+0.029+0.019+0.013+0.009),""))</f>
        <v>1861.1013238289204</v>
      </c>
      <c r="AC41" s="405">
        <f>IF(C41="","",IFERROR(SUMPRODUCT((終値!E43:AC43),({0.077,0.071,0.065,0.06,0.055,0.051,0.047,0.043,0.039,0.036,0.033,0.031,0.028,0.026,0.024,0.022,0.02,0.018,0.017,0.016,0.014,0.013,0.012,0.011,0.01}))/SUM({0.077,0.071,0.065,0.06,0.055,0.051,0.047,0.043,0.039,0.036,0.033,0.031,0.028,0.026,0.024,0.022,0.02,0.018,0.017,0.016,0.014,0.013,0.012,0.011,0.01}),""))</f>
        <v>1787.7425506555414</v>
      </c>
      <c r="AD41" s="406" t="str">
        <f t="shared" si="15"/>
        <v>上昇トレンド▲</v>
      </c>
      <c r="AE41" s="406" t="str">
        <f t="shared" si="16"/>
        <v>25日押し目★</v>
      </c>
      <c r="AF41" s="365">
        <f t="array" ref="AF41">IF(C41="","",IFERROR((INDEX(終値!$E:$E,MATCH(TEXT(C41,"0"),終値!$A:$A,0))-INDEX(終値!$E:$CZ,MATCH(TEXT(C41,"0"),終値!$A:$A,0),$AL$2))/INDEX(終値!$E:$CZ,MATCH(TEXT(C41,"0"),終値!$A:$A,0),$AL$2)*100,""))</f>
        <v>11.142587346553352</v>
      </c>
      <c r="AG41" s="365">
        <f t="array" ref="AG41">IFERROR((終値!$E$5-INDEX(終値!$E$5:$CZ$5,1,$AL$2))/INDEX(終値!$E$5:$CZ$5,1,$AL$2)*100,"")</f>
        <v>-0.82558151178043282</v>
      </c>
      <c r="AH41" s="366">
        <f t="shared" si="8"/>
        <v>11.968168858333785</v>
      </c>
      <c r="AI41" s="364">
        <f t="shared" si="9"/>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1413</v>
      </c>
      <c r="F42" s="166">
        <f>IF(C42&lt;&gt;"",_xll.RssMarket(C42,"始値"),"")</f>
        <v>1414.5</v>
      </c>
      <c r="G42" s="165">
        <f>IF(C42&lt;&gt;"",終値!F39,"")</f>
        <v>1430.5</v>
      </c>
      <c r="H42" s="166">
        <f>IF(C42&lt;&gt;"",_xll.RssMarket(C42,"高値"),"")</f>
        <v>1422</v>
      </c>
      <c r="I42" s="166">
        <f>IF(C42&lt;&gt;"",_xll.RssMarket(C42,"安値"),"")</f>
        <v>1405</v>
      </c>
      <c r="J42" s="166">
        <f>IF(C42&lt;&gt;"",_xll.RssMarket(C42,"出来高"),"")</f>
        <v>2117800</v>
      </c>
      <c r="K42" s="166">
        <f>IF(C42&lt;&gt;"",_xll.RssMarket(C42,"年初来高値"),"")</f>
        <v>1541.5</v>
      </c>
      <c r="L42" s="167">
        <f t="shared" si="0"/>
        <v>-8.3360363282517032</v>
      </c>
      <c r="M42" s="166">
        <f>IF(C42&lt;&gt;"",IFERROR(AVERAGE(出来高!E39:I39),""),"")</f>
        <v>5965480</v>
      </c>
      <c r="N42" s="166">
        <f>IF(C42&lt;&gt;"",IFERROR(AVERAGE(出来高!E39:AC39),""),"")</f>
        <v>4333384</v>
      </c>
      <c r="O42" s="168">
        <f t="shared" si="1"/>
        <v>0.35500915265829402</v>
      </c>
      <c r="P42" s="163" t="str">
        <f t="shared" si="2"/>
        <v>減少↓</v>
      </c>
      <c r="Q42" s="163" t="str">
        <f t="shared" si="3"/>
        <v>様子見▼</v>
      </c>
      <c r="R42" s="166">
        <f t="shared" si="10"/>
        <v>1526</v>
      </c>
      <c r="S42" s="166">
        <f t="shared" si="11"/>
        <v>1356</v>
      </c>
      <c r="T42" s="163">
        <f t="shared" si="4"/>
        <v>7</v>
      </c>
      <c r="U42" s="163" t="str">
        <f t="shared" si="12"/>
        <v>要確認</v>
      </c>
      <c r="V42" s="163" t="str">
        <f t="shared" si="5"/>
        <v>通常</v>
      </c>
      <c r="W42" s="169">
        <f t="array" ref="W42">IF(C42&lt;&gt;"",IFERROR(100-100/(1+SUMPRODUCT((終値!F39:R39&gt;終値!G39:S39)*( 終値!F39:R39-終値!G39:S39))/SUMPRODUCT((終値!F39:R39&lt;終値!G39:S39)*(終値!G39:S39-終値!F39:R39))),50),"")</f>
        <v>59.098786828422874</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12.441501916501693</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 t="shared" si="13"/>
        <v>-1.223348479552604</v>
      </c>
      <c r="AA42" s="163" t="str">
        <f t="shared" si="14"/>
        <v>下落▼</v>
      </c>
      <c r="AB42" s="403">
        <f>IF(C42="","",IFERROR(((終値!E44*0.333)+(終値!F44*0.222)+(終値!G44*0.148)+(終値!H44*0.099)+(終値!I44*0.066)+(終値!J44*0.044)+(終値!K44*0.029)+(終値!L44*0.019)+(終値!M44*0.013)+(終値!N44*0.009))/(0.333+0.222+0.148+0.099+0.066+0.044+0.029+0.019+0.013+0.009),""))</f>
        <v>1148.3009164969446</v>
      </c>
      <c r="AC42" s="403">
        <f>IF(C42="","",IFERROR(SUMPRODUCT((終値!E44:AC44),({0.077,0.071,0.065,0.06,0.055,0.051,0.047,0.043,0.039,0.036,0.033,0.031,0.028,0.026,0.024,0.022,0.02,0.018,0.017,0.016,0.014,0.013,0.012,0.011,0.01}))/SUM({0.077,0.071,0.065,0.06,0.055,0.051,0.047,0.043,0.039,0.036,0.033,0.031,0.028,0.026,0.024,0.022,0.02,0.018,0.017,0.016,0.014,0.013,0.012,0.011,0.01}),""))</f>
        <v>1155.1662693682952</v>
      </c>
      <c r="AD42" s="404" t="str">
        <f t="shared" si="15"/>
        <v>上昇トレンド▲</v>
      </c>
      <c r="AE42" s="404" t="str">
        <f t="shared" si="16"/>
        <v>なし</v>
      </c>
      <c r="AF42" s="365">
        <f t="array" ref="AF42">IF(C42="","",IFERROR((INDEX(終値!$E:$E,MATCH(TEXT(C42,"0"),終値!$A:$A,0))-INDEX(終値!$E:$CZ,MATCH(TEXT(C42,"0"),終値!$A:$A,0),$AL$2))/INDEX(終値!$E:$CZ,MATCH(TEXT(C42,"0"),終値!$A:$A,0),$AL$2)*100,""))</f>
        <v>6.8207654414550971</v>
      </c>
      <c r="AG42" s="365">
        <f t="array" ref="AG42">IFERROR((終値!$E$5-INDEX(終値!$E$5:$CZ$5,1,$AL$2))/INDEX(終値!$E$5:$CZ$5,1,$AL$2)*100,"")</f>
        <v>-0.82558151178043282</v>
      </c>
      <c r="AH42" s="366">
        <f t="shared" si="8"/>
        <v>7.6463469532355299</v>
      </c>
      <c r="AI42" s="364">
        <f t="shared" si="9"/>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6505</v>
      </c>
      <c r="F43" s="166">
        <f>IF(C43&lt;&gt;"",_xll.RssMarket(C43,"始値"),"")</f>
        <v>6384</v>
      </c>
      <c r="G43" s="165">
        <f>IF(C43&lt;&gt;"",終値!F26,"")</f>
        <v>6348</v>
      </c>
      <c r="H43" s="166">
        <f>IF(C43&lt;&gt;"",_xll.RssMarket(C43,"高値"),"")</f>
        <v>6508</v>
      </c>
      <c r="I43" s="166">
        <f>IF(C43&lt;&gt;"",_xll.RssMarket(C43,"安値"),"")</f>
        <v>6384</v>
      </c>
      <c r="J43" s="166">
        <f>IF(C43&lt;&gt;"",_xll.RssMarket(C43,"出来高"),"")</f>
        <v>1734500</v>
      </c>
      <c r="K43" s="166">
        <f>IF(C43&lt;&gt;"",_xll.RssMarket(C43,"年初来高値"),"")</f>
        <v>6680</v>
      </c>
      <c r="L43" s="167">
        <f t="shared" si="0"/>
        <v>-2.6197604790419158</v>
      </c>
      <c r="M43" s="166">
        <f>IF(C43&lt;&gt;"",IFERROR(AVERAGE(出来高!E26:I26),""),"")</f>
        <v>3858360</v>
      </c>
      <c r="N43" s="166">
        <f>IF(C43&lt;&gt;"",IFERROR(AVERAGE(出来高!E26:AC26),""),"")</f>
        <v>3149848</v>
      </c>
      <c r="O43" s="168">
        <f t="shared" si="1"/>
        <v>0.44954332929016472</v>
      </c>
      <c r="P43" s="163" t="str">
        <f t="shared" si="2"/>
        <v>減少↓</v>
      </c>
      <c r="Q43" s="163" t="str">
        <f t="shared" si="3"/>
        <v>中立→</v>
      </c>
      <c r="R43" s="166">
        <f t="shared" si="10"/>
        <v>7025</v>
      </c>
      <c r="S43" s="166">
        <f t="shared" si="11"/>
        <v>6245</v>
      </c>
      <c r="T43" s="163">
        <f t="shared" si="4"/>
        <v>9</v>
      </c>
      <c r="U43" s="163" t="str">
        <f t="shared" si="12"/>
        <v>要確認</v>
      </c>
      <c r="V43" s="163" t="str">
        <f t="shared" si="5"/>
        <v>高値圏</v>
      </c>
      <c r="W43" s="169">
        <f t="array" ref="W43">IF(C43&lt;&gt;"",IFERROR(100-100/(1+SUMPRODUCT((終値!F26:R26&gt;終値!G26:S26)*( 終値!F26:R26-終値!G26:S26))/SUMPRODUCT((終値!F26:R26&lt;終値!G26:S26)*(終値!G26:S26-終値!F26:R26))),50),"")</f>
        <v>48.887739265390586</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0.36107650484154874</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 t="shared" si="13"/>
        <v>2.473219911783239</v>
      </c>
      <c r="AA43" s="163" t="str">
        <f t="shared" si="14"/>
        <v>上昇▲</v>
      </c>
      <c r="AB43" s="405">
        <f>IF(C43="","",IFERROR(((終値!E45*0.333)+(終値!F45*0.222)+(終値!G45*0.148)+(終値!H45*0.099)+(終値!I45*0.066)+(終値!J45*0.044)+(終値!K45*0.029)+(終値!L45*0.019)+(終値!M45*0.013)+(終値!N45*0.009))/(0.333+0.222+0.148+0.099+0.066+0.044+0.029+0.019+0.013+0.009),""))</f>
        <v>3553.8818737270863</v>
      </c>
      <c r="AC43" s="405">
        <f>IF(C43="","",IFERROR(SUMPRODUCT((終値!E45:AC45),({0.077,0.071,0.065,0.06,0.055,0.051,0.047,0.043,0.039,0.036,0.033,0.031,0.028,0.026,0.024,0.022,0.02,0.018,0.017,0.016,0.014,0.013,0.012,0.011,0.01}))/SUM({0.077,0.071,0.065,0.06,0.055,0.051,0.047,0.043,0.039,0.036,0.033,0.031,0.028,0.026,0.024,0.022,0.02,0.018,0.017,0.016,0.014,0.013,0.012,0.011,0.01}),""))</f>
        <v>3566.3230035756842</v>
      </c>
      <c r="AD43" s="406" t="str">
        <f t="shared" si="15"/>
        <v>上昇トレンド▲</v>
      </c>
      <c r="AE43" s="406" t="str">
        <f t="shared" si="16"/>
        <v>なし</v>
      </c>
      <c r="AF43" s="365">
        <f t="array" ref="AF43">IF(C43="","",IFERROR((INDEX(終値!$E:$E,MATCH(TEXT(C43,"0"),終値!$A:$A,0))-INDEX(終値!$E:$CZ,MATCH(TEXT(C43,"0"),終値!$A:$A,0),$AL$2))/INDEX(終値!$E:$CZ,MATCH(TEXT(C43,"0"),終値!$A:$A,0),$AL$2)*100,""))</f>
        <v>3.0954708374063213</v>
      </c>
      <c r="AG43" s="365">
        <f t="array" ref="AG43">IFERROR((終値!$E$5-INDEX(終値!$E$5:$CZ$5,1,$AL$2))/INDEX(終値!$E$5:$CZ$5,1,$AL$2)*100,"")</f>
        <v>-0.82558151178043282</v>
      </c>
      <c r="AH43" s="366">
        <f t="shared" si="8"/>
        <v>3.9210523491867542</v>
      </c>
      <c r="AI43" s="364">
        <f t="shared" si="9"/>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474.4</v>
      </c>
      <c r="F44" s="166">
        <f>IF(C44&lt;&gt;"",_xll.RssMarket(C44,"始値"),"")</f>
        <v>476</v>
      </c>
      <c r="G44" s="165">
        <f>IF(C44&lt;&gt;"",終値!F47,"")</f>
        <v>475.4</v>
      </c>
      <c r="H44" s="166">
        <f>IF(C44&lt;&gt;"",_xll.RssMarket(C44,"高値"),"")</f>
        <v>480</v>
      </c>
      <c r="I44" s="166">
        <f>IF(C44&lt;&gt;"",_xll.RssMarket(C44,"安値"),"")</f>
        <v>473</v>
      </c>
      <c r="J44" s="166">
        <f>IF(C44&lt;&gt;"",_xll.RssMarket(C44,"出来高"),"")</f>
        <v>669800</v>
      </c>
      <c r="K44" s="166">
        <f>IF(C44&lt;&gt;"",_xll.RssMarket(C44,"年初来高値"),"")</f>
        <v>539.9</v>
      </c>
      <c r="L44" s="167">
        <f t="shared" si="0"/>
        <v>-12.131876273383961</v>
      </c>
      <c r="M44" s="166">
        <f>IF(C44&lt;&gt;"",IFERROR(AVERAGE(出来高!E47:I47),""),"")</f>
        <v>1782880</v>
      </c>
      <c r="N44" s="166">
        <f>IF(C44&lt;&gt;"",IFERROR(AVERAGE(出来高!E47:AC47),""),"")</f>
        <v>1434264</v>
      </c>
      <c r="O44" s="168">
        <f t="shared" si="1"/>
        <v>0.37568428609889615</v>
      </c>
      <c r="P44" s="163" t="str">
        <f t="shared" si="2"/>
        <v>減少↓</v>
      </c>
      <c r="Q44" s="163" t="str">
        <f t="shared" si="3"/>
        <v>様子見▼</v>
      </c>
      <c r="R44" s="166">
        <f t="shared" si="10"/>
        <v>512</v>
      </c>
      <c r="S44" s="166">
        <f t="shared" si="11"/>
        <v>455</v>
      </c>
      <c r="T44" s="163">
        <f t="shared" si="4"/>
        <v>3</v>
      </c>
      <c r="U44" s="163" t="str">
        <f t="shared" si="12"/>
        <v>要確認</v>
      </c>
      <c r="V44" s="163" t="str">
        <f t="shared" si="5"/>
        <v>通常</v>
      </c>
      <c r="W44" s="169">
        <f t="array" ref="W44">IF(C44&lt;&gt;"",IFERROR(100-100/(1+SUMPRODUCT((終値!F47:R47&gt;終値!G47:S47)*( 終値!F47:R47-終値!G47:S47))/SUMPRODUCT((終値!F47:R47&lt;終値!G47:S47)*(終値!G47:S47-終値!F47:R47))),50),"")</f>
        <v>44.936708860759467</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0.37523433861804278</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 t="shared" si="13"/>
        <v>-0.21034917963819941</v>
      </c>
      <c r="AA44" s="163" t="str">
        <f t="shared" si="14"/>
        <v>下落▼</v>
      </c>
      <c r="AB44" s="403">
        <f>IF(C44="","",IFERROR(((終値!E46*0.333)+(終値!F46*0.222)+(終値!G46*0.148)+(終値!H46*0.099)+(終値!I46*0.066)+(終値!J46*0.044)+(終値!K46*0.029)+(終値!L46*0.019)+(終値!M46*0.013)+(終値!N46*0.009))/(0.333+0.222+0.148+0.099+0.066+0.044+0.029+0.019+0.013+0.009),""))</f>
        <v>636.63553971486749</v>
      </c>
      <c r="AC44" s="403">
        <f>IF(C44="","",IFERROR(SUMPRODUCT((終値!E46:AC46),({0.077,0.071,0.065,0.06,0.055,0.051,0.047,0.043,0.039,0.036,0.033,0.031,0.028,0.026,0.024,0.022,0.02,0.018,0.017,0.016,0.014,0.013,0.012,0.011,0.01}))/SUM({0.077,0.071,0.065,0.06,0.055,0.051,0.047,0.043,0.039,0.036,0.033,0.031,0.028,0.026,0.024,0.022,0.02,0.018,0.017,0.016,0.014,0.013,0.012,0.011,0.01}),""))</f>
        <v>583.3150178784266</v>
      </c>
      <c r="AD44" s="404" t="str">
        <f t="shared" si="15"/>
        <v>もみ合い→</v>
      </c>
      <c r="AE44" s="404" t="str">
        <f t="shared" si="16"/>
        <v>なし</v>
      </c>
      <c r="AF44" s="365">
        <f t="array" ref="AF44">IF(C44="","",IFERROR((INDEX(終値!$E:$E,MATCH(TEXT(C44,"0"),終値!$A:$A,0))-INDEX(終値!$E:$CZ,MATCH(TEXT(C44,"0"),終値!$A:$A,0),$AL$2))/INDEX(終値!$E:$CZ,MATCH(TEXT(C44,"0"),終値!$A:$A,0),$AL$2)*100,""))</f>
        <v>3.3890845070422615</v>
      </c>
      <c r="AG44" s="365">
        <f t="array" ref="AG44">IFERROR((終値!$E$5-INDEX(終値!$E$5:$CZ$5,1,$AL$2))/INDEX(終値!$E$5:$CZ$5,1,$AL$2)*100,"")</f>
        <v>-0.82558151178043282</v>
      </c>
      <c r="AH44" s="366">
        <f t="shared" si="8"/>
        <v>4.2146660188226939</v>
      </c>
      <c r="AI44" s="364">
        <f t="shared" si="9"/>
        <v>1</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1548.5</v>
      </c>
      <c r="F45" s="166">
        <f>IF(C45&lt;&gt;"",_xll.RssMarket(C45,"始値"),"")</f>
        <v>1541.5</v>
      </c>
      <c r="G45" s="165">
        <f>IF(C45&lt;&gt;"",終値!F37,"")</f>
        <v>1544</v>
      </c>
      <c r="H45" s="166">
        <f>IF(C45&lt;&gt;"",_xll.RssMarket(C45,"高値"),"")</f>
        <v>1549</v>
      </c>
      <c r="I45" s="166">
        <f>IF(C45&lt;&gt;"",_xll.RssMarket(C45,"安値"),"")</f>
        <v>1528</v>
      </c>
      <c r="J45" s="166">
        <f>IF(C45&lt;&gt;"",_xll.RssMarket(C45,"出来高"),"")</f>
        <v>139100</v>
      </c>
      <c r="K45" s="166">
        <f>IF(C45&lt;&gt;"",_xll.RssMarket(C45,"年初来高値"),"")</f>
        <v>1860</v>
      </c>
      <c r="L45" s="167">
        <f t="shared" si="0"/>
        <v>-16.747311827956992</v>
      </c>
      <c r="M45" s="166">
        <f>IF(C45&lt;&gt;"",IFERROR(AVERAGE(出来高!E37:I37),""),"")</f>
        <v>542320</v>
      </c>
      <c r="N45" s="166">
        <f>IF(C45&lt;&gt;"",IFERROR(AVERAGE(出来高!E37:AC37),""),"")</f>
        <v>524436</v>
      </c>
      <c r="O45" s="168">
        <f t="shared" si="1"/>
        <v>0.25649063283670159</v>
      </c>
      <c r="P45" s="163" t="str">
        <f t="shared" si="2"/>
        <v>減少↓</v>
      </c>
      <c r="Q45" s="163" t="str">
        <f t="shared" si="3"/>
        <v>中立→</v>
      </c>
      <c r="R45" s="166">
        <f t="shared" si="10"/>
        <v>1672</v>
      </c>
      <c r="S45" s="166">
        <f t="shared" si="11"/>
        <v>1487</v>
      </c>
      <c r="T45" s="163">
        <f t="shared" si="4"/>
        <v>6</v>
      </c>
      <c r="U45" s="163" t="str">
        <f t="shared" si="12"/>
        <v>要確認</v>
      </c>
      <c r="V45" s="163" t="str">
        <f t="shared" si="5"/>
        <v>通常</v>
      </c>
      <c r="W45" s="169">
        <f t="array" ref="W45">IF(C45&lt;&gt;"",IFERROR(100-100/(1+SUMPRODUCT((終値!F37:R37&gt;終値!G37:S37)*( 終値!F37:R37-終値!G37:S37))/SUMPRODUCT((終値!F37:R37&lt;終値!G37:S37)*(終値!G37:S37-終値!F37:R37))),50),"")</f>
        <v>49.870801033591732</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5.1546853792603997</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 t="shared" si="13"/>
        <v>0.29145077720207252</v>
      </c>
      <c r="AA45" s="163" t="str">
        <f t="shared" si="14"/>
        <v>上昇▲</v>
      </c>
      <c r="AB45" s="405">
        <f>IF(C45="","",IFERROR(((終値!E47*0.333)+(終値!F47*0.222)+(終値!G47*0.148)+(終値!H47*0.099)+(終値!I47*0.066)+(終値!J47*0.044)+(終値!K47*0.029)+(終値!L47*0.019)+(終値!M47*0.013)+(終値!N47*0.009))/(0.333+0.222+0.148+0.099+0.066+0.044+0.029+0.019+0.013+0.009),""))</f>
        <v>478.03747454175141</v>
      </c>
      <c r="AC45" s="405">
        <f>IF(C45="","",IFERROR(SUMPRODUCT((終値!E47:AC47),({0.077,0.071,0.065,0.06,0.055,0.051,0.047,0.043,0.039,0.036,0.033,0.031,0.028,0.026,0.024,0.022,0.02,0.018,0.017,0.016,0.014,0.013,0.012,0.011,0.01}))/SUM({0.077,0.071,0.065,0.06,0.055,0.051,0.047,0.043,0.039,0.036,0.033,0.031,0.028,0.026,0.024,0.022,0.02,0.018,0.017,0.016,0.014,0.013,0.012,0.011,0.01}),""))</f>
        <v>482.44886769964216</v>
      </c>
      <c r="AD45" s="406" t="str">
        <f t="shared" si="15"/>
        <v>上昇トレンド▲</v>
      </c>
      <c r="AE45" s="406" t="str">
        <f t="shared" si="16"/>
        <v>なし</v>
      </c>
      <c r="AF45" s="365">
        <f t="array" ref="AF45">IF(C45="","",IFERROR((INDEX(終値!$E:$E,MATCH(TEXT(C45,"0"),終値!$A:$A,0))-INDEX(終値!$E:$CZ,MATCH(TEXT(C45,"0"),終値!$A:$A,0),$AL$2))/INDEX(終値!$E:$CZ,MATCH(TEXT(C45,"0"),終値!$A:$A,0),$AL$2)*100,""))</f>
        <v>3.9809458999659748</v>
      </c>
      <c r="AG45" s="365">
        <f t="array" ref="AG45">IFERROR((終値!$E$5-INDEX(終値!$E$5:$CZ$5,1,$AL$2))/INDEX(終値!$E$5:$CZ$5,1,$AL$2)*100,"")</f>
        <v>-0.82558151178043282</v>
      </c>
      <c r="AH45" s="366">
        <f t="shared" si="8"/>
        <v>4.8065274117464076</v>
      </c>
      <c r="AI45" s="364">
        <f t="shared" si="9"/>
        <v>1</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4360</v>
      </c>
      <c r="F46" s="166">
        <f>IF(C46&lt;&gt;"",_xll.RssMarket(C46,"始値"),"")</f>
        <v>4389</v>
      </c>
      <c r="G46" s="165">
        <f>IF(C46&lt;&gt;"",終値!F108,"")</f>
        <v>4464</v>
      </c>
      <c r="H46" s="166">
        <f>IF(C46&lt;&gt;"",_xll.RssMarket(C46,"高値"),"")</f>
        <v>4409</v>
      </c>
      <c r="I46" s="166">
        <f>IF(C46&lt;&gt;"",_xll.RssMarket(C46,"安値"),"")</f>
        <v>4356</v>
      </c>
      <c r="J46" s="166">
        <f>IF(C46&lt;&gt;"",_xll.RssMarket(C46,"出来高"),"")</f>
        <v>62000</v>
      </c>
      <c r="K46" s="166">
        <f>IF(C46&lt;&gt;"",_xll.RssMarket(C46,"年初来高値"),"")</f>
        <v>4664</v>
      </c>
      <c r="L46" s="167">
        <f t="shared" si="0"/>
        <v>-6.5180102915951972</v>
      </c>
      <c r="M46" s="166">
        <f>IF(C46&lt;&gt;"",IFERROR(AVERAGE(出来高!E108:I108),""),"")</f>
        <v>280100</v>
      </c>
      <c r="N46" s="166">
        <f>IF(C46&lt;&gt;"",IFERROR(AVERAGE(出来高!E108:AC108),""),"")</f>
        <v>183972</v>
      </c>
      <c r="O46" s="168">
        <f t="shared" si="1"/>
        <v>0.22134951802927527</v>
      </c>
      <c r="P46" s="163" t="str">
        <f t="shared" si="2"/>
        <v>減少↓</v>
      </c>
      <c r="Q46" s="163" t="str">
        <f t="shared" si="3"/>
        <v>様子見▼</v>
      </c>
      <c r="R46" s="166">
        <f t="shared" si="10"/>
        <v>4709</v>
      </c>
      <c r="S46" s="166">
        <f t="shared" si="11"/>
        <v>4186</v>
      </c>
      <c r="T46" s="163">
        <f t="shared" si="4"/>
        <v>5</v>
      </c>
      <c r="U46" s="163" t="str">
        <f t="shared" si="12"/>
        <v>要確認</v>
      </c>
      <c r="V46" s="163" t="str">
        <f t="shared" si="5"/>
        <v>通常</v>
      </c>
      <c r="W46" s="169">
        <f t="array" ref="W46">IF(C46&lt;&gt;"",IFERROR(100-100/(1+SUMPRODUCT((終値!F108:R108&gt;終値!G108:S108)*( 終値!F108:R108-終値!G108:S108))/SUMPRODUCT((終値!F108:R108&lt;終値!G108:S108)*(終値!G108:S108-終値!F108:R108))),50),"")</f>
        <v>65.390749601275914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31.29400093138338</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様子見</v>
      </c>
      <c r="Z46" s="171">
        <f t="shared" si="13"/>
        <v>-2.3297491039426523</v>
      </c>
      <c r="AA46" s="163" t="str">
        <f t="shared" si="14"/>
        <v>下落▼</v>
      </c>
      <c r="AB46" s="403">
        <f>IF(C46="","",IFERROR(((終値!E48*0.333)+(終値!F48*0.222)+(終値!G48*0.148)+(終値!H48*0.099)+(終値!I48*0.066)+(終値!J48*0.044)+(終値!K48*0.029)+(終値!L48*0.019)+(終値!M48*0.013)+(終値!N48*0.009))/(0.333+0.222+0.148+0.099+0.066+0.044+0.029+0.019+0.013+0.009),""))</f>
        <v>1498.9796334012215</v>
      </c>
      <c r="AC46" s="403">
        <f>IF(C46="","",IFERROR(SUMPRODUCT((終値!E48:AC48),({0.077,0.071,0.065,0.06,0.055,0.051,0.047,0.043,0.039,0.036,0.033,0.031,0.028,0.026,0.024,0.022,0.02,0.018,0.017,0.016,0.014,0.013,0.012,0.011,0.01}))/SUM({0.077,0.071,0.065,0.06,0.055,0.051,0.047,0.043,0.039,0.036,0.033,0.031,0.028,0.026,0.024,0.022,0.02,0.018,0.017,0.016,0.014,0.013,0.012,0.011,0.01}),""))</f>
        <v>1474.0458879618591</v>
      </c>
      <c r="AD46" s="404" t="str">
        <f t="shared" si="15"/>
        <v>パーフェクト▲</v>
      </c>
      <c r="AE46" s="404" t="str">
        <f t="shared" si="16"/>
        <v>なし</v>
      </c>
      <c r="AF46" s="365">
        <f t="array" ref="AF46">IF(C46="","",IFERROR((INDEX(終値!$E:$E,MATCH(TEXT(C46,"0"),終値!$A:$A,0))-INDEX(終値!$E:$CZ,MATCH(TEXT(C46,"0"),終値!$A:$A,0),$AL$2))/INDEX(終値!$E:$CZ,MATCH(TEXT(C46,"0"),終値!$A:$A,0),$AL$2)*100,""))</f>
        <v>3.5257927117841934</v>
      </c>
      <c r="AG46" s="365">
        <f t="array" ref="AG46">IFERROR((終値!$E$5-INDEX(終値!$E$5:$CZ$5,1,$AL$2))/INDEX(終値!$E$5:$CZ$5,1,$AL$2)*100,"")</f>
        <v>-0.82558151178043282</v>
      </c>
      <c r="AH46" s="366">
        <f t="shared" si="8"/>
        <v>4.3513742235646262</v>
      </c>
      <c r="AI46" s="364">
        <f t="shared" si="9"/>
        <v>1</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8471</v>
      </c>
      <c r="F47" s="166">
        <f>IF(C47&lt;&gt;"",_xll.RssMarket(C47,"始値"),"")</f>
        <v>8188</v>
      </c>
      <c r="G47" s="165">
        <f>IF(C47&lt;&gt;"",終値!F19,"")</f>
        <v>8094</v>
      </c>
      <c r="H47" s="166">
        <f>IF(C47&lt;&gt;"",_xll.RssMarket(C47,"高値"),"")</f>
        <v>8473</v>
      </c>
      <c r="I47" s="166">
        <f>IF(C47&lt;&gt;"",_xll.RssMarket(C47,"安値"),"")</f>
        <v>8137</v>
      </c>
      <c r="J47" s="166">
        <f>IF(C47&lt;&gt;"",_xll.RssMarket(C47,"出来高"),"")</f>
        <v>6986100</v>
      </c>
      <c r="K47" s="166">
        <f>IF(C47&lt;&gt;"",_xll.RssMarket(C47,"年初来高値"),"")</f>
        <v>8816</v>
      </c>
      <c r="L47" s="167">
        <f t="shared" si="0"/>
        <v>-3.9133393829401091</v>
      </c>
      <c r="M47" s="166">
        <f>IF(C47&lt;&gt;"",IFERROR(AVERAGE(出来高!E19:I19),""),"")</f>
        <v>11424500</v>
      </c>
      <c r="N47" s="166">
        <f>IF(C47&lt;&gt;"",IFERROR(AVERAGE(出来高!E19:AC19),""),"")</f>
        <v>9804236</v>
      </c>
      <c r="O47" s="168">
        <f t="shared" si="1"/>
        <v>0.6115015974440895</v>
      </c>
      <c r="P47" s="163" t="str">
        <f t="shared" si="2"/>
        <v>減少↓</v>
      </c>
      <c r="Q47" s="163" t="str">
        <f t="shared" si="3"/>
        <v>中立→</v>
      </c>
      <c r="R47" s="166">
        <f t="shared" si="10"/>
        <v>9149</v>
      </c>
      <c r="S47" s="166">
        <f t="shared" si="11"/>
        <v>8132</v>
      </c>
      <c r="T47" s="163">
        <f t="shared" si="4"/>
        <v>11</v>
      </c>
      <c r="U47" s="163" t="str">
        <f t="shared" si="12"/>
        <v>要確認</v>
      </c>
      <c r="V47" s="163" t="str">
        <f t="shared" si="5"/>
        <v>高値圏</v>
      </c>
      <c r="W47" s="169">
        <f t="array" ref="W47">IF(C47&lt;&gt;"",IFERROR(100-100/(1+SUMPRODUCT((終値!F19:R19&gt;終値!G19:S19)*( 終値!F19:R19-終値!G19:S19))/SUMPRODUCT((終値!F19:R19&lt;終値!G19:S19)*(終値!G19:S19-終値!F19:R19))),50),"")</f>
        <v>44.802059864821373</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-15.346753489704497</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○買い候補</v>
      </c>
      <c r="Z47" s="171">
        <f t="shared" si="13"/>
        <v>4.6577711885347171</v>
      </c>
      <c r="AA47" s="163" t="str">
        <f t="shared" si="14"/>
        <v>上昇▲</v>
      </c>
      <c r="AB47" s="405">
        <f>IF(C47="","",IFERROR(((終値!E49*0.333)+(終値!F49*0.222)+(終値!G49*0.148)+(終値!H49*0.099)+(終値!I49*0.066)+(終値!J49*0.044)+(終値!K49*0.029)+(終値!L49*0.019)+(終値!M49*0.013)+(終値!N49*0.009))/(0.333+0.222+0.148+0.099+0.066+0.044+0.029+0.019+0.013+0.009),""))</f>
        <v>3543.3044806517305</v>
      </c>
      <c r="AC47" s="405">
        <f>IF(C47="","",IFERROR(SUMPRODUCT((終値!E49:AC49),({0.077,0.071,0.065,0.06,0.055,0.051,0.047,0.043,0.039,0.036,0.033,0.031,0.028,0.026,0.024,0.022,0.02,0.018,0.017,0.016,0.014,0.013,0.012,0.011,0.01}))/SUM({0.077,0.071,0.065,0.06,0.055,0.051,0.047,0.043,0.039,0.036,0.033,0.031,0.028,0.026,0.024,0.022,0.02,0.018,0.017,0.016,0.014,0.013,0.012,0.011,0.01}),""))</f>
        <v>3542.8116805721088</v>
      </c>
      <c r="AD47" s="406" t="str">
        <f t="shared" si="15"/>
        <v>パーフェクト▲</v>
      </c>
      <c r="AE47" s="406" t="str">
        <f t="shared" si="16"/>
        <v>なし</v>
      </c>
      <c r="AF47" s="365">
        <f t="array" ref="AF47">IF(C47="","",IFERROR((INDEX(終値!$E:$E,MATCH(TEXT(C47,"0"),終値!$A:$A,0))-INDEX(終値!$E:$CZ,MATCH(TEXT(C47,"0"),終値!$A:$A,0),$AL$2))/INDEX(終値!$E:$CZ,MATCH(TEXT(C47,"0"),終値!$A:$A,0),$AL$2)*100,""))</f>
        <v>6.2598013591217985</v>
      </c>
      <c r="AG47" s="365">
        <f t="array" ref="AG47">IFERROR((終値!$E$5-INDEX(終値!$E$5:$CZ$5,1,$AL$2))/INDEX(終値!$E$5:$CZ$5,1,$AL$2)*100,"")</f>
        <v>-0.82558151178043282</v>
      </c>
      <c r="AH47" s="366">
        <f t="shared" si="8"/>
        <v>7.0853828709022313</v>
      </c>
      <c r="AI47" s="364">
        <f t="shared" si="9"/>
        <v>3</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2568</v>
      </c>
      <c r="F48" s="166">
        <f>IF(C48&lt;&gt;"",_xll.RssMarket(C48,"始値"),"")</f>
        <v>2497</v>
      </c>
      <c r="G48" s="165">
        <f>IF(C48&lt;&gt;"",終値!F123,"")</f>
        <v>2492.5</v>
      </c>
      <c r="H48" s="166">
        <f>IF(C48&lt;&gt;"",_xll.RssMarket(C48,"高値"),"")</f>
        <v>2568</v>
      </c>
      <c r="I48" s="166">
        <f>IF(C48&lt;&gt;"",_xll.RssMarket(C48,"安値"),"")</f>
        <v>2482</v>
      </c>
      <c r="J48" s="166">
        <f>IF(C48&lt;&gt;"",_xll.RssMarket(C48,"出来高"),"")</f>
        <v>789600</v>
      </c>
      <c r="K48" s="166">
        <f>IF(C48&lt;&gt;"",_xll.RssMarket(C48,"年初来高値"),"")</f>
        <v>2699.5</v>
      </c>
      <c r="L48" s="167">
        <f t="shared" si="0"/>
        <v>-4.8712724578625677</v>
      </c>
      <c r="M48" s="166">
        <f>IF(C48&lt;&gt;"",IFERROR(AVERAGE(出来高!E123:I123),""),"")</f>
        <v>1800380</v>
      </c>
      <c r="N48" s="166">
        <f>IF(C48&lt;&gt;"",IFERROR(AVERAGE(出来高!E123:AC123),""),"")</f>
        <v>1432948</v>
      </c>
      <c r="O48" s="168">
        <f t="shared" si="1"/>
        <v>0.43857407880558547</v>
      </c>
      <c r="P48" s="163" t="str">
        <f t="shared" si="2"/>
        <v>減少↓</v>
      </c>
      <c r="Q48" s="163" t="str">
        <f t="shared" si="3"/>
        <v>中立→</v>
      </c>
      <c r="R48" s="166">
        <f t="shared" si="10"/>
        <v>2773</v>
      </c>
      <c r="S48" s="166">
        <f t="shared" si="11"/>
        <v>2465</v>
      </c>
      <c r="T48" s="163">
        <f t="shared" si="4"/>
        <v>8</v>
      </c>
      <c r="U48" s="163" t="str">
        <f t="shared" si="12"/>
        <v>要確認</v>
      </c>
      <c r="V48" s="163" t="str">
        <f t="shared" si="5"/>
        <v>高値圏</v>
      </c>
      <c r="W48" s="169">
        <f t="array" ref="W48">IF(C48&lt;&gt;"",IFERROR(100-100/(1+SUMPRODUCT((終値!F123:R123&gt;終値!G123:S123)*( 終値!F123:R123-終値!G123:S123))/SUMPRODUCT((終値!F123:R123&lt;終値!G123:S123)*(終値!G123:S123-終値!F123:R123))),50),"")</f>
        <v>45.051194539249146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-2.8634626789626054</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△注目</v>
      </c>
      <c r="Z48" s="171">
        <f t="shared" si="13"/>
        <v>3.0290872617853561</v>
      </c>
      <c r="AA48" s="163" t="str">
        <f t="shared" si="14"/>
        <v>上昇▲</v>
      </c>
      <c r="AB48" s="403">
        <f>IF(C48="","",IFERROR(((終値!E50*0.333)+(終値!F50*0.222)+(終値!G50*0.148)+(終値!H50*0.099)+(終値!I50*0.066)+(終値!J50*0.044)+(終値!K50*0.029)+(終値!L50*0.019)+(終値!M50*0.013)+(終値!N50*0.009))/(0.333+0.222+0.148+0.099+0.066+0.044+0.029+0.019+0.013+0.009),""))</f>
        <v>6687.5814663951123</v>
      </c>
      <c r="AC48" s="403">
        <f>IF(C48="","",IFERROR(SUMPRODUCT((終値!E50:AC50),({0.077,0.071,0.065,0.06,0.055,0.051,0.047,0.043,0.039,0.036,0.033,0.031,0.028,0.026,0.024,0.022,0.02,0.018,0.017,0.016,0.014,0.013,0.012,0.011,0.01}))/SUM({0.077,0.071,0.065,0.06,0.055,0.051,0.047,0.043,0.039,0.036,0.033,0.031,0.028,0.026,0.024,0.022,0.02,0.018,0.017,0.016,0.014,0.013,0.012,0.011,0.01}),""))</f>
        <v>6834.5792610250255</v>
      </c>
      <c r="AD48" s="404" t="str">
        <f t="shared" si="15"/>
        <v>下降トレンド▼</v>
      </c>
      <c r="AE48" s="404" t="str">
        <f t="shared" si="16"/>
        <v>なし</v>
      </c>
      <c r="AF48" s="365">
        <f t="array" ref="AF48">IF(C48="","",IFERROR((INDEX(終値!$E:$E,MATCH(TEXT(C48,"0"),終値!$A:$A,0))-INDEX(終値!$E:$CZ,MATCH(TEXT(C48,"0"),終値!$A:$A,0),$AL$2))/INDEX(終値!$E:$CZ,MATCH(TEXT(C48,"0"),終値!$A:$A,0),$AL$2)*100,""))</f>
        <v>4.1867280720117233</v>
      </c>
      <c r="AG48" s="365">
        <f t="array" ref="AG48">IFERROR((終値!$E$5-INDEX(終値!$E$5:$CZ$5,1,$AL$2))/INDEX(終値!$E$5:$CZ$5,1,$AL$2)*100,"")</f>
        <v>-0.82558151178043282</v>
      </c>
      <c r="AH48" s="366">
        <f t="shared" si="8"/>
        <v>5.0123095837921561</v>
      </c>
      <c r="AI48" s="364">
        <f t="shared" si="9"/>
        <v>3</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2560.5</v>
      </c>
      <c r="F49" s="166">
        <f>IF(C49&lt;&gt;"",_xll.RssMarket(C49,"始値"),"")</f>
        <v>2496.5</v>
      </c>
      <c r="G49" s="165">
        <f>IF(C49&lt;&gt;"",終値!F122,"")</f>
        <v>2527.5</v>
      </c>
      <c r="H49" s="166">
        <f>IF(C49&lt;&gt;"",_xll.RssMarket(C49,"高値"),"")</f>
        <v>2570</v>
      </c>
      <c r="I49" s="166">
        <f>IF(C49&lt;&gt;"",_xll.RssMarket(C49,"安値"),"")</f>
        <v>2496.5</v>
      </c>
      <c r="J49" s="166">
        <f>IF(C49&lt;&gt;"",_xll.RssMarket(C49,"出来高"),"")</f>
        <v>548400</v>
      </c>
      <c r="K49" s="166">
        <f>IF(C49&lt;&gt;"",_xll.RssMarket(C49,"年初来高値"),"")</f>
        <v>2661</v>
      </c>
      <c r="L49" s="167">
        <f t="shared" si="0"/>
        <v>-3.7767756482525368</v>
      </c>
      <c r="M49" s="166">
        <f>IF(C49&lt;&gt;"",IFERROR(AVERAGE(出来高!E122:I122),""),"")</f>
        <v>1103780</v>
      </c>
      <c r="N49" s="166">
        <f>IF(C49&lt;&gt;"",IFERROR(AVERAGE(出来高!E122:AC122),""),"")</f>
        <v>959684</v>
      </c>
      <c r="O49" s="168">
        <f t="shared" si="1"/>
        <v>0.4968381380347533</v>
      </c>
      <c r="P49" s="163" t="str">
        <f t="shared" si="2"/>
        <v>減少↓</v>
      </c>
      <c r="Q49" s="163" t="str">
        <f t="shared" si="3"/>
        <v>中立→</v>
      </c>
      <c r="R49" s="166">
        <f t="shared" si="10"/>
        <v>2765</v>
      </c>
      <c r="S49" s="166">
        <f t="shared" si="11"/>
        <v>2458</v>
      </c>
      <c r="T49" s="163">
        <f t="shared" si="4"/>
        <v>9</v>
      </c>
      <c r="U49" s="163" t="str">
        <f t="shared" si="12"/>
        <v>要確認</v>
      </c>
      <c r="V49" s="163" t="str">
        <f t="shared" si="5"/>
        <v>高値圏</v>
      </c>
      <c r="W49" s="169">
        <f t="array" ref="W49">IF(C49&lt;&gt;"",IFERROR(100-100/(1+SUMPRODUCT((終値!F122:R122&gt;終値!G122:S122)*( 終値!F122:R122-終値!G122:S122))/SUMPRODUCT((終値!F122:R122&lt;終値!G122:S122)*(終値!G122:S122-終値!F122:R122))),50),"")</f>
        <v>50.906735751295336</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5.4566468581720073</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△注目</v>
      </c>
      <c r="Z49" s="171">
        <f t="shared" si="13"/>
        <v>1.3056379821958457</v>
      </c>
      <c r="AA49" s="163" t="str">
        <f t="shared" si="14"/>
        <v>上昇▲</v>
      </c>
      <c r="AB49" s="405">
        <f>IF(C49="","",IFERROR(((終値!E51*0.333)+(終値!F51*0.222)+(終値!G51*0.148)+(終値!H51*0.099)+(終値!I51*0.066)+(終値!J51*0.044)+(終値!K51*0.029)+(終値!L51*0.019)+(終値!M51*0.013)+(終値!N51*0.009))/(0.333+0.222+0.148+0.099+0.066+0.044+0.029+0.019+0.013+0.009),""))</f>
        <v>2534.325865580448</v>
      </c>
      <c r="AC49" s="405">
        <f>IF(C49="","",IFERROR(SUMPRODUCT((終値!E51:AC51),({0.077,0.071,0.065,0.06,0.055,0.051,0.047,0.043,0.039,0.036,0.033,0.031,0.028,0.026,0.024,0.022,0.02,0.018,0.017,0.016,0.014,0.013,0.012,0.011,0.01}))/SUM({0.077,0.071,0.065,0.06,0.055,0.051,0.047,0.043,0.039,0.036,0.033,0.031,0.028,0.026,0.024,0.022,0.02,0.018,0.017,0.016,0.014,0.013,0.012,0.011,0.01}),""))</f>
        <v>2570.2932061978531</v>
      </c>
      <c r="AD49" s="406" t="str">
        <f t="shared" si="15"/>
        <v>もみ合い→</v>
      </c>
      <c r="AE49" s="406" t="str">
        <f t="shared" si="16"/>
        <v>なし</v>
      </c>
      <c r="AF49" s="365">
        <f t="array" ref="AF49">IF(C49="","",IFERROR((INDEX(終値!$E:$E,MATCH(TEXT(C49,"0"),終値!$A:$A,0))-INDEX(終値!$E:$CZ,MATCH(TEXT(C49,"0"),終値!$A:$A,0),$AL$2))/INDEX(終値!$E:$CZ,MATCH(TEXT(C49,"0"),終値!$A:$A,0),$AL$2)*100,""))</f>
        <v>6.5769805680119582</v>
      </c>
      <c r="AG49" s="365">
        <f t="array" ref="AG49">IFERROR((終値!$E$5-INDEX(終値!$E$5:$CZ$5,1,$AL$2))/INDEX(終値!$E$5:$CZ$5,1,$AL$2)*100,"")</f>
        <v>-0.82558151178043282</v>
      </c>
      <c r="AH49" s="366">
        <f t="shared" si="8"/>
        <v>7.402562079792391</v>
      </c>
      <c r="AI49" s="364">
        <f t="shared" si="9"/>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6655</v>
      </c>
      <c r="F50" s="166">
        <f>IF(C50&lt;&gt;"",_xll.RssMarket(C50,"始値"),"")</f>
        <v>6560</v>
      </c>
      <c r="G50" s="165">
        <f>IF(C50&lt;&gt;"",終値!F50,"")</f>
        <v>6614</v>
      </c>
      <c r="H50" s="166">
        <f>IF(C50&lt;&gt;"",_xll.RssMarket(C50,"高値"),"")</f>
        <v>6655</v>
      </c>
      <c r="I50" s="166">
        <f>IF(C50&lt;&gt;"",_xll.RssMarket(C50,"安値"),"")</f>
        <v>6474</v>
      </c>
      <c r="J50" s="166">
        <f>IF(C50&lt;&gt;"",_xll.RssMarket(C50,"出来高"),"")</f>
        <v>7788200</v>
      </c>
      <c r="K50" s="166">
        <f>IF(C50&lt;&gt;"",_xll.RssMarket(C50,"年初来高値"),"")</f>
        <v>7260</v>
      </c>
      <c r="L50" s="167">
        <f t="shared" si="0"/>
        <v>-8.3333333333333321</v>
      </c>
      <c r="M50" s="166">
        <f>IF(C50&lt;&gt;"",IFERROR(AVERAGE(出来高!E50:I50),""),"")</f>
        <v>16242880</v>
      </c>
      <c r="N50" s="166">
        <f>IF(C50&lt;&gt;"",IFERROR(AVERAGE(出来高!E50:AC50),""),"")</f>
        <v>12870088</v>
      </c>
      <c r="O50" s="168">
        <f t="shared" si="1"/>
        <v>0.47948393388364624</v>
      </c>
      <c r="P50" s="163" t="str">
        <f t="shared" si="2"/>
        <v>減少↓</v>
      </c>
      <c r="Q50" s="163" t="str">
        <f t="shared" si="3"/>
        <v>中立→</v>
      </c>
      <c r="R50" s="166">
        <f t="shared" si="10"/>
        <v>7187</v>
      </c>
      <c r="S50" s="166">
        <f t="shared" si="11"/>
        <v>6389</v>
      </c>
      <c r="T50" s="163">
        <f t="shared" si="4"/>
        <v>3</v>
      </c>
      <c r="U50" s="163" t="str">
        <f t="shared" si="12"/>
        <v>要確認</v>
      </c>
      <c r="V50" s="163" t="str">
        <f t="shared" si="5"/>
        <v>通常</v>
      </c>
      <c r="W50" s="169">
        <f t="array" ref="W50">IF(C50&lt;&gt;"",IFERROR(100-100/(1+SUMPRODUCT((終値!F50:R50&gt;終値!G50:S50)*( 終値!F50:R50-終値!G50:S50))/SUMPRODUCT((終値!F50:R50&lt;終値!G50:S50)*(終値!G50:S50-終値!F50:R50))),50),"")</f>
        <v>42.21331997996996</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-9.0071187196217579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 t="shared" si="13"/>
        <v>0.61989718778348957</v>
      </c>
      <c r="AA50" s="163" t="str">
        <f t="shared" si="14"/>
        <v>上昇▲</v>
      </c>
      <c r="AB50" s="403">
        <f>IF(C50="","",IFERROR(((終値!E52*0.333)+(終値!F52*0.222)+(終値!G52*0.148)+(終値!H52*0.099)+(終値!I52*0.066)+(終値!J52*0.044)+(終値!K52*0.029)+(終値!L52*0.019)+(終値!M52*0.013)+(終値!N52*0.009))/(0.333+0.222+0.148+0.099+0.066+0.044+0.029+0.019+0.013+0.009),""))</f>
        <v>7958.3655804480632</v>
      </c>
      <c r="AC50" s="403">
        <f>IF(C50="","",IFERROR(SUMPRODUCT((終値!E52:AC52),({0.077,0.071,0.065,0.06,0.055,0.051,0.047,0.043,0.039,0.036,0.033,0.031,0.028,0.026,0.024,0.022,0.02,0.018,0.017,0.016,0.014,0.013,0.012,0.011,0.01}))/SUM({0.077,0.071,0.065,0.06,0.055,0.051,0.047,0.043,0.039,0.036,0.033,0.031,0.028,0.026,0.024,0.022,0.02,0.018,0.017,0.016,0.014,0.013,0.012,0.011,0.01}),""))</f>
        <v>7917.550655542308</v>
      </c>
      <c r="AD50" s="404" t="str">
        <f t="shared" si="15"/>
        <v>もみ合い→</v>
      </c>
      <c r="AE50" s="404" t="str">
        <f t="shared" si="16"/>
        <v>なし</v>
      </c>
      <c r="AF50" s="365">
        <f t="array" ref="AF50">IF(C50="","",IFERROR((INDEX(終値!$E:$E,MATCH(TEXT(C50,"0"),終値!$A:$A,0))-INDEX(終値!$E:$CZ,MATCH(TEXT(C50,"0"),終値!$A:$A,0),$AL$2))/INDEX(終値!$E:$CZ,MATCH(TEXT(C50,"0"),終値!$A:$A,0),$AL$2)*100,""))</f>
        <v>2.6954602774274905</v>
      </c>
      <c r="AG50" s="365">
        <f t="array" ref="AG50">IFERROR((終値!$E$5-INDEX(終値!$E$5:$CZ$5,1,$AL$2))/INDEX(終値!$E$5:$CZ$5,1,$AL$2)*100,"")</f>
        <v>-0.82558151178043282</v>
      </c>
      <c r="AH50" s="366">
        <f t="shared" si="8"/>
        <v>3.5210417892079233</v>
      </c>
      <c r="AI50" s="364">
        <f t="shared" si="9"/>
        <v>1</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1664</v>
      </c>
      <c r="F51" s="166">
        <f>IF(C51&lt;&gt;"",_xll.RssMarket(C51,"始値"),"")</f>
        <v>1642</v>
      </c>
      <c r="G51" s="165">
        <f>IF(C51&lt;&gt;"",終値!F31,"")</f>
        <v>0</v>
      </c>
      <c r="H51" s="166">
        <f>IF(C51&lt;&gt;"",_xll.RssMarket(C51,"高値"),"")</f>
        <v>1666.5</v>
      </c>
      <c r="I51" s="166">
        <f>IF(C51&lt;&gt;"",_xll.RssMarket(C51,"安値"),"")</f>
        <v>1621</v>
      </c>
      <c r="J51" s="166">
        <f>IF(C51&lt;&gt;"",_xll.RssMarket(C51,"出来高"),"")</f>
        <v>3664800</v>
      </c>
      <c r="K51" s="166">
        <f>IF(C51&lt;&gt;"",_xll.RssMarket(C51,"年初来高値"),"")</f>
        <v>1705</v>
      </c>
      <c r="L51" s="167">
        <f t="shared" si="0"/>
        <v>-2.404692082111437</v>
      </c>
      <c r="M51" s="166" t="str">
        <f>IF(C51&lt;&gt;"",IFERROR(AVERAGE(出来高!E31:I31),""),"")</f>
        <v/>
      </c>
      <c r="N51" s="166" t="str">
        <f>IF(C51&lt;&gt;"",IFERROR(AVERAGE(出来高!E31:AC31),""),"")</f>
        <v/>
      </c>
      <c r="O51" s="168" t="str">
        <f t="shared" si="1"/>
        <v/>
      </c>
      <c r="P51" s="163" t="str">
        <f t="shared" si="2"/>
        <v/>
      </c>
      <c r="Q51" s="163" t="str">
        <f t="shared" si="3"/>
        <v>買い▲</v>
      </c>
      <c r="R51" s="166">
        <f t="shared" si="10"/>
        <v>1797</v>
      </c>
      <c r="S51" s="166">
        <f t="shared" si="11"/>
        <v>1597</v>
      </c>
      <c r="T51" s="163">
        <f t="shared" si="4"/>
        <v>10</v>
      </c>
      <c r="U51" s="163" t="str">
        <f t="shared" si="12"/>
        <v>有効</v>
      </c>
      <c r="V51" s="163" t="str">
        <f t="shared" si="5"/>
        <v>高値圏</v>
      </c>
      <c r="W51" s="169">
        <f t="array" ref="W51">IF(C51&lt;&gt;"",IFERROR(100-100/(1+SUMPRODUCT((終値!F31:R31&gt;終値!G31:S31)*( 終値!F31:R31-終値!G31:S31))/SUMPRODUCT((終値!F31:R31&lt;終値!G31:S31)*(終値!G31:S31-終値!F31:R31))),50),"")</f>
        <v>50</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0</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○買い候補</v>
      </c>
      <c r="Z51" s="171" t="str">
        <f t="shared" si="13"/>
        <v/>
      </c>
      <c r="AA51" s="163" t="str">
        <f t="shared" si="14"/>
        <v>上昇▲</v>
      </c>
      <c r="AB51" s="405">
        <f>IF(C51="","",IFERROR(((終値!E53*0.333)+(終値!F53*0.222)+(終値!G53*0.148)+(終値!H53*0.099)+(終値!I53*0.066)+(終値!J53*0.044)+(終値!K53*0.029)+(終値!L53*0.019)+(終値!M53*0.013)+(終値!N53*0.009))/(0.333+0.222+0.148+0.099+0.066+0.044+0.029+0.019+0.013+0.009),""))</f>
        <v>5913.0794297352322</v>
      </c>
      <c r="AC51" s="405">
        <f>IF(C51="","",IFERROR(SUMPRODUCT((終値!E53:AC53),({0.077,0.071,0.065,0.06,0.055,0.051,0.047,0.043,0.039,0.036,0.033,0.031,0.028,0.026,0.024,0.022,0.02,0.018,0.017,0.016,0.014,0.013,0.012,0.011,0.01}))/SUM({0.077,0.071,0.065,0.06,0.055,0.051,0.047,0.043,0.039,0.036,0.033,0.031,0.028,0.026,0.024,0.022,0.02,0.018,0.017,0.016,0.014,0.013,0.012,0.011,0.01}),""))</f>
        <v>6215.7759237187138</v>
      </c>
      <c r="AD51" s="406" t="str">
        <f t="shared" si="15"/>
        <v>下降トレンド▼</v>
      </c>
      <c r="AE51" s="406" t="str">
        <f t="shared" si="16"/>
        <v>なし</v>
      </c>
      <c r="AF51" s="365" t="str">
        <f t="array" ref="AF51">IF(C51="","",IFERROR((INDEX(終値!$E:$E,MATCH(TEXT(C51,"0"),終値!$A:$A,0))-INDEX(終値!$E:$CZ,MATCH(TEXT(C51,"0"),終値!$A:$A,0),$AL$2))/INDEX(終値!$E:$CZ,MATCH(TEXT(C51,"0"),終値!$A:$A,0),$AL$2)*100,""))</f>
        <v/>
      </c>
      <c r="AG51" s="365">
        <f t="array" ref="AG51">IFERROR((終値!$E$5-INDEX(終値!$E$5:$CZ$5,1,$AL$2))/INDEX(終値!$E$5:$CZ$5,1,$AL$2)*100,"")</f>
        <v>-0.82558151178043282</v>
      </c>
      <c r="AH51" s="366" t="str">
        <f t="shared" si="8"/>
        <v/>
      </c>
      <c r="AI51" s="364" t="str">
        <f t="shared" si="9"/>
        <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2270.5</v>
      </c>
      <c r="F52" s="166">
        <f>IF(C52&lt;&gt;"",_xll.RssMarket(C52,"始値"),"")</f>
        <v>2208</v>
      </c>
      <c r="G52" s="165">
        <f>IF(C52&lt;&gt;"",終値!F35,"")</f>
        <v>2246.5</v>
      </c>
      <c r="H52" s="166">
        <f>IF(C52&lt;&gt;"",_xll.RssMarket(C52,"高値"),"")</f>
        <v>2271</v>
      </c>
      <c r="I52" s="166">
        <f>IF(C52&lt;&gt;"",_xll.RssMarket(C52,"安値"),"")</f>
        <v>2183.5</v>
      </c>
      <c r="J52" s="166">
        <f>IF(C52&lt;&gt;"",_xll.RssMarket(C52,"出来高"),"")</f>
        <v>6488700</v>
      </c>
      <c r="K52" s="166">
        <f>IF(C52&lt;&gt;"",_xll.RssMarket(C52,"年初来高値"),"")</f>
        <v>2420.5</v>
      </c>
      <c r="L52" s="167">
        <f t="shared" si="0"/>
        <v>-6.1970667217517041</v>
      </c>
      <c r="M52" s="166">
        <f>IF(C52&lt;&gt;"",IFERROR(AVERAGE(出来高!E35:I35),""),"")</f>
        <v>14711280</v>
      </c>
      <c r="N52" s="166">
        <f>IF(C52&lt;&gt;"",IFERROR(AVERAGE(出来高!E35:AC35),""),"")</f>
        <v>10169524</v>
      </c>
      <c r="O52" s="168">
        <f t="shared" si="1"/>
        <v>0.44106970977372467</v>
      </c>
      <c r="P52" s="163" t="str">
        <f t="shared" si="2"/>
        <v>減少↓</v>
      </c>
      <c r="Q52" s="163" t="str">
        <f t="shared" si="3"/>
        <v>中立→</v>
      </c>
      <c r="R52" s="166">
        <f t="shared" si="10"/>
        <v>2452</v>
      </c>
      <c r="S52" s="166">
        <f t="shared" si="11"/>
        <v>2180</v>
      </c>
      <c r="T52" s="163">
        <f t="shared" si="4"/>
        <v>3</v>
      </c>
      <c r="U52" s="163" t="str">
        <f t="shared" si="12"/>
        <v>要確認</v>
      </c>
      <c r="V52" s="163" t="str">
        <f t="shared" si="5"/>
        <v>通常</v>
      </c>
      <c r="W52" s="169">
        <f t="array" ref="W52">IF(C52&lt;&gt;"",IFERROR(100-100/(1+SUMPRODUCT((終値!F35:R35&gt;終値!G35:S35)*( 終値!F35:R35-終値!G35:S35))/SUMPRODUCT((終値!F35:R35&lt;終値!G35:S35)*(終値!G35:S35-終値!F35:R35))),50),"")</f>
        <v>40.720000000000006</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-11.892902773851802</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様子見</v>
      </c>
      <c r="Z52" s="171">
        <f t="shared" si="13"/>
        <v>1.0683285110171379</v>
      </c>
      <c r="AA52" s="163" t="str">
        <f t="shared" si="14"/>
        <v>上昇▲</v>
      </c>
      <c r="AB52" s="403">
        <f>IF(C52="","",IFERROR(((終値!E54*0.333)+(終値!F54*0.222)+(終値!G54*0.148)+(終値!H54*0.099)+(終値!I54*0.066)+(終値!J54*0.044)+(終値!K54*0.029)+(終値!L54*0.019)+(終値!M54*0.013)+(終値!N54*0.009))/(0.333+0.222+0.148+0.099+0.066+0.044+0.029+0.019+0.013+0.009),""))</f>
        <v>6989.2912423625248</v>
      </c>
      <c r="AC52" s="403">
        <f>IF(C52="","",IFERROR(SUMPRODUCT((終値!E54:AC54),({0.077,0.071,0.065,0.06,0.055,0.051,0.047,0.043,0.039,0.036,0.033,0.031,0.028,0.026,0.024,0.022,0.02,0.018,0.017,0.016,0.014,0.013,0.012,0.011,0.01}))/SUM({0.077,0.071,0.065,0.06,0.055,0.051,0.047,0.043,0.039,0.036,0.033,0.031,0.028,0.026,0.024,0.022,0.02,0.018,0.017,0.016,0.014,0.013,0.012,0.011,0.01}),""))</f>
        <v>6907.7604290822383</v>
      </c>
      <c r="AD52" s="404" t="str">
        <f t="shared" si="15"/>
        <v>もみ合い→</v>
      </c>
      <c r="AE52" s="404" t="str">
        <f t="shared" si="16"/>
        <v>なし</v>
      </c>
      <c r="AF52" s="365">
        <f t="array" ref="AF52">IF(C52="","",IFERROR((INDEX(終値!$E:$E,MATCH(TEXT(C52,"0"),終値!$A:$A,0))-INDEX(終値!$E:$CZ,MATCH(TEXT(C52,"0"),終値!$A:$A,0),$AL$2))/INDEX(終値!$E:$CZ,MATCH(TEXT(C52,"0"),終値!$A:$A,0),$AL$2)*100,""))</f>
        <v>4.1339985744832504</v>
      </c>
      <c r="AG52" s="365">
        <f t="array" ref="AG52">IFERROR((終値!$E$5-INDEX(終値!$E$5:$CZ$5,1,$AL$2))/INDEX(終値!$E$5:$CZ$5,1,$AL$2)*100,"")</f>
        <v>-0.82558151178043282</v>
      </c>
      <c r="AH52" s="366">
        <f t="shared" si="8"/>
        <v>4.9595800862636832</v>
      </c>
      <c r="AI52" s="364">
        <f t="shared" si="9"/>
        <v>1</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3541</v>
      </c>
      <c r="F53" s="166">
        <f>IF(C53&lt;&gt;"",_xll.RssMarket(C53,"始値"),"")</f>
        <v>3480</v>
      </c>
      <c r="G53" s="165">
        <f>IF(C53&lt;&gt;"",終値!F45,"")</f>
        <v>3567</v>
      </c>
      <c r="H53" s="166">
        <f>IF(C53&lt;&gt;"",_xll.RssMarket(C53,"高値"),"")</f>
        <v>3550</v>
      </c>
      <c r="I53" s="166">
        <f>IF(C53&lt;&gt;"",_xll.RssMarket(C53,"安値"),"")</f>
        <v>3449</v>
      </c>
      <c r="J53" s="166">
        <f>IF(C53&lt;&gt;"",_xll.RssMarket(C53,"出来高"),"")</f>
        <v>29938900</v>
      </c>
      <c r="K53" s="166">
        <f>IF(C53&lt;&gt;"",_xll.RssMarket(C53,"年初来高値"),"")</f>
        <v>3813</v>
      </c>
      <c r="L53" s="167">
        <f t="shared" si="0"/>
        <v>-7.1334906897456074</v>
      </c>
      <c r="M53" s="166">
        <f>IF(C53&lt;&gt;"",IFERROR(AVERAGE(出来高!E45:I45),""),"")</f>
        <v>49269340</v>
      </c>
      <c r="N53" s="166">
        <f>IF(C53&lt;&gt;"",IFERROR(AVERAGE(出来高!E45:AC45),""),"")</f>
        <v>42548476</v>
      </c>
      <c r="O53" s="168">
        <f t="shared" si="1"/>
        <v>0.60765782533315849</v>
      </c>
      <c r="P53" s="163" t="str">
        <f t="shared" si="2"/>
        <v>減少↓</v>
      </c>
      <c r="Q53" s="163" t="str">
        <f t="shared" si="3"/>
        <v>様子見▼</v>
      </c>
      <c r="R53" s="166">
        <f t="shared" si="10"/>
        <v>3824</v>
      </c>
      <c r="S53" s="166">
        <f t="shared" si="11"/>
        <v>3399</v>
      </c>
      <c r="T53" s="163">
        <f t="shared" si="4"/>
        <v>5</v>
      </c>
      <c r="U53" s="163" t="str">
        <f t="shared" si="12"/>
        <v>要確認</v>
      </c>
      <c r="V53" s="163" t="str">
        <f t="shared" si="5"/>
        <v>通常</v>
      </c>
      <c r="W53" s="169">
        <f t="array" ref="W53">IF(C53&lt;&gt;"",IFERROR(100-100/(1+SUMPRODUCT((終値!F45:R45&gt;終値!G45:S45)*( 終値!F45:R45-終値!G45:S45))/SUMPRODUCT((終値!F45:R45&lt;終値!G45:S45)*(終値!G45:S45-終値!F45:R45))),50),"")</f>
        <v>51.262135922330096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17.990863281576821</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様子見</v>
      </c>
      <c r="Z53" s="171">
        <f t="shared" si="13"/>
        <v>-0.72890384076254555</v>
      </c>
      <c r="AA53" s="163" t="str">
        <f t="shared" si="14"/>
        <v>下落▼</v>
      </c>
      <c r="AB53" s="405">
        <f>IF(C53="","",IFERROR(((終値!E55*0.333)+(終値!F55*0.222)+(終値!G55*0.148)+(終値!H55*0.099)+(終値!I55*0.066)+(終値!J55*0.044)+(終値!K55*0.029)+(終値!L55*0.019)+(終値!M55*0.013)+(終値!N55*0.009))/(0.333+0.222+0.148+0.099+0.066+0.044+0.029+0.019+0.013+0.009),""))</f>
        <v>4048.7331975560069</v>
      </c>
      <c r="AC53" s="405">
        <f>IF(C53="","",IFERROR(SUMPRODUCT((終値!E55:AC55),({0.077,0.071,0.065,0.06,0.055,0.051,0.047,0.043,0.039,0.036,0.033,0.031,0.028,0.026,0.024,0.022,0.02,0.018,0.017,0.016,0.014,0.013,0.012,0.011,0.01}))/SUM({0.077,0.071,0.065,0.06,0.055,0.051,0.047,0.043,0.039,0.036,0.033,0.031,0.028,0.026,0.024,0.022,0.02,0.018,0.017,0.016,0.014,0.013,0.012,0.011,0.01}),""))</f>
        <v>4080.4636471990452</v>
      </c>
      <c r="AD53" s="406" t="str">
        <f t="shared" si="15"/>
        <v>下降トレンド▼</v>
      </c>
      <c r="AE53" s="406" t="str">
        <f t="shared" si="16"/>
        <v>なし</v>
      </c>
      <c r="AF53" s="365">
        <f t="array" ref="AF53">IF(C53="","",IFERROR((INDEX(終値!$E:$E,MATCH(TEXT(C53,"0"),終値!$A:$A,0))-INDEX(終値!$E:$CZ,MATCH(TEXT(C53,"0"),終値!$A:$A,0),$AL$2))/INDEX(終値!$E:$CZ,MATCH(TEXT(C53,"0"),終値!$A:$A,0),$AL$2)*100,""))</f>
        <v>8.0660230457801312</v>
      </c>
      <c r="AG53" s="365">
        <f t="array" ref="AG53">IFERROR((終値!$E$5-INDEX(終値!$E$5:$CZ$5,1,$AL$2))/INDEX(終値!$E$5:$CZ$5,1,$AL$2)*100,"")</f>
        <v>-0.82558151178043282</v>
      </c>
      <c r="AH53" s="366">
        <f t="shared" si="8"/>
        <v>8.891604557560564</v>
      </c>
      <c r="AI53" s="364">
        <f t="shared" si="9"/>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1486</v>
      </c>
      <c r="F54" s="166">
        <f>IF(C54&lt;&gt;"",_xll.RssMarket(C54,"始値"),"")</f>
        <v>1449.5</v>
      </c>
      <c r="G54" s="165">
        <f>IF(C54&lt;&gt;"",終値!F172,"")</f>
        <v>1453</v>
      </c>
      <c r="H54" s="166">
        <f>IF(C54&lt;&gt;"",_xll.RssMarket(C54,"高値"),"")</f>
        <v>1501</v>
      </c>
      <c r="I54" s="166">
        <f>IF(C54&lt;&gt;"",_xll.RssMarket(C54,"安値"),"")</f>
        <v>1443</v>
      </c>
      <c r="J54" s="166">
        <f>IF(C54&lt;&gt;"",_xll.RssMarket(C54,"出来高"),"")</f>
        <v>4793300</v>
      </c>
      <c r="K54" s="166">
        <f>IF(C54&lt;&gt;"",_xll.RssMarket(C54,"年初来高値"),"")</f>
        <v>2200</v>
      </c>
      <c r="L54" s="167">
        <f t="shared" si="0"/>
        <v>-32.454545454545453</v>
      </c>
      <c r="M54" s="166">
        <f>IF(C54&lt;&gt;"",IFERROR(AVERAGE(出来高!E172:I172),""),"")</f>
        <v>5983480</v>
      </c>
      <c r="N54" s="166">
        <f>IF(C54&lt;&gt;"",IFERROR(AVERAGE(出来高!E172:AC172),""),"")</f>
        <v>3629696</v>
      </c>
      <c r="O54" s="168">
        <f t="shared" si="1"/>
        <v>0.80108899837552727</v>
      </c>
      <c r="P54" s="163" t="str">
        <f t="shared" si="2"/>
        <v>減少↓</v>
      </c>
      <c r="Q54" s="163" t="str">
        <f t="shared" si="3"/>
        <v>中立→</v>
      </c>
      <c r="R54" s="166">
        <f t="shared" si="10"/>
        <v>1605</v>
      </c>
      <c r="S54" s="166">
        <f t="shared" si="11"/>
        <v>1427</v>
      </c>
      <c r="T54" s="163">
        <f t="shared" si="4"/>
        <v>3</v>
      </c>
      <c r="U54" s="163" t="str">
        <f t="shared" si="12"/>
        <v>要確認</v>
      </c>
      <c r="V54" s="163" t="str">
        <f t="shared" si="5"/>
        <v>通常</v>
      </c>
      <c r="W54" s="169">
        <f t="array" ref="W54">IF(C54&lt;&gt;"",IFERROR(100-100/(1+SUMPRODUCT((終値!F172:R172&gt;終値!G172:S172)*( 終値!F172:R172-終値!G172:S172))/SUMPRODUCT((終値!F172:R172&lt;終値!G172:S172)*(終値!G172:S172-終値!F172:R172))),50),"")</f>
        <v>51.293103448275865</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-0.44804747670536926</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様子見</v>
      </c>
      <c r="Z54" s="171">
        <f t="shared" si="13"/>
        <v>2.2711631108052308</v>
      </c>
      <c r="AA54" s="163" t="str">
        <f t="shared" si="14"/>
        <v>上昇▲</v>
      </c>
      <c r="AB54" s="403">
        <f>IF(C54="","",IFERROR(((終値!E56*0.333)+(終値!F56*0.222)+(終値!G56*0.148)+(終値!H56*0.099)+(終値!I56*0.066)+(終値!J56*0.044)+(終値!K56*0.029)+(終値!L56*0.019)+(終値!M56*0.013)+(終値!N56*0.009))/(0.333+0.222+0.148+0.099+0.066+0.044+0.029+0.019+0.013+0.009),""))</f>
        <v>2155.1690427698572</v>
      </c>
      <c r="AC54" s="403">
        <f>IF(C54="","",IFERROR(SUMPRODUCT((終値!E56:AC56),({0.077,0.071,0.065,0.06,0.055,0.051,0.047,0.043,0.039,0.036,0.033,0.031,0.028,0.026,0.024,0.022,0.02,0.018,0.017,0.016,0.014,0.013,0.012,0.011,0.01}))/SUM({0.077,0.071,0.065,0.06,0.055,0.051,0.047,0.043,0.039,0.036,0.033,0.031,0.028,0.026,0.024,0.022,0.02,0.018,0.017,0.016,0.014,0.013,0.012,0.011,0.01}),""))</f>
        <v>2281.7103694874845</v>
      </c>
      <c r="AD54" s="404" t="str">
        <f t="shared" si="15"/>
        <v>下降トレンド▼</v>
      </c>
      <c r="AE54" s="404" t="str">
        <f t="shared" si="16"/>
        <v>なし</v>
      </c>
      <c r="AF54" s="365">
        <f t="array" ref="AF54">IF(C54="","",IFERROR((INDEX(終値!$E:$E,MATCH(TEXT(C54,"0"),終値!$A:$A,0))-INDEX(終値!$E:$CZ,MATCH(TEXT(C54,"0"),終値!$A:$A,0),$AL$2))/INDEX(終値!$E:$CZ,MATCH(TEXT(C54,"0"),終値!$A:$A,0),$AL$2)*100,""))</f>
        <v>0.91228070175438591</v>
      </c>
      <c r="AG54" s="365">
        <f t="array" ref="AG54">IFERROR((終値!$E$5-INDEX(終値!$E$5:$CZ$5,1,$AL$2))/INDEX(終値!$E$5:$CZ$5,1,$AL$2)*100,"")</f>
        <v>-0.82558151178043282</v>
      </c>
      <c r="AH54" s="366">
        <f t="shared" si="8"/>
        <v>1.7378622135348187</v>
      </c>
      <c r="AI54" s="364">
        <f t="shared" si="9"/>
        <v>1</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1077</v>
      </c>
      <c r="F55" s="166">
        <f>IF(C55&lt;&gt;"",_xll.RssMarket(C55,"始値"),"")</f>
        <v>1074</v>
      </c>
      <c r="G55" s="165">
        <f>IF(C55&lt;&gt;"",終値!F63,"")</f>
        <v>1089</v>
      </c>
      <c r="H55" s="166">
        <f>IF(C55&lt;&gt;"",_xll.RssMarket(C55,"高値"),"")</f>
        <v>1079</v>
      </c>
      <c r="I55" s="166">
        <f>IF(C55&lt;&gt;"",_xll.RssMarket(C55,"安値"),"")</f>
        <v>1067</v>
      </c>
      <c r="J55" s="166">
        <f>IF(C55&lt;&gt;"",_xll.RssMarket(C55,"出来高"),"")</f>
        <v>39800</v>
      </c>
      <c r="K55" s="166">
        <f>IF(C55&lt;&gt;"",_xll.RssMarket(C55,"年初来高値"),"")</f>
        <v>1168</v>
      </c>
      <c r="L55" s="167">
        <f t="shared" si="0"/>
        <v>-7.7910958904109595</v>
      </c>
      <c r="M55" s="166">
        <f>IF(C55&lt;&gt;"",IFERROR(AVERAGE(出来高!E63:I63),""),"")</f>
        <v>103400</v>
      </c>
      <c r="N55" s="166">
        <f>IF(C55&lt;&gt;"",IFERROR(AVERAGE(出来高!E63:AC63),""),"")</f>
        <v>85541.666666666672</v>
      </c>
      <c r="O55" s="168">
        <f t="shared" si="1"/>
        <v>0.38491295938104447</v>
      </c>
      <c r="P55" s="163" t="str">
        <f t="shared" si="2"/>
        <v>減少↓</v>
      </c>
      <c r="Q55" s="163" t="str">
        <f t="shared" si="3"/>
        <v>様子見▼</v>
      </c>
      <c r="R55" s="166">
        <f t="shared" si="10"/>
        <v>1163</v>
      </c>
      <c r="S55" s="166">
        <f t="shared" si="11"/>
        <v>1034</v>
      </c>
      <c r="T55" s="163">
        <f t="shared" si="4"/>
        <v>2</v>
      </c>
      <c r="U55" s="163" t="str">
        <f t="shared" si="12"/>
        <v>除外</v>
      </c>
      <c r="V55" s="163" t="str">
        <f t="shared" si="5"/>
        <v>通常</v>
      </c>
      <c r="W55" s="169">
        <f t="array" ref="W55">IF(C55&lt;&gt;"",IFERROR(100-100/(1+SUMPRODUCT((終値!F63:R63&gt;終値!G63:S63)*( 終値!F63:R63-終値!G63:S63))/SUMPRODUCT((終値!F63:R63&lt;終値!G63:S63)*(終値!G63:S63-終値!F63:R63))),50),"")</f>
        <v>50.127768313458255</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-5.842629926086147</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見送り</v>
      </c>
      <c r="Z55" s="171">
        <f t="shared" si="13"/>
        <v>-1.1019283746556474</v>
      </c>
      <c r="AA55" s="163" t="str">
        <f t="shared" si="14"/>
        <v>下落▼</v>
      </c>
      <c r="AB55" s="405">
        <f>IF(C55="","",IFERROR(((終値!E57*0.333)+(終値!F57*0.222)+(終値!G57*0.148)+(終値!H57*0.099)+(終値!I57*0.066)+(終値!J57*0.044)+(終値!K57*0.029)+(終値!L57*0.019)+(終値!M57*0.013)+(終値!N57*0.009))/(0.333+0.222+0.148+0.099+0.066+0.044+0.029+0.019+0.013+0.009),""))</f>
        <v>1373.7861507128309</v>
      </c>
      <c r="AC55" s="405">
        <f>IF(C55="","",IFERROR(SUMPRODUCT((終値!E57:AC57),({0.077,0.071,0.065,0.06,0.055,0.051,0.047,0.043,0.039,0.036,0.033,0.031,0.028,0.026,0.024,0.022,0.02,0.018,0.017,0.016,0.014,0.013,0.012,0.011,0.01}))/SUM({0.077,0.071,0.065,0.06,0.055,0.051,0.047,0.043,0.039,0.036,0.033,0.031,0.028,0.026,0.024,0.022,0.02,0.018,0.017,0.016,0.014,0.013,0.012,0.011,0.01}),""))</f>
        <v>1451.7234803337303</v>
      </c>
      <c r="AD55" s="406" t="str">
        <f t="shared" si="15"/>
        <v>下降トレンド▼</v>
      </c>
      <c r="AE55" s="406" t="str">
        <f t="shared" si="16"/>
        <v>なし</v>
      </c>
      <c r="AF55" s="365">
        <f t="array" ref="AF55">IF(C55="","",IFERROR((INDEX(終値!$E:$E,MATCH(TEXT(C55,"0"),終値!$A:$A,0))-INDEX(終値!$E:$CZ,MATCH(TEXT(C55,"0"),終値!$A:$A,0),$AL$2))/INDEX(終値!$E:$CZ,MATCH(TEXT(C55,"0"),終値!$A:$A,0),$AL$2)*100,""))</f>
        <v>0.28011204481792717</v>
      </c>
      <c r="AG55" s="365">
        <f t="array" ref="AG55">IFERROR((終値!$E$5-INDEX(終値!$E$5:$CZ$5,1,$AL$2))/INDEX(終値!$E$5:$CZ$5,1,$AL$2)*100,"")</f>
        <v>-0.82558151178043282</v>
      </c>
      <c r="AH55" s="366">
        <f t="shared" si="8"/>
        <v>1.1056935565983599</v>
      </c>
      <c r="AI55" s="364">
        <f t="shared" si="9"/>
        <v>1</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890</v>
      </c>
      <c r="F56" s="166">
        <f>IF(C56&lt;&gt;"",_xll.RssMarket(C56,"始値"),"")</f>
        <v>891</v>
      </c>
      <c r="G56" s="165">
        <f>IF(C56&lt;&gt;"",終値!F169,"")</f>
        <v>898</v>
      </c>
      <c r="H56" s="166">
        <f>IF(C56&lt;&gt;"",_xll.RssMarket(C56,"高値"),"")</f>
        <v>900</v>
      </c>
      <c r="I56" s="166">
        <f>IF(C56&lt;&gt;"",_xll.RssMarket(C56,"安値"),"")</f>
        <v>886</v>
      </c>
      <c r="J56" s="166">
        <f>IF(C56&lt;&gt;"",_xll.RssMarket(C56,"出来高"),"")</f>
        <v>97600</v>
      </c>
      <c r="K56" s="166">
        <f>IF(C56&lt;&gt;"",_xll.RssMarket(C56,"年初来高値"),"")</f>
        <v>1041</v>
      </c>
      <c r="L56" s="167">
        <f t="shared" si="0"/>
        <v>-14.505283381364073</v>
      </c>
      <c r="M56" s="166">
        <f>IF(C56&lt;&gt;"",IFERROR(AVERAGE(出来高!E169:I169),""),"")</f>
        <v>239600</v>
      </c>
      <c r="N56" s="166">
        <f>IF(C56&lt;&gt;"",IFERROR(AVERAGE(出来高!E169:AC169),""),"")</f>
        <v>187612</v>
      </c>
      <c r="O56" s="168">
        <f t="shared" si="1"/>
        <v>0.4073455759599332</v>
      </c>
      <c r="P56" s="163" t="str">
        <f t="shared" si="2"/>
        <v>減少↓</v>
      </c>
      <c r="Q56" s="163" t="str">
        <f t="shared" si="3"/>
        <v>様子見▼</v>
      </c>
      <c r="R56" s="166">
        <f t="shared" si="10"/>
        <v>961</v>
      </c>
      <c r="S56" s="166">
        <f t="shared" si="11"/>
        <v>854</v>
      </c>
      <c r="T56" s="163">
        <f t="shared" si="4"/>
        <v>3</v>
      </c>
      <c r="U56" s="163" t="str">
        <f t="shared" si="12"/>
        <v>要確認</v>
      </c>
      <c r="V56" s="163" t="str">
        <f t="shared" si="5"/>
        <v>通常</v>
      </c>
      <c r="W56" s="169">
        <f t="array" ref="W56">IF(C56&lt;&gt;"",IFERROR(100-100/(1+SUMPRODUCT((終値!F169:R169&gt;終値!G169:S169)*( 終値!F169:R169-終値!G169:S169))/SUMPRODUCT((終値!F169:R169&lt;終値!G169:S169)*(終値!G169:S169-終値!F169:R169))),50),"")</f>
        <v>49.21875</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0.25704209935565814</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 t="shared" si="13"/>
        <v>-0.89086859688195985</v>
      </c>
      <c r="AA56" s="163" t="str">
        <f t="shared" si="14"/>
        <v>下落▼</v>
      </c>
      <c r="AB56" s="403">
        <f>IF(C56="","",IFERROR(((終値!E58*0.333)+(終値!F58*0.222)+(終値!G58*0.148)+(終値!H58*0.099)+(終値!I58*0.066)+(終値!J58*0.044)+(終値!K58*0.029)+(終値!L58*0.019)+(終値!M58*0.013)+(終値!N58*0.009))/(0.333+0.222+0.148+0.099+0.066+0.044+0.029+0.019+0.013+0.009),""))</f>
        <v>3985.6832993890016</v>
      </c>
      <c r="AC56" s="403">
        <f>IF(C56="","",IFERROR(SUMPRODUCT((終値!E58:AC58),({0.077,0.071,0.065,0.06,0.055,0.051,0.047,0.043,0.039,0.036,0.033,0.031,0.028,0.026,0.024,0.022,0.02,0.018,0.017,0.016,0.014,0.013,0.012,0.011,0.01}))/SUM({0.077,0.071,0.065,0.06,0.055,0.051,0.047,0.043,0.039,0.036,0.033,0.031,0.028,0.026,0.024,0.022,0.02,0.018,0.017,0.016,0.014,0.013,0.012,0.011,0.01}),""))</f>
        <v>4064.444576877233</v>
      </c>
      <c r="AD56" s="404" t="str">
        <f t="shared" si="15"/>
        <v>下降トレンド▼</v>
      </c>
      <c r="AE56" s="404" t="str">
        <f t="shared" si="16"/>
        <v>なし</v>
      </c>
      <c r="AF56" s="365">
        <f t="array" ref="AF56">IF(C56="","",IFERROR((INDEX(終値!$E:$E,MATCH(TEXT(C56,"0"),終値!$A:$A,0))-INDEX(終値!$E:$CZ,MATCH(TEXT(C56,"0"),終値!$A:$A,0),$AL$2))/INDEX(終値!$E:$CZ,MATCH(TEXT(C56,"0"),終値!$A:$A,0),$AL$2)*100,""))</f>
        <v>1.8202502844141069</v>
      </c>
      <c r="AG56" s="365">
        <f t="array" ref="AG56">IFERROR((終値!$E$5-INDEX(終値!$E$5:$CZ$5,1,$AL$2))/INDEX(終値!$E$5:$CZ$5,1,$AL$2)*100,"")</f>
        <v>-0.82558151178043282</v>
      </c>
      <c r="AH56" s="366">
        <f t="shared" si="8"/>
        <v>2.6458317961945399</v>
      </c>
      <c r="AI56" s="364">
        <f t="shared" si="9"/>
        <v>1</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2339</v>
      </c>
      <c r="F57" s="166">
        <f>IF(C57&lt;&gt;"",_xll.RssMarket(C57,"始値"),"")</f>
        <v>2357</v>
      </c>
      <c r="G57" s="165">
        <f>IF(C57&lt;&gt;"",終値!F182,"")</f>
        <v>2382</v>
      </c>
      <c r="H57" s="166">
        <f>IF(C57&lt;&gt;"",_xll.RssMarket(C57,"高値"),"")</f>
        <v>2358</v>
      </c>
      <c r="I57" s="166">
        <f>IF(C57&lt;&gt;"",_xll.RssMarket(C57,"安値"),"")</f>
        <v>2339</v>
      </c>
      <c r="J57" s="166">
        <f>IF(C57&lt;&gt;"",_xll.RssMarket(C57,"出来高"),"")</f>
        <v>4600</v>
      </c>
      <c r="K57" s="166">
        <f>IF(C57&lt;&gt;"",_xll.RssMarket(C57,"年初来高値"),"")</f>
        <v>2730</v>
      </c>
      <c r="L57" s="167">
        <f t="shared" si="0"/>
        <v>-14.322344322344321</v>
      </c>
      <c r="M57" s="166">
        <f>IF(C57&lt;&gt;"",IFERROR(AVERAGE(出来高!E182:I182),""),"")</f>
        <v>17320</v>
      </c>
      <c r="N57" s="166">
        <f>IF(C57&lt;&gt;"",IFERROR(AVERAGE(出来高!E182:AC182),""),"")</f>
        <v>14396</v>
      </c>
      <c r="O57" s="168">
        <f t="shared" si="1"/>
        <v>0.26558891454965355</v>
      </c>
      <c r="P57" s="163" t="str">
        <f t="shared" si="2"/>
        <v>減少↓</v>
      </c>
      <c r="Q57" s="163" t="str">
        <f t="shared" si="3"/>
        <v>様子見▼</v>
      </c>
      <c r="R57" s="166">
        <f t="shared" si="10"/>
        <v>2526</v>
      </c>
      <c r="S57" s="166">
        <f t="shared" si="11"/>
        <v>2245</v>
      </c>
      <c r="T57" s="163">
        <f t="shared" si="4"/>
        <v>2</v>
      </c>
      <c r="U57" s="163" t="str">
        <f t="shared" si="12"/>
        <v>除外</v>
      </c>
      <c r="V57" s="163" t="str">
        <f t="shared" si="5"/>
        <v>通常</v>
      </c>
      <c r="W57" s="169">
        <f t="array" ref="W57">IF(C57&lt;&gt;"",IFERROR(100-100/(1+SUMPRODUCT((終値!F182:R182&gt;終値!G182:S182)*( 終値!F182:R182-終値!G182:S182))/SUMPRODUCT((終値!F182:R182&lt;終値!G182:S182)*(終値!G182:S182-終値!F182:R182))),50),"")</f>
        <v>77.832512315270932</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11.533947754927794</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見送り</v>
      </c>
      <c r="Z57" s="171">
        <f t="shared" si="13"/>
        <v>-1.8052057094878253</v>
      </c>
      <c r="AA57" s="163" t="str">
        <f t="shared" si="14"/>
        <v>下落▼</v>
      </c>
      <c r="AB57" s="405">
        <f>IF(C57="","",IFERROR(((終値!E59*0.333)+(終値!F59*0.222)+(終値!G59*0.148)+(終値!H59*0.099)+(終値!I59*0.066)+(終値!J59*0.044)+(終値!K59*0.029)+(終値!L59*0.019)+(終値!M59*0.013)+(終値!N59*0.009))/(0.333+0.222+0.148+0.099+0.066+0.044+0.029+0.019+0.013+0.009),""))</f>
        <v>2286.9032586558042</v>
      </c>
      <c r="AC57" s="405">
        <f>IF(C57="","",IFERROR(SUMPRODUCT((終値!E59:AC59),({0.077,0.071,0.065,0.06,0.055,0.051,0.047,0.043,0.039,0.036,0.033,0.031,0.028,0.026,0.024,0.022,0.02,0.018,0.017,0.016,0.014,0.013,0.012,0.011,0.01}))/SUM({0.077,0.071,0.065,0.06,0.055,0.051,0.047,0.043,0.039,0.036,0.033,0.031,0.028,0.026,0.024,0.022,0.02,0.018,0.017,0.016,0.014,0.013,0.012,0.011,0.01}),""))</f>
        <v>2446.0965435041703</v>
      </c>
      <c r="AD57" s="406" t="str">
        <f t="shared" si="15"/>
        <v>もみ合い→</v>
      </c>
      <c r="AE57" s="406" t="str">
        <f t="shared" si="16"/>
        <v>なし</v>
      </c>
      <c r="AF57" s="365">
        <f t="array" ref="AF57">IF(C57="","",IFERROR((INDEX(終値!$E:$E,MATCH(TEXT(C57,"0"),終値!$A:$A,0))-INDEX(終値!$E:$CZ,MATCH(TEXT(C57,"0"),終値!$A:$A,0),$AL$2))/INDEX(終値!$E:$CZ,MATCH(TEXT(C57,"0"),終値!$A:$A,0),$AL$2)*100,""))</f>
        <v>2.8322440087145968</v>
      </c>
      <c r="AG57" s="365">
        <f t="array" ref="AG57">IFERROR((終値!$E$5-INDEX(終値!$E$5:$CZ$5,1,$AL$2))/INDEX(終値!$E$5:$CZ$5,1,$AL$2)*100,"")</f>
        <v>-0.82558151178043282</v>
      </c>
      <c r="AH57" s="366">
        <f t="shared" si="8"/>
        <v>3.6578255204950296</v>
      </c>
      <c r="AI57" s="364">
        <f t="shared" si="9"/>
        <v>1</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4671</v>
      </c>
      <c r="F58" s="166">
        <f>IF(C58&lt;&gt;"",_xll.RssMarket(C58,"始値"),"")</f>
        <v>4694</v>
      </c>
      <c r="G58" s="165">
        <f>IF(C58&lt;&gt;"",終値!F16,"")</f>
        <v>4787</v>
      </c>
      <c r="H58" s="166">
        <f>IF(C58&lt;&gt;"",_xll.RssMarket(C58,"高値"),"")</f>
        <v>4744</v>
      </c>
      <c r="I58" s="166">
        <f>IF(C58&lt;&gt;"",_xll.RssMarket(C58,"安値"),"")</f>
        <v>4643</v>
      </c>
      <c r="J58" s="166">
        <f>IF(C58&lt;&gt;"",_xll.RssMarket(C58,"出来高"),"")</f>
        <v>4566800</v>
      </c>
      <c r="K58" s="166">
        <f>IF(C58&lt;&gt;"",_xll.RssMarket(C58,"年初来高値"),"")</f>
        <v>6012</v>
      </c>
      <c r="L58" s="167">
        <f t="shared" si="0"/>
        <v>-22.305389221556887</v>
      </c>
      <c r="M58" s="166">
        <f>IF(C58&lt;&gt;"",IFERROR(AVERAGE(出来高!E16:I16),""),"")</f>
        <v>10090300</v>
      </c>
      <c r="N58" s="166">
        <f>IF(C58&lt;&gt;"",IFERROR(AVERAGE(出来高!E16:AC16),""),"")</f>
        <v>8617392</v>
      </c>
      <c r="O58" s="168">
        <f t="shared" si="1"/>
        <v>0.45259308444743962</v>
      </c>
      <c r="P58" s="163" t="str">
        <f t="shared" si="2"/>
        <v>減少↓</v>
      </c>
      <c r="Q58" s="163" t="str">
        <f t="shared" si="3"/>
        <v>様子見▼</v>
      </c>
      <c r="R58" s="166">
        <f t="shared" si="10"/>
        <v>5045</v>
      </c>
      <c r="S58" s="166">
        <f t="shared" si="11"/>
        <v>4484</v>
      </c>
      <c r="T58" s="163">
        <f t="shared" si="4"/>
        <v>7</v>
      </c>
      <c r="U58" s="163" t="str">
        <f t="shared" si="12"/>
        <v>要確認</v>
      </c>
      <c r="V58" s="163" t="str">
        <f t="shared" si="5"/>
        <v>通常</v>
      </c>
      <c r="W58" s="169">
        <f t="array" ref="W58">IF(C58&lt;&gt;"",IFERROR(100-100/(1+SUMPRODUCT((終値!F16:R16&gt;終値!G16:S16)*( 終値!F16:R16-終値!G16:S16))/SUMPRODUCT((終値!F16:R16&lt;終値!G16:S16)*(終値!G16:S16-終値!F16:R16))),50),"")</f>
        <v>67.472306143001006</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51.484900831478626</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 t="shared" si="13"/>
        <v>-2.4232295801128054</v>
      </c>
      <c r="AA58" s="163" t="str">
        <f t="shared" si="14"/>
        <v>下落▼</v>
      </c>
      <c r="AB58" s="403">
        <f>IF(C58="","",IFERROR(((終値!E60*0.333)+(終値!F60*0.222)+(終値!G60*0.148)+(終値!H60*0.099)+(終値!I60*0.066)+(終値!J60*0.044)+(終値!K60*0.029)+(終値!L60*0.019)+(終値!M60*0.013)+(終値!N60*0.009))/(0.333+0.222+0.148+0.099+0.066+0.044+0.029+0.019+0.013+0.009),""))</f>
        <v>3582.4297352342155</v>
      </c>
      <c r="AC58" s="403">
        <f>IF(C58="","",IFERROR(SUMPRODUCT((終値!E60:AC60),({0.077,0.071,0.065,0.06,0.055,0.051,0.047,0.043,0.039,0.036,0.033,0.031,0.028,0.026,0.024,0.022,0.02,0.018,0.017,0.016,0.014,0.013,0.012,0.011,0.01}))/SUM({0.077,0.071,0.065,0.06,0.055,0.051,0.047,0.043,0.039,0.036,0.033,0.031,0.028,0.026,0.024,0.022,0.02,0.018,0.017,0.016,0.014,0.013,0.012,0.011,0.01}),""))</f>
        <v>3521.1096543504168</v>
      </c>
      <c r="AD58" s="404" t="str">
        <f t="shared" si="15"/>
        <v>パーフェクト▲</v>
      </c>
      <c r="AE58" s="404" t="str">
        <f t="shared" si="16"/>
        <v>なし</v>
      </c>
      <c r="AF58" s="365">
        <f t="array" ref="AF58">IF(C58="","",IFERROR((INDEX(終値!$E:$E,MATCH(TEXT(C58,"0"),終値!$A:$A,0))-INDEX(終値!$E:$CZ,MATCH(TEXT(C58,"0"),終値!$A:$A,0),$AL$2))/INDEX(終値!$E:$CZ,MATCH(TEXT(C58,"0"),終値!$A:$A,0),$AL$2)*100,""))</f>
        <v>7.3402809243316716</v>
      </c>
      <c r="AG58" s="365">
        <f t="array" ref="AG58">IFERROR((終値!$E$5-INDEX(終値!$E$5:$CZ$5,1,$AL$2))/INDEX(終値!$E$5:$CZ$5,1,$AL$2)*100,"")</f>
        <v>-0.82558151178043282</v>
      </c>
      <c r="AH58" s="366">
        <f t="shared" si="8"/>
        <v>8.1658624361121035</v>
      </c>
      <c r="AI58" s="364">
        <f t="shared" si="9"/>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1707</v>
      </c>
      <c r="F59" s="166">
        <f>IF(C59&lt;&gt;"",_xll.RssMarket(C59,"始値"),"")</f>
        <v>1660</v>
      </c>
      <c r="G59" s="165">
        <f>IF(C59&lt;&gt;"",終値!F25,"")</f>
        <v>0</v>
      </c>
      <c r="H59" s="166">
        <f>IF(C59&lt;&gt;"",_xll.RssMarket(C59,"高値"),"")</f>
        <v>1712.5</v>
      </c>
      <c r="I59" s="166">
        <f>IF(C59&lt;&gt;"",_xll.RssMarket(C59,"安値"),"")</f>
        <v>1657.5</v>
      </c>
      <c r="J59" s="166">
        <f>IF(C59&lt;&gt;"",_xll.RssMarket(C59,"出来高"),"")</f>
        <v>6146900</v>
      </c>
      <c r="K59" s="166">
        <f>IF(C59&lt;&gt;"",_xll.RssMarket(C59,"年初来高値"),"")</f>
        <v>1697.5</v>
      </c>
      <c r="L59" s="167">
        <f t="shared" si="0"/>
        <v>0.55964653902798234</v>
      </c>
      <c r="M59" s="166" t="str">
        <f>IF(C59&lt;&gt;"",IFERROR(AVERAGE(出来高!E25:I25),""),"")</f>
        <v/>
      </c>
      <c r="N59" s="166" t="str">
        <f>IF(C59&lt;&gt;"",IFERROR(AVERAGE(出来高!E25:AC25),""),"")</f>
        <v/>
      </c>
      <c r="O59" s="168" t="str">
        <f t="shared" si="1"/>
        <v/>
      </c>
      <c r="P59" s="163" t="str">
        <f t="shared" si="2"/>
        <v/>
      </c>
      <c r="Q59" s="163" t="str">
        <f t="shared" si="3"/>
        <v>買い▲</v>
      </c>
      <c r="R59" s="166">
        <f t="shared" si="10"/>
        <v>1844</v>
      </c>
      <c r="S59" s="166">
        <f t="shared" si="11"/>
        <v>1639</v>
      </c>
      <c r="T59" s="163">
        <f t="shared" si="4"/>
        <v>11</v>
      </c>
      <c r="U59" s="163" t="str">
        <f t="shared" si="12"/>
        <v>有効</v>
      </c>
      <c r="V59" s="163" t="str">
        <f t="shared" si="5"/>
        <v>年初来高値更新●</v>
      </c>
      <c r="W59" s="169">
        <f t="array" ref="W59">IF(C59&lt;&gt;"",IFERROR(100-100/(1+SUMPRODUCT((終値!F25:R25&gt;終値!G25:S25)*( 終値!F25:R25-終値!G25:S25))/SUMPRODUCT((終値!F25:R25&lt;終値!G25:S25)*(終値!G25:S25-終値!F25:R25))),50),"")</f>
        <v>50</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0</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○買い候補</v>
      </c>
      <c r="Z59" s="171" t="str">
        <f t="shared" si="13"/>
        <v/>
      </c>
      <c r="AA59" s="163" t="str">
        <f t="shared" si="14"/>
        <v>上昇▲</v>
      </c>
      <c r="AB59" s="405">
        <f>IF(C59="","",IFERROR(((終値!E61*0.333)+(終値!F61*0.222)+(終値!G61*0.148)+(終値!H61*0.099)+(終値!I61*0.066)+(終値!J61*0.044)+(終値!K61*0.029)+(終値!L61*0.019)+(終値!M61*0.013)+(終値!N61*0.009))/(0.333+0.222+0.148+0.099+0.066+0.044+0.029+0.019+0.013+0.009),""))</f>
        <v>1812.2927698574335</v>
      </c>
      <c r="AC59" s="405">
        <f>IF(C59="","",IFERROR(SUMPRODUCT((終値!E61:AC61),({0.077,0.071,0.065,0.06,0.055,0.051,0.047,0.043,0.039,0.036,0.033,0.031,0.028,0.026,0.024,0.022,0.02,0.018,0.017,0.016,0.014,0.013,0.012,0.011,0.01}))/SUM({0.077,0.071,0.065,0.06,0.055,0.051,0.047,0.043,0.039,0.036,0.033,0.031,0.028,0.026,0.024,0.022,0.02,0.018,0.017,0.016,0.014,0.013,0.012,0.011,0.01}),""))</f>
        <v>1777.8337306317044</v>
      </c>
      <c r="AD59" s="406" t="str">
        <f t="shared" si="15"/>
        <v>もみ合い→</v>
      </c>
      <c r="AE59" s="406" t="str">
        <f t="shared" si="16"/>
        <v>なし</v>
      </c>
      <c r="AF59" s="365" t="str">
        <f t="array" ref="AF59">IF(C59="","",IFERROR((INDEX(終値!$E:$E,MATCH(TEXT(C59,"0"),終値!$A:$A,0))-INDEX(終値!$E:$CZ,MATCH(TEXT(C59,"0"),終値!$A:$A,0),$AL$2))/INDEX(終値!$E:$CZ,MATCH(TEXT(C59,"0"),終値!$A:$A,0),$AL$2)*100,""))</f>
        <v/>
      </c>
      <c r="AG59" s="365">
        <f t="array" ref="AG59">IFERROR((終値!$E$5-INDEX(終値!$E$5:$CZ$5,1,$AL$2))/INDEX(終値!$E$5:$CZ$5,1,$AL$2)*100,"")</f>
        <v>-0.82558151178043282</v>
      </c>
      <c r="AH59" s="366" t="str">
        <f t="shared" si="8"/>
        <v/>
      </c>
      <c r="AI59" s="364" t="str">
        <f t="shared" si="9"/>
        <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58720</v>
      </c>
      <c r="F60" s="166">
        <f>IF(C60&lt;&gt;"",_xll.RssMarket(C60,"始値"),"")</f>
        <v>59000</v>
      </c>
      <c r="G60" s="165">
        <f>IF(C60&lt;&gt;"",終値!F198,"")</f>
        <v>54990</v>
      </c>
      <c r="H60" s="166">
        <f>IF(C60&lt;&gt;"",_xll.RssMarket(C60,"高値"),"")</f>
        <v>59700</v>
      </c>
      <c r="I60" s="166">
        <f>IF(C60&lt;&gt;"",_xll.RssMarket(C60,"安値"),"")</f>
        <v>58300</v>
      </c>
      <c r="J60" s="166">
        <f>IF(C60&lt;&gt;"",_xll.RssMarket(C60,"出来高"),"")</f>
        <v>2442300</v>
      </c>
      <c r="K60" s="166">
        <f>IF(C60&lt;&gt;"",_xll.RssMarket(C60,"年初来高値"),"")</f>
        <v>81260</v>
      </c>
      <c r="L60" s="167">
        <f t="shared" si="0"/>
        <v>-27.738124538518338</v>
      </c>
      <c r="M60" s="166">
        <f>IF(C60&lt;&gt;"",IFERROR(AVERAGE(出来高!E198:I198),""),"")</f>
        <v>7235560</v>
      </c>
      <c r="N60" s="166">
        <f>IF(C60&lt;&gt;"",IFERROR(AVERAGE(出来高!E198:AC198),""),"")</f>
        <v>4763952</v>
      </c>
      <c r="O60" s="168">
        <f t="shared" si="1"/>
        <v>0.33754125458153894</v>
      </c>
      <c r="P60" s="163" t="str">
        <f t="shared" si="2"/>
        <v>減少↓</v>
      </c>
      <c r="Q60" s="163" t="str">
        <f t="shared" si="3"/>
        <v>中立→</v>
      </c>
      <c r="R60" s="166">
        <f t="shared" si="10"/>
        <v>63418</v>
      </c>
      <c r="S60" s="166">
        <f t="shared" si="11"/>
        <v>56371</v>
      </c>
      <c r="T60" s="163">
        <f t="shared" si="4"/>
        <v>5</v>
      </c>
      <c r="U60" s="163" t="str">
        <f t="shared" si="12"/>
        <v>要確認</v>
      </c>
      <c r="V60" s="163" t="str">
        <f t="shared" si="5"/>
        <v>通常</v>
      </c>
      <c r="W60" s="169">
        <f t="array" ref="W60">IF(C60&lt;&gt;"",IFERROR(100-100/(1+SUMPRODUCT((終値!F198:R198&gt;終値!G198:S198)*( 終値!F198:R198-終値!G198:S198))/SUMPRODUCT((終値!F198:R198&lt;終値!G198:S198)*(終値!G198:S198-終値!F198:R198))),50),"")</f>
        <v>27.80952380952381</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-2504.87752697627</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 t="shared" si="13"/>
        <v>6.7830514639025274</v>
      </c>
      <c r="AA60" s="163" t="str">
        <f t="shared" si="14"/>
        <v>上昇▲</v>
      </c>
      <c r="AB60" s="403">
        <f>IF(C60="","",IFERROR(((終値!E62*0.333)+(終値!F62*0.222)+(終値!G62*0.148)+(終値!H62*0.099)+(終値!I62*0.066)+(終値!J62*0.044)+(終値!K62*0.029)+(終値!L62*0.019)+(終値!M62*0.013)+(終値!N62*0.009))/(0.333+0.222+0.148+0.099+0.066+0.044+0.029+0.019+0.013+0.009),""))</f>
        <v>3064.7769857433805</v>
      </c>
      <c r="AC60" s="403">
        <f>IF(C60="","",IFERROR(SUMPRODUCT((終値!E62:AC62),({0.077,0.071,0.065,0.06,0.055,0.051,0.047,0.043,0.039,0.036,0.033,0.031,0.028,0.026,0.024,0.022,0.02,0.018,0.017,0.016,0.014,0.013,0.012,0.011,0.01}))/SUM({0.077,0.071,0.065,0.06,0.055,0.051,0.047,0.043,0.039,0.036,0.033,0.031,0.028,0.026,0.024,0.022,0.02,0.018,0.017,0.016,0.014,0.013,0.012,0.011,0.01}),""))</f>
        <v>3041.1120381406427</v>
      </c>
      <c r="AD60" s="404" t="str">
        <f t="shared" si="15"/>
        <v>パーフェクト▲</v>
      </c>
      <c r="AE60" s="404" t="str">
        <f t="shared" si="16"/>
        <v>なし</v>
      </c>
      <c r="AF60" s="365">
        <f t="array" ref="AF60">IF(C60="","",IFERROR((INDEX(終値!$E:$E,MATCH(TEXT(C60,"0"),終値!$A:$A,0))-INDEX(終値!$E:$CZ,MATCH(TEXT(C60,"0"),終値!$A:$A,0),$AL$2))/INDEX(終値!$E:$CZ,MATCH(TEXT(C60,"0"),終値!$A:$A,0),$AL$2)*100,""))</f>
        <v>-24.096385542168676</v>
      </c>
      <c r="AG60" s="365">
        <f t="array" ref="AG60">IFERROR((終値!$E$5-INDEX(終値!$E$5:$CZ$5,1,$AL$2))/INDEX(終値!$E$5:$CZ$5,1,$AL$2)*100,"")</f>
        <v>-0.82558151178043282</v>
      </c>
      <c r="AH60" s="366">
        <f t="shared" si="8"/>
        <v>-23.270804030388241</v>
      </c>
      <c r="AI60" s="364">
        <f t="shared" si="9"/>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7159</v>
      </c>
      <c r="F61" s="166">
        <f>IF(C61&lt;&gt;"",_xll.RssMarket(C61,"始値"),"")</f>
        <v>6990</v>
      </c>
      <c r="G61" s="165">
        <f>IF(C61&lt;&gt;"",終値!F204,"")</f>
        <v>6669</v>
      </c>
      <c r="H61" s="166">
        <f>IF(C61&lt;&gt;"",_xll.RssMarket(C61,"高値"),"")</f>
        <v>7174</v>
      </c>
      <c r="I61" s="166">
        <f>IF(C61&lt;&gt;"",_xll.RssMarket(C61,"安値"),"")</f>
        <v>6868</v>
      </c>
      <c r="J61" s="166">
        <f>IF(C61&lt;&gt;"",_xll.RssMarket(C61,"出来高"),"")</f>
        <v>1867400</v>
      </c>
      <c r="K61" s="166">
        <f>IF(C61&lt;&gt;"",_xll.RssMarket(C61,"年初来高値"),"")</f>
        <v>7559</v>
      </c>
      <c r="L61" s="167">
        <f t="shared" si="0"/>
        <v>-5.2917052520174623</v>
      </c>
      <c r="M61" s="166">
        <f>IF(C61&lt;&gt;"",IFERROR(AVERAGE(出来高!E204:I204),""),"")</f>
        <v>5049420</v>
      </c>
      <c r="N61" s="166">
        <f>IF(C61&lt;&gt;"",IFERROR(AVERAGE(出来高!E204:AC204),""),"")</f>
        <v>2891660</v>
      </c>
      <c r="O61" s="168">
        <f t="shared" si="1"/>
        <v>0.36982465312847812</v>
      </c>
      <c r="P61" s="163" t="str">
        <f t="shared" si="2"/>
        <v>減少↓</v>
      </c>
      <c r="Q61" s="163" t="str">
        <f t="shared" si="3"/>
        <v>中立→</v>
      </c>
      <c r="R61" s="166">
        <f t="shared" si="10"/>
        <v>7732</v>
      </c>
      <c r="S61" s="166">
        <f t="shared" si="11"/>
        <v>6873</v>
      </c>
      <c r="T61" s="163">
        <f t="shared" si="4"/>
        <v>8</v>
      </c>
      <c r="U61" s="163" t="str">
        <f t="shared" si="12"/>
        <v>要確認</v>
      </c>
      <c r="V61" s="163" t="str">
        <f t="shared" si="5"/>
        <v>通常</v>
      </c>
      <c r="W61" s="169">
        <f t="array" ref="W61">IF(C61&lt;&gt;"",IFERROR(100-100/(1+SUMPRODUCT((終値!F204:R204&gt;終値!G204:S204)*( 終値!F204:R204-終値!G204:S204))/SUMPRODUCT((終値!F204:R204&lt;終値!G204:S204)*(終値!G204:S204-終値!F204:R204))),50),"")</f>
        <v>68.761439902379493</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83.434647885082995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△注目</v>
      </c>
      <c r="Z61" s="171">
        <f t="shared" si="13"/>
        <v>7.3474284000599788</v>
      </c>
      <c r="AA61" s="163" t="str">
        <f t="shared" si="14"/>
        <v>上昇▲</v>
      </c>
      <c r="AB61" s="405">
        <f>IF(C61="","",IFERROR(((終値!E63*0.333)+(終値!F63*0.222)+(終値!G63*0.148)+(終値!H63*0.099)+(終値!I63*0.066)+(終値!J63*0.044)+(終値!K63*0.029)+(終値!L63*0.019)+(終値!M63*0.013)+(終値!N63*0.009))/(0.333+0.222+0.148+0.099+0.066+0.044+0.029+0.019+0.013+0.009),""))</f>
        <v>1072.5376782077387</v>
      </c>
      <c r="AC61" s="405">
        <f>IF(C61="","",IFERROR(SUMPRODUCT((終値!E63:AC63),({0.077,0.071,0.065,0.06,0.055,0.051,0.047,0.043,0.039,0.036,0.033,0.031,0.028,0.026,0.024,0.022,0.02,0.018,0.017,0.016,0.014,0.013,0.012,0.011,0.01}))/SUM({0.077,0.071,0.065,0.06,0.055,0.051,0.047,0.043,0.039,0.036,0.033,0.031,0.028,0.026,0.024,0.022,0.02,0.018,0.017,0.016,0.014,0.013,0.012,0.011,0.01}),""))</f>
        <v>1043.5589988081044</v>
      </c>
      <c r="AD61" s="406" t="str">
        <f t="shared" si="15"/>
        <v>パーフェクト▲</v>
      </c>
      <c r="AE61" s="406" t="str">
        <f t="shared" si="16"/>
        <v>なし</v>
      </c>
      <c r="AF61" s="365">
        <f t="array" ref="AF61">IF(C61="","",IFERROR((INDEX(終値!$E:$E,MATCH(TEXT(C61,"0"),終値!$A:$A,0))-INDEX(終値!$E:$CZ,MATCH(TEXT(C61,"0"),終値!$A:$A,0),$AL$2))/INDEX(終値!$E:$CZ,MATCH(TEXT(C61,"0"),終値!$A:$A,0),$AL$2)*100,""))</f>
        <v>14.084507042253522</v>
      </c>
      <c r="AG61" s="365">
        <f t="array" ref="AG61">IFERROR((終値!$E$5-INDEX(終値!$E$5:$CZ$5,1,$AL$2))/INDEX(終値!$E$5:$CZ$5,1,$AL$2)*100,"")</f>
        <v>-0.82558151178043282</v>
      </c>
      <c r="AH61" s="366">
        <f t="shared" si="8"/>
        <v>14.910088554033955</v>
      </c>
      <c r="AI61" s="364">
        <f t="shared" si="9"/>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4820</v>
      </c>
      <c r="F62" s="166">
        <f>IF(C62&lt;&gt;"",_xll.RssMarket(C62,"始値"),"")</f>
        <v>4901</v>
      </c>
      <c r="G62" s="165">
        <f>IF(C62&lt;&gt;"",終値!F14,"")</f>
        <v>5132</v>
      </c>
      <c r="H62" s="166">
        <f>IF(C62&lt;&gt;"",_xll.RssMarket(C62,"高値"),"")</f>
        <v>4922</v>
      </c>
      <c r="I62" s="166">
        <f>IF(C62&lt;&gt;"",_xll.RssMarket(C62,"安値"),"")</f>
        <v>4788</v>
      </c>
      <c r="J62" s="166">
        <f>IF(C62&lt;&gt;"",_xll.RssMarket(C62,"出来高"),"")</f>
        <v>5208400</v>
      </c>
      <c r="K62" s="166">
        <f>IF(C62&lt;&gt;"",_xll.RssMarket(C62,"年初来高値"),"")</f>
        <v>6328</v>
      </c>
      <c r="L62" s="167">
        <f t="shared" si="0"/>
        <v>-23.830594184576487</v>
      </c>
      <c r="M62" s="166">
        <f>IF(C62&lt;&gt;"",IFERROR(AVERAGE(出来高!E14:I14),""),"")</f>
        <v>7239620</v>
      </c>
      <c r="N62" s="166">
        <f>IF(C62&lt;&gt;"",IFERROR(AVERAGE(出来高!E14:AC14),""),"")</f>
        <v>4865348</v>
      </c>
      <c r="O62" s="168">
        <f t="shared" si="1"/>
        <v>0.7194300253328213</v>
      </c>
      <c r="P62" s="163" t="str">
        <f t="shared" si="2"/>
        <v>減少↓</v>
      </c>
      <c r="Q62" s="163" t="str">
        <f t="shared" si="3"/>
        <v>様子見▼</v>
      </c>
      <c r="R62" s="166">
        <f t="shared" si="10"/>
        <v>5206</v>
      </c>
      <c r="S62" s="166">
        <f t="shared" si="11"/>
        <v>4627</v>
      </c>
      <c r="T62" s="163">
        <f t="shared" si="4"/>
        <v>6</v>
      </c>
      <c r="U62" s="163" t="str">
        <f t="shared" si="12"/>
        <v>要確認</v>
      </c>
      <c r="V62" s="163" t="str">
        <f t="shared" si="5"/>
        <v>通常</v>
      </c>
      <c r="W62" s="169">
        <f t="array" ref="W62">IF(C62&lt;&gt;"",IFERROR(100-100/(1+SUMPRODUCT((終値!F14:R14&gt;終値!G14:S14)*( 終値!F14:R14-終値!G14:S14))/SUMPRODUCT((終値!F14:R14&lt;終値!G14:S14)*(終値!G14:S14-終値!F14:R14))),50),"")</f>
        <v>61.36363636363636</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38.023927415728394</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 t="shared" si="13"/>
        <v>-6.0795011691348408</v>
      </c>
      <c r="AA62" s="163" t="str">
        <f t="shared" si="14"/>
        <v>下落▼</v>
      </c>
      <c r="AB62" s="403">
        <f>IF(C62="","",IFERROR(((終値!E64*0.333)+(終値!F64*0.222)+(終値!G64*0.148)+(終値!H64*0.099)+(終値!I64*0.066)+(終値!J64*0.044)+(終値!K64*0.029)+(終値!L64*0.019)+(終値!M64*0.013)+(終値!N64*0.009))/(0.333+0.222+0.148+0.099+0.066+0.044+0.029+0.019+0.013+0.009),""))</f>
        <v>3830.0631364562119</v>
      </c>
      <c r="AC62" s="403">
        <f>IF(C62="","",IFERROR(SUMPRODUCT((終値!E64:AC64),({0.077,0.071,0.065,0.06,0.055,0.051,0.047,0.043,0.039,0.036,0.033,0.031,0.028,0.026,0.024,0.022,0.02,0.018,0.017,0.016,0.014,0.013,0.012,0.011,0.01}))/SUM({0.077,0.071,0.065,0.06,0.055,0.051,0.047,0.043,0.039,0.036,0.033,0.031,0.028,0.026,0.024,0.022,0.02,0.018,0.017,0.016,0.014,0.013,0.012,0.011,0.01}),""))</f>
        <v>3847.276519666269</v>
      </c>
      <c r="AD62" s="404" t="str">
        <f t="shared" si="15"/>
        <v>上昇トレンド▲</v>
      </c>
      <c r="AE62" s="404" t="str">
        <f t="shared" si="16"/>
        <v>なし</v>
      </c>
      <c r="AF62" s="365">
        <f t="array" ref="AF62">IF(C62="","",IFERROR((INDEX(終値!$E:$E,MATCH(TEXT(C62,"0"),終値!$A:$A,0))-INDEX(終値!$E:$CZ,MATCH(TEXT(C62,"0"),終値!$A:$A,0),$AL$2))/INDEX(終値!$E:$CZ,MATCH(TEXT(C62,"0"),終値!$A:$A,0),$AL$2)*100,""))</f>
        <v>4.7528113727986421</v>
      </c>
      <c r="AG62" s="365">
        <f t="array" ref="AG62">IFERROR((終値!$E$5-INDEX(終値!$E$5:$CZ$5,1,$AL$2))/INDEX(終値!$E$5:$CZ$5,1,$AL$2)*100,"")</f>
        <v>-0.82558151178043282</v>
      </c>
      <c r="AH62" s="366">
        <f t="shared" si="8"/>
        <v>5.5783928845790749</v>
      </c>
      <c r="AI62" s="364">
        <f t="shared" si="9"/>
        <v>3</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3005</v>
      </c>
      <c r="F63" s="166">
        <f>IF(C63&lt;&gt;"",_xll.RssMarket(C63,"始値"),"")</f>
        <v>2990</v>
      </c>
      <c r="G63" s="165">
        <f>IF(C63&lt;&gt;"",終値!F171,"")</f>
        <v>2995</v>
      </c>
      <c r="H63" s="166">
        <f>IF(C63&lt;&gt;"",_xll.RssMarket(C63,"高値"),"")</f>
        <v>3010</v>
      </c>
      <c r="I63" s="166">
        <f>IF(C63&lt;&gt;"",_xll.RssMarket(C63,"安値"),"")</f>
        <v>2980</v>
      </c>
      <c r="J63" s="166">
        <f>IF(C63&lt;&gt;"",_xll.RssMarket(C63,"出来高"),"")</f>
        <v>59500</v>
      </c>
      <c r="K63" s="166">
        <f>IF(C63&lt;&gt;"",_xll.RssMarket(C63,"年初来高値"),"")</f>
        <v>3330</v>
      </c>
      <c r="L63" s="167">
        <f t="shared" si="0"/>
        <v>-9.7597597597597598</v>
      </c>
      <c r="M63" s="166">
        <f>IF(C63&lt;&gt;"",IFERROR(AVERAGE(出来高!E171:I171),""),"")</f>
        <v>300380</v>
      </c>
      <c r="N63" s="166">
        <f>IF(C63&lt;&gt;"",IFERROR(AVERAGE(出来高!E171:AC171),""),"")</f>
        <v>146872</v>
      </c>
      <c r="O63" s="168">
        <f t="shared" si="1"/>
        <v>0.19808242892336375</v>
      </c>
      <c r="P63" s="163" t="str">
        <f t="shared" si="2"/>
        <v>減少↓</v>
      </c>
      <c r="Q63" s="163" t="str">
        <f t="shared" si="3"/>
        <v>中立→</v>
      </c>
      <c r="R63" s="166">
        <f t="shared" si="10"/>
        <v>3245</v>
      </c>
      <c r="S63" s="166">
        <f t="shared" si="11"/>
        <v>2885</v>
      </c>
      <c r="T63" s="163">
        <f t="shared" si="4"/>
        <v>1</v>
      </c>
      <c r="U63" s="163" t="str">
        <f t="shared" si="12"/>
        <v>除外</v>
      </c>
      <c r="V63" s="163" t="str">
        <f t="shared" si="5"/>
        <v>通常</v>
      </c>
      <c r="W63" s="169">
        <f t="array" ref="W63">IF(C63&lt;&gt;"",IFERROR(100-100/(1+SUMPRODUCT((終値!F171:R171&gt;終値!G171:S171)*( 終値!F171:R171-終値!G171:S171))/SUMPRODUCT((終値!F171:R171&lt;終値!G171:S171)*(終値!G171:S171-終値!F171:R171))),50),"")</f>
        <v>45.98540145985401</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-1.6318923415547033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 t="shared" si="13"/>
        <v>0.333889816360601</v>
      </c>
      <c r="AA63" s="163" t="str">
        <f t="shared" si="14"/>
        <v>上昇▲</v>
      </c>
      <c r="AB63" s="405">
        <f>IF(C63="","",IFERROR(((終値!E65*0.333)+(終値!F65*0.222)+(終値!G65*0.148)+(終値!H65*0.099)+(終値!I65*0.066)+(終値!J65*0.044)+(終値!K65*0.029)+(終値!L65*0.019)+(終値!M65*0.013)+(終値!N65*0.009))/(0.333+0.222+0.148+0.099+0.066+0.044+0.029+0.019+0.013+0.009),""))</f>
        <v>5192.1323828920567</v>
      </c>
      <c r="AC63" s="405">
        <f>IF(C63="","",IFERROR(SUMPRODUCT((終値!E65:AC65),({0.077,0.071,0.065,0.06,0.055,0.051,0.047,0.043,0.039,0.036,0.033,0.031,0.028,0.026,0.024,0.022,0.02,0.018,0.017,0.016,0.014,0.013,0.012,0.011,0.01}))/SUM({0.077,0.071,0.065,0.06,0.055,0.051,0.047,0.043,0.039,0.036,0.033,0.031,0.028,0.026,0.024,0.022,0.02,0.018,0.017,0.016,0.014,0.013,0.012,0.011,0.01}),""))</f>
        <v>5511.7187127532743</v>
      </c>
      <c r="AD63" s="406" t="str">
        <f t="shared" si="15"/>
        <v>下降トレンド▼</v>
      </c>
      <c r="AE63" s="406" t="str">
        <f t="shared" si="16"/>
        <v>なし</v>
      </c>
      <c r="AF63" s="365">
        <f t="array" ref="AF63">IF(C63="","",IFERROR((INDEX(終値!$E:$E,MATCH(TEXT(C63,"0"),終値!$A:$A,0))-INDEX(終値!$E:$CZ,MATCH(TEXT(C63,"0"),終値!$A:$A,0),$AL$2))/INDEX(終値!$E:$CZ,MATCH(TEXT(C63,"0"),終値!$A:$A,0),$AL$2)*100,""))</f>
        <v>-2.9220779220779218</v>
      </c>
      <c r="AG63" s="365">
        <f t="array" ref="AG63">IFERROR((終値!$E$5-INDEX(終値!$E$5:$CZ$5,1,$AL$2))/INDEX(終値!$E$5:$CZ$5,1,$AL$2)*100,"")</f>
        <v>-0.82558151178043282</v>
      </c>
      <c r="AH63" s="366">
        <f t="shared" si="8"/>
        <v>-2.096496410297489</v>
      </c>
      <c r="AI63" s="364">
        <f t="shared" si="9"/>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1770.5</v>
      </c>
      <c r="F64" s="166">
        <f>IF(C64&lt;&gt;"",_xll.RssMarket(C64,"始値"),"")</f>
        <v>1789.5</v>
      </c>
      <c r="G64" s="165">
        <f>IF(C64&lt;&gt;"",終値!F75,"")</f>
        <v>0</v>
      </c>
      <c r="H64" s="166">
        <f>IF(C64&lt;&gt;"",_xll.RssMarket(C64,"高値"),"")</f>
        <v>1789.5</v>
      </c>
      <c r="I64" s="166">
        <f>IF(C64&lt;&gt;"",_xll.RssMarket(C64,"安値"),"")</f>
        <v>1758.5</v>
      </c>
      <c r="J64" s="166">
        <f>IF(C64&lt;&gt;"",_xll.RssMarket(C64,"出来高"),"")</f>
        <v>101800</v>
      </c>
      <c r="K64" s="166">
        <f>IF(C64&lt;&gt;"",_xll.RssMarket(C64,"年初来高値"),"")</f>
        <v>1862.5</v>
      </c>
      <c r="L64" s="167">
        <f t="shared" si="0"/>
        <v>-4.9395973154362416</v>
      </c>
      <c r="M64" s="166" t="str">
        <f>IF(C64&lt;&gt;"",IFERROR(AVERAGE(出来高!E75:I75),""),"")</f>
        <v/>
      </c>
      <c r="N64" s="166" t="str">
        <f>IF(C64&lt;&gt;"",IFERROR(AVERAGE(出来高!E75:AC75),""),"")</f>
        <v/>
      </c>
      <c r="O64" s="168" t="str">
        <f t="shared" si="1"/>
        <v/>
      </c>
      <c r="P64" s="163" t="str">
        <f t="shared" si="2"/>
        <v/>
      </c>
      <c r="Q64" s="163" t="str">
        <f t="shared" si="3"/>
        <v>買い▲</v>
      </c>
      <c r="R64" s="166">
        <f t="shared" si="10"/>
        <v>1912</v>
      </c>
      <c r="S64" s="166">
        <f t="shared" si="11"/>
        <v>1700</v>
      </c>
      <c r="T64" s="163">
        <f t="shared" si="4"/>
        <v>10</v>
      </c>
      <c r="U64" s="163" t="str">
        <f t="shared" si="12"/>
        <v>有効</v>
      </c>
      <c r="V64" s="163" t="str">
        <f t="shared" si="5"/>
        <v>高値圏</v>
      </c>
      <c r="W64" s="169">
        <f t="array" ref="W64">IF(C64&lt;&gt;"",IFERROR(100-100/(1+SUMPRODUCT((終値!F75:R75&gt;終値!G75:S75)*( 終値!F75:R75-終値!G75:S75))/SUMPRODUCT((終値!F75:R75&lt;終値!G75:S75)*(終値!G75:S75-終値!F75:R75))),50),"")</f>
        <v>50</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0</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t="str">
        <f t="shared" si="13"/>
        <v/>
      </c>
      <c r="AA64" s="163" t="str">
        <f t="shared" si="14"/>
        <v>上昇▲</v>
      </c>
      <c r="AB64" s="403">
        <f>IF(C64="","",IFERROR(((終値!E66*0.333)+(終値!F66*0.222)+(終値!G66*0.148)+(終値!H66*0.099)+(終値!I66*0.066)+(終値!J66*0.044)+(終値!K66*0.029)+(終値!L66*0.019)+(終値!M66*0.013)+(終値!N66*0.009))/(0.333+0.222+0.148+0.099+0.066+0.044+0.029+0.019+0.013+0.009),""))</f>
        <v>5919.8268839103857</v>
      </c>
      <c r="AC64" s="403">
        <f>IF(C64="","",IFERROR(SUMPRODUCT((終値!E66:AC66),({0.077,0.071,0.065,0.06,0.055,0.051,0.047,0.043,0.039,0.036,0.033,0.031,0.028,0.026,0.024,0.022,0.02,0.018,0.017,0.016,0.014,0.013,0.012,0.011,0.01}))/SUM({0.077,0.071,0.065,0.06,0.055,0.051,0.047,0.043,0.039,0.036,0.033,0.031,0.028,0.026,0.024,0.022,0.02,0.018,0.017,0.016,0.014,0.013,0.012,0.011,0.01}),""))</f>
        <v>6493.6567342073877</v>
      </c>
      <c r="AD64" s="404" t="str">
        <f t="shared" si="15"/>
        <v>下降トレンド▼</v>
      </c>
      <c r="AE64" s="404" t="str">
        <f t="shared" si="16"/>
        <v>なし</v>
      </c>
      <c r="AF64" s="365" t="str">
        <f t="array" ref="AF64">IF(C64="","",IFERROR((INDEX(終値!$E:$E,MATCH(TEXT(C64,"0"),終値!$A:$A,0))-INDEX(終値!$E:$CZ,MATCH(TEXT(C64,"0"),終値!$A:$A,0),$AL$2))/INDEX(終値!$E:$CZ,MATCH(TEXT(C64,"0"),終値!$A:$A,0),$AL$2)*100,""))</f>
        <v/>
      </c>
      <c r="AG64" s="365">
        <f t="array" ref="AG64">IFERROR((終値!$E$5-INDEX(終値!$E$5:$CZ$5,1,$AL$2))/INDEX(終値!$E$5:$CZ$5,1,$AL$2)*100,"")</f>
        <v>-0.82558151178043282</v>
      </c>
      <c r="AH64" s="366" t="str">
        <f t="shared" si="8"/>
        <v/>
      </c>
      <c r="AI64" s="364" t="str">
        <f t="shared" si="9"/>
        <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7650</v>
      </c>
      <c r="F65" s="166">
        <f>IF(C65&lt;&gt;"",_xll.RssMarket(C65,"始値"),"")</f>
        <v>7850</v>
      </c>
      <c r="G65" s="165">
        <f>IF(C65&lt;&gt;"",終値!F73,"")</f>
        <v>7800</v>
      </c>
      <c r="H65" s="166">
        <f>IF(C65&lt;&gt;"",_xll.RssMarket(C65,"高値"),"")</f>
        <v>7940</v>
      </c>
      <c r="I65" s="166">
        <f>IF(C65&lt;&gt;"",_xll.RssMarket(C65,"安値"),"")</f>
        <v>7120</v>
      </c>
      <c r="J65" s="166">
        <f>IF(C65&lt;&gt;"",_xll.RssMarket(C65,"出来高"),"")</f>
        <v>329900</v>
      </c>
      <c r="K65" s="166">
        <f>IF(C65&lt;&gt;"",_xll.RssMarket(C65,"年初来高値"),"")</f>
        <v>8380</v>
      </c>
      <c r="L65" s="167">
        <f t="shared" si="0"/>
        <v>-8.7112171837708843</v>
      </c>
      <c r="M65" s="166">
        <f>IF(C65&lt;&gt;"",IFERROR(AVERAGE(出来高!E73:I73),""),"")</f>
        <v>139680</v>
      </c>
      <c r="N65" s="166">
        <f>IF(C65&lt;&gt;"",IFERROR(AVERAGE(出来高!E73:AC73),""),"")</f>
        <v>115376</v>
      </c>
      <c r="O65" s="168">
        <f t="shared" si="1"/>
        <v>2.3618270332187858</v>
      </c>
      <c r="P65" s="163" t="str">
        <f t="shared" si="2"/>
        <v>急増↑↑</v>
      </c>
      <c r="Q65" s="163" t="str">
        <f t="shared" si="3"/>
        <v>様子見▼</v>
      </c>
      <c r="R65" s="166">
        <f t="shared" si="10"/>
        <v>8262</v>
      </c>
      <c r="S65" s="166">
        <f t="shared" si="11"/>
        <v>7344</v>
      </c>
      <c r="T65" s="163">
        <f t="shared" si="4"/>
        <v>9</v>
      </c>
      <c r="U65" s="163" t="str">
        <f t="shared" si="12"/>
        <v>有効</v>
      </c>
      <c r="V65" s="163" t="str">
        <f t="shared" si="5"/>
        <v>通常</v>
      </c>
      <c r="W65" s="169">
        <f t="array" ref="W65">IF(C65&lt;&gt;"",IFERROR(100-100/(1+SUMPRODUCT((終値!F73:R73&gt;終値!G73:S73)*( 終値!F73:R73-終値!G73:S73))/SUMPRODUCT((終値!F73:R73&lt;終値!G73:S73)*(終値!G73:S73-終値!F73:R73))),50),"")</f>
        <v>59.706959706959708</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-18.58154983899658</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 t="shared" si="13"/>
        <v>-1.9230769230769231</v>
      </c>
      <c r="AA65" s="163" t="str">
        <f t="shared" si="14"/>
        <v>下落▼</v>
      </c>
      <c r="AB65" s="405">
        <f>IF(C65="","",IFERROR(((終値!E67*0.333)+(終値!F67*0.222)+(終値!G67*0.148)+(終値!H67*0.099)+(終値!I67*0.066)+(終値!J67*0.044)+(終値!K67*0.029)+(終値!L67*0.019)+(終値!M67*0.013)+(終値!N67*0.009))/(0.333+0.222+0.148+0.099+0.066+0.044+0.029+0.019+0.013+0.009),""))</f>
        <v>1861.8635437881874</v>
      </c>
      <c r="AC65" s="405">
        <f>IF(C65="","",IFERROR(SUMPRODUCT((終値!E67:AC67),({0.077,0.071,0.065,0.06,0.055,0.051,0.047,0.043,0.039,0.036,0.033,0.031,0.028,0.026,0.024,0.022,0.02,0.018,0.017,0.016,0.014,0.013,0.012,0.011,0.01}))/SUM({0.077,0.071,0.065,0.06,0.055,0.051,0.047,0.043,0.039,0.036,0.033,0.031,0.028,0.026,0.024,0.022,0.02,0.018,0.017,0.016,0.014,0.013,0.012,0.011,0.01}),""))</f>
        <v>1902.005959475566</v>
      </c>
      <c r="AD65" s="406" t="str">
        <f t="shared" si="15"/>
        <v>上昇トレンド▲</v>
      </c>
      <c r="AE65" s="406" t="str">
        <f t="shared" si="16"/>
        <v>なし</v>
      </c>
      <c r="AF65" s="365">
        <f t="array" ref="AF65">IF(C65="","",IFERROR((INDEX(終値!$E:$E,MATCH(TEXT(C65,"0"),終値!$A:$A,0))-INDEX(終値!$E:$CZ,MATCH(TEXT(C65,"0"),終値!$A:$A,0),$AL$2))/INDEX(終値!$E:$CZ,MATCH(TEXT(C65,"0"),終値!$A:$A,0),$AL$2)*100,""))</f>
        <v>-0.40376850605652759</v>
      </c>
      <c r="AG65" s="365">
        <f t="array" ref="AG65">IFERROR((終値!$E$5-INDEX(終値!$E$5:$CZ$5,1,$AL$2))/INDEX(終値!$E$5:$CZ$5,1,$AL$2)*100,"")</f>
        <v>-0.82558151178043282</v>
      </c>
      <c r="AH65" s="366">
        <f t="shared" si="8"/>
        <v>0.42181300572390523</v>
      </c>
      <c r="AI65" s="364">
        <f t="shared" si="9"/>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899</v>
      </c>
      <c r="F66" s="166">
        <f>IF(C66&lt;&gt;"",_xll.RssMarket(C66,"始値"),"")</f>
        <v>886</v>
      </c>
      <c r="G66" s="165">
        <f>IF(C66&lt;&gt;"",終値!F136,"")</f>
        <v>856</v>
      </c>
      <c r="H66" s="166">
        <f>IF(C66&lt;&gt;"",_xll.RssMarket(C66,"高値"),"")</f>
        <v>908</v>
      </c>
      <c r="I66" s="166">
        <f>IF(C66&lt;&gt;"",_xll.RssMarket(C66,"安値"),"")</f>
        <v>871</v>
      </c>
      <c r="J66" s="166">
        <f>IF(C66&lt;&gt;"",_xll.RssMarket(C66,"出来高"),"")</f>
        <v>274900</v>
      </c>
      <c r="K66" s="166">
        <f>IF(C66&lt;&gt;"",_xll.RssMarket(C66,"年初来高値"),"")</f>
        <v>3100</v>
      </c>
      <c r="L66" s="167">
        <f t="shared" si="0"/>
        <v>-71</v>
      </c>
      <c r="M66" s="166">
        <f>IF(C66&lt;&gt;"",IFERROR(AVERAGE(出来高!E136:I136),""),"")</f>
        <v>404000</v>
      </c>
      <c r="N66" s="166">
        <f>IF(C66&lt;&gt;"",IFERROR(AVERAGE(出来高!E136:AC136),""),"")</f>
        <v>400695.83333333331</v>
      </c>
      <c r="O66" s="168">
        <f t="shared" si="1"/>
        <v>0.68044554455445549</v>
      </c>
      <c r="P66" s="163" t="str">
        <f t="shared" si="2"/>
        <v>減少↓</v>
      </c>
      <c r="Q66" s="163" t="str">
        <f t="shared" si="3"/>
        <v>中立→</v>
      </c>
      <c r="R66" s="166">
        <f t="shared" si="10"/>
        <v>971</v>
      </c>
      <c r="S66" s="166">
        <f t="shared" si="11"/>
        <v>863</v>
      </c>
      <c r="T66" s="163">
        <f t="shared" si="4"/>
        <v>0</v>
      </c>
      <c r="U66" s="163" t="str">
        <f t="shared" si="12"/>
        <v>除外</v>
      </c>
      <c r="V66" s="163" t="str">
        <f t="shared" si="5"/>
        <v>通常</v>
      </c>
      <c r="W66" s="169">
        <f t="array" ref="W66">IF(C66&lt;&gt;"",IFERROR(100-100/(1+SUMPRODUCT((終値!F136:R136&gt;終値!G136:S136)*( 終値!F136:R136-終値!G136:S136))/SUMPRODUCT((終値!F136:R136&lt;終値!G136:S136)*(終値!G136:S136-終値!F136:R136))),50),"")</f>
        <v>45.696259576385764</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-40.575052042079619</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 t="shared" si="13"/>
        <v>5.0233644859813085</v>
      </c>
      <c r="AA66" s="163" t="str">
        <f t="shared" si="14"/>
        <v>上昇▲</v>
      </c>
      <c r="AB66" s="403">
        <f>IF(C66="","",IFERROR(((終値!E68*0.333)+(終値!F68*0.222)+(終値!G68*0.148)+(終値!H68*0.099)+(終値!I68*0.066)+(終値!J68*0.044)+(終値!K68*0.029)+(終値!L68*0.019)+(終値!M68*0.013)+(終値!N68*0.009))/(0.333+0.222+0.148+0.099+0.066+0.044+0.029+0.019+0.013+0.009),""))</f>
        <v>5584.5875763747454</v>
      </c>
      <c r="AC66" s="403">
        <f>IF(C66="","",IFERROR(SUMPRODUCT((終値!E68:AC68),({0.077,0.071,0.065,0.06,0.055,0.051,0.047,0.043,0.039,0.036,0.033,0.031,0.028,0.026,0.024,0.022,0.02,0.018,0.017,0.016,0.014,0.013,0.012,0.011,0.01}))/SUM({0.077,0.071,0.065,0.06,0.055,0.051,0.047,0.043,0.039,0.036,0.033,0.031,0.028,0.026,0.024,0.022,0.02,0.018,0.017,0.016,0.014,0.013,0.012,0.011,0.01}),""))</f>
        <v>5621.5566150178765</v>
      </c>
      <c r="AD66" s="404" t="str">
        <f t="shared" si="15"/>
        <v>下降トレンド▼</v>
      </c>
      <c r="AE66" s="404" t="str">
        <f t="shared" si="16"/>
        <v>なし</v>
      </c>
      <c r="AF66" s="365">
        <f t="array" ref="AF66">IF(C66="","",IFERROR((INDEX(終値!$E:$E,MATCH(TEXT(C66,"0"),終値!$A:$A,0))-INDEX(終値!$E:$CZ,MATCH(TEXT(C66,"0"),終値!$A:$A,0),$AL$2))/INDEX(終値!$E:$CZ,MATCH(TEXT(C66,"0"),終値!$A:$A,0),$AL$2)*100,""))</f>
        <v>-24.247635425623386</v>
      </c>
      <c r="AG66" s="365">
        <f t="array" ref="AG66">IFERROR((終値!$E$5-INDEX(終値!$E$5:$CZ$5,1,$AL$2))/INDEX(終値!$E$5:$CZ$5,1,$AL$2)*100,"")</f>
        <v>-0.82558151178043282</v>
      </c>
      <c r="AH66" s="366">
        <f t="shared" si="8"/>
        <v>-23.422053913842952</v>
      </c>
      <c r="AI66" s="364">
        <f t="shared" si="9"/>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747</v>
      </c>
      <c r="F67" s="166">
        <f>IF(C67&lt;&gt;"",_xll.RssMarket(C67,"始値"),"")</f>
        <v>733</v>
      </c>
      <c r="G67" s="165">
        <f>IF(C67&lt;&gt;"",終値!F93,"")</f>
        <v>722</v>
      </c>
      <c r="H67" s="166">
        <f>IF(C67&lt;&gt;"",_xll.RssMarket(C67,"高値"),"")</f>
        <v>755</v>
      </c>
      <c r="I67" s="166">
        <f>IF(C67&lt;&gt;"",_xll.RssMarket(C67,"安値"),"")</f>
        <v>733</v>
      </c>
      <c r="J67" s="166">
        <f>IF(C67&lt;&gt;"",_xll.RssMarket(C67,"出来高"),"")</f>
        <v>288900</v>
      </c>
      <c r="K67" s="166">
        <f>IF(C67&lt;&gt;"",_xll.RssMarket(C67,"年初来高値"),"")</f>
        <v>1638</v>
      </c>
      <c r="L67" s="167">
        <f t="shared" ref="L67:L130" si="17">IF(AND(E67&lt;&gt;"",K67&lt;&gt;"",K67&lt;&gt;0),(E67-K67)/K67*100,"")</f>
        <v>-54.395604395604394</v>
      </c>
      <c r="M67" s="166">
        <f>IF(C67&lt;&gt;"",IFERROR(AVERAGE(出来高!E93:I93),""),"")</f>
        <v>298800</v>
      </c>
      <c r="N67" s="166">
        <f>IF(C67&lt;&gt;"",IFERROR(AVERAGE(出来高!E93:AC93),""),"")</f>
        <v>994900</v>
      </c>
      <c r="O67" s="168">
        <f t="shared" ref="O67:O130" si="18">IF(AND(J67&lt;&gt;"",M67&lt;&gt;"",M67&lt;&gt;0),J67/M67,"")</f>
        <v>0.9668674698795181</v>
      </c>
      <c r="P67" s="163" t="str">
        <f t="shared" ref="P67:P130" si="19">IF(O67="","",IF(O67&gt;=2,"急増↑↑",IF(O67&gt;=1.5,"増加↑",IF(O67&gt;=1,"普通→","減少↓"))))</f>
        <v>減少↓</v>
      </c>
      <c r="Q67" s="163" t="str">
        <f t="shared" ref="Q67:Q130" si="20">IF(E67="","",IF(AND(E67&gt;G67,O67&gt;=1.5),"買い▲",IF(E67&lt;G67,"様子見▼","中立→")))</f>
        <v>中立→</v>
      </c>
      <c r="R67" s="166">
        <f t="shared" si="10"/>
        <v>807</v>
      </c>
      <c r="S67" s="166">
        <f t="shared" si="11"/>
        <v>717</v>
      </c>
      <c r="T67" s="163">
        <f t="shared" ref="T67:T130" si="21">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1</v>
      </c>
      <c r="U67" s="163" t="str">
        <f t="shared" si="12"/>
        <v>除外</v>
      </c>
      <c r="V67" s="163" t="str">
        <f t="shared" ref="V67:V130" si="22">IF(AND(H67&lt;&gt;"",K67&lt;&gt;""),IF(H67&gt;=K67,"年初来高値更新●",IF(H67&gt;=K67*0.95,"高値圏","通常")),"")</f>
        <v>通常</v>
      </c>
      <c r="W67" s="169">
        <f t="array" ref="W67">IF(C67&lt;&gt;"",IFERROR(100-100/(1+SUMPRODUCT((終値!F93:R93&gt;終値!G93:S93)*( 終値!F93:R93-終値!G93:S93))/SUMPRODUCT((終値!F93:R93&lt;終値!G93:S93)*(終値!G93:S93-終値!F93:R93))),50),"")</f>
        <v>31.979695431472081</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-12.866153344027111</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 t="shared" si="13"/>
        <v>3.4626038781163437</v>
      </c>
      <c r="AA67" s="163" t="str">
        <f t="shared" si="14"/>
        <v>上昇▲</v>
      </c>
      <c r="AB67" s="405">
        <f>IF(C67="","",IFERROR(((終値!E69*0.333)+(終値!F69*0.222)+(終値!G69*0.148)+(終値!H69*0.099)+(終値!I69*0.066)+(終値!J69*0.044)+(終値!K69*0.029)+(終値!L69*0.019)+(終値!M69*0.013)+(終値!N69*0.009))/(0.333+0.222+0.148+0.099+0.066+0.044+0.029+0.019+0.013+0.009),""))</f>
        <v>3356.2230142566186</v>
      </c>
      <c r="AC67" s="405">
        <f>IF(C67="","",IFERROR(SUMPRODUCT((終値!E69:AC69),({0.077,0.071,0.065,0.06,0.055,0.051,0.047,0.043,0.039,0.036,0.033,0.031,0.028,0.026,0.024,0.022,0.02,0.018,0.017,0.016,0.014,0.013,0.012,0.011,0.01}))/SUM({0.077,0.071,0.065,0.06,0.055,0.051,0.047,0.043,0.039,0.036,0.033,0.031,0.028,0.026,0.024,0.022,0.02,0.018,0.017,0.016,0.014,0.013,0.012,0.011,0.01}),""))</f>
        <v>3594.9439809296778</v>
      </c>
      <c r="AD67" s="406" t="str">
        <f t="shared" ref="AD67:AD98" si="23">IF(OR(C67="",AB67="",AC67=""),"",IF(AND(E67&gt;AB67,AB67&gt;AC67),"パーフェクト▲",IF(E67&gt;AC67,"上昇トレンド▲",IF(AND(E67&lt;AB67,AB67&lt;AC67),"下降トレンド▼","もみ合い→"))))</f>
        <v>下降トレンド▼</v>
      </c>
      <c r="AE67" s="406" t="str">
        <f t="shared" ref="AE67:AE98" si="24">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-22.550052687038988</v>
      </c>
      <c r="AG67" s="365">
        <f t="array" ref="AG67">IFERROR((終値!$E$5-INDEX(終値!$E$5:$CZ$5,1,$AL$2))/INDEX(終値!$E$5:$CZ$5,1,$AL$2)*100,"")</f>
        <v>-0.82558151178043282</v>
      </c>
      <c r="AH67" s="366">
        <f t="shared" ref="AH67:AH130" si="25">IF(OR(AF67="",AG67=""),"",AF67-AG67)</f>
        <v>-21.724471175258557</v>
      </c>
      <c r="AI67" s="364">
        <f t="shared" ref="AI67:AI130" si="26">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18900</v>
      </c>
      <c r="F68" s="166">
        <f>IF(C68&lt;&gt;"",_xll.RssMarket(C68,"始値"),"")</f>
        <v>18100</v>
      </c>
      <c r="G68" s="165">
        <f>IF(C68&lt;&gt;"",終値!F107,"")</f>
        <v>17235</v>
      </c>
      <c r="H68" s="166">
        <f>IF(C68&lt;&gt;"",_xll.RssMarket(C68,"高値"),"")</f>
        <v>18945</v>
      </c>
      <c r="I68" s="166">
        <f>IF(C68&lt;&gt;"",_xll.RssMarket(C68,"安値"),"")</f>
        <v>17625</v>
      </c>
      <c r="J68" s="166">
        <f>IF(C68&lt;&gt;"",_xll.RssMarket(C68,"出来高"),"")</f>
        <v>761100</v>
      </c>
      <c r="K68" s="166">
        <f>IF(C68&lt;&gt;"",_xll.RssMarket(C68,"年初来高値"),"")</f>
        <v>21310</v>
      </c>
      <c r="L68" s="167">
        <f t="shared" si="17"/>
        <v>-11.309244486156734</v>
      </c>
      <c r="M68" s="166">
        <f>IF(C68&lt;&gt;"",IFERROR(AVERAGE(出来高!E107:I107),""),"")</f>
        <v>636580</v>
      </c>
      <c r="N68" s="166">
        <f>IF(C68&lt;&gt;"",IFERROR(AVERAGE(出来高!E107:AC107),""),"")</f>
        <v>535376</v>
      </c>
      <c r="O68" s="168">
        <f t="shared" si="18"/>
        <v>1.1956077790694022</v>
      </c>
      <c r="P68" s="163" t="str">
        <f t="shared" si="19"/>
        <v>普通→</v>
      </c>
      <c r="Q68" s="163" t="str">
        <f t="shared" si="20"/>
        <v>中立→</v>
      </c>
      <c r="R68" s="166">
        <f t="shared" ref="R68:R131" si="27">IF(E68&lt;&gt;"",ROUND(E68*1.08,0),"")</f>
        <v>20412</v>
      </c>
      <c r="S68" s="166">
        <f t="shared" ref="S68:S131" si="28">IF(E68&lt;&gt;"",ROUND(E68*0.96,0),"")</f>
        <v>18144</v>
      </c>
      <c r="T68" s="163">
        <f t="shared" si="21"/>
        <v>4</v>
      </c>
      <c r="U68" s="163" t="str">
        <f t="shared" ref="U68:U131" si="29">IF(T68="","",IF(AND(T68&gt;=3,O68&gt;=1.5),"有効",IF(T68&gt;=3,"要確認","除外")))</f>
        <v>要確認</v>
      </c>
      <c r="V68" s="163" t="str">
        <f t="shared" si="22"/>
        <v>通常</v>
      </c>
      <c r="W68" s="169">
        <f t="array" ref="W68">IF(C68&lt;&gt;"",IFERROR(100-100/(1+SUMPRODUCT((終値!F107:R107&gt;終値!G107:S107)*( 終値!F107:R107-終値!G107:S107))/SUMPRODUCT((終値!F107:R107&lt;終値!G107:S107)*(終値!G107:S107-終値!F107:R107))),50),"")</f>
        <v>43.28802039082413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-272.8845840016802</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様子見</v>
      </c>
      <c r="Z68" s="171">
        <f t="shared" ref="Z68:Z131" si="30">IF(AND(E68&lt;&gt;"",G68&lt;&gt;"",G68&lt;&gt;0),(E68-G68)/G68*100,"")</f>
        <v>9.660574412532636</v>
      </c>
      <c r="AA68" s="163" t="str">
        <f t="shared" ref="AA68:AA131" si="31">IF(OR(C68="",E68="",E68=0),"",IF(E68&gt;G68,"上昇▲",IF(E68&lt;G68,"下落▼","横ばい→")))</f>
        <v>上昇▲</v>
      </c>
      <c r="AB68" s="403">
        <f>IF(C68="","",IFERROR(((終値!E70*0.333)+(終値!F70*0.222)+(終値!G70*0.148)+(終値!H70*0.099)+(終値!I70*0.066)+(終値!J70*0.044)+(終値!K70*0.029)+(終値!L70*0.019)+(終値!M70*0.013)+(終値!N70*0.009))/(0.333+0.222+0.148+0.099+0.066+0.044+0.029+0.019+0.013+0.009),""))</f>
        <v>112.55193482688388</v>
      </c>
      <c r="AC68" s="403">
        <f>IF(C68="","",IFERROR(SUMPRODUCT((終値!E70:AC70),({0.077,0.071,0.065,0.06,0.055,0.051,0.047,0.043,0.039,0.036,0.033,0.031,0.028,0.026,0.024,0.022,0.02,0.018,0.017,0.016,0.014,0.013,0.012,0.011,0.01}))/SUM({0.077,0.071,0.065,0.06,0.055,0.051,0.047,0.043,0.039,0.036,0.033,0.031,0.028,0.026,0.024,0.022,0.02,0.018,0.017,0.016,0.014,0.013,0.012,0.011,0.01}),""))</f>
        <v>107.71752085816445</v>
      </c>
      <c r="AD68" s="404" t="str">
        <f t="shared" si="23"/>
        <v>パーフェクト▲</v>
      </c>
      <c r="AE68" s="404" t="str">
        <f t="shared" si="24"/>
        <v>なし</v>
      </c>
      <c r="AF68" s="365">
        <f t="array" ref="AF68">IF(C68="","",IFERROR((INDEX(終値!$E:$E,MATCH(TEXT(C68,"0"),終値!$A:$A,0))-INDEX(終値!$E:$CZ,MATCH(TEXT(C68,"0"),終値!$A:$A,0),$AL$2))/INDEX(終値!$E:$CZ,MATCH(TEXT(C68,"0"),終値!$A:$A,0),$AL$2)*100,""))</f>
        <v>-6.3035019455252916</v>
      </c>
      <c r="AG68" s="365">
        <f t="array" ref="AG68">IFERROR((終値!$E$5-INDEX(終値!$E$5:$CZ$5,1,$AL$2))/INDEX(終値!$E$5:$CZ$5,1,$AL$2)*100,"")</f>
        <v>-0.82558151178043282</v>
      </c>
      <c r="AH68" s="366">
        <f t="shared" si="25"/>
        <v>-5.4779204337448588</v>
      </c>
      <c r="AI68" s="364">
        <f t="shared" si="26"/>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3130</v>
      </c>
      <c r="F69" s="166">
        <f>IF(C69&lt;&gt;"",_xll.RssMarket(C69,"始値"),"")</f>
        <v>2980</v>
      </c>
      <c r="G69" s="165">
        <f>IF(C69&lt;&gt;"",終値!F121,"")</f>
        <v>2952</v>
      </c>
      <c r="H69" s="166">
        <f>IF(C69&lt;&gt;"",_xll.RssMarket(C69,"高値"),"")</f>
        <v>3130</v>
      </c>
      <c r="I69" s="166">
        <f>IF(C69&lt;&gt;"",_xll.RssMarket(C69,"安値"),"")</f>
        <v>2972</v>
      </c>
      <c r="J69" s="166">
        <f>IF(C69&lt;&gt;"",_xll.RssMarket(C69,"出来高"),"")</f>
        <v>130400</v>
      </c>
      <c r="K69" s="166">
        <f>IF(C69&lt;&gt;"",_xll.RssMarket(C69,"年初来高値"),"")</f>
        <v>4155</v>
      </c>
      <c r="L69" s="167">
        <f t="shared" si="17"/>
        <v>-24.669073405535499</v>
      </c>
      <c r="M69" s="166">
        <f>IF(C69&lt;&gt;"",IFERROR(AVERAGE(出来高!E121:I121),""),"")</f>
        <v>319420</v>
      </c>
      <c r="N69" s="166">
        <f>IF(C69&lt;&gt;"",IFERROR(AVERAGE(出来高!E121:AC121),""),"")</f>
        <v>344875</v>
      </c>
      <c r="O69" s="168">
        <f t="shared" si="18"/>
        <v>0.40823993488197358</v>
      </c>
      <c r="P69" s="163" t="str">
        <f t="shared" si="19"/>
        <v>減少↓</v>
      </c>
      <c r="Q69" s="163" t="str">
        <f t="shared" si="20"/>
        <v>中立→</v>
      </c>
      <c r="R69" s="166">
        <f t="shared" si="27"/>
        <v>3380</v>
      </c>
      <c r="S69" s="166">
        <f t="shared" si="28"/>
        <v>3005</v>
      </c>
      <c r="T69" s="163">
        <f t="shared" si="21"/>
        <v>2</v>
      </c>
      <c r="U69" s="163" t="str">
        <f t="shared" si="29"/>
        <v>除外</v>
      </c>
      <c r="V69" s="163" t="str">
        <f t="shared" si="22"/>
        <v>通常</v>
      </c>
      <c r="W69" s="169">
        <f t="array" ref="W69">IF(C69&lt;&gt;"",IFERROR(100-100/(1+SUMPRODUCT((終値!F121:R121&gt;終値!G121:S121)*( 終値!F121:R121-終値!G121:S121))/SUMPRODUCT((終値!F121:R121&lt;終値!G121:S121)*(終値!G121:S121-終値!F121:R121))),50),"")</f>
        <v>45.534050179211469</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-102.04879218592623</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 t="shared" si="30"/>
        <v>6.0298102981029809</v>
      </c>
      <c r="AA69" s="163" t="str">
        <f t="shared" si="31"/>
        <v>上昇▲</v>
      </c>
      <c r="AB69" s="405">
        <f>IF(C69="","",IFERROR(((終値!E71*0.333)+(終値!F71*0.222)+(終値!G71*0.148)+(終値!H71*0.099)+(終値!I71*0.066)+(終値!J71*0.044)+(終値!K71*0.029)+(終値!L71*0.019)+(終値!M71*0.013)+(終値!N71*0.009))/(0.333+0.222+0.148+0.099+0.066+0.044+0.029+0.019+0.013+0.009),""))</f>
        <v>2249.5152749490831</v>
      </c>
      <c r="AC69" s="405">
        <f>IF(C69="","",IFERROR(SUMPRODUCT((終値!E71:AC71),({0.077,0.071,0.065,0.06,0.055,0.051,0.047,0.043,0.039,0.036,0.033,0.031,0.028,0.026,0.024,0.022,0.02,0.018,0.017,0.016,0.014,0.013,0.012,0.011,0.01}))/SUM({0.077,0.071,0.065,0.06,0.055,0.051,0.047,0.043,0.039,0.036,0.033,0.031,0.028,0.026,0.024,0.022,0.02,0.018,0.017,0.016,0.014,0.013,0.012,0.011,0.01}),""))</f>
        <v>2305.1918951132293</v>
      </c>
      <c r="AD69" s="406" t="str">
        <f t="shared" si="23"/>
        <v>上昇トレンド▲</v>
      </c>
      <c r="AE69" s="406" t="str">
        <f t="shared" si="24"/>
        <v>なし</v>
      </c>
      <c r="AF69" s="365">
        <f t="array" ref="AF69">IF(C69="","",IFERROR((INDEX(終値!$E:$E,MATCH(TEXT(C69,"0"),終値!$A:$A,0))-INDEX(終値!$E:$CZ,MATCH(TEXT(C69,"0"),終値!$A:$A,0),$AL$2))/INDEX(終値!$E:$CZ,MATCH(TEXT(C69,"0"),終値!$A:$A,0),$AL$2)*100,""))</f>
        <v>-10.375939849624061</v>
      </c>
      <c r="AG69" s="365">
        <f t="array" ref="AG69">IFERROR((終値!$E$5-INDEX(終値!$E$5:$CZ$5,1,$AL$2))/INDEX(終値!$E$5:$CZ$5,1,$AL$2)*100,"")</f>
        <v>-0.82558151178043282</v>
      </c>
      <c r="AH69" s="366">
        <f t="shared" si="25"/>
        <v>-9.5503583378436279</v>
      </c>
      <c r="AI69" s="364">
        <f t="shared" si="26"/>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1154</v>
      </c>
      <c r="F70" s="166">
        <f>IF(C70&lt;&gt;"",_xll.RssMarket(C70,"始値"),"")</f>
        <v>1138</v>
      </c>
      <c r="G70" s="165">
        <f>IF(C70&lt;&gt;"",終値!F152,"")</f>
        <v>1127</v>
      </c>
      <c r="H70" s="166">
        <f>IF(C70&lt;&gt;"",_xll.RssMarket(C70,"高値"),"")</f>
        <v>1178</v>
      </c>
      <c r="I70" s="166">
        <f>IF(C70&lt;&gt;"",_xll.RssMarket(C70,"安値"),"")</f>
        <v>1138</v>
      </c>
      <c r="J70" s="166">
        <f>IF(C70&lt;&gt;"",_xll.RssMarket(C70,"出来高"),"")</f>
        <v>402100</v>
      </c>
      <c r="K70" s="166">
        <f>IF(C70&lt;&gt;"",_xll.RssMarket(C70,"年初来高値"),"")</f>
        <v>1189</v>
      </c>
      <c r="L70" s="167">
        <f t="shared" si="17"/>
        <v>-2.9436501261564341</v>
      </c>
      <c r="M70" s="166">
        <f>IF(C70&lt;&gt;"",IFERROR(AVERAGE(出来高!E152:I152),""),"")</f>
        <v>742320</v>
      </c>
      <c r="N70" s="166">
        <f>IF(C70&lt;&gt;"",IFERROR(AVERAGE(出来高!E152:AC152),""),"")</f>
        <v>548008</v>
      </c>
      <c r="O70" s="168">
        <f t="shared" si="18"/>
        <v>0.54168013794589931</v>
      </c>
      <c r="P70" s="163" t="str">
        <f t="shared" si="19"/>
        <v>減少↓</v>
      </c>
      <c r="Q70" s="163" t="str">
        <f t="shared" si="20"/>
        <v>中立→</v>
      </c>
      <c r="R70" s="166">
        <f t="shared" si="27"/>
        <v>1246</v>
      </c>
      <c r="S70" s="166">
        <f t="shared" si="28"/>
        <v>1108</v>
      </c>
      <c r="T70" s="163">
        <f t="shared" si="21"/>
        <v>9</v>
      </c>
      <c r="U70" s="163" t="str">
        <f t="shared" si="29"/>
        <v>要確認</v>
      </c>
      <c r="V70" s="163" t="str">
        <f t="shared" si="22"/>
        <v>高値圏</v>
      </c>
      <c r="W70" s="169">
        <f t="array" ref="W70">IF(C70&lt;&gt;"",IFERROR(100-100/(1+SUMPRODUCT((終値!F152:R152&gt;終値!G152:S152)*( 終値!F152:R152-終値!G152:S152))/SUMPRODUCT((終値!F152:R152&lt;終値!G152:S152)*(終値!G152:S152-終値!F152:R152))),50),"")</f>
        <v>59.477124183006538</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10.544505431083508</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△注目</v>
      </c>
      <c r="Z70" s="171">
        <f t="shared" si="30"/>
        <v>2.3957409050576755</v>
      </c>
      <c r="AA70" s="163" t="str">
        <f t="shared" si="31"/>
        <v>上昇▲</v>
      </c>
      <c r="AB70" s="403">
        <f>IF(C70="","",IFERROR(((終値!E72*0.333)+(終値!F72*0.222)+(終値!G72*0.148)+(終値!H72*0.099)+(終値!I72*0.066)+(終値!J72*0.044)+(終値!K72*0.029)+(終値!L72*0.019)+(終値!M72*0.013)+(終値!N72*0.009))/(0.333+0.222+0.148+0.099+0.066+0.044+0.029+0.019+0.013+0.009),""))</f>
        <v>2290.3828920570263</v>
      </c>
      <c r="AC70" s="403">
        <f>IF(C70="","",IFERROR(SUMPRODUCT((終値!E72:AC72),({0.077,0.071,0.065,0.06,0.055,0.051,0.047,0.043,0.039,0.036,0.033,0.031,0.028,0.026,0.024,0.022,0.02,0.018,0.017,0.016,0.014,0.013,0.012,0.011,0.01}))/SUM({0.077,0.071,0.065,0.06,0.055,0.051,0.047,0.043,0.039,0.036,0.033,0.031,0.028,0.026,0.024,0.022,0.02,0.018,0.017,0.016,0.014,0.013,0.012,0.011,0.01}),""))</f>
        <v>2315.1680572109653</v>
      </c>
      <c r="AD70" s="404" t="str">
        <f t="shared" si="23"/>
        <v>下降トレンド▼</v>
      </c>
      <c r="AE70" s="404" t="str">
        <f t="shared" si="24"/>
        <v>なし</v>
      </c>
      <c r="AF70" s="365">
        <f t="array" ref="AF70">IF(C70="","",IFERROR((INDEX(終値!$E:$E,MATCH(TEXT(C70,"0"),終値!$A:$A,0))-INDEX(終値!$E:$CZ,MATCH(TEXT(C70,"0"),終値!$A:$A,0),$AL$2))/INDEX(終値!$E:$CZ,MATCH(TEXT(C70,"0"),終値!$A:$A,0),$AL$2)*100,""))</f>
        <v>12.163509471585245</v>
      </c>
      <c r="AG70" s="365">
        <f t="array" ref="AG70">IFERROR((終値!$E$5-INDEX(終値!$E$5:$CZ$5,1,$AL$2))/INDEX(終値!$E$5:$CZ$5,1,$AL$2)*100,"")</f>
        <v>-0.82558151178043282</v>
      </c>
      <c r="AH70" s="366">
        <f t="shared" si="25"/>
        <v>12.989090983365678</v>
      </c>
      <c r="AI70" s="364">
        <f t="shared" si="26"/>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1161</v>
      </c>
      <c r="F71" s="166">
        <f>IF(C71&lt;&gt;"",_xll.RssMarket(C71,"始値"),"")</f>
        <v>1138</v>
      </c>
      <c r="G71" s="165">
        <f>IF(C71&lt;&gt;"",終値!F149,"")</f>
        <v>0</v>
      </c>
      <c r="H71" s="166">
        <f>IF(C71&lt;&gt;"",_xll.RssMarket(C71,"高値"),"")</f>
        <v>1170</v>
      </c>
      <c r="I71" s="166">
        <f>IF(C71&lt;&gt;"",_xll.RssMarket(C71,"安値"),"")</f>
        <v>1134</v>
      </c>
      <c r="J71" s="166">
        <f>IF(C71&lt;&gt;"",_xll.RssMarket(C71,"出来高"),"")</f>
        <v>11100</v>
      </c>
      <c r="K71" s="166">
        <f>IF(C71&lt;&gt;"",_xll.RssMarket(C71,"年初来高値"),"")</f>
        <v>2660</v>
      </c>
      <c r="L71" s="167">
        <f t="shared" si="17"/>
        <v>-56.353383458646618</v>
      </c>
      <c r="M71" s="166" t="str">
        <f>IF(C71&lt;&gt;"",IFERROR(AVERAGE(出来高!E149:I149),""),"")</f>
        <v/>
      </c>
      <c r="N71" s="166" t="str">
        <f>IF(C71&lt;&gt;"",IFERROR(AVERAGE(出来高!E149:AC149),""),"")</f>
        <v/>
      </c>
      <c r="O71" s="168" t="str">
        <f t="shared" si="18"/>
        <v/>
      </c>
      <c r="P71" s="163" t="str">
        <f t="shared" si="19"/>
        <v/>
      </c>
      <c r="Q71" s="163" t="str">
        <f t="shared" si="20"/>
        <v>買い▲</v>
      </c>
      <c r="R71" s="166">
        <f t="shared" si="27"/>
        <v>1254</v>
      </c>
      <c r="S71" s="166">
        <f t="shared" si="28"/>
        <v>1115</v>
      </c>
      <c r="T71" s="163">
        <f t="shared" si="21"/>
        <v>7</v>
      </c>
      <c r="U71" s="163" t="str">
        <f t="shared" si="29"/>
        <v>有効</v>
      </c>
      <c r="V71" s="163" t="str">
        <f t="shared" si="22"/>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0</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△注目</v>
      </c>
      <c r="Z71" s="171" t="str">
        <f t="shared" si="30"/>
        <v/>
      </c>
      <c r="AA71" s="163" t="str">
        <f t="shared" si="31"/>
        <v>上昇▲</v>
      </c>
      <c r="AB71" s="405">
        <f>IF(C71="","",IFERROR(((終値!E73*0.333)+(終値!F73*0.222)+(終値!G73*0.148)+(終値!H73*0.099)+(終値!I73*0.066)+(終値!J73*0.044)+(終値!K73*0.029)+(終値!L73*0.019)+(終値!M73*0.013)+(終値!N73*0.009))/(0.333+0.222+0.148+0.099+0.066+0.044+0.029+0.019+0.013+0.009),""))</f>
        <v>7518.1975560081428</v>
      </c>
      <c r="AC71" s="405">
        <f>IF(C71="","",IFERROR(SUMPRODUCT((終値!E73:AC73),({0.077,0.071,0.065,0.06,0.055,0.051,0.047,0.043,0.039,0.036,0.033,0.031,0.028,0.026,0.024,0.022,0.02,0.018,0.017,0.016,0.014,0.013,0.012,0.011,0.01}))/SUM({0.077,0.071,0.065,0.06,0.055,0.051,0.047,0.043,0.039,0.036,0.033,0.031,0.028,0.026,0.024,0.022,0.02,0.018,0.017,0.016,0.014,0.013,0.012,0.011,0.01}),""))</f>
        <v>7589.8212157330136</v>
      </c>
      <c r="AD71" s="406" t="str">
        <f t="shared" si="23"/>
        <v>下降トレンド▼</v>
      </c>
      <c r="AE71" s="406" t="str">
        <f t="shared" si="24"/>
        <v>なし</v>
      </c>
      <c r="AF71" s="365" t="str">
        <f t="array" ref="AF71">IF(C71="","",IFERROR((INDEX(終値!$E:$E,MATCH(TEXT(C71,"0"),終値!$A:$A,0))-INDEX(終値!$E:$CZ,MATCH(TEXT(C71,"0"),終値!$A:$A,0),$AL$2))/INDEX(終値!$E:$CZ,MATCH(TEXT(C71,"0"),終値!$A:$A,0),$AL$2)*100,""))</f>
        <v/>
      </c>
      <c r="AG71" s="365">
        <f t="array" ref="AG71">IFERROR((終値!$E$5-INDEX(終値!$E$5:$CZ$5,1,$AL$2))/INDEX(終値!$E$5:$CZ$5,1,$AL$2)*100,"")</f>
        <v>-0.82558151178043282</v>
      </c>
      <c r="AH71" s="366" t="str">
        <f t="shared" si="25"/>
        <v/>
      </c>
      <c r="AI71" s="364" t="str">
        <f t="shared" si="26"/>
        <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1523</v>
      </c>
      <c r="F72" s="166">
        <f>IF(C72&lt;&gt;"",_xll.RssMarket(C72,"始値"),"")</f>
        <v>1465</v>
      </c>
      <c r="G72" s="165">
        <f>IF(C72&lt;&gt;"",終値!F177,"")</f>
        <v>0</v>
      </c>
      <c r="H72" s="166">
        <f>IF(C72&lt;&gt;"",_xll.RssMarket(C72,"高値"),"")</f>
        <v>1535</v>
      </c>
      <c r="I72" s="166">
        <f>IF(C72&lt;&gt;"",_xll.RssMarket(C72,"安値"),"")</f>
        <v>1465</v>
      </c>
      <c r="J72" s="166">
        <f>IF(C72&lt;&gt;"",_xll.RssMarket(C72,"出来高"),"")</f>
        <v>514800</v>
      </c>
      <c r="K72" s="166">
        <f>IF(C72&lt;&gt;"",_xll.RssMarket(C72,"年初来高値"),"")</f>
        <v>1596</v>
      </c>
      <c r="L72" s="167">
        <f t="shared" si="17"/>
        <v>-4.5739348370927315</v>
      </c>
      <c r="M72" s="166" t="str">
        <f>IF(C72&lt;&gt;"",IFERROR(AVERAGE(出来高!E177:I177),""),"")</f>
        <v/>
      </c>
      <c r="N72" s="166" t="str">
        <f>IF(C72&lt;&gt;"",IFERROR(AVERAGE(出来高!E177:AC177),""),"")</f>
        <v/>
      </c>
      <c r="O72" s="168" t="str">
        <f t="shared" si="18"/>
        <v/>
      </c>
      <c r="P72" s="163" t="str">
        <f t="shared" si="19"/>
        <v/>
      </c>
      <c r="Q72" s="163" t="str">
        <f t="shared" si="20"/>
        <v>買い▲</v>
      </c>
      <c r="R72" s="166">
        <f t="shared" si="27"/>
        <v>1645</v>
      </c>
      <c r="S72" s="166">
        <f t="shared" si="28"/>
        <v>1462</v>
      </c>
      <c r="T72" s="163">
        <f t="shared" si="21"/>
        <v>10</v>
      </c>
      <c r="U72" s="163" t="str">
        <f t="shared" si="29"/>
        <v>有効</v>
      </c>
      <c r="V72" s="163" t="str">
        <f t="shared" si="22"/>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0</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○買い候補</v>
      </c>
      <c r="Z72" s="171" t="str">
        <f t="shared" si="30"/>
        <v/>
      </c>
      <c r="AA72" s="163" t="str">
        <f t="shared" si="31"/>
        <v>上昇▲</v>
      </c>
      <c r="AB72" s="403">
        <f>IF(C72="","",IFERROR(((終値!E74*0.333)+(終値!F74*0.222)+(終値!G74*0.148)+(終値!H74*0.099)+(終値!I74*0.066)+(終値!J74*0.044)+(終値!K74*0.029)+(終値!L74*0.019)+(終値!M74*0.013)+(終値!N74*0.009))/(0.333+0.222+0.148+0.099+0.066+0.044+0.029+0.019+0.013+0.009),""))</f>
        <v>3118.5224032586552</v>
      </c>
      <c r="AC72" s="403">
        <f>IF(C72="","",IFERROR(SUMPRODUCT((終値!E74:AC74),({0.077,0.071,0.065,0.06,0.055,0.051,0.047,0.043,0.039,0.036,0.033,0.031,0.028,0.026,0.024,0.022,0.02,0.018,0.017,0.016,0.014,0.013,0.012,0.011,0.01}))/SUM({0.077,0.071,0.065,0.06,0.055,0.051,0.047,0.043,0.039,0.036,0.033,0.031,0.028,0.026,0.024,0.022,0.02,0.018,0.017,0.016,0.014,0.013,0.012,0.011,0.01}),""))</f>
        <v>3083.7342073897489</v>
      </c>
      <c r="AD72" s="404" t="str">
        <f t="shared" si="23"/>
        <v>もみ合い→</v>
      </c>
      <c r="AE72" s="404" t="str">
        <f t="shared" si="24"/>
        <v>なし</v>
      </c>
      <c r="AF72" s="365" t="str">
        <f t="array" ref="AF72">IF(C72="","",IFERROR((INDEX(終値!$E:$E,MATCH(TEXT(C72,"0"),終値!$A:$A,0))-INDEX(終値!$E:$CZ,MATCH(TEXT(C72,"0"),終値!$A:$A,0),$AL$2))/INDEX(終値!$E:$CZ,MATCH(TEXT(C72,"0"),終値!$A:$A,0),$AL$2)*100,""))</f>
        <v/>
      </c>
      <c r="AG72" s="365">
        <f t="array" ref="AG72">IFERROR((終値!$E$5-INDEX(終値!$E$5:$CZ$5,1,$AL$2))/INDEX(終値!$E$5:$CZ$5,1,$AL$2)*100,"")</f>
        <v>-0.82558151178043282</v>
      </c>
      <c r="AH72" s="366" t="str">
        <f t="shared" si="25"/>
        <v/>
      </c>
      <c r="AI72" s="364" t="str">
        <f t="shared" si="26"/>
        <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2913.5</v>
      </c>
      <c r="F73" s="166">
        <f>IF(C73&lt;&gt;"",_xll.RssMarket(C73,"始値"),"")</f>
        <v>2903</v>
      </c>
      <c r="G73" s="165">
        <f>IF(C73&lt;&gt;"",終値!F77,"")</f>
        <v>2963.5</v>
      </c>
      <c r="H73" s="166">
        <f>IF(C73&lt;&gt;"",_xll.RssMarket(C73,"高値"),"")</f>
        <v>2917.5</v>
      </c>
      <c r="I73" s="166">
        <f>IF(C73&lt;&gt;"",_xll.RssMarket(C73,"安値"),"")</f>
        <v>2869.5</v>
      </c>
      <c r="J73" s="166">
        <f>IF(C73&lt;&gt;"",_xll.RssMarket(C73,"出来高"),"")</f>
        <v>33371100</v>
      </c>
      <c r="K73" s="166">
        <f>IF(C73&lt;&gt;"",_xll.RssMarket(C73,"年初来高値"),"")</f>
        <v>4000</v>
      </c>
      <c r="L73" s="167">
        <f t="shared" si="17"/>
        <v>-27.162500000000001</v>
      </c>
      <c r="M73" s="166">
        <f>IF(C73&lt;&gt;"",IFERROR(AVERAGE(出来高!E77:I77),""),"")</f>
        <v>62901500</v>
      </c>
      <c r="N73" s="166">
        <f>IF(C73&lt;&gt;"",IFERROR(AVERAGE(出来高!E77:AC77),""),"")</f>
        <v>34251452</v>
      </c>
      <c r="O73" s="168">
        <f t="shared" si="18"/>
        <v>0.53052947862928546</v>
      </c>
      <c r="P73" s="163" t="str">
        <f t="shared" si="19"/>
        <v>減少↓</v>
      </c>
      <c r="Q73" s="163" t="str">
        <f t="shared" si="20"/>
        <v>様子見▼</v>
      </c>
      <c r="R73" s="166">
        <f t="shared" si="27"/>
        <v>3147</v>
      </c>
      <c r="S73" s="166">
        <f t="shared" si="28"/>
        <v>2797</v>
      </c>
      <c r="T73" s="163">
        <f t="shared" si="21"/>
        <v>0</v>
      </c>
      <c r="U73" s="163" t="str">
        <f t="shared" si="29"/>
        <v>除外</v>
      </c>
      <c r="V73" s="163" t="str">
        <f t="shared" si="22"/>
        <v>通常</v>
      </c>
      <c r="W73" s="169">
        <f t="array" ref="W73">IF(C73&lt;&gt;"",IFERROR(100-100/(1+SUMPRODUCT((終値!F77:R77&gt;終値!G77:S77)*( 終値!F77:R77-終値!G77:S77))/SUMPRODUCT((終値!F77:R77&lt;終値!G77:S77)*(終値!G77:S77-終値!F77:R77))),50),"")</f>
        <v>59.899434318038971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26.766339023799446</v>
      </c>
      <c r="Y73" s="1" t="e">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#DIV/0!</v>
      </c>
      <c r="Z73" s="171">
        <f t="shared" si="30"/>
        <v>-1.6871941960519654</v>
      </c>
      <c r="AA73" s="163" t="str">
        <f t="shared" si="31"/>
        <v>下落▼</v>
      </c>
      <c r="AB73" s="405">
        <f>IF(C73="","",IFERROR(((終値!E75*0.333)+(終値!F75*0.222)+(終値!G75*0.148)+(終値!H75*0.099)+(終値!I75*0.066)+(終値!J75*0.044)+(終値!K75*0.029)+(終値!L75*0.019)+(終値!M75*0.013)+(終値!N75*0.009))/(0.333+0.222+0.148+0.099+0.066+0.044+0.029+0.019+0.013+0.009),""))</f>
        <v>0</v>
      </c>
      <c r="AC73" s="405">
        <f>IF(C73="","",IFERROR(SUMPRODUCT((終値!E75:AC75),({0.077,0.071,0.065,0.06,0.055,0.051,0.047,0.043,0.039,0.036,0.033,0.031,0.028,0.026,0.024,0.022,0.02,0.018,0.017,0.016,0.014,0.013,0.012,0.011,0.01}))/SUM({0.077,0.071,0.065,0.06,0.055,0.051,0.047,0.043,0.039,0.036,0.033,0.031,0.028,0.026,0.024,0.022,0.02,0.018,0.017,0.016,0.014,0.013,0.012,0.011,0.01}),""))</f>
        <v>0</v>
      </c>
      <c r="AD73" s="406" t="str">
        <f t="shared" si="23"/>
        <v>上昇トレンド▲</v>
      </c>
      <c r="AE73" s="406" t="e">
        <f t="shared" si="24"/>
        <v>#DIV/0!</v>
      </c>
      <c r="AF73" s="365">
        <f t="array" ref="AF73">IF(C73="","",IFERROR((INDEX(終値!$E:$E,MATCH(TEXT(C73,"0"),終値!$A:$A,0))-INDEX(終値!$E:$CZ,MATCH(TEXT(C73,"0"),終値!$A:$A,0),$AL$2))/INDEX(終値!$E:$CZ,MATCH(TEXT(C73,"0"),終値!$A:$A,0),$AL$2)*100,""))</f>
        <v>5.2849927849927845</v>
      </c>
      <c r="AG73" s="365">
        <f t="array" ref="AG73">IFERROR((終値!$E$5-INDEX(終値!$E$5:$CZ$5,1,$AL$2))/INDEX(終値!$E$5:$CZ$5,1,$AL$2)*100,"")</f>
        <v>-0.82558151178043282</v>
      </c>
      <c r="AH73" s="366">
        <f t="shared" si="25"/>
        <v>6.1105742967732173</v>
      </c>
      <c r="AI73" s="364">
        <f t="shared" si="26"/>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3174</v>
      </c>
      <c r="F74" s="166">
        <f>IF(C74&lt;&gt;"",_xll.RssMarket(C74,"始値"),"")</f>
        <v>3127</v>
      </c>
      <c r="G74" s="165">
        <f>IF(C74&lt;&gt;"",終値!F85,"")</f>
        <v>3102</v>
      </c>
      <c r="H74" s="166">
        <f>IF(C74&lt;&gt;"",_xll.RssMarket(C74,"高値"),"")</f>
        <v>3176</v>
      </c>
      <c r="I74" s="166">
        <f>IF(C74&lt;&gt;"",_xll.RssMarket(C74,"安値"),"")</f>
        <v>3081</v>
      </c>
      <c r="J74" s="166">
        <f>IF(C74&lt;&gt;"",_xll.RssMarket(C74,"出来高"),"")</f>
        <v>2817000</v>
      </c>
      <c r="K74" s="166">
        <f>IF(C74&lt;&gt;"",_xll.RssMarket(C74,"年初来高値"),"")</f>
        <v>3465</v>
      </c>
      <c r="L74" s="167">
        <f t="shared" si="17"/>
        <v>-8.3982683982683977</v>
      </c>
      <c r="M74" s="166">
        <f>IF(C74&lt;&gt;"",IFERROR(AVERAGE(出来高!E85:I85),""),"")</f>
        <v>8676320</v>
      </c>
      <c r="N74" s="166">
        <f>IF(C74&lt;&gt;"",IFERROR(AVERAGE(出来高!E85:AC85),""),"")</f>
        <v>6501216</v>
      </c>
      <c r="O74" s="168">
        <f t="shared" si="18"/>
        <v>0.3246768215095801</v>
      </c>
      <c r="P74" s="163" t="str">
        <f t="shared" si="19"/>
        <v>減少↓</v>
      </c>
      <c r="Q74" s="163" t="str">
        <f t="shared" si="20"/>
        <v>中立→</v>
      </c>
      <c r="R74" s="166">
        <f t="shared" si="27"/>
        <v>3428</v>
      </c>
      <c r="S74" s="166">
        <f t="shared" si="28"/>
        <v>3047</v>
      </c>
      <c r="T74" s="163">
        <f t="shared" si="21"/>
        <v>4</v>
      </c>
      <c r="U74" s="163" t="str">
        <f t="shared" si="29"/>
        <v>要確認</v>
      </c>
      <c r="V74" s="163" t="str">
        <f t="shared" si="22"/>
        <v>通常</v>
      </c>
      <c r="W74" s="169">
        <f t="array" ref="W74">IF(C74&lt;&gt;"",IFERROR(100-100/(1+SUMPRODUCT((終値!F85:R85&gt;終値!G85:S85)*( 終値!F85:R85-終値!G85:S85))/SUMPRODUCT((終値!F85:R85&lt;終値!G85:S85)*(終値!G85:S85-終値!F85:R85))),50),"")</f>
        <v>39.211391018619935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-13.284448274351689</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 t="shared" si="30"/>
        <v>2.3210831721470022</v>
      </c>
      <c r="AA74" s="163" t="str">
        <f t="shared" si="31"/>
        <v>上昇▲</v>
      </c>
      <c r="AB74" s="403">
        <f>IF(C74="","",IFERROR(((終値!E76*0.333)+(終値!F76*0.222)+(終値!G76*0.148)+(終値!H76*0.099)+(終値!I76*0.066)+(終値!J76*0.044)+(終値!K76*0.029)+(終値!L76*0.019)+(終値!M76*0.013)+(終値!N76*0.009))/(0.333+0.222+0.148+0.099+0.066+0.044+0.029+0.019+0.013+0.009),""))</f>
        <v>4931.3075356415466</v>
      </c>
      <c r="AC74" s="403">
        <f>IF(C74="","",IFERROR(SUMPRODUCT((終値!E76:AC76),({0.077,0.071,0.065,0.06,0.055,0.051,0.047,0.043,0.039,0.036,0.033,0.031,0.028,0.026,0.024,0.022,0.02,0.018,0.017,0.016,0.014,0.013,0.012,0.011,0.01}))/SUM({0.077,0.071,0.065,0.06,0.055,0.051,0.047,0.043,0.039,0.036,0.033,0.031,0.028,0.026,0.024,0.022,0.02,0.018,0.017,0.016,0.014,0.013,0.012,0.011,0.01}),""))</f>
        <v>5218.0858164481524</v>
      </c>
      <c r="AD74" s="404" t="str">
        <f t="shared" si="23"/>
        <v>下降トレンド▼</v>
      </c>
      <c r="AE74" s="404" t="str">
        <f t="shared" si="24"/>
        <v>なし</v>
      </c>
      <c r="AF74" s="365">
        <f t="array" ref="AF74">IF(C74="","",IFERROR((INDEX(終値!$E:$E,MATCH(TEXT(C74,"0"),終値!$A:$A,0))-INDEX(終値!$E:$CZ,MATCH(TEXT(C74,"0"),終値!$A:$A,0),$AL$2))/INDEX(終値!$E:$CZ,MATCH(TEXT(C74,"0"),終値!$A:$A,0),$AL$2)*100,""))</f>
        <v>0.55230669265756982</v>
      </c>
      <c r="AG74" s="365">
        <f t="array" ref="AG74">IFERROR((終値!$E$5-INDEX(終値!$E$5:$CZ$5,1,$AL$2))/INDEX(終値!$E$5:$CZ$5,1,$AL$2)*100,"")</f>
        <v>-0.82558151178043282</v>
      </c>
      <c r="AH74" s="366">
        <f t="shared" si="25"/>
        <v>1.3778882044380025</v>
      </c>
      <c r="AI74" s="364">
        <f t="shared" si="26"/>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1516</v>
      </c>
      <c r="F75" s="166">
        <f>IF(C75&lt;&gt;"",_xll.RssMarket(C75,"始値"),"")</f>
        <v>1490</v>
      </c>
      <c r="G75" s="165">
        <f>IF(C75&lt;&gt;"",終値!F82,"")</f>
        <v>1483</v>
      </c>
      <c r="H75" s="166">
        <f>IF(C75&lt;&gt;"",_xll.RssMarket(C75,"高値"),"")</f>
        <v>1517</v>
      </c>
      <c r="I75" s="166">
        <f>IF(C75&lt;&gt;"",_xll.RssMarket(C75,"安値"),"")</f>
        <v>1479</v>
      </c>
      <c r="J75" s="166">
        <f>IF(C75&lt;&gt;"",_xll.RssMarket(C75,"出来高"),"")</f>
        <v>1271200</v>
      </c>
      <c r="K75" s="166">
        <f>IF(C75&lt;&gt;"",_xll.RssMarket(C75,"年初来高値"),"")</f>
        <v>1585.5</v>
      </c>
      <c r="L75" s="167">
        <f t="shared" si="17"/>
        <v>-4.3834752444023968</v>
      </c>
      <c r="M75" s="166">
        <f>IF(C75&lt;&gt;"",IFERROR(AVERAGE(出来高!E82:I82),""),"")</f>
        <v>3044880</v>
      </c>
      <c r="N75" s="166">
        <f>IF(C75&lt;&gt;"",IFERROR(AVERAGE(出来高!E82:AC82),""),"")</f>
        <v>2993296</v>
      </c>
      <c r="O75" s="168">
        <f t="shared" si="18"/>
        <v>0.41748771708573079</v>
      </c>
      <c r="P75" s="163" t="str">
        <f t="shared" si="19"/>
        <v>減少↓</v>
      </c>
      <c r="Q75" s="163" t="str">
        <f t="shared" si="20"/>
        <v>中立→</v>
      </c>
      <c r="R75" s="166">
        <f t="shared" si="27"/>
        <v>1637</v>
      </c>
      <c r="S75" s="166">
        <f t="shared" si="28"/>
        <v>1455</v>
      </c>
      <c r="T75" s="163">
        <f t="shared" si="21"/>
        <v>8</v>
      </c>
      <c r="U75" s="163" t="str">
        <f t="shared" si="29"/>
        <v>要確認</v>
      </c>
      <c r="V75" s="163" t="str">
        <f t="shared" si="22"/>
        <v>高値圏</v>
      </c>
      <c r="W75" s="169">
        <f t="array" ref="W75">IF(C75&lt;&gt;"",IFERROR(100-100/(1+SUMPRODUCT((終値!F82:R82&gt;終値!G82:S82)*( 終値!F82:R82-終値!G82:S82))/SUMPRODUCT((終値!F82:R82&lt;終値!G82:S82)*(終値!G82:S82-終値!F82:R82))),50),"")</f>
        <v>43.676662320730109</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-3.5794014862342465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△注目</v>
      </c>
      <c r="Z75" s="171">
        <f t="shared" si="30"/>
        <v>2.2252191503708696</v>
      </c>
      <c r="AA75" s="163" t="str">
        <f t="shared" si="31"/>
        <v>上昇▲</v>
      </c>
      <c r="AB75" s="405">
        <f>IF(C75="","",IFERROR(((終値!E77*0.333)+(終値!F77*0.222)+(終値!G77*0.148)+(終値!H77*0.099)+(終値!I77*0.066)+(終値!J77*0.044)+(終値!K77*0.029)+(終値!L77*0.019)+(終値!M77*0.013)+(終値!N77*0.009))/(0.333+0.222+0.148+0.099+0.066+0.044+0.029+0.019+0.013+0.009),""))</f>
        <v>2998.0926680244397</v>
      </c>
      <c r="AC75" s="405">
        <f>IF(C75="","",IFERROR(SUMPRODUCT((終値!E77:AC77),({0.077,0.071,0.065,0.06,0.055,0.051,0.047,0.043,0.039,0.036,0.033,0.031,0.028,0.026,0.024,0.022,0.02,0.018,0.017,0.016,0.014,0.013,0.012,0.011,0.01}))/SUM({0.077,0.071,0.065,0.06,0.055,0.051,0.047,0.043,0.039,0.036,0.033,0.031,0.028,0.026,0.024,0.022,0.02,0.018,0.017,0.016,0.014,0.013,0.012,0.011,0.01}),""))</f>
        <v>2955.9386174016672</v>
      </c>
      <c r="AD75" s="406" t="str">
        <f t="shared" si="23"/>
        <v>もみ合い→</v>
      </c>
      <c r="AE75" s="406" t="str">
        <f t="shared" si="24"/>
        <v>なし</v>
      </c>
      <c r="AF75" s="365">
        <f t="array" ref="AF75">IF(C75="","",IFERROR((INDEX(終値!$E:$E,MATCH(TEXT(C75,"0"),終値!$A:$A,0))-INDEX(終値!$E:$CZ,MATCH(TEXT(C75,"0"),終値!$A:$A,0),$AL$2))/INDEX(終値!$E:$CZ,MATCH(TEXT(C75,"0"),終値!$A:$A,0),$AL$2)*100,""))</f>
        <v>5.946902654867257</v>
      </c>
      <c r="AG75" s="365">
        <f t="array" ref="AG75">IFERROR((終値!$E$5-INDEX(終値!$E$5:$CZ$5,1,$AL$2))/INDEX(終値!$E$5:$CZ$5,1,$AL$2)*100,"")</f>
        <v>-0.82558151178043282</v>
      </c>
      <c r="AH75" s="366">
        <f t="shared" si="25"/>
        <v>6.7724841666476898</v>
      </c>
      <c r="AI75" s="364">
        <f t="shared" si="26"/>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2050</v>
      </c>
      <c r="F76" s="166">
        <f>IF(C76&lt;&gt;"",_xll.RssMarket(C76,"始値"),"")</f>
        <v>2101</v>
      </c>
      <c r="G76" s="165">
        <f>IF(C76&lt;&gt;"",終値!F106,"")</f>
        <v>2030</v>
      </c>
      <c r="H76" s="166">
        <f>IF(C76&lt;&gt;"",_xll.RssMarket(C76,"高値"),"")</f>
        <v>2149</v>
      </c>
      <c r="I76" s="166">
        <f>IF(C76&lt;&gt;"",_xll.RssMarket(C76,"安値"),"")</f>
        <v>2050</v>
      </c>
      <c r="J76" s="166">
        <f>IF(C76&lt;&gt;"",_xll.RssMarket(C76,"出来高"),"")</f>
        <v>1300</v>
      </c>
      <c r="K76" s="166">
        <f>IF(C76&lt;&gt;"",_xll.RssMarket(C76,"年初来高値"),"")</f>
        <v>2539</v>
      </c>
      <c r="L76" s="167">
        <f t="shared" si="17"/>
        <v>-19.259551004332415</v>
      </c>
      <c r="M76" s="166">
        <f>IF(C76&lt;&gt;"",IFERROR(AVERAGE(出来高!E106:I106),""),"")</f>
        <v>1520</v>
      </c>
      <c r="N76" s="166">
        <f>IF(C76&lt;&gt;"",IFERROR(AVERAGE(出来高!E106:AC106),""),"")</f>
        <v>1480</v>
      </c>
      <c r="O76" s="168">
        <f t="shared" si="18"/>
        <v>0.85526315789473684</v>
      </c>
      <c r="P76" s="163" t="str">
        <f t="shared" si="19"/>
        <v>減少↓</v>
      </c>
      <c r="Q76" s="163" t="str">
        <f t="shared" si="20"/>
        <v>中立→</v>
      </c>
      <c r="R76" s="166">
        <f t="shared" si="27"/>
        <v>2214</v>
      </c>
      <c r="S76" s="166">
        <f t="shared" si="28"/>
        <v>1968</v>
      </c>
      <c r="T76" s="163">
        <f t="shared" si="21"/>
        <v>5</v>
      </c>
      <c r="U76" s="163" t="str">
        <f t="shared" si="29"/>
        <v>要確認</v>
      </c>
      <c r="V76" s="163" t="str">
        <f t="shared" si="22"/>
        <v>通常</v>
      </c>
      <c r="W76" s="169">
        <f t="array" ref="W76">IF(C76&lt;&gt;"",IFERROR(100-100/(1+SUMPRODUCT((終値!F106:R106&gt;終値!G106:S106)*( 終値!F106:R106-終値!G106:S106))/SUMPRODUCT((終値!F106:R106&lt;終値!G106:S106)*(終値!G106:S106-終値!F106:R106))),50),"")</f>
        <v>90</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27.146559650373547</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 t="shared" si="30"/>
        <v>0.98522167487684731</v>
      </c>
      <c r="AA76" s="163" t="str">
        <f t="shared" si="31"/>
        <v>上昇▲</v>
      </c>
      <c r="AB76" s="403">
        <f>IF(C76="","",IFERROR(((終値!E78*0.333)+(終値!F78*0.222)+(終値!G78*0.148)+(終値!H78*0.099)+(終値!I78*0.066)+(終値!J78*0.044)+(終値!K78*0.029)+(終値!L78*0.019)+(終値!M78*0.013)+(終値!N78*0.009))/(0.333+0.222+0.148+0.099+0.066+0.044+0.029+0.019+0.013+0.009),""))</f>
        <v>6426.6568228105898</v>
      </c>
      <c r="AC76" s="403">
        <f>IF(C76="","",IFERROR(SUMPRODUCT((終値!E78:AC78),({0.077,0.071,0.065,0.06,0.055,0.051,0.047,0.043,0.039,0.036,0.033,0.031,0.028,0.026,0.024,0.022,0.02,0.018,0.017,0.016,0.014,0.013,0.012,0.011,0.01}))/SUM({0.077,0.071,0.065,0.06,0.055,0.051,0.047,0.043,0.039,0.036,0.033,0.031,0.028,0.026,0.024,0.022,0.02,0.018,0.017,0.016,0.014,0.013,0.012,0.011,0.01}),""))</f>
        <v>6719.2610250297939</v>
      </c>
      <c r="AD76" s="404" t="str">
        <f t="shared" si="23"/>
        <v>下降トレンド▼</v>
      </c>
      <c r="AE76" s="404" t="str">
        <f t="shared" si="24"/>
        <v>なし</v>
      </c>
      <c r="AF76" s="365">
        <f t="array" ref="AF76">IF(C76="","",IFERROR((INDEX(終値!$E:$E,MATCH(TEXT(C76,"0"),終値!$A:$A,0))-INDEX(終値!$E:$CZ,MATCH(TEXT(C76,"0"),終値!$A:$A,0),$AL$2))/INDEX(終値!$E:$CZ,MATCH(TEXT(C76,"0"),終値!$A:$A,0),$AL$2)*100,""))</f>
        <v>14.444444444444443</v>
      </c>
      <c r="AG76" s="365">
        <f t="array" ref="AG76">IFERROR((終値!$E$5-INDEX(終値!$E$5:$CZ$5,1,$AL$2))/INDEX(終値!$E$5:$CZ$5,1,$AL$2)*100,"")</f>
        <v>-0.82558151178043282</v>
      </c>
      <c r="AH76" s="366">
        <f t="shared" si="25"/>
        <v>15.270025956224876</v>
      </c>
      <c r="AI76" s="364">
        <f t="shared" si="26"/>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3979</v>
      </c>
      <c r="F77" s="166">
        <f>IF(C77&lt;&gt;"",_xll.RssMarket(C77,"始値"),"")</f>
        <v>4040</v>
      </c>
      <c r="G77" s="165">
        <f>IF(C77&lt;&gt;"",終値!F207,"")</f>
        <v>3799</v>
      </c>
      <c r="H77" s="166">
        <f>IF(C77&lt;&gt;"",_xll.RssMarket(C77,"高値"),"")</f>
        <v>4072</v>
      </c>
      <c r="I77" s="166">
        <f>IF(C77&lt;&gt;"",_xll.RssMarket(C77,"安値"),"")</f>
        <v>3887</v>
      </c>
      <c r="J77" s="166">
        <f>IF(C77&lt;&gt;"",_xll.RssMarket(C77,"出来高"),"")</f>
        <v>23415700</v>
      </c>
      <c r="K77" s="166">
        <f>IF(C77&lt;&gt;"",_xll.RssMarket(C77,"年初来高値"),"")</f>
        <v>5208</v>
      </c>
      <c r="L77" s="167">
        <f t="shared" si="17"/>
        <v>-23.598310291858677</v>
      </c>
      <c r="M77" s="166">
        <f>IF(C77&lt;&gt;"",IFERROR(AVERAGE(出来高!E207:I207),""),"")</f>
        <v>26412560</v>
      </c>
      <c r="N77" s="166">
        <f>IF(C77&lt;&gt;"",IFERROR(AVERAGE(出来高!E207:AC207),""),"")</f>
        <v>20140892</v>
      </c>
      <c r="O77" s="168">
        <f t="shared" si="18"/>
        <v>0.88653655685022581</v>
      </c>
      <c r="P77" s="163" t="str">
        <f t="shared" si="19"/>
        <v>減少↓</v>
      </c>
      <c r="Q77" s="163" t="str">
        <f t="shared" si="20"/>
        <v>中立→</v>
      </c>
      <c r="R77" s="166">
        <f t="shared" si="27"/>
        <v>4297</v>
      </c>
      <c r="S77" s="166">
        <f t="shared" si="28"/>
        <v>3820</v>
      </c>
      <c r="T77" s="163">
        <f t="shared" si="21"/>
        <v>8</v>
      </c>
      <c r="U77" s="163" t="str">
        <f t="shared" si="29"/>
        <v>要確認</v>
      </c>
      <c r="V77" s="163" t="str">
        <f t="shared" si="22"/>
        <v>通常</v>
      </c>
      <c r="W77" s="169">
        <f t="array" ref="W77">IF(C77&lt;&gt;"",IFERROR(100-100/(1+SUMPRODUCT((終値!F207:R207&gt;終値!G207:S207)*( 終値!F207:R207-終値!G207:S207))/SUMPRODUCT((終値!F207:R207&lt;終値!G207:S207)*(終値!G207:S207-終値!F207:R207))),50),"")</f>
        <v>52.638352638352636</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8.3681355203611929</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 t="shared" si="30"/>
        <v>4.738088970781785</v>
      </c>
      <c r="AA77" s="163" t="str">
        <f t="shared" si="31"/>
        <v>上昇▲</v>
      </c>
      <c r="AB77" s="405">
        <f>IF(C77="","",IFERROR(((終値!E79*0.333)+(終値!F79*0.222)+(終値!G79*0.148)+(終値!H79*0.099)+(終値!I79*0.066)+(終値!J79*0.044)+(終値!K79*0.029)+(終値!L79*0.019)+(終値!M79*0.013)+(終値!N79*0.009))/(0.333+0.222+0.148+0.099+0.066+0.044+0.029+0.019+0.013+0.009),""))</f>
        <v>3749.2881873727079</v>
      </c>
      <c r="AC77" s="405">
        <f>IF(C77="","",IFERROR(SUMPRODUCT((終値!E79:AC79),({0.077,0.071,0.065,0.06,0.055,0.051,0.047,0.043,0.039,0.036,0.033,0.031,0.028,0.026,0.024,0.022,0.02,0.018,0.017,0.016,0.014,0.013,0.012,0.011,0.01}))/SUM({0.077,0.071,0.065,0.06,0.055,0.051,0.047,0.043,0.039,0.036,0.033,0.031,0.028,0.026,0.024,0.022,0.02,0.018,0.017,0.016,0.014,0.013,0.012,0.011,0.01}),""))</f>
        <v>3948.9630512514877</v>
      </c>
      <c r="AD77" s="406" t="str">
        <f t="shared" si="23"/>
        <v>上昇トレンド▲</v>
      </c>
      <c r="AE77" s="406" t="str">
        <f t="shared" si="24"/>
        <v>25日押し目★</v>
      </c>
      <c r="AF77" s="365">
        <f t="array" ref="AF77">IF(C77="","",IFERROR((INDEX(終値!$E:$E,MATCH(TEXT(C77,"0"),終値!$A:$A,0))-INDEX(終値!$E:$CZ,MATCH(TEXT(C77,"0"),終値!$A:$A,0),$AL$2))/INDEX(終値!$E:$CZ,MATCH(TEXT(C77,"0"),終値!$A:$A,0),$AL$2)*100,""))</f>
        <v>12.051492741714599</v>
      </c>
      <c r="AG77" s="365">
        <f t="array" ref="AG77">IFERROR((終値!$E$5-INDEX(終値!$E$5:$CZ$5,1,$AL$2))/INDEX(終値!$E$5:$CZ$5,1,$AL$2)*100,"")</f>
        <v>-0.82558151178043282</v>
      </c>
      <c r="AH77" s="366">
        <f t="shared" si="25"/>
        <v>12.877074253495032</v>
      </c>
      <c r="AI77" s="364">
        <f t="shared" si="26"/>
        <v>3</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7873</v>
      </c>
      <c r="F78" s="166">
        <f>IF(C78&lt;&gt;"",_xll.RssMarket(C78,"始値"),"")</f>
        <v>7351</v>
      </c>
      <c r="G78" s="165">
        <f>IF(C78&lt;&gt;"",終値!F154,"")</f>
        <v>7161</v>
      </c>
      <c r="H78" s="166">
        <f>IF(C78&lt;&gt;"",_xll.RssMarket(C78,"高値"),"")</f>
        <v>7907</v>
      </c>
      <c r="I78" s="166">
        <f>IF(C78&lt;&gt;"",_xll.RssMarket(C78,"安値"),"")</f>
        <v>7305</v>
      </c>
      <c r="J78" s="166">
        <f>IF(C78&lt;&gt;"",_xll.RssMarket(C78,"出来高"),"")</f>
        <v>30347200</v>
      </c>
      <c r="K78" s="166">
        <f>IF(C78&lt;&gt;"",_xll.RssMarket(C78,"年初来高値"),"")</f>
        <v>12895</v>
      </c>
      <c r="L78" s="167">
        <f t="shared" si="17"/>
        <v>-38.945327646374558</v>
      </c>
      <c r="M78" s="166">
        <f>IF(C78&lt;&gt;"",IFERROR(AVERAGE(出来高!E154:I154),""),"")</f>
        <v>32479740</v>
      </c>
      <c r="N78" s="166">
        <f>IF(C78&lt;&gt;"",IFERROR(AVERAGE(出来高!E154:AC154),""),"")</f>
        <v>30476208</v>
      </c>
      <c r="O78" s="168">
        <f t="shared" si="18"/>
        <v>0.93434245471176802</v>
      </c>
      <c r="P78" s="163" t="str">
        <f t="shared" si="19"/>
        <v>減少↓</v>
      </c>
      <c r="Q78" s="163" t="str">
        <f t="shared" si="20"/>
        <v>中立→</v>
      </c>
      <c r="R78" s="166">
        <f t="shared" si="27"/>
        <v>8503</v>
      </c>
      <c r="S78" s="166">
        <f t="shared" si="28"/>
        <v>7558</v>
      </c>
      <c r="T78" s="163">
        <f t="shared" si="21"/>
        <v>4</v>
      </c>
      <c r="U78" s="163" t="str">
        <f t="shared" si="29"/>
        <v>要確認</v>
      </c>
      <c r="V78" s="163" t="str">
        <f t="shared" si="22"/>
        <v>通常</v>
      </c>
      <c r="W78" s="169">
        <f t="array" ref="W78">IF(C78&lt;&gt;"",IFERROR(100-100/(1+SUMPRODUCT((終値!F154:R154&gt;終値!G154:S154)*( 終値!F154:R154-終値!G154:S154))/SUMPRODUCT((終値!F154:R154&lt;終値!G154:S154)*(終値!G154:S154-終値!F154:R154))),50),"")</f>
        <v>34.524776604386687</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-394.05014149872932</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 t="shared" si="30"/>
        <v>9.9427454266163942</v>
      </c>
      <c r="AA78" s="163" t="str">
        <f t="shared" si="31"/>
        <v>上昇▲</v>
      </c>
      <c r="AB78" s="403">
        <f>IF(C78="","",IFERROR(((終値!E80*0.333)+(終値!F80*0.222)+(終値!G80*0.148)+(終値!H80*0.099)+(終値!I80*0.066)+(終値!J80*0.044)+(終値!K80*0.029)+(終値!L80*0.019)+(終値!M80*0.013)+(終値!N80*0.009))/(0.333+0.222+0.148+0.099+0.066+0.044+0.029+0.019+0.013+0.009),""))</f>
        <v>5659.2769857433786</v>
      </c>
      <c r="AC78" s="403">
        <f>IF(C78="","",IFERROR(SUMPRODUCT((終値!E80:AC80),({0.077,0.071,0.065,0.06,0.055,0.051,0.047,0.043,0.039,0.036,0.033,0.031,0.028,0.026,0.024,0.022,0.02,0.018,0.017,0.016,0.014,0.013,0.012,0.011,0.01}))/SUM({0.077,0.071,0.065,0.06,0.055,0.051,0.047,0.043,0.039,0.036,0.033,0.031,0.028,0.026,0.024,0.022,0.02,0.018,0.017,0.016,0.014,0.013,0.012,0.011,0.01}),""))</f>
        <v>5441.9427890345632</v>
      </c>
      <c r="AD78" s="404" t="str">
        <f t="shared" si="23"/>
        <v>パーフェクト▲</v>
      </c>
      <c r="AE78" s="404" t="str">
        <f t="shared" si="24"/>
        <v>なし</v>
      </c>
      <c r="AF78" s="365">
        <f t="array" ref="AF78">IF(C78="","",IFERROR((INDEX(終値!$E:$E,MATCH(TEXT(C78,"0"),終値!$A:$A,0))-INDEX(終値!$E:$CZ,MATCH(TEXT(C78,"0"),終値!$A:$A,0),$AL$2))/INDEX(終値!$E:$CZ,MATCH(TEXT(C78,"0"),終値!$A:$A,0),$AL$2)*100,""))</f>
        <v>-33.621973929236496</v>
      </c>
      <c r="AG78" s="365">
        <f t="array" ref="AG78">IFERROR((終値!$E$5-INDEX(終値!$E$5:$CZ$5,1,$AL$2))/INDEX(終値!$E$5:$CZ$5,1,$AL$2)*100,"")</f>
        <v>-0.82558151178043282</v>
      </c>
      <c r="AH78" s="366">
        <f t="shared" si="25"/>
        <v>-32.796392417456062</v>
      </c>
      <c r="AI78" s="364">
        <f t="shared" si="26"/>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6472</v>
      </c>
      <c r="F79" s="166">
        <f>IF(C79&lt;&gt;"",_xll.RssMarket(C79,"始値"),"")</f>
        <v>6487</v>
      </c>
      <c r="G79" s="165">
        <f>IF(C79&lt;&gt;"",終値!F78,"")</f>
        <v>6114</v>
      </c>
      <c r="H79" s="166">
        <f>IF(C79&lt;&gt;"",_xll.RssMarket(C79,"高値"),"")</f>
        <v>6495</v>
      </c>
      <c r="I79" s="166">
        <f>IF(C79&lt;&gt;"",_xll.RssMarket(C79,"安値"),"")</f>
        <v>6327</v>
      </c>
      <c r="J79" s="166">
        <f>IF(C79&lt;&gt;"",_xll.RssMarket(C79,"出来高"),"")</f>
        <v>5721900</v>
      </c>
      <c r="K79" s="166">
        <f>IF(C79&lt;&gt;"",_xll.RssMarket(C79,"年初来高値"),"")</f>
        <v>8880</v>
      </c>
      <c r="L79" s="167">
        <f t="shared" si="17"/>
        <v>-27.117117117117118</v>
      </c>
      <c r="M79" s="166">
        <f>IF(C79&lt;&gt;"",IFERROR(AVERAGE(出来高!E78:I78),""),"")</f>
        <v>11998920</v>
      </c>
      <c r="N79" s="166">
        <f>IF(C79&lt;&gt;"",IFERROR(AVERAGE(出来高!E78:AC78),""),"")</f>
        <v>6701220</v>
      </c>
      <c r="O79" s="168">
        <f t="shared" si="18"/>
        <v>0.47686791811263013</v>
      </c>
      <c r="P79" s="163" t="str">
        <f t="shared" si="19"/>
        <v>減少↓</v>
      </c>
      <c r="Q79" s="163" t="str">
        <f t="shared" si="20"/>
        <v>中立→</v>
      </c>
      <c r="R79" s="166">
        <f t="shared" si="27"/>
        <v>6990</v>
      </c>
      <c r="S79" s="166">
        <f t="shared" si="28"/>
        <v>6213</v>
      </c>
      <c r="T79" s="163">
        <f t="shared" si="21"/>
        <v>4</v>
      </c>
      <c r="U79" s="163" t="str">
        <f t="shared" si="29"/>
        <v>要確認</v>
      </c>
      <c r="V79" s="163" t="str">
        <f t="shared" si="22"/>
        <v>通常</v>
      </c>
      <c r="W79" s="169">
        <f t="array" ref="W79">IF(C79&lt;&gt;"",IFERROR(100-100/(1+SUMPRODUCT((終値!F78:R78&gt;終値!G78:S78)*( 終値!F78:R78-終値!G78:S78))/SUMPRODUCT((終値!F78:R78&lt;終値!G78:S78)*(終値!G78:S78-終値!F78:R78))),50),"")</f>
        <v>38.385230090934137</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-85.487380542030223</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様子見</v>
      </c>
      <c r="Z79" s="171">
        <f t="shared" si="30"/>
        <v>5.8554138043833825</v>
      </c>
      <c r="AA79" s="163" t="str">
        <f t="shared" si="31"/>
        <v>上昇▲</v>
      </c>
      <c r="AB79" s="405">
        <f>IF(C79="","",IFERROR(((終値!E81*0.333)+(終値!F81*0.222)+(終値!G81*0.148)+(終値!H81*0.099)+(終値!I81*0.066)+(終値!J81*0.044)+(終値!K81*0.029)+(終値!L81*0.019)+(終値!M81*0.013)+(終値!N81*0.009))/(0.333+0.222+0.148+0.099+0.066+0.044+0.029+0.019+0.013+0.009),""))</f>
        <v>5770.4959266802416</v>
      </c>
      <c r="AC79" s="405">
        <f>IF(C79="","",IFERROR(SUMPRODUCT((終値!E81:AC81),({0.077,0.071,0.065,0.06,0.055,0.051,0.047,0.043,0.039,0.036,0.033,0.031,0.028,0.026,0.024,0.022,0.02,0.018,0.017,0.016,0.014,0.013,0.012,0.011,0.01}))/SUM({0.077,0.071,0.065,0.06,0.055,0.051,0.047,0.043,0.039,0.036,0.033,0.031,0.028,0.026,0.024,0.022,0.02,0.018,0.017,0.016,0.014,0.013,0.012,0.011,0.01}),""))</f>
        <v>5694.9845053635245</v>
      </c>
      <c r="AD79" s="406" t="str">
        <f t="shared" si="23"/>
        <v>パーフェクト▲</v>
      </c>
      <c r="AE79" s="406" t="str">
        <f t="shared" si="24"/>
        <v>なし</v>
      </c>
      <c r="AF79" s="365">
        <f t="array" ref="AF79">IF(C79="","",IFERROR((INDEX(終値!$E:$E,MATCH(TEXT(C79,"0"),終値!$A:$A,0))-INDEX(終値!$E:$CZ,MATCH(TEXT(C79,"0"),終値!$A:$A,0),$AL$2))/INDEX(終値!$E:$CZ,MATCH(TEXT(C79,"0"),終値!$A:$A,0),$AL$2)*100,""))</f>
        <v>-12.253581052333002</v>
      </c>
      <c r="AG79" s="365">
        <f t="array" ref="AG79">IFERROR((終値!$E$5-INDEX(終値!$E$5:$CZ$5,1,$AL$2))/INDEX(終値!$E$5:$CZ$5,1,$AL$2)*100,"")</f>
        <v>-0.82558151178043282</v>
      </c>
      <c r="AH79" s="366">
        <f t="shared" si="25"/>
        <v>-11.42799954055257</v>
      </c>
      <c r="AI79" s="364">
        <f t="shared" si="26"/>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4336</v>
      </c>
      <c r="F80" s="166">
        <f>IF(C80&lt;&gt;"",_xll.RssMarket(C80,"始値"),"")</f>
        <v>4363</v>
      </c>
      <c r="G80" s="165">
        <f>IF(C80&lt;&gt;"",終値!F105,"")</f>
        <v>3798</v>
      </c>
      <c r="H80" s="166">
        <f>IF(C80&lt;&gt;"",_xll.RssMarket(C80,"高値"),"")</f>
        <v>4416</v>
      </c>
      <c r="I80" s="166">
        <f>IF(C80&lt;&gt;"",_xll.RssMarket(C80,"安値"),"")</f>
        <v>4245</v>
      </c>
      <c r="J80" s="166">
        <f>IF(C80&lt;&gt;"",_xll.RssMarket(C80,"出来高"),"")</f>
        <v>849700</v>
      </c>
      <c r="K80" s="166">
        <f>IF(C80&lt;&gt;"",_xll.RssMarket(C80,"年初来高値"),"")</f>
        <v>5164</v>
      </c>
      <c r="L80" s="167">
        <f t="shared" si="17"/>
        <v>-16.03408210689388</v>
      </c>
      <c r="M80" s="166">
        <f>IF(C80&lt;&gt;"",IFERROR(AVERAGE(出来高!E105:I105),""),"")</f>
        <v>486320</v>
      </c>
      <c r="N80" s="166">
        <f>IF(C80&lt;&gt;"",IFERROR(AVERAGE(出来高!E105:AC105),""),"")</f>
        <v>474952</v>
      </c>
      <c r="O80" s="168">
        <f t="shared" si="18"/>
        <v>1.7472034874156934</v>
      </c>
      <c r="P80" s="163" t="str">
        <f t="shared" si="19"/>
        <v>増加↑</v>
      </c>
      <c r="Q80" s="163" t="str">
        <f t="shared" si="20"/>
        <v>買い▲</v>
      </c>
      <c r="R80" s="166">
        <f t="shared" si="27"/>
        <v>4683</v>
      </c>
      <c r="S80" s="166">
        <f t="shared" si="28"/>
        <v>4163</v>
      </c>
      <c r="T80" s="163">
        <f t="shared" si="21"/>
        <v>8</v>
      </c>
      <c r="U80" s="163" t="str">
        <f t="shared" si="29"/>
        <v>有効</v>
      </c>
      <c r="V80" s="163" t="str">
        <f t="shared" si="22"/>
        <v>通常</v>
      </c>
      <c r="W80" s="169">
        <f t="array" ref="W80">IF(C80&lt;&gt;"",IFERROR(100-100/(1+SUMPRODUCT((終値!F105:R105&gt;終値!G105:S105)*( 終値!F105:R105-終値!G105:S105))/SUMPRODUCT((終値!F105:R105&lt;終値!G105:S105)*(終値!G105:S105-終値!F105:R105))),50),"")</f>
        <v>39.804827940421163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-71.788368844008801</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△注目</v>
      </c>
      <c r="Z80" s="171">
        <f t="shared" si="30"/>
        <v>14.165350184307529</v>
      </c>
      <c r="AA80" s="163" t="str">
        <f t="shared" si="31"/>
        <v>上昇▲</v>
      </c>
      <c r="AB80" s="403">
        <f>IF(C80="","",IFERROR(((終値!E82*0.333)+(終値!F82*0.222)+(終値!G82*0.148)+(終値!H82*0.099)+(終値!I82*0.066)+(終値!J82*0.044)+(終値!K82*0.029)+(終値!L82*0.019)+(終値!M82*0.013)+(終値!N82*0.009))/(0.333+0.222+0.148+0.099+0.066+0.044+0.029+0.019+0.013+0.009),""))</f>
        <v>1494.4338085539709</v>
      </c>
      <c r="AC80" s="403">
        <f>IF(C80="","",IFERROR(SUMPRODUCT((終値!E82:AC82),({0.077,0.071,0.065,0.06,0.055,0.051,0.047,0.043,0.039,0.036,0.033,0.031,0.028,0.026,0.024,0.022,0.02,0.018,0.017,0.016,0.014,0.013,0.012,0.011,0.01}))/SUM({0.077,0.071,0.065,0.06,0.055,0.051,0.047,0.043,0.039,0.036,0.033,0.031,0.028,0.026,0.024,0.022,0.02,0.018,0.017,0.016,0.014,0.013,0.012,0.011,0.01}),""))</f>
        <v>1503.0166865315848</v>
      </c>
      <c r="AD80" s="404" t="str">
        <f t="shared" si="23"/>
        <v>上昇トレンド▲</v>
      </c>
      <c r="AE80" s="404" t="str">
        <f t="shared" si="24"/>
        <v>なし</v>
      </c>
      <c r="AF80" s="365">
        <f t="array" ref="AF80">IF(C80="","",IFERROR((INDEX(終値!$E:$E,MATCH(TEXT(C80,"0"),終値!$A:$A,0))-INDEX(終値!$E:$CZ,MATCH(TEXT(C80,"0"),終値!$A:$A,0),$AL$2))/INDEX(終値!$E:$CZ,MATCH(TEXT(C80,"0"),終値!$A:$A,0),$AL$2)*100,""))</f>
        <v>-6.5875232774674126</v>
      </c>
      <c r="AG80" s="365">
        <f t="array" ref="AG80">IFERROR((終値!$E$5-INDEX(終値!$E$5:$CZ$5,1,$AL$2))/INDEX(終値!$E$5:$CZ$5,1,$AL$2)*100,"")</f>
        <v>-0.82558151178043282</v>
      </c>
      <c r="AH80" s="366">
        <f t="shared" si="25"/>
        <v>-5.7619417656869798</v>
      </c>
      <c r="AI80" s="364">
        <f t="shared" si="26"/>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46420</v>
      </c>
      <c r="F81" s="166">
        <f>IF(C81&lt;&gt;"",_xll.RssMarket(C81,"始値"),"")</f>
        <v>45140</v>
      </c>
      <c r="G81" s="165">
        <f>IF(C81&lt;&gt;"",終値!F199,"")</f>
        <v>40910</v>
      </c>
      <c r="H81" s="166">
        <f>IF(C81&lt;&gt;"",_xll.RssMarket(C81,"高値"),"")</f>
        <v>46730</v>
      </c>
      <c r="I81" s="166">
        <f>IF(C81&lt;&gt;"",_xll.RssMarket(C81,"安値"),"")</f>
        <v>44560</v>
      </c>
      <c r="J81" s="166">
        <f>IF(C81&lt;&gt;"",_xll.RssMarket(C81,"出来高"),"")</f>
        <v>3233800</v>
      </c>
      <c r="K81" s="166">
        <f>IF(C81&lt;&gt;"",_xll.RssMarket(C81,"年初来高値"),"")</f>
        <v>58580</v>
      </c>
      <c r="L81" s="167">
        <f t="shared" si="17"/>
        <v>-20.757937862751792</v>
      </c>
      <c r="M81" s="166">
        <f>IF(C81&lt;&gt;"",IFERROR(AVERAGE(出来高!E199:I199),""),"")</f>
        <v>4386560</v>
      </c>
      <c r="N81" s="166">
        <f>IF(C81&lt;&gt;"",IFERROR(AVERAGE(出来高!E199:AC199),""),"")</f>
        <v>3481540</v>
      </c>
      <c r="O81" s="168">
        <f t="shared" si="18"/>
        <v>0.73720637583892612</v>
      </c>
      <c r="P81" s="163" t="str">
        <f t="shared" si="19"/>
        <v>減少↓</v>
      </c>
      <c r="Q81" s="163" t="str">
        <f t="shared" si="20"/>
        <v>中立→</v>
      </c>
      <c r="R81" s="166">
        <f t="shared" si="27"/>
        <v>50134</v>
      </c>
      <c r="S81" s="166">
        <f t="shared" si="28"/>
        <v>44563</v>
      </c>
      <c r="T81" s="163">
        <f t="shared" si="21"/>
        <v>3</v>
      </c>
      <c r="U81" s="163" t="str">
        <f t="shared" si="29"/>
        <v>要確認</v>
      </c>
      <c r="V81" s="163" t="str">
        <f t="shared" si="22"/>
        <v>通常</v>
      </c>
      <c r="W81" s="169">
        <f t="array" ref="W81">IF(C81&lt;&gt;"",IFERROR(100-100/(1+SUMPRODUCT((終値!F199:R199&gt;終値!G199:S199)*( 終値!F199:R199-終値!G199:S199))/SUMPRODUCT((終値!F199:R199&lt;終値!G199:S199)*(終値!G199:S199-終値!F199:R199))),50),"")</f>
        <v>44.569499155880699</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-971.39343414040195</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様子見</v>
      </c>
      <c r="Z81" s="171">
        <f t="shared" si="30"/>
        <v>13.468589586898069</v>
      </c>
      <c r="AA81" s="163" t="str">
        <f t="shared" si="31"/>
        <v>上昇▲</v>
      </c>
      <c r="AB81" s="405">
        <f>IF(C81="","",IFERROR(((終値!E83*0.333)+(終値!F83*0.222)+(終値!G83*0.148)+(終値!H83*0.099)+(終値!I83*0.066)+(終値!J83*0.044)+(終値!K83*0.029)+(終値!L83*0.019)+(終値!M83*0.013)+(終値!N83*0.009))/(0.333+0.222+0.148+0.099+0.066+0.044+0.029+0.019+0.013+0.009),""))</f>
        <v>4644.0224032586548</v>
      </c>
      <c r="AC81" s="405">
        <f>IF(C81="","",IFERROR(SUMPRODUCT((終値!E83:AC83),({0.077,0.071,0.065,0.06,0.055,0.051,0.047,0.043,0.039,0.036,0.033,0.031,0.028,0.026,0.024,0.022,0.02,0.018,0.017,0.016,0.014,0.013,0.012,0.011,0.01}))/SUM({0.077,0.071,0.065,0.06,0.055,0.051,0.047,0.043,0.039,0.036,0.033,0.031,0.028,0.026,0.024,0.022,0.02,0.018,0.017,0.016,0.014,0.013,0.012,0.011,0.01}),""))</f>
        <v>4633.1072705601891</v>
      </c>
      <c r="AD81" s="406" t="str">
        <f t="shared" si="23"/>
        <v>パーフェクト▲</v>
      </c>
      <c r="AE81" s="406" t="str">
        <f t="shared" si="24"/>
        <v>なし</v>
      </c>
      <c r="AF81" s="365">
        <f t="array" ref="AF81">IF(C81="","",IFERROR((INDEX(終値!$E:$E,MATCH(TEXT(C81,"0"),終値!$A:$A,0))-INDEX(終値!$E:$CZ,MATCH(TEXT(C81,"0"),終値!$A:$A,0),$AL$2))/INDEX(終値!$E:$CZ,MATCH(TEXT(C81,"0"),終値!$A:$A,0),$AL$2)*100,""))</f>
        <v>-10.365853658536585</v>
      </c>
      <c r="AG81" s="365">
        <f t="array" ref="AG81">IFERROR((終値!$E$5-INDEX(終値!$E$5:$CZ$5,1,$AL$2))/INDEX(終値!$E$5:$CZ$5,1,$AL$2)*100,"")</f>
        <v>-0.82558151178043282</v>
      </c>
      <c r="AH81" s="366">
        <f t="shared" si="25"/>
        <v>-9.540272146756152</v>
      </c>
      <c r="AI81" s="364">
        <f t="shared" si="26"/>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9370</v>
      </c>
      <c r="F82" s="166">
        <f>IF(C82&lt;&gt;"",_xll.RssMarket(C82,"始値"),"")</f>
        <v>8980</v>
      </c>
      <c r="G82" s="165">
        <f>IF(C82&lt;&gt;"",終値!F195,"")</f>
        <v>8190</v>
      </c>
      <c r="H82" s="166">
        <f>IF(C82&lt;&gt;"",_xll.RssMarket(C82,"高値"),"")</f>
        <v>9420</v>
      </c>
      <c r="I82" s="166">
        <f>IF(C82&lt;&gt;"",_xll.RssMarket(C82,"安値"),"")</f>
        <v>8700</v>
      </c>
      <c r="J82" s="166">
        <f>IF(C82&lt;&gt;"",_xll.RssMarket(C82,"出来高"),"")</f>
        <v>1182300</v>
      </c>
      <c r="K82" s="166">
        <f>IF(C82&lt;&gt;"",_xll.RssMarket(C82,"年初来高値"),"")</f>
        <v>11700</v>
      </c>
      <c r="L82" s="167">
        <f t="shared" si="17"/>
        <v>-19.914529914529915</v>
      </c>
      <c r="M82" s="166">
        <f>IF(C82&lt;&gt;"",IFERROR(AVERAGE(出来高!E195:I195),""),"")</f>
        <v>1985040</v>
      </c>
      <c r="N82" s="166">
        <f>IF(C82&lt;&gt;"",IFERROR(AVERAGE(出来高!E195:AC195),""),"")</f>
        <v>1609260</v>
      </c>
      <c r="O82" s="168">
        <f t="shared" si="18"/>
        <v>0.59560512634506102</v>
      </c>
      <c r="P82" s="163" t="str">
        <f t="shared" si="19"/>
        <v>減少↓</v>
      </c>
      <c r="Q82" s="163" t="str">
        <f t="shared" si="20"/>
        <v>中立→</v>
      </c>
      <c r="R82" s="166">
        <f t="shared" si="27"/>
        <v>10120</v>
      </c>
      <c r="S82" s="166">
        <f t="shared" si="28"/>
        <v>8995</v>
      </c>
      <c r="T82" s="163">
        <f t="shared" si="21"/>
        <v>3</v>
      </c>
      <c r="U82" s="163" t="str">
        <f t="shared" si="29"/>
        <v>要確認</v>
      </c>
      <c r="V82" s="163" t="str">
        <f t="shared" si="22"/>
        <v>通常</v>
      </c>
      <c r="W82" s="169">
        <f t="array" ref="W82">IF(C82&lt;&gt;"",IFERROR(100-100/(1+SUMPRODUCT((終値!F195:R195&gt;終値!G195:S195)*( 終値!F195:R195-終値!G195:S195))/SUMPRODUCT((終値!F195:R195&lt;終値!G195:S195)*(終値!G195:S195-終値!F195:R195))),50),"")</f>
        <v>48.208955223880601</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-81.35325327675946</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 t="shared" si="30"/>
        <v>14.407814407814406</v>
      </c>
      <c r="AA82" s="163" t="str">
        <f t="shared" si="31"/>
        <v>上昇▲</v>
      </c>
      <c r="AB82" s="403">
        <f>IF(C82="","",IFERROR(((終値!E84*0.333)+(終値!F84*0.222)+(終値!G84*0.148)+(終値!H84*0.099)+(終値!I84*0.066)+(終値!J84*0.044)+(終値!K84*0.029)+(終値!L84*0.019)+(終値!M84*0.013)+(終値!N84*0.009))/(0.333+0.222+0.148+0.099+0.066+0.044+0.029+0.019+0.013+0.009),""))</f>
        <v>1808.9399185336049</v>
      </c>
      <c r="AC82" s="403">
        <f>IF(C82="","",IFERROR(SUMPRODUCT((終値!E84:AC84),({0.077,0.071,0.065,0.06,0.055,0.051,0.047,0.043,0.039,0.036,0.033,0.031,0.028,0.026,0.024,0.022,0.02,0.018,0.017,0.016,0.014,0.013,0.012,0.011,0.01}))/SUM({0.077,0.071,0.065,0.06,0.055,0.051,0.047,0.043,0.039,0.036,0.033,0.031,0.028,0.026,0.024,0.022,0.02,0.018,0.017,0.016,0.014,0.013,0.012,0.011,0.01}),""))</f>
        <v>1745.3563766388552</v>
      </c>
      <c r="AD82" s="404" t="str">
        <f t="shared" si="23"/>
        <v>パーフェクト▲</v>
      </c>
      <c r="AE82" s="404" t="str">
        <f t="shared" si="24"/>
        <v>なし</v>
      </c>
      <c r="AF82" s="365">
        <f t="array" ref="AF82">IF(C82="","",IFERROR((INDEX(終値!$E:$E,MATCH(TEXT(C82,"0"),終値!$A:$A,0))-INDEX(終値!$E:$CZ,MATCH(TEXT(C82,"0"),終値!$A:$A,0),$AL$2))/INDEX(終値!$E:$CZ,MATCH(TEXT(C82,"0"),終値!$A:$A,0),$AL$2)*100,""))</f>
        <v>-4.3763676148796495</v>
      </c>
      <c r="AG82" s="365">
        <f t="array" ref="AG82">IFERROR((終値!$E$5-INDEX(終値!$E$5:$CZ$5,1,$AL$2))/INDEX(終値!$E$5:$CZ$5,1,$AL$2)*100,"")</f>
        <v>-0.82558151178043282</v>
      </c>
      <c r="AH82" s="366">
        <f t="shared" si="25"/>
        <v>-3.5507861030992167</v>
      </c>
      <c r="AI82" s="364">
        <f t="shared" si="26"/>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33320</v>
      </c>
      <c r="F83" s="166">
        <f>IF(C83&lt;&gt;"",_xll.RssMarket(C83,"始値"),"")</f>
        <v>32500</v>
      </c>
      <c r="G83" s="165">
        <f>IF(C83&lt;&gt;"",終値!F158,"")</f>
        <v>31430</v>
      </c>
      <c r="H83" s="166">
        <f>IF(C83&lt;&gt;"",_xll.RssMarket(C83,"高値"),"")</f>
        <v>33640</v>
      </c>
      <c r="I83" s="166">
        <f>IF(C83&lt;&gt;"",_xll.RssMarket(C83,"安値"),"")</f>
        <v>32390</v>
      </c>
      <c r="J83" s="166">
        <f>IF(C83&lt;&gt;"",_xll.RssMarket(C83,"出来高"),"")</f>
        <v>6993800</v>
      </c>
      <c r="K83" s="166">
        <f>IF(C83&lt;&gt;"",_xll.RssMarket(C83,"年初来高値"),"")</f>
        <v>35940</v>
      </c>
      <c r="L83" s="167">
        <f t="shared" si="17"/>
        <v>-7.2899276572064551</v>
      </c>
      <c r="M83" s="166">
        <f>IF(C83&lt;&gt;"",IFERROR(AVERAGE(出来高!E158:I158),""),"")</f>
        <v>13823500</v>
      </c>
      <c r="N83" s="166">
        <f>IF(C83&lt;&gt;"",IFERROR(AVERAGE(出来高!E158:AC158),""),"")</f>
        <v>9568552</v>
      </c>
      <c r="O83" s="168">
        <f t="shared" si="18"/>
        <v>0.50593554454371181</v>
      </c>
      <c r="P83" s="163" t="str">
        <f t="shared" si="19"/>
        <v>減少↓</v>
      </c>
      <c r="Q83" s="163" t="str">
        <f t="shared" si="20"/>
        <v>中立→</v>
      </c>
      <c r="R83" s="166">
        <f t="shared" si="27"/>
        <v>35986</v>
      </c>
      <c r="S83" s="166">
        <f t="shared" si="28"/>
        <v>31987</v>
      </c>
      <c r="T83" s="163">
        <f t="shared" si="21"/>
        <v>3</v>
      </c>
      <c r="U83" s="163" t="str">
        <f t="shared" si="29"/>
        <v>要確認</v>
      </c>
      <c r="V83" s="163" t="str">
        <f t="shared" si="22"/>
        <v>通常</v>
      </c>
      <c r="W83" s="169">
        <f t="array" ref="W83">IF(C83&lt;&gt;"",IFERROR(100-100/(1+SUMPRODUCT((終値!F158:R158&gt;終値!G158:S158)*( 終値!F158:R158-終値!G158:S158))/SUMPRODUCT((終値!F158:R158&lt;終値!G158:S158)*(終値!G158:S158-終値!F158:R158))),50),"")</f>
        <v>55.426195426195427</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-29.366818049737049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 t="shared" si="30"/>
        <v>6.0133630289532292</v>
      </c>
      <c r="AA83" s="163" t="str">
        <f t="shared" si="31"/>
        <v>上昇▲</v>
      </c>
      <c r="AB83" s="405">
        <f>IF(C83="","",IFERROR(((終値!E85*0.333)+(終値!F85*0.222)+(終値!G85*0.148)+(終値!H85*0.099)+(終値!I85*0.066)+(終値!J85*0.044)+(終値!K85*0.029)+(終値!L85*0.019)+(終値!M85*0.013)+(終値!N85*0.009))/(0.333+0.222+0.148+0.099+0.066+0.044+0.029+0.019+0.013+0.009),""))</f>
        <v>3139.6018329938893</v>
      </c>
      <c r="AC83" s="405">
        <f>IF(C83="","",IFERROR(SUMPRODUCT((終値!E85:AC85),({0.077,0.071,0.065,0.06,0.055,0.051,0.047,0.043,0.039,0.036,0.033,0.031,0.028,0.026,0.024,0.022,0.02,0.018,0.017,0.016,0.014,0.013,0.012,0.011,0.01}))/SUM({0.077,0.071,0.065,0.06,0.055,0.051,0.047,0.043,0.039,0.036,0.033,0.031,0.028,0.026,0.024,0.022,0.02,0.018,0.017,0.016,0.014,0.013,0.012,0.011,0.01}),""))</f>
        <v>3237.0846245530383</v>
      </c>
      <c r="AD83" s="406" t="str">
        <f t="shared" si="23"/>
        <v>上昇トレンド▲</v>
      </c>
      <c r="AE83" s="406" t="str">
        <f t="shared" si="24"/>
        <v>なし</v>
      </c>
      <c r="AF83" s="365">
        <f t="array" ref="AF83">IF(C83="","",IFERROR((INDEX(終値!$E:$E,MATCH(TEXT(C83,"0"),終値!$A:$A,0))-INDEX(終値!$E:$CZ,MATCH(TEXT(C83,"0"),終値!$A:$A,0),$AL$2))/INDEX(終値!$E:$CZ,MATCH(TEXT(C83,"0"),終値!$A:$A,0),$AL$2)*100,""))</f>
        <v>-2.9733959311424099</v>
      </c>
      <c r="AG83" s="365">
        <f t="array" ref="AG83">IFERROR((終値!$E$5-INDEX(終値!$E$5:$CZ$5,1,$AL$2))/INDEX(終値!$E$5:$CZ$5,1,$AL$2)*100,"")</f>
        <v>-0.82558151178043282</v>
      </c>
      <c r="AH83" s="366">
        <f t="shared" si="25"/>
        <v>-2.147814419361977</v>
      </c>
      <c r="AI83" s="364">
        <f t="shared" si="26"/>
        <v>-1</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5320</v>
      </c>
      <c r="F84" s="166">
        <f>IF(C84&lt;&gt;"",_xll.RssMarket(C84,"始値"),"")</f>
        <v>5460</v>
      </c>
      <c r="G84" s="165">
        <f>IF(C84&lt;&gt;"",終値!F81,"")</f>
        <v>5704</v>
      </c>
      <c r="H84" s="166">
        <f>IF(C84&lt;&gt;"",_xll.RssMarket(C84,"高値"),"")</f>
        <v>5581</v>
      </c>
      <c r="I84" s="166">
        <f>IF(C84&lt;&gt;"",_xll.RssMarket(C84,"安値"),"")</f>
        <v>5253</v>
      </c>
      <c r="J84" s="166">
        <f>IF(C84&lt;&gt;"",_xll.RssMarket(C84,"出来高"),"")</f>
        <v>1649400</v>
      </c>
      <c r="K84" s="166">
        <f>IF(C84&lt;&gt;"",_xll.RssMarket(C84,"年初来高値"),"")</f>
        <v>6317</v>
      </c>
      <c r="L84" s="167">
        <f t="shared" si="17"/>
        <v>-15.782808295076778</v>
      </c>
      <c r="M84" s="166">
        <f>IF(C84&lt;&gt;"",IFERROR(AVERAGE(出来高!E81:I81),""),"")</f>
        <v>1244700</v>
      </c>
      <c r="N84" s="166">
        <f>IF(C84&lt;&gt;"",IFERROR(AVERAGE(出来高!E81:AC81),""),"")</f>
        <v>1084244</v>
      </c>
      <c r="O84" s="168">
        <f t="shared" si="18"/>
        <v>1.3251385876114727</v>
      </c>
      <c r="P84" s="163" t="str">
        <f t="shared" si="19"/>
        <v>普通→</v>
      </c>
      <c r="Q84" s="163" t="str">
        <f t="shared" si="20"/>
        <v>様子見▼</v>
      </c>
      <c r="R84" s="166">
        <f t="shared" si="27"/>
        <v>5746</v>
      </c>
      <c r="S84" s="166">
        <f t="shared" si="28"/>
        <v>5107</v>
      </c>
      <c r="T84" s="163">
        <f t="shared" si="21"/>
        <v>9</v>
      </c>
      <c r="U84" s="163" t="str">
        <f t="shared" si="29"/>
        <v>要確認</v>
      </c>
      <c r="V84" s="163" t="str">
        <f t="shared" si="22"/>
        <v>通常</v>
      </c>
      <c r="W84" s="169">
        <f t="array" ref="W84">IF(C84&lt;&gt;"",IFERROR(100-100/(1+SUMPRODUCT((終値!F81:R81&gt;終値!G81:S81)*( 終値!F81:R81-終値!G81:S81))/SUMPRODUCT((終値!F81:R81&lt;終値!G81:S81)*(終値!G81:S81-終値!F81:R81))),50),"")</f>
        <v>53.768545994065278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27.583122047138204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△注目</v>
      </c>
      <c r="Z84" s="171">
        <f t="shared" si="30"/>
        <v>-6.7321178120617109</v>
      </c>
      <c r="AA84" s="163" t="str">
        <f t="shared" si="31"/>
        <v>下落▼</v>
      </c>
      <c r="AB84" s="403">
        <f>IF(C84="","",IFERROR(((終値!E86*0.333)+(終値!F86*0.222)+(終値!G86*0.148)+(終値!H86*0.099)+(終値!I86*0.066)+(終値!J86*0.044)+(終値!K86*0.029)+(終値!L86*0.019)+(終値!M86*0.013)+(終値!N86*0.009))/(0.333+0.222+0.148+0.099+0.066+0.044+0.029+0.019+0.013+0.009),""))</f>
        <v>2227.3253564154784</v>
      </c>
      <c r="AC84" s="403">
        <f>IF(C84="","",IFERROR(SUMPRODUCT((終値!E86:AC86),({0.077,0.071,0.065,0.06,0.055,0.051,0.047,0.043,0.039,0.036,0.033,0.031,0.028,0.026,0.024,0.022,0.02,0.018,0.017,0.016,0.014,0.013,0.012,0.011,0.01}))/SUM({0.077,0.071,0.065,0.06,0.055,0.051,0.047,0.043,0.039,0.036,0.033,0.031,0.028,0.026,0.024,0.022,0.02,0.018,0.017,0.016,0.014,0.013,0.012,0.011,0.01}),""))</f>
        <v>2190.1615017878426</v>
      </c>
      <c r="AD84" s="404" t="str">
        <f t="shared" si="23"/>
        <v>パーフェクト▲</v>
      </c>
      <c r="AE84" s="404" t="str">
        <f t="shared" si="24"/>
        <v>なし</v>
      </c>
      <c r="AF84" s="365">
        <f t="array" ref="AF84">IF(C84="","",IFERROR((INDEX(終値!$E:$E,MATCH(TEXT(C84,"0"),終値!$A:$A,0))-INDEX(終値!$E:$CZ,MATCH(TEXT(C84,"0"),終値!$A:$A,0),$AL$2))/INDEX(終値!$E:$CZ,MATCH(TEXT(C84,"0"),終値!$A:$A,0),$AL$2)*100,""))</f>
        <v>5.3628888094386848</v>
      </c>
      <c r="AG84" s="365">
        <f t="array" ref="AG84">IFERROR((終値!$E$5-INDEX(終値!$E$5:$CZ$5,1,$AL$2))/INDEX(終値!$E$5:$CZ$5,1,$AL$2)*100,"")</f>
        <v>-0.82558151178043282</v>
      </c>
      <c r="AH84" s="366">
        <f t="shared" si="25"/>
        <v>6.1884703212191177</v>
      </c>
      <c r="AI84" s="364">
        <f t="shared" si="26"/>
        <v>3</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1509</v>
      </c>
      <c r="F85" s="166">
        <f>IF(C85&lt;&gt;"",_xll.RssMarket(C85,"始値"),"")</f>
        <v>1468</v>
      </c>
      <c r="G85" s="165">
        <f>IF(C85&lt;&gt;"",終値!F148,"")</f>
        <v>1386</v>
      </c>
      <c r="H85" s="166">
        <f>IF(C85&lt;&gt;"",_xll.RssMarket(C85,"高値"),"")</f>
        <v>1519</v>
      </c>
      <c r="I85" s="166">
        <f>IF(C85&lt;&gt;"",_xll.RssMarket(C85,"安値"),"")</f>
        <v>1457</v>
      </c>
      <c r="J85" s="166">
        <f>IF(C85&lt;&gt;"",_xll.RssMarket(C85,"出来高"),"")</f>
        <v>162600</v>
      </c>
      <c r="K85" s="166">
        <f>IF(C85&lt;&gt;"",_xll.RssMarket(C85,"年初来高値"),"")</f>
        <v>2496</v>
      </c>
      <c r="L85" s="167">
        <f t="shared" si="17"/>
        <v>-39.543269230769226</v>
      </c>
      <c r="M85" s="166">
        <f>IF(C85&lt;&gt;"",IFERROR(AVERAGE(出来高!E148:I148),""),"")</f>
        <v>308200</v>
      </c>
      <c r="N85" s="166">
        <f>IF(C85&lt;&gt;"",IFERROR(AVERAGE(出来高!E148:AC148),""),"")</f>
        <v>289488</v>
      </c>
      <c r="O85" s="168">
        <f t="shared" si="18"/>
        <v>0.527579493835172</v>
      </c>
      <c r="P85" s="163" t="str">
        <f t="shared" si="19"/>
        <v>減少↓</v>
      </c>
      <c r="Q85" s="163" t="str">
        <f t="shared" si="20"/>
        <v>中立→</v>
      </c>
      <c r="R85" s="166">
        <f t="shared" si="27"/>
        <v>1630</v>
      </c>
      <c r="S85" s="166">
        <f t="shared" si="28"/>
        <v>1449</v>
      </c>
      <c r="T85" s="163">
        <f t="shared" si="21"/>
        <v>0</v>
      </c>
      <c r="U85" s="163" t="str">
        <f t="shared" si="29"/>
        <v>除外</v>
      </c>
      <c r="V85" s="163" t="str">
        <f t="shared" si="22"/>
        <v>通常</v>
      </c>
      <c r="W85" s="169">
        <f t="array" ref="W85">IF(C85&lt;&gt;"",IFERROR(100-100/(1+SUMPRODUCT((終値!F148:R148&gt;終値!G148:S148)*( 終値!F148:R148-終値!G148:S148))/SUMPRODUCT((終値!F148:R148&lt;終値!G148:S148)*(終値!G148:S148-終値!F148:R148))),50),"")</f>
        <v>44.791666666666671</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-37.25844116558369</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 t="shared" si="30"/>
        <v>8.8744588744588757</v>
      </c>
      <c r="AA85" s="163" t="str">
        <f t="shared" si="31"/>
        <v>上昇▲</v>
      </c>
      <c r="AB85" s="405">
        <f>IF(C85="","",IFERROR(((終値!E87*0.333)+(終値!F87*0.222)+(終値!G87*0.148)+(終値!H87*0.099)+(終値!I87*0.066)+(終値!J87*0.044)+(終値!K87*0.029)+(終値!L87*0.019)+(終値!M87*0.013)+(終値!N87*0.009))/(0.333+0.222+0.148+0.099+0.066+0.044+0.029+0.019+0.013+0.009),""))</f>
        <v>6855.5224032586548</v>
      </c>
      <c r="AC85" s="405">
        <f>IF(C85="","",IFERROR(SUMPRODUCT((終値!E87:AC87),({0.077,0.071,0.065,0.06,0.055,0.051,0.047,0.043,0.039,0.036,0.033,0.031,0.028,0.026,0.024,0.022,0.02,0.018,0.017,0.016,0.014,0.013,0.012,0.011,0.01}))/SUM({0.077,0.071,0.065,0.06,0.055,0.051,0.047,0.043,0.039,0.036,0.033,0.031,0.028,0.026,0.024,0.022,0.02,0.018,0.017,0.016,0.014,0.013,0.012,0.011,0.01}),""))</f>
        <v>6537.460071513703</v>
      </c>
      <c r="AD85" s="406" t="str">
        <f t="shared" si="23"/>
        <v>もみ合い→</v>
      </c>
      <c r="AE85" s="406" t="str">
        <f t="shared" si="24"/>
        <v>なし</v>
      </c>
      <c r="AF85" s="365">
        <f t="array" ref="AF85">IF(C85="","",IFERROR((INDEX(終値!$E:$E,MATCH(TEXT(C85,"0"),終値!$A:$A,0))-INDEX(終値!$E:$CZ,MATCH(TEXT(C85,"0"),終値!$A:$A,0),$AL$2))/INDEX(終値!$E:$CZ,MATCH(TEXT(C85,"0"),終値!$A:$A,0),$AL$2)*100,""))</f>
        <v>-19.868276619099888</v>
      </c>
      <c r="AG85" s="365">
        <f t="array" ref="AG85">IFERROR((終値!$E$5-INDEX(終値!$E$5:$CZ$5,1,$AL$2))/INDEX(終値!$E$5:$CZ$5,1,$AL$2)*100,"")</f>
        <v>-0.82558151178043282</v>
      </c>
      <c r="AH85" s="366">
        <f t="shared" si="25"/>
        <v>-19.042695107319453</v>
      </c>
      <c r="AI85" s="364">
        <f t="shared" si="26"/>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24720</v>
      </c>
      <c r="F86" s="166">
        <f>IF(C86&lt;&gt;"",_xll.RssMarket(C86,"始値"),"")</f>
        <v>23340</v>
      </c>
      <c r="G86" s="165">
        <f>IF(C86&lt;&gt;"",終値!F145,"")</f>
        <v>21180</v>
      </c>
      <c r="H86" s="166">
        <f>IF(C86&lt;&gt;"",_xll.RssMarket(C86,"高値"),"")</f>
        <v>24740</v>
      </c>
      <c r="I86" s="166">
        <f>IF(C86&lt;&gt;"",_xll.RssMarket(C86,"安値"),"")</f>
        <v>22980</v>
      </c>
      <c r="J86" s="166">
        <f>IF(C86&lt;&gt;"",_xll.RssMarket(C86,"出来高"),"")</f>
        <v>466000</v>
      </c>
      <c r="K86" s="166">
        <f>IF(C86&lt;&gt;"",_xll.RssMarket(C86,"年初来高値"),"")</f>
        <v>45300</v>
      </c>
      <c r="L86" s="167">
        <f t="shared" si="17"/>
        <v>-45.430463576158942</v>
      </c>
      <c r="M86" s="166">
        <f>IF(C86&lt;&gt;"",IFERROR(AVERAGE(出来高!E145:I145),""),"")</f>
        <v>502000</v>
      </c>
      <c r="N86" s="166">
        <f>IF(C86&lt;&gt;"",IFERROR(AVERAGE(出来高!E145:AC145),""),"")</f>
        <v>442924</v>
      </c>
      <c r="O86" s="168">
        <f t="shared" si="18"/>
        <v>0.92828685258964139</v>
      </c>
      <c r="P86" s="163" t="str">
        <f t="shared" si="19"/>
        <v>減少↓</v>
      </c>
      <c r="Q86" s="163" t="str">
        <f t="shared" si="20"/>
        <v>中立→</v>
      </c>
      <c r="R86" s="166">
        <f t="shared" si="27"/>
        <v>26698</v>
      </c>
      <c r="S86" s="166">
        <f t="shared" si="28"/>
        <v>23731</v>
      </c>
      <c r="T86" s="163">
        <f t="shared" si="21"/>
        <v>3</v>
      </c>
      <c r="U86" s="163" t="str">
        <f t="shared" si="29"/>
        <v>要確認</v>
      </c>
      <c r="V86" s="163" t="str">
        <f t="shared" si="22"/>
        <v>通常</v>
      </c>
      <c r="W86" s="169">
        <f t="array" ref="W86">IF(C86&lt;&gt;"",IFERROR(100-100/(1+SUMPRODUCT((終値!F145:R145&gt;終値!G145:S145)*( 終値!F145:R145-終値!G145:S145))/SUMPRODUCT((終値!F145:R145&lt;終値!G145:S145)*(終値!G145:S145-終値!F145:R145))),50),"")</f>
        <v>35.403726708074529</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-919.77306469137693</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様子見</v>
      </c>
      <c r="Z86" s="171">
        <f t="shared" si="30"/>
        <v>16.71388101983003</v>
      </c>
      <c r="AA86" s="163" t="str">
        <f t="shared" si="31"/>
        <v>上昇▲</v>
      </c>
      <c r="AB86" s="403">
        <f>IF(C86="","",IFERROR(((終値!E88*0.333)+(終値!F88*0.222)+(終値!G88*0.148)+(終値!H88*0.099)+(終値!I88*0.066)+(終値!J88*0.044)+(終値!K88*0.029)+(終値!L88*0.019)+(終値!M88*0.013)+(終値!N88*0.009))/(0.333+0.222+0.148+0.099+0.066+0.044+0.029+0.019+0.013+0.009),""))</f>
        <v>1755.3584521384923</v>
      </c>
      <c r="AC86" s="403">
        <f>IF(C86="","",IFERROR(SUMPRODUCT((終値!E88:AC88),({0.077,0.071,0.065,0.06,0.055,0.051,0.047,0.043,0.039,0.036,0.033,0.031,0.028,0.026,0.024,0.022,0.02,0.018,0.017,0.016,0.014,0.013,0.012,0.011,0.01}))/SUM({0.077,0.071,0.065,0.06,0.055,0.051,0.047,0.043,0.039,0.036,0.033,0.031,0.028,0.026,0.024,0.022,0.02,0.018,0.017,0.016,0.014,0.013,0.012,0.011,0.01}),""))</f>
        <v>1779.0589988081042</v>
      </c>
      <c r="AD86" s="404" t="str">
        <f t="shared" si="23"/>
        <v>上昇トレンド▲</v>
      </c>
      <c r="AE86" s="404" t="str">
        <f t="shared" si="24"/>
        <v>なし</v>
      </c>
      <c r="AF86" s="365">
        <f t="array" ref="AF86">IF(C86="","",IFERROR((INDEX(終値!$E:$E,MATCH(TEXT(C86,"0"),終値!$A:$A,0))-INDEX(終値!$E:$CZ,MATCH(TEXT(C86,"0"),終値!$A:$A,0),$AL$2))/INDEX(終値!$E:$CZ,MATCH(TEXT(C86,"0"),終値!$A:$A,0),$AL$2)*100,""))</f>
        <v>-30.363349131121641</v>
      </c>
      <c r="AG86" s="365">
        <f t="array" ref="AG86">IFERROR((終値!$E$5-INDEX(終値!$E$5:$CZ$5,1,$AL$2))/INDEX(終値!$E$5:$CZ$5,1,$AL$2)*100,"")</f>
        <v>-0.82558151178043282</v>
      </c>
      <c r="AH86" s="366">
        <f t="shared" si="25"/>
        <v>-29.53776761934121</v>
      </c>
      <c r="AI86" s="364">
        <f t="shared" si="26"/>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21400</v>
      </c>
      <c r="F87" s="166">
        <f>IF(C87&lt;&gt;"",_xll.RssMarket(C87,"始値"),"")</f>
        <v>21000</v>
      </c>
      <c r="G87" s="165">
        <f>IF(C87&lt;&gt;"",終値!F144,"")</f>
        <v>17950</v>
      </c>
      <c r="H87" s="166">
        <f>IF(C87&lt;&gt;"",_xll.RssMarket(C87,"高値"),"")</f>
        <v>21540</v>
      </c>
      <c r="I87" s="166">
        <f>IF(C87&lt;&gt;"",_xll.RssMarket(C87,"安値"),"")</f>
        <v>20320</v>
      </c>
      <c r="J87" s="166">
        <f>IF(C87&lt;&gt;"",_xll.RssMarket(C87,"出来高"),"")</f>
        <v>164400</v>
      </c>
      <c r="K87" s="166">
        <f>IF(C87&lt;&gt;"",_xll.RssMarket(C87,"年初来高値"),"")</f>
        <v>34700</v>
      </c>
      <c r="L87" s="167">
        <f t="shared" si="17"/>
        <v>-38.328530259365998</v>
      </c>
      <c r="M87" s="166">
        <f>IF(C87&lt;&gt;"",IFERROR(AVERAGE(出来高!E144:I144),""),"")</f>
        <v>162460</v>
      </c>
      <c r="N87" s="166">
        <f>IF(C87&lt;&gt;"",IFERROR(AVERAGE(出来高!E144:AC144),""),"")</f>
        <v>140125</v>
      </c>
      <c r="O87" s="168">
        <f t="shared" si="18"/>
        <v>1.0119414009602363</v>
      </c>
      <c r="P87" s="163" t="str">
        <f t="shared" si="19"/>
        <v>普通→</v>
      </c>
      <c r="Q87" s="163" t="str">
        <f t="shared" si="20"/>
        <v>中立→</v>
      </c>
      <c r="R87" s="166">
        <f t="shared" si="27"/>
        <v>23112</v>
      </c>
      <c r="S87" s="166">
        <f t="shared" si="28"/>
        <v>20544</v>
      </c>
      <c r="T87" s="163">
        <f t="shared" si="21"/>
        <v>4</v>
      </c>
      <c r="U87" s="163" t="str">
        <f t="shared" si="29"/>
        <v>要確認</v>
      </c>
      <c r="V87" s="163" t="str">
        <f t="shared" si="22"/>
        <v>通常</v>
      </c>
      <c r="W87" s="169">
        <f t="array" ref="W87">IF(C87&lt;&gt;"",IFERROR(100-100/(1+SUMPRODUCT((終値!F144:R144&gt;終値!G144:S144)*( 終値!F144:R144-終値!G144:S144))/SUMPRODUCT((終値!F144:R144&lt;終値!G144:S144)*(終値!G144:S144-終値!F144:R144))),50),"")</f>
        <v>46.997279765641345</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-816.49116976265213</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 t="shared" si="30"/>
        <v>19.220055710306408</v>
      </c>
      <c r="AA87" s="163" t="str">
        <f t="shared" si="31"/>
        <v>上昇▲</v>
      </c>
      <c r="AB87" s="405">
        <f>IF(C87="","",IFERROR(((終値!E89*0.333)+(終値!F89*0.222)+(終値!G89*0.148)+(終値!H89*0.099)+(終値!I89*0.066)+(終値!J89*0.044)+(終値!K89*0.029)+(終値!L89*0.019)+(終値!M89*0.013)+(終値!N89*0.009))/(0.333+0.222+0.148+0.099+0.066+0.044+0.029+0.019+0.013+0.009),""))</f>
        <v>2106.5356415478614</v>
      </c>
      <c r="AC87" s="405">
        <f>IF(C87="","",IFERROR(SUMPRODUCT((終値!E89:AC89),({0.077,0.071,0.065,0.06,0.055,0.051,0.047,0.043,0.039,0.036,0.033,0.031,0.028,0.026,0.024,0.022,0.02,0.018,0.017,0.016,0.014,0.013,0.012,0.011,0.01}))/SUM({0.077,0.071,0.065,0.06,0.055,0.051,0.047,0.043,0.039,0.036,0.033,0.031,0.028,0.026,0.024,0.022,0.02,0.018,0.017,0.016,0.014,0.013,0.012,0.011,0.01}),""))</f>
        <v>2066.2967818831935</v>
      </c>
      <c r="AD87" s="406" t="str">
        <f t="shared" si="23"/>
        <v>パーフェクト▲</v>
      </c>
      <c r="AE87" s="406" t="str">
        <f t="shared" si="24"/>
        <v>なし</v>
      </c>
      <c r="AF87" s="365">
        <f t="array" ref="AF87">IF(C87="","",IFERROR((INDEX(終値!$E:$E,MATCH(TEXT(C87,"0"),終値!$A:$A,0))-INDEX(終値!$E:$CZ,MATCH(TEXT(C87,"0"),終値!$A:$A,0),$AL$2))/INDEX(終値!$E:$CZ,MATCH(TEXT(C87,"0"),終値!$A:$A,0),$AL$2)*100,""))</f>
        <v>-26.251896813353564</v>
      </c>
      <c r="AG87" s="365">
        <f t="array" ref="AG87">IFERROR((終値!$E$5-INDEX(終値!$E$5:$CZ$5,1,$AL$2))/INDEX(終値!$E$5:$CZ$5,1,$AL$2)*100,"")</f>
        <v>-0.82558151178043282</v>
      </c>
      <c r="AH87" s="366">
        <f t="shared" si="25"/>
        <v>-25.426315301573133</v>
      </c>
      <c r="AI87" s="364">
        <f t="shared" si="26"/>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3545</v>
      </c>
      <c r="F88" s="166">
        <f>IF(C88&lt;&gt;"",_xll.RssMarket(C88,"始値"),"")</f>
        <v>3522</v>
      </c>
      <c r="G88" s="165">
        <f>IF(C88&lt;&gt;"",終値!F205,"")</f>
        <v>0</v>
      </c>
      <c r="H88" s="166">
        <f>IF(C88&lt;&gt;"",_xll.RssMarket(C88,"高値"),"")</f>
        <v>3642</v>
      </c>
      <c r="I88" s="166">
        <f>IF(C88&lt;&gt;"",_xll.RssMarket(C88,"安値"),"")</f>
        <v>3515</v>
      </c>
      <c r="J88" s="166">
        <f>IF(C88&lt;&gt;"",_xll.RssMarket(C88,"出来高"),"")</f>
        <v>10225800</v>
      </c>
      <c r="K88" s="166">
        <f>IF(C88&lt;&gt;"",_xll.RssMarket(C88,"年初来高値"),"")</f>
        <v>4124</v>
      </c>
      <c r="L88" s="167">
        <f t="shared" si="17"/>
        <v>-14.039767216294861</v>
      </c>
      <c r="M88" s="166" t="str">
        <f>IF(C88&lt;&gt;"",IFERROR(AVERAGE(出来高!E205:I205),""),"")</f>
        <v/>
      </c>
      <c r="N88" s="166" t="str">
        <f>IF(C88&lt;&gt;"",IFERROR(AVERAGE(出来高!E205:AC205),""),"")</f>
        <v/>
      </c>
      <c r="O88" s="168" t="str">
        <f t="shared" si="18"/>
        <v/>
      </c>
      <c r="P88" s="163" t="str">
        <f t="shared" si="19"/>
        <v/>
      </c>
      <c r="Q88" s="163" t="str">
        <f t="shared" si="20"/>
        <v>買い▲</v>
      </c>
      <c r="R88" s="166">
        <f t="shared" si="27"/>
        <v>3829</v>
      </c>
      <c r="S88" s="166">
        <f t="shared" si="28"/>
        <v>3403</v>
      </c>
      <c r="T88" s="163">
        <f t="shared" si="21"/>
        <v>7</v>
      </c>
      <c r="U88" s="163" t="str">
        <f t="shared" si="29"/>
        <v>有効</v>
      </c>
      <c r="V88" s="163" t="str">
        <f t="shared" si="22"/>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0</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△注目</v>
      </c>
      <c r="Z88" s="171" t="str">
        <f t="shared" si="30"/>
        <v/>
      </c>
      <c r="AA88" s="163" t="str">
        <f t="shared" si="31"/>
        <v>上昇▲</v>
      </c>
      <c r="AB88" s="403">
        <f>IF(C88="","",IFERROR(((終値!E90*0.333)+(終値!F90*0.222)+(終値!G90*0.148)+(終値!H90*0.099)+(終値!I90*0.066)+(終値!J90*0.044)+(終値!K90*0.029)+(終値!L90*0.019)+(終値!M90*0.013)+(終値!N90*0.009))/(0.333+0.222+0.148+0.099+0.066+0.044+0.029+0.019+0.013+0.009),""))</f>
        <v>4022.7749490835022</v>
      </c>
      <c r="AC88" s="403">
        <f>IF(C88="","",IFERROR(SUMPRODUCT((終値!E90:AC90),({0.077,0.071,0.065,0.06,0.055,0.051,0.047,0.043,0.039,0.036,0.033,0.031,0.028,0.026,0.024,0.022,0.02,0.018,0.017,0.016,0.014,0.013,0.012,0.011,0.01}))/SUM({0.077,0.071,0.065,0.06,0.055,0.051,0.047,0.043,0.039,0.036,0.033,0.031,0.028,0.026,0.024,0.022,0.02,0.018,0.017,0.016,0.014,0.013,0.012,0.011,0.01}),""))</f>
        <v>4249.3253873659087</v>
      </c>
      <c r="AD88" s="404" t="str">
        <f t="shared" si="23"/>
        <v>下降トレンド▼</v>
      </c>
      <c r="AE88" s="404" t="str">
        <f t="shared" si="24"/>
        <v>なし</v>
      </c>
      <c r="AF88" s="365" t="str">
        <f t="array" ref="AF88">IF(C88="","",IFERROR((INDEX(終値!$E:$E,MATCH(TEXT(C88,"0"),終値!$A:$A,0))-INDEX(終値!$E:$CZ,MATCH(TEXT(C88,"0"),終値!$A:$A,0),$AL$2))/INDEX(終値!$E:$CZ,MATCH(TEXT(C88,"0"),終値!$A:$A,0),$AL$2)*100,""))</f>
        <v/>
      </c>
      <c r="AG88" s="365">
        <f t="array" ref="AG88">IFERROR((終値!$E$5-INDEX(終値!$E$5:$CZ$5,1,$AL$2))/INDEX(終値!$E$5:$CZ$5,1,$AL$2)*100,"")</f>
        <v>-0.82558151178043282</v>
      </c>
      <c r="AH88" s="366" t="str">
        <f t="shared" si="25"/>
        <v/>
      </c>
      <c r="AI88" s="364" t="str">
        <f t="shared" si="26"/>
        <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3844</v>
      </c>
      <c r="F89" s="166">
        <f>IF(C89&lt;&gt;"",_xll.RssMarket(C89,"始値"),"")</f>
        <v>3635</v>
      </c>
      <c r="G89" s="165">
        <f>IF(C89&lt;&gt;"",終値!F155,"")</f>
        <v>3501</v>
      </c>
      <c r="H89" s="166">
        <f>IF(C89&lt;&gt;"",_xll.RssMarket(C89,"高値"),"")</f>
        <v>3873</v>
      </c>
      <c r="I89" s="166">
        <f>IF(C89&lt;&gt;"",_xll.RssMarket(C89,"安値"),"")</f>
        <v>3630</v>
      </c>
      <c r="J89" s="166">
        <f>IF(C89&lt;&gt;"",_xll.RssMarket(C89,"出来高"),"")</f>
        <v>1758100</v>
      </c>
      <c r="K89" s="166">
        <f>IF(C89&lt;&gt;"",_xll.RssMarket(C89,"年初来高値"),"")</f>
        <v>4855</v>
      </c>
      <c r="L89" s="167">
        <f t="shared" si="17"/>
        <v>-20.823892893923791</v>
      </c>
      <c r="M89" s="166">
        <f>IF(C89&lt;&gt;"",IFERROR(AVERAGE(出来高!E155:I155),""),"")</f>
        <v>2569760</v>
      </c>
      <c r="N89" s="166">
        <f>IF(C89&lt;&gt;"",IFERROR(AVERAGE(出来高!E155:AC155),""),"")</f>
        <v>1674070.8333333333</v>
      </c>
      <c r="O89" s="168">
        <f t="shared" si="18"/>
        <v>0.68414949255961643</v>
      </c>
      <c r="P89" s="163" t="str">
        <f t="shared" si="19"/>
        <v>減少↓</v>
      </c>
      <c r="Q89" s="163" t="str">
        <f t="shared" si="20"/>
        <v>中立→</v>
      </c>
      <c r="R89" s="166">
        <f t="shared" si="27"/>
        <v>4152</v>
      </c>
      <c r="S89" s="166">
        <f t="shared" si="28"/>
        <v>3690</v>
      </c>
      <c r="T89" s="163">
        <f t="shared" si="21"/>
        <v>0</v>
      </c>
      <c r="U89" s="163" t="str">
        <f t="shared" si="29"/>
        <v>除外</v>
      </c>
      <c r="V89" s="163" t="str">
        <f t="shared" si="22"/>
        <v>通常</v>
      </c>
      <c r="W89" s="169">
        <f t="array" ref="W89">IF(C89&lt;&gt;"",IFERROR(100-100/(1+SUMPRODUCT((終値!F155:R155&gt;終値!G155:S155)*( 終値!F155:R155-終値!G155:S155))/SUMPRODUCT((終値!F155:R155&lt;終値!G155:S155)*(終値!G155:S155-終値!F155:R155))),50),"")</f>
        <v>47.079439252336442</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-114.12956587153985</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 t="shared" si="30"/>
        <v>9.7972007997714936</v>
      </c>
      <c r="AA89" s="163" t="str">
        <f t="shared" si="31"/>
        <v>上昇▲</v>
      </c>
      <c r="AB89" s="405">
        <f>IF(C89="","",IFERROR(((終値!E91*0.333)+(終値!F91*0.222)+(終値!G91*0.148)+(終値!H91*0.099)+(終値!I91*0.066)+(終値!J91*0.044)+(終値!K91*0.029)+(終値!L91*0.019)+(終値!M91*0.013)+(終値!N91*0.009))/(0.333+0.222+0.148+0.099+0.066+0.044+0.029+0.019+0.013+0.009),""))</f>
        <v>5259.9623217922599</v>
      </c>
      <c r="AC89" s="405">
        <f>IF(C89="","",IFERROR(SUMPRODUCT((終値!E91:AC91),({0.077,0.071,0.065,0.06,0.055,0.051,0.047,0.043,0.039,0.036,0.033,0.031,0.028,0.026,0.024,0.022,0.02,0.018,0.017,0.016,0.014,0.013,0.012,0.011,0.01}))/SUM({0.077,0.071,0.065,0.06,0.055,0.051,0.047,0.043,0.039,0.036,0.033,0.031,0.028,0.026,0.024,0.022,0.02,0.018,0.017,0.016,0.014,0.013,0.012,0.011,0.01}),""))</f>
        <v>4976.411203814062</v>
      </c>
      <c r="AD89" s="406" t="str">
        <f t="shared" si="23"/>
        <v>もみ合い→</v>
      </c>
      <c r="AE89" s="406" t="str">
        <f t="shared" si="24"/>
        <v>なし</v>
      </c>
      <c r="AF89" s="365">
        <f t="array" ref="AF89">IF(C89="","",IFERROR((INDEX(終値!$E:$E,MATCH(TEXT(C89,"0"),終値!$A:$A,0))-INDEX(終値!$E:$CZ,MATCH(TEXT(C89,"0"),終値!$A:$A,0),$AL$2))/INDEX(終値!$E:$CZ,MATCH(TEXT(C89,"0"),終値!$A:$A,0),$AL$2)*100,""))</f>
        <v>-17.2089825847846</v>
      </c>
      <c r="AG89" s="365">
        <f t="array" ref="AG89">IFERROR((終値!$E$5-INDEX(終値!$E$5:$CZ$5,1,$AL$2))/INDEX(終値!$E$5:$CZ$5,1,$AL$2)*100,"")</f>
        <v>-0.82558151178043282</v>
      </c>
      <c r="AH89" s="366">
        <f t="shared" si="25"/>
        <v>-16.383401073004165</v>
      </c>
      <c r="AI89" s="364">
        <f t="shared" si="26"/>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622.29999999999995</v>
      </c>
      <c r="F90" s="166">
        <f>IF(C90&lt;&gt;"",_xll.RssMarket(C90,"始値"),"")</f>
        <v>617</v>
      </c>
      <c r="G90" s="165">
        <f>IF(C90&lt;&gt;"",終値!F188,"")</f>
        <v>623.1</v>
      </c>
      <c r="H90" s="166">
        <f>IF(C90&lt;&gt;"",_xll.RssMarket(C90,"高値"),"")</f>
        <v>632.9</v>
      </c>
      <c r="I90" s="166">
        <f>IF(C90&lt;&gt;"",_xll.RssMarket(C90,"安値"),"")</f>
        <v>612.5</v>
      </c>
      <c r="J90" s="166">
        <f>IF(C90&lt;&gt;"",_xll.RssMarket(C90,"出来高"),"")</f>
        <v>1832600</v>
      </c>
      <c r="K90" s="166">
        <f>IF(C90&lt;&gt;"",_xll.RssMarket(C90,"年初来高値"),"")</f>
        <v>830.5</v>
      </c>
      <c r="L90" s="167">
        <f t="shared" si="17"/>
        <v>-25.069235400361233</v>
      </c>
      <c r="M90" s="166">
        <f>IF(C90&lt;&gt;"",IFERROR(AVERAGE(出来高!E188:I188),""),"")</f>
        <v>3736460</v>
      </c>
      <c r="N90" s="166">
        <f>IF(C90&lt;&gt;"",IFERROR(AVERAGE(出来高!E188:AC188),""),"")</f>
        <v>3531760</v>
      </c>
      <c r="O90" s="168">
        <f t="shared" si="18"/>
        <v>0.49046423620218066</v>
      </c>
      <c r="P90" s="163" t="str">
        <f t="shared" si="19"/>
        <v>減少↓</v>
      </c>
      <c r="Q90" s="163" t="str">
        <f t="shared" si="20"/>
        <v>様子見▼</v>
      </c>
      <c r="R90" s="166">
        <f t="shared" si="27"/>
        <v>672</v>
      </c>
      <c r="S90" s="166">
        <f t="shared" si="28"/>
        <v>597</v>
      </c>
      <c r="T90" s="163">
        <f t="shared" si="21"/>
        <v>0</v>
      </c>
      <c r="U90" s="163" t="str">
        <f t="shared" si="29"/>
        <v>除外</v>
      </c>
      <c r="V90" s="163" t="str">
        <f t="shared" si="22"/>
        <v>通常</v>
      </c>
      <c r="W90" s="169">
        <f t="array" ref="W90">IF(C90&lt;&gt;"",IFERROR(100-100/(1+SUMPRODUCT((終値!F188:R188&gt;終値!G188:S188)*( 終値!F188:R188-終値!G188:S188))/SUMPRODUCT((終値!F188:R188&lt;終値!G188:S188)*(終値!G188:S188-終値!F188:R188))),50),"")</f>
        <v>44.761904761904788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-3.606133402855221</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 t="shared" si="30"/>
        <v>-0.12839030653186778</v>
      </c>
      <c r="AA90" s="163" t="str">
        <f t="shared" si="31"/>
        <v>下落▼</v>
      </c>
      <c r="AB90" s="403">
        <f>IF(C90="","",IFERROR(((終値!E92*0.333)+(終値!F92*0.222)+(終値!G92*0.148)+(終値!H92*0.099)+(終値!I92*0.066)+(終値!J92*0.044)+(終値!K92*0.029)+(終値!L92*0.019)+(終値!M92*0.013)+(終値!N92*0.009))/(0.333+0.222+0.148+0.099+0.066+0.044+0.029+0.019+0.013+0.009),""))</f>
        <v>7484.0274949083487</v>
      </c>
      <c r="AC90" s="403">
        <f>IF(C90="","",IFERROR(SUMPRODUCT((終値!E92:AC92),({0.077,0.071,0.065,0.06,0.055,0.051,0.047,0.043,0.039,0.036,0.033,0.031,0.028,0.026,0.024,0.022,0.02,0.018,0.017,0.016,0.014,0.013,0.012,0.011,0.01}))/SUM({0.077,0.071,0.065,0.06,0.055,0.051,0.047,0.043,0.039,0.036,0.033,0.031,0.028,0.026,0.024,0.022,0.02,0.018,0.017,0.016,0.014,0.013,0.012,0.011,0.01}),""))</f>
        <v>7516.5852205005922</v>
      </c>
      <c r="AD90" s="404" t="str">
        <f t="shared" si="23"/>
        <v>下降トレンド▼</v>
      </c>
      <c r="AE90" s="404" t="str">
        <f t="shared" si="24"/>
        <v>なし</v>
      </c>
      <c r="AF90" s="365">
        <f t="array" ref="AF90">IF(C90="","",IFERROR((INDEX(終値!$E:$E,MATCH(TEXT(C90,"0"),終値!$A:$A,0))-INDEX(終値!$E:$CZ,MATCH(TEXT(C90,"0"),終値!$A:$A,0),$AL$2))/INDEX(終値!$E:$CZ,MATCH(TEXT(C90,"0"),終値!$A:$A,0),$AL$2)*100,""))</f>
        <v>-2.4478837650031582</v>
      </c>
      <c r="AG90" s="365">
        <f t="array" ref="AG90">IFERROR((終値!$E$5-INDEX(終値!$E$5:$CZ$5,1,$AL$2))/INDEX(終値!$E$5:$CZ$5,1,$AL$2)*100,"")</f>
        <v>-0.82558151178043282</v>
      </c>
      <c r="AH90" s="366">
        <f t="shared" si="25"/>
        <v>-1.6223022532227254</v>
      </c>
      <c r="AI90" s="364">
        <f t="shared" si="26"/>
        <v>-1</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4605</v>
      </c>
      <c r="F91" s="166">
        <f>IF(C91&lt;&gt;"",_xll.RssMarket(C91,"始値"),"")</f>
        <v>4550</v>
      </c>
      <c r="G91" s="165">
        <f>IF(C91&lt;&gt;"",終値!F120,"")</f>
        <v>4470</v>
      </c>
      <c r="H91" s="166">
        <f>IF(C91&lt;&gt;"",_xll.RssMarket(C91,"高値"),"")</f>
        <v>4605</v>
      </c>
      <c r="I91" s="166">
        <f>IF(C91&lt;&gt;"",_xll.RssMarket(C91,"安値"),"")</f>
        <v>4545</v>
      </c>
      <c r="J91" s="166">
        <f>IF(C91&lt;&gt;"",_xll.RssMarket(C91,"出来高"),"")</f>
        <v>37900</v>
      </c>
      <c r="K91" s="166">
        <f>IF(C91&lt;&gt;"",_xll.RssMarket(C91,"年初来高値"),"")</f>
        <v>5020</v>
      </c>
      <c r="L91" s="167">
        <f t="shared" si="17"/>
        <v>-8.2669322709163335</v>
      </c>
      <c r="M91" s="166">
        <f>IF(C91&lt;&gt;"",IFERROR(AVERAGE(出来高!E120:I120),""),"")</f>
        <v>101300</v>
      </c>
      <c r="N91" s="166">
        <f>IF(C91&lt;&gt;"",IFERROR(AVERAGE(出来高!E120:AC120),""),"")</f>
        <v>79408.333333333328</v>
      </c>
      <c r="O91" s="168">
        <f t="shared" si="18"/>
        <v>0.37413622902270482</v>
      </c>
      <c r="P91" s="163" t="str">
        <f t="shared" si="19"/>
        <v>減少↓</v>
      </c>
      <c r="Q91" s="163" t="str">
        <f t="shared" si="20"/>
        <v>中立→</v>
      </c>
      <c r="R91" s="166">
        <f t="shared" si="27"/>
        <v>4973</v>
      </c>
      <c r="S91" s="166">
        <f t="shared" si="28"/>
        <v>4421</v>
      </c>
      <c r="T91" s="163">
        <f t="shared" si="21"/>
        <v>7</v>
      </c>
      <c r="U91" s="163" t="str">
        <f t="shared" si="29"/>
        <v>要確認</v>
      </c>
      <c r="V91" s="163" t="str">
        <f t="shared" si="22"/>
        <v>通常</v>
      </c>
      <c r="W91" s="169">
        <f t="array" ref="W91">IF(C91&lt;&gt;"",IFERROR(100-100/(1+SUMPRODUCT((終値!F120:R120&gt;終値!G120:S120)*( 終値!F120:R120-終値!G120:S120))/SUMPRODUCT((終値!F120:R120&lt;終値!G120:S120)*(終値!G120:S120-終値!F120:R120))),50),"")</f>
        <v>51.280653950953678</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-7.7822312618636715</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 t="shared" si="30"/>
        <v>3.0201342281879198</v>
      </c>
      <c r="AA91" s="163" t="str">
        <f t="shared" si="31"/>
        <v>上昇▲</v>
      </c>
      <c r="AB91" s="405">
        <f>IF(C91="","",IFERROR(((終値!E93*0.333)+(終値!F93*0.222)+(終値!G93*0.148)+(終値!H93*0.099)+(終値!I93*0.066)+(終値!J93*0.044)+(終値!K93*0.029)+(終値!L93*0.019)+(終値!M93*0.013)+(終値!N93*0.009))/(0.333+0.222+0.148+0.099+0.066+0.044+0.029+0.019+0.013+0.009),""))</f>
        <v>729.30142566191444</v>
      </c>
      <c r="AC91" s="405">
        <f>IF(C91="","",IFERROR(SUMPRODUCT((終値!E93:AC93),({0.077,0.071,0.065,0.06,0.055,0.051,0.047,0.043,0.039,0.036,0.033,0.031,0.028,0.026,0.024,0.022,0.02,0.018,0.017,0.016,0.014,0.013,0.012,0.011,0.01}))/SUM({0.077,0.071,0.065,0.06,0.055,0.051,0.047,0.043,0.039,0.036,0.033,0.031,0.028,0.026,0.024,0.022,0.02,0.018,0.017,0.016,0.014,0.013,0.012,0.011,0.01}),""))</f>
        <v>761.89272943980893</v>
      </c>
      <c r="AD91" s="406" t="str">
        <f t="shared" si="23"/>
        <v>上昇トレンド▲</v>
      </c>
      <c r="AE91" s="406" t="str">
        <f t="shared" si="24"/>
        <v>なし</v>
      </c>
      <c r="AF91" s="365">
        <f t="array" ref="AF91">IF(C91="","",IFERROR((INDEX(終値!$E:$E,MATCH(TEXT(C91,"0"),終値!$A:$A,0))-INDEX(終値!$E:$CZ,MATCH(TEXT(C91,"0"),終値!$A:$A,0),$AL$2))/INDEX(終値!$E:$CZ,MATCH(TEXT(C91,"0"),終値!$A:$A,0),$AL$2)*100,""))</f>
        <v>8.19277108433735</v>
      </c>
      <c r="AG91" s="365">
        <f t="array" ref="AG91">IFERROR((終値!$E$5-INDEX(終値!$E$5:$CZ$5,1,$AL$2))/INDEX(終値!$E$5:$CZ$5,1,$AL$2)*100,"")</f>
        <v>-0.82558151178043282</v>
      </c>
      <c r="AH91" s="366">
        <f t="shared" si="25"/>
        <v>9.0183525961177828</v>
      </c>
      <c r="AI91" s="364">
        <f t="shared" si="26"/>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47</v>
      </c>
      <c r="F92" s="166">
        <f>IF(C92&lt;&gt;"",_xll.RssMarket(C92,"始値"),"")</f>
        <v>46</v>
      </c>
      <c r="G92" s="165">
        <f>IF(C92&lt;&gt;"",終値!F140,"")</f>
        <v>47</v>
      </c>
      <c r="H92" s="166">
        <f>IF(C92&lt;&gt;"",_xll.RssMarket(C92,"高値"),"")</f>
        <v>48</v>
      </c>
      <c r="I92" s="166">
        <f>IF(C92&lt;&gt;"",_xll.RssMarket(C92,"安値"),"")</f>
        <v>46</v>
      </c>
      <c r="J92" s="166">
        <f>IF(C92&lt;&gt;"",_xll.RssMarket(C92,"出来高"),"")</f>
        <v>6248600</v>
      </c>
      <c r="K92" s="166">
        <f>IF(C92&lt;&gt;"",_xll.RssMarket(C92,"年初来高値"),"")</f>
        <v>164</v>
      </c>
      <c r="L92" s="167">
        <f t="shared" si="17"/>
        <v>-71.341463414634148</v>
      </c>
      <c r="M92" s="166">
        <f>IF(C92&lt;&gt;"",IFERROR(AVERAGE(出来高!E140:I140),""),"")</f>
        <v>15737500</v>
      </c>
      <c r="N92" s="166">
        <f>IF(C92&lt;&gt;"",IFERROR(AVERAGE(出来高!E140:AC140),""),"")</f>
        <v>28912141.666666668</v>
      </c>
      <c r="O92" s="168">
        <f t="shared" si="18"/>
        <v>0.39705162827640983</v>
      </c>
      <c r="P92" s="163" t="str">
        <f t="shared" si="19"/>
        <v>減少↓</v>
      </c>
      <c r="Q92" s="163" t="str">
        <f t="shared" si="20"/>
        <v>中立→</v>
      </c>
      <c r="R92" s="166">
        <f t="shared" si="27"/>
        <v>51</v>
      </c>
      <c r="S92" s="166">
        <f t="shared" si="28"/>
        <v>45</v>
      </c>
      <c r="T92" s="163">
        <f t="shared" si="21"/>
        <v>-1</v>
      </c>
      <c r="U92" s="163" t="str">
        <f t="shared" si="29"/>
        <v>除外</v>
      </c>
      <c r="V92" s="163" t="str">
        <f t="shared" si="22"/>
        <v>通常</v>
      </c>
      <c r="W92" s="169">
        <f t="array" ref="W92">IF(C92&lt;&gt;"",IFERROR(100-100/(1+SUMPRODUCT((終値!F140:R140&gt;終値!G140:S140)*( 終値!F140:R140-終値!G140:S140))/SUMPRODUCT((終値!F140:R140&lt;終値!G140:S140)*(終値!G140:S140-終値!F140:R140))),50),"")</f>
        <v>47.787610619469028</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-1.2017083334991696</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 t="shared" si="30"/>
        <v>0</v>
      </c>
      <c r="AA92" s="163" t="str">
        <f t="shared" si="31"/>
        <v>横ばい→</v>
      </c>
      <c r="AB92" s="403">
        <f>IF(C92="","",IFERROR(((終値!E94*0.333)+(終値!F94*0.222)+(終値!G94*0.148)+(終値!H94*0.099)+(終値!I94*0.066)+(終値!J94*0.044)+(終値!K94*0.029)+(終値!L94*0.019)+(終値!M94*0.013)+(終値!N94*0.009))/(0.333+0.222+0.148+0.099+0.066+0.044+0.029+0.019+0.013+0.009),""))</f>
        <v>1687.3156822810588</v>
      </c>
      <c r="AC92" s="403">
        <f>IF(C92="","",IFERROR(SUMPRODUCT((終値!E94:AC94),({0.077,0.071,0.065,0.06,0.055,0.051,0.047,0.043,0.039,0.036,0.033,0.031,0.028,0.026,0.024,0.022,0.02,0.018,0.017,0.016,0.014,0.013,0.012,0.011,0.01}))/SUM({0.077,0.071,0.065,0.06,0.055,0.051,0.047,0.043,0.039,0.036,0.033,0.031,0.028,0.026,0.024,0.022,0.02,0.018,0.017,0.016,0.014,0.013,0.012,0.011,0.01}),""))</f>
        <v>1793.0679380214533</v>
      </c>
      <c r="AD92" s="404" t="str">
        <f t="shared" si="23"/>
        <v>下降トレンド▼</v>
      </c>
      <c r="AE92" s="404" t="str">
        <f t="shared" si="24"/>
        <v>なし</v>
      </c>
      <c r="AF92" s="365">
        <f t="array" ref="AF92">IF(C92="","",IFERROR((INDEX(終値!$E:$E,MATCH(TEXT(C92,"0"),終値!$A:$A,0))-INDEX(終値!$E:$CZ,MATCH(TEXT(C92,"0"),終値!$A:$A,0),$AL$2))/INDEX(終値!$E:$CZ,MATCH(TEXT(C92,"0"),終値!$A:$A,0),$AL$2)*100,""))</f>
        <v>-23.333333333333332</v>
      </c>
      <c r="AG92" s="365">
        <f t="array" ref="AG92">IFERROR((終値!$E$5-INDEX(終値!$E$5:$CZ$5,1,$AL$2))/INDEX(終値!$E$5:$CZ$5,1,$AL$2)*100,"")</f>
        <v>-0.82558151178043282</v>
      </c>
      <c r="AH92" s="366">
        <f t="shared" si="25"/>
        <v>-22.507751821552901</v>
      </c>
      <c r="AI92" s="364">
        <f t="shared" si="26"/>
        <v>-2</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4664</v>
      </c>
      <c r="F93" s="166">
        <f>IF(C93&lt;&gt;"",_xll.RssMarket(C93,"始値"),"")</f>
        <v>4677</v>
      </c>
      <c r="G93" s="165">
        <f>IF(C93&lt;&gt;"",終値!F11,"")</f>
        <v>4733</v>
      </c>
      <c r="H93" s="166">
        <f>IF(C93&lt;&gt;"",_xll.RssMarket(C93,"高値"),"")</f>
        <v>4753</v>
      </c>
      <c r="I93" s="166">
        <f>IF(C93&lt;&gt;"",_xll.RssMarket(C93,"安値"),"")</f>
        <v>4635</v>
      </c>
      <c r="J93" s="166">
        <f>IF(C93&lt;&gt;"",_xll.RssMarket(C93,"出来高"),"")</f>
        <v>2879200</v>
      </c>
      <c r="K93" s="166">
        <f>IF(C93&lt;&gt;"",_xll.RssMarket(C93,"年初来高値"),"")</f>
        <v>6036</v>
      </c>
      <c r="L93" s="167">
        <f t="shared" si="17"/>
        <v>-22.730284956925114</v>
      </c>
      <c r="M93" s="166">
        <f>IF(C93&lt;&gt;"",IFERROR(AVERAGE(出来高!E11:I11),""),"")</f>
        <v>10888780</v>
      </c>
      <c r="N93" s="166">
        <f>IF(C93&lt;&gt;"",IFERROR(AVERAGE(出来高!E11:AC11),""),"")</f>
        <v>7375472</v>
      </c>
      <c r="O93" s="168">
        <f t="shared" si="18"/>
        <v>0.26441897072031945</v>
      </c>
      <c r="P93" s="163" t="str">
        <f t="shared" si="19"/>
        <v>減少↓</v>
      </c>
      <c r="Q93" s="163" t="str">
        <f t="shared" si="20"/>
        <v>様子見▼</v>
      </c>
      <c r="R93" s="166">
        <f t="shared" si="27"/>
        <v>5037</v>
      </c>
      <c r="S93" s="166">
        <f t="shared" si="28"/>
        <v>4477</v>
      </c>
      <c r="T93" s="163">
        <f t="shared" si="21"/>
        <v>7</v>
      </c>
      <c r="U93" s="163" t="str">
        <f t="shared" si="29"/>
        <v>要確認</v>
      </c>
      <c r="V93" s="163" t="str">
        <f t="shared" si="22"/>
        <v>通常</v>
      </c>
      <c r="W93" s="169">
        <f t="array" ref="W93">IF(C93&lt;&gt;"",IFERROR(100-100/(1+SUMPRODUCT((終値!F11:R11&gt;終値!G11:S11)*( 終値!F11:R11-終値!G11:S11))/SUMPRODUCT((終値!F11:R11&lt;終値!G11:S11)*(終値!G11:S11-終値!F11:R11))),50),"")</f>
        <v>61.924939467312342</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54.269347115693563</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 t="shared" si="30"/>
        <v>-1.4578491443059372</v>
      </c>
      <c r="AA93" s="163" t="str">
        <f t="shared" si="31"/>
        <v>下落▼</v>
      </c>
      <c r="AB93" s="405">
        <f>IF(C93="","",IFERROR(((終値!E95*0.333)+(終値!F95*0.222)+(終値!G95*0.148)+(終値!H95*0.099)+(終値!I95*0.066)+(終値!J95*0.044)+(終値!K95*0.029)+(終値!L95*0.019)+(終値!M95*0.013)+(終値!N95*0.009))/(0.333+0.222+0.148+0.099+0.066+0.044+0.029+0.019+0.013+0.009),""))</f>
        <v>1207.4124236252544</v>
      </c>
      <c r="AC93" s="405">
        <f>IF(C93="","",IFERROR(SUMPRODUCT((終値!E95:AC95),({0.077,0.071,0.065,0.06,0.055,0.051,0.047,0.043,0.039,0.036,0.033,0.031,0.028,0.026,0.024,0.022,0.02,0.018,0.017,0.016,0.014,0.013,0.012,0.011,0.01}))/SUM({0.077,0.071,0.065,0.06,0.055,0.051,0.047,0.043,0.039,0.036,0.033,0.031,0.028,0.026,0.024,0.022,0.02,0.018,0.017,0.016,0.014,0.013,0.012,0.011,0.01}),""))</f>
        <v>1196.3206197854586</v>
      </c>
      <c r="AD93" s="406" t="str">
        <f t="shared" si="23"/>
        <v>パーフェクト▲</v>
      </c>
      <c r="AE93" s="406" t="str">
        <f t="shared" si="24"/>
        <v>なし</v>
      </c>
      <c r="AF93" s="365">
        <f t="array" ref="AF93">IF(C93="","",IFERROR((INDEX(終値!$E:$E,MATCH(TEXT(C93,"0"),終値!$A:$A,0))-INDEX(終値!$E:$CZ,MATCH(TEXT(C93,"0"),終値!$A:$A,0),$AL$2))/INDEX(終値!$E:$CZ,MATCH(TEXT(C93,"0"),終値!$A:$A,0),$AL$2)*100,""))</f>
        <v>13.615023474178404</v>
      </c>
      <c r="AG93" s="365">
        <f t="array" ref="AG93">IFERROR((終値!$E$5-INDEX(終値!$E$5:$CZ$5,1,$AL$2))/INDEX(終値!$E$5:$CZ$5,1,$AL$2)*100,"")</f>
        <v>-0.82558151178043282</v>
      </c>
      <c r="AH93" s="366">
        <f t="shared" si="25"/>
        <v>14.440604985958837</v>
      </c>
      <c r="AI93" s="364">
        <f t="shared" si="26"/>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1763</v>
      </c>
      <c r="F94" s="166">
        <f>IF(C94&lt;&gt;"",_xll.RssMarket(C94,"始値"),"")</f>
        <v>1820</v>
      </c>
      <c r="G94" s="165">
        <f>IF(C94&lt;&gt;"",終値!F141,"")</f>
        <v>1485</v>
      </c>
      <c r="H94" s="166">
        <f>IF(C94&lt;&gt;"",_xll.RssMarket(C94,"高値"),"")</f>
        <v>1920</v>
      </c>
      <c r="I94" s="166">
        <f>IF(C94&lt;&gt;"",_xll.RssMarket(C94,"安値"),"")</f>
        <v>1757</v>
      </c>
      <c r="J94" s="166">
        <f>IF(C94&lt;&gt;"",_xll.RssMarket(C94,"出来高"),"")</f>
        <v>3397500</v>
      </c>
      <c r="K94" s="166">
        <f>IF(C94&lt;&gt;"",_xll.RssMarket(C94,"年初来高値"),"")</f>
        <v>3620</v>
      </c>
      <c r="L94" s="167">
        <f t="shared" si="17"/>
        <v>-51.298342541436462</v>
      </c>
      <c r="M94" s="166">
        <f>IF(C94&lt;&gt;"",IFERROR(AVERAGE(出来高!E141:I141),""),"")</f>
        <v>3125240</v>
      </c>
      <c r="N94" s="166">
        <f>IF(C94&lt;&gt;"",IFERROR(AVERAGE(出来高!E141:AC141),""),"")</f>
        <v>2872864</v>
      </c>
      <c r="O94" s="168">
        <f t="shared" si="18"/>
        <v>1.0871165094520741</v>
      </c>
      <c r="P94" s="163" t="str">
        <f t="shared" si="19"/>
        <v>普通→</v>
      </c>
      <c r="Q94" s="163" t="str">
        <f t="shared" si="20"/>
        <v>中立→</v>
      </c>
      <c r="R94" s="166">
        <f t="shared" si="27"/>
        <v>1904</v>
      </c>
      <c r="S94" s="166">
        <f t="shared" si="28"/>
        <v>1692</v>
      </c>
      <c r="T94" s="163">
        <f t="shared" si="21"/>
        <v>3</v>
      </c>
      <c r="U94" s="163" t="str">
        <f t="shared" si="29"/>
        <v>要確認</v>
      </c>
      <c r="V94" s="163" t="str">
        <f t="shared" si="22"/>
        <v>通常</v>
      </c>
      <c r="W94" s="169">
        <f t="array" ref="W94">IF(C94&lt;&gt;"",IFERROR(100-100/(1+SUMPRODUCT((終値!F141:R141&gt;終値!G141:S141)*( 終値!F141:R141-終値!G141:S141))/SUMPRODUCT((終値!F141:R141&lt;終値!G141:S141)*(終値!G141:S141-終値!F141:R141))),50),"")</f>
        <v>21.258134490238618</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-167.65458786255249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様子見</v>
      </c>
      <c r="Z94" s="171">
        <f t="shared" si="30"/>
        <v>18.72053872053872</v>
      </c>
      <c r="AA94" s="163" t="str">
        <f t="shared" si="31"/>
        <v>上昇▲</v>
      </c>
      <c r="AB94" s="403">
        <f>IF(C94="","",IFERROR(((終値!E96*0.333)+(終値!F96*0.222)+(終値!G96*0.148)+(終値!H96*0.099)+(終値!I96*0.066)+(終値!J96*0.044)+(終値!K96*0.029)+(終値!L96*0.019)+(終値!M96*0.013)+(終値!N96*0.009))/(0.333+0.222+0.148+0.099+0.066+0.044+0.029+0.019+0.013+0.009),""))</f>
        <v>15741.756619144602</v>
      </c>
      <c r="AC94" s="403">
        <f>IF(C94="","",IFERROR(SUMPRODUCT((終値!E96:AC96),({0.077,0.071,0.065,0.06,0.055,0.051,0.047,0.043,0.039,0.036,0.033,0.031,0.028,0.026,0.024,0.022,0.02,0.018,0.017,0.016,0.014,0.013,0.012,0.011,0.01}))/SUM({0.077,0.071,0.065,0.06,0.055,0.051,0.047,0.043,0.039,0.036,0.033,0.031,0.028,0.026,0.024,0.022,0.02,0.018,0.017,0.016,0.014,0.013,0.012,0.011,0.01}),""))</f>
        <v>17250.601907032171</v>
      </c>
      <c r="AD94" s="404" t="str">
        <f t="shared" si="23"/>
        <v>下降トレンド▼</v>
      </c>
      <c r="AE94" s="404" t="str">
        <f t="shared" si="24"/>
        <v>なし</v>
      </c>
      <c r="AF94" s="365">
        <f t="array" ref="AF94">IF(C94="","",IFERROR((INDEX(終値!$E:$E,MATCH(TEXT(C94,"0"),終値!$A:$A,0))-INDEX(終値!$E:$CZ,MATCH(TEXT(C94,"0"),終値!$A:$A,0),$AL$2))/INDEX(終値!$E:$CZ,MATCH(TEXT(C94,"0"),終値!$A:$A,0),$AL$2)*100,""))</f>
        <v>-41.193490054249551</v>
      </c>
      <c r="AG94" s="365">
        <f t="array" ref="AG94">IFERROR((終値!$E$5-INDEX(終値!$E$5:$CZ$5,1,$AL$2))/INDEX(終値!$E$5:$CZ$5,1,$AL$2)*100,"")</f>
        <v>-0.82558151178043282</v>
      </c>
      <c r="AH94" s="366">
        <f t="shared" si="25"/>
        <v>-40.367908542469117</v>
      </c>
      <c r="AI94" s="364">
        <f t="shared" si="26"/>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1709</v>
      </c>
      <c r="F95" s="166">
        <f>IF(C95&lt;&gt;"",_xll.RssMarket(C95,"始値"),"")</f>
        <v>1746</v>
      </c>
      <c r="G95" s="165">
        <f>IF(C95&lt;&gt;"",終値!F143,"")</f>
        <v>1500</v>
      </c>
      <c r="H95" s="166">
        <f>IF(C95&lt;&gt;"",_xll.RssMarket(C95,"高値"),"")</f>
        <v>1783</v>
      </c>
      <c r="I95" s="166">
        <f>IF(C95&lt;&gt;"",_xll.RssMarket(C95,"安値"),"")</f>
        <v>1653</v>
      </c>
      <c r="J95" s="166">
        <f>IF(C95&lt;&gt;"",_xll.RssMarket(C95,"出来高"),"")</f>
        <v>917000</v>
      </c>
      <c r="K95" s="166">
        <f>IF(C95&lt;&gt;"",_xll.RssMarket(C95,"年初来高値"),"")</f>
        <v>2580</v>
      </c>
      <c r="L95" s="167">
        <f t="shared" si="17"/>
        <v>-33.759689922480618</v>
      </c>
      <c r="M95" s="166">
        <f>IF(C95&lt;&gt;"",IFERROR(AVERAGE(出来高!E143:I143),""),"")</f>
        <v>1376860</v>
      </c>
      <c r="N95" s="166">
        <f>IF(C95&lt;&gt;"",IFERROR(AVERAGE(出来高!E143:AC143),""),"")</f>
        <v>2618592</v>
      </c>
      <c r="O95" s="168">
        <f t="shared" si="18"/>
        <v>0.66600816350246217</v>
      </c>
      <c r="P95" s="163" t="str">
        <f t="shared" si="19"/>
        <v>減少↓</v>
      </c>
      <c r="Q95" s="163" t="str">
        <f t="shared" si="20"/>
        <v>中立→</v>
      </c>
      <c r="R95" s="166">
        <f t="shared" si="27"/>
        <v>1846</v>
      </c>
      <c r="S95" s="166">
        <f t="shared" si="28"/>
        <v>1641</v>
      </c>
      <c r="T95" s="163">
        <f t="shared" si="21"/>
        <v>6</v>
      </c>
      <c r="U95" s="163" t="str">
        <f t="shared" si="29"/>
        <v>要確認</v>
      </c>
      <c r="V95" s="163" t="str">
        <f t="shared" si="22"/>
        <v>通常</v>
      </c>
      <c r="W95" s="169">
        <f t="array" ref="W95">IF(C95&lt;&gt;"",IFERROR(100-100/(1+SUMPRODUCT((終値!F143:R143&gt;終値!G143:S143)*( 終値!F143:R143-終値!G143:S143))/SUMPRODUCT((終値!F143:R143&lt;終値!G143:S143)*(終値!G143:S143-終値!F143:R143))),50),"")</f>
        <v>37.525987525987524</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-47.364708504650253</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△注目</v>
      </c>
      <c r="Z95" s="171">
        <f t="shared" si="30"/>
        <v>13.933333333333334</v>
      </c>
      <c r="AA95" s="163" t="str">
        <f t="shared" si="31"/>
        <v>上昇▲</v>
      </c>
      <c r="AB95" s="405">
        <f>IF(C95="","",IFERROR(((終値!E97*0.333)+(終値!F97*0.222)+(終値!G97*0.148)+(終値!H97*0.099)+(終値!I97*0.066)+(終値!J97*0.044)+(終値!K97*0.029)+(終値!L97*0.019)+(終値!M97*0.013)+(終値!N97*0.009))/(0.333+0.222+0.148+0.099+0.066+0.044+0.029+0.019+0.013+0.009),""))</f>
        <v>4191.3828920570259</v>
      </c>
      <c r="AC95" s="405">
        <f>IF(C95="","",IFERROR(SUMPRODUCT((終値!E97:AC97),({0.077,0.071,0.065,0.06,0.055,0.051,0.047,0.043,0.039,0.036,0.033,0.031,0.028,0.026,0.024,0.022,0.02,0.018,0.017,0.016,0.014,0.013,0.012,0.011,0.01}))/SUM({0.077,0.071,0.065,0.06,0.055,0.051,0.047,0.043,0.039,0.036,0.033,0.031,0.028,0.026,0.024,0.022,0.02,0.018,0.017,0.016,0.014,0.013,0.012,0.011,0.01}),""))</f>
        <v>4371.8796185935626</v>
      </c>
      <c r="AD95" s="406" t="str">
        <f t="shared" si="23"/>
        <v>下降トレンド▼</v>
      </c>
      <c r="AE95" s="406" t="str">
        <f t="shared" si="24"/>
        <v>なし</v>
      </c>
      <c r="AF95" s="365">
        <f t="array" ref="AF95">IF(C95="","",IFERROR((INDEX(終値!$E:$E,MATCH(TEXT(C95,"0"),終値!$A:$A,0))-INDEX(終値!$E:$CZ,MATCH(TEXT(C95,"0"),終値!$A:$A,0),$AL$2))/INDEX(終値!$E:$CZ,MATCH(TEXT(C95,"0"),終値!$A:$A,0),$AL$2)*100,""))</f>
        <v>73.398058252427191</v>
      </c>
      <c r="AG95" s="365">
        <f t="array" ref="AG95">IFERROR((終値!$E$5-INDEX(終値!$E$5:$CZ$5,1,$AL$2))/INDEX(終値!$E$5:$CZ$5,1,$AL$2)*100,"")</f>
        <v>-0.82558151178043282</v>
      </c>
      <c r="AH95" s="366">
        <f t="shared" si="25"/>
        <v>74.223639764207618</v>
      </c>
      <c r="AI95" s="364">
        <f t="shared" si="26"/>
        <v>3</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6080</v>
      </c>
      <c r="F96" s="166">
        <f>IF(C96&lt;&gt;"",_xll.RssMarket(C96,"始値"),"")</f>
        <v>5990</v>
      </c>
      <c r="G96" s="165">
        <f>IF(C96&lt;&gt;"",終値!F151,"")</f>
        <v>5500</v>
      </c>
      <c r="H96" s="166">
        <f>IF(C96&lt;&gt;"",_xll.RssMarket(C96,"高値"),"")</f>
        <v>6190</v>
      </c>
      <c r="I96" s="166">
        <f>IF(C96&lt;&gt;"",_xll.RssMarket(C96,"安値"),"")</f>
        <v>5920</v>
      </c>
      <c r="J96" s="166">
        <f>IF(C96&lt;&gt;"",_xll.RssMarket(C96,"出来高"),"")</f>
        <v>164700</v>
      </c>
      <c r="K96" s="166">
        <f>IF(C96&lt;&gt;"",_xll.RssMarket(C96,"年初来高値"),"")</f>
        <v>7880</v>
      </c>
      <c r="L96" s="167">
        <f t="shared" si="17"/>
        <v>-22.842639593908629</v>
      </c>
      <c r="M96" s="166">
        <f>IF(C96&lt;&gt;"",IFERROR(AVERAGE(出来高!E151:I151),""),"")</f>
        <v>387100</v>
      </c>
      <c r="N96" s="166">
        <f>IF(C96&lt;&gt;"",IFERROR(AVERAGE(出来高!E151:AC151),""),"")</f>
        <v>187437.5</v>
      </c>
      <c r="O96" s="168">
        <f t="shared" si="18"/>
        <v>0.42547145440454665</v>
      </c>
      <c r="P96" s="163" t="str">
        <f t="shared" si="19"/>
        <v>減少↓</v>
      </c>
      <c r="Q96" s="163" t="str">
        <f t="shared" si="20"/>
        <v>中立→</v>
      </c>
      <c r="R96" s="166">
        <f t="shared" si="27"/>
        <v>6566</v>
      </c>
      <c r="S96" s="166">
        <f t="shared" si="28"/>
        <v>5837</v>
      </c>
      <c r="T96" s="163">
        <f t="shared" si="21"/>
        <v>3</v>
      </c>
      <c r="U96" s="163" t="str">
        <f t="shared" si="29"/>
        <v>要確認</v>
      </c>
      <c r="V96" s="163" t="str">
        <f t="shared" si="22"/>
        <v>通常</v>
      </c>
      <c r="W96" s="169">
        <f t="array" ref="W96">IF(C96&lt;&gt;"",IFERROR(100-100/(1+SUMPRODUCT((終値!F151:R151&gt;終値!G151:S151)*( 終値!F151:R151-終値!G151:S151))/SUMPRODUCT((終値!F151:R151&lt;終値!G151:S151)*(終値!G151:S151-終値!F151:R151))),50),"")</f>
        <v>48.363095238095241</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-134.74755113656283</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様子見</v>
      </c>
      <c r="Z96" s="171">
        <f t="shared" si="30"/>
        <v>10.545454545454545</v>
      </c>
      <c r="AA96" s="163" t="str">
        <f t="shared" si="31"/>
        <v>上昇▲</v>
      </c>
      <c r="AB96" s="403">
        <f>IF(C96="","",IFERROR(((終値!E98*0.333)+(終値!F98*0.222)+(終値!G98*0.148)+(終値!H98*0.099)+(終値!I98*0.066)+(終値!J98*0.044)+(終値!K98*0.029)+(終値!L98*0.019)+(終値!M98*0.013)+(終値!N98*0.009))/(0.333+0.222+0.148+0.099+0.066+0.044+0.029+0.019+0.013+0.009),""))</f>
        <v>1122.4648676171078</v>
      </c>
      <c r="AC96" s="403">
        <f>IF(C96="","",IFERROR(SUMPRODUCT((終値!E98:AC98),({0.077,0.071,0.065,0.06,0.055,0.051,0.047,0.043,0.039,0.036,0.033,0.031,0.028,0.026,0.024,0.022,0.02,0.018,0.017,0.016,0.014,0.013,0.012,0.011,0.01}))/SUM({0.077,0.071,0.065,0.06,0.055,0.051,0.047,0.043,0.039,0.036,0.033,0.031,0.028,0.026,0.024,0.022,0.02,0.018,0.017,0.016,0.014,0.013,0.012,0.011,0.01}),""))</f>
        <v>1108.2586412395706</v>
      </c>
      <c r="AD96" s="404" t="str">
        <f t="shared" si="23"/>
        <v>パーフェクト▲</v>
      </c>
      <c r="AE96" s="404" t="str">
        <f t="shared" si="24"/>
        <v>なし</v>
      </c>
      <c r="AF96" s="365">
        <f t="array" ref="AF96">IF(C96="","",IFERROR((INDEX(終値!$E:$E,MATCH(TEXT(C96,"0"),終値!$A:$A,0))-INDEX(終値!$E:$CZ,MATCH(TEXT(C96,"0"),終値!$A:$A,0),$AL$2))/INDEX(終値!$E:$CZ,MATCH(TEXT(C96,"0"),終値!$A:$A,0),$AL$2)*100,""))</f>
        <v>-14.545454545454545</v>
      </c>
      <c r="AG96" s="365">
        <f t="array" ref="AG96">IFERROR((終値!$E$5-INDEX(終値!$E$5:$CZ$5,1,$AL$2))/INDEX(終値!$E$5:$CZ$5,1,$AL$2)*100,"")</f>
        <v>-0.82558151178043282</v>
      </c>
      <c r="AH96" s="366">
        <f t="shared" si="25"/>
        <v>-13.719873033674112</v>
      </c>
      <c r="AI96" s="364">
        <f t="shared" si="26"/>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14950</v>
      </c>
      <c r="F97" s="166">
        <f>IF(C97&lt;&gt;"",_xll.RssMarket(C97,"始値"),"")</f>
        <v>14450</v>
      </c>
      <c r="G97" s="165">
        <f>IF(C97&lt;&gt;"",終値!F183,"")</f>
        <v>13450</v>
      </c>
      <c r="H97" s="166">
        <f>IF(C97&lt;&gt;"",_xll.RssMarket(C97,"高値"),"")</f>
        <v>15060</v>
      </c>
      <c r="I97" s="166">
        <f>IF(C97&lt;&gt;"",_xll.RssMarket(C97,"安値"),"")</f>
        <v>14150</v>
      </c>
      <c r="J97" s="166">
        <f>IF(C97&lt;&gt;"",_xll.RssMarket(C97,"出来高"),"")</f>
        <v>128300</v>
      </c>
      <c r="K97" s="166">
        <f>IF(C97&lt;&gt;"",_xll.RssMarket(C97,"年初来高値"),"")</f>
        <v>16900</v>
      </c>
      <c r="L97" s="167">
        <f t="shared" si="17"/>
        <v>-11.538461538461538</v>
      </c>
      <c r="M97" s="166">
        <f>IF(C97&lt;&gt;"",IFERROR(AVERAGE(出来高!E183:I183),""),"")</f>
        <v>203220</v>
      </c>
      <c r="N97" s="166">
        <f>IF(C97&lt;&gt;"",IFERROR(AVERAGE(出来高!E183:AC183),""),"")</f>
        <v>154228</v>
      </c>
      <c r="O97" s="168">
        <f t="shared" si="18"/>
        <v>0.63133549847455961</v>
      </c>
      <c r="P97" s="163" t="str">
        <f t="shared" si="19"/>
        <v>減少↓</v>
      </c>
      <c r="Q97" s="163" t="str">
        <f t="shared" si="20"/>
        <v>中立→</v>
      </c>
      <c r="R97" s="166">
        <f t="shared" si="27"/>
        <v>16146</v>
      </c>
      <c r="S97" s="166">
        <f t="shared" si="28"/>
        <v>14352</v>
      </c>
      <c r="T97" s="163">
        <f t="shared" si="21"/>
        <v>3</v>
      </c>
      <c r="U97" s="163" t="str">
        <f t="shared" si="29"/>
        <v>要確認</v>
      </c>
      <c r="V97" s="163" t="str">
        <f t="shared" si="22"/>
        <v>通常</v>
      </c>
      <c r="W97" s="169">
        <f t="array" ref="W97">IF(C97&lt;&gt;"",IFERROR(100-100/(1+SUMPRODUCT((終値!F183:R183&gt;終値!G183:S183)*( 終値!F183:R183-終値!G183:S183))/SUMPRODUCT((終値!F183:R183&lt;終値!G183:S183)*(終値!G183:S183-終値!F183:R183))),50),"")</f>
        <v>43.768545994065285</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-267.56009218313011</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様子見</v>
      </c>
      <c r="Z97" s="171">
        <f t="shared" si="30"/>
        <v>11.152416356877323</v>
      </c>
      <c r="AA97" s="163" t="str">
        <f t="shared" si="31"/>
        <v>上昇▲</v>
      </c>
      <c r="AB97" s="405">
        <f>IF(C97="","",IFERROR(((終値!E99*0.333)+(終値!F99*0.222)+(終値!G99*0.148)+(終値!H99*0.099)+(終値!I99*0.066)+(終値!J99*0.044)+(終値!K99*0.029)+(終値!L99*0.019)+(終値!M99*0.013)+(終値!N99*0.009))/(0.333+0.222+0.148+0.099+0.066+0.044+0.029+0.019+0.013+0.009),""))</f>
        <v>4746.0132382892043</v>
      </c>
      <c r="AC97" s="405">
        <f>IF(C97="","",IFERROR(SUMPRODUCT((終値!E99:AC99),({0.077,0.071,0.065,0.06,0.055,0.051,0.047,0.043,0.039,0.036,0.033,0.031,0.028,0.026,0.024,0.022,0.02,0.018,0.017,0.016,0.014,0.013,0.012,0.011,0.01}))/SUM({0.077,0.071,0.065,0.06,0.055,0.051,0.047,0.043,0.039,0.036,0.033,0.031,0.028,0.026,0.024,0.022,0.02,0.018,0.017,0.016,0.014,0.013,0.012,0.011,0.01}),""))</f>
        <v>4606.6853396901051</v>
      </c>
      <c r="AD97" s="406" t="str">
        <f t="shared" si="23"/>
        <v>パーフェクト▲</v>
      </c>
      <c r="AE97" s="406" t="str">
        <f t="shared" si="24"/>
        <v>なし</v>
      </c>
      <c r="AF97" s="365">
        <f t="array" ref="AF97">IF(C97="","",IFERROR((INDEX(終値!$E:$E,MATCH(TEXT(C97,"0"),終値!$A:$A,0))-INDEX(終値!$E:$CZ,MATCH(TEXT(C97,"0"),終値!$A:$A,0),$AL$2))/INDEX(終値!$E:$CZ,MATCH(TEXT(C97,"0"),終値!$A:$A,0),$AL$2)*100,""))</f>
        <v>-8.0655737704918025</v>
      </c>
      <c r="AG97" s="365">
        <f t="array" ref="AG97">IFERROR((終値!$E$5-INDEX(終値!$E$5:$CZ$5,1,$AL$2))/INDEX(終値!$E$5:$CZ$5,1,$AL$2)*100,"")</f>
        <v>-0.82558151178043282</v>
      </c>
      <c r="AH97" s="366">
        <f t="shared" si="25"/>
        <v>-7.2399922587113696</v>
      </c>
      <c r="AI97" s="364">
        <f t="shared" si="26"/>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5374</v>
      </c>
      <c r="F98" s="166">
        <f>IF(C98&lt;&gt;"",_xll.RssMarket(C98,"始値"),"")</f>
        <v>5231</v>
      </c>
      <c r="G98" s="165">
        <f>IF(C98&lt;&gt;"",終値!F201,"")</f>
        <v>4935</v>
      </c>
      <c r="H98" s="166">
        <f>IF(C98&lt;&gt;"",_xll.RssMarket(C98,"高値"),"")</f>
        <v>5405</v>
      </c>
      <c r="I98" s="166">
        <f>IF(C98&lt;&gt;"",_xll.RssMarket(C98,"安値"),"")</f>
        <v>5211</v>
      </c>
      <c r="J98" s="166">
        <f>IF(C98&lt;&gt;"",_xll.RssMarket(C98,"出来高"),"")</f>
        <v>5132000</v>
      </c>
      <c r="K98" s="166">
        <f>IF(C98&lt;&gt;"",_xll.RssMarket(C98,"年初来高値"),"")</f>
        <v>7915</v>
      </c>
      <c r="L98" s="167">
        <f t="shared" si="17"/>
        <v>-32.103600758054327</v>
      </c>
      <c r="M98" s="166">
        <f>IF(C98&lt;&gt;"",IFERROR(AVERAGE(出来高!E201:I201),""),"")</f>
        <v>7039340</v>
      </c>
      <c r="N98" s="166">
        <f>IF(C98&lt;&gt;"",IFERROR(AVERAGE(出来高!E201:AC201),""),"")</f>
        <v>7786780</v>
      </c>
      <c r="O98" s="168">
        <f t="shared" si="18"/>
        <v>0.72904562075421842</v>
      </c>
      <c r="P98" s="163" t="str">
        <f t="shared" si="19"/>
        <v>減少↓</v>
      </c>
      <c r="Q98" s="163" t="str">
        <f t="shared" si="20"/>
        <v>中立→</v>
      </c>
      <c r="R98" s="166">
        <f t="shared" si="27"/>
        <v>5804</v>
      </c>
      <c r="S98" s="166">
        <f t="shared" si="28"/>
        <v>5159</v>
      </c>
      <c r="T98" s="163">
        <f t="shared" si="21"/>
        <v>4</v>
      </c>
      <c r="U98" s="163" t="str">
        <f t="shared" si="29"/>
        <v>要確認</v>
      </c>
      <c r="V98" s="163" t="str">
        <f t="shared" si="22"/>
        <v>通常</v>
      </c>
      <c r="W98" s="169">
        <f t="array" ref="W98">IF(C98&lt;&gt;"",IFERROR(100-100/(1+SUMPRODUCT((終値!F201:R201&gt;終値!G201:S201)*( 終値!F201:R201-終値!G201:S201))/SUMPRODUCT((終値!F201:R201&lt;終値!G201:S201)*(終値!G201:S201-終値!F201:R201))),50),"")</f>
        <v>30.396975425330808</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-239.39750397032276</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様子見</v>
      </c>
      <c r="Z98" s="171">
        <f t="shared" si="30"/>
        <v>8.8956433637284693</v>
      </c>
      <c r="AA98" s="163" t="str">
        <f t="shared" si="31"/>
        <v>上昇▲</v>
      </c>
      <c r="AB98" s="403">
        <f>IF(C98="","",IFERROR(((終値!E100*0.333)+(終値!F100*0.222)+(終値!G100*0.148)+(終値!H100*0.099)+(終値!I100*0.066)+(終値!J100*0.044)+(終値!K100*0.029)+(終値!L100*0.019)+(終値!M100*0.013)+(終値!N100*0.009))/(0.333+0.222+0.148+0.099+0.066+0.044+0.029+0.019+0.013+0.009),""))</f>
        <v>2319.3874745417511</v>
      </c>
      <c r="AC98" s="403">
        <f>IF(C98="","",IFERROR(SUMPRODUCT((終値!E100:AC100),({0.077,0.071,0.065,0.06,0.055,0.051,0.047,0.043,0.039,0.036,0.033,0.031,0.028,0.026,0.024,0.022,0.02,0.018,0.017,0.016,0.014,0.013,0.012,0.011,0.01}))/SUM({0.077,0.071,0.065,0.06,0.055,0.051,0.047,0.043,0.039,0.036,0.033,0.031,0.028,0.026,0.024,0.022,0.02,0.018,0.017,0.016,0.014,0.013,0.012,0.011,0.01}),""))</f>
        <v>2282.6698450536342</v>
      </c>
      <c r="AD98" s="404" t="str">
        <f t="shared" si="23"/>
        <v>パーフェクト▲</v>
      </c>
      <c r="AE98" s="404" t="str">
        <f t="shared" si="24"/>
        <v>なし</v>
      </c>
      <c r="AF98" s="365">
        <f t="array" ref="AF98">IF(C98="","",IFERROR((INDEX(終値!$E:$E,MATCH(TEXT(C98,"0"),終値!$A:$A,0))-INDEX(終値!$E:$CZ,MATCH(TEXT(C98,"0"),終値!$A:$A,0),$AL$2))/INDEX(終値!$E:$CZ,MATCH(TEXT(C98,"0"),終値!$A:$A,0),$AL$2)*100,""))</f>
        <v>-25.630252100840334</v>
      </c>
      <c r="AG98" s="365">
        <f t="array" ref="AG98">IFERROR((終値!$E$5-INDEX(終値!$E$5:$CZ$5,1,$AL$2))/INDEX(終値!$E$5:$CZ$5,1,$AL$2)*100,"")</f>
        <v>-0.82558151178043282</v>
      </c>
      <c r="AH98" s="366">
        <f t="shared" si="25"/>
        <v>-24.804670589059903</v>
      </c>
      <c r="AI98" s="364">
        <f t="shared" si="26"/>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5838</v>
      </c>
      <c r="F99" s="166">
        <f>IF(C99&lt;&gt;"",_xll.RssMarket(C99,"始値"),"")</f>
        <v>5748</v>
      </c>
      <c r="G99" s="165">
        <f>IF(C99&lt;&gt;"",終値!F68,"")</f>
        <v>5536</v>
      </c>
      <c r="H99" s="166">
        <f>IF(C99&lt;&gt;"",_xll.RssMarket(C99,"高値"),"")</f>
        <v>5838</v>
      </c>
      <c r="I99" s="166">
        <f>IF(C99&lt;&gt;"",_xll.RssMarket(C99,"安値"),"")</f>
        <v>5678</v>
      </c>
      <c r="J99" s="166">
        <f>IF(C99&lt;&gt;"",_xll.RssMarket(C99,"出来高"),"")</f>
        <v>3886800</v>
      </c>
      <c r="K99" s="166">
        <f>IF(C99&lt;&gt;"",_xll.RssMarket(C99,"年初来高値"),"")</f>
        <v>6686</v>
      </c>
      <c r="L99" s="167">
        <f t="shared" si="17"/>
        <v>-12.683218665868981</v>
      </c>
      <c r="M99" s="166">
        <f>IF(C99&lt;&gt;"",IFERROR(AVERAGE(出来高!E68:I68),""),"")</f>
        <v>9564920</v>
      </c>
      <c r="N99" s="166">
        <f>IF(C99&lt;&gt;"",IFERROR(AVERAGE(出来高!E68:AC68),""),"")</f>
        <v>5944676</v>
      </c>
      <c r="O99" s="168">
        <f t="shared" si="18"/>
        <v>0.40635990682619405</v>
      </c>
      <c r="P99" s="163" t="str">
        <f t="shared" si="19"/>
        <v>減少↓</v>
      </c>
      <c r="Q99" s="163" t="str">
        <f t="shared" si="20"/>
        <v>中立→</v>
      </c>
      <c r="R99" s="166">
        <f t="shared" si="27"/>
        <v>6305</v>
      </c>
      <c r="S99" s="166">
        <f t="shared" si="28"/>
        <v>5604</v>
      </c>
      <c r="T99" s="163">
        <f t="shared" si="21"/>
        <v>4</v>
      </c>
      <c r="U99" s="163" t="str">
        <f t="shared" si="29"/>
        <v>要確認</v>
      </c>
      <c r="V99" s="163" t="str">
        <f t="shared" si="22"/>
        <v>通常</v>
      </c>
      <c r="W99" s="169">
        <f t="array" ref="W99">IF(C99&lt;&gt;"",IFERROR(100-100/(1+SUMPRODUCT((終値!F68:R68&gt;終値!G68:S68)*( 終値!F68:R68-終値!G68:S68))/SUMPRODUCT((終値!F68:R68&lt;終値!G68:S68)*(終値!G68:S68-終値!F68:R68))),50),"")</f>
        <v>47.963302752293579</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-36.820744390797699</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 t="shared" si="30"/>
        <v>5.4552023121387281</v>
      </c>
      <c r="AA99" s="163" t="str">
        <f t="shared" si="31"/>
        <v>上昇▲</v>
      </c>
      <c r="AB99" s="405">
        <f>IF(C99="","",IFERROR(((終値!E101*0.333)+(終値!F101*0.222)+(終値!G101*0.148)+(終値!H101*0.099)+(終値!I101*0.066)+(終値!J101*0.044)+(終値!K101*0.029)+(終値!L101*0.019)+(終値!M101*0.013)+(終値!N101*0.009))/(0.333+0.222+0.148+0.099+0.066+0.044+0.029+0.019+0.013+0.009),""))</f>
        <v>2944.9246435845203</v>
      </c>
      <c r="AC99" s="405">
        <f>IF(C99="","",IFERROR(SUMPRODUCT((終値!E101:AC101),({0.077,0.071,0.065,0.06,0.055,0.051,0.047,0.043,0.039,0.036,0.033,0.031,0.028,0.026,0.024,0.022,0.02,0.018,0.017,0.016,0.014,0.013,0.012,0.011,0.01}))/SUM({0.077,0.071,0.065,0.06,0.055,0.051,0.047,0.043,0.039,0.036,0.033,0.031,0.028,0.026,0.024,0.022,0.02,0.018,0.017,0.016,0.014,0.013,0.012,0.011,0.01}),""))</f>
        <v>2679.073301549462</v>
      </c>
      <c r="AD99" s="406" t="str">
        <f t="shared" ref="AD99:AD130" si="32">IF(OR(C99="",AB99="",AC99=""),"",IF(AND(E99&gt;AB99,AB99&gt;AC99),"パーフェクト▲",IF(E99&gt;AC99,"上昇トレンド▲",IF(AND(E99&lt;AB99,AB99&lt;AC99),"下降トレンド▼","もみ合い→"))))</f>
        <v>パーフェクト▲</v>
      </c>
      <c r="AE99" s="406" t="str">
        <f t="shared" ref="AE99:AE130" si="33">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-3.6006825938566549</v>
      </c>
      <c r="AG99" s="365">
        <f t="array" ref="AG99">IFERROR((終値!$E$5-INDEX(終値!$E$5:$CZ$5,1,$AL$2))/INDEX(終値!$E$5:$CZ$5,1,$AL$2)*100,"")</f>
        <v>-0.82558151178043282</v>
      </c>
      <c r="AH99" s="366">
        <f t="shared" si="25"/>
        <v>-2.7751010820762221</v>
      </c>
      <c r="AI99" s="364">
        <f t="shared" si="26"/>
        <v>-1</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5472</v>
      </c>
      <c r="F100" s="166">
        <f>IF(C100&lt;&gt;"",_xll.RssMarket(C100,"始値"),"")</f>
        <v>5425</v>
      </c>
      <c r="G100" s="165">
        <f>IF(C100&lt;&gt;"",終値!F91,"")</f>
        <v>5301</v>
      </c>
      <c r="H100" s="166">
        <f>IF(C100&lt;&gt;"",_xll.RssMarket(C100,"高値"),"")</f>
        <v>5473</v>
      </c>
      <c r="I100" s="166">
        <f>IF(C100&lt;&gt;"",_xll.RssMarket(C100,"安値"),"")</f>
        <v>5314</v>
      </c>
      <c r="J100" s="166">
        <f>IF(C100&lt;&gt;"",_xll.RssMarket(C100,"出来高"),"")</f>
        <v>9062200</v>
      </c>
      <c r="K100" s="166">
        <f>IF(C100&lt;&gt;"",_xll.RssMarket(C100,"年初来高値"),"")</f>
        <v>6039</v>
      </c>
      <c r="L100" s="167">
        <f t="shared" si="17"/>
        <v>-9.3889716840536508</v>
      </c>
      <c r="M100" s="166">
        <f>IF(C100&lt;&gt;"",IFERROR(AVERAGE(出来高!E91:I91),""),"")</f>
        <v>17547820</v>
      </c>
      <c r="N100" s="166">
        <f>IF(C100&lt;&gt;"",IFERROR(AVERAGE(出来高!E91:AC91),""),"")</f>
        <v>12582104</v>
      </c>
      <c r="O100" s="168">
        <f t="shared" si="18"/>
        <v>0.51642882135786672</v>
      </c>
      <c r="P100" s="163" t="str">
        <f t="shared" si="19"/>
        <v>減少↓</v>
      </c>
      <c r="Q100" s="163" t="str">
        <f t="shared" si="20"/>
        <v>中立→</v>
      </c>
      <c r="R100" s="166">
        <f t="shared" si="27"/>
        <v>5910</v>
      </c>
      <c r="S100" s="166">
        <f t="shared" si="28"/>
        <v>5253</v>
      </c>
      <c r="T100" s="163">
        <f t="shared" si="21"/>
        <v>0</v>
      </c>
      <c r="U100" s="163" t="str">
        <f t="shared" si="29"/>
        <v>除外</v>
      </c>
      <c r="V100" s="163" t="str">
        <f t="shared" si="22"/>
        <v>通常</v>
      </c>
      <c r="W100" s="169">
        <f t="array" ref="W100">IF(C100&lt;&gt;"",IFERROR(100-100/(1+SUMPRODUCT((終値!F91:R91&gt;終値!G91:S91)*( 終値!F91:R91-終値!G91:S91))/SUMPRODUCT((終値!F91:R91&lt;終値!G91:S91)*(終値!G91:S91-終値!F91:R91))),50),"")</f>
        <v>78.425655976676381</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70.089920354725109</v>
      </c>
      <c r="Y100" s="1" t="e">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#DIV/0!</v>
      </c>
      <c r="Z100" s="171">
        <f t="shared" si="30"/>
        <v>3.225806451612903</v>
      </c>
      <c r="AA100" s="163" t="str">
        <f t="shared" si="31"/>
        <v>上昇▲</v>
      </c>
      <c r="AB100" s="403">
        <f>IF(C100="","",IFERROR(((終値!E102*0.333)+(終値!F102*0.222)+(終値!G102*0.148)+(終値!H102*0.099)+(終値!I102*0.066)+(終値!J102*0.044)+(終値!K102*0.029)+(終値!L102*0.019)+(終値!M102*0.013)+(終値!N102*0.009))/(0.333+0.222+0.148+0.099+0.066+0.044+0.029+0.019+0.013+0.009),""))</f>
        <v>0</v>
      </c>
      <c r="AC100" s="403">
        <f>IF(C100="","",IFERROR(SUMPRODUCT((終値!E102:AC102),({0.077,0.071,0.065,0.06,0.055,0.051,0.047,0.043,0.039,0.036,0.033,0.031,0.028,0.026,0.024,0.022,0.02,0.018,0.017,0.016,0.014,0.013,0.012,0.011,0.01}))/SUM({0.077,0.071,0.065,0.06,0.055,0.051,0.047,0.043,0.039,0.036,0.033,0.031,0.028,0.026,0.024,0.022,0.02,0.018,0.017,0.016,0.014,0.013,0.012,0.011,0.01}),""))</f>
        <v>0</v>
      </c>
      <c r="AD100" s="404" t="str">
        <f t="shared" si="32"/>
        <v>上昇トレンド▲</v>
      </c>
      <c r="AE100" s="404" t="e">
        <f t="shared" si="33"/>
        <v>#DIV/0!</v>
      </c>
      <c r="AF100" s="365">
        <f t="array" ref="AF100">IF(C100="","",IFERROR((INDEX(終値!$E:$E,MATCH(TEXT(C100,"0"),終値!$A:$A,0))-INDEX(終値!$E:$CZ,MATCH(TEXT(C100,"0"),終値!$A:$A,0),$AL$2))/INDEX(終値!$E:$CZ,MATCH(TEXT(C100,"0"),終値!$A:$A,0),$AL$2)*100,""))</f>
        <v>20.641997325011147</v>
      </c>
      <c r="AG100" s="365">
        <f t="array" ref="AG100">IFERROR((終値!$E$5-INDEX(終値!$E$5:$CZ$5,1,$AL$2))/INDEX(終値!$E$5:$CZ$5,1,$AL$2)*100,"")</f>
        <v>-0.82558151178043282</v>
      </c>
      <c r="AH100" s="366">
        <f t="shared" si="25"/>
        <v>21.467578836791581</v>
      </c>
      <c r="AI100" s="364">
        <f t="shared" si="26"/>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4100</v>
      </c>
      <c r="F101" s="166">
        <f>IF(C101&lt;&gt;"",_xll.RssMarket(C101,"始値"),"")</f>
        <v>3927</v>
      </c>
      <c r="G101" s="165">
        <f>IF(C101&lt;&gt;"",終値!F79,"")</f>
        <v>3765</v>
      </c>
      <c r="H101" s="166">
        <f>IF(C101&lt;&gt;"",_xll.RssMarket(C101,"高値"),"")</f>
        <v>4126</v>
      </c>
      <c r="I101" s="166">
        <f>IF(C101&lt;&gt;"",_xll.RssMarket(C101,"安値"),"")</f>
        <v>3913</v>
      </c>
      <c r="J101" s="166">
        <f>IF(C101&lt;&gt;"",_xll.RssMarket(C101,"出来高"),"")</f>
        <v>2553100</v>
      </c>
      <c r="K101" s="166">
        <f>IF(C101&lt;&gt;"",_xll.RssMarket(C101,"年初来高値"),"")</f>
        <v>5307</v>
      </c>
      <c r="L101" s="167">
        <f t="shared" si="17"/>
        <v>-22.743546259657059</v>
      </c>
      <c r="M101" s="166">
        <f>IF(C101&lt;&gt;"",IFERROR(AVERAGE(出来高!E79:I79),""),"")</f>
        <v>3287060</v>
      </c>
      <c r="N101" s="166">
        <f>IF(C101&lt;&gt;"",IFERROR(AVERAGE(出来高!E79:AC79),""),"")</f>
        <v>3297892</v>
      </c>
      <c r="O101" s="168">
        <f t="shared" si="18"/>
        <v>0.77671232043224037</v>
      </c>
      <c r="P101" s="163" t="str">
        <f t="shared" si="19"/>
        <v>減少↓</v>
      </c>
      <c r="Q101" s="163" t="str">
        <f t="shared" si="20"/>
        <v>中立→</v>
      </c>
      <c r="R101" s="166">
        <f t="shared" si="27"/>
        <v>4428</v>
      </c>
      <c r="S101" s="166">
        <f t="shared" si="28"/>
        <v>3936</v>
      </c>
      <c r="T101" s="163">
        <f t="shared" si="21"/>
        <v>1</v>
      </c>
      <c r="U101" s="163" t="str">
        <f t="shared" si="29"/>
        <v>除外</v>
      </c>
      <c r="V101" s="163" t="str">
        <f t="shared" si="22"/>
        <v>通常</v>
      </c>
      <c r="W101" s="169">
        <f t="array" ref="W101">IF(C101&lt;&gt;"",IFERROR(100-100/(1+SUMPRODUCT((終値!F79:R79&gt;終値!G79:S79)*( 終値!F79:R79-終値!G79:S79))/SUMPRODUCT((終値!F79:R79&lt;終値!G79:S79)*(終値!G79:S79-終値!F79:R79))),50),"")</f>
        <v>34.776006074411541</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-101.80795776133436</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 t="shared" si="30"/>
        <v>8.897742363877823</v>
      </c>
      <c r="AA101" s="163" t="str">
        <f t="shared" si="31"/>
        <v>上昇▲</v>
      </c>
      <c r="AB101" s="405">
        <f>IF(C101="","",IFERROR(((終値!E103*0.333)+(終値!F103*0.222)+(終値!G103*0.148)+(終値!H103*0.099)+(終値!I103*0.066)+(終値!J103*0.044)+(終値!K103*0.029)+(終値!L103*0.019)+(終値!M103*0.013)+(終値!N103*0.009))/(0.333+0.222+0.148+0.099+0.066+0.044+0.029+0.019+0.013+0.009),""))</f>
        <v>4300.9307535641537</v>
      </c>
      <c r="AC101" s="405">
        <f>IF(C101="","",IFERROR(SUMPRODUCT((終値!E103:AC103),({0.077,0.071,0.065,0.06,0.055,0.051,0.047,0.043,0.039,0.036,0.033,0.031,0.028,0.026,0.024,0.022,0.02,0.018,0.017,0.016,0.014,0.013,0.012,0.011,0.01}))/SUM({0.077,0.071,0.065,0.06,0.055,0.051,0.047,0.043,0.039,0.036,0.033,0.031,0.028,0.026,0.024,0.022,0.02,0.018,0.017,0.016,0.014,0.013,0.012,0.011,0.01}),""))</f>
        <v>4553.9976162097728</v>
      </c>
      <c r="AD101" s="406" t="str">
        <f t="shared" si="32"/>
        <v>下降トレンド▼</v>
      </c>
      <c r="AE101" s="406" t="str">
        <f t="shared" si="33"/>
        <v>なし</v>
      </c>
      <c r="AF101" s="365">
        <f t="array" ref="AF101">IF(C101="","",IFERROR((INDEX(終値!$E:$E,MATCH(TEXT(C101,"0"),終値!$A:$A,0))-INDEX(終値!$E:$CZ,MATCH(TEXT(C101,"0"),終値!$A:$A,0),$AL$2))/INDEX(終値!$E:$CZ,MATCH(TEXT(C101,"0"),終値!$A:$A,0),$AL$2)*100,""))</f>
        <v>-19.36700901278558</v>
      </c>
      <c r="AG101" s="365">
        <f t="array" ref="AG101">IFERROR((終値!$E$5-INDEX(終値!$E$5:$CZ$5,1,$AL$2))/INDEX(終値!$E$5:$CZ$5,1,$AL$2)*100,"")</f>
        <v>-0.82558151178043282</v>
      </c>
      <c r="AH101" s="366">
        <f t="shared" si="25"/>
        <v>-18.541427501005145</v>
      </c>
      <c r="AI101" s="364">
        <f t="shared" si="26"/>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3860</v>
      </c>
      <c r="F102" s="166">
        <f>IF(C102&lt;&gt;"",_xll.RssMarket(C102,"始値"),"")</f>
        <v>3868</v>
      </c>
      <c r="G102" s="165">
        <f>IF(C102&lt;&gt;"",終値!F178,"")</f>
        <v>3933</v>
      </c>
      <c r="H102" s="166">
        <f>IF(C102&lt;&gt;"",_xll.RssMarket(C102,"高値"),"")</f>
        <v>3884</v>
      </c>
      <c r="I102" s="166">
        <f>IF(C102&lt;&gt;"",_xll.RssMarket(C102,"安値"),"")</f>
        <v>3829</v>
      </c>
      <c r="J102" s="166">
        <f>IF(C102&lt;&gt;"",_xll.RssMarket(C102,"出来高"),"")</f>
        <v>154400</v>
      </c>
      <c r="K102" s="166">
        <f>IF(C102&lt;&gt;"",_xll.RssMarket(C102,"年初来高値"),"")</f>
        <v>4310</v>
      </c>
      <c r="L102" s="167">
        <f t="shared" si="17"/>
        <v>-10.440835266821345</v>
      </c>
      <c r="M102" s="166">
        <f>IF(C102&lt;&gt;"",IFERROR(AVERAGE(出来高!E178:I178),""),"")</f>
        <v>523100</v>
      </c>
      <c r="N102" s="166">
        <f>IF(C102&lt;&gt;"",IFERROR(AVERAGE(出来高!E178:AC178),""),"")</f>
        <v>327804.16666666669</v>
      </c>
      <c r="O102" s="168">
        <f t="shared" si="18"/>
        <v>0.29516344867138217</v>
      </c>
      <c r="P102" s="163" t="str">
        <f t="shared" si="19"/>
        <v>減少↓</v>
      </c>
      <c r="Q102" s="163" t="str">
        <f t="shared" si="20"/>
        <v>様子見▼</v>
      </c>
      <c r="R102" s="166">
        <f t="shared" si="27"/>
        <v>4169</v>
      </c>
      <c r="S102" s="166">
        <f t="shared" si="28"/>
        <v>3706</v>
      </c>
      <c r="T102" s="163">
        <f t="shared" si="21"/>
        <v>6</v>
      </c>
      <c r="U102" s="163" t="str">
        <f t="shared" si="29"/>
        <v>要確認</v>
      </c>
      <c r="V102" s="163" t="str">
        <f t="shared" si="22"/>
        <v>通常</v>
      </c>
      <c r="W102" s="169">
        <f t="array" ref="W102">IF(C102&lt;&gt;"",IFERROR(100-100/(1+SUMPRODUCT((終値!F178:R178&gt;終値!G178:S178)*( 終値!F178:R178-終値!G178:S178))/SUMPRODUCT((終値!F178:R178&lt;終値!G178:S178)*(終値!G178:S178-終値!F178:R178))),50),"")</f>
        <v>51.222636236609226</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-0.68984114727345514</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 t="shared" si="30"/>
        <v>-1.8560894991100942</v>
      </c>
      <c r="AA102" s="163" t="str">
        <f t="shared" si="31"/>
        <v>下落▼</v>
      </c>
      <c r="AB102" s="403">
        <f>IF(C102="","",IFERROR(((終値!E104*0.333)+(終値!F104*0.222)+(終値!G104*0.148)+(終値!H104*0.099)+(終値!I104*0.066)+(終値!J104*0.044)+(終値!K104*0.029)+(終値!L104*0.019)+(終値!M104*0.013)+(終値!N104*0.009))/(0.333+0.222+0.148+0.099+0.066+0.044+0.029+0.019+0.013+0.009),""))</f>
        <v>2374.9485743380851</v>
      </c>
      <c r="AC102" s="403">
        <f>IF(C102="","",IFERROR(SUMPRODUCT((終値!E104:AC104),({0.077,0.071,0.065,0.06,0.055,0.051,0.047,0.043,0.039,0.036,0.033,0.031,0.028,0.026,0.024,0.022,0.02,0.018,0.017,0.016,0.014,0.013,0.012,0.011,0.01}))/SUM({0.077,0.071,0.065,0.06,0.055,0.051,0.047,0.043,0.039,0.036,0.033,0.031,0.028,0.026,0.024,0.022,0.02,0.018,0.017,0.016,0.014,0.013,0.012,0.011,0.01}),""))</f>
        <v>2388.4410011918944</v>
      </c>
      <c r="AD102" s="404" t="str">
        <f t="shared" si="32"/>
        <v>上昇トレンド▲</v>
      </c>
      <c r="AE102" s="404" t="str">
        <f t="shared" si="33"/>
        <v>なし</v>
      </c>
      <c r="AF102" s="365">
        <f t="array" ref="AF102">IF(C102="","",IFERROR((INDEX(終値!$E:$E,MATCH(TEXT(C102,"0"),終値!$A:$A,0))-INDEX(終値!$E:$CZ,MATCH(TEXT(C102,"0"),終値!$A:$A,0),$AL$2))/INDEX(終値!$E:$CZ,MATCH(TEXT(C102,"0"),終値!$A:$A,0),$AL$2)*100,""))</f>
        <v>6.2739726027397262</v>
      </c>
      <c r="AG102" s="365">
        <f t="array" ref="AG102">IFERROR((終値!$E$5-INDEX(終値!$E$5:$CZ$5,1,$AL$2))/INDEX(終値!$E$5:$CZ$5,1,$AL$2)*100,"")</f>
        <v>-0.82558151178043282</v>
      </c>
      <c r="AH102" s="366">
        <f t="shared" si="25"/>
        <v>7.0995541145201591</v>
      </c>
      <c r="AI102" s="364">
        <f t="shared" si="26"/>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9870</v>
      </c>
      <c r="F103" s="166">
        <f>IF(C103&lt;&gt;"",_xll.RssMarket(C103,"始値"),"")</f>
        <v>9950</v>
      </c>
      <c r="G103" s="165">
        <f>IF(C103&lt;&gt;"",終値!F147,"")</f>
        <v>8520</v>
      </c>
      <c r="H103" s="166">
        <f>IF(C103&lt;&gt;"",_xll.RssMarket(C103,"高値"),"")</f>
        <v>9960</v>
      </c>
      <c r="I103" s="166">
        <f>IF(C103&lt;&gt;"",_xll.RssMarket(C103,"安値"),"")</f>
        <v>9460</v>
      </c>
      <c r="J103" s="166">
        <f>IF(C103&lt;&gt;"",_xll.RssMarket(C103,"出来高"),"")</f>
        <v>121300</v>
      </c>
      <c r="K103" s="166">
        <f>IF(C103&lt;&gt;"",_xll.RssMarket(C103,"年初来高値"),"")</f>
        <v>16930</v>
      </c>
      <c r="L103" s="167">
        <f t="shared" si="17"/>
        <v>-41.701122268163026</v>
      </c>
      <c r="M103" s="166">
        <f>IF(C103&lt;&gt;"",IFERROR(AVERAGE(出来高!E147:I147),""),"")</f>
        <v>166720</v>
      </c>
      <c r="N103" s="166">
        <f>IF(C103&lt;&gt;"",IFERROR(AVERAGE(出来高!E147:AC147),""),"")</f>
        <v>110054.16666666667</v>
      </c>
      <c r="O103" s="168">
        <f t="shared" si="18"/>
        <v>0.72756717850287911</v>
      </c>
      <c r="P103" s="163" t="str">
        <f t="shared" si="19"/>
        <v>減少↓</v>
      </c>
      <c r="Q103" s="163" t="str">
        <f t="shared" si="20"/>
        <v>中立→</v>
      </c>
      <c r="R103" s="166">
        <f t="shared" si="27"/>
        <v>10660</v>
      </c>
      <c r="S103" s="166">
        <f t="shared" si="28"/>
        <v>9475</v>
      </c>
      <c r="T103" s="163">
        <f t="shared" si="21"/>
        <v>2</v>
      </c>
      <c r="U103" s="163" t="str">
        <f t="shared" si="29"/>
        <v>除外</v>
      </c>
      <c r="V103" s="163" t="str">
        <f t="shared" si="22"/>
        <v>通常</v>
      </c>
      <c r="W103" s="169">
        <f t="array" ref="W103">IF(C103&lt;&gt;"",IFERROR(100-100/(1+SUMPRODUCT((終値!F147:R147&gt;終値!G147:S147)*( 終値!F147:R147-終値!G147:S147))/SUMPRODUCT((終値!F147:R147&lt;終値!G147:S147)*(終値!G147:S147-終値!F147:R147))),50),"")</f>
        <v>41.74793698424606</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-674.44176660470475</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 t="shared" si="30"/>
        <v>15.845070422535212</v>
      </c>
      <c r="AA103" s="163" t="str">
        <f t="shared" si="31"/>
        <v>上昇▲</v>
      </c>
      <c r="AB103" s="405">
        <f>IF(C103="","",IFERROR(((終値!E105*0.333)+(終値!F105*0.222)+(終値!G105*0.148)+(終値!H105*0.099)+(終値!I105*0.066)+(終値!J105*0.044)+(終値!K105*0.029)+(終値!L105*0.019)+(終値!M105*0.013)+(終値!N105*0.009))/(0.333+0.222+0.148+0.099+0.066+0.044+0.029+0.019+0.013+0.009),""))</f>
        <v>3861.9602851323816</v>
      </c>
      <c r="AC103" s="405">
        <f>IF(C103="","",IFERROR(SUMPRODUCT((終値!E105:AC105),({0.077,0.071,0.065,0.06,0.055,0.051,0.047,0.043,0.039,0.036,0.033,0.031,0.028,0.026,0.024,0.022,0.02,0.018,0.017,0.016,0.014,0.013,0.012,0.011,0.01}))/SUM({0.077,0.071,0.065,0.06,0.055,0.051,0.047,0.043,0.039,0.036,0.033,0.031,0.028,0.026,0.024,0.022,0.02,0.018,0.017,0.016,0.014,0.013,0.012,0.011,0.01}),""))</f>
        <v>4024.2431466030962</v>
      </c>
      <c r="AD103" s="406" t="str">
        <f t="shared" si="32"/>
        <v>上昇トレンド▲</v>
      </c>
      <c r="AE103" s="406" t="str">
        <f t="shared" si="33"/>
        <v>なし</v>
      </c>
      <c r="AF103" s="365">
        <f t="array" ref="AF103">IF(C103="","",IFERROR((INDEX(終値!$E:$E,MATCH(TEXT(C103,"0"),終値!$A:$A,0))-INDEX(終値!$E:$CZ,MATCH(TEXT(C103,"0"),終値!$A:$A,0),$AL$2))/INDEX(終値!$E:$CZ,MATCH(TEXT(C103,"0"),終値!$A:$A,0),$AL$2)*100,""))</f>
        <v>-33.214285714285715</v>
      </c>
      <c r="AG103" s="365">
        <f t="array" ref="AG103">IFERROR((終値!$E$5-INDEX(終値!$E$5:$CZ$5,1,$AL$2))/INDEX(終値!$E$5:$CZ$5,1,$AL$2)*100,"")</f>
        <v>-0.82558151178043282</v>
      </c>
      <c r="AH103" s="366">
        <f t="shared" si="25"/>
        <v>-32.388704202505281</v>
      </c>
      <c r="AI103" s="364">
        <f t="shared" si="26"/>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2105</v>
      </c>
      <c r="F104" s="166">
        <f>IF(C104&lt;&gt;"",_xll.RssMarket(C104,"始値"),"")</f>
        <v>2025</v>
      </c>
      <c r="G104" s="165">
        <f>IF(C104&lt;&gt;"",終値!F128,"")</f>
        <v>1897</v>
      </c>
      <c r="H104" s="166">
        <f>IF(C104&lt;&gt;"",_xll.RssMarket(C104,"高値"),"")</f>
        <v>2110</v>
      </c>
      <c r="I104" s="166">
        <f>IF(C104&lt;&gt;"",_xll.RssMarket(C104,"安値"),"")</f>
        <v>2011</v>
      </c>
      <c r="J104" s="166">
        <f>IF(C104&lt;&gt;"",_xll.RssMarket(C104,"出来高"),"")</f>
        <v>1282600</v>
      </c>
      <c r="K104" s="166">
        <f>IF(C104&lt;&gt;"",_xll.RssMarket(C104,"年初来高値"),"")</f>
        <v>8760</v>
      </c>
      <c r="L104" s="167">
        <f t="shared" si="17"/>
        <v>-75.970319634703202</v>
      </c>
      <c r="M104" s="166">
        <f>IF(C104&lt;&gt;"",IFERROR(AVERAGE(出来高!E128:I128),""),"")</f>
        <v>1879160</v>
      </c>
      <c r="N104" s="166">
        <f>IF(C104&lt;&gt;"",IFERROR(AVERAGE(出来高!E128:AC128),""),"")</f>
        <v>2062479.1666666667</v>
      </c>
      <c r="O104" s="168">
        <f t="shared" si="18"/>
        <v>0.68253900679026802</v>
      </c>
      <c r="P104" s="163" t="str">
        <f t="shared" si="19"/>
        <v>減少↓</v>
      </c>
      <c r="Q104" s="163" t="str">
        <f t="shared" si="20"/>
        <v>中立→</v>
      </c>
      <c r="R104" s="166">
        <f t="shared" si="27"/>
        <v>2273</v>
      </c>
      <c r="S104" s="166">
        <f t="shared" si="28"/>
        <v>2021</v>
      </c>
      <c r="T104" s="163">
        <f t="shared" si="21"/>
        <v>3</v>
      </c>
      <c r="U104" s="163" t="str">
        <f t="shared" si="29"/>
        <v>要確認</v>
      </c>
      <c r="V104" s="163" t="str">
        <f t="shared" si="22"/>
        <v>通常</v>
      </c>
      <c r="W104" s="169">
        <f t="array" ref="W104">IF(C104&lt;&gt;"",IFERROR(100-100/(1+SUMPRODUCT((終値!F128:R128&gt;終値!G128:S128)*( 終値!F128:R128-終値!G128:S128))/SUMPRODUCT((終値!F128:R128&lt;終値!G128:S128)*(終値!G128:S128-終値!F128:R128))),50),"")</f>
        <v>49.596260093497662</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-20.490357786807635</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 t="shared" si="30"/>
        <v>10.964681075382183</v>
      </c>
      <c r="AA104" s="163" t="str">
        <f t="shared" si="31"/>
        <v>上昇▲</v>
      </c>
      <c r="AB104" s="403">
        <f>IF(C104="","",IFERROR(((終値!E106*0.333)+(終値!F106*0.222)+(終値!G106*0.148)+(終値!H106*0.099)+(終値!I106*0.066)+(終値!J106*0.044)+(終値!K106*0.029)+(終値!L106*0.019)+(終値!M106*0.013)+(終値!N106*0.009))/(0.333+0.222+0.148+0.099+0.066+0.044+0.029+0.019+0.013+0.009),""))</f>
        <v>2020.1792260692462</v>
      </c>
      <c r="AC104" s="403">
        <f>IF(C104="","",IFERROR(SUMPRODUCT((終値!E106:AC106),({0.077,0.071,0.065,0.06,0.055,0.051,0.047,0.043,0.039,0.036,0.033,0.031,0.028,0.026,0.024,0.022,0.02,0.018,0.017,0.016,0.014,0.013,0.012,0.011,0.01}))/SUM({0.077,0.071,0.065,0.06,0.055,0.051,0.047,0.043,0.039,0.036,0.033,0.031,0.028,0.026,0.024,0.022,0.02,0.018,0.017,0.016,0.014,0.013,0.012,0.011,0.01}),""))</f>
        <v>1935.0202622169236</v>
      </c>
      <c r="AD104" s="404" t="str">
        <f t="shared" si="32"/>
        <v>パーフェクト▲</v>
      </c>
      <c r="AE104" s="404" t="str">
        <f t="shared" si="33"/>
        <v>なし</v>
      </c>
      <c r="AF104" s="365">
        <f t="array" ref="AF104">IF(C104="","",IFERROR((INDEX(終値!$E:$E,MATCH(TEXT(C104,"0"),終値!$A:$A,0))-INDEX(終値!$E:$CZ,MATCH(TEXT(C104,"0"),終値!$A:$A,0),$AL$2))/INDEX(終値!$E:$CZ,MATCH(TEXT(C104,"0"),終値!$A:$A,0),$AL$2)*100,""))</f>
        <v>-7.2853828306264496</v>
      </c>
      <c r="AG104" s="365">
        <f t="array" ref="AG104">IFERROR((終値!$E$5-INDEX(終値!$E$5:$CZ$5,1,$AL$2))/INDEX(終値!$E$5:$CZ$5,1,$AL$2)*100,"")</f>
        <v>-0.82558151178043282</v>
      </c>
      <c r="AH104" s="366">
        <f t="shared" si="25"/>
        <v>-6.4598013188460168</v>
      </c>
      <c r="AI104" s="364">
        <f t="shared" si="26"/>
        <v>-2</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3380</v>
      </c>
      <c r="F105" s="166">
        <f>IF(C105&lt;&gt;"",_xll.RssMarket(C105,"始値"),"")</f>
        <v>3415</v>
      </c>
      <c r="G105" s="165">
        <f>IF(C105&lt;&gt;"",終値!F133,"")</f>
        <v>2939</v>
      </c>
      <c r="H105" s="166">
        <f>IF(C105&lt;&gt;"",_xll.RssMarket(C105,"高値"),"")</f>
        <v>3500</v>
      </c>
      <c r="I105" s="166">
        <f>IF(C105&lt;&gt;"",_xll.RssMarket(C105,"安値"),"")</f>
        <v>3215</v>
      </c>
      <c r="J105" s="166">
        <f>IF(C105&lt;&gt;"",_xll.RssMarket(C105,"出来高"),"")</f>
        <v>745700</v>
      </c>
      <c r="K105" s="166">
        <f>IF(C105&lt;&gt;"",_xll.RssMarket(C105,"年初来高値"),"")</f>
        <v>9480</v>
      </c>
      <c r="L105" s="167">
        <f t="shared" si="17"/>
        <v>-64.345991561181435</v>
      </c>
      <c r="M105" s="166">
        <f>IF(C105&lt;&gt;"",IFERROR(AVERAGE(出来高!E133:I133),""),"")</f>
        <v>820840</v>
      </c>
      <c r="N105" s="166">
        <f>IF(C105&lt;&gt;"",IFERROR(AVERAGE(出来高!E133:AC133),""),"")</f>
        <v>873970.83333333337</v>
      </c>
      <c r="O105" s="168">
        <f t="shared" si="18"/>
        <v>0.90845962672384384</v>
      </c>
      <c r="P105" s="163" t="str">
        <f t="shared" si="19"/>
        <v>減少↓</v>
      </c>
      <c r="Q105" s="163" t="str">
        <f t="shared" si="20"/>
        <v>中立→</v>
      </c>
      <c r="R105" s="166">
        <f t="shared" si="27"/>
        <v>3650</v>
      </c>
      <c r="S105" s="166">
        <f t="shared" si="28"/>
        <v>3245</v>
      </c>
      <c r="T105" s="163">
        <f t="shared" si="21"/>
        <v>1</v>
      </c>
      <c r="U105" s="163" t="str">
        <f t="shared" si="29"/>
        <v>除外</v>
      </c>
      <c r="V105" s="163" t="str">
        <f t="shared" si="22"/>
        <v>通常</v>
      </c>
      <c r="W105" s="169">
        <f t="array" ref="W105">IF(C105&lt;&gt;"",IFERROR(100-100/(1+SUMPRODUCT((終値!F133:R133&gt;終値!G133:S133)*( 終値!F133:R133-終値!G133:S133))/SUMPRODUCT((終値!F133:R133&lt;終値!G133:S133)*(終値!G133:S133-終値!F133:R133))),50),"")</f>
        <v>38.805828016379394</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-477.24323452966883</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 t="shared" si="30"/>
        <v>15.005103776794829</v>
      </c>
      <c r="AA105" s="163" t="str">
        <f t="shared" si="31"/>
        <v>上昇▲</v>
      </c>
      <c r="AB105" s="405">
        <f>IF(C105="","",IFERROR(((終値!E107*0.333)+(終値!F107*0.222)+(終値!G107*0.148)+(終値!H107*0.099)+(終値!I107*0.066)+(終値!J107*0.044)+(終値!K107*0.029)+(終値!L107*0.019)+(終値!M107*0.013)+(終値!N107*0.009))/(0.333+0.222+0.148+0.099+0.066+0.044+0.029+0.019+0.013+0.009),""))</f>
        <v>17156.181262729122</v>
      </c>
      <c r="AC105" s="405">
        <f>IF(C105="","",IFERROR(SUMPRODUCT((終値!E107:AC107),({0.077,0.071,0.065,0.06,0.055,0.051,0.047,0.043,0.039,0.036,0.033,0.031,0.028,0.026,0.024,0.022,0.02,0.018,0.017,0.016,0.014,0.013,0.012,0.011,0.01}))/SUM({0.077,0.071,0.065,0.06,0.055,0.051,0.047,0.043,0.039,0.036,0.033,0.031,0.028,0.026,0.024,0.022,0.02,0.018,0.017,0.016,0.014,0.013,0.012,0.011,0.01}),""))</f>
        <v>17559.255065554229</v>
      </c>
      <c r="AD105" s="406" t="str">
        <f t="shared" si="32"/>
        <v>下降トレンド▼</v>
      </c>
      <c r="AE105" s="406" t="str">
        <f t="shared" si="33"/>
        <v>なし</v>
      </c>
      <c r="AF105" s="365">
        <f t="array" ref="AF105">IF(C105="","",IFERROR((INDEX(終値!$E:$E,MATCH(TEXT(C105,"0"),終値!$A:$A,0))-INDEX(終値!$E:$CZ,MATCH(TEXT(C105,"0"),終値!$A:$A,0),$AL$2))/INDEX(終値!$E:$CZ,MATCH(TEXT(C105,"0"),終値!$A:$A,0),$AL$2)*100,""))</f>
        <v>-54.565217391304344</v>
      </c>
      <c r="AG105" s="365">
        <f t="array" ref="AG105">IFERROR((終値!$E$5-INDEX(終値!$E$5:$CZ$5,1,$AL$2))/INDEX(終値!$E$5:$CZ$5,1,$AL$2)*100,"")</f>
        <v>-0.82558151178043282</v>
      </c>
      <c r="AH105" s="366">
        <f t="shared" si="25"/>
        <v>-53.73963587952391</v>
      </c>
      <c r="AI105" s="364">
        <f t="shared" si="26"/>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4485</v>
      </c>
      <c r="F106" s="166">
        <f>IF(C106&lt;&gt;"",_xll.RssMarket(C106,"始値"),"")</f>
        <v>4400</v>
      </c>
      <c r="G106" s="165">
        <f>IF(C106&lt;&gt;"",終値!F90,"")</f>
        <v>3975</v>
      </c>
      <c r="H106" s="166">
        <f>IF(C106&lt;&gt;"",_xll.RssMarket(C106,"高値"),"")</f>
        <v>4517</v>
      </c>
      <c r="I106" s="166">
        <f>IF(C106&lt;&gt;"",_xll.RssMarket(C106,"安値"),"")</f>
        <v>4372</v>
      </c>
      <c r="J106" s="166">
        <f>IF(C106&lt;&gt;"",_xll.RssMarket(C106,"出来高"),"")</f>
        <v>2044400</v>
      </c>
      <c r="K106" s="166">
        <f>IF(C106&lt;&gt;"",_xll.RssMarket(C106,"年初来高値"),"")</f>
        <v>5199</v>
      </c>
      <c r="L106" s="167">
        <f t="shared" si="17"/>
        <v>-13.733410271206001</v>
      </c>
      <c r="M106" s="166">
        <f>IF(C106&lt;&gt;"",IFERROR(AVERAGE(出来高!E90:I90),""),"")</f>
        <v>4163160</v>
      </c>
      <c r="N106" s="166">
        <f>IF(C106&lt;&gt;"",IFERROR(AVERAGE(出来高!E90:AC90),""),"")</f>
        <v>3275216</v>
      </c>
      <c r="O106" s="168">
        <f t="shared" si="18"/>
        <v>0.49106928390933807</v>
      </c>
      <c r="P106" s="163" t="str">
        <f t="shared" si="19"/>
        <v>減少↓</v>
      </c>
      <c r="Q106" s="163" t="str">
        <f t="shared" si="20"/>
        <v>中立→</v>
      </c>
      <c r="R106" s="166">
        <f t="shared" si="27"/>
        <v>4844</v>
      </c>
      <c r="S106" s="166">
        <f t="shared" si="28"/>
        <v>4306</v>
      </c>
      <c r="T106" s="163">
        <f t="shared" si="21"/>
        <v>3</v>
      </c>
      <c r="U106" s="163" t="str">
        <f t="shared" si="29"/>
        <v>要確認</v>
      </c>
      <c r="V106" s="163" t="str">
        <f t="shared" si="22"/>
        <v>通常</v>
      </c>
      <c r="W106" s="169">
        <f t="array" ref="W106">IF(C106&lt;&gt;"",IFERROR(100-100/(1+SUMPRODUCT((終値!F90:R90&gt;終値!G90:S90)*( 終値!F90:R90-終値!G90:S90))/SUMPRODUCT((終値!F90:R90&lt;終値!G90:S90)*(終値!G90:S90-終値!F90:R90))),50),"")</f>
        <v>40.139082058414466</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-103.53348803330573</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様子見</v>
      </c>
      <c r="Z106" s="171">
        <f t="shared" si="30"/>
        <v>12.830188679245284</v>
      </c>
      <c r="AA106" s="163" t="str">
        <f t="shared" si="31"/>
        <v>上昇▲</v>
      </c>
      <c r="AB106" s="403">
        <f>IF(C106="","",IFERROR(((終値!E108*0.333)+(終値!F108*0.222)+(終値!G108*0.148)+(終値!H108*0.099)+(終値!I108*0.066)+(終値!J108*0.044)+(終値!K108*0.029)+(終値!L108*0.019)+(終値!M108*0.013)+(終値!N108*0.009))/(0.333+0.222+0.148+0.099+0.066+0.044+0.029+0.019+0.013+0.009),""))</f>
        <v>4460.596741344194</v>
      </c>
      <c r="AC106" s="403">
        <f>IF(C106="","",IFERROR(SUMPRODUCT((終値!E108:AC108),({0.077,0.071,0.065,0.06,0.055,0.051,0.047,0.043,0.039,0.036,0.033,0.031,0.028,0.026,0.024,0.022,0.02,0.018,0.017,0.016,0.014,0.013,0.012,0.011,0.01}))/SUM({0.077,0.071,0.065,0.06,0.055,0.051,0.047,0.043,0.039,0.036,0.033,0.031,0.028,0.026,0.024,0.022,0.02,0.018,0.017,0.016,0.014,0.013,0.012,0.011,0.01}),""))</f>
        <v>4412.9499404052431</v>
      </c>
      <c r="AD106" s="404" t="str">
        <f t="shared" si="32"/>
        <v>パーフェクト▲</v>
      </c>
      <c r="AE106" s="404" t="str">
        <f t="shared" si="33"/>
        <v>25日押し目★</v>
      </c>
      <c r="AF106" s="365">
        <f t="array" ref="AF106">IF(C106="","",IFERROR((INDEX(終値!$E:$E,MATCH(TEXT(C106,"0"),終値!$A:$A,0))-INDEX(終値!$E:$CZ,MATCH(TEXT(C106,"0"),終値!$A:$A,0),$AL$2))/INDEX(終値!$E:$CZ,MATCH(TEXT(C106,"0"),終値!$A:$A,0),$AL$2)*100,""))</f>
        <v>-4.9390919158361015</v>
      </c>
      <c r="AG106" s="365">
        <f t="array" ref="AG106">IFERROR((終値!$E$5-INDEX(終値!$E$5:$CZ$5,1,$AL$2))/INDEX(終値!$E$5:$CZ$5,1,$AL$2)*100,"")</f>
        <v>-0.82558151178043282</v>
      </c>
      <c r="AH106" s="366">
        <f t="shared" si="25"/>
        <v>-4.1135104040556687</v>
      </c>
      <c r="AI106" s="364">
        <f t="shared" si="26"/>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5443</v>
      </c>
      <c r="F107" s="166">
        <f>IF(C107&lt;&gt;"",_xll.RssMarket(C107,"始値"),"")</f>
        <v>5318</v>
      </c>
      <c r="G107" s="165">
        <f>IF(C107&lt;&gt;"",終値!F203,"")</f>
        <v>5244</v>
      </c>
      <c r="H107" s="166">
        <f>IF(C107&lt;&gt;"",_xll.RssMarket(C107,"高値"),"")</f>
        <v>5482</v>
      </c>
      <c r="I107" s="166">
        <f>IF(C107&lt;&gt;"",_xll.RssMarket(C107,"安値"),"")</f>
        <v>5312</v>
      </c>
      <c r="J107" s="166">
        <f>IF(C107&lt;&gt;"",_xll.RssMarket(C107,"出来高"),"")</f>
        <v>980200</v>
      </c>
      <c r="K107" s="166">
        <f>IF(C107&lt;&gt;"",_xll.RssMarket(C107,"年初来高値"),"")</f>
        <v>7225</v>
      </c>
      <c r="L107" s="167">
        <f t="shared" si="17"/>
        <v>-24.664359861591695</v>
      </c>
      <c r="M107" s="166">
        <f>IF(C107&lt;&gt;"",IFERROR(AVERAGE(出来高!E203:I203),""),"")</f>
        <v>2354880</v>
      </c>
      <c r="N107" s="166">
        <f>IF(C107&lt;&gt;"",IFERROR(AVERAGE(出来高!E203:AC203),""),"")</f>
        <v>1141936</v>
      </c>
      <c r="O107" s="168">
        <f t="shared" si="18"/>
        <v>0.41624201657833942</v>
      </c>
      <c r="P107" s="163" t="str">
        <f t="shared" si="19"/>
        <v>減少↓</v>
      </c>
      <c r="Q107" s="163" t="str">
        <f t="shared" si="20"/>
        <v>中立→</v>
      </c>
      <c r="R107" s="166">
        <f t="shared" si="27"/>
        <v>5878</v>
      </c>
      <c r="S107" s="166">
        <f t="shared" si="28"/>
        <v>5225</v>
      </c>
      <c r="T107" s="163">
        <f t="shared" si="21"/>
        <v>6</v>
      </c>
      <c r="U107" s="163" t="str">
        <f t="shared" si="29"/>
        <v>要確認</v>
      </c>
      <c r="V107" s="163" t="str">
        <f t="shared" si="22"/>
        <v>通常</v>
      </c>
      <c r="W107" s="169">
        <f t="array" ref="W107">IF(C107&lt;&gt;"",IFERROR(100-100/(1+SUMPRODUCT((終値!F203:R203&gt;終値!G203:S203)*( 終値!F203:R203-終値!G203:S203))/SUMPRODUCT((終値!F203:R203&lt;終値!G203:S203)*(終値!G203:S203-終値!F203:R203))),50),"")</f>
        <v>51.873884592504467</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21.449462464031058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 t="shared" si="30"/>
        <v>3.7948131197559118</v>
      </c>
      <c r="AA107" s="163" t="str">
        <f t="shared" si="31"/>
        <v>上昇▲</v>
      </c>
      <c r="AB107" s="405">
        <f>IF(C107="","",IFERROR(((終値!E109*0.333)+(終値!F109*0.222)+(終値!G109*0.148)+(終値!H109*0.099)+(終値!I109*0.066)+(終値!J109*0.044)+(終値!K109*0.029)+(終値!L109*0.019)+(終値!M109*0.013)+(終値!N109*0.009))/(0.333+0.222+0.148+0.099+0.066+0.044+0.029+0.019+0.013+0.009),""))</f>
        <v>3565.9928716904269</v>
      </c>
      <c r="AC107" s="405">
        <f>IF(C107="","",IFERROR(SUMPRODUCT((終値!E109:AC109),({0.077,0.071,0.065,0.06,0.055,0.051,0.047,0.043,0.039,0.036,0.033,0.031,0.028,0.026,0.024,0.022,0.02,0.018,0.017,0.016,0.014,0.013,0.012,0.011,0.01}))/SUM({0.077,0.071,0.065,0.06,0.055,0.051,0.047,0.043,0.039,0.036,0.033,0.031,0.028,0.026,0.024,0.022,0.02,0.018,0.017,0.016,0.014,0.013,0.012,0.011,0.01}),""))</f>
        <v>3610.2574493444567</v>
      </c>
      <c r="AD107" s="406" t="str">
        <f t="shared" si="32"/>
        <v>上昇トレンド▲</v>
      </c>
      <c r="AE107" s="406" t="str">
        <f t="shared" si="33"/>
        <v>なし</v>
      </c>
      <c r="AF107" s="365">
        <f t="array" ref="AF107">IF(C107="","",IFERROR((INDEX(終値!$E:$E,MATCH(TEXT(C107,"0"),終値!$A:$A,0))-INDEX(終値!$E:$CZ,MATCH(TEXT(C107,"0"),終値!$A:$A,0),$AL$2))/INDEX(終値!$E:$CZ,MATCH(TEXT(C107,"0"),終値!$A:$A,0),$AL$2)*100,""))</f>
        <v>0.6450388920508443</v>
      </c>
      <c r="AG107" s="365">
        <f t="array" ref="AG107">IFERROR((終値!$E$5-INDEX(終値!$E$5:$CZ$5,1,$AL$2))/INDEX(終値!$E$5:$CZ$5,1,$AL$2)*100,"")</f>
        <v>-0.82558151178043282</v>
      </c>
      <c r="AH107" s="366">
        <f t="shared" si="25"/>
        <v>1.4706204038312771</v>
      </c>
      <c r="AI107" s="364">
        <f t="shared" si="26"/>
        <v>1</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4540</v>
      </c>
      <c r="F108" s="166">
        <f>IF(C108&lt;&gt;"",_xll.RssMarket(C108,"始値"),"")</f>
        <v>4280</v>
      </c>
      <c r="G108" s="165">
        <f>IF(C108&lt;&gt;"",終値!F30,"")</f>
        <v>3970</v>
      </c>
      <c r="H108" s="166">
        <f>IF(C108&lt;&gt;"",_xll.RssMarket(C108,"高値"),"")</f>
        <v>4565</v>
      </c>
      <c r="I108" s="166">
        <f>IF(C108&lt;&gt;"",_xll.RssMarket(C108,"安値"),"")</f>
        <v>4240</v>
      </c>
      <c r="J108" s="166">
        <f>IF(C108&lt;&gt;"",_xll.RssMarket(C108,"出来高"),"")</f>
        <v>840900</v>
      </c>
      <c r="K108" s="166">
        <f>IF(C108&lt;&gt;"",_xll.RssMarket(C108,"年初来高値"),"")</f>
        <v>5500</v>
      </c>
      <c r="L108" s="167">
        <f t="shared" si="17"/>
        <v>-17.454545454545457</v>
      </c>
      <c r="M108" s="166">
        <f>IF(C108&lt;&gt;"",IFERROR(AVERAGE(出来高!E30:I30),""),"")</f>
        <v>1049340</v>
      </c>
      <c r="N108" s="166">
        <f>IF(C108&lt;&gt;"",IFERROR(AVERAGE(出来高!E30:AC30),""),"")</f>
        <v>970544</v>
      </c>
      <c r="O108" s="168">
        <f t="shared" si="18"/>
        <v>0.8013608553948196</v>
      </c>
      <c r="P108" s="163" t="str">
        <f t="shared" si="19"/>
        <v>減少↓</v>
      </c>
      <c r="Q108" s="163" t="str">
        <f t="shared" si="20"/>
        <v>中立→</v>
      </c>
      <c r="R108" s="166">
        <f t="shared" si="27"/>
        <v>4903</v>
      </c>
      <c r="S108" s="166">
        <f t="shared" si="28"/>
        <v>4358</v>
      </c>
      <c r="T108" s="163">
        <f t="shared" si="21"/>
        <v>3</v>
      </c>
      <c r="U108" s="163" t="str">
        <f t="shared" si="29"/>
        <v>要確認</v>
      </c>
      <c r="V108" s="163" t="str">
        <f t="shared" si="22"/>
        <v>通常</v>
      </c>
      <c r="W108" s="169">
        <f t="array" ref="W108">IF(C108&lt;&gt;"",IFERROR(100-100/(1+SUMPRODUCT((終値!F30:R30&gt;終値!G30:S30)*( 終値!F30:R30-終値!G30:S30))/SUMPRODUCT((終値!F30:R30&lt;終値!G30:S30)*(終値!G30:S30-終値!F30:R30))),50),"")</f>
        <v>42.912621359223301</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-89.841575153538088</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様子見</v>
      </c>
      <c r="Z108" s="171">
        <f t="shared" si="30"/>
        <v>14.357682619647354</v>
      </c>
      <c r="AA108" s="163" t="str">
        <f t="shared" si="31"/>
        <v>上昇▲</v>
      </c>
      <c r="AB108" s="403">
        <f>IF(C108="","",IFERROR(((終値!E110*0.333)+(終値!F110*0.222)+(終値!G110*0.148)+(終値!H110*0.099)+(終値!I110*0.066)+(終値!J110*0.044)+(終値!K110*0.029)+(終値!L110*0.019)+(終値!M110*0.013)+(終値!N110*0.009))/(0.333+0.222+0.148+0.099+0.066+0.044+0.029+0.019+0.013+0.009),""))</f>
        <v>2210.9725050916495</v>
      </c>
      <c r="AC108" s="403">
        <f>IF(C108="","",IFERROR(SUMPRODUCT((終値!E110:AC110),({0.077,0.071,0.065,0.06,0.055,0.051,0.047,0.043,0.039,0.036,0.033,0.031,0.028,0.026,0.024,0.022,0.02,0.018,0.017,0.016,0.014,0.013,0.012,0.011,0.01}))/SUM({0.077,0.071,0.065,0.06,0.055,0.051,0.047,0.043,0.039,0.036,0.033,0.031,0.028,0.026,0.024,0.022,0.02,0.018,0.017,0.016,0.014,0.013,0.012,0.011,0.01}),""))</f>
        <v>2162.0667461263397</v>
      </c>
      <c r="AD108" s="404" t="str">
        <f t="shared" si="32"/>
        <v>パーフェクト▲</v>
      </c>
      <c r="AE108" s="404" t="str">
        <f t="shared" si="33"/>
        <v>なし</v>
      </c>
      <c r="AF108" s="365">
        <f t="array" ref="AF108">IF(C108="","",IFERROR((INDEX(終値!$E:$E,MATCH(TEXT(C108,"0"),終値!$A:$A,0))-INDEX(終値!$E:$CZ,MATCH(TEXT(C108,"0"),終値!$A:$A,0),$AL$2))/INDEX(終値!$E:$CZ,MATCH(TEXT(C108,"0"),終値!$A:$A,0),$AL$2)*100,""))</f>
        <v>-15.461847389558233</v>
      </c>
      <c r="AG108" s="365">
        <f t="array" ref="AG108">IFERROR((終値!$E$5-INDEX(終値!$E$5:$CZ$5,1,$AL$2))/INDEX(終値!$E$5:$CZ$5,1,$AL$2)*100,"")</f>
        <v>-0.82558151178043282</v>
      </c>
      <c r="AH108" s="366">
        <f t="shared" si="25"/>
        <v>-14.636265877777801</v>
      </c>
      <c r="AI108" s="364">
        <f t="shared" si="26"/>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1832</v>
      </c>
      <c r="F109" s="166">
        <f>IF(C109&lt;&gt;"",_xll.RssMarket(C109,"始値"),"")</f>
        <v>1750</v>
      </c>
      <c r="G109" s="165">
        <f>IF(C109&lt;&gt;"",終値!F135,"")</f>
        <v>2939</v>
      </c>
      <c r="H109" s="166">
        <f>IF(C109&lt;&gt;"",_xll.RssMarket(C109,"高値"),"")</f>
        <v>1840</v>
      </c>
      <c r="I109" s="166">
        <f>IF(C109&lt;&gt;"",_xll.RssMarket(C109,"安値"),"")</f>
        <v>1731</v>
      </c>
      <c r="J109" s="166">
        <f>IF(C109&lt;&gt;"",_xll.RssMarket(C109,"出来高"),"")</f>
        <v>529000</v>
      </c>
      <c r="K109" s="166">
        <f>IF(C109&lt;&gt;"",_xll.RssMarket(C109,"年初来高値"),"")</f>
        <v>4130</v>
      </c>
      <c r="L109" s="167">
        <f t="shared" si="17"/>
        <v>-55.641646489104112</v>
      </c>
      <c r="M109" s="166">
        <f>IF(C109&lt;&gt;"",IFERROR(AVERAGE(出来高!E135:I135),""),"")</f>
        <v>820840</v>
      </c>
      <c r="N109" s="166">
        <f>IF(C109&lt;&gt;"",IFERROR(AVERAGE(出来高!E135:AC135),""),"")</f>
        <v>858240</v>
      </c>
      <c r="O109" s="168">
        <f t="shared" si="18"/>
        <v>0.64446177086886602</v>
      </c>
      <c r="P109" s="163" t="str">
        <f t="shared" si="19"/>
        <v>減少↓</v>
      </c>
      <c r="Q109" s="163" t="str">
        <f t="shared" si="20"/>
        <v>様子見▼</v>
      </c>
      <c r="R109" s="166">
        <f t="shared" si="27"/>
        <v>1979</v>
      </c>
      <c r="S109" s="166">
        <f t="shared" si="28"/>
        <v>1759</v>
      </c>
      <c r="T109" s="163">
        <f t="shared" si="21"/>
        <v>3</v>
      </c>
      <c r="U109" s="163" t="str">
        <f t="shared" si="29"/>
        <v>要確認</v>
      </c>
      <c r="V109" s="163" t="str">
        <f t="shared" si="22"/>
        <v>通常</v>
      </c>
      <c r="W109" s="169">
        <f t="array" ref="W109">IF(C109&lt;&gt;"",IFERROR(100-100/(1+SUMPRODUCT((終値!F135:R135&gt;終値!G135:S135)*( 終値!F135:R135-終値!G135:S135))/SUMPRODUCT((終値!F135:R135&lt;終値!G135:S135)*(終値!G135:S135-終値!F135:R135))),50),"")</f>
        <v>33.219129193433261</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-465.37370790362729</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 t="shared" si="30"/>
        <v>-37.665872745831912</v>
      </c>
      <c r="AA109" s="163" t="str">
        <f t="shared" si="31"/>
        <v>下落▼</v>
      </c>
      <c r="AB109" s="405">
        <f>IF(C109="","",IFERROR(((終値!E111*0.333)+(終値!F111*0.222)+(終値!G111*0.148)+(終値!H111*0.099)+(終値!I111*0.066)+(終値!J111*0.044)+(終値!K111*0.029)+(終値!L111*0.019)+(終値!M111*0.013)+(終値!N111*0.009))/(0.333+0.222+0.148+0.099+0.066+0.044+0.029+0.019+0.013+0.009),""))</f>
        <v>850.16191446028483</v>
      </c>
      <c r="AC109" s="405">
        <f>IF(C109="","",IFERROR(SUMPRODUCT((終値!E111:AC111),({0.077,0.071,0.065,0.06,0.055,0.051,0.047,0.043,0.039,0.036,0.033,0.031,0.028,0.026,0.024,0.022,0.02,0.018,0.017,0.016,0.014,0.013,0.012,0.011,0.01}))/SUM({0.077,0.071,0.065,0.06,0.055,0.051,0.047,0.043,0.039,0.036,0.033,0.031,0.028,0.026,0.024,0.022,0.02,0.018,0.017,0.016,0.014,0.013,0.012,0.011,0.01}),""))</f>
        <v>816.15613825983269</v>
      </c>
      <c r="AD109" s="406" t="str">
        <f t="shared" si="32"/>
        <v>パーフェクト▲</v>
      </c>
      <c r="AE109" s="406" t="str">
        <f t="shared" si="33"/>
        <v>なし</v>
      </c>
      <c r="AF109" s="365">
        <f t="array" ref="AF109">IF(C109="","",IFERROR((INDEX(終値!$E:$E,MATCH(TEXT(C109,"0"),終値!$A:$A,0))-INDEX(終値!$E:$CZ,MATCH(TEXT(C109,"0"),終値!$A:$A,0),$AL$2))/INDEX(終値!$E:$CZ,MATCH(TEXT(C109,"0"),終値!$A:$A,0),$AL$2)*100,""))</f>
        <v>-54.565217391304344</v>
      </c>
      <c r="AG109" s="365">
        <f t="array" ref="AG109">IFERROR((終値!$E$5-INDEX(終値!$E$5:$CZ$5,1,$AL$2))/INDEX(終値!$E$5:$CZ$5,1,$AL$2)*100,"")</f>
        <v>-0.82558151178043282</v>
      </c>
      <c r="AH109" s="366">
        <f t="shared" si="25"/>
        <v>-53.73963587952391</v>
      </c>
      <c r="AI109" s="364">
        <f t="shared" si="26"/>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7530</v>
      </c>
      <c r="F110" s="166">
        <f>IF(C110&lt;&gt;"",_xll.RssMarket(C110,"始値"),"")</f>
        <v>7180</v>
      </c>
      <c r="G110" s="165">
        <f>IF(C110&lt;&gt;"",終値!F132,"")</f>
        <v>6470</v>
      </c>
      <c r="H110" s="166">
        <f>IF(C110&lt;&gt;"",_xll.RssMarket(C110,"高値"),"")</f>
        <v>7600</v>
      </c>
      <c r="I110" s="166">
        <f>IF(C110&lt;&gt;"",_xll.RssMarket(C110,"安値"),"")</f>
        <v>7080</v>
      </c>
      <c r="J110" s="166">
        <f>IF(C110&lt;&gt;"",_xll.RssMarket(C110,"出来高"),"")</f>
        <v>937300</v>
      </c>
      <c r="K110" s="166">
        <f>IF(C110&lt;&gt;"",_xll.RssMarket(C110,"年初来高値"),"")</f>
        <v>9190</v>
      </c>
      <c r="L110" s="167">
        <f t="shared" si="17"/>
        <v>-18.063112078346027</v>
      </c>
      <c r="M110" s="166">
        <f>IF(C110&lt;&gt;"",IFERROR(AVERAGE(出来高!E132:I132),""),"")</f>
        <v>1147560</v>
      </c>
      <c r="N110" s="166">
        <f>IF(C110&lt;&gt;"",IFERROR(AVERAGE(出来高!E132:AC132),""),"")</f>
        <v>1461208.3333333333</v>
      </c>
      <c r="O110" s="168">
        <f t="shared" si="18"/>
        <v>0.81677646484715394</v>
      </c>
      <c r="P110" s="163" t="str">
        <f t="shared" si="19"/>
        <v>減少↓</v>
      </c>
      <c r="Q110" s="163" t="str">
        <f t="shared" si="20"/>
        <v>中立→</v>
      </c>
      <c r="R110" s="166">
        <f t="shared" si="27"/>
        <v>8132</v>
      </c>
      <c r="S110" s="166">
        <f t="shared" si="28"/>
        <v>7229</v>
      </c>
      <c r="T110" s="163">
        <f t="shared" si="21"/>
        <v>6</v>
      </c>
      <c r="U110" s="163" t="str">
        <f t="shared" si="29"/>
        <v>要確認</v>
      </c>
      <c r="V110" s="163" t="str">
        <f t="shared" si="22"/>
        <v>通常</v>
      </c>
      <c r="W110" s="169">
        <f t="array" ref="W110">IF(C110&lt;&gt;"",IFERROR(100-100/(1+SUMPRODUCT((終値!F132:R132&gt;終値!G132:S132)*( 終値!F132:R132-終値!G132:S132))/SUMPRODUCT((終値!F132:R132&lt;終値!G132:S132)*(終値!G132:S132-終値!F132:R132))),50),"")</f>
        <v>46.555323590814197</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-130.05144503838892</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△注目</v>
      </c>
      <c r="Z110" s="171">
        <f t="shared" si="30"/>
        <v>16.383307573415763</v>
      </c>
      <c r="AA110" s="163" t="str">
        <f t="shared" si="31"/>
        <v>上昇▲</v>
      </c>
      <c r="AB110" s="403">
        <f>IF(C110="","",IFERROR(((終値!E112*0.333)+(終値!F112*0.222)+(終値!G112*0.148)+(終値!H112*0.099)+(終値!I112*0.066)+(終値!J112*0.044)+(終値!K112*0.029)+(終値!L112*0.019)+(終値!M112*0.013)+(終値!N112*0.009))/(0.333+0.222+0.148+0.099+0.066+0.044+0.029+0.019+0.013+0.009),""))</f>
        <v>399.97454175152745</v>
      </c>
      <c r="AC110" s="403">
        <f>IF(C110="","",IFERROR(SUMPRODUCT((終値!E112:AC112),({0.077,0.071,0.065,0.06,0.055,0.051,0.047,0.043,0.039,0.036,0.033,0.031,0.028,0.026,0.024,0.022,0.02,0.018,0.017,0.016,0.014,0.013,0.012,0.011,0.01}))/SUM({0.077,0.071,0.065,0.06,0.055,0.051,0.047,0.043,0.039,0.036,0.033,0.031,0.028,0.026,0.024,0.022,0.02,0.018,0.017,0.016,0.014,0.013,0.012,0.011,0.01}),""))</f>
        <v>398.94517282479131</v>
      </c>
      <c r="AD110" s="404" t="str">
        <f t="shared" si="32"/>
        <v>パーフェクト▲</v>
      </c>
      <c r="AE110" s="404" t="str">
        <f t="shared" si="33"/>
        <v>なし</v>
      </c>
      <c r="AF110" s="365">
        <f t="array" ref="AF110">IF(C110="","",IFERROR((INDEX(終値!$E:$E,MATCH(TEXT(C110,"0"),終値!$A:$A,0))-INDEX(終値!$E:$CZ,MATCH(TEXT(C110,"0"),終値!$A:$A,0),$AL$2))/INDEX(終値!$E:$CZ,MATCH(TEXT(C110,"0"),終値!$A:$A,0),$AL$2)*100,""))</f>
        <v>1.4858841010401187</v>
      </c>
      <c r="AG110" s="365">
        <f t="array" ref="AG110">IFERROR((終値!$E$5-INDEX(終値!$E$5:$CZ$5,1,$AL$2))/INDEX(終値!$E$5:$CZ$5,1,$AL$2)*100,"")</f>
        <v>-0.82558151178043282</v>
      </c>
      <c r="AH110" s="366">
        <f t="shared" si="25"/>
        <v>2.3114656128205517</v>
      </c>
      <c r="AI110" s="364">
        <f t="shared" si="26"/>
        <v>1</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1457</v>
      </c>
      <c r="F111" s="166">
        <f>IF(C111&lt;&gt;"",_xll.RssMarket(C111,"始値"),"")</f>
        <v>1405</v>
      </c>
      <c r="G111" s="165">
        <f>IF(C111&lt;&gt;"",終値!F57,"")</f>
        <v>1360</v>
      </c>
      <c r="H111" s="166">
        <f>IF(C111&lt;&gt;"",_xll.RssMarket(C111,"高値"),"")</f>
        <v>1472</v>
      </c>
      <c r="I111" s="166">
        <f>IF(C111&lt;&gt;"",_xll.RssMarket(C111,"安値"),"")</f>
        <v>1405</v>
      </c>
      <c r="J111" s="166">
        <f>IF(C111&lt;&gt;"",_xll.RssMarket(C111,"出来高"),"")</f>
        <v>224700</v>
      </c>
      <c r="K111" s="166">
        <f>IF(C111&lt;&gt;"",_xll.RssMarket(C111,"年初来高値"),"")</f>
        <v>2030</v>
      </c>
      <c r="L111" s="167">
        <f t="shared" si="17"/>
        <v>-28.226600985221673</v>
      </c>
      <c r="M111" s="166">
        <f>IF(C111&lt;&gt;"",IFERROR(AVERAGE(出来高!E57:I57),""),"")</f>
        <v>243760</v>
      </c>
      <c r="N111" s="166">
        <f>IF(C111&lt;&gt;"",IFERROR(AVERAGE(出来高!E57:AC57),""),"")</f>
        <v>333528</v>
      </c>
      <c r="O111" s="168">
        <f t="shared" si="18"/>
        <v>0.92180833606826384</v>
      </c>
      <c r="P111" s="163" t="str">
        <f t="shared" si="19"/>
        <v>減少↓</v>
      </c>
      <c r="Q111" s="163" t="str">
        <f t="shared" si="20"/>
        <v>中立→</v>
      </c>
      <c r="R111" s="166">
        <f t="shared" si="27"/>
        <v>1574</v>
      </c>
      <c r="S111" s="166">
        <f t="shared" si="28"/>
        <v>1399</v>
      </c>
      <c r="T111" s="163">
        <f t="shared" si="21"/>
        <v>2</v>
      </c>
      <c r="U111" s="163" t="str">
        <f t="shared" si="29"/>
        <v>除外</v>
      </c>
      <c r="V111" s="163" t="str">
        <f t="shared" si="22"/>
        <v>通常</v>
      </c>
      <c r="W111" s="169">
        <f t="array" ref="W111">IF(C111&lt;&gt;"",IFERROR(100-100/(1+SUMPRODUCT((終値!F57:R57&gt;終値!G57:S57)*( 終値!F57:R57-終値!G57:S57))/SUMPRODUCT((終値!F57:R57&lt;終値!G57:S57)*(終値!G57:S57-終値!F57:R57))),50),"")</f>
        <v>28.051001821493628</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-37.226811920123055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見送り</v>
      </c>
      <c r="Z111" s="171">
        <f t="shared" si="30"/>
        <v>7.1323529411764701</v>
      </c>
      <c r="AA111" s="163" t="str">
        <f t="shared" si="31"/>
        <v>上昇▲</v>
      </c>
      <c r="AB111" s="405">
        <f>IF(C111="","",IFERROR(((終値!E113*0.333)+(終値!F113*0.222)+(終値!G113*0.148)+(終値!H113*0.099)+(終値!I113*0.066)+(終値!J113*0.044)+(終値!K113*0.029)+(終値!L113*0.019)+(終値!M113*0.013)+(終値!N113*0.009))/(0.333+0.222+0.148+0.099+0.066+0.044+0.029+0.019+0.013+0.009),""))</f>
        <v>4166.7688391038682</v>
      </c>
      <c r="AC111" s="405">
        <f>IF(C111="","",IFERROR(SUMPRODUCT((終値!E113:AC113),({0.077,0.071,0.065,0.06,0.055,0.051,0.047,0.043,0.039,0.036,0.033,0.031,0.028,0.026,0.024,0.022,0.02,0.018,0.017,0.016,0.014,0.013,0.012,0.011,0.01}))/SUM({0.077,0.071,0.065,0.06,0.055,0.051,0.047,0.043,0.039,0.036,0.033,0.031,0.028,0.026,0.024,0.022,0.02,0.018,0.017,0.016,0.014,0.013,0.012,0.011,0.01}),""))</f>
        <v>4023.0953516090558</v>
      </c>
      <c r="AD111" s="406" t="str">
        <f t="shared" si="32"/>
        <v>もみ合い→</v>
      </c>
      <c r="AE111" s="406" t="str">
        <f t="shared" si="33"/>
        <v>なし</v>
      </c>
      <c r="AF111" s="365">
        <f t="array" ref="AF111">IF(C111="","",IFERROR((INDEX(終値!$E:$E,MATCH(TEXT(C111,"0"),終値!$A:$A,0))-INDEX(終値!$E:$CZ,MATCH(TEXT(C111,"0"),終値!$A:$A,0),$AL$2))/INDEX(終値!$E:$CZ,MATCH(TEXT(C111,"0"),終値!$A:$A,0),$AL$2)*100,""))</f>
        <v>-10.65891472868217</v>
      </c>
      <c r="AG111" s="365">
        <f t="array" ref="AG111">IFERROR((終値!$E$5-INDEX(終値!$E$5:$CZ$5,1,$AL$2))/INDEX(終値!$E$5:$CZ$5,1,$AL$2)*100,"")</f>
        <v>-0.82558151178043282</v>
      </c>
      <c r="AH111" s="366">
        <f t="shared" si="25"/>
        <v>-9.8333332169017371</v>
      </c>
      <c r="AI111" s="364">
        <f t="shared" si="26"/>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2347</v>
      </c>
      <c r="F112" s="166">
        <f>IF(C112&lt;&gt;"",_xll.RssMarket(C112,"始値"),"")</f>
        <v>2340</v>
      </c>
      <c r="G112" s="165">
        <f>IF(C112&lt;&gt;"",終値!F104,"")</f>
        <v>2335.5</v>
      </c>
      <c r="H112" s="166">
        <f>IF(C112&lt;&gt;"",_xll.RssMarket(C112,"高値"),"")</f>
        <v>2350</v>
      </c>
      <c r="I112" s="166">
        <f>IF(C112&lt;&gt;"",_xll.RssMarket(C112,"安値"),"")</f>
        <v>2316.5</v>
      </c>
      <c r="J112" s="166">
        <f>IF(C112&lt;&gt;"",_xll.RssMarket(C112,"出来高"),"")</f>
        <v>2014900</v>
      </c>
      <c r="K112" s="166">
        <f>IF(C112&lt;&gt;"",_xll.RssMarket(C112,"年初来高値"),"")</f>
        <v>2539.5</v>
      </c>
      <c r="L112" s="167">
        <f t="shared" si="17"/>
        <v>-7.5802323291986609</v>
      </c>
      <c r="M112" s="166">
        <f>IF(C112&lt;&gt;"",IFERROR(AVERAGE(出来高!E104:I104),""),"")</f>
        <v>6090300</v>
      </c>
      <c r="N112" s="166">
        <f>IF(C112&lt;&gt;"",IFERROR(AVERAGE(出来高!E104:AC104),""),"")</f>
        <v>5597264</v>
      </c>
      <c r="O112" s="168">
        <f t="shared" si="18"/>
        <v>0.33083756136807713</v>
      </c>
      <c r="P112" s="163" t="str">
        <f t="shared" si="19"/>
        <v>減少↓</v>
      </c>
      <c r="Q112" s="163" t="str">
        <f t="shared" si="20"/>
        <v>中立→</v>
      </c>
      <c r="R112" s="166">
        <f t="shared" si="27"/>
        <v>2535</v>
      </c>
      <c r="S112" s="166">
        <f t="shared" si="28"/>
        <v>2253</v>
      </c>
      <c r="T112" s="163">
        <f t="shared" si="21"/>
        <v>9</v>
      </c>
      <c r="U112" s="163" t="str">
        <f t="shared" si="29"/>
        <v>要確認</v>
      </c>
      <c r="V112" s="163" t="str">
        <f t="shared" si="22"/>
        <v>通常</v>
      </c>
      <c r="W112" s="169">
        <f t="array" ref="W112">IF(C112&lt;&gt;"",IFERROR(100-100/(1+SUMPRODUCT((終値!F104:R104&gt;終値!G104:S104)*( 終値!F104:R104-終値!G104:S104))/SUMPRODUCT((終値!F104:R104&lt;終値!G104:S104)*(終値!G104:S104-終値!F104:R104))),50),"")</f>
        <v>50.220264317180622</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11.585487324818587</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 t="shared" si="30"/>
        <v>0.49239991436523228</v>
      </c>
      <c r="AA112" s="163" t="str">
        <f t="shared" si="31"/>
        <v>上昇▲</v>
      </c>
      <c r="AB112" s="403">
        <f>IF(C112="","",IFERROR(((終値!E114*0.333)+(終値!F114*0.222)+(終値!G114*0.148)+(終値!H114*0.099)+(終値!I114*0.066)+(終値!J114*0.044)+(終値!K114*0.029)+(終値!L114*0.019)+(終値!M114*0.013)+(終値!N114*0.009))/(0.333+0.222+0.148+0.099+0.066+0.044+0.029+0.019+0.013+0.009),""))</f>
        <v>524.07230142566175</v>
      </c>
      <c r="AC112" s="403">
        <f>IF(C112="","",IFERROR(SUMPRODUCT((終値!E114:AC114),({0.077,0.071,0.065,0.06,0.055,0.051,0.047,0.043,0.039,0.036,0.033,0.031,0.028,0.026,0.024,0.022,0.02,0.018,0.017,0.016,0.014,0.013,0.012,0.011,0.01}))/SUM({0.077,0.071,0.065,0.06,0.055,0.051,0.047,0.043,0.039,0.036,0.033,0.031,0.028,0.026,0.024,0.022,0.02,0.018,0.017,0.016,0.014,0.013,0.012,0.011,0.01}),""))</f>
        <v>509.83301549463641</v>
      </c>
      <c r="AD112" s="404" t="str">
        <f t="shared" si="32"/>
        <v>パーフェクト▲</v>
      </c>
      <c r="AE112" s="404" t="str">
        <f t="shared" si="33"/>
        <v>なし</v>
      </c>
      <c r="AF112" s="365">
        <f t="array" ref="AF112">IF(C112="","",IFERROR((INDEX(終値!$E:$E,MATCH(TEXT(C112,"0"),終値!$A:$A,0))-INDEX(終値!$E:$CZ,MATCH(TEXT(C112,"0"),終値!$A:$A,0),$AL$2))/INDEX(終値!$E:$CZ,MATCH(TEXT(C112,"0"),終値!$A:$A,0),$AL$2)*100,""))</f>
        <v>8.1049698095680434</v>
      </c>
      <c r="AG112" s="365">
        <f t="array" ref="AG112">IFERROR((終値!$E$5-INDEX(終値!$E$5:$CZ$5,1,$AL$2))/INDEX(終値!$E$5:$CZ$5,1,$AL$2)*100,"")</f>
        <v>-0.82558151178043282</v>
      </c>
      <c r="AH112" s="366">
        <f t="shared" si="25"/>
        <v>8.9305513213484762</v>
      </c>
      <c r="AI112" s="364">
        <f t="shared" si="26"/>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63950</v>
      </c>
      <c r="F113" s="166">
        <f>IF(C113&lt;&gt;"",_xll.RssMarket(C113,"始値"),"")</f>
        <v>63890</v>
      </c>
      <c r="G113" s="165">
        <f>IF(C113&lt;&gt;"",終値!F197,"")</f>
        <v>60520</v>
      </c>
      <c r="H113" s="166">
        <f>IF(C113&lt;&gt;"",_xll.RssMarket(C113,"高値"),"")</f>
        <v>64480</v>
      </c>
      <c r="I113" s="166">
        <f>IF(C113&lt;&gt;"",_xll.RssMarket(C113,"安値"),"")</f>
        <v>62440</v>
      </c>
      <c r="J113" s="166">
        <f>IF(C113&lt;&gt;"",_xll.RssMarket(C113,"出来高"),"")</f>
        <v>1155400</v>
      </c>
      <c r="K113" s="166">
        <f>IF(C113&lt;&gt;"",_xll.RssMarket(C113,"年初来高値"),"")</f>
        <v>91680</v>
      </c>
      <c r="L113" s="167">
        <f t="shared" si="17"/>
        <v>-30.246509598603836</v>
      </c>
      <c r="M113" s="166">
        <f>IF(C113&lt;&gt;"",IFERROR(AVERAGE(出来高!E197:I197),""),"")</f>
        <v>2724680</v>
      </c>
      <c r="N113" s="166">
        <f>IF(C113&lt;&gt;"",IFERROR(AVERAGE(出来高!E197:AC197),""),"")</f>
        <v>1932272</v>
      </c>
      <c r="O113" s="168">
        <f t="shared" si="18"/>
        <v>0.42404979667337084</v>
      </c>
      <c r="P113" s="163" t="str">
        <f t="shared" si="19"/>
        <v>減少↓</v>
      </c>
      <c r="Q113" s="163" t="str">
        <f t="shared" si="20"/>
        <v>中立→</v>
      </c>
      <c r="R113" s="166">
        <f t="shared" si="27"/>
        <v>69066</v>
      </c>
      <c r="S113" s="166">
        <f t="shared" si="28"/>
        <v>61392</v>
      </c>
      <c r="T113" s="163">
        <f t="shared" si="21"/>
        <v>4</v>
      </c>
      <c r="U113" s="163" t="str">
        <f t="shared" si="29"/>
        <v>要確認</v>
      </c>
      <c r="V113" s="163" t="str">
        <f t="shared" si="22"/>
        <v>通常</v>
      </c>
      <c r="W113" s="169">
        <f t="array" ref="W113">IF(C113&lt;&gt;"",IFERROR(100-100/(1+SUMPRODUCT((終値!F197:R197&gt;終値!G197:S197)*( 終値!F197:R197-終値!G197:S197))/SUMPRODUCT((終値!F197:R197&lt;終値!G197:S197)*(終値!G197:S197-終値!F197:R197))),50),"")</f>
        <v>38.963531669865645</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-2339.8319528416978</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様子見</v>
      </c>
      <c r="Z113" s="171">
        <f t="shared" si="30"/>
        <v>5.6675479180436223</v>
      </c>
      <c r="AA113" s="163" t="str">
        <f t="shared" si="31"/>
        <v>上昇▲</v>
      </c>
      <c r="AB113" s="405">
        <f>IF(C113="","",IFERROR(((終値!E115*0.333)+(終値!F115*0.222)+(終値!G115*0.148)+(終値!H115*0.099)+(終値!I115*0.066)+(終値!J115*0.044)+(終値!K115*0.029)+(終値!L115*0.019)+(終値!M115*0.013)+(終値!N115*0.009))/(0.333+0.222+0.148+0.099+0.066+0.044+0.029+0.019+0.013+0.009),""))</f>
        <v>6159.2820773930762</v>
      </c>
      <c r="AC113" s="405">
        <f>IF(C113="","",IFERROR(SUMPRODUCT((終値!E115:AC115),({0.077,0.071,0.065,0.06,0.055,0.051,0.047,0.043,0.039,0.036,0.033,0.031,0.028,0.026,0.024,0.022,0.02,0.018,0.017,0.016,0.014,0.013,0.012,0.011,0.01}))/SUM({0.077,0.071,0.065,0.06,0.055,0.051,0.047,0.043,0.039,0.036,0.033,0.031,0.028,0.026,0.024,0.022,0.02,0.018,0.017,0.016,0.014,0.013,0.012,0.011,0.01}),""))</f>
        <v>6151.2502979737765</v>
      </c>
      <c r="AD113" s="406" t="str">
        <f t="shared" si="32"/>
        <v>パーフェクト▲</v>
      </c>
      <c r="AE113" s="406" t="str">
        <f t="shared" si="33"/>
        <v>なし</v>
      </c>
      <c r="AF113" s="365">
        <f t="array" ref="AF113">IF(C113="","",IFERROR((INDEX(終値!$E:$E,MATCH(TEXT(C113,"0"),終値!$A:$A,0))-INDEX(終値!$E:$CZ,MATCH(TEXT(C113,"0"),終値!$A:$A,0),$AL$2))/INDEX(終値!$E:$CZ,MATCH(TEXT(C113,"0"),終値!$A:$A,0),$AL$2)*100,""))</f>
        <v>-23.456945317410433</v>
      </c>
      <c r="AG113" s="365">
        <f t="array" ref="AG113">IFERROR((終値!$E$5-INDEX(終値!$E$5:$CZ$5,1,$AL$2))/INDEX(終値!$E$5:$CZ$5,1,$AL$2)*100,"")</f>
        <v>-0.82558151178043282</v>
      </c>
      <c r="AH113" s="366">
        <f t="shared" si="25"/>
        <v>-22.631363805630002</v>
      </c>
      <c r="AI113" s="364">
        <f t="shared" si="26"/>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8426</v>
      </c>
      <c r="F114" s="166">
        <f>IF(C114&lt;&gt;"",_xll.RssMarket(C114,"始値"),"")</f>
        <v>8131</v>
      </c>
      <c r="G114" s="165">
        <f>IF(C114&lt;&gt;"",終値!F92,"")</f>
        <v>7445</v>
      </c>
      <c r="H114" s="166">
        <f>IF(C114&lt;&gt;"",_xll.RssMarket(C114,"高値"),"")</f>
        <v>8470</v>
      </c>
      <c r="I114" s="166">
        <f>IF(C114&lt;&gt;"",_xll.RssMarket(C114,"安値"),"")</f>
        <v>7933</v>
      </c>
      <c r="J114" s="166">
        <f>IF(C114&lt;&gt;"",_xll.RssMarket(C114,"出来高"),"")</f>
        <v>1317600</v>
      </c>
      <c r="K114" s="166">
        <f>IF(C114&lt;&gt;"",_xll.RssMarket(C114,"年初来高値"),"")</f>
        <v>8943</v>
      </c>
      <c r="L114" s="167">
        <f t="shared" si="17"/>
        <v>-5.7810578105781056</v>
      </c>
      <c r="M114" s="166">
        <f>IF(C114&lt;&gt;"",IFERROR(AVERAGE(出来高!E92:I92),""),"")</f>
        <v>1733000</v>
      </c>
      <c r="N114" s="166">
        <f>IF(C114&lt;&gt;"",IFERROR(AVERAGE(出来高!E92:AC92),""),"")</f>
        <v>972776</v>
      </c>
      <c r="O114" s="168">
        <f t="shared" si="18"/>
        <v>0.76030005770340447</v>
      </c>
      <c r="P114" s="163" t="str">
        <f t="shared" si="19"/>
        <v>減少↓</v>
      </c>
      <c r="Q114" s="163" t="str">
        <f t="shared" si="20"/>
        <v>中立→</v>
      </c>
      <c r="R114" s="166">
        <f t="shared" si="27"/>
        <v>9100</v>
      </c>
      <c r="S114" s="166">
        <f t="shared" si="28"/>
        <v>8089</v>
      </c>
      <c r="T114" s="163">
        <f t="shared" si="21"/>
        <v>5</v>
      </c>
      <c r="U114" s="163" t="str">
        <f t="shared" si="29"/>
        <v>要確認</v>
      </c>
      <c r="V114" s="163" t="str">
        <f t="shared" si="22"/>
        <v>通常</v>
      </c>
      <c r="W114" s="169">
        <f t="array" ref="W114">IF(C114&lt;&gt;"",IFERROR(100-100/(1+SUMPRODUCT((終値!F92:R92&gt;終値!G92:S92)*( 終値!F92:R92-終値!G92:S92))/SUMPRODUCT((終値!F92:R92&lt;終値!G92:S92)*(終値!G92:S92-終値!F92:R92))),50),"")</f>
        <v>44.970565651394935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-108.80626614498578</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様子見</v>
      </c>
      <c r="Z114" s="171">
        <f t="shared" si="30"/>
        <v>13.176628609805238</v>
      </c>
      <c r="AA114" s="163" t="str">
        <f t="shared" si="31"/>
        <v>上昇▲</v>
      </c>
      <c r="AB114" s="403">
        <f>IF(C114="","",IFERROR(((終値!E116*0.333)+(終値!F116*0.222)+(終値!G116*0.148)+(終値!H116*0.099)+(終値!I116*0.066)+(終値!J116*0.044)+(終値!K116*0.029)+(終値!L116*0.019)+(終値!M116*0.013)+(終値!N116*0.009))/(0.333+0.222+0.148+0.099+0.066+0.044+0.029+0.019+0.013+0.009),""))</f>
        <v>1776.7851323828918</v>
      </c>
      <c r="AC114" s="403">
        <f>IF(C114="","",IFERROR(SUMPRODUCT((終値!E116:AC116),({0.077,0.071,0.065,0.06,0.055,0.051,0.047,0.043,0.039,0.036,0.033,0.031,0.028,0.026,0.024,0.022,0.02,0.018,0.017,0.016,0.014,0.013,0.012,0.011,0.01}))/SUM({0.077,0.071,0.065,0.06,0.055,0.051,0.047,0.043,0.039,0.036,0.033,0.031,0.028,0.026,0.024,0.022,0.02,0.018,0.017,0.016,0.014,0.013,0.012,0.011,0.01}),""))</f>
        <v>1805.6090584028595</v>
      </c>
      <c r="AD114" s="404" t="str">
        <f t="shared" si="32"/>
        <v>上昇トレンド▲</v>
      </c>
      <c r="AE114" s="404" t="str">
        <f t="shared" si="33"/>
        <v>なし</v>
      </c>
      <c r="AF114" s="365">
        <f t="array" ref="AF114">IF(C114="","",IFERROR((INDEX(終値!$E:$E,MATCH(TEXT(C114,"0"),終値!$A:$A,0))-INDEX(終値!$E:$CZ,MATCH(TEXT(C114,"0"),終値!$A:$A,0),$AL$2))/INDEX(終値!$E:$CZ,MATCH(TEXT(C114,"0"),終値!$A:$A,0),$AL$2)*100,""))</f>
        <v>1.7747781527309086</v>
      </c>
      <c r="AG114" s="365">
        <f t="array" ref="AG114">IFERROR((終値!$E$5-INDEX(終値!$E$5:$CZ$5,1,$AL$2))/INDEX(終値!$E$5:$CZ$5,1,$AL$2)*100,"")</f>
        <v>-0.82558151178043282</v>
      </c>
      <c r="AH114" s="366">
        <f t="shared" si="25"/>
        <v>2.6003596645113412</v>
      </c>
      <c r="AI114" s="364">
        <f t="shared" si="26"/>
        <v>1</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77</v>
      </c>
      <c r="F115" s="166">
        <f>IF(C115&lt;&gt;"",_xll.RssMarket(C115,"始値"),"")</f>
        <v>78</v>
      </c>
      <c r="G115" s="165">
        <f>IF(C115&lt;&gt;"",終値!F137,"")</f>
        <v>70</v>
      </c>
      <c r="H115" s="166">
        <f>IF(C115&lt;&gt;"",_xll.RssMarket(C115,"高値"),"")</f>
        <v>81</v>
      </c>
      <c r="I115" s="166">
        <f>IF(C115&lt;&gt;"",_xll.RssMarket(C115,"安値"),"")</f>
        <v>74</v>
      </c>
      <c r="J115" s="166">
        <f>IF(C115&lt;&gt;"",_xll.RssMarket(C115,"出来高"),"")</f>
        <v>1831800</v>
      </c>
      <c r="K115" s="166">
        <f>IF(C115&lt;&gt;"",_xll.RssMarket(C115,"年初来高値"),"")</f>
        <v>720</v>
      </c>
      <c r="L115" s="167">
        <f t="shared" si="17"/>
        <v>-89.305555555555557</v>
      </c>
      <c r="M115" s="166">
        <f>IF(C115&lt;&gt;"",IFERROR(AVERAGE(出来高!E137:I137),""),"")</f>
        <v>5110600</v>
      </c>
      <c r="N115" s="166">
        <f>IF(C115&lt;&gt;"",IFERROR(AVERAGE(出来高!E137:AC137),""),"")</f>
        <v>3894108.3333333335</v>
      </c>
      <c r="O115" s="168">
        <f t="shared" si="18"/>
        <v>0.35843149532344537</v>
      </c>
      <c r="P115" s="163" t="str">
        <f t="shared" si="19"/>
        <v>減少↓</v>
      </c>
      <c r="Q115" s="163" t="str">
        <f t="shared" si="20"/>
        <v>中立→</v>
      </c>
      <c r="R115" s="166">
        <f t="shared" si="27"/>
        <v>83</v>
      </c>
      <c r="S115" s="166">
        <f t="shared" si="28"/>
        <v>74</v>
      </c>
      <c r="T115" s="163">
        <f t="shared" si="21"/>
        <v>1</v>
      </c>
      <c r="U115" s="163" t="str">
        <f t="shared" si="29"/>
        <v>除外</v>
      </c>
      <c r="V115" s="163" t="str">
        <f t="shared" si="22"/>
        <v>通常</v>
      </c>
      <c r="W115" s="169">
        <f t="array" ref="W115">IF(C115&lt;&gt;"",IFERROR(100-100/(1+SUMPRODUCT((終値!F137:R137&gt;終値!G137:S137)*( 終値!F137:R137-終値!G137:S137))/SUMPRODUCT((終値!F137:R137&lt;終値!G137:S137)*(終値!G137:S137-終値!F137:R137))),50),"")</f>
        <v>34.06326034063261</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-22.519085412694665</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 t="shared" si="30"/>
        <v>10</v>
      </c>
      <c r="AA115" s="163" t="str">
        <f t="shared" si="31"/>
        <v>上昇▲</v>
      </c>
      <c r="AB115" s="405">
        <f>IF(C115="","",IFERROR(((終値!E117*0.333)+(終値!F117*0.222)+(終値!G117*0.148)+(終値!H117*0.099)+(終値!I117*0.066)+(終値!J117*0.044)+(終値!K117*0.029)+(終値!L117*0.019)+(終値!M117*0.013)+(終値!N117*0.009))/(0.333+0.222+0.148+0.099+0.066+0.044+0.029+0.019+0.013+0.009),""))</f>
        <v>5408.4195519348268</v>
      </c>
      <c r="AC115" s="405">
        <f>IF(C115="","",IFERROR(SUMPRODUCT((終値!E117:AC117),({0.077,0.071,0.065,0.06,0.055,0.051,0.047,0.043,0.039,0.036,0.033,0.031,0.028,0.026,0.024,0.022,0.02,0.018,0.017,0.016,0.014,0.013,0.012,0.011,0.01}))/SUM({0.077,0.071,0.065,0.06,0.055,0.051,0.047,0.043,0.039,0.036,0.033,0.031,0.028,0.026,0.024,0.022,0.02,0.018,0.017,0.016,0.014,0.013,0.012,0.011,0.01}),""))</f>
        <v>5488.3980929678173</v>
      </c>
      <c r="AD115" s="406" t="str">
        <f t="shared" si="32"/>
        <v>下降トレンド▼</v>
      </c>
      <c r="AE115" s="406" t="str">
        <f t="shared" si="33"/>
        <v>なし</v>
      </c>
      <c r="AF115" s="365">
        <f t="array" ref="AF115">IF(C115="","",IFERROR((INDEX(終値!$E:$E,MATCH(TEXT(C115,"0"),終値!$A:$A,0))-INDEX(終値!$E:$CZ,MATCH(TEXT(C115,"0"),終値!$A:$A,0),$AL$2))/INDEX(終値!$E:$CZ,MATCH(TEXT(C115,"0"),終値!$A:$A,0),$AL$2)*100,""))</f>
        <v>-72.101449275362313</v>
      </c>
      <c r="AG115" s="365">
        <f t="array" ref="AG115">IFERROR((終値!$E$5-INDEX(終値!$E$5:$CZ$5,1,$AL$2))/INDEX(終値!$E$5:$CZ$5,1,$AL$2)*100,"")</f>
        <v>-0.82558151178043282</v>
      </c>
      <c r="AH115" s="366">
        <f t="shared" si="25"/>
        <v>-71.275867763581886</v>
      </c>
      <c r="AI115" s="364">
        <f t="shared" si="26"/>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2364</v>
      </c>
      <c r="F116" s="166">
        <f>IF(C116&lt;&gt;"",_xll.RssMarket(C116,"始値"),"")</f>
        <v>2318</v>
      </c>
      <c r="G116" s="165">
        <f>IF(C116&lt;&gt;"",終値!F72,"")</f>
        <v>2277</v>
      </c>
      <c r="H116" s="166">
        <f>IF(C116&lt;&gt;"",_xll.RssMarket(C116,"高値"),"")</f>
        <v>2364</v>
      </c>
      <c r="I116" s="166">
        <f>IF(C116&lt;&gt;"",_xll.RssMarket(C116,"安値"),"")</f>
        <v>2305</v>
      </c>
      <c r="J116" s="166">
        <f>IF(C116&lt;&gt;"",_xll.RssMarket(C116,"出来高"),"")</f>
        <v>21600</v>
      </c>
      <c r="K116" s="166">
        <f>IF(C116&lt;&gt;"",_xll.RssMarket(C116,"年初来高値"),"")</f>
        <v>3490</v>
      </c>
      <c r="L116" s="167">
        <f t="shared" si="17"/>
        <v>-32.263610315186249</v>
      </c>
      <c r="M116" s="166">
        <f>IF(C116&lt;&gt;"",IFERROR(AVERAGE(出来高!E72:I72),""),"")</f>
        <v>67040</v>
      </c>
      <c r="N116" s="166">
        <f>IF(C116&lt;&gt;"",IFERROR(AVERAGE(出来高!E72:AC72),""),"")</f>
        <v>76740</v>
      </c>
      <c r="O116" s="168">
        <f t="shared" si="18"/>
        <v>0.32219570405727921</v>
      </c>
      <c r="P116" s="163" t="str">
        <f t="shared" si="19"/>
        <v>減少↓</v>
      </c>
      <c r="Q116" s="163" t="str">
        <f t="shared" si="20"/>
        <v>中立→</v>
      </c>
      <c r="R116" s="166">
        <f t="shared" si="27"/>
        <v>2553</v>
      </c>
      <c r="S116" s="166">
        <f t="shared" si="28"/>
        <v>2269</v>
      </c>
      <c r="T116" s="163">
        <f t="shared" si="21"/>
        <v>3</v>
      </c>
      <c r="U116" s="163" t="str">
        <f t="shared" si="29"/>
        <v>要確認</v>
      </c>
      <c r="V116" s="163" t="str">
        <f t="shared" si="22"/>
        <v>通常</v>
      </c>
      <c r="W116" s="169">
        <f t="array" ref="W116">IF(C116&lt;&gt;"",IFERROR(100-100/(1+SUMPRODUCT((終値!F72:R72&gt;終値!G72:S72)*( 終値!F72:R72-終値!G72:S72))/SUMPRODUCT((終値!F72:R72&lt;終値!G72:S72)*(終値!G72:S72-終値!F72:R72))),50),"")</f>
        <v>42.486085343228204</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-14.137032865119636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様子見</v>
      </c>
      <c r="Z116" s="171">
        <f t="shared" si="30"/>
        <v>3.820816864295125</v>
      </c>
      <c r="AA116" s="163" t="str">
        <f t="shared" si="31"/>
        <v>上昇▲</v>
      </c>
      <c r="AB116" s="403">
        <f>IF(C116="","",IFERROR(((終値!E118*0.333)+(終値!F118*0.222)+(終値!G118*0.148)+(終値!H118*0.099)+(終値!I118*0.066)+(終値!J118*0.044)+(終値!K118*0.029)+(終値!L118*0.019)+(終値!M118*0.013)+(終値!N118*0.009))/(0.333+0.222+0.148+0.099+0.066+0.044+0.029+0.019+0.013+0.009),""))</f>
        <v>4528.8299389002032</v>
      </c>
      <c r="AC116" s="403">
        <f>IF(C116="","",IFERROR(SUMPRODUCT((終値!E118:AC118),({0.077,0.071,0.065,0.06,0.055,0.051,0.047,0.043,0.039,0.036,0.033,0.031,0.028,0.026,0.024,0.022,0.02,0.018,0.017,0.016,0.014,0.013,0.012,0.011,0.01}))/SUM({0.077,0.071,0.065,0.06,0.055,0.051,0.047,0.043,0.039,0.036,0.033,0.031,0.028,0.026,0.024,0.022,0.02,0.018,0.017,0.016,0.014,0.013,0.012,0.011,0.01}),""))</f>
        <v>4586.4994040524425</v>
      </c>
      <c r="AD116" s="404" t="str">
        <f t="shared" si="32"/>
        <v>下降トレンド▼</v>
      </c>
      <c r="AE116" s="404" t="str">
        <f t="shared" si="33"/>
        <v>なし</v>
      </c>
      <c r="AF116" s="365">
        <f t="array" ref="AF116">IF(C116="","",IFERROR((INDEX(終値!$E:$E,MATCH(TEXT(C116,"0"),終値!$A:$A,0))-INDEX(終値!$E:$CZ,MATCH(TEXT(C116,"0"),終値!$A:$A,0),$AL$2))/INDEX(終値!$E:$CZ,MATCH(TEXT(C116,"0"),終値!$A:$A,0),$AL$2)*100,""))</f>
        <v>1.1037527593818985</v>
      </c>
      <c r="AG116" s="365">
        <f t="array" ref="AG116">IFERROR((終値!$E$5-INDEX(終値!$E$5:$CZ$5,1,$AL$2))/INDEX(終値!$E$5:$CZ$5,1,$AL$2)*100,"")</f>
        <v>-0.82558151178043282</v>
      </c>
      <c r="AH116" s="366">
        <f t="shared" si="25"/>
        <v>1.9293342711623314</v>
      </c>
      <c r="AI116" s="364">
        <f t="shared" si="26"/>
        <v>1</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3489</v>
      </c>
      <c r="F117" s="166">
        <f>IF(C117&lt;&gt;"",_xll.RssMarket(C117,"始値"),"")</f>
        <v>3481</v>
      </c>
      <c r="G117" s="165">
        <f>IF(C117&lt;&gt;"",終値!F42,"")</f>
        <v>3544</v>
      </c>
      <c r="H117" s="166">
        <f>IF(C117&lt;&gt;"",_xll.RssMarket(C117,"高値"),"")</f>
        <v>3497</v>
      </c>
      <c r="I117" s="166">
        <f>IF(C117&lt;&gt;"",_xll.RssMarket(C117,"安値"),"")</f>
        <v>3463</v>
      </c>
      <c r="J117" s="166">
        <f>IF(C117&lt;&gt;"",_xll.RssMarket(C117,"出来高"),"")</f>
        <v>104800</v>
      </c>
      <c r="K117" s="166">
        <f>IF(C117&lt;&gt;"",_xll.RssMarket(C117,"年初来高値"),"")</f>
        <v>4456</v>
      </c>
      <c r="L117" s="167">
        <f t="shared" si="17"/>
        <v>-21.701077199281869</v>
      </c>
      <c r="M117" s="166">
        <f>IF(C117&lt;&gt;"",IFERROR(AVERAGE(出来高!E42:I42),""),"")</f>
        <v>405920</v>
      </c>
      <c r="N117" s="166">
        <f>IF(C117&lt;&gt;"",IFERROR(AVERAGE(出来高!E42:AC42),""),"")</f>
        <v>321268</v>
      </c>
      <c r="O117" s="168">
        <f t="shared" si="18"/>
        <v>0.25817895151754039</v>
      </c>
      <c r="P117" s="163" t="str">
        <f t="shared" si="19"/>
        <v>減少↓</v>
      </c>
      <c r="Q117" s="163" t="str">
        <f t="shared" si="20"/>
        <v>様子見▼</v>
      </c>
      <c r="R117" s="166">
        <f t="shared" si="27"/>
        <v>3768</v>
      </c>
      <c r="S117" s="166">
        <f t="shared" si="28"/>
        <v>3349</v>
      </c>
      <c r="T117" s="163">
        <f t="shared" si="21"/>
        <v>3</v>
      </c>
      <c r="U117" s="163" t="str">
        <f t="shared" si="29"/>
        <v>要確認</v>
      </c>
      <c r="V117" s="163" t="str">
        <f t="shared" si="22"/>
        <v>通常</v>
      </c>
      <c r="W117" s="169">
        <f t="array" ref="W117">IF(C117&lt;&gt;"",IFERROR(100-100/(1+SUMPRODUCT((終値!F42:R42&gt;終値!G42:S42)*( 終値!F42:R42-終値!G42:S42))/SUMPRODUCT((終値!F42:R42&lt;終値!G42:S42)*(終値!G42:S42-終値!F42:R42))),50),"")</f>
        <v>48.522550544323487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1.4256385354196937</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様子見</v>
      </c>
      <c r="Z117" s="171">
        <f t="shared" si="30"/>
        <v>-1.5519187358916477</v>
      </c>
      <c r="AA117" s="163" t="str">
        <f t="shared" si="31"/>
        <v>下落▼</v>
      </c>
      <c r="AB117" s="405">
        <f>IF(C117="","",IFERROR(((終値!E119*0.333)+(終値!F119*0.222)+(終値!G119*0.148)+(終値!H119*0.099)+(終値!I119*0.066)+(終値!J119*0.044)+(終値!K119*0.029)+(終値!L119*0.019)+(終値!M119*0.013)+(終値!N119*0.009))/(0.333+0.222+0.148+0.099+0.066+0.044+0.029+0.019+0.013+0.009),""))</f>
        <v>2884.8126272912423</v>
      </c>
      <c r="AC117" s="405">
        <f>IF(C117="","",IFERROR(SUMPRODUCT((終値!E119:AC119),({0.077,0.071,0.065,0.06,0.055,0.051,0.047,0.043,0.039,0.036,0.033,0.031,0.028,0.026,0.024,0.022,0.02,0.018,0.017,0.016,0.014,0.013,0.012,0.011,0.01}))/SUM({0.077,0.071,0.065,0.06,0.055,0.051,0.047,0.043,0.039,0.036,0.033,0.031,0.028,0.026,0.024,0.022,0.02,0.018,0.017,0.016,0.014,0.013,0.012,0.011,0.01}),""))</f>
        <v>2899.3009535160895</v>
      </c>
      <c r="AD117" s="406" t="str">
        <f t="shared" si="32"/>
        <v>上昇トレンド▲</v>
      </c>
      <c r="AE117" s="406" t="str">
        <f t="shared" si="33"/>
        <v>なし</v>
      </c>
      <c r="AF117" s="365">
        <f t="array" ref="AF117">IF(C117="","",IFERROR((INDEX(終値!$E:$E,MATCH(TEXT(C117,"0"),終値!$A:$A,0))-INDEX(終値!$E:$CZ,MATCH(TEXT(C117,"0"),終値!$A:$A,0),$AL$2))/INDEX(終値!$E:$CZ,MATCH(TEXT(C117,"0"),終値!$A:$A,0),$AL$2)*100,""))</f>
        <v>-3.166666666666667</v>
      </c>
      <c r="AG117" s="365">
        <f t="array" ref="AG117">IFERROR((終値!$E$5-INDEX(終値!$E$5:$CZ$5,1,$AL$2))/INDEX(終値!$E$5:$CZ$5,1,$AL$2)*100,"")</f>
        <v>-0.82558151178043282</v>
      </c>
      <c r="AH117" s="366">
        <f t="shared" si="25"/>
        <v>-2.3410851548862341</v>
      </c>
      <c r="AI117" s="364">
        <f t="shared" si="26"/>
        <v>-1</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1748</v>
      </c>
      <c r="F118" s="166">
        <f>IF(C118&lt;&gt;"",_xll.RssMarket(C118,"始値"),"")</f>
        <v>1720</v>
      </c>
      <c r="G118" s="165">
        <f>IF(C118&lt;&gt;"",終値!F36,"")</f>
        <v>1719</v>
      </c>
      <c r="H118" s="166">
        <f>IF(C118&lt;&gt;"",_xll.RssMarket(C118,"高値"),"")</f>
        <v>1753</v>
      </c>
      <c r="I118" s="166">
        <f>IF(C118&lt;&gt;"",_xll.RssMarket(C118,"安値"),"")</f>
        <v>1719</v>
      </c>
      <c r="J118" s="166">
        <f>IF(C118&lt;&gt;"",_xll.RssMarket(C118,"出来高"),"")</f>
        <v>1391100</v>
      </c>
      <c r="K118" s="166">
        <f>IF(C118&lt;&gt;"",_xll.RssMarket(C118,"年初来高値"),"")</f>
        <v>1943</v>
      </c>
      <c r="L118" s="167">
        <f t="shared" si="17"/>
        <v>-10.036026762738034</v>
      </c>
      <c r="M118" s="166">
        <f>IF(C118&lt;&gt;"",IFERROR(AVERAGE(出来高!E36:I36),""),"")</f>
        <v>3719340</v>
      </c>
      <c r="N118" s="166">
        <f>IF(C118&lt;&gt;"",IFERROR(AVERAGE(出来高!E36:AC36),""),"")</f>
        <v>2345456</v>
      </c>
      <c r="O118" s="168">
        <f t="shared" si="18"/>
        <v>0.37401797093032635</v>
      </c>
      <c r="P118" s="163" t="str">
        <f t="shared" si="19"/>
        <v>減少↓</v>
      </c>
      <c r="Q118" s="163" t="str">
        <f t="shared" si="20"/>
        <v>中立→</v>
      </c>
      <c r="R118" s="166">
        <f t="shared" si="27"/>
        <v>1888</v>
      </c>
      <c r="S118" s="166">
        <f t="shared" si="28"/>
        <v>1678</v>
      </c>
      <c r="T118" s="163">
        <f t="shared" si="21"/>
        <v>1</v>
      </c>
      <c r="U118" s="163" t="str">
        <f t="shared" si="29"/>
        <v>除外</v>
      </c>
      <c r="V118" s="163" t="str">
        <f t="shared" si="22"/>
        <v>通常</v>
      </c>
      <c r="W118" s="169">
        <f t="array" ref="W118">IF(C118&lt;&gt;"",IFERROR(100-100/(1+SUMPRODUCT((終値!F36:R36&gt;終値!G36:S36)*( 終値!F36:R36-終値!G36:S36))/SUMPRODUCT((終値!F36:R36&lt;終値!G36:S36)*(終値!G36:S36-終値!F36:R36))),50),"")</f>
        <v>37.941473259334003</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-9.7146591492557945</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 t="shared" si="30"/>
        <v>1.6870273414776031</v>
      </c>
      <c r="AA118" s="163" t="str">
        <f t="shared" si="31"/>
        <v>上昇▲</v>
      </c>
      <c r="AB118" s="403">
        <f>IF(C118="","",IFERROR(((終値!E120*0.333)+(終値!F120*0.222)+(終値!G120*0.148)+(終値!H120*0.099)+(終値!I120*0.066)+(終値!J120*0.044)+(終値!K120*0.029)+(終値!L120*0.019)+(終値!M120*0.013)+(終値!N120*0.009))/(0.333+0.222+0.148+0.099+0.066+0.044+0.029+0.019+0.013+0.009),""))</f>
        <v>4364.6995926680238</v>
      </c>
      <c r="AC118" s="403">
        <f>IF(C118="","",IFERROR(SUMPRODUCT((終値!E120:AC120),({0.077,0.071,0.065,0.06,0.055,0.051,0.047,0.043,0.039,0.036,0.033,0.031,0.028,0.026,0.024,0.022,0.02,0.018,0.017,0.016,0.014,0.013,0.012,0.011,0.01}))/SUM({0.077,0.071,0.065,0.06,0.055,0.051,0.047,0.043,0.039,0.036,0.033,0.031,0.028,0.026,0.024,0.022,0.02,0.018,0.017,0.016,0.014,0.013,0.012,0.011,0.01}),""))</f>
        <v>4135.5303933253845</v>
      </c>
      <c r="AD118" s="404" t="str">
        <f t="shared" si="32"/>
        <v>もみ合い→</v>
      </c>
      <c r="AE118" s="404" t="str">
        <f t="shared" si="33"/>
        <v>なし</v>
      </c>
      <c r="AF118" s="365">
        <f t="array" ref="AF118">IF(C118="","",IFERROR((INDEX(終値!$E:$E,MATCH(TEXT(C118,"0"),終値!$A:$A,0))-INDEX(終値!$E:$CZ,MATCH(TEXT(C118,"0"),終値!$A:$A,0),$AL$2))/INDEX(終値!$E:$CZ,MATCH(TEXT(C118,"0"),終値!$A:$A,0),$AL$2)*100,""))</f>
        <v>-4.3115438108484003</v>
      </c>
      <c r="AG118" s="365">
        <f t="array" ref="AG118">IFERROR((終値!$E$5-INDEX(終値!$E$5:$CZ$5,1,$AL$2))/INDEX(終値!$E$5:$CZ$5,1,$AL$2)*100,"")</f>
        <v>-0.82558151178043282</v>
      </c>
      <c r="AH118" s="366">
        <f t="shared" si="25"/>
        <v>-3.4859622990679675</v>
      </c>
      <c r="AI118" s="364">
        <f t="shared" si="26"/>
        <v>-2</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3615</v>
      </c>
      <c r="F119" s="166">
        <f>IF(C119&lt;&gt;"",_xll.RssMarket(C119,"始値"),"")</f>
        <v>3516</v>
      </c>
      <c r="G119" s="165">
        <f>IF(C119&lt;&gt;"",終値!F49,"")</f>
        <v>3530</v>
      </c>
      <c r="H119" s="166">
        <f>IF(C119&lt;&gt;"",_xll.RssMarket(C119,"高値"),"")</f>
        <v>3629</v>
      </c>
      <c r="I119" s="166">
        <f>IF(C119&lt;&gt;"",_xll.RssMarket(C119,"安値"),"")</f>
        <v>3516</v>
      </c>
      <c r="J119" s="166">
        <f>IF(C119&lt;&gt;"",_xll.RssMarket(C119,"出来高"),"")</f>
        <v>438700</v>
      </c>
      <c r="K119" s="166">
        <f>IF(C119&lt;&gt;"",_xll.RssMarket(C119,"年初来高値"),"")</f>
        <v>4284</v>
      </c>
      <c r="L119" s="167">
        <f t="shared" si="17"/>
        <v>-15.616246498599439</v>
      </c>
      <c r="M119" s="166">
        <f>IF(C119&lt;&gt;"",IFERROR(AVERAGE(出来高!E49:I49),""),"")</f>
        <v>1111460</v>
      </c>
      <c r="N119" s="166">
        <f>IF(C119&lt;&gt;"",IFERROR(AVERAGE(出来高!E49:AC49),""),"")</f>
        <v>668420.83333333337</v>
      </c>
      <c r="O119" s="168">
        <f t="shared" si="18"/>
        <v>0.3947060622964389</v>
      </c>
      <c r="P119" s="163" t="str">
        <f t="shared" si="19"/>
        <v>減少↓</v>
      </c>
      <c r="Q119" s="163" t="str">
        <f t="shared" si="20"/>
        <v>中立→</v>
      </c>
      <c r="R119" s="166">
        <f t="shared" si="27"/>
        <v>3904</v>
      </c>
      <c r="S119" s="166">
        <f t="shared" si="28"/>
        <v>3470</v>
      </c>
      <c r="T119" s="163">
        <f t="shared" si="21"/>
        <v>2</v>
      </c>
      <c r="U119" s="163" t="str">
        <f t="shared" si="29"/>
        <v>除外</v>
      </c>
      <c r="V119" s="163" t="str">
        <f t="shared" si="22"/>
        <v>通常</v>
      </c>
      <c r="W119" s="169">
        <f t="array" ref="W119">IF(C119&lt;&gt;"",IFERROR(100-100/(1+SUMPRODUCT((終値!F49:R49&gt;終値!G49:S49)*( 終値!F49:R49-終値!G49:S49))/SUMPRODUCT((終値!F49:R49&lt;終値!G49:S49)*(終値!G49:S49-終値!F49:R49))),50),"")</f>
        <v>49.235114144504593</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-33.753656876518562</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 t="shared" si="30"/>
        <v>2.4079320113314444</v>
      </c>
      <c r="AA119" s="163" t="str">
        <f t="shared" si="31"/>
        <v>上昇▲</v>
      </c>
      <c r="AB119" s="405">
        <f>IF(C119="","",IFERROR(((終値!E121*0.333)+(終値!F121*0.222)+(終値!G121*0.148)+(終値!H121*0.099)+(終値!I121*0.066)+(終値!J121*0.044)+(終値!K121*0.029)+(終値!L121*0.019)+(終値!M121*0.013)+(終値!N121*0.009))/(0.333+0.222+0.148+0.099+0.066+0.044+0.029+0.019+0.013+0.009),""))</f>
        <v>2925.2586558044804</v>
      </c>
      <c r="AC119" s="405">
        <f>IF(C119="","",IFERROR(SUMPRODUCT((終値!E121:AC121),({0.077,0.071,0.065,0.06,0.055,0.051,0.047,0.043,0.039,0.036,0.033,0.031,0.028,0.026,0.024,0.022,0.02,0.018,0.017,0.016,0.014,0.013,0.012,0.011,0.01}))/SUM({0.077,0.071,0.065,0.06,0.055,0.051,0.047,0.043,0.039,0.036,0.033,0.031,0.028,0.026,0.024,0.022,0.02,0.018,0.017,0.016,0.014,0.013,0.012,0.011,0.01}),""))</f>
        <v>3028.321811680571</v>
      </c>
      <c r="AD119" s="406" t="str">
        <f t="shared" si="32"/>
        <v>上昇トレンド▲</v>
      </c>
      <c r="AE119" s="406" t="str">
        <f t="shared" si="33"/>
        <v>なし</v>
      </c>
      <c r="AF119" s="365">
        <f t="array" ref="AF119">IF(C119="","",IFERROR((INDEX(終値!$E:$E,MATCH(TEXT(C119,"0"),終値!$A:$A,0))-INDEX(終値!$E:$CZ,MATCH(TEXT(C119,"0"),終値!$A:$A,0),$AL$2))/INDEX(終値!$E:$CZ,MATCH(TEXT(C119,"0"),終値!$A:$A,0),$AL$2)*100,""))</f>
        <v>-9.0720041590850009</v>
      </c>
      <c r="AG119" s="365">
        <f t="array" ref="AG119">IFERROR((終値!$E$5-INDEX(終値!$E$5:$CZ$5,1,$AL$2))/INDEX(終値!$E$5:$CZ$5,1,$AL$2)*100,"")</f>
        <v>-0.82558151178043282</v>
      </c>
      <c r="AH119" s="366">
        <f t="shared" si="25"/>
        <v>-8.2464226473045681</v>
      </c>
      <c r="AI119" s="364">
        <f t="shared" si="26"/>
        <v>-2</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4235</v>
      </c>
      <c r="F120" s="166">
        <f>IF(C120&lt;&gt;"",_xll.RssMarket(C120,"始値"),"")</f>
        <v>4000</v>
      </c>
      <c r="G120" s="165">
        <f>IF(C120&lt;&gt;"",終値!F55,"")</f>
        <v>4007</v>
      </c>
      <c r="H120" s="166">
        <f>IF(C120&lt;&gt;"",_xll.RssMarket(C120,"高値"),"")</f>
        <v>4305</v>
      </c>
      <c r="I120" s="166">
        <f>IF(C120&lt;&gt;"",_xll.RssMarket(C120,"安値"),"")</f>
        <v>3990</v>
      </c>
      <c r="J120" s="166">
        <f>IF(C120&lt;&gt;"",_xll.RssMarket(C120,"出来高"),"")</f>
        <v>194600</v>
      </c>
      <c r="K120" s="166">
        <f>IF(C120&lt;&gt;"",_xll.RssMarket(C120,"年初来高値"),"")</f>
        <v>4404</v>
      </c>
      <c r="L120" s="167">
        <f t="shared" si="17"/>
        <v>-3.8374205267938235</v>
      </c>
      <c r="M120" s="166">
        <f>IF(C120&lt;&gt;"",IFERROR(AVERAGE(出来高!E55:I55),""),"")</f>
        <v>242580</v>
      </c>
      <c r="N120" s="166">
        <f>IF(C120&lt;&gt;"",IFERROR(AVERAGE(出来高!E55:AC55),""),"")</f>
        <v>223188</v>
      </c>
      <c r="O120" s="168">
        <f t="shared" si="18"/>
        <v>0.80220958034462853</v>
      </c>
      <c r="P120" s="163" t="str">
        <f t="shared" si="19"/>
        <v>減少↓</v>
      </c>
      <c r="Q120" s="163" t="str">
        <f t="shared" si="20"/>
        <v>中立→</v>
      </c>
      <c r="R120" s="166">
        <f t="shared" si="27"/>
        <v>4574</v>
      </c>
      <c r="S120" s="166">
        <f t="shared" si="28"/>
        <v>4066</v>
      </c>
      <c r="T120" s="163">
        <f t="shared" si="21"/>
        <v>7</v>
      </c>
      <c r="U120" s="163" t="str">
        <f t="shared" si="29"/>
        <v>要確認</v>
      </c>
      <c r="V120" s="163" t="str">
        <f t="shared" si="22"/>
        <v>高値圏</v>
      </c>
      <c r="W120" s="169">
        <f t="array" ref="W120">IF(C120&lt;&gt;"",IFERROR(100-100/(1+SUMPRODUCT((終値!F55:R55&gt;終値!G55:S55)*( 終値!F55:R55-終値!G55:S55))/SUMPRODUCT((終値!F55:R55&lt;終値!G55:S55)*(終値!G55:S55-終値!F55:R55))),50),"")</f>
        <v>50.826446280991732</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1.7296259736772299</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△注目</v>
      </c>
      <c r="Z120" s="171">
        <f t="shared" si="30"/>
        <v>5.6900424257549282</v>
      </c>
      <c r="AA120" s="163" t="str">
        <f t="shared" si="31"/>
        <v>上昇▲</v>
      </c>
      <c r="AB120" s="403">
        <f>IF(C120="","",IFERROR(((終値!E122*0.333)+(終値!F122*0.222)+(終値!G122*0.148)+(終値!H122*0.099)+(終値!I122*0.066)+(終値!J122*0.044)+(終値!K122*0.029)+(終値!L122*0.019)+(終値!M122*0.013)+(終値!N122*0.009))/(0.333+0.222+0.148+0.099+0.066+0.044+0.029+0.019+0.013+0.009),""))</f>
        <v>2520.6619144602846</v>
      </c>
      <c r="AC120" s="403">
        <f>IF(C120="","",IFERROR(SUMPRODUCT((終値!E122:AC122),({0.077,0.071,0.065,0.06,0.055,0.051,0.047,0.043,0.039,0.036,0.033,0.031,0.028,0.026,0.024,0.022,0.02,0.018,0.017,0.016,0.014,0.013,0.012,0.011,0.01}))/SUM({0.077,0.071,0.065,0.06,0.055,0.051,0.047,0.043,0.039,0.036,0.033,0.031,0.028,0.026,0.024,0.022,0.02,0.018,0.017,0.016,0.014,0.013,0.012,0.011,0.01}),""))</f>
        <v>2525.3939213349208</v>
      </c>
      <c r="AD120" s="404" t="str">
        <f t="shared" si="32"/>
        <v>上昇トレンド▲</v>
      </c>
      <c r="AE120" s="404" t="str">
        <f t="shared" si="33"/>
        <v>なし</v>
      </c>
      <c r="AF120" s="365">
        <f t="array" ref="AF120">IF(C120="","",IFERROR((INDEX(終値!$E:$E,MATCH(TEXT(C120,"0"),終値!$A:$A,0))-INDEX(終値!$E:$CZ,MATCH(TEXT(C120,"0"),終値!$A:$A,0),$AL$2))/INDEX(終値!$E:$CZ,MATCH(TEXT(C120,"0"),終値!$A:$A,0),$AL$2)*100,""))</f>
        <v>-3.5257184255010863</v>
      </c>
      <c r="AG120" s="365">
        <f t="array" ref="AG120">IFERROR((終値!$E$5-INDEX(終値!$E$5:$CZ$5,1,$AL$2))/INDEX(終値!$E$5:$CZ$5,1,$AL$2)*100,"")</f>
        <v>-0.82558151178043282</v>
      </c>
      <c r="AH120" s="366">
        <f t="shared" si="25"/>
        <v>-2.7001369137206535</v>
      </c>
      <c r="AI120" s="364">
        <f t="shared" si="26"/>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2196</v>
      </c>
      <c r="F121" s="166">
        <f>IF(C121&lt;&gt;"",_xll.RssMarket(C121,"始値"),"")</f>
        <v>2124</v>
      </c>
      <c r="G121" s="165">
        <f>IF(C121&lt;&gt;"",終値!F89,"")</f>
        <v>2147</v>
      </c>
      <c r="H121" s="166">
        <f>IF(C121&lt;&gt;"",_xll.RssMarket(C121,"高値"),"")</f>
        <v>2206</v>
      </c>
      <c r="I121" s="166">
        <f>IF(C121&lt;&gt;"",_xll.RssMarket(C121,"安値"),"")</f>
        <v>2120</v>
      </c>
      <c r="J121" s="166">
        <f>IF(C121&lt;&gt;"",_xll.RssMarket(C121,"出来高"),"")</f>
        <v>33300</v>
      </c>
      <c r="K121" s="166">
        <f>IF(C121&lt;&gt;"",_xll.RssMarket(C121,"年初来高値"),"")</f>
        <v>2993</v>
      </c>
      <c r="L121" s="167">
        <f t="shared" si="17"/>
        <v>-26.628800534580687</v>
      </c>
      <c r="M121" s="166">
        <f>IF(C121&lt;&gt;"",IFERROR(AVERAGE(出来高!E89:I89),""),"")</f>
        <v>35420</v>
      </c>
      <c r="N121" s="166">
        <f>IF(C121&lt;&gt;"",IFERROR(AVERAGE(出来高!E89:AC89),""),"")</f>
        <v>47284</v>
      </c>
      <c r="O121" s="168">
        <f t="shared" si="18"/>
        <v>0.94014680971202713</v>
      </c>
      <c r="P121" s="163" t="str">
        <f t="shared" si="19"/>
        <v>減少↓</v>
      </c>
      <c r="Q121" s="163" t="str">
        <f t="shared" si="20"/>
        <v>中立→</v>
      </c>
      <c r="R121" s="166">
        <f t="shared" si="27"/>
        <v>2372</v>
      </c>
      <c r="S121" s="166">
        <f t="shared" si="28"/>
        <v>2108</v>
      </c>
      <c r="T121" s="163">
        <f t="shared" si="21"/>
        <v>3</v>
      </c>
      <c r="U121" s="163" t="str">
        <f t="shared" si="29"/>
        <v>要確認</v>
      </c>
      <c r="V121" s="163" t="str">
        <f t="shared" si="22"/>
        <v>通常</v>
      </c>
      <c r="W121" s="169">
        <f t="array" ref="W121">IF(C121&lt;&gt;"",IFERROR(100-100/(1+SUMPRODUCT((終値!F89:R89&gt;終値!G89:S89)*( 終値!F89:R89-終値!G89:S89))/SUMPRODUCT((終値!F89:R89&lt;終値!G89:S89)*(終値!G89:S89-終値!F89:R89))),50),"")</f>
        <v>60.391198044009784</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1.2102798530486325</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 t="shared" si="30"/>
        <v>2.2822543083372149</v>
      </c>
      <c r="AA121" s="163" t="str">
        <f t="shared" si="31"/>
        <v>上昇▲</v>
      </c>
      <c r="AB121" s="405">
        <f>IF(C121="","",IFERROR(((終値!E123*0.333)+(終値!F123*0.222)+(終値!G123*0.148)+(終値!H123*0.099)+(終値!I123*0.066)+(終値!J123*0.044)+(終値!K123*0.029)+(終値!L123*0.019)+(終値!M123*0.013)+(終値!N123*0.009))/(0.333+0.222+0.148+0.099+0.066+0.044+0.029+0.019+0.013+0.009),""))</f>
        <v>2514.4348268839099</v>
      </c>
      <c r="AC121" s="405">
        <f>IF(C121="","",IFERROR(SUMPRODUCT((終値!E123:AC123),({0.077,0.071,0.065,0.06,0.055,0.051,0.047,0.043,0.039,0.036,0.033,0.031,0.028,0.026,0.024,0.022,0.02,0.018,0.017,0.016,0.014,0.013,0.012,0.011,0.01}))/SUM({0.077,0.071,0.065,0.06,0.055,0.051,0.047,0.043,0.039,0.036,0.033,0.031,0.028,0.026,0.024,0.022,0.02,0.018,0.017,0.016,0.014,0.013,0.012,0.011,0.01}),""))</f>
        <v>2553.29201430274</v>
      </c>
      <c r="AD121" s="406" t="str">
        <f t="shared" si="32"/>
        <v>下降トレンド▼</v>
      </c>
      <c r="AE121" s="406" t="str">
        <f t="shared" si="33"/>
        <v>なし</v>
      </c>
      <c r="AF121" s="365">
        <f t="array" ref="AF121">IF(C121="","",IFERROR((INDEX(終値!$E:$E,MATCH(TEXT(C121,"0"),終値!$A:$A,0))-INDEX(終値!$E:$CZ,MATCH(TEXT(C121,"0"),終値!$A:$A,0),$AL$2))/INDEX(終値!$E:$CZ,MATCH(TEXT(C121,"0"),終値!$A:$A,0),$AL$2)*100,""))</f>
        <v>2.7040077257363593</v>
      </c>
      <c r="AG121" s="365">
        <f t="array" ref="AG121">IFERROR((終値!$E$5-INDEX(終値!$E$5:$CZ$5,1,$AL$2))/INDEX(終値!$E$5:$CZ$5,1,$AL$2)*100,"")</f>
        <v>-0.82558151178043282</v>
      </c>
      <c r="AH121" s="366">
        <f t="shared" si="25"/>
        <v>3.5295892375167921</v>
      </c>
      <c r="AI121" s="364">
        <f t="shared" si="26"/>
        <v>1</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3265</v>
      </c>
      <c r="F122" s="166">
        <f>IF(C122&lt;&gt;"",_xll.RssMarket(C122,"始値"),"")</f>
        <v>3160</v>
      </c>
      <c r="G122" s="165">
        <f>IF(C122&lt;&gt;"",終値!F62,"")</f>
        <v>3050</v>
      </c>
      <c r="H122" s="166">
        <f>IF(C122&lt;&gt;"",_xll.RssMarket(C122,"高値"),"")</f>
        <v>3305</v>
      </c>
      <c r="I122" s="166">
        <f>IF(C122&lt;&gt;"",_xll.RssMarket(C122,"安値"),"")</f>
        <v>3160</v>
      </c>
      <c r="J122" s="166">
        <f>IF(C122&lt;&gt;"",_xll.RssMarket(C122,"出来高"),"")</f>
        <v>1096300</v>
      </c>
      <c r="K122" s="166">
        <f>IF(C122&lt;&gt;"",_xll.RssMarket(C122,"年初来高値"),"")</f>
        <v>4720</v>
      </c>
      <c r="L122" s="167">
        <f t="shared" si="17"/>
        <v>-30.826271186440678</v>
      </c>
      <c r="M122" s="166">
        <f>IF(C122&lt;&gt;"",IFERROR(AVERAGE(出来高!E62:I62),""),"")</f>
        <v>676000</v>
      </c>
      <c r="N122" s="166">
        <f>IF(C122&lt;&gt;"",IFERROR(AVERAGE(出来高!E62:AC62),""),"")</f>
        <v>643504</v>
      </c>
      <c r="O122" s="168">
        <f t="shared" si="18"/>
        <v>1.6217455621301775</v>
      </c>
      <c r="P122" s="163" t="str">
        <f t="shared" si="19"/>
        <v>増加↑</v>
      </c>
      <c r="Q122" s="163" t="str">
        <f t="shared" si="20"/>
        <v>買い▲</v>
      </c>
      <c r="R122" s="166">
        <f t="shared" si="27"/>
        <v>3526</v>
      </c>
      <c r="S122" s="166">
        <f t="shared" si="28"/>
        <v>3134</v>
      </c>
      <c r="T122" s="163">
        <f t="shared" si="21"/>
        <v>13</v>
      </c>
      <c r="U122" s="163" t="str">
        <f t="shared" si="29"/>
        <v>有効</v>
      </c>
      <c r="V122" s="163" t="str">
        <f t="shared" si="22"/>
        <v>通常</v>
      </c>
      <c r="W122" s="169">
        <f t="array" ref="W122">IF(C122&lt;&gt;"",IFERROR(100-100/(1+SUMPRODUCT((終値!F62:R62&gt;終値!G62:S62)*( 終値!F62:R62-終値!G62:S62))/SUMPRODUCT((終値!F62:R62&lt;終値!G62:S62)*(終値!G62:S62-終値!F62:R62))),50),"")</f>
        <v>54.465270121278941</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9.7021620847085615</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★強い買い</v>
      </c>
      <c r="Z122" s="171">
        <f t="shared" si="30"/>
        <v>7.0491803278688518</v>
      </c>
      <c r="AA122" s="163" t="str">
        <f t="shared" si="31"/>
        <v>上昇▲</v>
      </c>
      <c r="AB122" s="403">
        <f>IF(C122="","",IFERROR(((終値!E124*0.333)+(終値!F124*0.222)+(終値!G124*0.148)+(終値!H124*0.099)+(終値!I124*0.066)+(終値!J124*0.044)+(終値!K124*0.029)+(終値!L124*0.019)+(終値!M124*0.013)+(終値!N124*0.009))/(0.333+0.222+0.148+0.099+0.066+0.044+0.029+0.019+0.013+0.009),""))</f>
        <v>1526.3818737270872</v>
      </c>
      <c r="AC122" s="403">
        <f>IF(C122="","",IFERROR(SUMPRODUCT((終値!E124:AC124),({0.077,0.071,0.065,0.06,0.055,0.051,0.047,0.043,0.039,0.036,0.033,0.031,0.028,0.026,0.024,0.022,0.02,0.018,0.017,0.016,0.014,0.013,0.012,0.011,0.01}))/SUM({0.077,0.071,0.065,0.06,0.055,0.051,0.047,0.043,0.039,0.036,0.033,0.031,0.028,0.026,0.024,0.022,0.02,0.018,0.017,0.016,0.014,0.013,0.012,0.011,0.01}),""))</f>
        <v>1548.5971394517273</v>
      </c>
      <c r="AD122" s="404" t="str">
        <f t="shared" si="32"/>
        <v>上昇トレンド▲</v>
      </c>
      <c r="AE122" s="404" t="str">
        <f t="shared" si="33"/>
        <v>なし</v>
      </c>
      <c r="AF122" s="365">
        <f t="array" ref="AF122">IF(C122="","",IFERROR((INDEX(終値!$E:$E,MATCH(TEXT(C122,"0"),終値!$A:$A,0))-INDEX(終値!$E:$CZ,MATCH(TEXT(C122,"0"),終値!$A:$A,0),$AL$2))/INDEX(終値!$E:$CZ,MATCH(TEXT(C122,"0"),終値!$A:$A,0),$AL$2)*100,""))</f>
        <v>4.7102677058624201</v>
      </c>
      <c r="AG122" s="365">
        <f t="array" ref="AG122">IFERROR((終値!$E$5-INDEX(終値!$E$5:$CZ$5,1,$AL$2))/INDEX(終値!$E$5:$CZ$5,1,$AL$2)*100,"")</f>
        <v>-0.82558151178043282</v>
      </c>
      <c r="AH122" s="366">
        <f t="shared" si="25"/>
        <v>5.5358492176428529</v>
      </c>
      <c r="AI122" s="364">
        <f t="shared" si="26"/>
        <v>3</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4659</v>
      </c>
      <c r="F123" s="166">
        <f>IF(C123&lt;&gt;"",_xll.RssMarket(C123,"始値"),"")</f>
        <v>4540</v>
      </c>
      <c r="G123" s="165">
        <f>IF(C123&lt;&gt;"",終値!F118,"")</f>
        <v>4490</v>
      </c>
      <c r="H123" s="166">
        <f>IF(C123&lt;&gt;"",_xll.RssMarket(C123,"高値"),"")</f>
        <v>4659</v>
      </c>
      <c r="I123" s="166">
        <f>IF(C123&lt;&gt;"",_xll.RssMarket(C123,"安値"),"")</f>
        <v>4535</v>
      </c>
      <c r="J123" s="166">
        <f>IF(C123&lt;&gt;"",_xll.RssMarket(C123,"出来高"),"")</f>
        <v>487700</v>
      </c>
      <c r="K123" s="166">
        <f>IF(C123&lt;&gt;"",_xll.RssMarket(C123,"年初来高値"),"")</f>
        <v>4890</v>
      </c>
      <c r="L123" s="167">
        <f t="shared" si="17"/>
        <v>-4.7239263803680975</v>
      </c>
      <c r="M123" s="166">
        <f>IF(C123&lt;&gt;"",IFERROR(AVERAGE(出来高!E118:I118),""),"")</f>
        <v>1193540</v>
      </c>
      <c r="N123" s="166">
        <f>IF(C123&lt;&gt;"",IFERROR(AVERAGE(出来高!E118:AC118),""),"")</f>
        <v>1005316</v>
      </c>
      <c r="O123" s="168">
        <f t="shared" si="18"/>
        <v>0.40861638487189367</v>
      </c>
      <c r="P123" s="163" t="str">
        <f t="shared" si="19"/>
        <v>減少↓</v>
      </c>
      <c r="Q123" s="163" t="str">
        <f t="shared" si="20"/>
        <v>中立→</v>
      </c>
      <c r="R123" s="166">
        <f t="shared" si="27"/>
        <v>5032</v>
      </c>
      <c r="S123" s="166">
        <f t="shared" si="28"/>
        <v>4473</v>
      </c>
      <c r="T123" s="163">
        <f t="shared" si="21"/>
        <v>8</v>
      </c>
      <c r="U123" s="163" t="str">
        <f t="shared" si="29"/>
        <v>要確認</v>
      </c>
      <c r="V123" s="163" t="str">
        <f t="shared" si="22"/>
        <v>高値圏</v>
      </c>
      <c r="W123" s="169">
        <f t="array" ref="W123">IF(C123&lt;&gt;"",IFERROR(100-100/(1+SUMPRODUCT((終値!F118:R118&gt;終値!G118:S118)*( 終値!F118:R118-終値!G118:S118))/SUMPRODUCT((終値!F118:R118&lt;終値!G118:S118)*(終値!G118:S118-終値!F118:R118))),50),"")</f>
        <v>42.697594501718214</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-25.866457834968969</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 t="shared" si="30"/>
        <v>3.7639198218262808</v>
      </c>
      <c r="AA123" s="163" t="str">
        <f t="shared" si="31"/>
        <v>上昇▲</v>
      </c>
      <c r="AB123" s="405">
        <f>IF(C123="","",IFERROR(((終値!E125*0.333)+(終値!F125*0.222)+(終値!G125*0.148)+(終値!H125*0.099)+(終値!I125*0.066)+(終値!J125*0.044)+(終値!K125*0.029)+(終値!L125*0.019)+(終値!M125*0.013)+(終値!N125*0.009))/(0.333+0.222+0.148+0.099+0.066+0.044+0.029+0.019+0.013+0.009),""))</f>
        <v>2470.8594704684315</v>
      </c>
      <c r="AC123" s="405">
        <f>IF(C123="","",IFERROR(SUMPRODUCT((終値!E125:AC125),({0.077,0.071,0.065,0.06,0.055,0.051,0.047,0.043,0.039,0.036,0.033,0.031,0.028,0.026,0.024,0.022,0.02,0.018,0.017,0.016,0.014,0.013,0.012,0.011,0.01}))/SUM({0.077,0.071,0.065,0.06,0.055,0.051,0.047,0.043,0.039,0.036,0.033,0.031,0.028,0.026,0.024,0.022,0.02,0.018,0.017,0.016,0.014,0.013,0.012,0.011,0.01}),""))</f>
        <v>2501.5876042908226</v>
      </c>
      <c r="AD123" s="406" t="str">
        <f t="shared" si="32"/>
        <v>上昇トレンド▲</v>
      </c>
      <c r="AE123" s="406" t="str">
        <f t="shared" si="33"/>
        <v>なし</v>
      </c>
      <c r="AF123" s="365">
        <f t="array" ref="AF123">IF(C123="","",IFERROR((INDEX(終値!$E:$E,MATCH(TEXT(C123,"0"),終値!$A:$A,0))-INDEX(終値!$E:$CZ,MATCH(TEXT(C123,"0"),終値!$A:$A,0),$AL$2))/INDEX(終値!$E:$CZ,MATCH(TEXT(C123,"0"),終値!$A:$A,0),$AL$2)*100,""))</f>
        <v>1.3965861228109067</v>
      </c>
      <c r="AG123" s="365">
        <f t="array" ref="AG123">IFERROR((終値!$E$5-INDEX(終値!$E$5:$CZ$5,1,$AL$2))/INDEX(終値!$E$5:$CZ$5,1,$AL$2)*100,"")</f>
        <v>-0.82558151178043282</v>
      </c>
      <c r="AH123" s="366">
        <f t="shared" si="25"/>
        <v>2.2221676345913393</v>
      </c>
      <c r="AI123" s="364">
        <f t="shared" si="26"/>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5561</v>
      </c>
      <c r="F124" s="166">
        <f>IF(C124&lt;&gt;"",_xll.RssMarket(C124,"始値"),"")</f>
        <v>5355</v>
      </c>
      <c r="G124" s="165">
        <f>IF(C124&lt;&gt;"",終値!F117,"")</f>
        <v>5304</v>
      </c>
      <c r="H124" s="166">
        <f>IF(C124&lt;&gt;"",_xll.RssMarket(C124,"高値"),"")</f>
        <v>5602</v>
      </c>
      <c r="I124" s="166">
        <f>IF(C124&lt;&gt;"",_xll.RssMarket(C124,"安値"),"")</f>
        <v>5291</v>
      </c>
      <c r="J124" s="166">
        <f>IF(C124&lt;&gt;"",_xll.RssMarket(C124,"出来高"),"")</f>
        <v>699800</v>
      </c>
      <c r="K124" s="166">
        <f>IF(C124&lt;&gt;"",_xll.RssMarket(C124,"年初来高値"),"")</f>
        <v>9317</v>
      </c>
      <c r="L124" s="167">
        <f t="shared" si="17"/>
        <v>-40.313405602661803</v>
      </c>
      <c r="M124" s="166">
        <f>IF(C124&lt;&gt;"",IFERROR(AVERAGE(出来高!E117:I117),""),"")</f>
        <v>1032060</v>
      </c>
      <c r="N124" s="166">
        <f>IF(C124&lt;&gt;"",IFERROR(AVERAGE(出来高!E117:AC117),""),"")</f>
        <v>1092632</v>
      </c>
      <c r="O124" s="168">
        <f t="shared" si="18"/>
        <v>0.67806135302211112</v>
      </c>
      <c r="P124" s="163" t="str">
        <f t="shared" si="19"/>
        <v>減少↓</v>
      </c>
      <c r="Q124" s="163" t="str">
        <f t="shared" si="20"/>
        <v>中立→</v>
      </c>
      <c r="R124" s="166">
        <f t="shared" si="27"/>
        <v>6006</v>
      </c>
      <c r="S124" s="166">
        <f t="shared" si="28"/>
        <v>5339</v>
      </c>
      <c r="T124" s="163">
        <f t="shared" si="21"/>
        <v>9</v>
      </c>
      <c r="U124" s="163" t="str">
        <f t="shared" si="29"/>
        <v>要確認</v>
      </c>
      <c r="V124" s="163" t="str">
        <f t="shared" si="22"/>
        <v>通常</v>
      </c>
      <c r="W124" s="169">
        <f t="array" ref="W124">IF(C124&lt;&gt;"",IFERROR(100-100/(1+SUMPRODUCT((終値!F117:R117&gt;終値!G117:S117)*( 終値!F117:R117-終値!G117:S117))/SUMPRODUCT((終値!F117:R117&lt;終値!G117:S117)*(終値!G117:S117-終値!F117:R117))),50),"")</f>
        <v>37.097598364844146</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-29.937786330942799</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 t="shared" si="30"/>
        <v>4.8453996983408754</v>
      </c>
      <c r="AA124" s="163" t="str">
        <f t="shared" si="31"/>
        <v>上昇▲</v>
      </c>
      <c r="AB124" s="403">
        <f>IF(C124="","",IFERROR(((終値!E126*0.333)+(終値!F126*0.222)+(終値!G126*0.148)+(終値!H126*0.099)+(終値!I126*0.066)+(終値!J126*0.044)+(終値!K126*0.029)+(終値!L126*0.019)+(終値!M126*0.013)+(終値!N126*0.009))/(0.333+0.222+0.148+0.099+0.066+0.044+0.029+0.019+0.013+0.009),""))</f>
        <v>1022.6313645621179</v>
      </c>
      <c r="AC124" s="403">
        <f>IF(C124="","",IFERROR(SUMPRODUCT((終値!E126:AC126),({0.077,0.071,0.065,0.06,0.055,0.051,0.047,0.043,0.039,0.036,0.033,0.031,0.028,0.026,0.024,0.022,0.02,0.018,0.017,0.016,0.014,0.013,0.012,0.011,0.01}))/SUM({0.077,0.071,0.065,0.06,0.055,0.051,0.047,0.043,0.039,0.036,0.033,0.031,0.028,0.026,0.024,0.022,0.02,0.018,0.017,0.016,0.014,0.013,0.012,0.011,0.01}),""))</f>
        <v>1014.38021454112</v>
      </c>
      <c r="AD124" s="404" t="str">
        <f t="shared" si="32"/>
        <v>パーフェクト▲</v>
      </c>
      <c r="AE124" s="404" t="str">
        <f t="shared" si="33"/>
        <v>なし</v>
      </c>
      <c r="AF124" s="365">
        <f t="array" ref="AF124">IF(C124="","",IFERROR((INDEX(終値!$E:$E,MATCH(TEXT(C124,"0"),終値!$A:$A,0))-INDEX(終値!$E:$CZ,MATCH(TEXT(C124,"0"),終値!$A:$A,0),$AL$2))/INDEX(終値!$E:$CZ,MATCH(TEXT(C124,"0"),終値!$A:$A,0),$AL$2)*100,""))</f>
        <v>6.0623896409652742</v>
      </c>
      <c r="AG124" s="365">
        <f t="array" ref="AG124">IFERROR((終値!$E$5-INDEX(終値!$E$5:$CZ$5,1,$AL$2))/INDEX(終値!$E$5:$CZ$5,1,$AL$2)*100,"")</f>
        <v>-0.82558151178043282</v>
      </c>
      <c r="AH124" s="366">
        <f t="shared" si="25"/>
        <v>6.887971152745707</v>
      </c>
      <c r="AI124" s="364">
        <f t="shared" si="26"/>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5076</v>
      </c>
      <c r="F125" s="166">
        <f>IF(C125&lt;&gt;"",_xll.RssMarket(C125,"始値"),"")</f>
        <v>4830</v>
      </c>
      <c r="G125" s="165">
        <f>IF(C125&lt;&gt;"",終値!F103,"")</f>
        <v>4290</v>
      </c>
      <c r="H125" s="166">
        <f>IF(C125&lt;&gt;"",_xll.RssMarket(C125,"高値"),"")</f>
        <v>5095</v>
      </c>
      <c r="I125" s="166">
        <f>IF(C125&lt;&gt;"",_xll.RssMarket(C125,"安値"),"")</f>
        <v>4799</v>
      </c>
      <c r="J125" s="166">
        <f>IF(C125&lt;&gt;"",_xll.RssMarket(C125,"出来高"),"")</f>
        <v>37509700</v>
      </c>
      <c r="K125" s="166">
        <f>IF(C125&lt;&gt;"",_xll.RssMarket(C125,"年初来高値"),"")</f>
        <v>7933</v>
      </c>
      <c r="L125" s="167">
        <f t="shared" si="17"/>
        <v>-36.014118240262192</v>
      </c>
      <c r="M125" s="166">
        <f>IF(C125&lt;&gt;"",IFERROR(AVERAGE(出来高!E103:I103),""),"")</f>
        <v>53740140</v>
      </c>
      <c r="N125" s="166">
        <f>IF(C125&lt;&gt;"",IFERROR(AVERAGE(出来高!E103:AC103),""),"")</f>
        <v>42320380</v>
      </c>
      <c r="O125" s="168">
        <f t="shared" si="18"/>
        <v>0.69798292300689946</v>
      </c>
      <c r="P125" s="163" t="str">
        <f t="shared" si="19"/>
        <v>減少↓</v>
      </c>
      <c r="Q125" s="163" t="str">
        <f t="shared" si="20"/>
        <v>中立→</v>
      </c>
      <c r="R125" s="166">
        <f t="shared" si="27"/>
        <v>5482</v>
      </c>
      <c r="S125" s="166">
        <f t="shared" si="28"/>
        <v>4873</v>
      </c>
      <c r="T125" s="163">
        <f t="shared" si="21"/>
        <v>1</v>
      </c>
      <c r="U125" s="163" t="str">
        <f t="shared" si="29"/>
        <v>除外</v>
      </c>
      <c r="V125" s="163" t="str">
        <f t="shared" si="22"/>
        <v>通常</v>
      </c>
      <c r="W125" s="169">
        <f t="array" ref="W125">IF(C125&lt;&gt;"",IFERROR(100-100/(1+SUMPRODUCT((終値!F103:R103&gt;終値!G103:S103)*( 終値!F103:R103-終値!G103:S103))/SUMPRODUCT((終値!F103:R103&lt;終値!G103:S103)*(終値!G103:S103-終値!F103:R103))),50),"")</f>
        <v>38.45410628019323</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-143.01137164214106</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 t="shared" si="30"/>
        <v>18.321678321678323</v>
      </c>
      <c r="AA125" s="163" t="str">
        <f t="shared" si="31"/>
        <v>上昇▲</v>
      </c>
      <c r="AB125" s="405">
        <f>IF(C125="","",IFERROR(((終値!E127*0.333)+(終値!F127*0.222)+(終値!G127*0.148)+(終値!H127*0.099)+(終値!I127*0.066)+(終値!J127*0.044)+(終値!K127*0.029)+(終値!L127*0.019)+(終値!M127*0.013)+(終値!N127*0.009))/(0.333+0.222+0.148+0.099+0.066+0.044+0.029+0.019+0.013+0.009),""))</f>
        <v>5454.3217922606909</v>
      </c>
      <c r="AC125" s="405">
        <f>IF(C125="","",IFERROR(SUMPRODUCT((終値!E127:AC127),({0.077,0.071,0.065,0.06,0.055,0.051,0.047,0.043,0.039,0.036,0.033,0.031,0.028,0.026,0.024,0.022,0.02,0.018,0.017,0.016,0.014,0.013,0.012,0.011,0.01}))/SUM({0.077,0.071,0.065,0.06,0.055,0.051,0.047,0.043,0.039,0.036,0.033,0.031,0.028,0.026,0.024,0.022,0.02,0.018,0.017,0.016,0.014,0.013,0.012,0.011,0.01}),""))</f>
        <v>5458.9332538736562</v>
      </c>
      <c r="AD125" s="406" t="str">
        <f t="shared" si="32"/>
        <v>下降トレンド▼</v>
      </c>
      <c r="AE125" s="406" t="str">
        <f t="shared" si="33"/>
        <v>なし</v>
      </c>
      <c r="AF125" s="365">
        <f t="array" ref="AF125">IF(C125="","",IFERROR((INDEX(終値!$E:$E,MATCH(TEXT(C125,"0"),終値!$A:$A,0))-INDEX(終値!$E:$CZ,MATCH(TEXT(C125,"0"),終値!$A:$A,0),$AL$2))/INDEX(終値!$E:$CZ,MATCH(TEXT(C125,"0"),終値!$A:$A,0),$AL$2)*100,""))</f>
        <v>-21.359388275276125</v>
      </c>
      <c r="AG125" s="365">
        <f t="array" ref="AG125">IFERROR((終値!$E$5-INDEX(終値!$E$5:$CZ$5,1,$AL$2))/INDEX(終値!$E$5:$CZ$5,1,$AL$2)*100,"")</f>
        <v>-0.82558151178043282</v>
      </c>
      <c r="AH125" s="366">
        <f t="shared" si="25"/>
        <v>-20.53380676349569</v>
      </c>
      <c r="AI125" s="364">
        <f t="shared" si="26"/>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2359.5</v>
      </c>
      <c r="F126" s="166">
        <f>IF(C126&lt;&gt;"",_xll.RssMarket(C126,"始値"),"")</f>
        <v>2352</v>
      </c>
      <c r="G126" s="165">
        <f>IF(C126&lt;&gt;"",終値!F102,"")</f>
        <v>0</v>
      </c>
      <c r="H126" s="166">
        <f>IF(C126&lt;&gt;"",_xll.RssMarket(C126,"高値"),"")</f>
        <v>2395</v>
      </c>
      <c r="I126" s="166">
        <f>IF(C126&lt;&gt;"",_xll.RssMarket(C126,"安値"),"")</f>
        <v>2294</v>
      </c>
      <c r="J126" s="166">
        <f>IF(C126&lt;&gt;"",_xll.RssMarket(C126,"出来高"),"")</f>
        <v>22279800</v>
      </c>
      <c r="K126" s="166">
        <f>IF(C126&lt;&gt;"",_xll.RssMarket(C126,"年初来高値"),"")</f>
        <v>3019</v>
      </c>
      <c r="L126" s="167">
        <f t="shared" si="17"/>
        <v>-21.844981782047036</v>
      </c>
      <c r="M126" s="166" t="str">
        <f>IF(C126&lt;&gt;"",IFERROR(AVERAGE(出来高!E102:I102),""),"")</f>
        <v/>
      </c>
      <c r="N126" s="166" t="str">
        <f>IF(C126&lt;&gt;"",IFERROR(AVERAGE(出来高!E102:AC102),""),"")</f>
        <v/>
      </c>
      <c r="O126" s="168" t="str">
        <f t="shared" si="18"/>
        <v/>
      </c>
      <c r="P126" s="163" t="str">
        <f t="shared" si="19"/>
        <v/>
      </c>
      <c r="Q126" s="163" t="str">
        <f t="shared" si="20"/>
        <v>買い▲</v>
      </c>
      <c r="R126" s="166">
        <f t="shared" si="27"/>
        <v>2548</v>
      </c>
      <c r="S126" s="166">
        <f t="shared" si="28"/>
        <v>2265</v>
      </c>
      <c r="T126" s="163">
        <f t="shared" si="21"/>
        <v>10</v>
      </c>
      <c r="U126" s="163" t="str">
        <f t="shared" si="29"/>
        <v>有効</v>
      </c>
      <c r="V126" s="163" t="str">
        <f t="shared" si="22"/>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0</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○買い候補</v>
      </c>
      <c r="Z126" s="171" t="str">
        <f t="shared" si="30"/>
        <v/>
      </c>
      <c r="AA126" s="163" t="str">
        <f t="shared" si="31"/>
        <v>上昇▲</v>
      </c>
      <c r="AB126" s="403">
        <f>IF(C126="","",IFERROR(((終値!E128*0.333)+(終値!F128*0.222)+(終値!G128*0.148)+(終値!H128*0.099)+(終値!I128*0.066)+(終値!J128*0.044)+(終値!K128*0.029)+(終値!L128*0.019)+(終値!M128*0.013)+(終値!N128*0.009))/(0.333+0.222+0.148+0.099+0.066+0.044+0.029+0.019+0.013+0.009),""))</f>
        <v>1911.080448065173</v>
      </c>
      <c r="AC126" s="403">
        <f>IF(C126="","",IFERROR(SUMPRODUCT((終値!E128:AC128),({0.077,0.071,0.065,0.06,0.055,0.051,0.047,0.043,0.039,0.036,0.033,0.031,0.028,0.026,0.024,0.022,0.02,0.018,0.017,0.016,0.014,0.013,0.012,0.011,0.01}))/SUM({0.077,0.071,0.065,0.06,0.055,0.051,0.047,0.043,0.039,0.036,0.033,0.031,0.028,0.026,0.024,0.022,0.02,0.018,0.017,0.016,0.014,0.013,0.012,0.011,0.01}),""))</f>
        <v>1851.8295589988074</v>
      </c>
      <c r="AD126" s="404" t="str">
        <f t="shared" si="32"/>
        <v>パーフェクト▲</v>
      </c>
      <c r="AE126" s="404" t="str">
        <f t="shared" si="33"/>
        <v>なし</v>
      </c>
      <c r="AF126" s="365" t="str">
        <f t="array" ref="AF126">IF(C126="","",IFERROR((INDEX(終値!$E:$E,MATCH(TEXT(C126,"0"),終値!$A:$A,0))-INDEX(終値!$E:$CZ,MATCH(TEXT(C126,"0"),終値!$A:$A,0),$AL$2))/INDEX(終値!$E:$CZ,MATCH(TEXT(C126,"0"),終値!$A:$A,0),$AL$2)*100,""))</f>
        <v/>
      </c>
      <c r="AG126" s="365">
        <f t="array" ref="AG126">IFERROR((終値!$E$5-INDEX(終値!$E$5:$CZ$5,1,$AL$2))/INDEX(終値!$E$5:$CZ$5,1,$AL$2)*100,"")</f>
        <v>-0.82558151178043282</v>
      </c>
      <c r="AH126" s="366" t="str">
        <f t="shared" si="25"/>
        <v/>
      </c>
      <c r="AI126" s="364" t="str">
        <f t="shared" si="26"/>
        <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3923</v>
      </c>
      <c r="F127" s="166">
        <f>IF(C127&lt;&gt;"",_xll.RssMarket(C127,"始値"),"")</f>
        <v>3846</v>
      </c>
      <c r="G127" s="165">
        <f>IF(C127&lt;&gt;"",終値!F200,"")</f>
        <v>3200</v>
      </c>
      <c r="H127" s="166">
        <f>IF(C127&lt;&gt;"",_xll.RssMarket(C127,"高値"),"")</f>
        <v>3976</v>
      </c>
      <c r="I127" s="166">
        <f>IF(C127&lt;&gt;"",_xll.RssMarket(C127,"安値"),"")</f>
        <v>3781</v>
      </c>
      <c r="J127" s="166">
        <f>IF(C127&lt;&gt;"",_xll.RssMarket(C127,"出来高"),"")</f>
        <v>23086900</v>
      </c>
      <c r="K127" s="166">
        <f>IF(C127&lt;&gt;"",_xll.RssMarket(C127,"年初来高値"),"")</f>
        <v>4870</v>
      </c>
      <c r="L127" s="167">
        <f t="shared" si="17"/>
        <v>-19.44558521560575</v>
      </c>
      <c r="M127" s="166">
        <f>IF(C127&lt;&gt;"",IFERROR(AVERAGE(出来高!E200:I200),""),"")</f>
        <v>24866300</v>
      </c>
      <c r="N127" s="166">
        <f>IF(C127&lt;&gt;"",IFERROR(AVERAGE(出来高!E200:AC200),""),"")</f>
        <v>19371720</v>
      </c>
      <c r="O127" s="168">
        <f t="shared" si="18"/>
        <v>0.92844130409429626</v>
      </c>
      <c r="P127" s="163" t="str">
        <f t="shared" si="19"/>
        <v>減少↓</v>
      </c>
      <c r="Q127" s="163" t="str">
        <f t="shared" si="20"/>
        <v>中立→</v>
      </c>
      <c r="R127" s="166">
        <f t="shared" si="27"/>
        <v>4237</v>
      </c>
      <c r="S127" s="166">
        <f t="shared" si="28"/>
        <v>3766</v>
      </c>
      <c r="T127" s="163">
        <f t="shared" si="21"/>
        <v>2</v>
      </c>
      <c r="U127" s="163" t="str">
        <f t="shared" si="29"/>
        <v>除外</v>
      </c>
      <c r="V127" s="163" t="str">
        <f t="shared" si="22"/>
        <v>通常</v>
      </c>
      <c r="W127" s="169">
        <f t="array" ref="W127">IF(C127&lt;&gt;"",IFERROR(100-100/(1+SUMPRODUCT((終値!F200:R200&gt;終値!G200:S200)*( 終値!F200:R200-終値!G200:S200))/SUMPRODUCT((終値!F200:R200&lt;終値!G200:S200)*(終値!G200:S200-終値!F200:R200))),50),"")</f>
        <v>41.40141467727674</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-90.792388920510348</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見送り</v>
      </c>
      <c r="Z127" s="171">
        <f t="shared" si="30"/>
        <v>22.59375</v>
      </c>
      <c r="AA127" s="163" t="str">
        <f t="shared" si="31"/>
        <v>上昇▲</v>
      </c>
      <c r="AB127" s="405">
        <f>IF(C127="","",IFERROR(((終値!E129*0.333)+(終値!F129*0.222)+(終値!G129*0.148)+(終値!H129*0.099)+(終値!I129*0.066)+(終値!J129*0.044)+(終値!K129*0.029)+(終値!L129*0.019)+(終値!M129*0.013)+(終値!N129*0.009))/(0.333+0.222+0.148+0.099+0.066+0.044+0.029+0.019+0.013+0.009),""))</f>
        <v>1795.5997963340117</v>
      </c>
      <c r="AC127" s="405">
        <f>IF(C127="","",IFERROR(SUMPRODUCT((終値!E129:AC129),({0.077,0.071,0.065,0.06,0.055,0.051,0.047,0.043,0.039,0.036,0.033,0.031,0.028,0.026,0.024,0.022,0.02,0.018,0.017,0.016,0.014,0.013,0.012,0.011,0.01}))/SUM({0.077,0.071,0.065,0.06,0.055,0.051,0.047,0.043,0.039,0.036,0.033,0.031,0.028,0.026,0.024,0.022,0.02,0.018,0.017,0.016,0.014,0.013,0.012,0.011,0.01}),""))</f>
        <v>1841.1370679380209</v>
      </c>
      <c r="AD127" s="406" t="str">
        <f t="shared" si="32"/>
        <v>上昇トレンド▲</v>
      </c>
      <c r="AE127" s="406" t="str">
        <f t="shared" si="33"/>
        <v>なし</v>
      </c>
      <c r="AF127" s="365">
        <f t="array" ref="AF127">IF(C127="","",IFERROR((INDEX(終値!$E:$E,MATCH(TEXT(C127,"0"),終値!$A:$A,0))-INDEX(終値!$E:$CZ,MATCH(TEXT(C127,"0"),終値!$A:$A,0),$AL$2))/INDEX(終値!$E:$CZ,MATCH(TEXT(C127,"0"),終値!$A:$A,0),$AL$2)*100,""))</f>
        <v>-19.303009730708304</v>
      </c>
      <c r="AG127" s="365">
        <f t="array" ref="AG127">IFERROR((終値!$E$5-INDEX(終値!$E$5:$CZ$5,1,$AL$2))/INDEX(終値!$E$5:$CZ$5,1,$AL$2)*100,"")</f>
        <v>-0.82558151178043282</v>
      </c>
      <c r="AH127" s="366">
        <f t="shared" si="25"/>
        <v>-18.477428218927869</v>
      </c>
      <c r="AI127" s="364">
        <f t="shared" si="26"/>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8533</v>
      </c>
      <c r="F128" s="166">
        <f>IF(C128&lt;&gt;"",_xll.RssMarket(C128,"始値"),"")</f>
        <v>8347</v>
      </c>
      <c r="G128" s="165">
        <f>IF(C128&lt;&gt;"",終値!F10,"")</f>
        <v>8159</v>
      </c>
      <c r="H128" s="166">
        <f>IF(C128&lt;&gt;"",_xll.RssMarket(C128,"高値"),"")</f>
        <v>8628</v>
      </c>
      <c r="I128" s="166">
        <f>IF(C128&lt;&gt;"",_xll.RssMarket(C128,"安値"),"")</f>
        <v>8330</v>
      </c>
      <c r="J128" s="166">
        <f>IF(C128&lt;&gt;"",_xll.RssMarket(C128,"出来高"),"")</f>
        <v>357200</v>
      </c>
      <c r="K128" s="166">
        <f>IF(C128&lt;&gt;"",_xll.RssMarket(C128,"年初来高値"),"")</f>
        <v>12380</v>
      </c>
      <c r="L128" s="167">
        <f t="shared" si="17"/>
        <v>-31.074313408723746</v>
      </c>
      <c r="M128" s="166">
        <f>IF(C128&lt;&gt;"",IFERROR(AVERAGE(出来高!E10:I10),""),"")</f>
        <v>508720</v>
      </c>
      <c r="N128" s="166">
        <f>IF(C128&lt;&gt;"",IFERROR(AVERAGE(出来高!E10:AC10),""),"")</f>
        <v>473604</v>
      </c>
      <c r="O128" s="168">
        <f t="shared" si="18"/>
        <v>0.70215442679666618</v>
      </c>
      <c r="P128" s="163" t="str">
        <f t="shared" si="19"/>
        <v>減少↓</v>
      </c>
      <c r="Q128" s="163" t="str">
        <f t="shared" si="20"/>
        <v>中立→</v>
      </c>
      <c r="R128" s="166">
        <f t="shared" si="27"/>
        <v>9216</v>
      </c>
      <c r="S128" s="166">
        <f t="shared" si="28"/>
        <v>8192</v>
      </c>
      <c r="T128" s="163">
        <f t="shared" si="21"/>
        <v>2</v>
      </c>
      <c r="U128" s="163" t="str">
        <f t="shared" si="29"/>
        <v>除外</v>
      </c>
      <c r="V128" s="163" t="str">
        <f t="shared" si="22"/>
        <v>通常</v>
      </c>
      <c r="W128" s="169">
        <f t="array" ref="W128">IF(C128&lt;&gt;"",IFERROR(100-100/(1+SUMPRODUCT((終値!F10:R10&gt;終値!G10:S10)*( 終値!F10:R10-終値!G10:S10))/SUMPRODUCT((終値!F10:R10&lt;終値!G10:S10)*(終値!G10:S10-終値!F10:R10))),50),"")</f>
        <v>47.679324894514764</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-50.461472940104613</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見送り</v>
      </c>
      <c r="Z128" s="171">
        <f t="shared" si="30"/>
        <v>4.5838950851820073</v>
      </c>
      <c r="AA128" s="163" t="str">
        <f t="shared" si="31"/>
        <v>上昇▲</v>
      </c>
      <c r="AB128" s="403">
        <f>IF(C128="","",IFERROR(((終値!E130*0.333)+(終値!F130*0.222)+(終値!G130*0.148)+(終値!H130*0.099)+(終値!I130*0.066)+(終値!J130*0.044)+(終値!K130*0.029)+(終値!L130*0.019)+(終値!M130*0.013)+(終値!N130*0.009))/(0.333+0.222+0.148+0.099+0.066+0.044+0.029+0.019+0.013+0.009),""))</f>
        <v>6687.913441955192</v>
      </c>
      <c r="AC128" s="403">
        <f>IF(C128="","",IFERROR(SUMPRODUCT((終値!E130:AC130),({0.077,0.071,0.065,0.06,0.055,0.051,0.047,0.043,0.039,0.036,0.033,0.031,0.028,0.026,0.024,0.022,0.02,0.018,0.017,0.016,0.014,0.013,0.012,0.011,0.01}))/SUM({0.077,0.071,0.065,0.06,0.055,0.051,0.047,0.043,0.039,0.036,0.033,0.031,0.028,0.026,0.024,0.022,0.02,0.018,0.017,0.016,0.014,0.013,0.012,0.011,0.01}),""))</f>
        <v>6734.1895113230021</v>
      </c>
      <c r="AD128" s="404" t="str">
        <f t="shared" si="32"/>
        <v>上昇トレンド▲</v>
      </c>
      <c r="AE128" s="404" t="str">
        <f t="shared" si="33"/>
        <v>なし</v>
      </c>
      <c r="AF128" s="365">
        <f t="array" ref="AF128">IF(C128="","",IFERROR((INDEX(終値!$E:$E,MATCH(TEXT(C128,"0"),終値!$A:$A,0))-INDEX(終値!$E:$CZ,MATCH(TEXT(C128,"0"),終値!$A:$A,0),$AL$2))/INDEX(終値!$E:$CZ,MATCH(TEXT(C128,"0"),終値!$A:$A,0),$AL$2)*100,""))</f>
        <v>-6.5336374002280495</v>
      </c>
      <c r="AG128" s="365">
        <f t="array" ref="AG128">IFERROR((終値!$E$5-INDEX(終値!$E$5:$CZ$5,1,$AL$2))/INDEX(終値!$E$5:$CZ$5,1,$AL$2)*100,"")</f>
        <v>-0.82558151178043282</v>
      </c>
      <c r="AH128" s="366">
        <f t="shared" si="25"/>
        <v>-5.7080558884476167</v>
      </c>
      <c r="AI128" s="364">
        <f t="shared" si="26"/>
        <v>-2</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8476</v>
      </c>
      <c r="F129" s="166">
        <f>IF(C129&lt;&gt;"",_xll.RssMarket(C129,"始値"),"")</f>
        <v>8358</v>
      </c>
      <c r="G129" s="165">
        <f>IF(C129&lt;&gt;"",終値!F8,"")</f>
        <v>7961</v>
      </c>
      <c r="H129" s="166">
        <f>IF(C129&lt;&gt;"",_xll.RssMarket(C129,"高値"),"")</f>
        <v>8574</v>
      </c>
      <c r="I129" s="166">
        <f>IF(C129&lt;&gt;"",_xll.RssMarket(C129,"安値"),"")</f>
        <v>8233</v>
      </c>
      <c r="J129" s="166">
        <f>IF(C129&lt;&gt;"",_xll.RssMarket(C129,"出来高"),"")</f>
        <v>1906800</v>
      </c>
      <c r="K129" s="166">
        <f>IF(C129&lt;&gt;"",_xll.RssMarket(C129,"年初来高値"),"")</f>
        <v>13300</v>
      </c>
      <c r="L129" s="167">
        <f t="shared" si="17"/>
        <v>-36.270676691729328</v>
      </c>
      <c r="M129" s="166">
        <f>IF(C129&lt;&gt;"",IFERROR(AVERAGE(出来高!F8:J8),""),"")</f>
        <v>3323880</v>
      </c>
      <c r="N129" s="166">
        <f>IF(C129&lt;&gt;"",IFERROR(AVERAGE(出来高!F8:AD8),""),"")</f>
        <v>2974080</v>
      </c>
      <c r="O129" s="168">
        <f t="shared" si="18"/>
        <v>0.57366691938337122</v>
      </c>
      <c r="P129" s="163" t="str">
        <f t="shared" si="19"/>
        <v>減少↓</v>
      </c>
      <c r="Q129" s="163" t="str">
        <f t="shared" si="20"/>
        <v>中立→</v>
      </c>
      <c r="R129" s="166">
        <f t="shared" si="27"/>
        <v>9154</v>
      </c>
      <c r="S129" s="166">
        <f t="shared" si="28"/>
        <v>8137</v>
      </c>
      <c r="T129" s="163">
        <f t="shared" si="21"/>
        <v>8</v>
      </c>
      <c r="U129" s="163" t="str">
        <f t="shared" si="29"/>
        <v>要確認</v>
      </c>
      <c r="V129" s="163" t="str">
        <f t="shared" si="22"/>
        <v>通常</v>
      </c>
      <c r="W129" s="169">
        <f t="array" ref="W129">IF(C129&lt;&gt;"",IFERROR(100-100/(1+SUMPRODUCT((終値!F8:R8&gt;終値!G8:S8)*( 終値!F8:R8-終値!G8:S8))/SUMPRODUCT((終値!F8:R8&lt;終値!G8:S8)*(終値!G8:S8-終値!F8:R8))),50),"")</f>
        <v>59.367000232720507</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61.4309263291143</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 t="shared" si="30"/>
        <v>6.4690365531968341</v>
      </c>
      <c r="AA129" s="163" t="str">
        <f t="shared" si="31"/>
        <v>上昇▲</v>
      </c>
      <c r="AB129" s="405">
        <f>IF(C129="","",IFERROR(((終値!E131*0.333)+(終値!F131*0.222)+(終値!G131*0.148)+(終値!H131*0.099)+(終値!I131*0.066)+(終値!J131*0.044)+(終値!K131*0.029)+(終値!L131*0.019)+(終値!M131*0.013)+(終値!N131*0.009))/(0.333+0.222+0.148+0.099+0.066+0.044+0.029+0.019+0.013+0.009),""))</f>
        <v>2478.2026476578408</v>
      </c>
      <c r="AC129" s="405">
        <f>IF(C129="","",IFERROR(SUMPRODUCT((終値!E131:AC131),({0.077,0.071,0.065,0.06,0.055,0.051,0.047,0.043,0.039,0.036,0.033,0.031,0.028,0.026,0.024,0.022,0.02,0.018,0.017,0.016,0.014,0.013,0.012,0.011,0.01}))/SUM({0.077,0.071,0.065,0.06,0.055,0.051,0.047,0.043,0.039,0.036,0.033,0.031,0.028,0.026,0.024,0.022,0.02,0.018,0.017,0.016,0.014,0.013,0.012,0.011,0.01}),""))</f>
        <v>2537.1537544696057</v>
      </c>
      <c r="AD129" s="406" t="str">
        <f t="shared" si="32"/>
        <v>上昇トレンド▲</v>
      </c>
      <c r="AE129" s="406" t="str">
        <f t="shared" si="33"/>
        <v>なし</v>
      </c>
      <c r="AF129" s="365">
        <f t="array" ref="AF129">IF(C129="","",IFERROR((INDEX(終値!$E:$E,MATCH(TEXT(C129,"0"),終値!$A:$A,0))-INDEX(終値!$E:$CZ,MATCH(TEXT(C129,"0"),終値!$A:$A,0),$AL$2))/INDEX(終値!$E:$CZ,MATCH(TEXT(C129,"0"),終値!$A:$A,0),$AL$2)*100,""))</f>
        <v>7.5547250400427117</v>
      </c>
      <c r="AG129" s="365">
        <f t="array" ref="AG129">IFERROR((終値!$E$5-INDEX(終値!$E$5:$CZ$5,1,$AL$2))/INDEX(終値!$E$5:$CZ$5,1,$AL$2)*100,"")</f>
        <v>-0.82558151178043282</v>
      </c>
      <c r="AH129" s="366">
        <f t="shared" si="25"/>
        <v>8.3803065518231445</v>
      </c>
      <c r="AI129" s="364">
        <f t="shared" si="26"/>
        <v>3</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4367</v>
      </c>
      <c r="F130" s="166">
        <f>IF(C130&lt;&gt;"",_xll.RssMarket(C130,"始値"),"")</f>
        <v>4236</v>
      </c>
      <c r="G130" s="165">
        <f>IF(C130&lt;&gt;"",終値!F9,"")</f>
        <v>4151</v>
      </c>
      <c r="H130" s="166">
        <f>IF(C130&lt;&gt;"",_xll.RssMarket(C130,"高値"),"")</f>
        <v>4404</v>
      </c>
      <c r="I130" s="166">
        <f>IF(C130&lt;&gt;"",_xll.RssMarket(C130,"安値"),"")</f>
        <v>4230</v>
      </c>
      <c r="J130" s="166">
        <f>IF(C130&lt;&gt;"",_xll.RssMarket(C130,"出来高"),"")</f>
        <v>911000</v>
      </c>
      <c r="K130" s="166">
        <f>IF(C130&lt;&gt;"",_xll.RssMarket(C130,"年初来高値"),"")</f>
        <v>6126</v>
      </c>
      <c r="L130" s="167">
        <f t="shared" si="17"/>
        <v>-28.713679399281748</v>
      </c>
      <c r="M130" s="166">
        <f>IF(C130&lt;&gt;"",IFERROR(AVERAGE(出来高!E9:I9),""),"")</f>
        <v>1264840</v>
      </c>
      <c r="N130" s="166">
        <f>IF(C130&lt;&gt;"",IFERROR(AVERAGE(出来高!E9:AC9),""),"")</f>
        <v>1431228</v>
      </c>
      <c r="O130" s="168">
        <f t="shared" si="18"/>
        <v>0.72024920148002913</v>
      </c>
      <c r="P130" s="163" t="str">
        <f t="shared" si="19"/>
        <v>減少↓</v>
      </c>
      <c r="Q130" s="163" t="str">
        <f t="shared" si="20"/>
        <v>中立→</v>
      </c>
      <c r="R130" s="166">
        <f t="shared" si="27"/>
        <v>4716</v>
      </c>
      <c r="S130" s="166">
        <f t="shared" si="28"/>
        <v>4192</v>
      </c>
      <c r="T130" s="163">
        <f t="shared" si="21"/>
        <v>0</v>
      </c>
      <c r="U130" s="163" t="str">
        <f t="shared" si="29"/>
        <v>除外</v>
      </c>
      <c r="V130" s="163" t="str">
        <f t="shared" si="22"/>
        <v>通常</v>
      </c>
      <c r="W130" s="169">
        <f t="array" ref="W130">IF(C130&lt;&gt;"",IFERROR(100-100/(1+SUMPRODUCT((終値!F9:R9&gt;終値!G9:S9)*( 終値!F9:R9-終値!G9:S9))/SUMPRODUCT((終値!F9:R9&lt;終値!G9:S9)*(終値!G9:S9-終値!F9:R9))),50),"")</f>
        <v>53.359173126614984</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-18.738571638955364</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見送り</v>
      </c>
      <c r="Z130" s="171">
        <f t="shared" si="30"/>
        <v>5.203565405926283</v>
      </c>
      <c r="AA130" s="163" t="str">
        <f t="shared" si="31"/>
        <v>上昇▲</v>
      </c>
      <c r="AB130" s="403">
        <f>IF(C130="","",IFERROR(((終値!E132*0.333)+(終値!F132*0.222)+(終値!G132*0.148)+(終値!H132*0.099)+(終値!I132*0.066)+(終値!J132*0.044)+(終値!K132*0.029)+(終値!L132*0.019)+(終値!M132*0.013)+(終値!N132*0.009))/(0.333+0.222+0.148+0.099+0.066+0.044+0.029+0.019+0.013+0.009),""))</f>
        <v>6342.6069246435836</v>
      </c>
      <c r="AC130" s="403">
        <f>IF(C130="","",IFERROR(SUMPRODUCT((終値!E132:AC132),({0.077,0.071,0.065,0.06,0.055,0.051,0.047,0.043,0.039,0.036,0.033,0.031,0.028,0.026,0.024,0.022,0.02,0.018,0.017,0.016,0.014,0.013,0.012,0.011,0.01}))/SUM({0.077,0.071,0.065,0.06,0.055,0.051,0.047,0.043,0.039,0.036,0.033,0.031,0.028,0.026,0.024,0.022,0.02,0.018,0.017,0.016,0.014,0.013,0.012,0.011,0.01}),""))</f>
        <v>6251.1680572109617</v>
      </c>
      <c r="AD130" s="404" t="str">
        <f t="shared" si="32"/>
        <v>もみ合い→</v>
      </c>
      <c r="AE130" s="404" t="str">
        <f t="shared" si="33"/>
        <v>なし</v>
      </c>
      <c r="AF130" s="365">
        <f t="array" ref="AF130">IF(C130="","",IFERROR((INDEX(終値!$E:$E,MATCH(TEXT(C130,"0"),終値!$A:$A,0))-INDEX(終値!$E:$CZ,MATCH(TEXT(C130,"0"),終値!$A:$A,0),$AL$2))/INDEX(終値!$E:$CZ,MATCH(TEXT(C130,"0"),終値!$A:$A,0),$AL$2)*100,""))</f>
        <v>-4.1184636742248957</v>
      </c>
      <c r="AG130" s="365">
        <f t="array" ref="AG130">IFERROR((終値!$E$5-INDEX(終値!$E$5:$CZ$5,1,$AL$2))/INDEX(終値!$E$5:$CZ$5,1,$AL$2)*100,"")</f>
        <v>-0.82558151178043282</v>
      </c>
      <c r="AH130" s="366">
        <f t="shared" si="25"/>
        <v>-3.2928821624444629</v>
      </c>
      <c r="AI130" s="364">
        <f t="shared" si="26"/>
        <v>-2</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35080</v>
      </c>
      <c r="F131" s="166">
        <f>IF(C131&lt;&gt;"",_xll.RssMarket(C131,"始値"),"")</f>
        <v>33900</v>
      </c>
      <c r="G131" s="165">
        <f>IF(C131&lt;&gt;"",終値!F6,"")</f>
        <v>30890</v>
      </c>
      <c r="H131" s="166">
        <f>IF(C131&lt;&gt;"",_xll.RssMarket(C131,"高値"),"")</f>
        <v>35270</v>
      </c>
      <c r="I131" s="166">
        <f>IF(C131&lt;&gt;"",_xll.RssMarket(C131,"安値"),"")</f>
        <v>33370</v>
      </c>
      <c r="J131" s="166">
        <f>IF(C131&lt;&gt;"",_xll.RssMarket(C131,"出来高"),"")</f>
        <v>1106200</v>
      </c>
      <c r="K131" s="166">
        <f>IF(C131&lt;&gt;"",_xll.RssMarket(C131,"年初来高値"),"")</f>
        <v>57700</v>
      </c>
      <c r="L131" s="167">
        <f t="shared" ref="L131:L194" si="34">IF(AND(E131&lt;&gt;"",K131&lt;&gt;"",K131&lt;&gt;0),(E131-K131)/K131*100,"")</f>
        <v>-39.202772963604851</v>
      </c>
      <c r="M131" s="166">
        <f>IF(C131&lt;&gt;"",IFERROR(AVERAGE(出来高!F6:J6),""),"")</f>
        <v>1457860</v>
      </c>
      <c r="N131" s="166">
        <f>IF(C131&lt;&gt;"",IFERROR(AVERAGE(出来高!F6:AD6),""),"")</f>
        <v>1349592</v>
      </c>
      <c r="O131" s="168">
        <f t="shared" ref="O131:O194" si="35">IF(AND(J131&lt;&gt;"",M131&lt;&gt;"",M131&lt;&gt;0),J131/M131,"")</f>
        <v>0.75878342227648743</v>
      </c>
      <c r="P131" s="163" t="str">
        <f t="shared" ref="P131:P194" si="36">IF(O131="","",IF(O131&gt;=2,"急増↑↑",IF(O131&gt;=1.5,"増加↑",IF(O131&gt;=1,"普通→","減少↓"))))</f>
        <v>減少↓</v>
      </c>
      <c r="Q131" s="163" t="str">
        <f t="shared" ref="Q131:Q194" si="37">IF(E131="","",IF(AND(E131&gt;G131,O131&gt;=1.5),"買い▲",IF(E131&lt;G131,"様子見▼","中立→")))</f>
        <v>中立→</v>
      </c>
      <c r="R131" s="166">
        <f t="shared" si="27"/>
        <v>37886</v>
      </c>
      <c r="S131" s="166">
        <f t="shared" si="28"/>
        <v>33677</v>
      </c>
      <c r="T131" s="163">
        <f t="shared" ref="T131:T194" si="38">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2</v>
      </c>
      <c r="U131" s="163" t="str">
        <f t="shared" si="29"/>
        <v>除外</v>
      </c>
      <c r="V131" s="163" t="str">
        <f t="shared" ref="V131:V194" si="39">IF(AND(H131&lt;&gt;"",K131&lt;&gt;""),IF(H131&gt;=K131,"年初来高値更新●",IF(H131&gt;=K131*0.95,"高値圏","通常")),"")</f>
        <v>通常</v>
      </c>
      <c r="W131" s="169">
        <f t="array" ref="W131">IF(C131&lt;&gt;"",IFERROR(100-100/(1+SUMPRODUCT((終値!F6:R6&gt;終値!G6:S6)*( 終値!F6:R6-終値!G6:S6))/SUMPRODUCT((終値!F6:R6&lt;終値!G6:S6)*(終値!G6:S6-終値!F6:R6))),50),"")</f>
        <v>40.846538782318596</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-980.84847495810027</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 t="shared" si="30"/>
        <v>13.56426027840725</v>
      </c>
      <c r="AA131" s="163" t="str">
        <f t="shared" si="31"/>
        <v>上昇▲</v>
      </c>
      <c r="AB131" s="405">
        <f>IF(C131="","",IFERROR(((終値!E133*0.333)+(終値!F133*0.222)+(終値!G133*0.148)+(終値!H133*0.099)+(終値!I133*0.066)+(終値!J133*0.044)+(終値!K133*0.029)+(終値!L133*0.019)+(終値!M133*0.013)+(終値!N133*0.009))/(0.333+0.222+0.148+0.099+0.066+0.044+0.029+0.019+0.013+0.009),""))</f>
        <v>2949.1374745417506</v>
      </c>
      <c r="AC131" s="405">
        <f>IF(C131="","",IFERROR(SUMPRODUCT((終値!E133:AC133),({0.077,0.071,0.065,0.06,0.055,0.051,0.047,0.043,0.039,0.036,0.033,0.031,0.028,0.026,0.024,0.022,0.02,0.018,0.017,0.016,0.014,0.013,0.012,0.011,0.01}))/SUM({0.077,0.071,0.065,0.06,0.055,0.051,0.047,0.043,0.039,0.036,0.033,0.031,0.028,0.026,0.024,0.022,0.02,0.018,0.017,0.016,0.014,0.013,0.012,0.011,0.01}),""))</f>
        <v>3866.8653158522038</v>
      </c>
      <c r="AD131" s="406" t="str">
        <f t="shared" ref="AD131:AD162" si="40">IF(OR(C131="",AB131="",AC131=""),"",IF(AND(E131&gt;AB131,AB131&gt;AC131),"パーフェクト▲",IF(E131&gt;AC131,"上昇トレンド▲",IF(AND(E131&lt;AB131,AB131&lt;AC131),"下降トレンド▼","もみ合い→"))))</f>
        <v>上昇トレンド▲</v>
      </c>
      <c r="AE131" s="406" t="str">
        <f t="shared" ref="AE131:AE162" si="41">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-23.938960419647117</v>
      </c>
      <c r="AG131" s="365">
        <f t="array" ref="AG131">IFERROR((終値!$E$5-INDEX(終値!$E$5:$CZ$5,1,$AL$2))/INDEX(終値!$E$5:$CZ$5,1,$AL$2)*100,"")</f>
        <v>-0.82558151178043282</v>
      </c>
      <c r="AH131" s="366">
        <f t="shared" ref="AH131:AH194" si="42">IF(OR(AF131="",AG131=""),"",AF131-AG131)</f>
        <v>-23.113378907866682</v>
      </c>
      <c r="AI131" s="364">
        <f t="shared" ref="AI131:AI194" si="43">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2856</v>
      </c>
      <c r="F132" s="166">
        <f>IF(C132&lt;&gt;"",_xll.RssMarket(C132,"始値"),"")</f>
        <v>2841</v>
      </c>
      <c r="G132" s="165">
        <f>IF(C132&lt;&gt;"",終値!F13,"")</f>
        <v>2835</v>
      </c>
      <c r="H132" s="166">
        <f>IF(C132&lt;&gt;"",_xll.RssMarket(C132,"高値"),"")</f>
        <v>2886</v>
      </c>
      <c r="I132" s="166">
        <f>IF(C132&lt;&gt;"",_xll.RssMarket(C132,"安値"),"")</f>
        <v>2811</v>
      </c>
      <c r="J132" s="166">
        <f>IF(C132&lt;&gt;"",_xll.RssMarket(C132,"出来高"),"")</f>
        <v>175500</v>
      </c>
      <c r="K132" s="166">
        <f>IF(C132&lt;&gt;"",_xll.RssMarket(C132,"年初来高値"),"")</f>
        <v>3330</v>
      </c>
      <c r="L132" s="167">
        <f t="shared" si="34"/>
        <v>-14.234234234234233</v>
      </c>
      <c r="M132" s="166">
        <f>IF(C132&lt;&gt;"",IFERROR(AVERAGE(出来高!E13:I13),""),"")</f>
        <v>650380</v>
      </c>
      <c r="N132" s="166">
        <f>IF(C132&lt;&gt;"",IFERROR(AVERAGE(出来高!E13:AC13),""),"")</f>
        <v>394816</v>
      </c>
      <c r="O132" s="168">
        <f t="shared" si="35"/>
        <v>0.2698422460715274</v>
      </c>
      <c r="P132" s="163" t="str">
        <f t="shared" si="36"/>
        <v>減少↓</v>
      </c>
      <c r="Q132" s="163" t="str">
        <f t="shared" si="37"/>
        <v>中立→</v>
      </c>
      <c r="R132" s="166">
        <f t="shared" ref="R132:R195" si="44">IF(E132&lt;&gt;"",ROUND(E132*1.08,0),"")</f>
        <v>3084</v>
      </c>
      <c r="S132" s="166">
        <f t="shared" ref="S132:S195" si="45">IF(E132&lt;&gt;"",ROUND(E132*0.96,0),"")</f>
        <v>2742</v>
      </c>
      <c r="T132" s="163">
        <f t="shared" si="38"/>
        <v>0</v>
      </c>
      <c r="U132" s="163" t="str">
        <f t="shared" ref="U132:U195" si="46">IF(T132="","",IF(AND(T132&gt;=3,O132&gt;=1.5),"有効",IF(T132&gt;=3,"要確認","除外")))</f>
        <v>除外</v>
      </c>
      <c r="V132" s="163" t="str">
        <f t="shared" si="39"/>
        <v>通常</v>
      </c>
      <c r="W132" s="169">
        <f t="array" ref="W132">IF(C132&lt;&gt;"",IFERROR(100-100/(1+SUMPRODUCT((終値!F13:R13&gt;終値!G13:S13)*( 終値!F13:R13-終値!G13:S13))/SUMPRODUCT((終値!F13:R13&lt;終値!G13:S13)*(終値!G13:S13-終値!F13:R13))),50),"")</f>
        <v>60.296096904441455</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-0.27794450702231188</v>
      </c>
      <c r="Y132" s="1" t="e">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#DIV/0!</v>
      </c>
      <c r="Z132" s="171">
        <f t="shared" ref="Z132:Z195" si="47">IF(AND(E132&lt;&gt;"",G132&lt;&gt;"",G132&lt;&gt;0),(E132-G132)/G132*100,"")</f>
        <v>0.74074074074074081</v>
      </c>
      <c r="AA132" s="163" t="str">
        <f t="shared" ref="AA132:AA195" si="48">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0</v>
      </c>
      <c r="AC132" s="403">
        <f>IF(C132="","",IFERROR(SUMPRODUCT((終値!E134:AC134),({0.077,0.071,0.065,0.06,0.055,0.051,0.047,0.043,0.039,0.036,0.033,0.031,0.028,0.026,0.024,0.022,0.02,0.018,0.017,0.016,0.014,0.013,0.012,0.011,0.01}))/SUM({0.077,0.071,0.065,0.06,0.055,0.051,0.047,0.043,0.039,0.036,0.033,0.031,0.028,0.026,0.024,0.022,0.02,0.018,0.017,0.016,0.014,0.013,0.012,0.011,0.01}),""))</f>
        <v>0</v>
      </c>
      <c r="AD132" s="404" t="str">
        <f t="shared" si="40"/>
        <v>上昇トレンド▲</v>
      </c>
      <c r="AE132" s="404" t="e">
        <f t="shared" si="41"/>
        <v>#DIV/0!</v>
      </c>
      <c r="AF132" s="365">
        <f t="array" ref="AF132">IF(C132="","",IFERROR((INDEX(終値!$E:$E,MATCH(TEXT(C132,"0"),終値!$A:$A,0))-INDEX(終値!$E:$CZ,MATCH(TEXT(C132,"0"),終値!$A:$A,0),$AL$2))/INDEX(終値!$E:$CZ,MATCH(TEXT(C132,"0"),終値!$A:$A,0),$AL$2)*100,""))</f>
        <v>-7.1556350626118065E-2</v>
      </c>
      <c r="AG132" s="365">
        <f t="array" ref="AG132">IFERROR((終値!$E$5-INDEX(終値!$E$5:$CZ$5,1,$AL$2))/INDEX(終値!$E$5:$CZ$5,1,$AL$2)*100,"")</f>
        <v>-0.82558151178043282</v>
      </c>
      <c r="AH132" s="366">
        <f t="shared" si="42"/>
        <v>0.75402516115431473</v>
      </c>
      <c r="AI132" s="364">
        <f t="shared" si="43"/>
        <v>1</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2529</v>
      </c>
      <c r="F133" s="166">
        <f>IF(C133&lt;&gt;"",_xll.RssMarket(C133,"始値"),"")</f>
        <v>2495</v>
      </c>
      <c r="G133" s="165">
        <f>IF(C133&lt;&gt;"",終値!F20,"")</f>
        <v>2430</v>
      </c>
      <c r="H133" s="166">
        <f>IF(C133&lt;&gt;"",_xll.RssMarket(C133,"高値"),"")</f>
        <v>2558</v>
      </c>
      <c r="I133" s="166">
        <f>IF(C133&lt;&gt;"",_xll.RssMarket(C133,"安値"),"")</f>
        <v>2485</v>
      </c>
      <c r="J133" s="166">
        <f>IF(C133&lt;&gt;"",_xll.RssMarket(C133,"出来高"),"")</f>
        <v>299800</v>
      </c>
      <c r="K133" s="166">
        <f>IF(C133&lt;&gt;"",_xll.RssMarket(C133,"年初来高値"),"")</f>
        <v>3865</v>
      </c>
      <c r="L133" s="167">
        <f t="shared" si="34"/>
        <v>-34.566623544631305</v>
      </c>
      <c r="M133" s="166">
        <f>IF(C133&lt;&gt;"",IFERROR(AVERAGE(出来高!E20:I20),""),"")</f>
        <v>244060</v>
      </c>
      <c r="N133" s="166">
        <f>IF(C133&lt;&gt;"",IFERROR(AVERAGE(出来高!E20:AC20),""),"")</f>
        <v>208208.33333333334</v>
      </c>
      <c r="O133" s="168">
        <f t="shared" si="35"/>
        <v>1.2283864623453249</v>
      </c>
      <c r="P133" s="163" t="str">
        <f t="shared" si="36"/>
        <v>普通→</v>
      </c>
      <c r="Q133" s="163" t="str">
        <f t="shared" si="37"/>
        <v>中立→</v>
      </c>
      <c r="R133" s="166">
        <f t="shared" si="44"/>
        <v>2731</v>
      </c>
      <c r="S133" s="166">
        <f t="shared" si="45"/>
        <v>2428</v>
      </c>
      <c r="T133" s="163">
        <f t="shared" si="38"/>
        <v>7</v>
      </c>
      <c r="U133" s="163" t="str">
        <f t="shared" si="46"/>
        <v>要確認</v>
      </c>
      <c r="V133" s="163" t="str">
        <f t="shared" si="39"/>
        <v>通常</v>
      </c>
      <c r="W133" s="169">
        <f t="array" ref="W133">IF(C133&lt;&gt;"",IFERROR(100-100/(1+SUMPRODUCT((終値!F20:R20&gt;終値!G20:S20)*( 終値!F20:R20-終値!G20:S20))/SUMPRODUCT((終値!F20:R20&lt;終値!G20:S20)*(終値!G20:S20-終値!F20:R20))),50),"")</f>
        <v>51.782548749261373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9.2872901898203963</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 t="shared" si="47"/>
        <v>4.0740740740740744</v>
      </c>
      <c r="AA133" s="163" t="str">
        <f t="shared" si="48"/>
        <v>上昇▲</v>
      </c>
      <c r="AB133" s="405">
        <f>IF(C133="","",IFERROR(((終値!E135*0.333)+(終値!F135*0.222)+(終値!G135*0.148)+(終値!H135*0.099)+(終値!I135*0.066)+(終値!J135*0.044)+(終値!K135*0.029)+(終値!L135*0.019)+(終値!M135*0.013)+(終値!N135*0.009))/(0.333+0.222+0.148+0.099+0.066+0.044+0.029+0.019+0.013+0.009),""))</f>
        <v>2982.9582484725042</v>
      </c>
      <c r="AC133" s="405">
        <f>IF(C133="","",IFERROR(SUMPRODUCT((終値!E135:AC135),({0.077,0.071,0.065,0.06,0.055,0.051,0.047,0.043,0.039,0.036,0.033,0.031,0.028,0.026,0.024,0.022,0.02,0.018,0.017,0.016,0.014,0.013,0.012,0.011,0.01}))/SUM({0.077,0.071,0.065,0.06,0.055,0.051,0.047,0.043,0.039,0.036,0.033,0.031,0.028,0.026,0.024,0.022,0.02,0.018,0.017,0.016,0.014,0.013,0.012,0.011,0.01}),""))</f>
        <v>3956.4529201430259</v>
      </c>
      <c r="AD133" s="406" t="str">
        <f t="shared" si="40"/>
        <v>下降トレンド▼</v>
      </c>
      <c r="AE133" s="406" t="str">
        <f t="shared" si="41"/>
        <v>なし</v>
      </c>
      <c r="AF133" s="365">
        <f t="array" ref="AF133">IF(C133="","",IFERROR((INDEX(終値!$E:$E,MATCH(TEXT(C133,"0"),終値!$A:$A,0))-INDEX(終値!$E:$CZ,MATCH(TEXT(C133,"0"),終値!$A:$A,0),$AL$2))/INDEX(終値!$E:$CZ,MATCH(TEXT(C133,"0"),終値!$A:$A,0),$AL$2)*100,""))</f>
        <v>15.577190542420027</v>
      </c>
      <c r="AG133" s="365">
        <f t="array" ref="AG133">IFERROR((終値!$E$5-INDEX(終値!$E$5:$CZ$5,1,$AL$2))/INDEX(終値!$E$5:$CZ$5,1,$AL$2)*100,"")</f>
        <v>-0.82558151178043282</v>
      </c>
      <c r="AH133" s="366">
        <f t="shared" si="42"/>
        <v>16.402772054200462</v>
      </c>
      <c r="AI133" s="364">
        <f t="shared" si="43"/>
        <v>3</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2722</v>
      </c>
      <c r="F134" s="166">
        <f>IF(C134&lt;&gt;"",_xll.RssMarket(C134,"始値"),"")</f>
        <v>2498</v>
      </c>
      <c r="G134" s="165">
        <f>IF(C134&lt;&gt;"",終値!F51,"")</f>
        <v>2368</v>
      </c>
      <c r="H134" s="166">
        <f>IF(C134&lt;&gt;"",_xll.RssMarket(C134,"高値"),"")</f>
        <v>2739</v>
      </c>
      <c r="I134" s="166">
        <f>IF(C134&lt;&gt;"",_xll.RssMarket(C134,"安値"),"")</f>
        <v>2491</v>
      </c>
      <c r="J134" s="166">
        <f>IF(C134&lt;&gt;"",_xll.RssMarket(C134,"出来高"),"")</f>
        <v>35200</v>
      </c>
      <c r="K134" s="166">
        <f>IF(C134&lt;&gt;"",_xll.RssMarket(C134,"年初来高値"),"")</f>
        <v>3935</v>
      </c>
      <c r="L134" s="167">
        <f t="shared" si="34"/>
        <v>-30.82592121982211</v>
      </c>
      <c r="M134" s="166">
        <f>IF(C134&lt;&gt;"",IFERROR(AVERAGE(出来高!E51:I51),""),"")</f>
        <v>80900</v>
      </c>
      <c r="N134" s="166">
        <f>IF(C134&lt;&gt;"",IFERROR(AVERAGE(出来高!E51:AC51),""),"")</f>
        <v>43144</v>
      </c>
      <c r="O134" s="168">
        <f t="shared" si="35"/>
        <v>0.43510506798516685</v>
      </c>
      <c r="P134" s="163" t="str">
        <f t="shared" si="36"/>
        <v>減少↓</v>
      </c>
      <c r="Q134" s="163" t="str">
        <f t="shared" si="37"/>
        <v>中立→</v>
      </c>
      <c r="R134" s="166">
        <f t="shared" si="44"/>
        <v>2940</v>
      </c>
      <c r="S134" s="166">
        <f t="shared" si="45"/>
        <v>2613</v>
      </c>
      <c r="T134" s="163">
        <f t="shared" si="38"/>
        <v>6</v>
      </c>
      <c r="U134" s="163" t="str">
        <f t="shared" si="46"/>
        <v>要確認</v>
      </c>
      <c r="V134" s="163" t="str">
        <f t="shared" si="39"/>
        <v>通常</v>
      </c>
      <c r="W134" s="169">
        <f t="array" ref="W134">IF(C134&lt;&gt;"",IFERROR(100-100/(1+SUMPRODUCT((終値!F51:R51&gt;終値!G51:S51)*( 終値!F51:R51-終値!G51:S51))/SUMPRODUCT((終値!F51:R51&lt;終値!G51:S51)*(終値!G51:S51-終値!F51:R51))),50),"")</f>
        <v>41.528925619834716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18.046897575615731</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 t="shared" si="47"/>
        <v>14.949324324324326</v>
      </c>
      <c r="AA134" s="163" t="str">
        <f t="shared" si="48"/>
        <v>上昇▲</v>
      </c>
      <c r="AB134" s="403">
        <f>IF(C134="","",IFERROR(((終値!E136*0.333)+(終値!F136*0.222)+(終値!G136*0.148)+(終値!H136*0.099)+(終値!I136*0.066)+(終値!J136*0.044)+(終値!K136*0.029)+(終値!L136*0.019)+(終値!M136*0.013)+(終値!N136*0.009))/(0.333+0.222+0.148+0.099+0.066+0.044+0.029+0.019+0.013+0.009),""))</f>
        <v>849.88085539714848</v>
      </c>
      <c r="AC134" s="403">
        <f>IF(C134="","",IFERROR(SUMPRODUCT((終値!E136:AC136),({0.077,0.071,0.065,0.06,0.055,0.051,0.047,0.043,0.039,0.036,0.033,0.031,0.028,0.026,0.024,0.022,0.02,0.018,0.017,0.016,0.014,0.013,0.012,0.011,0.01}))/SUM({0.077,0.071,0.065,0.06,0.055,0.051,0.047,0.043,0.039,0.036,0.033,0.031,0.028,0.026,0.024,0.022,0.02,0.018,0.017,0.016,0.014,0.013,0.012,0.011,0.01}),""))</f>
        <v>899.14779499404005</v>
      </c>
      <c r="AD134" s="404" t="str">
        <f t="shared" si="40"/>
        <v>上昇トレンド▲</v>
      </c>
      <c r="AE134" s="404" t="str">
        <f t="shared" si="41"/>
        <v>なし</v>
      </c>
      <c r="AF134" s="365">
        <f t="array" ref="AF134">IF(C134="","",IFERROR((INDEX(終値!$E:$E,MATCH(TEXT(C134,"0"),終値!$A:$A,0))-INDEX(終値!$E:$CZ,MATCH(TEXT(C134,"0"),終値!$A:$A,0),$AL$2))/INDEX(終値!$E:$CZ,MATCH(TEXT(C134,"0"),終値!$A:$A,0),$AL$2)*100,""))</f>
        <v>2.5555090071219104</v>
      </c>
      <c r="AG134" s="365">
        <f t="array" ref="AG134">IFERROR((終値!$E$5-INDEX(終値!$E$5:$CZ$5,1,$AL$2))/INDEX(終値!$E$5:$CZ$5,1,$AL$2)*100,"")</f>
        <v>-0.82558151178043282</v>
      </c>
      <c r="AH134" s="366">
        <f t="shared" si="42"/>
        <v>3.3810905189023432</v>
      </c>
      <c r="AI134" s="364">
        <f t="shared" si="43"/>
        <v>1</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1860</v>
      </c>
      <c r="F135" s="166">
        <f>IF(C135&lt;&gt;"",_xll.RssMarket(C135,"始値"),"")</f>
        <v>1866</v>
      </c>
      <c r="G135" s="165">
        <f>IF(C135&lt;&gt;"",終値!F180,"")</f>
        <v>1876</v>
      </c>
      <c r="H135" s="166">
        <f>IF(C135&lt;&gt;"",_xll.RssMarket(C135,"高値"),"")</f>
        <v>1873</v>
      </c>
      <c r="I135" s="166">
        <f>IF(C135&lt;&gt;"",_xll.RssMarket(C135,"安値"),"")</f>
        <v>1852</v>
      </c>
      <c r="J135" s="166">
        <f>IF(C135&lt;&gt;"",_xll.RssMarket(C135,"出来高"),"")</f>
        <v>65900</v>
      </c>
      <c r="K135" s="166">
        <f>IF(C135&lt;&gt;"",_xll.RssMarket(C135,"年初来高値"),"")</f>
        <v>2696</v>
      </c>
      <c r="L135" s="167">
        <f t="shared" si="34"/>
        <v>-31.008902077151333</v>
      </c>
      <c r="M135" s="166">
        <f>IF(C135&lt;&gt;"",IFERROR(AVERAGE(出来高!E180:I180),""),"")</f>
        <v>187940</v>
      </c>
      <c r="N135" s="166">
        <f>IF(C135&lt;&gt;"",IFERROR(AVERAGE(出来高!E180:AC180),""),"")</f>
        <v>132408.33333333334</v>
      </c>
      <c r="O135" s="168">
        <f t="shared" si="35"/>
        <v>0.35064382249654147</v>
      </c>
      <c r="P135" s="163" t="str">
        <f t="shared" si="36"/>
        <v>減少↓</v>
      </c>
      <c r="Q135" s="163" t="str">
        <f t="shared" si="37"/>
        <v>様子見▼</v>
      </c>
      <c r="R135" s="166">
        <f t="shared" si="44"/>
        <v>2009</v>
      </c>
      <c r="S135" s="166">
        <f t="shared" si="45"/>
        <v>1786</v>
      </c>
      <c r="T135" s="163">
        <f t="shared" si="38"/>
        <v>7</v>
      </c>
      <c r="U135" s="163" t="str">
        <f t="shared" si="46"/>
        <v>要確認</v>
      </c>
      <c r="V135" s="163" t="str">
        <f t="shared" si="39"/>
        <v>通常</v>
      </c>
      <c r="W135" s="169">
        <f t="array" ref="W135">IF(C135&lt;&gt;"",IFERROR(100-100/(1+SUMPRODUCT((終値!F180:R180&gt;終値!G180:S180)*( 終値!F180:R180-終値!G180:S180))/SUMPRODUCT((終値!F180:R180&lt;終値!G180:S180)*(終値!G180:S180-終値!F180:R180))),50),"")</f>
        <v>50.924813836175829</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5.7361098396347643</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 t="shared" si="47"/>
        <v>-0.85287846481876328</v>
      </c>
      <c r="AA135" s="163" t="str">
        <f t="shared" si="48"/>
        <v>下落▼</v>
      </c>
      <c r="AB135" s="405">
        <f>IF(C135="","",IFERROR(((終値!E137*0.333)+(終値!F137*0.222)+(終値!G137*0.148)+(終値!H137*0.099)+(終値!I137*0.066)+(終値!J137*0.044)+(終値!K137*0.029)+(終値!L137*0.019)+(終値!M137*0.013)+(終値!N137*0.009))/(0.333+0.222+0.148+0.099+0.066+0.044+0.029+0.019+0.013+0.009),""))</f>
        <v>80.431771894093671</v>
      </c>
      <c r="AC135" s="405">
        <f>IF(C135="","",IFERROR(SUMPRODUCT((終値!E137:AC137),({0.077,0.071,0.065,0.06,0.055,0.051,0.047,0.043,0.039,0.036,0.033,0.031,0.028,0.026,0.024,0.022,0.02,0.018,0.017,0.016,0.014,0.013,0.012,0.011,0.01}))/SUM({0.077,0.071,0.065,0.06,0.055,0.051,0.047,0.043,0.039,0.036,0.033,0.031,0.028,0.026,0.024,0.022,0.02,0.018,0.017,0.016,0.014,0.013,0.012,0.011,0.01}),""))</f>
        <v>130.35399284862928</v>
      </c>
      <c r="AD135" s="406" t="str">
        <f t="shared" si="40"/>
        <v>上昇トレンド▲</v>
      </c>
      <c r="AE135" s="406" t="str">
        <f t="shared" si="41"/>
        <v>なし</v>
      </c>
      <c r="AF135" s="365">
        <f t="array" ref="AF135">IF(C135="","",IFERROR((INDEX(終値!$E:$E,MATCH(TEXT(C135,"0"),終値!$A:$A,0))-INDEX(終値!$E:$CZ,MATCH(TEXT(C135,"0"),終値!$A:$A,0),$AL$2))/INDEX(終値!$E:$CZ,MATCH(TEXT(C135,"0"),終値!$A:$A,0),$AL$2)*100,""))</f>
        <v>6.7544361763022325</v>
      </c>
      <c r="AG135" s="365">
        <f t="array" ref="AG135">IFERROR((終値!$E$5-INDEX(終値!$E$5:$CZ$5,1,$AL$2))/INDEX(終値!$E$5:$CZ$5,1,$AL$2)*100,"")</f>
        <v>-0.82558151178043282</v>
      </c>
      <c r="AH135" s="366">
        <f t="shared" si="42"/>
        <v>7.5800176880826653</v>
      </c>
      <c r="AI135" s="364">
        <f t="shared" si="43"/>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1706</v>
      </c>
      <c r="F136" s="166">
        <f>IF(C136&lt;&gt;"",_xll.RssMarket(C136,"始値"),"")</f>
        <v>1697</v>
      </c>
      <c r="G136" s="165">
        <f>IF(C136&lt;&gt;"",終値!F7,"")</f>
        <v>1695</v>
      </c>
      <c r="H136" s="166">
        <f>IF(C136&lt;&gt;"",_xll.RssMarket(C136,"高値"),"")</f>
        <v>1722</v>
      </c>
      <c r="I136" s="166">
        <f>IF(C136&lt;&gt;"",_xll.RssMarket(C136,"安値"),"")</f>
        <v>1689</v>
      </c>
      <c r="J136" s="166">
        <f>IF(C136&lt;&gt;"",_xll.RssMarket(C136,"出来高"),"")</f>
        <v>137200</v>
      </c>
      <c r="K136" s="166">
        <f>IF(C136&lt;&gt;"",_xll.RssMarket(C136,"年初来高値"),"")</f>
        <v>1973</v>
      </c>
      <c r="L136" s="167">
        <f t="shared" si="34"/>
        <v>-13.532691332995439</v>
      </c>
      <c r="M136" s="166">
        <f>IF(C136&lt;&gt;"",IFERROR(AVERAGE(出来高!F7:J7),""),"")</f>
        <v>449120</v>
      </c>
      <c r="N136" s="166">
        <f>IF(C136&lt;&gt;"",IFERROR(AVERAGE(出来高!F7:AD7),""),"")</f>
        <v>380676</v>
      </c>
      <c r="O136" s="168">
        <f t="shared" si="35"/>
        <v>0.30548628428927682</v>
      </c>
      <c r="P136" s="163" t="str">
        <f t="shared" si="36"/>
        <v>減少↓</v>
      </c>
      <c r="Q136" s="163" t="str">
        <f t="shared" si="37"/>
        <v>中立→</v>
      </c>
      <c r="R136" s="166">
        <f t="shared" si="44"/>
        <v>1842</v>
      </c>
      <c r="S136" s="166">
        <f t="shared" si="45"/>
        <v>1638</v>
      </c>
      <c r="T136" s="163">
        <f t="shared" si="38"/>
        <v>5</v>
      </c>
      <c r="U136" s="163" t="str">
        <f t="shared" si="46"/>
        <v>要確認</v>
      </c>
      <c r="V136" s="163" t="str">
        <f t="shared" si="39"/>
        <v>通常</v>
      </c>
      <c r="W136" s="169">
        <f t="array" ref="W136">IF(C136&lt;&gt;"",IFERROR(100-100/(1+SUMPRODUCT((終値!F7:R7&gt;終値!G7:S7)*( 終値!F7:R7-終値!G7:S7))/SUMPRODUCT((終値!F7:R7&lt;終値!G7:S7)*(終値!G7:S7-終値!F7:R7))),50),"")</f>
        <v>45.481049562682216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-1.0704886582088875</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様子見</v>
      </c>
      <c r="Z136" s="171">
        <f t="shared" si="47"/>
        <v>0.64896755162241893</v>
      </c>
      <c r="AA136" s="163" t="str">
        <f t="shared" si="48"/>
        <v>上昇▲</v>
      </c>
      <c r="AB136" s="403">
        <f>IF(C136="","",IFERROR(((終値!E138*0.333)+(終値!F138*0.222)+(終値!G138*0.148)+(終値!H138*0.099)+(終値!I138*0.066)+(終値!J138*0.044)+(終値!K138*0.029)+(終値!L138*0.019)+(終値!M138*0.013)+(終値!N138*0.009))/(0.333+0.222+0.148+0.099+0.066+0.044+0.029+0.019+0.013+0.009),""))</f>
        <v>839.47556008146637</v>
      </c>
      <c r="AC136" s="403">
        <f>IF(C136="","",IFERROR(SUMPRODUCT((終値!E138:AC138),({0.077,0.071,0.065,0.06,0.055,0.051,0.047,0.043,0.039,0.036,0.033,0.031,0.028,0.026,0.024,0.022,0.02,0.018,0.017,0.016,0.014,0.013,0.012,0.011,0.01}))/SUM({0.077,0.071,0.065,0.06,0.055,0.051,0.047,0.043,0.039,0.036,0.033,0.031,0.028,0.026,0.024,0.022,0.02,0.018,0.017,0.016,0.014,0.013,0.012,0.011,0.01}),""))</f>
        <v>873.19427890345605</v>
      </c>
      <c r="AD136" s="404" t="str">
        <f t="shared" si="40"/>
        <v>上昇トレンド▲</v>
      </c>
      <c r="AE136" s="404" t="str">
        <f t="shared" si="41"/>
        <v>なし</v>
      </c>
      <c r="AF136" s="365">
        <f t="array" ref="AF136">IF(C136="","",IFERROR((INDEX(終値!$E:$E,MATCH(TEXT(C136,"0"),終値!$A:$A,0))-INDEX(終値!$E:$CZ,MATCH(TEXT(C136,"0"),終値!$A:$A,0),$AL$2))/INDEX(終値!$E:$CZ,MATCH(TEXT(C136,"0"),終値!$A:$A,0),$AL$2)*100,""))</f>
        <v>-0.11827321111768185</v>
      </c>
      <c r="AG136" s="365">
        <f t="array" ref="AG136">IFERROR((終値!$E$5-INDEX(終値!$E$5:$CZ$5,1,$AL$2))/INDEX(終値!$E$5:$CZ$5,1,$AL$2)*100,"")</f>
        <v>-0.82558151178043282</v>
      </c>
      <c r="AH136" s="366">
        <f t="shared" si="42"/>
        <v>0.70730830066275097</v>
      </c>
      <c r="AI136" s="364">
        <f t="shared" si="43"/>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1774</v>
      </c>
      <c r="F137" s="166">
        <f>IF(C137&lt;&gt;"",_xll.RssMarket(C137,"始値"),"")</f>
        <v>1777</v>
      </c>
      <c r="G137" s="165">
        <f>IF(C137&lt;&gt;"",終値!F84,"")</f>
        <v>1794</v>
      </c>
      <c r="H137" s="166">
        <f>IF(C137&lt;&gt;"",_xll.RssMarket(C137,"高値"),"")</f>
        <v>1805.5</v>
      </c>
      <c r="I137" s="166">
        <f>IF(C137&lt;&gt;"",_xll.RssMarket(C137,"安値"),"")</f>
        <v>1758</v>
      </c>
      <c r="J137" s="166">
        <f>IF(C137&lt;&gt;"",_xll.RssMarket(C137,"出来高"),"")</f>
        <v>4759700</v>
      </c>
      <c r="K137" s="166">
        <f>IF(C137&lt;&gt;"",_xll.RssMarket(C137,"年初来高値"),"")</f>
        <v>2359</v>
      </c>
      <c r="L137" s="167">
        <f t="shared" si="34"/>
        <v>-24.798643493005514</v>
      </c>
      <c r="M137" s="166">
        <f>IF(C137&lt;&gt;"",IFERROR(AVERAGE(出来高!E84:I84),""),"")</f>
        <v>6750680</v>
      </c>
      <c r="N137" s="166">
        <f>IF(C137&lt;&gt;"",IFERROR(AVERAGE(出来高!E84:AC84),""),"")</f>
        <v>5581680</v>
      </c>
      <c r="O137" s="168">
        <f t="shared" si="35"/>
        <v>0.70506971149573083</v>
      </c>
      <c r="P137" s="163" t="str">
        <f t="shared" si="36"/>
        <v>減少↓</v>
      </c>
      <c r="Q137" s="163" t="str">
        <f t="shared" si="37"/>
        <v>様子見▼</v>
      </c>
      <c r="R137" s="166">
        <f t="shared" si="44"/>
        <v>1916</v>
      </c>
      <c r="S137" s="166">
        <f t="shared" si="45"/>
        <v>1703</v>
      </c>
      <c r="T137" s="163">
        <f t="shared" si="38"/>
        <v>6</v>
      </c>
      <c r="U137" s="163" t="str">
        <f t="shared" si="46"/>
        <v>要確認</v>
      </c>
      <c r="V137" s="163" t="str">
        <f t="shared" si="39"/>
        <v>通常</v>
      </c>
      <c r="W137" s="169">
        <f t="array" ref="W137">IF(C137&lt;&gt;"",IFERROR(100-100/(1+SUMPRODUCT((終値!F84:R84&gt;終値!G84:S84)*( 終値!F84:R84-終値!G84:S84))/SUMPRODUCT((終値!F84:R84&lt;終値!G84:S84)*(終値!G84:S84-終値!F84:R84))),50),"")</f>
        <v>71.612903225806448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27.477388064752404</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 t="shared" si="47"/>
        <v>-1.1148272017837235</v>
      </c>
      <c r="AA137" s="163" t="str">
        <f t="shared" si="48"/>
        <v>下落▼</v>
      </c>
      <c r="AB137" s="405">
        <f>IF(C137="","",IFERROR(((終値!E139*0.333)+(終値!F139*0.222)+(終値!G139*0.148)+(終値!H139*0.099)+(終値!I139*0.066)+(終値!J139*0.044)+(終値!K139*0.029)+(終値!L139*0.019)+(終値!M139*0.013)+(終値!N139*0.009))/(0.333+0.222+0.148+0.099+0.066+0.044+0.029+0.019+0.013+0.009),""))</f>
        <v>528.42057026476562</v>
      </c>
      <c r="AC137" s="405">
        <f>IF(C137="","",IFERROR(SUMPRODUCT((終値!E139:AC139),({0.077,0.071,0.065,0.06,0.055,0.051,0.047,0.043,0.039,0.036,0.033,0.031,0.028,0.026,0.024,0.022,0.02,0.018,0.017,0.016,0.014,0.013,0.012,0.011,0.01}))/SUM({0.077,0.071,0.065,0.06,0.055,0.051,0.047,0.043,0.039,0.036,0.033,0.031,0.028,0.026,0.024,0.022,0.02,0.018,0.017,0.016,0.014,0.013,0.012,0.011,0.01}),""))</f>
        <v>534.26102502979711</v>
      </c>
      <c r="AD137" s="406" t="str">
        <f t="shared" si="40"/>
        <v>上昇トレンド▲</v>
      </c>
      <c r="AE137" s="406" t="str">
        <f t="shared" si="41"/>
        <v>なし</v>
      </c>
      <c r="AF137" s="365">
        <f t="array" ref="AF137">IF(C137="","",IFERROR((INDEX(終値!$E:$E,MATCH(TEXT(C137,"0"),終値!$A:$A,0))-INDEX(終値!$E:$CZ,MATCH(TEXT(C137,"0"),終値!$A:$A,0),$AL$2))/INDEX(終値!$E:$CZ,MATCH(TEXT(C137,"0"),終値!$A:$A,0),$AL$2)*100,""))</f>
        <v>15.09433962264151</v>
      </c>
      <c r="AG137" s="365">
        <f t="array" ref="AG137">IFERROR((終値!$E$5-INDEX(終値!$E$5:$CZ$5,1,$AL$2))/INDEX(終値!$E$5:$CZ$5,1,$AL$2)*100,"")</f>
        <v>-0.82558151178043282</v>
      </c>
      <c r="AH137" s="366">
        <f t="shared" si="42"/>
        <v>15.919921134421942</v>
      </c>
      <c r="AI137" s="364">
        <f t="shared" si="43"/>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2839</v>
      </c>
      <c r="F138" s="166">
        <f>IF(C138&lt;&gt;"",_xll.RssMarket(C138,"始値"),"")</f>
        <v>2828</v>
      </c>
      <c r="G138" s="165">
        <f>IF(C138&lt;&gt;"",終値!F179,"")</f>
        <v>2872</v>
      </c>
      <c r="H138" s="166">
        <f>IF(C138&lt;&gt;"",_xll.RssMarket(C138,"高値"),"")</f>
        <v>2862</v>
      </c>
      <c r="I138" s="166">
        <f>IF(C138&lt;&gt;"",_xll.RssMarket(C138,"安値"),"")</f>
        <v>2817</v>
      </c>
      <c r="J138" s="166">
        <f>IF(C138&lt;&gt;"",_xll.RssMarket(C138,"出来高"),"")</f>
        <v>74800</v>
      </c>
      <c r="K138" s="166">
        <f>IF(C138&lt;&gt;"",_xll.RssMarket(C138,"年初来高値"),"")</f>
        <v>4280</v>
      </c>
      <c r="L138" s="167">
        <f t="shared" si="34"/>
        <v>-33.668224299065422</v>
      </c>
      <c r="M138" s="166">
        <f>IF(C138&lt;&gt;"",IFERROR(AVERAGE(出来高!E179:I179),""),"")</f>
        <v>133040</v>
      </c>
      <c r="N138" s="166">
        <f>IF(C138&lt;&gt;"",IFERROR(AVERAGE(出来高!E179:AC179),""),"")</f>
        <v>101400</v>
      </c>
      <c r="O138" s="168">
        <f t="shared" si="35"/>
        <v>0.56223692122669877</v>
      </c>
      <c r="P138" s="163" t="str">
        <f t="shared" si="36"/>
        <v>減少↓</v>
      </c>
      <c r="Q138" s="163" t="str">
        <f t="shared" si="37"/>
        <v>様子見▼</v>
      </c>
      <c r="R138" s="166">
        <f t="shared" si="44"/>
        <v>3066</v>
      </c>
      <c r="S138" s="166">
        <f t="shared" si="45"/>
        <v>2725</v>
      </c>
      <c r="T138" s="163">
        <f t="shared" si="38"/>
        <v>6</v>
      </c>
      <c r="U138" s="163" t="str">
        <f t="shared" si="46"/>
        <v>要確認</v>
      </c>
      <c r="V138" s="163" t="str">
        <f t="shared" si="39"/>
        <v>通常</v>
      </c>
      <c r="W138" s="169">
        <f t="array" ref="W138">IF(C138&lt;&gt;"",IFERROR(100-100/(1+SUMPRODUCT((終値!F179:R179&gt;終値!G179:S179)*( 終値!F179:R179-終値!G179:S179))/SUMPRODUCT((終値!F179:R179&lt;終値!G179:S179)*(終値!G179:S179-終値!F179:R179))),50),"")</f>
        <v>69.565217391304344</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28.243956949360836</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 t="shared" si="47"/>
        <v>-1.149025069637883</v>
      </c>
      <c r="AA138" s="163" t="str">
        <f t="shared" si="48"/>
        <v>下落▼</v>
      </c>
      <c r="AB138" s="403">
        <f>IF(C138="","",IFERROR(((終値!E140*0.333)+(終値!F140*0.222)+(終値!G140*0.148)+(終値!H140*0.099)+(終値!I140*0.066)+(終値!J140*0.044)+(終値!K140*0.029)+(終値!L140*0.019)+(終値!M140*0.013)+(終値!N140*0.009))/(0.333+0.222+0.148+0.099+0.066+0.044+0.029+0.019+0.013+0.009),""))</f>
        <v>45.786150712830953</v>
      </c>
      <c r="AC138" s="403">
        <f>IF(C138="","",IFERROR(SUMPRODUCT((終値!E140:AC140),({0.077,0.071,0.065,0.06,0.055,0.051,0.047,0.043,0.039,0.036,0.033,0.031,0.028,0.026,0.024,0.022,0.02,0.018,0.017,0.016,0.014,0.013,0.012,0.011,0.01}))/SUM({0.077,0.071,0.065,0.06,0.055,0.051,0.047,0.043,0.039,0.036,0.033,0.031,0.028,0.026,0.024,0.022,0.02,0.018,0.017,0.016,0.014,0.013,0.012,0.011,0.01}),""))</f>
        <v>45.970202622169225</v>
      </c>
      <c r="AD138" s="404" t="str">
        <f t="shared" si="40"/>
        <v>上昇トレンド▲</v>
      </c>
      <c r="AE138" s="404" t="str">
        <f t="shared" si="41"/>
        <v>なし</v>
      </c>
      <c r="AF138" s="365">
        <f t="array" ref="AF138">IF(C138="","",IFERROR((INDEX(終値!$E:$E,MATCH(TEXT(C138,"0"),終値!$A:$A,0))-INDEX(終値!$E:$CZ,MATCH(TEXT(C138,"0"),終値!$A:$A,0),$AL$2))/INDEX(終値!$E:$CZ,MATCH(TEXT(C138,"0"),終値!$A:$A,0),$AL$2)*100,""))</f>
        <v>7.8565980167810832</v>
      </c>
      <c r="AG138" s="365">
        <f t="array" ref="AG138">IFERROR((終値!$E$5-INDEX(終値!$E$5:$CZ$5,1,$AL$2))/INDEX(終値!$E$5:$CZ$5,1,$AL$2)*100,"")</f>
        <v>-0.82558151178043282</v>
      </c>
      <c r="AH138" s="366">
        <f t="shared" si="42"/>
        <v>8.682179528561516</v>
      </c>
      <c r="AI138" s="364">
        <f t="shared" si="43"/>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1937</v>
      </c>
      <c r="F139" s="166">
        <f>IF(C139&lt;&gt;"",_xll.RssMarket(C139,"始値"),"")</f>
        <v>2080</v>
      </c>
      <c r="G139" s="165">
        <f>IF(C139&lt;&gt;"",終値!F38,"")</f>
        <v>2073</v>
      </c>
      <c r="H139" s="166">
        <f>IF(C139&lt;&gt;"",_xll.RssMarket(C139,"高値"),"")</f>
        <v>2093.5</v>
      </c>
      <c r="I139" s="166">
        <f>IF(C139&lt;&gt;"",_xll.RssMarket(C139,"安値"),"")</f>
        <v>1927.5</v>
      </c>
      <c r="J139" s="166">
        <f>IF(C139&lt;&gt;"",_xll.RssMarket(C139,"出来高"),"")</f>
        <v>4763000</v>
      </c>
      <c r="K139" s="166">
        <f>IF(C139&lt;&gt;"",_xll.RssMarket(C139,"年初来高値"),"")</f>
        <v>2379.5</v>
      </c>
      <c r="L139" s="167">
        <f t="shared" si="34"/>
        <v>-18.596343769699516</v>
      </c>
      <c r="M139" s="166">
        <f>IF(C139&lt;&gt;"",IFERROR(AVERAGE(出来高!E38:I38),""),"")</f>
        <v>2438120</v>
      </c>
      <c r="N139" s="166">
        <f>IF(C139&lt;&gt;"",IFERROR(AVERAGE(出来高!E38:AC38),""),"")</f>
        <v>2192468</v>
      </c>
      <c r="O139" s="168">
        <f t="shared" si="35"/>
        <v>1.9535543779633489</v>
      </c>
      <c r="P139" s="163" t="str">
        <f t="shared" si="36"/>
        <v>増加↑</v>
      </c>
      <c r="Q139" s="163" t="str">
        <f t="shared" si="37"/>
        <v>様子見▼</v>
      </c>
      <c r="R139" s="166">
        <f t="shared" si="44"/>
        <v>2092</v>
      </c>
      <c r="S139" s="166">
        <f t="shared" si="45"/>
        <v>1860</v>
      </c>
      <c r="T139" s="163">
        <f t="shared" si="38"/>
        <v>9</v>
      </c>
      <c r="U139" s="163" t="str">
        <f t="shared" si="46"/>
        <v>有効</v>
      </c>
      <c r="V139" s="163" t="str">
        <f t="shared" si="39"/>
        <v>通常</v>
      </c>
      <c r="W139" s="169">
        <f t="array" ref="W139">IF(C139&lt;&gt;"",IFERROR(100-100/(1+SUMPRODUCT((終値!F38:R38&gt;終値!G38:S38)*( 終値!F38:R38-終値!G38:S38))/SUMPRODUCT((終値!F38:R38&lt;終値!G38:S38)*(終値!G38:S38-終値!F38:R38))),50),"")</f>
        <v>84.322678843226782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25.246273468689651</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 t="shared" si="47"/>
        <v>-6.5605402797877463</v>
      </c>
      <c r="AA139" s="163" t="str">
        <f t="shared" si="48"/>
        <v>下落▼</v>
      </c>
      <c r="AB139" s="405">
        <f>IF(C139="","",IFERROR(((終値!E141*0.333)+(終値!F141*0.222)+(終値!G141*0.148)+(終値!H141*0.099)+(終値!I141*0.066)+(終値!J141*0.044)+(終値!K141*0.029)+(終値!L141*0.019)+(終値!M141*0.013)+(終値!N141*0.009))/(0.333+0.222+0.148+0.099+0.066+0.044+0.029+0.019+0.013+0.009),""))</f>
        <v>1511.7067209775967</v>
      </c>
      <c r="AC139" s="405">
        <f>IF(C139="","",IFERROR(SUMPRODUCT((終値!E141:AC141),({0.077,0.071,0.065,0.06,0.055,0.051,0.047,0.043,0.039,0.036,0.033,0.031,0.028,0.026,0.024,0.022,0.02,0.018,0.017,0.016,0.014,0.013,0.012,0.011,0.01}))/SUM({0.077,0.071,0.065,0.06,0.055,0.051,0.047,0.043,0.039,0.036,0.033,0.031,0.028,0.026,0.024,0.022,0.02,0.018,0.017,0.016,0.014,0.013,0.012,0.011,0.01}),""))</f>
        <v>1814.891537544695</v>
      </c>
      <c r="AD139" s="406" t="str">
        <f t="shared" si="40"/>
        <v>上昇トレンド▲</v>
      </c>
      <c r="AE139" s="406" t="str">
        <f t="shared" si="41"/>
        <v>なし</v>
      </c>
      <c r="AF139" s="365">
        <f t="array" ref="AF139">IF(C139="","",IFERROR((INDEX(終値!$E:$E,MATCH(TEXT(C139,"0"),終値!$A:$A,0))-INDEX(終値!$E:$CZ,MATCH(TEXT(C139,"0"),終値!$A:$A,0),$AL$2))/INDEX(終値!$E:$CZ,MATCH(TEXT(C139,"0"),終値!$A:$A,0),$AL$2)*100,""))</f>
        <v>9.7991967871485937</v>
      </c>
      <c r="AG139" s="365">
        <f t="array" ref="AG139">IFERROR((終値!$E$5-INDEX(終値!$E$5:$CZ$5,1,$AL$2))/INDEX(終値!$E$5:$CZ$5,1,$AL$2)*100,"")</f>
        <v>-0.82558151178043282</v>
      </c>
      <c r="AH139" s="366">
        <f t="shared" si="42"/>
        <v>10.624778298929026</v>
      </c>
      <c r="AI139" s="364">
        <f t="shared" si="43"/>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660</v>
      </c>
      <c r="F140" s="166">
        <f>IF(C140&lt;&gt;"",_xll.RssMarket(C140,"始値"),"")</f>
        <v>658</v>
      </c>
      <c r="G140" s="165">
        <f>IF(C140&lt;&gt;"",終値!F46,"")</f>
        <v>647</v>
      </c>
      <c r="H140" s="166">
        <f>IF(C140&lt;&gt;"",_xll.RssMarket(C140,"高値"),"")</f>
        <v>675.7</v>
      </c>
      <c r="I140" s="166">
        <f>IF(C140&lt;&gt;"",_xll.RssMarket(C140,"安値"),"")</f>
        <v>655.9</v>
      </c>
      <c r="J140" s="166">
        <f>IF(C140&lt;&gt;"",_xll.RssMarket(C140,"出来高"),"")</f>
        <v>58725600</v>
      </c>
      <c r="K140" s="166">
        <f>IF(C140&lt;&gt;"",_xll.RssMarket(C140,"年初来高値"),"")</f>
        <v>699.8</v>
      </c>
      <c r="L140" s="167">
        <f t="shared" si="34"/>
        <v>-5.6873392397827889</v>
      </c>
      <c r="M140" s="166">
        <f>IF(C140&lt;&gt;"",IFERROR(AVERAGE(出来高!E46:I46),""),"")</f>
        <v>55233000</v>
      </c>
      <c r="N140" s="166">
        <f>IF(C140&lt;&gt;"",IFERROR(AVERAGE(出来高!E46:AC46),""),"")</f>
        <v>39992054.166666664</v>
      </c>
      <c r="O140" s="168">
        <f t="shared" si="35"/>
        <v>1.0632339362337733</v>
      </c>
      <c r="P140" s="163" t="str">
        <f t="shared" si="36"/>
        <v>普通→</v>
      </c>
      <c r="Q140" s="163" t="str">
        <f t="shared" si="37"/>
        <v>中立→</v>
      </c>
      <c r="R140" s="166">
        <f t="shared" si="44"/>
        <v>713</v>
      </c>
      <c r="S140" s="166">
        <f t="shared" si="45"/>
        <v>634</v>
      </c>
      <c r="T140" s="163">
        <f t="shared" si="38"/>
        <v>9</v>
      </c>
      <c r="U140" s="163" t="str">
        <f t="shared" si="46"/>
        <v>要確認</v>
      </c>
      <c r="V140" s="163" t="str">
        <f t="shared" si="39"/>
        <v>高値圏</v>
      </c>
      <c r="W140" s="169">
        <f t="array" ref="W140">IF(C140&lt;&gt;"",IFERROR(100-100/(1+SUMPRODUCT((終値!F46:R46&gt;終値!G46:S46)*( 終値!F46:R46-終値!G46:S46))/SUMPRODUCT((終値!F46:R46&lt;終値!G46:S46)*(終値!G46:S46-終値!F46:R46))),50),"")</f>
        <v>53.212228622064693</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9.7992538976832293</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 t="shared" si="47"/>
        <v>2.009273570324575</v>
      </c>
      <c r="AA140" s="163" t="str">
        <f t="shared" si="48"/>
        <v>上昇▲</v>
      </c>
      <c r="AB140" s="403">
        <f>IF(C140="","",IFERROR(((終値!E142*0.333)+(終値!F142*0.222)+(終値!G142*0.148)+(終値!H142*0.099)+(終値!I142*0.066)+(終値!J142*0.044)+(終値!K142*0.029)+(終値!L142*0.019)+(終値!M142*0.013)+(終値!N142*0.009))/(0.333+0.222+0.148+0.099+0.066+0.044+0.029+0.019+0.013+0.009),""))</f>
        <v>2629.7347250509165</v>
      </c>
      <c r="AC140" s="403">
        <f>IF(C140="","",IFERROR(SUMPRODUCT((終値!E142:AC142),({0.077,0.071,0.065,0.06,0.055,0.051,0.047,0.043,0.039,0.036,0.033,0.031,0.028,0.026,0.024,0.022,0.02,0.018,0.017,0.016,0.014,0.013,0.012,0.011,0.01}))/SUM({0.077,0.071,0.065,0.06,0.055,0.051,0.047,0.043,0.039,0.036,0.033,0.031,0.028,0.026,0.024,0.022,0.02,0.018,0.017,0.016,0.014,0.013,0.012,0.011,0.01}),""))</f>
        <v>2718.7592371871256</v>
      </c>
      <c r="AD140" s="404" t="str">
        <f t="shared" si="40"/>
        <v>下降トレンド▼</v>
      </c>
      <c r="AE140" s="404" t="str">
        <f t="shared" si="41"/>
        <v>なし</v>
      </c>
      <c r="AF140" s="365">
        <f t="array" ref="AF140">IF(C140="","",IFERROR((INDEX(終値!$E:$E,MATCH(TEXT(C140,"0"),終値!$A:$A,0))-INDEX(終値!$E:$CZ,MATCH(TEXT(C140,"0"),終値!$A:$A,0),$AL$2))/INDEX(終値!$E:$CZ,MATCH(TEXT(C140,"0"),終値!$A:$A,0),$AL$2)*100,""))</f>
        <v>18.293352865775496</v>
      </c>
      <c r="AG140" s="365">
        <f t="array" ref="AG140">IFERROR((終値!$E$5-INDEX(終値!$E$5:$CZ$5,1,$AL$2))/INDEX(終値!$E$5:$CZ$5,1,$AL$2)*100,"")</f>
        <v>-0.82558151178043282</v>
      </c>
      <c r="AH140" s="366">
        <f t="shared" si="42"/>
        <v>19.118934377555931</v>
      </c>
      <c r="AI140" s="364">
        <f t="shared" si="43"/>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5895</v>
      </c>
      <c r="F141" s="166">
        <f>IF(C141&lt;&gt;"",_xll.RssMarket(C141,"始値"),"")</f>
        <v>5796</v>
      </c>
      <c r="G141" s="165">
        <f>IF(C141&lt;&gt;"",終値!F17,"")</f>
        <v>5532</v>
      </c>
      <c r="H141" s="166">
        <f>IF(C141&lt;&gt;"",_xll.RssMarket(C141,"高値"),"")</f>
        <v>5915</v>
      </c>
      <c r="I141" s="166">
        <f>IF(C141&lt;&gt;"",_xll.RssMarket(C141,"安値"),"")</f>
        <v>5702</v>
      </c>
      <c r="J141" s="166">
        <f>IF(C141&lt;&gt;"",_xll.RssMarket(C141,"出来高"),"")</f>
        <v>1197100</v>
      </c>
      <c r="K141" s="166">
        <f>IF(C141&lt;&gt;"",_xll.RssMarket(C141,"年初来高値"),"")</f>
        <v>7894</v>
      </c>
      <c r="L141" s="167">
        <f t="shared" si="34"/>
        <v>-25.323030149480619</v>
      </c>
      <c r="M141" s="166">
        <f>IF(C141&lt;&gt;"",IFERROR(AVERAGE(出来高!E17:I17),""),"")</f>
        <v>2618120</v>
      </c>
      <c r="N141" s="166">
        <f>IF(C141&lt;&gt;"",IFERROR(AVERAGE(出来高!E17:AC17),""),"")</f>
        <v>1916144</v>
      </c>
      <c r="O141" s="168">
        <f t="shared" si="35"/>
        <v>0.45723649030602109</v>
      </c>
      <c r="P141" s="163" t="str">
        <f t="shared" si="36"/>
        <v>減少↓</v>
      </c>
      <c r="Q141" s="163" t="str">
        <f t="shared" si="37"/>
        <v>中立→</v>
      </c>
      <c r="R141" s="166">
        <f t="shared" si="44"/>
        <v>6367</v>
      </c>
      <c r="S141" s="166">
        <f t="shared" si="45"/>
        <v>5659</v>
      </c>
      <c r="T141" s="163">
        <f t="shared" si="38"/>
        <v>4</v>
      </c>
      <c r="U141" s="163" t="str">
        <f t="shared" si="46"/>
        <v>要確認</v>
      </c>
      <c r="V141" s="163" t="str">
        <f t="shared" si="39"/>
        <v>通常</v>
      </c>
      <c r="W141" s="169">
        <f t="array" ref="W141">IF(C141&lt;&gt;"",IFERROR(100-100/(1+SUMPRODUCT((終値!F17:R17&gt;終値!G17:S17)*( 終値!F17:R17-終値!G17:S17))/SUMPRODUCT((終値!F17:R17&lt;終値!G17:S17)*(終値!G17:S17-終値!F17:R17))),50),"")</f>
        <v>28.817365269461078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-223.63524174192571</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様子見</v>
      </c>
      <c r="Z141" s="171">
        <f t="shared" si="47"/>
        <v>6.5618221258134488</v>
      </c>
      <c r="AA141" s="163" t="str">
        <f t="shared" si="48"/>
        <v>上昇▲</v>
      </c>
      <c r="AB141" s="405">
        <f>IF(C141="","",IFERROR(((終値!E143*0.333)+(終値!F143*0.222)+(終値!G143*0.148)+(終値!H143*0.099)+(終値!I143*0.066)+(終値!J143*0.044)+(終値!K143*0.029)+(終値!L143*0.019)+(終値!M143*0.013)+(終値!N143*0.009))/(0.333+0.222+0.148+0.099+0.066+0.044+0.029+0.019+0.013+0.009),""))</f>
        <v>1626.5509164969449</v>
      </c>
      <c r="AC141" s="405">
        <f>IF(C141="","",IFERROR(SUMPRODUCT((終値!E143:AC143),({0.077,0.071,0.065,0.06,0.055,0.051,0.047,0.043,0.039,0.036,0.033,0.031,0.028,0.026,0.024,0.022,0.02,0.018,0.017,0.016,0.014,0.013,0.012,0.011,0.01}))/SUM({0.077,0.071,0.065,0.06,0.055,0.051,0.047,0.043,0.039,0.036,0.033,0.031,0.028,0.026,0.024,0.022,0.02,0.018,0.017,0.016,0.014,0.013,0.012,0.011,0.01}),""))</f>
        <v>1650.8653158522045</v>
      </c>
      <c r="AD141" s="406" t="str">
        <f t="shared" si="40"/>
        <v>上昇トレンド▲</v>
      </c>
      <c r="AE141" s="406" t="str">
        <f t="shared" si="41"/>
        <v>なし</v>
      </c>
      <c r="AF141" s="365">
        <f t="array" ref="AF141">IF(C141="","",IFERROR((INDEX(終値!$E:$E,MATCH(TEXT(C141,"0"),終値!$A:$A,0))-INDEX(終値!$E:$CZ,MATCH(TEXT(C141,"0"),終値!$A:$A,0),$AL$2))/INDEX(終値!$E:$CZ,MATCH(TEXT(C141,"0"),終値!$A:$A,0),$AL$2)*100,""))</f>
        <v>-24.700981050934015</v>
      </c>
      <c r="AG141" s="365">
        <f t="array" ref="AG141">IFERROR((終値!$E$5-INDEX(終値!$E$5:$CZ$5,1,$AL$2))/INDEX(終値!$E$5:$CZ$5,1,$AL$2)*100,"")</f>
        <v>-0.82558151178043282</v>
      </c>
      <c r="AH141" s="366">
        <f t="shared" si="42"/>
        <v>-23.875399539153584</v>
      </c>
      <c r="AI141" s="364">
        <f t="shared" si="43"/>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6584</v>
      </c>
      <c r="F142" s="166">
        <f>IF(C142&lt;&gt;"",_xll.RssMarket(C142,"始値"),"")</f>
        <v>6352</v>
      </c>
      <c r="G142" s="165">
        <f>IF(C142&lt;&gt;"",終値!F21,"")</f>
        <v>6171</v>
      </c>
      <c r="H142" s="166">
        <f>IF(C142&lt;&gt;"",_xll.RssMarket(C142,"高値"),"")</f>
        <v>6599</v>
      </c>
      <c r="I142" s="166">
        <f>IF(C142&lt;&gt;"",_xll.RssMarket(C142,"安値"),"")</f>
        <v>6344</v>
      </c>
      <c r="J142" s="166">
        <f>IF(C142&lt;&gt;"",_xll.RssMarket(C142,"出来高"),"")</f>
        <v>783300</v>
      </c>
      <c r="K142" s="166">
        <f>IF(C142&lt;&gt;"",_xll.RssMarket(C142,"年初来高値"),"")</f>
        <v>9500</v>
      </c>
      <c r="L142" s="167">
        <f t="shared" si="34"/>
        <v>-30.694736842105264</v>
      </c>
      <c r="M142" s="166">
        <f>IF(C142&lt;&gt;"",IFERROR(AVERAGE(出来高!E21:I21),""),"")</f>
        <v>2098760</v>
      </c>
      <c r="N142" s="166">
        <f>IF(C142&lt;&gt;"",IFERROR(AVERAGE(出来高!E21:AC21),""),"")</f>
        <v>1366570.8333333333</v>
      </c>
      <c r="O142" s="168">
        <f t="shared" si="35"/>
        <v>0.37322037774686007</v>
      </c>
      <c r="P142" s="163" t="str">
        <f t="shared" si="36"/>
        <v>減少↓</v>
      </c>
      <c r="Q142" s="163" t="str">
        <f t="shared" si="37"/>
        <v>中立→</v>
      </c>
      <c r="R142" s="166">
        <f t="shared" si="44"/>
        <v>7111</v>
      </c>
      <c r="S142" s="166">
        <f t="shared" si="45"/>
        <v>6321</v>
      </c>
      <c r="T142" s="163">
        <f t="shared" si="38"/>
        <v>0</v>
      </c>
      <c r="U142" s="163" t="str">
        <f t="shared" si="46"/>
        <v>除外</v>
      </c>
      <c r="V142" s="163" t="str">
        <f t="shared" si="39"/>
        <v>通常</v>
      </c>
      <c r="W142" s="169">
        <f t="array" ref="W142">IF(C142&lt;&gt;"",IFERROR(100-100/(1+SUMPRODUCT((終値!F21:R21&gt;終値!G21:S21)*( 終値!F21:R21-終値!G21:S21))/SUMPRODUCT((終値!F21:R21&lt;終値!G21:S21)*(終値!G21:S21-終値!F21:R21))),50),"")</f>
        <v>45.152182506070361</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-277.75279116697675</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 t="shared" si="47"/>
        <v>6.6925943931291529</v>
      </c>
      <c r="AA142" s="163" t="str">
        <f t="shared" si="48"/>
        <v>上昇▲</v>
      </c>
      <c r="AB142" s="403">
        <f>IF(C142="","",IFERROR(((終値!E144*0.333)+(終値!F144*0.222)+(終値!G144*0.148)+(終値!H144*0.099)+(終値!I144*0.066)+(終値!J144*0.044)+(終値!K144*0.029)+(終値!L144*0.019)+(終値!M144*0.013)+(終値!N144*0.009))/(0.333+0.222+0.148+0.099+0.066+0.044+0.029+0.019+0.013+0.009),""))</f>
        <v>17530.315682281056</v>
      </c>
      <c r="AC142" s="403">
        <f>IF(C142="","",IFERROR(SUMPRODUCT((終値!E144:AC144),({0.077,0.071,0.065,0.06,0.055,0.051,0.047,0.043,0.039,0.036,0.033,0.031,0.028,0.026,0.024,0.022,0.02,0.018,0.017,0.016,0.014,0.013,0.012,0.011,0.01}))/SUM({0.077,0.071,0.065,0.06,0.055,0.051,0.047,0.043,0.039,0.036,0.033,0.031,0.028,0.026,0.024,0.022,0.02,0.018,0.017,0.016,0.014,0.013,0.012,0.011,0.01}),""))</f>
        <v>18007.640047675799</v>
      </c>
      <c r="AD142" s="404" t="str">
        <f t="shared" si="40"/>
        <v>下降トレンド▼</v>
      </c>
      <c r="AE142" s="404" t="str">
        <f t="shared" si="41"/>
        <v>なし</v>
      </c>
      <c r="AF142" s="365">
        <f t="array" ref="AF142">IF(C142="","",IFERROR((INDEX(終値!$E:$E,MATCH(TEXT(C142,"0"),終値!$A:$A,0))-INDEX(終値!$E:$CZ,MATCH(TEXT(C142,"0"),終値!$A:$A,0),$AL$2))/INDEX(終値!$E:$CZ,MATCH(TEXT(C142,"0"),終値!$A:$A,0),$AL$2)*100,""))</f>
        <v>-25.853945818610129</v>
      </c>
      <c r="AG142" s="365">
        <f t="array" ref="AG142">IFERROR((終値!$E$5-INDEX(終値!$E$5:$CZ$5,1,$AL$2))/INDEX(終値!$E$5:$CZ$5,1,$AL$2)*100,"")</f>
        <v>-0.82558151178043282</v>
      </c>
      <c r="AH142" s="366">
        <f t="shared" si="42"/>
        <v>-25.028364306829694</v>
      </c>
      <c r="AI142" s="364">
        <f t="shared" si="43"/>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2269</v>
      </c>
      <c r="F143" s="166">
        <f>IF(C143&lt;&gt;"",_xll.RssMarket(C143,"始値"),"")</f>
        <v>2182</v>
      </c>
      <c r="G143" s="165">
        <f>IF(C143&lt;&gt;"",終値!F193,"")</f>
        <v>1984</v>
      </c>
      <c r="H143" s="166">
        <f>IF(C143&lt;&gt;"",_xll.RssMarket(C143,"高値"),"")</f>
        <v>2310</v>
      </c>
      <c r="I143" s="166">
        <f>IF(C143&lt;&gt;"",_xll.RssMarket(C143,"安値"),"")</f>
        <v>2160</v>
      </c>
      <c r="J143" s="166">
        <f>IF(C143&lt;&gt;"",_xll.RssMarket(C143,"出来高"),"")</f>
        <v>296700</v>
      </c>
      <c r="K143" s="166">
        <f>IF(C143&lt;&gt;"",_xll.RssMarket(C143,"年初来高値"),"")</f>
        <v>3405</v>
      </c>
      <c r="L143" s="167">
        <f t="shared" si="34"/>
        <v>-33.362701908957412</v>
      </c>
      <c r="M143" s="166">
        <f>IF(C143&lt;&gt;"",IFERROR(AVERAGE(出来高!E193:I193),""),"")</f>
        <v>328220</v>
      </c>
      <c r="N143" s="166">
        <f>IF(C143&lt;&gt;"",IFERROR(AVERAGE(出来高!E193:AC193),""),"")</f>
        <v>608916</v>
      </c>
      <c r="O143" s="168">
        <f t="shared" si="35"/>
        <v>0.90396685150204137</v>
      </c>
      <c r="P143" s="163" t="str">
        <f t="shared" si="36"/>
        <v>減少↓</v>
      </c>
      <c r="Q143" s="163" t="str">
        <f t="shared" si="37"/>
        <v>中立→</v>
      </c>
      <c r="R143" s="166">
        <f t="shared" si="44"/>
        <v>2451</v>
      </c>
      <c r="S143" s="166">
        <f t="shared" si="45"/>
        <v>2178</v>
      </c>
      <c r="T143" s="163">
        <f t="shared" si="38"/>
        <v>5</v>
      </c>
      <c r="U143" s="163" t="str">
        <f t="shared" si="46"/>
        <v>要確認</v>
      </c>
      <c r="V143" s="163" t="str">
        <f t="shared" si="39"/>
        <v>通常</v>
      </c>
      <c r="W143" s="169">
        <f t="array" ref="W143">IF(C143&lt;&gt;"",IFERROR(100-100/(1+SUMPRODUCT((終値!F193:R193&gt;終値!G193:S193)*( 終値!F193:R193-終値!G193:S193))/SUMPRODUCT((終値!F193:R193&lt;終値!G193:S193)*(終値!G193:S193-終値!F193:R193))),50),"")</f>
        <v>43.0045871559633</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-6.6071808118949775</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様子見</v>
      </c>
      <c r="Z143" s="171">
        <f t="shared" si="47"/>
        <v>14.36491935483871</v>
      </c>
      <c r="AA143" s="163" t="str">
        <f t="shared" si="48"/>
        <v>上昇▲</v>
      </c>
      <c r="AB143" s="405">
        <f>IF(C143="","",IFERROR(((終値!E145*0.333)+(終値!F145*0.222)+(終値!G145*0.148)+(終値!H145*0.099)+(終値!I145*0.066)+(終値!J145*0.044)+(終値!K145*0.029)+(終値!L145*0.019)+(終値!M145*0.013)+(終値!N145*0.009))/(0.333+0.222+0.148+0.099+0.066+0.044+0.029+0.019+0.013+0.009),""))</f>
        <v>21132.189409368631</v>
      </c>
      <c r="AC143" s="405">
        <f>IF(C143="","",IFERROR(SUMPRODUCT((終値!E145:AC145),({0.077,0.071,0.065,0.06,0.055,0.051,0.047,0.043,0.039,0.036,0.033,0.031,0.028,0.026,0.024,0.022,0.02,0.018,0.017,0.016,0.014,0.013,0.012,0.011,0.01}))/SUM({0.077,0.071,0.065,0.06,0.055,0.051,0.047,0.043,0.039,0.036,0.033,0.031,0.028,0.026,0.024,0.022,0.02,0.018,0.017,0.016,0.014,0.013,0.012,0.011,0.01}),""))</f>
        <v>23126.102502979727</v>
      </c>
      <c r="AD143" s="406" t="str">
        <f t="shared" si="40"/>
        <v>下降トレンド▼</v>
      </c>
      <c r="AE143" s="406" t="str">
        <f t="shared" si="41"/>
        <v>なし</v>
      </c>
      <c r="AF143" s="365">
        <f t="array" ref="AF143">IF(C143="","",IFERROR((INDEX(終値!$E:$E,MATCH(TEXT(C143,"0"),終値!$A:$A,0))-INDEX(終値!$E:$CZ,MATCH(TEXT(C143,"0"),終値!$A:$A,0),$AL$2))/INDEX(終値!$E:$CZ,MATCH(TEXT(C143,"0"),終値!$A:$A,0),$AL$2)*100,""))</f>
        <v>17.410228509249183</v>
      </c>
      <c r="AG143" s="365">
        <f t="array" ref="AG143">IFERROR((終値!$E$5-INDEX(終値!$E$5:$CZ$5,1,$AL$2))/INDEX(終値!$E$5:$CZ$5,1,$AL$2)*100,"")</f>
        <v>-0.82558151178043282</v>
      </c>
      <c r="AH143" s="366">
        <f t="shared" si="42"/>
        <v>18.235810021029614</v>
      </c>
      <c r="AI143" s="364">
        <f t="shared" si="43"/>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4076</v>
      </c>
      <c r="F144" s="166">
        <f>IF(C144&lt;&gt;"",_xll.RssMarket(C144,"始値"),"")</f>
        <v>4058</v>
      </c>
      <c r="G144" s="165">
        <f>IF(C144&lt;&gt;"",終値!F34,"")</f>
        <v>3959</v>
      </c>
      <c r="H144" s="166">
        <f>IF(C144&lt;&gt;"",_xll.RssMarket(C144,"高値"),"")</f>
        <v>4126</v>
      </c>
      <c r="I144" s="166">
        <f>IF(C144&lt;&gt;"",_xll.RssMarket(C144,"安値"),"")</f>
        <v>4026</v>
      </c>
      <c r="J144" s="166">
        <f>IF(C144&lt;&gt;"",_xll.RssMarket(C144,"出来高"),"")</f>
        <v>206100</v>
      </c>
      <c r="K144" s="166">
        <f>IF(C144&lt;&gt;"",_xll.RssMarket(C144,"年初来高値"),"")</f>
        <v>4968</v>
      </c>
      <c r="L144" s="167">
        <f t="shared" si="34"/>
        <v>-17.954911433172303</v>
      </c>
      <c r="M144" s="166">
        <f>IF(C144&lt;&gt;"",IFERROR(AVERAGE(出来高!E34:I34),""),"")</f>
        <v>670420</v>
      </c>
      <c r="N144" s="166">
        <f>IF(C144&lt;&gt;"",IFERROR(AVERAGE(出来高!E34:AC34),""),"")</f>
        <v>612484</v>
      </c>
      <c r="O144" s="168">
        <f t="shared" si="35"/>
        <v>0.30741922973658303</v>
      </c>
      <c r="P144" s="163" t="str">
        <f t="shared" si="36"/>
        <v>減少↓</v>
      </c>
      <c r="Q144" s="163" t="str">
        <f t="shared" si="37"/>
        <v>中立→</v>
      </c>
      <c r="R144" s="166">
        <f t="shared" si="44"/>
        <v>4402</v>
      </c>
      <c r="S144" s="166">
        <f t="shared" si="45"/>
        <v>3913</v>
      </c>
      <c r="T144" s="163">
        <f t="shared" si="38"/>
        <v>4</v>
      </c>
      <c r="U144" s="163" t="str">
        <f t="shared" si="46"/>
        <v>要確認</v>
      </c>
      <c r="V144" s="163" t="str">
        <f t="shared" si="39"/>
        <v>通常</v>
      </c>
      <c r="W144" s="169">
        <f t="array" ref="W144">IF(C144&lt;&gt;"",IFERROR(100-100/(1+SUMPRODUCT((終値!F34:R34&gt;終値!G34:S34)*( 終値!F34:R34-終値!G34:S34))/SUMPRODUCT((終値!F34:R34&lt;終値!G34:S34)*(終値!G34:S34-終値!F34:R34))),50),"")</f>
        <v>54.945054945054949</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17.598877960828304</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様子見</v>
      </c>
      <c r="Z144" s="171">
        <f t="shared" si="47"/>
        <v>2.9552917403384691</v>
      </c>
      <c r="AA144" s="163" t="str">
        <f t="shared" si="48"/>
        <v>上昇▲</v>
      </c>
      <c r="AB144" s="403">
        <f>IF(C144="","",IFERROR(((終値!E146*0.333)+(終値!F146*0.222)+(終値!G146*0.148)+(終値!H146*0.099)+(終値!I146*0.066)+(終値!J146*0.044)+(終値!K146*0.029)+(終値!L146*0.019)+(終値!M146*0.013)+(終値!N146*0.009))/(0.333+0.222+0.148+0.099+0.066+0.044+0.029+0.019+0.013+0.009),""))</f>
        <v>309.96435845213847</v>
      </c>
      <c r="AC144" s="403">
        <f>IF(C144="","",IFERROR(SUMPRODUCT((終値!E146:AC146),({0.077,0.071,0.065,0.06,0.055,0.051,0.047,0.043,0.039,0.036,0.033,0.031,0.028,0.026,0.024,0.022,0.02,0.018,0.017,0.016,0.014,0.013,0.012,0.011,0.01}))/SUM({0.077,0.071,0.065,0.06,0.055,0.051,0.047,0.043,0.039,0.036,0.033,0.031,0.028,0.026,0.024,0.022,0.02,0.018,0.017,0.016,0.014,0.013,0.012,0.011,0.01}),""))</f>
        <v>310.26221692491049</v>
      </c>
      <c r="AD144" s="404" t="str">
        <f t="shared" si="40"/>
        <v>上昇トレンド▲</v>
      </c>
      <c r="AE144" s="404" t="str">
        <f t="shared" si="41"/>
        <v>なし</v>
      </c>
      <c r="AF144" s="365">
        <f t="array" ref="AF144">IF(C144="","",IFERROR((INDEX(終値!$E:$E,MATCH(TEXT(C144,"0"),終値!$A:$A,0))-INDEX(終値!$E:$CZ,MATCH(TEXT(C144,"0"),終値!$A:$A,0),$AL$2))/INDEX(終値!$E:$CZ,MATCH(TEXT(C144,"0"),終値!$A:$A,0),$AL$2)*100,""))</f>
        <v>-1.2833168805528135</v>
      </c>
      <c r="AG144" s="365">
        <f t="array" ref="AG144">IFERROR((終値!$E$5-INDEX(終値!$E$5:$CZ$5,1,$AL$2))/INDEX(終値!$E$5:$CZ$5,1,$AL$2)*100,"")</f>
        <v>-0.82558151178043282</v>
      </c>
      <c r="AH144" s="366">
        <f t="shared" si="42"/>
        <v>-0.45773536877238064</v>
      </c>
      <c r="AI144" s="364">
        <f t="shared" si="43"/>
        <v>-1</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5781</v>
      </c>
      <c r="F145" s="166">
        <f>IF(C145&lt;&gt;"",_xll.RssMarket(C145,"始値"),"")</f>
        <v>5634</v>
      </c>
      <c r="G145" s="165">
        <f>IF(C145&lt;&gt;"",終値!F53,"")</f>
        <v>6063</v>
      </c>
      <c r="H145" s="166">
        <f>IF(C145&lt;&gt;"",_xll.RssMarket(C145,"高値"),"")</f>
        <v>5821</v>
      </c>
      <c r="I145" s="166">
        <f>IF(C145&lt;&gt;"",_xll.RssMarket(C145,"安値"),"")</f>
        <v>5611</v>
      </c>
      <c r="J145" s="166">
        <f>IF(C145&lt;&gt;"",_xll.RssMarket(C145,"出来高"),"")</f>
        <v>2097000</v>
      </c>
      <c r="K145" s="166">
        <f>IF(C145&lt;&gt;"",_xll.RssMarket(C145,"年初来高値"),"")</f>
        <v>8315</v>
      </c>
      <c r="L145" s="167">
        <f t="shared" si="34"/>
        <v>-30.475045099218278</v>
      </c>
      <c r="M145" s="166">
        <f>IF(C145&lt;&gt;"",IFERROR(AVERAGE(出来高!E53:I53),""),"")</f>
        <v>2716380</v>
      </c>
      <c r="N145" s="166">
        <f>IF(C145&lt;&gt;"",IFERROR(AVERAGE(出来高!E53:AC53),""),"")</f>
        <v>1524196</v>
      </c>
      <c r="O145" s="168">
        <f t="shared" si="35"/>
        <v>0.77198330130541382</v>
      </c>
      <c r="P145" s="163" t="str">
        <f t="shared" si="36"/>
        <v>減少↓</v>
      </c>
      <c r="Q145" s="163" t="str">
        <f t="shared" si="37"/>
        <v>様子見▼</v>
      </c>
      <c r="R145" s="166">
        <f t="shared" si="44"/>
        <v>6243</v>
      </c>
      <c r="S145" s="166">
        <f t="shared" si="45"/>
        <v>5550</v>
      </c>
      <c r="T145" s="163">
        <f t="shared" si="38"/>
        <v>-1</v>
      </c>
      <c r="U145" s="163" t="str">
        <f t="shared" si="46"/>
        <v>除外</v>
      </c>
      <c r="V145" s="163" t="str">
        <f t="shared" si="39"/>
        <v>通常</v>
      </c>
      <c r="W145" s="169">
        <f t="array" ref="W145">IF(C145&lt;&gt;"",IFERROR(100-100/(1+SUMPRODUCT((終値!F53:R53&gt;終値!G53:S53)*( 終値!F53:R53-終値!G53:S53))/SUMPRODUCT((終値!F53:R53&lt;終値!G53:S53)*(終値!G53:S53-終値!F53:R53))),50),"")</f>
        <v>40.156918687589162</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-90.322443967692379</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 t="shared" si="47"/>
        <v>-4.6511627906976747</v>
      </c>
      <c r="AA145" s="163" t="str">
        <f t="shared" si="48"/>
        <v>下落▼</v>
      </c>
      <c r="AB145" s="405">
        <f>IF(C145="","",IFERROR(((終値!E147*0.333)+(終値!F147*0.222)+(終値!G147*0.148)+(終値!H147*0.099)+(終値!I147*0.066)+(終値!J147*0.044)+(終値!K147*0.029)+(終値!L147*0.019)+(終値!M147*0.013)+(終値!N147*0.009))/(0.333+0.222+0.148+0.099+0.066+0.044+0.029+0.019+0.013+0.009),""))</f>
        <v>8515.5193482688373</v>
      </c>
      <c r="AC145" s="405">
        <f>IF(C145="","",IFERROR(SUMPRODUCT((終値!E147:AC147),({0.077,0.071,0.065,0.06,0.055,0.051,0.047,0.043,0.039,0.036,0.033,0.031,0.028,0.026,0.024,0.022,0.02,0.018,0.017,0.016,0.014,0.013,0.012,0.011,0.01}))/SUM({0.077,0.071,0.065,0.06,0.055,0.051,0.047,0.043,0.039,0.036,0.033,0.031,0.028,0.026,0.024,0.022,0.02,0.018,0.017,0.016,0.014,0.013,0.012,0.011,0.01}),""))</f>
        <v>9455.2800953516089</v>
      </c>
      <c r="AD145" s="406" t="str">
        <f t="shared" si="40"/>
        <v>下降トレンド▼</v>
      </c>
      <c r="AE145" s="406" t="str">
        <f t="shared" si="41"/>
        <v>なし</v>
      </c>
      <c r="AF145" s="365">
        <f t="array" ref="AF145">IF(C145="","",IFERROR((INDEX(終値!$E:$E,MATCH(TEXT(C145,"0"),終値!$A:$A,0))-INDEX(終値!$E:$CZ,MATCH(TEXT(C145,"0"),終値!$A:$A,0),$AL$2))/INDEX(終値!$E:$CZ,MATCH(TEXT(C145,"0"),終値!$A:$A,0),$AL$2)*100,""))</f>
        <v>-19.221868672259184</v>
      </c>
      <c r="AG145" s="365">
        <f t="array" ref="AG145">IFERROR((終値!$E$5-INDEX(終値!$E$5:$CZ$5,1,$AL$2))/INDEX(終値!$E$5:$CZ$5,1,$AL$2)*100,"")</f>
        <v>-0.82558151178043282</v>
      </c>
      <c r="AH145" s="366">
        <f t="shared" si="42"/>
        <v>-18.396287160478749</v>
      </c>
      <c r="AI145" s="364">
        <f t="shared" si="43"/>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3762</v>
      </c>
      <c r="F146" s="166">
        <f>IF(C146&lt;&gt;"",_xll.RssMarket(C146,"始値"),"")</f>
        <v>3790</v>
      </c>
      <c r="G146" s="165">
        <f>IF(C146&lt;&gt;"",終値!F15,"")</f>
        <v>3836</v>
      </c>
      <c r="H146" s="166">
        <f>IF(C146&lt;&gt;"",_xll.RssMarket(C146,"高値"),"")</f>
        <v>3828</v>
      </c>
      <c r="I146" s="166">
        <f>IF(C146&lt;&gt;"",_xll.RssMarket(C146,"安値"),"")</f>
        <v>3755</v>
      </c>
      <c r="J146" s="166">
        <f>IF(C146&lt;&gt;"",_xll.RssMarket(C146,"出来高"),"")</f>
        <v>167200</v>
      </c>
      <c r="K146" s="166">
        <f>IF(C146&lt;&gt;"",_xll.RssMarket(C146,"年初来高値"),"")</f>
        <v>5034</v>
      </c>
      <c r="L146" s="167">
        <f t="shared" si="34"/>
        <v>-25.268176400476762</v>
      </c>
      <c r="M146" s="166">
        <f>IF(C146&lt;&gt;"",IFERROR(AVERAGE(出来高!E15:I15),""),"")</f>
        <v>591960</v>
      </c>
      <c r="N146" s="166">
        <f>IF(C146&lt;&gt;"",IFERROR(AVERAGE(出来高!E15:AC15),""),"")</f>
        <v>628300</v>
      </c>
      <c r="O146" s="168">
        <f t="shared" si="35"/>
        <v>0.28245151699439153</v>
      </c>
      <c r="P146" s="163" t="str">
        <f t="shared" si="36"/>
        <v>減少↓</v>
      </c>
      <c r="Q146" s="163" t="str">
        <f t="shared" si="37"/>
        <v>様子見▼</v>
      </c>
      <c r="R146" s="166">
        <f t="shared" si="44"/>
        <v>4063</v>
      </c>
      <c r="S146" s="166">
        <f t="shared" si="45"/>
        <v>3612</v>
      </c>
      <c r="T146" s="163">
        <f t="shared" si="38"/>
        <v>5</v>
      </c>
      <c r="U146" s="163" t="str">
        <f t="shared" si="46"/>
        <v>要確認</v>
      </c>
      <c r="V146" s="163" t="str">
        <f t="shared" si="39"/>
        <v>通常</v>
      </c>
      <c r="W146" s="169">
        <f t="array" ref="W146">IF(C146&lt;&gt;"",IFERROR(100-100/(1+SUMPRODUCT((終値!F15:R15&gt;終値!G15:S15)*( 終値!F15:R15-終値!G15:S15))/SUMPRODUCT((終値!F15:R15&lt;終値!G15:S15)*(終値!G15:S15-終値!F15:R15))),50),"")</f>
        <v>49.261083743842363</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6.3507934675749311</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 t="shared" si="47"/>
        <v>-1.9290928050052139</v>
      </c>
      <c r="AA146" s="163" t="str">
        <f t="shared" si="48"/>
        <v>下落▼</v>
      </c>
      <c r="AB146" s="403">
        <f>IF(C146="","",IFERROR(((終値!E148*0.333)+(終値!F148*0.222)+(終値!G148*0.148)+(終値!H148*0.099)+(終値!I148*0.066)+(終値!J148*0.044)+(終値!K148*0.029)+(終値!L148*0.019)+(終値!M148*0.013)+(終値!N148*0.009))/(0.333+0.222+0.148+0.099+0.066+0.044+0.029+0.019+0.013+0.009),""))</f>
        <v>1360.9052953156818</v>
      </c>
      <c r="AC146" s="403">
        <f>IF(C146="","",IFERROR(SUMPRODUCT((終値!E148:AC148),({0.077,0.071,0.065,0.06,0.055,0.051,0.047,0.043,0.039,0.036,0.033,0.031,0.028,0.026,0.024,0.022,0.02,0.018,0.017,0.016,0.014,0.013,0.012,0.011,0.01}))/SUM({0.077,0.071,0.065,0.06,0.055,0.051,0.047,0.043,0.039,0.036,0.033,0.031,0.028,0.026,0.024,0.022,0.02,0.018,0.017,0.016,0.014,0.013,0.012,0.011,0.01}),""))</f>
        <v>1405.5959475566149</v>
      </c>
      <c r="AD146" s="404" t="str">
        <f t="shared" si="40"/>
        <v>上昇トレンド▲</v>
      </c>
      <c r="AE146" s="404" t="str">
        <f t="shared" si="41"/>
        <v>なし</v>
      </c>
      <c r="AF146" s="365">
        <f t="array" ref="AF146">IF(C146="","",IFERROR((INDEX(終値!$E:$E,MATCH(TEXT(C146,"0"),終値!$A:$A,0))-INDEX(終値!$E:$CZ,MATCH(TEXT(C146,"0"),終値!$A:$A,0),$AL$2))/INDEX(終値!$E:$CZ,MATCH(TEXT(C146,"0"),終値!$A:$A,0),$AL$2)*100,""))</f>
        <v>0.29139072847682118</v>
      </c>
      <c r="AG146" s="365">
        <f t="array" ref="AG146">IFERROR((終値!$E$5-INDEX(終値!$E$5:$CZ$5,1,$AL$2))/INDEX(終値!$E$5:$CZ$5,1,$AL$2)*100,"")</f>
        <v>-0.82558151178043282</v>
      </c>
      <c r="AH146" s="366">
        <f t="shared" si="42"/>
        <v>1.1169722402572539</v>
      </c>
      <c r="AI146" s="364">
        <f t="shared" si="43"/>
        <v>1</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1283.5</v>
      </c>
      <c r="F147" s="166">
        <f>IF(C147&lt;&gt;"",_xll.RssMarket(C147,"始値"),"")</f>
        <v>1279</v>
      </c>
      <c r="G147" s="165">
        <f>IF(C147&lt;&gt;"",終値!F29,"")</f>
        <v>1294</v>
      </c>
      <c r="H147" s="166">
        <f>IF(C147&lt;&gt;"",_xll.RssMarket(C147,"高値"),"")</f>
        <v>1301</v>
      </c>
      <c r="I147" s="166">
        <f>IF(C147&lt;&gt;"",_xll.RssMarket(C147,"安値"),"")</f>
        <v>1273.5</v>
      </c>
      <c r="J147" s="166">
        <f>IF(C147&lt;&gt;"",_xll.RssMarket(C147,"出来高"),"")</f>
        <v>3076900</v>
      </c>
      <c r="K147" s="166">
        <f>IF(C147&lt;&gt;"",_xll.RssMarket(C147,"年初来高値"),"")</f>
        <v>1552.5</v>
      </c>
      <c r="L147" s="167">
        <f t="shared" si="34"/>
        <v>-17.326892109500804</v>
      </c>
      <c r="M147" s="166">
        <f>IF(C147&lt;&gt;"",IFERROR(AVERAGE(出来高!E29:I29),""),"")</f>
        <v>7319460</v>
      </c>
      <c r="N147" s="166">
        <f>IF(C147&lt;&gt;"",IFERROR(AVERAGE(出来高!E29:AC29),""),"")</f>
        <v>6895984</v>
      </c>
      <c r="O147" s="168">
        <f t="shared" si="35"/>
        <v>0.42037254114374556</v>
      </c>
      <c r="P147" s="163" t="str">
        <f t="shared" si="36"/>
        <v>減少↓</v>
      </c>
      <c r="Q147" s="163" t="str">
        <f t="shared" si="37"/>
        <v>様子見▼</v>
      </c>
      <c r="R147" s="166">
        <f t="shared" si="44"/>
        <v>1386</v>
      </c>
      <c r="S147" s="166">
        <f t="shared" si="45"/>
        <v>1232</v>
      </c>
      <c r="T147" s="163">
        <f t="shared" si="38"/>
        <v>0</v>
      </c>
      <c r="U147" s="163" t="str">
        <f t="shared" si="46"/>
        <v>除外</v>
      </c>
      <c r="V147" s="163" t="str">
        <f t="shared" si="39"/>
        <v>通常</v>
      </c>
      <c r="W147" s="169">
        <f t="array" ref="W147">IF(C147&lt;&gt;"",IFERROR(100-100/(1+SUMPRODUCT((終値!F29:R29&gt;終値!G29:S29)*( 終値!F29:R29-終値!G29:S29))/SUMPRODUCT((終値!F29:R29&lt;終値!G29:S29)*(終値!G29:S29-終値!F29:R29))),50),"")</f>
        <v>56.869565217391305</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8.4842749334304699</v>
      </c>
      <c r="Y147" s="1" t="e">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#DIV/0!</v>
      </c>
      <c r="Z147" s="171">
        <f t="shared" si="47"/>
        <v>-0.81143740340030912</v>
      </c>
      <c r="AA147" s="163" t="str">
        <f t="shared" si="48"/>
        <v>下落▼</v>
      </c>
      <c r="AB147" s="405">
        <f>IF(C147="","",IFERROR(((終値!E149*0.333)+(終値!F149*0.222)+(終値!G149*0.148)+(終値!H149*0.099)+(終値!I149*0.066)+(終値!J149*0.044)+(終値!K149*0.029)+(終値!L149*0.019)+(終値!M149*0.013)+(終値!N149*0.009))/(0.333+0.222+0.148+0.099+0.066+0.044+0.029+0.019+0.013+0.009),""))</f>
        <v>0</v>
      </c>
      <c r="AC147" s="405">
        <f>IF(C147="","",IFERROR(SUMPRODUCT((終値!E149:AC149),({0.077,0.071,0.065,0.06,0.055,0.051,0.047,0.043,0.039,0.036,0.033,0.031,0.028,0.026,0.024,0.022,0.02,0.018,0.017,0.016,0.014,0.013,0.012,0.011,0.01}))/SUM({0.077,0.071,0.065,0.06,0.055,0.051,0.047,0.043,0.039,0.036,0.033,0.031,0.028,0.026,0.024,0.022,0.02,0.018,0.017,0.016,0.014,0.013,0.012,0.011,0.01}),""))</f>
        <v>0</v>
      </c>
      <c r="AD147" s="406" t="str">
        <f t="shared" si="40"/>
        <v>上昇トレンド▲</v>
      </c>
      <c r="AE147" s="406" t="e">
        <f t="shared" si="41"/>
        <v>#DIV/0!</v>
      </c>
      <c r="AF147" s="365">
        <f t="array" ref="AF147">IF(C147="","",IFERROR((INDEX(終値!$E:$E,MATCH(TEXT(C147,"0"),終値!$A:$A,0))-INDEX(終値!$E:$CZ,MATCH(TEXT(C147,"0"),終値!$A:$A,0),$AL$2))/INDEX(終値!$E:$CZ,MATCH(TEXT(C147,"0"),終値!$A:$A,0),$AL$2)*100,""))</f>
        <v>6.791666666666667</v>
      </c>
      <c r="AG147" s="365">
        <f t="array" ref="AG147">IFERROR((終値!$E$5-INDEX(終値!$E$5:$CZ$5,1,$AL$2))/INDEX(終値!$E$5:$CZ$5,1,$AL$2)*100,"")</f>
        <v>-0.82558151178043282</v>
      </c>
      <c r="AH147" s="366">
        <f t="shared" si="42"/>
        <v>7.6172481784470998</v>
      </c>
      <c r="AI147" s="364">
        <f t="shared" si="43"/>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1239.5</v>
      </c>
      <c r="F148" s="166">
        <f>IF(C148&lt;&gt;"",_xll.RssMarket(C148,"始値"),"")</f>
        <v>1244.5</v>
      </c>
      <c r="G148" s="165">
        <f>IF(C148&lt;&gt;"",終値!F24,"")</f>
        <v>1267</v>
      </c>
      <c r="H148" s="166">
        <f>IF(C148&lt;&gt;"",_xll.RssMarket(C148,"高値"),"")</f>
        <v>1255</v>
      </c>
      <c r="I148" s="166">
        <f>IF(C148&lt;&gt;"",_xll.RssMarket(C148,"安値"),"")</f>
        <v>1231</v>
      </c>
      <c r="J148" s="166">
        <f>IF(C148&lt;&gt;"",_xll.RssMarket(C148,"出来高"),"")</f>
        <v>2064000</v>
      </c>
      <c r="K148" s="166">
        <f>IF(C148&lt;&gt;"",_xll.RssMarket(C148,"年初来高値"),"")</f>
        <v>1671</v>
      </c>
      <c r="L148" s="167">
        <f t="shared" si="34"/>
        <v>-25.822860562537404</v>
      </c>
      <c r="M148" s="166">
        <f>IF(C148&lt;&gt;"",IFERROR(AVERAGE(出来高!E24:I24),""),"")</f>
        <v>3357980</v>
      </c>
      <c r="N148" s="166">
        <f>IF(C148&lt;&gt;"",IFERROR(AVERAGE(出来高!E24:AC24),""),"")</f>
        <v>3672116</v>
      </c>
      <c r="O148" s="168">
        <f t="shared" si="35"/>
        <v>0.61465523916163889</v>
      </c>
      <c r="P148" s="163" t="str">
        <f t="shared" si="36"/>
        <v>減少↓</v>
      </c>
      <c r="Q148" s="163" t="str">
        <f t="shared" si="37"/>
        <v>様子見▼</v>
      </c>
      <c r="R148" s="166">
        <f t="shared" si="44"/>
        <v>1339</v>
      </c>
      <c r="S148" s="166">
        <f t="shared" si="45"/>
        <v>1190</v>
      </c>
      <c r="T148" s="163">
        <f t="shared" si="38"/>
        <v>3</v>
      </c>
      <c r="U148" s="163" t="str">
        <f t="shared" si="46"/>
        <v>要確認</v>
      </c>
      <c r="V148" s="163" t="str">
        <f t="shared" si="39"/>
        <v>通常</v>
      </c>
      <c r="W148" s="169">
        <f t="array" ref="W148">IF(C148&lt;&gt;"",IFERROR(100-100/(1+SUMPRODUCT((終値!F24:R24&gt;終値!G24:S24)*( 終値!F24:R24-終値!G24:S24))/SUMPRODUCT((終値!F24:R24&lt;終値!G24:S24)*(終値!G24:S24-終値!F24:R24))),50),"")</f>
        <v>53.889943074003796</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7.5642545544289987</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様子見</v>
      </c>
      <c r="Z148" s="171">
        <f t="shared" si="47"/>
        <v>-2.1704814522494082</v>
      </c>
      <c r="AA148" s="163" t="str">
        <f t="shared" si="48"/>
        <v>下落▼</v>
      </c>
      <c r="AB148" s="403">
        <f>IF(C148="","",IFERROR(((終値!E150*0.333)+(終値!F150*0.222)+(終値!G150*0.148)+(終値!H150*0.099)+(終値!I150*0.066)+(終値!J150*0.044)+(終値!K150*0.029)+(終値!L150*0.019)+(終値!M150*0.013)+(終値!N150*0.009))/(0.333+0.222+0.148+0.099+0.066+0.044+0.029+0.019+0.013+0.009),""))</f>
        <v>4866.8696537678197</v>
      </c>
      <c r="AC148" s="403">
        <f>IF(C148="","",IFERROR(SUMPRODUCT((終値!E150:AC150),({0.077,0.071,0.065,0.06,0.055,0.051,0.047,0.043,0.039,0.036,0.033,0.031,0.028,0.026,0.024,0.022,0.02,0.018,0.017,0.016,0.014,0.013,0.012,0.011,0.01}))/SUM({0.077,0.071,0.065,0.06,0.055,0.051,0.047,0.043,0.039,0.036,0.033,0.031,0.028,0.026,0.024,0.022,0.02,0.018,0.017,0.016,0.014,0.013,0.012,0.011,0.01}),""))</f>
        <v>5005.3873659117971</v>
      </c>
      <c r="AD148" s="404" t="str">
        <f t="shared" si="40"/>
        <v>下降トレンド▼</v>
      </c>
      <c r="AE148" s="404" t="str">
        <f t="shared" si="41"/>
        <v>なし</v>
      </c>
      <c r="AF148" s="365">
        <f t="array" ref="AF148">IF(C148="","",IFERROR((INDEX(終値!$E:$E,MATCH(TEXT(C148,"0"),終値!$A:$A,0))-INDEX(終値!$E:$CZ,MATCH(TEXT(C148,"0"),終値!$A:$A,0),$AL$2))/INDEX(終値!$E:$CZ,MATCH(TEXT(C148,"0"),終値!$A:$A,0),$AL$2)*100,""))</f>
        <v>3.5640281806879406</v>
      </c>
      <c r="AG148" s="365">
        <f t="array" ref="AG148">IFERROR((終値!$E$5-INDEX(終値!$E$5:$CZ$5,1,$AL$2))/INDEX(終値!$E$5:$CZ$5,1,$AL$2)*100,"")</f>
        <v>-0.82558151178043282</v>
      </c>
      <c r="AH148" s="366">
        <f t="shared" si="42"/>
        <v>4.3896096924683734</v>
      </c>
      <c r="AI148" s="364">
        <f t="shared" si="43"/>
        <v>1</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3333</v>
      </c>
      <c r="F149" s="166">
        <f>IF(C149&lt;&gt;"",_xll.RssMarket(C149,"始値"),"")</f>
        <v>3271</v>
      </c>
      <c r="G149" s="165">
        <f>IF(C149&lt;&gt;"",終値!F69,"")</f>
        <v>3300</v>
      </c>
      <c r="H149" s="166">
        <f>IF(C149&lt;&gt;"",_xll.RssMarket(C149,"高値"),"")</f>
        <v>3347</v>
      </c>
      <c r="I149" s="166">
        <f>IF(C149&lt;&gt;"",_xll.RssMarket(C149,"安値"),"")</f>
        <v>3170</v>
      </c>
      <c r="J149" s="166">
        <f>IF(C149&lt;&gt;"",_xll.RssMarket(C149,"出来高"),"")</f>
        <v>3426300</v>
      </c>
      <c r="K149" s="166">
        <f>IF(C149&lt;&gt;"",_xll.RssMarket(C149,"年初来高値"),"")</f>
        <v>5228</v>
      </c>
      <c r="L149" s="167">
        <f t="shared" si="34"/>
        <v>-36.247130833970928</v>
      </c>
      <c r="M149" s="166">
        <f>IF(C149&lt;&gt;"",IFERROR(AVERAGE(出来高!E69:I69),""),"")</f>
        <v>2246580</v>
      </c>
      <c r="N149" s="166">
        <f>IF(C149&lt;&gt;"",IFERROR(AVERAGE(出来高!E69:AC69),""),"")</f>
        <v>1813528</v>
      </c>
      <c r="O149" s="168">
        <f t="shared" si="35"/>
        <v>1.5251181796330422</v>
      </c>
      <c r="P149" s="163" t="str">
        <f t="shared" si="36"/>
        <v>増加↑</v>
      </c>
      <c r="Q149" s="163" t="str">
        <f t="shared" si="37"/>
        <v>買い▲</v>
      </c>
      <c r="R149" s="166">
        <f t="shared" si="44"/>
        <v>3600</v>
      </c>
      <c r="S149" s="166">
        <f t="shared" si="45"/>
        <v>3200</v>
      </c>
      <c r="T149" s="163">
        <f t="shared" si="38"/>
        <v>7</v>
      </c>
      <c r="U149" s="163" t="str">
        <f t="shared" si="46"/>
        <v>有効</v>
      </c>
      <c r="V149" s="163" t="str">
        <f t="shared" si="39"/>
        <v>通常</v>
      </c>
      <c r="W149" s="169">
        <f t="array" ref="W149">IF(C149&lt;&gt;"",IFERROR(100-100/(1+SUMPRODUCT((終値!F69:R69&gt;終値!G69:S69)*( 終値!F69:R69-終値!G69:S69))/SUMPRODUCT((終値!F69:R69&lt;終値!G69:S69)*(終値!G69:S69-終値!F69:R69))),50),"")</f>
        <v>29.752604166666671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-108.77714845226956</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△注目</v>
      </c>
      <c r="Z149" s="171">
        <f t="shared" si="47"/>
        <v>1</v>
      </c>
      <c r="AA149" s="163" t="str">
        <f t="shared" si="48"/>
        <v>上昇▲</v>
      </c>
      <c r="AB149" s="405">
        <f>IF(C149="","",IFERROR(((終値!E151*0.333)+(終値!F151*0.222)+(終値!G151*0.148)+(終値!H151*0.099)+(終値!I151*0.066)+(終値!J151*0.044)+(終値!K151*0.029)+(終値!L151*0.019)+(終値!M151*0.013)+(終値!N151*0.009))/(0.333+0.222+0.148+0.099+0.066+0.044+0.029+0.019+0.013+0.009),""))</f>
        <v>5402.0468431771887</v>
      </c>
      <c r="AC149" s="405">
        <f>IF(C149="","",IFERROR(SUMPRODUCT((終値!E151:AC151),({0.077,0.071,0.065,0.06,0.055,0.051,0.047,0.043,0.039,0.036,0.033,0.031,0.028,0.026,0.024,0.022,0.02,0.018,0.017,0.016,0.014,0.013,0.012,0.011,0.01}))/SUM({0.077,0.071,0.065,0.06,0.055,0.051,0.047,0.043,0.039,0.036,0.033,0.031,0.028,0.026,0.024,0.022,0.02,0.018,0.017,0.016,0.014,0.013,0.012,0.011,0.01}),""))</f>
        <v>5401.8593563766381</v>
      </c>
      <c r="AD149" s="406" t="str">
        <f t="shared" si="40"/>
        <v>もみ合い→</v>
      </c>
      <c r="AE149" s="406" t="str">
        <f t="shared" si="41"/>
        <v>なし</v>
      </c>
      <c r="AF149" s="365">
        <f t="array" ref="AF149">IF(C149="","",IFERROR((INDEX(終値!$E:$E,MATCH(TEXT(C149,"0"),終値!$A:$A,0))-INDEX(終値!$E:$CZ,MATCH(TEXT(C149,"0"),終値!$A:$A,0),$AL$2))/INDEX(終値!$E:$CZ,MATCH(TEXT(C149,"0"),終値!$A:$A,0),$AL$2)*100,""))</f>
        <v>-18.938508300210426</v>
      </c>
      <c r="AG149" s="365">
        <f t="array" ref="AG149">IFERROR((終値!$E$5-INDEX(終値!$E$5:$CZ$5,1,$AL$2))/INDEX(終値!$E$5:$CZ$5,1,$AL$2)*100,"")</f>
        <v>-0.82558151178043282</v>
      </c>
      <c r="AH149" s="366">
        <f t="shared" si="42"/>
        <v>-18.112926788429995</v>
      </c>
      <c r="AI149" s="364">
        <f t="shared" si="43"/>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25610</v>
      </c>
      <c r="F150" s="166">
        <f>IF(C150&lt;&gt;"",_xll.RssMarket(C150,"始値"),"")</f>
        <v>24790</v>
      </c>
      <c r="G150" s="165">
        <f>IF(C150&lt;&gt;"",終値!F196,"")</f>
        <v>22930</v>
      </c>
      <c r="H150" s="166">
        <f>IF(C150&lt;&gt;"",_xll.RssMarket(C150,"高値"),"")</f>
        <v>25750</v>
      </c>
      <c r="I150" s="166">
        <f>IF(C150&lt;&gt;"",_xll.RssMarket(C150,"安値"),"")</f>
        <v>24710</v>
      </c>
      <c r="J150" s="166">
        <f>IF(C150&lt;&gt;"",_xll.RssMarket(C150,"出来高"),"")</f>
        <v>47900</v>
      </c>
      <c r="K150" s="166">
        <f>IF(C150&lt;&gt;"",_xll.RssMarket(C150,"年初来高値"),"")</f>
        <v>28430</v>
      </c>
      <c r="L150" s="167">
        <f t="shared" si="34"/>
        <v>-9.9190995427365447</v>
      </c>
      <c r="M150" s="166">
        <f>IF(C150&lt;&gt;"",IFERROR(AVERAGE(出来高!E196:I196),""),"")</f>
        <v>111820</v>
      </c>
      <c r="N150" s="166">
        <f>IF(C150&lt;&gt;"",IFERROR(AVERAGE(出来高!E196:AC196),""),"")</f>
        <v>81764</v>
      </c>
      <c r="O150" s="168">
        <f t="shared" si="35"/>
        <v>0.42836701842246466</v>
      </c>
      <c r="P150" s="163" t="str">
        <f t="shared" si="36"/>
        <v>減少↓</v>
      </c>
      <c r="Q150" s="163" t="str">
        <f t="shared" si="37"/>
        <v>中立→</v>
      </c>
      <c r="R150" s="166">
        <f t="shared" si="44"/>
        <v>27659</v>
      </c>
      <c r="S150" s="166">
        <f t="shared" si="45"/>
        <v>24586</v>
      </c>
      <c r="T150" s="163">
        <f t="shared" si="38"/>
        <v>3</v>
      </c>
      <c r="U150" s="163" t="str">
        <f t="shared" si="46"/>
        <v>要確認</v>
      </c>
      <c r="V150" s="163" t="str">
        <f t="shared" si="39"/>
        <v>通常</v>
      </c>
      <c r="W150" s="169">
        <f t="array" ref="W150">IF(C150&lt;&gt;"",IFERROR(100-100/(1+SUMPRODUCT((終値!F196:R196&gt;終値!G196:S196)*( 終値!F196:R196-終値!G196:S196))/SUMPRODUCT((終値!F196:R196&lt;終値!G196:S196)*(終値!G196:S196-終値!F196:R196))),50),"")</f>
        <v>47.64309764309764</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-370.91916462013978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 t="shared" si="47"/>
        <v>11.687745311818579</v>
      </c>
      <c r="AA150" s="163" t="str">
        <f t="shared" si="48"/>
        <v>上昇▲</v>
      </c>
      <c r="AB150" s="403">
        <f>IF(C150="","",IFERROR(((終値!E152*0.333)+(終値!F152*0.222)+(終値!G152*0.148)+(終値!H152*0.099)+(終値!I152*0.066)+(終値!J152*0.044)+(終値!K152*0.029)+(終値!L152*0.019)+(終値!M152*0.013)+(終値!N152*0.009))/(0.333+0.222+0.148+0.099+0.066+0.044+0.029+0.019+0.013+0.009),""))</f>
        <v>1120.0845213849284</v>
      </c>
      <c r="AC150" s="403">
        <f>IF(C150="","",IFERROR(SUMPRODUCT((終値!E152:AC152),({0.077,0.071,0.065,0.06,0.055,0.051,0.047,0.043,0.039,0.036,0.033,0.031,0.028,0.026,0.024,0.022,0.02,0.018,0.017,0.016,0.014,0.013,0.012,0.011,0.01}))/SUM({0.077,0.071,0.065,0.06,0.055,0.051,0.047,0.043,0.039,0.036,0.033,0.031,0.028,0.026,0.024,0.022,0.02,0.018,0.017,0.016,0.014,0.013,0.012,0.011,0.01}),""))</f>
        <v>1107.8653158522043</v>
      </c>
      <c r="AD150" s="404" t="str">
        <f t="shared" si="40"/>
        <v>パーフェクト▲</v>
      </c>
      <c r="AE150" s="404" t="str">
        <f t="shared" si="41"/>
        <v>なし</v>
      </c>
      <c r="AF150" s="365">
        <f t="array" ref="AF150">IF(C150="","",IFERROR((INDEX(終値!$E:$E,MATCH(TEXT(C150,"0"),終値!$A:$A,0))-INDEX(終値!$E:$CZ,MATCH(TEXT(C150,"0"),終値!$A:$A,0),$AL$2))/INDEX(終値!$E:$CZ,MATCH(TEXT(C150,"0"),終値!$A:$A,0),$AL$2)*100,""))</f>
        <v>-10.920611256056652</v>
      </c>
      <c r="AG150" s="365">
        <f t="array" ref="AG150">IFERROR((終値!$E$5-INDEX(終値!$E$5:$CZ$5,1,$AL$2))/INDEX(終値!$E$5:$CZ$5,1,$AL$2)*100,"")</f>
        <v>-0.82558151178043282</v>
      </c>
      <c r="AH150" s="366">
        <f t="shared" si="42"/>
        <v>-10.09502974427622</v>
      </c>
      <c r="AI150" s="364">
        <f t="shared" si="43"/>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315</v>
      </c>
      <c r="F151" s="166">
        <f>IF(C151&lt;&gt;"",_xll.RssMarket(C151,"始値"),"")</f>
        <v>316</v>
      </c>
      <c r="G151" s="165">
        <f>IF(C151&lt;&gt;"",終値!F146,"")</f>
        <v>311</v>
      </c>
      <c r="H151" s="166">
        <f>IF(C151&lt;&gt;"",_xll.RssMarket(C151,"高値"),"")</f>
        <v>322</v>
      </c>
      <c r="I151" s="166">
        <f>IF(C151&lt;&gt;"",_xll.RssMarket(C151,"安値"),"")</f>
        <v>314</v>
      </c>
      <c r="J151" s="166">
        <f>IF(C151&lt;&gt;"",_xll.RssMarket(C151,"出来高"),"")</f>
        <v>92300</v>
      </c>
      <c r="K151" s="166">
        <f>IF(C151&lt;&gt;"",_xll.RssMarket(C151,"年初来高値"),"")</f>
        <v>995</v>
      </c>
      <c r="L151" s="167">
        <f t="shared" si="34"/>
        <v>-68.341708542713562</v>
      </c>
      <c r="M151" s="166">
        <f>IF(C151&lt;&gt;"",IFERROR(AVERAGE(出来高!E146:I146),""),"")</f>
        <v>231260</v>
      </c>
      <c r="N151" s="166">
        <f>IF(C151&lt;&gt;"",IFERROR(AVERAGE(出来高!E146:AC146),""),"")</f>
        <v>241128</v>
      </c>
      <c r="O151" s="168">
        <f t="shared" si="35"/>
        <v>0.39911787598374127</v>
      </c>
      <c r="P151" s="163" t="str">
        <f t="shared" si="36"/>
        <v>減少↓</v>
      </c>
      <c r="Q151" s="163" t="str">
        <f t="shared" si="37"/>
        <v>中立→</v>
      </c>
      <c r="R151" s="166">
        <f t="shared" si="44"/>
        <v>340</v>
      </c>
      <c r="S151" s="166">
        <f t="shared" si="45"/>
        <v>302</v>
      </c>
      <c r="T151" s="163">
        <f t="shared" si="38"/>
        <v>3</v>
      </c>
      <c r="U151" s="163" t="str">
        <f t="shared" si="46"/>
        <v>要確認</v>
      </c>
      <c r="V151" s="163" t="str">
        <f t="shared" si="39"/>
        <v>通常</v>
      </c>
      <c r="W151" s="169">
        <f t="array" ref="W151">IF(C151&lt;&gt;"",IFERROR(100-100/(1+SUMPRODUCT((終値!F146:R146&gt;終値!G146:S146)*( 終値!F146:R146-終値!G146:S146))/SUMPRODUCT((終値!F146:R146&lt;終値!G146:S146)*(終値!G146:S146-終値!F146:R146))),50),"")</f>
        <v>42.857142857142854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-1.4053112773094654</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 t="shared" si="47"/>
        <v>1.2861736334405145</v>
      </c>
      <c r="AA151" s="163" t="str">
        <f t="shared" si="48"/>
        <v>上昇▲</v>
      </c>
      <c r="AB151" s="405">
        <f>IF(C151="","",IFERROR(((終値!E153*0.333)+(終値!F153*0.222)+(終値!G153*0.148)+(終値!H153*0.099)+(終値!I153*0.066)+(終値!J153*0.044)+(終値!K153*0.029)+(終値!L153*0.019)+(終値!M153*0.013)+(終値!N153*0.009))/(0.333+0.222+0.148+0.099+0.066+0.044+0.029+0.019+0.013+0.009),""))</f>
        <v>4313.1720977596742</v>
      </c>
      <c r="AC151" s="405">
        <f>IF(C151="","",IFERROR(SUMPRODUCT((終値!E153:AC153),({0.077,0.071,0.065,0.06,0.055,0.051,0.047,0.043,0.039,0.036,0.033,0.031,0.028,0.026,0.024,0.022,0.02,0.018,0.017,0.016,0.014,0.013,0.012,0.011,0.01}))/SUM({0.077,0.071,0.065,0.06,0.055,0.051,0.047,0.043,0.039,0.036,0.033,0.031,0.028,0.026,0.024,0.022,0.02,0.018,0.017,0.016,0.014,0.013,0.012,0.011,0.01}),""))</f>
        <v>4275.3992848629296</v>
      </c>
      <c r="AD151" s="406" t="str">
        <f t="shared" si="40"/>
        <v>もみ合い→</v>
      </c>
      <c r="AE151" s="406" t="str">
        <f t="shared" si="41"/>
        <v>なし</v>
      </c>
      <c r="AF151" s="365">
        <f t="array" ref="AF151">IF(C151="","",IFERROR((INDEX(終値!$E:$E,MATCH(TEXT(C151,"0"),終値!$A:$A,0))-INDEX(終値!$E:$CZ,MATCH(TEXT(C151,"0"),終値!$A:$A,0),$AL$2))/INDEX(終値!$E:$CZ,MATCH(TEXT(C151,"0"),終値!$A:$A,0),$AL$2)*100,""))</f>
        <v>1.935483870967742</v>
      </c>
      <c r="AG151" s="365">
        <f t="array" ref="AG151">IFERROR((終値!$E$5-INDEX(終値!$E$5:$CZ$5,1,$AL$2))/INDEX(終値!$E$5:$CZ$5,1,$AL$2)*100,"")</f>
        <v>-0.82558151178043282</v>
      </c>
      <c r="AH151" s="366">
        <f t="shared" si="42"/>
        <v>2.7610653827481748</v>
      </c>
      <c r="AI151" s="364">
        <f t="shared" si="43"/>
        <v>1</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1604</v>
      </c>
      <c r="F152" s="166">
        <f>IF(C152&lt;&gt;"",_xll.RssMarket(C152,"始値"),"")</f>
        <v>1605</v>
      </c>
      <c r="G152" s="165">
        <f>IF(C152&lt;&gt;"",終値!F192,"")</f>
        <v>1616.5</v>
      </c>
      <c r="H152" s="166">
        <f>IF(C152&lt;&gt;"",_xll.RssMarket(C152,"高値"),"")</f>
        <v>1619</v>
      </c>
      <c r="I152" s="166">
        <f>IF(C152&lt;&gt;"",_xll.RssMarket(C152,"安値"),"")</f>
        <v>1601.5</v>
      </c>
      <c r="J152" s="166">
        <f>IF(C152&lt;&gt;"",_xll.RssMarket(C152,"出来高"),"")</f>
        <v>252700</v>
      </c>
      <c r="K152" s="166">
        <f>IF(C152&lt;&gt;"",_xll.RssMarket(C152,"年初来高値"),"")</f>
        <v>2447</v>
      </c>
      <c r="L152" s="167">
        <f t="shared" si="34"/>
        <v>-34.450347364119331</v>
      </c>
      <c r="M152" s="166">
        <f>IF(C152&lt;&gt;"",IFERROR(AVERAGE(出来高!E192:I192),""),"")</f>
        <v>537100</v>
      </c>
      <c r="N152" s="166">
        <f>IF(C152&lt;&gt;"",IFERROR(AVERAGE(出来高!E192:AC192),""),"")</f>
        <v>440292</v>
      </c>
      <c r="O152" s="168">
        <f t="shared" si="35"/>
        <v>0.47048966672872833</v>
      </c>
      <c r="P152" s="163" t="str">
        <f t="shared" si="36"/>
        <v>減少↓</v>
      </c>
      <c r="Q152" s="163" t="str">
        <f t="shared" si="37"/>
        <v>様子見▼</v>
      </c>
      <c r="R152" s="166">
        <f t="shared" si="44"/>
        <v>1732</v>
      </c>
      <c r="S152" s="166">
        <f t="shared" si="45"/>
        <v>1540</v>
      </c>
      <c r="T152" s="163">
        <f t="shared" si="38"/>
        <v>1</v>
      </c>
      <c r="U152" s="163" t="str">
        <f t="shared" si="46"/>
        <v>除外</v>
      </c>
      <c r="V152" s="163" t="str">
        <f t="shared" si="39"/>
        <v>通常</v>
      </c>
      <c r="W152" s="169">
        <f t="array" ref="W152">IF(C152&lt;&gt;"",IFERROR(100-100/(1+SUMPRODUCT((終値!F192:R192&gt;終値!G192:S192)*( 終値!F192:R192-終値!G192:S192))/SUMPRODUCT((終値!F192:R192&lt;終値!G192:S192)*(終値!G192:S192-終値!F192:R192))),50),"")</f>
        <v>39.863325740318906</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-6.5120353527902353</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 t="shared" si="47"/>
        <v>-0.77327559542220847</v>
      </c>
      <c r="AA152" s="163" t="str">
        <f t="shared" si="48"/>
        <v>下落▼</v>
      </c>
      <c r="AB152" s="403">
        <f>IF(C152="","",IFERROR(((終値!E154*0.333)+(終値!F154*0.222)+(終値!G154*0.148)+(終値!H154*0.099)+(終値!I154*0.066)+(終値!J154*0.044)+(終値!K154*0.029)+(終値!L154*0.019)+(終値!M154*0.013)+(終値!N154*0.009))/(0.333+0.222+0.148+0.099+0.066+0.044+0.029+0.019+0.013+0.009),""))</f>
        <v>7129.4735234215868</v>
      </c>
      <c r="AC152" s="403">
        <f>IF(C152="","",IFERROR(SUMPRODUCT((終値!E154:AC154),({0.077,0.071,0.065,0.06,0.055,0.051,0.047,0.043,0.039,0.036,0.033,0.031,0.028,0.026,0.024,0.022,0.02,0.018,0.017,0.016,0.014,0.013,0.012,0.011,0.01}))/SUM({0.077,0.071,0.065,0.06,0.055,0.051,0.047,0.043,0.039,0.036,0.033,0.031,0.028,0.026,0.024,0.022,0.02,0.018,0.017,0.016,0.014,0.013,0.012,0.011,0.01}),""))</f>
        <v>8073.2681764004737</v>
      </c>
      <c r="AD152" s="404" t="str">
        <f t="shared" si="40"/>
        <v>下降トレンド▼</v>
      </c>
      <c r="AE152" s="404" t="str">
        <f t="shared" si="41"/>
        <v>なし</v>
      </c>
      <c r="AF152" s="365">
        <f t="array" ref="AF152">IF(C152="","",IFERROR((INDEX(終値!$E:$E,MATCH(TEXT(C152,"0"),終値!$A:$A,0))-INDEX(終値!$E:$CZ,MATCH(TEXT(C152,"0"),終値!$A:$A,0),$AL$2))/INDEX(終値!$E:$CZ,MATCH(TEXT(C152,"0"),終値!$A:$A,0),$AL$2)*100,""))</f>
        <v>-3.7270814547640514</v>
      </c>
      <c r="AG152" s="365">
        <f t="array" ref="AG152">IFERROR((終値!$E$5-INDEX(終値!$E$5:$CZ$5,1,$AL$2))/INDEX(終値!$E$5:$CZ$5,1,$AL$2)*100,"")</f>
        <v>-0.82558151178043282</v>
      </c>
      <c r="AH152" s="366">
        <f t="shared" si="42"/>
        <v>-2.9014999429836186</v>
      </c>
      <c r="AI152" s="364">
        <f t="shared" si="43"/>
        <v>-1</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7846</v>
      </c>
      <c r="F153" s="166">
        <f>IF(C153&lt;&gt;"",_xll.RssMarket(C153,"始値"),"")</f>
        <v>7781</v>
      </c>
      <c r="G153" s="165">
        <f>IF(C153&lt;&gt;"",終値!F165,"")</f>
        <v>7873</v>
      </c>
      <c r="H153" s="166">
        <f>IF(C153&lt;&gt;"",_xll.RssMarket(C153,"高値"),"")</f>
        <v>7935</v>
      </c>
      <c r="I153" s="166">
        <f>IF(C153&lt;&gt;"",_xll.RssMarket(C153,"安値"),"")</f>
        <v>7756</v>
      </c>
      <c r="J153" s="166">
        <f>IF(C153&lt;&gt;"",_xll.RssMarket(C153,"出来高"),"")</f>
        <v>93200</v>
      </c>
      <c r="K153" s="166">
        <f>IF(C153&lt;&gt;"",_xll.RssMarket(C153,"年初来高値"),"")</f>
        <v>8611</v>
      </c>
      <c r="L153" s="167">
        <f t="shared" si="34"/>
        <v>-8.8839855998141903</v>
      </c>
      <c r="M153" s="166">
        <f>IF(C153&lt;&gt;"",IFERROR(AVERAGE(出来高!E165:I165),""),"")</f>
        <v>340120</v>
      </c>
      <c r="N153" s="166">
        <f>IF(C153&lt;&gt;"",IFERROR(AVERAGE(出来高!E165:AC165),""),"")</f>
        <v>344512</v>
      </c>
      <c r="O153" s="168">
        <f t="shared" si="35"/>
        <v>0.27402093378807479</v>
      </c>
      <c r="P153" s="163" t="str">
        <f t="shared" si="36"/>
        <v>減少↓</v>
      </c>
      <c r="Q153" s="163" t="str">
        <f t="shared" si="37"/>
        <v>様子見▼</v>
      </c>
      <c r="R153" s="166">
        <f t="shared" si="44"/>
        <v>8474</v>
      </c>
      <c r="S153" s="166">
        <f t="shared" si="45"/>
        <v>7532</v>
      </c>
      <c r="T153" s="163">
        <f t="shared" si="38"/>
        <v>6</v>
      </c>
      <c r="U153" s="163" t="str">
        <f t="shared" si="46"/>
        <v>要確認</v>
      </c>
      <c r="V153" s="163" t="str">
        <f t="shared" si="39"/>
        <v>通常</v>
      </c>
      <c r="W153" s="169">
        <f t="array" ref="W153">IF(C153&lt;&gt;"",IFERROR(100-100/(1+SUMPRODUCT((終値!F165:R165&gt;終値!G165:S165)*( 終値!F165:R165-終値!G165:S165))/SUMPRODUCT((終値!F165:R165&lt;終値!G165:S165)*(終値!G165:S165-終値!F165:R165))),50),"")</f>
        <v>73.566176470588232</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221.88564474464783</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 t="shared" si="47"/>
        <v>-0.34294423980693511</v>
      </c>
      <c r="AA153" s="163" t="str">
        <f t="shared" si="48"/>
        <v>下落▼</v>
      </c>
      <c r="AB153" s="405">
        <f>IF(C153="","",IFERROR(((終値!E155*0.333)+(終値!F155*0.222)+(終値!G155*0.148)+(終値!H155*0.099)+(終値!I155*0.066)+(終値!J155*0.044)+(終値!K155*0.029)+(終値!L155*0.019)+(終値!M155*0.013)+(終値!N155*0.009))/(0.333+0.222+0.148+0.099+0.066+0.044+0.029+0.019+0.013+0.009),""))</f>
        <v>3510.9796334012208</v>
      </c>
      <c r="AC153" s="405">
        <f>IF(C153="","",IFERROR(SUMPRODUCT((終値!E155:AC155),({0.077,0.071,0.065,0.06,0.055,0.051,0.047,0.043,0.039,0.036,0.033,0.031,0.028,0.026,0.024,0.022,0.02,0.018,0.017,0.016,0.014,0.013,0.012,0.011,0.01}))/SUM({0.077,0.071,0.065,0.06,0.055,0.051,0.047,0.043,0.039,0.036,0.033,0.031,0.028,0.026,0.024,0.022,0.02,0.018,0.017,0.016,0.014,0.013,0.012,0.011,0.01}),""))</f>
        <v>3620.0297973778288</v>
      </c>
      <c r="AD153" s="406" t="str">
        <f t="shared" si="40"/>
        <v>上昇トレンド▲</v>
      </c>
      <c r="AE153" s="406" t="str">
        <f t="shared" si="41"/>
        <v>なし</v>
      </c>
      <c r="AF153" s="365">
        <f t="array" ref="AF153">IF(C153="","",IFERROR((INDEX(終値!$E:$E,MATCH(TEXT(C153,"0"),終値!$A:$A,0))-INDEX(終値!$E:$CZ,MATCH(TEXT(C153,"0"),終値!$A:$A,0),$AL$2))/INDEX(終値!$E:$CZ,MATCH(TEXT(C153,"0"),終値!$A:$A,0),$AL$2)*100,""))</f>
        <v>26.239973809134064</v>
      </c>
      <c r="AG153" s="365">
        <f t="array" ref="AG153">IFERROR((終値!$E$5-INDEX(終値!$E$5:$CZ$5,1,$AL$2))/INDEX(終値!$E$5:$CZ$5,1,$AL$2)*100,"")</f>
        <v>-0.82558151178043282</v>
      </c>
      <c r="AH153" s="366">
        <f t="shared" si="42"/>
        <v>27.065555320914498</v>
      </c>
      <c r="AI153" s="364">
        <f t="shared" si="43"/>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1013</v>
      </c>
      <c r="F154" s="166">
        <f>IF(C154&lt;&gt;"",_xll.RssMarket(C154,"始値"),"")</f>
        <v>1010</v>
      </c>
      <c r="G154" s="165">
        <f>IF(C154&lt;&gt;"",終値!F170,"")</f>
        <v>1034</v>
      </c>
      <c r="H154" s="166">
        <f>IF(C154&lt;&gt;"",_xll.RssMarket(C154,"高値"),"")</f>
        <v>1019</v>
      </c>
      <c r="I154" s="166">
        <f>IF(C154&lt;&gt;"",_xll.RssMarket(C154,"安値"),"")</f>
        <v>1007</v>
      </c>
      <c r="J154" s="166">
        <f>IF(C154&lt;&gt;"",_xll.RssMarket(C154,"出来高"),"")</f>
        <v>38700</v>
      </c>
      <c r="K154" s="166">
        <f>IF(C154&lt;&gt;"",_xll.RssMarket(C154,"年初来高値"),"")</f>
        <v>1161</v>
      </c>
      <c r="L154" s="167">
        <f t="shared" si="34"/>
        <v>-12.747631352282514</v>
      </c>
      <c r="M154" s="166">
        <f>IF(C154&lt;&gt;"",IFERROR(AVERAGE(出来高!E170:I170),""),"")</f>
        <v>130380</v>
      </c>
      <c r="N154" s="166">
        <f>IF(C154&lt;&gt;"",IFERROR(AVERAGE(出来高!E170:AC170),""),"")</f>
        <v>69708</v>
      </c>
      <c r="O154" s="168">
        <f t="shared" si="35"/>
        <v>0.29682466635987115</v>
      </c>
      <c r="P154" s="163" t="str">
        <f t="shared" si="36"/>
        <v>減少↓</v>
      </c>
      <c r="Q154" s="163" t="str">
        <f t="shared" si="37"/>
        <v>様子見▼</v>
      </c>
      <c r="R154" s="166">
        <f t="shared" si="44"/>
        <v>1094</v>
      </c>
      <c r="S154" s="166">
        <f t="shared" si="45"/>
        <v>972</v>
      </c>
      <c r="T154" s="163">
        <f t="shared" si="38"/>
        <v>0</v>
      </c>
      <c r="U154" s="163" t="str">
        <f t="shared" si="46"/>
        <v>除外</v>
      </c>
      <c r="V154" s="163" t="str">
        <f t="shared" si="39"/>
        <v>通常</v>
      </c>
      <c r="W154" s="169">
        <f t="array" ref="W154">IF(C154&lt;&gt;"",IFERROR(100-100/(1+SUMPRODUCT((終値!F170:R170&gt;終値!G170:S170)*( 終値!F170:R170-終値!G170:S170))/SUMPRODUCT((終値!F170:R170&lt;終値!G170:S170)*(終値!G170:S170-終値!F170:R170))),50),"")</f>
        <v>35.123966942148769</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-3.7962060030483826</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 t="shared" si="47"/>
        <v>-2.0309477756286265</v>
      </c>
      <c r="AA154" s="163" t="str">
        <f t="shared" si="48"/>
        <v>下落▼</v>
      </c>
      <c r="AB154" s="403">
        <f>IF(C154="","",IFERROR(((終値!E156*0.333)+(終値!F156*0.222)+(終値!G156*0.148)+(終値!H156*0.099)+(終値!I156*0.066)+(終値!J156*0.044)+(終値!K156*0.029)+(終値!L156*0.019)+(終値!M156*0.013)+(終値!N156*0.009))/(0.333+0.222+0.148+0.099+0.066+0.044+0.029+0.019+0.013+0.009),""))</f>
        <v>2550.5733197556006</v>
      </c>
      <c r="AC154" s="403">
        <f>IF(C154="","",IFERROR(SUMPRODUCT((終値!E156:AC156),({0.077,0.071,0.065,0.06,0.055,0.051,0.047,0.043,0.039,0.036,0.033,0.031,0.028,0.026,0.024,0.022,0.02,0.018,0.017,0.016,0.014,0.013,0.012,0.011,0.01}))/SUM({0.077,0.071,0.065,0.06,0.055,0.051,0.047,0.043,0.039,0.036,0.033,0.031,0.028,0.026,0.024,0.022,0.02,0.018,0.017,0.016,0.014,0.013,0.012,0.011,0.01}),""))</f>
        <v>2589.8927294398081</v>
      </c>
      <c r="AD154" s="404" t="str">
        <f t="shared" si="40"/>
        <v>下降トレンド▼</v>
      </c>
      <c r="AE154" s="404" t="str">
        <f t="shared" si="41"/>
        <v>なし</v>
      </c>
      <c r="AF154" s="365">
        <f t="array" ref="AF154">IF(C154="","",IFERROR((INDEX(終値!$E:$E,MATCH(TEXT(C154,"0"),終値!$A:$A,0))-INDEX(終値!$E:$CZ,MATCH(TEXT(C154,"0"),終値!$A:$A,0),$AL$2))/INDEX(終値!$E:$CZ,MATCH(TEXT(C154,"0"),終値!$A:$A,0),$AL$2)*100,""))</f>
        <v>-5.8878504672897192</v>
      </c>
      <c r="AG154" s="365">
        <f t="array" ref="AG154">IFERROR((終値!$E$5-INDEX(終値!$E$5:$CZ$5,1,$AL$2))/INDEX(終値!$E$5:$CZ$5,1,$AL$2)*100,"")</f>
        <v>-0.82558151178043282</v>
      </c>
      <c r="AH154" s="366">
        <f t="shared" si="42"/>
        <v>-5.0622689555092864</v>
      </c>
      <c r="AI154" s="364">
        <f t="shared" si="43"/>
        <v>-2</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4075</v>
      </c>
      <c r="F155" s="166">
        <f>IF(C155&lt;&gt;"",_xll.RssMarket(C155,"始値"),"")</f>
        <v>4004</v>
      </c>
      <c r="G155" s="165">
        <f>IF(C155&lt;&gt;"",終値!F58,"")</f>
        <v>3919</v>
      </c>
      <c r="H155" s="166">
        <f>IF(C155&lt;&gt;"",_xll.RssMarket(C155,"高値"),"")</f>
        <v>4103</v>
      </c>
      <c r="I155" s="166">
        <f>IF(C155&lt;&gt;"",_xll.RssMarket(C155,"安値"),"")</f>
        <v>3934</v>
      </c>
      <c r="J155" s="166">
        <f>IF(C155&lt;&gt;"",_xll.RssMarket(C155,"出来高"),"")</f>
        <v>588800</v>
      </c>
      <c r="K155" s="166">
        <f>IF(C155&lt;&gt;"",_xll.RssMarket(C155,"年初来高値"),"")</f>
        <v>4466</v>
      </c>
      <c r="L155" s="167">
        <f t="shared" si="34"/>
        <v>-8.7550380653828928</v>
      </c>
      <c r="M155" s="166">
        <f>IF(C155&lt;&gt;"",IFERROR(AVERAGE(出来高!E58:I58),""),"")</f>
        <v>678120</v>
      </c>
      <c r="N155" s="166">
        <f>IF(C155&lt;&gt;"",IFERROR(AVERAGE(出来高!E58:AC58),""),"")</f>
        <v>562408</v>
      </c>
      <c r="O155" s="168">
        <f t="shared" si="35"/>
        <v>0.86828289978174955</v>
      </c>
      <c r="P155" s="163" t="str">
        <f t="shared" si="36"/>
        <v>減少↓</v>
      </c>
      <c r="Q155" s="163" t="str">
        <f t="shared" si="37"/>
        <v>中立→</v>
      </c>
      <c r="R155" s="166">
        <f t="shared" si="44"/>
        <v>4401</v>
      </c>
      <c r="S155" s="166">
        <f t="shared" si="45"/>
        <v>3912</v>
      </c>
      <c r="T155" s="163">
        <f t="shared" si="38"/>
        <v>4</v>
      </c>
      <c r="U155" s="163" t="str">
        <f t="shared" si="46"/>
        <v>要確認</v>
      </c>
      <c r="V155" s="163" t="str">
        <f t="shared" si="39"/>
        <v>通常</v>
      </c>
      <c r="W155" s="169">
        <f t="array" ref="W155">IF(C155&lt;&gt;"",IFERROR(100-100/(1+SUMPRODUCT((終値!F58:R58&gt;終値!G58:S58)*( 終値!F58:R58-終値!G58:S58))/SUMPRODUCT((終値!F58:R58&lt;終値!G58:S58)*(終値!G58:S58-終値!F58:R58))),50),"")</f>
        <v>37.32767762460233</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-9.960690816312308</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様子見</v>
      </c>
      <c r="Z155" s="171">
        <f t="shared" si="47"/>
        <v>3.9806072977800455</v>
      </c>
      <c r="AA155" s="163" t="str">
        <f t="shared" si="48"/>
        <v>上昇▲</v>
      </c>
      <c r="AB155" s="405">
        <f>IF(C155="","",IFERROR(((終値!E157*0.333)+(終値!F157*0.222)+(終値!G157*0.148)+(終値!H157*0.099)+(終値!I157*0.066)+(終値!J157*0.044)+(終値!K157*0.029)+(終値!L157*0.019)+(終値!M157*0.013)+(終値!N157*0.009))/(0.333+0.222+0.148+0.099+0.066+0.044+0.029+0.019+0.013+0.009),""))</f>
        <v>5774.9511201629321</v>
      </c>
      <c r="AC155" s="405">
        <f>IF(C155="","",IFERROR(SUMPRODUCT((終値!E157:AC157),({0.077,0.071,0.065,0.06,0.055,0.051,0.047,0.043,0.039,0.036,0.033,0.031,0.028,0.026,0.024,0.022,0.02,0.018,0.017,0.016,0.014,0.013,0.012,0.011,0.01}))/SUM({0.077,0.071,0.065,0.06,0.055,0.051,0.047,0.043,0.039,0.036,0.033,0.031,0.028,0.026,0.024,0.022,0.02,0.018,0.017,0.016,0.014,0.013,0.012,0.011,0.01}),""))</f>
        <v>5930.0059594755639</v>
      </c>
      <c r="AD155" s="406" t="str">
        <f t="shared" si="40"/>
        <v>下降トレンド▼</v>
      </c>
      <c r="AE155" s="406" t="str">
        <f t="shared" si="41"/>
        <v>なし</v>
      </c>
      <c r="AF155" s="365">
        <f t="array" ref="AF155">IF(C155="","",IFERROR((INDEX(終値!$E:$E,MATCH(TEXT(C155,"0"),終値!$A:$A,0))-INDEX(終値!$E:$CZ,MATCH(TEXT(C155,"0"),終値!$A:$A,0),$AL$2))/INDEX(終値!$E:$CZ,MATCH(TEXT(C155,"0"),終値!$A:$A,0),$AL$2)*100,""))</f>
        <v>1.3333333333333335</v>
      </c>
      <c r="AG155" s="365">
        <f t="array" ref="AG155">IFERROR((終値!$E$5-INDEX(終値!$E$5:$CZ$5,1,$AL$2))/INDEX(終値!$E$5:$CZ$5,1,$AL$2)*100,"")</f>
        <v>-0.82558151178043282</v>
      </c>
      <c r="AH155" s="366">
        <f t="shared" si="42"/>
        <v>2.1589148451137663</v>
      </c>
      <c r="AI155" s="364">
        <f t="shared" si="43"/>
        <v>1</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2865</v>
      </c>
      <c r="F156" s="166">
        <f>IF(C156&lt;&gt;"",_xll.RssMarket(C156,"始値"),"")</f>
        <v>2915</v>
      </c>
      <c r="G156" s="165">
        <f>IF(C156&lt;&gt;"",終値!F101,"")</f>
        <v>3087</v>
      </c>
      <c r="H156" s="166">
        <f>IF(C156&lt;&gt;"",_xll.RssMarket(C156,"高値"),"")</f>
        <v>2943</v>
      </c>
      <c r="I156" s="166">
        <f>IF(C156&lt;&gt;"",_xll.RssMarket(C156,"安値"),"")</f>
        <v>2847</v>
      </c>
      <c r="J156" s="166">
        <f>IF(C156&lt;&gt;"",_xll.RssMarket(C156,"出来高"),"")</f>
        <v>4178300</v>
      </c>
      <c r="K156" s="166">
        <f>IF(C156&lt;&gt;"",_xll.RssMarket(C156,"年初来高値"),"")</f>
        <v>3167</v>
      </c>
      <c r="L156" s="167">
        <f t="shared" si="34"/>
        <v>-9.5358383328070726</v>
      </c>
      <c r="M156" s="166">
        <f>IF(C156&lt;&gt;"",IFERROR(AVERAGE(出来高!E101:I101),""),"")</f>
        <v>12398160</v>
      </c>
      <c r="N156" s="166">
        <f>IF(C156&lt;&gt;"",IFERROR(AVERAGE(出来高!E101:AC101),""),"")</f>
        <v>7493662.5</v>
      </c>
      <c r="O156" s="168">
        <f t="shared" si="35"/>
        <v>0.33700968530814251</v>
      </c>
      <c r="P156" s="163" t="str">
        <f t="shared" si="36"/>
        <v>減少↓</v>
      </c>
      <c r="Q156" s="163" t="str">
        <f t="shared" si="37"/>
        <v>様子見▼</v>
      </c>
      <c r="R156" s="166">
        <f t="shared" si="44"/>
        <v>3094</v>
      </c>
      <c r="S156" s="166">
        <f t="shared" si="45"/>
        <v>2750</v>
      </c>
      <c r="T156" s="163">
        <f t="shared" si="38"/>
        <v>5</v>
      </c>
      <c r="U156" s="163" t="str">
        <f t="shared" si="46"/>
        <v>要確認</v>
      </c>
      <c r="V156" s="163" t="str">
        <f t="shared" si="39"/>
        <v>通常</v>
      </c>
      <c r="W156" s="169">
        <f t="array" ref="W156">IF(C156&lt;&gt;"",IFERROR(100-100/(1+SUMPRODUCT((終値!F101:R101&gt;終値!G101:S101)*( 終値!F101:R101-終値!G101:S101))/SUMPRODUCT((終値!F101:R101&lt;終値!G101:S101)*(終値!G101:S101-終値!F101:R101))),50),"")</f>
        <v>53.344558395836529</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38.512060229503277</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様子見</v>
      </c>
      <c r="Z156" s="171">
        <f t="shared" si="47"/>
        <v>-7.1914480077745386</v>
      </c>
      <c r="AA156" s="163" t="str">
        <f t="shared" si="48"/>
        <v>下落▼</v>
      </c>
      <c r="AB156" s="403">
        <f>IF(C156="","",IFERROR(((終値!E158*0.333)+(終値!F158*0.222)+(終値!G158*0.148)+(終値!H158*0.099)+(終値!I158*0.066)+(終値!J158*0.044)+(終値!K158*0.029)+(終値!L158*0.019)+(終値!M158*0.013)+(終値!N158*0.009))/(0.333+0.222+0.148+0.099+0.066+0.044+0.029+0.019+0.013+0.009),""))</f>
        <v>30245.728105906306</v>
      </c>
      <c r="AC156" s="403">
        <f>IF(C156="","",IFERROR(SUMPRODUCT((終値!E158:AC158),({0.077,0.071,0.065,0.06,0.055,0.051,0.047,0.043,0.039,0.036,0.033,0.031,0.028,0.026,0.024,0.022,0.02,0.018,0.017,0.016,0.014,0.013,0.012,0.011,0.01}))/SUM({0.077,0.071,0.065,0.06,0.055,0.051,0.047,0.043,0.039,0.036,0.033,0.031,0.028,0.026,0.024,0.022,0.02,0.018,0.017,0.016,0.014,0.013,0.012,0.011,0.01}),""))</f>
        <v>29394.189511322998</v>
      </c>
      <c r="AD156" s="404" t="str">
        <f t="shared" si="40"/>
        <v>もみ合い→</v>
      </c>
      <c r="AE156" s="404" t="str">
        <f t="shared" si="41"/>
        <v>なし</v>
      </c>
      <c r="AF156" s="365">
        <f t="array" ref="AF156">IF(C156="","",IFERROR((INDEX(終値!$E:$E,MATCH(TEXT(C156,"0"),終値!$A:$A,0))-INDEX(終値!$E:$CZ,MATCH(TEXT(C156,"0"),終値!$A:$A,0),$AL$2))/INDEX(終値!$E:$CZ,MATCH(TEXT(C156,"0"),終値!$A:$A,0),$AL$2)*100,""))</f>
        <v>17.870722433460077</v>
      </c>
      <c r="AG156" s="365">
        <f t="array" ref="AG156">IFERROR((終値!$E$5-INDEX(終値!$E$5:$CZ$5,1,$AL$2))/INDEX(終値!$E$5:$CZ$5,1,$AL$2)*100,"")</f>
        <v>-0.82558151178043282</v>
      </c>
      <c r="AH156" s="366">
        <f t="shared" si="42"/>
        <v>18.696303945240508</v>
      </c>
      <c r="AI156" s="364">
        <f t="shared" si="43"/>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3718</v>
      </c>
      <c r="F157" s="166">
        <f>IF(C157&lt;&gt;"",_xll.RssMarket(C157,"始値"),"")</f>
        <v>3754</v>
      </c>
      <c r="G157" s="165">
        <f>IF(C157&lt;&gt;"",終値!F64,"")</f>
        <v>3790</v>
      </c>
      <c r="H157" s="166">
        <f>IF(C157&lt;&gt;"",_xll.RssMarket(C157,"高値"),"")</f>
        <v>3770</v>
      </c>
      <c r="I157" s="166">
        <f>IF(C157&lt;&gt;"",_xll.RssMarket(C157,"安値"),"")</f>
        <v>3702</v>
      </c>
      <c r="J157" s="166">
        <f>IF(C157&lt;&gt;"",_xll.RssMarket(C157,"出来高"),"")</f>
        <v>206500</v>
      </c>
      <c r="K157" s="166">
        <f>IF(C157&lt;&gt;"",_xll.RssMarket(C157,"年初来高値"),"")</f>
        <v>4403</v>
      </c>
      <c r="L157" s="167">
        <f t="shared" si="34"/>
        <v>-15.557574381103793</v>
      </c>
      <c r="M157" s="166">
        <f>IF(C157&lt;&gt;"",IFERROR(AVERAGE(出来高!E64:I64),""),"")</f>
        <v>464740</v>
      </c>
      <c r="N157" s="166">
        <f>IF(C157&lt;&gt;"",IFERROR(AVERAGE(出来高!E64:AC64),""),"")</f>
        <v>364272</v>
      </c>
      <c r="O157" s="168">
        <f t="shared" si="35"/>
        <v>0.44433446658346604</v>
      </c>
      <c r="P157" s="163" t="str">
        <f t="shared" si="36"/>
        <v>減少↓</v>
      </c>
      <c r="Q157" s="163" t="str">
        <f t="shared" si="37"/>
        <v>様子見▼</v>
      </c>
      <c r="R157" s="166">
        <f t="shared" si="44"/>
        <v>4015</v>
      </c>
      <c r="S157" s="166">
        <f t="shared" si="45"/>
        <v>3569</v>
      </c>
      <c r="T157" s="163">
        <f t="shared" si="38"/>
        <v>3</v>
      </c>
      <c r="U157" s="163" t="str">
        <f t="shared" si="46"/>
        <v>要確認</v>
      </c>
      <c r="V157" s="163" t="str">
        <f t="shared" si="39"/>
        <v>通常</v>
      </c>
      <c r="W157" s="169">
        <f t="array" ref="W157">IF(C157&lt;&gt;"",IFERROR(100-100/(1+SUMPRODUCT((終値!F64:R64&gt;終値!G64:S64)*( 終値!F64:R64-終値!G64:S64))/SUMPRODUCT((終値!F64:R64&lt;終値!G64:S64)*(終値!G64:S64-終値!F64:R64))),50),"")</f>
        <v>47.773279352226716</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7.2414513670250926</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 t="shared" si="47"/>
        <v>-1.8997361477572559</v>
      </c>
      <c r="AA157" s="163" t="str">
        <f t="shared" si="48"/>
        <v>下落▼</v>
      </c>
      <c r="AB157" s="405">
        <f>IF(C157="","",IFERROR(((終値!E159*0.333)+(終値!F159*0.222)+(終値!G159*0.148)+(終値!H159*0.099)+(終値!I159*0.066)+(終値!J159*0.044)+(終値!K159*0.029)+(終値!L159*0.019)+(終値!M159*0.013)+(終値!N159*0.009))/(0.333+0.222+0.148+0.099+0.066+0.044+0.029+0.019+0.013+0.009),""))</f>
        <v>6579.8472505091631</v>
      </c>
      <c r="AC157" s="405">
        <f>IF(C157="","",IFERROR(SUMPRODUCT((終値!E159:AC159),({0.077,0.071,0.065,0.06,0.055,0.051,0.047,0.043,0.039,0.036,0.033,0.031,0.028,0.026,0.024,0.022,0.02,0.018,0.017,0.016,0.014,0.013,0.012,0.011,0.01}))/SUM({0.077,0.071,0.065,0.06,0.055,0.051,0.047,0.043,0.039,0.036,0.033,0.031,0.028,0.026,0.024,0.022,0.02,0.018,0.017,0.016,0.014,0.013,0.012,0.011,0.01}),""))</f>
        <v>7108.7961859356355</v>
      </c>
      <c r="AD157" s="406" t="str">
        <f t="shared" si="40"/>
        <v>下降トレンド▼</v>
      </c>
      <c r="AE157" s="406" t="str">
        <f t="shared" si="41"/>
        <v>なし</v>
      </c>
      <c r="AF157" s="365">
        <f t="array" ref="AF157">IF(C157="","",IFERROR((INDEX(終値!$E:$E,MATCH(TEXT(C157,"0"),終値!$A:$A,0))-INDEX(終値!$E:$CZ,MATCH(TEXT(C157,"0"),終値!$A:$A,0),$AL$2))/INDEX(終値!$E:$CZ,MATCH(TEXT(C157,"0"),終値!$A:$A,0),$AL$2)*100,""))</f>
        <v>0.74886333244182945</v>
      </c>
      <c r="AG157" s="365">
        <f t="array" ref="AG157">IFERROR((終値!$E$5-INDEX(終値!$E$5:$CZ$5,1,$AL$2))/INDEX(終値!$E$5:$CZ$5,1,$AL$2)*100,"")</f>
        <v>-0.82558151178043282</v>
      </c>
      <c r="AH157" s="366">
        <f t="shared" si="42"/>
        <v>1.5744448442222623</v>
      </c>
      <c r="AI157" s="364">
        <f t="shared" si="43"/>
        <v>1</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1858</v>
      </c>
      <c r="F158" s="166">
        <f>IF(C158&lt;&gt;"",_xll.RssMarket(C158,"始値"),"")</f>
        <v>1860</v>
      </c>
      <c r="G158" s="165">
        <f>IF(C158&lt;&gt;"",終値!F67,"")</f>
        <v>1869</v>
      </c>
      <c r="H158" s="166">
        <f>IF(C158&lt;&gt;"",_xll.RssMarket(C158,"高値"),"")</f>
        <v>1875</v>
      </c>
      <c r="I158" s="166">
        <f>IF(C158&lt;&gt;"",_xll.RssMarket(C158,"安値"),"")</f>
        <v>1845</v>
      </c>
      <c r="J158" s="166">
        <f>IF(C158&lt;&gt;"",_xll.RssMarket(C158,"出来高"),"")</f>
        <v>279300</v>
      </c>
      <c r="K158" s="166">
        <f>IF(C158&lt;&gt;"",_xll.RssMarket(C158,"年初来高値"),"")</f>
        <v>2254</v>
      </c>
      <c r="L158" s="167">
        <f t="shared" si="34"/>
        <v>-17.56876663708962</v>
      </c>
      <c r="M158" s="166">
        <f>IF(C158&lt;&gt;"",IFERROR(AVERAGE(出来高!E67:I67),""),"")</f>
        <v>1268140</v>
      </c>
      <c r="N158" s="166">
        <f>IF(C158&lt;&gt;"",IFERROR(AVERAGE(出来高!E67:AC67),""),"")</f>
        <v>1235475</v>
      </c>
      <c r="O158" s="168">
        <f t="shared" si="35"/>
        <v>0.22024382166006909</v>
      </c>
      <c r="P158" s="163" t="str">
        <f t="shared" si="36"/>
        <v>減少↓</v>
      </c>
      <c r="Q158" s="163" t="str">
        <f t="shared" si="37"/>
        <v>様子見▼</v>
      </c>
      <c r="R158" s="166">
        <f t="shared" si="44"/>
        <v>2007</v>
      </c>
      <c r="S158" s="166">
        <f t="shared" si="45"/>
        <v>1784</v>
      </c>
      <c r="T158" s="163">
        <f t="shared" si="38"/>
        <v>2</v>
      </c>
      <c r="U158" s="163" t="str">
        <f t="shared" si="46"/>
        <v>除外</v>
      </c>
      <c r="V158" s="163" t="str">
        <f t="shared" si="39"/>
        <v>通常</v>
      </c>
      <c r="W158" s="169">
        <f t="array" ref="W158">IF(C158&lt;&gt;"",IFERROR(100-100/(1+SUMPRODUCT((終値!F67:R67&gt;終値!G67:S67)*( 終値!F67:R67-終値!G67:S67))/SUMPRODUCT((終値!F67:R67&lt;終値!G67:S67)*(終値!G67:S67-終値!F67:R67))),50),"")</f>
        <v>46.756383712905453</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-50.615494608718336</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見送り</v>
      </c>
      <c r="Z158" s="171">
        <f t="shared" si="47"/>
        <v>-0.58855002675227397</v>
      </c>
      <c r="AA158" s="163" t="str">
        <f t="shared" si="48"/>
        <v>下落▼</v>
      </c>
      <c r="AB158" s="403">
        <f>IF(C158="","",IFERROR(((終値!E160*0.333)+(終値!F160*0.222)+(終値!G160*0.148)+(終値!H160*0.099)+(終値!I160*0.066)+(終値!J160*0.044)+(終値!K160*0.029)+(終値!L160*0.019)+(終値!M160*0.013)+(終値!N160*0.009))/(0.333+0.222+0.148+0.099+0.066+0.044+0.029+0.019+0.013+0.009),""))</f>
        <v>1109.0865580448065</v>
      </c>
      <c r="AC158" s="403">
        <f>IF(C158="","",IFERROR(SUMPRODUCT((終値!E160:AC160),({0.077,0.071,0.065,0.06,0.055,0.051,0.047,0.043,0.039,0.036,0.033,0.031,0.028,0.026,0.024,0.022,0.02,0.018,0.017,0.016,0.014,0.013,0.012,0.011,0.01}))/SUM({0.077,0.071,0.065,0.06,0.055,0.051,0.047,0.043,0.039,0.036,0.033,0.031,0.028,0.026,0.024,0.022,0.02,0.018,0.017,0.016,0.014,0.013,0.012,0.011,0.01}),""))</f>
        <v>1084.3718712753273</v>
      </c>
      <c r="AD158" s="404" t="str">
        <f t="shared" si="40"/>
        <v>パーフェクト▲</v>
      </c>
      <c r="AE158" s="404" t="str">
        <f t="shared" si="41"/>
        <v>なし</v>
      </c>
      <c r="AF158" s="365">
        <f t="array" ref="AF158">IF(C158="","",IFERROR((INDEX(終値!$E:$E,MATCH(TEXT(C158,"0"),終値!$A:$A,0))-INDEX(終値!$E:$CZ,MATCH(TEXT(C158,"0"),終値!$A:$A,0),$AL$2))/INDEX(終値!$E:$CZ,MATCH(TEXT(C158,"0"),終値!$A:$A,0),$AL$2)*100,""))</f>
        <v>-12.922002328288706</v>
      </c>
      <c r="AG158" s="365">
        <f t="array" ref="AG158">IFERROR((終値!$E$5-INDEX(終値!$E$5:$CZ$5,1,$AL$2))/INDEX(終値!$E$5:$CZ$5,1,$AL$2)*100,"")</f>
        <v>-0.82558151178043282</v>
      </c>
      <c r="AH158" s="366">
        <f t="shared" si="42"/>
        <v>-12.096420816508273</v>
      </c>
      <c r="AI158" s="364">
        <f t="shared" si="43"/>
        <v>-2</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2305</v>
      </c>
      <c r="F159" s="166">
        <f>IF(C159&lt;&gt;"",_xll.RssMarket(C159,"始値"),"")</f>
        <v>2320</v>
      </c>
      <c r="G159" s="165">
        <f>IF(C159&lt;&gt;"",終値!F100,"")</f>
        <v>2337.5</v>
      </c>
      <c r="H159" s="166">
        <f>IF(C159&lt;&gt;"",_xll.RssMarket(C159,"高値"),"")</f>
        <v>2320</v>
      </c>
      <c r="I159" s="166">
        <f>IF(C159&lt;&gt;"",_xll.RssMarket(C159,"安値"),"")</f>
        <v>2264.5</v>
      </c>
      <c r="J159" s="166">
        <f>IF(C159&lt;&gt;"",_xll.RssMarket(C159,"出来高"),"")</f>
        <v>723300</v>
      </c>
      <c r="K159" s="166">
        <f>IF(C159&lt;&gt;"",_xll.RssMarket(C159,"年初来高値"),"")</f>
        <v>2674.5</v>
      </c>
      <c r="L159" s="167">
        <f t="shared" si="34"/>
        <v>-13.815666479715835</v>
      </c>
      <c r="M159" s="166">
        <f>IF(C159&lt;&gt;"",IFERROR(AVERAGE(出来高!E100:I100),""),"")</f>
        <v>2255280</v>
      </c>
      <c r="N159" s="166">
        <f>IF(C159&lt;&gt;"",IFERROR(AVERAGE(出来高!E100:AC100),""),"")</f>
        <v>1603641.6666666667</v>
      </c>
      <c r="O159" s="168">
        <f t="shared" si="35"/>
        <v>0.32071405767798233</v>
      </c>
      <c r="P159" s="163" t="str">
        <f t="shared" si="36"/>
        <v>減少↓</v>
      </c>
      <c r="Q159" s="163" t="str">
        <f t="shared" si="37"/>
        <v>様子見▼</v>
      </c>
      <c r="R159" s="166">
        <f t="shared" si="44"/>
        <v>2489</v>
      </c>
      <c r="S159" s="166">
        <f t="shared" si="45"/>
        <v>2213</v>
      </c>
      <c r="T159" s="163">
        <f t="shared" si="38"/>
        <v>2</v>
      </c>
      <c r="U159" s="163" t="str">
        <f t="shared" si="46"/>
        <v>除外</v>
      </c>
      <c r="V159" s="163" t="str">
        <f t="shared" si="39"/>
        <v>通常</v>
      </c>
      <c r="W159" s="169">
        <f t="array" ref="W159">IF(C159&lt;&gt;"",IFERROR(100-100/(1+SUMPRODUCT((終値!F100:R100&gt;終値!G100:S100)*( 終値!F100:R100-終値!G100:S100))/SUMPRODUCT((終値!F100:R100&lt;終値!G100:S100)*(終値!G100:S100-終値!F100:R100))),50),"")</f>
        <v>49.399428026692085</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-22.301266921138904</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見送り</v>
      </c>
      <c r="Z159" s="171">
        <f t="shared" si="47"/>
        <v>-1.3903743315508021</v>
      </c>
      <c r="AA159" s="163" t="str">
        <f t="shared" si="48"/>
        <v>下落▼</v>
      </c>
      <c r="AB159" s="405">
        <f>IF(C159="","",IFERROR(((終値!E161*0.333)+(終値!F161*0.222)+(終値!G161*0.148)+(終値!H161*0.099)+(終値!I161*0.066)+(終値!J161*0.044)+(終値!K161*0.029)+(終値!L161*0.019)+(終値!M161*0.013)+(終値!N161*0.009))/(0.333+0.222+0.148+0.099+0.066+0.044+0.029+0.019+0.013+0.009),""))</f>
        <v>1058.896130346232</v>
      </c>
      <c r="AC159" s="405">
        <f>IF(C159="","",IFERROR(SUMPRODUCT((終値!E161:AC161),({0.077,0.071,0.065,0.06,0.055,0.051,0.047,0.043,0.039,0.036,0.033,0.031,0.028,0.026,0.024,0.022,0.02,0.018,0.017,0.016,0.014,0.013,0.012,0.011,0.01}))/SUM({0.077,0.071,0.065,0.06,0.055,0.051,0.047,0.043,0.039,0.036,0.033,0.031,0.028,0.026,0.024,0.022,0.02,0.018,0.017,0.016,0.014,0.013,0.012,0.011,0.01}),""))</f>
        <v>1041.1191895113227</v>
      </c>
      <c r="AD159" s="406" t="str">
        <f t="shared" si="40"/>
        <v>パーフェクト▲</v>
      </c>
      <c r="AE159" s="406" t="str">
        <f t="shared" si="41"/>
        <v>なし</v>
      </c>
      <c r="AF159" s="365">
        <f t="array" ref="AF159">IF(C159="","",IFERROR((INDEX(終値!$E:$E,MATCH(TEXT(C159,"0"),終値!$A:$A,0))-INDEX(終値!$E:$CZ,MATCH(TEXT(C159,"0"),終値!$A:$A,0),$AL$2))/INDEX(終値!$E:$CZ,MATCH(TEXT(C159,"0"),終値!$A:$A,0),$AL$2)*100,""))</f>
        <v>-4.2738589211618256</v>
      </c>
      <c r="AG159" s="365">
        <f t="array" ref="AG159">IFERROR((終値!$E$5-INDEX(終値!$E$5:$CZ$5,1,$AL$2))/INDEX(終値!$E$5:$CZ$5,1,$AL$2)*100,"")</f>
        <v>-0.82558151178043282</v>
      </c>
      <c r="AH159" s="366">
        <f t="shared" si="42"/>
        <v>-3.4482774093813928</v>
      </c>
      <c r="AI159" s="364">
        <f t="shared" si="43"/>
        <v>-2</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4507</v>
      </c>
      <c r="F160" s="166">
        <f>IF(C160&lt;&gt;"",_xll.RssMarket(C160,"始値"),"")</f>
        <v>4590</v>
      </c>
      <c r="G160" s="165">
        <f>IF(C160&lt;&gt;"",終値!F99,"")</f>
        <v>4656</v>
      </c>
      <c r="H160" s="166">
        <f>IF(C160&lt;&gt;"",_xll.RssMarket(C160,"高値"),"")</f>
        <v>4607</v>
      </c>
      <c r="I160" s="166">
        <f>IF(C160&lt;&gt;"",_xll.RssMarket(C160,"安値"),"")</f>
        <v>4476</v>
      </c>
      <c r="J160" s="166">
        <f>IF(C160&lt;&gt;"",_xll.RssMarket(C160,"出来高"),"")</f>
        <v>971300</v>
      </c>
      <c r="K160" s="166">
        <f>IF(C160&lt;&gt;"",_xll.RssMarket(C160,"年初来高値"),"")</f>
        <v>5243</v>
      </c>
      <c r="L160" s="167">
        <f t="shared" si="34"/>
        <v>-14.037764638565706</v>
      </c>
      <c r="M160" s="166">
        <f>IF(C160&lt;&gt;"",IFERROR(AVERAGE(出来高!E99:I99),""),"")</f>
        <v>2487300</v>
      </c>
      <c r="N160" s="166">
        <f>IF(C160&lt;&gt;"",IFERROR(AVERAGE(出来高!E99:AC99),""),"")</f>
        <v>1911488</v>
      </c>
      <c r="O160" s="168">
        <f t="shared" si="35"/>
        <v>0.39050375909620871</v>
      </c>
      <c r="P160" s="163" t="str">
        <f t="shared" si="36"/>
        <v>減少↓</v>
      </c>
      <c r="Q160" s="163" t="str">
        <f t="shared" si="37"/>
        <v>様子見▼</v>
      </c>
      <c r="R160" s="166">
        <f t="shared" si="44"/>
        <v>4868</v>
      </c>
      <c r="S160" s="166">
        <f t="shared" si="45"/>
        <v>4327</v>
      </c>
      <c r="T160" s="163">
        <f t="shared" si="38"/>
        <v>7</v>
      </c>
      <c r="U160" s="163" t="str">
        <f t="shared" si="46"/>
        <v>要確認</v>
      </c>
      <c r="V160" s="163" t="str">
        <f t="shared" si="39"/>
        <v>通常</v>
      </c>
      <c r="W160" s="169">
        <f t="array" ref="W160">IF(C160&lt;&gt;"",IFERROR(100-100/(1+SUMPRODUCT((終値!F99:R99&gt;終値!G99:S99)*( 終値!F99:R99-終値!G99:S99))/SUMPRODUCT((終値!F99:R99&lt;終値!G99:S99)*(終値!G99:S99-終値!F99:R99))),50),"")</f>
        <v>63.228699551569512</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78.470936040983361</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 t="shared" si="47"/>
        <v>-3.2001718213058417</v>
      </c>
      <c r="AA160" s="163" t="str">
        <f t="shared" si="48"/>
        <v>下落▼</v>
      </c>
      <c r="AB160" s="403">
        <f>IF(C160="","",IFERROR(((終値!E162*0.333)+(終値!F162*0.222)+(終値!G162*0.148)+(終値!H162*0.099)+(終値!I162*0.066)+(終値!J162*0.044)+(終値!K162*0.029)+(終値!L162*0.019)+(終値!M162*0.013)+(終値!N162*0.009))/(0.333+0.222+0.148+0.099+0.066+0.044+0.029+0.019+0.013+0.009),""))</f>
        <v>4355.1629327902228</v>
      </c>
      <c r="AC160" s="403">
        <f>IF(C160="","",IFERROR(SUMPRODUCT((終値!E162:AC162),({0.077,0.071,0.065,0.06,0.055,0.051,0.047,0.043,0.039,0.036,0.033,0.031,0.028,0.026,0.024,0.022,0.02,0.018,0.017,0.016,0.014,0.013,0.012,0.011,0.01}))/SUM({0.077,0.071,0.065,0.06,0.055,0.051,0.047,0.043,0.039,0.036,0.033,0.031,0.028,0.026,0.024,0.022,0.02,0.018,0.017,0.016,0.014,0.013,0.012,0.011,0.01}),""))</f>
        <v>4211.5554231227643</v>
      </c>
      <c r="AD160" s="404" t="str">
        <f t="shared" si="40"/>
        <v>パーフェクト▲</v>
      </c>
      <c r="AE160" s="404" t="str">
        <f t="shared" si="41"/>
        <v>なし</v>
      </c>
      <c r="AF160" s="365">
        <f t="array" ref="AF160">IF(C160="","",IFERROR((INDEX(終値!$E:$E,MATCH(TEXT(C160,"0"),終値!$A:$A,0))-INDEX(終値!$E:$CZ,MATCH(TEXT(C160,"0"),終値!$A:$A,0),$AL$2))/INDEX(終値!$E:$CZ,MATCH(TEXT(C160,"0"),終値!$A:$A,0),$AL$2)*100,""))</f>
        <v>11.531966224366705</v>
      </c>
      <c r="AG160" s="365">
        <f t="array" ref="AG160">IFERROR((終値!$E$5-INDEX(終値!$E$5:$CZ$5,1,$AL$2))/INDEX(終値!$E$5:$CZ$5,1,$AL$2)*100,"")</f>
        <v>-0.82558151178043282</v>
      </c>
      <c r="AH160" s="366">
        <f t="shared" si="42"/>
        <v>12.357547736147138</v>
      </c>
      <c r="AI160" s="364">
        <f t="shared" si="43"/>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6683</v>
      </c>
      <c r="F161" s="166">
        <f>IF(C161&lt;&gt;"",_xll.RssMarket(C161,"始値"),"")</f>
        <v>6601</v>
      </c>
      <c r="G161" s="165">
        <f>IF(C161&lt;&gt;"",終値!F130,"")</f>
        <v>6687</v>
      </c>
      <c r="H161" s="166">
        <f>IF(C161&lt;&gt;"",_xll.RssMarket(C161,"高値"),"")</f>
        <v>6686</v>
      </c>
      <c r="I161" s="166">
        <f>IF(C161&lt;&gt;"",_xll.RssMarket(C161,"安値"),"")</f>
        <v>6601</v>
      </c>
      <c r="J161" s="166">
        <f>IF(C161&lt;&gt;"",_xll.RssMarket(C161,"出来高"),"")</f>
        <v>1376300</v>
      </c>
      <c r="K161" s="166">
        <f>IF(C161&lt;&gt;"",_xll.RssMarket(C161,"年初来高値"),"")</f>
        <v>10700</v>
      </c>
      <c r="L161" s="167">
        <f t="shared" si="34"/>
        <v>-37.542056074766357</v>
      </c>
      <c r="M161" s="166">
        <f>IF(C161&lt;&gt;"",IFERROR(AVERAGE(出来高!E130:I130),""),"")</f>
        <v>2996920</v>
      </c>
      <c r="N161" s="166">
        <f>IF(C161&lt;&gt;"",IFERROR(AVERAGE(出来高!E130:AC130),""),"")</f>
        <v>2815770.8333333335</v>
      </c>
      <c r="O161" s="168">
        <f t="shared" si="35"/>
        <v>0.459238151168533</v>
      </c>
      <c r="P161" s="163" t="str">
        <f t="shared" si="36"/>
        <v>減少↓</v>
      </c>
      <c r="Q161" s="163" t="str">
        <f t="shared" si="37"/>
        <v>様子見▼</v>
      </c>
      <c r="R161" s="166">
        <f t="shared" si="44"/>
        <v>7218</v>
      </c>
      <c r="S161" s="166">
        <f t="shared" si="45"/>
        <v>6416</v>
      </c>
      <c r="T161" s="163">
        <f t="shared" si="38"/>
        <v>1</v>
      </c>
      <c r="U161" s="163" t="str">
        <f t="shared" si="46"/>
        <v>除外</v>
      </c>
      <c r="V161" s="163" t="str">
        <f t="shared" si="39"/>
        <v>通常</v>
      </c>
      <c r="W161" s="169">
        <f t="array" ref="W161">IF(C161&lt;&gt;"",IFERROR(100-100/(1+SUMPRODUCT((終値!F130:R130&gt;終値!G130:S130)*( 終値!F130:R130-終値!G130:S130))/SUMPRODUCT((終値!F130:R130&lt;終値!G130:S130)*(終値!G130:S130-終値!F130:R130))),50),"")</f>
        <v>48.219088225647752</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-119.07026775301438</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見送り</v>
      </c>
      <c r="Z161" s="171">
        <f t="shared" si="47"/>
        <v>-5.9817556452818901E-2</v>
      </c>
      <c r="AA161" s="163" t="str">
        <f t="shared" si="48"/>
        <v>下落▼</v>
      </c>
      <c r="AB161" s="405">
        <f>IF(C161="","",IFERROR(((終値!E163*0.333)+(終値!F163*0.222)+(終値!G163*0.148)+(終値!H163*0.099)+(終値!I163*0.066)+(終値!J163*0.044)+(終値!K163*0.029)+(終値!L163*0.019)+(終値!M163*0.013)+(終値!N163*0.009))/(0.333+0.222+0.148+0.099+0.066+0.044+0.029+0.019+0.013+0.009),""))</f>
        <v>1484.0101832993887</v>
      </c>
      <c r="AC161" s="405">
        <f>IF(C161="","",IFERROR(SUMPRODUCT((終値!E163:AC163),({0.077,0.071,0.065,0.06,0.055,0.051,0.047,0.043,0.039,0.036,0.033,0.031,0.028,0.026,0.024,0.022,0.02,0.018,0.017,0.016,0.014,0.013,0.012,0.011,0.01}))/SUM({0.077,0.071,0.065,0.06,0.055,0.051,0.047,0.043,0.039,0.036,0.033,0.031,0.028,0.026,0.024,0.022,0.02,0.018,0.017,0.016,0.014,0.013,0.012,0.011,0.01}),""))</f>
        <v>1551.9880810488671</v>
      </c>
      <c r="AD161" s="406" t="str">
        <f t="shared" si="40"/>
        <v>上昇トレンド▲</v>
      </c>
      <c r="AE161" s="406" t="str">
        <f t="shared" si="41"/>
        <v>なし</v>
      </c>
      <c r="AF161" s="365">
        <f t="array" ref="AF161">IF(C161="","",IFERROR((INDEX(終値!$E:$E,MATCH(TEXT(C161,"0"),終値!$A:$A,0))-INDEX(終値!$E:$CZ,MATCH(TEXT(C161,"0"),終値!$A:$A,0),$AL$2))/INDEX(終値!$E:$CZ,MATCH(TEXT(C161,"0"),終値!$A:$A,0),$AL$2)*100,""))</f>
        <v>-11.803538420913652</v>
      </c>
      <c r="AG161" s="365">
        <f t="array" ref="AG161">IFERROR((終値!$E$5-INDEX(終値!$E$5:$CZ$5,1,$AL$2))/INDEX(終値!$E$5:$CZ$5,1,$AL$2)*100,"")</f>
        <v>-0.82558151178043282</v>
      </c>
      <c r="AH161" s="366">
        <f t="shared" si="42"/>
        <v>-10.977956909133219</v>
      </c>
      <c r="AI161" s="364">
        <f t="shared" si="43"/>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561</v>
      </c>
      <c r="F162" s="166">
        <f>IF(C162&lt;&gt;"",_xll.RssMarket(C162,"始値"),"")</f>
        <v>552</v>
      </c>
      <c r="G162" s="165">
        <f>IF(C162&lt;&gt;"",終値!F139,"")</f>
        <v>527</v>
      </c>
      <c r="H162" s="166">
        <f>IF(C162&lt;&gt;"",_xll.RssMarket(C162,"高値"),"")</f>
        <v>572</v>
      </c>
      <c r="I162" s="166">
        <f>IF(C162&lt;&gt;"",_xll.RssMarket(C162,"安値"),"")</f>
        <v>542</v>
      </c>
      <c r="J162" s="166">
        <f>IF(C162&lt;&gt;"",_xll.RssMarket(C162,"出来高"),"")</f>
        <v>46100</v>
      </c>
      <c r="K162" s="166">
        <f>IF(C162&lt;&gt;"",_xll.RssMarket(C162,"年初来高値"),"")</f>
        <v>1630</v>
      </c>
      <c r="L162" s="167">
        <f t="shared" si="34"/>
        <v>-65.582822085889575</v>
      </c>
      <c r="M162" s="166">
        <f>IF(C162&lt;&gt;"",IFERROR(AVERAGE(出来高!E139:I139),""),"")</f>
        <v>82660</v>
      </c>
      <c r="N162" s="166">
        <f>IF(C162&lt;&gt;"",IFERROR(AVERAGE(出来高!E139:AC139),""),"")</f>
        <v>72228</v>
      </c>
      <c r="O162" s="168">
        <f t="shared" si="35"/>
        <v>0.55770626663440603</v>
      </c>
      <c r="P162" s="163" t="str">
        <f t="shared" si="36"/>
        <v>減少↓</v>
      </c>
      <c r="Q162" s="163" t="str">
        <f t="shared" si="37"/>
        <v>中立→</v>
      </c>
      <c r="R162" s="166">
        <f t="shared" si="44"/>
        <v>606</v>
      </c>
      <c r="S162" s="166">
        <f t="shared" si="45"/>
        <v>539</v>
      </c>
      <c r="T162" s="163">
        <f t="shared" si="38"/>
        <v>1</v>
      </c>
      <c r="U162" s="163" t="str">
        <f t="shared" si="46"/>
        <v>除外</v>
      </c>
      <c r="V162" s="163" t="str">
        <f t="shared" si="39"/>
        <v>通常</v>
      </c>
      <c r="W162" s="169">
        <f t="array" ref="W162">IF(C162&lt;&gt;"",IFERROR(100-100/(1+SUMPRODUCT((終値!F139:R139&gt;終値!G139:S139)*( 終値!F139:R139-終値!G139:S139))/SUMPRODUCT((終値!F139:R139&lt;終値!G139:S139)*(終値!G139:S139-終値!F139:R139))),50),"")</f>
        <v>44.71153846153846</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-6.1315002845893787</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 t="shared" si="47"/>
        <v>6.4516129032258061</v>
      </c>
      <c r="AA162" s="163" t="str">
        <f t="shared" si="48"/>
        <v>上昇▲</v>
      </c>
      <c r="AB162" s="403">
        <f>IF(C162="","",IFERROR(((終値!E164*0.333)+(終値!F164*0.222)+(終値!G164*0.148)+(終値!H164*0.099)+(終値!I164*0.066)+(終値!J164*0.044)+(終値!K164*0.029)+(終値!L164*0.019)+(終値!M164*0.013)+(終値!N164*0.009))/(0.333+0.222+0.148+0.099+0.066+0.044+0.029+0.019+0.013+0.009),""))</f>
        <v>1278.9276985743379</v>
      </c>
      <c r="AC162" s="403">
        <f>IF(C162="","",IFERROR(SUMPRODUCT((終値!E164:AC164),({0.077,0.071,0.065,0.06,0.055,0.051,0.047,0.043,0.039,0.036,0.033,0.031,0.028,0.026,0.024,0.022,0.02,0.018,0.017,0.016,0.014,0.013,0.012,0.011,0.01}))/SUM({0.077,0.071,0.065,0.06,0.055,0.051,0.047,0.043,0.039,0.036,0.033,0.031,0.028,0.026,0.024,0.022,0.02,0.018,0.017,0.016,0.014,0.013,0.012,0.011,0.01}),""))</f>
        <v>1258.4719904648387</v>
      </c>
      <c r="AD162" s="404" t="str">
        <f t="shared" si="40"/>
        <v>もみ合い→</v>
      </c>
      <c r="AE162" s="404" t="str">
        <f t="shared" si="41"/>
        <v>なし</v>
      </c>
      <c r="AF162" s="365">
        <f t="array" ref="AF162">IF(C162="","",IFERROR((INDEX(終値!$E:$E,MATCH(TEXT(C162,"0"),終値!$A:$A,0))-INDEX(終値!$E:$CZ,MATCH(TEXT(C162,"0"),終値!$A:$A,0),$AL$2))/INDEX(終値!$E:$CZ,MATCH(TEXT(C162,"0"),終値!$A:$A,0),$AL$2)*100,""))</f>
        <v>-1.2455516014234875</v>
      </c>
      <c r="AG162" s="365">
        <f t="array" ref="AG162">IFERROR((終値!$E$5-INDEX(終値!$E$5:$CZ$5,1,$AL$2))/INDEX(終値!$E$5:$CZ$5,1,$AL$2)*100,"")</f>
        <v>-0.82558151178043282</v>
      </c>
      <c r="AH162" s="366">
        <f t="shared" si="42"/>
        <v>-0.41997008964305471</v>
      </c>
      <c r="AI162" s="364">
        <f t="shared" si="43"/>
        <v>-1</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4385</v>
      </c>
      <c r="F163" s="166">
        <f>IF(C163&lt;&gt;"",_xll.RssMarket(C163,"始値"),"")</f>
        <v>4155</v>
      </c>
      <c r="G163" s="165">
        <f>IF(C163&lt;&gt;"",終値!F153,"")</f>
        <v>4200</v>
      </c>
      <c r="H163" s="166">
        <f>IF(C163&lt;&gt;"",_xll.RssMarket(C163,"高値"),"")</f>
        <v>4465</v>
      </c>
      <c r="I163" s="166">
        <f>IF(C163&lt;&gt;"",_xll.RssMarket(C163,"安値"),"")</f>
        <v>4150</v>
      </c>
      <c r="J163" s="166">
        <f>IF(C163&lt;&gt;"",_xll.RssMarket(C163,"出来高"),"")</f>
        <v>25600</v>
      </c>
      <c r="K163" s="166">
        <f>IF(C163&lt;&gt;"",_xll.RssMarket(C163,"年初来高値"),"")</f>
        <v>4700</v>
      </c>
      <c r="L163" s="167">
        <f t="shared" si="34"/>
        <v>-6.7021276595744679</v>
      </c>
      <c r="M163" s="166">
        <f>IF(C163&lt;&gt;"",IFERROR(AVERAGE(出来高!E153:I153),""),"")</f>
        <v>73880</v>
      </c>
      <c r="N163" s="166">
        <f>IF(C163&lt;&gt;"",IFERROR(AVERAGE(出来高!E153:AC153),""),"")</f>
        <v>81896</v>
      </c>
      <c r="O163" s="168">
        <f t="shared" si="35"/>
        <v>0.34650785056848943</v>
      </c>
      <c r="P163" s="163" t="str">
        <f t="shared" si="36"/>
        <v>減少↓</v>
      </c>
      <c r="Q163" s="163" t="str">
        <f t="shared" si="37"/>
        <v>中立→</v>
      </c>
      <c r="R163" s="166">
        <f t="shared" si="44"/>
        <v>4736</v>
      </c>
      <c r="S163" s="166">
        <f t="shared" si="45"/>
        <v>4210</v>
      </c>
      <c r="T163" s="163">
        <f t="shared" si="38"/>
        <v>8</v>
      </c>
      <c r="U163" s="163" t="str">
        <f t="shared" si="46"/>
        <v>要確認</v>
      </c>
      <c r="V163" s="163" t="str">
        <f t="shared" si="39"/>
        <v>高値圏</v>
      </c>
      <c r="W163" s="169">
        <f t="array" ref="W163">IF(C163&lt;&gt;"",IFERROR(100-100/(1+SUMPRODUCT((終値!F153:R153&gt;終値!G153:S153)*( 終値!F153:R153-終値!G153:S153))/SUMPRODUCT((終値!F153:R153&lt;終値!G153:S153)*(終値!G153:S153-終値!F153:R153))),50),"")</f>
        <v>56.983240223463689</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44.087134163087285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 t="shared" si="47"/>
        <v>4.4047619047619051</v>
      </c>
      <c r="AA163" s="163" t="str">
        <f t="shared" si="48"/>
        <v>上昇▲</v>
      </c>
      <c r="AB163" s="405">
        <f>IF(C163="","",IFERROR(((終値!E165*0.333)+(終値!F165*0.222)+(終値!G165*0.148)+(終値!H165*0.099)+(終値!I165*0.066)+(終値!J165*0.044)+(終値!K165*0.029)+(終値!L165*0.019)+(終値!M165*0.013)+(終値!N165*0.009))/(0.333+0.222+0.148+0.099+0.066+0.044+0.029+0.019+0.013+0.009),""))</f>
        <v>7905.8727087576353</v>
      </c>
      <c r="AC163" s="405">
        <f>IF(C163="","",IFERROR(SUMPRODUCT((終値!E165:AC165),({0.077,0.071,0.065,0.06,0.055,0.051,0.047,0.043,0.039,0.036,0.033,0.031,0.028,0.026,0.024,0.022,0.02,0.018,0.017,0.016,0.014,0.013,0.012,0.011,0.01}))/SUM({0.077,0.071,0.065,0.06,0.055,0.051,0.047,0.043,0.039,0.036,0.033,0.031,0.028,0.026,0.024,0.022,0.02,0.018,0.017,0.016,0.014,0.013,0.012,0.011,0.01}),""))</f>
        <v>7371.3420738974946</v>
      </c>
      <c r="AD163" s="406" t="str">
        <f t="shared" ref="AD163:AD194" si="49">IF(OR(C163="",AB163="",AC163=""),"",IF(AND(E163&gt;AB163,AB163&gt;AC163),"パーフェクト▲",IF(E163&gt;AC163,"上昇トレンド▲",IF(AND(E163&lt;AB163,AB163&lt;AC163),"下降トレンド▼","もみ合い→"))))</f>
        <v>もみ合い→</v>
      </c>
      <c r="AE163" s="406" t="str">
        <f t="shared" ref="AE163:AE194" si="50">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9.5424836601307188</v>
      </c>
      <c r="AG163" s="365">
        <f t="array" ref="AG163">IFERROR((終値!$E$5-INDEX(終値!$E$5:$CZ$5,1,$AL$2))/INDEX(終値!$E$5:$CZ$5,1,$AL$2)*100,"")</f>
        <v>-0.82558151178043282</v>
      </c>
      <c r="AH163" s="366">
        <f t="shared" si="42"/>
        <v>10.368065171911152</v>
      </c>
      <c r="AI163" s="364">
        <f t="shared" si="43"/>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714</v>
      </c>
      <c r="F164" s="166">
        <f>IF(C164&lt;&gt;"",_xll.RssMarket(C164,"始値"),"")</f>
        <v>706</v>
      </c>
      <c r="G164" s="165">
        <f>IF(C164&lt;&gt;"",終値!F173,"")</f>
        <v>705</v>
      </c>
      <c r="H164" s="166">
        <f>IF(C164&lt;&gt;"",_xll.RssMarket(C164,"高値"),"")</f>
        <v>716</v>
      </c>
      <c r="I164" s="166">
        <f>IF(C164&lt;&gt;"",_xll.RssMarket(C164,"安値"),"")</f>
        <v>706</v>
      </c>
      <c r="J164" s="166">
        <f>IF(C164&lt;&gt;"",_xll.RssMarket(C164,"出来高"),"")</f>
        <v>31600</v>
      </c>
      <c r="K164" s="166">
        <f>IF(C164&lt;&gt;"",_xll.RssMarket(C164,"年初来高値"),"")</f>
        <v>995</v>
      </c>
      <c r="L164" s="167">
        <f t="shared" si="34"/>
        <v>-28.241206030150757</v>
      </c>
      <c r="M164" s="166">
        <f>IF(C164&lt;&gt;"",IFERROR(AVERAGE(出来高!E173:I173),""),"")</f>
        <v>37200</v>
      </c>
      <c r="N164" s="166">
        <f>IF(C164&lt;&gt;"",IFERROR(AVERAGE(出来高!E173:AC173),""),"")</f>
        <v>56058.333333333336</v>
      </c>
      <c r="O164" s="168">
        <f t="shared" si="35"/>
        <v>0.84946236559139787</v>
      </c>
      <c r="P164" s="163" t="str">
        <f t="shared" si="36"/>
        <v>減少↓</v>
      </c>
      <c r="Q164" s="163" t="str">
        <f t="shared" si="37"/>
        <v>中立→</v>
      </c>
      <c r="R164" s="166">
        <f t="shared" si="44"/>
        <v>771</v>
      </c>
      <c r="S164" s="166">
        <f t="shared" si="45"/>
        <v>685</v>
      </c>
      <c r="T164" s="163">
        <f t="shared" si="38"/>
        <v>0</v>
      </c>
      <c r="U164" s="163" t="str">
        <f t="shared" si="46"/>
        <v>除外</v>
      </c>
      <c r="V164" s="163" t="str">
        <f t="shared" si="39"/>
        <v>通常</v>
      </c>
      <c r="W164" s="169">
        <f t="array" ref="W164">IF(C164&lt;&gt;"",IFERROR(100-100/(1+SUMPRODUCT((終値!F173:R173&gt;終値!G173:S173)*( 終値!F173:R173-終値!G173:S173))/SUMPRODUCT((終値!F173:R173&lt;終値!G173:S173)*(終値!G173:S173-終値!F173:R173))),50),"")</f>
        <v>50.436534586971128</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-6.0150155827715253</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 t="shared" si="47"/>
        <v>1.2765957446808509</v>
      </c>
      <c r="AA164" s="163" t="str">
        <f t="shared" si="48"/>
        <v>上昇▲</v>
      </c>
      <c r="AB164" s="403">
        <f>IF(C164="","",IFERROR(((終値!E166*0.333)+(終値!F166*0.222)+(終値!G166*0.148)+(終値!H166*0.099)+(終値!I166*0.066)+(終値!J166*0.044)+(終値!K166*0.029)+(終値!L166*0.019)+(終値!M166*0.013)+(終値!N166*0.009))/(0.333+0.222+0.148+0.099+0.066+0.044+0.029+0.019+0.013+0.009),""))</f>
        <v>2315.7331975560078</v>
      </c>
      <c r="AC164" s="403">
        <f>IF(C164="","",IFERROR(SUMPRODUCT((終値!E166:AC166),({0.077,0.071,0.065,0.06,0.055,0.051,0.047,0.043,0.039,0.036,0.033,0.031,0.028,0.026,0.024,0.022,0.02,0.018,0.017,0.016,0.014,0.013,0.012,0.011,0.01}))/SUM({0.077,0.071,0.065,0.06,0.055,0.051,0.047,0.043,0.039,0.036,0.033,0.031,0.028,0.026,0.024,0.022,0.02,0.018,0.017,0.016,0.014,0.013,0.012,0.011,0.01}),""))</f>
        <v>2334.0190703218109</v>
      </c>
      <c r="AD164" s="404" t="str">
        <f t="shared" si="49"/>
        <v>下降トレンド▼</v>
      </c>
      <c r="AE164" s="404" t="str">
        <f t="shared" si="50"/>
        <v>なし</v>
      </c>
      <c r="AF164" s="365">
        <f t="array" ref="AF164">IF(C164="","",IFERROR((INDEX(終値!$E:$E,MATCH(TEXT(C164,"0"),終値!$A:$A,0))-INDEX(終値!$E:$CZ,MATCH(TEXT(C164,"0"),終値!$A:$A,0),$AL$2))/INDEX(終値!$E:$CZ,MATCH(TEXT(C164,"0"),終値!$A:$A,0),$AL$2)*100,""))</f>
        <v>-6.4986737400530501</v>
      </c>
      <c r="AG164" s="365">
        <f t="array" ref="AG164">IFERROR((終値!$E$5-INDEX(終値!$E$5:$CZ$5,1,$AL$2))/INDEX(終値!$E$5:$CZ$5,1,$AL$2)*100,"")</f>
        <v>-0.82558151178043282</v>
      </c>
      <c r="AH164" s="366">
        <f t="shared" si="42"/>
        <v>-5.6730922282726173</v>
      </c>
      <c r="AI164" s="364">
        <f t="shared" si="43"/>
        <v>-2</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1064</v>
      </c>
      <c r="F165" s="166">
        <f>IF(C165&lt;&gt;"",_xll.RssMarket(C165,"始値"),"")</f>
        <v>1100</v>
      </c>
      <c r="G165" s="165">
        <f>IF(C165&lt;&gt;"",終値!F160,"")</f>
        <v>1096</v>
      </c>
      <c r="H165" s="166">
        <f>IF(C165&lt;&gt;"",_xll.RssMarket(C165,"高値"),"")</f>
        <v>1105</v>
      </c>
      <c r="I165" s="166">
        <f>IF(C165&lt;&gt;"",_xll.RssMarket(C165,"安値"),"")</f>
        <v>1060</v>
      </c>
      <c r="J165" s="166">
        <f>IF(C165&lt;&gt;"",_xll.RssMarket(C165,"出来高"),"")</f>
        <v>710100</v>
      </c>
      <c r="K165" s="166">
        <f>IF(C165&lt;&gt;"",_xll.RssMarket(C165,"年初来高値"),"")</f>
        <v>1212</v>
      </c>
      <c r="L165" s="167">
        <f t="shared" si="34"/>
        <v>-12.211221122112212</v>
      </c>
      <c r="M165" s="166">
        <f>IF(C165&lt;&gt;"",IFERROR(AVERAGE(出来高!E160:I160),""),"")</f>
        <v>1192860</v>
      </c>
      <c r="N165" s="166">
        <f>IF(C165&lt;&gt;"",IFERROR(AVERAGE(出来高!E160:AC160),""),"")</f>
        <v>1133840</v>
      </c>
      <c r="O165" s="168">
        <f t="shared" si="35"/>
        <v>0.59529198732458122</v>
      </c>
      <c r="P165" s="163" t="str">
        <f t="shared" si="36"/>
        <v>減少↓</v>
      </c>
      <c r="Q165" s="163" t="str">
        <f t="shared" si="37"/>
        <v>様子見▼</v>
      </c>
      <c r="R165" s="166">
        <f t="shared" si="44"/>
        <v>1149</v>
      </c>
      <c r="S165" s="166">
        <f t="shared" si="45"/>
        <v>1021</v>
      </c>
      <c r="T165" s="163">
        <f t="shared" si="38"/>
        <v>5</v>
      </c>
      <c r="U165" s="163" t="str">
        <f t="shared" si="46"/>
        <v>要確認</v>
      </c>
      <c r="V165" s="163" t="str">
        <f t="shared" si="39"/>
        <v>通常</v>
      </c>
      <c r="W165" s="169">
        <f t="array" ref="W165">IF(C165&lt;&gt;"",IFERROR(100-100/(1+SUMPRODUCT((終値!F160:R160&gt;終値!G160:S160)*( 終値!F160:R160-終値!G160:S160))/SUMPRODUCT((終値!F160:R160&lt;終値!G160:S160)*(終値!G160:S160-終値!F160:R160))),50),"")</f>
        <v>59.077809798270891</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13.525495643590148</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様子見</v>
      </c>
      <c r="Z165" s="171">
        <f t="shared" si="47"/>
        <v>-2.9197080291970803</v>
      </c>
      <c r="AA165" s="163" t="str">
        <f t="shared" si="48"/>
        <v>下落▼</v>
      </c>
      <c r="AB165" s="405">
        <f>IF(C165="","",IFERROR(((終値!E167*0.333)+(終値!F167*0.222)+(終値!G167*0.148)+(終値!H167*0.099)+(終値!I167*0.066)+(終値!J167*0.044)+(終値!K167*0.029)+(終値!L167*0.019)+(終値!M167*0.013)+(終値!N167*0.009))/(0.333+0.222+0.148+0.099+0.066+0.044+0.029+0.019+0.013+0.009),""))</f>
        <v>3087.1537678207733</v>
      </c>
      <c r="AC165" s="405">
        <f>IF(C165="","",IFERROR(SUMPRODUCT((終値!E167:AC167),({0.077,0.071,0.065,0.06,0.055,0.051,0.047,0.043,0.039,0.036,0.033,0.031,0.028,0.026,0.024,0.022,0.02,0.018,0.017,0.016,0.014,0.013,0.012,0.011,0.01}))/SUM({0.077,0.071,0.065,0.06,0.055,0.051,0.047,0.043,0.039,0.036,0.033,0.031,0.028,0.026,0.024,0.022,0.02,0.018,0.017,0.016,0.014,0.013,0.012,0.011,0.01}),""))</f>
        <v>3011.1144219308676</v>
      </c>
      <c r="AD165" s="406" t="str">
        <f t="shared" si="49"/>
        <v>もみ合い→</v>
      </c>
      <c r="AE165" s="406" t="str">
        <f t="shared" si="50"/>
        <v>なし</v>
      </c>
      <c r="AF165" s="365">
        <f t="array" ref="AF165">IF(C165="","",IFERROR((INDEX(終値!$E:$E,MATCH(TEXT(C165,"0"),終値!$A:$A,0))-INDEX(終値!$E:$CZ,MATCH(TEXT(C165,"0"),終値!$A:$A,0),$AL$2))/INDEX(終値!$E:$CZ,MATCH(TEXT(C165,"0"),終値!$A:$A,0),$AL$2)*100,""))</f>
        <v>11.941848390446522</v>
      </c>
      <c r="AG165" s="365">
        <f t="array" ref="AG165">IFERROR((終値!$E$5-INDEX(終値!$E$5:$CZ$5,1,$AL$2))/INDEX(終値!$E$5:$CZ$5,1,$AL$2)*100,"")</f>
        <v>-0.82558151178043282</v>
      </c>
      <c r="AH165" s="366">
        <f t="shared" si="42"/>
        <v>12.767429902226954</v>
      </c>
      <c r="AI165" s="364">
        <f t="shared" si="43"/>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4500</v>
      </c>
      <c r="F166" s="166">
        <f>IF(C166&lt;&gt;"",_xll.RssMarket(C166,"始値"),"")</f>
        <v>4589</v>
      </c>
      <c r="G166" s="165">
        <f>IF(C166&lt;&gt;"",終値!F150,"")</f>
        <v>4688</v>
      </c>
      <c r="H166" s="166">
        <f>IF(C166&lt;&gt;"",_xll.RssMarket(C166,"高値"),"")</f>
        <v>4660</v>
      </c>
      <c r="I166" s="166">
        <f>IF(C166&lt;&gt;"",_xll.RssMarket(C166,"安値"),"")</f>
        <v>4486</v>
      </c>
      <c r="J166" s="166">
        <f>IF(C166&lt;&gt;"",_xll.RssMarket(C166,"出来高"),"")</f>
        <v>2812000</v>
      </c>
      <c r="K166" s="166">
        <f>IF(C166&lt;&gt;"",_xll.RssMarket(C166,"年初来高値"),"")</f>
        <v>6300</v>
      </c>
      <c r="L166" s="167">
        <f t="shared" si="34"/>
        <v>-28.571428571428569</v>
      </c>
      <c r="M166" s="166">
        <f>IF(C166&lt;&gt;"",IFERROR(AVERAGE(出来高!E150:I150),""),"")</f>
        <v>4810700</v>
      </c>
      <c r="N166" s="166">
        <f>IF(C166&lt;&gt;"",IFERROR(AVERAGE(出来高!E150:AC150),""),"")</f>
        <v>2988072</v>
      </c>
      <c r="O166" s="168">
        <f t="shared" si="35"/>
        <v>0.58453031783316356</v>
      </c>
      <c r="P166" s="163" t="str">
        <f t="shared" si="36"/>
        <v>減少↓</v>
      </c>
      <c r="Q166" s="163" t="str">
        <f t="shared" si="37"/>
        <v>様子見▼</v>
      </c>
      <c r="R166" s="166">
        <f t="shared" si="44"/>
        <v>4860</v>
      </c>
      <c r="S166" s="166">
        <f t="shared" si="45"/>
        <v>4320</v>
      </c>
      <c r="T166" s="163">
        <f t="shared" si="38"/>
        <v>6</v>
      </c>
      <c r="U166" s="163" t="str">
        <f t="shared" si="46"/>
        <v>要確認</v>
      </c>
      <c r="V166" s="163" t="str">
        <f t="shared" si="39"/>
        <v>通常</v>
      </c>
      <c r="W166" s="169">
        <f t="array" ref="W166">IF(C166&lt;&gt;"",IFERROR(100-100/(1+SUMPRODUCT((終値!F150:R150&gt;終値!G150:S150)*( 終値!F150:R150-終値!G150:S150))/SUMPRODUCT((終値!F150:R150&lt;終値!G150:S150)*(終値!G150:S150-終値!F150:R150))),50),"")</f>
        <v>41.646720919100048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2.618602207463482</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 t="shared" si="47"/>
        <v>-4.0102389078498293</v>
      </c>
      <c r="AA166" s="163" t="str">
        <f t="shared" si="48"/>
        <v>下落▼</v>
      </c>
      <c r="AB166" s="403">
        <f>IF(C166="","",IFERROR(((終値!E168*0.333)+(終値!F168*0.222)+(終値!G168*0.148)+(終値!H168*0.099)+(終値!I168*0.066)+(終値!J168*0.044)+(終値!K168*0.029)+(終値!L168*0.019)+(終値!M168*0.013)+(終値!N168*0.009))/(0.333+0.222+0.148+0.099+0.066+0.044+0.029+0.019+0.013+0.009),""))</f>
        <v>1987.3431771894091</v>
      </c>
      <c r="AC166" s="403">
        <f>IF(C166="","",IFERROR(SUMPRODUCT((終値!E168:AC168),({0.077,0.071,0.065,0.06,0.055,0.051,0.047,0.043,0.039,0.036,0.033,0.031,0.028,0.026,0.024,0.022,0.02,0.018,0.017,0.016,0.014,0.013,0.012,0.011,0.01}))/SUM({0.077,0.071,0.065,0.06,0.055,0.051,0.047,0.043,0.039,0.036,0.033,0.031,0.028,0.026,0.024,0.022,0.02,0.018,0.017,0.016,0.014,0.013,0.012,0.011,0.01}),""))</f>
        <v>1903.2061978545878</v>
      </c>
      <c r="AD166" s="404" t="str">
        <f t="shared" si="49"/>
        <v>パーフェクト▲</v>
      </c>
      <c r="AE166" s="404" t="str">
        <f t="shared" si="50"/>
        <v>なし</v>
      </c>
      <c r="AF166" s="365">
        <f t="array" ref="AF166">IF(C166="","",IFERROR((INDEX(終値!$E:$E,MATCH(TEXT(C166,"0"),終値!$A:$A,0))-INDEX(終値!$E:$CZ,MATCH(TEXT(C166,"0"),終値!$A:$A,0),$AL$2))/INDEX(終値!$E:$CZ,MATCH(TEXT(C166,"0"),終値!$A:$A,0),$AL$2)*100,""))</f>
        <v>-6.4794816414686832E-2</v>
      </c>
      <c r="AG166" s="365">
        <f t="array" ref="AG166">IFERROR((終値!$E$5-INDEX(終値!$E$5:$CZ$5,1,$AL$2))/INDEX(終値!$E$5:$CZ$5,1,$AL$2)*100,"")</f>
        <v>-0.82558151178043282</v>
      </c>
      <c r="AH166" s="366">
        <f t="shared" si="42"/>
        <v>0.76078669536574595</v>
      </c>
      <c r="AI166" s="364">
        <f t="shared" si="43"/>
        <v>1</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1158</v>
      </c>
      <c r="F167" s="166">
        <f>IF(C167&lt;&gt;"",_xll.RssMarket(C167,"始値"),"")</f>
        <v>1130</v>
      </c>
      <c r="G167" s="165">
        <f>IF(C167&lt;&gt;"",終値!F98,"")</f>
        <v>1135.5</v>
      </c>
      <c r="H167" s="166">
        <f>IF(C167&lt;&gt;"",_xll.RssMarket(C167,"高値"),"")</f>
        <v>1164</v>
      </c>
      <c r="I167" s="166">
        <f>IF(C167&lt;&gt;"",_xll.RssMarket(C167,"安値"),"")</f>
        <v>1123</v>
      </c>
      <c r="J167" s="166">
        <f>IF(C167&lt;&gt;"",_xll.RssMarket(C167,"出来高"),"")</f>
        <v>2985400</v>
      </c>
      <c r="K167" s="166">
        <f>IF(C167&lt;&gt;"",_xll.RssMarket(C167,"年初来高値"),"")</f>
        <v>1232.5</v>
      </c>
      <c r="L167" s="167">
        <f t="shared" si="34"/>
        <v>-6.044624746450304</v>
      </c>
      <c r="M167" s="166">
        <f>IF(C167&lt;&gt;"",IFERROR(AVERAGE(出来高!E98:I98),""),"")</f>
        <v>9097480</v>
      </c>
      <c r="N167" s="166">
        <f>IF(C167&lt;&gt;"",IFERROR(AVERAGE(出来高!E98:AC98),""),"")</f>
        <v>6756179.166666667</v>
      </c>
      <c r="O167" s="168">
        <f t="shared" si="35"/>
        <v>0.32815680825899041</v>
      </c>
      <c r="P167" s="163" t="str">
        <f t="shared" si="36"/>
        <v>減少↓</v>
      </c>
      <c r="Q167" s="163" t="str">
        <f t="shared" si="37"/>
        <v>中立→</v>
      </c>
      <c r="R167" s="166">
        <f t="shared" si="44"/>
        <v>1251</v>
      </c>
      <c r="S167" s="166">
        <f t="shared" si="45"/>
        <v>1112</v>
      </c>
      <c r="T167" s="163">
        <f t="shared" si="38"/>
        <v>3</v>
      </c>
      <c r="U167" s="163" t="str">
        <f t="shared" si="46"/>
        <v>要確認</v>
      </c>
      <c r="V167" s="163" t="str">
        <f t="shared" si="39"/>
        <v>通常</v>
      </c>
      <c r="W167" s="169">
        <f t="array" ref="W167">IF(C167&lt;&gt;"",IFERROR(100-100/(1+SUMPRODUCT((終値!F98:R98&gt;終値!G98:S98)*( 終値!F98:R98-終値!G98:S98))/SUMPRODUCT((終値!F98:R98&lt;終値!G98:S98)*(終値!G98:S98-終値!F98:R98))),50),"")</f>
        <v>49.534717251252687</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-11.282621328694631</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様子見</v>
      </c>
      <c r="Z167" s="171">
        <f t="shared" si="47"/>
        <v>1.9815059445178336</v>
      </c>
      <c r="AA167" s="163" t="str">
        <f t="shared" si="48"/>
        <v>上昇▲</v>
      </c>
      <c r="AB167" s="405">
        <f>IF(C167="","",IFERROR(((終値!E169*0.333)+(終値!F169*0.222)+(終値!G169*0.148)+(終値!H169*0.099)+(終値!I169*0.066)+(終値!J169*0.044)+(終値!K169*0.029)+(終値!L169*0.019)+(終値!M169*0.013)+(終値!N169*0.009))/(0.333+0.222+0.148+0.099+0.066+0.044+0.029+0.019+0.013+0.009),""))</f>
        <v>903.52443991853352</v>
      </c>
      <c r="AC167" s="405">
        <f>IF(C167="","",IFERROR(SUMPRODUCT((終値!E169:AC169),({0.077,0.071,0.065,0.06,0.055,0.051,0.047,0.043,0.039,0.036,0.033,0.031,0.028,0.026,0.024,0.022,0.02,0.018,0.017,0.016,0.014,0.013,0.012,0.011,0.01}))/SUM({0.077,0.071,0.065,0.06,0.055,0.051,0.047,0.043,0.039,0.036,0.033,0.031,0.028,0.026,0.024,0.022,0.02,0.018,0.017,0.016,0.014,0.013,0.012,0.011,0.01}),""))</f>
        <v>907.46364719904614</v>
      </c>
      <c r="AD167" s="406" t="str">
        <f t="shared" si="49"/>
        <v>上昇トレンド▲</v>
      </c>
      <c r="AE167" s="406" t="str">
        <f t="shared" si="50"/>
        <v>なし</v>
      </c>
      <c r="AF167" s="365">
        <f t="array" ref="AF167">IF(C167="","",IFERROR((INDEX(終値!$E:$E,MATCH(TEXT(C167,"0"),終値!$A:$A,0))-INDEX(終値!$E:$CZ,MATCH(TEXT(C167,"0"),終値!$A:$A,0),$AL$2))/INDEX(終値!$E:$CZ,MATCH(TEXT(C167,"0"),終値!$A:$A,0),$AL$2)*100,""))</f>
        <v>-1.1061946902654867</v>
      </c>
      <c r="AG167" s="365">
        <f t="array" ref="AG167">IFERROR((終値!$E$5-INDEX(終値!$E$5:$CZ$5,1,$AL$2))/INDEX(終値!$E$5:$CZ$5,1,$AL$2)*100,"")</f>
        <v>-0.82558151178043282</v>
      </c>
      <c r="AH167" s="366">
        <f t="shared" si="42"/>
        <v>-0.28061317848505385</v>
      </c>
      <c r="AI167" s="364">
        <f t="shared" si="43"/>
        <v>-1</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4700</v>
      </c>
      <c r="F168" s="166">
        <f>IF(C168&lt;&gt;"",_xll.RssMarket(C168,"始値"),"")</f>
        <v>4590</v>
      </c>
      <c r="G168" s="165">
        <f>IF(C168&lt;&gt;"",終値!F97,"")</f>
        <v>4207</v>
      </c>
      <c r="H168" s="166">
        <f>IF(C168&lt;&gt;"",_xll.RssMarket(C168,"高値"),"")</f>
        <v>4715</v>
      </c>
      <c r="I168" s="166">
        <f>IF(C168&lt;&gt;"",_xll.RssMarket(C168,"安値"),"")</f>
        <v>4539</v>
      </c>
      <c r="J168" s="166">
        <f>IF(C168&lt;&gt;"",_xll.RssMarket(C168,"出来高"),"")</f>
        <v>913900</v>
      </c>
      <c r="K168" s="166">
        <f>IF(C168&lt;&gt;"",_xll.RssMarket(C168,"年初来高値"),"")</f>
        <v>5738</v>
      </c>
      <c r="L168" s="167">
        <f t="shared" si="34"/>
        <v>-18.089926803764378</v>
      </c>
      <c r="M168" s="166">
        <f>IF(C168&lt;&gt;"",IFERROR(AVERAGE(出来高!E97:I97),""),"")</f>
        <v>1491240</v>
      </c>
      <c r="N168" s="166">
        <f>IF(C168&lt;&gt;"",IFERROR(AVERAGE(出来高!E97:AC97),""),"")</f>
        <v>1091444</v>
      </c>
      <c r="O168" s="168">
        <f t="shared" si="35"/>
        <v>0.61284568546981033</v>
      </c>
      <c r="P168" s="163" t="str">
        <f t="shared" si="36"/>
        <v>減少↓</v>
      </c>
      <c r="Q168" s="163" t="str">
        <f t="shared" si="37"/>
        <v>中立→</v>
      </c>
      <c r="R168" s="166">
        <f t="shared" si="44"/>
        <v>5076</v>
      </c>
      <c r="S168" s="166">
        <f t="shared" si="45"/>
        <v>4512</v>
      </c>
      <c r="T168" s="163">
        <f t="shared" si="38"/>
        <v>2</v>
      </c>
      <c r="U168" s="163" t="str">
        <f t="shared" si="46"/>
        <v>除外</v>
      </c>
      <c r="V168" s="163" t="str">
        <f t="shared" si="39"/>
        <v>通常</v>
      </c>
      <c r="W168" s="169">
        <f t="array" ref="W168">IF(C168&lt;&gt;"",IFERROR(100-100/(1+SUMPRODUCT((終値!F97:R97&gt;終値!G97:S97)*( 終値!F97:R97-終値!G97:S97))/SUMPRODUCT((終値!F97:R97&lt;終値!G97:S97)*(終値!G97:S97-終値!F97:R97))),50),"")</f>
        <v>41.106128550074743</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-89.040716210459323</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 t="shared" si="47"/>
        <v>11.718564297599238</v>
      </c>
      <c r="AA168" s="163" t="str">
        <f t="shared" si="48"/>
        <v>上昇▲</v>
      </c>
      <c r="AB168" s="403">
        <f>IF(C168="","",IFERROR(((終値!E170*0.333)+(終値!F170*0.222)+(終値!G170*0.148)+(終値!H170*0.099)+(終値!I170*0.066)+(終値!J170*0.044)+(終値!K170*0.029)+(終値!L170*0.019)+(終値!M170*0.013)+(終値!N170*0.009))/(0.333+0.222+0.148+0.099+0.066+0.044+0.029+0.019+0.013+0.009),""))</f>
        <v>1052.896130346232</v>
      </c>
      <c r="AC168" s="403">
        <f>IF(C168="","",IFERROR(SUMPRODUCT((終値!E170:AC170),({0.077,0.071,0.065,0.06,0.055,0.051,0.047,0.043,0.039,0.036,0.033,0.031,0.028,0.026,0.024,0.022,0.02,0.018,0.017,0.016,0.014,0.013,0.012,0.011,0.01}))/SUM({0.077,0.071,0.065,0.06,0.055,0.051,0.047,0.043,0.039,0.036,0.033,0.031,0.028,0.026,0.024,0.022,0.02,0.018,0.017,0.016,0.014,0.013,0.012,0.011,0.01}),""))</f>
        <v>1090.3253873659114</v>
      </c>
      <c r="AD168" s="404" t="str">
        <f t="shared" si="49"/>
        <v>上昇トレンド▲</v>
      </c>
      <c r="AE168" s="404" t="str">
        <f t="shared" si="50"/>
        <v>なし</v>
      </c>
      <c r="AF168" s="365">
        <f t="array" ref="AF168">IF(C168="","",IFERROR((INDEX(終値!$E:$E,MATCH(TEXT(C168,"0"),終値!$A:$A,0))-INDEX(終値!$E:$CZ,MATCH(TEXT(C168,"0"),終値!$A:$A,0),$AL$2))/INDEX(終値!$E:$CZ,MATCH(TEXT(C168,"0"),終値!$A:$A,0),$AL$2)*100,""))</f>
        <v>-16.012436844150795</v>
      </c>
      <c r="AG168" s="365">
        <f t="array" ref="AG168">IFERROR((終値!$E$5-INDEX(終値!$E$5:$CZ$5,1,$AL$2))/INDEX(終値!$E$5:$CZ$5,1,$AL$2)*100,"")</f>
        <v>-0.82558151178043282</v>
      </c>
      <c r="AH168" s="366">
        <f t="shared" si="42"/>
        <v>-15.186855332370362</v>
      </c>
      <c r="AI168" s="364">
        <f t="shared" si="43"/>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5948</v>
      </c>
      <c r="F169" s="166">
        <f>IF(C169&lt;&gt;"",_xll.RssMarket(C169,"始値"),"")</f>
        <v>5800</v>
      </c>
      <c r="G169" s="165">
        <f>IF(C169&lt;&gt;"",終値!F157,"")</f>
        <v>5656</v>
      </c>
      <c r="H169" s="166">
        <f>IF(C169&lt;&gt;"",_xll.RssMarket(C169,"高値"),"")</f>
        <v>5948</v>
      </c>
      <c r="I169" s="166">
        <f>IF(C169&lt;&gt;"",_xll.RssMarket(C169,"安値"),"")</f>
        <v>5800</v>
      </c>
      <c r="J169" s="166">
        <f>IF(C169&lt;&gt;"",_xll.RssMarket(C169,"出来高"),"")</f>
        <v>214000</v>
      </c>
      <c r="K169" s="166">
        <f>IF(C169&lt;&gt;"",_xll.RssMarket(C169,"年初来高値"),"")</f>
        <v>6509</v>
      </c>
      <c r="L169" s="167">
        <f t="shared" si="34"/>
        <v>-8.6188354585957896</v>
      </c>
      <c r="M169" s="166">
        <f>IF(C169&lt;&gt;"",IFERROR(AVERAGE(出来高!E157:I157),""),"")</f>
        <v>750860</v>
      </c>
      <c r="N169" s="166">
        <f>IF(C169&lt;&gt;"",IFERROR(AVERAGE(出来高!E157:AC157),""),"")</f>
        <v>551144</v>
      </c>
      <c r="O169" s="168">
        <f t="shared" si="35"/>
        <v>0.28500652585035824</v>
      </c>
      <c r="P169" s="163" t="str">
        <f t="shared" si="36"/>
        <v>減少↓</v>
      </c>
      <c r="Q169" s="163" t="str">
        <f t="shared" si="37"/>
        <v>中立→</v>
      </c>
      <c r="R169" s="166">
        <f t="shared" si="44"/>
        <v>6424</v>
      </c>
      <c r="S169" s="166">
        <f t="shared" si="45"/>
        <v>5710</v>
      </c>
      <c r="T169" s="163">
        <f t="shared" si="38"/>
        <v>4</v>
      </c>
      <c r="U169" s="163" t="str">
        <f t="shared" si="46"/>
        <v>要確認</v>
      </c>
      <c r="V169" s="163" t="str">
        <f t="shared" si="39"/>
        <v>通常</v>
      </c>
      <c r="W169" s="169">
        <f t="array" ref="W169">IF(C169&lt;&gt;"",IFERROR(100-100/(1+SUMPRODUCT((終値!F157:R157&gt;終値!G157:S157)*( 終値!F157:R157-終値!G157:S157))/SUMPRODUCT((終値!F157:R157&lt;終値!G157:S157)*(終値!G157:S157-終値!F157:R157))),50),"")</f>
        <v>30.77669902912622</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-50.222901301151978</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 t="shared" si="47"/>
        <v>5.1626591230551622</v>
      </c>
      <c r="AA169" s="163" t="str">
        <f t="shared" si="48"/>
        <v>上昇▲</v>
      </c>
      <c r="AB169" s="405">
        <f>IF(C169="","",IFERROR(((終値!E171*0.333)+(終値!F171*0.222)+(終値!G171*0.148)+(終値!H171*0.099)+(終値!I171*0.066)+(終値!J171*0.044)+(終値!K171*0.029)+(終値!L171*0.019)+(終値!M171*0.013)+(終値!N171*0.009))/(0.333+0.222+0.148+0.099+0.066+0.044+0.029+0.019+0.013+0.009),""))</f>
        <v>3044.6792260692464</v>
      </c>
      <c r="AC169" s="405">
        <f>IF(C169="","",IFERROR(SUMPRODUCT((終値!E171:AC171),({0.077,0.071,0.065,0.06,0.055,0.051,0.047,0.043,0.039,0.036,0.033,0.031,0.028,0.026,0.024,0.022,0.02,0.018,0.017,0.016,0.014,0.013,0.012,0.011,0.01}))/SUM({0.077,0.071,0.065,0.06,0.055,0.051,0.047,0.043,0.039,0.036,0.033,0.031,0.028,0.026,0.024,0.022,0.02,0.018,0.017,0.016,0.014,0.013,0.012,0.011,0.01}),""))</f>
        <v>3094.7735399284852</v>
      </c>
      <c r="AD169" s="406" t="str">
        <f t="shared" si="49"/>
        <v>上昇トレンド▲</v>
      </c>
      <c r="AE169" s="406" t="str">
        <f t="shared" si="50"/>
        <v>なし</v>
      </c>
      <c r="AF169" s="365">
        <f t="array" ref="AF169">IF(C169="","",IFERROR((INDEX(終値!$E:$E,MATCH(TEXT(C169,"0"),終値!$A:$A,0))-INDEX(終値!$E:$CZ,MATCH(TEXT(C169,"0"),終値!$A:$A,0),$AL$2))/INDEX(終値!$E:$CZ,MATCH(TEXT(C169,"0"),終値!$A:$A,0),$AL$2)*100,""))</f>
        <v>-2.5493837582306265</v>
      </c>
      <c r="AG169" s="365">
        <f t="array" ref="AG169">IFERROR((終値!$E$5-INDEX(終値!$E$5:$CZ$5,1,$AL$2))/INDEX(終値!$E$5:$CZ$5,1,$AL$2)*100,"")</f>
        <v>-0.82558151178043282</v>
      </c>
      <c r="AH169" s="366">
        <f t="shared" si="42"/>
        <v>-1.7238022464501936</v>
      </c>
      <c r="AI169" s="364">
        <f t="shared" si="43"/>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2545</v>
      </c>
      <c r="F170" s="166">
        <f>IF(C170&lt;&gt;"",_xll.RssMarket(C170,"始値"),"")</f>
        <v>2524</v>
      </c>
      <c r="G170" s="165">
        <f>IF(C170&lt;&gt;"",終値!F156,"")</f>
        <v>2534</v>
      </c>
      <c r="H170" s="166">
        <f>IF(C170&lt;&gt;"",_xll.RssMarket(C170,"高値"),"")</f>
        <v>2577</v>
      </c>
      <c r="I170" s="166">
        <f>IF(C170&lt;&gt;"",_xll.RssMarket(C170,"安値"),"")</f>
        <v>2520</v>
      </c>
      <c r="J170" s="166">
        <f>IF(C170&lt;&gt;"",_xll.RssMarket(C170,"出来高"),"")</f>
        <v>427500</v>
      </c>
      <c r="K170" s="166">
        <f>IF(C170&lt;&gt;"",_xll.RssMarket(C170,"年初来高値"),"")</f>
        <v>2949</v>
      </c>
      <c r="L170" s="167">
        <f t="shared" si="34"/>
        <v>-13.69955917260088</v>
      </c>
      <c r="M170" s="166">
        <f>IF(C170&lt;&gt;"",IFERROR(AVERAGE(出来高!E156:I156),""),"")</f>
        <v>1416140</v>
      </c>
      <c r="N170" s="166">
        <f>IF(C170&lt;&gt;"",IFERROR(AVERAGE(出来高!E156:AC156),""),"")</f>
        <v>968600</v>
      </c>
      <c r="O170" s="168">
        <f t="shared" si="35"/>
        <v>0.30187693307158897</v>
      </c>
      <c r="P170" s="163" t="str">
        <f t="shared" si="36"/>
        <v>減少↓</v>
      </c>
      <c r="Q170" s="163" t="str">
        <f t="shared" si="37"/>
        <v>中立→</v>
      </c>
      <c r="R170" s="166">
        <f t="shared" si="44"/>
        <v>2749</v>
      </c>
      <c r="S170" s="166">
        <f t="shared" si="45"/>
        <v>2443</v>
      </c>
      <c r="T170" s="163">
        <f t="shared" si="38"/>
        <v>3</v>
      </c>
      <c r="U170" s="163" t="str">
        <f t="shared" si="46"/>
        <v>要確認</v>
      </c>
      <c r="V170" s="163" t="str">
        <f t="shared" si="39"/>
        <v>通常</v>
      </c>
      <c r="W170" s="169">
        <f t="array" ref="W170">IF(C170&lt;&gt;"",IFERROR(100-100/(1+SUMPRODUCT((終値!F156:R156&gt;終値!G156:S156)*( 終値!F156:R156-終値!G156:S156))/SUMPRODUCT((終値!F156:R156&lt;終値!G156:S156)*(終値!G156:S156-終値!F156:R156))),50),"")</f>
        <v>51.612903225806448</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-12.451928243623115</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 t="shared" si="47"/>
        <v>0.43409629044988163</v>
      </c>
      <c r="AA170" s="163" t="str">
        <f t="shared" si="48"/>
        <v>上昇▲</v>
      </c>
      <c r="AB170" s="403">
        <f>IF(C170="","",IFERROR(((終値!E172*0.333)+(終値!F172*0.222)+(終値!G172*0.148)+(終値!H172*0.099)+(終値!I172*0.066)+(終値!J172*0.044)+(終値!K172*0.029)+(終値!L172*0.019)+(終値!M172*0.013)+(終値!N172*0.009))/(0.333+0.222+0.148+0.099+0.066+0.044+0.029+0.019+0.013+0.009),""))</f>
        <v>1447.2464358452135</v>
      </c>
      <c r="AC170" s="403">
        <f>IF(C170="","",IFERROR(SUMPRODUCT((終値!E172:AC172),({0.077,0.071,0.065,0.06,0.055,0.051,0.047,0.043,0.039,0.036,0.033,0.031,0.028,0.026,0.024,0.022,0.02,0.018,0.017,0.016,0.014,0.013,0.012,0.011,0.01}))/SUM({0.077,0.071,0.065,0.06,0.055,0.051,0.047,0.043,0.039,0.036,0.033,0.031,0.028,0.026,0.024,0.022,0.02,0.018,0.017,0.016,0.014,0.013,0.012,0.011,0.01}),""))</f>
        <v>1443.8092967818827</v>
      </c>
      <c r="AD170" s="404" t="str">
        <f t="shared" si="49"/>
        <v>パーフェクト▲</v>
      </c>
      <c r="AE170" s="404" t="str">
        <f t="shared" si="50"/>
        <v>なし</v>
      </c>
      <c r="AF170" s="365">
        <f t="array" ref="AF170">IF(C170="","",IFERROR((INDEX(終値!$E:$E,MATCH(TEXT(C170,"0"),終値!$A:$A,0))-INDEX(終値!$E:$CZ,MATCH(TEXT(C170,"0"),終値!$A:$A,0),$AL$2))/INDEX(終値!$E:$CZ,MATCH(TEXT(C170,"0"),終値!$A:$A,0),$AL$2)*100,""))</f>
        <v>-8.5580726357425387</v>
      </c>
      <c r="AG170" s="365">
        <f t="array" ref="AG170">IFERROR((終値!$E$5-INDEX(終値!$E$5:$CZ$5,1,$AL$2))/INDEX(終値!$E$5:$CZ$5,1,$AL$2)*100,"")</f>
        <v>-0.82558151178043282</v>
      </c>
      <c r="AH170" s="366">
        <f t="shared" si="42"/>
        <v>-7.7324911239621059</v>
      </c>
      <c r="AI170" s="364">
        <f t="shared" si="43"/>
        <v>-2</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1946</v>
      </c>
      <c r="F171" s="166">
        <f>IF(C171&lt;&gt;"",_xll.RssMarket(C171,"始値"),"")</f>
        <v>1888</v>
      </c>
      <c r="G171" s="165">
        <f>IF(C171&lt;&gt;"",終値!F129,"")</f>
        <v>1795</v>
      </c>
      <c r="H171" s="166">
        <f>IF(C171&lt;&gt;"",_xll.RssMarket(C171,"高値"),"")</f>
        <v>1958</v>
      </c>
      <c r="I171" s="166">
        <f>IF(C171&lt;&gt;"",_xll.RssMarket(C171,"安値"),"")</f>
        <v>1853</v>
      </c>
      <c r="J171" s="166">
        <f>IF(C171&lt;&gt;"",_xll.RssMarket(C171,"出来高"),"")</f>
        <v>238900</v>
      </c>
      <c r="K171" s="166">
        <f>IF(C171&lt;&gt;"",_xll.RssMarket(C171,"年初来高値"),"")</f>
        <v>4400</v>
      </c>
      <c r="L171" s="167">
        <f t="shared" si="34"/>
        <v>-55.772727272727273</v>
      </c>
      <c r="M171" s="166">
        <f>IF(C171&lt;&gt;"",IFERROR(AVERAGE(出来高!E129:I129),""),"")</f>
        <v>205180</v>
      </c>
      <c r="N171" s="166">
        <f>IF(C171&lt;&gt;"",IFERROR(AVERAGE(出来高!E129:AC129),""),"")</f>
        <v>176188</v>
      </c>
      <c r="O171" s="168">
        <f t="shared" si="35"/>
        <v>1.1643435032654255</v>
      </c>
      <c r="P171" s="163" t="str">
        <f t="shared" si="36"/>
        <v>普通→</v>
      </c>
      <c r="Q171" s="163" t="str">
        <f t="shared" si="37"/>
        <v>中立→</v>
      </c>
      <c r="R171" s="166">
        <f t="shared" si="44"/>
        <v>2102</v>
      </c>
      <c r="S171" s="166">
        <f t="shared" si="45"/>
        <v>1868</v>
      </c>
      <c r="T171" s="163">
        <f t="shared" si="38"/>
        <v>4</v>
      </c>
      <c r="U171" s="163" t="str">
        <f t="shared" si="46"/>
        <v>要確認</v>
      </c>
      <c r="V171" s="163" t="str">
        <f t="shared" si="39"/>
        <v>通常</v>
      </c>
      <c r="W171" s="169">
        <f t="array" ref="W171">IF(C171&lt;&gt;"",IFERROR(100-100/(1+SUMPRODUCT((終値!F129:R129&gt;終値!G129:S129)*( 終値!F129:R129-終値!G129:S129))/SUMPRODUCT((終値!F129:R129&lt;終値!G129:S129)*(終値!G129:S129-終値!F129:R129))),50),"")</f>
        <v>43.11926605504587</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-30.691548684718327</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様子見</v>
      </c>
      <c r="Z171" s="171">
        <f t="shared" si="47"/>
        <v>8.4122562674094716</v>
      </c>
      <c r="AA171" s="163" t="str">
        <f t="shared" si="48"/>
        <v>上昇▲</v>
      </c>
      <c r="AB171" s="405">
        <f>IF(C171="","",IFERROR(((終値!E173*0.333)+(終値!F173*0.222)+(終値!G173*0.148)+(終値!H173*0.099)+(終値!I173*0.066)+(終値!J173*0.044)+(終値!K173*0.029)+(終値!L173*0.019)+(終値!M173*0.013)+(終値!N173*0.009))/(0.333+0.222+0.148+0.099+0.066+0.044+0.029+0.019+0.013+0.009),""))</f>
        <v>689.25661914460272</v>
      </c>
      <c r="AC171" s="405">
        <f>IF(C171="","",IFERROR(SUMPRODUCT((終値!E173:AC173),({0.077,0.071,0.065,0.06,0.055,0.051,0.047,0.043,0.039,0.036,0.033,0.031,0.028,0.026,0.024,0.022,0.02,0.018,0.017,0.016,0.014,0.013,0.012,0.011,0.01}))/SUM({0.077,0.071,0.065,0.06,0.055,0.051,0.047,0.043,0.039,0.036,0.033,0.031,0.028,0.026,0.024,0.022,0.02,0.018,0.017,0.016,0.014,0.013,0.012,0.011,0.01}),""))</f>
        <v>668.7306317044098</v>
      </c>
      <c r="AD171" s="406" t="str">
        <f t="shared" si="49"/>
        <v>パーフェクト▲</v>
      </c>
      <c r="AE171" s="406" t="str">
        <f t="shared" si="50"/>
        <v>なし</v>
      </c>
      <c r="AF171" s="365">
        <f t="array" ref="AF171">IF(C171="","",IFERROR((INDEX(終値!$E:$E,MATCH(TEXT(C171,"0"),終値!$A:$A,0))-INDEX(終値!$E:$CZ,MATCH(TEXT(C171,"0"),終値!$A:$A,0),$AL$2))/INDEX(終値!$E:$CZ,MATCH(TEXT(C171,"0"),終値!$A:$A,0),$AL$2)*100,""))</f>
        <v>-11.142993782879005</v>
      </c>
      <c r="AG171" s="365">
        <f t="array" ref="AG171">IFERROR((終値!$E$5-INDEX(終値!$E$5:$CZ$5,1,$AL$2))/INDEX(終値!$E$5:$CZ$5,1,$AL$2)*100,"")</f>
        <v>-0.82558151178043282</v>
      </c>
      <c r="AH171" s="366">
        <f t="shared" si="42"/>
        <v>-10.317412271098572</v>
      </c>
      <c r="AI171" s="364">
        <f t="shared" si="43"/>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6150</v>
      </c>
      <c r="F172" s="166">
        <f>IF(C172&lt;&gt;"",_xll.RssMarket(C172,"始値"),"")</f>
        <v>6004</v>
      </c>
      <c r="G172" s="165">
        <f>IF(C172&lt;&gt;"",終値!F66,"")</f>
        <v>5845</v>
      </c>
      <c r="H172" s="166">
        <f>IF(C172&lt;&gt;"",_xll.RssMarket(C172,"高値"),"")</f>
        <v>6213</v>
      </c>
      <c r="I172" s="166">
        <f>IF(C172&lt;&gt;"",_xll.RssMarket(C172,"安値"),"")</f>
        <v>6004</v>
      </c>
      <c r="J172" s="166">
        <f>IF(C172&lt;&gt;"",_xll.RssMarket(C172,"出来高"),"")</f>
        <v>6211400</v>
      </c>
      <c r="K172" s="166">
        <f>IF(C172&lt;&gt;"",_xll.RssMarket(C172,"年初来高値"),"")</f>
        <v>7930</v>
      </c>
      <c r="L172" s="167">
        <f t="shared" si="34"/>
        <v>-22.446406052963429</v>
      </c>
      <c r="M172" s="166">
        <f>IF(C172&lt;&gt;"",IFERROR(AVERAGE(出来高!E66:I66),""),"")</f>
        <v>11380600</v>
      </c>
      <c r="N172" s="166">
        <f>IF(C172&lt;&gt;"",IFERROR(AVERAGE(出来高!E66:AC66),""),"")</f>
        <v>8710348</v>
      </c>
      <c r="O172" s="168">
        <f t="shared" si="35"/>
        <v>0.54578844700630902</v>
      </c>
      <c r="P172" s="163" t="str">
        <f t="shared" si="36"/>
        <v>減少↓</v>
      </c>
      <c r="Q172" s="163" t="str">
        <f t="shared" si="37"/>
        <v>中立→</v>
      </c>
      <c r="R172" s="166">
        <f t="shared" si="44"/>
        <v>6642</v>
      </c>
      <c r="S172" s="166">
        <f t="shared" si="45"/>
        <v>5904</v>
      </c>
      <c r="T172" s="163">
        <f t="shared" si="38"/>
        <v>5</v>
      </c>
      <c r="U172" s="163" t="str">
        <f t="shared" si="46"/>
        <v>要確認</v>
      </c>
      <c r="V172" s="163" t="str">
        <f t="shared" si="39"/>
        <v>通常</v>
      </c>
      <c r="W172" s="169">
        <f t="array" ref="W172">IF(C172&lt;&gt;"",IFERROR(100-100/(1+SUMPRODUCT((終値!F66:R66&gt;終値!G66:S66)*( 終値!F66:R66-終値!G66:S66))/SUMPRODUCT((終値!F66:R66&lt;終値!G66:S66)*(終値!G66:S66-終値!F66:R66))),50),"")</f>
        <v>21.261053440984242</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-200.63659503500367</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 t="shared" si="47"/>
        <v>5.2181351582549187</v>
      </c>
      <c r="AA172" s="163" t="str">
        <f t="shared" si="48"/>
        <v>上昇▲</v>
      </c>
      <c r="AB172" s="403">
        <f>IF(C172="","",IFERROR(((終値!E174*0.333)+(終値!F174*0.222)+(終値!G174*0.148)+(終値!H174*0.099)+(終値!I174*0.066)+(終値!J174*0.044)+(終値!K174*0.029)+(終値!L174*0.019)+(終値!M174*0.013)+(終値!N174*0.009))/(0.333+0.222+0.148+0.099+0.066+0.044+0.029+0.019+0.013+0.009),""))</f>
        <v>3798.5132382892043</v>
      </c>
      <c r="AC172" s="403">
        <f>IF(C172="","",IFERROR(SUMPRODUCT((終値!E174:AC174),({0.077,0.071,0.065,0.06,0.055,0.051,0.047,0.043,0.039,0.036,0.033,0.031,0.028,0.026,0.024,0.022,0.02,0.018,0.017,0.016,0.014,0.013,0.012,0.011,0.01}))/SUM({0.077,0.071,0.065,0.06,0.055,0.051,0.047,0.043,0.039,0.036,0.033,0.031,0.028,0.026,0.024,0.022,0.02,0.018,0.017,0.016,0.014,0.013,0.012,0.011,0.01}),""))</f>
        <v>3796.3957091775919</v>
      </c>
      <c r="AD172" s="404" t="str">
        <f t="shared" si="49"/>
        <v>パーフェクト▲</v>
      </c>
      <c r="AE172" s="404" t="str">
        <f t="shared" si="50"/>
        <v>なし</v>
      </c>
      <c r="AF172" s="365">
        <f t="array" ref="AF172">IF(C172="","",IFERROR((INDEX(終値!$E:$E,MATCH(TEXT(C172,"0"),終値!$A:$A,0))-INDEX(終値!$E:$CZ,MATCH(TEXT(C172,"0"),終値!$A:$A,0),$AL$2))/INDEX(終値!$E:$CZ,MATCH(TEXT(C172,"0"),終値!$A:$A,0),$AL$2)*100,""))</f>
        <v>-13.756842408527802</v>
      </c>
      <c r="AG172" s="365">
        <f t="array" ref="AG172">IFERROR((終値!$E$5-INDEX(終値!$E$5:$CZ$5,1,$AL$2))/INDEX(終値!$E$5:$CZ$5,1,$AL$2)*100,"")</f>
        <v>-0.82558151178043282</v>
      </c>
      <c r="AH172" s="366">
        <f t="shared" si="42"/>
        <v>-12.93126089674737</v>
      </c>
      <c r="AI172" s="364">
        <f t="shared" si="43"/>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20330</v>
      </c>
      <c r="F173" s="166">
        <f>IF(C173&lt;&gt;"",_xll.RssMarket(C173,"始値"),"")</f>
        <v>19930</v>
      </c>
      <c r="G173" s="165">
        <f>IF(C173&lt;&gt;"",終値!F96,"")</f>
        <v>15535</v>
      </c>
      <c r="H173" s="166">
        <f>IF(C173&lt;&gt;"",_xll.RssMarket(C173,"高値"),"")</f>
        <v>20330</v>
      </c>
      <c r="I173" s="166">
        <f>IF(C173&lt;&gt;"",_xll.RssMarket(C173,"安値"),"")</f>
        <v>19155</v>
      </c>
      <c r="J173" s="166">
        <f>IF(C173&lt;&gt;"",_xll.RssMarket(C173,"出来高"),"")</f>
        <v>8304600</v>
      </c>
      <c r="K173" s="166">
        <f>IF(C173&lt;&gt;"",_xll.RssMarket(C173,"年初来高値"),"")</f>
        <v>27480</v>
      </c>
      <c r="L173" s="167">
        <f t="shared" si="34"/>
        <v>-26.018922852983987</v>
      </c>
      <c r="M173" s="166">
        <f>IF(C173&lt;&gt;"",IFERROR(AVERAGE(出来高!E96:I96),""),"")</f>
        <v>7733120</v>
      </c>
      <c r="N173" s="166">
        <f>IF(C173&lt;&gt;"",IFERROR(AVERAGE(出来高!E96:AC96),""),"")</f>
        <v>8476028</v>
      </c>
      <c r="O173" s="168">
        <f t="shared" si="35"/>
        <v>1.0739003144914343</v>
      </c>
      <c r="P173" s="163" t="str">
        <f t="shared" si="36"/>
        <v>普通→</v>
      </c>
      <c r="Q173" s="163" t="str">
        <f t="shared" si="37"/>
        <v>中立→</v>
      </c>
      <c r="R173" s="166">
        <f t="shared" si="44"/>
        <v>21956</v>
      </c>
      <c r="S173" s="166">
        <f t="shared" si="45"/>
        <v>19517</v>
      </c>
      <c r="T173" s="163">
        <f t="shared" si="38"/>
        <v>3</v>
      </c>
      <c r="U173" s="163" t="str">
        <f t="shared" si="46"/>
        <v>要確認</v>
      </c>
      <c r="V173" s="163" t="str">
        <f t="shared" si="39"/>
        <v>通常</v>
      </c>
      <c r="W173" s="169">
        <f t="array" ref="W173">IF(C173&lt;&gt;"",IFERROR(100-100/(1+SUMPRODUCT((終値!F96:R96&gt;終値!G96:S96)*( 終値!F96:R96-終値!G96:S96))/SUMPRODUCT((終値!F96:R96&lt;終値!G96:S96)*(終値!G96:S96-終値!F96:R96))),50),"")</f>
        <v>40.915634897782901</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-721.69798478739176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 t="shared" si="47"/>
        <v>30.86578693273254</v>
      </c>
      <c r="AA173" s="163" t="str">
        <f t="shared" si="48"/>
        <v>上昇▲</v>
      </c>
      <c r="AB173" s="405">
        <f>IF(C173="","",IFERROR(((終値!E175*0.333)+(終値!F175*0.222)+(終値!G175*0.148)+(終値!H175*0.099)+(終値!I175*0.066)+(終値!J175*0.044)+(終値!K175*0.029)+(終値!L175*0.019)+(終値!M175*0.013)+(終値!N175*0.009))/(0.333+0.222+0.148+0.099+0.066+0.044+0.029+0.019+0.013+0.009),""))</f>
        <v>5505.6812627291238</v>
      </c>
      <c r="AC173" s="405">
        <f>IF(C173="","",IFERROR(SUMPRODUCT((終値!E175:AC175),({0.077,0.071,0.065,0.06,0.055,0.051,0.047,0.043,0.039,0.036,0.033,0.031,0.028,0.026,0.024,0.022,0.02,0.018,0.017,0.016,0.014,0.013,0.012,0.011,0.01}))/SUM({0.077,0.071,0.065,0.06,0.055,0.051,0.047,0.043,0.039,0.036,0.033,0.031,0.028,0.026,0.024,0.022,0.02,0.018,0.017,0.016,0.014,0.013,0.012,0.011,0.01}),""))</f>
        <v>5905.9249106078669</v>
      </c>
      <c r="AD173" s="406" t="str">
        <f t="shared" si="49"/>
        <v>上昇トレンド▲</v>
      </c>
      <c r="AE173" s="406" t="str">
        <f t="shared" si="50"/>
        <v>なし</v>
      </c>
      <c r="AF173" s="365">
        <f t="array" ref="AF173">IF(C173="","",IFERROR((INDEX(終値!$E:$E,MATCH(TEXT(C173,"0"),終値!$A:$A,0))-INDEX(終値!$E:$CZ,MATCH(TEXT(C173,"0"),終値!$A:$A,0),$AL$2))/INDEX(終値!$E:$CZ,MATCH(TEXT(C173,"0"),終値!$A:$A,0),$AL$2)*100,""))</f>
        <v>-31.09704641350211</v>
      </c>
      <c r="AG173" s="365">
        <f t="array" ref="AG173">IFERROR((終値!$E$5-INDEX(終値!$E$5:$CZ$5,1,$AL$2))/INDEX(終値!$E$5:$CZ$5,1,$AL$2)*100,"")</f>
        <v>-0.82558151178043282</v>
      </c>
      <c r="AH173" s="366">
        <f t="shared" si="42"/>
        <v>-30.271464901721679</v>
      </c>
      <c r="AI173" s="364">
        <f t="shared" si="43"/>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1834.5</v>
      </c>
      <c r="F174" s="166">
        <f>IF(C174&lt;&gt;"",_xll.RssMarket(C174,"始値"),"")</f>
        <v>1829</v>
      </c>
      <c r="G174" s="165">
        <f>IF(C174&lt;&gt;"",終値!F61,"")</f>
        <v>1832.5</v>
      </c>
      <c r="H174" s="166">
        <f>IF(C174&lt;&gt;"",_xll.RssMarket(C174,"高値"),"")</f>
        <v>1845</v>
      </c>
      <c r="I174" s="166">
        <f>IF(C174&lt;&gt;"",_xll.RssMarket(C174,"安値"),"")</f>
        <v>1826.5</v>
      </c>
      <c r="J174" s="166">
        <f>IF(C174&lt;&gt;"",_xll.RssMarket(C174,"出来高"),"")</f>
        <v>125800</v>
      </c>
      <c r="K174" s="166">
        <f>IF(C174&lt;&gt;"",_xll.RssMarket(C174,"年初来高値"),"")</f>
        <v>1922.5</v>
      </c>
      <c r="L174" s="167">
        <f t="shared" si="34"/>
        <v>-4.5773732119635886</v>
      </c>
      <c r="M174" s="166">
        <f>IF(C174&lt;&gt;"",IFERROR(AVERAGE(出来高!E61:I61),""),"")</f>
        <v>488880</v>
      </c>
      <c r="N174" s="166">
        <f>IF(C174&lt;&gt;"",IFERROR(AVERAGE(出来高!E61:AC61),""),"")</f>
        <v>315392</v>
      </c>
      <c r="O174" s="168">
        <f t="shared" si="35"/>
        <v>0.25732286041564389</v>
      </c>
      <c r="P174" s="163" t="str">
        <f t="shared" si="36"/>
        <v>減少↓</v>
      </c>
      <c r="Q174" s="163" t="str">
        <f t="shared" si="37"/>
        <v>中立→</v>
      </c>
      <c r="R174" s="166">
        <f t="shared" si="44"/>
        <v>1981</v>
      </c>
      <c r="S174" s="166">
        <f t="shared" si="45"/>
        <v>1761</v>
      </c>
      <c r="T174" s="163">
        <f t="shared" si="38"/>
        <v>6</v>
      </c>
      <c r="U174" s="163" t="str">
        <f t="shared" si="46"/>
        <v>要確認</v>
      </c>
      <c r="V174" s="163" t="str">
        <f t="shared" si="39"/>
        <v>高値圏</v>
      </c>
      <c r="W174" s="169">
        <f t="array" ref="W174">IF(C174&lt;&gt;"",IFERROR(100-100/(1+SUMPRODUCT((終値!F61:R61&gt;終値!G61:S61)*( 終値!F61:R61-終値!G61:S61))/SUMPRODUCT((終値!F61:R61&lt;終値!G61:S61)*(終値!G61:S61-終値!F61:R61))),50),"")</f>
        <v>79.625292740046831</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9.9421228392100147</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 t="shared" si="47"/>
        <v>0.10914051841746249</v>
      </c>
      <c r="AA174" s="163" t="str">
        <f t="shared" si="48"/>
        <v>上昇▲</v>
      </c>
      <c r="AB174" s="403">
        <f>IF(C174="","",IFERROR(((終値!E176*0.333)+(終値!F176*0.222)+(終値!G176*0.148)+(終値!H176*0.099)+(終値!I176*0.066)+(終値!J176*0.044)+(終値!K176*0.029)+(終値!L176*0.019)+(終値!M176*0.013)+(終値!N176*0.009))/(0.333+0.222+0.148+0.099+0.066+0.044+0.029+0.019+0.013+0.009),""))</f>
        <v>2424.3350305498975</v>
      </c>
      <c r="AC174" s="403">
        <f>IF(C174="","",IFERROR(SUMPRODUCT((終値!E176:AC176),({0.077,0.071,0.065,0.06,0.055,0.051,0.047,0.043,0.039,0.036,0.033,0.031,0.028,0.026,0.024,0.022,0.02,0.018,0.017,0.016,0.014,0.013,0.012,0.011,0.01}))/SUM({0.077,0.071,0.065,0.06,0.055,0.051,0.047,0.043,0.039,0.036,0.033,0.031,0.028,0.026,0.024,0.022,0.02,0.018,0.017,0.016,0.014,0.013,0.012,0.011,0.01}),""))</f>
        <v>2498.3337306317035</v>
      </c>
      <c r="AD174" s="404" t="str">
        <f t="shared" si="49"/>
        <v>下降トレンド▼</v>
      </c>
      <c r="AE174" s="404" t="str">
        <f t="shared" si="50"/>
        <v>なし</v>
      </c>
      <c r="AF174" s="365">
        <f t="array" ref="AF174">IF(C174="","",IFERROR((INDEX(終値!$E:$E,MATCH(TEXT(C174,"0"),終値!$A:$A,0))-INDEX(終値!$E:$CZ,MATCH(TEXT(C174,"0"),終値!$A:$A,0),$AL$2))/INDEX(終値!$E:$CZ,MATCH(TEXT(C174,"0"),終値!$A:$A,0),$AL$2)*100,""))</f>
        <v>4.1060735671514115</v>
      </c>
      <c r="AG174" s="365">
        <f t="array" ref="AG174">IFERROR((終値!$E$5-INDEX(終値!$E$5:$CZ$5,1,$AL$2))/INDEX(終値!$E$5:$CZ$5,1,$AL$2)*100,"")</f>
        <v>-0.82558151178043282</v>
      </c>
      <c r="AH174" s="366">
        <f t="shared" si="42"/>
        <v>4.9316550789318443</v>
      </c>
      <c r="AI174" s="364">
        <f t="shared" si="43"/>
        <v>1</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1262</v>
      </c>
      <c r="F175" s="166">
        <f>IF(C175&lt;&gt;"",_xll.RssMarket(C175,"始値"),"")</f>
        <v>1248</v>
      </c>
      <c r="G175" s="165">
        <f>IF(C175&lt;&gt;"",終値!F95,"")</f>
        <v>1218</v>
      </c>
      <c r="H175" s="166">
        <f>IF(C175&lt;&gt;"",_xll.RssMarket(C175,"高値"),"")</f>
        <v>1263</v>
      </c>
      <c r="I175" s="166">
        <f>IF(C175&lt;&gt;"",_xll.RssMarket(C175,"安値"),"")</f>
        <v>1240</v>
      </c>
      <c r="J175" s="166">
        <f>IF(C175&lt;&gt;"",_xll.RssMarket(C175,"出来高"),"")</f>
        <v>85300</v>
      </c>
      <c r="K175" s="166">
        <f>IF(C175&lt;&gt;"",_xll.RssMarket(C175,"年初来高値"),"")</f>
        <v>1398</v>
      </c>
      <c r="L175" s="167">
        <f t="shared" si="34"/>
        <v>-9.7281831187410592</v>
      </c>
      <c r="M175" s="166">
        <f>IF(C175&lt;&gt;"",IFERROR(AVERAGE(出来高!E95:I95),""),"")</f>
        <v>185640</v>
      </c>
      <c r="N175" s="166">
        <f>IF(C175&lt;&gt;"",IFERROR(AVERAGE(出来高!E95:AC95),""),"")</f>
        <v>177045.83333333334</v>
      </c>
      <c r="O175" s="168">
        <f t="shared" si="35"/>
        <v>0.45949148890325359</v>
      </c>
      <c r="P175" s="163" t="str">
        <f t="shared" si="36"/>
        <v>減少↓</v>
      </c>
      <c r="Q175" s="163" t="str">
        <f t="shared" si="37"/>
        <v>中立→</v>
      </c>
      <c r="R175" s="166">
        <f t="shared" si="44"/>
        <v>1363</v>
      </c>
      <c r="S175" s="166">
        <f t="shared" si="45"/>
        <v>1212</v>
      </c>
      <c r="T175" s="163">
        <f t="shared" si="38"/>
        <v>0</v>
      </c>
      <c r="U175" s="163" t="str">
        <f t="shared" si="46"/>
        <v>除外</v>
      </c>
      <c r="V175" s="163" t="str">
        <f t="shared" si="39"/>
        <v>通常</v>
      </c>
      <c r="W175" s="169">
        <f t="array" ref="W175">IF(C175&lt;&gt;"",IFERROR(100-100/(1+SUMPRODUCT((終値!F95:R95&gt;終値!G95:S95)*( 終値!F95:R95-終値!G95:S95))/SUMPRODUCT((終値!F95:R95&lt;終値!G95:S95)*(終値!G95:S95-終値!F95:R95))),50),"")</f>
        <v>49.226340410219507</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-17.509769581951332</v>
      </c>
      <c r="Y175" s="1" t="e">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#DIV/0!</v>
      </c>
      <c r="Z175" s="171">
        <f t="shared" si="47"/>
        <v>3.6124794745484397</v>
      </c>
      <c r="AA175" s="163" t="str">
        <f t="shared" si="48"/>
        <v>上昇▲</v>
      </c>
      <c r="AB175" s="405">
        <f>IF(C175="","",IFERROR(((終値!E177*0.333)+(終値!F177*0.222)+(終値!G177*0.148)+(終値!H177*0.099)+(終値!I177*0.066)+(終値!J177*0.044)+(終値!K177*0.029)+(終値!L177*0.019)+(終値!M177*0.013)+(終値!N177*0.009))/(0.333+0.222+0.148+0.099+0.066+0.044+0.029+0.019+0.013+0.009),""))</f>
        <v>0</v>
      </c>
      <c r="AC175" s="405">
        <f>IF(C175="","",IFERROR(SUMPRODUCT((終値!E177:AC177),({0.077,0.071,0.065,0.06,0.055,0.051,0.047,0.043,0.039,0.036,0.033,0.031,0.028,0.026,0.024,0.022,0.02,0.018,0.017,0.016,0.014,0.013,0.012,0.011,0.01}))/SUM({0.077,0.071,0.065,0.06,0.055,0.051,0.047,0.043,0.039,0.036,0.033,0.031,0.028,0.026,0.024,0.022,0.02,0.018,0.017,0.016,0.014,0.013,0.012,0.011,0.01}),""))</f>
        <v>0</v>
      </c>
      <c r="AD175" s="406" t="str">
        <f t="shared" si="49"/>
        <v>上昇トレンド▲</v>
      </c>
      <c r="AE175" s="406" t="e">
        <f t="shared" si="50"/>
        <v>#DIV/0!</v>
      </c>
      <c r="AF175" s="365">
        <f t="array" ref="AF175">IF(C175="","",IFERROR((INDEX(終値!$E:$E,MATCH(TEXT(C175,"0"),終値!$A:$A,0))-INDEX(終値!$E:$CZ,MATCH(TEXT(C175,"0"),終値!$A:$A,0),$AL$2))/INDEX(終値!$E:$CZ,MATCH(TEXT(C175,"0"),終値!$A:$A,0),$AL$2)*100,""))</f>
        <v>-4.4015444015444016</v>
      </c>
      <c r="AG175" s="365">
        <f t="array" ref="AG175">IFERROR((終値!$E$5-INDEX(終値!$E$5:$CZ$5,1,$AL$2))/INDEX(終値!$E$5:$CZ$5,1,$AL$2)*100,"")</f>
        <v>-0.82558151178043282</v>
      </c>
      <c r="AH175" s="366">
        <f t="shared" si="42"/>
        <v>-3.5759628897639688</v>
      </c>
      <c r="AI175" s="364">
        <f t="shared" si="43"/>
        <v>-2</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1592.5</v>
      </c>
      <c r="F176" s="166">
        <f>IF(C176&lt;&gt;"",_xll.RssMarket(C176,"始値"),"")</f>
        <v>1507</v>
      </c>
      <c r="G176" s="165">
        <f>IF(C176&lt;&gt;"",終値!F48,"")</f>
        <v>1490</v>
      </c>
      <c r="H176" s="166">
        <f>IF(C176&lt;&gt;"",_xll.RssMarket(C176,"高値"),"")</f>
        <v>1614.5</v>
      </c>
      <c r="I176" s="166">
        <f>IF(C176&lt;&gt;"",_xll.RssMarket(C176,"安値"),"")</f>
        <v>1492</v>
      </c>
      <c r="J176" s="166">
        <f>IF(C176&lt;&gt;"",_xll.RssMarket(C176,"出来高"),"")</f>
        <v>1443500</v>
      </c>
      <c r="K176" s="166">
        <f>IF(C176&lt;&gt;"",_xll.RssMarket(C176,"年初来高値"),"")</f>
        <v>1565</v>
      </c>
      <c r="L176" s="167">
        <f t="shared" si="34"/>
        <v>1.7571884984025559</v>
      </c>
      <c r="M176" s="166">
        <f>IF(C176&lt;&gt;"",IFERROR(AVERAGE(出来高!E48:I48),""),"")</f>
        <v>1125040</v>
      </c>
      <c r="N176" s="166">
        <f>IF(C176&lt;&gt;"",IFERROR(AVERAGE(出来高!E48:AC48),""),"")</f>
        <v>981808</v>
      </c>
      <c r="O176" s="168">
        <f t="shared" si="35"/>
        <v>1.2830654910047643</v>
      </c>
      <c r="P176" s="163" t="str">
        <f t="shared" si="36"/>
        <v>普通→</v>
      </c>
      <c r="Q176" s="163" t="str">
        <f t="shared" si="37"/>
        <v>中立→</v>
      </c>
      <c r="R176" s="166">
        <f t="shared" si="44"/>
        <v>1720</v>
      </c>
      <c r="S176" s="166">
        <f t="shared" si="45"/>
        <v>1529</v>
      </c>
      <c r="T176" s="163">
        <f t="shared" si="38"/>
        <v>8</v>
      </c>
      <c r="U176" s="163" t="str">
        <f t="shared" si="46"/>
        <v>要確認</v>
      </c>
      <c r="V176" s="163" t="str">
        <f t="shared" si="39"/>
        <v>年初来高値更新●</v>
      </c>
      <c r="W176" s="169">
        <f t="array" ref="W176">IF(C176&lt;&gt;"",IFERROR(100-100/(1+SUMPRODUCT((終値!F48:R48&gt;終値!G48:S48)*( 終値!F48:R48-終値!G48:S48))/SUMPRODUCT((終値!F48:R48&lt;終値!G48:S48)*(終値!G48:S48-終値!F48:R48))),50),"")</f>
        <v>67.857142857142861</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12.498327289951703</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 t="shared" si="47"/>
        <v>6.8791946308724832</v>
      </c>
      <c r="AA176" s="163" t="str">
        <f t="shared" si="48"/>
        <v>上昇▲</v>
      </c>
      <c r="AB176" s="403">
        <f>IF(C176="","",IFERROR(((終値!E178*0.333)+(終値!F178*0.222)+(終値!G178*0.148)+(終値!H178*0.099)+(終値!I178*0.066)+(終値!J178*0.044)+(終値!K178*0.029)+(終値!L178*0.019)+(終値!M178*0.013)+(終値!N178*0.009))/(0.333+0.222+0.148+0.099+0.066+0.044+0.029+0.019+0.013+0.009),""))</f>
        <v>3818.6252545824836</v>
      </c>
      <c r="AC176" s="403">
        <f>IF(C176="","",IFERROR(SUMPRODUCT((終値!E178:AC178),({0.077,0.071,0.065,0.06,0.055,0.051,0.047,0.043,0.039,0.036,0.033,0.031,0.028,0.026,0.024,0.022,0.02,0.018,0.017,0.016,0.014,0.013,0.012,0.011,0.01}))/SUM({0.077,0.071,0.065,0.06,0.055,0.051,0.047,0.043,0.039,0.036,0.033,0.031,0.028,0.026,0.024,0.022,0.02,0.018,0.017,0.016,0.014,0.013,0.012,0.011,0.01}),""))</f>
        <v>3640.1704410011907</v>
      </c>
      <c r="AD176" s="404" t="str">
        <f t="shared" si="49"/>
        <v>もみ合い→</v>
      </c>
      <c r="AE176" s="404" t="str">
        <f t="shared" si="50"/>
        <v>なし</v>
      </c>
      <c r="AF176" s="365">
        <f t="array" ref="AF176">IF(C176="","",IFERROR((INDEX(終値!$E:$E,MATCH(TEXT(C176,"0"),終値!$A:$A,0))-INDEX(終値!$E:$CZ,MATCH(TEXT(C176,"0"),終値!$A:$A,0),$AL$2))/INDEX(終値!$E:$CZ,MATCH(TEXT(C176,"0"),終値!$A:$A,0),$AL$2)*100,""))</f>
        <v>3.8956521739130432</v>
      </c>
      <c r="AG176" s="365">
        <f t="array" ref="AG176">IFERROR((終値!$E$5-INDEX(終値!$E$5:$CZ$5,1,$AL$2))/INDEX(終値!$E$5:$CZ$5,1,$AL$2)*100,"")</f>
        <v>-0.82558151178043282</v>
      </c>
      <c r="AH176" s="366">
        <f t="shared" si="42"/>
        <v>4.721233685693476</v>
      </c>
      <c r="AI176" s="364">
        <f t="shared" si="43"/>
        <v>1</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7370</v>
      </c>
      <c r="F177" s="166">
        <f>IF(C177&lt;&gt;"",_xll.RssMarket(C177,"始値"),"")</f>
        <v>7300</v>
      </c>
      <c r="G177" s="165">
        <f>IF(C177&lt;&gt;"",終値!F159,"")</f>
        <v>6810</v>
      </c>
      <c r="H177" s="166">
        <f>IF(C177&lt;&gt;"",_xll.RssMarket(C177,"高値"),"")</f>
        <v>7700</v>
      </c>
      <c r="I177" s="166">
        <f>IF(C177&lt;&gt;"",_xll.RssMarket(C177,"安値"),"")</f>
        <v>7140</v>
      </c>
      <c r="J177" s="166">
        <f>IF(C177&lt;&gt;"",_xll.RssMarket(C177,"出来高"),"")</f>
        <v>244100</v>
      </c>
      <c r="K177" s="166">
        <f>IF(C177&lt;&gt;"",_xll.RssMarket(C177,"年初来高値"),"")</f>
        <v>11110</v>
      </c>
      <c r="L177" s="167">
        <f t="shared" si="34"/>
        <v>-33.663366336633665</v>
      </c>
      <c r="M177" s="166">
        <f>IF(C177&lt;&gt;"",IFERROR(AVERAGE(出来高!E159:I159),""),"")</f>
        <v>382260</v>
      </c>
      <c r="N177" s="166">
        <f>IF(C177&lt;&gt;"",IFERROR(AVERAGE(出来高!E159:AC159),""),"")</f>
        <v>210892</v>
      </c>
      <c r="O177" s="168">
        <f t="shared" si="35"/>
        <v>0.63857060639355412</v>
      </c>
      <c r="P177" s="163" t="str">
        <f t="shared" si="36"/>
        <v>減少↓</v>
      </c>
      <c r="Q177" s="163" t="str">
        <f t="shared" si="37"/>
        <v>中立→</v>
      </c>
      <c r="R177" s="166">
        <f t="shared" si="44"/>
        <v>7960</v>
      </c>
      <c r="S177" s="166">
        <f t="shared" si="45"/>
        <v>7075</v>
      </c>
      <c r="T177" s="163">
        <f t="shared" si="38"/>
        <v>3</v>
      </c>
      <c r="U177" s="163" t="str">
        <f t="shared" si="46"/>
        <v>要確認</v>
      </c>
      <c r="V177" s="163" t="str">
        <f t="shared" si="39"/>
        <v>通常</v>
      </c>
      <c r="W177" s="169">
        <f t="array" ref="W177">IF(C177&lt;&gt;"",IFERROR(100-100/(1+SUMPRODUCT((終値!F159:R159&gt;終値!G159:S159)*( 終値!F159:R159-終値!G159:S159))/SUMPRODUCT((終値!F159:R159&lt;終値!G159:S159)*(終値!G159:S159-終値!F159:R159))),50),"")</f>
        <v>42.372881355932208</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-269.95004756426806</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様子見</v>
      </c>
      <c r="Z177" s="171">
        <f t="shared" si="47"/>
        <v>8.2232011747430249</v>
      </c>
      <c r="AA177" s="163" t="str">
        <f t="shared" si="48"/>
        <v>上昇▲</v>
      </c>
      <c r="AB177" s="405">
        <f>IF(C177="","",IFERROR(((終値!E179*0.333)+(終値!F179*0.222)+(終値!G179*0.148)+(終値!H179*0.099)+(終値!I179*0.066)+(終値!J179*0.044)+(終値!K179*0.029)+(終値!L179*0.019)+(終値!M179*0.013)+(終値!N179*0.009))/(0.333+0.222+0.148+0.099+0.066+0.044+0.029+0.019+0.013+0.009),""))</f>
        <v>2852.1313645621171</v>
      </c>
      <c r="AC177" s="405">
        <f>IF(C177="","",IFERROR(SUMPRODUCT((終値!E179:AC179),({0.077,0.071,0.065,0.06,0.055,0.051,0.047,0.043,0.039,0.036,0.033,0.031,0.028,0.026,0.024,0.022,0.02,0.018,0.017,0.016,0.014,0.013,0.012,0.011,0.01}))/SUM({0.077,0.071,0.065,0.06,0.055,0.051,0.047,0.043,0.039,0.036,0.033,0.031,0.028,0.026,0.024,0.022,0.02,0.018,0.017,0.016,0.014,0.013,0.012,0.011,0.01}),""))</f>
        <v>2780.8939213349217</v>
      </c>
      <c r="AD177" s="406" t="str">
        <f t="shared" si="49"/>
        <v>パーフェクト▲</v>
      </c>
      <c r="AE177" s="406" t="str">
        <f t="shared" si="50"/>
        <v>なし</v>
      </c>
      <c r="AF177" s="365">
        <f t="array" ref="AF177">IF(C177="","",IFERROR((INDEX(終値!$E:$E,MATCH(TEXT(C177,"0"),終値!$A:$A,0))-INDEX(終値!$E:$CZ,MATCH(TEXT(C177,"0"),終値!$A:$A,0),$AL$2))/INDEX(終値!$E:$CZ,MATCH(TEXT(C177,"0"),終値!$A:$A,0),$AL$2)*100,""))</f>
        <v>-31.863727454909817</v>
      </c>
      <c r="AG177" s="365">
        <f t="array" ref="AG177">IFERROR((終値!$E$5-INDEX(終値!$E$5:$CZ$5,1,$AL$2))/INDEX(終値!$E$5:$CZ$5,1,$AL$2)*100,"")</f>
        <v>-0.82558151178043282</v>
      </c>
      <c r="AH177" s="366">
        <f t="shared" si="42"/>
        <v>-31.038145943129386</v>
      </c>
      <c r="AI177" s="364">
        <f t="shared" si="43"/>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1354</v>
      </c>
      <c r="F178" s="166">
        <f>IF(C178&lt;&gt;"",_xll.RssMarket(C178,"始値"),"")</f>
        <v>1325</v>
      </c>
      <c r="G178" s="165">
        <f>IF(C178&lt;&gt;"",終値!F32,"")</f>
        <v>1345</v>
      </c>
      <c r="H178" s="166">
        <f>IF(C178&lt;&gt;"",_xll.RssMarket(C178,"高値"),"")</f>
        <v>1373</v>
      </c>
      <c r="I178" s="166">
        <f>IF(C178&lt;&gt;"",_xll.RssMarket(C178,"安値"),"")</f>
        <v>1317</v>
      </c>
      <c r="J178" s="166">
        <f>IF(C178&lt;&gt;"",_xll.RssMarket(C178,"出来高"),"")</f>
        <v>346900</v>
      </c>
      <c r="K178" s="166">
        <f>IF(C178&lt;&gt;"",_xll.RssMarket(C178,"年初来高値"),"")</f>
        <v>1612</v>
      </c>
      <c r="L178" s="167">
        <f t="shared" si="34"/>
        <v>-16.00496277915633</v>
      </c>
      <c r="M178" s="166">
        <f>IF(C178&lt;&gt;"",IFERROR(AVERAGE(出来高!E32:I32),""),"")</f>
        <v>1334140</v>
      </c>
      <c r="N178" s="166">
        <f>IF(C178&lt;&gt;"",IFERROR(AVERAGE(出来高!E32:AC32),""),"")</f>
        <v>904924</v>
      </c>
      <c r="O178" s="168">
        <f t="shared" si="35"/>
        <v>0.26001768929797475</v>
      </c>
      <c r="P178" s="163" t="str">
        <f t="shared" si="36"/>
        <v>減少↓</v>
      </c>
      <c r="Q178" s="163" t="str">
        <f t="shared" si="37"/>
        <v>中立→</v>
      </c>
      <c r="R178" s="166">
        <f t="shared" si="44"/>
        <v>1462</v>
      </c>
      <c r="S178" s="166">
        <f t="shared" si="45"/>
        <v>1300</v>
      </c>
      <c r="T178" s="163">
        <f t="shared" si="38"/>
        <v>6</v>
      </c>
      <c r="U178" s="163" t="str">
        <f t="shared" si="46"/>
        <v>要確認</v>
      </c>
      <c r="V178" s="163" t="str">
        <f t="shared" si="39"/>
        <v>通常</v>
      </c>
      <c r="W178" s="169">
        <f t="array" ref="W178">IF(C178&lt;&gt;"",IFERROR(100-100/(1+SUMPRODUCT((終値!F32:R32&gt;終値!G32:S32)*( 終値!F32:R32-終値!G32:S32))/SUMPRODUCT((終値!F32:R32&lt;終値!G32:S32)*(終値!G32:S32-終値!F32:R32))),50),"")</f>
        <v>50.300601202404813</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12.420470149937273</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△注目</v>
      </c>
      <c r="Z178" s="171">
        <f t="shared" si="47"/>
        <v>0.66914498141263945</v>
      </c>
      <c r="AA178" s="163" t="str">
        <f t="shared" si="48"/>
        <v>上昇▲</v>
      </c>
      <c r="AB178" s="403">
        <f>IF(C178="","",IFERROR(((終値!E180*0.333)+(終値!F180*0.222)+(終値!G180*0.148)+(終値!H180*0.099)+(終値!I180*0.066)+(終値!J180*0.044)+(終値!K180*0.029)+(終値!L180*0.019)+(終値!M180*0.013)+(終値!N180*0.009))/(0.333+0.222+0.148+0.099+0.066+0.044+0.029+0.019+0.013+0.009),""))</f>
        <v>1872.5947046843173</v>
      </c>
      <c r="AC178" s="403">
        <f>IF(C178="","",IFERROR(SUMPRODUCT((終値!E180:AC180),({0.077,0.071,0.065,0.06,0.055,0.051,0.047,0.043,0.039,0.036,0.033,0.031,0.028,0.026,0.024,0.022,0.02,0.018,0.017,0.016,0.014,0.013,0.012,0.011,0.01}))/SUM({0.077,0.071,0.065,0.06,0.055,0.051,0.047,0.043,0.039,0.036,0.033,0.031,0.028,0.026,0.024,0.022,0.02,0.018,0.017,0.016,0.014,0.013,0.012,0.011,0.01}),""))</f>
        <v>1786.4970202622167</v>
      </c>
      <c r="AD178" s="404" t="str">
        <f t="shared" si="49"/>
        <v>もみ合い→</v>
      </c>
      <c r="AE178" s="404" t="str">
        <f t="shared" si="50"/>
        <v>なし</v>
      </c>
      <c r="AF178" s="365">
        <f t="array" ref="AF178">IF(C178="","",IFERROR((INDEX(終値!$E:$E,MATCH(TEXT(C178,"0"),終値!$A:$A,0))-INDEX(終値!$E:$CZ,MATCH(TEXT(C178,"0"),終値!$A:$A,0),$AL$2))/INDEX(終値!$E:$CZ,MATCH(TEXT(C178,"0"),終値!$A:$A,0),$AL$2)*100,""))</f>
        <v>5.3543307086614176</v>
      </c>
      <c r="AG178" s="365">
        <f t="array" ref="AG178">IFERROR((終値!$E$5-INDEX(終値!$E$5:$CZ$5,1,$AL$2))/INDEX(終値!$E$5:$CZ$5,1,$AL$2)*100,"")</f>
        <v>-0.82558151178043282</v>
      </c>
      <c r="AH178" s="366">
        <f t="shared" si="42"/>
        <v>6.1799122204418504</v>
      </c>
      <c r="AI178" s="364">
        <f t="shared" si="43"/>
        <v>3</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857.2</v>
      </c>
      <c r="F179" s="166">
        <f>IF(C179&lt;&gt;"",_xll.RssMarket(C179,"始値"),"")</f>
        <v>864.3</v>
      </c>
      <c r="G179" s="165">
        <f>IF(C179&lt;&gt;"",終値!F41,"")</f>
        <v>876.3</v>
      </c>
      <c r="H179" s="166">
        <f>IF(C179&lt;&gt;"",_xll.RssMarket(C179,"高値"),"")</f>
        <v>878.1</v>
      </c>
      <c r="I179" s="166">
        <f>IF(C179&lt;&gt;"",_xll.RssMarket(C179,"安値"),"")</f>
        <v>842.5</v>
      </c>
      <c r="J179" s="166">
        <f>IF(C179&lt;&gt;"",_xll.RssMarket(C179,"出来高"),"")</f>
        <v>4205000</v>
      </c>
      <c r="K179" s="166">
        <f>IF(C179&lt;&gt;"",_xll.RssMarket(C179,"年初来高値"),"")</f>
        <v>990.7</v>
      </c>
      <c r="L179" s="167">
        <f t="shared" si="34"/>
        <v>-13.475320480468355</v>
      </c>
      <c r="M179" s="166">
        <f>IF(C179&lt;&gt;"",IFERROR(AVERAGE(出来高!E41:I41),""),"")</f>
        <v>5131240</v>
      </c>
      <c r="N179" s="166">
        <f>IF(C179&lt;&gt;"",IFERROR(AVERAGE(出来高!E41:AC41),""),"")</f>
        <v>4063000</v>
      </c>
      <c r="O179" s="168">
        <f t="shared" si="35"/>
        <v>0.81949002580272989</v>
      </c>
      <c r="P179" s="163" t="str">
        <f t="shared" si="36"/>
        <v>減少↓</v>
      </c>
      <c r="Q179" s="163" t="str">
        <f t="shared" si="37"/>
        <v>様子見▼</v>
      </c>
      <c r="R179" s="166">
        <f t="shared" si="44"/>
        <v>926</v>
      </c>
      <c r="S179" s="166">
        <f t="shared" si="45"/>
        <v>823</v>
      </c>
      <c r="T179" s="163">
        <f t="shared" si="38"/>
        <v>4</v>
      </c>
      <c r="U179" s="163" t="str">
        <f t="shared" si="46"/>
        <v>要確認</v>
      </c>
      <c r="V179" s="163" t="str">
        <f t="shared" si="39"/>
        <v>通常</v>
      </c>
      <c r="W179" s="169">
        <f t="array" ref="W179">IF(C179&lt;&gt;"",IFERROR(100-100/(1+SUMPRODUCT((終値!F41:R41&gt;終値!G41:S41)*( 終値!F41:R41-終値!G41:S41))/SUMPRODUCT((終値!F41:R41&lt;終値!G41:S41)*(終値!G41:S41-終値!F41:R41))),50),"")</f>
        <v>75.847457627118587</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9.3065702379013828</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様子見</v>
      </c>
      <c r="Z179" s="171">
        <f t="shared" si="47"/>
        <v>-2.1796188519913171</v>
      </c>
      <c r="AA179" s="163" t="str">
        <f t="shared" si="48"/>
        <v>下落▼</v>
      </c>
      <c r="AB179" s="405">
        <f>IF(C179="","",IFERROR(((終値!E181*0.333)+(終値!F181*0.222)+(終値!G181*0.148)+(終値!H181*0.099)+(終値!I181*0.066)+(終値!J181*0.044)+(終値!K181*0.029)+(終値!L181*0.019)+(終値!M181*0.013)+(終値!N181*0.009))/(0.333+0.222+0.148+0.099+0.066+0.044+0.029+0.019+0.013+0.009),""))</f>
        <v>949.82973523421583</v>
      </c>
      <c r="AC179" s="405">
        <f>IF(C179="","",IFERROR(SUMPRODUCT((終値!E181:AC181),({0.077,0.071,0.065,0.06,0.055,0.051,0.047,0.043,0.039,0.036,0.033,0.031,0.028,0.026,0.024,0.022,0.02,0.018,0.017,0.016,0.014,0.013,0.012,0.011,0.01}))/SUM({0.077,0.071,0.065,0.06,0.055,0.051,0.047,0.043,0.039,0.036,0.033,0.031,0.028,0.026,0.024,0.022,0.02,0.018,0.017,0.016,0.014,0.013,0.012,0.011,0.01}),""))</f>
        <v>937.43611442193082</v>
      </c>
      <c r="AD179" s="406" t="str">
        <f t="shared" si="49"/>
        <v>もみ合い→</v>
      </c>
      <c r="AE179" s="406" t="str">
        <f t="shared" si="50"/>
        <v>なし</v>
      </c>
      <c r="AF179" s="365">
        <f t="array" ref="AF179">IF(C179="","",IFERROR((INDEX(終値!$E:$E,MATCH(TEXT(C179,"0"),終値!$A:$A,0))-INDEX(終値!$E:$CZ,MATCH(TEXT(C179,"0"),終値!$A:$A,0),$AL$2))/INDEX(終値!$E:$CZ,MATCH(TEXT(C179,"0"),終値!$A:$A,0),$AL$2)*100,""))</f>
        <v>8.3571339873339223</v>
      </c>
      <c r="AG179" s="365">
        <f t="array" ref="AG179">IFERROR((終値!$E$5-INDEX(終値!$E$5:$CZ$5,1,$AL$2))/INDEX(終値!$E$5:$CZ$5,1,$AL$2)*100,"")</f>
        <v>-0.82558151178043282</v>
      </c>
      <c r="AH179" s="366">
        <f t="shared" si="42"/>
        <v>9.1827154991143551</v>
      </c>
      <c r="AI179" s="364">
        <f t="shared" si="43"/>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2209</v>
      </c>
      <c r="F180" s="166">
        <f>IF(C180&lt;&gt;"",_xll.RssMarket(C180,"始値"),"")</f>
        <v>2225</v>
      </c>
      <c r="G180" s="165">
        <f>IF(C180&lt;&gt;"",終値!F71,"")</f>
        <v>2225</v>
      </c>
      <c r="H180" s="166">
        <f>IF(C180&lt;&gt;"",_xll.RssMarket(C180,"高値"),"")</f>
        <v>2243</v>
      </c>
      <c r="I180" s="166">
        <f>IF(C180&lt;&gt;"",_xll.RssMarket(C180,"安値"),"")</f>
        <v>2201</v>
      </c>
      <c r="J180" s="166">
        <f>IF(C180&lt;&gt;"",_xll.RssMarket(C180,"出来高"),"")</f>
        <v>35600</v>
      </c>
      <c r="K180" s="166">
        <f>IF(C180&lt;&gt;"",_xll.RssMarket(C180,"年初来高値"),"")</f>
        <v>2653</v>
      </c>
      <c r="L180" s="167">
        <f t="shared" si="34"/>
        <v>-16.735770825480589</v>
      </c>
      <c r="M180" s="166">
        <f>IF(C180&lt;&gt;"",IFERROR(AVERAGE(出来高!E71:I71),""),"")</f>
        <v>120160</v>
      </c>
      <c r="N180" s="166">
        <f>IF(C180&lt;&gt;"",IFERROR(AVERAGE(出来高!E71:AC71),""),"")</f>
        <v>93908</v>
      </c>
      <c r="O180" s="168">
        <f t="shared" si="35"/>
        <v>0.29627163781624499</v>
      </c>
      <c r="P180" s="163" t="str">
        <f t="shared" si="36"/>
        <v>減少↓</v>
      </c>
      <c r="Q180" s="163" t="str">
        <f t="shared" si="37"/>
        <v>様子見▼</v>
      </c>
      <c r="R180" s="166">
        <f t="shared" si="44"/>
        <v>2386</v>
      </c>
      <c r="S180" s="166">
        <f t="shared" si="45"/>
        <v>2121</v>
      </c>
      <c r="T180" s="163">
        <f t="shared" si="38"/>
        <v>4</v>
      </c>
      <c r="U180" s="163" t="str">
        <f t="shared" si="46"/>
        <v>要確認</v>
      </c>
      <c r="V180" s="163" t="str">
        <f t="shared" si="39"/>
        <v>通常</v>
      </c>
      <c r="W180" s="169">
        <f t="array" ref="W180">IF(C180&lt;&gt;"",IFERROR(100-100/(1+SUMPRODUCT((終値!F71:R71&gt;終値!G71:S71)*( 終値!F71:R71-終値!G71:S71))/SUMPRODUCT((終値!F71:R71&lt;終値!G71:S71)*(終値!G71:S71-終値!F71:R71))),50),"")</f>
        <v>29.166666666666657</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-18.557268178904906</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 t="shared" si="47"/>
        <v>-0.7191011235955056</v>
      </c>
      <c r="AA180" s="163" t="str">
        <f t="shared" si="48"/>
        <v>下落▼</v>
      </c>
      <c r="AB180" s="403">
        <f>IF(C180="","",IFERROR(((終値!E182*0.333)+(終値!F182*0.222)+(終値!G182*0.148)+(終値!H182*0.099)+(終値!I182*0.066)+(終値!J182*0.044)+(終値!K182*0.029)+(終値!L182*0.019)+(終値!M182*0.013)+(終値!N182*0.009))/(0.333+0.222+0.148+0.099+0.066+0.044+0.029+0.019+0.013+0.009),""))</f>
        <v>2372.4490835030542</v>
      </c>
      <c r="AC180" s="403">
        <f>IF(C180="","",IFERROR(SUMPRODUCT((終値!E182:AC182),({0.077,0.071,0.065,0.06,0.055,0.051,0.047,0.043,0.039,0.036,0.033,0.031,0.028,0.026,0.024,0.022,0.02,0.018,0.017,0.016,0.014,0.013,0.012,0.011,0.01}))/SUM({0.077,0.071,0.065,0.06,0.055,0.051,0.047,0.043,0.039,0.036,0.033,0.031,0.028,0.026,0.024,0.022,0.02,0.018,0.017,0.016,0.014,0.013,0.012,0.011,0.01}),""))</f>
        <v>2341.7687723480331</v>
      </c>
      <c r="AD180" s="404" t="str">
        <f t="shared" si="49"/>
        <v>もみ合い→</v>
      </c>
      <c r="AE180" s="404" t="str">
        <f t="shared" si="50"/>
        <v>なし</v>
      </c>
      <c r="AF180" s="365">
        <f t="array" ref="AF180">IF(C180="","",IFERROR((INDEX(終値!$E:$E,MATCH(TEXT(C180,"0"),終値!$A:$A,0))-INDEX(終値!$E:$CZ,MATCH(TEXT(C180,"0"),終値!$A:$A,0),$AL$2))/INDEX(終値!$E:$CZ,MATCH(TEXT(C180,"0"),終値!$A:$A,0),$AL$2)*100,""))</f>
        <v>0.45454545454545453</v>
      </c>
      <c r="AG180" s="365">
        <f t="array" ref="AG180">IFERROR((終値!$E$5-INDEX(終値!$E$5:$CZ$5,1,$AL$2))/INDEX(終値!$E$5:$CZ$5,1,$AL$2)*100,"")</f>
        <v>-0.82558151178043282</v>
      </c>
      <c r="AH180" s="366">
        <f t="shared" si="42"/>
        <v>1.2801269663258874</v>
      </c>
      <c r="AI180" s="364">
        <f t="shared" si="43"/>
        <v>1</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3716</v>
      </c>
      <c r="F181" s="166">
        <f>IF(C181&lt;&gt;"",_xll.RssMarket(C181,"始値"),"")</f>
        <v>3777</v>
      </c>
      <c r="G181" s="165">
        <f>IF(C181&lt;&gt;"",終値!F28,"")</f>
        <v>6348</v>
      </c>
      <c r="H181" s="166">
        <f>IF(C181&lt;&gt;"",_xll.RssMarket(C181,"高値"),"")</f>
        <v>3869</v>
      </c>
      <c r="I181" s="166">
        <f>IF(C181&lt;&gt;"",_xll.RssMarket(C181,"安値"),"")</f>
        <v>3696</v>
      </c>
      <c r="J181" s="166">
        <f>IF(C181&lt;&gt;"",_xll.RssMarket(C181,"出来高"),"")</f>
        <v>9679400</v>
      </c>
      <c r="K181" s="166">
        <f>IF(C181&lt;&gt;"",_xll.RssMarket(C181,"年初来高値"),"")</f>
        <v>5939</v>
      </c>
      <c r="L181" s="167">
        <f t="shared" si="34"/>
        <v>-37.43054386260313</v>
      </c>
      <c r="M181" s="166">
        <f>IF(C181&lt;&gt;"",IFERROR(AVERAGE(出来高!E28:I28),""),"")</f>
        <v>3858360</v>
      </c>
      <c r="N181" s="166">
        <f>IF(C181&lt;&gt;"",IFERROR(AVERAGE(出来高!E28:AC28),""),"")</f>
        <v>3745028</v>
      </c>
      <c r="O181" s="168">
        <f t="shared" si="35"/>
        <v>2.5086824453913064</v>
      </c>
      <c r="P181" s="163" t="str">
        <f t="shared" si="36"/>
        <v>急増↑↑</v>
      </c>
      <c r="Q181" s="163" t="str">
        <f t="shared" si="37"/>
        <v>様子見▼</v>
      </c>
      <c r="R181" s="166">
        <f t="shared" si="44"/>
        <v>4013</v>
      </c>
      <c r="S181" s="166">
        <f t="shared" si="45"/>
        <v>3567</v>
      </c>
      <c r="T181" s="163">
        <f t="shared" si="38"/>
        <v>7</v>
      </c>
      <c r="U181" s="163" t="str">
        <f t="shared" si="46"/>
        <v>有効</v>
      </c>
      <c r="V181" s="163" t="str">
        <f t="shared" si="39"/>
        <v>通常</v>
      </c>
      <c r="W181" s="169">
        <f t="array" ref="W181">IF(C181&lt;&gt;"",IFERROR(100-100/(1+SUMPRODUCT((終値!F28:R28&gt;終値!G28:S28)*( 終値!F28:R28-終値!G28:S28))/SUMPRODUCT((終値!F28:R28&lt;終値!G28:S28)*(終値!G28:S28-終値!F28:R28))),50),"")</f>
        <v>49.722830991362642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-19.412414075840388</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△注目</v>
      </c>
      <c r="Z181" s="171">
        <f t="shared" si="47"/>
        <v>-41.461877756773788</v>
      </c>
      <c r="AA181" s="163" t="str">
        <f t="shared" si="48"/>
        <v>下落▼</v>
      </c>
      <c r="AB181" s="405">
        <f>IF(C181="","",IFERROR(((終値!E183*0.333)+(終値!F183*0.222)+(終値!G183*0.148)+(終値!H183*0.099)+(終値!I183*0.066)+(終値!J183*0.044)+(終値!K183*0.029)+(終値!L183*0.019)+(終値!M183*0.013)+(終値!N183*0.009))/(0.333+0.222+0.148+0.099+0.066+0.044+0.029+0.019+0.013+0.009),""))</f>
        <v>13403.533604887982</v>
      </c>
      <c r="AC181" s="405">
        <f>IF(C181="","",IFERROR(SUMPRODUCT((終値!E183:AC183),({0.077,0.071,0.065,0.06,0.055,0.051,0.047,0.043,0.039,0.036,0.033,0.031,0.028,0.026,0.024,0.022,0.02,0.018,0.017,0.016,0.014,0.013,0.012,0.011,0.01}))/SUM({0.077,0.071,0.065,0.06,0.055,0.051,0.047,0.043,0.039,0.036,0.033,0.031,0.028,0.026,0.024,0.022,0.02,0.018,0.017,0.016,0.014,0.013,0.012,0.011,0.01}),""))</f>
        <v>13847.651966626929</v>
      </c>
      <c r="AD181" s="406" t="str">
        <f t="shared" si="49"/>
        <v>下降トレンド▼</v>
      </c>
      <c r="AE181" s="406" t="str">
        <f t="shared" si="50"/>
        <v>なし</v>
      </c>
      <c r="AF181" s="365">
        <f t="array" ref="AF181">IF(C181="","",IFERROR((INDEX(終値!$E:$E,MATCH(TEXT(C181,"0"),終値!$A:$A,0))-INDEX(終値!$E:$CZ,MATCH(TEXT(C181,"0"),終値!$A:$A,0),$AL$2))/INDEX(終値!$E:$CZ,MATCH(TEXT(C181,"0"),終値!$A:$A,0),$AL$2)*100,""))</f>
        <v>3.0954708374063213</v>
      </c>
      <c r="AG181" s="365">
        <f t="array" ref="AG181">IFERROR((終値!$E$5-INDEX(終値!$E$5:$CZ$5,1,$AL$2))/INDEX(終値!$E$5:$CZ$5,1,$AL$2)*100,"")</f>
        <v>-0.82558151178043282</v>
      </c>
      <c r="AH181" s="366">
        <f t="shared" si="42"/>
        <v>3.9210523491867542</v>
      </c>
      <c r="AI181" s="364">
        <f t="shared" si="43"/>
        <v>1</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1629</v>
      </c>
      <c r="F182" s="166">
        <f>IF(C182&lt;&gt;"",_xll.RssMarket(C182,"始値"),"")</f>
        <v>1610</v>
      </c>
      <c r="G182" s="165">
        <f>IF(C182&lt;&gt;"",終値!F94,"")</f>
        <v>1647.5</v>
      </c>
      <c r="H182" s="166">
        <f>IF(C182&lt;&gt;"",_xll.RssMarket(C182,"高値"),"")</f>
        <v>1639.5</v>
      </c>
      <c r="I182" s="166">
        <f>IF(C182&lt;&gt;"",_xll.RssMarket(C182,"安値"),"")</f>
        <v>1605</v>
      </c>
      <c r="J182" s="166">
        <f>IF(C182&lt;&gt;"",_xll.RssMarket(C182,"出来高"),"")</f>
        <v>5390900</v>
      </c>
      <c r="K182" s="166">
        <f>IF(C182&lt;&gt;"",_xll.RssMarket(C182,"年初来高値"),"")</f>
        <v>1906</v>
      </c>
      <c r="L182" s="167">
        <f t="shared" si="34"/>
        <v>-14.53305351521511</v>
      </c>
      <c r="M182" s="166">
        <f>IF(C182&lt;&gt;"",IFERROR(AVERAGE(出来高!E94:I94),""),"")</f>
        <v>10039920</v>
      </c>
      <c r="N182" s="166">
        <f>IF(C182&lt;&gt;"",IFERROR(AVERAGE(出来高!E94:AC94),""),"")</f>
        <v>5478140</v>
      </c>
      <c r="O182" s="168">
        <f t="shared" si="35"/>
        <v>0.53694650953394052</v>
      </c>
      <c r="P182" s="163" t="str">
        <f t="shared" si="36"/>
        <v>減少↓</v>
      </c>
      <c r="Q182" s="163" t="str">
        <f t="shared" si="37"/>
        <v>様子見▼</v>
      </c>
      <c r="R182" s="166">
        <f t="shared" si="44"/>
        <v>1759</v>
      </c>
      <c r="S182" s="166">
        <f t="shared" si="45"/>
        <v>1564</v>
      </c>
      <c r="T182" s="163">
        <f t="shared" si="38"/>
        <v>0</v>
      </c>
      <c r="U182" s="163" t="str">
        <f t="shared" si="46"/>
        <v>除外</v>
      </c>
      <c r="V182" s="163" t="str">
        <f t="shared" si="39"/>
        <v>通常</v>
      </c>
      <c r="W182" s="169">
        <f t="array" ref="W182">IF(C182&lt;&gt;"",IFERROR(100-100/(1+SUMPRODUCT((終値!F94:R94&gt;終値!G94:S94)*( 終値!F94:R94-終値!G94:S94))/SUMPRODUCT((終値!F94:R94&lt;終値!G94:S94)*(終値!G94:S94-終値!F94:R94))),50),"")</f>
        <v>32.389937106918239</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-18.90746162020946</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 t="shared" si="47"/>
        <v>-1.1229135053110775</v>
      </c>
      <c r="AA182" s="163" t="str">
        <f t="shared" si="48"/>
        <v>下落▼</v>
      </c>
      <c r="AB182" s="403">
        <f>IF(C182="","",IFERROR(((終値!E184*0.333)+(終値!F184*0.222)+(終値!G184*0.148)+(終値!H184*0.099)+(終値!I184*0.066)+(終値!J184*0.044)+(終値!K184*0.029)+(終値!L184*0.019)+(終値!M184*0.013)+(終値!N184*0.009))/(0.333+0.222+0.148+0.099+0.066+0.044+0.029+0.019+0.013+0.009),""))</f>
        <v>3947.3737270875758</v>
      </c>
      <c r="AC182" s="403">
        <f>IF(C182="","",IFERROR(SUMPRODUCT((終値!E184:AC184),({0.077,0.071,0.065,0.06,0.055,0.051,0.047,0.043,0.039,0.036,0.033,0.031,0.028,0.026,0.024,0.022,0.02,0.018,0.017,0.016,0.014,0.013,0.012,0.011,0.01}))/SUM({0.077,0.071,0.065,0.06,0.055,0.051,0.047,0.043,0.039,0.036,0.033,0.031,0.028,0.026,0.024,0.022,0.02,0.018,0.017,0.016,0.014,0.013,0.012,0.011,0.01}),""))</f>
        <v>3864.8796185935626</v>
      </c>
      <c r="AD182" s="404" t="str">
        <f t="shared" si="49"/>
        <v>もみ合い→</v>
      </c>
      <c r="AE182" s="404" t="str">
        <f t="shared" si="50"/>
        <v>なし</v>
      </c>
      <c r="AF182" s="365">
        <f t="array" ref="AF182">IF(C182="","",IFERROR((INDEX(終値!$E:$E,MATCH(TEXT(C182,"0"),終値!$A:$A,0))-INDEX(終値!$E:$CZ,MATCH(TEXT(C182,"0"),終値!$A:$A,0),$AL$2))/INDEX(終値!$E:$CZ,MATCH(TEXT(C182,"0"),終値!$A:$A,0),$AL$2)*100,""))</f>
        <v>-12.420293873024674</v>
      </c>
      <c r="AG182" s="365">
        <f t="array" ref="AG182">IFERROR((終値!$E$5-INDEX(終値!$E$5:$CZ$5,1,$AL$2))/INDEX(終値!$E$5:$CZ$5,1,$AL$2)*100,"")</f>
        <v>-0.82558151178043282</v>
      </c>
      <c r="AH182" s="366">
        <f t="shared" si="42"/>
        <v>-11.594712361244241</v>
      </c>
      <c r="AI182" s="364">
        <f t="shared" si="43"/>
        <v>-2</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1177</v>
      </c>
      <c r="F183" s="166">
        <f>IF(C183&lt;&gt;"",_xll.RssMarket(C183,"始値"),"")</f>
        <v>1151</v>
      </c>
      <c r="G183" s="165">
        <f>IF(C183&lt;&gt;"",終値!F44,"")</f>
        <v>1129.5</v>
      </c>
      <c r="H183" s="166">
        <f>IF(C183&lt;&gt;"",_xll.RssMarket(C183,"高値"),"")</f>
        <v>1182.5</v>
      </c>
      <c r="I183" s="166">
        <f>IF(C183&lt;&gt;"",_xll.RssMarket(C183,"安値"),"")</f>
        <v>1150.5</v>
      </c>
      <c r="J183" s="166">
        <f>IF(C183&lt;&gt;"",_xll.RssMarket(C183,"出来高"),"")</f>
        <v>2992400</v>
      </c>
      <c r="K183" s="166">
        <f>IF(C183&lt;&gt;"",_xll.RssMarket(C183,"年初来高値"),"")</f>
        <v>1353.5</v>
      </c>
      <c r="L183" s="167">
        <f t="shared" si="34"/>
        <v>-13.040265977096416</v>
      </c>
      <c r="M183" s="166">
        <f>IF(C183&lt;&gt;"",IFERROR(AVERAGE(出来高!E44:I44),""),"")</f>
        <v>4559920</v>
      </c>
      <c r="N183" s="166">
        <f>IF(C183&lt;&gt;"",IFERROR(AVERAGE(出来高!E44:AC44),""),"")</f>
        <v>4323796</v>
      </c>
      <c r="O183" s="168">
        <f t="shared" si="35"/>
        <v>0.65623958315058162</v>
      </c>
      <c r="P183" s="163" t="str">
        <f t="shared" si="36"/>
        <v>減少↓</v>
      </c>
      <c r="Q183" s="163" t="str">
        <f t="shared" si="37"/>
        <v>中立→</v>
      </c>
      <c r="R183" s="166">
        <f t="shared" si="44"/>
        <v>1271</v>
      </c>
      <c r="S183" s="166">
        <f t="shared" si="45"/>
        <v>1130</v>
      </c>
      <c r="T183" s="163">
        <f t="shared" si="38"/>
        <v>3</v>
      </c>
      <c r="U183" s="163" t="str">
        <f t="shared" si="46"/>
        <v>要確認</v>
      </c>
      <c r="V183" s="163" t="str">
        <f t="shared" si="39"/>
        <v>通常</v>
      </c>
      <c r="W183" s="169">
        <f t="array" ref="W183">IF(C183&lt;&gt;"",IFERROR(100-100/(1+SUMPRODUCT((終値!F44:R44&gt;終値!G44:S44)*( 終値!F44:R44-終値!G44:S44))/SUMPRODUCT((終値!F44:R44&lt;終値!G44:S44)*(終値!G44:S44-終値!F44:R44))),50),"")</f>
        <v>48.054919908466822</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-0.23988313916242987</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様子見</v>
      </c>
      <c r="Z183" s="171">
        <f t="shared" si="47"/>
        <v>4.2054006197432496</v>
      </c>
      <c r="AA183" s="163" t="str">
        <f t="shared" si="48"/>
        <v>上昇▲</v>
      </c>
      <c r="AB183" s="405">
        <f>IF(C183="","",IFERROR(((終値!E185*0.333)+(終値!F185*0.222)+(終値!G185*0.148)+(終値!H185*0.099)+(終値!I185*0.066)+(終値!J185*0.044)+(終値!K185*0.029)+(終値!L185*0.019)+(終値!M185*0.013)+(終値!N185*0.009))/(0.333+0.222+0.148+0.099+0.066+0.044+0.029+0.019+0.013+0.009),""))</f>
        <v>2383.9989816700599</v>
      </c>
      <c r="AC183" s="405">
        <f>IF(C183="","",IFERROR(SUMPRODUCT((終値!E185:AC185),({0.077,0.071,0.065,0.06,0.055,0.051,0.047,0.043,0.039,0.036,0.033,0.031,0.028,0.026,0.024,0.022,0.02,0.018,0.017,0.016,0.014,0.013,0.012,0.011,0.01}))/SUM({0.077,0.071,0.065,0.06,0.055,0.051,0.047,0.043,0.039,0.036,0.033,0.031,0.028,0.026,0.024,0.022,0.02,0.018,0.017,0.016,0.014,0.013,0.012,0.011,0.01}),""))</f>
        <v>2352.6162097735387</v>
      </c>
      <c r="AD183" s="406" t="str">
        <f t="shared" si="49"/>
        <v>もみ合い→</v>
      </c>
      <c r="AE183" s="406" t="str">
        <f t="shared" si="50"/>
        <v>なし</v>
      </c>
      <c r="AF183" s="365">
        <f t="array" ref="AF183">IF(C183="","",IFERROR((INDEX(終値!$E:$E,MATCH(TEXT(C183,"0"),終値!$A:$A,0))-INDEX(終値!$E:$CZ,MATCH(TEXT(C183,"0"),終値!$A:$A,0),$AL$2))/INDEX(終値!$E:$CZ,MATCH(TEXT(C183,"0"),終値!$A:$A,0),$AL$2)*100,""))</f>
        <v>0.70267896354852877</v>
      </c>
      <c r="AG183" s="365">
        <f t="array" ref="AG183">IFERROR((終値!$E$5-INDEX(終値!$E$5:$CZ$5,1,$AL$2))/INDEX(終値!$E$5:$CZ$5,1,$AL$2)*100,"")</f>
        <v>-0.82558151178043282</v>
      </c>
      <c r="AH183" s="366">
        <f t="shared" si="42"/>
        <v>1.5282604753289615</v>
      </c>
      <c r="AI183" s="364">
        <f t="shared" si="43"/>
        <v>1</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1627.5</v>
      </c>
      <c r="F184" s="166">
        <f>IF(C184&lt;&gt;"",_xll.RssMarket(C184,"始値"),"")</f>
        <v>1628.5</v>
      </c>
      <c r="G184" s="165">
        <f>IF(C184&lt;&gt;"",終値!F27,"")</f>
        <v>0</v>
      </c>
      <c r="H184" s="166">
        <f>IF(C184&lt;&gt;"",_xll.RssMarket(C184,"高値"),"")</f>
        <v>1659</v>
      </c>
      <c r="I184" s="166">
        <f>IF(C184&lt;&gt;"",_xll.RssMarket(C184,"安値"),"")</f>
        <v>1612</v>
      </c>
      <c r="J184" s="166">
        <f>IF(C184&lt;&gt;"",_xll.RssMarket(C184,"出来高"),"")</f>
        <v>523700</v>
      </c>
      <c r="K184" s="166">
        <f>IF(C184&lt;&gt;"",_xll.RssMarket(C184,"年初来高値"),"")</f>
        <v>1773</v>
      </c>
      <c r="L184" s="167">
        <f t="shared" si="34"/>
        <v>-8.2064297800338419</v>
      </c>
      <c r="M184" s="166" t="str">
        <f>IF(C184&lt;&gt;"",IFERROR(AVERAGE(出来高!E27:I27),""),"")</f>
        <v/>
      </c>
      <c r="N184" s="166" t="str">
        <f>IF(C184&lt;&gt;"",IFERROR(AVERAGE(出来高!E27:AC27),""),"")</f>
        <v/>
      </c>
      <c r="O184" s="168" t="str">
        <f t="shared" si="35"/>
        <v/>
      </c>
      <c r="P184" s="163" t="str">
        <f t="shared" si="36"/>
        <v/>
      </c>
      <c r="Q184" s="163" t="str">
        <f t="shared" si="37"/>
        <v>買い▲</v>
      </c>
      <c r="R184" s="166">
        <f t="shared" si="44"/>
        <v>1758</v>
      </c>
      <c r="S184" s="166">
        <f t="shared" si="45"/>
        <v>1562</v>
      </c>
      <c r="T184" s="163">
        <f t="shared" si="38"/>
        <v>10</v>
      </c>
      <c r="U184" s="163" t="str">
        <f t="shared" si="46"/>
        <v>有効</v>
      </c>
      <c r="V184" s="163" t="str">
        <f t="shared" si="39"/>
        <v>通常</v>
      </c>
      <c r="W184" s="169">
        <f t="array" ref="W184">IF(C184&lt;&gt;"",IFERROR(100-100/(1+SUMPRODUCT((終値!F27:R27&gt;終値!G27:S27)*( 終値!F27:R27-終値!G27:S27))/SUMPRODUCT((終値!F27:R27&lt;終値!G27:S27)*(終値!G27:S27-終値!F27:R27))),50),"")</f>
        <v>50</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0</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○買い候補</v>
      </c>
      <c r="Z184" s="171" t="str">
        <f t="shared" si="47"/>
        <v/>
      </c>
      <c r="AA184" s="163" t="str">
        <f t="shared" si="48"/>
        <v>上昇▲</v>
      </c>
      <c r="AB184" s="403">
        <f>IF(C184="","",IFERROR(((終値!E186*0.333)+(終値!F186*0.222)+(終値!G186*0.148)+(終値!H186*0.099)+(終値!I186*0.066)+(終値!J186*0.044)+(終値!K186*0.029)+(終値!L186*0.019)+(終値!M186*0.013)+(終値!N186*0.009))/(0.333+0.222+0.148+0.099+0.066+0.044+0.029+0.019+0.013+0.009),""))</f>
        <v>1183.0386965376781</v>
      </c>
      <c r="AC184" s="403">
        <f>IF(C184="","",IFERROR(SUMPRODUCT((終値!E186:AC186),({0.077,0.071,0.065,0.06,0.055,0.051,0.047,0.043,0.039,0.036,0.033,0.031,0.028,0.026,0.024,0.022,0.02,0.018,0.017,0.016,0.014,0.013,0.012,0.011,0.01}))/SUM({0.077,0.071,0.065,0.06,0.055,0.051,0.047,0.043,0.039,0.036,0.033,0.031,0.028,0.026,0.024,0.022,0.02,0.018,0.017,0.016,0.014,0.013,0.012,0.011,0.01}),""))</f>
        <v>1147.7312276519663</v>
      </c>
      <c r="AD184" s="404" t="str">
        <f t="shared" si="49"/>
        <v>パーフェクト▲</v>
      </c>
      <c r="AE184" s="404" t="str">
        <f t="shared" si="50"/>
        <v>なし</v>
      </c>
      <c r="AF184" s="365" t="str">
        <f t="array" ref="AF184">IF(C184="","",IFERROR((INDEX(終値!$E:$E,MATCH(TEXT(C184,"0"),終値!$A:$A,0))-INDEX(終値!$E:$CZ,MATCH(TEXT(C184,"0"),終値!$A:$A,0),$AL$2))/INDEX(終値!$E:$CZ,MATCH(TEXT(C184,"0"),終値!$A:$A,0),$AL$2)*100,""))</f>
        <v/>
      </c>
      <c r="AG184" s="365">
        <f t="array" ref="AG184">IFERROR((終値!$E$5-INDEX(終値!$E$5:$CZ$5,1,$AL$2))/INDEX(終値!$E$5:$CZ$5,1,$AL$2)*100,"")</f>
        <v>-0.82558151178043282</v>
      </c>
      <c r="AH184" s="366" t="str">
        <f t="shared" si="42"/>
        <v/>
      </c>
      <c r="AI184" s="364" t="str">
        <f t="shared" si="43"/>
        <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3450</v>
      </c>
      <c r="F185" s="166">
        <f>IF(C185&lt;&gt;"",_xll.RssMarket(C185,"始値"),"")</f>
        <v>3350</v>
      </c>
      <c r="G185" s="165">
        <f>IF(C185&lt;&gt;"",終値!F134,"")</f>
        <v>0</v>
      </c>
      <c r="H185" s="166">
        <f>IF(C185&lt;&gt;"",_xll.RssMarket(C185,"高値"),"")</f>
        <v>3610</v>
      </c>
      <c r="I185" s="166">
        <f>IF(C185&lt;&gt;"",_xll.RssMarket(C185,"安値"),"")</f>
        <v>3350</v>
      </c>
      <c r="J185" s="166">
        <f>IF(C185&lt;&gt;"",_xll.RssMarket(C185,"出来高"),"")</f>
        <v>8213100</v>
      </c>
      <c r="K185" s="166">
        <f>IF(C185&lt;&gt;"",_xll.RssMarket(C185,"年初来高値"),"")</f>
        <v>4580</v>
      </c>
      <c r="L185" s="167">
        <f t="shared" si="34"/>
        <v>-24.672489082969431</v>
      </c>
      <c r="M185" s="166" t="str">
        <f>IF(C185&lt;&gt;"",IFERROR(AVERAGE(出来高!E134:I134),""),"")</f>
        <v/>
      </c>
      <c r="N185" s="166" t="str">
        <f>IF(C185&lt;&gt;"",IFERROR(AVERAGE(出来高!E134:AC134),""),"")</f>
        <v/>
      </c>
      <c r="O185" s="168" t="str">
        <f t="shared" si="35"/>
        <v/>
      </c>
      <c r="P185" s="163" t="str">
        <f t="shared" si="36"/>
        <v/>
      </c>
      <c r="Q185" s="163" t="str">
        <f t="shared" si="37"/>
        <v>買い▲</v>
      </c>
      <c r="R185" s="166">
        <f t="shared" si="44"/>
        <v>3726</v>
      </c>
      <c r="S185" s="166">
        <f t="shared" si="45"/>
        <v>3312</v>
      </c>
      <c r="T185" s="163">
        <f t="shared" si="38"/>
        <v>9</v>
      </c>
      <c r="U185" s="163" t="str">
        <f t="shared" si="46"/>
        <v>有効</v>
      </c>
      <c r="V185" s="163" t="str">
        <f t="shared" si="39"/>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0</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△注目</v>
      </c>
      <c r="Z185" s="171" t="str">
        <f t="shared" si="47"/>
        <v/>
      </c>
      <c r="AA185" s="163" t="str">
        <f t="shared" si="48"/>
        <v>上昇▲</v>
      </c>
      <c r="AB185" s="405">
        <f>IF(C185="","",IFERROR(((終値!E187*0.333)+(終値!F187*0.222)+(終値!G187*0.148)+(終値!H187*0.099)+(終値!I187*0.066)+(終値!J187*0.044)+(終値!K187*0.029)+(終値!L187*0.019)+(終値!M187*0.013)+(終値!N187*0.009))/(0.333+0.222+0.148+0.099+0.066+0.044+0.029+0.019+0.013+0.009),""))</f>
        <v>651.8396130346232</v>
      </c>
      <c r="AC185" s="405">
        <f>IF(C185="","",IFERROR(SUMPRODUCT((終値!E187:AC187),({0.077,0.071,0.065,0.06,0.055,0.051,0.047,0.043,0.039,0.036,0.033,0.031,0.028,0.026,0.024,0.022,0.02,0.018,0.017,0.016,0.014,0.013,0.012,0.011,0.01}))/SUM({0.077,0.071,0.065,0.06,0.055,0.051,0.047,0.043,0.039,0.036,0.033,0.031,0.028,0.026,0.024,0.022,0.02,0.018,0.017,0.016,0.014,0.013,0.012,0.011,0.01}),""))</f>
        <v>666.16364719904652</v>
      </c>
      <c r="AD185" s="406" t="str">
        <f t="shared" si="49"/>
        <v>上昇トレンド▲</v>
      </c>
      <c r="AE185" s="406" t="str">
        <f t="shared" si="50"/>
        <v>なし</v>
      </c>
      <c r="AF185" s="365" t="str">
        <f t="array" ref="AF185">IF(C185="","",IFERROR((INDEX(終値!$E:$E,MATCH(TEXT(C185,"0"),終値!$A:$A,0))-INDEX(終値!$E:$CZ,MATCH(TEXT(C185,"0"),終値!$A:$A,0),$AL$2))/INDEX(終値!$E:$CZ,MATCH(TEXT(C185,"0"),終値!$A:$A,0),$AL$2)*100,""))</f>
        <v/>
      </c>
      <c r="AG185" s="365">
        <f t="array" ref="AG185">IFERROR((終値!$E$5-INDEX(終値!$E$5:$CZ$5,1,$AL$2))/INDEX(終値!$E$5:$CZ$5,1,$AL$2)*100,"")</f>
        <v>-0.82558151178043282</v>
      </c>
      <c r="AH185" s="366" t="str">
        <f t="shared" si="42"/>
        <v/>
      </c>
      <c r="AI185" s="364" t="str">
        <f t="shared" si="43"/>
        <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3717</v>
      </c>
      <c r="F186" s="166">
        <f>IF(C186&lt;&gt;"",_xll.RssMarket(C186,"始値"),"")</f>
        <v>3618</v>
      </c>
      <c r="G186" s="165">
        <f>IF(C186&lt;&gt;"",終値!F60,"")</f>
        <v>3535</v>
      </c>
      <c r="H186" s="166">
        <f>IF(C186&lt;&gt;"",_xll.RssMarket(C186,"高値"),"")</f>
        <v>3718</v>
      </c>
      <c r="I186" s="166">
        <f>IF(C186&lt;&gt;"",_xll.RssMarket(C186,"安値"),"")</f>
        <v>3618</v>
      </c>
      <c r="J186" s="166">
        <f>IF(C186&lt;&gt;"",_xll.RssMarket(C186,"出来高"),"")</f>
        <v>176900</v>
      </c>
      <c r="K186" s="166">
        <f>IF(C186&lt;&gt;"",_xll.RssMarket(C186,"年初来高値"),"")</f>
        <v>3673</v>
      </c>
      <c r="L186" s="167">
        <f t="shared" si="34"/>
        <v>1.1979308467193031</v>
      </c>
      <c r="M186" s="166">
        <f>IF(C186&lt;&gt;"",IFERROR(AVERAGE(出来高!E60:I60),""),"")</f>
        <v>290700</v>
      </c>
      <c r="N186" s="166">
        <f>IF(C186&lt;&gt;"",IFERROR(AVERAGE(出来高!E60:AC60),""),"")</f>
        <v>297460</v>
      </c>
      <c r="O186" s="168">
        <f t="shared" si="35"/>
        <v>0.60853113175094597</v>
      </c>
      <c r="P186" s="163" t="str">
        <f t="shared" si="36"/>
        <v>減少↓</v>
      </c>
      <c r="Q186" s="163" t="str">
        <f t="shared" si="37"/>
        <v>中立→</v>
      </c>
      <c r="R186" s="166">
        <f t="shared" si="44"/>
        <v>4014</v>
      </c>
      <c r="S186" s="166">
        <f t="shared" si="45"/>
        <v>3568</v>
      </c>
      <c r="T186" s="163">
        <f t="shared" si="38"/>
        <v>9</v>
      </c>
      <c r="U186" s="163" t="str">
        <f t="shared" si="46"/>
        <v>要確認</v>
      </c>
      <c r="V186" s="163" t="str">
        <f t="shared" si="39"/>
        <v>年初来高値更新●</v>
      </c>
      <c r="W186" s="169">
        <f t="array" ref="W186">IF(C186&lt;&gt;"",IFERROR(100-100/(1+SUMPRODUCT((終値!F60:R60&gt;終値!G60:S60)*( 終値!F60:R60-終値!G60:S60))/SUMPRODUCT((終値!F60:R60&lt;終値!G60:S60)*(終値!G60:S60-終値!F60:R60))),50),"")</f>
        <v>66.275167785234899</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24.004101672112029</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△注目</v>
      </c>
      <c r="Z186" s="171">
        <f t="shared" si="47"/>
        <v>5.1485148514851486</v>
      </c>
      <c r="AA186" s="163" t="str">
        <f t="shared" si="48"/>
        <v>上昇▲</v>
      </c>
      <c r="AB186" s="403">
        <f>IF(C186="","",IFERROR(((終値!E188*0.333)+(終値!F188*0.222)+(終値!G188*0.148)+(終値!H188*0.099)+(終値!I188*0.066)+(終値!J188*0.044)+(終値!K188*0.029)+(終値!L188*0.019)+(終値!M188*0.013)+(終値!N188*0.009))/(0.333+0.222+0.148+0.099+0.066+0.044+0.029+0.019+0.013+0.009),""))</f>
        <v>620.50529531568202</v>
      </c>
      <c r="AC186" s="403">
        <f>IF(C186="","",IFERROR(SUMPRODUCT((終値!E188:AC188),({0.077,0.071,0.065,0.06,0.055,0.051,0.047,0.043,0.039,0.036,0.033,0.031,0.028,0.026,0.024,0.022,0.02,0.018,0.017,0.016,0.014,0.013,0.012,0.011,0.01}))/SUM({0.077,0.071,0.065,0.06,0.055,0.051,0.047,0.043,0.039,0.036,0.033,0.031,0.028,0.026,0.024,0.022,0.02,0.018,0.017,0.016,0.014,0.013,0.012,0.011,0.01}),""))</f>
        <v>625.33277711561368</v>
      </c>
      <c r="AD186" s="404" t="str">
        <f t="shared" si="49"/>
        <v>上昇トレンド▲</v>
      </c>
      <c r="AE186" s="404" t="str">
        <f t="shared" si="50"/>
        <v>なし</v>
      </c>
      <c r="AF186" s="365">
        <f t="array" ref="AF186">IF(C186="","",IFERROR((INDEX(終値!$E:$E,MATCH(TEXT(C186,"0"),終値!$A:$A,0))-INDEX(終値!$E:$CZ,MATCH(TEXT(C186,"0"),終値!$A:$A,0),$AL$2))/INDEX(終値!$E:$CZ,MATCH(TEXT(C186,"0"),終値!$A:$A,0),$AL$2)*100,""))</f>
        <v>2.6188442926273843</v>
      </c>
      <c r="AG186" s="365">
        <f t="array" ref="AG186">IFERROR((終値!$E$5-INDEX(終値!$E$5:$CZ$5,1,$AL$2))/INDEX(終値!$E$5:$CZ$5,1,$AL$2)*100,"")</f>
        <v>-0.82558151178043282</v>
      </c>
      <c r="AH186" s="366">
        <f t="shared" si="42"/>
        <v>3.4444258044078171</v>
      </c>
      <c r="AI186" s="364">
        <f t="shared" si="43"/>
        <v>1</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1007</v>
      </c>
      <c r="F187" s="166">
        <f>IF(C187&lt;&gt;"",_xll.RssMarket(C187,"始値"),"")</f>
        <v>914</v>
      </c>
      <c r="G187" s="165">
        <f>IF(C187&lt;&gt;"",終値!F138,"")</f>
        <v>838</v>
      </c>
      <c r="H187" s="166">
        <f>IF(C187&lt;&gt;"",_xll.RssMarket(C187,"高値"),"")</f>
        <v>1025</v>
      </c>
      <c r="I187" s="166">
        <f>IF(C187&lt;&gt;"",_xll.RssMarket(C187,"安値"),"")</f>
        <v>914</v>
      </c>
      <c r="J187" s="166">
        <f>IF(C187&lt;&gt;"",_xll.RssMarket(C187,"出来高"),"")</f>
        <v>4914500</v>
      </c>
      <c r="K187" s="166">
        <f>IF(C187&lt;&gt;"",_xll.RssMarket(C187,"年初来高値"),"")</f>
        <v>4380</v>
      </c>
      <c r="L187" s="167">
        <f t="shared" si="34"/>
        <v>-77.009132420091319</v>
      </c>
      <c r="M187" s="166">
        <f>IF(C187&lt;&gt;"",IFERROR(AVERAGE(出来高!E138:I138),""),"")</f>
        <v>2387700</v>
      </c>
      <c r="N187" s="166">
        <f>IF(C187&lt;&gt;"",IFERROR(AVERAGE(出来高!E138:AC138),""),"")</f>
        <v>2454664</v>
      </c>
      <c r="O187" s="168">
        <f t="shared" si="35"/>
        <v>2.0582568999455542</v>
      </c>
      <c r="P187" s="163" t="str">
        <f t="shared" si="36"/>
        <v>急増↑↑</v>
      </c>
      <c r="Q187" s="163" t="str">
        <f t="shared" si="37"/>
        <v>買い▲</v>
      </c>
      <c r="R187" s="166">
        <f t="shared" si="44"/>
        <v>1088</v>
      </c>
      <c r="S187" s="166">
        <f t="shared" si="45"/>
        <v>967</v>
      </c>
      <c r="T187" s="163">
        <f t="shared" si="38"/>
        <v>7</v>
      </c>
      <c r="U187" s="163" t="str">
        <f t="shared" si="46"/>
        <v>有効</v>
      </c>
      <c r="V187" s="163" t="str">
        <f t="shared" si="39"/>
        <v>通常</v>
      </c>
      <c r="W187" s="169">
        <f t="array" ref="W187">IF(C187&lt;&gt;"",IFERROR(100-100/(1+SUMPRODUCT((終値!F138:R138&gt;終値!G138:S138)*( 終値!F138:R138-終値!G138:S138))/SUMPRODUCT((終値!F138:R138&lt;終値!G138:S138)*(終値!G138:S138-終値!F138:R138))),50),"")</f>
        <v>46.168224299065422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-19.148058223444536</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△注目</v>
      </c>
      <c r="Z187" s="171">
        <f t="shared" si="47"/>
        <v>20.167064439140812</v>
      </c>
      <c r="AA187" s="163" t="str">
        <f t="shared" si="48"/>
        <v>上昇▲</v>
      </c>
      <c r="AB187" s="405">
        <f>IF(C187="","",IFERROR(((終値!E189*0.333)+(終値!F189*0.222)+(終値!G189*0.148)+(終値!H189*0.099)+(終値!I189*0.066)+(終値!J189*0.044)+(終値!K189*0.029)+(終値!L189*0.019)+(終値!M189*0.013)+(終値!N189*0.009))/(0.333+0.222+0.148+0.099+0.066+0.044+0.029+0.019+0.013+0.009),""))</f>
        <v>2025.9923625254576</v>
      </c>
      <c r="AC187" s="405">
        <f>IF(C187="","",IFERROR(SUMPRODUCT((終値!E189:AC189),({0.077,0.071,0.065,0.06,0.055,0.051,0.047,0.043,0.039,0.036,0.033,0.031,0.028,0.026,0.024,0.022,0.02,0.018,0.017,0.016,0.014,0.013,0.012,0.011,0.01}))/SUM({0.077,0.071,0.065,0.06,0.055,0.051,0.047,0.043,0.039,0.036,0.033,0.031,0.028,0.026,0.024,0.022,0.02,0.018,0.017,0.016,0.014,0.013,0.012,0.011,0.01}),""))</f>
        <v>2023.1495828367104</v>
      </c>
      <c r="AD187" s="406" t="str">
        <f t="shared" si="49"/>
        <v>もみ合い→</v>
      </c>
      <c r="AE187" s="406" t="str">
        <f t="shared" si="50"/>
        <v>なし</v>
      </c>
      <c r="AF187" s="365">
        <f t="array" ref="AF187">IF(C187="","",IFERROR((INDEX(終値!$E:$E,MATCH(TEXT(C187,"0"),終値!$A:$A,0))-INDEX(終値!$E:$CZ,MATCH(TEXT(C187,"0"),終値!$A:$A,0),$AL$2))/INDEX(終値!$E:$CZ,MATCH(TEXT(C187,"0"),終値!$A:$A,0),$AL$2)*100,""))</f>
        <v>-15.362318840579711</v>
      </c>
      <c r="AG187" s="365">
        <f t="array" ref="AG187">IFERROR((終値!$E$5-INDEX(終値!$E$5:$CZ$5,1,$AL$2))/INDEX(終値!$E$5:$CZ$5,1,$AL$2)*100,"")</f>
        <v>-0.82558151178043282</v>
      </c>
      <c r="AH187" s="366">
        <f t="shared" si="42"/>
        <v>-14.536737328799278</v>
      </c>
      <c r="AI187" s="364">
        <f t="shared" si="43"/>
        <v>-2</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1707.5</v>
      </c>
      <c r="F188" s="166">
        <f>IF(C188&lt;&gt;"",_xll.RssMarket(C188,"始値"),"")</f>
        <v>1719</v>
      </c>
      <c r="G188" s="165">
        <f>IF(C188&lt;&gt;"",終値!F88,"")</f>
        <v>1710</v>
      </c>
      <c r="H188" s="166">
        <f>IF(C188&lt;&gt;"",_xll.RssMarket(C188,"高値"),"")</f>
        <v>1728</v>
      </c>
      <c r="I188" s="166">
        <f>IF(C188&lt;&gt;"",_xll.RssMarket(C188,"安値"),"")</f>
        <v>1699</v>
      </c>
      <c r="J188" s="166">
        <f>IF(C188&lt;&gt;"",_xll.RssMarket(C188,"出来高"),"")</f>
        <v>1578300</v>
      </c>
      <c r="K188" s="166">
        <f>IF(C188&lt;&gt;"",_xll.RssMarket(C188,"年初来高値"),"")</f>
        <v>2094</v>
      </c>
      <c r="L188" s="167">
        <f t="shared" si="34"/>
        <v>-18.457497612225406</v>
      </c>
      <c r="M188" s="166">
        <f>IF(C188&lt;&gt;"",IFERROR(AVERAGE(出来高!E88:I88),""),"")</f>
        <v>3811100</v>
      </c>
      <c r="N188" s="166">
        <f>IF(C188&lt;&gt;"",IFERROR(AVERAGE(出来高!E88:AC88),""),"")</f>
        <v>2945924</v>
      </c>
      <c r="O188" s="168">
        <f t="shared" si="35"/>
        <v>0.41413240271837526</v>
      </c>
      <c r="P188" s="163" t="str">
        <f t="shared" si="36"/>
        <v>減少↓</v>
      </c>
      <c r="Q188" s="163" t="str">
        <f t="shared" si="37"/>
        <v>様子見▼</v>
      </c>
      <c r="R188" s="166">
        <f t="shared" si="44"/>
        <v>1844</v>
      </c>
      <c r="S188" s="166">
        <f t="shared" si="45"/>
        <v>1639</v>
      </c>
      <c r="T188" s="163">
        <f t="shared" si="38"/>
        <v>5</v>
      </c>
      <c r="U188" s="163" t="str">
        <f t="shared" si="46"/>
        <v>要確認</v>
      </c>
      <c r="V188" s="163" t="str">
        <f t="shared" si="39"/>
        <v>通常</v>
      </c>
      <c r="W188" s="169">
        <f t="array" ref="W188">IF(C188&lt;&gt;"",IFERROR(100-100/(1+SUMPRODUCT((終値!F88:R88&gt;終値!G88:S88)*( 終値!F88:R88-終値!G88:S88))/SUMPRODUCT((終値!F88:R88&lt;終値!G88:S88)*(終値!G88:S88-終値!F88:R88))),50),"")</f>
        <v>44.553483807654565</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2.1459377325979858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 t="shared" si="47"/>
        <v>-0.14619883040935672</v>
      </c>
      <c r="AA188" s="163" t="str">
        <f t="shared" si="48"/>
        <v>下落▼</v>
      </c>
      <c r="AB188" s="403">
        <f>IF(C188="","",IFERROR(((終値!E190*0.333)+(終値!F190*0.222)+(終値!G190*0.148)+(終値!H190*0.099)+(終値!I190*0.066)+(終値!J190*0.044)+(終値!K190*0.029)+(終値!L190*0.019)+(終値!M190*0.013)+(終値!N190*0.009))/(0.333+0.222+0.148+0.099+0.066+0.044+0.029+0.019+0.013+0.009),""))</f>
        <v>1731.961812627291</v>
      </c>
      <c r="AC188" s="403">
        <f>IF(C188="","",IFERROR(SUMPRODUCT((終値!E190:AC190),({0.077,0.071,0.065,0.06,0.055,0.051,0.047,0.043,0.039,0.036,0.033,0.031,0.028,0.026,0.024,0.022,0.02,0.018,0.017,0.016,0.014,0.013,0.012,0.011,0.01}))/SUM({0.077,0.071,0.065,0.06,0.055,0.051,0.047,0.043,0.039,0.036,0.033,0.031,0.028,0.026,0.024,0.022,0.02,0.018,0.017,0.016,0.014,0.013,0.012,0.011,0.01}),""))</f>
        <v>1707.172824791418</v>
      </c>
      <c r="AD188" s="404" t="str">
        <f t="shared" si="49"/>
        <v>上昇トレンド▲</v>
      </c>
      <c r="AE188" s="404" t="str">
        <f t="shared" si="50"/>
        <v>25日押し目★</v>
      </c>
      <c r="AF188" s="365">
        <f t="array" ref="AF188">IF(C188="","",IFERROR((INDEX(終値!$E:$E,MATCH(TEXT(C188,"0"),終値!$A:$A,0))-INDEX(終値!$E:$CZ,MATCH(TEXT(C188,"0"),終値!$A:$A,0),$AL$2))/INDEX(終値!$E:$CZ,MATCH(TEXT(C188,"0"),終値!$A:$A,0),$AL$2)*100,""))</f>
        <v>0.17523364485981308</v>
      </c>
      <c r="AG188" s="365">
        <f t="array" ref="AG188">IFERROR((終値!$E$5-INDEX(終値!$E$5:$CZ$5,1,$AL$2))/INDEX(終値!$E$5:$CZ$5,1,$AL$2)*100,"")</f>
        <v>-0.82558151178043282</v>
      </c>
      <c r="AH188" s="366">
        <f t="shared" si="42"/>
        <v>1.0008151566402459</v>
      </c>
      <c r="AI188" s="364">
        <f t="shared" si="43"/>
        <v>1</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6831</v>
      </c>
      <c r="F189" s="166">
        <f>IF(C189&lt;&gt;"",_xll.RssMarket(C189,"始値"),"")</f>
        <v>6758</v>
      </c>
      <c r="G189" s="165">
        <f>IF(C189&lt;&gt;"",終値!F87,"")</f>
        <v>6993</v>
      </c>
      <c r="H189" s="166">
        <f>IF(C189&lt;&gt;"",_xll.RssMarket(C189,"高値"),"")</f>
        <v>6835</v>
      </c>
      <c r="I189" s="166">
        <f>IF(C189&lt;&gt;"",_xll.RssMarket(C189,"安値"),"")</f>
        <v>6671</v>
      </c>
      <c r="J189" s="166">
        <f>IF(C189&lt;&gt;"",_xll.RssMarket(C189,"出来高"),"")</f>
        <v>2973600</v>
      </c>
      <c r="K189" s="166">
        <f>IF(C189&lt;&gt;"",_xll.RssMarket(C189,"年初来高値"),"")</f>
        <v>7218</v>
      </c>
      <c r="L189" s="167">
        <f t="shared" si="34"/>
        <v>-5.3615960099750621</v>
      </c>
      <c r="M189" s="166">
        <f>IF(C189&lt;&gt;"",IFERROR(AVERAGE(出来高!E87:I87),""),"")</f>
        <v>6995060</v>
      </c>
      <c r="N189" s="166">
        <f>IF(C189&lt;&gt;"",IFERROR(AVERAGE(出来高!E87:AC87),""),"")</f>
        <v>5147420</v>
      </c>
      <c r="O189" s="168">
        <f t="shared" si="35"/>
        <v>0.42509999914225183</v>
      </c>
      <c r="P189" s="163" t="str">
        <f t="shared" si="36"/>
        <v>減少↓</v>
      </c>
      <c r="Q189" s="163" t="str">
        <f t="shared" si="37"/>
        <v>様子見▼</v>
      </c>
      <c r="R189" s="166">
        <f t="shared" si="44"/>
        <v>7377</v>
      </c>
      <c r="S189" s="166">
        <f t="shared" si="45"/>
        <v>6558</v>
      </c>
      <c r="T189" s="163">
        <f t="shared" si="38"/>
        <v>7</v>
      </c>
      <c r="U189" s="163" t="str">
        <f t="shared" si="46"/>
        <v>要確認</v>
      </c>
      <c r="V189" s="163" t="str">
        <f t="shared" si="39"/>
        <v>通常</v>
      </c>
      <c r="W189" s="169">
        <f t="array" ref="W189">IF(C189&lt;&gt;"",IFERROR(100-100/(1+SUMPRODUCT((終値!F87:R87&gt;終値!G87:S87)*( 終値!F87:R87-終値!G87:S87))/SUMPRODUCT((終値!F87:R87&lt;終値!G87:S87)*(終値!G87:S87-終値!F87:R87))),50),"")</f>
        <v>77.90988735919899</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106.41490771735153</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△注目</v>
      </c>
      <c r="Z189" s="171">
        <f t="shared" si="47"/>
        <v>-2.3166023166023164</v>
      </c>
      <c r="AA189" s="163" t="str">
        <f t="shared" si="48"/>
        <v>下落▼</v>
      </c>
      <c r="AB189" s="405">
        <f>IF(C189="","",IFERROR(((終値!E191*0.333)+(終値!F191*0.222)+(終値!G191*0.148)+(終値!H191*0.099)+(終値!I191*0.066)+(終値!J191*0.044)+(終値!K191*0.029)+(終値!L191*0.019)+(終値!M191*0.013)+(終値!N191*0.009))/(0.333+0.222+0.148+0.099+0.066+0.044+0.029+0.019+0.013+0.009),""))</f>
        <v>1573.6924643584518</v>
      </c>
      <c r="AC189" s="405">
        <f>IF(C189="","",IFERROR(SUMPRODUCT((終値!E191:AC191),({0.077,0.071,0.065,0.06,0.055,0.051,0.047,0.043,0.039,0.036,0.033,0.031,0.028,0.026,0.024,0.022,0.02,0.018,0.017,0.016,0.014,0.013,0.012,0.011,0.01}))/SUM({0.077,0.071,0.065,0.06,0.055,0.051,0.047,0.043,0.039,0.036,0.033,0.031,0.028,0.026,0.024,0.022,0.02,0.018,0.017,0.016,0.014,0.013,0.012,0.011,0.01}),""))</f>
        <v>1557.99284862932</v>
      </c>
      <c r="AD189" s="406" t="str">
        <f t="shared" si="49"/>
        <v>パーフェクト▲</v>
      </c>
      <c r="AE189" s="406" t="str">
        <f t="shared" si="50"/>
        <v>なし</v>
      </c>
      <c r="AF189" s="365">
        <f t="array" ref="AF189">IF(C189="","",IFERROR((INDEX(終値!$E:$E,MATCH(TEXT(C189,"0"),終値!$A:$A,0))-INDEX(終値!$E:$CZ,MATCH(TEXT(C189,"0"),終値!$A:$A,0),$AL$2))/INDEX(終値!$E:$CZ,MATCH(TEXT(C189,"0"),終値!$A:$A,0),$AL$2)*100,""))</f>
        <v>13.159641553269166</v>
      </c>
      <c r="AG189" s="365">
        <f t="array" ref="AG189">IFERROR((終値!$E$5-INDEX(終値!$E$5:$CZ$5,1,$AL$2))/INDEX(終値!$E$5:$CZ$5,1,$AL$2)*100,"")</f>
        <v>-0.82558151178043282</v>
      </c>
      <c r="AH189" s="366">
        <f t="shared" si="42"/>
        <v>13.985223065049599</v>
      </c>
      <c r="AI189" s="364">
        <f t="shared" si="43"/>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5284</v>
      </c>
      <c r="F190" s="166">
        <f>IF(C190&lt;&gt;"",_xll.RssMarket(C190,"始値"),"")</f>
        <v>5198</v>
      </c>
      <c r="G190" s="165">
        <f>IF(C190&lt;&gt;"",終値!F76,"")</f>
        <v>4896</v>
      </c>
      <c r="H190" s="166">
        <f>IF(C190&lt;&gt;"",_xll.RssMarket(C190,"高値"),"")</f>
        <v>5295</v>
      </c>
      <c r="I190" s="166">
        <f>IF(C190&lt;&gt;"",_xll.RssMarket(C190,"安値"),"")</f>
        <v>5127</v>
      </c>
      <c r="J190" s="166">
        <f>IF(C190&lt;&gt;"",_xll.RssMarket(C190,"出来高"),"")</f>
        <v>3920800</v>
      </c>
      <c r="K190" s="166">
        <f>IF(C190&lt;&gt;"",_xll.RssMarket(C190,"年初来高値"),"")</f>
        <v>6340</v>
      </c>
      <c r="L190" s="167">
        <f t="shared" si="34"/>
        <v>-16.656151419558359</v>
      </c>
      <c r="M190" s="166">
        <f>IF(C190&lt;&gt;"",IFERROR(AVERAGE(出来高!E76:I76),""),"")</f>
        <v>4411180</v>
      </c>
      <c r="N190" s="166">
        <f>IF(C190&lt;&gt;"",IFERROR(AVERAGE(出来高!E76:AC76),""),"")</f>
        <v>4036860</v>
      </c>
      <c r="O190" s="168">
        <f t="shared" si="35"/>
        <v>0.8888324665962396</v>
      </c>
      <c r="P190" s="163" t="str">
        <f t="shared" si="36"/>
        <v>減少↓</v>
      </c>
      <c r="Q190" s="163" t="str">
        <f t="shared" si="37"/>
        <v>中立→</v>
      </c>
      <c r="R190" s="166">
        <f t="shared" si="44"/>
        <v>5707</v>
      </c>
      <c r="S190" s="166">
        <f t="shared" si="45"/>
        <v>5073</v>
      </c>
      <c r="T190" s="163">
        <f t="shared" si="38"/>
        <v>4</v>
      </c>
      <c r="U190" s="163" t="str">
        <f t="shared" si="46"/>
        <v>要確認</v>
      </c>
      <c r="V190" s="163" t="str">
        <f t="shared" si="39"/>
        <v>通常</v>
      </c>
      <c r="W190" s="169">
        <f t="array" ref="W190">IF(C190&lt;&gt;"",IFERROR(100-100/(1+SUMPRODUCT((終値!F76:R76&gt;終値!G76:S76)*( 終値!F76:R76-終値!G76:S76))/SUMPRODUCT((終値!F76:R76&lt;終値!G76:S76)*(終値!G76:S76-終値!F76:R76))),50),"")</f>
        <v>19.299743808710502</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-130.59260902964979</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様子見</v>
      </c>
      <c r="Z190" s="171">
        <f t="shared" si="47"/>
        <v>7.9248366013071889</v>
      </c>
      <c r="AA190" s="163" t="str">
        <f t="shared" si="48"/>
        <v>上昇▲</v>
      </c>
      <c r="AB190" s="403">
        <f>IF(C190="","",IFERROR(((終値!E192*0.333)+(終値!F192*0.222)+(終値!G192*0.148)+(終値!H192*0.099)+(終値!I192*0.066)+(終値!J192*0.044)+(終値!K192*0.029)+(終値!L192*0.019)+(終値!M192*0.013)+(終値!N192*0.009))/(0.333+0.222+0.148+0.099+0.066+0.044+0.029+0.019+0.013+0.009),""))</f>
        <v>1637.5157841140528</v>
      </c>
      <c r="AC190" s="403">
        <f>IF(C190="","",IFERROR(SUMPRODUCT((終値!E192:AC192),({0.077,0.071,0.065,0.06,0.055,0.051,0.047,0.043,0.039,0.036,0.033,0.031,0.028,0.026,0.024,0.022,0.02,0.018,0.017,0.016,0.014,0.013,0.012,0.011,0.01}))/SUM({0.077,0.071,0.065,0.06,0.055,0.051,0.047,0.043,0.039,0.036,0.033,0.031,0.028,0.026,0.024,0.022,0.02,0.018,0.017,0.016,0.014,0.013,0.012,0.011,0.01}),""))</f>
        <v>1670.1257449344448</v>
      </c>
      <c r="AD190" s="404" t="str">
        <f t="shared" si="49"/>
        <v>上昇トレンド▲</v>
      </c>
      <c r="AE190" s="404" t="str">
        <f t="shared" si="50"/>
        <v>なし</v>
      </c>
      <c r="AF190" s="365">
        <f t="array" ref="AF190">IF(C190="","",IFERROR((INDEX(終値!$E:$E,MATCH(TEXT(C190,"0"),終値!$A:$A,0))-INDEX(終値!$E:$CZ,MATCH(TEXT(C190,"0"),終値!$A:$A,0),$AL$2))/INDEX(終値!$E:$CZ,MATCH(TEXT(C190,"0"),終値!$A:$A,0),$AL$2)*100,""))</f>
        <v>-14.838376891334251</v>
      </c>
      <c r="AG190" s="365">
        <f t="array" ref="AG190">IFERROR((終値!$E$5-INDEX(終値!$E$5:$CZ$5,1,$AL$2))/INDEX(終値!$E$5:$CZ$5,1,$AL$2)*100,"")</f>
        <v>-0.82558151178043282</v>
      </c>
      <c r="AH190" s="366">
        <f t="shared" si="42"/>
        <v>-14.012795379553818</v>
      </c>
      <c r="AI190" s="364">
        <f t="shared" si="43"/>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5372</v>
      </c>
      <c r="F191" s="166">
        <f>IF(C191&lt;&gt;"",_xll.RssMarket(C191,"始値"),"")</f>
        <v>5255</v>
      </c>
      <c r="G191" s="165">
        <f>IF(C191&lt;&gt;"",終値!F202,"")</f>
        <v>5193</v>
      </c>
      <c r="H191" s="166">
        <f>IF(C191&lt;&gt;"",_xll.RssMarket(C191,"高値"),"")</f>
        <v>5380</v>
      </c>
      <c r="I191" s="166">
        <f>IF(C191&lt;&gt;"",_xll.RssMarket(C191,"安値"),"")</f>
        <v>5217</v>
      </c>
      <c r="J191" s="166">
        <f>IF(C191&lt;&gt;"",_xll.RssMarket(C191,"出来高"),"")</f>
        <v>621100</v>
      </c>
      <c r="K191" s="166">
        <f>IF(C191&lt;&gt;"",_xll.RssMarket(C191,"年初来高値"),"")</f>
        <v>7257</v>
      </c>
      <c r="L191" s="167">
        <f t="shared" si="34"/>
        <v>-25.97492076615681</v>
      </c>
      <c r="M191" s="166">
        <f>IF(C191&lt;&gt;"",IFERROR(AVERAGE(出来高!E202:I202),""),"")</f>
        <v>1695380</v>
      </c>
      <c r="N191" s="166">
        <f>IF(C191&lt;&gt;"",IFERROR(AVERAGE(出来高!E202:AC202),""),"")</f>
        <v>1248696</v>
      </c>
      <c r="O191" s="168">
        <f t="shared" si="35"/>
        <v>0.36634854722834997</v>
      </c>
      <c r="P191" s="163" t="str">
        <f t="shared" si="36"/>
        <v>減少↓</v>
      </c>
      <c r="Q191" s="163" t="str">
        <f t="shared" si="37"/>
        <v>中立→</v>
      </c>
      <c r="R191" s="166">
        <f t="shared" si="44"/>
        <v>5802</v>
      </c>
      <c r="S191" s="166">
        <f t="shared" si="45"/>
        <v>5157</v>
      </c>
      <c r="T191" s="163">
        <f t="shared" si="38"/>
        <v>7</v>
      </c>
      <c r="U191" s="163" t="str">
        <f t="shared" si="46"/>
        <v>要確認</v>
      </c>
      <c r="V191" s="163" t="str">
        <f t="shared" si="39"/>
        <v>通常</v>
      </c>
      <c r="W191" s="169">
        <f t="array" ref="W191">IF(C191&lt;&gt;"",IFERROR(100-100/(1+SUMPRODUCT((終値!F202:R202&gt;終値!G202:S202)*( 終値!F202:R202-終値!G202:S202))/SUMPRODUCT((終値!F202:R202&lt;終値!G202:S202)*(終値!G202:S202-終値!F202:R202))),50),"")</f>
        <v>55.85509688289806</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21.827542698389152</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 t="shared" si="47"/>
        <v>3.4469478143654921</v>
      </c>
      <c r="AA191" s="163" t="str">
        <f t="shared" si="48"/>
        <v>上昇▲</v>
      </c>
      <c r="AB191" s="405">
        <f>IF(C191="","",IFERROR(((終値!E193*0.333)+(終値!F193*0.222)+(終値!G193*0.148)+(終値!H193*0.099)+(終値!I193*0.066)+(終値!J193*0.044)+(終値!K193*0.029)+(終値!L193*0.019)+(終値!M193*0.013)+(終値!N193*0.009))/(0.333+0.222+0.148+0.099+0.066+0.044+0.029+0.019+0.013+0.009),""))</f>
        <v>2083.0417515274944</v>
      </c>
      <c r="AC191" s="405">
        <f>IF(C191="","",IFERROR(SUMPRODUCT((終値!E193:AC193),({0.077,0.071,0.065,0.06,0.055,0.051,0.047,0.043,0.039,0.036,0.033,0.031,0.028,0.026,0.024,0.022,0.02,0.018,0.017,0.016,0.014,0.013,0.012,0.011,0.01}))/SUM({0.077,0.071,0.065,0.06,0.055,0.051,0.047,0.043,0.039,0.036,0.033,0.031,0.028,0.026,0.024,0.022,0.02,0.018,0.017,0.016,0.014,0.013,0.012,0.011,0.01}),""))</f>
        <v>2071.21811680572</v>
      </c>
      <c r="AD191" s="406" t="str">
        <f t="shared" si="49"/>
        <v>パーフェクト▲</v>
      </c>
      <c r="AE191" s="406" t="str">
        <f t="shared" si="50"/>
        <v>なし</v>
      </c>
      <c r="AF191" s="365">
        <f t="array" ref="AF191">IF(C191="","",IFERROR((INDEX(終値!$E:$E,MATCH(TEXT(C191,"0"),終値!$A:$A,0))-INDEX(終値!$E:$CZ,MATCH(TEXT(C191,"0"),終値!$A:$A,0),$AL$2))/INDEX(終値!$E:$CZ,MATCH(TEXT(C191,"0"),終値!$A:$A,0),$AL$2)*100,""))</f>
        <v>0.13397129186602871</v>
      </c>
      <c r="AG191" s="365">
        <f t="array" ref="AG191">IFERROR((終値!$E$5-INDEX(終値!$E$5:$CZ$5,1,$AL$2))/INDEX(終値!$E$5:$CZ$5,1,$AL$2)*100,"")</f>
        <v>-0.82558151178043282</v>
      </c>
      <c r="AH191" s="366">
        <f t="shared" si="42"/>
        <v>0.95955280364646156</v>
      </c>
      <c r="AI191" s="364">
        <f t="shared" si="43"/>
        <v>1</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8020</v>
      </c>
      <c r="F192" s="166">
        <f>IF(C192&lt;&gt;"",_xll.RssMarket(C192,"始値"),"")</f>
        <v>8140</v>
      </c>
      <c r="G192" s="165">
        <f>IF(C192&lt;&gt;"",終値!F194,"")</f>
        <v>8220</v>
      </c>
      <c r="H192" s="166">
        <f>IF(C192&lt;&gt;"",_xll.RssMarket(C192,"高値"),"")</f>
        <v>8150</v>
      </c>
      <c r="I192" s="166">
        <f>IF(C192&lt;&gt;"",_xll.RssMarket(C192,"安値"),"")</f>
        <v>8000</v>
      </c>
      <c r="J192" s="166">
        <f>IF(C192&lt;&gt;"",_xll.RssMarket(C192,"出来高"),"")</f>
        <v>247000</v>
      </c>
      <c r="K192" s="166">
        <f>IF(C192&lt;&gt;"",_xll.RssMarket(C192,"年初来高値"),"")</f>
        <v>8780</v>
      </c>
      <c r="L192" s="167">
        <f t="shared" si="34"/>
        <v>-8.6560364464692476</v>
      </c>
      <c r="M192" s="166">
        <f>IF(C192&lt;&gt;"",IFERROR(AVERAGE(出来高!E194:I194),""),"")</f>
        <v>773520</v>
      </c>
      <c r="N192" s="166">
        <f>IF(C192&lt;&gt;"",IFERROR(AVERAGE(出来高!E194:AC194),""),"")</f>
        <v>675454.16666666663</v>
      </c>
      <c r="O192" s="168">
        <f t="shared" si="35"/>
        <v>0.31931947460957699</v>
      </c>
      <c r="P192" s="163" t="str">
        <f t="shared" si="36"/>
        <v>減少↓</v>
      </c>
      <c r="Q192" s="163" t="str">
        <f t="shared" si="37"/>
        <v>様子見▼</v>
      </c>
      <c r="R192" s="166">
        <f t="shared" si="44"/>
        <v>8662</v>
      </c>
      <c r="S192" s="166">
        <f t="shared" si="45"/>
        <v>7699</v>
      </c>
      <c r="T192" s="163">
        <f t="shared" si="38"/>
        <v>8</v>
      </c>
      <c r="U192" s="163" t="str">
        <f t="shared" si="46"/>
        <v>要確認</v>
      </c>
      <c r="V192" s="163" t="str">
        <f t="shared" si="39"/>
        <v>通常</v>
      </c>
      <c r="W192" s="169">
        <f t="array" ref="W192">IF(C192&lt;&gt;"",IFERROR(100-100/(1+SUMPRODUCT((終値!F194:R194&gt;終値!G194:S194)*( 終値!F194:R194-終値!G194:S194))/SUMPRODUCT((終値!F194:R194&lt;終値!G194:S194)*(終値!G194:S194-終値!F194:R194))),50),"")</f>
        <v>51.503990178023336</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5.759575543608662</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 t="shared" si="47"/>
        <v>-2.4330900243309004</v>
      </c>
      <c r="AA192" s="163" t="str">
        <f t="shared" si="48"/>
        <v>下落▼</v>
      </c>
      <c r="AB192" s="403">
        <f>IF(C192="","",IFERROR(((終値!E194*0.333)+(終値!F194*0.222)+(終値!G194*0.148)+(終値!H194*0.099)+(終値!I194*0.066)+(終値!J194*0.044)+(終値!K194*0.029)+(終値!L194*0.019)+(終値!M194*0.013)+(終値!N194*0.009))/(0.333+0.222+0.148+0.099+0.066+0.044+0.029+0.019+0.013+0.009),""))</f>
        <v>7958.8798370672084</v>
      </c>
      <c r="AC192" s="403">
        <f>IF(C192="","",IFERROR(SUMPRODUCT((終値!E194:AC194),({0.077,0.071,0.065,0.06,0.055,0.051,0.047,0.043,0.039,0.036,0.033,0.031,0.028,0.026,0.024,0.022,0.02,0.018,0.017,0.016,0.014,0.013,0.012,0.011,0.01}))/SUM({0.077,0.071,0.065,0.06,0.055,0.051,0.047,0.043,0.039,0.036,0.033,0.031,0.028,0.026,0.024,0.022,0.02,0.018,0.017,0.016,0.014,0.013,0.012,0.011,0.01}),""))</f>
        <v>7461.7401668653129</v>
      </c>
      <c r="AD192" s="404" t="str">
        <f t="shared" si="49"/>
        <v>パーフェクト▲</v>
      </c>
      <c r="AE192" s="404" t="str">
        <f t="shared" si="50"/>
        <v>5日押し目○</v>
      </c>
      <c r="AF192" s="365">
        <f t="array" ref="AF192">IF(C192="","",IFERROR((INDEX(終値!$E:$E,MATCH(TEXT(C192,"0"),終値!$A:$A,0))-INDEX(終値!$E:$CZ,MATCH(TEXT(C192,"0"),終値!$A:$A,0),$AL$2))/INDEX(終値!$E:$CZ,MATCH(TEXT(C192,"0"),終値!$A:$A,0),$AL$2)*100,""))</f>
        <v>7.5197889182058049</v>
      </c>
      <c r="AG192" s="365">
        <f t="array" ref="AG192">IFERROR((終値!$E$5-INDEX(終値!$E$5:$CZ$5,1,$AL$2))/INDEX(終値!$E$5:$CZ$5,1,$AL$2)*100,"")</f>
        <v>-0.82558151178043282</v>
      </c>
      <c r="AH192" s="366">
        <f t="shared" si="42"/>
        <v>8.3453704299862377</v>
      </c>
      <c r="AI192" s="364">
        <f t="shared" si="43"/>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2058</v>
      </c>
      <c r="F193" s="166">
        <f>IF(C193&lt;&gt;"",_xll.RssMarket(C193,"始値"),"")</f>
        <v>2016</v>
      </c>
      <c r="G193" s="165">
        <f>IF(C193&lt;&gt;"",終値!F168,"")</f>
        <v>2038</v>
      </c>
      <c r="H193" s="166">
        <f>IF(C193&lt;&gt;"",_xll.RssMarket(C193,"高値"),"")</f>
        <v>2059</v>
      </c>
      <c r="I193" s="166">
        <f>IF(C193&lt;&gt;"",_xll.RssMarket(C193,"安値"),"")</f>
        <v>2016</v>
      </c>
      <c r="J193" s="166">
        <f>IF(C193&lt;&gt;"",_xll.RssMarket(C193,"出来高"),"")</f>
        <v>24000</v>
      </c>
      <c r="K193" s="166">
        <f>IF(C193&lt;&gt;"",_xll.RssMarket(C193,"年初来高値"),"")</f>
        <v>2348</v>
      </c>
      <c r="L193" s="167">
        <f t="shared" si="34"/>
        <v>-12.350936967632027</v>
      </c>
      <c r="M193" s="166">
        <f>IF(C193&lt;&gt;"",IFERROR(AVERAGE(出来高!E168:I168),""),"")</f>
        <v>35080</v>
      </c>
      <c r="N193" s="166">
        <f>IF(C193&lt;&gt;"",IFERROR(AVERAGE(出来高!E168:AC168),""),"")</f>
        <v>25266.666666666668</v>
      </c>
      <c r="O193" s="168">
        <f t="shared" si="35"/>
        <v>0.68415051311288488</v>
      </c>
      <c r="P193" s="163" t="str">
        <f t="shared" si="36"/>
        <v>減少↓</v>
      </c>
      <c r="Q193" s="163" t="str">
        <f t="shared" si="37"/>
        <v>中立→</v>
      </c>
      <c r="R193" s="166">
        <f t="shared" si="44"/>
        <v>2223</v>
      </c>
      <c r="S193" s="166">
        <f t="shared" si="45"/>
        <v>1976</v>
      </c>
      <c r="T193" s="163">
        <f t="shared" si="38"/>
        <v>3</v>
      </c>
      <c r="U193" s="163" t="str">
        <f t="shared" si="46"/>
        <v>要確認</v>
      </c>
      <c r="V193" s="163" t="str">
        <f t="shared" si="39"/>
        <v>通常</v>
      </c>
      <c r="W193" s="169">
        <f t="array" ref="W193">IF(C193&lt;&gt;"",IFERROR(100-100/(1+SUMPRODUCT((終値!F168:R168&gt;終値!G168:S168)*( 終値!F168:R168-終値!G168:S168))/SUMPRODUCT((終値!F168:R168&lt;終値!G168:S168)*(終値!G168:S168-終値!F168:R168))),50),"")</f>
        <v>50.511782908831229</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-6.2025342403037484</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様子見</v>
      </c>
      <c r="Z193" s="171">
        <f t="shared" si="47"/>
        <v>0.98135426889106969</v>
      </c>
      <c r="AA193" s="163" t="str">
        <f t="shared" si="48"/>
        <v>上昇▲</v>
      </c>
      <c r="AB193" s="405">
        <f>IF(C193="","",IFERROR(((終値!E195*0.333)+(終値!F195*0.222)+(終値!G195*0.148)+(終値!H195*0.099)+(終値!I195*0.066)+(終値!J195*0.044)+(終値!K195*0.029)+(終値!L195*0.019)+(終値!M195*0.013)+(終値!N195*0.009))/(0.333+0.222+0.148+0.099+0.066+0.044+0.029+0.019+0.013+0.009),""))</f>
        <v>8227.2708757637465</v>
      </c>
      <c r="AC193" s="405">
        <f>IF(C193="","",IFERROR(SUMPRODUCT((終値!E195:AC195),({0.077,0.071,0.065,0.06,0.055,0.051,0.047,0.043,0.039,0.036,0.033,0.031,0.028,0.026,0.024,0.022,0.02,0.018,0.017,0.016,0.014,0.013,0.012,0.011,0.01}))/SUM({0.077,0.071,0.065,0.06,0.055,0.051,0.047,0.043,0.039,0.036,0.033,0.031,0.028,0.026,0.024,0.022,0.02,0.018,0.017,0.016,0.014,0.013,0.012,0.011,0.01}),""))</f>
        <v>8191.3468414779481</v>
      </c>
      <c r="AD193" s="406" t="str">
        <f t="shared" si="49"/>
        <v>もみ合い→</v>
      </c>
      <c r="AE193" s="406" t="str">
        <f t="shared" si="50"/>
        <v>なし</v>
      </c>
      <c r="AF193" s="365">
        <f t="array" ref="AF193">IF(C193="","",IFERROR((INDEX(終値!$E:$E,MATCH(TEXT(C193,"0"),終値!$A:$A,0))-INDEX(終値!$E:$CZ,MATCH(TEXT(C193,"0"),終値!$A:$A,0),$AL$2))/INDEX(終値!$E:$CZ,MATCH(TEXT(C193,"0"),終値!$A:$A,0),$AL$2)*100,""))</f>
        <v>1.4631685166498487</v>
      </c>
      <c r="AG193" s="365">
        <f t="array" ref="AG193">IFERROR((終値!$E$5-INDEX(終値!$E$5:$CZ$5,1,$AL$2))/INDEX(終値!$E$5:$CZ$5,1,$AL$2)*100,"")</f>
        <v>-0.82558151178043282</v>
      </c>
      <c r="AH193" s="366">
        <f t="shared" si="42"/>
        <v>2.2887500284302815</v>
      </c>
      <c r="AI193" s="364">
        <f t="shared" si="43"/>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3657</v>
      </c>
      <c r="F194" s="166">
        <f>IF(C194&lt;&gt;"",_xll.RssMarket(C194,"始値"),"")</f>
        <v>3710</v>
      </c>
      <c r="G194" s="165">
        <f>IF(C194&lt;&gt;"",終値!F174,"")</f>
        <v>3726</v>
      </c>
      <c r="H194" s="166">
        <f>IF(C194&lt;&gt;"",_xll.RssMarket(C194,"高値"),"")</f>
        <v>3713</v>
      </c>
      <c r="I194" s="166">
        <f>IF(C194&lt;&gt;"",_xll.RssMarket(C194,"安値"),"")</f>
        <v>3617</v>
      </c>
      <c r="J194" s="166">
        <f>IF(C194&lt;&gt;"",_xll.RssMarket(C194,"出来高"),"")</f>
        <v>110600</v>
      </c>
      <c r="K194" s="166">
        <f>IF(C194&lt;&gt;"",_xll.RssMarket(C194,"年初来高値"),"")</f>
        <v>4655</v>
      </c>
      <c r="L194" s="167">
        <f t="shared" si="34"/>
        <v>-21.439312567132117</v>
      </c>
      <c r="M194" s="166">
        <f>IF(C194&lt;&gt;"",IFERROR(AVERAGE(出来高!E174:I174),""),"")</f>
        <v>416000</v>
      </c>
      <c r="N194" s="166">
        <f>IF(C194&lt;&gt;"",IFERROR(AVERAGE(出来高!E174:AC174),""),"")</f>
        <v>308888</v>
      </c>
      <c r="O194" s="168">
        <f t="shared" si="35"/>
        <v>0.26586538461538461</v>
      </c>
      <c r="P194" s="163" t="str">
        <f t="shared" si="36"/>
        <v>減少↓</v>
      </c>
      <c r="Q194" s="163" t="str">
        <f t="shared" si="37"/>
        <v>様子見▼</v>
      </c>
      <c r="R194" s="166">
        <f t="shared" si="44"/>
        <v>3950</v>
      </c>
      <c r="S194" s="166">
        <f t="shared" si="45"/>
        <v>3511</v>
      </c>
      <c r="T194" s="163">
        <f t="shared" si="38"/>
        <v>5</v>
      </c>
      <c r="U194" s="163" t="str">
        <f t="shared" si="46"/>
        <v>要確認</v>
      </c>
      <c r="V194" s="163" t="str">
        <f t="shared" si="39"/>
        <v>通常</v>
      </c>
      <c r="W194" s="169">
        <f t="array" ref="W194">IF(C194&lt;&gt;"",IFERROR(100-100/(1+SUMPRODUCT((終値!F174:R174&gt;終値!G174:S174)*( 終値!F174:R174-終値!G174:S174))/SUMPRODUCT((終値!F174:R174&lt;終値!G174:S174)*(終値!G174:S174-終値!F174:R174))),50),"")</f>
        <v>46.796338672768876</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18.753760363640595</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様子見</v>
      </c>
      <c r="Z194" s="171">
        <f t="shared" si="47"/>
        <v>-1.8518518518518516</v>
      </c>
      <c r="AA194" s="163" t="str">
        <f t="shared" si="48"/>
        <v>下落▼</v>
      </c>
      <c r="AB194" s="403">
        <f>IF(C194="","",IFERROR(((終値!E196*0.333)+(終値!F196*0.222)+(終値!G196*0.148)+(終値!H196*0.099)+(終値!I196*0.066)+(終値!J196*0.044)+(終値!K196*0.029)+(終値!L196*0.019)+(終値!M196*0.013)+(終値!N196*0.009))/(0.333+0.222+0.148+0.099+0.066+0.044+0.029+0.019+0.013+0.009),""))</f>
        <v>22726.7515274949</v>
      </c>
      <c r="AC194" s="403">
        <f>IF(C194="","",IFERROR(SUMPRODUCT((終値!E196:AC196),({0.077,0.071,0.065,0.06,0.055,0.051,0.047,0.043,0.039,0.036,0.033,0.031,0.028,0.026,0.024,0.022,0.02,0.018,0.017,0.016,0.014,0.013,0.012,0.011,0.01}))/SUM({0.077,0.071,0.065,0.06,0.055,0.051,0.047,0.043,0.039,0.036,0.033,0.031,0.028,0.026,0.024,0.022,0.02,0.018,0.017,0.016,0.014,0.013,0.012,0.011,0.01}),""))</f>
        <v>23301.430274135866</v>
      </c>
      <c r="AD194" s="404" t="str">
        <f t="shared" si="49"/>
        <v>下降トレンド▼</v>
      </c>
      <c r="AE194" s="404" t="str">
        <f t="shared" si="50"/>
        <v>なし</v>
      </c>
      <c r="AF194" s="365">
        <f t="array" ref="AF194">IF(C194="","",IFERROR((INDEX(終値!$E:$E,MATCH(TEXT(C194,"0"),終値!$A:$A,0))-INDEX(終値!$E:$CZ,MATCH(TEXT(C194,"0"),終値!$A:$A,0),$AL$2))/INDEX(終値!$E:$CZ,MATCH(TEXT(C194,"0"),終値!$A:$A,0),$AL$2)*100,""))</f>
        <v>9.4138543516873892</v>
      </c>
      <c r="AG194" s="365">
        <f t="array" ref="AG194">IFERROR((終値!$E$5-INDEX(終値!$E$5:$CZ$5,1,$AL$2))/INDEX(終値!$E$5:$CZ$5,1,$AL$2)*100,"")</f>
        <v>-0.82558151178043282</v>
      </c>
      <c r="AH194" s="366">
        <f t="shared" si="42"/>
        <v>10.239435863467822</v>
      </c>
      <c r="AI194" s="364">
        <f t="shared" si="43"/>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2638</v>
      </c>
      <c r="F195" s="166">
        <f>IF(C195&lt;&gt;"",_xll.RssMarket(C195,"始値"),"")</f>
        <v>2532</v>
      </c>
      <c r="G195" s="165">
        <f>IF(C195&lt;&gt;"",終値!F131,"")</f>
        <v>2488</v>
      </c>
      <c r="H195" s="166">
        <f>IF(C195&lt;&gt;"",_xll.RssMarket(C195,"高値"),"")</f>
        <v>2665</v>
      </c>
      <c r="I195" s="166">
        <f>IF(C195&lt;&gt;"",_xll.RssMarket(C195,"安値"),"")</f>
        <v>2526</v>
      </c>
      <c r="J195" s="166">
        <f>IF(C195&lt;&gt;"",_xll.RssMarket(C195,"出来高"),"")</f>
        <v>619200</v>
      </c>
      <c r="K195" s="166">
        <f>IF(C195&lt;&gt;"",_xll.RssMarket(C195,"年初来高値"),"")</f>
        <v>3740</v>
      </c>
      <c r="L195" s="167">
        <f t="shared" ref="L195:L206" si="51">IF(AND(E195&lt;&gt;"",K195&lt;&gt;"",K195&lt;&gt;0),(E195-K195)/K195*100,"")</f>
        <v>-29.465240641711233</v>
      </c>
      <c r="M195" s="166">
        <f>IF(C195&lt;&gt;"",IFERROR(AVERAGE(出来高!E131:I131),""),"")</f>
        <v>1071680</v>
      </c>
      <c r="N195" s="166">
        <f>IF(C195&lt;&gt;"",IFERROR(AVERAGE(出来高!E131:AC131),""),"")</f>
        <v>878400</v>
      </c>
      <c r="O195" s="168">
        <f t="shared" ref="O195:O206" si="52">IF(AND(J195&lt;&gt;"",M195&lt;&gt;"",M195&lt;&gt;0),J195/M195,"")</f>
        <v>0.57778441325768881</v>
      </c>
      <c r="P195" s="163" t="str">
        <f t="shared" ref="P195:P206" si="53">IF(O195="","",IF(O195&gt;=2,"急増↑↑",IF(O195&gt;=1.5,"増加↑",IF(O195&gt;=1,"普通→","減少↓"))))</f>
        <v>減少↓</v>
      </c>
      <c r="Q195" s="163" t="str">
        <f t="shared" ref="Q195:Q206" si="54">IF(E195="","",IF(AND(E195&gt;G195,O195&gt;=1.5),"買い▲",IF(E195&lt;G195,"様子見▼","中立→")))</f>
        <v>中立→</v>
      </c>
      <c r="R195" s="166">
        <f t="shared" si="44"/>
        <v>2849</v>
      </c>
      <c r="S195" s="166">
        <f t="shared" si="45"/>
        <v>2532</v>
      </c>
      <c r="T195" s="163">
        <f t="shared" ref="T195:T206" si="55">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0</v>
      </c>
      <c r="U195" s="163" t="str">
        <f t="shared" si="46"/>
        <v>除外</v>
      </c>
      <c r="V195" s="163" t="str">
        <f t="shared" ref="V195:V206" si="56">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45.187793427230048</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-30.779252026953145</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 t="shared" si="47"/>
        <v>6.028938906752412</v>
      </c>
      <c r="AA195" s="163" t="str">
        <f t="shared" si="48"/>
        <v>上昇▲</v>
      </c>
      <c r="AB195" s="405">
        <f>IF(C195="","",IFERROR(((終値!E197*0.333)+(終値!F197*0.222)+(終値!G197*0.148)+(終値!H197*0.099)+(終値!I197*0.066)+(終値!J197*0.044)+(終値!K197*0.029)+(終値!L197*0.019)+(終値!M197*0.013)+(終値!N197*0.009))/(0.333+0.222+0.148+0.099+0.066+0.044+0.029+0.019+0.013+0.009),""))</f>
        <v>58857.535641547853</v>
      </c>
      <c r="AC195" s="405">
        <f>IF(C195="","",IFERROR(SUMPRODUCT((終値!E197:AC197),({0.077,0.071,0.065,0.06,0.055,0.051,0.047,0.043,0.039,0.036,0.033,0.031,0.028,0.026,0.024,0.022,0.02,0.018,0.017,0.016,0.014,0.013,0.012,0.011,0.01}))/SUM({0.077,0.071,0.065,0.06,0.055,0.051,0.047,0.043,0.039,0.036,0.033,0.031,0.028,0.026,0.024,0.022,0.02,0.018,0.017,0.016,0.014,0.013,0.012,0.011,0.01}),""))</f>
        <v>63882.574493444547</v>
      </c>
      <c r="AD195" s="406" t="str">
        <f t="shared" ref="AD195:AD202" si="57">IF(OR(C195="",AB195="",AC195=""),"",IF(AND(E195&gt;AB195,AB195&gt;AC195),"パーフェクト▲",IF(E195&gt;AC195,"上昇トレンド▲",IF(AND(E195&lt;AB195,AB195&lt;AC195),"下降トレンド▼","もみ合い→"))))</f>
        <v>下降トレンド▼</v>
      </c>
      <c r="AE195" s="406" t="str">
        <f t="shared" ref="AE195:AE202" si="58">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-9.1822094691535163</v>
      </c>
      <c r="AG195" s="365">
        <f t="array" ref="AG195">IFERROR((終値!$E$5-INDEX(終値!$E$5:$CZ$5,1,$AL$2))/INDEX(終値!$E$5:$CZ$5,1,$AL$2)*100,"")</f>
        <v>-0.82558151178043282</v>
      </c>
      <c r="AH195" s="366">
        <f t="shared" ref="AH195:AH206" si="59">IF(OR(AF195="",AG195=""),"",AF195-AG195)</f>
        <v>-8.3566279573730835</v>
      </c>
      <c r="AI195" s="364">
        <f t="shared" ref="AI195:AI206" si="60">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636.29999999999995</v>
      </c>
      <c r="F196" s="166">
        <f>IF(C196&lt;&gt;"",_xll.RssMarket(C196,"始値"),"")</f>
        <v>637</v>
      </c>
      <c r="G196" s="165">
        <f>IF(C196&lt;&gt;"",終値!F187,"")</f>
        <v>639.29999999999995</v>
      </c>
      <c r="H196" s="166">
        <f>IF(C196&lt;&gt;"",_xll.RssMarket(C196,"高値"),"")</f>
        <v>637</v>
      </c>
      <c r="I196" s="166">
        <f>IF(C196&lt;&gt;"",_xll.RssMarket(C196,"安値"),"")</f>
        <v>629.29999999999995</v>
      </c>
      <c r="J196" s="166">
        <f>IF(C196&lt;&gt;"",_xll.RssMarket(C196,"出来高"),"")</f>
        <v>1137200</v>
      </c>
      <c r="K196" s="166">
        <f>IF(C196&lt;&gt;"",_xll.RssMarket(C196,"年初来高値"),"")</f>
        <v>763.7</v>
      </c>
      <c r="L196" s="167">
        <f t="shared" si="51"/>
        <v>-16.681943171402395</v>
      </c>
      <c r="M196" s="166">
        <f>IF(C196&lt;&gt;"",IFERROR(AVERAGE(出来高!E187:I187),""),"")</f>
        <v>4544220</v>
      </c>
      <c r="N196" s="166">
        <f>IF(C196&lt;&gt;"",IFERROR(AVERAGE(出来高!E187:AC187),""),"")</f>
        <v>2183932</v>
      </c>
      <c r="O196" s="168">
        <f t="shared" si="52"/>
        <v>0.25025196843462683</v>
      </c>
      <c r="P196" s="163" t="str">
        <f t="shared" si="53"/>
        <v>減少↓</v>
      </c>
      <c r="Q196" s="163" t="str">
        <f t="shared" si="54"/>
        <v>様子見▼</v>
      </c>
      <c r="R196" s="166">
        <f t="shared" ref="R196:R206" si="61">IF(E196&lt;&gt;"",ROUND(E196*1.08,0),"")</f>
        <v>687</v>
      </c>
      <c r="S196" s="166">
        <f t="shared" ref="S196:S206" si="62">IF(E196&lt;&gt;"",ROUND(E196*0.96,0),"")</f>
        <v>611</v>
      </c>
      <c r="T196" s="163">
        <f t="shared" si="55"/>
        <v>3</v>
      </c>
      <c r="U196" s="163" t="str">
        <f t="shared" ref="U196:U206" si="63">IF(T196="","",IF(AND(T196&gt;=3,O196&gt;=1.5),"有効",IF(T196&gt;=3,"要確認","除外")))</f>
        <v>要確認</v>
      </c>
      <c r="V196" s="163" t="str">
        <f t="shared" si="56"/>
        <v>通常</v>
      </c>
      <c r="W196" s="169">
        <f t="array" ref="W196">IF(C196&lt;&gt;"",IFERROR(100-100/(1+SUMPRODUCT((終値!F187:R187&gt;終値!G187:S187)*( 終値!F187:R187-終値!G187:S187))/SUMPRODUCT((終値!F187:R187&lt;終値!G187:S187)*(終値!G187:S187-終値!F187:R187))),50),"")</f>
        <v>38.953888506538178</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-1.8648734869983628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様子見</v>
      </c>
      <c r="Z196" s="171">
        <f t="shared" ref="Z196:Z206" si="64">IF(AND(E196&lt;&gt;"",G196&lt;&gt;"",G196&lt;&gt;0),(E196-G196)/G196*100,"")</f>
        <v>-0.46926325668700142</v>
      </c>
      <c r="AA196" s="163" t="str">
        <f t="shared" ref="AA196:AA206" si="65">IF(OR(C196="",E196="",E196=0),"",IF(E196&gt;G196,"上昇▲",IF(E196&lt;G196,"下落▼","横ばい→")))</f>
        <v>下落▼</v>
      </c>
      <c r="AB196" s="403">
        <f>IF(C196="","",IFERROR(((終値!E198*0.333)+(終値!F198*0.222)+(終値!G198*0.148)+(終値!H198*0.099)+(終値!I198*0.066)+(終値!J198*0.044)+(終値!K198*0.029)+(終値!L198*0.019)+(終値!M198*0.013)+(終値!N198*0.009))/(0.333+0.222+0.148+0.099+0.066+0.044+0.029+0.019+0.013+0.009),""))</f>
        <v>55700.458248472496</v>
      </c>
      <c r="AC196" s="403">
        <f>IF(C196="","",IFERROR(SUMPRODUCT((終値!E198:AC198),({0.077,0.071,0.065,0.06,0.055,0.051,0.047,0.043,0.039,0.036,0.033,0.031,0.028,0.026,0.024,0.022,0.02,0.018,0.017,0.016,0.014,0.013,0.012,0.011,0.01}))/SUM({0.077,0.071,0.065,0.06,0.055,0.051,0.047,0.043,0.039,0.036,0.033,0.031,0.028,0.026,0.024,0.022,0.02,0.018,0.017,0.016,0.014,0.013,0.012,0.011,0.01}),""))</f>
        <v>62158.963051251463</v>
      </c>
      <c r="AD196" s="404" t="str">
        <f t="shared" si="57"/>
        <v>下降トレンド▼</v>
      </c>
      <c r="AE196" s="404" t="str">
        <f t="shared" si="58"/>
        <v>なし</v>
      </c>
      <c r="AF196" s="365">
        <f t="array" ref="AF196">IF(C196="","",IFERROR((INDEX(終値!$E:$E,MATCH(TEXT(C196,"0"),終値!$A:$A,0))-INDEX(終値!$E:$CZ,MATCH(TEXT(C196,"0"),終値!$A:$A,0),$AL$2))/INDEX(終値!$E:$CZ,MATCH(TEXT(C196,"0"),終値!$A:$A,0),$AL$2)*100,""))</f>
        <v>0.18927444794953399</v>
      </c>
      <c r="AG196" s="365">
        <f t="array" ref="AG196">IFERROR((終値!$E$5-INDEX(終値!$E$5:$CZ$5,1,$AL$2))/INDEX(終値!$E$5:$CZ$5,1,$AL$2)*100,"")</f>
        <v>-0.82558151178043282</v>
      </c>
      <c r="AH196" s="366">
        <f t="shared" si="59"/>
        <v>1.0148559597299669</v>
      </c>
      <c r="AI196" s="364">
        <f t="shared" si="60"/>
        <v>1</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2329</v>
      </c>
      <c r="F197" s="166">
        <f>IF(C197&lt;&gt;"",_xll.RssMarket(C197,"始値"),"")</f>
        <v>2310</v>
      </c>
      <c r="G197" s="165">
        <f>IF(C197&lt;&gt;"",終値!F86,"")</f>
        <v>2259.5</v>
      </c>
      <c r="H197" s="166">
        <f>IF(C197&lt;&gt;"",_xll.RssMarket(C197,"高値"),"")</f>
        <v>2355.5</v>
      </c>
      <c r="I197" s="166">
        <f>IF(C197&lt;&gt;"",_xll.RssMarket(C197,"安値"),"")</f>
        <v>2302.5</v>
      </c>
      <c r="J197" s="166">
        <f>IF(C197&lt;&gt;"",_xll.RssMarket(C197,"出来高"),"")</f>
        <v>742500</v>
      </c>
      <c r="K197" s="166">
        <f>IF(C197&lt;&gt;"",_xll.RssMarket(C197,"年初来高値"),"")</f>
        <v>2927.5</v>
      </c>
      <c r="L197" s="167">
        <f t="shared" si="51"/>
        <v>-20.44406490179334</v>
      </c>
      <c r="M197" s="166">
        <f>IF(C197&lt;&gt;"",IFERROR(AVERAGE(出来高!E86:I86),""),"")</f>
        <v>1705380</v>
      </c>
      <c r="N197" s="166">
        <f>IF(C197&lt;&gt;"",IFERROR(AVERAGE(出来高!E86:AC86),""),"")</f>
        <v>1672008.3333333333</v>
      </c>
      <c r="O197" s="168">
        <f t="shared" si="52"/>
        <v>0.43538683460577698</v>
      </c>
      <c r="P197" s="163" t="str">
        <f t="shared" si="53"/>
        <v>減少↓</v>
      </c>
      <c r="Q197" s="163" t="str">
        <f t="shared" si="54"/>
        <v>中立→</v>
      </c>
      <c r="R197" s="166">
        <f t="shared" si="61"/>
        <v>2515</v>
      </c>
      <c r="S197" s="166">
        <f t="shared" si="62"/>
        <v>2236</v>
      </c>
      <c r="T197" s="163">
        <f t="shared" si="55"/>
        <v>0</v>
      </c>
      <c r="U197" s="163" t="str">
        <f t="shared" si="63"/>
        <v>除外</v>
      </c>
      <c r="V197" s="163" t="str">
        <f t="shared" si="56"/>
        <v>通常</v>
      </c>
      <c r="W197" s="169">
        <f t="array" ref="W197">IF(C197&lt;&gt;"",IFERROR(100-100/(1+SUMPRODUCT((終値!F86:R86&gt;終値!G86:S86)*( 終値!F86:R86-終値!G86:S86))/SUMPRODUCT((終値!F86:R86&lt;終値!G86:S86)*(終値!G86:S86-終値!F86:R86))),50),"")</f>
        <v>49.579344357412246</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-32.672418493943042</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 t="shared" si="64"/>
        <v>3.0759017481743749</v>
      </c>
      <c r="AA197" s="163" t="str">
        <f t="shared" si="65"/>
        <v>上昇▲</v>
      </c>
      <c r="AB197" s="405">
        <f>IF(C197="","",IFERROR(((終値!E199*0.333)+(終値!F199*0.222)+(終値!G199*0.148)+(終値!H199*0.099)+(終値!I199*0.066)+(終値!J199*0.044)+(終値!K199*0.029)+(終値!L199*0.019)+(終値!M199*0.013)+(終値!N199*0.009))/(0.333+0.222+0.148+0.099+0.066+0.044+0.029+0.019+0.013+0.009),""))</f>
        <v>40403.859470468436</v>
      </c>
      <c r="AC197" s="405">
        <f>IF(C197="","",IFERROR(SUMPRODUCT((終値!E199:AC199),({0.077,0.071,0.065,0.06,0.055,0.051,0.047,0.043,0.039,0.036,0.033,0.031,0.028,0.026,0.024,0.022,0.02,0.018,0.017,0.016,0.014,0.013,0.012,0.011,0.01}))/SUM({0.077,0.071,0.065,0.06,0.055,0.051,0.047,0.043,0.039,0.036,0.033,0.031,0.028,0.026,0.024,0.022,0.02,0.018,0.017,0.016,0.014,0.013,0.012,0.011,0.01}),""))</f>
        <v>41913.992848629307</v>
      </c>
      <c r="AD197" s="406" t="str">
        <f t="shared" si="57"/>
        <v>下降トレンド▼</v>
      </c>
      <c r="AE197" s="406" t="str">
        <f t="shared" si="58"/>
        <v>なし</v>
      </c>
      <c r="AF197" s="365">
        <f t="array" ref="AF197">IF(C197="","",IFERROR((INDEX(終値!$E:$E,MATCH(TEXT(C197,"0"),終値!$A:$A,0))-INDEX(終値!$E:$CZ,MATCH(TEXT(C197,"0"),終値!$A:$A,0),$AL$2))/INDEX(終値!$E:$CZ,MATCH(TEXT(C197,"0"),終値!$A:$A,0),$AL$2)*100,""))</f>
        <v>-10.098039215686274</v>
      </c>
      <c r="AG197" s="365">
        <f t="array" ref="AG197">IFERROR((終値!$E$5-INDEX(終値!$E$5:$CZ$5,1,$AL$2))/INDEX(終値!$E$5:$CZ$5,1,$AL$2)*100,"")</f>
        <v>-0.82558151178043282</v>
      </c>
      <c r="AH197" s="366">
        <f t="shared" si="59"/>
        <v>-9.2724577039058413</v>
      </c>
      <c r="AI197" s="364">
        <f t="shared" si="60"/>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2458</v>
      </c>
      <c r="F198" s="166">
        <f>IF(C198&lt;&gt;"",_xll.RssMarket(C198,"始値"),"")</f>
        <v>2291</v>
      </c>
      <c r="G198" s="165">
        <f>IF(C198&lt;&gt;"",終値!F59,"")</f>
        <v>2222</v>
      </c>
      <c r="H198" s="166">
        <f>IF(C198&lt;&gt;"",_xll.RssMarket(C198,"高値"),"")</f>
        <v>2472</v>
      </c>
      <c r="I198" s="166">
        <f>IF(C198&lt;&gt;"",_xll.RssMarket(C198,"安値"),"")</f>
        <v>2282</v>
      </c>
      <c r="J198" s="166">
        <f>IF(C198&lt;&gt;"",_xll.RssMarket(C198,"出来高"),"")</f>
        <v>773500</v>
      </c>
      <c r="K198" s="166">
        <f>IF(C198&lt;&gt;"",_xll.RssMarket(C198,"年初来高値"),"")</f>
        <v>3275</v>
      </c>
      <c r="L198" s="167">
        <f t="shared" si="51"/>
        <v>-24.946564885496183</v>
      </c>
      <c r="M198" s="166">
        <f>IF(C198&lt;&gt;"",IFERROR(AVERAGE(出来高!E59:I59),""),"")</f>
        <v>1070380</v>
      </c>
      <c r="N198" s="166">
        <f>IF(C198&lt;&gt;"",IFERROR(AVERAGE(出来高!E59:AC59),""),"")</f>
        <v>742380</v>
      </c>
      <c r="O198" s="168">
        <f t="shared" si="52"/>
        <v>0.7226405575589977</v>
      </c>
      <c r="P198" s="163" t="str">
        <f t="shared" si="53"/>
        <v>減少↓</v>
      </c>
      <c r="Q198" s="163" t="str">
        <f t="shared" si="54"/>
        <v>中立→</v>
      </c>
      <c r="R198" s="166">
        <f t="shared" si="61"/>
        <v>2655</v>
      </c>
      <c r="S198" s="166">
        <f t="shared" si="62"/>
        <v>2360</v>
      </c>
      <c r="T198" s="163">
        <f t="shared" si="55"/>
        <v>2</v>
      </c>
      <c r="U198" s="163" t="str">
        <f t="shared" si="63"/>
        <v>除外</v>
      </c>
      <c r="V198" s="163" t="str">
        <f t="shared" si="56"/>
        <v>通常</v>
      </c>
      <c r="W198" s="169">
        <f t="array" ref="W198">IF(C198&lt;&gt;"",IFERROR(100-100/(1+SUMPRODUCT((終値!F59:R59&gt;終値!G59:S59)*( 終値!F59:R59-終値!G59:S59))/SUMPRODUCT((終値!F59:R59&lt;終値!G59:S59)*(終値!G59:S59-終値!F59:R59))),50),"")</f>
        <v>29.477611940298502</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-63.044298456846263</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 t="shared" si="64"/>
        <v>10.621062106210621</v>
      </c>
      <c r="AA198" s="163" t="str">
        <f t="shared" si="65"/>
        <v>上昇▲</v>
      </c>
      <c r="AB198" s="403">
        <f>IF(C198="","",IFERROR(((終値!E200*0.333)+(終値!F200*0.222)+(終値!G200*0.148)+(終値!H200*0.099)+(終値!I200*0.066)+(終値!J200*0.044)+(終値!K200*0.029)+(終値!L200*0.019)+(終値!M200*0.013)+(終値!N200*0.009))/(0.333+0.222+0.148+0.099+0.066+0.044+0.029+0.019+0.013+0.009),""))</f>
        <v>3248.9271894093677</v>
      </c>
      <c r="AC198" s="403">
        <f>IF(C198="","",IFERROR(SUMPRODUCT((終値!E200:AC200),({0.077,0.071,0.065,0.06,0.055,0.051,0.047,0.043,0.039,0.036,0.033,0.031,0.028,0.026,0.024,0.022,0.02,0.018,0.017,0.016,0.014,0.013,0.012,0.011,0.01}))/SUM({0.077,0.071,0.065,0.06,0.055,0.051,0.047,0.043,0.039,0.036,0.033,0.031,0.028,0.026,0.024,0.022,0.02,0.018,0.017,0.016,0.014,0.013,0.012,0.011,0.01}),""))</f>
        <v>3381.1078665077466</v>
      </c>
      <c r="AD198" s="404" t="str">
        <f t="shared" si="57"/>
        <v>下降トレンド▼</v>
      </c>
      <c r="AE198" s="404" t="str">
        <f t="shared" si="58"/>
        <v>なし</v>
      </c>
      <c r="AF198" s="365">
        <f t="array" ref="AF198">IF(C198="","",IFERROR((INDEX(終値!$E:$E,MATCH(TEXT(C198,"0"),終値!$A:$A,0))-INDEX(終値!$E:$CZ,MATCH(TEXT(C198,"0"),終値!$A:$A,0),$AL$2))/INDEX(終値!$E:$CZ,MATCH(TEXT(C198,"0"),終値!$A:$A,0),$AL$2)*100,""))</f>
        <v>-24.196721311475411</v>
      </c>
      <c r="AG198" s="365">
        <f t="array" ref="AG198">IFERROR((終値!$E$5-INDEX(終値!$E$5:$CZ$5,1,$AL$2))/INDEX(終値!$E$5:$CZ$5,1,$AL$2)*100,"")</f>
        <v>-0.82558151178043282</v>
      </c>
      <c r="AH198" s="366">
        <f t="shared" si="59"/>
        <v>-23.37113979969498</v>
      </c>
      <c r="AI198" s="364">
        <f t="shared" si="60"/>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5677</v>
      </c>
      <c r="F199" s="166">
        <f>IF(C199&lt;&gt;"",_xll.RssMarket(C199,"始値"),"")</f>
        <v>5584</v>
      </c>
      <c r="G199" s="165">
        <f>IF(C199&lt;&gt;"",終値!F175,"")</f>
        <v>5323</v>
      </c>
      <c r="H199" s="166">
        <f>IF(C199&lt;&gt;"",_xll.RssMarket(C199,"高値"),"")</f>
        <v>5704</v>
      </c>
      <c r="I199" s="166">
        <f>IF(C199&lt;&gt;"",_xll.RssMarket(C199,"安値"),"")</f>
        <v>5496</v>
      </c>
      <c r="J199" s="166">
        <f>IF(C199&lt;&gt;"",_xll.RssMarket(C199,"出来高"),"")</f>
        <v>737500</v>
      </c>
      <c r="K199" s="166">
        <f>IF(C199&lt;&gt;"",_xll.RssMarket(C199,"年初来高値"),"")</f>
        <v>7460</v>
      </c>
      <c r="L199" s="167">
        <f t="shared" si="51"/>
        <v>-23.900804289544237</v>
      </c>
      <c r="M199" s="166">
        <f>IF(C199&lt;&gt;"",IFERROR(AVERAGE(出来高!E175:I175),""),"")</f>
        <v>2737760</v>
      </c>
      <c r="N199" s="166">
        <f>IF(C199&lt;&gt;"",IFERROR(AVERAGE(出来高!E175:AC175),""),"")</f>
        <v>1227636</v>
      </c>
      <c r="O199" s="168">
        <f t="shared" si="52"/>
        <v>0.26938080766758227</v>
      </c>
      <c r="P199" s="163" t="str">
        <f t="shared" si="53"/>
        <v>減少↓</v>
      </c>
      <c r="Q199" s="163" t="str">
        <f t="shared" si="54"/>
        <v>中立→</v>
      </c>
      <c r="R199" s="166">
        <f t="shared" si="61"/>
        <v>6131</v>
      </c>
      <c r="S199" s="166">
        <f t="shared" si="62"/>
        <v>5450</v>
      </c>
      <c r="T199" s="163">
        <f t="shared" si="55"/>
        <v>4</v>
      </c>
      <c r="U199" s="163" t="str">
        <f t="shared" si="63"/>
        <v>要確認</v>
      </c>
      <c r="V199" s="163" t="str">
        <f t="shared" si="56"/>
        <v>通常</v>
      </c>
      <c r="W199" s="169">
        <f t="array" ref="W199">IF(C199&lt;&gt;"",IFERROR(100-100/(1+SUMPRODUCT((終値!F175:R175&gt;終値!G175:S175)*( 終値!F175:R175-終値!G175:S175))/SUMPRODUCT((終値!F175:R175&lt;終値!G175:S175)*(終値!G175:S175-終値!F175:R175))),50),"")</f>
        <v>26.472303206997083</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-136.87240834424483</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様子見</v>
      </c>
      <c r="Z199" s="171">
        <f t="shared" si="64"/>
        <v>6.6503851211722713</v>
      </c>
      <c r="AA199" s="163" t="str">
        <f t="shared" si="65"/>
        <v>上昇▲</v>
      </c>
      <c r="AB199" s="405">
        <f>IF(C199="","",IFERROR(((終値!E201*0.333)+(終値!F201*0.222)+(終値!G201*0.148)+(終値!H201*0.099)+(終値!I201*0.066)+(終値!J201*0.044)+(終値!K201*0.029)+(終値!L201*0.019)+(終値!M201*0.013)+(終値!N201*0.009))/(0.333+0.222+0.148+0.099+0.066+0.044+0.029+0.019+0.013+0.009),""))</f>
        <v>4944.7627291242361</v>
      </c>
      <c r="AC199" s="405">
        <f>IF(C199="","",IFERROR(SUMPRODUCT((終値!E201:AC201),({0.077,0.071,0.065,0.06,0.055,0.051,0.047,0.043,0.039,0.036,0.033,0.031,0.028,0.026,0.024,0.022,0.02,0.018,0.017,0.016,0.014,0.013,0.012,0.011,0.01}))/SUM({0.077,0.071,0.065,0.06,0.055,0.051,0.047,0.043,0.039,0.036,0.033,0.031,0.028,0.026,0.024,0.022,0.02,0.018,0.017,0.016,0.014,0.013,0.012,0.011,0.01}),""))</f>
        <v>5405.3051251489851</v>
      </c>
      <c r="AD199" s="406" t="str">
        <f t="shared" si="57"/>
        <v>上昇トレンド▲</v>
      </c>
      <c r="AE199" s="406" t="str">
        <f t="shared" si="58"/>
        <v>なし</v>
      </c>
      <c r="AF199" s="365">
        <f t="array" ref="AF199">IF(C199="","",IFERROR((INDEX(終値!$E:$E,MATCH(TEXT(C199,"0"),終値!$A:$A,0))-INDEX(終値!$E:$CZ,MATCH(TEXT(C199,"0"),終値!$A:$A,0),$AL$2))/INDEX(終値!$E:$CZ,MATCH(TEXT(C199,"0"),終値!$A:$A,0),$AL$2)*100,""))</f>
        <v>-18.861262321612475</v>
      </c>
      <c r="AG199" s="365">
        <f t="array" ref="AG199">IFERROR((終値!$E$5-INDEX(終値!$E$5:$CZ$5,1,$AL$2))/INDEX(終値!$E$5:$CZ$5,1,$AL$2)*100,"")</f>
        <v>-0.82558151178043282</v>
      </c>
      <c r="AH199" s="366">
        <f t="shared" si="59"/>
        <v>-18.035680809832044</v>
      </c>
      <c r="AI199" s="364">
        <f t="shared" si="60"/>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2493</v>
      </c>
      <c r="F200" s="166">
        <f>IF(C200&lt;&gt;"",_xll.RssMarket(C200,"始値"),"")</f>
        <v>2462</v>
      </c>
      <c r="G200" s="165">
        <f>IF(C200&lt;&gt;"",終値!F176,"")</f>
        <v>2389</v>
      </c>
      <c r="H200" s="166">
        <f>IF(C200&lt;&gt;"",_xll.RssMarket(C200,"高値"),"")</f>
        <v>2498</v>
      </c>
      <c r="I200" s="166">
        <f>IF(C200&lt;&gt;"",_xll.RssMarket(C200,"安値"),"")</f>
        <v>2428</v>
      </c>
      <c r="J200" s="166">
        <f>IF(C200&lt;&gt;"",_xll.RssMarket(C200,"出来高"),"")</f>
        <v>85100</v>
      </c>
      <c r="K200" s="166">
        <f>IF(C200&lt;&gt;"",_xll.RssMarket(C200,"年初来高値"),"")</f>
        <v>3245</v>
      </c>
      <c r="L200" s="167">
        <f t="shared" si="51"/>
        <v>-23.174114021571647</v>
      </c>
      <c r="M200" s="166">
        <f>IF(C200&lt;&gt;"",IFERROR(AVERAGE(出来高!E176:I176),""),"")</f>
        <v>111200</v>
      </c>
      <c r="N200" s="166">
        <f>IF(C200&lt;&gt;"",IFERROR(AVERAGE(出来高!E176:AC176),""),"")</f>
        <v>84012</v>
      </c>
      <c r="O200" s="168">
        <f t="shared" si="52"/>
        <v>0.76528776978417268</v>
      </c>
      <c r="P200" s="163" t="str">
        <f t="shared" si="53"/>
        <v>減少↓</v>
      </c>
      <c r="Q200" s="163" t="str">
        <f t="shared" si="54"/>
        <v>中立→</v>
      </c>
      <c r="R200" s="166">
        <f t="shared" si="61"/>
        <v>2692</v>
      </c>
      <c r="S200" s="166">
        <f t="shared" si="62"/>
        <v>2393</v>
      </c>
      <c r="T200" s="163">
        <f t="shared" si="55"/>
        <v>1</v>
      </c>
      <c r="U200" s="163" t="str">
        <f t="shared" si="63"/>
        <v>除外</v>
      </c>
      <c r="V200" s="163" t="str">
        <f t="shared" si="56"/>
        <v>通常</v>
      </c>
      <c r="W200" s="169">
        <f t="array" ref="W200">IF(C200&lt;&gt;"",IFERROR(100-100/(1+SUMPRODUCT((終値!F176:R176&gt;終値!G176:S176)*( 終値!F176:R176-終値!G176:S176))/SUMPRODUCT((終値!F176:R176&lt;終値!G176:S176)*(終値!G176:S176-終値!F176:R176))),50),"")</f>
        <v>31.756756756756758</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-28.889429984993058</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見送り</v>
      </c>
      <c r="Z200" s="171">
        <f t="shared" si="64"/>
        <v>4.3532858936793639</v>
      </c>
      <c r="AA200" s="163" t="str">
        <f t="shared" si="65"/>
        <v>上昇▲</v>
      </c>
      <c r="AB200" s="403">
        <f>IF(C200="","",IFERROR(((終値!E202*0.333)+(終値!F202*0.222)+(終値!G202*0.148)+(終値!H202*0.099)+(終値!I202*0.066)+(終値!J202*0.044)+(終値!K202*0.029)+(終値!L202*0.019)+(終値!M202*0.013)+(終値!N202*0.009))/(0.333+0.222+0.148+0.099+0.066+0.044+0.029+0.019+0.013+0.009),""))</f>
        <v>5283.8126272912414</v>
      </c>
      <c r="AC200" s="403">
        <f>IF(C200="","",IFERROR(SUMPRODUCT((終値!E202:AC202),({0.077,0.071,0.065,0.06,0.055,0.051,0.047,0.043,0.039,0.036,0.033,0.031,0.028,0.026,0.024,0.022,0.02,0.018,0.017,0.016,0.014,0.013,0.012,0.011,0.01}))/SUM({0.077,0.071,0.065,0.06,0.055,0.051,0.047,0.043,0.039,0.036,0.033,0.031,0.028,0.026,0.024,0.022,0.02,0.018,0.017,0.016,0.014,0.013,0.012,0.011,0.01}),""))</f>
        <v>5281.1191895113207</v>
      </c>
      <c r="AD200" s="404" t="str">
        <f t="shared" si="57"/>
        <v>もみ合い→</v>
      </c>
      <c r="AE200" s="404" t="str">
        <f t="shared" si="58"/>
        <v>なし</v>
      </c>
      <c r="AF200" s="365">
        <f t="array" ref="AF200">IF(C200="","",IFERROR((INDEX(終値!$E:$E,MATCH(TEXT(C200,"0"),終値!$A:$A,0))-INDEX(終値!$E:$CZ,MATCH(TEXT(C200,"0"),終値!$A:$A,0),$AL$2))/INDEX(終値!$E:$CZ,MATCH(TEXT(C200,"0"),終値!$A:$A,0),$AL$2)*100,""))</f>
        <v>-10.830589096231249</v>
      </c>
      <c r="AG200" s="365">
        <f t="array" ref="AG200">IFERROR((終値!$E$5-INDEX(終値!$E$5:$CZ$5,1,$AL$2))/INDEX(終値!$E$5:$CZ$5,1,$AL$2)*100,"")</f>
        <v>-0.82558151178043282</v>
      </c>
      <c r="AH200" s="366">
        <f t="shared" si="59"/>
        <v>-10.005007584450816</v>
      </c>
      <c r="AI200" s="364">
        <f t="shared" si="60"/>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1523</v>
      </c>
      <c r="F201" s="166">
        <f>IF(C201&lt;&gt;"",_xll.RssMarket(C201,"始値"),"")</f>
        <v>1493</v>
      </c>
      <c r="G201" s="165">
        <f>IF(C201&lt;&gt;"",終値!F163,"")</f>
        <v>1468</v>
      </c>
      <c r="H201" s="166">
        <f>IF(C201&lt;&gt;"",_xll.RssMarket(C201,"高値"),"")</f>
        <v>1528</v>
      </c>
      <c r="I201" s="166">
        <f>IF(C201&lt;&gt;"",_xll.RssMarket(C201,"安値"),"")</f>
        <v>1484</v>
      </c>
      <c r="J201" s="166">
        <f>IF(C201&lt;&gt;"",_xll.RssMarket(C201,"出来高"),"")</f>
        <v>67100</v>
      </c>
      <c r="K201" s="166">
        <f>IF(C201&lt;&gt;"",_xll.RssMarket(C201,"年初来高値"),"")</f>
        <v>1821</v>
      </c>
      <c r="L201" s="167">
        <f t="shared" si="51"/>
        <v>-16.364634816035146</v>
      </c>
      <c r="M201" s="166">
        <f>IF(C201&lt;&gt;"",IFERROR(AVERAGE(出来高!E163:I163),""),"")</f>
        <v>162640</v>
      </c>
      <c r="N201" s="166">
        <f>IF(C201&lt;&gt;"",IFERROR(AVERAGE(出来高!E163:AC163),""),"")</f>
        <v>109604</v>
      </c>
      <c r="O201" s="168">
        <f t="shared" si="52"/>
        <v>0.41256763403836694</v>
      </c>
      <c r="P201" s="163" t="str">
        <f t="shared" si="53"/>
        <v>減少↓</v>
      </c>
      <c r="Q201" s="163" t="str">
        <f t="shared" si="54"/>
        <v>中立→</v>
      </c>
      <c r="R201" s="166">
        <f t="shared" si="61"/>
        <v>1645</v>
      </c>
      <c r="S201" s="166">
        <f t="shared" si="62"/>
        <v>1462</v>
      </c>
      <c r="T201" s="163">
        <f t="shared" si="55"/>
        <v>1</v>
      </c>
      <c r="U201" s="163" t="str">
        <f t="shared" si="63"/>
        <v>除外</v>
      </c>
      <c r="V201" s="163" t="str">
        <f t="shared" si="56"/>
        <v>通常</v>
      </c>
      <c r="W201" s="169">
        <f t="array" ref="W201">IF(C201&lt;&gt;"",IFERROR(100-100/(1+SUMPRODUCT((終値!F163:R163&gt;終値!G163:S163)*( 終値!F163:R163-終値!G163:S163))/SUMPRODUCT((終値!F163:R163&lt;終値!G163:S163)*(終値!G163:S163-終値!F163:R163))),50),"")</f>
        <v>33.055555555555557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-20.38485267016631</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 t="shared" si="64"/>
        <v>3.746594005449591</v>
      </c>
      <c r="AA201" s="163" t="str">
        <f t="shared" si="65"/>
        <v>上昇▲</v>
      </c>
      <c r="AB201" s="405">
        <f>IF(C201="","",IFERROR(((終値!E203*0.333)+(終値!F203*0.222)+(終値!G203*0.148)+(終値!H203*0.099)+(終値!I203*0.066)+(終値!J203*0.044)+(終値!K203*0.029)+(終値!L203*0.019)+(終値!M203*0.013)+(終値!N203*0.009))/(0.333+0.222+0.148+0.099+0.066+0.044+0.029+0.019+0.013+0.009),""))</f>
        <v>5374.1608961303455</v>
      </c>
      <c r="AC201" s="405">
        <f>IF(C201="","",IFERROR(SUMPRODUCT((終値!E203:AC203),({0.077,0.071,0.065,0.06,0.055,0.051,0.047,0.043,0.039,0.036,0.033,0.031,0.028,0.026,0.024,0.022,0.02,0.018,0.017,0.016,0.014,0.013,0.012,0.011,0.01}))/SUM({0.077,0.071,0.065,0.06,0.055,0.051,0.047,0.043,0.039,0.036,0.033,0.031,0.028,0.026,0.024,0.022,0.02,0.018,0.017,0.016,0.014,0.013,0.012,0.011,0.01}),""))</f>
        <v>5363.3313468414754</v>
      </c>
      <c r="AD201" s="406" t="str">
        <f t="shared" si="57"/>
        <v>もみ合い→</v>
      </c>
      <c r="AE201" s="406" t="str">
        <f t="shared" si="58"/>
        <v>なし</v>
      </c>
      <c r="AF201" s="365">
        <f t="array" ref="AF201">IF(C201="","",IFERROR((INDEX(終値!$E:$E,MATCH(TEXT(C201,"0"),終値!$A:$A,0))-INDEX(終値!$E:$CZ,MATCH(TEXT(C201,"0"),終値!$A:$A,0),$AL$2))/INDEX(終値!$E:$CZ,MATCH(TEXT(C201,"0"),終値!$A:$A,0),$AL$2)*100,""))</f>
        <v>-12.920353982300886</v>
      </c>
      <c r="AG201" s="365">
        <f t="array" ref="AG201">IFERROR((終値!$E$5-INDEX(終値!$E$5:$CZ$5,1,$AL$2))/INDEX(終値!$E$5:$CZ$5,1,$AL$2)*100,"")</f>
        <v>-0.82558151178043282</v>
      </c>
      <c r="AH201" s="366">
        <f t="shared" si="59"/>
        <v>-12.094772470520454</v>
      </c>
      <c r="AI201" s="364">
        <f t="shared" si="60"/>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4505</v>
      </c>
      <c r="F202" s="166">
        <f>IF(C202&lt;&gt;"",_xll.RssMarket(C202,"始値"),"")</f>
        <v>4560</v>
      </c>
      <c r="G202" s="165">
        <f>IF(C202&lt;&gt;"",終値!F83,"")</f>
        <v>4584</v>
      </c>
      <c r="H202" s="166">
        <f>IF(C202&lt;&gt;"",_xll.RssMarket(C202,"高値"),"")</f>
        <v>4573</v>
      </c>
      <c r="I202" s="166">
        <f>IF(C202&lt;&gt;"",_xll.RssMarket(C202,"安値"),"")</f>
        <v>4484</v>
      </c>
      <c r="J202" s="166">
        <f>IF(C202&lt;&gt;"",_xll.RssMarket(C202,"出来高"),"")</f>
        <v>1092700</v>
      </c>
      <c r="K202" s="166">
        <f>IF(C202&lt;&gt;"",_xll.RssMarket(C202,"年初来高値"),"")</f>
        <v>5805</v>
      </c>
      <c r="L202" s="167">
        <f t="shared" si="51"/>
        <v>-22.394487510766581</v>
      </c>
      <c r="M202" s="166">
        <f>IF(C202&lt;&gt;"",IFERROR(AVERAGE(出来高!E83:I83),""),"")</f>
        <v>2437580</v>
      </c>
      <c r="N202" s="166">
        <f>IF(C202&lt;&gt;"",IFERROR(AVERAGE(出来高!E83:AC83),""),"")</f>
        <v>2230064</v>
      </c>
      <c r="O202" s="168">
        <f t="shared" si="52"/>
        <v>0.44827246695493073</v>
      </c>
      <c r="P202" s="163" t="str">
        <f t="shared" si="53"/>
        <v>減少↓</v>
      </c>
      <c r="Q202" s="163" t="str">
        <f t="shared" si="54"/>
        <v>様子見▼</v>
      </c>
      <c r="R202" s="166">
        <f t="shared" si="61"/>
        <v>4865</v>
      </c>
      <c r="S202" s="166">
        <f t="shared" si="62"/>
        <v>4325</v>
      </c>
      <c r="T202" s="163">
        <f t="shared" si="55"/>
        <v>3</v>
      </c>
      <c r="U202" s="163" t="str">
        <f t="shared" si="63"/>
        <v>要確認</v>
      </c>
      <c r="V202" s="163" t="str">
        <f t="shared" si="56"/>
        <v>通常</v>
      </c>
      <c r="W202" s="169">
        <f t="array" ref="W202">IF(C202&lt;&gt;"",IFERROR(100-100/(1+SUMPRODUCT((終値!F83:R83&gt;終値!G83:S83)*( 終値!F83:R83-終値!G83:S83))/SUMPRODUCT((終値!F83:R83&lt;終値!G83:S83)*(終値!G83:S83-終値!F83:R83))),50),"")</f>
        <v>52.457142857142856</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21.087603835392656</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 t="shared" si="64"/>
        <v>-1.7233856893542756</v>
      </c>
      <c r="AA202" s="163" t="str">
        <f t="shared" si="65"/>
        <v>下落▼</v>
      </c>
      <c r="AB202" s="403">
        <f>IF(C202="","",IFERROR(((終値!E204*0.333)+(終値!F204*0.222)+(終値!G204*0.148)+(終値!H204*0.099)+(終値!I204*0.066)+(終値!J204*0.044)+(終値!K204*0.029)+(終値!L204*0.019)+(終値!M204*0.013)+(終値!N204*0.009))/(0.333+0.222+0.148+0.099+0.066+0.044+0.029+0.019+0.013+0.009),""))</f>
        <v>6692.0448065173096</v>
      </c>
      <c r="AC202" s="403">
        <f>IF(C202="","",IFERROR(SUMPRODUCT((終値!E204:AC204),({0.077,0.071,0.065,0.06,0.055,0.051,0.047,0.043,0.039,0.036,0.033,0.031,0.028,0.026,0.024,0.022,0.02,0.018,0.017,0.016,0.014,0.013,0.012,0.011,0.01}))/SUM({0.077,0.071,0.065,0.06,0.055,0.051,0.047,0.043,0.039,0.036,0.033,0.031,0.028,0.026,0.024,0.022,0.02,0.018,0.017,0.016,0.014,0.013,0.012,0.011,0.01}),""))</f>
        <v>6453.2550655542291</v>
      </c>
      <c r="AD202" s="404" t="str">
        <f t="shared" si="57"/>
        <v>もみ合い→</v>
      </c>
      <c r="AE202" s="404" t="str">
        <f t="shared" si="58"/>
        <v>なし</v>
      </c>
      <c r="AF202" s="365">
        <f t="array" ref="AF202">IF(C202="","",IFERROR((INDEX(終値!$E:$E,MATCH(TEXT(C202,"0"),終値!$A:$A,0))-INDEX(終値!$E:$CZ,MATCH(TEXT(C202,"0"),終値!$A:$A,0),$AL$2))/INDEX(終値!$E:$CZ,MATCH(TEXT(C202,"0"),終値!$A:$A,0),$AL$2)*100,""))</f>
        <v>2.0664869721473496</v>
      </c>
      <c r="AG202" s="365">
        <f t="array" ref="AG202">IFERROR((終値!$E$5-INDEX(終値!$E$5:$CZ$5,1,$AL$2))/INDEX(終値!$E$5:$CZ$5,1,$AL$2)*100,"")</f>
        <v>-0.82558151178043282</v>
      </c>
      <c r="AH202" s="366">
        <f t="shared" si="59"/>
        <v>2.8920684839277824</v>
      </c>
      <c r="AI202" s="364">
        <f t="shared" si="60"/>
        <v>1</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5740</v>
      </c>
      <c r="F203" s="166">
        <f>IF(C203&lt;&gt;"",_xll.RssMarket(C203,"始値"),"")</f>
        <v>5750</v>
      </c>
      <c r="G203" s="165">
        <f>IF(C203&lt;&gt;"",終値!F80,"")</f>
        <v>5780</v>
      </c>
      <c r="H203" s="166">
        <f>IF(C203&lt;&gt;"",_xll.RssMarket(C203,"高値"),"")</f>
        <v>5770</v>
      </c>
      <c r="I203" s="166">
        <f>IF(C203&lt;&gt;"",_xll.RssMarket(C203,"安値"),"")</f>
        <v>5710</v>
      </c>
      <c r="J203" s="166">
        <f>IF(C203&lt;&gt;"",_xll.RssMarket(C203,"出来高"),"")</f>
        <v>44800</v>
      </c>
      <c r="K203" s="166">
        <f>IF(C203&lt;&gt;"",_xll.RssMarket(C203,"年初来高値"),"")</f>
        <v>7490</v>
      </c>
      <c r="L203" s="167">
        <f t="shared" si="51"/>
        <v>-23.364485981308412</v>
      </c>
      <c r="M203" s="166">
        <f>IF(C203&lt;&gt;"",IFERROR(AVERAGE(出来高!E80:I80),""),"")</f>
        <v>120560</v>
      </c>
      <c r="N203" s="166">
        <f>IF(C203&lt;&gt;"",IFERROR(AVERAGE(出来高!E80:AC80),""),"")</f>
        <v>103470.83333333333</v>
      </c>
      <c r="O203" s="168">
        <f t="shared" si="52"/>
        <v>0.37159920371599203</v>
      </c>
      <c r="P203" s="163" t="str">
        <f t="shared" si="53"/>
        <v>減少↓</v>
      </c>
      <c r="Q203" s="163" t="str">
        <f t="shared" si="54"/>
        <v>様子見▼</v>
      </c>
      <c r="R203" s="166">
        <f t="shared" si="61"/>
        <v>6199</v>
      </c>
      <c r="S203" s="166">
        <f t="shared" si="62"/>
        <v>5510</v>
      </c>
      <c r="T203" s="163">
        <f t="shared" si="55"/>
        <v>2</v>
      </c>
      <c r="U203" s="163" t="str">
        <f t="shared" si="63"/>
        <v>除外</v>
      </c>
      <c r="V203" s="163" t="str">
        <f t="shared" si="56"/>
        <v>通常</v>
      </c>
      <c r="W203" s="169">
        <f t="array" ref="W203">IF(C203&lt;&gt;"",IFERROR(100-100/(1+SUMPRODUCT((終値!F80:R80&gt;終値!G80:S80)*( 終値!F80:R80-終値!G80:S80))/SUMPRODUCT((終値!F80:R80&lt;終値!G80:S80)*(終値!G80:S80-終値!F80:R80))),50),"")</f>
        <v>50.918196994991654</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-21.646977579117447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見送り</v>
      </c>
      <c r="Z203" s="171">
        <f t="shared" si="64"/>
        <v>-0.69204152249134954</v>
      </c>
      <c r="AA203" s="163" t="str">
        <f t="shared" si="65"/>
        <v>下落▼</v>
      </c>
      <c r="AB203" s="172">
        <f>IF(OR(C203="",C203="TOPX",終値!E115=""),"",IFERROR(((終値!E115*0.333)+(終値!F115*0.222)+(終値!G115*0.148)+(終値!H115*0.099)+(終値!I115*0.066))/(0.333+0.222+0.148+0.099+0.066),""))</f>
        <v>6150.2592165898623</v>
      </c>
      <c r="AC203" s="172">
        <f>IF(OR(C203="",C203="TOPX",終値!E115=""),"",IFERROR(SUMPRODUCT((終値!E115:AC115),{0.077,0.071,0.065,0.06,0.055,0.051,0.047,0.043,0.039,0.036,0.033,0.031,0.028,0.026,0.024,0.022,0.02,0.018,0.017,0.016,0.014,0.013,0.012,0.011,0.01})/SUM({0.077,0.071,0.065,0.06,0.055,0.051,0.047,0.043,0.039,0.036,0.033,0.031,0.028,0.026,0.024,0.022,0.02,0.018,0.017,0.016,0.014,0.013,0.012,0.011,0.01}),""))</f>
        <v>6151.2502979737765</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0.52631578947368418</v>
      </c>
      <c r="AG203" s="365">
        <f t="array" ref="AG203">IFERROR((終値!$E$5-INDEX(終値!$E$5:$CZ$5,1,$AL$2))/INDEX(終値!$E$5:$CZ$5,1,$AL$2)*100,"")</f>
        <v>-0.82558151178043282</v>
      </c>
      <c r="AH203" s="366">
        <f t="shared" si="59"/>
        <v>1.3518973012541169</v>
      </c>
      <c r="AI203" s="364">
        <f t="shared" si="60"/>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5224</v>
      </c>
      <c r="F204" s="166">
        <f>IF(C204&lt;&gt;"",_xll.RssMarket(C204,"始値"),"")</f>
        <v>5356</v>
      </c>
      <c r="G204" s="165">
        <f>IF(C204&lt;&gt;"",終値!F208,"")</f>
        <v>5255</v>
      </c>
      <c r="H204" s="166">
        <f>IF(C204&lt;&gt;"",_xll.RssMarket(C204,"高値"),"")</f>
        <v>5454</v>
      </c>
      <c r="I204" s="166">
        <f>IF(C204&lt;&gt;"",_xll.RssMarket(C204,"安値"),"")</f>
        <v>5102</v>
      </c>
      <c r="J204" s="166">
        <f>IF(C204&lt;&gt;"",_xll.RssMarket(C204,"出来高"),"")</f>
        <v>2227400</v>
      </c>
      <c r="K204" s="166">
        <f>IF(C204&lt;&gt;"",_xll.RssMarket(C204,"年初来高値"),"")</f>
        <v>8040</v>
      </c>
      <c r="L204" s="167">
        <f t="shared" si="51"/>
        <v>-35.024875621890551</v>
      </c>
      <c r="M204" s="166">
        <f>IF(C204&lt;&gt;"",IFERROR(AVERAGE(出来高!E208:I208),""),"")</f>
        <v>1915940</v>
      </c>
      <c r="N204" s="166">
        <f>IF(C204&lt;&gt;"",IFERROR(AVERAGE(出来高!E208:AC208),""),"")</f>
        <v>1657220</v>
      </c>
      <c r="O204" s="168">
        <f t="shared" si="52"/>
        <v>1.1625625019572638</v>
      </c>
      <c r="P204" s="163" t="str">
        <f t="shared" si="53"/>
        <v>普通→</v>
      </c>
      <c r="Q204" s="163" t="str">
        <f t="shared" si="54"/>
        <v>様子見▼</v>
      </c>
      <c r="R204" s="166">
        <f t="shared" si="61"/>
        <v>5642</v>
      </c>
      <c r="S204" s="166">
        <f t="shared" si="62"/>
        <v>5015</v>
      </c>
      <c r="T204" s="163">
        <f t="shared" si="55"/>
        <v>3</v>
      </c>
      <c r="U204" s="163" t="str">
        <f t="shared" si="63"/>
        <v>要確認</v>
      </c>
      <c r="V204" s="163" t="str">
        <f t="shared" si="56"/>
        <v>通常</v>
      </c>
      <c r="W204" s="169">
        <f t="array" ref="W204">IF(C204&lt;&gt;"",IFERROR(100-100/(1+SUMPRODUCT((終値!F208:R208&gt;終値!G208:S208)*( 終値!F208:R208-終値!G208:S208))/SUMPRODUCT((終値!F208:R208&lt;終値!G208:S208)*(終値!G208:S208-終値!F208:R208))),50),"")</f>
        <v>33.243243243243242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-65.829833345937004</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 t="shared" si="64"/>
        <v>-0.58991436726926738</v>
      </c>
      <c r="AA204" s="163" t="str">
        <f t="shared" si="65"/>
        <v>下落▼</v>
      </c>
      <c r="AB204" s="172">
        <f>IF(OR(C204="",C204="TOPX",終値!E122=""),"",IFERROR(((終値!E122*0.333)+(終値!F122*0.222)+(終値!G122*0.148)+(終値!H122*0.099)+(終値!I122*0.066))/(0.333+0.222+0.148+0.099+0.066),""))</f>
        <v>2509.7805299539168</v>
      </c>
      <c r="AC204" s="172">
        <f>IF(OR(C204="",C204="TOPX",終値!E122=""),"",IFERROR(SUMPRODUCT((終値!E122:AC122),{0.077,0.071,0.065,0.06,0.055,0.051,0.047,0.043,0.039,0.036,0.033,0.031,0.028,0.026,0.024,0.022,0.02,0.018,0.017,0.016,0.014,0.013,0.012,0.011,0.01})/SUM({0.077,0.071,0.065,0.06,0.055,0.051,0.047,0.043,0.039,0.036,0.033,0.031,0.028,0.026,0.024,0.022,0.02,0.018,0.017,0.016,0.014,0.013,0.012,0.011,0.01}),""))</f>
        <v>2525.3939213349208</v>
      </c>
      <c r="AD204" s="173" t="str">
        <f>IF(OR(C204="",AB204="",AC204="",AB204=0,AC204=0),"",IF(AND(E204&gt;AB204,AB204&gt;AC204),"パーフェクト▲",IF(E204&gt;AC204,"上昇トレンド▲",IF(AND(E204&lt;AB204,AB204&lt;AC204),"下降トレンド▼","もみ合い→"))))</f>
        <v>上昇トレンド▲</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-9.4937787625703081</v>
      </c>
      <c r="AG204" s="365">
        <f t="array" ref="AG204">IFERROR((終値!$E$5-INDEX(終値!$E$5:$CZ$5,1,$AL$2))/INDEX(終値!$E$5:$CZ$5,1,$AL$2)*100,"")</f>
        <v>-0.82558151178043282</v>
      </c>
      <c r="AH204" s="366">
        <f t="shared" si="59"/>
        <v>-8.6681972507898752</v>
      </c>
      <c r="AI204" s="364">
        <f t="shared" si="60"/>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1683</v>
      </c>
      <c r="F205" s="166">
        <f>IF(C205&lt;&gt;"",_xll.RssMarket(C205,"始値"),"")</f>
        <v>1701</v>
      </c>
      <c r="G205" s="165">
        <f>IF(C205&lt;&gt;"",終値!F18,"")</f>
        <v>1710</v>
      </c>
      <c r="H205" s="166">
        <f>IF(C205&lt;&gt;"",_xll.RssMarket(C205,"高値"),"")</f>
        <v>1711</v>
      </c>
      <c r="I205" s="166">
        <f>IF(C205&lt;&gt;"",_xll.RssMarket(C205,"安値"),"")</f>
        <v>1673</v>
      </c>
      <c r="J205" s="166">
        <f>IF(C205&lt;&gt;"",_xll.RssMarket(C205,"出来高"),"")</f>
        <v>1011900</v>
      </c>
      <c r="K205" s="166">
        <f>IF(C205&lt;&gt;"",_xll.RssMarket(C205,"年初来高値"),"")</f>
        <v>2819</v>
      </c>
      <c r="L205" s="167">
        <f t="shared" si="51"/>
        <v>-40.297978006385243</v>
      </c>
      <c r="M205" s="166">
        <f>IF(C205&lt;&gt;"",IFERROR(AVERAGE(出来高!E18:I18),""),"")</f>
        <v>1267440</v>
      </c>
      <c r="N205" s="166">
        <f>IF(C205&lt;&gt;"",IFERROR(AVERAGE(出来高!E18:AC18),""),"")</f>
        <v>1344908.3333333333</v>
      </c>
      <c r="O205" s="168">
        <f t="shared" si="52"/>
        <v>0.79838098844915739</v>
      </c>
      <c r="P205" s="163" t="str">
        <f t="shared" si="53"/>
        <v>減少↓</v>
      </c>
      <c r="Q205" s="163" t="str">
        <f t="shared" si="54"/>
        <v>様子見▼</v>
      </c>
      <c r="R205" s="166">
        <f t="shared" si="61"/>
        <v>1818</v>
      </c>
      <c r="S205" s="166">
        <f t="shared" si="62"/>
        <v>1616</v>
      </c>
      <c r="T205" s="163">
        <f t="shared" si="55"/>
        <v>4</v>
      </c>
      <c r="U205" s="163" t="str">
        <f t="shared" si="63"/>
        <v>要確認</v>
      </c>
      <c r="V205" s="163" t="str">
        <f t="shared" si="56"/>
        <v>通常</v>
      </c>
      <c r="W205" s="169">
        <f t="array" ref="W205">IF(C205&lt;&gt;"",IFERROR(100-100/(1+SUMPRODUCT((終値!F18:R18&gt;終値!G18:S18)*( 終値!F18:R18-終値!G18:S18))/SUMPRODUCT((終値!F18:R18&lt;終値!G18:S18)*(終値!G18:S18-終値!F18:R18))),50),"")</f>
        <v>50.545171339563865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-1.111614836868057</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様子見</v>
      </c>
      <c r="Z205" s="171">
        <f t="shared" si="64"/>
        <v>-1.5789473684210527</v>
      </c>
      <c r="AA205" s="163" t="str">
        <f t="shared" si="65"/>
        <v>下落▼</v>
      </c>
      <c r="AB205" s="172">
        <f>IF(OR(C205="",C205="TOPX",終値!E130=""),"",IFERROR(((終値!E130*0.333)+(終値!F130*0.222)+(終値!G130*0.148)+(終値!H130*0.099)+(終値!I130*0.066))/(0.333+0.222+0.148+0.099+0.066),""))</f>
        <v>6798.9320276497683</v>
      </c>
      <c r="AC205" s="172">
        <f>IF(OR(C205="",C205="TOPX",終値!E130=""),"",IFERROR(SUMPRODUCT((終値!E130:AC130),{0.077,0.071,0.065,0.06,0.055,0.051,0.047,0.043,0.039,0.036,0.033,0.031,0.028,0.026,0.024,0.022,0.02,0.018,0.017,0.016,0.014,0.013,0.012,0.011,0.01})/SUM({0.077,0.071,0.065,0.06,0.055,0.051,0.047,0.043,0.039,0.036,0.033,0.031,0.028,0.026,0.024,0.022,0.02,0.018,0.017,0.016,0.014,0.013,0.012,0.011,0.01}),""))</f>
        <v>6734.1895113230021</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5.9813084112149539</v>
      </c>
      <c r="AG205" s="365">
        <f t="array" ref="AG205">IFERROR((終値!$E$5-INDEX(終値!$E$5:$CZ$5,1,$AL$2))/INDEX(終値!$E$5:$CZ$5,1,$AL$2)*100,"")</f>
        <v>-0.82558151178043282</v>
      </c>
      <c r="AH205" s="366">
        <f t="shared" si="59"/>
        <v>6.8068899229953868</v>
      </c>
      <c r="AI205" s="364">
        <f t="shared" si="60"/>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3406</v>
      </c>
      <c r="F206" s="166">
        <f>IF(C206&lt;&gt;"",_xll.RssMarket(C206,"始値"),"")</f>
        <v>3451</v>
      </c>
      <c r="G206" s="165">
        <f>IF(C206&lt;&gt;"",終値!F12,"")</f>
        <v>3519</v>
      </c>
      <c r="H206" s="166">
        <f>IF(C206&lt;&gt;"",_xll.RssMarket(C206,"高値"),"")</f>
        <v>3472</v>
      </c>
      <c r="I206" s="166">
        <f>IF(C206&lt;&gt;"",_xll.RssMarket(C206,"安値"),"")</f>
        <v>3385</v>
      </c>
      <c r="J206" s="166">
        <f>IF(C206&lt;&gt;"",_xll.RssMarket(C206,"出来高"),"")</f>
        <v>2896500</v>
      </c>
      <c r="K206" s="166">
        <f>IF(C206&lt;&gt;"",_xll.RssMarket(C206,"年初来高値"),"")</f>
        <v>4955</v>
      </c>
      <c r="L206" s="167">
        <f t="shared" si="51"/>
        <v>-31.261352169525729</v>
      </c>
      <c r="M206" s="166">
        <f>IF(C206&lt;&gt;"",IFERROR(AVERAGE(出来高!E12:I12),""),"")</f>
        <v>3695420</v>
      </c>
      <c r="N206" s="166">
        <f>IF(C206&lt;&gt;"",IFERROR(AVERAGE(出来高!E12:AC12),""),"")</f>
        <v>4560436</v>
      </c>
      <c r="O206" s="168">
        <f t="shared" si="52"/>
        <v>0.78380806511844392</v>
      </c>
      <c r="P206" s="163" t="str">
        <f t="shared" si="53"/>
        <v>減少↓</v>
      </c>
      <c r="Q206" s="163" t="str">
        <f t="shared" si="54"/>
        <v>様子見▼</v>
      </c>
      <c r="R206" s="166">
        <f t="shared" si="61"/>
        <v>3678</v>
      </c>
      <c r="S206" s="166">
        <f t="shared" si="62"/>
        <v>3270</v>
      </c>
      <c r="T206" s="163">
        <f t="shared" si="55"/>
        <v>5</v>
      </c>
      <c r="U206" s="163" t="str">
        <f t="shared" si="63"/>
        <v>要確認</v>
      </c>
      <c r="V206" s="163" t="str">
        <f t="shared" si="56"/>
        <v>通常</v>
      </c>
      <c r="W206" s="169">
        <f t="array" ref="W206">IF(C206&lt;&gt;"",IFERROR(100-100/(1+SUMPRODUCT((終値!F12:R12&gt;終値!G12:S12)*( 終値!F12:R12-終値!G12:S12))/SUMPRODUCT((終値!F12:R12&lt;終値!G12:S12)*(終値!G12:S12-終値!F12:R12))),50),"")</f>
        <v>56.517311608961307</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32.526106615613116</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様子見</v>
      </c>
      <c r="Z206" s="171">
        <f t="shared" si="64"/>
        <v>-3.2111395282750781</v>
      </c>
      <c r="AA206" s="163" t="str">
        <f t="shared" si="65"/>
        <v>下落▼</v>
      </c>
      <c r="AB206" s="172">
        <f>IF(OR(C206="",C206="TOPX",終値!E202=""),"",IFERROR(((終値!E202*0.333)+(終値!F202*0.222)+(終値!G202*0.148)+(終値!H202*0.099)+(終値!I202*0.066))/(0.333+0.222+0.148+0.099+0.066),""))</f>
        <v>5268.3790322580635</v>
      </c>
      <c r="AC206" s="172">
        <f>IF(OR(C206="",C206="TOPX",終値!E202=""),"",IFERROR(SUMPRODUCT((終値!E202:AC202),{0.077,0.071,0.065,0.06,0.055,0.051,0.047,0.043,0.039,0.036,0.033,0.031,0.028,0.026,0.024,0.022,0.02,0.018,0.017,0.016,0.014,0.013,0.012,0.011,0.01})/SUM({0.077,0.071,0.065,0.06,0.055,0.051,0.047,0.043,0.039,0.036,0.033,0.031,0.028,0.026,0.024,0.022,0.02,0.018,0.017,0.016,0.014,0.013,0.012,0.011,0.01}),""))</f>
        <v>5281.1191895113207</v>
      </c>
      <c r="AD206" s="173" t="str">
        <f>IF(OR(C206="",AB206="",AC206="",AB206=0,AC206=0),"",IF(AND(E206&gt;AB206,AB206&gt;AC206),"パーフェクト▲",IF(E206&gt;AC206,"上昇トレンド▲",IF(AND(E206&lt;AB206,AB206&lt;AC206),"下降トレンド▼","もみ合い→"))))</f>
        <v>下降トレンド▼</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6.52837095790116</v>
      </c>
      <c r="AG206" s="365">
        <f t="array" ref="AG206">IFERROR((終値!$E$5-INDEX(終値!$E$5:$CZ$5,1,$AL$2))/INDEX(終値!$E$5:$CZ$5,1,$AL$2)*100,"")</f>
        <v>-0.82558151178043282</v>
      </c>
      <c r="AH206" s="366">
        <f t="shared" si="59"/>
        <v>7.3539524696815928</v>
      </c>
      <c r="AI206" s="364">
        <f t="shared" si="60"/>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19" priority="1" stopIfTrue="1" operator="equal">
      <formula>"""買い▲"""</formula>
    </cfRule>
    <cfRule type="cellIs" dxfId="18" priority="2" stopIfTrue="1" operator="equal">
      <formula>"""様子見▼"""</formula>
    </cfRule>
  </conditionalFormatting>
  <conditionalFormatting sqref="T3:T206">
    <cfRule type="cellIs" dxfId="17" priority="6" stopIfTrue="1" operator="greaterThanOrEqual">
      <formula>AND(T3&gt;=5,T3&lt;&gt;"")</formula>
    </cfRule>
    <cfRule type="cellIs" dxfId="16" priority="7" stopIfTrue="1" operator="greaterThanOrEqual">
      <formula>AND(T3&gt;=3,T3&lt;&gt;"")</formula>
    </cfRule>
  </conditionalFormatting>
  <conditionalFormatting sqref="AA3:AA206">
    <cfRule type="cellIs" dxfId="15" priority="8" stopIfTrue="1" operator="equal">
      <formula>"""上昇▲"""</formula>
    </cfRule>
    <cfRule type="cellIs" dxfId="14" priority="9" stopIfTrue="1" operator="equal">
      <formula>"""下落▼"""</formula>
    </cfRule>
  </conditionalFormatting>
  <conditionalFormatting sqref="Z3:Z206">
    <cfRule type="cellIs" dxfId="13" priority="10" stopIfTrue="1" operator="greaterThan">
      <formula>0</formula>
    </cfRule>
    <cfRule type="cellIs" dxfId="12" priority="11" stopIfTrue="1" operator="lessThan">
      <formula>0</formula>
    </cfRule>
  </conditionalFormatting>
  <conditionalFormatting sqref="AD203:AD206">
    <cfRule type="cellIs" dxfId="11" priority="12" stopIfTrue="1" operator="equal">
      <formula>"""パーフェクト▲"""</formula>
    </cfRule>
    <cfRule type="cellIs" dxfId="10" priority="13" stopIfTrue="1" operator="equal">
      <formula>"""上昇トレンド▲"""</formula>
    </cfRule>
    <cfRule type="cellIs" dxfId="9" priority="14" stopIfTrue="1" operator="equal">
      <formula>"""下降トレンド▼"""</formula>
    </cfRule>
  </conditionalFormatting>
  <conditionalFormatting sqref="AE203:AE206">
    <cfRule type="cellIs" dxfId="8" priority="15" stopIfTrue="1" operator="equal">
      <formula>"""25日押し目★"""</formula>
    </cfRule>
    <cfRule type="cellIs" dxfId="7" priority="16" stopIfTrue="1" operator="equal">
      <formula>"""5日押し目○"""</formula>
    </cfRule>
  </conditionalFormatting>
  <conditionalFormatting sqref="AD3:AD202">
    <cfRule type="cellIs" dxfId="6" priority="17" stopIfTrue="1" operator="equal">
      <formula>"""パーフェクト▲"""</formula>
    </cfRule>
    <cfRule type="cellIs" dxfId="5" priority="18" stopIfTrue="1" operator="equal">
      <formula>"""上昇トレンド▲"""</formula>
    </cfRule>
    <cfRule type="cellIs" dxfId="4" priority="19" stopIfTrue="1" operator="equal">
      <formula>"""下降トレンド▼"""</formula>
    </cfRule>
  </conditionalFormatting>
  <conditionalFormatting sqref="AE3:AE202">
    <cfRule type="cellIs" dxfId="3" priority="20" stopIfTrue="1" operator="equal">
      <formula>"""25日押し目★"""</formula>
    </cfRule>
    <cfRule type="cellIs" dxfId="2"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COUNT(終値!$E$5:$CZ$5)</f>
        <v>55</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1763</v>
      </c>
      <c r="F3" s="326">
        <f>IF(C3&lt;&gt;"",_xll.RssMarket(C3,"始値"),"")</f>
        <v>1820</v>
      </c>
      <c r="G3" s="325">
        <f>IF(C3&lt;&gt;"",終値!F141,"")</f>
        <v>1485</v>
      </c>
      <c r="H3" s="326">
        <f>IF(C3&lt;&gt;"",_xll.RssMarket(C3,"高値"),"")</f>
        <v>1920</v>
      </c>
      <c r="I3" s="326">
        <f>IF(C3&lt;&gt;"",_xll.RssMarket(C3,"安値"),"")</f>
        <v>1757</v>
      </c>
      <c r="J3" s="326">
        <f>IF(C3&lt;&gt;"",_xll.RssMarket(C3,"出来高"),"")</f>
        <v>3397500</v>
      </c>
      <c r="K3" s="326">
        <f>IF(C3&lt;&gt;"",_xll.RssMarket(C3,"年初来高値"),"")</f>
        <v>3620</v>
      </c>
      <c r="L3" s="327">
        <f t="shared" ref="L3:L66" si="0">IF(AND(E3&lt;&gt;"",K3&lt;&gt;"",K3&lt;&gt;0),(E3-K3)/K3*100,"")</f>
        <v>-51.298342541436462</v>
      </c>
      <c r="M3" s="326">
        <f>IF(C3&lt;&gt;"",IFERROR(AVERAGE(出来高!E141:I141),""),"")</f>
        <v>3125240</v>
      </c>
      <c r="N3" s="326">
        <f>IF(C3&lt;&gt;"",IFERROR(AVERAGE(出来高!E141:AC141),""),"")</f>
        <v>2872864</v>
      </c>
      <c r="O3" s="328">
        <f t="shared" ref="O3:O66" si="1">IF(AND(J3&lt;&gt;"",M3&lt;&gt;"",M3&lt;&gt;0),J3/M3,"")</f>
        <v>1.0871165094520741</v>
      </c>
      <c r="P3" s="325" t="str">
        <f t="shared" ref="P3:P66" si="2">IF(O3="","",IF(O3&gt;=2,"急増↑↑",IF(O3&gt;=1.5,"増加↑",IF(O3&gt;=1,"普通→","減少↓"))))</f>
        <v>普通→</v>
      </c>
      <c r="Q3" s="325" t="str">
        <f t="shared" ref="Q3:Q66" si="3">IF(E3="","",IF(AND(E3&lt;G3,O3&gt;=1.5),"売り▼",IF(E3&gt;G3,"様子見▲","中立→")))</f>
        <v>様子見▲</v>
      </c>
      <c r="R3" s="326">
        <f t="shared" ref="R3:R66" si="4">IF(E3&lt;&gt;"",ROUND(E3*0.92,0),"")</f>
        <v>1622</v>
      </c>
      <c r="S3" s="326">
        <f t="shared" ref="S3:S66" si="5">IF(E3&lt;&gt;"",ROUND(E3*1.04,0),"")</f>
        <v>1834</v>
      </c>
      <c r="T3" s="325">
        <f t="shared" ref="T3:T66" si="6">IF(C3="","",IFERROR(IF(W3&gt;=70,3,IF(W3&gt;=60,2,IF(W3&gt;=50,1,0)))+IF(X3&lt;0,2,0)+IF(AD3="下降トレンド▼",3,IF(AD3="もみ合い→",1,0))+IF(V3="年初来安値圏●",3,IF(V3="安値圏",2,0))+IF(Q3="売り▼",2,0)+IF(P3="急増↑↑",2,IF(P3="増加↑",1,0))+IF(Z3&lt;0,1,0)+IF(L3&lt;=-30,2,IF(L3&lt;=-15,1,0))+IF(AE3="25日戻り売り★",2,IF(AE3="5日戻り売り○",1,0))+N(AL3)+N(AP3)+N(AU3),0))</f>
        <v>11</v>
      </c>
      <c r="U3" s="325" t="str">
        <f t="shared" ref="U3:U66" si="7">IF(T3="","",IF(AND(T3&gt;=3,O3&gt;=1.5),"有効",IF(T3&gt;=3,"要確認","除外")))</f>
        <v>要確認</v>
      </c>
      <c r="V3" s="325" t="str">
        <f t="shared" ref="V3:V66" si="8">IF(AND(I3&lt;&gt;"",K3&lt;&gt;""),IF(I3&lt;=K3*0.6,"年初来安値圏●",IF(I3&lt;=K3*0.75,"安値圏","通常")),"")</f>
        <v>年初来安値圏●</v>
      </c>
      <c r="W3" s="329">
        <f t="array" ref="W3">IFERROR(100-100/(1+SUMPRODUCT((終値!F141:R141&gt;終値!G141:S141)*(終値!F141:R141-終値!G141:S141))/SUMPRODUCT((終値!F141:R141&lt;終値!G141:S141)*(終値!G141:S141-終値!F141:R141))),50)</f>
        <v>21.258134490238618</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-167.65458786255249</v>
      </c>
      <c r="Y3" s="325" t="str">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相場上昇・見送り | もみ合い→ MACD- RSI:21.3 [売られ過ぎ] 前日比:+18.7% [年初来安値圏] [11点]</v>
      </c>
      <c r="Z3" s="331">
        <f t="shared" ref="Z3:Z66" si="10">IF(AND(E3&lt;&gt;"",G3&lt;&gt;"",G3&lt;&gt;0),(E3-G3)/G3*100,"")</f>
        <v>18.72053872053872</v>
      </c>
      <c r="AA3" s="325" t="str">
        <f t="shared" ref="AA3:AA66" si="11">IF(OR(C3="",E3="",E3=0),"",IF(E3&gt;G3,"上昇▲",IF(E3&lt;G3,"下落▼","横ばい→")))</f>
        <v>上昇▲</v>
      </c>
      <c r="AB3" s="326">
        <f>IF(OR(C3="",C3="TOPX",終値!E141=""),"",IFERROR(((終値!E141*0.333)+(終値!F141*0.222)+(終値!G141*0.148)+(終値!H141*0.099)+(終値!I141*0.066))/(0.333+0.222+0.148+0.099+0.066),""))</f>
        <v>1508.5725806451615</v>
      </c>
      <c r="AC3" s="326">
        <f>IF(OR(C3="",C3="TOPX",終値!E141=""),"",IFERROR(SUMPRODUCT((終値!E141:AC141),{0.077,0.071,0.065,0.06,0.055,0.051,0.047,0.043,0.039,0.036,0.033,0.031,0.028,0.026,0.024,0.022,0.02,0.018,0.017,0.016,0.014,0.013,0.012,0.011,0.01})/SUM({0.077,0.071,0.065,0.06,0.055,0.051,0.047,0.043,0.039,0.036,0.033,0.031,0.028,0.026,0.024,0.022,0.02,0.018,0.017,0.016,0.014,0.013,0.012,0.011,0.01}),""))</f>
        <v>1814.891537544695</v>
      </c>
      <c r="AD3" s="325" t="str">
        <f t="shared" ref="AD3:AD66" si="12">IF(OR(C3="",AB3="",AC3="",AB3=0,AC3=0),"",IF(AND(E3&gt;AB3,AB3&gt;AC3),"パーフェクト▲",IF(E3&gt;AC3,"上昇トレンド▲",IF(AND(E3&lt;AB3,AB3&lt;AC3),"下降トレンド▼","もみ合い→"))))</f>
        <v>もみ合い→</v>
      </c>
      <c r="AE3" s="325" t="str">
        <f t="shared" ref="AE3:AE66" si="13">IF(OR(C3="",AB3="",AC3=""),"",IF(AND(ABS(E3-AC3)/AC3&lt;=0.02,E3&lt;AC3),"25日戻り売り★",IF(AND(ABS(E3-AB3)/AB3&lt;=0.01,E3&lt;AB3),"5日戻り売り○","なし")))</f>
        <v>なし</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相場上昇・見送り</v>
      </c>
      <c r="AG3">
        <f t="shared" ref="AG3:AG66" si="14">IF(AND(T3&gt;=7,C3&lt;&gt;""),T3,0)</f>
        <v>11</v>
      </c>
      <c r="AH3">
        <f t="shared" ref="AH3:AH66" si="15">IF(AG3&gt;0,AG3*10000-ROW(A3),0)</f>
        <v>109997</v>
      </c>
      <c r="AI3" s="373">
        <f t="array" ref="AI3">IF(C3="","",IFERROR((INDEX(終値!$E:$E,MATCH(TEXT(C3,"0"),終値!$A:$A,0))-INDEX(終値!$E:$CZ,MATCH(TEXT(C3,"0"),終値!$A:$A,0),$AN$2))/INDEX(終値!$E:$CZ,MATCH(TEXT(C3,"0"),終値!$A:$A,0),$AN$2)*100,""))</f>
        <v>-41.193490054249551</v>
      </c>
      <c r="AJ3" s="373">
        <f t="array" ref="AJ3">IFERROR((終値!$E$5-INDEX(終値!$E$5:$CZ$5,1,$AN$2))/INDEX(終値!$E$5:$CZ$5,1,$AN$2)*100,"")</f>
        <v>-0.82558151178043282</v>
      </c>
      <c r="AK3" s="374">
        <f t="shared" ref="AK3:AK66" si="16">IF(OR(AI3="",AJ3=""),"",AI3-AJ3)</f>
        <v>-40.367908542469117</v>
      </c>
      <c r="AL3" s="372">
        <f t="shared" ref="AL3:AL66" si="17">IF(AK3="","",IF(AK3&lt;-5,3,IF(AK3&lt;0,1,IF(AK3&lt;3,-1,-2))))</f>
        <v>3</v>
      </c>
      <c r="AO3" s="376" t="str">
        <f t="shared" ref="AO3:AO66" si="18">IF(OR($C3="",$E3="",$F3="",$H3="",$I3="",$H3-$I3&lt;=0),"-",IF(AND($H3-MAX($F3,$E3)&gt;=ABS($E3-$F3)*2,MIN($F3,$E3)-$I3&lt;=ABS($E3-$F3)*0.5,ABS($E3-$F3)&gt;0),"上ヒゲ陰線▼",IF(AND($E3&lt;$F3,ABS($E3-$F3)&gt;=($H3-$I3)*0.7),"大陰線▼",IF(AND(MIN($F3,$E3)-$I3&gt;=($H3-$I3)*0.5,$H3-MAX($F3,$E3)&lt;=($H3-$I3)*0.2),"長い下ヒゲ(反発警戒)","通常"))))</f>
        <v>通常</v>
      </c>
      <c r="AP3" s="377">
        <f t="shared" ref="AP3:AP66" si="19">IF($AO3="上ヒゲ陰線▼",2,IF($AO3="大陰線▼",2,IF($AO3="長い下ヒゲ(反発警戒)",-2,0)))</f>
        <v>0</v>
      </c>
      <c r="AQ3">
        <f>IF(C3&lt;&gt;"",始値!F141,"")</f>
        <v>1477</v>
      </c>
      <c r="AR3">
        <f>IF(C3&lt;&gt;"",高値!F141,"")</f>
        <v>1536</v>
      </c>
      <c r="AS3">
        <f>IF(C3&lt;&gt;"",安値!F141,"")</f>
        <v>1437</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3716</v>
      </c>
      <c r="F4" s="333">
        <f>IF(C4&lt;&gt;"",_xll.RssMarket(C4,"始値"),"")</f>
        <v>3777</v>
      </c>
      <c r="G4" s="212">
        <f>IF(C4&lt;&gt;"",終値!F28,"")</f>
        <v>6348</v>
      </c>
      <c r="H4" s="333">
        <f>IF(C4&lt;&gt;"",_xll.RssMarket(C4,"高値"),"")</f>
        <v>3869</v>
      </c>
      <c r="I4" s="333">
        <f>IF(C4&lt;&gt;"",_xll.RssMarket(C4,"安値"),"")</f>
        <v>3696</v>
      </c>
      <c r="J4" s="333">
        <f>IF(C4&lt;&gt;"",_xll.RssMarket(C4,"出来高"),"")</f>
        <v>9679400</v>
      </c>
      <c r="K4" s="333">
        <f>IF(C4&lt;&gt;"",_xll.RssMarket(C4,"年初来高値"),"")</f>
        <v>5939</v>
      </c>
      <c r="L4" s="334">
        <f t="shared" si="0"/>
        <v>-37.43054386260313</v>
      </c>
      <c r="M4" s="333">
        <f>IF(C4&lt;&gt;"",IFERROR(AVERAGE(出来高!E28:I28),""),"")</f>
        <v>3858360</v>
      </c>
      <c r="N4" s="333">
        <f>IF(C4&lt;&gt;"",IFERROR(AVERAGE(出来高!E28:AC28),""),"")</f>
        <v>3745028</v>
      </c>
      <c r="O4" s="335">
        <f t="shared" si="1"/>
        <v>2.5086824453913064</v>
      </c>
      <c r="P4" s="212" t="str">
        <f t="shared" si="2"/>
        <v>急増↑↑</v>
      </c>
      <c r="Q4" s="212" t="str">
        <f t="shared" si="3"/>
        <v>売り▼</v>
      </c>
      <c r="R4" s="333">
        <f t="shared" si="4"/>
        <v>3419</v>
      </c>
      <c r="S4" s="333">
        <f t="shared" si="5"/>
        <v>3865</v>
      </c>
      <c r="T4" s="325">
        <f t="shared" si="6"/>
        <v>8</v>
      </c>
      <c r="U4" s="212" t="str">
        <f t="shared" si="7"/>
        <v>有効</v>
      </c>
      <c r="V4" s="212" t="str">
        <f t="shared" si="8"/>
        <v>安値圏</v>
      </c>
      <c r="W4" s="336">
        <f t="array" ref="W4">IFERROR(100-100/(1+SUMPRODUCT((終値!F28:R28&gt;終値!G28:S28)*(終値!F28:R28-終値!G28:S28))/SUMPRODUCT((終値!F28:R28&lt;終値!G28:S28)*(終値!G28:S28-終値!F28:R28))),50)</f>
        <v>49.722830991362642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-19.412414075840388</v>
      </c>
      <c r="Y4" s="212" t="str">
        <f t="shared" si="9"/>
        <v>相場上昇・見送り | もみ合い→ MACD- RSI:49.7 前日比:-41.5% [安値圏]前日[長い下ヒゲ(反発)] [8点]</v>
      </c>
      <c r="Z4" s="338">
        <f t="shared" si="10"/>
        <v>-41.461877756773788</v>
      </c>
      <c r="AA4" s="212" t="str">
        <f t="shared" si="11"/>
        <v>下落▼</v>
      </c>
      <c r="AB4" s="333">
        <f>IF(OR(C4="",C4="TOPX",終値!E28=""),"",IFERROR(((終値!E28*0.333)+(終値!F28*0.222)+(終値!G28*0.148)+(終値!H28*0.099)+(終値!I28*0.066))/(0.333+0.222+0.148+0.099+0.066),""))</f>
        <v>6358.3882488479267</v>
      </c>
      <c r="AC4" s="333">
        <f>IF(OR(C4="",C4="TOPX",終値!E28=""),"",IFERROR(SUMPRODUCT((終値!E28:AC28),{0.077,0.071,0.065,0.06,0.055,0.051,0.047,0.043,0.039,0.036,0.033,0.031,0.028,0.026,0.024,0.022,0.02,0.018,0.017,0.016,0.014,0.013,0.012,0.011,0.01})/SUM({0.077,0.071,0.065,0.06,0.055,0.051,0.047,0.043,0.039,0.036,0.033,0.031,0.028,0.026,0.024,0.022,0.02,0.018,0.017,0.016,0.014,0.013,0.012,0.011,0.01}),""))</f>
        <v>6274.980929678185</v>
      </c>
      <c r="AD4" s="212" t="str">
        <f t="shared" si="12"/>
        <v>もみ合い→</v>
      </c>
      <c r="AE4" s="212" t="str">
        <f t="shared" si="13"/>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 t="shared" si="14"/>
        <v>8</v>
      </c>
      <c r="AH4">
        <f t="shared" si="15"/>
        <v>79996</v>
      </c>
      <c r="AI4" s="373">
        <f t="array" ref="AI4">IF(C4="","",IFERROR((INDEX(終値!$E:$E,MATCH(TEXT(C4,"0"),終値!$A:$A,0))-INDEX(終値!$E:$CZ,MATCH(TEXT(C4,"0"),終値!$A:$A,0),$AN$2))/INDEX(終値!$E:$CZ,MATCH(TEXT(C4,"0"),終値!$A:$A,0),$AN$2)*100,""))</f>
        <v>3.0954708374063213</v>
      </c>
      <c r="AJ4" s="373">
        <f t="array" ref="AJ4">IFERROR((終値!$E$5-INDEX(終値!$E$5:$CZ$5,1,$AN$2))/INDEX(終値!$E$5:$CZ$5,1,$AN$2)*100,"")</f>
        <v>-0.82558151178043282</v>
      </c>
      <c r="AK4" s="374">
        <f t="shared" si="16"/>
        <v>3.9210523491867542</v>
      </c>
      <c r="AL4" s="372">
        <f t="shared" si="17"/>
        <v>-2</v>
      </c>
      <c r="AO4" s="376" t="str">
        <f t="shared" si="18"/>
        <v>通常</v>
      </c>
      <c r="AP4" s="377">
        <f t="shared" si="19"/>
        <v>0</v>
      </c>
      <c r="AQ4">
        <f>IF(C4&lt;&gt;"",始値!F28,"")</f>
        <v>6350</v>
      </c>
      <c r="AR4">
        <f>IF(C4&lt;&gt;"",高値!F28,"")</f>
        <v>6389</v>
      </c>
      <c r="AS4">
        <f>IF(C4&lt;&gt;"",安値!F28,"")</f>
        <v>6157</v>
      </c>
      <c r="AT4" t="str">
        <f t="shared" si="20"/>
        <v>長い下ヒゲ(反発)</v>
      </c>
      <c r="AU4">
        <f t="shared" si="21"/>
        <v>-2</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4540</v>
      </c>
      <c r="F5" s="326">
        <f>IF(C5&lt;&gt;"",_xll.RssMarket(C5,"始値"),"")</f>
        <v>4280</v>
      </c>
      <c r="G5" s="325">
        <f>IF(C5&lt;&gt;"",終値!F30,"")</f>
        <v>3970</v>
      </c>
      <c r="H5" s="326">
        <f>IF(C5&lt;&gt;"",_xll.RssMarket(C5,"高値"),"")</f>
        <v>4565</v>
      </c>
      <c r="I5" s="326">
        <f>IF(C5&lt;&gt;"",_xll.RssMarket(C5,"安値"),"")</f>
        <v>4240</v>
      </c>
      <c r="J5" s="326">
        <f>IF(C5&lt;&gt;"",_xll.RssMarket(C5,"出来高"),"")</f>
        <v>840900</v>
      </c>
      <c r="K5" s="326">
        <f>IF(C5&lt;&gt;"",_xll.RssMarket(C5,"年初来高値"),"")</f>
        <v>5500</v>
      </c>
      <c r="L5" s="327">
        <f t="shared" si="0"/>
        <v>-17.454545454545457</v>
      </c>
      <c r="M5" s="326">
        <f>IF(C5&lt;&gt;"",IFERROR(AVERAGE(出来高!E30:I30),""),"")</f>
        <v>1049340</v>
      </c>
      <c r="N5" s="326">
        <f>IF(C5&lt;&gt;"",IFERROR(AVERAGE(出来高!E30:AC30),""),"")</f>
        <v>970544</v>
      </c>
      <c r="O5" s="328">
        <f t="shared" si="1"/>
        <v>0.8013608553948196</v>
      </c>
      <c r="P5" s="325" t="str">
        <f t="shared" si="2"/>
        <v>減少↓</v>
      </c>
      <c r="Q5" s="325" t="str">
        <f t="shared" si="3"/>
        <v>様子見▲</v>
      </c>
      <c r="R5" s="326">
        <f t="shared" si="4"/>
        <v>4177</v>
      </c>
      <c r="S5" s="326">
        <f t="shared" si="5"/>
        <v>4722</v>
      </c>
      <c r="T5" s="325">
        <f t="shared" si="6"/>
        <v>4</v>
      </c>
      <c r="U5" s="325" t="str">
        <f t="shared" si="7"/>
        <v>要確認</v>
      </c>
      <c r="V5" s="325" t="str">
        <f t="shared" si="8"/>
        <v>通常</v>
      </c>
      <c r="W5" s="329">
        <f t="array" ref="W5">IFERROR(100-100/(1+SUMPRODUCT((終値!F30:R30&gt;終値!G30:S30)*(終値!F30:R30-終値!G30:S30))/SUMPRODUCT((終値!F30:R30&lt;終値!G30:S30)*(終値!G30:S30-終値!F30:R30))),50)</f>
        <v>42.912621359223301</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-89.841575153538088</v>
      </c>
      <c r="Y5" s="325" t="str">
        <f t="shared" si="9"/>
        <v>相場上昇・見送り | 上昇トレンド▲ MACD- RSI:42.9 前日比:+14.4%前日[長い下ヒゲ(反発)] [4点]</v>
      </c>
      <c r="Z5" s="331">
        <f t="shared" si="10"/>
        <v>14.357682619647354</v>
      </c>
      <c r="AA5" s="325" t="str">
        <f t="shared" si="11"/>
        <v>上昇▲</v>
      </c>
      <c r="AB5" s="326">
        <f>IF(OR(C5="",C5="TOPX",終値!E30=""),"",IFERROR(((終値!E30*0.333)+(終値!F30*0.222)+(終値!G30*0.148)+(終値!H30*0.099)+(終値!I30*0.066))/(0.333+0.222+0.148+0.099+0.066),""))</f>
        <v>3980.6912442396306</v>
      </c>
      <c r="AC5" s="326">
        <f>IF(OR(C5="",C5="TOPX",終値!E30=""),"",IFERROR(SUMPRODUCT((終値!E30:AC30),{0.077,0.071,0.065,0.06,0.055,0.051,0.047,0.043,0.039,0.036,0.033,0.031,0.028,0.026,0.024,0.022,0.02,0.018,0.017,0.016,0.014,0.013,0.012,0.011,0.01})/SUM({0.077,0.071,0.065,0.06,0.055,0.051,0.047,0.043,0.039,0.036,0.033,0.031,0.028,0.026,0.024,0.022,0.02,0.018,0.017,0.016,0.014,0.013,0.012,0.011,0.01}),""))</f>
        <v>4111.7699642431462</v>
      </c>
      <c r="AD5" s="325" t="str">
        <f t="shared" si="12"/>
        <v>上昇トレンド▲</v>
      </c>
      <c r="AE5" s="325" t="str">
        <f t="shared" si="13"/>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 t="shared" si="14"/>
        <v>0</v>
      </c>
      <c r="AH5">
        <f t="shared" si="15"/>
        <v>0</v>
      </c>
      <c r="AI5" s="373">
        <f t="array" ref="AI5">IF(C5="","",IFERROR((INDEX(終値!$E:$E,MATCH(TEXT(C5,"0"),終値!$A:$A,0))-INDEX(終値!$E:$CZ,MATCH(TEXT(C5,"0"),終値!$A:$A,0),$AN$2))/INDEX(終値!$E:$CZ,MATCH(TEXT(C5,"0"),終値!$A:$A,0),$AN$2)*100,""))</f>
        <v>-15.461847389558233</v>
      </c>
      <c r="AJ5" s="373">
        <f t="array" ref="AJ5">IFERROR((終値!$E$5-INDEX(終値!$E$5:$CZ$5,1,$AN$2))/INDEX(終値!$E$5:$CZ$5,1,$AN$2)*100,"")</f>
        <v>-0.82558151178043282</v>
      </c>
      <c r="AK5" s="374">
        <f t="shared" si="16"/>
        <v>-14.636265877777801</v>
      </c>
      <c r="AL5" s="372">
        <f t="shared" si="17"/>
        <v>3</v>
      </c>
      <c r="AO5" s="376" t="str">
        <f t="shared" si="18"/>
        <v>通常</v>
      </c>
      <c r="AP5" s="377">
        <f t="shared" si="19"/>
        <v>0</v>
      </c>
      <c r="AQ5">
        <f>IF(C5&lt;&gt;"",始値!F30,"")</f>
        <v>3975</v>
      </c>
      <c r="AR5">
        <f>IF(C5&lt;&gt;"",高値!F30,"")</f>
        <v>4015</v>
      </c>
      <c r="AS5">
        <f>IF(C5&lt;&gt;"",安値!F30,"")</f>
        <v>3780</v>
      </c>
      <c r="AT5" t="str">
        <f t="shared" si="20"/>
        <v>長い下ヒゲ(反発)</v>
      </c>
      <c r="AU5">
        <f t="shared" si="21"/>
        <v>-2</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1509</v>
      </c>
      <c r="F6" s="333">
        <f>IF(C6&lt;&gt;"",_xll.RssMarket(C6,"始値"),"")</f>
        <v>1468</v>
      </c>
      <c r="G6" s="212">
        <f>IF(C6&lt;&gt;"",終値!F148,"")</f>
        <v>1386</v>
      </c>
      <c r="H6" s="333">
        <f>IF(C6&lt;&gt;"",_xll.RssMarket(C6,"高値"),"")</f>
        <v>1519</v>
      </c>
      <c r="I6" s="333">
        <f>IF(C6&lt;&gt;"",_xll.RssMarket(C6,"安値"),"")</f>
        <v>1457</v>
      </c>
      <c r="J6" s="333">
        <f>IF(C6&lt;&gt;"",_xll.RssMarket(C6,"出来高"),"")</f>
        <v>162600</v>
      </c>
      <c r="K6" s="333">
        <f>IF(C6&lt;&gt;"",_xll.RssMarket(C6,"年初来高値"),"")</f>
        <v>2496</v>
      </c>
      <c r="L6" s="334">
        <f t="shared" si="0"/>
        <v>-39.543269230769226</v>
      </c>
      <c r="M6" s="333">
        <f>IF(C6&lt;&gt;"",IFERROR(AVERAGE(出来高!E148:I148),""),"")</f>
        <v>308200</v>
      </c>
      <c r="N6" s="333">
        <f>IF(C6&lt;&gt;"",IFERROR(AVERAGE(出来高!E148:AC148),""),"")</f>
        <v>289488</v>
      </c>
      <c r="O6" s="335">
        <f t="shared" si="1"/>
        <v>0.527579493835172</v>
      </c>
      <c r="P6" s="212" t="str">
        <f t="shared" si="2"/>
        <v>減少↓</v>
      </c>
      <c r="Q6" s="212" t="str">
        <f t="shared" si="3"/>
        <v>様子見▲</v>
      </c>
      <c r="R6" s="333">
        <f t="shared" si="4"/>
        <v>1388</v>
      </c>
      <c r="S6" s="333">
        <f t="shared" si="5"/>
        <v>1569</v>
      </c>
      <c r="T6" s="325">
        <f t="shared" si="6"/>
        <v>10</v>
      </c>
      <c r="U6" s="212" t="str">
        <f t="shared" si="7"/>
        <v>要確認</v>
      </c>
      <c r="V6" s="212" t="str">
        <f t="shared" si="8"/>
        <v>年初来安値圏●</v>
      </c>
      <c r="W6" s="336">
        <f t="array" ref="W6">IFERROR(100-100/(1+SUMPRODUCT((終値!F148:R148&gt;終値!G148:S148)*(終値!F148:R148-終値!G148:S148))/SUMPRODUCT((終値!F148:R148&lt;終値!G148:S148)*(終値!G148:S148-終値!F148:R148))),50)</f>
        <v>44.791666666666671</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-37.25844116558369</v>
      </c>
      <c r="Y6" s="212" t="str">
        <f t="shared" si="9"/>
        <v>相場上昇・見送り | 上昇トレンド▲ MACD- RSI:44.8 前日比:+8.9% [年初来安値圏] [10点]</v>
      </c>
      <c r="Z6" s="338">
        <f t="shared" si="10"/>
        <v>8.8744588744588757</v>
      </c>
      <c r="AA6" s="212" t="str">
        <f t="shared" si="11"/>
        <v>上昇▲</v>
      </c>
      <c r="AB6" s="333">
        <f>IF(OR(C6="",C6="TOPX",終値!E148=""),"",IFERROR(((終値!E148*0.333)+(終値!F148*0.222)+(終値!G148*0.148)+(終値!H148*0.099)+(終値!I148*0.066))/(0.333+0.222+0.148+0.099+0.066),""))</f>
        <v>1365.5149769585253</v>
      </c>
      <c r="AC6" s="333">
        <f>IF(OR(C6="",C6="TOPX",終値!E148=""),"",IFERROR(SUMPRODUCT((終値!E148:AC148),{0.077,0.071,0.065,0.06,0.055,0.051,0.047,0.043,0.039,0.036,0.033,0.031,0.028,0.026,0.024,0.022,0.02,0.018,0.017,0.016,0.014,0.013,0.012,0.011,0.01})/SUM({0.077,0.071,0.065,0.06,0.055,0.051,0.047,0.043,0.039,0.036,0.033,0.031,0.028,0.026,0.024,0.022,0.02,0.018,0.017,0.016,0.014,0.013,0.012,0.011,0.01}),""))</f>
        <v>1405.5959475566149</v>
      </c>
      <c r="AD6" s="212" t="str">
        <f t="shared" si="12"/>
        <v>上昇トレンド▲</v>
      </c>
      <c r="AE6" s="212" t="str">
        <f t="shared" si="13"/>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 t="shared" si="14"/>
        <v>10</v>
      </c>
      <c r="AH6">
        <f t="shared" si="15"/>
        <v>99994</v>
      </c>
      <c r="AI6" s="373">
        <f t="array" ref="AI6">IF(C6="","",IFERROR((INDEX(終値!$E:$E,MATCH(TEXT(C6,"0"),終値!$A:$A,0))-INDEX(終値!$E:$CZ,MATCH(TEXT(C6,"0"),終値!$A:$A,0),$AN$2))/INDEX(終値!$E:$CZ,MATCH(TEXT(C6,"0"),終値!$A:$A,0),$AN$2)*100,""))</f>
        <v>-19.868276619099888</v>
      </c>
      <c r="AJ6" s="373">
        <f t="array" ref="AJ6">IFERROR((終値!$E$5-INDEX(終値!$E$5:$CZ$5,1,$AN$2))/INDEX(終値!$E$5:$CZ$5,1,$AN$2)*100,"")</f>
        <v>-0.82558151178043282</v>
      </c>
      <c r="AK6" s="374">
        <f t="shared" si="16"/>
        <v>-19.042695107319453</v>
      </c>
      <c r="AL6" s="372">
        <f t="shared" si="17"/>
        <v>3</v>
      </c>
      <c r="AO6" s="376" t="str">
        <f t="shared" si="18"/>
        <v>通常</v>
      </c>
      <c r="AP6" s="377">
        <f t="shared" si="19"/>
        <v>0</v>
      </c>
      <c r="AQ6">
        <f>IF(C6&lt;&gt;"",始値!F148,"")</f>
        <v>1260</v>
      </c>
      <c r="AR6">
        <f>IF(C6&lt;&gt;"",高値!F148,"")</f>
        <v>1399</v>
      </c>
      <c r="AS6">
        <f>IF(C6&lt;&gt;"",安値!F148,"")</f>
        <v>1254</v>
      </c>
      <c r="AT6" t="str">
        <f t="shared" si="20"/>
        <v>通常</v>
      </c>
      <c r="AU6">
        <f t="shared" si="21"/>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1774</v>
      </c>
      <c r="F7" s="326">
        <f>IF(C7&lt;&gt;"",_xll.RssMarket(C7,"始値"),"")</f>
        <v>1777</v>
      </c>
      <c r="G7" s="325">
        <f>IF(C7&lt;&gt;"",終値!F84,"")</f>
        <v>1794</v>
      </c>
      <c r="H7" s="326">
        <f>IF(C7&lt;&gt;"",_xll.RssMarket(C7,"高値"),"")</f>
        <v>1805.5</v>
      </c>
      <c r="I7" s="326">
        <f>IF(C7&lt;&gt;"",_xll.RssMarket(C7,"安値"),"")</f>
        <v>1758</v>
      </c>
      <c r="J7" s="326">
        <f>IF(C7&lt;&gt;"",_xll.RssMarket(C7,"出来高"),"")</f>
        <v>4759700</v>
      </c>
      <c r="K7" s="326">
        <f>IF(C7&lt;&gt;"",_xll.RssMarket(C7,"年初来高値"),"")</f>
        <v>2359</v>
      </c>
      <c r="L7" s="327">
        <f t="shared" si="0"/>
        <v>-24.798643493005514</v>
      </c>
      <c r="M7" s="326">
        <f>IF(C7&lt;&gt;"",IFERROR(AVERAGE(出来高!E84:I84),""),"")</f>
        <v>6750680</v>
      </c>
      <c r="N7" s="326">
        <f>IF(C7&lt;&gt;"",IFERROR(AVERAGE(出来高!E84:AC84),""),"")</f>
        <v>5581680</v>
      </c>
      <c r="O7" s="328">
        <f t="shared" si="1"/>
        <v>0.70506971149573083</v>
      </c>
      <c r="P7" s="325" t="str">
        <f t="shared" si="2"/>
        <v>減少↓</v>
      </c>
      <c r="Q7" s="325" t="str">
        <f t="shared" si="3"/>
        <v>中立→</v>
      </c>
      <c r="R7" s="326">
        <f t="shared" si="4"/>
        <v>1632</v>
      </c>
      <c r="S7" s="326">
        <f t="shared" si="5"/>
        <v>1845</v>
      </c>
      <c r="T7" s="325">
        <f t="shared" si="6"/>
        <v>3</v>
      </c>
      <c r="U7" s="325" t="str">
        <f t="shared" si="7"/>
        <v>要確認</v>
      </c>
      <c r="V7" s="325" t="str">
        <f t="shared" si="8"/>
        <v>安値圏</v>
      </c>
      <c r="W7" s="329">
        <f t="array" ref="W7">IFERROR(100-100/(1+SUMPRODUCT((終値!F84:R84&gt;終値!G84:S84)*(終値!F84:R84-終値!G84:S84))/SUMPRODUCT((終値!F84:R84&lt;終値!G84:S84)*(終値!G84:S84-終値!F84:R84))),50)</f>
        <v>71.612903225806448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27.477388064752404</v>
      </c>
      <c r="Y7" s="325" t="str">
        <f t="shared" si="9"/>
        <v>◎反落確認 | 上昇トレンド▲ MACD+ RSI:71.6 [過熱] 前日比:-1.1% [安値圏]前日[長い下ヒゲ(反発)] [3点]</v>
      </c>
      <c r="Z7" s="331">
        <f t="shared" si="10"/>
        <v>-1.1148272017837235</v>
      </c>
      <c r="AA7" s="325" t="str">
        <f t="shared" si="11"/>
        <v>下落▼</v>
      </c>
      <c r="AB7" s="326">
        <f>IF(OR(C7="",C7="TOPX",終値!E84=""),"",IFERROR(((終値!E84*0.333)+(終値!F84*0.222)+(終値!G84*0.148)+(終値!H84*0.099)+(終値!I84*0.066))/(0.333+0.222+0.148+0.099+0.066),""))</f>
        <v>1813.8035714285713</v>
      </c>
      <c r="AC7" s="326">
        <f>IF(OR(C7="",C7="TOPX",終値!E84=""),"",IFERROR(SUMPRODUCT((終値!E84:AC84),{0.077,0.071,0.065,0.06,0.055,0.051,0.047,0.043,0.039,0.036,0.033,0.031,0.028,0.026,0.024,0.022,0.02,0.018,0.017,0.016,0.014,0.013,0.012,0.011,0.01})/SUM({0.077,0.071,0.065,0.06,0.055,0.051,0.047,0.043,0.039,0.036,0.033,0.031,0.028,0.026,0.024,0.022,0.02,0.018,0.017,0.016,0.014,0.013,0.012,0.011,0.01}),""))</f>
        <v>1745.3563766388552</v>
      </c>
      <c r="AD7" s="325" t="str">
        <f t="shared" si="12"/>
        <v>上昇トレンド▲</v>
      </c>
      <c r="AE7" s="325" t="str">
        <f t="shared" si="13"/>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◎反落確認</v>
      </c>
      <c r="AG7">
        <f t="shared" si="14"/>
        <v>0</v>
      </c>
      <c r="AH7">
        <f t="shared" si="15"/>
        <v>0</v>
      </c>
      <c r="AI7" s="373">
        <f t="array" ref="AI7">IF(C7="","",IFERROR((INDEX(終値!$E:$E,MATCH(TEXT(C7,"0"),終値!$A:$A,0))-INDEX(終値!$E:$CZ,MATCH(TEXT(C7,"0"),終値!$A:$A,0),$AN$2))/INDEX(終値!$E:$CZ,MATCH(TEXT(C7,"0"),終値!$A:$A,0),$AN$2)*100,""))</f>
        <v>15.09433962264151</v>
      </c>
      <c r="AJ7" s="373">
        <f t="array" ref="AJ7">IFERROR((終値!$E$5-INDEX(終値!$E$5:$CZ$5,1,$AN$2))/INDEX(終値!$E$5:$CZ$5,1,$AN$2)*100,"")</f>
        <v>-0.82558151178043282</v>
      </c>
      <c r="AK7" s="374">
        <f t="shared" si="16"/>
        <v>15.919921134421942</v>
      </c>
      <c r="AL7" s="372">
        <f t="shared" si="17"/>
        <v>-2</v>
      </c>
      <c r="AO7" s="376" t="str">
        <f t="shared" si="18"/>
        <v>通常</v>
      </c>
      <c r="AP7" s="377">
        <f t="shared" si="19"/>
        <v>0</v>
      </c>
      <c r="AQ7">
        <f>IF(C7&lt;&gt;"",始値!F84,"")</f>
        <v>1799</v>
      </c>
      <c r="AR7">
        <f>IF(C7&lt;&gt;"",高値!F84,"")</f>
        <v>1802</v>
      </c>
      <c r="AS7">
        <f>IF(C7&lt;&gt;"",安値!F84,"")</f>
        <v>1745</v>
      </c>
      <c r="AT7" t="str">
        <f t="shared" si="20"/>
        <v>長い下ヒゲ(反発)</v>
      </c>
      <c r="AU7">
        <f t="shared" si="21"/>
        <v>-2</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421</v>
      </c>
      <c r="F8" s="333">
        <f>IF(C8&lt;&gt;"",_xll.RssMarket(C8,"始値"),"")</f>
        <v>416</v>
      </c>
      <c r="G8" s="212">
        <f>IF(C8&lt;&gt;"",終値!F112,"")</f>
        <v>403</v>
      </c>
      <c r="H8" s="333">
        <f>IF(C8&lt;&gt;"",_xll.RssMarket(C8,"高値"),"")</f>
        <v>422</v>
      </c>
      <c r="I8" s="333">
        <f>IF(C8&lt;&gt;"",_xll.RssMarket(C8,"安値"),"")</f>
        <v>412</v>
      </c>
      <c r="J8" s="333">
        <f>IF(C8&lt;&gt;"",_xll.RssMarket(C8,"出来高"),"")</f>
        <v>702600</v>
      </c>
      <c r="K8" s="333">
        <f>IF(C8&lt;&gt;"",_xll.RssMarket(C8,"年初来高値"),"")</f>
        <v>710</v>
      </c>
      <c r="L8" s="334">
        <f t="shared" si="0"/>
        <v>-40.70422535211268</v>
      </c>
      <c r="M8" s="333">
        <f>IF(C8&lt;&gt;"",IFERROR(AVERAGE(出来高!E112:I112),""),"")</f>
        <v>1274200</v>
      </c>
      <c r="N8" s="333">
        <f>IF(C8&lt;&gt;"",IFERROR(AVERAGE(出来高!E112:AC112),""),"")</f>
        <v>1614079.1666666667</v>
      </c>
      <c r="O8" s="335">
        <f t="shared" si="1"/>
        <v>0.55140480301365558</v>
      </c>
      <c r="P8" s="212" t="str">
        <f t="shared" si="2"/>
        <v>減少↓</v>
      </c>
      <c r="Q8" s="212" t="str">
        <f t="shared" si="3"/>
        <v>様子見▲</v>
      </c>
      <c r="R8" s="333">
        <f t="shared" si="4"/>
        <v>387</v>
      </c>
      <c r="S8" s="333">
        <f t="shared" si="5"/>
        <v>438</v>
      </c>
      <c r="T8" s="325">
        <f t="shared" si="6"/>
        <v>8</v>
      </c>
      <c r="U8" s="212" t="str">
        <f t="shared" si="7"/>
        <v>要確認</v>
      </c>
      <c r="V8" s="212" t="str">
        <f t="shared" si="8"/>
        <v>年初来安値圏●</v>
      </c>
      <c r="W8" s="336">
        <f t="array" ref="W8">IFERROR(100-100/(1+SUMPRODUCT((終値!F112:R112&gt;終値!G112:S112)*(終値!F112:R112-終値!G112:S112))/SUMPRODUCT((終値!F112:R112&lt;終値!G112:S112)*(終値!G112:S112-終値!F112:R112))),50)</f>
        <v>47.87350054525627</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-9.2319066705406385</v>
      </c>
      <c r="Y8" s="212" t="str">
        <f t="shared" si="9"/>
        <v>相場上昇・見送り | パーフェクト▲ MACD- RSI:47.9 前日比:+4.5% [年初来安値圏]前日[長い下ヒゲ(反発)] [8点]</v>
      </c>
      <c r="Z8" s="338">
        <f t="shared" si="10"/>
        <v>4.4665012406947886</v>
      </c>
      <c r="AA8" s="212" t="str">
        <f t="shared" si="11"/>
        <v>上昇▲</v>
      </c>
      <c r="AB8" s="333">
        <f>IF(OR(C8="",C8="TOPX",終値!E112=""),"",IFERROR(((終値!E112*0.333)+(終値!F112*0.222)+(終値!G112*0.148)+(終値!H112*0.099)+(終値!I112*0.066))/(0.333+0.222+0.148+0.099+0.066),""))</f>
        <v>407.29147465437785</v>
      </c>
      <c r="AC8" s="333">
        <f>IF(OR(C8="",C8="TOPX",終値!E112=""),"",IFERROR(SUMPRODUCT((終値!E112:AC112),{0.077,0.071,0.065,0.06,0.055,0.051,0.047,0.043,0.039,0.036,0.033,0.031,0.028,0.026,0.024,0.022,0.02,0.018,0.017,0.016,0.014,0.013,0.012,0.011,0.01})/SUM({0.077,0.071,0.065,0.06,0.055,0.051,0.047,0.043,0.039,0.036,0.033,0.031,0.028,0.026,0.024,0.022,0.02,0.018,0.017,0.016,0.014,0.013,0.012,0.011,0.01}),""))</f>
        <v>398.94517282479131</v>
      </c>
      <c r="AD8" s="212" t="str">
        <f t="shared" si="12"/>
        <v>パーフェクト▲</v>
      </c>
      <c r="AE8" s="212" t="str">
        <f t="shared" si="13"/>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 t="shared" si="14"/>
        <v>8</v>
      </c>
      <c r="AH8">
        <f t="shared" si="15"/>
        <v>79992</v>
      </c>
      <c r="AI8" s="373">
        <f t="array" ref="AI8">IF(C8="","",IFERROR((INDEX(終値!$E:$E,MATCH(TEXT(C8,"0"),終値!$A:$A,0))-INDEX(終値!$E:$CZ,MATCH(TEXT(C8,"0"),終値!$A:$A,0),$AN$2))/INDEX(終値!$E:$CZ,MATCH(TEXT(C8,"0"),終値!$A:$A,0),$AN$2)*100,""))</f>
        <v>-5.9225512528473807</v>
      </c>
      <c r="AJ8" s="373">
        <f t="array" ref="AJ8">IFERROR((終値!$E$5-INDEX(終値!$E$5:$CZ$5,1,$AN$2))/INDEX(終値!$E$5:$CZ$5,1,$AN$2)*100,"")</f>
        <v>-0.82558151178043282</v>
      </c>
      <c r="AK8" s="374">
        <f t="shared" si="16"/>
        <v>-5.0969697410669479</v>
      </c>
      <c r="AL8" s="372">
        <f t="shared" si="17"/>
        <v>3</v>
      </c>
      <c r="AO8" s="376" t="str">
        <f t="shared" si="18"/>
        <v>通常</v>
      </c>
      <c r="AP8" s="377">
        <f t="shared" si="19"/>
        <v>0</v>
      </c>
      <c r="AQ8">
        <f>IF(C8&lt;&gt;"",始値!F112,"")</f>
        <v>405</v>
      </c>
      <c r="AR8">
        <f>IF(C8&lt;&gt;"",高値!F112,"")</f>
        <v>406</v>
      </c>
      <c r="AS8">
        <f>IF(C8&lt;&gt;"",安値!F112,"")</f>
        <v>398</v>
      </c>
      <c r="AT8" t="str">
        <f t="shared" si="20"/>
        <v>長い下ヒゲ(反発)</v>
      </c>
      <c r="AU8">
        <f t="shared" si="21"/>
        <v>-2</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1946</v>
      </c>
      <c r="F9" s="326">
        <f>IF(C9&lt;&gt;"",_xll.RssMarket(C9,"始値"),"")</f>
        <v>1888</v>
      </c>
      <c r="G9" s="325">
        <f>IF(C9&lt;&gt;"",終値!F129,"")</f>
        <v>1795</v>
      </c>
      <c r="H9" s="326">
        <f>IF(C9&lt;&gt;"",_xll.RssMarket(C9,"高値"),"")</f>
        <v>1958</v>
      </c>
      <c r="I9" s="326">
        <f>IF(C9&lt;&gt;"",_xll.RssMarket(C9,"安値"),"")</f>
        <v>1853</v>
      </c>
      <c r="J9" s="326">
        <f>IF(C9&lt;&gt;"",_xll.RssMarket(C9,"出来高"),"")</f>
        <v>238900</v>
      </c>
      <c r="K9" s="326">
        <f>IF(C9&lt;&gt;"",_xll.RssMarket(C9,"年初来高値"),"")</f>
        <v>4400</v>
      </c>
      <c r="L9" s="327">
        <f t="shared" si="0"/>
        <v>-55.772727272727273</v>
      </c>
      <c r="M9" s="326">
        <f>IF(C9&lt;&gt;"",IFERROR(AVERAGE(出来高!E129:I129),""),"")</f>
        <v>205180</v>
      </c>
      <c r="N9" s="326">
        <f>IF(C9&lt;&gt;"",IFERROR(AVERAGE(出来高!E129:AC129),""),"")</f>
        <v>176188</v>
      </c>
      <c r="O9" s="328">
        <f t="shared" si="1"/>
        <v>1.1643435032654255</v>
      </c>
      <c r="P9" s="325" t="str">
        <f t="shared" si="2"/>
        <v>普通→</v>
      </c>
      <c r="Q9" s="325" t="str">
        <f t="shared" si="3"/>
        <v>様子見▲</v>
      </c>
      <c r="R9" s="326">
        <f t="shared" si="4"/>
        <v>1790</v>
      </c>
      <c r="S9" s="326">
        <f t="shared" si="5"/>
        <v>2024</v>
      </c>
      <c r="T9" s="325">
        <f t="shared" si="6"/>
        <v>10</v>
      </c>
      <c r="U9" s="325" t="str">
        <f t="shared" si="7"/>
        <v>要確認</v>
      </c>
      <c r="V9" s="325" t="str">
        <f t="shared" si="8"/>
        <v>年初来安値圏●</v>
      </c>
      <c r="W9" s="329">
        <f t="array" ref="W9">IFERROR(100-100/(1+SUMPRODUCT((終値!F129:R129&gt;終値!G129:S129)*(終値!F129:R129-終値!G129:S129))/SUMPRODUCT((終値!F129:R129&lt;終値!G129:S129)*(終値!G129:S129-終値!F129:R129))),50)</f>
        <v>43.11926605504587</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-30.691548684718327</v>
      </c>
      <c r="Y9" s="325" t="str">
        <f t="shared" si="9"/>
        <v>相場上昇・見送り | 上昇トレンド▲ MACD- RSI:43.1 前日比:+8.4% [年初来安値圏] [10点]</v>
      </c>
      <c r="Z9" s="331">
        <f t="shared" si="10"/>
        <v>8.4122562674094716</v>
      </c>
      <c r="AA9" s="325" t="str">
        <f t="shared" si="11"/>
        <v>上昇▲</v>
      </c>
      <c r="AB9" s="326">
        <f>IF(OR(C9="",C9="TOPX",終値!E129=""),"",IFERROR(((終値!E129*0.333)+(終値!F129*0.222)+(終値!G129*0.148)+(終値!H129*0.099)+(終値!I129*0.066))/(0.333+0.222+0.148+0.099+0.066),""))</f>
        <v>1793.9101382488477</v>
      </c>
      <c r="AC9" s="326">
        <f>IF(OR(C9="",C9="TOPX",終値!E129=""),"",IFERROR(SUMPRODUCT((終値!E129:AC129),{0.077,0.071,0.065,0.06,0.055,0.051,0.047,0.043,0.039,0.036,0.033,0.031,0.028,0.026,0.024,0.022,0.02,0.018,0.017,0.016,0.014,0.013,0.012,0.011,0.01})/SUM({0.077,0.071,0.065,0.06,0.055,0.051,0.047,0.043,0.039,0.036,0.033,0.031,0.028,0.026,0.024,0.022,0.02,0.018,0.017,0.016,0.014,0.013,0.012,0.011,0.01}),""))</f>
        <v>1841.1370679380209</v>
      </c>
      <c r="AD9" s="325" t="str">
        <f t="shared" si="12"/>
        <v>上昇トレンド▲</v>
      </c>
      <c r="AE9" s="325" t="str">
        <f t="shared" si="13"/>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 t="shared" si="14"/>
        <v>10</v>
      </c>
      <c r="AH9">
        <f t="shared" si="15"/>
        <v>99991</v>
      </c>
      <c r="AI9" s="373">
        <f t="array" ref="AI9">IF(C9="","",IFERROR((INDEX(終値!$E:$E,MATCH(TEXT(C9,"0"),終値!$A:$A,0))-INDEX(終値!$E:$CZ,MATCH(TEXT(C9,"0"),終値!$A:$A,0),$AN$2))/INDEX(終値!$E:$CZ,MATCH(TEXT(C9,"0"),終値!$A:$A,0),$AN$2)*100,""))</f>
        <v>-11.142993782879005</v>
      </c>
      <c r="AJ9" s="373">
        <f t="array" ref="AJ9">IFERROR((終値!$E$5-INDEX(終値!$E$5:$CZ$5,1,$AN$2))/INDEX(終値!$E$5:$CZ$5,1,$AN$2)*100,"")</f>
        <v>-0.82558151178043282</v>
      </c>
      <c r="AK9" s="374">
        <f t="shared" si="16"/>
        <v>-10.317412271098572</v>
      </c>
      <c r="AL9" s="372">
        <f t="shared" si="17"/>
        <v>3</v>
      </c>
      <c r="AO9" s="376" t="str">
        <f t="shared" si="18"/>
        <v>通常</v>
      </c>
      <c r="AP9" s="377">
        <f t="shared" si="19"/>
        <v>0</v>
      </c>
      <c r="AQ9">
        <f>IF(C9&lt;&gt;"",始値!F129,"")</f>
        <v>1715</v>
      </c>
      <c r="AR9">
        <f>IF(C9&lt;&gt;"",高値!F129,"")</f>
        <v>1823</v>
      </c>
      <c r="AS9">
        <f>IF(C9&lt;&gt;"",安値!F129,"")</f>
        <v>1714</v>
      </c>
      <c r="AT9" t="str">
        <f t="shared" si="20"/>
        <v>通常</v>
      </c>
      <c r="AU9">
        <f t="shared" si="21"/>
        <v>0</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24720</v>
      </c>
      <c r="F10" s="333">
        <f>IF(C10&lt;&gt;"",_xll.RssMarket(C10,"始値"),"")</f>
        <v>23340</v>
      </c>
      <c r="G10" s="212">
        <f>IF(C10&lt;&gt;"",終値!F145,"")</f>
        <v>21180</v>
      </c>
      <c r="H10" s="333">
        <f>IF(C10&lt;&gt;"",_xll.RssMarket(C10,"高値"),"")</f>
        <v>24740</v>
      </c>
      <c r="I10" s="333">
        <f>IF(C10&lt;&gt;"",_xll.RssMarket(C10,"安値"),"")</f>
        <v>22980</v>
      </c>
      <c r="J10" s="333">
        <f>IF(C10&lt;&gt;"",_xll.RssMarket(C10,"出来高"),"")</f>
        <v>466000</v>
      </c>
      <c r="K10" s="333">
        <f>IF(C10&lt;&gt;"",_xll.RssMarket(C10,"年初来高値"),"")</f>
        <v>45300</v>
      </c>
      <c r="L10" s="334">
        <f t="shared" si="0"/>
        <v>-45.430463576158942</v>
      </c>
      <c r="M10" s="333">
        <f>IF(C10&lt;&gt;"",IFERROR(AVERAGE(出来高!E145:I145),""),"")</f>
        <v>502000</v>
      </c>
      <c r="N10" s="333">
        <f>IF(C10&lt;&gt;"",IFERROR(AVERAGE(出来高!E145:AC145),""),"")</f>
        <v>442924</v>
      </c>
      <c r="O10" s="335">
        <f t="shared" si="1"/>
        <v>0.92828685258964139</v>
      </c>
      <c r="P10" s="212" t="str">
        <f t="shared" si="2"/>
        <v>減少↓</v>
      </c>
      <c r="Q10" s="212" t="str">
        <f t="shared" si="3"/>
        <v>様子見▲</v>
      </c>
      <c r="R10" s="333">
        <f t="shared" si="4"/>
        <v>22742</v>
      </c>
      <c r="S10" s="333">
        <f t="shared" si="5"/>
        <v>25709</v>
      </c>
      <c r="T10" s="325">
        <f t="shared" si="6"/>
        <v>10</v>
      </c>
      <c r="U10" s="212" t="str">
        <f t="shared" si="7"/>
        <v>要確認</v>
      </c>
      <c r="V10" s="212" t="str">
        <f t="shared" si="8"/>
        <v>年初来安値圏●</v>
      </c>
      <c r="W10" s="336">
        <f t="array" ref="W10">IFERROR(100-100/(1+SUMPRODUCT((終値!F145:R145&gt;終値!G145:S145)*(終値!F145:R145-終値!G145:S145))/SUMPRODUCT((終値!F145:R145&lt;終値!G145:S145)*(終値!G145:S145-終値!F145:R145))),50)</f>
        <v>35.403726708074529</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-919.77306469137693</v>
      </c>
      <c r="Y10" s="212" t="str">
        <f t="shared" si="9"/>
        <v>相場上昇・見送り | 上昇トレンド▲ MACD- RSI:35.4 前日比:+16.7% [年初来安値圏] [10点]</v>
      </c>
      <c r="Z10" s="338">
        <f t="shared" si="10"/>
        <v>16.71388101983003</v>
      </c>
      <c r="AA10" s="212" t="str">
        <f t="shared" si="11"/>
        <v>上昇▲</v>
      </c>
      <c r="AB10" s="333">
        <f>IF(OR(C10="",C10="TOPX",終値!E145=""),"",IFERROR(((終値!E145*0.333)+(終値!F145*0.222)+(終値!G145*0.148)+(終値!H145*0.099)+(終値!I145*0.066))/(0.333+0.222+0.148+0.099+0.066),""))</f>
        <v>20967.315668202762</v>
      </c>
      <c r="AC10" s="333">
        <f>IF(OR(C10="",C10="TOPX",終値!E145=""),"",IFERROR(SUMPRODUCT((終値!E145:AC145),{0.077,0.071,0.065,0.06,0.055,0.051,0.047,0.043,0.039,0.036,0.033,0.031,0.028,0.026,0.024,0.022,0.02,0.018,0.017,0.016,0.014,0.013,0.012,0.011,0.01})/SUM({0.077,0.071,0.065,0.06,0.055,0.051,0.047,0.043,0.039,0.036,0.033,0.031,0.028,0.026,0.024,0.022,0.02,0.018,0.017,0.016,0.014,0.013,0.012,0.011,0.01}),""))</f>
        <v>23126.102502979727</v>
      </c>
      <c r="AD10" s="212" t="str">
        <f t="shared" si="12"/>
        <v>上昇トレンド▲</v>
      </c>
      <c r="AE10" s="212" t="str">
        <f t="shared" si="13"/>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 t="shared" si="14"/>
        <v>10</v>
      </c>
      <c r="AH10">
        <f t="shared" si="15"/>
        <v>99990</v>
      </c>
      <c r="AI10" s="373">
        <f t="array" ref="AI10">IF(C10="","",IFERROR((INDEX(終値!$E:$E,MATCH(TEXT(C10,"0"),終値!$A:$A,0))-INDEX(終値!$E:$CZ,MATCH(TEXT(C10,"0"),終値!$A:$A,0),$AN$2))/INDEX(終値!$E:$CZ,MATCH(TEXT(C10,"0"),終値!$A:$A,0),$AN$2)*100,""))</f>
        <v>-30.363349131121641</v>
      </c>
      <c r="AJ10" s="373">
        <f t="array" ref="AJ10">IFERROR((終値!$E$5-INDEX(終値!$E$5:$CZ$5,1,$AN$2))/INDEX(終値!$E$5:$CZ$5,1,$AN$2)*100,"")</f>
        <v>-0.82558151178043282</v>
      </c>
      <c r="AK10" s="374">
        <f t="shared" si="16"/>
        <v>-29.53776761934121</v>
      </c>
      <c r="AL10" s="372">
        <f t="shared" si="17"/>
        <v>3</v>
      </c>
      <c r="AO10" s="376" t="str">
        <f t="shared" si="18"/>
        <v>通常</v>
      </c>
      <c r="AP10" s="377">
        <f t="shared" si="19"/>
        <v>0</v>
      </c>
      <c r="AQ10">
        <f>IF(C10&lt;&gt;"",始値!F145,"")</f>
        <v>20460</v>
      </c>
      <c r="AR10">
        <f>IF(C10&lt;&gt;"",高値!F145,"")</f>
        <v>21620</v>
      </c>
      <c r="AS10">
        <f>IF(C10&lt;&gt;"",安値!F145,"")</f>
        <v>19900</v>
      </c>
      <c r="AT10" t="str">
        <f t="shared" si="20"/>
        <v>通常</v>
      </c>
      <c r="AU10">
        <f t="shared" si="21"/>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35080</v>
      </c>
      <c r="F11" s="326">
        <f>IF(C11&lt;&gt;"",_xll.RssMarket(C11,"始値"),"")</f>
        <v>33900</v>
      </c>
      <c r="G11" s="325">
        <f>IF(C11&lt;&gt;"",終値!F6,"")</f>
        <v>30890</v>
      </c>
      <c r="H11" s="326">
        <f>IF(C11&lt;&gt;"",_xll.RssMarket(C11,"高値"),"")</f>
        <v>35270</v>
      </c>
      <c r="I11" s="326">
        <f>IF(C11&lt;&gt;"",_xll.RssMarket(C11,"安値"),"")</f>
        <v>33370</v>
      </c>
      <c r="J11" s="326">
        <f>IF(C11&lt;&gt;"",_xll.RssMarket(C11,"出来高"),"")</f>
        <v>1106200</v>
      </c>
      <c r="K11" s="326">
        <f>IF(C11&lt;&gt;"",_xll.RssMarket(C11,"年初来高値"),"")</f>
        <v>57700</v>
      </c>
      <c r="L11" s="327">
        <f t="shared" si="0"/>
        <v>-39.202772963604851</v>
      </c>
      <c r="M11" s="326">
        <f>IF(C11&lt;&gt;"",IFERROR(AVERAGE(出来高!E6:I6),""),"")</f>
        <v>1447420</v>
      </c>
      <c r="N11" s="326">
        <f>IF(C11&lt;&gt;"",IFERROR(AVERAGE(出来高!E6:AC6),""),"")</f>
        <v>1339196</v>
      </c>
      <c r="O11" s="328">
        <f t="shared" si="1"/>
        <v>0.76425640104461734</v>
      </c>
      <c r="P11" s="325" t="str">
        <f t="shared" si="2"/>
        <v>減少↓</v>
      </c>
      <c r="Q11" s="325" t="str">
        <f t="shared" si="3"/>
        <v>様子見▲</v>
      </c>
      <c r="R11" s="326">
        <f t="shared" si="4"/>
        <v>32274</v>
      </c>
      <c r="S11" s="326">
        <f t="shared" si="5"/>
        <v>36483</v>
      </c>
      <c r="T11" s="325">
        <f t="shared" si="6"/>
        <v>10</v>
      </c>
      <c r="U11" s="325" t="str">
        <f t="shared" si="7"/>
        <v>要確認</v>
      </c>
      <c r="V11" s="325" t="str">
        <f t="shared" si="8"/>
        <v>年初来安値圏●</v>
      </c>
      <c r="W11" s="329">
        <f t="array" ref="W11">IFERROR(100-100/(1+SUMPRODUCT((終値!F6:R6&gt;終値!G6:S6)*(終値!F6:R6-終値!G6:S6))/SUMPRODUCT((終値!F6:R6&lt;終値!G6:S6)*(終値!G6:S6-終値!F6:R6))),50)</f>
        <v>40.846538782318596</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-980.84847495810027</v>
      </c>
      <c r="Y11" s="325" t="str">
        <f t="shared" si="9"/>
        <v>相場上昇・見送り | 上昇トレンド▲ MACD- RSI:40.8 前日比:+13.6% [年初来安値圏] [10点]</v>
      </c>
      <c r="Z11" s="331">
        <f t="shared" si="10"/>
        <v>13.56426027840725</v>
      </c>
      <c r="AA11" s="325" t="str">
        <f t="shared" si="11"/>
        <v>上昇▲</v>
      </c>
      <c r="AB11" s="326">
        <f>IF(OR(C11="",C11="TOPX",終値!E6=""),"",IFERROR(((終値!E6*0.333)+(終値!F6*0.222)+(終値!G6*0.148)+(終値!H6*0.099)+(終値!I6*0.066))/(0.333+0.222+0.148+0.099+0.066),""))</f>
        <v>30457.574884792619</v>
      </c>
      <c r="AC11" s="326">
        <f>IF(OR(C11="",C11="TOPX",終値!E6=""),"",IFERROR(SUMPRODUCT((終値!E6:AC6),{0.077,0.071,0.065,0.06,0.055,0.051,0.047,0.043,0.039,0.036,0.033,0.031,0.028,0.026,0.024,0.022,0.02,0.018,0.017,0.016,0.014,0.013,0.012,0.011,0.01})/SUM({0.077,0.071,0.065,0.06,0.055,0.051,0.047,0.043,0.039,0.036,0.033,0.031,0.028,0.026,0.024,0.022,0.02,0.018,0.017,0.016,0.014,0.013,0.012,0.011,0.01}),""))</f>
        <v>32119.290822407616</v>
      </c>
      <c r="AD11" s="325" t="str">
        <f t="shared" si="12"/>
        <v>上昇トレンド▲</v>
      </c>
      <c r="AE11" s="325" t="str">
        <f t="shared" si="13"/>
        <v>なし</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相場上昇・見送り</v>
      </c>
      <c r="AG11">
        <f t="shared" si="14"/>
        <v>10</v>
      </c>
      <c r="AH11">
        <f t="shared" si="15"/>
        <v>99989</v>
      </c>
      <c r="AI11" s="373">
        <f t="array" ref="AI11">IF(C11="","",IFERROR((INDEX(終値!$E:$E,MATCH(TEXT(C11,"0"),終値!$A:$A,0))-INDEX(終値!$E:$CZ,MATCH(TEXT(C11,"0"),終値!$A:$A,0),$AN$2))/INDEX(終値!$E:$CZ,MATCH(TEXT(C11,"0"),終値!$A:$A,0),$AN$2)*100,""))</f>
        <v>-23.938960419647117</v>
      </c>
      <c r="AJ11" s="373">
        <f t="array" ref="AJ11">IFERROR((終値!$E$5-INDEX(終値!$E$5:$CZ$5,1,$AN$2))/INDEX(終値!$E$5:$CZ$5,1,$AN$2)*100,"")</f>
        <v>-0.82558151178043282</v>
      </c>
      <c r="AK11" s="374">
        <f t="shared" si="16"/>
        <v>-23.113378907866682</v>
      </c>
      <c r="AL11" s="372">
        <f t="shared" si="17"/>
        <v>3</v>
      </c>
      <c r="AO11" s="376" t="str">
        <f t="shared" si="18"/>
        <v>通常</v>
      </c>
      <c r="AP11" s="377">
        <f t="shared" si="19"/>
        <v>0</v>
      </c>
      <c r="AQ11">
        <f>IF(C11&lt;&gt;"",始値!F6,"")</f>
        <v>30470</v>
      </c>
      <c r="AR11">
        <f>IF(C11&lt;&gt;"",高値!F6,"")</f>
        <v>31270</v>
      </c>
      <c r="AS11">
        <f>IF(C11&lt;&gt;"",安値!F6,"")</f>
        <v>29610</v>
      </c>
      <c r="AT11" t="str">
        <f t="shared" si="20"/>
        <v>通常</v>
      </c>
      <c r="AU11">
        <f t="shared" si="21"/>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6584</v>
      </c>
      <c r="F12" s="333">
        <f>IF(C12&lt;&gt;"",_xll.RssMarket(C12,"始値"),"")</f>
        <v>6352</v>
      </c>
      <c r="G12" s="212">
        <f>IF(C12&lt;&gt;"",終値!F21,"")</f>
        <v>6171</v>
      </c>
      <c r="H12" s="333">
        <f>IF(C12&lt;&gt;"",_xll.RssMarket(C12,"高値"),"")</f>
        <v>6599</v>
      </c>
      <c r="I12" s="333">
        <f>IF(C12&lt;&gt;"",_xll.RssMarket(C12,"安値"),"")</f>
        <v>6344</v>
      </c>
      <c r="J12" s="333">
        <f>IF(C12&lt;&gt;"",_xll.RssMarket(C12,"出来高"),"")</f>
        <v>783300</v>
      </c>
      <c r="K12" s="333">
        <f>IF(C12&lt;&gt;"",_xll.RssMarket(C12,"年初来高値"),"")</f>
        <v>9500</v>
      </c>
      <c r="L12" s="334">
        <f t="shared" si="0"/>
        <v>-30.694736842105264</v>
      </c>
      <c r="M12" s="333">
        <f>IF(C12&lt;&gt;"",IFERROR(AVERAGE(出来高!E21:I21),""),"")</f>
        <v>2098760</v>
      </c>
      <c r="N12" s="333">
        <f>IF(C12&lt;&gt;"",IFERROR(AVERAGE(出来高!E21:AC21),""),"")</f>
        <v>1366570.8333333333</v>
      </c>
      <c r="O12" s="335">
        <f t="shared" si="1"/>
        <v>0.37322037774686007</v>
      </c>
      <c r="P12" s="212" t="str">
        <f t="shared" si="2"/>
        <v>減少↓</v>
      </c>
      <c r="Q12" s="212" t="str">
        <f t="shared" si="3"/>
        <v>様子見▲</v>
      </c>
      <c r="R12" s="333">
        <f t="shared" si="4"/>
        <v>6057</v>
      </c>
      <c r="S12" s="333">
        <f t="shared" si="5"/>
        <v>6847</v>
      </c>
      <c r="T12" s="325">
        <f t="shared" si="6"/>
        <v>10</v>
      </c>
      <c r="U12" s="212" t="str">
        <f t="shared" si="7"/>
        <v>要確認</v>
      </c>
      <c r="V12" s="212" t="str">
        <f t="shared" si="8"/>
        <v>安値圏</v>
      </c>
      <c r="W12" s="336">
        <f t="array" ref="W12">IFERROR(100-100/(1+SUMPRODUCT((終値!F21:R21&gt;終値!G21:S21)*(終値!F21:R21-終値!G21:S21))/SUMPRODUCT((終値!F21:R21&lt;終値!G21:S21)*(終値!G21:S21-終値!F21:R21))),50)</f>
        <v>45.152182506070361</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-277.75279116697675</v>
      </c>
      <c r="Y12" s="212" t="str">
        <f t="shared" si="9"/>
        <v>相場上昇・見送り | もみ合い→ MACD- RSI:45.2 前日比:+6.7% [安値圏] [10点]</v>
      </c>
      <c r="Z12" s="338">
        <f t="shared" si="10"/>
        <v>6.6925943931291529</v>
      </c>
      <c r="AA12" s="212" t="str">
        <f t="shared" si="11"/>
        <v>上昇▲</v>
      </c>
      <c r="AB12" s="333">
        <f>IF(OR(C12="",C12="TOPX",終値!E21=""),"",IFERROR(((終値!E21*0.333)+(終値!F21*0.222)+(終値!G21*0.148)+(終値!H21*0.099)+(終値!I21*0.066))/(0.333+0.222+0.148+0.099+0.066),""))</f>
        <v>6464.6566820276494</v>
      </c>
      <c r="AC12" s="333">
        <f>IF(OR(C12="",C12="TOPX",終値!E21=""),"",IFERROR(SUMPRODUCT((終値!E21:AC21),{0.077,0.071,0.065,0.06,0.055,0.051,0.047,0.043,0.039,0.036,0.033,0.031,0.028,0.026,0.024,0.022,0.02,0.018,0.017,0.016,0.014,0.013,0.012,0.011,0.01})/SUM({0.077,0.071,0.065,0.06,0.055,0.051,0.047,0.043,0.039,0.036,0.033,0.031,0.028,0.026,0.024,0.022,0.02,0.018,0.017,0.016,0.014,0.013,0.012,0.011,0.01}),""))</f>
        <v>6908.3230035756824</v>
      </c>
      <c r="AD12" s="212" t="str">
        <f t="shared" si="12"/>
        <v>もみ合い→</v>
      </c>
      <c r="AE12" s="212" t="str">
        <f t="shared" si="13"/>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 t="shared" si="14"/>
        <v>10</v>
      </c>
      <c r="AH12">
        <f t="shared" si="15"/>
        <v>99988</v>
      </c>
      <c r="AI12" s="373">
        <f t="array" ref="AI12">IF(C12="","",IFERROR((INDEX(終値!$E:$E,MATCH(TEXT(C12,"0"),終値!$A:$A,0))-INDEX(終値!$E:$CZ,MATCH(TEXT(C12,"0"),終値!$A:$A,0),$AN$2))/INDEX(終値!$E:$CZ,MATCH(TEXT(C12,"0"),終値!$A:$A,0),$AN$2)*100,""))</f>
        <v>-25.853945818610129</v>
      </c>
      <c r="AJ12" s="373">
        <f t="array" ref="AJ12">IFERROR((終値!$E$5-INDEX(終値!$E$5:$CZ$5,1,$AN$2))/INDEX(終値!$E$5:$CZ$5,1,$AN$2)*100,"")</f>
        <v>-0.82558151178043282</v>
      </c>
      <c r="AK12" s="374">
        <f t="shared" si="16"/>
        <v>-25.028364306829694</v>
      </c>
      <c r="AL12" s="372">
        <f t="shared" si="17"/>
        <v>3</v>
      </c>
      <c r="AO12" s="376" t="str">
        <f t="shared" si="18"/>
        <v>通常</v>
      </c>
      <c r="AP12" s="377">
        <f t="shared" si="19"/>
        <v>0</v>
      </c>
      <c r="AQ12">
        <f>IF(C12&lt;&gt;"",始値!F21,"")</f>
        <v>6300</v>
      </c>
      <c r="AR12">
        <f>IF(C12&lt;&gt;"",高値!F21,"")</f>
        <v>6439</v>
      </c>
      <c r="AS12">
        <f>IF(C12&lt;&gt;"",安値!F21,"")</f>
        <v>6100</v>
      </c>
      <c r="AT12" t="str">
        <f t="shared" si="20"/>
        <v>通常</v>
      </c>
      <c r="AU12">
        <f t="shared" si="21"/>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3717</v>
      </c>
      <c r="F13" s="326">
        <f>IF(C13&lt;&gt;"",_xll.RssMarket(C13,"始値"),"")</f>
        <v>3618</v>
      </c>
      <c r="G13" s="325">
        <f>IF(C13&lt;&gt;"",終値!F60,"")</f>
        <v>3535</v>
      </c>
      <c r="H13" s="326">
        <f>IF(C13&lt;&gt;"",_xll.RssMarket(C13,"高値"),"")</f>
        <v>3718</v>
      </c>
      <c r="I13" s="326">
        <f>IF(C13&lt;&gt;"",_xll.RssMarket(C13,"安値"),"")</f>
        <v>3618</v>
      </c>
      <c r="J13" s="326">
        <f>IF(C13&lt;&gt;"",_xll.RssMarket(C13,"出来高"),"")</f>
        <v>176900</v>
      </c>
      <c r="K13" s="326">
        <f>IF(C13&lt;&gt;"",_xll.RssMarket(C13,"年初来高値"),"")</f>
        <v>3673</v>
      </c>
      <c r="L13" s="327">
        <f t="shared" si="0"/>
        <v>1.1979308467193031</v>
      </c>
      <c r="M13" s="326">
        <f>IF(C13&lt;&gt;"",IFERROR(AVERAGE(出来高!E60:I60),""),"")</f>
        <v>290700</v>
      </c>
      <c r="N13" s="326">
        <f>IF(C13&lt;&gt;"",IFERROR(AVERAGE(出来高!E60:AC60),""),"")</f>
        <v>297460</v>
      </c>
      <c r="O13" s="328">
        <f t="shared" si="1"/>
        <v>0.60853113175094597</v>
      </c>
      <c r="P13" s="325" t="str">
        <f t="shared" si="2"/>
        <v>減少↓</v>
      </c>
      <c r="Q13" s="325" t="str">
        <f t="shared" si="3"/>
        <v>様子見▲</v>
      </c>
      <c r="R13" s="326">
        <f t="shared" si="4"/>
        <v>3420</v>
      </c>
      <c r="S13" s="326">
        <f t="shared" si="5"/>
        <v>3866</v>
      </c>
      <c r="T13" s="325">
        <f t="shared" si="6"/>
        <v>-2</v>
      </c>
      <c r="U13" s="325" t="str">
        <f t="shared" si="7"/>
        <v>除外</v>
      </c>
      <c r="V13" s="325" t="str">
        <f t="shared" si="8"/>
        <v>通常</v>
      </c>
      <c r="W13" s="329">
        <f t="array" ref="W13">IFERROR(100-100/(1+SUMPRODUCT((終値!F60:R60&gt;終値!G60:S60)*(終値!F60:R60-終値!G60:S60))/SUMPRODUCT((終値!F60:R60&lt;終値!G60:S60)*(終値!G60:S60-終値!F60:R60))),50)</f>
        <v>66.275167785234899</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24.004101672112029</v>
      </c>
      <c r="Y13" s="325" t="str">
        <f t="shared" si="9"/>
        <v>相場上昇・見送り | パーフェクト▲ MACD+ RSI:66.3 前日比:+5.1%前日[長い下ヒゲ(反発)] [-2点]</v>
      </c>
      <c r="Z13" s="331">
        <f t="shared" si="10"/>
        <v>5.1485148514851486</v>
      </c>
      <c r="AA13" s="325" t="str">
        <f t="shared" si="11"/>
        <v>上昇▲</v>
      </c>
      <c r="AB13" s="326">
        <f>IF(OR(C13="",C13="TOPX",終値!E60=""),"",IFERROR(((終値!E60*0.333)+(終値!F60*0.222)+(終値!G60*0.148)+(終値!H60*0.099)+(終値!I60*0.066))/(0.333+0.222+0.148+0.099+0.066),""))</f>
        <v>3585.6117511520733</v>
      </c>
      <c r="AC13" s="326">
        <f>IF(OR(C13="",C13="TOPX",終値!E60=""),"",IFERROR(SUMPRODUCT((終値!E60:AC60),{0.077,0.071,0.065,0.06,0.055,0.051,0.047,0.043,0.039,0.036,0.033,0.031,0.028,0.026,0.024,0.022,0.02,0.018,0.017,0.016,0.014,0.013,0.012,0.011,0.01})/SUM({0.077,0.071,0.065,0.06,0.055,0.051,0.047,0.043,0.039,0.036,0.033,0.031,0.028,0.026,0.024,0.022,0.02,0.018,0.017,0.016,0.014,0.013,0.012,0.011,0.01}),""))</f>
        <v>3521.1096543504168</v>
      </c>
      <c r="AD13" s="325" t="str">
        <f t="shared" si="12"/>
        <v>パーフェクト▲</v>
      </c>
      <c r="AE13" s="325" t="str">
        <f t="shared" si="13"/>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相場上昇・見送り</v>
      </c>
      <c r="AG13">
        <f t="shared" si="14"/>
        <v>0</v>
      </c>
      <c r="AH13">
        <f t="shared" si="15"/>
        <v>0</v>
      </c>
      <c r="AI13" s="373">
        <f t="array" ref="AI13">IF(C13="","",IFERROR((INDEX(終値!$E:$E,MATCH(TEXT(C13,"0"),終値!$A:$A,0))-INDEX(終値!$E:$CZ,MATCH(TEXT(C13,"0"),終値!$A:$A,0),$AN$2))/INDEX(終値!$E:$CZ,MATCH(TEXT(C13,"0"),終値!$A:$A,0),$AN$2)*100,""))</f>
        <v>2.6188442926273843</v>
      </c>
      <c r="AJ13" s="373">
        <f t="array" ref="AJ13">IFERROR((終値!$E$5-INDEX(終値!$E$5:$CZ$5,1,$AN$2))/INDEX(終値!$E$5:$CZ$5,1,$AN$2)*100,"")</f>
        <v>-0.82558151178043282</v>
      </c>
      <c r="AK13" s="374">
        <f t="shared" si="16"/>
        <v>3.4444258044078171</v>
      </c>
      <c r="AL13" s="372">
        <f t="shared" si="17"/>
        <v>-2</v>
      </c>
      <c r="AO13" s="376" t="str">
        <f t="shared" si="18"/>
        <v>通常</v>
      </c>
      <c r="AP13" s="377">
        <f t="shared" si="19"/>
        <v>0</v>
      </c>
      <c r="AQ13">
        <f>IF(C13&lt;&gt;"",始値!F60,"")</f>
        <v>3561</v>
      </c>
      <c r="AR13">
        <f>IF(C13&lt;&gt;"",高値!F60,"")</f>
        <v>3561</v>
      </c>
      <c r="AS13">
        <f>IF(C13&lt;&gt;"",安値!F60,"")</f>
        <v>3485</v>
      </c>
      <c r="AT13" t="str">
        <f t="shared" si="20"/>
        <v>長い下ヒゲ(反発)</v>
      </c>
      <c r="AU13">
        <f t="shared" si="21"/>
        <v>-2</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6150</v>
      </c>
      <c r="F14" s="333">
        <f>IF(C14&lt;&gt;"",_xll.RssMarket(C14,"始値"),"")</f>
        <v>6004</v>
      </c>
      <c r="G14" s="212">
        <f>IF(C14&lt;&gt;"",終値!F66,"")</f>
        <v>5845</v>
      </c>
      <c r="H14" s="333">
        <f>IF(C14&lt;&gt;"",_xll.RssMarket(C14,"高値"),"")</f>
        <v>6213</v>
      </c>
      <c r="I14" s="333">
        <f>IF(C14&lt;&gt;"",_xll.RssMarket(C14,"安値"),"")</f>
        <v>6004</v>
      </c>
      <c r="J14" s="333">
        <f>IF(C14&lt;&gt;"",_xll.RssMarket(C14,"出来高"),"")</f>
        <v>6211400</v>
      </c>
      <c r="K14" s="333">
        <f>IF(C14&lt;&gt;"",_xll.RssMarket(C14,"年初来高値"),"")</f>
        <v>7930</v>
      </c>
      <c r="L14" s="334">
        <f t="shared" si="0"/>
        <v>-22.446406052963429</v>
      </c>
      <c r="M14" s="333">
        <f>IF(C14&lt;&gt;"",IFERROR(AVERAGE(出来高!E66:I66),""),"")</f>
        <v>11380600</v>
      </c>
      <c r="N14" s="333">
        <f>IF(C14&lt;&gt;"",IFERROR(AVERAGE(出来高!E66:AC66),""),"")</f>
        <v>8710348</v>
      </c>
      <c r="O14" s="335">
        <f t="shared" si="1"/>
        <v>0.54578844700630902</v>
      </c>
      <c r="P14" s="212" t="str">
        <f t="shared" si="2"/>
        <v>減少↓</v>
      </c>
      <c r="Q14" s="212" t="str">
        <f t="shared" si="3"/>
        <v>様子見▲</v>
      </c>
      <c r="R14" s="333">
        <f t="shared" si="4"/>
        <v>5658</v>
      </c>
      <c r="S14" s="333">
        <f t="shared" si="5"/>
        <v>6396</v>
      </c>
      <c r="T14" s="325">
        <f t="shared" si="6"/>
        <v>5</v>
      </c>
      <c r="U14" s="212" t="str">
        <f t="shared" si="7"/>
        <v>要確認</v>
      </c>
      <c r="V14" s="212" t="str">
        <f t="shared" si="8"/>
        <v>通常</v>
      </c>
      <c r="W14" s="336">
        <f t="array" ref="W14">IFERROR(100-100/(1+SUMPRODUCT((終値!F66:R66&gt;終値!G66:S66)*(終値!F66:R66-終値!G66:S66))/SUMPRODUCT((終値!F66:R66&lt;終値!G66:S66)*(終値!G66:S66-終値!F66:R66))),50)</f>
        <v>21.261053440984242</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-200.63659503500367</v>
      </c>
      <c r="Y14" s="212" t="str">
        <f t="shared" si="9"/>
        <v>相場上昇・見送り | もみ合い→ MACD- RSI:21.3 [売られ過ぎ] 前日比:+5.2%前日[長い下ヒゲ(反発)] [5点]</v>
      </c>
      <c r="Z14" s="338">
        <f t="shared" si="10"/>
        <v>5.2181351582549187</v>
      </c>
      <c r="AA14" s="212" t="str">
        <f t="shared" si="11"/>
        <v>上昇▲</v>
      </c>
      <c r="AB14" s="333">
        <f>IF(OR(C14="",C14="TOPX",終値!E66=""),"",IFERROR(((終値!E66*0.333)+(終値!F66*0.222)+(終値!G66*0.148)+(終値!H66*0.099)+(終値!I66*0.066))/(0.333+0.222+0.148+0.099+0.066),""))</f>
        <v>5869.867511520737</v>
      </c>
      <c r="AC14" s="333">
        <f>IF(OR(C14="",C14="TOPX",終値!E66=""),"",IFERROR(SUMPRODUCT((終値!E66:AC66),{0.077,0.071,0.065,0.06,0.055,0.051,0.047,0.043,0.039,0.036,0.033,0.031,0.028,0.026,0.024,0.022,0.02,0.018,0.017,0.016,0.014,0.013,0.012,0.011,0.01})/SUM({0.077,0.071,0.065,0.06,0.055,0.051,0.047,0.043,0.039,0.036,0.033,0.031,0.028,0.026,0.024,0.022,0.02,0.018,0.017,0.016,0.014,0.013,0.012,0.011,0.01}),""))</f>
        <v>6493.6567342073877</v>
      </c>
      <c r="AD14" s="212" t="str">
        <f t="shared" si="12"/>
        <v>もみ合い→</v>
      </c>
      <c r="AE14" s="212" t="str">
        <f t="shared" si="13"/>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 t="shared" si="14"/>
        <v>0</v>
      </c>
      <c r="AH14">
        <f t="shared" si="15"/>
        <v>0</v>
      </c>
      <c r="AI14" s="373">
        <f t="array" ref="AI14">IF(C14="","",IFERROR((INDEX(終値!$E:$E,MATCH(TEXT(C14,"0"),終値!$A:$A,0))-INDEX(終値!$E:$CZ,MATCH(TEXT(C14,"0"),終値!$A:$A,0),$AN$2))/INDEX(終値!$E:$CZ,MATCH(TEXT(C14,"0"),終値!$A:$A,0),$AN$2)*100,""))</f>
        <v>-13.756842408527802</v>
      </c>
      <c r="AJ14" s="373">
        <f t="array" ref="AJ14">IFERROR((終値!$E$5-INDEX(終値!$E$5:$CZ$5,1,$AN$2))/INDEX(終値!$E$5:$CZ$5,1,$AN$2)*100,"")</f>
        <v>-0.82558151178043282</v>
      </c>
      <c r="AK14" s="374">
        <f t="shared" si="16"/>
        <v>-12.93126089674737</v>
      </c>
      <c r="AL14" s="372">
        <f t="shared" si="17"/>
        <v>3</v>
      </c>
      <c r="AO14" s="376" t="str">
        <f t="shared" si="18"/>
        <v>通常</v>
      </c>
      <c r="AP14" s="377">
        <f t="shared" si="19"/>
        <v>0</v>
      </c>
      <c r="AQ14">
        <f>IF(C14&lt;&gt;"",始値!F66,"")</f>
        <v>5900</v>
      </c>
      <c r="AR14">
        <f>IF(C14&lt;&gt;"",高値!F66,"")</f>
        <v>5900</v>
      </c>
      <c r="AS14">
        <f>IF(C14&lt;&gt;"",安値!F66,"")</f>
        <v>5674</v>
      </c>
      <c r="AT14" t="str">
        <f t="shared" si="20"/>
        <v>長い下ヒゲ(反発)</v>
      </c>
      <c r="AU14">
        <f t="shared" si="21"/>
        <v>-2</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115</v>
      </c>
      <c r="F15" s="326">
        <f>IF(C15&lt;&gt;"",_xll.RssMarket(C15,"始値"),"")</f>
        <v>114</v>
      </c>
      <c r="G15" s="325">
        <f>IF(C15&lt;&gt;"",終値!F70,"")</f>
        <v>116</v>
      </c>
      <c r="H15" s="326">
        <f>IF(C15&lt;&gt;"",_xll.RssMarket(C15,"高値"),"")</f>
        <v>116</v>
      </c>
      <c r="I15" s="326">
        <f>IF(C15&lt;&gt;"",_xll.RssMarket(C15,"安値"),"")</f>
        <v>113</v>
      </c>
      <c r="J15" s="326">
        <f>IF(C15&lt;&gt;"",_xll.RssMarket(C15,"出来高"),"")</f>
        <v>1218700</v>
      </c>
      <c r="K15" s="326">
        <f>IF(C15&lt;&gt;"",_xll.RssMarket(C15,"年初来高値"),"")</f>
        <v>155</v>
      </c>
      <c r="L15" s="327">
        <f t="shared" si="0"/>
        <v>-25.806451612903224</v>
      </c>
      <c r="M15" s="326">
        <f>IF(C15&lt;&gt;"",IFERROR(AVERAGE(出来高!E70:I70),""),"")</f>
        <v>1521280</v>
      </c>
      <c r="N15" s="326">
        <f>IF(C15&lt;&gt;"",IFERROR(AVERAGE(出来高!E70:AC70),""),"")</f>
        <v>1443354.1666666667</v>
      </c>
      <c r="O15" s="328">
        <f t="shared" si="1"/>
        <v>0.80110170382835511</v>
      </c>
      <c r="P15" s="325" t="str">
        <f t="shared" si="2"/>
        <v>減少↓</v>
      </c>
      <c r="Q15" s="325" t="str">
        <f t="shared" si="3"/>
        <v>中立→</v>
      </c>
      <c r="R15" s="326">
        <f t="shared" si="4"/>
        <v>106</v>
      </c>
      <c r="S15" s="326">
        <f t="shared" si="5"/>
        <v>120</v>
      </c>
      <c r="T15" s="325">
        <f t="shared" si="6"/>
        <v>6</v>
      </c>
      <c r="U15" s="325" t="str">
        <f t="shared" si="7"/>
        <v>要確認</v>
      </c>
      <c r="V15" s="325" t="str">
        <f t="shared" si="8"/>
        <v>安値圏</v>
      </c>
      <c r="W15" s="329">
        <f t="array" ref="W15">IFERROR(100-100/(1+SUMPRODUCT((終値!F70:R70&gt;終値!G70:S70)*(終値!F70:R70-終値!G70:S70))/SUMPRODUCT((終値!F70:R70&lt;終値!G70:S70)*(終値!G70:S70-終値!F70:R70))),50)</f>
        <v>50</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-0.52050637042813719</v>
      </c>
      <c r="Y15" s="325" t="str">
        <f t="shared" si="9"/>
        <v>相場上昇・見送り | 上昇トレンド▲ 5日戻り売り○ MACD- RSI:50.0 前日比:-0.9% [安値圏] [6点]</v>
      </c>
      <c r="Z15" s="331">
        <f t="shared" si="10"/>
        <v>-0.86206896551724133</v>
      </c>
      <c r="AA15" s="325" t="str">
        <f t="shared" si="11"/>
        <v>下落▼</v>
      </c>
      <c r="AB15" s="326">
        <f>IF(OR(C15="",C15="TOPX",終値!E70=""),"",IFERROR(((終値!E70*0.333)+(終値!F70*0.222)+(終値!G70*0.148)+(終値!H70*0.099)+(終値!I70*0.066))/(0.333+0.222+0.148+0.099+0.066),""))</f>
        <v>115.00921658986174</v>
      </c>
      <c r="AC15" s="326">
        <f>IF(OR(C15="",C15="TOPX",終値!E70=""),"",IFERROR(SUMPRODUCT((終値!E70:AC70),{0.077,0.071,0.065,0.06,0.055,0.051,0.047,0.043,0.039,0.036,0.033,0.031,0.028,0.026,0.024,0.022,0.02,0.018,0.017,0.016,0.014,0.013,0.012,0.011,0.01})/SUM({0.077,0.071,0.065,0.06,0.055,0.051,0.047,0.043,0.039,0.036,0.033,0.031,0.028,0.026,0.024,0.022,0.02,0.018,0.017,0.016,0.014,0.013,0.012,0.011,0.01}),""))</f>
        <v>107.71752085816445</v>
      </c>
      <c r="AD15" s="325" t="str">
        <f t="shared" si="12"/>
        <v>上昇トレンド▲</v>
      </c>
      <c r="AE15" s="325" t="str">
        <f t="shared" si="13"/>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 t="shared" si="14"/>
        <v>0</v>
      </c>
      <c r="AH15">
        <f t="shared" si="15"/>
        <v>0</v>
      </c>
      <c r="AI15" s="373">
        <f t="array" ref="AI15">IF(C15="","",IFERROR((INDEX(終値!$E:$E,MATCH(TEXT(C15,"0"),終値!$A:$A,0))-INDEX(終値!$E:$CZ,MATCH(TEXT(C15,"0"),終値!$A:$A,0),$AN$2))/INDEX(終値!$E:$CZ,MATCH(TEXT(C15,"0"),終値!$A:$A,0),$AN$2)*100,""))</f>
        <v>6.481481481481481</v>
      </c>
      <c r="AJ15" s="373">
        <f t="array" ref="AJ15">IFERROR((終値!$E$5-INDEX(終値!$E$5:$CZ$5,1,$AN$2))/INDEX(終値!$E$5:$CZ$5,1,$AN$2)*100,"")</f>
        <v>-0.82558151178043282</v>
      </c>
      <c r="AK15" s="374">
        <f t="shared" si="16"/>
        <v>7.3070629932619138</v>
      </c>
      <c r="AL15" s="372">
        <f t="shared" si="17"/>
        <v>-2</v>
      </c>
      <c r="AO15" s="376" t="str">
        <f t="shared" si="18"/>
        <v>通常</v>
      </c>
      <c r="AP15" s="377">
        <f t="shared" si="19"/>
        <v>0</v>
      </c>
      <c r="AQ15">
        <f>IF(C15&lt;&gt;"",始値!F70,"")</f>
        <v>114</v>
      </c>
      <c r="AR15">
        <f>IF(C15&lt;&gt;"",高値!F70,"")</f>
        <v>116</v>
      </c>
      <c r="AS15">
        <f>IF(C15&lt;&gt;"",安値!F70,"")</f>
        <v>113</v>
      </c>
      <c r="AT15" t="str">
        <f t="shared" si="20"/>
        <v>通常</v>
      </c>
      <c r="AU15">
        <f t="shared" si="21"/>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6472</v>
      </c>
      <c r="F16" s="333">
        <f>IF(C16&lt;&gt;"",_xll.RssMarket(C16,"始値"),"")</f>
        <v>6487</v>
      </c>
      <c r="G16" s="212">
        <f>IF(C16&lt;&gt;"",終値!F78,"")</f>
        <v>6114</v>
      </c>
      <c r="H16" s="333">
        <f>IF(C16&lt;&gt;"",_xll.RssMarket(C16,"高値"),"")</f>
        <v>6495</v>
      </c>
      <c r="I16" s="333">
        <f>IF(C16&lt;&gt;"",_xll.RssMarket(C16,"安値"),"")</f>
        <v>6327</v>
      </c>
      <c r="J16" s="333">
        <f>IF(C16&lt;&gt;"",_xll.RssMarket(C16,"出来高"),"")</f>
        <v>5721900</v>
      </c>
      <c r="K16" s="333">
        <f>IF(C16&lt;&gt;"",_xll.RssMarket(C16,"年初来高値"),"")</f>
        <v>8880</v>
      </c>
      <c r="L16" s="334">
        <f t="shared" si="0"/>
        <v>-27.117117117117118</v>
      </c>
      <c r="M16" s="333">
        <f>IF(C16&lt;&gt;"",IFERROR(AVERAGE(出来高!E78:I78),""),"")</f>
        <v>11998920</v>
      </c>
      <c r="N16" s="333">
        <f>IF(C16&lt;&gt;"",IFERROR(AVERAGE(出来高!E78:AC78),""),"")</f>
        <v>6701220</v>
      </c>
      <c r="O16" s="335">
        <f t="shared" si="1"/>
        <v>0.47686791811263013</v>
      </c>
      <c r="P16" s="212" t="str">
        <f t="shared" si="2"/>
        <v>減少↓</v>
      </c>
      <c r="Q16" s="212" t="str">
        <f t="shared" si="3"/>
        <v>様子見▲</v>
      </c>
      <c r="R16" s="333">
        <f t="shared" si="4"/>
        <v>5954</v>
      </c>
      <c r="S16" s="333">
        <f t="shared" si="5"/>
        <v>6731</v>
      </c>
      <c r="T16" s="325">
        <f t="shared" si="6"/>
        <v>5</v>
      </c>
      <c r="U16" s="212" t="str">
        <f t="shared" si="7"/>
        <v>要確認</v>
      </c>
      <c r="V16" s="212" t="str">
        <f t="shared" si="8"/>
        <v>安値圏</v>
      </c>
      <c r="W16" s="336">
        <f t="array" ref="W16">IFERROR(100-100/(1+SUMPRODUCT((終値!F78:R78&gt;終値!G78:S78)*(終値!F78:R78-終値!G78:S78))/SUMPRODUCT((終値!F78:R78&lt;終値!G78:S78)*(終値!G78:S78-終値!F78:R78))),50)</f>
        <v>38.385230090934137</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-85.487380542030223</v>
      </c>
      <c r="Y16" s="212" t="str">
        <f t="shared" si="9"/>
        <v>相場上昇・見送り | もみ合い→ MACD- RSI:38.4 前日比:+5.9% [安値圏] [長い下ヒゲ(反発警戒)]前日[長い下ヒゲ(反発)] [5点]</v>
      </c>
      <c r="Z16" s="338">
        <f t="shared" si="10"/>
        <v>5.8554138043833825</v>
      </c>
      <c r="AA16" s="212" t="str">
        <f t="shared" si="11"/>
        <v>上昇▲</v>
      </c>
      <c r="AB16" s="333">
        <f>IF(OR(C16="",C16="TOPX",終値!E78=""),"",IFERROR(((終値!E78*0.333)+(終値!F78*0.222)+(終値!G78*0.148)+(終値!H78*0.099)+(終値!I78*0.066))/(0.333+0.222+0.148+0.099+0.066),""))</f>
        <v>6400.7983870967737</v>
      </c>
      <c r="AC16" s="333">
        <f>IF(OR(C16="",C16="TOPX",終値!E78=""),"",IFERROR(SUMPRODUCT((終値!E78:AC78),{0.077,0.071,0.065,0.06,0.055,0.051,0.047,0.043,0.039,0.036,0.033,0.031,0.028,0.026,0.024,0.022,0.02,0.018,0.017,0.016,0.014,0.013,0.012,0.011,0.01})/SUM({0.077,0.071,0.065,0.06,0.055,0.051,0.047,0.043,0.039,0.036,0.033,0.031,0.028,0.026,0.024,0.022,0.02,0.018,0.017,0.016,0.014,0.013,0.012,0.011,0.01}),""))</f>
        <v>6719.2610250297939</v>
      </c>
      <c r="AD16" s="212" t="str">
        <f t="shared" si="12"/>
        <v>もみ合い→</v>
      </c>
      <c r="AE16" s="212" t="str">
        <f t="shared" si="13"/>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 t="shared" si="14"/>
        <v>0</v>
      </c>
      <c r="AH16">
        <f t="shared" si="15"/>
        <v>0</v>
      </c>
      <c r="AI16" s="373">
        <f t="array" ref="AI16">IF(C16="","",IFERROR((INDEX(終値!$E:$E,MATCH(TEXT(C16,"0"),終値!$A:$A,0))-INDEX(終値!$E:$CZ,MATCH(TEXT(C16,"0"),終値!$A:$A,0),$AN$2))/INDEX(終値!$E:$CZ,MATCH(TEXT(C16,"0"),終値!$A:$A,0),$AN$2)*100,""))</f>
        <v>-12.253581052333002</v>
      </c>
      <c r="AJ16" s="373">
        <f t="array" ref="AJ16">IFERROR((終値!$E$5-INDEX(終値!$E$5:$CZ$5,1,$AN$2))/INDEX(終値!$E$5:$CZ$5,1,$AN$2)*100,"")</f>
        <v>-0.82558151178043282</v>
      </c>
      <c r="AK16" s="374">
        <f t="shared" si="16"/>
        <v>-11.42799954055257</v>
      </c>
      <c r="AL16" s="372">
        <f t="shared" si="17"/>
        <v>3</v>
      </c>
      <c r="AO16" s="376" t="str">
        <f t="shared" si="18"/>
        <v>長い下ヒゲ(反発警戒)</v>
      </c>
      <c r="AP16" s="377">
        <f t="shared" si="19"/>
        <v>-2</v>
      </c>
      <c r="AQ16">
        <f>IF(C16&lt;&gt;"",始値!F78,"")</f>
        <v>6385</v>
      </c>
      <c r="AR16">
        <f>IF(C16&lt;&gt;"",高値!F78,"")</f>
        <v>6386</v>
      </c>
      <c r="AS16">
        <f>IF(C16&lt;&gt;"",安値!F78,"")</f>
        <v>5808</v>
      </c>
      <c r="AT16" t="str">
        <f t="shared" si="20"/>
        <v>長い下ヒゲ(反発)</v>
      </c>
      <c r="AU16">
        <f t="shared" si="21"/>
        <v>-2</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2305</v>
      </c>
      <c r="F17" s="326">
        <f>IF(C17&lt;&gt;"",_xll.RssMarket(C17,"始値"),"")</f>
        <v>2320</v>
      </c>
      <c r="G17" s="325">
        <f>IF(C17&lt;&gt;"",終値!F100,"")</f>
        <v>2337.5</v>
      </c>
      <c r="H17" s="326">
        <f>IF(C17&lt;&gt;"",_xll.RssMarket(C17,"高値"),"")</f>
        <v>2320</v>
      </c>
      <c r="I17" s="326">
        <f>IF(C17&lt;&gt;"",_xll.RssMarket(C17,"安値"),"")</f>
        <v>2264.5</v>
      </c>
      <c r="J17" s="326">
        <f>IF(C17&lt;&gt;"",_xll.RssMarket(C17,"出来高"),"")</f>
        <v>723300</v>
      </c>
      <c r="K17" s="326">
        <f>IF(C17&lt;&gt;"",_xll.RssMarket(C17,"年初来高値"),"")</f>
        <v>2674.5</v>
      </c>
      <c r="L17" s="327">
        <f t="shared" si="0"/>
        <v>-13.815666479715835</v>
      </c>
      <c r="M17" s="326">
        <f>IF(C17&lt;&gt;"",IFERROR(AVERAGE(出来高!E100:I100),""),"")</f>
        <v>2255280</v>
      </c>
      <c r="N17" s="326">
        <f>IF(C17&lt;&gt;"",IFERROR(AVERAGE(出来高!E100:AC100),""),"")</f>
        <v>1603641.6666666667</v>
      </c>
      <c r="O17" s="328">
        <f t="shared" si="1"/>
        <v>0.32071405767798233</v>
      </c>
      <c r="P17" s="325" t="str">
        <f t="shared" si="2"/>
        <v>減少↓</v>
      </c>
      <c r="Q17" s="325" t="str">
        <f t="shared" si="3"/>
        <v>中立→</v>
      </c>
      <c r="R17" s="326">
        <f t="shared" si="4"/>
        <v>2121</v>
      </c>
      <c r="S17" s="326">
        <f t="shared" si="5"/>
        <v>2397</v>
      </c>
      <c r="T17" s="325">
        <f t="shared" si="6"/>
        <v>2</v>
      </c>
      <c r="U17" s="325" t="str">
        <f t="shared" si="7"/>
        <v>除外</v>
      </c>
      <c r="V17" s="325" t="str">
        <f t="shared" si="8"/>
        <v>通常</v>
      </c>
      <c r="W17" s="329">
        <f t="array" ref="W17">IFERROR(100-100/(1+SUMPRODUCT((終値!F100:R100&gt;終値!G100:S100)*(終値!F100:R100-終値!G100:S100))/SUMPRODUCT((終値!F100:R100&lt;終値!G100:S100)*(終値!G100:S100-終値!F100:R100))),50)</f>
        <v>49.399428026692085</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-22.301266921138904</v>
      </c>
      <c r="Y17" s="325" t="str">
        <f t="shared" si="9"/>
        <v>相場上昇・見送り | 上昇トレンド▲ MACD- RSI:49.4 前日比:-1.4% [長い下ヒゲ(反発警戒)] [2点]</v>
      </c>
      <c r="Z17" s="331">
        <f t="shared" si="10"/>
        <v>-1.3903743315508021</v>
      </c>
      <c r="AA17" s="325" t="str">
        <f t="shared" si="11"/>
        <v>下落▼</v>
      </c>
      <c r="AB17" s="326">
        <f>IF(OR(C17="",C17="TOPX",終値!E100=""),"",IFERROR(((終値!E100*0.333)+(終値!F100*0.222)+(終値!G100*0.148)+(終値!H100*0.099)+(終値!I100*0.066))/(0.333+0.222+0.148+0.099+0.066),""))</f>
        <v>2359.123847926267</v>
      </c>
      <c r="AC17" s="326">
        <f>IF(OR(C17="",C17="TOPX",終値!E100=""),"",IFERROR(SUMPRODUCT((終値!E100:AC100),{0.077,0.071,0.065,0.06,0.055,0.051,0.047,0.043,0.039,0.036,0.033,0.031,0.028,0.026,0.024,0.022,0.02,0.018,0.017,0.016,0.014,0.013,0.012,0.011,0.01})/SUM({0.077,0.071,0.065,0.06,0.055,0.051,0.047,0.043,0.039,0.036,0.033,0.031,0.028,0.026,0.024,0.022,0.02,0.018,0.017,0.016,0.014,0.013,0.012,0.011,0.01}),""))</f>
        <v>2282.6698450536342</v>
      </c>
      <c r="AD17" s="325" t="str">
        <f t="shared" si="12"/>
        <v>上昇トレンド▲</v>
      </c>
      <c r="AE17" s="325" t="str">
        <f t="shared" si="13"/>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 t="shared" si="14"/>
        <v>0</v>
      </c>
      <c r="AH17">
        <f t="shared" si="15"/>
        <v>0</v>
      </c>
      <c r="AI17" s="373">
        <f t="array" ref="AI17">IF(C17="","",IFERROR((INDEX(終値!$E:$E,MATCH(TEXT(C17,"0"),終値!$A:$A,0))-INDEX(終値!$E:$CZ,MATCH(TEXT(C17,"0"),終値!$A:$A,0),$AN$2))/INDEX(終値!$E:$CZ,MATCH(TEXT(C17,"0"),終値!$A:$A,0),$AN$2)*100,""))</f>
        <v>-4.2738589211618256</v>
      </c>
      <c r="AJ17" s="373">
        <f t="array" ref="AJ17">IFERROR((終値!$E$5-INDEX(終値!$E$5:$CZ$5,1,$AN$2))/INDEX(終値!$E$5:$CZ$5,1,$AN$2)*100,"")</f>
        <v>-0.82558151178043282</v>
      </c>
      <c r="AK17" s="374">
        <f t="shared" si="16"/>
        <v>-3.4482774093813928</v>
      </c>
      <c r="AL17" s="372">
        <f t="shared" si="17"/>
        <v>1</v>
      </c>
      <c r="AO17" s="376" t="str">
        <f t="shared" si="18"/>
        <v>長い下ヒゲ(反発警戒)</v>
      </c>
      <c r="AP17" s="377">
        <f t="shared" si="19"/>
        <v>-2</v>
      </c>
      <c r="AQ17">
        <f>IF(C17&lt;&gt;"",始値!F100,"")</f>
        <v>2307</v>
      </c>
      <c r="AR17">
        <f>IF(C17&lt;&gt;"",高値!F100,"")</f>
        <v>2367.5</v>
      </c>
      <c r="AS17">
        <f>IF(C17&lt;&gt;"",安値!F100,"")</f>
        <v>2287</v>
      </c>
      <c r="AT17" t="str">
        <f t="shared" si="20"/>
        <v>通常</v>
      </c>
      <c r="AU17">
        <f t="shared" si="21"/>
        <v>0</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18900</v>
      </c>
      <c r="F18" s="333">
        <f>IF(C18&lt;&gt;"",_xll.RssMarket(C18,"始値"),"")</f>
        <v>18100</v>
      </c>
      <c r="G18" s="212">
        <f>IF(C18&lt;&gt;"",終値!F107,"")</f>
        <v>17235</v>
      </c>
      <c r="H18" s="333">
        <f>IF(C18&lt;&gt;"",_xll.RssMarket(C18,"高値"),"")</f>
        <v>18945</v>
      </c>
      <c r="I18" s="333">
        <f>IF(C18&lt;&gt;"",_xll.RssMarket(C18,"安値"),"")</f>
        <v>17625</v>
      </c>
      <c r="J18" s="333">
        <f>IF(C18&lt;&gt;"",_xll.RssMarket(C18,"出来高"),"")</f>
        <v>761100</v>
      </c>
      <c r="K18" s="333">
        <f>IF(C18&lt;&gt;"",_xll.RssMarket(C18,"年初来高値"),"")</f>
        <v>21310</v>
      </c>
      <c r="L18" s="334">
        <f t="shared" si="0"/>
        <v>-11.309244486156734</v>
      </c>
      <c r="M18" s="333">
        <f>IF(C18&lt;&gt;"",IFERROR(AVERAGE(出来高!E107:I107),""),"")</f>
        <v>636580</v>
      </c>
      <c r="N18" s="333">
        <f>IF(C18&lt;&gt;"",IFERROR(AVERAGE(出来高!E107:AC107),""),"")</f>
        <v>535376</v>
      </c>
      <c r="O18" s="335">
        <f t="shared" si="1"/>
        <v>1.1956077790694022</v>
      </c>
      <c r="P18" s="212" t="str">
        <f t="shared" si="2"/>
        <v>普通→</v>
      </c>
      <c r="Q18" s="212" t="str">
        <f t="shared" si="3"/>
        <v>様子見▲</v>
      </c>
      <c r="R18" s="333">
        <f t="shared" si="4"/>
        <v>17388</v>
      </c>
      <c r="S18" s="333">
        <f t="shared" si="5"/>
        <v>19656</v>
      </c>
      <c r="T18" s="325">
        <f t="shared" si="6"/>
        <v>5</v>
      </c>
      <c r="U18" s="212" t="str">
        <f t="shared" si="7"/>
        <v>要確認</v>
      </c>
      <c r="V18" s="212" t="str">
        <f t="shared" si="8"/>
        <v>通常</v>
      </c>
      <c r="W18" s="336">
        <f t="array" ref="W18">IFERROR(100-100/(1+SUMPRODUCT((終値!F107:R107&gt;終値!G107:S107)*(終値!F107:R107-終値!G107:S107))/SUMPRODUCT((終値!F107:R107&lt;終値!G107:S107)*(終値!G107:S107-終値!F107:R107))),50)</f>
        <v>43.28802039082413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-272.8845840016802</v>
      </c>
      <c r="Y18" s="212" t="str">
        <f t="shared" si="9"/>
        <v>相場上昇・見送り | 上昇トレンド▲ MACD- RSI:43.3 前日比:+9.7% [5点]</v>
      </c>
      <c r="Z18" s="338">
        <f t="shared" si="10"/>
        <v>9.660574412532636</v>
      </c>
      <c r="AA18" s="212" t="str">
        <f t="shared" si="11"/>
        <v>上昇▲</v>
      </c>
      <c r="AB18" s="333">
        <f>IF(OR(C18="",C18="TOPX",終値!E107=""),"",IFERROR(((終値!E107*0.333)+(終値!F107*0.222)+(終値!G107*0.148)+(終値!H107*0.099)+(終値!I107*0.066))/(0.333+0.222+0.148+0.099+0.066),""))</f>
        <v>17146.365207373274</v>
      </c>
      <c r="AC18" s="333">
        <f>IF(OR(C18="",C18="TOPX",終値!E107=""),"",IFERROR(SUMPRODUCT((終値!E107:AC107),{0.077,0.071,0.065,0.06,0.055,0.051,0.047,0.043,0.039,0.036,0.033,0.031,0.028,0.026,0.024,0.022,0.02,0.018,0.017,0.016,0.014,0.013,0.012,0.011,0.01})/SUM({0.077,0.071,0.065,0.06,0.055,0.051,0.047,0.043,0.039,0.036,0.033,0.031,0.028,0.026,0.024,0.022,0.02,0.018,0.017,0.016,0.014,0.013,0.012,0.011,0.01}),""))</f>
        <v>17559.255065554229</v>
      </c>
      <c r="AD18" s="212" t="str">
        <f t="shared" si="12"/>
        <v>上昇トレンド▲</v>
      </c>
      <c r="AE18" s="212" t="str">
        <f t="shared" si="13"/>
        <v>なし</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 t="shared" si="14"/>
        <v>0</v>
      </c>
      <c r="AH18">
        <f t="shared" si="15"/>
        <v>0</v>
      </c>
      <c r="AI18" s="373">
        <f t="array" ref="AI18">IF(C18="","",IFERROR((INDEX(終値!$E:$E,MATCH(TEXT(C18,"0"),終値!$A:$A,0))-INDEX(終値!$E:$CZ,MATCH(TEXT(C18,"0"),終値!$A:$A,0),$AN$2))/INDEX(終値!$E:$CZ,MATCH(TEXT(C18,"0"),終値!$A:$A,0),$AN$2)*100,""))</f>
        <v>-6.3035019455252916</v>
      </c>
      <c r="AJ18" s="373">
        <f t="array" ref="AJ18">IFERROR((終値!$E$5-INDEX(終値!$E$5:$CZ$5,1,$AN$2))/INDEX(終値!$E$5:$CZ$5,1,$AN$2)*100,"")</f>
        <v>-0.82558151178043282</v>
      </c>
      <c r="AK18" s="374">
        <f t="shared" si="16"/>
        <v>-5.4779204337448588</v>
      </c>
      <c r="AL18" s="372">
        <f t="shared" si="17"/>
        <v>3</v>
      </c>
      <c r="AO18" s="376" t="str">
        <f t="shared" si="18"/>
        <v>通常</v>
      </c>
      <c r="AP18" s="377">
        <f t="shared" si="19"/>
        <v>0</v>
      </c>
      <c r="AQ18">
        <f>IF(C18&lt;&gt;"",始値!F107,"")</f>
        <v>16855</v>
      </c>
      <c r="AR18">
        <f>IF(C18&lt;&gt;"",高値!F107,"")</f>
        <v>17270</v>
      </c>
      <c r="AS18">
        <f>IF(C18&lt;&gt;"",安値!F107,"")</f>
        <v>16670</v>
      </c>
      <c r="AT18" t="str">
        <f t="shared" si="20"/>
        <v>通常</v>
      </c>
      <c r="AU18">
        <f t="shared" si="21"/>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1328</v>
      </c>
      <c r="F19" s="326">
        <f>IF(C19&lt;&gt;"",_xll.RssMarket(C19,"始値"),"")</f>
        <v>1304</v>
      </c>
      <c r="G19" s="325">
        <f>IF(C19&lt;&gt;"",終値!F164,"")</f>
        <v>1325</v>
      </c>
      <c r="H19" s="326">
        <f>IF(C19&lt;&gt;"",_xll.RssMarket(C19,"高値"),"")</f>
        <v>1340</v>
      </c>
      <c r="I19" s="326">
        <f>IF(C19&lt;&gt;"",_xll.RssMarket(C19,"安値"),"")</f>
        <v>1304</v>
      </c>
      <c r="J19" s="326">
        <f>IF(C19&lt;&gt;"",_xll.RssMarket(C19,"出来高"),"")</f>
        <v>53100</v>
      </c>
      <c r="K19" s="326">
        <f>IF(C19&lt;&gt;"",_xll.RssMarket(C19,"年初来高値"),"")</f>
        <v>1332</v>
      </c>
      <c r="L19" s="327">
        <f t="shared" si="0"/>
        <v>-0.3003003003003003</v>
      </c>
      <c r="M19" s="326">
        <f>IF(C19&lt;&gt;"",IFERROR(AVERAGE(出来高!E164:I164),""),"")</f>
        <v>144900</v>
      </c>
      <c r="N19" s="326">
        <f>IF(C19&lt;&gt;"",IFERROR(AVERAGE(出来高!E164:AC164),""),"")</f>
        <v>98860</v>
      </c>
      <c r="O19" s="328">
        <f t="shared" si="1"/>
        <v>0.36645962732919257</v>
      </c>
      <c r="P19" s="325" t="str">
        <f t="shared" si="2"/>
        <v>減少↓</v>
      </c>
      <c r="Q19" s="325" t="str">
        <f t="shared" si="3"/>
        <v>様子見▲</v>
      </c>
      <c r="R19" s="326">
        <f t="shared" si="4"/>
        <v>1222</v>
      </c>
      <c r="S19" s="326">
        <f t="shared" si="5"/>
        <v>1381</v>
      </c>
      <c r="T19" s="325">
        <f t="shared" si="6"/>
        <v>-1</v>
      </c>
      <c r="U19" s="325" t="str">
        <f t="shared" si="7"/>
        <v>除外</v>
      </c>
      <c r="V19" s="325" t="str">
        <f t="shared" si="8"/>
        <v>通常</v>
      </c>
      <c r="W19" s="329">
        <f t="array" ref="W19">IFERROR(100-100/(1+SUMPRODUCT((終値!F164:R164&gt;終値!G164:S164)*(終値!F164:R164-終値!G164:S164))/SUMPRODUCT((終値!F164:R164&lt;終値!G164:S164)*(終値!G164:S164-終値!F164:R164))),50)</f>
        <v>59.915611814345993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3.5119865944384401</v>
      </c>
      <c r="Y19" s="325" t="str">
        <f t="shared" si="9"/>
        <v>相場上昇・見送り | パーフェクト▲ MACD+ RSI:59.9 前日比:+0.2% [-1点]</v>
      </c>
      <c r="Z19" s="331">
        <f t="shared" si="10"/>
        <v>0.22641509433962265</v>
      </c>
      <c r="AA19" s="325" t="str">
        <f t="shared" si="11"/>
        <v>上昇▲</v>
      </c>
      <c r="AB19" s="326">
        <f>IF(OR(C19="",C19="TOPX",終値!E164=""),"",IFERROR(((終値!E164*0.333)+(終値!F164*0.222)+(終値!G164*0.148)+(終値!H164*0.099)+(終値!I164*0.066))/(0.333+0.222+0.148+0.099+0.066),""))</f>
        <v>1280.9089861751152</v>
      </c>
      <c r="AC19" s="326">
        <f>IF(OR(C19="",C19="TOPX",終値!E164=""),"",IFERROR(SUMPRODUCT((終値!E164:AC164),{0.077,0.071,0.065,0.06,0.055,0.051,0.047,0.043,0.039,0.036,0.033,0.031,0.028,0.026,0.024,0.022,0.02,0.018,0.017,0.016,0.014,0.013,0.012,0.011,0.01})/SUM({0.077,0.071,0.065,0.06,0.055,0.051,0.047,0.043,0.039,0.036,0.033,0.031,0.028,0.026,0.024,0.022,0.02,0.018,0.017,0.016,0.014,0.013,0.012,0.011,0.01}),""))</f>
        <v>1258.4719904648387</v>
      </c>
      <c r="AD19" s="325" t="str">
        <f t="shared" si="12"/>
        <v>パーフェクト▲</v>
      </c>
      <c r="AE19" s="325" t="str">
        <f t="shared" si="13"/>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 t="shared" si="14"/>
        <v>0</v>
      </c>
      <c r="AH19">
        <f t="shared" si="15"/>
        <v>0</v>
      </c>
      <c r="AI19" s="373">
        <f t="array" ref="AI19">IF(C19="","",IFERROR((INDEX(終値!$E:$E,MATCH(TEXT(C19,"0"),終値!$A:$A,0))-INDEX(終値!$E:$CZ,MATCH(TEXT(C19,"0"),終値!$A:$A,0),$AN$2))/INDEX(終値!$E:$CZ,MATCH(TEXT(C19,"0"),終値!$A:$A,0),$AN$2)*100,""))</f>
        <v>13.886462882096071</v>
      </c>
      <c r="AJ19" s="373">
        <f t="array" ref="AJ19">IFERROR((終値!$E$5-INDEX(終値!$E$5:$CZ$5,1,$AN$2))/INDEX(終値!$E$5:$CZ$5,1,$AN$2)*100,"")</f>
        <v>-0.82558151178043282</v>
      </c>
      <c r="AK19" s="374">
        <f t="shared" si="16"/>
        <v>14.712044393876504</v>
      </c>
      <c r="AL19" s="372">
        <f t="shared" si="17"/>
        <v>-2</v>
      </c>
      <c r="AO19" s="376" t="str">
        <f t="shared" si="18"/>
        <v>通常</v>
      </c>
      <c r="AP19" s="377">
        <f t="shared" si="19"/>
        <v>0</v>
      </c>
      <c r="AQ19">
        <f>IF(C19&lt;&gt;"",始値!F164,"")</f>
        <v>1285</v>
      </c>
      <c r="AR19">
        <f>IF(C19&lt;&gt;"",高値!F164,"")</f>
        <v>1332</v>
      </c>
      <c r="AS19">
        <f>IF(C19&lt;&gt;"",安値!F164,"")</f>
        <v>1255</v>
      </c>
      <c r="AT19" t="str">
        <f t="shared" si="20"/>
        <v>通常</v>
      </c>
      <c r="AU19">
        <f t="shared" si="21"/>
        <v>0</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5374</v>
      </c>
      <c r="F20" s="333">
        <f>IF(C20&lt;&gt;"",_xll.RssMarket(C20,"始値"),"")</f>
        <v>5231</v>
      </c>
      <c r="G20" s="212">
        <f>IF(C20&lt;&gt;"",終値!F201,"")</f>
        <v>4935</v>
      </c>
      <c r="H20" s="333">
        <f>IF(C20&lt;&gt;"",_xll.RssMarket(C20,"高値"),"")</f>
        <v>5405</v>
      </c>
      <c r="I20" s="333">
        <f>IF(C20&lt;&gt;"",_xll.RssMarket(C20,"安値"),"")</f>
        <v>5211</v>
      </c>
      <c r="J20" s="333">
        <f>IF(C20&lt;&gt;"",_xll.RssMarket(C20,"出来高"),"")</f>
        <v>5132000</v>
      </c>
      <c r="K20" s="333">
        <f>IF(C20&lt;&gt;"",_xll.RssMarket(C20,"年初来高値"),"")</f>
        <v>7915</v>
      </c>
      <c r="L20" s="334">
        <f t="shared" si="0"/>
        <v>-32.103600758054327</v>
      </c>
      <c r="M20" s="333">
        <f>IF(C20&lt;&gt;"",IFERROR(AVERAGE(出来高!E201:I201),""),"")</f>
        <v>7039340</v>
      </c>
      <c r="N20" s="333">
        <f>IF(C20&lt;&gt;"",IFERROR(AVERAGE(出来高!E201:AC201),""),"")</f>
        <v>7786780</v>
      </c>
      <c r="O20" s="335">
        <f t="shared" si="1"/>
        <v>0.72904562075421842</v>
      </c>
      <c r="P20" s="212" t="str">
        <f t="shared" si="2"/>
        <v>減少↓</v>
      </c>
      <c r="Q20" s="212" t="str">
        <f t="shared" si="3"/>
        <v>様子見▲</v>
      </c>
      <c r="R20" s="333">
        <f t="shared" si="4"/>
        <v>4944</v>
      </c>
      <c r="S20" s="333">
        <f t="shared" si="5"/>
        <v>5589</v>
      </c>
      <c r="T20" s="325">
        <f t="shared" si="6"/>
        <v>12</v>
      </c>
      <c r="U20" s="212" t="str">
        <f t="shared" si="7"/>
        <v>要確認</v>
      </c>
      <c r="V20" s="212" t="str">
        <f t="shared" si="8"/>
        <v>安値圏</v>
      </c>
      <c r="W20" s="336">
        <f t="array" ref="W20">IFERROR(100-100/(1+SUMPRODUCT((終値!F201:R201&gt;終値!G201:S201)*(終値!F201:R201-終値!G201:S201))/SUMPRODUCT((終値!F201:R201&lt;終値!G201:S201)*(終値!G201:S201-終値!F201:R201))),50)</f>
        <v>30.396975425330808</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-239.39750397032276</v>
      </c>
      <c r="Y20" s="212" t="str">
        <f t="shared" si="9"/>
        <v>○逆張り売り | もみ合い→ 25日戻り売り★ MACD- RSI:30.4 前日比:+8.9% [安値圏] [12点]</v>
      </c>
      <c r="Z20" s="338">
        <f t="shared" si="10"/>
        <v>8.8956433637284693</v>
      </c>
      <c r="AA20" s="212" t="str">
        <f t="shared" si="11"/>
        <v>上昇▲</v>
      </c>
      <c r="AB20" s="333">
        <f>IF(OR(C20="",C20="TOPX",終値!E201=""),"",IFERROR(((終値!E201*0.333)+(終値!F201*0.222)+(終値!G201*0.148)+(終値!H201*0.099)+(終値!I201*0.066))/(0.333+0.222+0.148+0.099+0.066),""))</f>
        <v>4931.5034562211977</v>
      </c>
      <c r="AC20" s="333">
        <f>IF(OR(C20="",C20="TOPX",終値!E201=""),"",IFERROR(SUMPRODUCT((終値!E201:AC201),{0.077,0.071,0.065,0.06,0.055,0.051,0.047,0.043,0.039,0.036,0.033,0.031,0.028,0.026,0.024,0.022,0.02,0.018,0.017,0.016,0.014,0.013,0.012,0.011,0.01})/SUM({0.077,0.071,0.065,0.06,0.055,0.051,0.047,0.043,0.039,0.036,0.033,0.031,0.028,0.026,0.024,0.022,0.02,0.018,0.017,0.016,0.014,0.013,0.012,0.011,0.01}),""))</f>
        <v>5405.3051251489851</v>
      </c>
      <c r="AD20" s="212" t="str">
        <f t="shared" si="12"/>
        <v>もみ合い→</v>
      </c>
      <c r="AE20" s="212" t="str">
        <f t="shared" si="13"/>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 t="shared" si="14"/>
        <v>12</v>
      </c>
      <c r="AH20">
        <f t="shared" si="15"/>
        <v>119980</v>
      </c>
      <c r="AI20" s="373">
        <f t="array" ref="AI20">IF(C20="","",IFERROR((INDEX(終値!$E:$E,MATCH(TEXT(C20,"0"),終値!$A:$A,0))-INDEX(終値!$E:$CZ,MATCH(TEXT(C20,"0"),終値!$A:$A,0),$AN$2))/INDEX(終値!$E:$CZ,MATCH(TEXT(C20,"0"),終値!$A:$A,0),$AN$2)*100,""))</f>
        <v>-25.630252100840334</v>
      </c>
      <c r="AJ20" s="373">
        <f t="array" ref="AJ20">IFERROR((終値!$E$5-INDEX(終値!$E$5:$CZ$5,1,$AN$2))/INDEX(終値!$E$5:$CZ$5,1,$AN$2)*100,"")</f>
        <v>-0.82558151178043282</v>
      </c>
      <c r="AK20" s="374">
        <f t="shared" si="16"/>
        <v>-24.804670589059903</v>
      </c>
      <c r="AL20" s="372">
        <f t="shared" si="17"/>
        <v>3</v>
      </c>
      <c r="AO20" s="376" t="str">
        <f t="shared" si="18"/>
        <v>通常</v>
      </c>
      <c r="AP20" s="377">
        <f t="shared" si="19"/>
        <v>0</v>
      </c>
      <c r="AQ20">
        <f>IF(C20&lt;&gt;"",始値!F201,"")</f>
        <v>4798</v>
      </c>
      <c r="AR20">
        <f>IF(C20&lt;&gt;"",高値!F201,"")</f>
        <v>4982</v>
      </c>
      <c r="AS20">
        <f>IF(C20&lt;&gt;"",安値!F201,"")</f>
        <v>4726</v>
      </c>
      <c r="AT20" t="str">
        <f t="shared" si="20"/>
        <v>通常</v>
      </c>
      <c r="AU20">
        <f t="shared" si="21"/>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1354</v>
      </c>
      <c r="F21" s="326">
        <f>IF(C21&lt;&gt;"",_xll.RssMarket(C21,"始値"),"")</f>
        <v>1325</v>
      </c>
      <c r="G21" s="325">
        <f>IF(C21&lt;&gt;"",終値!F32,"")</f>
        <v>1345</v>
      </c>
      <c r="H21" s="326">
        <f>IF(C21&lt;&gt;"",_xll.RssMarket(C21,"高値"),"")</f>
        <v>1373</v>
      </c>
      <c r="I21" s="326">
        <f>IF(C21&lt;&gt;"",_xll.RssMarket(C21,"安値"),"")</f>
        <v>1317</v>
      </c>
      <c r="J21" s="326">
        <f>IF(C21&lt;&gt;"",_xll.RssMarket(C21,"出来高"),"")</f>
        <v>346900</v>
      </c>
      <c r="K21" s="326">
        <f>IF(C21&lt;&gt;"",_xll.RssMarket(C21,"年初来高値"),"")</f>
        <v>1612</v>
      </c>
      <c r="L21" s="327">
        <f t="shared" si="0"/>
        <v>-16.00496277915633</v>
      </c>
      <c r="M21" s="326">
        <f>IF(C21&lt;&gt;"",IFERROR(AVERAGE(出来高!E32:I32),""),"")</f>
        <v>1334140</v>
      </c>
      <c r="N21" s="326">
        <f>IF(C21&lt;&gt;"",IFERROR(AVERAGE(出来高!E32:AC32),""),"")</f>
        <v>904924</v>
      </c>
      <c r="O21" s="328">
        <f t="shared" si="1"/>
        <v>0.26001768929797475</v>
      </c>
      <c r="P21" s="325" t="str">
        <f t="shared" si="2"/>
        <v>減少↓</v>
      </c>
      <c r="Q21" s="325" t="str">
        <f t="shared" si="3"/>
        <v>様子見▲</v>
      </c>
      <c r="R21" s="326">
        <f t="shared" si="4"/>
        <v>1246</v>
      </c>
      <c r="S21" s="326">
        <f t="shared" si="5"/>
        <v>1408</v>
      </c>
      <c r="T21" s="325">
        <f t="shared" si="6"/>
        <v>1</v>
      </c>
      <c r="U21" s="325" t="str">
        <f t="shared" si="7"/>
        <v>除外</v>
      </c>
      <c r="V21" s="325" t="str">
        <f t="shared" si="8"/>
        <v>通常</v>
      </c>
      <c r="W21" s="329">
        <f t="array" ref="W21">IFERROR(100-100/(1+SUMPRODUCT((終値!F32:R32&gt;終値!G32:S32)*(終値!F32:R32-終値!G32:S32))/SUMPRODUCT((終値!F32:R32&lt;終値!G32:S32)*(終値!G32:S32-終値!F32:R32))),50)</f>
        <v>50.300601202404813</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12.420470149937273</v>
      </c>
      <c r="Y21" s="325" t="str">
        <f t="shared" si="9"/>
        <v>相場上昇・見送り | 下降トレンド▼ MACD+ RSI:50.3 前日比:+0.7%前日[長い下ヒゲ(反発)] [1点]</v>
      </c>
      <c r="Z21" s="331">
        <f t="shared" si="10"/>
        <v>0.66914498141263945</v>
      </c>
      <c r="AA21" s="325" t="str">
        <f t="shared" si="11"/>
        <v>上昇▲</v>
      </c>
      <c r="AB21" s="326">
        <f>IF(OR(C21="",C21="TOPX",終値!E32=""),"",IFERROR(((終値!E32*0.333)+(終値!F32*0.222)+(終値!G32*0.148)+(終値!H32*0.099)+(終値!I32*0.066))/(0.333+0.222+0.148+0.099+0.066),""))</f>
        <v>1368.9285714285713</v>
      </c>
      <c r="AC21" s="326">
        <f>IF(OR(C21="",C21="TOPX",終値!E32=""),"",IFERROR(SUMPRODUCT((終値!E32:AC32),{0.077,0.071,0.065,0.06,0.055,0.051,0.047,0.043,0.039,0.036,0.033,0.031,0.028,0.026,0.024,0.022,0.02,0.018,0.017,0.016,0.014,0.013,0.012,0.011,0.01})/SUM({0.077,0.071,0.065,0.06,0.055,0.051,0.047,0.043,0.039,0.036,0.033,0.031,0.028,0.026,0.024,0.022,0.02,0.018,0.017,0.016,0.014,0.013,0.012,0.011,0.01}),""))</f>
        <v>1416.7306317044099</v>
      </c>
      <c r="AD21" s="325" t="str">
        <f t="shared" si="12"/>
        <v>下降トレンド▼</v>
      </c>
      <c r="AE21" s="325" t="str">
        <f t="shared" si="13"/>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 t="shared" si="14"/>
        <v>0</v>
      </c>
      <c r="AH21">
        <f t="shared" si="15"/>
        <v>0</v>
      </c>
      <c r="AI21" s="373">
        <f t="array" ref="AI21">IF(C21="","",IFERROR((INDEX(終値!$E:$E,MATCH(TEXT(C21,"0"),終値!$A:$A,0))-INDEX(終値!$E:$CZ,MATCH(TEXT(C21,"0"),終値!$A:$A,0),$AN$2))/INDEX(終値!$E:$CZ,MATCH(TEXT(C21,"0"),終値!$A:$A,0),$AN$2)*100,""))</f>
        <v>5.3543307086614176</v>
      </c>
      <c r="AJ21" s="373">
        <f t="array" ref="AJ21">IFERROR((終値!$E$5-INDEX(終値!$E$5:$CZ$5,1,$AN$2))/INDEX(終値!$E$5:$CZ$5,1,$AN$2)*100,"")</f>
        <v>-0.82558151178043282</v>
      </c>
      <c r="AK21" s="374">
        <f t="shared" si="16"/>
        <v>6.1799122204418504</v>
      </c>
      <c r="AL21" s="372">
        <f t="shared" si="17"/>
        <v>-2</v>
      </c>
      <c r="AO21" s="376" t="str">
        <f t="shared" si="18"/>
        <v>通常</v>
      </c>
      <c r="AP21" s="377">
        <f t="shared" si="19"/>
        <v>0</v>
      </c>
      <c r="AQ21">
        <f>IF(C21&lt;&gt;"",始値!F32,"")</f>
        <v>1346</v>
      </c>
      <c r="AR21">
        <f>IF(C21&lt;&gt;"",高値!F32,"")</f>
        <v>1356</v>
      </c>
      <c r="AS21">
        <f>IF(C21&lt;&gt;"",安値!F32,"")</f>
        <v>1290</v>
      </c>
      <c r="AT21" t="str">
        <f t="shared" si="20"/>
        <v>長い下ヒゲ(反発)</v>
      </c>
      <c r="AU21">
        <f t="shared" si="21"/>
        <v>-2</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2297</v>
      </c>
      <c r="F22" s="333">
        <f>IF(C22&lt;&gt;"",_xll.RssMarket(C22,"始値"),"")</f>
        <v>2260</v>
      </c>
      <c r="G22" s="212">
        <f>IF(C22&lt;&gt;"",終値!F56,"")</f>
        <v>2156</v>
      </c>
      <c r="H22" s="333">
        <f>IF(C22&lt;&gt;"",_xll.RssMarket(C22,"高値"),"")</f>
        <v>2308</v>
      </c>
      <c r="I22" s="333">
        <f>IF(C22&lt;&gt;"",_xll.RssMarket(C22,"安値"),"")</f>
        <v>2235</v>
      </c>
      <c r="J22" s="333">
        <f>IF(C22&lt;&gt;"",_xll.RssMarket(C22,"出来高"),"")</f>
        <v>1701000</v>
      </c>
      <c r="K22" s="333">
        <f>IF(C22&lt;&gt;"",_xll.RssMarket(C22,"年初来高値"),"")</f>
        <v>4720</v>
      </c>
      <c r="L22" s="334">
        <f t="shared" si="0"/>
        <v>-51.334745762711862</v>
      </c>
      <c r="M22" s="333">
        <f>IF(C22&lt;&gt;"",IFERROR(AVERAGE(出来高!E56:I56),""),"")</f>
        <v>2277760</v>
      </c>
      <c r="N22" s="333">
        <f>IF(C22&lt;&gt;"",IFERROR(AVERAGE(出来高!E56:AC56),""),"")</f>
        <v>2604308</v>
      </c>
      <c r="O22" s="335">
        <f t="shared" si="1"/>
        <v>0.7467863163810059</v>
      </c>
      <c r="P22" s="212" t="str">
        <f t="shared" si="2"/>
        <v>減少↓</v>
      </c>
      <c r="Q22" s="212" t="str">
        <f t="shared" si="3"/>
        <v>様子見▲</v>
      </c>
      <c r="R22" s="333">
        <f t="shared" si="4"/>
        <v>2113</v>
      </c>
      <c r="S22" s="333">
        <f t="shared" si="5"/>
        <v>2389</v>
      </c>
      <c r="T22" s="325">
        <f t="shared" si="6"/>
        <v>10</v>
      </c>
      <c r="U22" s="212" t="str">
        <f t="shared" si="7"/>
        <v>要確認</v>
      </c>
      <c r="V22" s="212" t="str">
        <f t="shared" si="8"/>
        <v>年初来安値圏●</v>
      </c>
      <c r="W22" s="336">
        <f t="array" ref="W22">IFERROR(100-100/(1+SUMPRODUCT((終値!F56:R56&gt;終値!G56:S56)*(終値!F56:R56-終値!G56:S56))/SUMPRODUCT((終値!F56:R56&lt;終値!G56:S56)*(終値!G56:S56-終値!F56:R56))),50)</f>
        <v>23.001631321370311</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-62.381853533885533</v>
      </c>
      <c r="Y22" s="212" t="str">
        <f t="shared" si="9"/>
        <v>相場上昇・見送り | 上昇トレンド▲ MACD- RSI:23.0 [売られ過ぎ] 前日比:+6.5% [年初来安値圏] [10点]</v>
      </c>
      <c r="Z22" s="338">
        <f t="shared" si="10"/>
        <v>6.5398886827458256</v>
      </c>
      <c r="AA22" s="212" t="str">
        <f t="shared" si="11"/>
        <v>上昇▲</v>
      </c>
      <c r="AB22" s="333">
        <f>IF(OR(C22="",C22="TOPX",終値!E56=""),"",IFERROR(((終値!E56*0.333)+(終値!F56*0.222)+(終値!G56*0.148)+(終値!H56*0.099)+(終値!I56*0.066))/(0.333+0.222+0.148+0.099+0.066),""))</f>
        <v>2147.9055299539168</v>
      </c>
      <c r="AC22" s="333">
        <f>IF(OR(C22="",C22="TOPX",終値!E56=""),"",IFERROR(SUMPRODUCT((終値!E56:AC56),{0.077,0.071,0.065,0.06,0.055,0.051,0.047,0.043,0.039,0.036,0.033,0.031,0.028,0.026,0.024,0.022,0.02,0.018,0.017,0.016,0.014,0.013,0.012,0.011,0.01})/SUM({0.077,0.071,0.065,0.06,0.055,0.051,0.047,0.043,0.039,0.036,0.033,0.031,0.028,0.026,0.024,0.022,0.02,0.018,0.017,0.016,0.014,0.013,0.012,0.011,0.01}),""))</f>
        <v>2281.7103694874845</v>
      </c>
      <c r="AD22" s="212" t="str">
        <f t="shared" si="12"/>
        <v>上昇トレンド▲</v>
      </c>
      <c r="AE22" s="212" t="str">
        <f t="shared" si="13"/>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 t="shared" si="14"/>
        <v>10</v>
      </c>
      <c r="AH22">
        <f t="shared" si="15"/>
        <v>99978</v>
      </c>
      <c r="AI22" s="373">
        <f t="array" ref="AI22">IF(C22="","",IFERROR((INDEX(終値!$E:$E,MATCH(TEXT(C22,"0"),終値!$A:$A,0))-INDEX(終値!$E:$CZ,MATCH(TEXT(C22,"0"),終値!$A:$A,0),$AN$2))/INDEX(終値!$E:$CZ,MATCH(TEXT(C22,"0"),終値!$A:$A,0),$AN$2)*100,""))</f>
        <v>-14.616274585422289</v>
      </c>
      <c r="AJ22" s="373">
        <f t="array" ref="AJ22">IFERROR((終値!$E$5-INDEX(終値!$E$5:$CZ$5,1,$AN$2))/INDEX(終値!$E$5:$CZ$5,1,$AN$2)*100,"")</f>
        <v>-0.82558151178043282</v>
      </c>
      <c r="AK22" s="374">
        <f t="shared" si="16"/>
        <v>-13.790693073641856</v>
      </c>
      <c r="AL22" s="372">
        <f t="shared" si="17"/>
        <v>3</v>
      </c>
      <c r="AO22" s="376" t="str">
        <f t="shared" si="18"/>
        <v>通常</v>
      </c>
      <c r="AP22" s="377">
        <f t="shared" si="19"/>
        <v>0</v>
      </c>
      <c r="AQ22">
        <f>IF(C22&lt;&gt;"",始値!F56,"")</f>
        <v>2088</v>
      </c>
      <c r="AR22">
        <f>IF(C22&lt;&gt;"",高値!F56,"")</f>
        <v>2169</v>
      </c>
      <c r="AS22">
        <f>IF(C22&lt;&gt;"",安値!F56,"")</f>
        <v>2061</v>
      </c>
      <c r="AT22" t="str">
        <f t="shared" si="20"/>
        <v>通常</v>
      </c>
      <c r="AU22">
        <f t="shared" si="21"/>
        <v>0</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5284</v>
      </c>
      <c r="F23" s="326">
        <f>IF(C23&lt;&gt;"",_xll.RssMarket(C23,"始値"),"")</f>
        <v>5198</v>
      </c>
      <c r="G23" s="325">
        <f>IF(C23&lt;&gt;"",終値!F76,"")</f>
        <v>4896</v>
      </c>
      <c r="H23" s="326">
        <f>IF(C23&lt;&gt;"",_xll.RssMarket(C23,"高値"),"")</f>
        <v>5295</v>
      </c>
      <c r="I23" s="326">
        <f>IF(C23&lt;&gt;"",_xll.RssMarket(C23,"安値"),"")</f>
        <v>5127</v>
      </c>
      <c r="J23" s="326">
        <f>IF(C23&lt;&gt;"",_xll.RssMarket(C23,"出来高"),"")</f>
        <v>3920800</v>
      </c>
      <c r="K23" s="326">
        <f>IF(C23&lt;&gt;"",_xll.RssMarket(C23,"年初来高値"),"")</f>
        <v>6340</v>
      </c>
      <c r="L23" s="327">
        <f t="shared" si="0"/>
        <v>-16.656151419558359</v>
      </c>
      <c r="M23" s="326">
        <f>IF(C23&lt;&gt;"",IFERROR(AVERAGE(出来高!E76:I76),""),"")</f>
        <v>4411180</v>
      </c>
      <c r="N23" s="326">
        <f>IF(C23&lt;&gt;"",IFERROR(AVERAGE(出来高!E76:AC76),""),"")</f>
        <v>4036860</v>
      </c>
      <c r="O23" s="328">
        <f t="shared" si="1"/>
        <v>0.8888324665962396</v>
      </c>
      <c r="P23" s="325" t="str">
        <f t="shared" si="2"/>
        <v>減少↓</v>
      </c>
      <c r="Q23" s="325" t="str">
        <f t="shared" si="3"/>
        <v>様子見▲</v>
      </c>
      <c r="R23" s="326">
        <f t="shared" si="4"/>
        <v>4861</v>
      </c>
      <c r="S23" s="326">
        <f t="shared" si="5"/>
        <v>5495</v>
      </c>
      <c r="T23" s="325">
        <f t="shared" si="6"/>
        <v>4</v>
      </c>
      <c r="U23" s="325" t="str">
        <f t="shared" si="7"/>
        <v>要確認</v>
      </c>
      <c r="V23" s="325" t="str">
        <f t="shared" si="8"/>
        <v>通常</v>
      </c>
      <c r="W23" s="329">
        <f t="array" ref="W23">IFERROR(100-100/(1+SUMPRODUCT((終値!F76:R76&gt;終値!G76:S76)*(終値!F76:R76-終値!G76:S76))/SUMPRODUCT((終値!F76:R76&lt;終値!G76:S76)*(終値!G76:S76-終値!F76:R76))),50)</f>
        <v>19.299743808710502</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-130.59260902964979</v>
      </c>
      <c r="Y23" s="325" t="str">
        <f t="shared" si="9"/>
        <v>相場上昇・見送り | 上昇トレンド▲ MACD- RSI:19.3 [売られ過ぎ] 前日比:+7.9%前日[長い下ヒゲ(反発)] [4点]</v>
      </c>
      <c r="Z23" s="331">
        <f t="shared" si="10"/>
        <v>7.9248366013071889</v>
      </c>
      <c r="AA23" s="325" t="str">
        <f t="shared" si="11"/>
        <v>上昇▲</v>
      </c>
      <c r="AB23" s="326">
        <f>IF(OR(C23="",C23="TOPX",終値!E76=""),"",IFERROR(((終値!E76*0.333)+(終値!F76*0.222)+(終値!G76*0.148)+(終値!H76*0.099)+(終値!I76*0.066))/(0.333+0.222+0.148+0.099+0.066),""))</f>
        <v>4919.4055299539159</v>
      </c>
      <c r="AC23" s="326">
        <f>IF(OR(C23="",C23="TOPX",終値!E76=""),"",IFERROR(SUMPRODUCT((終値!E76:AC76),{0.077,0.071,0.065,0.06,0.055,0.051,0.047,0.043,0.039,0.036,0.033,0.031,0.028,0.026,0.024,0.022,0.02,0.018,0.017,0.016,0.014,0.013,0.012,0.011,0.01})/SUM({0.077,0.071,0.065,0.06,0.055,0.051,0.047,0.043,0.039,0.036,0.033,0.031,0.028,0.026,0.024,0.022,0.02,0.018,0.017,0.016,0.014,0.013,0.012,0.011,0.01}),""))</f>
        <v>5218.0858164481524</v>
      </c>
      <c r="AD23" s="325" t="str">
        <f t="shared" si="12"/>
        <v>上昇トレンド▲</v>
      </c>
      <c r="AE23" s="325" t="str">
        <f t="shared" si="13"/>
        <v>なし</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相場上昇・見送り</v>
      </c>
      <c r="AG23">
        <f t="shared" si="14"/>
        <v>0</v>
      </c>
      <c r="AH23">
        <f t="shared" si="15"/>
        <v>0</v>
      </c>
      <c r="AI23" s="373">
        <f t="array" ref="AI23">IF(C23="","",IFERROR((INDEX(終値!$E:$E,MATCH(TEXT(C23,"0"),終値!$A:$A,0))-INDEX(終値!$E:$CZ,MATCH(TEXT(C23,"0"),終値!$A:$A,0),$AN$2))/INDEX(終値!$E:$CZ,MATCH(TEXT(C23,"0"),終値!$A:$A,0),$AN$2)*100,""))</f>
        <v>-14.838376891334251</v>
      </c>
      <c r="AJ23" s="373">
        <f t="array" ref="AJ23">IFERROR((終値!$E$5-INDEX(終値!$E$5:$CZ$5,1,$AN$2))/INDEX(終値!$E$5:$CZ$5,1,$AN$2)*100,"")</f>
        <v>-0.82558151178043282</v>
      </c>
      <c r="AK23" s="374">
        <f t="shared" si="16"/>
        <v>-14.012795379553818</v>
      </c>
      <c r="AL23" s="372">
        <f t="shared" si="17"/>
        <v>3</v>
      </c>
      <c r="AO23" s="376" t="str">
        <f t="shared" si="18"/>
        <v>通常</v>
      </c>
      <c r="AP23" s="377">
        <f t="shared" si="19"/>
        <v>0</v>
      </c>
      <c r="AQ23">
        <f>IF(C23&lt;&gt;"",始値!F76,"")</f>
        <v>4920</v>
      </c>
      <c r="AR23">
        <f>IF(C23&lt;&gt;"",高値!F76,"")</f>
        <v>4930</v>
      </c>
      <c r="AS23">
        <f>IF(C23&lt;&gt;"",安値!F76,"")</f>
        <v>4791</v>
      </c>
      <c r="AT23" t="str">
        <f t="shared" si="20"/>
        <v>長い下ヒゲ(反発)</v>
      </c>
      <c r="AU23">
        <f t="shared" si="21"/>
        <v>-2</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4100</v>
      </c>
      <c r="F24" s="333">
        <f>IF(C24&lt;&gt;"",_xll.RssMarket(C24,"始値"),"")</f>
        <v>3927</v>
      </c>
      <c r="G24" s="212">
        <f>IF(C24&lt;&gt;"",終値!F79,"")</f>
        <v>3765</v>
      </c>
      <c r="H24" s="333">
        <f>IF(C24&lt;&gt;"",_xll.RssMarket(C24,"高値"),"")</f>
        <v>4126</v>
      </c>
      <c r="I24" s="333">
        <f>IF(C24&lt;&gt;"",_xll.RssMarket(C24,"安値"),"")</f>
        <v>3913</v>
      </c>
      <c r="J24" s="333">
        <f>IF(C24&lt;&gt;"",_xll.RssMarket(C24,"出来高"),"")</f>
        <v>2553100</v>
      </c>
      <c r="K24" s="333">
        <f>IF(C24&lt;&gt;"",_xll.RssMarket(C24,"年初来高値"),"")</f>
        <v>5307</v>
      </c>
      <c r="L24" s="334">
        <f t="shared" si="0"/>
        <v>-22.743546259657059</v>
      </c>
      <c r="M24" s="333">
        <f>IF(C24&lt;&gt;"",IFERROR(AVERAGE(出来高!E79:I79),""),"")</f>
        <v>3287060</v>
      </c>
      <c r="N24" s="333">
        <f>IF(C24&lt;&gt;"",IFERROR(AVERAGE(出来高!E79:AC79),""),"")</f>
        <v>3297892</v>
      </c>
      <c r="O24" s="335">
        <f t="shared" si="1"/>
        <v>0.77671232043224037</v>
      </c>
      <c r="P24" s="212" t="str">
        <f t="shared" si="2"/>
        <v>減少↓</v>
      </c>
      <c r="Q24" s="212" t="str">
        <f t="shared" si="3"/>
        <v>様子見▲</v>
      </c>
      <c r="R24" s="333">
        <f t="shared" si="4"/>
        <v>3772</v>
      </c>
      <c r="S24" s="333">
        <f t="shared" si="5"/>
        <v>4264</v>
      </c>
      <c r="T24" s="325">
        <f t="shared" si="6"/>
        <v>6</v>
      </c>
      <c r="U24" s="212" t="str">
        <f t="shared" si="7"/>
        <v>要確認</v>
      </c>
      <c r="V24" s="212" t="str">
        <f t="shared" si="8"/>
        <v>安値圏</v>
      </c>
      <c r="W24" s="336">
        <f t="array" ref="W24">IFERROR(100-100/(1+SUMPRODUCT((終値!F79:R79&gt;終値!G79:S79)*(終値!F79:R79-終値!G79:S79))/SUMPRODUCT((終値!F79:R79&lt;終値!G79:S79)*(終値!G79:S79-終値!F79:R79))),50)</f>
        <v>34.776006074411541</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-101.80795776133436</v>
      </c>
      <c r="Y24" s="212" t="str">
        <f t="shared" si="9"/>
        <v>相場上昇・見送り | 上昇トレンド▲ MACD- RSI:34.8 前日比:+8.9% [安値圏]前日[長い下ヒゲ(反発)] [6点]</v>
      </c>
      <c r="Z24" s="338">
        <f t="shared" si="10"/>
        <v>8.897742363877823</v>
      </c>
      <c r="AA24" s="212" t="str">
        <f t="shared" si="11"/>
        <v>上昇▲</v>
      </c>
      <c r="AB24" s="333">
        <f>IF(OR(C24="",C24="TOPX",終値!E79=""),"",IFERROR(((終値!E79*0.333)+(終値!F79*0.222)+(終値!G79*0.148)+(終値!H79*0.099)+(終値!I79*0.066))/(0.333+0.222+0.148+0.099+0.066),""))</f>
        <v>3740.1324884792621</v>
      </c>
      <c r="AC24" s="333">
        <f>IF(OR(C24="",C24="TOPX",終値!E79=""),"",IFERROR(SUMPRODUCT((終値!E79:AC79),{0.077,0.071,0.065,0.06,0.055,0.051,0.047,0.043,0.039,0.036,0.033,0.031,0.028,0.026,0.024,0.022,0.02,0.018,0.017,0.016,0.014,0.013,0.012,0.011,0.01})/SUM({0.077,0.071,0.065,0.06,0.055,0.051,0.047,0.043,0.039,0.036,0.033,0.031,0.028,0.026,0.024,0.022,0.02,0.018,0.017,0.016,0.014,0.013,0.012,0.011,0.01}),""))</f>
        <v>3948.9630512514877</v>
      </c>
      <c r="AD24" s="212" t="str">
        <f t="shared" si="12"/>
        <v>上昇トレンド▲</v>
      </c>
      <c r="AE24" s="212" t="str">
        <f t="shared" si="13"/>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 t="shared" si="14"/>
        <v>0</v>
      </c>
      <c r="AH24">
        <f t="shared" si="15"/>
        <v>0</v>
      </c>
      <c r="AI24" s="373">
        <f t="array" ref="AI24">IF(C24="","",IFERROR((INDEX(終値!$E:$E,MATCH(TEXT(C24,"0"),終値!$A:$A,0))-INDEX(終値!$E:$CZ,MATCH(TEXT(C24,"0"),終値!$A:$A,0),$AN$2))/INDEX(終値!$E:$CZ,MATCH(TEXT(C24,"0"),終値!$A:$A,0),$AN$2)*100,""))</f>
        <v>-19.36700901278558</v>
      </c>
      <c r="AJ24" s="373">
        <f t="array" ref="AJ24">IFERROR((終値!$E$5-INDEX(終値!$E$5:$CZ$5,1,$AN$2))/INDEX(終値!$E$5:$CZ$5,1,$AN$2)*100,"")</f>
        <v>-0.82558151178043282</v>
      </c>
      <c r="AK24" s="374">
        <f t="shared" si="16"/>
        <v>-18.541427501005145</v>
      </c>
      <c r="AL24" s="372">
        <f t="shared" si="17"/>
        <v>3</v>
      </c>
      <c r="AO24" s="376" t="str">
        <f t="shared" si="18"/>
        <v>通常</v>
      </c>
      <c r="AP24" s="377">
        <f t="shared" si="19"/>
        <v>0</v>
      </c>
      <c r="AQ24">
        <f>IF(C24&lt;&gt;"",始値!F79,"")</f>
        <v>3715</v>
      </c>
      <c r="AR24">
        <f>IF(C24&lt;&gt;"",高値!F79,"")</f>
        <v>3776</v>
      </c>
      <c r="AS24">
        <f>IF(C24&lt;&gt;"",安値!F79,"")</f>
        <v>3620</v>
      </c>
      <c r="AT24" t="str">
        <f t="shared" si="20"/>
        <v>長い下ヒゲ(反発)</v>
      </c>
      <c r="AU24">
        <f t="shared" si="21"/>
        <v>-2</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8426</v>
      </c>
      <c r="F25" s="326">
        <f>IF(C25&lt;&gt;"",_xll.RssMarket(C25,"始値"),"")</f>
        <v>8131</v>
      </c>
      <c r="G25" s="325">
        <f>IF(C25&lt;&gt;"",終値!F92,"")</f>
        <v>7445</v>
      </c>
      <c r="H25" s="326">
        <f>IF(C25&lt;&gt;"",_xll.RssMarket(C25,"高値"),"")</f>
        <v>8470</v>
      </c>
      <c r="I25" s="326">
        <f>IF(C25&lt;&gt;"",_xll.RssMarket(C25,"安値"),"")</f>
        <v>7933</v>
      </c>
      <c r="J25" s="326">
        <f>IF(C25&lt;&gt;"",_xll.RssMarket(C25,"出来高"),"")</f>
        <v>1317600</v>
      </c>
      <c r="K25" s="326">
        <f>IF(C25&lt;&gt;"",_xll.RssMarket(C25,"年初来高値"),"")</f>
        <v>8943</v>
      </c>
      <c r="L25" s="327">
        <f t="shared" si="0"/>
        <v>-5.7810578105781056</v>
      </c>
      <c r="M25" s="326">
        <f>IF(C25&lt;&gt;"",IFERROR(AVERAGE(出来高!E92:I92),""),"")</f>
        <v>1733000</v>
      </c>
      <c r="N25" s="326">
        <f>IF(C25&lt;&gt;"",IFERROR(AVERAGE(出来高!E92:AC92),""),"")</f>
        <v>972776</v>
      </c>
      <c r="O25" s="328">
        <f t="shared" si="1"/>
        <v>0.76030005770340447</v>
      </c>
      <c r="P25" s="325" t="str">
        <f t="shared" si="2"/>
        <v>減少↓</v>
      </c>
      <c r="Q25" s="325" t="str">
        <f t="shared" si="3"/>
        <v>様子見▲</v>
      </c>
      <c r="R25" s="326">
        <f t="shared" si="4"/>
        <v>7752</v>
      </c>
      <c r="S25" s="326">
        <f t="shared" si="5"/>
        <v>8763</v>
      </c>
      <c r="T25" s="325">
        <f t="shared" si="6"/>
        <v>1</v>
      </c>
      <c r="U25" s="325" t="str">
        <f t="shared" si="7"/>
        <v>除外</v>
      </c>
      <c r="V25" s="325" t="str">
        <f t="shared" si="8"/>
        <v>通常</v>
      </c>
      <c r="W25" s="329">
        <f t="array" ref="W25">IFERROR(100-100/(1+SUMPRODUCT((終値!F92:R92&gt;終値!G92:S92)*(終値!F92:R92-終値!G92:S92))/SUMPRODUCT((終値!F92:R92&lt;終値!G92:S92)*(終値!G92:S92-終値!F92:R92))),50)</f>
        <v>44.970565651394935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-108.80626614498578</v>
      </c>
      <c r="Y25" s="325" t="str">
        <f t="shared" si="9"/>
        <v>相場上昇・見送り | 上昇トレンド▲ MACD- RSI:45.0 前日比:+13.2% [1点]</v>
      </c>
      <c r="Z25" s="331">
        <f t="shared" si="10"/>
        <v>13.176628609805238</v>
      </c>
      <c r="AA25" s="325" t="str">
        <f t="shared" si="11"/>
        <v>上昇▲</v>
      </c>
      <c r="AB25" s="326">
        <f>IF(OR(C25="",C25="TOPX",終値!E92=""),"",IFERROR(((終値!E92*0.333)+(終値!F92*0.222)+(終値!G92*0.148)+(終値!H92*0.099)+(終値!I92*0.066))/(0.333+0.222+0.148+0.099+0.066),""))</f>
        <v>7516.0069124423944</v>
      </c>
      <c r="AC25" s="326">
        <f>IF(OR(C25="",C25="TOPX",終値!E92=""),"",IFERROR(SUMPRODUCT((終値!E92:AC92),{0.077,0.071,0.065,0.06,0.055,0.051,0.047,0.043,0.039,0.036,0.033,0.031,0.028,0.026,0.024,0.022,0.02,0.018,0.017,0.016,0.014,0.013,0.012,0.011,0.01})/SUM({0.077,0.071,0.065,0.06,0.055,0.051,0.047,0.043,0.039,0.036,0.033,0.031,0.028,0.026,0.024,0.022,0.02,0.018,0.017,0.016,0.014,0.013,0.012,0.011,0.01}),""))</f>
        <v>7516.5852205005922</v>
      </c>
      <c r="AD25" s="325" t="str">
        <f t="shared" si="12"/>
        <v>上昇トレンド▲</v>
      </c>
      <c r="AE25" s="325" t="str">
        <f t="shared" si="13"/>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 t="shared" si="14"/>
        <v>0</v>
      </c>
      <c r="AH25">
        <f t="shared" si="15"/>
        <v>0</v>
      </c>
      <c r="AI25" s="373">
        <f t="array" ref="AI25">IF(C25="","",IFERROR((INDEX(終値!$E:$E,MATCH(TEXT(C25,"0"),終値!$A:$A,0))-INDEX(終値!$E:$CZ,MATCH(TEXT(C25,"0"),終値!$A:$A,0),$AN$2))/INDEX(終値!$E:$CZ,MATCH(TEXT(C25,"0"),終値!$A:$A,0),$AN$2)*100,""))</f>
        <v>1.7747781527309086</v>
      </c>
      <c r="AJ25" s="373">
        <f t="array" ref="AJ25">IFERROR((終値!$E$5-INDEX(終値!$E$5:$CZ$5,1,$AN$2))/INDEX(終値!$E$5:$CZ$5,1,$AN$2)*100,"")</f>
        <v>-0.82558151178043282</v>
      </c>
      <c r="AK25" s="374">
        <f t="shared" si="16"/>
        <v>2.6003596645113412</v>
      </c>
      <c r="AL25" s="372">
        <f t="shared" si="17"/>
        <v>-1</v>
      </c>
      <c r="AO25" s="376" t="str">
        <f t="shared" si="18"/>
        <v>通常</v>
      </c>
      <c r="AP25" s="377">
        <f t="shared" si="19"/>
        <v>0</v>
      </c>
      <c r="AQ25">
        <f>IF(C25&lt;&gt;"",始値!F92,"")</f>
        <v>7184</v>
      </c>
      <c r="AR25">
        <f>IF(C25&lt;&gt;"",高値!F92,"")</f>
        <v>7650</v>
      </c>
      <c r="AS25">
        <f>IF(C25&lt;&gt;"",安値!F92,"")</f>
        <v>7056</v>
      </c>
      <c r="AT25" t="str">
        <f t="shared" si="20"/>
        <v>通常</v>
      </c>
      <c r="AU25">
        <f t="shared" si="21"/>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2568</v>
      </c>
      <c r="F26" s="333">
        <f>IF(C26&lt;&gt;"",_xll.RssMarket(C26,"始値"),"")</f>
        <v>2497</v>
      </c>
      <c r="G26" s="212">
        <f>IF(C26&lt;&gt;"",終値!F123,"")</f>
        <v>2492.5</v>
      </c>
      <c r="H26" s="333">
        <f>IF(C26&lt;&gt;"",_xll.RssMarket(C26,"高値"),"")</f>
        <v>2568</v>
      </c>
      <c r="I26" s="333">
        <f>IF(C26&lt;&gt;"",_xll.RssMarket(C26,"安値"),"")</f>
        <v>2482</v>
      </c>
      <c r="J26" s="333">
        <f>IF(C26&lt;&gt;"",_xll.RssMarket(C26,"出来高"),"")</f>
        <v>789600</v>
      </c>
      <c r="K26" s="333">
        <f>IF(C26&lt;&gt;"",_xll.RssMarket(C26,"年初来高値"),"")</f>
        <v>2699.5</v>
      </c>
      <c r="L26" s="334">
        <f t="shared" si="0"/>
        <v>-4.8712724578625677</v>
      </c>
      <c r="M26" s="333">
        <f>IF(C26&lt;&gt;"",IFERROR(AVERAGE(出来高!E123:I123),""),"")</f>
        <v>1800380</v>
      </c>
      <c r="N26" s="333">
        <f>IF(C26&lt;&gt;"",IFERROR(AVERAGE(出来高!E123:AC123),""),"")</f>
        <v>1432948</v>
      </c>
      <c r="O26" s="335">
        <f t="shared" si="1"/>
        <v>0.43857407880558547</v>
      </c>
      <c r="P26" s="212" t="str">
        <f t="shared" si="2"/>
        <v>減少↓</v>
      </c>
      <c r="Q26" s="212" t="str">
        <f t="shared" si="3"/>
        <v>様子見▲</v>
      </c>
      <c r="R26" s="333">
        <f t="shared" si="4"/>
        <v>2363</v>
      </c>
      <c r="S26" s="333">
        <f t="shared" si="5"/>
        <v>2671</v>
      </c>
      <c r="T26" s="325">
        <f t="shared" si="6"/>
        <v>-2</v>
      </c>
      <c r="U26" s="212" t="str">
        <f t="shared" si="7"/>
        <v>除外</v>
      </c>
      <c r="V26" s="212" t="str">
        <f t="shared" si="8"/>
        <v>通常</v>
      </c>
      <c r="W26" s="336">
        <f t="array" ref="W26">IFERROR(100-100/(1+SUMPRODUCT((終値!F123:R123&gt;終値!G123:S123)*(終値!F123:R123-終値!G123:S123))/SUMPRODUCT((終値!F123:R123&lt;終値!G123:S123)*(終値!G123:S123-終値!F123:R123))),50)</f>
        <v>45.051194539249146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-2.8634626789626054</v>
      </c>
      <c r="Y26" s="212" t="str">
        <f t="shared" si="9"/>
        <v>相場上昇・見送り | 上昇トレンド▲ MACD- RSI:45.1 前日比:+3.0%前日[長い下ヒゲ(反発)] [-2点]</v>
      </c>
      <c r="Z26" s="338">
        <f t="shared" si="10"/>
        <v>3.0290872617853561</v>
      </c>
      <c r="AA26" s="212" t="str">
        <f t="shared" si="11"/>
        <v>上昇▲</v>
      </c>
      <c r="AB26" s="333">
        <f>IF(OR(C26="",C26="TOPX",終値!E123=""),"",IFERROR(((終値!E123*0.333)+(終値!F123*0.222)+(終値!G123*0.148)+(終値!H123*0.099)+(終値!I123*0.066))/(0.333+0.222+0.148+0.099+0.066),""))</f>
        <v>2496.7828341013824</v>
      </c>
      <c r="AC26" s="333">
        <f>IF(OR(C26="",C26="TOPX",終値!E123=""),"",IFERROR(SUMPRODUCT((終値!E123:AC123),{0.077,0.071,0.065,0.06,0.055,0.051,0.047,0.043,0.039,0.036,0.033,0.031,0.028,0.026,0.024,0.022,0.02,0.018,0.017,0.016,0.014,0.013,0.012,0.011,0.01})/SUM({0.077,0.071,0.065,0.06,0.055,0.051,0.047,0.043,0.039,0.036,0.033,0.031,0.028,0.026,0.024,0.022,0.02,0.018,0.017,0.016,0.014,0.013,0.012,0.011,0.01}),""))</f>
        <v>2553.29201430274</v>
      </c>
      <c r="AD26" s="212" t="str">
        <f t="shared" si="12"/>
        <v>上昇トレンド▲</v>
      </c>
      <c r="AE26" s="212" t="str">
        <f t="shared" si="13"/>
        <v>なし</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相場上昇・見送り</v>
      </c>
      <c r="AG26">
        <f t="shared" si="14"/>
        <v>0</v>
      </c>
      <c r="AH26">
        <f t="shared" si="15"/>
        <v>0</v>
      </c>
      <c r="AI26" s="373">
        <f t="array" ref="AI26">IF(C26="","",IFERROR((INDEX(終値!$E:$E,MATCH(TEXT(C26,"0"),終値!$A:$A,0))-INDEX(終値!$E:$CZ,MATCH(TEXT(C26,"0"),終値!$A:$A,0),$AN$2))/INDEX(終値!$E:$CZ,MATCH(TEXT(C26,"0"),終値!$A:$A,0),$AN$2)*100,""))</f>
        <v>4.1867280720117233</v>
      </c>
      <c r="AJ26" s="373">
        <f t="array" ref="AJ26">IFERROR((終値!$E$5-INDEX(終値!$E$5:$CZ$5,1,$AN$2))/INDEX(終値!$E$5:$CZ$5,1,$AN$2)*100,"")</f>
        <v>-0.82558151178043282</v>
      </c>
      <c r="AK26" s="374">
        <f t="shared" si="16"/>
        <v>5.0123095837921561</v>
      </c>
      <c r="AL26" s="372">
        <f t="shared" si="17"/>
        <v>-2</v>
      </c>
      <c r="AO26" s="376" t="str">
        <f t="shared" si="18"/>
        <v>通常</v>
      </c>
      <c r="AP26" s="377">
        <f t="shared" si="19"/>
        <v>0</v>
      </c>
      <c r="AQ26">
        <f>IF(C26&lt;&gt;"",始値!F123,"")</f>
        <v>2508</v>
      </c>
      <c r="AR26">
        <f>IF(C26&lt;&gt;"",高値!F123,"")</f>
        <v>2530.5</v>
      </c>
      <c r="AS26">
        <f>IF(C26&lt;&gt;"",安値!F123,"")</f>
        <v>2397.5</v>
      </c>
      <c r="AT26" t="str">
        <f t="shared" si="20"/>
        <v>長い下ヒゲ(反発)</v>
      </c>
      <c r="AU26">
        <f t="shared" si="21"/>
        <v>-2</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3380</v>
      </c>
      <c r="F27" s="326">
        <f>IF(C27&lt;&gt;"",_xll.RssMarket(C27,"始値"),"")</f>
        <v>3415</v>
      </c>
      <c r="G27" s="325">
        <f>IF(C27&lt;&gt;"",終値!F133,"")</f>
        <v>2939</v>
      </c>
      <c r="H27" s="326">
        <f>IF(C27&lt;&gt;"",_xll.RssMarket(C27,"高値"),"")</f>
        <v>3500</v>
      </c>
      <c r="I27" s="326">
        <f>IF(C27&lt;&gt;"",_xll.RssMarket(C27,"安値"),"")</f>
        <v>3215</v>
      </c>
      <c r="J27" s="326">
        <f>IF(C27&lt;&gt;"",_xll.RssMarket(C27,"出来高"),"")</f>
        <v>745700</v>
      </c>
      <c r="K27" s="326">
        <f>IF(C27&lt;&gt;"",_xll.RssMarket(C27,"年初来高値"),"")</f>
        <v>9480</v>
      </c>
      <c r="L27" s="327">
        <f t="shared" si="0"/>
        <v>-64.345991561181435</v>
      </c>
      <c r="M27" s="326">
        <f>IF(C27&lt;&gt;"",IFERROR(AVERAGE(出来高!E133:I133),""),"")</f>
        <v>820840</v>
      </c>
      <c r="N27" s="326">
        <f>IF(C27&lt;&gt;"",IFERROR(AVERAGE(出来高!E133:AC133),""),"")</f>
        <v>873970.83333333337</v>
      </c>
      <c r="O27" s="328">
        <f t="shared" si="1"/>
        <v>0.90845962672384384</v>
      </c>
      <c r="P27" s="325" t="str">
        <f t="shared" si="2"/>
        <v>減少↓</v>
      </c>
      <c r="Q27" s="325" t="str">
        <f t="shared" si="3"/>
        <v>様子見▲</v>
      </c>
      <c r="R27" s="326">
        <f t="shared" si="4"/>
        <v>3110</v>
      </c>
      <c r="S27" s="326">
        <f t="shared" si="5"/>
        <v>3515</v>
      </c>
      <c r="T27" s="325">
        <f t="shared" si="6"/>
        <v>11</v>
      </c>
      <c r="U27" s="325" t="str">
        <f t="shared" si="7"/>
        <v>要確認</v>
      </c>
      <c r="V27" s="325" t="str">
        <f t="shared" si="8"/>
        <v>年初来安値圏●</v>
      </c>
      <c r="W27" s="329">
        <f t="array" ref="W27">IFERROR(100-100/(1+SUMPRODUCT((終値!F133:R133&gt;終値!G133:S133)*(終値!F133:R133-終値!G133:S133))/SUMPRODUCT((終値!F133:R133&lt;終値!G133:S133)*(終値!G133:S133-終値!F133:R133))),50)</f>
        <v>38.805828016379394</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-477.24323452966883</v>
      </c>
      <c r="Y27" s="325" t="str">
        <f t="shared" si="9"/>
        <v>相場上昇・見送り | もみ合い→ MACD- RSI:38.8 前日比:+15.0% [年初来安値圏] [11点]</v>
      </c>
      <c r="Z27" s="331">
        <f t="shared" si="10"/>
        <v>15.005103776794829</v>
      </c>
      <c r="AA27" s="325" t="str">
        <f t="shared" si="11"/>
        <v>上昇▲</v>
      </c>
      <c r="AB27" s="326">
        <f>IF(OR(C27="",C27="TOPX",終値!E133=""),"",IFERROR(((終値!E133*0.333)+(終値!F133*0.222)+(終値!G133*0.148)+(終値!H133*0.099)+(終値!I133*0.066))/(0.333+0.222+0.148+0.099+0.066),""))</f>
        <v>2963.967741935483</v>
      </c>
      <c r="AC27" s="326">
        <f>IF(OR(C27="",C27="TOPX",終値!E133=""),"",IFERROR(SUMPRODUCT((終値!E133:AC133),{0.077,0.071,0.065,0.06,0.055,0.051,0.047,0.043,0.039,0.036,0.033,0.031,0.028,0.026,0.024,0.022,0.02,0.018,0.017,0.016,0.014,0.013,0.012,0.011,0.01})/SUM({0.077,0.071,0.065,0.06,0.055,0.051,0.047,0.043,0.039,0.036,0.033,0.031,0.028,0.026,0.024,0.022,0.02,0.018,0.017,0.016,0.014,0.013,0.012,0.011,0.01}),""))</f>
        <v>3866.8653158522038</v>
      </c>
      <c r="AD27" s="325" t="str">
        <f t="shared" si="12"/>
        <v>もみ合い→</v>
      </c>
      <c r="AE27" s="325" t="str">
        <f t="shared" si="13"/>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 t="shared" si="14"/>
        <v>11</v>
      </c>
      <c r="AH27">
        <f t="shared" si="15"/>
        <v>109973</v>
      </c>
      <c r="AI27" s="373">
        <f t="array" ref="AI27">IF(C27="","",IFERROR((INDEX(終値!$E:$E,MATCH(TEXT(C27,"0"),終値!$A:$A,0))-INDEX(終値!$E:$CZ,MATCH(TEXT(C27,"0"),終値!$A:$A,0),$AN$2))/INDEX(終値!$E:$CZ,MATCH(TEXT(C27,"0"),終値!$A:$A,0),$AN$2)*100,""))</f>
        <v>-54.565217391304344</v>
      </c>
      <c r="AJ27" s="373">
        <f t="array" ref="AJ27">IFERROR((終値!$E$5-INDEX(終値!$E$5:$CZ$5,1,$AN$2))/INDEX(終値!$E$5:$CZ$5,1,$AN$2)*100,"")</f>
        <v>-0.82558151178043282</v>
      </c>
      <c r="AK27" s="374">
        <f t="shared" si="16"/>
        <v>-53.73963587952391</v>
      </c>
      <c r="AL27" s="372">
        <f t="shared" si="17"/>
        <v>3</v>
      </c>
      <c r="AO27" s="376" t="str">
        <f t="shared" si="18"/>
        <v>通常</v>
      </c>
      <c r="AP27" s="377">
        <f t="shared" si="19"/>
        <v>0</v>
      </c>
      <c r="AQ27">
        <f>IF(C27&lt;&gt;"",始値!F133,"")</f>
        <v>2800</v>
      </c>
      <c r="AR27">
        <f>IF(C27&lt;&gt;"",高値!F133,"")</f>
        <v>3000</v>
      </c>
      <c r="AS27">
        <f>IF(C27&lt;&gt;"",安値!F133,"")</f>
        <v>2660</v>
      </c>
      <c r="AT27" t="str">
        <f t="shared" si="20"/>
        <v>通常</v>
      </c>
      <c r="AU27">
        <f t="shared" si="21"/>
        <v>0</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1832</v>
      </c>
      <c r="F28" s="333">
        <f>IF(C28&lt;&gt;"",_xll.RssMarket(C28,"始値"),"")</f>
        <v>1750</v>
      </c>
      <c r="G28" s="212">
        <f>IF(C28&lt;&gt;"",終値!F135,"")</f>
        <v>2939</v>
      </c>
      <c r="H28" s="333">
        <f>IF(C28&lt;&gt;"",_xll.RssMarket(C28,"高値"),"")</f>
        <v>1840</v>
      </c>
      <c r="I28" s="333">
        <f>IF(C28&lt;&gt;"",_xll.RssMarket(C28,"安値"),"")</f>
        <v>1731</v>
      </c>
      <c r="J28" s="333">
        <f>IF(C28&lt;&gt;"",_xll.RssMarket(C28,"出来高"),"")</f>
        <v>529000</v>
      </c>
      <c r="K28" s="333">
        <f>IF(C28&lt;&gt;"",_xll.RssMarket(C28,"年初来高値"),"")</f>
        <v>4130</v>
      </c>
      <c r="L28" s="334">
        <f t="shared" si="0"/>
        <v>-55.641646489104112</v>
      </c>
      <c r="M28" s="333">
        <f>IF(C28&lt;&gt;"",IFERROR(AVERAGE(出来高!E135:I135),""),"")</f>
        <v>820840</v>
      </c>
      <c r="N28" s="333">
        <f>IF(C28&lt;&gt;"",IFERROR(AVERAGE(出来高!E135:AC135),""),"")</f>
        <v>858240</v>
      </c>
      <c r="O28" s="335">
        <f t="shared" si="1"/>
        <v>0.64446177086886602</v>
      </c>
      <c r="P28" s="212" t="str">
        <f t="shared" si="2"/>
        <v>減少↓</v>
      </c>
      <c r="Q28" s="212" t="str">
        <f t="shared" si="3"/>
        <v>中立→</v>
      </c>
      <c r="R28" s="333">
        <f t="shared" si="4"/>
        <v>1685</v>
      </c>
      <c r="S28" s="333">
        <f t="shared" si="5"/>
        <v>1905</v>
      </c>
      <c r="T28" s="325">
        <f t="shared" si="6"/>
        <v>14</v>
      </c>
      <c r="U28" s="212" t="str">
        <f t="shared" si="7"/>
        <v>要確認</v>
      </c>
      <c r="V28" s="212" t="str">
        <f t="shared" si="8"/>
        <v>年初来安値圏●</v>
      </c>
      <c r="W28" s="336">
        <f t="array" ref="W28">IFERROR(100-100/(1+SUMPRODUCT((終値!F135:R135&gt;終値!G135:S135)*(終値!F135:R135-終値!G135:S135))/SUMPRODUCT((終値!F135:R135&lt;終値!G135:S135)*(終値!G135:S135-終値!F135:R135))),50)</f>
        <v>33.219129193433261</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-465.37370790362729</v>
      </c>
      <c r="Y28" s="212" t="str">
        <f t="shared" si="9"/>
        <v>相場上昇・見送り | 下降トレンド▼ MACD- RSI:33.2 前日比:-37.7% [年初来安値圏] [14点]</v>
      </c>
      <c r="Z28" s="338">
        <f t="shared" si="10"/>
        <v>-37.665872745831912</v>
      </c>
      <c r="AA28" s="212" t="str">
        <f t="shared" si="11"/>
        <v>下落▼</v>
      </c>
      <c r="AB28" s="333">
        <f>IF(OR(C28="",C28="TOPX",終値!E135=""),"",IFERROR(((終値!E135*0.333)+(終値!F135*0.222)+(終値!G135*0.148)+(終値!H135*0.099)+(終値!I135*0.066))/(0.333+0.222+0.148+0.099+0.066),""))</f>
        <v>2963.967741935483</v>
      </c>
      <c r="AC28" s="333">
        <f>IF(OR(C28="",C28="TOPX",終値!E135=""),"",IFERROR(SUMPRODUCT((終値!E135:AC135),{0.077,0.071,0.065,0.06,0.055,0.051,0.047,0.043,0.039,0.036,0.033,0.031,0.028,0.026,0.024,0.022,0.02,0.018,0.017,0.016,0.014,0.013,0.012,0.011,0.01})/SUM({0.077,0.071,0.065,0.06,0.055,0.051,0.047,0.043,0.039,0.036,0.033,0.031,0.028,0.026,0.024,0.022,0.02,0.018,0.017,0.016,0.014,0.013,0.012,0.011,0.01}),""))</f>
        <v>3956.4529201430259</v>
      </c>
      <c r="AD28" s="212" t="str">
        <f t="shared" si="12"/>
        <v>下降トレンド▼</v>
      </c>
      <c r="AE28" s="212" t="str">
        <f t="shared" si="13"/>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 t="shared" si="14"/>
        <v>14</v>
      </c>
      <c r="AH28">
        <f t="shared" si="15"/>
        <v>139972</v>
      </c>
      <c r="AI28" s="373">
        <f t="array" ref="AI28">IF(C28="","",IFERROR((INDEX(終値!$E:$E,MATCH(TEXT(C28,"0"),終値!$A:$A,0))-INDEX(終値!$E:$CZ,MATCH(TEXT(C28,"0"),終値!$A:$A,0),$AN$2))/INDEX(終値!$E:$CZ,MATCH(TEXT(C28,"0"),終値!$A:$A,0),$AN$2)*100,""))</f>
        <v>-54.565217391304344</v>
      </c>
      <c r="AJ28" s="373">
        <f t="array" ref="AJ28">IFERROR((終値!$E$5-INDEX(終値!$E$5:$CZ$5,1,$AN$2))/INDEX(終値!$E$5:$CZ$5,1,$AN$2)*100,"")</f>
        <v>-0.82558151178043282</v>
      </c>
      <c r="AK28" s="374">
        <f t="shared" si="16"/>
        <v>-53.73963587952391</v>
      </c>
      <c r="AL28" s="372">
        <f t="shared" si="17"/>
        <v>3</v>
      </c>
      <c r="AO28" s="376" t="str">
        <f t="shared" si="18"/>
        <v>通常</v>
      </c>
      <c r="AP28" s="377">
        <f t="shared" si="19"/>
        <v>0</v>
      </c>
      <c r="AQ28">
        <f>IF(C28&lt;&gt;"",始値!F135,"")</f>
        <v>2800</v>
      </c>
      <c r="AR28">
        <f>IF(C28&lt;&gt;"",高値!F135,"")</f>
        <v>3000</v>
      </c>
      <c r="AS28">
        <f>IF(C28&lt;&gt;"",安値!F135,"")</f>
        <v>2660</v>
      </c>
      <c r="AT28" t="str">
        <f t="shared" si="20"/>
        <v>通常</v>
      </c>
      <c r="AU28">
        <f t="shared" si="21"/>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6080</v>
      </c>
      <c r="F29" s="326">
        <f>IF(C29&lt;&gt;"",_xll.RssMarket(C29,"始値"),"")</f>
        <v>5990</v>
      </c>
      <c r="G29" s="325">
        <f>IF(C29&lt;&gt;"",終値!F151,"")</f>
        <v>5500</v>
      </c>
      <c r="H29" s="326">
        <f>IF(C29&lt;&gt;"",_xll.RssMarket(C29,"高値"),"")</f>
        <v>6190</v>
      </c>
      <c r="I29" s="326">
        <f>IF(C29&lt;&gt;"",_xll.RssMarket(C29,"安値"),"")</f>
        <v>5920</v>
      </c>
      <c r="J29" s="326">
        <f>IF(C29&lt;&gt;"",_xll.RssMarket(C29,"出来高"),"")</f>
        <v>164700</v>
      </c>
      <c r="K29" s="326">
        <f>IF(C29&lt;&gt;"",_xll.RssMarket(C29,"年初来高値"),"")</f>
        <v>7880</v>
      </c>
      <c r="L29" s="327">
        <f t="shared" si="0"/>
        <v>-22.842639593908629</v>
      </c>
      <c r="M29" s="326">
        <f>IF(C29&lt;&gt;"",IFERROR(AVERAGE(出来高!E151:I151),""),"")</f>
        <v>387100</v>
      </c>
      <c r="N29" s="326">
        <f>IF(C29&lt;&gt;"",IFERROR(AVERAGE(出来高!E151:AC151),""),"")</f>
        <v>187437.5</v>
      </c>
      <c r="O29" s="328">
        <f t="shared" si="1"/>
        <v>0.42547145440454665</v>
      </c>
      <c r="P29" s="325" t="str">
        <f t="shared" si="2"/>
        <v>減少↓</v>
      </c>
      <c r="Q29" s="325" t="str">
        <f t="shared" si="3"/>
        <v>様子見▲</v>
      </c>
      <c r="R29" s="326">
        <f t="shared" si="4"/>
        <v>5594</v>
      </c>
      <c r="S29" s="326">
        <f t="shared" si="5"/>
        <v>6323</v>
      </c>
      <c r="T29" s="325">
        <f t="shared" si="6"/>
        <v>4</v>
      </c>
      <c r="U29" s="325" t="str">
        <f t="shared" si="7"/>
        <v>要確認</v>
      </c>
      <c r="V29" s="325" t="str">
        <f t="shared" si="8"/>
        <v>通常</v>
      </c>
      <c r="W29" s="329">
        <f t="array" ref="W29">IFERROR(100-100/(1+SUMPRODUCT((終値!F151:R151&gt;終値!G151:S151)*(終値!F151:R151-終値!G151:S151))/SUMPRODUCT((終値!F151:R151&lt;終値!G151:S151)*(終値!G151:S151-終値!F151:R151))),50)</f>
        <v>48.363095238095241</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-134.74755113656283</v>
      </c>
      <c r="Y29" s="325" t="str">
        <f t="shared" si="9"/>
        <v>相場上昇・見送り | パーフェクト▲ MACD- RSI:48.4 前日比:+10.5%前日[長い下ヒゲ(反発)] [4点]</v>
      </c>
      <c r="Z29" s="331">
        <f t="shared" si="10"/>
        <v>10.545454545454545</v>
      </c>
      <c r="AA29" s="325" t="str">
        <f t="shared" si="11"/>
        <v>上昇▲</v>
      </c>
      <c r="AB29" s="326">
        <f>IF(OR(C29="",C29="TOPX",終値!E151=""),"",IFERROR(((終値!E151*0.333)+(終値!F151*0.222)+(終値!G151*0.148)+(終値!H151*0.099)+(終値!I151*0.066))/(0.333+0.222+0.148+0.099+0.066),""))</f>
        <v>5500.1036866359445</v>
      </c>
      <c r="AC29" s="326">
        <f>IF(OR(C29="",C29="TOPX",終値!E151=""),"",IFERROR(SUMPRODUCT((終値!E151:AC151),{0.077,0.071,0.065,0.06,0.055,0.051,0.047,0.043,0.039,0.036,0.033,0.031,0.028,0.026,0.024,0.022,0.02,0.018,0.017,0.016,0.014,0.013,0.012,0.011,0.01})/SUM({0.077,0.071,0.065,0.06,0.055,0.051,0.047,0.043,0.039,0.036,0.033,0.031,0.028,0.026,0.024,0.022,0.02,0.018,0.017,0.016,0.014,0.013,0.012,0.011,0.01}),""))</f>
        <v>5401.8593563766381</v>
      </c>
      <c r="AD29" s="325" t="str">
        <f t="shared" si="12"/>
        <v>パーフェクト▲</v>
      </c>
      <c r="AE29" s="325" t="str">
        <f t="shared" si="13"/>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 t="shared" si="14"/>
        <v>0</v>
      </c>
      <c r="AH29">
        <f t="shared" si="15"/>
        <v>0</v>
      </c>
      <c r="AI29" s="373">
        <f t="array" ref="AI29">IF(C29="","",IFERROR((INDEX(終値!$E:$E,MATCH(TEXT(C29,"0"),終値!$A:$A,0))-INDEX(終値!$E:$CZ,MATCH(TEXT(C29,"0"),終値!$A:$A,0),$AN$2))/INDEX(終値!$E:$CZ,MATCH(TEXT(C29,"0"),終値!$A:$A,0),$AN$2)*100,""))</f>
        <v>-14.545454545454545</v>
      </c>
      <c r="AJ29" s="373">
        <f t="array" ref="AJ29">IFERROR((終値!$E$5-INDEX(終値!$E$5:$CZ$5,1,$AN$2))/INDEX(終値!$E$5:$CZ$5,1,$AN$2)*100,"")</f>
        <v>-0.82558151178043282</v>
      </c>
      <c r="AK29" s="374">
        <f t="shared" si="16"/>
        <v>-13.719873033674112</v>
      </c>
      <c r="AL29" s="372">
        <f t="shared" si="17"/>
        <v>3</v>
      </c>
      <c r="AO29" s="376" t="str">
        <f t="shared" si="18"/>
        <v>通常</v>
      </c>
      <c r="AP29" s="377">
        <f t="shared" si="19"/>
        <v>0</v>
      </c>
      <c r="AQ29">
        <f>IF(C29&lt;&gt;"",始値!F151,"")</f>
        <v>5420</v>
      </c>
      <c r="AR29">
        <f>IF(C29&lt;&gt;"",高値!F151,"")</f>
        <v>5530</v>
      </c>
      <c r="AS29">
        <f>IF(C29&lt;&gt;"",安値!F151,"")</f>
        <v>5210</v>
      </c>
      <c r="AT29" t="str">
        <f t="shared" si="20"/>
        <v>長い下ヒゲ(反発)</v>
      </c>
      <c r="AU29">
        <f t="shared" si="21"/>
        <v>-2</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7873</v>
      </c>
      <c r="F30" s="333">
        <f>IF(C30&lt;&gt;"",_xll.RssMarket(C30,"始値"),"")</f>
        <v>7351</v>
      </c>
      <c r="G30" s="212">
        <f>IF(C30&lt;&gt;"",終値!F154,"")</f>
        <v>7161</v>
      </c>
      <c r="H30" s="333">
        <f>IF(C30&lt;&gt;"",_xll.RssMarket(C30,"高値"),"")</f>
        <v>7907</v>
      </c>
      <c r="I30" s="333">
        <f>IF(C30&lt;&gt;"",_xll.RssMarket(C30,"安値"),"")</f>
        <v>7305</v>
      </c>
      <c r="J30" s="333">
        <f>IF(C30&lt;&gt;"",_xll.RssMarket(C30,"出来高"),"")</f>
        <v>30347200</v>
      </c>
      <c r="K30" s="333">
        <f>IF(C30&lt;&gt;"",_xll.RssMarket(C30,"年初来高値"),"")</f>
        <v>12895</v>
      </c>
      <c r="L30" s="334">
        <f t="shared" si="0"/>
        <v>-38.945327646374558</v>
      </c>
      <c r="M30" s="333">
        <f>IF(C30&lt;&gt;"",IFERROR(AVERAGE(出来高!E154:I154),""),"")</f>
        <v>32479740</v>
      </c>
      <c r="N30" s="333">
        <f>IF(C30&lt;&gt;"",IFERROR(AVERAGE(出来高!E154:AC154),""),"")</f>
        <v>30476208</v>
      </c>
      <c r="O30" s="335">
        <f t="shared" si="1"/>
        <v>0.93434245471176802</v>
      </c>
      <c r="P30" s="212" t="str">
        <f t="shared" si="2"/>
        <v>減少↓</v>
      </c>
      <c r="Q30" s="212" t="str">
        <f t="shared" si="3"/>
        <v>様子見▲</v>
      </c>
      <c r="R30" s="333">
        <f t="shared" si="4"/>
        <v>7243</v>
      </c>
      <c r="S30" s="333">
        <f t="shared" si="5"/>
        <v>8188</v>
      </c>
      <c r="T30" s="325">
        <f t="shared" si="6"/>
        <v>11</v>
      </c>
      <c r="U30" s="212" t="str">
        <f t="shared" si="7"/>
        <v>要確認</v>
      </c>
      <c r="V30" s="212" t="str">
        <f t="shared" si="8"/>
        <v>年初来安値圏●</v>
      </c>
      <c r="W30" s="336">
        <f t="array" ref="W30">IFERROR(100-100/(1+SUMPRODUCT((終値!F154:R154&gt;終値!G154:S154)*(終値!F154:R154-終値!G154:S154))/SUMPRODUCT((終値!F154:R154&lt;終値!G154:S154)*(終値!G154:S154-終値!F154:R154))),50)</f>
        <v>34.524776604386687</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-394.05014149872932</v>
      </c>
      <c r="Y30" s="212" t="str">
        <f t="shared" si="9"/>
        <v>相場上昇・見送り | もみ合い→ MACD- RSI:34.5 前日比:+9.9% [年初来安値圏] [11点]</v>
      </c>
      <c r="Z30" s="338">
        <f t="shared" si="10"/>
        <v>9.9427454266163942</v>
      </c>
      <c r="AA30" s="212" t="str">
        <f t="shared" si="11"/>
        <v>上昇▲</v>
      </c>
      <c r="AB30" s="333">
        <f>IF(OR(C30="",C30="TOPX",終値!E154=""),"",IFERROR(((終値!E154*0.333)+(終値!F154*0.222)+(終値!G154*0.148)+(終値!H154*0.099)+(終値!I154*0.066))/(0.333+0.222+0.148+0.099+0.066),""))</f>
        <v>7036.5172811059911</v>
      </c>
      <c r="AC30" s="333">
        <f>IF(OR(C30="",C30="TOPX",終値!E154=""),"",IFERROR(SUMPRODUCT((終値!E154:AC154),{0.077,0.071,0.065,0.06,0.055,0.051,0.047,0.043,0.039,0.036,0.033,0.031,0.028,0.026,0.024,0.022,0.02,0.018,0.017,0.016,0.014,0.013,0.012,0.011,0.01})/SUM({0.077,0.071,0.065,0.06,0.055,0.051,0.047,0.043,0.039,0.036,0.033,0.031,0.028,0.026,0.024,0.022,0.02,0.018,0.017,0.016,0.014,0.013,0.012,0.011,0.01}),""))</f>
        <v>8073.2681764004737</v>
      </c>
      <c r="AD30" s="212" t="str">
        <f t="shared" si="12"/>
        <v>もみ合い→</v>
      </c>
      <c r="AE30" s="212" t="str">
        <f t="shared" si="13"/>
        <v>なし</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相場上昇・見送り</v>
      </c>
      <c r="AG30">
        <f t="shared" si="14"/>
        <v>11</v>
      </c>
      <c r="AH30">
        <f t="shared" si="15"/>
        <v>109970</v>
      </c>
      <c r="AI30" s="373">
        <f t="array" ref="AI30">IF(C30="","",IFERROR((INDEX(終値!$E:$E,MATCH(TEXT(C30,"0"),終値!$A:$A,0))-INDEX(終値!$E:$CZ,MATCH(TEXT(C30,"0"),終値!$A:$A,0),$AN$2))/INDEX(終値!$E:$CZ,MATCH(TEXT(C30,"0"),終値!$A:$A,0),$AN$2)*100,""))</f>
        <v>-33.621973929236496</v>
      </c>
      <c r="AJ30" s="373">
        <f t="array" ref="AJ30">IFERROR((終値!$E$5-INDEX(終値!$E$5:$CZ$5,1,$AN$2))/INDEX(終値!$E$5:$CZ$5,1,$AN$2)*100,"")</f>
        <v>-0.82558151178043282</v>
      </c>
      <c r="AK30" s="374">
        <f t="shared" si="16"/>
        <v>-32.796392417456062</v>
      </c>
      <c r="AL30" s="372">
        <f t="shared" si="17"/>
        <v>3</v>
      </c>
      <c r="AO30" s="376" t="str">
        <f t="shared" si="18"/>
        <v>通常</v>
      </c>
      <c r="AP30" s="377">
        <f t="shared" si="19"/>
        <v>0</v>
      </c>
      <c r="AQ30">
        <f>IF(C30&lt;&gt;"",始値!F154,"")</f>
        <v>7566</v>
      </c>
      <c r="AR30">
        <f>IF(C30&lt;&gt;"",高値!F154,"")</f>
        <v>7567</v>
      </c>
      <c r="AS30">
        <f>IF(C30&lt;&gt;"",安値!F154,"")</f>
        <v>6923</v>
      </c>
      <c r="AT30" t="str">
        <f t="shared" si="20"/>
        <v>通常</v>
      </c>
      <c r="AU30">
        <f t="shared" si="21"/>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3844</v>
      </c>
      <c r="F31" s="326">
        <f>IF(C31&lt;&gt;"",_xll.RssMarket(C31,"始値"),"")</f>
        <v>3635</v>
      </c>
      <c r="G31" s="325">
        <f>IF(C31&lt;&gt;"",終値!F155,"")</f>
        <v>3501</v>
      </c>
      <c r="H31" s="326">
        <f>IF(C31&lt;&gt;"",_xll.RssMarket(C31,"高値"),"")</f>
        <v>3873</v>
      </c>
      <c r="I31" s="326">
        <f>IF(C31&lt;&gt;"",_xll.RssMarket(C31,"安値"),"")</f>
        <v>3630</v>
      </c>
      <c r="J31" s="326">
        <f>IF(C31&lt;&gt;"",_xll.RssMarket(C31,"出来高"),"")</f>
        <v>1758100</v>
      </c>
      <c r="K31" s="326">
        <f>IF(C31&lt;&gt;"",_xll.RssMarket(C31,"年初来高値"),"")</f>
        <v>4855</v>
      </c>
      <c r="L31" s="327">
        <f t="shared" si="0"/>
        <v>-20.823892893923791</v>
      </c>
      <c r="M31" s="326">
        <f>IF(C31&lt;&gt;"",IFERROR(AVERAGE(出来高!E155:I155),""),"")</f>
        <v>2569760</v>
      </c>
      <c r="N31" s="326">
        <f>IF(C31&lt;&gt;"",IFERROR(AVERAGE(出来高!E155:AC155),""),"")</f>
        <v>1674070.8333333333</v>
      </c>
      <c r="O31" s="328">
        <f t="shared" si="1"/>
        <v>0.68414949255961643</v>
      </c>
      <c r="P31" s="325" t="str">
        <f t="shared" si="2"/>
        <v>減少↓</v>
      </c>
      <c r="Q31" s="325" t="str">
        <f t="shared" si="3"/>
        <v>様子見▲</v>
      </c>
      <c r="R31" s="326">
        <f t="shared" si="4"/>
        <v>3536</v>
      </c>
      <c r="S31" s="326">
        <f t="shared" si="5"/>
        <v>3998</v>
      </c>
      <c r="T31" s="325">
        <f t="shared" si="6"/>
        <v>8</v>
      </c>
      <c r="U31" s="325" t="str">
        <f t="shared" si="7"/>
        <v>要確認</v>
      </c>
      <c r="V31" s="325" t="str">
        <f t="shared" si="8"/>
        <v>安値圏</v>
      </c>
      <c r="W31" s="329">
        <f t="array" ref="W31">IFERROR(100-100/(1+SUMPRODUCT((終値!F155:R155&gt;終値!G155:S155)*(終値!F155:R155-終値!G155:S155))/SUMPRODUCT((終値!F155:R155&lt;終値!G155:S155)*(終値!G155:S155-終値!F155:R155))),50)</f>
        <v>47.079439252336442</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-114.12956587153985</v>
      </c>
      <c r="Y31" s="325" t="str">
        <f t="shared" si="9"/>
        <v>相場上昇・見送り | 上昇トレンド▲ MACD- RSI:47.1 前日比:+9.8% [安値圏] [8点]</v>
      </c>
      <c r="Z31" s="331">
        <f t="shared" si="10"/>
        <v>9.7972007997714936</v>
      </c>
      <c r="AA31" s="325" t="str">
        <f t="shared" si="11"/>
        <v>上昇▲</v>
      </c>
      <c r="AB31" s="326">
        <f>IF(OR(C31="",C31="TOPX",終値!E155=""),"",IFERROR(((終値!E155*0.333)+(終値!F155*0.222)+(終値!G155*0.148)+(終値!H155*0.099)+(終値!I155*0.066))/(0.333+0.222+0.148+0.099+0.066),""))</f>
        <v>3555.850230414746</v>
      </c>
      <c r="AC31" s="326">
        <f>IF(OR(C31="",C31="TOPX",終値!E155=""),"",IFERROR(SUMPRODUCT((終値!E155:AC155),{0.077,0.071,0.065,0.06,0.055,0.051,0.047,0.043,0.039,0.036,0.033,0.031,0.028,0.026,0.024,0.022,0.02,0.018,0.017,0.016,0.014,0.013,0.012,0.011,0.01})/SUM({0.077,0.071,0.065,0.06,0.055,0.051,0.047,0.043,0.039,0.036,0.033,0.031,0.028,0.026,0.024,0.022,0.02,0.018,0.017,0.016,0.014,0.013,0.012,0.011,0.01}),""))</f>
        <v>3620.0297973778288</v>
      </c>
      <c r="AD31" s="325" t="str">
        <f t="shared" si="12"/>
        <v>上昇トレンド▲</v>
      </c>
      <c r="AE31" s="325" t="str">
        <f t="shared" si="13"/>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 t="shared" si="14"/>
        <v>8</v>
      </c>
      <c r="AH31">
        <f t="shared" si="15"/>
        <v>79969</v>
      </c>
      <c r="AI31" s="373">
        <f t="array" ref="AI31">IF(C31="","",IFERROR((INDEX(終値!$E:$E,MATCH(TEXT(C31,"0"),終値!$A:$A,0))-INDEX(終値!$E:$CZ,MATCH(TEXT(C31,"0"),終値!$A:$A,0),$AN$2))/INDEX(終値!$E:$CZ,MATCH(TEXT(C31,"0"),終値!$A:$A,0),$AN$2)*100,""))</f>
        <v>-17.2089825847846</v>
      </c>
      <c r="AJ31" s="373">
        <f t="array" ref="AJ31">IFERROR((終値!$E$5-INDEX(終値!$E$5:$CZ$5,1,$AN$2))/INDEX(終値!$E$5:$CZ$5,1,$AN$2)*100,"")</f>
        <v>-0.82558151178043282</v>
      </c>
      <c r="AK31" s="374">
        <f t="shared" si="16"/>
        <v>-16.383401073004165</v>
      </c>
      <c r="AL31" s="372">
        <f t="shared" si="17"/>
        <v>3</v>
      </c>
      <c r="AO31" s="376" t="str">
        <f t="shared" si="18"/>
        <v>通常</v>
      </c>
      <c r="AP31" s="377">
        <f t="shared" si="19"/>
        <v>0</v>
      </c>
      <c r="AQ31">
        <f>IF(C31&lt;&gt;"",始値!F155,"")</f>
        <v>3531</v>
      </c>
      <c r="AR31">
        <f>IF(C31&lt;&gt;"",高値!F155,"")</f>
        <v>3563</v>
      </c>
      <c r="AS31">
        <f>IF(C31&lt;&gt;"",安値!F155,"")</f>
        <v>3428</v>
      </c>
      <c r="AT31" t="str">
        <f t="shared" si="20"/>
        <v>通常</v>
      </c>
      <c r="AU31">
        <f t="shared" si="21"/>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5677</v>
      </c>
      <c r="F32" s="333">
        <f>IF(C32&lt;&gt;"",_xll.RssMarket(C32,"始値"),"")</f>
        <v>5584</v>
      </c>
      <c r="G32" s="212">
        <f>IF(C32&lt;&gt;"",終値!F175,"")</f>
        <v>5323</v>
      </c>
      <c r="H32" s="333">
        <f>IF(C32&lt;&gt;"",_xll.RssMarket(C32,"高値"),"")</f>
        <v>5704</v>
      </c>
      <c r="I32" s="333">
        <f>IF(C32&lt;&gt;"",_xll.RssMarket(C32,"安値"),"")</f>
        <v>5496</v>
      </c>
      <c r="J32" s="333">
        <f>IF(C32&lt;&gt;"",_xll.RssMarket(C32,"出来高"),"")</f>
        <v>737500</v>
      </c>
      <c r="K32" s="333">
        <f>IF(C32&lt;&gt;"",_xll.RssMarket(C32,"年初来高値"),"")</f>
        <v>7460</v>
      </c>
      <c r="L32" s="334">
        <f t="shared" si="0"/>
        <v>-23.900804289544237</v>
      </c>
      <c r="M32" s="333">
        <f>IF(C32&lt;&gt;"",IFERROR(AVERAGE(出来高!E175:I175),""),"")</f>
        <v>2737760</v>
      </c>
      <c r="N32" s="333">
        <f>IF(C32&lt;&gt;"",IFERROR(AVERAGE(出来高!E175:AC175),""),"")</f>
        <v>1227636</v>
      </c>
      <c r="O32" s="335">
        <f t="shared" si="1"/>
        <v>0.26938080766758227</v>
      </c>
      <c r="P32" s="212" t="str">
        <f t="shared" si="2"/>
        <v>減少↓</v>
      </c>
      <c r="Q32" s="212" t="str">
        <f t="shared" si="3"/>
        <v>様子見▲</v>
      </c>
      <c r="R32" s="333">
        <f t="shared" si="4"/>
        <v>5223</v>
      </c>
      <c r="S32" s="333">
        <f t="shared" si="5"/>
        <v>5904</v>
      </c>
      <c r="T32" s="325">
        <f t="shared" si="6"/>
        <v>7</v>
      </c>
      <c r="U32" s="212" t="str">
        <f t="shared" si="7"/>
        <v>要確認</v>
      </c>
      <c r="V32" s="212" t="str">
        <f t="shared" si="8"/>
        <v>安値圏</v>
      </c>
      <c r="W32" s="336">
        <f t="array" ref="W32">IFERROR(100-100/(1+SUMPRODUCT((終値!F175:R175&gt;終値!G175:S175)*(終値!F175:R175-終値!G175:S175))/SUMPRODUCT((終値!F175:R175&lt;終値!G175:S175)*(終値!G175:S175-終値!F175:R175))),50)</f>
        <v>26.472303206997083</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-136.87240834424483</v>
      </c>
      <c r="Y32" s="212" t="str">
        <f t="shared" si="9"/>
        <v>相場上昇・見送り | もみ合い→ MACD- RSI:26.5 [売られ過ぎ] 前日比:+6.7% [安値圏]前日[長い下ヒゲ(反発)] [7点]</v>
      </c>
      <c r="Z32" s="338">
        <f t="shared" si="10"/>
        <v>6.6503851211722713</v>
      </c>
      <c r="AA32" s="212" t="str">
        <f t="shared" si="11"/>
        <v>上昇▲</v>
      </c>
      <c r="AB32" s="333">
        <f>IF(OR(C32="",C32="TOPX",終値!E175=""),"",IFERROR(((終値!E175*0.333)+(終値!F175*0.222)+(終値!G175*0.148)+(終値!H175*0.099)+(終値!I175*0.066))/(0.333+0.222+0.148+0.099+0.066),""))</f>
        <v>5443.9089861751145</v>
      </c>
      <c r="AC32" s="333">
        <f>IF(OR(C32="",C32="TOPX",終値!E175=""),"",IFERROR(SUMPRODUCT((終値!E175:AC175),{0.077,0.071,0.065,0.06,0.055,0.051,0.047,0.043,0.039,0.036,0.033,0.031,0.028,0.026,0.024,0.022,0.02,0.018,0.017,0.016,0.014,0.013,0.012,0.011,0.01})/SUM({0.077,0.071,0.065,0.06,0.055,0.051,0.047,0.043,0.039,0.036,0.033,0.031,0.028,0.026,0.024,0.022,0.02,0.018,0.017,0.016,0.014,0.013,0.012,0.011,0.01}),""))</f>
        <v>5905.9249106078669</v>
      </c>
      <c r="AD32" s="212" t="str">
        <f t="shared" si="12"/>
        <v>もみ合い→</v>
      </c>
      <c r="AE32" s="212" t="str">
        <f t="shared" si="13"/>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 t="shared" si="14"/>
        <v>7</v>
      </c>
      <c r="AH32">
        <f t="shared" si="15"/>
        <v>69968</v>
      </c>
      <c r="AI32" s="373">
        <f t="array" ref="AI32">IF(C32="","",IFERROR((INDEX(終値!$E:$E,MATCH(TEXT(C32,"0"),終値!$A:$A,0))-INDEX(終値!$E:$CZ,MATCH(TEXT(C32,"0"),終値!$A:$A,0),$AN$2))/INDEX(終値!$E:$CZ,MATCH(TEXT(C32,"0"),終値!$A:$A,0),$AN$2)*100,""))</f>
        <v>-18.861262321612475</v>
      </c>
      <c r="AJ32" s="373">
        <f t="array" ref="AJ32">IFERROR((終値!$E$5-INDEX(終値!$E$5:$CZ$5,1,$AN$2))/INDEX(終値!$E$5:$CZ$5,1,$AN$2)*100,"")</f>
        <v>-0.82558151178043282</v>
      </c>
      <c r="AK32" s="374">
        <f t="shared" si="16"/>
        <v>-18.035680809832044</v>
      </c>
      <c r="AL32" s="372">
        <f t="shared" si="17"/>
        <v>3</v>
      </c>
      <c r="AO32" s="376" t="str">
        <f t="shared" si="18"/>
        <v>通常</v>
      </c>
      <c r="AP32" s="377">
        <f t="shared" si="19"/>
        <v>0</v>
      </c>
      <c r="AQ32">
        <f>IF(C32&lt;&gt;"",始値!F175,"")</f>
        <v>5268</v>
      </c>
      <c r="AR32">
        <f>IF(C32&lt;&gt;"",高値!F175,"")</f>
        <v>5344</v>
      </c>
      <c r="AS32">
        <f>IF(C32&lt;&gt;"",安値!F175,"")</f>
        <v>5150</v>
      </c>
      <c r="AT32" t="str">
        <f t="shared" si="20"/>
        <v>長い下ヒゲ(反発)</v>
      </c>
      <c r="AU32">
        <f t="shared" si="21"/>
        <v>-2</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9370</v>
      </c>
      <c r="F33" s="326">
        <f>IF(C33&lt;&gt;"",_xll.RssMarket(C33,"始値"),"")</f>
        <v>8980</v>
      </c>
      <c r="G33" s="325">
        <f>IF(C33&lt;&gt;"",終値!F195,"")</f>
        <v>8190</v>
      </c>
      <c r="H33" s="326">
        <f>IF(C33&lt;&gt;"",_xll.RssMarket(C33,"高値"),"")</f>
        <v>9420</v>
      </c>
      <c r="I33" s="326">
        <f>IF(C33&lt;&gt;"",_xll.RssMarket(C33,"安値"),"")</f>
        <v>8700</v>
      </c>
      <c r="J33" s="326">
        <f>IF(C33&lt;&gt;"",_xll.RssMarket(C33,"出来高"),"")</f>
        <v>1182300</v>
      </c>
      <c r="K33" s="326">
        <f>IF(C33&lt;&gt;"",_xll.RssMarket(C33,"年初来高値"),"")</f>
        <v>11700</v>
      </c>
      <c r="L33" s="327">
        <f t="shared" si="0"/>
        <v>-19.914529914529915</v>
      </c>
      <c r="M33" s="326">
        <f>IF(C33&lt;&gt;"",IFERROR(AVERAGE(出来高!E195:I195),""),"")</f>
        <v>1985040</v>
      </c>
      <c r="N33" s="326">
        <f>IF(C33&lt;&gt;"",IFERROR(AVERAGE(出来高!E195:AC195),""),"")</f>
        <v>1609260</v>
      </c>
      <c r="O33" s="328">
        <f t="shared" si="1"/>
        <v>0.59560512634506102</v>
      </c>
      <c r="P33" s="325" t="str">
        <f t="shared" si="2"/>
        <v>減少↓</v>
      </c>
      <c r="Q33" s="325" t="str">
        <f t="shared" si="3"/>
        <v>様子見▲</v>
      </c>
      <c r="R33" s="326">
        <f t="shared" si="4"/>
        <v>8620</v>
      </c>
      <c r="S33" s="326">
        <f t="shared" si="5"/>
        <v>9745</v>
      </c>
      <c r="T33" s="325">
        <f t="shared" si="6"/>
        <v>6</v>
      </c>
      <c r="U33" s="325" t="str">
        <f t="shared" si="7"/>
        <v>要確認</v>
      </c>
      <c r="V33" s="325" t="str">
        <f t="shared" si="8"/>
        <v>安値圏</v>
      </c>
      <c r="W33" s="329">
        <f t="array" ref="W33">IFERROR(100-100/(1+SUMPRODUCT((終値!F195:R195&gt;終値!G195:S195)*(終値!F195:R195-終値!G195:S195))/SUMPRODUCT((終値!F195:R195&lt;終値!G195:S195)*(終値!G195:S195-終値!F195:R195))),50)</f>
        <v>48.208955223880601</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-81.35325327675946</v>
      </c>
      <c r="Y33" s="325" t="str">
        <f t="shared" si="9"/>
        <v>相場上昇・見送り | パーフェクト▲ MACD- RSI:48.2 前日比:+14.4% [安値圏] [6点]</v>
      </c>
      <c r="Z33" s="331">
        <f t="shared" si="10"/>
        <v>14.407814407814406</v>
      </c>
      <c r="AA33" s="325" t="str">
        <f t="shared" si="11"/>
        <v>上昇▲</v>
      </c>
      <c r="AB33" s="326">
        <f>IF(OR(C33="",C33="TOPX",終値!E195=""),"",IFERROR(((終値!E195*0.333)+(終値!F195*0.222)+(終値!G195*0.148)+(終値!H195*0.099)+(終値!I195*0.066))/(0.333+0.222+0.148+0.099+0.066),""))</f>
        <v>8230.8064516129016</v>
      </c>
      <c r="AC33" s="326">
        <f>IF(OR(C33="",C33="TOPX",終値!E195=""),"",IFERROR(SUMPRODUCT((終値!E195:AC195),{0.077,0.071,0.065,0.06,0.055,0.051,0.047,0.043,0.039,0.036,0.033,0.031,0.028,0.026,0.024,0.022,0.02,0.018,0.017,0.016,0.014,0.013,0.012,0.011,0.01})/SUM({0.077,0.071,0.065,0.06,0.055,0.051,0.047,0.043,0.039,0.036,0.033,0.031,0.028,0.026,0.024,0.022,0.02,0.018,0.017,0.016,0.014,0.013,0.012,0.011,0.01}),""))</f>
        <v>8191.3468414779481</v>
      </c>
      <c r="AD33" s="325" t="str">
        <f t="shared" si="12"/>
        <v>パーフェクト▲</v>
      </c>
      <c r="AE33" s="325" t="str">
        <f t="shared" si="13"/>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 t="shared" si="14"/>
        <v>0</v>
      </c>
      <c r="AH33">
        <f t="shared" si="15"/>
        <v>0</v>
      </c>
      <c r="AI33" s="373">
        <f t="array" ref="AI33">IF(C33="","",IFERROR((INDEX(終値!$E:$E,MATCH(TEXT(C33,"0"),終値!$A:$A,0))-INDEX(終値!$E:$CZ,MATCH(TEXT(C33,"0"),終値!$A:$A,0),$AN$2))/INDEX(終値!$E:$CZ,MATCH(TEXT(C33,"0"),終値!$A:$A,0),$AN$2)*100,""))</f>
        <v>-4.3763676148796495</v>
      </c>
      <c r="AJ33" s="373">
        <f t="array" ref="AJ33">IFERROR((終値!$E$5-INDEX(終値!$E$5:$CZ$5,1,$AN$2))/INDEX(終値!$E$5:$CZ$5,1,$AN$2)*100,"")</f>
        <v>-0.82558151178043282</v>
      </c>
      <c r="AK33" s="374">
        <f t="shared" si="16"/>
        <v>-3.5507861030992167</v>
      </c>
      <c r="AL33" s="372">
        <f t="shared" si="17"/>
        <v>1</v>
      </c>
      <c r="AO33" s="376" t="str">
        <f t="shared" si="18"/>
        <v>通常</v>
      </c>
      <c r="AP33" s="377">
        <f t="shared" si="19"/>
        <v>0</v>
      </c>
      <c r="AQ33">
        <f>IF(C33&lt;&gt;"",始値!F195,"")</f>
        <v>7900</v>
      </c>
      <c r="AR33">
        <f>IF(C33&lt;&gt;"",高値!F195,"")</f>
        <v>8390</v>
      </c>
      <c r="AS33">
        <f>IF(C33&lt;&gt;"",安値!F195,"")</f>
        <v>7860</v>
      </c>
      <c r="AT33" t="str">
        <f t="shared" si="20"/>
        <v>通常</v>
      </c>
      <c r="AU33">
        <f t="shared" si="21"/>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25610</v>
      </c>
      <c r="F34" s="333">
        <f>IF(C34&lt;&gt;"",_xll.RssMarket(C34,"始値"),"")</f>
        <v>24790</v>
      </c>
      <c r="G34" s="212">
        <f>IF(C34&lt;&gt;"",終値!F196,"")</f>
        <v>22930</v>
      </c>
      <c r="H34" s="333">
        <f>IF(C34&lt;&gt;"",_xll.RssMarket(C34,"高値"),"")</f>
        <v>25750</v>
      </c>
      <c r="I34" s="333">
        <f>IF(C34&lt;&gt;"",_xll.RssMarket(C34,"安値"),"")</f>
        <v>24710</v>
      </c>
      <c r="J34" s="333">
        <f>IF(C34&lt;&gt;"",_xll.RssMarket(C34,"出来高"),"")</f>
        <v>47900</v>
      </c>
      <c r="K34" s="333">
        <f>IF(C34&lt;&gt;"",_xll.RssMarket(C34,"年初来高値"),"")</f>
        <v>28430</v>
      </c>
      <c r="L34" s="334">
        <f t="shared" si="0"/>
        <v>-9.9190995427365447</v>
      </c>
      <c r="M34" s="333">
        <f>IF(C34&lt;&gt;"",IFERROR(AVERAGE(出来高!E196:I196),""),"")</f>
        <v>111820</v>
      </c>
      <c r="N34" s="333">
        <f>IF(C34&lt;&gt;"",IFERROR(AVERAGE(出来高!E196:AC196),""),"")</f>
        <v>81764</v>
      </c>
      <c r="O34" s="335">
        <f t="shared" si="1"/>
        <v>0.42836701842246466</v>
      </c>
      <c r="P34" s="212" t="str">
        <f t="shared" si="2"/>
        <v>減少↓</v>
      </c>
      <c r="Q34" s="212" t="str">
        <f t="shared" si="3"/>
        <v>様子見▲</v>
      </c>
      <c r="R34" s="333">
        <f t="shared" si="4"/>
        <v>23561</v>
      </c>
      <c r="S34" s="333">
        <f t="shared" si="5"/>
        <v>26634</v>
      </c>
      <c r="T34" s="325">
        <f t="shared" si="6"/>
        <v>5</v>
      </c>
      <c r="U34" s="212" t="str">
        <f t="shared" si="7"/>
        <v>要確認</v>
      </c>
      <c r="V34" s="212" t="str">
        <f t="shared" si="8"/>
        <v>通常</v>
      </c>
      <c r="W34" s="336">
        <f t="array" ref="W34">IFERROR(100-100/(1+SUMPRODUCT((終値!F196:R196&gt;終値!G196:S196)*(終値!F196:R196-終値!G196:S196))/SUMPRODUCT((終値!F196:R196&lt;終値!G196:S196)*(終値!G196:S196-終値!F196:R196))),50)</f>
        <v>47.64309764309764</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-370.91916462013978</v>
      </c>
      <c r="Y34" s="212" t="str">
        <f t="shared" si="9"/>
        <v>相場上昇・見送り | 上昇トレンド▲ MACD- RSI:47.6 前日比:+11.7% [5点]</v>
      </c>
      <c r="Z34" s="338">
        <f t="shared" si="10"/>
        <v>11.687745311818579</v>
      </c>
      <c r="AA34" s="212" t="str">
        <f t="shared" si="11"/>
        <v>上昇▲</v>
      </c>
      <c r="AB34" s="333">
        <f>IF(OR(C34="",C34="TOPX",終値!E196=""),"",IFERROR(((終値!E196*0.333)+(終値!F196*0.222)+(終値!G196*0.148)+(終値!H196*0.099)+(終値!I196*0.066))/(0.333+0.222+0.148+0.099+0.066),""))</f>
        <v>22720.195852534562</v>
      </c>
      <c r="AC34" s="333">
        <f>IF(OR(C34="",C34="TOPX",終値!E196=""),"",IFERROR(SUMPRODUCT((終値!E196:AC196),{0.077,0.071,0.065,0.06,0.055,0.051,0.047,0.043,0.039,0.036,0.033,0.031,0.028,0.026,0.024,0.022,0.02,0.018,0.017,0.016,0.014,0.013,0.012,0.011,0.01})/SUM({0.077,0.071,0.065,0.06,0.055,0.051,0.047,0.043,0.039,0.036,0.033,0.031,0.028,0.026,0.024,0.022,0.02,0.018,0.017,0.016,0.014,0.013,0.012,0.011,0.01}),""))</f>
        <v>23301.430274135866</v>
      </c>
      <c r="AD34" s="212" t="str">
        <f t="shared" si="12"/>
        <v>上昇トレンド▲</v>
      </c>
      <c r="AE34" s="212" t="str">
        <f t="shared" si="13"/>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 t="shared" si="14"/>
        <v>0</v>
      </c>
      <c r="AH34">
        <f t="shared" si="15"/>
        <v>0</v>
      </c>
      <c r="AI34" s="373">
        <f t="array" ref="AI34">IF(C34="","",IFERROR((INDEX(終値!$E:$E,MATCH(TEXT(C34,"0"),終値!$A:$A,0))-INDEX(終値!$E:$CZ,MATCH(TEXT(C34,"0"),終値!$A:$A,0),$AN$2))/INDEX(終値!$E:$CZ,MATCH(TEXT(C34,"0"),終値!$A:$A,0),$AN$2)*100,""))</f>
        <v>-10.920611256056652</v>
      </c>
      <c r="AJ34" s="373">
        <f t="array" ref="AJ34">IFERROR((終値!$E$5-INDEX(終値!$E$5:$CZ$5,1,$AN$2))/INDEX(終値!$E$5:$CZ$5,1,$AN$2)*100,"")</f>
        <v>-0.82558151178043282</v>
      </c>
      <c r="AK34" s="374">
        <f t="shared" si="16"/>
        <v>-10.09502974427622</v>
      </c>
      <c r="AL34" s="372">
        <f t="shared" si="17"/>
        <v>3</v>
      </c>
      <c r="AO34" s="376" t="str">
        <f t="shared" si="18"/>
        <v>通常</v>
      </c>
      <c r="AP34" s="377">
        <f t="shared" si="19"/>
        <v>0</v>
      </c>
      <c r="AQ34">
        <f>IF(C34&lt;&gt;"",始値!F196,"")</f>
        <v>22380</v>
      </c>
      <c r="AR34">
        <f>IF(C34&lt;&gt;"",高値!F196,"")</f>
        <v>23340</v>
      </c>
      <c r="AS34">
        <f>IF(C34&lt;&gt;"",安値!F196,"")</f>
        <v>21960</v>
      </c>
      <c r="AT34" t="str">
        <f t="shared" si="20"/>
        <v>通常</v>
      </c>
      <c r="AU34">
        <f t="shared" si="21"/>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58720</v>
      </c>
      <c r="F35" s="326">
        <f>IF(C35&lt;&gt;"",_xll.RssMarket(C35,"始値"),"")</f>
        <v>59000</v>
      </c>
      <c r="G35" s="325">
        <f>IF(C35&lt;&gt;"",終値!F198,"")</f>
        <v>54990</v>
      </c>
      <c r="H35" s="326">
        <f>IF(C35&lt;&gt;"",_xll.RssMarket(C35,"高値"),"")</f>
        <v>59700</v>
      </c>
      <c r="I35" s="326">
        <f>IF(C35&lt;&gt;"",_xll.RssMarket(C35,"安値"),"")</f>
        <v>58300</v>
      </c>
      <c r="J35" s="326">
        <f>IF(C35&lt;&gt;"",_xll.RssMarket(C35,"出来高"),"")</f>
        <v>2442300</v>
      </c>
      <c r="K35" s="326">
        <f>IF(C35&lt;&gt;"",_xll.RssMarket(C35,"年初来高値"),"")</f>
        <v>81260</v>
      </c>
      <c r="L35" s="327">
        <f t="shared" si="0"/>
        <v>-27.738124538518338</v>
      </c>
      <c r="M35" s="326">
        <f>IF(C35&lt;&gt;"",IFERROR(AVERAGE(出来高!E198:I198),""),"")</f>
        <v>7235560</v>
      </c>
      <c r="N35" s="326">
        <f>IF(C35&lt;&gt;"",IFERROR(AVERAGE(出来高!E198:AC198),""),"")</f>
        <v>4763952</v>
      </c>
      <c r="O35" s="328">
        <f t="shared" si="1"/>
        <v>0.33754125458153894</v>
      </c>
      <c r="P35" s="325" t="str">
        <f t="shared" si="2"/>
        <v>減少↓</v>
      </c>
      <c r="Q35" s="325" t="str">
        <f t="shared" si="3"/>
        <v>様子見▲</v>
      </c>
      <c r="R35" s="326">
        <f t="shared" si="4"/>
        <v>54022</v>
      </c>
      <c r="S35" s="326">
        <f t="shared" si="5"/>
        <v>61069</v>
      </c>
      <c r="T35" s="325">
        <f t="shared" si="6"/>
        <v>9</v>
      </c>
      <c r="U35" s="325" t="str">
        <f t="shared" si="7"/>
        <v>要確認</v>
      </c>
      <c r="V35" s="325" t="str">
        <f t="shared" si="8"/>
        <v>安値圏</v>
      </c>
      <c r="W35" s="329">
        <f t="array" ref="W35">IFERROR(100-100/(1+SUMPRODUCT((終値!F198:R198&gt;終値!G198:S198)*(終値!F198:R198-終値!G198:S198))/SUMPRODUCT((終値!F198:R198&lt;終値!G198:S198)*(終値!G198:S198-終値!F198:R198))),50)</f>
        <v>27.80952380952381</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-2504.87752697627</v>
      </c>
      <c r="Y35" s="325" t="str">
        <f t="shared" si="9"/>
        <v>相場上昇・見送り | もみ合い→ MACD- RSI:27.8 [売られ過ぎ] 前日比:+6.8% [安値圏] [9点]</v>
      </c>
      <c r="Z35" s="331">
        <f t="shared" si="10"/>
        <v>6.7830514639025274</v>
      </c>
      <c r="AA35" s="325" t="str">
        <f t="shared" si="11"/>
        <v>上昇▲</v>
      </c>
      <c r="AB35" s="326">
        <f>IF(OR(C35="",C35="TOPX",終値!E198=""),"",IFERROR(((終値!E198*0.333)+(終値!F198*0.222)+(終値!G198*0.148)+(終値!H198*0.099)+(終値!I198*0.066))/(0.333+0.222+0.148+0.099+0.066),""))</f>
        <v>55039.907834101381</v>
      </c>
      <c r="AC35" s="326">
        <f>IF(OR(C35="",C35="TOPX",終値!E198=""),"",IFERROR(SUMPRODUCT((終値!E198:AC198),{0.077,0.071,0.065,0.06,0.055,0.051,0.047,0.043,0.039,0.036,0.033,0.031,0.028,0.026,0.024,0.022,0.02,0.018,0.017,0.016,0.014,0.013,0.012,0.011,0.01})/SUM({0.077,0.071,0.065,0.06,0.055,0.051,0.047,0.043,0.039,0.036,0.033,0.031,0.028,0.026,0.024,0.022,0.02,0.018,0.017,0.016,0.014,0.013,0.012,0.011,0.01}),""))</f>
        <v>62158.963051251463</v>
      </c>
      <c r="AD35" s="325" t="str">
        <f t="shared" si="12"/>
        <v>もみ合い→</v>
      </c>
      <c r="AE35" s="325" t="str">
        <f t="shared" si="13"/>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 t="shared" si="14"/>
        <v>9</v>
      </c>
      <c r="AH35">
        <f t="shared" si="15"/>
        <v>89965</v>
      </c>
      <c r="AI35" s="373">
        <f t="array" ref="AI35">IF(C35="","",IFERROR((INDEX(終値!$E:$E,MATCH(TEXT(C35,"0"),終値!$A:$A,0))-INDEX(終値!$E:$CZ,MATCH(TEXT(C35,"0"),終値!$A:$A,0),$AN$2))/INDEX(終値!$E:$CZ,MATCH(TEXT(C35,"0"),終値!$A:$A,0),$AN$2)*100,""))</f>
        <v>-24.096385542168676</v>
      </c>
      <c r="AJ35" s="373">
        <f t="array" ref="AJ35">IFERROR((終値!$E$5-INDEX(終値!$E$5:$CZ$5,1,$AN$2))/INDEX(終値!$E$5:$CZ$5,1,$AN$2)*100,"")</f>
        <v>-0.82558151178043282</v>
      </c>
      <c r="AK35" s="374">
        <f t="shared" si="16"/>
        <v>-23.270804030388241</v>
      </c>
      <c r="AL35" s="372">
        <f t="shared" si="17"/>
        <v>3</v>
      </c>
      <c r="AO35" s="376" t="str">
        <f t="shared" si="18"/>
        <v>通常</v>
      </c>
      <c r="AP35" s="377">
        <f t="shared" si="19"/>
        <v>0</v>
      </c>
      <c r="AQ35">
        <f>IF(C35&lt;&gt;"",始値!F198,"")</f>
        <v>53900</v>
      </c>
      <c r="AR35">
        <f>IF(C35&lt;&gt;"",高値!F198,"")</f>
        <v>55550</v>
      </c>
      <c r="AS35">
        <f>IF(C35&lt;&gt;"",安値!F198,"")</f>
        <v>52550</v>
      </c>
      <c r="AT35" t="str">
        <f t="shared" si="20"/>
        <v>通常</v>
      </c>
      <c r="AU35">
        <f t="shared" si="21"/>
        <v>0</v>
      </c>
    </row>
    <row r="36" spans="1:47" ht="14.25" customHeight="1">
      <c r="A36" s="332" t="str">
        <f>IF(銘柄管理!B5&lt;&gt;"",HYPERLINK("https://kabutan.jp/stock/?code="&amp;銘柄管理!B5,"株探"),"")</f>
        <v>株探</v>
      </c>
      <c r="B36" s="212"/>
      <c r="C36" s="469" t="str">
        <f>IF(銘柄管理!B5="","",銘柄管理!B5)</f>
        <v>TOPX</v>
      </c>
      <c r="D36" s="212">
        <f>IF(銘柄管理!C5="","",銘柄管理!C5)</f>
        <v>4037.09</v>
      </c>
      <c r="E36" s="333" t="str">
        <f>IF(C36&lt;&gt;"",_xll.RssMarket(C36,"現在値"),"")</f>
        <v/>
      </c>
      <c r="F36" s="333" t="str">
        <f>IF(C36&lt;&gt;"",_xll.RssMarket(C36,"始値"),"")</f>
        <v/>
      </c>
      <c r="G36" s="212">
        <f>IF(C36&lt;&gt;"",終値!F5,"")</f>
        <v>3960.03</v>
      </c>
      <c r="H36" s="333" t="str">
        <f>IF(C36&lt;&gt;"",_xll.RssMarket(C36,"高値"),"")</f>
        <v/>
      </c>
      <c r="I36" s="333" t="str">
        <f>IF(C36&lt;&gt;"",_xll.RssMarket(C36,"安値"),"")</f>
        <v/>
      </c>
      <c r="J36" s="333" t="str">
        <f>IF(C36&lt;&gt;"",_xll.RssMarket(C36,"出来高"),"")</f>
        <v/>
      </c>
      <c r="K36" s="333" t="str">
        <f>IF(C36&lt;&gt;"",_xll.RssMarket(C36,"年初来高値"),"")</f>
        <v/>
      </c>
      <c r="L36" s="334" t="str">
        <f t="shared" si="0"/>
        <v/>
      </c>
      <c r="M36" s="333">
        <f>IF(C36&lt;&gt;"",IFERROR(AVERAGE(出来高!E5:I5),""),"")</f>
        <v>336004.4</v>
      </c>
      <c r="N36" s="333">
        <f>IF(C36&lt;&gt;"",IFERROR(AVERAGE(出来高!E5:AC5),""),"")</f>
        <v>274359.28000000003</v>
      </c>
      <c r="O36" s="335" t="str">
        <f t="shared" si="1"/>
        <v/>
      </c>
      <c r="P36" s="212" t="str">
        <f t="shared" si="2"/>
        <v/>
      </c>
      <c r="Q36" s="212" t="str">
        <f t="shared" si="3"/>
        <v/>
      </c>
      <c r="R36" s="333" t="str">
        <f t="shared" si="4"/>
        <v/>
      </c>
      <c r="S36" s="333" t="str">
        <f t="shared" si="5"/>
        <v/>
      </c>
      <c r="T36" s="325">
        <f t="shared" si="6"/>
        <v>0</v>
      </c>
      <c r="U36" s="212" t="str">
        <f t="shared" si="7"/>
        <v>除外</v>
      </c>
      <c r="V36" s="212" t="str">
        <f t="shared" si="8"/>
        <v/>
      </c>
      <c r="W36" s="336">
        <f t="array" ref="W36">IFERROR(100-100/(1+SUMPRODUCT((終値!F5:R5&gt;終値!G5:S5)*(終値!F5:R5-終値!G5:S5))/SUMPRODUCT((終値!F5:R5&lt;終値!G5:S5)*(終値!G5:S5-終値!F5:R5))),50)</f>
        <v>44.182619331830189</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-6.1301808636385431</v>
      </c>
      <c r="Y36" s="212" t="e">
        <f t="shared" si="9"/>
        <v>#VALUE!</v>
      </c>
      <c r="Z36" s="338" t="str">
        <f t="shared" si="10"/>
        <v/>
      </c>
      <c r="AA36" s="212" t="str">
        <f t="shared" si="11"/>
        <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 t="shared" si="12"/>
        <v/>
      </c>
      <c r="AE36" s="212"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 t="shared" si="14"/>
        <v>0</v>
      </c>
      <c r="AH36">
        <f t="shared" si="15"/>
        <v>0</v>
      </c>
      <c r="AI36" s="373">
        <f t="array" ref="AI36">IF(C36="","",IFERROR((INDEX(終値!$E:$E,MATCH(TEXT(C36,"0"),終値!$A:$A,0))-INDEX(終値!$E:$CZ,MATCH(TEXT(C36,"0"),終値!$A:$A,0),$AN$2))/INDEX(終値!$E:$CZ,MATCH(TEXT(C36,"0"),終値!$A:$A,0),$AN$2)*100,""))</f>
        <v>-0.82558151178043282</v>
      </c>
      <c r="AJ36" s="373">
        <f t="array" ref="AJ36">IFERROR((終値!$E$5-INDEX(終値!$E$5:$CZ$5,1,$AN$2))/INDEX(終値!$E$5:$CZ$5,1,$AN$2)*100,"")</f>
        <v>-0.82558151178043282</v>
      </c>
      <c r="AK36" s="374">
        <f t="shared" si="16"/>
        <v>0</v>
      </c>
      <c r="AL36" s="372">
        <f t="shared" si="17"/>
        <v>-1</v>
      </c>
      <c r="AO36" s="376" t="e">
        <f t="shared" si="18"/>
        <v>#VALUE!</v>
      </c>
      <c r="AP36" s="377" t="e">
        <f t="shared" si="19"/>
        <v>#VALUE!</v>
      </c>
      <c r="AQ36">
        <f>IF(C36&lt;&gt;"",始値!F5,"")</f>
        <v>3965.39</v>
      </c>
      <c r="AR36">
        <f>IF(C36&lt;&gt;"",高値!F5,"")</f>
        <v>3965.39</v>
      </c>
      <c r="AS36">
        <f>IF(C36&lt;&gt;"",安値!F5,"")</f>
        <v>3880.3</v>
      </c>
      <c r="AT36" t="str">
        <f t="shared" si="20"/>
        <v>長い下ヒゲ(反発)</v>
      </c>
      <c r="AU36">
        <f t="shared" si="21"/>
        <v>-2</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5895</v>
      </c>
      <c r="F37" s="326">
        <f>IF(C37&lt;&gt;"",_xll.RssMarket(C37,"始値"),"")</f>
        <v>5796</v>
      </c>
      <c r="G37" s="325">
        <f>IF(C37&lt;&gt;"",終値!F17,"")</f>
        <v>5532</v>
      </c>
      <c r="H37" s="326">
        <f>IF(C37&lt;&gt;"",_xll.RssMarket(C37,"高値"),"")</f>
        <v>5915</v>
      </c>
      <c r="I37" s="326">
        <f>IF(C37&lt;&gt;"",_xll.RssMarket(C37,"安値"),"")</f>
        <v>5702</v>
      </c>
      <c r="J37" s="326">
        <f>IF(C37&lt;&gt;"",_xll.RssMarket(C37,"出来高"),"")</f>
        <v>1197100</v>
      </c>
      <c r="K37" s="326">
        <f>IF(C37&lt;&gt;"",_xll.RssMarket(C37,"年初来高値"),"")</f>
        <v>7894</v>
      </c>
      <c r="L37" s="327">
        <f t="shared" si="0"/>
        <v>-25.323030149480619</v>
      </c>
      <c r="M37" s="326">
        <f>IF(C37&lt;&gt;"",IFERROR(AVERAGE(出来高!E17:I17),""),"")</f>
        <v>2618120</v>
      </c>
      <c r="N37" s="326">
        <f>IF(C37&lt;&gt;"",IFERROR(AVERAGE(出来高!E17:AC17),""),"")</f>
        <v>1916144</v>
      </c>
      <c r="O37" s="328">
        <f t="shared" si="1"/>
        <v>0.45723649030602109</v>
      </c>
      <c r="P37" s="325" t="str">
        <f t="shared" si="2"/>
        <v>減少↓</v>
      </c>
      <c r="Q37" s="325" t="str">
        <f t="shared" si="3"/>
        <v>様子見▲</v>
      </c>
      <c r="R37" s="326">
        <f t="shared" si="4"/>
        <v>5423</v>
      </c>
      <c r="S37" s="326">
        <f t="shared" si="5"/>
        <v>6131</v>
      </c>
      <c r="T37" s="325">
        <f t="shared" si="6"/>
        <v>9</v>
      </c>
      <c r="U37" s="325" t="str">
        <f t="shared" si="7"/>
        <v>要確認</v>
      </c>
      <c r="V37" s="325" t="str">
        <f t="shared" si="8"/>
        <v>安値圏</v>
      </c>
      <c r="W37" s="329">
        <f t="array" ref="W37">IFERROR(100-100/(1+SUMPRODUCT((終値!F17:R17&gt;終値!G17:S17)*(終値!F17:R17-終値!G17:S17))/SUMPRODUCT((終値!F17:R17&lt;終値!G17:S17)*(終値!G17:S17-終値!F17:R17))),50)</f>
        <v>28.817365269461078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-223.63524174192571</v>
      </c>
      <c r="Y37" s="325" t="str">
        <f t="shared" si="9"/>
        <v>相場上昇・見送り | もみ合い→ MACD- RSI:28.8 [売られ過ぎ] 前日比:+6.6% [安値圏] [9点]</v>
      </c>
      <c r="Z37" s="331">
        <f t="shared" si="10"/>
        <v>6.5618221258134488</v>
      </c>
      <c r="AA37" s="325" t="str">
        <f t="shared" si="11"/>
        <v>上昇▲</v>
      </c>
      <c r="AB37" s="326">
        <f>IF(OR(C37="",C37="TOPX",終値!E17=""),"",IFERROR(((終値!E17*0.333)+(終値!F17*0.222)+(終値!G17*0.148)+(終値!H17*0.099)+(終値!I17*0.066))/(0.333+0.222+0.148+0.099+0.066),""))</f>
        <v>5510.3110599078336</v>
      </c>
      <c r="AC37" s="326">
        <f>IF(OR(C37="",C37="TOPX",終値!E17=""),"",IFERROR(SUMPRODUCT((終値!E17:AC17),{0.077,0.071,0.065,0.06,0.055,0.051,0.047,0.043,0.039,0.036,0.033,0.031,0.028,0.026,0.024,0.022,0.02,0.018,0.017,0.016,0.014,0.013,0.012,0.011,0.01})/SUM({0.077,0.071,0.065,0.06,0.055,0.051,0.047,0.043,0.039,0.036,0.033,0.031,0.028,0.026,0.024,0.022,0.02,0.018,0.017,0.016,0.014,0.013,0.012,0.011,0.01}),""))</f>
        <v>6079.4886769964232</v>
      </c>
      <c r="AD37" s="325" t="str">
        <f t="shared" si="12"/>
        <v>もみ合い→</v>
      </c>
      <c r="AE37" s="325" t="str">
        <f t="shared" si="13"/>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 t="shared" si="14"/>
        <v>9</v>
      </c>
      <c r="AH37">
        <f t="shared" si="15"/>
        <v>89963</v>
      </c>
      <c r="AI37" s="373">
        <f t="array" ref="AI37">IF(C37="","",IFERROR((INDEX(終値!$E:$E,MATCH(TEXT(C37,"0"),終値!$A:$A,0))-INDEX(終値!$E:$CZ,MATCH(TEXT(C37,"0"),終値!$A:$A,0),$AN$2))/INDEX(終値!$E:$CZ,MATCH(TEXT(C37,"0"),終値!$A:$A,0),$AN$2)*100,""))</f>
        <v>-24.700981050934015</v>
      </c>
      <c r="AJ37" s="373">
        <f t="array" ref="AJ37">IFERROR((終値!$E$5-INDEX(終値!$E$5:$CZ$5,1,$AN$2))/INDEX(終値!$E$5:$CZ$5,1,$AN$2)*100,"")</f>
        <v>-0.82558151178043282</v>
      </c>
      <c r="AK37" s="374">
        <f t="shared" si="16"/>
        <v>-23.875399539153584</v>
      </c>
      <c r="AL37" s="372">
        <f t="shared" si="17"/>
        <v>3</v>
      </c>
      <c r="AO37" s="376" t="str">
        <f t="shared" si="18"/>
        <v>通常</v>
      </c>
      <c r="AP37" s="377">
        <f t="shared" si="19"/>
        <v>0</v>
      </c>
      <c r="AQ37">
        <f>IF(C37&lt;&gt;"",始値!F17,"")</f>
        <v>5578</v>
      </c>
      <c r="AR37">
        <f>IF(C37&lt;&gt;"",高値!F17,"")</f>
        <v>5646</v>
      </c>
      <c r="AS37">
        <f>IF(C37&lt;&gt;"",安値!F17,"")</f>
        <v>5367</v>
      </c>
      <c r="AT37" t="str">
        <f t="shared" si="20"/>
        <v>通常</v>
      </c>
      <c r="AU37">
        <f t="shared" si="21"/>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474.4</v>
      </c>
      <c r="F38" s="333">
        <f>IF(C38&lt;&gt;"",_xll.RssMarket(C38,"始値"),"")</f>
        <v>476</v>
      </c>
      <c r="G38" s="212">
        <f>IF(C38&lt;&gt;"",終値!F47,"")</f>
        <v>475.4</v>
      </c>
      <c r="H38" s="333">
        <f>IF(C38&lt;&gt;"",_xll.RssMarket(C38,"高値"),"")</f>
        <v>480</v>
      </c>
      <c r="I38" s="333">
        <f>IF(C38&lt;&gt;"",_xll.RssMarket(C38,"安値"),"")</f>
        <v>473</v>
      </c>
      <c r="J38" s="333">
        <f>IF(C38&lt;&gt;"",_xll.RssMarket(C38,"出来高"),"")</f>
        <v>669800</v>
      </c>
      <c r="K38" s="333">
        <f>IF(C38&lt;&gt;"",_xll.RssMarket(C38,"年初来高値"),"")</f>
        <v>539.9</v>
      </c>
      <c r="L38" s="334">
        <f t="shared" si="0"/>
        <v>-12.131876273383961</v>
      </c>
      <c r="M38" s="333">
        <f>IF(C38&lt;&gt;"",IFERROR(AVERAGE(出来高!E47:I47),""),"")</f>
        <v>1782880</v>
      </c>
      <c r="N38" s="333">
        <f>IF(C38&lt;&gt;"",IFERROR(AVERAGE(出来高!E47:AC47),""),"")</f>
        <v>1434264</v>
      </c>
      <c r="O38" s="335">
        <f t="shared" si="1"/>
        <v>0.37568428609889615</v>
      </c>
      <c r="P38" s="212" t="str">
        <f t="shared" si="2"/>
        <v>減少↓</v>
      </c>
      <c r="Q38" s="212" t="str">
        <f t="shared" si="3"/>
        <v>中立→</v>
      </c>
      <c r="R38" s="333">
        <f t="shared" si="4"/>
        <v>436</v>
      </c>
      <c r="S38" s="333">
        <f t="shared" si="5"/>
        <v>493</v>
      </c>
      <c r="T38" s="325">
        <f t="shared" si="6"/>
        <v>4</v>
      </c>
      <c r="U38" s="212" t="str">
        <f t="shared" si="7"/>
        <v>要確認</v>
      </c>
      <c r="V38" s="212" t="str">
        <f t="shared" si="8"/>
        <v>通常</v>
      </c>
      <c r="W38" s="336">
        <f t="array" ref="W38">IFERROR(100-100/(1+SUMPRODUCT((終値!F47:R47&gt;終値!G47:S47)*(終値!F47:R47-終値!G47:S47))/SUMPRODUCT((終値!F47:R47&lt;終値!G47:S47)*(終値!G47:S47-終値!F47:R47))),50)</f>
        <v>44.936708860759467</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0.37523433861804278</v>
      </c>
      <c r="Y38" s="212" t="str">
        <f t="shared" si="9"/>
        <v>★逆張り売り | 下降トレンド▼ 25日戻り売り★ MACD+ RSI:44.9 前日比:-0.2% [4点]</v>
      </c>
      <c r="Z38" s="338">
        <f t="shared" si="10"/>
        <v>-0.21034917963819941</v>
      </c>
      <c r="AA38" s="212" t="str">
        <f t="shared" si="11"/>
        <v>下落▼</v>
      </c>
      <c r="AB38" s="333">
        <f>IF(OR(C38="",C38="TOPX",終値!E47=""),"",IFERROR(((終値!E47*0.333)+(終値!F47*0.222)+(終値!G47*0.148)+(終値!H47*0.099)+(終値!I47*0.066))/(0.333+0.222+0.148+0.099+0.066),""))</f>
        <v>476.50714285714281</v>
      </c>
      <c r="AC38" s="333">
        <f>IF(OR(C38="",C38="TOPX",終値!E47=""),"",IFERROR(SUMPRODUCT((終値!E47:AC47),{0.077,0.071,0.065,0.06,0.055,0.051,0.047,0.043,0.039,0.036,0.033,0.031,0.028,0.026,0.024,0.022,0.02,0.018,0.017,0.016,0.014,0.013,0.012,0.011,0.01})/SUM({0.077,0.071,0.065,0.06,0.055,0.051,0.047,0.043,0.039,0.036,0.033,0.031,0.028,0.026,0.024,0.022,0.02,0.018,0.017,0.016,0.014,0.013,0.012,0.011,0.01}),""))</f>
        <v>482.44886769964216</v>
      </c>
      <c r="AD38" s="212" t="str">
        <f t="shared" si="12"/>
        <v>下降トレンド▼</v>
      </c>
      <c r="AE38" s="212" t="str">
        <f t="shared" si="13"/>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 t="shared" si="14"/>
        <v>0</v>
      </c>
      <c r="AH38">
        <f t="shared" si="15"/>
        <v>0</v>
      </c>
      <c r="AI38" s="373">
        <f t="array" ref="AI38">IF(C38="","",IFERROR((INDEX(終値!$E:$E,MATCH(TEXT(C38,"0"),終値!$A:$A,0))-INDEX(終値!$E:$CZ,MATCH(TEXT(C38,"0"),終値!$A:$A,0),$AN$2))/INDEX(終値!$E:$CZ,MATCH(TEXT(C38,"0"),終値!$A:$A,0),$AN$2)*100,""))</f>
        <v>3.3890845070422615</v>
      </c>
      <c r="AJ38" s="373">
        <f t="array" ref="AJ38">IFERROR((終値!$E$5-INDEX(終値!$E$5:$CZ$5,1,$AN$2))/INDEX(終値!$E$5:$CZ$5,1,$AN$2)*100,"")</f>
        <v>-0.82558151178043282</v>
      </c>
      <c r="AK38" s="374">
        <f t="shared" si="16"/>
        <v>4.2146660188226939</v>
      </c>
      <c r="AL38" s="372">
        <f t="shared" si="17"/>
        <v>-2</v>
      </c>
      <c r="AO38" s="376" t="str">
        <f t="shared" si="18"/>
        <v>通常</v>
      </c>
      <c r="AP38" s="377">
        <f t="shared" si="19"/>
        <v>0</v>
      </c>
      <c r="AQ38">
        <f>IF(C38&lt;&gt;"",始値!F47,"")</f>
        <v>481.9</v>
      </c>
      <c r="AR38">
        <f>IF(C38&lt;&gt;"",高値!F47,"")</f>
        <v>481.9</v>
      </c>
      <c r="AS38">
        <f>IF(C38&lt;&gt;"",安値!F47,"")</f>
        <v>470.7</v>
      </c>
      <c r="AT38" t="str">
        <f t="shared" si="20"/>
        <v>通常</v>
      </c>
      <c r="AU38">
        <f t="shared" si="21"/>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5838</v>
      </c>
      <c r="F39" s="326">
        <f>IF(C39&lt;&gt;"",_xll.RssMarket(C39,"始値"),"")</f>
        <v>5748</v>
      </c>
      <c r="G39" s="325">
        <f>IF(C39&lt;&gt;"",終値!F68,"")</f>
        <v>5536</v>
      </c>
      <c r="H39" s="326">
        <f>IF(C39&lt;&gt;"",_xll.RssMarket(C39,"高値"),"")</f>
        <v>5838</v>
      </c>
      <c r="I39" s="326">
        <f>IF(C39&lt;&gt;"",_xll.RssMarket(C39,"安値"),"")</f>
        <v>5678</v>
      </c>
      <c r="J39" s="326">
        <f>IF(C39&lt;&gt;"",_xll.RssMarket(C39,"出来高"),"")</f>
        <v>3886800</v>
      </c>
      <c r="K39" s="326">
        <f>IF(C39&lt;&gt;"",_xll.RssMarket(C39,"年初来高値"),"")</f>
        <v>6686</v>
      </c>
      <c r="L39" s="327">
        <f t="shared" si="0"/>
        <v>-12.683218665868981</v>
      </c>
      <c r="M39" s="326">
        <f>IF(C39&lt;&gt;"",IFERROR(AVERAGE(出来高!E68:I68),""),"")</f>
        <v>9564920</v>
      </c>
      <c r="N39" s="326">
        <f>IF(C39&lt;&gt;"",IFERROR(AVERAGE(出来高!E68:AC68),""),"")</f>
        <v>5944676</v>
      </c>
      <c r="O39" s="328">
        <f t="shared" si="1"/>
        <v>0.40635990682619405</v>
      </c>
      <c r="P39" s="325" t="str">
        <f t="shared" si="2"/>
        <v>減少↓</v>
      </c>
      <c r="Q39" s="325" t="str">
        <f t="shared" si="3"/>
        <v>様子見▲</v>
      </c>
      <c r="R39" s="326">
        <f t="shared" si="4"/>
        <v>5371</v>
      </c>
      <c r="S39" s="326">
        <f t="shared" si="5"/>
        <v>6072</v>
      </c>
      <c r="T39" s="325">
        <f t="shared" si="6"/>
        <v>3</v>
      </c>
      <c r="U39" s="325" t="str">
        <f t="shared" si="7"/>
        <v>要確認</v>
      </c>
      <c r="V39" s="325" t="str">
        <f t="shared" si="8"/>
        <v>通常</v>
      </c>
      <c r="W39" s="329">
        <f t="array" ref="W39">IFERROR(100-100/(1+SUMPRODUCT((終値!F68:R68&gt;終値!G68:S68)*(終値!F68:R68-終値!G68:S68))/SUMPRODUCT((終値!F68:R68&lt;終値!G68:S68)*(終値!G68:S68-終値!F68:R68))),50)</f>
        <v>47.963302752293579</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-36.820744390797699</v>
      </c>
      <c r="Y39" s="325" t="str">
        <f t="shared" si="9"/>
        <v>相場上昇・見送り | 上昇トレンド▲ MACD- RSI:48.0 前日比:+5.5% [3点]</v>
      </c>
      <c r="Z39" s="331">
        <f t="shared" si="10"/>
        <v>5.4552023121387281</v>
      </c>
      <c r="AA39" s="325" t="str">
        <f t="shared" si="11"/>
        <v>上昇▲</v>
      </c>
      <c r="AB39" s="326">
        <f>IF(OR(C39="",C39="TOPX",終値!E68=""),"",IFERROR(((終値!E68*0.333)+(終値!F68*0.222)+(終値!G68*0.148)+(終値!H68*0.099)+(終値!I68*0.066))/(0.333+0.222+0.148+0.099+0.066),""))</f>
        <v>5590.9205069124428</v>
      </c>
      <c r="AC39" s="326">
        <f>IF(OR(C39="",C39="TOPX",終値!E68=""),"",IFERROR(SUMPRODUCT((終値!E68:AC68),{0.077,0.071,0.065,0.06,0.055,0.051,0.047,0.043,0.039,0.036,0.033,0.031,0.028,0.026,0.024,0.022,0.02,0.018,0.017,0.016,0.014,0.013,0.012,0.011,0.01})/SUM({0.077,0.071,0.065,0.06,0.055,0.051,0.047,0.043,0.039,0.036,0.033,0.031,0.028,0.026,0.024,0.022,0.02,0.018,0.017,0.016,0.014,0.013,0.012,0.011,0.01}),""))</f>
        <v>5621.5566150178765</v>
      </c>
      <c r="AD39" s="325" t="str">
        <f t="shared" si="12"/>
        <v>上昇トレンド▲</v>
      </c>
      <c r="AE39" s="325" t="str">
        <f t="shared" si="13"/>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 t="shared" si="14"/>
        <v>0</v>
      </c>
      <c r="AH39">
        <f t="shared" si="15"/>
        <v>0</v>
      </c>
      <c r="AI39" s="373">
        <f t="array" ref="AI39">IF(C39="","",IFERROR((INDEX(終値!$E:$E,MATCH(TEXT(C39,"0"),終値!$A:$A,0))-INDEX(終値!$E:$CZ,MATCH(TEXT(C39,"0"),終値!$A:$A,0),$AN$2))/INDEX(終値!$E:$CZ,MATCH(TEXT(C39,"0"),終値!$A:$A,0),$AN$2)*100,""))</f>
        <v>-3.6006825938566549</v>
      </c>
      <c r="AJ39" s="373">
        <f t="array" ref="AJ39">IFERROR((終値!$E$5-INDEX(終値!$E$5:$CZ$5,1,$AN$2))/INDEX(終値!$E$5:$CZ$5,1,$AN$2)*100,"")</f>
        <v>-0.82558151178043282</v>
      </c>
      <c r="AK39" s="374">
        <f t="shared" si="16"/>
        <v>-2.7751010820762221</v>
      </c>
      <c r="AL39" s="372">
        <f t="shared" si="17"/>
        <v>1</v>
      </c>
      <c r="AO39" s="376" t="str">
        <f t="shared" si="18"/>
        <v>通常</v>
      </c>
      <c r="AP39" s="377">
        <f t="shared" si="19"/>
        <v>0</v>
      </c>
      <c r="AQ39">
        <f>IF(C39&lt;&gt;"",始値!F68,"")</f>
        <v>5712</v>
      </c>
      <c r="AR39">
        <f>IF(C39&lt;&gt;"",高値!F68,"")</f>
        <v>5773</v>
      </c>
      <c r="AS39">
        <f>IF(C39&lt;&gt;"",安値!F68,"")</f>
        <v>5357</v>
      </c>
      <c r="AT39" t="str">
        <f t="shared" si="20"/>
        <v>通常</v>
      </c>
      <c r="AU39">
        <f t="shared" si="21"/>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2329</v>
      </c>
      <c r="F40" s="333">
        <f>IF(C40&lt;&gt;"",_xll.RssMarket(C40,"始値"),"")</f>
        <v>2310</v>
      </c>
      <c r="G40" s="212">
        <f>IF(C40&lt;&gt;"",終値!F86,"")</f>
        <v>2259.5</v>
      </c>
      <c r="H40" s="333">
        <f>IF(C40&lt;&gt;"",_xll.RssMarket(C40,"高値"),"")</f>
        <v>2355.5</v>
      </c>
      <c r="I40" s="333">
        <f>IF(C40&lt;&gt;"",_xll.RssMarket(C40,"安値"),"")</f>
        <v>2302.5</v>
      </c>
      <c r="J40" s="333">
        <f>IF(C40&lt;&gt;"",_xll.RssMarket(C40,"出来高"),"")</f>
        <v>742500</v>
      </c>
      <c r="K40" s="333">
        <f>IF(C40&lt;&gt;"",_xll.RssMarket(C40,"年初来高値"),"")</f>
        <v>2927.5</v>
      </c>
      <c r="L40" s="334">
        <f t="shared" si="0"/>
        <v>-20.44406490179334</v>
      </c>
      <c r="M40" s="333">
        <f>IF(C40&lt;&gt;"",IFERROR(AVERAGE(出来高!E86:I86),""),"")</f>
        <v>1705380</v>
      </c>
      <c r="N40" s="333">
        <f>IF(C40&lt;&gt;"",IFERROR(AVERAGE(出来高!E86:AC86),""),"")</f>
        <v>1672008.3333333333</v>
      </c>
      <c r="O40" s="335">
        <f t="shared" si="1"/>
        <v>0.43538683460577698</v>
      </c>
      <c r="P40" s="212" t="str">
        <f t="shared" si="2"/>
        <v>減少↓</v>
      </c>
      <c r="Q40" s="212" t="str">
        <f t="shared" si="3"/>
        <v>様子見▲</v>
      </c>
      <c r="R40" s="333">
        <f t="shared" si="4"/>
        <v>2143</v>
      </c>
      <c r="S40" s="333">
        <f t="shared" si="5"/>
        <v>2422</v>
      </c>
      <c r="T40" s="325">
        <f t="shared" si="6"/>
        <v>4</v>
      </c>
      <c r="U40" s="212" t="str">
        <f t="shared" si="7"/>
        <v>要確認</v>
      </c>
      <c r="V40" s="212" t="str">
        <f t="shared" si="8"/>
        <v>通常</v>
      </c>
      <c r="W40" s="336">
        <f t="array" ref="W40">IFERROR(100-100/(1+SUMPRODUCT((終値!F86:R86&gt;終値!G86:S86)*(終値!F86:R86-終値!G86:S86))/SUMPRODUCT((終値!F86:R86&lt;終値!G86:S86)*(終値!G86:S86-終値!F86:R86))),50)</f>
        <v>49.579344357412246</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-32.672418493943042</v>
      </c>
      <c r="Y40" s="212" t="str">
        <f t="shared" si="9"/>
        <v>相場上昇・見送り | パーフェクト▲ MACD- RSI:49.6 前日比:+3.1%前日[長い下ヒゲ(反発)] [4点]</v>
      </c>
      <c r="Z40" s="338">
        <f t="shared" si="10"/>
        <v>3.0759017481743749</v>
      </c>
      <c r="AA40" s="212" t="str">
        <f t="shared" si="11"/>
        <v>上昇▲</v>
      </c>
      <c r="AB40" s="333">
        <f>IF(OR(C40="",C40="TOPX",終値!E86=""),"",IFERROR(((終値!E86*0.333)+(終値!F86*0.222)+(終値!G86*0.148)+(終値!H86*0.099)+(終値!I86*0.066))/(0.333+0.222+0.148+0.099+0.066),""))</f>
        <v>2265.925115207373</v>
      </c>
      <c r="AC40" s="333">
        <f>IF(OR(C40="",C40="TOPX",終値!E86=""),"",IFERROR(SUMPRODUCT((終値!E86:AC86),{0.077,0.071,0.065,0.06,0.055,0.051,0.047,0.043,0.039,0.036,0.033,0.031,0.028,0.026,0.024,0.022,0.02,0.018,0.017,0.016,0.014,0.013,0.012,0.011,0.01})/SUM({0.077,0.071,0.065,0.06,0.055,0.051,0.047,0.043,0.039,0.036,0.033,0.031,0.028,0.026,0.024,0.022,0.02,0.018,0.017,0.016,0.014,0.013,0.012,0.011,0.01}),""))</f>
        <v>2190.1615017878426</v>
      </c>
      <c r="AD40" s="212" t="str">
        <f t="shared" si="12"/>
        <v>パーフェクト▲</v>
      </c>
      <c r="AE40" s="212" t="str">
        <f t="shared" si="13"/>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 t="shared" si="14"/>
        <v>0</v>
      </c>
      <c r="AH40">
        <f t="shared" si="15"/>
        <v>0</v>
      </c>
      <c r="AI40" s="373">
        <f t="array" ref="AI40">IF(C40="","",IFERROR((INDEX(終値!$E:$E,MATCH(TEXT(C40,"0"),終値!$A:$A,0))-INDEX(終値!$E:$CZ,MATCH(TEXT(C40,"0"),終値!$A:$A,0),$AN$2))/INDEX(終値!$E:$CZ,MATCH(TEXT(C40,"0"),終値!$A:$A,0),$AN$2)*100,""))</f>
        <v>-10.098039215686274</v>
      </c>
      <c r="AJ40" s="373">
        <f t="array" ref="AJ40">IFERROR((終値!$E$5-INDEX(終値!$E$5:$CZ$5,1,$AN$2))/INDEX(終値!$E$5:$CZ$5,1,$AN$2)*100,"")</f>
        <v>-0.82558151178043282</v>
      </c>
      <c r="AK40" s="374">
        <f t="shared" si="16"/>
        <v>-9.2724577039058413</v>
      </c>
      <c r="AL40" s="372">
        <f t="shared" si="17"/>
        <v>3</v>
      </c>
      <c r="AO40" s="376" t="str">
        <f t="shared" si="18"/>
        <v>通常</v>
      </c>
      <c r="AP40" s="377">
        <f t="shared" si="19"/>
        <v>0</v>
      </c>
      <c r="AQ40">
        <f>IF(C40&lt;&gt;"",始値!F86,"")</f>
        <v>2240.5</v>
      </c>
      <c r="AR40">
        <f>IF(C40&lt;&gt;"",高値!F86,"")</f>
        <v>2274</v>
      </c>
      <c r="AS40">
        <f>IF(C40&lt;&gt;"",安値!F86,"")</f>
        <v>2193</v>
      </c>
      <c r="AT40" t="str">
        <f t="shared" si="20"/>
        <v>長い下ヒゲ(反発)</v>
      </c>
      <c r="AU40">
        <f t="shared" si="21"/>
        <v>-2</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4485</v>
      </c>
      <c r="F41" s="326">
        <f>IF(C41&lt;&gt;"",_xll.RssMarket(C41,"始値"),"")</f>
        <v>4400</v>
      </c>
      <c r="G41" s="325">
        <f>IF(C41&lt;&gt;"",終値!F90,"")</f>
        <v>3975</v>
      </c>
      <c r="H41" s="326">
        <f>IF(C41&lt;&gt;"",_xll.RssMarket(C41,"高値"),"")</f>
        <v>4517</v>
      </c>
      <c r="I41" s="326">
        <f>IF(C41&lt;&gt;"",_xll.RssMarket(C41,"安値"),"")</f>
        <v>4372</v>
      </c>
      <c r="J41" s="326">
        <f>IF(C41&lt;&gt;"",_xll.RssMarket(C41,"出来高"),"")</f>
        <v>2044400</v>
      </c>
      <c r="K41" s="326">
        <f>IF(C41&lt;&gt;"",_xll.RssMarket(C41,"年初来高値"),"")</f>
        <v>5199</v>
      </c>
      <c r="L41" s="327">
        <f t="shared" si="0"/>
        <v>-13.733410271206001</v>
      </c>
      <c r="M41" s="326">
        <f>IF(C41&lt;&gt;"",IFERROR(AVERAGE(出来高!E90:I90),""),"")</f>
        <v>4163160</v>
      </c>
      <c r="N41" s="326">
        <f>IF(C41&lt;&gt;"",IFERROR(AVERAGE(出来高!E90:AC90),""),"")</f>
        <v>3275216</v>
      </c>
      <c r="O41" s="328">
        <f t="shared" si="1"/>
        <v>0.49106928390933807</v>
      </c>
      <c r="P41" s="325" t="str">
        <f t="shared" si="2"/>
        <v>減少↓</v>
      </c>
      <c r="Q41" s="325" t="str">
        <f t="shared" si="3"/>
        <v>様子見▲</v>
      </c>
      <c r="R41" s="326">
        <f t="shared" si="4"/>
        <v>4126</v>
      </c>
      <c r="S41" s="326">
        <f t="shared" si="5"/>
        <v>4664</v>
      </c>
      <c r="T41" s="325">
        <f t="shared" si="6"/>
        <v>3</v>
      </c>
      <c r="U41" s="325" t="str">
        <f t="shared" si="7"/>
        <v>要確認</v>
      </c>
      <c r="V41" s="325" t="str">
        <f t="shared" si="8"/>
        <v>通常</v>
      </c>
      <c r="W41" s="329">
        <f t="array" ref="W41">IFERROR(100-100/(1+SUMPRODUCT((終値!F90:R90&gt;終値!G90:S90)*(終値!F90:R90-終値!G90:S90))/SUMPRODUCT((終値!F90:R90&lt;終値!G90:S90)*(終値!G90:S90-終値!F90:R90))),50)</f>
        <v>40.139082058414466</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-103.53348803330573</v>
      </c>
      <c r="Y41" s="325" t="str">
        <f t="shared" si="9"/>
        <v>相場上昇・見送り | 上昇トレンド▲ MACD- RSI:40.1 前日比:+12.8% [3点]</v>
      </c>
      <c r="Z41" s="331">
        <f t="shared" si="10"/>
        <v>12.830188679245284</v>
      </c>
      <c r="AA41" s="325" t="str">
        <f t="shared" si="11"/>
        <v>上昇▲</v>
      </c>
      <c r="AB41" s="326">
        <f>IF(OR(C41="",C41="TOPX",終値!E90=""),"",IFERROR(((終値!E90*0.333)+(終値!F90*0.222)+(終値!G90*0.148)+(終値!H90*0.099)+(終値!I90*0.066))/(0.333+0.222+0.148+0.099+0.066),""))</f>
        <v>3994.1843317972343</v>
      </c>
      <c r="AC41" s="326">
        <f>IF(OR(C41="",C41="TOPX",終値!E90=""),"",IFERROR(SUMPRODUCT((終値!E90:AC90),{0.077,0.071,0.065,0.06,0.055,0.051,0.047,0.043,0.039,0.036,0.033,0.031,0.028,0.026,0.024,0.022,0.02,0.018,0.017,0.016,0.014,0.013,0.012,0.011,0.01})/SUM({0.077,0.071,0.065,0.06,0.055,0.051,0.047,0.043,0.039,0.036,0.033,0.031,0.028,0.026,0.024,0.022,0.02,0.018,0.017,0.016,0.014,0.013,0.012,0.011,0.01}),""))</f>
        <v>4249.3253873659087</v>
      </c>
      <c r="AD41" s="325" t="str">
        <f t="shared" si="12"/>
        <v>上昇トレンド▲</v>
      </c>
      <c r="AE41" s="325" t="str">
        <f t="shared" si="13"/>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 t="shared" si="14"/>
        <v>0</v>
      </c>
      <c r="AH41">
        <f t="shared" si="15"/>
        <v>0</v>
      </c>
      <c r="AI41" s="373">
        <f t="array" ref="AI41">IF(C41="","",IFERROR((INDEX(終値!$E:$E,MATCH(TEXT(C41,"0"),終値!$A:$A,0))-INDEX(終値!$E:$CZ,MATCH(TEXT(C41,"0"),終値!$A:$A,0),$AN$2))/INDEX(終値!$E:$CZ,MATCH(TEXT(C41,"0"),終値!$A:$A,0),$AN$2)*100,""))</f>
        <v>-4.9390919158361015</v>
      </c>
      <c r="AJ41" s="373">
        <f t="array" ref="AJ41">IFERROR((終値!$E$5-INDEX(終値!$E$5:$CZ$5,1,$AN$2))/INDEX(終値!$E$5:$CZ$5,1,$AN$2)*100,"")</f>
        <v>-0.82558151178043282</v>
      </c>
      <c r="AK41" s="374">
        <f t="shared" si="16"/>
        <v>-4.1135104040556687</v>
      </c>
      <c r="AL41" s="372">
        <f t="shared" si="17"/>
        <v>1</v>
      </c>
      <c r="AO41" s="376" t="str">
        <f t="shared" si="18"/>
        <v>通常</v>
      </c>
      <c r="AP41" s="377">
        <f t="shared" si="19"/>
        <v>0</v>
      </c>
      <c r="AQ41">
        <f>IF(C41&lt;&gt;"",始値!F90,"")</f>
        <v>3881</v>
      </c>
      <c r="AR41">
        <f>IF(C41&lt;&gt;"",高値!F90,"")</f>
        <v>4107</v>
      </c>
      <c r="AS41">
        <f>IF(C41&lt;&gt;"",安値!F90,"")</f>
        <v>3838</v>
      </c>
      <c r="AT41" t="str">
        <f t="shared" si="20"/>
        <v>通常</v>
      </c>
      <c r="AU41">
        <f t="shared" si="21"/>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4336</v>
      </c>
      <c r="F42" s="333">
        <f>IF(C42&lt;&gt;"",_xll.RssMarket(C42,"始値"),"")</f>
        <v>4363</v>
      </c>
      <c r="G42" s="212">
        <f>IF(C42&lt;&gt;"",終値!F105,"")</f>
        <v>3798</v>
      </c>
      <c r="H42" s="333">
        <f>IF(C42&lt;&gt;"",_xll.RssMarket(C42,"高値"),"")</f>
        <v>4416</v>
      </c>
      <c r="I42" s="333">
        <f>IF(C42&lt;&gt;"",_xll.RssMarket(C42,"安値"),"")</f>
        <v>4245</v>
      </c>
      <c r="J42" s="333">
        <f>IF(C42&lt;&gt;"",_xll.RssMarket(C42,"出来高"),"")</f>
        <v>849700</v>
      </c>
      <c r="K42" s="333">
        <f>IF(C42&lt;&gt;"",_xll.RssMarket(C42,"年初来高値"),"")</f>
        <v>5164</v>
      </c>
      <c r="L42" s="334">
        <f t="shared" si="0"/>
        <v>-16.03408210689388</v>
      </c>
      <c r="M42" s="333">
        <f>IF(C42&lt;&gt;"",IFERROR(AVERAGE(出来高!E105:I105),""),"")</f>
        <v>486320</v>
      </c>
      <c r="N42" s="333">
        <f>IF(C42&lt;&gt;"",IFERROR(AVERAGE(出来高!E105:AC105),""),"")</f>
        <v>474952</v>
      </c>
      <c r="O42" s="335">
        <f t="shared" si="1"/>
        <v>1.7472034874156934</v>
      </c>
      <c r="P42" s="212" t="str">
        <f t="shared" si="2"/>
        <v>増加↑</v>
      </c>
      <c r="Q42" s="212" t="str">
        <f t="shared" si="3"/>
        <v>様子見▲</v>
      </c>
      <c r="R42" s="333">
        <f t="shared" si="4"/>
        <v>3989</v>
      </c>
      <c r="S42" s="333">
        <f t="shared" si="5"/>
        <v>4509</v>
      </c>
      <c r="T42" s="325">
        <f t="shared" si="6"/>
        <v>7</v>
      </c>
      <c r="U42" s="212" t="str">
        <f t="shared" si="7"/>
        <v>有効</v>
      </c>
      <c r="V42" s="212" t="str">
        <f t="shared" si="8"/>
        <v>通常</v>
      </c>
      <c r="W42" s="336">
        <f t="array" ref="W42">IFERROR(100-100/(1+SUMPRODUCT((終値!F105:R105&gt;終値!G105:S105)*(終値!F105:R105-終値!G105:S105))/SUMPRODUCT((終値!F105:R105&lt;終値!G105:S105)*(終値!G105:S105-終値!F105:R105))),50)</f>
        <v>39.804827940421163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-71.788368844008801</v>
      </c>
      <c r="Y42" s="212" t="str">
        <f t="shared" si="9"/>
        <v>相場上昇・見送り | 上昇トレンド▲ MACD- RSI:39.8 前日比:+14.2% [7点]</v>
      </c>
      <c r="Z42" s="338">
        <f t="shared" si="10"/>
        <v>14.165350184307529</v>
      </c>
      <c r="AA42" s="212" t="str">
        <f t="shared" si="11"/>
        <v>上昇▲</v>
      </c>
      <c r="AB42" s="333">
        <f>IF(OR(C42="",C42="TOPX",終値!E105=""),"",IFERROR(((終値!E105*0.333)+(終値!F105*0.222)+(終値!G105*0.148)+(終値!H105*0.099)+(終値!I105*0.066))/(0.333+0.222+0.148+0.099+0.066),""))</f>
        <v>3839.8859447004602</v>
      </c>
      <c r="AC42" s="333">
        <f>IF(OR(C42="",C42="TOPX",終値!E105=""),"",IFERROR(SUMPRODUCT((終値!E105:AC105),{0.077,0.071,0.065,0.06,0.055,0.051,0.047,0.043,0.039,0.036,0.033,0.031,0.028,0.026,0.024,0.022,0.02,0.018,0.017,0.016,0.014,0.013,0.012,0.011,0.01})/SUM({0.077,0.071,0.065,0.06,0.055,0.051,0.047,0.043,0.039,0.036,0.033,0.031,0.028,0.026,0.024,0.022,0.02,0.018,0.017,0.016,0.014,0.013,0.012,0.011,0.01}),""))</f>
        <v>4024.2431466030962</v>
      </c>
      <c r="AD42" s="212" t="str">
        <f t="shared" si="12"/>
        <v>上昇トレンド▲</v>
      </c>
      <c r="AE42" s="212" t="str">
        <f t="shared" si="13"/>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 t="shared" si="14"/>
        <v>7</v>
      </c>
      <c r="AH42">
        <f t="shared" si="15"/>
        <v>69958</v>
      </c>
      <c r="AI42" s="373">
        <f t="array" ref="AI42">IF(C42="","",IFERROR((INDEX(終値!$E:$E,MATCH(TEXT(C42,"0"),終値!$A:$A,0))-INDEX(終値!$E:$CZ,MATCH(TEXT(C42,"0"),終値!$A:$A,0),$AN$2))/INDEX(終値!$E:$CZ,MATCH(TEXT(C42,"0"),終値!$A:$A,0),$AN$2)*100,""))</f>
        <v>-6.5875232774674126</v>
      </c>
      <c r="AJ42" s="373">
        <f t="array" ref="AJ42">IFERROR((終値!$E$5-INDEX(終値!$E$5:$CZ$5,1,$AN$2))/INDEX(終値!$E$5:$CZ$5,1,$AN$2)*100,"")</f>
        <v>-0.82558151178043282</v>
      </c>
      <c r="AK42" s="374">
        <f t="shared" si="16"/>
        <v>-5.7619417656869798</v>
      </c>
      <c r="AL42" s="372">
        <f t="shared" si="17"/>
        <v>3</v>
      </c>
      <c r="AO42" s="376" t="str">
        <f t="shared" si="18"/>
        <v>通常</v>
      </c>
      <c r="AP42" s="377">
        <f t="shared" si="19"/>
        <v>0</v>
      </c>
      <c r="AQ42">
        <f>IF(C42&lt;&gt;"",始値!F105,"")</f>
        <v>3725</v>
      </c>
      <c r="AR42">
        <f>IF(C42&lt;&gt;"",高値!F105,"")</f>
        <v>3821</v>
      </c>
      <c r="AS42">
        <f>IF(C42&lt;&gt;"",安値!F105,"")</f>
        <v>3720</v>
      </c>
      <c r="AT42" t="str">
        <f t="shared" si="20"/>
        <v>通常</v>
      </c>
      <c r="AU42">
        <f t="shared" si="21"/>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7370</v>
      </c>
      <c r="F43" s="326">
        <f>IF(C43&lt;&gt;"",_xll.RssMarket(C43,"始値"),"")</f>
        <v>7300</v>
      </c>
      <c r="G43" s="325">
        <f>IF(C43&lt;&gt;"",終値!F159,"")</f>
        <v>6810</v>
      </c>
      <c r="H43" s="326">
        <f>IF(C43&lt;&gt;"",_xll.RssMarket(C43,"高値"),"")</f>
        <v>7700</v>
      </c>
      <c r="I43" s="326">
        <f>IF(C43&lt;&gt;"",_xll.RssMarket(C43,"安値"),"")</f>
        <v>7140</v>
      </c>
      <c r="J43" s="326">
        <f>IF(C43&lt;&gt;"",_xll.RssMarket(C43,"出来高"),"")</f>
        <v>244100</v>
      </c>
      <c r="K43" s="326">
        <f>IF(C43&lt;&gt;"",_xll.RssMarket(C43,"年初来高値"),"")</f>
        <v>11110</v>
      </c>
      <c r="L43" s="327">
        <f t="shared" si="0"/>
        <v>-33.663366336633665</v>
      </c>
      <c r="M43" s="326">
        <f>IF(C43&lt;&gt;"",IFERROR(AVERAGE(出来高!E159:I159),""),"")</f>
        <v>382260</v>
      </c>
      <c r="N43" s="326">
        <f>IF(C43&lt;&gt;"",IFERROR(AVERAGE(出来高!E159:AC159),""),"")</f>
        <v>210892</v>
      </c>
      <c r="O43" s="328">
        <f t="shared" si="1"/>
        <v>0.63857060639355412</v>
      </c>
      <c r="P43" s="325" t="str">
        <f t="shared" si="2"/>
        <v>減少↓</v>
      </c>
      <c r="Q43" s="325" t="str">
        <f t="shared" si="3"/>
        <v>様子見▲</v>
      </c>
      <c r="R43" s="326">
        <f t="shared" si="4"/>
        <v>6780</v>
      </c>
      <c r="S43" s="326">
        <f t="shared" si="5"/>
        <v>7665</v>
      </c>
      <c r="T43" s="325">
        <f t="shared" si="6"/>
        <v>9</v>
      </c>
      <c r="U43" s="325" t="str">
        <f t="shared" si="7"/>
        <v>要確認</v>
      </c>
      <c r="V43" s="325" t="str">
        <f t="shared" si="8"/>
        <v>安値圏</v>
      </c>
      <c r="W43" s="329">
        <f t="array" ref="W43">IFERROR(100-100/(1+SUMPRODUCT((終値!F159:R159&gt;終値!G159:S159)*(終値!F159:R159-終値!G159:S159))/SUMPRODUCT((終値!F159:R159&lt;終値!G159:S159)*(終値!G159:S159-終値!F159:R159))),50)</f>
        <v>42.372881355932208</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-269.95004756426806</v>
      </c>
      <c r="Y43" s="325" t="str">
        <f t="shared" si="9"/>
        <v>相場上昇・見送り | 上昇トレンド▲ MACD- RSI:42.4 前日比:+8.2% [安値圏] [9点]</v>
      </c>
      <c r="Z43" s="331">
        <f t="shared" si="10"/>
        <v>8.2232011747430249</v>
      </c>
      <c r="AA43" s="325" t="str">
        <f t="shared" si="11"/>
        <v>上昇▲</v>
      </c>
      <c r="AB43" s="326">
        <f>IF(OR(C43="",C43="TOPX",終値!E159=""),"",IFERROR(((終値!E159*0.333)+(終値!F159*0.222)+(終値!G159*0.148)+(終値!H159*0.099)+(終値!I159*0.066))/(0.333+0.222+0.148+0.099+0.066),""))</f>
        <v>6565.1728110599079</v>
      </c>
      <c r="AC43" s="326">
        <f>IF(OR(C43="",C43="TOPX",終値!E159=""),"",IFERROR(SUMPRODUCT((終値!E159:AC159),{0.077,0.071,0.065,0.06,0.055,0.051,0.047,0.043,0.039,0.036,0.033,0.031,0.028,0.026,0.024,0.022,0.02,0.018,0.017,0.016,0.014,0.013,0.012,0.011,0.01})/SUM({0.077,0.071,0.065,0.06,0.055,0.051,0.047,0.043,0.039,0.036,0.033,0.031,0.028,0.026,0.024,0.022,0.02,0.018,0.017,0.016,0.014,0.013,0.012,0.011,0.01}),""))</f>
        <v>7108.7961859356355</v>
      </c>
      <c r="AD43" s="325" t="str">
        <f t="shared" si="12"/>
        <v>上昇トレンド▲</v>
      </c>
      <c r="AE43" s="325" t="str">
        <f t="shared" si="13"/>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 t="shared" si="14"/>
        <v>9</v>
      </c>
      <c r="AH43">
        <f t="shared" si="15"/>
        <v>89957</v>
      </c>
      <c r="AI43" s="373">
        <f t="array" ref="AI43">IF(C43="","",IFERROR((INDEX(終値!$E:$E,MATCH(TEXT(C43,"0"),終値!$A:$A,0))-INDEX(終値!$E:$CZ,MATCH(TEXT(C43,"0"),終値!$A:$A,0),$AN$2))/INDEX(終値!$E:$CZ,MATCH(TEXT(C43,"0"),終値!$A:$A,0),$AN$2)*100,""))</f>
        <v>-31.863727454909817</v>
      </c>
      <c r="AJ43" s="373">
        <f t="array" ref="AJ43">IFERROR((終値!$E$5-INDEX(終値!$E$5:$CZ$5,1,$AN$2))/INDEX(終値!$E$5:$CZ$5,1,$AN$2)*100,"")</f>
        <v>-0.82558151178043282</v>
      </c>
      <c r="AK43" s="374">
        <f t="shared" si="16"/>
        <v>-31.038145943129386</v>
      </c>
      <c r="AL43" s="372">
        <f t="shared" si="17"/>
        <v>3</v>
      </c>
      <c r="AO43" s="376" t="str">
        <f t="shared" si="18"/>
        <v>通常</v>
      </c>
      <c r="AP43" s="377">
        <f t="shared" si="19"/>
        <v>0</v>
      </c>
      <c r="AQ43">
        <f>IF(C43&lt;&gt;"",始値!F159,"")</f>
        <v>6800</v>
      </c>
      <c r="AR43">
        <f>IF(C43&lt;&gt;"",高値!F159,"")</f>
        <v>7230</v>
      </c>
      <c r="AS43">
        <f>IF(C43&lt;&gt;"",安値!F159,"")</f>
        <v>6460</v>
      </c>
      <c r="AT43" t="str">
        <f t="shared" si="20"/>
        <v>通常</v>
      </c>
      <c r="AU43">
        <f t="shared" si="21"/>
        <v>0</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4375</v>
      </c>
      <c r="F44" s="333">
        <f>IF(C44&lt;&gt;"",_xll.RssMarket(C44,"始値"),"")</f>
        <v>4375</v>
      </c>
      <c r="G44" s="212">
        <f>IF(C44&lt;&gt;"",終値!F162,"")</f>
        <v>4420</v>
      </c>
      <c r="H44" s="333">
        <f>IF(C44&lt;&gt;"",_xll.RssMarket(C44,"高値"),"")</f>
        <v>4375</v>
      </c>
      <c r="I44" s="333">
        <f>IF(C44&lt;&gt;"",_xll.RssMarket(C44,"安値"),"")</f>
        <v>4375</v>
      </c>
      <c r="J44" s="333">
        <f>IF(C44&lt;&gt;"",_xll.RssMarket(C44,"出来高"),"")</f>
        <v>200</v>
      </c>
      <c r="K44" s="333">
        <f>IF(C44&lt;&gt;"",_xll.RssMarket(C44,"年初来高値"),"")</f>
        <v>5320</v>
      </c>
      <c r="L44" s="334">
        <f t="shared" si="0"/>
        <v>-17.763157894736842</v>
      </c>
      <c r="M44" s="333">
        <f>IF(C44&lt;&gt;"",IFERROR(AVERAGE(出来高!E162:I162),""),"")</f>
        <v>1240</v>
      </c>
      <c r="N44" s="333">
        <f>IF(C44&lt;&gt;"",IFERROR(AVERAGE(出来高!E162:AC162),""),"")</f>
        <v>1279.1666666666667</v>
      </c>
      <c r="O44" s="335">
        <f t="shared" si="1"/>
        <v>0.16129032258064516</v>
      </c>
      <c r="P44" s="212" t="str">
        <f t="shared" si="2"/>
        <v>減少↓</v>
      </c>
      <c r="Q44" s="212" t="str">
        <f t="shared" si="3"/>
        <v>中立→</v>
      </c>
      <c r="R44" s="333">
        <f t="shared" si="4"/>
        <v>4025</v>
      </c>
      <c r="S44" s="333">
        <f t="shared" si="5"/>
        <v>4550</v>
      </c>
      <c r="T44" s="325">
        <f t="shared" si="6"/>
        <v>6</v>
      </c>
      <c r="U44" s="212" t="str">
        <f t="shared" si="7"/>
        <v>要確認</v>
      </c>
      <c r="V44" s="212" t="str">
        <f t="shared" si="8"/>
        <v>通常</v>
      </c>
      <c r="W44" s="336">
        <f t="array" ref="W44">IFERROR(100-100/(1+SUMPRODUCT((終値!F162:R162&gt;終値!G162:S162)*(終値!F162:R162-終値!G162:S162))/SUMPRODUCT((終値!F162:R162&lt;終値!G162:S162)*(終値!G162:S162-終値!F162:R162))),50)</f>
        <v>50.131648235913637</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-15.781138676717092</v>
      </c>
      <c r="Y44" s="212" t="str">
        <f t="shared" si="9"/>
        <v>相場上昇・見送り | 上昇トレンド▲ MACD- RSI:50.1 前日比:-1.0%前日[大陰線▼] [6点]</v>
      </c>
      <c r="Z44" s="338">
        <f t="shared" si="10"/>
        <v>-1.0180995475113122</v>
      </c>
      <c r="AA44" s="212" t="str">
        <f t="shared" si="11"/>
        <v>下落▼</v>
      </c>
      <c r="AB44" s="333">
        <f>IF(OR(C44="",C44="TOPX",終値!E162=""),"",IFERROR(((終値!E162*0.333)+(終値!F162*0.222)+(終値!G162*0.148)+(終値!H162*0.099)+(終値!I162*0.066))/(0.333+0.222+0.148+0.099+0.066),""))</f>
        <v>4428.5541474654365</v>
      </c>
      <c r="AC44" s="333">
        <f>IF(OR(C44="",C44="TOPX",終値!E162=""),"",IFERROR(SUMPRODUCT((終値!E162:AC162),{0.077,0.071,0.065,0.06,0.055,0.051,0.047,0.043,0.039,0.036,0.033,0.031,0.028,0.026,0.024,0.022,0.02,0.018,0.017,0.016,0.014,0.013,0.012,0.011,0.01})/SUM({0.077,0.071,0.065,0.06,0.055,0.051,0.047,0.043,0.039,0.036,0.033,0.031,0.028,0.026,0.024,0.022,0.02,0.018,0.017,0.016,0.014,0.013,0.012,0.011,0.01}),""))</f>
        <v>4211.5554231227643</v>
      </c>
      <c r="AD44" s="212" t="str">
        <f t="shared" si="12"/>
        <v>上昇トレンド▲</v>
      </c>
      <c r="AE44" s="212" t="str">
        <f t="shared" si="13"/>
        <v>なし</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 t="shared" si="14"/>
        <v>0</v>
      </c>
      <c r="AH44">
        <f t="shared" si="15"/>
        <v>0</v>
      </c>
      <c r="AI44" s="373">
        <f t="array" ref="AI44">IF(C44="","",IFERROR((INDEX(終値!$E:$E,MATCH(TEXT(C44,"0"),終値!$A:$A,0))-INDEX(終値!$E:$CZ,MATCH(TEXT(C44,"0"),終値!$A:$A,0),$AN$2))/INDEX(終値!$E:$CZ,MATCH(TEXT(C44,"0"),終値!$A:$A,0),$AN$2)*100,""))</f>
        <v>1.3904982618771726</v>
      </c>
      <c r="AJ44" s="373">
        <f t="array" ref="AJ44">IFERROR((終値!$E$5-INDEX(終値!$E$5:$CZ$5,1,$AN$2))/INDEX(終値!$E$5:$CZ$5,1,$AN$2)*100,"")</f>
        <v>-0.82558151178043282</v>
      </c>
      <c r="AK44" s="374">
        <f t="shared" si="16"/>
        <v>2.2160797736576052</v>
      </c>
      <c r="AL44" s="372">
        <f t="shared" si="17"/>
        <v>-1</v>
      </c>
      <c r="AO44" s="376" t="str">
        <f t="shared" si="18"/>
        <v>-</v>
      </c>
      <c r="AP44" s="377">
        <f t="shared" si="19"/>
        <v>0</v>
      </c>
      <c r="AQ44">
        <f>IF(C44&lt;&gt;"",始値!F162,"")</f>
        <v>4460</v>
      </c>
      <c r="AR44">
        <f>IF(C44&lt;&gt;"",高値!F162,"")</f>
        <v>4460</v>
      </c>
      <c r="AS44">
        <f>IF(C44&lt;&gt;"",安値!F162,"")</f>
        <v>4420</v>
      </c>
      <c r="AT44" t="str">
        <f t="shared" si="20"/>
        <v>大陰線▼</v>
      </c>
      <c r="AU44">
        <f t="shared" si="21"/>
        <v>2</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3923</v>
      </c>
      <c r="F45" s="326">
        <f>IF(C45&lt;&gt;"",_xll.RssMarket(C45,"始値"),"")</f>
        <v>3846</v>
      </c>
      <c r="G45" s="325">
        <f>IF(C45&lt;&gt;"",終値!F200,"")</f>
        <v>3200</v>
      </c>
      <c r="H45" s="326">
        <f>IF(C45&lt;&gt;"",_xll.RssMarket(C45,"高値"),"")</f>
        <v>3976</v>
      </c>
      <c r="I45" s="326">
        <f>IF(C45&lt;&gt;"",_xll.RssMarket(C45,"安値"),"")</f>
        <v>3781</v>
      </c>
      <c r="J45" s="326">
        <f>IF(C45&lt;&gt;"",_xll.RssMarket(C45,"出来高"),"")</f>
        <v>23086900</v>
      </c>
      <c r="K45" s="326">
        <f>IF(C45&lt;&gt;"",_xll.RssMarket(C45,"年初来高値"),"")</f>
        <v>4870</v>
      </c>
      <c r="L45" s="327">
        <f t="shared" si="0"/>
        <v>-19.44558521560575</v>
      </c>
      <c r="M45" s="326">
        <f>IF(C45&lt;&gt;"",IFERROR(AVERAGE(出来高!E200:I200),""),"")</f>
        <v>24866300</v>
      </c>
      <c r="N45" s="326">
        <f>IF(C45&lt;&gt;"",IFERROR(AVERAGE(出来高!E200:AC200),""),"")</f>
        <v>19371720</v>
      </c>
      <c r="O45" s="328">
        <f t="shared" si="1"/>
        <v>0.92844130409429626</v>
      </c>
      <c r="P45" s="325" t="str">
        <f t="shared" si="2"/>
        <v>減少↓</v>
      </c>
      <c r="Q45" s="325" t="str">
        <f t="shared" si="3"/>
        <v>様子見▲</v>
      </c>
      <c r="R45" s="326">
        <f t="shared" si="4"/>
        <v>3609</v>
      </c>
      <c r="S45" s="326">
        <f t="shared" si="5"/>
        <v>4080</v>
      </c>
      <c r="T45" s="325">
        <f t="shared" si="6"/>
        <v>6</v>
      </c>
      <c r="U45" s="325" t="str">
        <f t="shared" si="7"/>
        <v>要確認</v>
      </c>
      <c r="V45" s="325" t="str">
        <f t="shared" si="8"/>
        <v>通常</v>
      </c>
      <c r="W45" s="329">
        <f t="array" ref="W45">IFERROR(100-100/(1+SUMPRODUCT((終値!F200:R200&gt;終値!G200:S200)*(終値!F200:R200-終値!G200:S200))/SUMPRODUCT((終値!F200:R200&lt;終値!G200:S200)*(終値!G200:S200-終値!F200:R200))),50)</f>
        <v>41.40141467727674</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-90.792388920510348</v>
      </c>
      <c r="Y45" s="325" t="str">
        <f t="shared" si="9"/>
        <v>相場上昇・見送り | 上昇トレンド▲ MACD- RSI:41.4 前日比:+22.6% [6点]</v>
      </c>
      <c r="Z45" s="331">
        <f t="shared" si="10"/>
        <v>22.59375</v>
      </c>
      <c r="AA45" s="325" t="str">
        <f t="shared" si="11"/>
        <v>上昇▲</v>
      </c>
      <c r="AB45" s="326">
        <f>IF(OR(C45="",C45="TOPX",終値!E200=""),"",IFERROR(((終値!E200*0.333)+(終値!F200*0.222)+(終値!G200*0.148)+(終値!H200*0.099)+(終値!I200*0.066))/(0.333+0.222+0.148+0.099+0.066),""))</f>
        <v>3250.3404377880183</v>
      </c>
      <c r="AC45" s="326">
        <f>IF(OR(C45="",C45="TOPX",終値!E200=""),"",IFERROR(SUMPRODUCT((終値!E200:AC200),{0.077,0.071,0.065,0.06,0.055,0.051,0.047,0.043,0.039,0.036,0.033,0.031,0.028,0.026,0.024,0.022,0.02,0.018,0.017,0.016,0.014,0.013,0.012,0.011,0.01})/SUM({0.077,0.071,0.065,0.06,0.055,0.051,0.047,0.043,0.039,0.036,0.033,0.031,0.028,0.026,0.024,0.022,0.02,0.018,0.017,0.016,0.014,0.013,0.012,0.011,0.01}),""))</f>
        <v>3381.1078665077466</v>
      </c>
      <c r="AD45" s="325" t="str">
        <f t="shared" si="12"/>
        <v>上昇トレンド▲</v>
      </c>
      <c r="AE45" s="325" t="str">
        <f t="shared" si="13"/>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 t="shared" si="14"/>
        <v>0</v>
      </c>
      <c r="AH45">
        <f t="shared" si="15"/>
        <v>0</v>
      </c>
      <c r="AI45" s="373">
        <f t="array" ref="AI45">IF(C45="","",IFERROR((INDEX(終値!$E:$E,MATCH(TEXT(C45,"0"),終値!$A:$A,0))-INDEX(終値!$E:$CZ,MATCH(TEXT(C45,"0"),終値!$A:$A,0),$AN$2))/INDEX(終値!$E:$CZ,MATCH(TEXT(C45,"0"),終値!$A:$A,0),$AN$2)*100,""))</f>
        <v>-19.303009730708304</v>
      </c>
      <c r="AJ45" s="373">
        <f t="array" ref="AJ45">IFERROR((終値!$E$5-INDEX(終値!$E$5:$CZ$5,1,$AN$2))/INDEX(終値!$E$5:$CZ$5,1,$AN$2)*100,"")</f>
        <v>-0.82558151178043282</v>
      </c>
      <c r="AK45" s="374">
        <f t="shared" si="16"/>
        <v>-18.477428218927869</v>
      </c>
      <c r="AL45" s="372">
        <f t="shared" si="17"/>
        <v>3</v>
      </c>
      <c r="AO45" s="376" t="str">
        <f t="shared" si="18"/>
        <v>通常</v>
      </c>
      <c r="AP45" s="377">
        <f t="shared" si="19"/>
        <v>0</v>
      </c>
      <c r="AQ45">
        <f>IF(C45&lt;&gt;"",始値!F200,"")</f>
        <v>2935</v>
      </c>
      <c r="AR45">
        <f>IF(C45&lt;&gt;"",高値!F200,"")</f>
        <v>3233</v>
      </c>
      <c r="AS45">
        <f>IF(C45&lt;&gt;"",安値!F200,"")</f>
        <v>2929.5</v>
      </c>
      <c r="AT45" t="str">
        <f t="shared" si="20"/>
        <v>通常</v>
      </c>
      <c r="AU45">
        <f t="shared" si="21"/>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8476</v>
      </c>
      <c r="F46" s="333">
        <f>IF(C46&lt;&gt;"",_xll.RssMarket(C46,"始値"),"")</f>
        <v>8358</v>
      </c>
      <c r="G46" s="212">
        <f>IF(C46&lt;&gt;"",終値!F8,"")</f>
        <v>7961</v>
      </c>
      <c r="H46" s="333">
        <f>IF(C46&lt;&gt;"",_xll.RssMarket(C46,"高値"),"")</f>
        <v>8574</v>
      </c>
      <c r="I46" s="333">
        <f>IF(C46&lt;&gt;"",_xll.RssMarket(C46,"安値"),"")</f>
        <v>8233</v>
      </c>
      <c r="J46" s="333">
        <f>IF(C46&lt;&gt;"",_xll.RssMarket(C46,"出来高"),"")</f>
        <v>1906800</v>
      </c>
      <c r="K46" s="333">
        <f>IF(C46&lt;&gt;"",_xll.RssMarket(C46,"年初来高値"),"")</f>
        <v>13300</v>
      </c>
      <c r="L46" s="334">
        <f t="shared" si="0"/>
        <v>-36.270676691729328</v>
      </c>
      <c r="M46" s="333">
        <f>IF(C46&lt;&gt;"",IFERROR(AVERAGE(出来高!E8:I8),""),"")</f>
        <v>3339720</v>
      </c>
      <c r="N46" s="333">
        <f>IF(C46&lt;&gt;"",IFERROR(AVERAGE(出来高!E8:AC8),""),"")</f>
        <v>2952976</v>
      </c>
      <c r="O46" s="335">
        <f t="shared" si="1"/>
        <v>0.57094606733498621</v>
      </c>
      <c r="P46" s="212" t="str">
        <f t="shared" si="2"/>
        <v>減少↓</v>
      </c>
      <c r="Q46" s="212" t="str">
        <f t="shared" si="3"/>
        <v>様子見▲</v>
      </c>
      <c r="R46" s="333">
        <f t="shared" si="4"/>
        <v>7798</v>
      </c>
      <c r="S46" s="333">
        <f t="shared" si="5"/>
        <v>8815</v>
      </c>
      <c r="T46" s="325">
        <f t="shared" si="6"/>
        <v>1</v>
      </c>
      <c r="U46" s="212" t="str">
        <f t="shared" si="7"/>
        <v>除外</v>
      </c>
      <c r="V46" s="212" t="str">
        <f t="shared" si="8"/>
        <v>安値圏</v>
      </c>
      <c r="W46" s="336">
        <f t="array" ref="W46">IFERROR(100-100/(1+SUMPRODUCT((終値!F8:R8&gt;終値!G8:S8)*(終値!F8:R8-終値!G8:S8))/SUMPRODUCT((終値!F8:R8&lt;終値!G8:S8)*(終値!G8:S8-終値!F8:R8))),50)</f>
        <v>59.367000232720507</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61.4309263291143</v>
      </c>
      <c r="Y46" s="212" t="str">
        <f t="shared" si="9"/>
        <v>相場上昇・見送り | パーフェクト▲ MACD+ RSI:59.4 前日比:+6.5% [安値圏]前日[長い下ヒゲ(反発)] [1点]</v>
      </c>
      <c r="Z46" s="338">
        <f t="shared" si="10"/>
        <v>6.4690365531968341</v>
      </c>
      <c r="AA46" s="212" t="str">
        <f t="shared" si="11"/>
        <v>上昇▲</v>
      </c>
      <c r="AB46" s="333">
        <f>IF(OR(C46="",C46="TOPX",終値!E8=""),"",IFERROR(((終値!E8*0.333)+(終値!F8*0.222)+(終値!G8*0.148)+(終値!H8*0.099)+(終値!I8*0.066))/(0.333+0.222+0.148+0.099+0.066),""))</f>
        <v>7926.7235023041476</v>
      </c>
      <c r="AC46" s="333">
        <f>IF(OR(C46="",C46="TOPX",終値!E8=""),"",IFERROR(SUMPRODUCT((終値!E8:AC8),{0.077,0.071,0.065,0.06,0.055,0.051,0.047,0.043,0.039,0.036,0.033,0.031,0.028,0.026,0.024,0.022,0.02,0.018,0.017,0.016,0.014,0.013,0.012,0.011,0.01})/SUM({0.077,0.071,0.065,0.06,0.055,0.051,0.047,0.043,0.039,0.036,0.033,0.031,0.028,0.026,0.024,0.022,0.02,0.018,0.017,0.016,0.014,0.013,0.012,0.011,0.01}),""))</f>
        <v>7594.2634088200221</v>
      </c>
      <c r="AD46" s="212" t="str">
        <f t="shared" si="12"/>
        <v>パーフェクト▲</v>
      </c>
      <c r="AE46" s="212" t="str">
        <f t="shared" si="13"/>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 t="shared" si="14"/>
        <v>0</v>
      </c>
      <c r="AH46">
        <f t="shared" si="15"/>
        <v>0</v>
      </c>
      <c r="AI46" s="373">
        <f t="array" ref="AI46">IF(C46="","",IFERROR((INDEX(終値!$E:$E,MATCH(TEXT(C46,"0"),終値!$A:$A,0))-INDEX(終値!$E:$CZ,MATCH(TEXT(C46,"0"),終値!$A:$A,0),$AN$2))/INDEX(終値!$E:$CZ,MATCH(TEXT(C46,"0"),終値!$A:$A,0),$AN$2)*100,""))</f>
        <v>7.5547250400427117</v>
      </c>
      <c r="AJ46" s="373">
        <f t="array" ref="AJ46">IFERROR((終値!$E$5-INDEX(終値!$E$5:$CZ$5,1,$AN$2))/INDEX(終値!$E$5:$CZ$5,1,$AN$2)*100,"")</f>
        <v>-0.82558151178043282</v>
      </c>
      <c r="AK46" s="374">
        <f t="shared" si="16"/>
        <v>8.3803065518231445</v>
      </c>
      <c r="AL46" s="372">
        <f t="shared" si="17"/>
        <v>-2</v>
      </c>
      <c r="AO46" s="376" t="str">
        <f t="shared" si="18"/>
        <v>通常</v>
      </c>
      <c r="AP46" s="377">
        <f t="shared" si="19"/>
        <v>0</v>
      </c>
      <c r="AQ46">
        <f>IF(C46&lt;&gt;"",始値!F8,"")</f>
        <v>7885</v>
      </c>
      <c r="AR46">
        <f>IF(C46&lt;&gt;"",高値!F8,"")</f>
        <v>8022</v>
      </c>
      <c r="AS46">
        <f>IF(C46&lt;&gt;"",安値!F8,"")</f>
        <v>7705</v>
      </c>
      <c r="AT46" t="str">
        <f t="shared" si="20"/>
        <v>長い下ヒゲ(反発)</v>
      </c>
      <c r="AU46">
        <f t="shared" si="21"/>
        <v>-2</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8533</v>
      </c>
      <c r="F47" s="326">
        <f>IF(C47&lt;&gt;"",_xll.RssMarket(C47,"始値"),"")</f>
        <v>8347</v>
      </c>
      <c r="G47" s="325">
        <f>IF(C47&lt;&gt;"",終値!F10,"")</f>
        <v>8159</v>
      </c>
      <c r="H47" s="326">
        <f>IF(C47&lt;&gt;"",_xll.RssMarket(C47,"高値"),"")</f>
        <v>8628</v>
      </c>
      <c r="I47" s="326">
        <f>IF(C47&lt;&gt;"",_xll.RssMarket(C47,"安値"),"")</f>
        <v>8330</v>
      </c>
      <c r="J47" s="326">
        <f>IF(C47&lt;&gt;"",_xll.RssMarket(C47,"出来高"),"")</f>
        <v>357200</v>
      </c>
      <c r="K47" s="326">
        <f>IF(C47&lt;&gt;"",_xll.RssMarket(C47,"年初来高値"),"")</f>
        <v>12380</v>
      </c>
      <c r="L47" s="327">
        <f t="shared" si="0"/>
        <v>-31.074313408723746</v>
      </c>
      <c r="M47" s="326">
        <f>IF(C47&lt;&gt;"",IFERROR(AVERAGE(出来高!E10:I10),""),"")</f>
        <v>508720</v>
      </c>
      <c r="N47" s="326">
        <f>IF(C47&lt;&gt;"",IFERROR(AVERAGE(出来高!E10:AC10),""),"")</f>
        <v>473604</v>
      </c>
      <c r="O47" s="328">
        <f t="shared" si="1"/>
        <v>0.70215442679666618</v>
      </c>
      <c r="P47" s="325" t="str">
        <f t="shared" si="2"/>
        <v>減少↓</v>
      </c>
      <c r="Q47" s="325" t="str">
        <f t="shared" si="3"/>
        <v>様子見▲</v>
      </c>
      <c r="R47" s="326">
        <f t="shared" si="4"/>
        <v>7850</v>
      </c>
      <c r="S47" s="326">
        <f t="shared" si="5"/>
        <v>8874</v>
      </c>
      <c r="T47" s="325">
        <f t="shared" si="6"/>
        <v>9</v>
      </c>
      <c r="U47" s="325" t="str">
        <f t="shared" si="7"/>
        <v>要確認</v>
      </c>
      <c r="V47" s="325" t="str">
        <f t="shared" si="8"/>
        <v>安値圏</v>
      </c>
      <c r="W47" s="329">
        <f t="array" ref="W47">IFERROR(100-100/(1+SUMPRODUCT((終値!F10:R10&gt;終値!G10:S10)*(終値!F10:R10-終値!G10:S10))/SUMPRODUCT((終値!F10:R10&lt;終値!G10:S10)*(終値!G10:S10-終値!F10:R10))),50)</f>
        <v>47.679324894514764</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-50.461472940104613</v>
      </c>
      <c r="Y47" s="325" t="str">
        <f t="shared" si="9"/>
        <v>相場上昇・見送り | 上昇トレンド▲ MACD- RSI:47.7 前日比:+4.6% [安値圏] [9点]</v>
      </c>
      <c r="Z47" s="331">
        <f t="shared" si="10"/>
        <v>4.5838950851820073</v>
      </c>
      <c r="AA47" s="325" t="str">
        <f t="shared" si="11"/>
        <v>上昇▲</v>
      </c>
      <c r="AB47" s="326">
        <f>IF(OR(C47="",C47="TOPX",終値!E10=""),"",IFERROR(((終値!E10*0.333)+(終値!F10*0.222)+(終値!G10*0.148)+(終値!H10*0.099)+(終値!I10*0.066))/(0.333+0.222+0.148+0.099+0.066),""))</f>
        <v>8148.100230414746</v>
      </c>
      <c r="AC47" s="326">
        <f>IF(OR(C47="",C47="TOPX",終値!E10=""),"",IFERROR(SUMPRODUCT((終値!E10:AC10),{0.077,0.071,0.065,0.06,0.055,0.051,0.047,0.043,0.039,0.036,0.033,0.031,0.028,0.026,0.024,0.022,0.02,0.018,0.017,0.016,0.014,0.013,0.012,0.011,0.01})/SUM({0.077,0.071,0.065,0.06,0.055,0.051,0.047,0.043,0.039,0.036,0.033,0.031,0.028,0.026,0.024,0.022,0.02,0.018,0.017,0.016,0.014,0.013,0.012,0.011,0.01}),""))</f>
        <v>8282.4004767580445</v>
      </c>
      <c r="AD47" s="325" t="str">
        <f t="shared" si="12"/>
        <v>上昇トレンド▲</v>
      </c>
      <c r="AE47" s="325" t="str">
        <f t="shared" si="13"/>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 t="shared" si="14"/>
        <v>9</v>
      </c>
      <c r="AH47">
        <f t="shared" si="15"/>
        <v>89953</v>
      </c>
      <c r="AI47" s="373">
        <f t="array" ref="AI47">IF(C47="","",IFERROR((INDEX(終値!$E:$E,MATCH(TEXT(C47,"0"),終値!$A:$A,0))-INDEX(終値!$E:$CZ,MATCH(TEXT(C47,"0"),終値!$A:$A,0),$AN$2))/INDEX(終値!$E:$CZ,MATCH(TEXT(C47,"0"),終値!$A:$A,0),$AN$2)*100,""))</f>
        <v>-6.5336374002280495</v>
      </c>
      <c r="AJ47" s="373">
        <f t="array" ref="AJ47">IFERROR((終値!$E$5-INDEX(終値!$E$5:$CZ$5,1,$AN$2))/INDEX(終値!$E$5:$CZ$5,1,$AN$2)*100,"")</f>
        <v>-0.82558151178043282</v>
      </c>
      <c r="AK47" s="374">
        <f t="shared" si="16"/>
        <v>-5.7080558884476167</v>
      </c>
      <c r="AL47" s="372">
        <f t="shared" si="17"/>
        <v>3</v>
      </c>
      <c r="AO47" s="376" t="str">
        <f t="shared" si="18"/>
        <v>通常</v>
      </c>
      <c r="AP47" s="377">
        <f t="shared" si="19"/>
        <v>0</v>
      </c>
      <c r="AQ47">
        <f>IF(C47&lt;&gt;"",始値!F10,"")</f>
        <v>8026</v>
      </c>
      <c r="AR47">
        <f>IF(C47&lt;&gt;"",高値!F10,"")</f>
        <v>8207</v>
      </c>
      <c r="AS47">
        <f>IF(C47&lt;&gt;"",安値!F10,"")</f>
        <v>7907</v>
      </c>
      <c r="AT47" t="str">
        <f t="shared" si="20"/>
        <v>通常</v>
      </c>
      <c r="AU47">
        <f t="shared" si="21"/>
        <v>0</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2856</v>
      </c>
      <c r="F48" s="333">
        <f>IF(C48&lt;&gt;"",_xll.RssMarket(C48,"始値"),"")</f>
        <v>2841</v>
      </c>
      <c r="G48" s="212">
        <f>IF(C48&lt;&gt;"",終値!F13,"")</f>
        <v>2835</v>
      </c>
      <c r="H48" s="333">
        <f>IF(C48&lt;&gt;"",_xll.RssMarket(C48,"高値"),"")</f>
        <v>2886</v>
      </c>
      <c r="I48" s="333">
        <f>IF(C48&lt;&gt;"",_xll.RssMarket(C48,"安値"),"")</f>
        <v>2811</v>
      </c>
      <c r="J48" s="333">
        <f>IF(C48&lt;&gt;"",_xll.RssMarket(C48,"出来高"),"")</f>
        <v>175500</v>
      </c>
      <c r="K48" s="333">
        <f>IF(C48&lt;&gt;"",_xll.RssMarket(C48,"年初来高値"),"")</f>
        <v>3330</v>
      </c>
      <c r="L48" s="334">
        <f t="shared" si="0"/>
        <v>-14.234234234234233</v>
      </c>
      <c r="M48" s="333">
        <f>IF(C48&lt;&gt;"",IFERROR(AVERAGE(出来高!E13:I13),""),"")</f>
        <v>650380</v>
      </c>
      <c r="N48" s="333">
        <f>IF(C48&lt;&gt;"",IFERROR(AVERAGE(出来高!E13:AC13),""),"")</f>
        <v>394816</v>
      </c>
      <c r="O48" s="335">
        <f t="shared" si="1"/>
        <v>0.2698422460715274</v>
      </c>
      <c r="P48" s="212" t="str">
        <f t="shared" si="2"/>
        <v>減少↓</v>
      </c>
      <c r="Q48" s="212" t="str">
        <f t="shared" si="3"/>
        <v>様子見▲</v>
      </c>
      <c r="R48" s="333">
        <f t="shared" si="4"/>
        <v>2628</v>
      </c>
      <c r="S48" s="333">
        <f t="shared" si="5"/>
        <v>2970</v>
      </c>
      <c r="T48" s="325">
        <f t="shared" si="6"/>
        <v>3</v>
      </c>
      <c r="U48" s="212" t="str">
        <f t="shared" si="7"/>
        <v>要確認</v>
      </c>
      <c r="V48" s="212" t="str">
        <f t="shared" si="8"/>
        <v>通常</v>
      </c>
      <c r="W48" s="336">
        <f t="array" ref="W48">IFERROR(100-100/(1+SUMPRODUCT((終値!F13:R13&gt;終値!G13:S13)*(終値!F13:R13-終値!G13:S13))/SUMPRODUCT((終値!F13:R13&lt;終値!G13:S13)*(終値!G13:S13-終値!F13:R13))),50)</f>
        <v>60.296096904441455</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-0.27794450702231188</v>
      </c>
      <c r="Y48" s="212" t="str">
        <f t="shared" si="9"/>
        <v>相場上昇・見送り | パーフェクト▲ MACD- RSI:60.3 前日比:+0.7% [3点]</v>
      </c>
      <c r="Z48" s="338">
        <f t="shared" si="10"/>
        <v>0.74074074074074081</v>
      </c>
      <c r="AA48" s="212" t="str">
        <f t="shared" si="11"/>
        <v>上昇▲</v>
      </c>
      <c r="AB48" s="333">
        <f>IF(OR(C48="",C48="TOPX",終値!E13=""),"",IFERROR(((終値!E13*0.333)+(終値!F13*0.222)+(終値!G13*0.148)+(終値!H13*0.099)+(終値!I13*0.066))/(0.333+0.222+0.148+0.099+0.066),""))</f>
        <v>2751.2834101382487</v>
      </c>
      <c r="AC48" s="333">
        <f>IF(OR(C48="",C48="TOPX",終値!E13=""),"",IFERROR(SUMPRODUCT((終値!E13:AC13),{0.077,0.071,0.065,0.06,0.055,0.051,0.047,0.043,0.039,0.036,0.033,0.031,0.028,0.026,0.024,0.022,0.02,0.018,0.017,0.016,0.014,0.013,0.012,0.011,0.01})/SUM({0.077,0.071,0.065,0.06,0.055,0.051,0.047,0.043,0.039,0.036,0.033,0.031,0.028,0.026,0.024,0.022,0.02,0.018,0.017,0.016,0.014,0.013,0.012,0.011,0.01}),""))</f>
        <v>2700.0083432657916</v>
      </c>
      <c r="AD48" s="212" t="str">
        <f t="shared" si="12"/>
        <v>パーフェクト▲</v>
      </c>
      <c r="AE48" s="212" t="str">
        <f t="shared" si="13"/>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 t="shared" si="14"/>
        <v>0</v>
      </c>
      <c r="AH48">
        <f t="shared" si="15"/>
        <v>0</v>
      </c>
      <c r="AI48" s="373">
        <f t="array" ref="AI48">IF(C48="","",IFERROR((INDEX(終値!$E:$E,MATCH(TEXT(C48,"0"),終値!$A:$A,0))-INDEX(終値!$E:$CZ,MATCH(TEXT(C48,"0"),終値!$A:$A,0),$AN$2))/INDEX(終値!$E:$CZ,MATCH(TEXT(C48,"0"),終値!$A:$A,0),$AN$2)*100,""))</f>
        <v>-7.1556350626118065E-2</v>
      </c>
      <c r="AJ48" s="373">
        <f t="array" ref="AJ48">IFERROR((終値!$E$5-INDEX(終値!$E$5:$CZ$5,1,$AN$2))/INDEX(終値!$E$5:$CZ$5,1,$AN$2)*100,"")</f>
        <v>-0.82558151178043282</v>
      </c>
      <c r="AK48" s="374">
        <f t="shared" si="16"/>
        <v>0.75402516115431473</v>
      </c>
      <c r="AL48" s="372">
        <f t="shared" si="17"/>
        <v>-1</v>
      </c>
      <c r="AO48" s="376" t="str">
        <f t="shared" si="18"/>
        <v>通常</v>
      </c>
      <c r="AP48" s="377">
        <f t="shared" si="19"/>
        <v>0</v>
      </c>
      <c r="AQ48">
        <f>IF(C48&lt;&gt;"",始値!F13,"")</f>
        <v>2665</v>
      </c>
      <c r="AR48">
        <f>IF(C48&lt;&gt;"",高値!F13,"")</f>
        <v>2970</v>
      </c>
      <c r="AS48">
        <f>IF(C48&lt;&gt;"",安値!F13,"")</f>
        <v>2633</v>
      </c>
      <c r="AT48" t="str">
        <f t="shared" si="20"/>
        <v>通常</v>
      </c>
      <c r="AU48">
        <f t="shared" si="21"/>
        <v>0</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1707</v>
      </c>
      <c r="F49" s="326">
        <f>IF(C49&lt;&gt;"",_xll.RssMarket(C49,"始値"),"")</f>
        <v>1660</v>
      </c>
      <c r="G49" s="325">
        <f>IF(C49&lt;&gt;"",終値!F25,"")</f>
        <v>0</v>
      </c>
      <c r="H49" s="326">
        <f>IF(C49&lt;&gt;"",_xll.RssMarket(C49,"高値"),"")</f>
        <v>1712.5</v>
      </c>
      <c r="I49" s="326">
        <f>IF(C49&lt;&gt;"",_xll.RssMarket(C49,"安値"),"")</f>
        <v>1657.5</v>
      </c>
      <c r="J49" s="326">
        <f>IF(C49&lt;&gt;"",_xll.RssMarket(C49,"出来高"),"")</f>
        <v>6146900</v>
      </c>
      <c r="K49" s="326">
        <f>IF(C49&lt;&gt;"",_xll.RssMarket(C49,"年初来高値"),"")</f>
        <v>1697.5</v>
      </c>
      <c r="L49" s="327">
        <f t="shared" si="0"/>
        <v>0.55964653902798234</v>
      </c>
      <c r="M49" s="326" t="str">
        <f>IF(C49&lt;&gt;"",IFERROR(AVERAGE(出来高!E25:I25),""),"")</f>
        <v/>
      </c>
      <c r="N49" s="326" t="str">
        <f>IF(C49&lt;&gt;"",IFERROR(AVERAGE(出来高!E25:AC25),""),"")</f>
        <v/>
      </c>
      <c r="O49" s="328" t="str">
        <f t="shared" si="1"/>
        <v/>
      </c>
      <c r="P49" s="325" t="str">
        <f t="shared" si="2"/>
        <v/>
      </c>
      <c r="Q49" s="325" t="str">
        <f t="shared" si="3"/>
        <v>様子見▲</v>
      </c>
      <c r="R49" s="326">
        <f t="shared" si="4"/>
        <v>1570</v>
      </c>
      <c r="S49" s="326">
        <f t="shared" si="5"/>
        <v>1775</v>
      </c>
      <c r="T49" s="325">
        <f t="shared" si="6"/>
        <v>1</v>
      </c>
      <c r="U49" s="325" t="str">
        <f t="shared" si="7"/>
        <v>除外</v>
      </c>
      <c r="V49" s="325" t="str">
        <f t="shared" si="8"/>
        <v>通常</v>
      </c>
      <c r="W49" s="329">
        <f t="array" ref="W49">IFERROR(100-100/(1+SUMPRODUCT((終値!F25:R25&gt;終値!G25:S25)*(終値!F25:R25-終値!G25:S25))/SUMPRODUCT((終値!F25:R25&lt;終値!G25:S25)*(終値!G25:S25-終値!F25:R25))),50)</f>
        <v>50</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0</v>
      </c>
      <c r="Y49" s="325" t="str">
        <f t="shared" si="9"/>
        <v>相場上昇・見送り |   MACD+ RSI:50.0 前日比:% [1点]</v>
      </c>
      <c r="Z49" s="331" t="str">
        <f t="shared" si="10"/>
        <v/>
      </c>
      <c r="AA49" s="325" t="str">
        <f t="shared" si="11"/>
        <v>上昇▲</v>
      </c>
      <c r="AB49" s="326" t="str">
        <f>IF(OR(C49="",C49="TOPX",終値!E25=""),"",IFERROR(((終値!E25*0.333)+(終値!F25*0.222)+(終値!G25*0.148)+(終値!H25*0.099)+(終値!I25*0.066))/(0.333+0.222+0.148+0.099+0.066),""))</f>
        <v/>
      </c>
      <c r="AC49" s="326" t="str">
        <f>IF(OR(C49="",C49="TOPX",終値!E25=""),"",IFERROR(SUMPRODUCT((終値!E25:AC25),{0.077,0.071,0.065,0.06,0.055,0.051,0.047,0.043,0.039,0.036,0.033,0.031,0.028,0.026,0.024,0.022,0.02,0.018,0.017,0.016,0.014,0.013,0.012,0.011,0.01})/SUM({0.077,0.071,0.065,0.06,0.055,0.051,0.047,0.043,0.039,0.036,0.033,0.031,0.028,0.026,0.024,0.022,0.02,0.018,0.017,0.016,0.014,0.013,0.012,0.011,0.01}),""))</f>
        <v/>
      </c>
      <c r="AD49" s="325" t="str">
        <f t="shared" si="12"/>
        <v/>
      </c>
      <c r="AE49" s="325" t="str">
        <f t="shared" si="13"/>
        <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 t="shared" si="14"/>
        <v>0</v>
      </c>
      <c r="AH49">
        <f t="shared" si="15"/>
        <v>0</v>
      </c>
      <c r="AI49" s="373" t="str">
        <f t="array" ref="AI49">IF(C49="","",IFERROR((INDEX(終値!$E:$E,MATCH(TEXT(C49,"0"),終値!$A:$A,0))-INDEX(終値!$E:$CZ,MATCH(TEXT(C49,"0"),終値!$A:$A,0),$AN$2))/INDEX(終値!$E:$CZ,MATCH(TEXT(C49,"0"),終値!$A:$A,0),$AN$2)*100,""))</f>
        <v/>
      </c>
      <c r="AJ49" s="373">
        <f t="array" ref="AJ49">IFERROR((終値!$E$5-INDEX(終値!$E$5:$CZ$5,1,$AN$2))/INDEX(終値!$E$5:$CZ$5,1,$AN$2)*100,"")</f>
        <v>-0.82558151178043282</v>
      </c>
      <c r="AK49" s="374" t="str">
        <f t="shared" si="16"/>
        <v/>
      </c>
      <c r="AL49" s="372" t="str">
        <f t="shared" si="17"/>
        <v/>
      </c>
      <c r="AO49" s="376" t="str">
        <f t="shared" si="18"/>
        <v>通常</v>
      </c>
      <c r="AP49" s="377">
        <f t="shared" si="19"/>
        <v>0</v>
      </c>
      <c r="AQ49">
        <f>IF(C49&lt;&gt;"",始値!F25,"")</f>
        <v>0</v>
      </c>
      <c r="AR49">
        <f>IF(C49&lt;&gt;"",高値!F25,"")</f>
        <v>0</v>
      </c>
      <c r="AS49">
        <f>IF(C49&lt;&gt;"",安値!F25,"")</f>
        <v>0</v>
      </c>
      <c r="AT49" t="str">
        <f t="shared" si="20"/>
        <v>-</v>
      </c>
      <c r="AU49">
        <f t="shared" si="21"/>
        <v>0</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1457</v>
      </c>
      <c r="F50" s="333">
        <f>IF(C50&lt;&gt;"",_xll.RssMarket(C50,"始値"),"")</f>
        <v>1405</v>
      </c>
      <c r="G50" s="212">
        <f>IF(C50&lt;&gt;"",終値!F57,"")</f>
        <v>1360</v>
      </c>
      <c r="H50" s="333">
        <f>IF(C50&lt;&gt;"",_xll.RssMarket(C50,"高値"),"")</f>
        <v>1472</v>
      </c>
      <c r="I50" s="333">
        <f>IF(C50&lt;&gt;"",_xll.RssMarket(C50,"安値"),"")</f>
        <v>1405</v>
      </c>
      <c r="J50" s="333">
        <f>IF(C50&lt;&gt;"",_xll.RssMarket(C50,"出来高"),"")</f>
        <v>224700</v>
      </c>
      <c r="K50" s="333">
        <f>IF(C50&lt;&gt;"",_xll.RssMarket(C50,"年初来高値"),"")</f>
        <v>2030</v>
      </c>
      <c r="L50" s="334">
        <f t="shared" si="0"/>
        <v>-28.226600985221673</v>
      </c>
      <c r="M50" s="333">
        <f>IF(C50&lt;&gt;"",IFERROR(AVERAGE(出来高!E57:I57),""),"")</f>
        <v>243760</v>
      </c>
      <c r="N50" s="333">
        <f>IF(C50&lt;&gt;"",IFERROR(AVERAGE(出来高!E57:AC57),""),"")</f>
        <v>333528</v>
      </c>
      <c r="O50" s="335">
        <f t="shared" si="1"/>
        <v>0.92180833606826384</v>
      </c>
      <c r="P50" s="212" t="str">
        <f t="shared" si="2"/>
        <v>減少↓</v>
      </c>
      <c r="Q50" s="212" t="str">
        <f t="shared" si="3"/>
        <v>様子見▲</v>
      </c>
      <c r="R50" s="333">
        <f t="shared" si="4"/>
        <v>1340</v>
      </c>
      <c r="S50" s="333">
        <f t="shared" si="5"/>
        <v>1515</v>
      </c>
      <c r="T50" s="325">
        <f t="shared" si="6"/>
        <v>10</v>
      </c>
      <c r="U50" s="212" t="str">
        <f t="shared" si="7"/>
        <v>要確認</v>
      </c>
      <c r="V50" s="212" t="str">
        <f t="shared" si="8"/>
        <v>安値圏</v>
      </c>
      <c r="W50" s="336">
        <f t="array" ref="W50">IFERROR(100-100/(1+SUMPRODUCT((終値!F57:R57&gt;終値!G57:S57)*(終値!F57:R57-終値!G57:S57))/SUMPRODUCT((終値!F57:R57&lt;終値!G57:S57)*(終値!G57:S57-終値!F57:R57))),50)</f>
        <v>28.051001821493628</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-37.226811920123055</v>
      </c>
      <c r="Y50" s="212" t="str">
        <f t="shared" si="9"/>
        <v>相場上昇・見送り | 上昇トレンド▲ MACD- RSI:28.1 [売られ過ぎ] 前日比:+7.1% [安値圏]前日[大陰線▼] [10点]</v>
      </c>
      <c r="Z50" s="338">
        <f t="shared" si="10"/>
        <v>7.1323529411764701</v>
      </c>
      <c r="AA50" s="212" t="str">
        <f t="shared" si="11"/>
        <v>上昇▲</v>
      </c>
      <c r="AB50" s="333">
        <f>IF(OR(C50="",C50="TOPX",終値!E57=""),"",IFERROR(((終値!E57*0.333)+(終値!F57*0.222)+(終値!G57*0.148)+(終値!H57*0.099)+(終値!I57*0.066))/(0.333+0.222+0.148+0.099+0.066),""))</f>
        <v>1368.7546082949307</v>
      </c>
      <c r="AC50" s="333">
        <f>IF(OR(C50="",C50="TOPX",終値!E57=""),"",IFERROR(SUMPRODUCT((終値!E57:AC57),{0.077,0.071,0.065,0.06,0.055,0.051,0.047,0.043,0.039,0.036,0.033,0.031,0.028,0.026,0.024,0.022,0.02,0.018,0.017,0.016,0.014,0.013,0.012,0.011,0.01})/SUM({0.077,0.071,0.065,0.06,0.055,0.051,0.047,0.043,0.039,0.036,0.033,0.031,0.028,0.026,0.024,0.022,0.02,0.018,0.017,0.016,0.014,0.013,0.012,0.011,0.01}),""))</f>
        <v>1451.7234803337303</v>
      </c>
      <c r="AD50" s="212" t="str">
        <f t="shared" si="12"/>
        <v>上昇トレンド▲</v>
      </c>
      <c r="AE50" s="212" t="str">
        <f t="shared" si="13"/>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 t="shared" si="14"/>
        <v>10</v>
      </c>
      <c r="AH50">
        <f t="shared" si="15"/>
        <v>99950</v>
      </c>
      <c r="AI50" s="373">
        <f t="array" ref="AI50">IF(C50="","",IFERROR((INDEX(終値!$E:$E,MATCH(TEXT(C50,"0"),終値!$A:$A,0))-INDEX(終値!$E:$CZ,MATCH(TEXT(C50,"0"),終値!$A:$A,0),$AN$2))/INDEX(終値!$E:$CZ,MATCH(TEXT(C50,"0"),終値!$A:$A,0),$AN$2)*100,""))</f>
        <v>-10.65891472868217</v>
      </c>
      <c r="AJ50" s="373">
        <f t="array" ref="AJ50">IFERROR((終値!$E$5-INDEX(終値!$E$5:$CZ$5,1,$AN$2))/INDEX(終値!$E$5:$CZ$5,1,$AN$2)*100,"")</f>
        <v>-0.82558151178043282</v>
      </c>
      <c r="AK50" s="374">
        <f t="shared" si="16"/>
        <v>-9.8333332169017371</v>
      </c>
      <c r="AL50" s="372">
        <f t="shared" si="17"/>
        <v>3</v>
      </c>
      <c r="AO50" s="376" t="str">
        <f t="shared" si="18"/>
        <v>通常</v>
      </c>
      <c r="AP50" s="377">
        <f t="shared" si="19"/>
        <v>0</v>
      </c>
      <c r="AQ50">
        <f>IF(C50&lt;&gt;"",始値!F57,"")</f>
        <v>1398</v>
      </c>
      <c r="AR50">
        <f>IF(C50&lt;&gt;"",高値!F57,"")</f>
        <v>1400</v>
      </c>
      <c r="AS50">
        <f>IF(C50&lt;&gt;"",安値!F57,"")</f>
        <v>1350</v>
      </c>
      <c r="AT50" t="str">
        <f t="shared" si="20"/>
        <v>大陰線▼</v>
      </c>
      <c r="AU50">
        <f t="shared" si="21"/>
        <v>2</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2458</v>
      </c>
      <c r="F51" s="326">
        <f>IF(C51&lt;&gt;"",_xll.RssMarket(C51,"始値"),"")</f>
        <v>2291</v>
      </c>
      <c r="G51" s="325">
        <f>IF(C51&lt;&gt;"",終値!F59,"")</f>
        <v>2222</v>
      </c>
      <c r="H51" s="326">
        <f>IF(C51&lt;&gt;"",_xll.RssMarket(C51,"高値"),"")</f>
        <v>2472</v>
      </c>
      <c r="I51" s="326">
        <f>IF(C51&lt;&gt;"",_xll.RssMarket(C51,"安値"),"")</f>
        <v>2282</v>
      </c>
      <c r="J51" s="326">
        <f>IF(C51&lt;&gt;"",_xll.RssMarket(C51,"出来高"),"")</f>
        <v>773500</v>
      </c>
      <c r="K51" s="326">
        <f>IF(C51&lt;&gt;"",_xll.RssMarket(C51,"年初来高値"),"")</f>
        <v>3275</v>
      </c>
      <c r="L51" s="327">
        <f t="shared" si="0"/>
        <v>-24.946564885496183</v>
      </c>
      <c r="M51" s="326">
        <f>IF(C51&lt;&gt;"",IFERROR(AVERAGE(出来高!E59:I59),""),"")</f>
        <v>1070380</v>
      </c>
      <c r="N51" s="326">
        <f>IF(C51&lt;&gt;"",IFERROR(AVERAGE(出来高!E59:AC59),""),"")</f>
        <v>742380</v>
      </c>
      <c r="O51" s="328">
        <f t="shared" si="1"/>
        <v>0.7226405575589977</v>
      </c>
      <c r="P51" s="325" t="str">
        <f t="shared" si="2"/>
        <v>減少↓</v>
      </c>
      <c r="Q51" s="325" t="str">
        <f t="shared" si="3"/>
        <v>様子見▲</v>
      </c>
      <c r="R51" s="326">
        <f t="shared" si="4"/>
        <v>2261</v>
      </c>
      <c r="S51" s="326">
        <f t="shared" si="5"/>
        <v>2556</v>
      </c>
      <c r="T51" s="325">
        <f t="shared" si="6"/>
        <v>8</v>
      </c>
      <c r="U51" s="325" t="str">
        <f t="shared" si="7"/>
        <v>要確認</v>
      </c>
      <c r="V51" s="325" t="str">
        <f t="shared" si="8"/>
        <v>安値圏</v>
      </c>
      <c r="W51" s="329">
        <f t="array" ref="W51">IFERROR(100-100/(1+SUMPRODUCT((終値!F59:R59&gt;終値!G59:S59)*(終値!F59:R59-終値!G59:S59))/SUMPRODUCT((終値!F59:R59&lt;終値!G59:S59)*(終値!G59:S59-終値!F59:R59))),50)</f>
        <v>29.477611940298502</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-63.044298456846263</v>
      </c>
      <c r="Y51" s="325" t="str">
        <f t="shared" si="9"/>
        <v>相場上昇・見送り | 上昇トレンド▲ MACD- RSI:29.5 [売られ過ぎ] 前日比:+10.6% [安値圏] [8点]</v>
      </c>
      <c r="Z51" s="331">
        <f t="shared" si="10"/>
        <v>10.621062106210621</v>
      </c>
      <c r="AA51" s="325" t="str">
        <f t="shared" si="11"/>
        <v>上昇▲</v>
      </c>
      <c r="AB51" s="326">
        <f>IF(OR(C51="",C51="TOPX",終値!E59=""),"",IFERROR(((終値!E59*0.333)+(終値!F59*0.222)+(終値!G59*0.148)+(終値!H59*0.099)+(終値!I59*0.066))/(0.333+0.222+0.148+0.099+0.066),""))</f>
        <v>2270.3732718894007</v>
      </c>
      <c r="AC51" s="326">
        <f>IF(OR(C51="",C51="TOPX",終値!E59=""),"",IFERROR(SUMPRODUCT((終値!E59:AC59),{0.077,0.071,0.065,0.06,0.055,0.051,0.047,0.043,0.039,0.036,0.033,0.031,0.028,0.026,0.024,0.022,0.02,0.018,0.017,0.016,0.014,0.013,0.012,0.011,0.01})/SUM({0.077,0.071,0.065,0.06,0.055,0.051,0.047,0.043,0.039,0.036,0.033,0.031,0.028,0.026,0.024,0.022,0.02,0.018,0.017,0.016,0.014,0.013,0.012,0.011,0.01}),""))</f>
        <v>2446.0965435041703</v>
      </c>
      <c r="AD51" s="325" t="str">
        <f t="shared" si="12"/>
        <v>上昇トレンド▲</v>
      </c>
      <c r="AE51" s="325" t="str">
        <f t="shared" si="13"/>
        <v>なし</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相場上昇・見送り</v>
      </c>
      <c r="AG51">
        <f t="shared" si="14"/>
        <v>8</v>
      </c>
      <c r="AH51">
        <f t="shared" si="15"/>
        <v>79949</v>
      </c>
      <c r="AI51" s="373">
        <f t="array" ref="AI51">IF(C51="","",IFERROR((INDEX(終値!$E:$E,MATCH(TEXT(C51,"0"),終値!$A:$A,0))-INDEX(終値!$E:$CZ,MATCH(TEXT(C51,"0"),終値!$A:$A,0),$AN$2))/INDEX(終値!$E:$CZ,MATCH(TEXT(C51,"0"),終値!$A:$A,0),$AN$2)*100,""))</f>
        <v>-24.196721311475411</v>
      </c>
      <c r="AJ51" s="373">
        <f t="array" ref="AJ51">IFERROR((終値!$E$5-INDEX(終値!$E$5:$CZ$5,1,$AN$2))/INDEX(終値!$E$5:$CZ$5,1,$AN$2)*100,"")</f>
        <v>-0.82558151178043282</v>
      </c>
      <c r="AK51" s="374">
        <f t="shared" si="16"/>
        <v>-23.37113979969498</v>
      </c>
      <c r="AL51" s="372">
        <f t="shared" si="17"/>
        <v>3</v>
      </c>
      <c r="AO51" s="376" t="str">
        <f t="shared" si="18"/>
        <v>通常</v>
      </c>
      <c r="AP51" s="377">
        <f t="shared" si="19"/>
        <v>0</v>
      </c>
      <c r="AQ51">
        <f>IF(C51&lt;&gt;"",始値!F59,"")</f>
        <v>2269</v>
      </c>
      <c r="AR51">
        <f>IF(C51&lt;&gt;"",高値!F59,"")</f>
        <v>2272</v>
      </c>
      <c r="AS51">
        <f>IF(C51&lt;&gt;"",安値!F59,"")</f>
        <v>2182</v>
      </c>
      <c r="AT51" t="str">
        <f t="shared" si="20"/>
        <v>通常</v>
      </c>
      <c r="AU51">
        <f t="shared" si="21"/>
        <v>0</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3265</v>
      </c>
      <c r="F52" s="333">
        <f>IF(C52&lt;&gt;"",_xll.RssMarket(C52,"始値"),"")</f>
        <v>3160</v>
      </c>
      <c r="G52" s="212">
        <f>IF(C52&lt;&gt;"",終値!F62,"")</f>
        <v>3050</v>
      </c>
      <c r="H52" s="333">
        <f>IF(C52&lt;&gt;"",_xll.RssMarket(C52,"高値"),"")</f>
        <v>3305</v>
      </c>
      <c r="I52" s="333">
        <f>IF(C52&lt;&gt;"",_xll.RssMarket(C52,"安値"),"")</f>
        <v>3160</v>
      </c>
      <c r="J52" s="333">
        <f>IF(C52&lt;&gt;"",_xll.RssMarket(C52,"出来高"),"")</f>
        <v>1096300</v>
      </c>
      <c r="K52" s="333">
        <f>IF(C52&lt;&gt;"",_xll.RssMarket(C52,"年初来高値"),"")</f>
        <v>4720</v>
      </c>
      <c r="L52" s="334">
        <f t="shared" si="0"/>
        <v>-30.826271186440678</v>
      </c>
      <c r="M52" s="333">
        <f>IF(C52&lt;&gt;"",IFERROR(AVERAGE(出来高!E62:I62),""),"")</f>
        <v>676000</v>
      </c>
      <c r="N52" s="333">
        <f>IF(C52&lt;&gt;"",IFERROR(AVERAGE(出来高!E62:AC62),""),"")</f>
        <v>643504</v>
      </c>
      <c r="O52" s="335">
        <f t="shared" si="1"/>
        <v>1.6217455621301775</v>
      </c>
      <c r="P52" s="212" t="str">
        <f t="shared" si="2"/>
        <v>増加↑</v>
      </c>
      <c r="Q52" s="212" t="str">
        <f t="shared" si="3"/>
        <v>様子見▲</v>
      </c>
      <c r="R52" s="333">
        <f t="shared" si="4"/>
        <v>3004</v>
      </c>
      <c r="S52" s="333">
        <f t="shared" si="5"/>
        <v>3396</v>
      </c>
      <c r="T52" s="325">
        <f t="shared" si="6"/>
        <v>4</v>
      </c>
      <c r="U52" s="212" t="str">
        <f t="shared" si="7"/>
        <v>有効</v>
      </c>
      <c r="V52" s="212" t="str">
        <f t="shared" si="8"/>
        <v>安値圏</v>
      </c>
      <c r="W52" s="336">
        <f t="array" ref="W52">IFERROR(100-100/(1+SUMPRODUCT((終値!F62:R62&gt;終値!G62:S62)*(終値!F62:R62-終値!G62:S62))/SUMPRODUCT((終値!F62:R62&lt;終値!G62:S62)*(終値!G62:S62-終値!F62:R62))),50)</f>
        <v>54.465270121278941</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9.7021620847085615</v>
      </c>
      <c r="Y52" s="212" t="str">
        <f t="shared" si="9"/>
        <v>相場上昇・見送り | パーフェクト▲ MACD+ RSI:54.5 前日比:+7.0% [安値圏] [4点]</v>
      </c>
      <c r="Z52" s="338">
        <f t="shared" si="10"/>
        <v>7.0491803278688518</v>
      </c>
      <c r="AA52" s="212" t="str">
        <f t="shared" si="11"/>
        <v>上昇▲</v>
      </c>
      <c r="AB52" s="333">
        <f>IF(OR(C52="",C52="TOPX",終値!E62=""),"",IFERROR(((終値!E62*0.333)+(終値!F62*0.222)+(終値!G62*0.148)+(終値!H62*0.099)+(終値!I62*0.066))/(0.333+0.222+0.148+0.099+0.066),""))</f>
        <v>3061.4988479262674</v>
      </c>
      <c r="AC52" s="333">
        <f>IF(OR(C52="",C52="TOPX",終値!E62=""),"",IFERROR(SUMPRODUCT((終値!E62:AC62),{0.077,0.071,0.065,0.06,0.055,0.051,0.047,0.043,0.039,0.036,0.033,0.031,0.028,0.026,0.024,0.022,0.02,0.018,0.017,0.016,0.014,0.013,0.012,0.011,0.01})/SUM({0.077,0.071,0.065,0.06,0.055,0.051,0.047,0.043,0.039,0.036,0.033,0.031,0.028,0.026,0.024,0.022,0.02,0.018,0.017,0.016,0.014,0.013,0.012,0.011,0.01}),""))</f>
        <v>3041.1120381406427</v>
      </c>
      <c r="AD52" s="212" t="str">
        <f t="shared" si="12"/>
        <v>パーフェクト▲</v>
      </c>
      <c r="AE52" s="212" t="str">
        <f t="shared" si="13"/>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 t="shared" si="14"/>
        <v>0</v>
      </c>
      <c r="AH52">
        <f t="shared" si="15"/>
        <v>0</v>
      </c>
      <c r="AI52" s="373">
        <f t="array" ref="AI52">IF(C52="","",IFERROR((INDEX(終値!$E:$E,MATCH(TEXT(C52,"0"),終値!$A:$A,0))-INDEX(終値!$E:$CZ,MATCH(TEXT(C52,"0"),終値!$A:$A,0),$AN$2))/INDEX(終値!$E:$CZ,MATCH(TEXT(C52,"0"),終値!$A:$A,0),$AN$2)*100,""))</f>
        <v>4.7102677058624201</v>
      </c>
      <c r="AJ52" s="373">
        <f t="array" ref="AJ52">IFERROR((終値!$E$5-INDEX(終値!$E$5:$CZ$5,1,$AN$2))/INDEX(終値!$E$5:$CZ$5,1,$AN$2)*100,"")</f>
        <v>-0.82558151178043282</v>
      </c>
      <c r="AK52" s="374">
        <f t="shared" si="16"/>
        <v>5.5358492176428529</v>
      </c>
      <c r="AL52" s="372">
        <f t="shared" si="17"/>
        <v>-2</v>
      </c>
      <c r="AO52" s="376" t="str">
        <f t="shared" si="18"/>
        <v>通常</v>
      </c>
      <c r="AP52" s="377">
        <f t="shared" si="19"/>
        <v>0</v>
      </c>
      <c r="AQ52">
        <f>IF(C52&lt;&gt;"",始値!F62,"")</f>
        <v>3040</v>
      </c>
      <c r="AR52">
        <f>IF(C52&lt;&gt;"",高値!F62,"")</f>
        <v>3080</v>
      </c>
      <c r="AS52">
        <f>IF(C52&lt;&gt;"",安値!F62,"")</f>
        <v>2964</v>
      </c>
      <c r="AT52" t="str">
        <f t="shared" si="20"/>
        <v>通常</v>
      </c>
      <c r="AU52">
        <f t="shared" si="21"/>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5872</v>
      </c>
      <c r="F53" s="326">
        <f>IF(C53&lt;&gt;"",_xll.RssMarket(C53,"始値"),"")</f>
        <v>5628</v>
      </c>
      <c r="G53" s="325">
        <f>IF(C53&lt;&gt;"",終値!F65,"")</f>
        <v>5393</v>
      </c>
      <c r="H53" s="326">
        <f>IF(C53&lt;&gt;"",_xll.RssMarket(C53,"高値"),"")</f>
        <v>5880</v>
      </c>
      <c r="I53" s="326">
        <f>IF(C53&lt;&gt;"",_xll.RssMarket(C53,"安値"),"")</f>
        <v>5605</v>
      </c>
      <c r="J53" s="326">
        <f>IF(C53&lt;&gt;"",_xll.RssMarket(C53,"出来高"),"")</f>
        <v>42788800</v>
      </c>
      <c r="K53" s="326">
        <f>IF(C53&lt;&gt;"",_xll.RssMarket(C53,"年初来高値"),"")</f>
        <v>9074</v>
      </c>
      <c r="L53" s="327">
        <f t="shared" si="0"/>
        <v>-35.287635001102053</v>
      </c>
      <c r="M53" s="326">
        <f>IF(C53&lt;&gt;"",IFERROR(AVERAGE(出来高!E65:I65),""),"")</f>
        <v>57295880</v>
      </c>
      <c r="N53" s="326">
        <f>IF(C53&lt;&gt;"",IFERROR(AVERAGE(出来高!E65:AC65),""),"")</f>
        <v>52796436</v>
      </c>
      <c r="O53" s="328">
        <f t="shared" si="1"/>
        <v>0.74680413321167249</v>
      </c>
      <c r="P53" s="325" t="str">
        <f t="shared" si="2"/>
        <v>減少↓</v>
      </c>
      <c r="Q53" s="325" t="str">
        <f t="shared" si="3"/>
        <v>様子見▲</v>
      </c>
      <c r="R53" s="326">
        <f t="shared" si="4"/>
        <v>5402</v>
      </c>
      <c r="S53" s="326">
        <f t="shared" si="5"/>
        <v>6107</v>
      </c>
      <c r="T53" s="325">
        <f t="shared" si="6"/>
        <v>7</v>
      </c>
      <c r="U53" s="325" t="str">
        <f t="shared" si="7"/>
        <v>要確認</v>
      </c>
      <c r="V53" s="325" t="str">
        <f t="shared" si="8"/>
        <v>安値圏</v>
      </c>
      <c r="W53" s="329">
        <f t="array" ref="W53">IFERROR(100-100/(1+SUMPRODUCT((終値!F65:R65&gt;終値!G65:S65)*(終値!F65:R65-終値!G65:S65))/SUMPRODUCT((終値!F65:R65&lt;終値!G65:S65)*(終値!G65:S65-終値!F65:R65))),50)</f>
        <v>37.913866069205866</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-154.48934480713433</v>
      </c>
      <c r="Y53" s="325" t="str">
        <f t="shared" si="9"/>
        <v>相場上昇・見送り | 上昇トレンド▲ MACD- RSI:37.9 前日比:+8.9% [安値圏]前日[長い下ヒゲ(反発)] [7点]</v>
      </c>
      <c r="Z53" s="331">
        <f t="shared" si="10"/>
        <v>8.881883923604672</v>
      </c>
      <c r="AA53" s="325" t="str">
        <f t="shared" si="11"/>
        <v>上昇▲</v>
      </c>
      <c r="AB53" s="326">
        <f>IF(OR(C53="",C53="TOPX",終値!E65=""),"",IFERROR(((終値!E65*0.333)+(終値!F65*0.222)+(終値!G65*0.148)+(終値!H65*0.099)+(終値!I65*0.066))/(0.333+0.222+0.148+0.099+0.066),""))</f>
        <v>5169.5092165898614</v>
      </c>
      <c r="AC53" s="326">
        <f>IF(OR(C53="",C53="TOPX",終値!E65=""),"",IFERROR(SUMPRODUCT((終値!E65:AC65),{0.077,0.071,0.065,0.06,0.055,0.051,0.047,0.043,0.039,0.036,0.033,0.031,0.028,0.026,0.024,0.022,0.02,0.018,0.017,0.016,0.014,0.013,0.012,0.011,0.01})/SUM({0.077,0.071,0.065,0.06,0.055,0.051,0.047,0.043,0.039,0.036,0.033,0.031,0.028,0.026,0.024,0.022,0.02,0.018,0.017,0.016,0.014,0.013,0.012,0.011,0.01}),""))</f>
        <v>5511.7187127532743</v>
      </c>
      <c r="AD53" s="325" t="str">
        <f t="shared" si="12"/>
        <v>上昇トレンド▲</v>
      </c>
      <c r="AE53" s="325" t="str">
        <f t="shared" si="13"/>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 t="shared" si="14"/>
        <v>7</v>
      </c>
      <c r="AH53">
        <f t="shared" si="15"/>
        <v>69947</v>
      </c>
      <c r="AI53" s="373">
        <f t="array" ref="AI53">IF(C53="","",IFERROR((INDEX(終値!$E:$E,MATCH(TEXT(C53,"0"),終値!$A:$A,0))-INDEX(終値!$E:$CZ,MATCH(TEXT(C53,"0"),終値!$A:$A,0),$AN$2))/INDEX(終値!$E:$CZ,MATCH(TEXT(C53,"0"),終値!$A:$A,0),$AN$2)*100,""))</f>
        <v>-11.299626739056666</v>
      </c>
      <c r="AJ53" s="373">
        <f t="array" ref="AJ53">IFERROR((終値!$E$5-INDEX(終値!$E$5:$CZ$5,1,$AN$2))/INDEX(終値!$E$5:$CZ$5,1,$AN$2)*100,"")</f>
        <v>-0.82558151178043282</v>
      </c>
      <c r="AK53" s="374">
        <f t="shared" si="16"/>
        <v>-10.474045227276234</v>
      </c>
      <c r="AL53" s="372">
        <f t="shared" si="17"/>
        <v>3</v>
      </c>
      <c r="AO53" s="376" t="str">
        <f t="shared" si="18"/>
        <v>通常</v>
      </c>
      <c r="AP53" s="377">
        <f t="shared" si="19"/>
        <v>0</v>
      </c>
      <c r="AQ53">
        <f>IF(C53&lt;&gt;"",始値!F65,"")</f>
        <v>5255</v>
      </c>
      <c r="AR53">
        <f>IF(C53&lt;&gt;"",高値!F65,"")</f>
        <v>5430</v>
      </c>
      <c r="AS53">
        <f>IF(C53&lt;&gt;"",安値!F65,"")</f>
        <v>5060</v>
      </c>
      <c r="AT53" t="str">
        <f t="shared" si="20"/>
        <v>長い下ヒゲ(反発)</v>
      </c>
      <c r="AU53">
        <f t="shared" si="21"/>
        <v>-2</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2209</v>
      </c>
      <c r="F54" s="333">
        <f>IF(C54&lt;&gt;"",_xll.RssMarket(C54,"始値"),"")</f>
        <v>2225</v>
      </c>
      <c r="G54" s="212">
        <f>IF(C54&lt;&gt;"",終値!F71,"")</f>
        <v>2225</v>
      </c>
      <c r="H54" s="333">
        <f>IF(C54&lt;&gt;"",_xll.RssMarket(C54,"高値"),"")</f>
        <v>2243</v>
      </c>
      <c r="I54" s="333">
        <f>IF(C54&lt;&gt;"",_xll.RssMarket(C54,"安値"),"")</f>
        <v>2201</v>
      </c>
      <c r="J54" s="333">
        <f>IF(C54&lt;&gt;"",_xll.RssMarket(C54,"出来高"),"")</f>
        <v>35600</v>
      </c>
      <c r="K54" s="333">
        <f>IF(C54&lt;&gt;"",_xll.RssMarket(C54,"年初来高値"),"")</f>
        <v>2653</v>
      </c>
      <c r="L54" s="334">
        <f t="shared" si="0"/>
        <v>-16.735770825480589</v>
      </c>
      <c r="M54" s="333">
        <f>IF(C54&lt;&gt;"",IFERROR(AVERAGE(出来高!E71:I71),""),"")</f>
        <v>120160</v>
      </c>
      <c r="N54" s="333">
        <f>IF(C54&lt;&gt;"",IFERROR(AVERAGE(出来高!E71:AC71),""),"")</f>
        <v>93908</v>
      </c>
      <c r="O54" s="335">
        <f t="shared" si="1"/>
        <v>0.29627163781624499</v>
      </c>
      <c r="P54" s="212" t="str">
        <f t="shared" si="2"/>
        <v>減少↓</v>
      </c>
      <c r="Q54" s="212" t="str">
        <f t="shared" si="3"/>
        <v>中立→</v>
      </c>
      <c r="R54" s="333">
        <f t="shared" si="4"/>
        <v>2032</v>
      </c>
      <c r="S54" s="333">
        <f t="shared" si="5"/>
        <v>2297</v>
      </c>
      <c r="T54" s="325">
        <f t="shared" si="6"/>
        <v>8</v>
      </c>
      <c r="U54" s="212" t="str">
        <f t="shared" si="7"/>
        <v>要確認</v>
      </c>
      <c r="V54" s="212" t="str">
        <f t="shared" si="8"/>
        <v>通常</v>
      </c>
      <c r="W54" s="336">
        <f t="array" ref="W54">IFERROR(100-100/(1+SUMPRODUCT((終値!F71:R71&gt;終値!G71:S71)*(終値!F71:R71-終値!G71:S71))/SUMPRODUCT((終値!F71:R71&lt;終値!G71:S71)*(終値!G71:S71-終値!F71:R71))),50)</f>
        <v>29.166666666666657</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-18.557268178904906</v>
      </c>
      <c r="Y54" s="212" t="str">
        <f t="shared" si="9"/>
        <v>相場上昇・見送り | 下降トレンド▼ MACD- RSI:29.2 [売られ過ぎ] 前日比:-0.7%前日[大陰線▼] [8点]</v>
      </c>
      <c r="Z54" s="338">
        <f t="shared" si="10"/>
        <v>-0.7191011235955056</v>
      </c>
      <c r="AA54" s="212" t="str">
        <f t="shared" si="11"/>
        <v>下落▼</v>
      </c>
      <c r="AB54" s="333">
        <f>IF(OR(C54="",C54="TOPX",終値!E71=""),"",IFERROR(((終値!E71*0.333)+(終値!F71*0.222)+(終値!G71*0.148)+(終値!H71*0.099)+(終値!I71*0.066))/(0.333+0.222+0.148+0.099+0.066),""))</f>
        <v>2244.7926267281105</v>
      </c>
      <c r="AC54" s="333">
        <f>IF(OR(C54="",C54="TOPX",終値!E71=""),"",IFERROR(SUMPRODUCT((終値!E71:AC71),{0.077,0.071,0.065,0.06,0.055,0.051,0.047,0.043,0.039,0.036,0.033,0.031,0.028,0.026,0.024,0.022,0.02,0.018,0.017,0.016,0.014,0.013,0.012,0.011,0.01})/SUM({0.077,0.071,0.065,0.06,0.055,0.051,0.047,0.043,0.039,0.036,0.033,0.031,0.028,0.026,0.024,0.022,0.02,0.018,0.017,0.016,0.014,0.013,0.012,0.011,0.01}),""))</f>
        <v>2305.1918951132293</v>
      </c>
      <c r="AD54" s="212" t="str">
        <f t="shared" si="12"/>
        <v>下降トレンド▼</v>
      </c>
      <c r="AE54" s="212" t="str">
        <f t="shared" si="13"/>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 t="shared" si="14"/>
        <v>8</v>
      </c>
      <c r="AH54">
        <f t="shared" si="15"/>
        <v>79946</v>
      </c>
      <c r="AI54" s="373">
        <f t="array" ref="AI54">IF(C54="","",IFERROR((INDEX(終値!$E:$E,MATCH(TEXT(C54,"0"),終値!$A:$A,0))-INDEX(終値!$E:$CZ,MATCH(TEXT(C54,"0"),終値!$A:$A,0),$AN$2))/INDEX(終値!$E:$CZ,MATCH(TEXT(C54,"0"),終値!$A:$A,0),$AN$2)*100,""))</f>
        <v>0.45454545454545453</v>
      </c>
      <c r="AJ54" s="373">
        <f t="array" ref="AJ54">IFERROR((終値!$E$5-INDEX(終値!$E$5:$CZ$5,1,$AN$2))/INDEX(終値!$E$5:$CZ$5,1,$AN$2)*100,"")</f>
        <v>-0.82558151178043282</v>
      </c>
      <c r="AK54" s="374">
        <f t="shared" si="16"/>
        <v>1.2801269663258874</v>
      </c>
      <c r="AL54" s="372">
        <f t="shared" si="17"/>
        <v>-1</v>
      </c>
      <c r="AO54" s="376" t="str">
        <f t="shared" si="18"/>
        <v>通常</v>
      </c>
      <c r="AP54" s="377">
        <f t="shared" si="19"/>
        <v>0</v>
      </c>
      <c r="AQ54">
        <f>IF(C54&lt;&gt;"",始値!F71,"")</f>
        <v>2274</v>
      </c>
      <c r="AR54">
        <f>IF(C54&lt;&gt;"",高値!F71,"")</f>
        <v>2274</v>
      </c>
      <c r="AS54">
        <f>IF(C54&lt;&gt;"",安値!F71,"")</f>
        <v>2208</v>
      </c>
      <c r="AT54" t="str">
        <f t="shared" si="20"/>
        <v>大陰線▼</v>
      </c>
      <c r="AU54">
        <f t="shared" si="21"/>
        <v>2</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7650</v>
      </c>
      <c r="F55" s="326">
        <f>IF(C55&lt;&gt;"",_xll.RssMarket(C55,"始値"),"")</f>
        <v>7850</v>
      </c>
      <c r="G55" s="325">
        <f>IF(C55&lt;&gt;"",終値!F73,"")</f>
        <v>7800</v>
      </c>
      <c r="H55" s="326">
        <f>IF(C55&lt;&gt;"",_xll.RssMarket(C55,"高値"),"")</f>
        <v>7940</v>
      </c>
      <c r="I55" s="326">
        <f>IF(C55&lt;&gt;"",_xll.RssMarket(C55,"安値"),"")</f>
        <v>7120</v>
      </c>
      <c r="J55" s="326">
        <f>IF(C55&lt;&gt;"",_xll.RssMarket(C55,"出来高"),"")</f>
        <v>329900</v>
      </c>
      <c r="K55" s="326">
        <f>IF(C55&lt;&gt;"",_xll.RssMarket(C55,"年初来高値"),"")</f>
        <v>8380</v>
      </c>
      <c r="L55" s="327">
        <f t="shared" si="0"/>
        <v>-8.7112171837708843</v>
      </c>
      <c r="M55" s="326">
        <f>IF(C55&lt;&gt;"",IFERROR(AVERAGE(出来高!E73:I73),""),"")</f>
        <v>139680</v>
      </c>
      <c r="N55" s="326">
        <f>IF(C55&lt;&gt;"",IFERROR(AVERAGE(出来高!E73:AC73),""),"")</f>
        <v>115376</v>
      </c>
      <c r="O55" s="328">
        <f t="shared" si="1"/>
        <v>2.3618270332187858</v>
      </c>
      <c r="P55" s="325" t="str">
        <f t="shared" si="2"/>
        <v>急増↑↑</v>
      </c>
      <c r="Q55" s="325" t="str">
        <f t="shared" si="3"/>
        <v>売り▼</v>
      </c>
      <c r="R55" s="326">
        <f t="shared" si="4"/>
        <v>7038</v>
      </c>
      <c r="S55" s="326">
        <f t="shared" si="5"/>
        <v>7956</v>
      </c>
      <c r="T55" s="325">
        <f t="shared" si="6"/>
        <v>3</v>
      </c>
      <c r="U55" s="325" t="str">
        <f t="shared" si="7"/>
        <v>有効</v>
      </c>
      <c r="V55" s="325" t="str">
        <f t="shared" si="8"/>
        <v>通常</v>
      </c>
      <c r="W55" s="329">
        <f t="array" ref="W55">IFERROR(100-100/(1+SUMPRODUCT((終値!F73:R73&gt;終値!G73:S73)*(終値!F73:R73-終値!G73:S73))/SUMPRODUCT((終値!F73:R73&lt;終値!G73:S73)*(終値!G73:S73-終値!F73:R73))),50)</f>
        <v>59.706959706959708</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-18.58154983899658</v>
      </c>
      <c r="Y55" s="325" t="str">
        <f t="shared" si="9"/>
        <v>相場上昇・見送り | 上昇トレンド▲ MACD- RSI:59.7 前日比:-1.9% [長い下ヒゲ(反発警戒)]前日[長い下ヒゲ(反発)] [3点]</v>
      </c>
      <c r="Z55" s="331">
        <f t="shared" si="10"/>
        <v>-1.9230769230769231</v>
      </c>
      <c r="AA55" s="325" t="str">
        <f t="shared" si="11"/>
        <v>下落▼</v>
      </c>
      <c r="AB55" s="326">
        <f>IF(OR(C55="",C55="TOPX",終値!E73=""),"",IFERROR(((終値!E73*0.333)+(終値!F73*0.222)+(終値!G73*0.148)+(終値!H73*0.099)+(終値!I73*0.066))/(0.333+0.222+0.148+0.099+0.066),""))</f>
        <v>7505.4147465437773</v>
      </c>
      <c r="AC55" s="326">
        <f>IF(OR(C55="",C55="TOPX",終値!E73=""),"",IFERROR(SUMPRODUCT((終値!E73:AC73),{0.077,0.071,0.065,0.06,0.055,0.051,0.047,0.043,0.039,0.036,0.033,0.031,0.028,0.026,0.024,0.022,0.02,0.018,0.017,0.016,0.014,0.013,0.012,0.011,0.01})/SUM({0.077,0.071,0.065,0.06,0.055,0.051,0.047,0.043,0.039,0.036,0.033,0.031,0.028,0.026,0.024,0.022,0.02,0.018,0.017,0.016,0.014,0.013,0.012,0.011,0.01}),""))</f>
        <v>7589.8212157330136</v>
      </c>
      <c r="AD55" s="325" t="str">
        <f t="shared" si="12"/>
        <v>上昇トレンド▲</v>
      </c>
      <c r="AE55" s="325" t="str">
        <f t="shared" si="13"/>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 t="shared" si="14"/>
        <v>0</v>
      </c>
      <c r="AH55">
        <f t="shared" si="15"/>
        <v>0</v>
      </c>
      <c r="AI55" s="373">
        <f t="array" ref="AI55">IF(C55="","",IFERROR((INDEX(終値!$E:$E,MATCH(TEXT(C55,"0"),終値!$A:$A,0))-INDEX(終値!$E:$CZ,MATCH(TEXT(C55,"0"),終値!$A:$A,0),$AN$2))/INDEX(終値!$E:$CZ,MATCH(TEXT(C55,"0"),終値!$A:$A,0),$AN$2)*100,""))</f>
        <v>-0.40376850605652759</v>
      </c>
      <c r="AJ55" s="373">
        <f t="array" ref="AJ55">IFERROR((終値!$E$5-INDEX(終値!$E$5:$CZ$5,1,$AN$2))/INDEX(終値!$E$5:$CZ$5,1,$AN$2)*100,"")</f>
        <v>-0.82558151178043282</v>
      </c>
      <c r="AK55" s="374">
        <f t="shared" si="16"/>
        <v>0.42181300572390523</v>
      </c>
      <c r="AL55" s="372">
        <f t="shared" si="17"/>
        <v>-1</v>
      </c>
      <c r="AO55" s="376" t="str">
        <f t="shared" si="18"/>
        <v>長い下ヒゲ(反発警戒)</v>
      </c>
      <c r="AP55" s="377">
        <f t="shared" si="19"/>
        <v>-2</v>
      </c>
      <c r="AQ55">
        <f>IF(C55&lt;&gt;"",始値!F73,"")</f>
        <v>7610</v>
      </c>
      <c r="AR55">
        <f>IF(C55&lt;&gt;"",高値!F73,"")</f>
        <v>7840</v>
      </c>
      <c r="AS55">
        <f>IF(C55&lt;&gt;"",安値!F73,"")</f>
        <v>7350</v>
      </c>
      <c r="AT55" t="str">
        <f t="shared" si="20"/>
        <v>長い下ヒゲ(反発)</v>
      </c>
      <c r="AU55">
        <f t="shared" si="21"/>
        <v>-2</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20330</v>
      </c>
      <c r="F56" s="333">
        <f>IF(C56&lt;&gt;"",_xll.RssMarket(C56,"始値"),"")</f>
        <v>19930</v>
      </c>
      <c r="G56" s="212">
        <f>IF(C56&lt;&gt;"",終値!F96,"")</f>
        <v>15535</v>
      </c>
      <c r="H56" s="333">
        <f>IF(C56&lt;&gt;"",_xll.RssMarket(C56,"高値"),"")</f>
        <v>20330</v>
      </c>
      <c r="I56" s="333">
        <f>IF(C56&lt;&gt;"",_xll.RssMarket(C56,"安値"),"")</f>
        <v>19155</v>
      </c>
      <c r="J56" s="333">
        <f>IF(C56&lt;&gt;"",_xll.RssMarket(C56,"出来高"),"")</f>
        <v>8304600</v>
      </c>
      <c r="K56" s="333">
        <f>IF(C56&lt;&gt;"",_xll.RssMarket(C56,"年初来高値"),"")</f>
        <v>27480</v>
      </c>
      <c r="L56" s="334">
        <f t="shared" si="0"/>
        <v>-26.018922852983987</v>
      </c>
      <c r="M56" s="333">
        <f>IF(C56&lt;&gt;"",IFERROR(AVERAGE(出来高!E96:I96),""),"")</f>
        <v>7733120</v>
      </c>
      <c r="N56" s="333">
        <f>IF(C56&lt;&gt;"",IFERROR(AVERAGE(出来高!E96:AC96),""),"")</f>
        <v>8476028</v>
      </c>
      <c r="O56" s="335">
        <f t="shared" si="1"/>
        <v>1.0739003144914343</v>
      </c>
      <c r="P56" s="212" t="str">
        <f t="shared" si="2"/>
        <v>普通→</v>
      </c>
      <c r="Q56" s="212" t="str">
        <f t="shared" si="3"/>
        <v>様子見▲</v>
      </c>
      <c r="R56" s="333">
        <f t="shared" si="4"/>
        <v>18704</v>
      </c>
      <c r="S56" s="333">
        <f t="shared" si="5"/>
        <v>21143</v>
      </c>
      <c r="T56" s="325">
        <f t="shared" si="6"/>
        <v>6</v>
      </c>
      <c r="U56" s="212" t="str">
        <f t="shared" si="7"/>
        <v>要確認</v>
      </c>
      <c r="V56" s="212" t="str">
        <f t="shared" si="8"/>
        <v>安値圏</v>
      </c>
      <c r="W56" s="336">
        <f t="array" ref="W56">IFERROR(100-100/(1+SUMPRODUCT((終値!F96:R96&gt;終値!G96:S96)*(終値!F96:R96-終値!G96:S96))/SUMPRODUCT((終値!F96:R96&lt;終値!G96:S96)*(終値!G96:S96-終値!F96:R96))),50)</f>
        <v>40.915634897782901</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-721.69798478739176</v>
      </c>
      <c r="Y56" s="212" t="str">
        <f t="shared" si="9"/>
        <v>相場上昇・見送り | 上昇トレンド▲ MACD- RSI:40.9 前日比:+30.9% [安値圏] [長い下ヒゲ(反発警戒)] [6点]</v>
      </c>
      <c r="Z56" s="338">
        <f t="shared" si="10"/>
        <v>30.86578693273254</v>
      </c>
      <c r="AA56" s="212" t="str">
        <f t="shared" si="11"/>
        <v>上昇▲</v>
      </c>
      <c r="AB56" s="333">
        <f>IF(OR(C56="",C56="TOPX",終値!E96=""),"",IFERROR(((終値!E96*0.333)+(終値!F96*0.222)+(終値!G96*0.148)+(終値!H96*0.099)+(終値!I96*0.066))/(0.333+0.222+0.148+0.099+0.066),""))</f>
        <v>15658.099078341014</v>
      </c>
      <c r="AC56" s="333">
        <f>IF(OR(C56="",C56="TOPX",終値!E96=""),"",IFERROR(SUMPRODUCT((終値!E96:AC96),{0.077,0.071,0.065,0.06,0.055,0.051,0.047,0.043,0.039,0.036,0.033,0.031,0.028,0.026,0.024,0.022,0.02,0.018,0.017,0.016,0.014,0.013,0.012,0.011,0.01})/SUM({0.077,0.071,0.065,0.06,0.055,0.051,0.047,0.043,0.039,0.036,0.033,0.031,0.028,0.026,0.024,0.022,0.02,0.018,0.017,0.016,0.014,0.013,0.012,0.011,0.01}),""))</f>
        <v>17250.601907032171</v>
      </c>
      <c r="AD56" s="212" t="str">
        <f t="shared" si="12"/>
        <v>上昇トレンド▲</v>
      </c>
      <c r="AE56" s="212" t="str">
        <f t="shared" si="13"/>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 t="shared" si="14"/>
        <v>0</v>
      </c>
      <c r="AH56">
        <f t="shared" si="15"/>
        <v>0</v>
      </c>
      <c r="AI56" s="373">
        <f t="array" ref="AI56">IF(C56="","",IFERROR((INDEX(終値!$E:$E,MATCH(TEXT(C56,"0"),終値!$A:$A,0))-INDEX(終値!$E:$CZ,MATCH(TEXT(C56,"0"),終値!$A:$A,0),$AN$2))/INDEX(終値!$E:$CZ,MATCH(TEXT(C56,"0"),終値!$A:$A,0),$AN$2)*100,""))</f>
        <v>-31.09704641350211</v>
      </c>
      <c r="AJ56" s="373">
        <f t="array" ref="AJ56">IFERROR((終値!$E$5-INDEX(終値!$E$5:$CZ$5,1,$AN$2))/INDEX(終値!$E$5:$CZ$5,1,$AN$2)*100,"")</f>
        <v>-0.82558151178043282</v>
      </c>
      <c r="AK56" s="374">
        <f t="shared" si="16"/>
        <v>-30.271464901721679</v>
      </c>
      <c r="AL56" s="372">
        <f t="shared" si="17"/>
        <v>3</v>
      </c>
      <c r="AO56" s="376" t="str">
        <f t="shared" si="18"/>
        <v>長い下ヒゲ(反発警戒)</v>
      </c>
      <c r="AP56" s="377">
        <f t="shared" si="19"/>
        <v>-2</v>
      </c>
      <c r="AQ56">
        <f>IF(C56&lt;&gt;"",始値!F96,"")</f>
        <v>15850</v>
      </c>
      <c r="AR56">
        <f>IF(C56&lt;&gt;"",高値!F96,"")</f>
        <v>16295</v>
      </c>
      <c r="AS56">
        <f>IF(C56&lt;&gt;"",安値!F96,"")</f>
        <v>15165</v>
      </c>
      <c r="AT56" t="str">
        <f t="shared" si="20"/>
        <v>通常</v>
      </c>
      <c r="AU56">
        <f t="shared" si="21"/>
        <v>0</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2359.5</v>
      </c>
      <c r="F57" s="326">
        <f>IF(C57&lt;&gt;"",_xll.RssMarket(C57,"始値"),"")</f>
        <v>2352</v>
      </c>
      <c r="G57" s="325">
        <f>IF(C57&lt;&gt;"",終値!F102,"")</f>
        <v>0</v>
      </c>
      <c r="H57" s="326">
        <f>IF(C57&lt;&gt;"",_xll.RssMarket(C57,"高値"),"")</f>
        <v>2395</v>
      </c>
      <c r="I57" s="326">
        <f>IF(C57&lt;&gt;"",_xll.RssMarket(C57,"安値"),"")</f>
        <v>2294</v>
      </c>
      <c r="J57" s="326">
        <f>IF(C57&lt;&gt;"",_xll.RssMarket(C57,"出来高"),"")</f>
        <v>22279800</v>
      </c>
      <c r="K57" s="326">
        <f>IF(C57&lt;&gt;"",_xll.RssMarket(C57,"年初来高値"),"")</f>
        <v>3019</v>
      </c>
      <c r="L57" s="327">
        <f t="shared" si="0"/>
        <v>-21.844981782047036</v>
      </c>
      <c r="M57" s="326" t="str">
        <f>IF(C57&lt;&gt;"",IFERROR(AVERAGE(出来高!E102:I102),""),"")</f>
        <v/>
      </c>
      <c r="N57" s="326" t="str">
        <f>IF(C57&lt;&gt;"",IFERROR(AVERAGE(出来高!E102:AC102),""),"")</f>
        <v/>
      </c>
      <c r="O57" s="328" t="str">
        <f t="shared" si="1"/>
        <v/>
      </c>
      <c r="P57" s="325" t="str">
        <f t="shared" si="2"/>
        <v/>
      </c>
      <c r="Q57" s="325" t="str">
        <f t="shared" si="3"/>
        <v>様子見▲</v>
      </c>
      <c r="R57" s="326">
        <f t="shared" si="4"/>
        <v>2171</v>
      </c>
      <c r="S57" s="326">
        <f t="shared" si="5"/>
        <v>2454</v>
      </c>
      <c r="T57" s="325">
        <f t="shared" si="6"/>
        <v>2</v>
      </c>
      <c r="U57" s="325" t="str">
        <f t="shared" si="7"/>
        <v>除外</v>
      </c>
      <c r="V57" s="325" t="str">
        <f t="shared" si="8"/>
        <v>通常</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0</v>
      </c>
      <c r="Y57" s="325" t="str">
        <f t="shared" si="9"/>
        <v>相場上昇・見送り |   MACD+ RSI:50.0 前日比:% [2点]</v>
      </c>
      <c r="Z57" s="331" t="str">
        <f t="shared" si="10"/>
        <v/>
      </c>
      <c r="AA57" s="325" t="str">
        <f t="shared" si="11"/>
        <v>上昇▲</v>
      </c>
      <c r="AB57" s="326" t="str">
        <f>IF(OR(C57="",C57="TOPX",終値!E102=""),"",IFERROR(((終値!E102*0.333)+(終値!F102*0.222)+(終値!G102*0.148)+(終値!H102*0.099)+(終値!I102*0.066))/(0.333+0.222+0.148+0.099+0.066),""))</f>
        <v/>
      </c>
      <c r="AC57" s="326" t="str">
        <f>IF(OR(C57="",C57="TOPX",終値!E102=""),"",IFERROR(SUMPRODUCT((終値!E102:AC102),{0.077,0.071,0.065,0.06,0.055,0.051,0.047,0.043,0.039,0.036,0.033,0.031,0.028,0.026,0.024,0.022,0.02,0.018,0.017,0.016,0.014,0.013,0.012,0.011,0.01})/SUM({0.077,0.071,0.065,0.06,0.055,0.051,0.047,0.043,0.039,0.036,0.033,0.031,0.028,0.026,0.024,0.022,0.02,0.018,0.017,0.016,0.014,0.013,0.012,0.011,0.01}),""))</f>
        <v/>
      </c>
      <c r="AD57" s="325" t="str">
        <f t="shared" si="12"/>
        <v/>
      </c>
      <c r="AE57" s="325" t="str">
        <f t="shared" si="13"/>
        <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 t="shared" si="14"/>
        <v>0</v>
      </c>
      <c r="AH57">
        <f t="shared" si="15"/>
        <v>0</v>
      </c>
      <c r="AI57" s="373" t="str">
        <f t="array" ref="AI57">IF(C57="","",IFERROR((INDEX(終値!$E:$E,MATCH(TEXT(C57,"0"),終値!$A:$A,0))-INDEX(終値!$E:$CZ,MATCH(TEXT(C57,"0"),終値!$A:$A,0),$AN$2))/INDEX(終値!$E:$CZ,MATCH(TEXT(C57,"0"),終値!$A:$A,0),$AN$2)*100,""))</f>
        <v/>
      </c>
      <c r="AJ57" s="373">
        <f t="array" ref="AJ57">IFERROR((終値!$E$5-INDEX(終値!$E$5:$CZ$5,1,$AN$2))/INDEX(終値!$E$5:$CZ$5,1,$AN$2)*100,"")</f>
        <v>-0.82558151178043282</v>
      </c>
      <c r="AK57" s="374" t="str">
        <f t="shared" si="16"/>
        <v/>
      </c>
      <c r="AL57" s="372" t="str">
        <f t="shared" si="17"/>
        <v/>
      </c>
      <c r="AO57" s="376" t="str">
        <f t="shared" si="18"/>
        <v>通常</v>
      </c>
      <c r="AP57" s="377">
        <f t="shared" si="19"/>
        <v>0</v>
      </c>
      <c r="AQ57">
        <f>IF(C57&lt;&gt;"",始値!F102,"")</f>
        <v>0</v>
      </c>
      <c r="AR57">
        <f>IF(C57&lt;&gt;"",高値!F102,"")</f>
        <v>0</v>
      </c>
      <c r="AS57">
        <f>IF(C57&lt;&gt;"",安値!F102,"")</f>
        <v>0</v>
      </c>
      <c r="AT57" t="str">
        <f t="shared" si="20"/>
        <v>-</v>
      </c>
      <c r="AU57">
        <f t="shared" si="21"/>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5076</v>
      </c>
      <c r="F58" s="333">
        <f>IF(C58&lt;&gt;"",_xll.RssMarket(C58,"始値"),"")</f>
        <v>4830</v>
      </c>
      <c r="G58" s="212">
        <f>IF(C58&lt;&gt;"",終値!F103,"")</f>
        <v>4290</v>
      </c>
      <c r="H58" s="333">
        <f>IF(C58&lt;&gt;"",_xll.RssMarket(C58,"高値"),"")</f>
        <v>5095</v>
      </c>
      <c r="I58" s="333">
        <f>IF(C58&lt;&gt;"",_xll.RssMarket(C58,"安値"),"")</f>
        <v>4799</v>
      </c>
      <c r="J58" s="333">
        <f>IF(C58&lt;&gt;"",_xll.RssMarket(C58,"出来高"),"")</f>
        <v>37509700</v>
      </c>
      <c r="K58" s="333">
        <f>IF(C58&lt;&gt;"",_xll.RssMarket(C58,"年初来高値"),"")</f>
        <v>7933</v>
      </c>
      <c r="L58" s="334">
        <f t="shared" si="0"/>
        <v>-36.014118240262192</v>
      </c>
      <c r="M58" s="333">
        <f>IF(C58&lt;&gt;"",IFERROR(AVERAGE(出来高!E103:I103),""),"")</f>
        <v>53740140</v>
      </c>
      <c r="N58" s="333">
        <f>IF(C58&lt;&gt;"",IFERROR(AVERAGE(出来高!E103:AC103),""),"")</f>
        <v>42320380</v>
      </c>
      <c r="O58" s="335">
        <f t="shared" si="1"/>
        <v>0.69798292300689946</v>
      </c>
      <c r="P58" s="212" t="str">
        <f t="shared" si="2"/>
        <v>減少↓</v>
      </c>
      <c r="Q58" s="212" t="str">
        <f t="shared" si="3"/>
        <v>様子見▲</v>
      </c>
      <c r="R58" s="333">
        <f t="shared" si="4"/>
        <v>4670</v>
      </c>
      <c r="S58" s="333">
        <f t="shared" si="5"/>
        <v>5279</v>
      </c>
      <c r="T58" s="325">
        <f t="shared" si="6"/>
        <v>9</v>
      </c>
      <c r="U58" s="212" t="str">
        <f t="shared" si="7"/>
        <v>要確認</v>
      </c>
      <c r="V58" s="212" t="str">
        <f t="shared" si="8"/>
        <v>安値圏</v>
      </c>
      <c r="W58" s="336">
        <f t="array" ref="W58">IFERROR(100-100/(1+SUMPRODUCT((終値!F103:R103&gt;終値!G103:S103)*(終値!F103:R103-終値!G103:S103))/SUMPRODUCT((終値!F103:R103&lt;終値!G103:S103)*(終値!G103:S103-終値!F103:R103))),50)</f>
        <v>38.45410628019323</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-143.01137164214106</v>
      </c>
      <c r="Y58" s="212" t="str">
        <f t="shared" si="9"/>
        <v>相場上昇・見送り | 上昇トレンド▲ MACD- RSI:38.5 前日比:+18.3% [安値圏] [9点]</v>
      </c>
      <c r="Z58" s="338">
        <f t="shared" si="10"/>
        <v>18.321678321678323</v>
      </c>
      <c r="AA58" s="212" t="str">
        <f t="shared" si="11"/>
        <v>上昇▲</v>
      </c>
      <c r="AB58" s="333">
        <f>IF(OR(C58="",C58="TOPX",終値!E103=""),"",IFERROR(((終値!E103*0.333)+(終値!F103*0.222)+(終値!G103*0.148)+(終値!H103*0.099)+(終値!I103*0.066))/(0.333+0.222+0.148+0.099+0.066),""))</f>
        <v>4294.2396313364052</v>
      </c>
      <c r="AC58" s="333">
        <f>IF(OR(C58="",C58="TOPX",終値!E103=""),"",IFERROR(SUMPRODUCT((終値!E103:AC103),{0.077,0.071,0.065,0.06,0.055,0.051,0.047,0.043,0.039,0.036,0.033,0.031,0.028,0.026,0.024,0.022,0.02,0.018,0.017,0.016,0.014,0.013,0.012,0.011,0.01})/SUM({0.077,0.071,0.065,0.06,0.055,0.051,0.047,0.043,0.039,0.036,0.033,0.031,0.028,0.026,0.024,0.022,0.02,0.018,0.017,0.016,0.014,0.013,0.012,0.011,0.01}),""))</f>
        <v>4553.9976162097728</v>
      </c>
      <c r="AD58" s="212" t="str">
        <f t="shared" si="12"/>
        <v>上昇トレンド▲</v>
      </c>
      <c r="AE58" s="212" t="str">
        <f t="shared" si="13"/>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 t="shared" si="14"/>
        <v>9</v>
      </c>
      <c r="AH58">
        <f t="shared" si="15"/>
        <v>89942</v>
      </c>
      <c r="AI58" s="373">
        <f t="array" ref="AI58">IF(C58="","",IFERROR((INDEX(終値!$E:$E,MATCH(TEXT(C58,"0"),終値!$A:$A,0))-INDEX(終値!$E:$CZ,MATCH(TEXT(C58,"0"),終値!$A:$A,0),$AN$2))/INDEX(終値!$E:$CZ,MATCH(TEXT(C58,"0"),終値!$A:$A,0),$AN$2)*100,""))</f>
        <v>-21.359388275276125</v>
      </c>
      <c r="AJ58" s="373">
        <f t="array" ref="AJ58">IFERROR((終値!$E$5-INDEX(終値!$E$5:$CZ$5,1,$AN$2))/INDEX(終値!$E$5:$CZ$5,1,$AN$2)*100,"")</f>
        <v>-0.82558151178043282</v>
      </c>
      <c r="AK58" s="374">
        <f t="shared" si="16"/>
        <v>-20.53380676349569</v>
      </c>
      <c r="AL58" s="372">
        <f t="shared" si="17"/>
        <v>3</v>
      </c>
      <c r="AO58" s="376" t="str">
        <f t="shared" si="18"/>
        <v>通常</v>
      </c>
      <c r="AP58" s="377">
        <f t="shared" si="19"/>
        <v>0</v>
      </c>
      <c r="AQ58">
        <f>IF(C58&lt;&gt;"",始値!F103,"")</f>
        <v>4079</v>
      </c>
      <c r="AR58">
        <f>IF(C58&lt;&gt;"",高値!F103,"")</f>
        <v>4325</v>
      </c>
      <c r="AS58">
        <f>IF(C58&lt;&gt;"",安値!F103,"")</f>
        <v>4008</v>
      </c>
      <c r="AT58" t="str">
        <f t="shared" si="20"/>
        <v>通常</v>
      </c>
      <c r="AU58">
        <f t="shared" si="21"/>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2347</v>
      </c>
      <c r="F59" s="326">
        <f>IF(C59&lt;&gt;"",_xll.RssMarket(C59,"始値"),"")</f>
        <v>2340</v>
      </c>
      <c r="G59" s="325">
        <f>IF(C59&lt;&gt;"",終値!F104,"")</f>
        <v>2335.5</v>
      </c>
      <c r="H59" s="326">
        <f>IF(C59&lt;&gt;"",_xll.RssMarket(C59,"高値"),"")</f>
        <v>2350</v>
      </c>
      <c r="I59" s="326">
        <f>IF(C59&lt;&gt;"",_xll.RssMarket(C59,"安値"),"")</f>
        <v>2316.5</v>
      </c>
      <c r="J59" s="326">
        <f>IF(C59&lt;&gt;"",_xll.RssMarket(C59,"出来高"),"")</f>
        <v>2014900</v>
      </c>
      <c r="K59" s="326">
        <f>IF(C59&lt;&gt;"",_xll.RssMarket(C59,"年初来高値"),"")</f>
        <v>2539.5</v>
      </c>
      <c r="L59" s="327">
        <f t="shared" si="0"/>
        <v>-7.5802323291986609</v>
      </c>
      <c r="M59" s="326">
        <f>IF(C59&lt;&gt;"",IFERROR(AVERAGE(出来高!E104:I104),""),"")</f>
        <v>6090300</v>
      </c>
      <c r="N59" s="326">
        <f>IF(C59&lt;&gt;"",IFERROR(AVERAGE(出来高!E104:AC104),""),"")</f>
        <v>5597264</v>
      </c>
      <c r="O59" s="328">
        <f t="shared" si="1"/>
        <v>0.33083756136807713</v>
      </c>
      <c r="P59" s="325" t="str">
        <f t="shared" si="2"/>
        <v>減少↓</v>
      </c>
      <c r="Q59" s="325" t="str">
        <f t="shared" si="3"/>
        <v>様子見▲</v>
      </c>
      <c r="R59" s="326">
        <f t="shared" si="4"/>
        <v>2159</v>
      </c>
      <c r="S59" s="326">
        <f t="shared" si="5"/>
        <v>2441</v>
      </c>
      <c r="T59" s="325">
        <f t="shared" si="6"/>
        <v>2</v>
      </c>
      <c r="U59" s="325" t="str">
        <f t="shared" si="7"/>
        <v>除外</v>
      </c>
      <c r="V59" s="325" t="str">
        <f t="shared" si="8"/>
        <v>通常</v>
      </c>
      <c r="W59" s="329">
        <f t="array" ref="W59">IFERROR(100-100/(1+SUMPRODUCT((終値!F104:R104&gt;終値!G104:S104)*(終値!F104:R104-終値!G104:S104))/SUMPRODUCT((終値!F104:R104&lt;終値!G104:S104)*(終値!G104:S104-終値!F104:R104))),50)</f>
        <v>50.220264317180622</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11.585487324818587</v>
      </c>
      <c r="Y59" s="325" t="str">
        <f t="shared" si="9"/>
        <v>★逆張り売り | 下降トレンド▼ 25日戻り売り★ MACD+ RSI:50.2 前日比:+0.5% [長い下ヒゲ(反発警戒)] [2点]</v>
      </c>
      <c r="Z59" s="331">
        <f t="shared" si="10"/>
        <v>0.49239991436523228</v>
      </c>
      <c r="AA59" s="325" t="str">
        <f t="shared" si="11"/>
        <v>上昇▲</v>
      </c>
      <c r="AB59" s="326">
        <f>IF(OR(C59="",C59="TOPX",終値!E104=""),"",IFERROR(((終値!E104*0.333)+(終値!F104*0.222)+(終値!G104*0.148)+(終値!H104*0.099)+(終値!I104*0.066))/(0.333+0.222+0.148+0.099+0.066),""))</f>
        <v>2361.022465437788</v>
      </c>
      <c r="AC59" s="326">
        <f>IF(OR(C59="",C59="TOPX",終値!E104=""),"",IFERROR(SUMPRODUCT((終値!E104:AC104),{0.077,0.071,0.065,0.06,0.055,0.051,0.047,0.043,0.039,0.036,0.033,0.031,0.028,0.026,0.024,0.022,0.02,0.018,0.017,0.016,0.014,0.013,0.012,0.011,0.01})/SUM({0.077,0.071,0.065,0.06,0.055,0.051,0.047,0.043,0.039,0.036,0.033,0.031,0.028,0.026,0.024,0.022,0.02,0.018,0.017,0.016,0.014,0.013,0.012,0.011,0.01}),""))</f>
        <v>2388.4410011918944</v>
      </c>
      <c r="AD59" s="325" t="str">
        <f t="shared" si="12"/>
        <v>下降トレンド▼</v>
      </c>
      <c r="AE59" s="325" t="str">
        <f t="shared" si="13"/>
        <v>25日戻り売り★</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★逆張り売り</v>
      </c>
      <c r="AG59">
        <f t="shared" si="14"/>
        <v>0</v>
      </c>
      <c r="AH59">
        <f t="shared" si="15"/>
        <v>0</v>
      </c>
      <c r="AI59" s="373">
        <f t="array" ref="AI59">IF(C59="","",IFERROR((INDEX(終値!$E:$E,MATCH(TEXT(C59,"0"),終値!$A:$A,0))-INDEX(終値!$E:$CZ,MATCH(TEXT(C59,"0"),終値!$A:$A,0),$AN$2))/INDEX(終値!$E:$CZ,MATCH(TEXT(C59,"0"),終値!$A:$A,0),$AN$2)*100,""))</f>
        <v>8.1049698095680434</v>
      </c>
      <c r="AJ59" s="373">
        <f t="array" ref="AJ59">IFERROR((終値!$E$5-INDEX(終値!$E$5:$CZ$5,1,$AN$2))/INDEX(終値!$E$5:$CZ$5,1,$AN$2)*100,"")</f>
        <v>-0.82558151178043282</v>
      </c>
      <c r="AK59" s="374">
        <f t="shared" si="16"/>
        <v>8.9305513213484762</v>
      </c>
      <c r="AL59" s="372">
        <f t="shared" si="17"/>
        <v>-2</v>
      </c>
      <c r="AO59" s="376" t="str">
        <f t="shared" si="18"/>
        <v>長い下ヒゲ(反発警戒)</v>
      </c>
      <c r="AP59" s="377">
        <f t="shared" si="19"/>
        <v>-2</v>
      </c>
      <c r="AQ59">
        <f>IF(C59&lt;&gt;"",始値!F104,"")</f>
        <v>2353.5</v>
      </c>
      <c r="AR59">
        <f>IF(C59&lt;&gt;"",高値!F104,"")</f>
        <v>2382</v>
      </c>
      <c r="AS59">
        <f>IF(C59&lt;&gt;"",安値!F104,"")</f>
        <v>2267.5</v>
      </c>
      <c r="AT59" t="str">
        <f t="shared" si="20"/>
        <v>通常</v>
      </c>
      <c r="AU59">
        <f t="shared" si="21"/>
        <v>0</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2190</v>
      </c>
      <c r="F60" s="333">
        <f>IF(C60&lt;&gt;"",_xll.RssMarket(C60,"始値"),"")</f>
        <v>2202.5</v>
      </c>
      <c r="G60" s="212">
        <f>IF(C60&lt;&gt;"",終値!F110,"")</f>
        <v>2219.5</v>
      </c>
      <c r="H60" s="333">
        <f>IF(C60&lt;&gt;"",_xll.RssMarket(C60,"高値"),"")</f>
        <v>2218.5</v>
      </c>
      <c r="I60" s="333">
        <f>IF(C60&lt;&gt;"",_xll.RssMarket(C60,"安値"),"")</f>
        <v>2190</v>
      </c>
      <c r="J60" s="333">
        <f>IF(C60&lt;&gt;"",_xll.RssMarket(C60,"出来高"),"")</f>
        <v>206400</v>
      </c>
      <c r="K60" s="333">
        <f>IF(C60&lt;&gt;"",_xll.RssMarket(C60,"年初来高値"),"")</f>
        <v>2274</v>
      </c>
      <c r="L60" s="334">
        <f t="shared" si="0"/>
        <v>-3.6939313984168867</v>
      </c>
      <c r="M60" s="333">
        <f>IF(C60&lt;&gt;"",IFERROR(AVERAGE(出来高!E110:I110),""),"")</f>
        <v>502840</v>
      </c>
      <c r="N60" s="333">
        <f>IF(C60&lt;&gt;"",IFERROR(AVERAGE(出来高!E110:AC110),""),"")</f>
        <v>398168</v>
      </c>
      <c r="O60" s="335">
        <f t="shared" si="1"/>
        <v>0.41046853870018296</v>
      </c>
      <c r="P60" s="212" t="str">
        <f t="shared" si="2"/>
        <v>減少↓</v>
      </c>
      <c r="Q60" s="212" t="str">
        <f t="shared" si="3"/>
        <v>中立→</v>
      </c>
      <c r="R60" s="333">
        <f t="shared" si="4"/>
        <v>2015</v>
      </c>
      <c r="S60" s="333">
        <f t="shared" si="5"/>
        <v>2278</v>
      </c>
      <c r="T60" s="325">
        <f t="shared" si="6"/>
        <v>1</v>
      </c>
      <c r="U60" s="212" t="str">
        <f t="shared" si="7"/>
        <v>除外</v>
      </c>
      <c r="V60" s="212" t="str">
        <f t="shared" si="8"/>
        <v>通常</v>
      </c>
      <c r="W60" s="336">
        <f t="array" ref="W60">IFERROR(100-100/(1+SUMPRODUCT((終値!F110:R110&gt;終値!G110:S110)*(終値!F110:R110-終値!G110:S110))/SUMPRODUCT((終値!F110:R110&lt;終値!G110:S110)*(終値!G110:S110-終値!F110:R110))),50)</f>
        <v>67.84615384615384</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26.783381560983798</v>
      </c>
      <c r="Y60" s="212" t="str">
        <f t="shared" si="9"/>
        <v>相場上昇・見送り | 上昇トレンド▲ MACD+ RSI:67.8 前日比:-1.3% [1点]</v>
      </c>
      <c r="Z60" s="338">
        <f t="shared" si="10"/>
        <v>-1.3291281820229781</v>
      </c>
      <c r="AA60" s="212" t="str">
        <f t="shared" si="11"/>
        <v>下落▼</v>
      </c>
      <c r="AB60" s="333">
        <f>IF(OR(C60="",C60="TOPX",終値!E110=""),"",IFERROR(((終値!E110*0.333)+(終値!F110*0.222)+(終値!G110*0.148)+(終値!H110*0.099)+(終値!I110*0.066))/(0.333+0.222+0.148+0.099+0.066),""))</f>
        <v>2212.9032258064512</v>
      </c>
      <c r="AC60" s="333">
        <f>IF(OR(C60="",C60="TOPX",終値!E110=""),"",IFERROR(SUMPRODUCT((終値!E110:AC110),{0.077,0.071,0.065,0.06,0.055,0.051,0.047,0.043,0.039,0.036,0.033,0.031,0.028,0.026,0.024,0.022,0.02,0.018,0.017,0.016,0.014,0.013,0.012,0.011,0.01})/SUM({0.077,0.071,0.065,0.06,0.055,0.051,0.047,0.043,0.039,0.036,0.033,0.031,0.028,0.026,0.024,0.022,0.02,0.018,0.017,0.016,0.014,0.013,0.012,0.011,0.01}),""))</f>
        <v>2162.0667461263397</v>
      </c>
      <c r="AD60" s="212" t="str">
        <f t="shared" si="12"/>
        <v>上昇トレンド▲</v>
      </c>
      <c r="AE60" s="212" t="str">
        <f t="shared" si="13"/>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 t="shared" si="14"/>
        <v>0</v>
      </c>
      <c r="AH60">
        <f t="shared" si="15"/>
        <v>0</v>
      </c>
      <c r="AI60" s="373">
        <f t="array" ref="AI60">IF(C60="","",IFERROR((INDEX(終値!$E:$E,MATCH(TEXT(C60,"0"),終値!$A:$A,0))-INDEX(終値!$E:$CZ,MATCH(TEXT(C60,"0"),終値!$A:$A,0),$AN$2))/INDEX(終値!$E:$CZ,MATCH(TEXT(C60,"0"),終値!$A:$A,0),$AN$2)*100,""))</f>
        <v>13.436692506459949</v>
      </c>
      <c r="AJ60" s="373">
        <f t="array" ref="AJ60">IFERROR((終値!$E$5-INDEX(終値!$E$5:$CZ$5,1,$AN$2))/INDEX(終値!$E$5:$CZ$5,1,$AN$2)*100,"")</f>
        <v>-0.82558151178043282</v>
      </c>
      <c r="AK60" s="374">
        <f t="shared" si="16"/>
        <v>14.262274018240381</v>
      </c>
      <c r="AL60" s="372">
        <f t="shared" si="17"/>
        <v>-2</v>
      </c>
      <c r="AO60" s="376" t="str">
        <f t="shared" si="18"/>
        <v>通常</v>
      </c>
      <c r="AP60" s="377">
        <f t="shared" si="19"/>
        <v>0</v>
      </c>
      <c r="AQ60">
        <f>IF(C60&lt;&gt;"",始値!F110,"")</f>
        <v>2205</v>
      </c>
      <c r="AR60">
        <f>IF(C60&lt;&gt;"",高値!F110,"")</f>
        <v>2233</v>
      </c>
      <c r="AS60">
        <f>IF(C60&lt;&gt;"",安値!F110,"")</f>
        <v>2172</v>
      </c>
      <c r="AT60" t="str">
        <f t="shared" si="20"/>
        <v>通常</v>
      </c>
      <c r="AU60">
        <f t="shared" si="21"/>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4659</v>
      </c>
      <c r="F61" s="326">
        <f>IF(C61&lt;&gt;"",_xll.RssMarket(C61,"始値"),"")</f>
        <v>4540</v>
      </c>
      <c r="G61" s="325">
        <f>IF(C61&lt;&gt;"",終値!F118,"")</f>
        <v>4490</v>
      </c>
      <c r="H61" s="326">
        <f>IF(C61&lt;&gt;"",_xll.RssMarket(C61,"高値"),"")</f>
        <v>4659</v>
      </c>
      <c r="I61" s="326">
        <f>IF(C61&lt;&gt;"",_xll.RssMarket(C61,"安値"),"")</f>
        <v>4535</v>
      </c>
      <c r="J61" s="326">
        <f>IF(C61&lt;&gt;"",_xll.RssMarket(C61,"出来高"),"")</f>
        <v>487700</v>
      </c>
      <c r="K61" s="326">
        <f>IF(C61&lt;&gt;"",_xll.RssMarket(C61,"年初来高値"),"")</f>
        <v>4890</v>
      </c>
      <c r="L61" s="327">
        <f t="shared" si="0"/>
        <v>-4.7239263803680975</v>
      </c>
      <c r="M61" s="326">
        <f>IF(C61&lt;&gt;"",IFERROR(AVERAGE(出来高!E118:I118),""),"")</f>
        <v>1193540</v>
      </c>
      <c r="N61" s="326">
        <f>IF(C61&lt;&gt;"",IFERROR(AVERAGE(出来高!E118:AC118),""),"")</f>
        <v>1005316</v>
      </c>
      <c r="O61" s="328">
        <f t="shared" si="1"/>
        <v>0.40861638487189367</v>
      </c>
      <c r="P61" s="325" t="str">
        <f t="shared" si="2"/>
        <v>減少↓</v>
      </c>
      <c r="Q61" s="325" t="str">
        <f t="shared" si="3"/>
        <v>様子見▲</v>
      </c>
      <c r="R61" s="326">
        <f t="shared" si="4"/>
        <v>4286</v>
      </c>
      <c r="S61" s="326">
        <f t="shared" si="5"/>
        <v>4845</v>
      </c>
      <c r="T61" s="325">
        <f t="shared" si="6"/>
        <v>1</v>
      </c>
      <c r="U61" s="325" t="str">
        <f t="shared" si="7"/>
        <v>除外</v>
      </c>
      <c r="V61" s="325" t="str">
        <f t="shared" si="8"/>
        <v>通常</v>
      </c>
      <c r="W61" s="329">
        <f t="array" ref="W61">IFERROR(100-100/(1+SUMPRODUCT((終値!F118:R118&gt;終値!G118:S118)*(終値!F118:R118-終値!G118:S118))/SUMPRODUCT((終値!F118:R118&lt;終値!G118:S118)*(終値!G118:S118-終値!F118:R118))),50)</f>
        <v>42.697594501718214</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-25.866457834968969</v>
      </c>
      <c r="Y61" s="325" t="str">
        <f t="shared" si="9"/>
        <v>相場上昇・見送り | 上昇トレンド▲ MACD- RSI:42.7 前日比:+3.8% [1点]</v>
      </c>
      <c r="Z61" s="331">
        <f t="shared" si="10"/>
        <v>3.7639198218262808</v>
      </c>
      <c r="AA61" s="325" t="str">
        <f t="shared" si="11"/>
        <v>上昇▲</v>
      </c>
      <c r="AB61" s="326">
        <f>IF(OR(C61="",C61="TOPX",終値!E118=""),"",IFERROR(((終値!E118*0.333)+(終値!F118*0.222)+(終値!G118*0.148)+(終値!H118*0.099)+(終値!I118*0.066))/(0.333+0.222+0.148+0.099+0.066),""))</f>
        <v>4514.5195852534562</v>
      </c>
      <c r="AC61" s="326">
        <f>IF(OR(C61="",C61="TOPX",終値!E118=""),"",IFERROR(SUMPRODUCT((終値!E118:AC118),{0.077,0.071,0.065,0.06,0.055,0.051,0.047,0.043,0.039,0.036,0.033,0.031,0.028,0.026,0.024,0.022,0.02,0.018,0.017,0.016,0.014,0.013,0.012,0.011,0.01})/SUM({0.077,0.071,0.065,0.06,0.055,0.051,0.047,0.043,0.039,0.036,0.033,0.031,0.028,0.026,0.024,0.022,0.02,0.018,0.017,0.016,0.014,0.013,0.012,0.011,0.01}),""))</f>
        <v>4586.4994040524425</v>
      </c>
      <c r="AD61" s="325" t="str">
        <f t="shared" si="12"/>
        <v>上昇トレンド▲</v>
      </c>
      <c r="AE61" s="325" t="str">
        <f t="shared" si="13"/>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 t="shared" si="14"/>
        <v>0</v>
      </c>
      <c r="AH61">
        <f t="shared" si="15"/>
        <v>0</v>
      </c>
      <c r="AI61" s="373">
        <f t="array" ref="AI61">IF(C61="","",IFERROR((INDEX(終値!$E:$E,MATCH(TEXT(C61,"0"),終値!$A:$A,0))-INDEX(終値!$E:$CZ,MATCH(TEXT(C61,"0"),終値!$A:$A,0),$AN$2))/INDEX(終値!$E:$CZ,MATCH(TEXT(C61,"0"),終値!$A:$A,0),$AN$2)*100,""))</f>
        <v>1.3965861228109067</v>
      </c>
      <c r="AJ61" s="373">
        <f t="array" ref="AJ61">IFERROR((終値!$E$5-INDEX(終値!$E$5:$CZ$5,1,$AN$2))/INDEX(終値!$E$5:$CZ$5,1,$AN$2)*100,"")</f>
        <v>-0.82558151178043282</v>
      </c>
      <c r="AK61" s="374">
        <f t="shared" si="16"/>
        <v>2.2221676345913393</v>
      </c>
      <c r="AL61" s="372">
        <f t="shared" si="17"/>
        <v>-1</v>
      </c>
      <c r="AO61" s="376" t="str">
        <f t="shared" si="18"/>
        <v>通常</v>
      </c>
      <c r="AP61" s="377">
        <f t="shared" si="19"/>
        <v>0</v>
      </c>
      <c r="AQ61">
        <f>IF(C61&lt;&gt;"",始値!F118,"")</f>
        <v>4403</v>
      </c>
      <c r="AR61">
        <f>IF(C61&lt;&gt;"",高値!F118,"")</f>
        <v>4574</v>
      </c>
      <c r="AS61">
        <f>IF(C61&lt;&gt;"",安値!F118,"")</f>
        <v>4375</v>
      </c>
      <c r="AT61" t="str">
        <f t="shared" si="20"/>
        <v>通常</v>
      </c>
      <c r="AU61">
        <f t="shared" si="21"/>
        <v>0</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9870</v>
      </c>
      <c r="F62" s="333">
        <f>IF(C62&lt;&gt;"",_xll.RssMarket(C62,"始値"),"")</f>
        <v>9950</v>
      </c>
      <c r="G62" s="212">
        <f>IF(C62&lt;&gt;"",終値!F147,"")</f>
        <v>8520</v>
      </c>
      <c r="H62" s="333">
        <f>IF(C62&lt;&gt;"",_xll.RssMarket(C62,"高値"),"")</f>
        <v>9960</v>
      </c>
      <c r="I62" s="333">
        <f>IF(C62&lt;&gt;"",_xll.RssMarket(C62,"安値"),"")</f>
        <v>9460</v>
      </c>
      <c r="J62" s="333">
        <f>IF(C62&lt;&gt;"",_xll.RssMarket(C62,"出来高"),"")</f>
        <v>121300</v>
      </c>
      <c r="K62" s="333">
        <f>IF(C62&lt;&gt;"",_xll.RssMarket(C62,"年初来高値"),"")</f>
        <v>16930</v>
      </c>
      <c r="L62" s="334">
        <f t="shared" si="0"/>
        <v>-41.701122268163026</v>
      </c>
      <c r="M62" s="333">
        <f>IF(C62&lt;&gt;"",IFERROR(AVERAGE(出来高!E147:I147),""),"")</f>
        <v>166720</v>
      </c>
      <c r="N62" s="333">
        <f>IF(C62&lt;&gt;"",IFERROR(AVERAGE(出来高!E147:AC147),""),"")</f>
        <v>110054.16666666667</v>
      </c>
      <c r="O62" s="335">
        <f t="shared" si="1"/>
        <v>0.72756717850287911</v>
      </c>
      <c r="P62" s="212" t="str">
        <f t="shared" si="2"/>
        <v>減少↓</v>
      </c>
      <c r="Q62" s="212" t="str">
        <f t="shared" si="3"/>
        <v>様子見▲</v>
      </c>
      <c r="R62" s="333">
        <f t="shared" si="4"/>
        <v>9080</v>
      </c>
      <c r="S62" s="333">
        <f t="shared" si="5"/>
        <v>10265</v>
      </c>
      <c r="T62" s="325">
        <f t="shared" si="6"/>
        <v>8</v>
      </c>
      <c r="U62" s="212" t="str">
        <f t="shared" si="7"/>
        <v>要確認</v>
      </c>
      <c r="V62" s="212" t="str">
        <f t="shared" si="8"/>
        <v>年初来安値圏●</v>
      </c>
      <c r="W62" s="336">
        <f t="array" ref="W62">IFERROR(100-100/(1+SUMPRODUCT((終値!F147:R147&gt;終値!G147:S147)*(終値!F147:R147-終値!G147:S147))/SUMPRODUCT((終値!F147:R147&lt;終値!G147:S147)*(終値!G147:S147-終値!F147:R147))),50)</f>
        <v>41.74793698424606</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-674.44176660470475</v>
      </c>
      <c r="Y62" s="212" t="str">
        <f t="shared" si="9"/>
        <v>相場上昇・見送り | 上昇トレンド▲ MACD- RSI:41.7 前日比:+15.8% [年初来安値圏] [長い下ヒゲ(反発警戒)] [8点]</v>
      </c>
      <c r="Z62" s="338">
        <f t="shared" si="10"/>
        <v>15.845070422535212</v>
      </c>
      <c r="AA62" s="212" t="str">
        <f t="shared" si="11"/>
        <v>上昇▲</v>
      </c>
      <c r="AB62" s="333">
        <f>IF(OR(C62="",C62="TOPX",終値!E147=""),"",IFERROR(((終値!E147*0.333)+(終値!F147*0.222)+(終値!G147*0.148)+(終値!H147*0.099)+(終値!I147*0.066))/(0.333+0.222+0.148+0.099+0.066),""))</f>
        <v>8638.0645161290322</v>
      </c>
      <c r="AC62" s="333">
        <f>IF(OR(C62="",C62="TOPX",終値!E147=""),"",IFERROR(SUMPRODUCT((終値!E147:AC147),{0.077,0.071,0.065,0.06,0.055,0.051,0.047,0.043,0.039,0.036,0.033,0.031,0.028,0.026,0.024,0.022,0.02,0.018,0.017,0.016,0.014,0.013,0.012,0.011,0.01})/SUM({0.077,0.071,0.065,0.06,0.055,0.051,0.047,0.043,0.039,0.036,0.033,0.031,0.028,0.026,0.024,0.022,0.02,0.018,0.017,0.016,0.014,0.013,0.012,0.011,0.01}),""))</f>
        <v>9455.2800953516089</v>
      </c>
      <c r="AD62" s="212" t="str">
        <f t="shared" si="12"/>
        <v>上昇トレンド▲</v>
      </c>
      <c r="AE62" s="212" t="str">
        <f t="shared" si="13"/>
        <v>なし</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相場上昇・見送り</v>
      </c>
      <c r="AG62">
        <f t="shared" si="14"/>
        <v>8</v>
      </c>
      <c r="AH62">
        <f t="shared" si="15"/>
        <v>79938</v>
      </c>
      <c r="AI62" s="373">
        <f t="array" ref="AI62">IF(C62="","",IFERROR((INDEX(終値!$E:$E,MATCH(TEXT(C62,"0"),終値!$A:$A,0))-INDEX(終値!$E:$CZ,MATCH(TEXT(C62,"0"),終値!$A:$A,0),$AN$2))/INDEX(終値!$E:$CZ,MATCH(TEXT(C62,"0"),終値!$A:$A,0),$AN$2)*100,""))</f>
        <v>-33.214285714285715</v>
      </c>
      <c r="AJ62" s="373">
        <f t="array" ref="AJ62">IFERROR((終値!$E$5-INDEX(終値!$E$5:$CZ$5,1,$AN$2))/INDEX(終値!$E$5:$CZ$5,1,$AN$2)*100,"")</f>
        <v>-0.82558151178043282</v>
      </c>
      <c r="AK62" s="374">
        <f t="shared" si="16"/>
        <v>-32.388704202505281</v>
      </c>
      <c r="AL62" s="372">
        <f t="shared" si="17"/>
        <v>3</v>
      </c>
      <c r="AO62" s="376" t="str">
        <f t="shared" si="18"/>
        <v>長い下ヒゲ(反発警戒)</v>
      </c>
      <c r="AP62" s="377">
        <f t="shared" si="19"/>
        <v>-2</v>
      </c>
      <c r="AQ62">
        <f>IF(C62&lt;&gt;"",始値!F147,"")</f>
        <v>8150</v>
      </c>
      <c r="AR62">
        <f>IF(C62&lt;&gt;"",高値!F147,"")</f>
        <v>8670</v>
      </c>
      <c r="AS62">
        <f>IF(C62&lt;&gt;"",安値!F147,"")</f>
        <v>8000</v>
      </c>
      <c r="AT62" t="str">
        <f t="shared" si="20"/>
        <v>通常</v>
      </c>
      <c r="AU62">
        <f t="shared" si="21"/>
        <v>0</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1154</v>
      </c>
      <c r="F63" s="326">
        <f>IF(C63&lt;&gt;"",_xll.RssMarket(C63,"始値"),"")</f>
        <v>1138</v>
      </c>
      <c r="G63" s="325">
        <f>IF(C63&lt;&gt;"",終値!F152,"")</f>
        <v>1127</v>
      </c>
      <c r="H63" s="326">
        <f>IF(C63&lt;&gt;"",_xll.RssMarket(C63,"高値"),"")</f>
        <v>1178</v>
      </c>
      <c r="I63" s="326">
        <f>IF(C63&lt;&gt;"",_xll.RssMarket(C63,"安値"),"")</f>
        <v>1138</v>
      </c>
      <c r="J63" s="326">
        <f>IF(C63&lt;&gt;"",_xll.RssMarket(C63,"出来高"),"")</f>
        <v>402100</v>
      </c>
      <c r="K63" s="326">
        <f>IF(C63&lt;&gt;"",_xll.RssMarket(C63,"年初来高値"),"")</f>
        <v>1189</v>
      </c>
      <c r="L63" s="327">
        <f t="shared" si="0"/>
        <v>-2.9436501261564341</v>
      </c>
      <c r="M63" s="326">
        <f>IF(C63&lt;&gt;"",IFERROR(AVERAGE(出来高!E152:I152),""),"")</f>
        <v>742320</v>
      </c>
      <c r="N63" s="326">
        <f>IF(C63&lt;&gt;"",IFERROR(AVERAGE(出来高!E152:AC152),""),"")</f>
        <v>548008</v>
      </c>
      <c r="O63" s="328">
        <f t="shared" si="1"/>
        <v>0.54168013794589931</v>
      </c>
      <c r="P63" s="325" t="str">
        <f t="shared" si="2"/>
        <v>減少↓</v>
      </c>
      <c r="Q63" s="325" t="str">
        <f t="shared" si="3"/>
        <v>様子見▲</v>
      </c>
      <c r="R63" s="326">
        <f t="shared" si="4"/>
        <v>1062</v>
      </c>
      <c r="S63" s="326">
        <f t="shared" si="5"/>
        <v>1200</v>
      </c>
      <c r="T63" s="325">
        <f t="shared" si="6"/>
        <v>-1</v>
      </c>
      <c r="U63" s="325" t="str">
        <f t="shared" si="7"/>
        <v>除外</v>
      </c>
      <c r="V63" s="325" t="str">
        <f t="shared" si="8"/>
        <v>通常</v>
      </c>
      <c r="W63" s="329">
        <f t="array" ref="W63">IFERROR(100-100/(1+SUMPRODUCT((終値!F152:R152&gt;終値!G152:S152)*(終値!F152:R152-終値!G152:S152))/SUMPRODUCT((終値!F152:R152&lt;終値!G152:S152)*(終値!G152:S152-終値!F152:R152))),50)</f>
        <v>59.477124183006538</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10.544505431083508</v>
      </c>
      <c r="Y63" s="325" t="str">
        <f t="shared" si="9"/>
        <v>相場上昇・見送り | パーフェクト▲ MACD+ RSI:59.5 前日比:+2.4% [-1点]</v>
      </c>
      <c r="Z63" s="331">
        <f t="shared" si="10"/>
        <v>2.3957409050576755</v>
      </c>
      <c r="AA63" s="325" t="str">
        <f t="shared" si="11"/>
        <v>上昇▲</v>
      </c>
      <c r="AB63" s="326">
        <f>IF(OR(C63="",C63="TOPX",終値!E152=""),"",IFERROR(((終値!E152*0.333)+(終値!F152*0.222)+(終値!G152*0.148)+(終値!H152*0.099)+(終値!I152*0.066))/(0.333+0.222+0.148+0.099+0.066),""))</f>
        <v>1114.4205069124423</v>
      </c>
      <c r="AC63" s="326">
        <f>IF(OR(C63="",C63="TOPX",終値!E152=""),"",IFERROR(SUMPRODUCT((終値!E152:AC152),{0.077,0.071,0.065,0.06,0.055,0.051,0.047,0.043,0.039,0.036,0.033,0.031,0.028,0.026,0.024,0.022,0.02,0.018,0.017,0.016,0.014,0.013,0.012,0.011,0.01})/SUM({0.077,0.071,0.065,0.06,0.055,0.051,0.047,0.043,0.039,0.036,0.033,0.031,0.028,0.026,0.024,0.022,0.02,0.018,0.017,0.016,0.014,0.013,0.012,0.011,0.01}),""))</f>
        <v>1107.8653158522043</v>
      </c>
      <c r="AD63" s="325" t="str">
        <f t="shared" si="12"/>
        <v>パーフェクト▲</v>
      </c>
      <c r="AE63" s="325" t="str">
        <f t="shared" si="13"/>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 t="shared" si="14"/>
        <v>0</v>
      </c>
      <c r="AH63">
        <f t="shared" si="15"/>
        <v>0</v>
      </c>
      <c r="AI63" s="373">
        <f t="array" ref="AI63">IF(C63="","",IFERROR((INDEX(終値!$E:$E,MATCH(TEXT(C63,"0"),終値!$A:$A,0))-INDEX(終値!$E:$CZ,MATCH(TEXT(C63,"0"),終値!$A:$A,0),$AN$2))/INDEX(終値!$E:$CZ,MATCH(TEXT(C63,"0"),終値!$A:$A,0),$AN$2)*100,""))</f>
        <v>12.163509471585245</v>
      </c>
      <c r="AJ63" s="373">
        <f t="array" ref="AJ63">IFERROR((終値!$E$5-INDEX(終値!$E$5:$CZ$5,1,$AN$2))/INDEX(終値!$E$5:$CZ$5,1,$AN$2)*100,"")</f>
        <v>-0.82558151178043282</v>
      </c>
      <c r="AK63" s="374">
        <f t="shared" si="16"/>
        <v>12.989090983365678</v>
      </c>
      <c r="AL63" s="372">
        <f t="shared" si="17"/>
        <v>-2</v>
      </c>
      <c r="AO63" s="376" t="str">
        <f t="shared" si="18"/>
        <v>通常</v>
      </c>
      <c r="AP63" s="377">
        <f t="shared" si="19"/>
        <v>0</v>
      </c>
      <c r="AQ63">
        <f>IF(C63&lt;&gt;"",始値!F152,"")</f>
        <v>1089</v>
      </c>
      <c r="AR63">
        <f>IF(C63&lt;&gt;"",高値!F152,"")</f>
        <v>1139</v>
      </c>
      <c r="AS63">
        <f>IF(C63&lt;&gt;"",安値!F152,"")</f>
        <v>1071</v>
      </c>
      <c r="AT63" t="str">
        <f t="shared" si="20"/>
        <v>通常</v>
      </c>
      <c r="AU63">
        <f t="shared" si="21"/>
        <v>0</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14950</v>
      </c>
      <c r="F64" s="333">
        <f>IF(C64&lt;&gt;"",_xll.RssMarket(C64,"始値"),"")</f>
        <v>14450</v>
      </c>
      <c r="G64" s="212">
        <f>IF(C64&lt;&gt;"",終値!F183,"")</f>
        <v>13450</v>
      </c>
      <c r="H64" s="333">
        <f>IF(C64&lt;&gt;"",_xll.RssMarket(C64,"高値"),"")</f>
        <v>15060</v>
      </c>
      <c r="I64" s="333">
        <f>IF(C64&lt;&gt;"",_xll.RssMarket(C64,"安値"),"")</f>
        <v>14150</v>
      </c>
      <c r="J64" s="333">
        <f>IF(C64&lt;&gt;"",_xll.RssMarket(C64,"出来高"),"")</f>
        <v>128300</v>
      </c>
      <c r="K64" s="333">
        <f>IF(C64&lt;&gt;"",_xll.RssMarket(C64,"年初来高値"),"")</f>
        <v>16900</v>
      </c>
      <c r="L64" s="334">
        <f t="shared" si="0"/>
        <v>-11.538461538461538</v>
      </c>
      <c r="M64" s="333">
        <f>IF(C64&lt;&gt;"",IFERROR(AVERAGE(出来高!E183:I183),""),"")</f>
        <v>203220</v>
      </c>
      <c r="N64" s="333">
        <f>IF(C64&lt;&gt;"",IFERROR(AVERAGE(出来高!E183:AC183),""),"")</f>
        <v>154228</v>
      </c>
      <c r="O64" s="335">
        <f t="shared" si="1"/>
        <v>0.63133549847455961</v>
      </c>
      <c r="P64" s="212" t="str">
        <f t="shared" si="2"/>
        <v>減少↓</v>
      </c>
      <c r="Q64" s="212" t="str">
        <f t="shared" si="3"/>
        <v>様子見▲</v>
      </c>
      <c r="R64" s="333">
        <f t="shared" si="4"/>
        <v>13754</v>
      </c>
      <c r="S64" s="333">
        <f t="shared" si="5"/>
        <v>15548</v>
      </c>
      <c r="T64" s="325">
        <f t="shared" si="6"/>
        <v>5</v>
      </c>
      <c r="U64" s="212" t="str">
        <f t="shared" si="7"/>
        <v>要確認</v>
      </c>
      <c r="V64" s="212" t="str">
        <f t="shared" si="8"/>
        <v>通常</v>
      </c>
      <c r="W64" s="336">
        <f t="array" ref="W64">IFERROR(100-100/(1+SUMPRODUCT((終値!F183:R183&gt;終値!G183:S183)*(終値!F183:R183-終値!G183:S183))/SUMPRODUCT((終値!F183:R183&lt;終値!G183:S183)*(終値!G183:S183-終値!F183:R183))),50)</f>
        <v>43.768545994065285</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-267.56009218313011</v>
      </c>
      <c r="Y64" s="212" t="str">
        <f t="shared" si="9"/>
        <v>相場上昇・見送り | 上昇トレンド▲ MACD- RSI:43.8 前日比:+11.2% [5点]</v>
      </c>
      <c r="Z64" s="338">
        <f t="shared" si="10"/>
        <v>11.152416356877323</v>
      </c>
      <c r="AA64" s="212" t="str">
        <f t="shared" si="11"/>
        <v>上昇▲</v>
      </c>
      <c r="AB64" s="333">
        <f>IF(OR(C64="",C64="TOPX",終値!E183=""),"",IFERROR(((終値!E183*0.333)+(終値!F183*0.222)+(終値!G183*0.148)+(終値!H183*0.099)+(終値!I183*0.066))/(0.333+0.222+0.148+0.099+0.066),""))</f>
        <v>13395.771889400919</v>
      </c>
      <c r="AC64" s="333">
        <f>IF(OR(C64="",C64="TOPX",終値!E183=""),"",IFERROR(SUMPRODUCT((終値!E183:AC183),{0.077,0.071,0.065,0.06,0.055,0.051,0.047,0.043,0.039,0.036,0.033,0.031,0.028,0.026,0.024,0.022,0.02,0.018,0.017,0.016,0.014,0.013,0.012,0.011,0.01})/SUM({0.077,0.071,0.065,0.06,0.055,0.051,0.047,0.043,0.039,0.036,0.033,0.031,0.028,0.026,0.024,0.022,0.02,0.018,0.017,0.016,0.014,0.013,0.012,0.011,0.01}),""))</f>
        <v>13847.651966626929</v>
      </c>
      <c r="AD64" s="212" t="str">
        <f t="shared" si="12"/>
        <v>上昇トレンド▲</v>
      </c>
      <c r="AE64" s="212" t="str">
        <f t="shared" si="13"/>
        <v>なし</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 t="shared" si="14"/>
        <v>0</v>
      </c>
      <c r="AH64">
        <f t="shared" si="15"/>
        <v>0</v>
      </c>
      <c r="AI64" s="373">
        <f t="array" ref="AI64">IF(C64="","",IFERROR((INDEX(終値!$E:$E,MATCH(TEXT(C64,"0"),終値!$A:$A,0))-INDEX(終値!$E:$CZ,MATCH(TEXT(C64,"0"),終値!$A:$A,0),$AN$2))/INDEX(終値!$E:$CZ,MATCH(TEXT(C64,"0"),終値!$A:$A,0),$AN$2)*100,""))</f>
        <v>-8.0655737704918025</v>
      </c>
      <c r="AJ64" s="373">
        <f t="array" ref="AJ64">IFERROR((終値!$E$5-INDEX(終値!$E$5:$CZ$5,1,$AN$2))/INDEX(終値!$E$5:$CZ$5,1,$AN$2)*100,"")</f>
        <v>-0.82558151178043282</v>
      </c>
      <c r="AK64" s="374">
        <f t="shared" si="16"/>
        <v>-7.2399922587113696</v>
      </c>
      <c r="AL64" s="372">
        <f t="shared" si="17"/>
        <v>3</v>
      </c>
      <c r="AO64" s="376" t="str">
        <f t="shared" si="18"/>
        <v>通常</v>
      </c>
      <c r="AP64" s="377">
        <f t="shared" si="19"/>
        <v>0</v>
      </c>
      <c r="AQ64">
        <f>IF(C64&lt;&gt;"",始値!F183,"")</f>
        <v>13030</v>
      </c>
      <c r="AR64">
        <f>IF(C64&lt;&gt;"",高値!F183,"")</f>
        <v>13550</v>
      </c>
      <c r="AS64">
        <f>IF(C64&lt;&gt;"",安値!F183,"")</f>
        <v>12790</v>
      </c>
      <c r="AT64" t="str">
        <f t="shared" si="20"/>
        <v>通常</v>
      </c>
      <c r="AU64">
        <f t="shared" si="21"/>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7159</v>
      </c>
      <c r="F65" s="326">
        <f>IF(C65&lt;&gt;"",_xll.RssMarket(C65,"始値"),"")</f>
        <v>6990</v>
      </c>
      <c r="G65" s="325">
        <f>IF(C65&lt;&gt;"",終値!F204,"")</f>
        <v>6669</v>
      </c>
      <c r="H65" s="326">
        <f>IF(C65&lt;&gt;"",_xll.RssMarket(C65,"高値"),"")</f>
        <v>7174</v>
      </c>
      <c r="I65" s="326">
        <f>IF(C65&lt;&gt;"",_xll.RssMarket(C65,"安値"),"")</f>
        <v>6868</v>
      </c>
      <c r="J65" s="326">
        <f>IF(C65&lt;&gt;"",_xll.RssMarket(C65,"出来高"),"")</f>
        <v>1867400</v>
      </c>
      <c r="K65" s="326">
        <f>IF(C65&lt;&gt;"",_xll.RssMarket(C65,"年初来高値"),"")</f>
        <v>7559</v>
      </c>
      <c r="L65" s="327">
        <f t="shared" si="0"/>
        <v>-5.2917052520174623</v>
      </c>
      <c r="M65" s="326">
        <f>IF(C65&lt;&gt;"",IFERROR(AVERAGE(出来高!E204:I204),""),"")</f>
        <v>5049420</v>
      </c>
      <c r="N65" s="326">
        <f>IF(C65&lt;&gt;"",IFERROR(AVERAGE(出来高!E204:AC204),""),"")</f>
        <v>2891660</v>
      </c>
      <c r="O65" s="328">
        <f t="shared" si="1"/>
        <v>0.36982465312847812</v>
      </c>
      <c r="P65" s="325" t="str">
        <f t="shared" si="2"/>
        <v>減少↓</v>
      </c>
      <c r="Q65" s="325" t="str">
        <f t="shared" si="3"/>
        <v>様子見▲</v>
      </c>
      <c r="R65" s="326">
        <f t="shared" si="4"/>
        <v>6586</v>
      </c>
      <c r="S65" s="326">
        <f t="shared" si="5"/>
        <v>7445</v>
      </c>
      <c r="T65" s="325">
        <f t="shared" si="6"/>
        <v>0</v>
      </c>
      <c r="U65" s="325" t="str">
        <f t="shared" si="7"/>
        <v>除外</v>
      </c>
      <c r="V65" s="325" t="str">
        <f t="shared" si="8"/>
        <v>通常</v>
      </c>
      <c r="W65" s="329">
        <f t="array" ref="W65">IFERROR(100-100/(1+SUMPRODUCT((終値!F204:R204&gt;終値!G204:S204)*(終値!F204:R204-終値!G204:S204))/SUMPRODUCT((終値!F204:R204&lt;終値!G204:S204)*(終値!G204:S204-終値!F204:R204))),50)</f>
        <v>68.761439902379493</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83.434647885082995</v>
      </c>
      <c r="Y65" s="325" t="str">
        <f t="shared" si="9"/>
        <v>相場上昇・見送り | パーフェクト▲ MACD+ RSI:68.8 前日比:+7.3% [0点]</v>
      </c>
      <c r="Z65" s="331">
        <f t="shared" si="10"/>
        <v>7.3474284000599788</v>
      </c>
      <c r="AA65" s="325" t="str">
        <f t="shared" si="11"/>
        <v>上昇▲</v>
      </c>
      <c r="AB65" s="326">
        <f>IF(OR(C65="",C65="TOPX",終値!E204=""),"",IFERROR(((終値!E204*0.333)+(終値!F204*0.222)+(終値!G204*0.148)+(終値!H204*0.099)+(終値!I204*0.066))/(0.333+0.222+0.148+0.099+0.066),""))</f>
        <v>6717.8145161290313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6453.2550655542291</v>
      </c>
      <c r="AD65" s="325" t="str">
        <f t="shared" si="12"/>
        <v>パーフェクト▲</v>
      </c>
      <c r="AE65" s="325" t="str">
        <f t="shared" si="13"/>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相場上昇・見送り</v>
      </c>
      <c r="AG65">
        <f t="shared" si="14"/>
        <v>0</v>
      </c>
      <c r="AH65">
        <f t="shared" si="15"/>
        <v>0</v>
      </c>
      <c r="AI65" s="373">
        <f t="array" ref="AI65">IF(C65="","",IFERROR((INDEX(終値!$E:$E,MATCH(TEXT(C65,"0"),終値!$A:$A,0))-INDEX(終値!$E:$CZ,MATCH(TEXT(C65,"0"),終値!$A:$A,0),$AN$2))/INDEX(終値!$E:$CZ,MATCH(TEXT(C65,"0"),終値!$A:$A,0),$AN$2)*100,""))</f>
        <v>14.084507042253522</v>
      </c>
      <c r="AJ65" s="373">
        <f t="array" ref="AJ65">IFERROR((終値!$E$5-INDEX(終値!$E$5:$CZ$5,1,$AN$2))/INDEX(終値!$E$5:$CZ$5,1,$AN$2)*100,"")</f>
        <v>-0.82558151178043282</v>
      </c>
      <c r="AK65" s="374">
        <f t="shared" si="16"/>
        <v>14.910088554033955</v>
      </c>
      <c r="AL65" s="372">
        <f t="shared" si="17"/>
        <v>-2</v>
      </c>
      <c r="AO65" s="376" t="str">
        <f t="shared" si="18"/>
        <v>通常</v>
      </c>
      <c r="AP65" s="377">
        <f t="shared" si="19"/>
        <v>0</v>
      </c>
      <c r="AQ65">
        <f>IF(C65&lt;&gt;"",始値!F204,"")</f>
        <v>6622</v>
      </c>
      <c r="AR65">
        <f>IF(C65&lt;&gt;"",高値!F204,"")</f>
        <v>6745</v>
      </c>
      <c r="AS65">
        <f>IF(C65&lt;&gt;"",安値!F204,"")</f>
        <v>6476</v>
      </c>
      <c r="AT65" t="str">
        <f t="shared" si="20"/>
        <v>通常</v>
      </c>
      <c r="AU65">
        <f t="shared" si="21"/>
        <v>0</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8471</v>
      </c>
      <c r="F66" s="333">
        <f>IF(C66&lt;&gt;"",_xll.RssMarket(C66,"始値"),"")</f>
        <v>8188</v>
      </c>
      <c r="G66" s="212">
        <f>IF(C66&lt;&gt;"",終値!F19,"")</f>
        <v>8094</v>
      </c>
      <c r="H66" s="333">
        <f>IF(C66&lt;&gt;"",_xll.RssMarket(C66,"高値"),"")</f>
        <v>8473</v>
      </c>
      <c r="I66" s="333">
        <f>IF(C66&lt;&gt;"",_xll.RssMarket(C66,"安値"),"")</f>
        <v>8137</v>
      </c>
      <c r="J66" s="333">
        <f>IF(C66&lt;&gt;"",_xll.RssMarket(C66,"出来高"),"")</f>
        <v>6986100</v>
      </c>
      <c r="K66" s="333">
        <f>IF(C66&lt;&gt;"",_xll.RssMarket(C66,"年初来高値"),"")</f>
        <v>8816</v>
      </c>
      <c r="L66" s="334">
        <f t="shared" si="0"/>
        <v>-3.9133393829401091</v>
      </c>
      <c r="M66" s="333">
        <f>IF(C66&lt;&gt;"",IFERROR(AVERAGE(出来高!E19:I19),""),"")</f>
        <v>11424500</v>
      </c>
      <c r="N66" s="333">
        <f>IF(C66&lt;&gt;"",IFERROR(AVERAGE(出来高!E19:AC19),""),"")</f>
        <v>9804236</v>
      </c>
      <c r="O66" s="335">
        <f t="shared" si="1"/>
        <v>0.6115015974440895</v>
      </c>
      <c r="P66" s="212" t="str">
        <f t="shared" si="2"/>
        <v>減少↓</v>
      </c>
      <c r="Q66" s="212" t="str">
        <f t="shared" si="3"/>
        <v>様子見▲</v>
      </c>
      <c r="R66" s="333">
        <f t="shared" si="4"/>
        <v>7793</v>
      </c>
      <c r="S66" s="333">
        <f t="shared" si="5"/>
        <v>8810</v>
      </c>
      <c r="T66" s="325">
        <f t="shared" si="6"/>
        <v>-2</v>
      </c>
      <c r="U66" s="212" t="str">
        <f t="shared" si="7"/>
        <v>除外</v>
      </c>
      <c r="V66" s="212" t="str">
        <f t="shared" si="8"/>
        <v>通常</v>
      </c>
      <c r="W66" s="336">
        <f t="array" ref="W66">IFERROR(100-100/(1+SUMPRODUCT((終値!F19:R19&gt;終値!G19:S19)*(終値!F19:R19-終値!G19:S19))/SUMPRODUCT((終値!F19:R19&lt;終値!G19:S19)*(終値!G19:S19-終値!F19:R19))),50)</f>
        <v>44.802059864821373</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-15.346753489704497</v>
      </c>
      <c r="Y66" s="212" t="str">
        <f t="shared" si="9"/>
        <v>相場上昇・見送り | 上昇トレンド▲ MACD- RSI:44.8 前日比:+4.7%前日[長い下ヒゲ(反発)] [-2点]</v>
      </c>
      <c r="Z66" s="338">
        <f t="shared" si="10"/>
        <v>4.6577711885347171</v>
      </c>
      <c r="AA66" s="212" t="str">
        <f t="shared" si="11"/>
        <v>上昇▲</v>
      </c>
      <c r="AB66" s="333">
        <f>IF(OR(C66="",C66="TOPX",終値!E19=""),"",IFERROR(((終値!E19*0.333)+(終値!F19*0.222)+(終値!G19*0.148)+(終値!H19*0.099)+(終値!I19*0.066))/(0.333+0.222+0.148+0.099+0.066),""))</f>
        <v>8090.5311059907826</v>
      </c>
      <c r="AC66" s="333">
        <f>IF(OR(C66="",C66="TOPX",終値!E19=""),"",IFERROR(SUMPRODUCT((終値!E19:AC19),{0.077,0.071,0.065,0.06,0.055,0.051,0.047,0.043,0.039,0.036,0.033,0.031,0.028,0.026,0.024,0.022,0.02,0.018,0.017,0.016,0.014,0.013,0.012,0.011,0.01})/SUM({0.077,0.071,0.065,0.06,0.055,0.051,0.047,0.043,0.039,0.036,0.033,0.031,0.028,0.026,0.024,0.022,0.02,0.018,0.017,0.016,0.014,0.013,0.012,0.011,0.01}),""))</f>
        <v>8241.5351609058362</v>
      </c>
      <c r="AD66" s="212" t="str">
        <f t="shared" si="12"/>
        <v>上昇トレンド▲</v>
      </c>
      <c r="AE66" s="212" t="str">
        <f t="shared" si="13"/>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 t="shared" si="14"/>
        <v>0</v>
      </c>
      <c r="AH66">
        <f t="shared" si="15"/>
        <v>0</v>
      </c>
      <c r="AI66" s="373">
        <f t="array" ref="AI66">IF(C66="","",IFERROR((INDEX(終値!$E:$E,MATCH(TEXT(C66,"0"),終値!$A:$A,0))-INDEX(終値!$E:$CZ,MATCH(TEXT(C66,"0"),終値!$A:$A,0),$AN$2))/INDEX(終値!$E:$CZ,MATCH(TEXT(C66,"0"),終値!$A:$A,0),$AN$2)*100,""))</f>
        <v>6.2598013591217985</v>
      </c>
      <c r="AJ66" s="373">
        <f t="array" ref="AJ66">IFERROR((終値!$E$5-INDEX(終値!$E$5:$CZ$5,1,$AN$2))/INDEX(終値!$E$5:$CZ$5,1,$AN$2)*100,"")</f>
        <v>-0.82558151178043282</v>
      </c>
      <c r="AK66" s="374">
        <f t="shared" si="16"/>
        <v>7.0853828709022313</v>
      </c>
      <c r="AL66" s="372">
        <f t="shared" si="17"/>
        <v>-2</v>
      </c>
      <c r="AO66" s="376" t="str">
        <f t="shared" si="18"/>
        <v>通常</v>
      </c>
      <c r="AP66" s="377">
        <f t="shared" si="19"/>
        <v>0</v>
      </c>
      <c r="AQ66">
        <f>IF(C66&lt;&gt;"",始値!F19,"")</f>
        <v>8138</v>
      </c>
      <c r="AR66">
        <f>IF(C66&lt;&gt;"",高値!F19,"")</f>
        <v>8205</v>
      </c>
      <c r="AS66">
        <f>IF(C66&lt;&gt;"",安値!F19,"")</f>
        <v>7857</v>
      </c>
      <c r="AT66" t="str">
        <f t="shared" si="20"/>
        <v>長い下ヒゲ(反発)</v>
      </c>
      <c r="AU66">
        <f t="shared" si="21"/>
        <v>-2</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6505</v>
      </c>
      <c r="F67" s="326">
        <f>IF(C67&lt;&gt;"",_xll.RssMarket(C67,"始値"),"")</f>
        <v>6384</v>
      </c>
      <c r="G67" s="325">
        <f>IF(C67&lt;&gt;"",終値!F26,"")</f>
        <v>6348</v>
      </c>
      <c r="H67" s="326">
        <f>IF(C67&lt;&gt;"",_xll.RssMarket(C67,"高値"),"")</f>
        <v>6508</v>
      </c>
      <c r="I67" s="326">
        <f>IF(C67&lt;&gt;"",_xll.RssMarket(C67,"安値"),"")</f>
        <v>6384</v>
      </c>
      <c r="J67" s="326">
        <f>IF(C67&lt;&gt;"",_xll.RssMarket(C67,"出来高"),"")</f>
        <v>1734500</v>
      </c>
      <c r="K67" s="326">
        <f>IF(C67&lt;&gt;"",_xll.RssMarket(C67,"年初来高値"),"")</f>
        <v>6680</v>
      </c>
      <c r="L67" s="327">
        <f t="shared" ref="L67:L130" si="22">IF(AND(E67&lt;&gt;"",K67&lt;&gt;"",K67&lt;&gt;0),(E67-K67)/K67*100,"")</f>
        <v>-2.6197604790419158</v>
      </c>
      <c r="M67" s="326">
        <f>IF(C67&lt;&gt;"",IFERROR(AVERAGE(出来高!E26:I26),""),"")</f>
        <v>3858360</v>
      </c>
      <c r="N67" s="326">
        <f>IF(C67&lt;&gt;"",IFERROR(AVERAGE(出来高!E26:AC26),""),"")</f>
        <v>3149848</v>
      </c>
      <c r="O67" s="328">
        <f t="shared" ref="O67:O130" si="23">IF(AND(J67&lt;&gt;"",M67&lt;&gt;"",M67&lt;&gt;0),J67/M67,"")</f>
        <v>0.44954332929016472</v>
      </c>
      <c r="P67" s="325" t="str">
        <f t="shared" ref="P67:P130" si="24">IF(O67="","",IF(O67&gt;=2,"急増↑↑",IF(O67&gt;=1.5,"増加↑",IF(O67&gt;=1,"普通→","減少↓"))))</f>
        <v>減少↓</v>
      </c>
      <c r="Q67" s="325" t="str">
        <f t="shared" ref="Q67:Q130" si="25">IF(E67="","",IF(AND(E67&lt;G67,O67&gt;=1.5),"売り▼",IF(E67&gt;G67,"様子見▲","中立→")))</f>
        <v>様子見▲</v>
      </c>
      <c r="R67" s="326">
        <f t="shared" ref="R67:R130" si="26">IF(E67&lt;&gt;"",ROUND(E67*0.92,0),"")</f>
        <v>5985</v>
      </c>
      <c r="S67" s="326">
        <f t="shared" ref="S67:S130" si="27">IF(E67&lt;&gt;"",ROUND(E67*1.04,0),"")</f>
        <v>6765</v>
      </c>
      <c r="T67" s="325">
        <f t="shared" ref="T67:T130" si="28">IF(C67="","",IFERROR(IF(W67&gt;=70,3,IF(W67&gt;=60,2,IF(W67&gt;=50,1,0)))+IF(X67&lt;0,2,0)+IF(AD67="下降トレンド▼",3,IF(AD67="もみ合い→",1,0))+IF(V67="年初来安値圏●",3,IF(V67="安値圏",2,0))+IF(Q67="売り▼",2,0)+IF(P67="急増↑↑",2,IF(P67="増加↑",1,0))+IF(Z67&lt;0,1,0)+IF(L67&lt;=-30,2,IF(L67&lt;=-15,1,0))+IF(AE67="25日戻り売り★",2,IF(AE67="5日戻り売り○",1,0))+N(AL67)+N(AP67)+N(AU67),0))</f>
        <v>-4</v>
      </c>
      <c r="U67" s="325" t="str">
        <f t="shared" ref="U67:U130" si="29">IF(T67="","",IF(AND(T67&gt;=3,O67&gt;=1.5),"有効",IF(T67&gt;=3,"要確認","除外")))</f>
        <v>除外</v>
      </c>
      <c r="V67" s="325" t="str">
        <f t="shared" ref="V67:V130" si="30">IF(AND(I67&lt;&gt;"",K67&lt;&gt;""),IF(I67&lt;=K67*0.6,"年初来安値圏●",IF(I67&lt;=K67*0.75,"安値圏","通常")),"")</f>
        <v>通常</v>
      </c>
      <c r="W67" s="329">
        <f t="array" ref="W67">IFERROR(100-100/(1+SUMPRODUCT((終値!F26:R26&gt;終値!G26:S26)*(終値!F26:R26-終値!G26:S26))/SUMPRODUCT((終値!F26:R26&lt;終値!G26:S26)*(終値!G26:S26-終値!F26:R26))),50)</f>
        <v>48.887739265390586</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0.36107650484154874</v>
      </c>
      <c r="Y67" s="325" t="str">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上昇トレンド▲ MACD+ RSI:48.9 前日比:+2.5%前日[長い下ヒゲ(反発)] [-4点]</v>
      </c>
      <c r="Z67" s="331">
        <f t="shared" ref="Z67:Z130" si="32">IF(AND(E67&lt;&gt;"",G67&lt;&gt;"",G67&lt;&gt;0),(E67-G67)/G67*100,"")</f>
        <v>2.473219911783239</v>
      </c>
      <c r="AA67" s="325" t="str">
        <f t="shared" ref="AA67:AA130" si="33">IF(OR(C67="",E67="",E67=0),"",IF(E67&gt;G67,"上昇▲",IF(E67&lt;G67,"下落▼","横ばい→")))</f>
        <v>上昇▲</v>
      </c>
      <c r="AB67" s="326">
        <f>IF(OR(C67="",C67="TOPX",終値!E26=""),"",IFERROR(((終値!E26*0.333)+(終値!F26*0.222)+(終値!G26*0.148)+(終値!H26*0.099)+(終値!I26*0.066))/(0.333+0.222+0.148+0.099+0.066),""))</f>
        <v>6358.3882488479267</v>
      </c>
      <c r="AC67" s="326">
        <f>IF(OR(C67="",C67="TOPX",終値!E26=""),"",IFERROR(SUMPRODUCT((終値!E26:AC26),{0.077,0.071,0.065,0.06,0.055,0.051,0.047,0.043,0.039,0.036,0.033,0.031,0.028,0.026,0.024,0.022,0.02,0.018,0.017,0.016,0.014,0.013,0.012,0.011,0.01})/SUM({0.077,0.071,0.065,0.06,0.055,0.051,0.047,0.043,0.039,0.036,0.033,0.031,0.028,0.026,0.024,0.022,0.02,0.018,0.017,0.016,0.014,0.013,0.012,0.011,0.01}),""))</f>
        <v>6424.2252681763975</v>
      </c>
      <c r="AD67" s="325" t="str">
        <f t="shared" ref="AD67:AD130" si="34">IF(OR(C67="",AB67="",AC67="",AB67=0,AC67=0),"",IF(AND(E67&gt;AB67,AB67&gt;AC67),"パーフェクト▲",IF(E67&gt;AC67,"上昇トレンド▲",IF(AND(E67&lt;AB67,AB67&lt;AC67),"下降トレンド▼","もみ合い→"))))</f>
        <v>上昇トレンド▲</v>
      </c>
      <c r="AE67" s="325" t="str">
        <f t="shared" ref="AE67:AE130" si="35">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 t="shared" ref="AG67:AG130" si="36">IF(AND(T67&gt;=7,C67&lt;&gt;""),T67,0)</f>
        <v>0</v>
      </c>
      <c r="AH67">
        <f t="shared" ref="AH67:AH130" si="37">IF(AG67&gt;0,AG67*10000-ROW(A67),0)</f>
        <v>0</v>
      </c>
      <c r="AI67" s="373">
        <f t="array" ref="AI67">IF(C67="","",IFERROR((INDEX(終値!$E:$E,MATCH(TEXT(C67,"0"),終値!$A:$A,0))-INDEX(終値!$E:$CZ,MATCH(TEXT(C67,"0"),終値!$A:$A,0),$AN$2))/INDEX(終値!$E:$CZ,MATCH(TEXT(C67,"0"),終値!$A:$A,0),$AN$2)*100,""))</f>
        <v>3.0954708374063213</v>
      </c>
      <c r="AJ67" s="373">
        <f t="array" ref="AJ67">IFERROR((終値!$E$5-INDEX(終値!$E$5:$CZ$5,1,$AN$2))/INDEX(終値!$E$5:$CZ$5,1,$AN$2)*100,"")</f>
        <v>-0.82558151178043282</v>
      </c>
      <c r="AK67" s="374">
        <f t="shared" ref="AK67:AK130" si="38">IF(OR(AI67="",AJ67=""),"",AI67-AJ67)</f>
        <v>3.9210523491867542</v>
      </c>
      <c r="AL67" s="372">
        <f t="shared" ref="AL67:AL130" si="39">IF(AK67="","",IF(AK67&lt;-5,3,IF(AK67&lt;0,1,IF(AK67&lt;3,-1,-2))))</f>
        <v>-2</v>
      </c>
      <c r="AO67" s="376" t="str">
        <f t="shared" ref="AO67:AO130" si="40">IF(OR($C67="",$E67="",$F67="",$H67="",$I67="",$H67-$I67&lt;=0),"-",IF(AND($H67-MAX($F67,$E67)&gt;=ABS($E67-$F67)*2,MIN($F67,$E67)-$I67&lt;=ABS($E67-$F67)*0.5,ABS($E67-$F67)&gt;0),"上ヒゲ陰線▼",IF(AND($E67&lt;$F67,ABS($E67-$F67)&gt;=($H67-$I67)*0.7),"大陰線▼",IF(AND(MIN($F67,$E67)-$I67&gt;=($H67-$I67)*0.5,$H67-MAX($F67,$E67)&lt;=($H67-$I67)*0.2),"長い下ヒゲ(反発警戒)","通常"))))</f>
        <v>通常</v>
      </c>
      <c r="AP67" s="377">
        <f t="shared" ref="AP67:AP130" si="41">IF($AO67="上ヒゲ陰線▼",2,IF($AO67="大陰線▼",2,IF($AO67="長い下ヒゲ(反発警戒)",-2,0)))</f>
        <v>0</v>
      </c>
      <c r="AQ67">
        <f>IF(C67&lt;&gt;"",始値!F26,"")</f>
        <v>6350</v>
      </c>
      <c r="AR67">
        <f>IF(C67&lt;&gt;"",高値!F26,"")</f>
        <v>6389</v>
      </c>
      <c r="AS67">
        <f>IF(C67&lt;&gt;"",安値!F26,"")</f>
        <v>6157</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長い下ヒゲ(反発)</v>
      </c>
      <c r="AU67">
        <f t="shared" ref="AU67:AU130" si="43">IF(AT67="上ヒゲ陰線▼",2,IF(AT67="大陰線▼",2,IF(AT67="長い下ヒゲ(反発)",-2,0)))</f>
        <v>-2</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1664</v>
      </c>
      <c r="F68" s="333">
        <f>IF(C68&lt;&gt;"",_xll.RssMarket(C68,"始値"),"")</f>
        <v>1642</v>
      </c>
      <c r="G68" s="212">
        <f>IF(C68&lt;&gt;"",終値!F31,"")</f>
        <v>0</v>
      </c>
      <c r="H68" s="333">
        <f>IF(C68&lt;&gt;"",_xll.RssMarket(C68,"高値"),"")</f>
        <v>1666.5</v>
      </c>
      <c r="I68" s="333">
        <f>IF(C68&lt;&gt;"",_xll.RssMarket(C68,"安値"),"")</f>
        <v>1621</v>
      </c>
      <c r="J68" s="333">
        <f>IF(C68&lt;&gt;"",_xll.RssMarket(C68,"出来高"),"")</f>
        <v>3664800</v>
      </c>
      <c r="K68" s="333">
        <f>IF(C68&lt;&gt;"",_xll.RssMarket(C68,"年初来高値"),"")</f>
        <v>1705</v>
      </c>
      <c r="L68" s="334">
        <f t="shared" si="22"/>
        <v>-2.404692082111437</v>
      </c>
      <c r="M68" s="333" t="str">
        <f>IF(C68&lt;&gt;"",IFERROR(AVERAGE(出来高!E31:I31),""),"")</f>
        <v/>
      </c>
      <c r="N68" s="333" t="str">
        <f>IF(C68&lt;&gt;"",IFERROR(AVERAGE(出来高!E31:AC31),""),"")</f>
        <v/>
      </c>
      <c r="O68" s="335" t="str">
        <f t="shared" si="23"/>
        <v/>
      </c>
      <c r="P68" s="212" t="str">
        <f t="shared" si="24"/>
        <v/>
      </c>
      <c r="Q68" s="212" t="str">
        <f t="shared" si="25"/>
        <v>様子見▲</v>
      </c>
      <c r="R68" s="333">
        <f t="shared" si="26"/>
        <v>1531</v>
      </c>
      <c r="S68" s="333">
        <f t="shared" si="27"/>
        <v>1731</v>
      </c>
      <c r="T68" s="325">
        <f t="shared" si="28"/>
        <v>1</v>
      </c>
      <c r="U68" s="212" t="str">
        <f t="shared" si="29"/>
        <v>除外</v>
      </c>
      <c r="V68" s="212" t="str">
        <f t="shared" si="30"/>
        <v>通常</v>
      </c>
      <c r="W68" s="336">
        <f t="array" ref="W68">IFERROR(100-100/(1+SUMPRODUCT((終値!F31:R31&gt;終値!G31:S31)*(終値!F31:R31-終値!G31:S31))/SUMPRODUCT((終値!F31:R31&lt;終値!G31:S31)*(終値!G31:S31-終値!F31:R31))),50)</f>
        <v>50</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0</v>
      </c>
      <c r="Y68" s="212" t="str">
        <f t="shared" si="31"/>
        <v>相場上昇・見送り |   MACD+ RSI:50.0 前日比:% [1点]</v>
      </c>
      <c r="Z68" s="338" t="str">
        <f t="shared" si="32"/>
        <v/>
      </c>
      <c r="AA68" s="212" t="str">
        <f t="shared" si="33"/>
        <v>上昇▲</v>
      </c>
      <c r="AB68" s="333" t="str">
        <f>IF(OR(C68="",C68="TOPX",終値!E31=""),"",IFERROR(((終値!E31*0.333)+(終値!F31*0.222)+(終値!G31*0.148)+(終値!H31*0.099)+(終値!I31*0.066))/(0.333+0.222+0.148+0.099+0.066),""))</f>
        <v/>
      </c>
      <c r="AC68" s="333" t="str">
        <f>IF(OR(C68="",C68="TOPX",終値!E31=""),"",IFERROR(SUMPRODUCT((終値!E31:AC31),{0.077,0.071,0.065,0.06,0.055,0.051,0.047,0.043,0.039,0.036,0.033,0.031,0.028,0.026,0.024,0.022,0.02,0.018,0.017,0.016,0.014,0.013,0.012,0.011,0.01})/SUM({0.077,0.071,0.065,0.06,0.055,0.051,0.047,0.043,0.039,0.036,0.033,0.031,0.028,0.026,0.024,0.022,0.02,0.018,0.017,0.016,0.014,0.013,0.012,0.011,0.01}),""))</f>
        <v/>
      </c>
      <c r="AD68" s="212" t="str">
        <f t="shared" si="34"/>
        <v/>
      </c>
      <c r="AE68" s="212" t="str">
        <f t="shared" si="35"/>
        <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 t="shared" si="36"/>
        <v>0</v>
      </c>
      <c r="AH68">
        <f t="shared" si="37"/>
        <v>0</v>
      </c>
      <c r="AI68" s="373" t="str">
        <f t="array" ref="AI68">IF(C68="","",IFERROR((INDEX(終値!$E:$E,MATCH(TEXT(C68,"0"),終値!$A:$A,0))-INDEX(終値!$E:$CZ,MATCH(TEXT(C68,"0"),終値!$A:$A,0),$AN$2))/INDEX(終値!$E:$CZ,MATCH(TEXT(C68,"0"),終値!$A:$A,0),$AN$2)*100,""))</f>
        <v/>
      </c>
      <c r="AJ68" s="373">
        <f t="array" ref="AJ68">IFERROR((終値!$E$5-INDEX(終値!$E$5:$CZ$5,1,$AN$2))/INDEX(終値!$E$5:$CZ$5,1,$AN$2)*100,"")</f>
        <v>-0.82558151178043282</v>
      </c>
      <c r="AK68" s="374" t="str">
        <f t="shared" si="38"/>
        <v/>
      </c>
      <c r="AL68" s="372" t="str">
        <f t="shared" si="39"/>
        <v/>
      </c>
      <c r="AO68" s="376" t="str">
        <f t="shared" si="40"/>
        <v>通常</v>
      </c>
      <c r="AP68" s="377">
        <f t="shared" si="41"/>
        <v>0</v>
      </c>
      <c r="AQ68">
        <f>IF(C68&lt;&gt;"",始値!F31,"")</f>
        <v>0</v>
      </c>
      <c r="AR68">
        <f>IF(C68&lt;&gt;"",高値!F31,"")</f>
        <v>0</v>
      </c>
      <c r="AS68">
        <f>IF(C68&lt;&gt;"",安値!F31,"")</f>
        <v>0</v>
      </c>
      <c r="AT68" t="str">
        <f t="shared" si="42"/>
        <v>-</v>
      </c>
      <c r="AU68">
        <f t="shared" si="43"/>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3615</v>
      </c>
      <c r="F69" s="326">
        <f>IF(C69&lt;&gt;"",_xll.RssMarket(C69,"始値"),"")</f>
        <v>3516</v>
      </c>
      <c r="G69" s="325">
        <f>IF(C69&lt;&gt;"",終値!F49,"")</f>
        <v>3530</v>
      </c>
      <c r="H69" s="326">
        <f>IF(C69&lt;&gt;"",_xll.RssMarket(C69,"高値"),"")</f>
        <v>3629</v>
      </c>
      <c r="I69" s="326">
        <f>IF(C69&lt;&gt;"",_xll.RssMarket(C69,"安値"),"")</f>
        <v>3516</v>
      </c>
      <c r="J69" s="326">
        <f>IF(C69&lt;&gt;"",_xll.RssMarket(C69,"出来高"),"")</f>
        <v>438700</v>
      </c>
      <c r="K69" s="326">
        <f>IF(C69&lt;&gt;"",_xll.RssMarket(C69,"年初来高値"),"")</f>
        <v>4284</v>
      </c>
      <c r="L69" s="327">
        <f t="shared" si="22"/>
        <v>-15.616246498599439</v>
      </c>
      <c r="M69" s="326">
        <f>IF(C69&lt;&gt;"",IFERROR(AVERAGE(出来高!E49:I49),""),"")</f>
        <v>1111460</v>
      </c>
      <c r="N69" s="326">
        <f>IF(C69&lt;&gt;"",IFERROR(AVERAGE(出来高!E49:AC49),""),"")</f>
        <v>668420.83333333337</v>
      </c>
      <c r="O69" s="328">
        <f t="shared" si="23"/>
        <v>0.3947060622964389</v>
      </c>
      <c r="P69" s="325" t="str">
        <f t="shared" si="24"/>
        <v>減少↓</v>
      </c>
      <c r="Q69" s="325" t="str">
        <f t="shared" si="25"/>
        <v>様子見▲</v>
      </c>
      <c r="R69" s="326">
        <f t="shared" si="26"/>
        <v>3326</v>
      </c>
      <c r="S69" s="326">
        <f t="shared" si="27"/>
        <v>3760</v>
      </c>
      <c r="T69" s="325">
        <f t="shared" si="28"/>
        <v>6</v>
      </c>
      <c r="U69" s="325" t="str">
        <f t="shared" si="29"/>
        <v>要確認</v>
      </c>
      <c r="V69" s="325" t="str">
        <f t="shared" si="30"/>
        <v>通常</v>
      </c>
      <c r="W69" s="329">
        <f t="array" ref="W69">IFERROR(100-100/(1+SUMPRODUCT((終値!F49:R49&gt;終値!G49:S49)*(終値!F49:R49-終値!G49:S49))/SUMPRODUCT((終値!F49:R49&lt;終値!G49:S49)*(終値!G49:S49-終値!F49:R49))),50)</f>
        <v>49.235114144504593</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-33.753656876518562</v>
      </c>
      <c r="Y69" s="325" t="str">
        <f t="shared" si="31"/>
        <v>相場上昇・見送り | パーフェクト▲ MACD- RSI:49.2 前日比:+2.4% [6点]</v>
      </c>
      <c r="Z69" s="331">
        <f t="shared" si="32"/>
        <v>2.4079320113314444</v>
      </c>
      <c r="AA69" s="325" t="str">
        <f t="shared" si="33"/>
        <v>上昇▲</v>
      </c>
      <c r="AB69" s="326">
        <f>IF(OR(C69="",C69="TOPX",終値!E49=""),"",IFERROR(((終値!E49*0.333)+(終値!F49*0.222)+(終値!G49*0.148)+(終値!H49*0.099)+(終値!I49*0.066))/(0.333+0.222+0.148+0.099+0.066),""))</f>
        <v>3582.2154377880183</v>
      </c>
      <c r="AC69" s="326">
        <f>IF(OR(C69="",C69="TOPX",終値!E49=""),"",IFERROR(SUMPRODUCT((終値!E49:AC49),{0.077,0.071,0.065,0.06,0.055,0.051,0.047,0.043,0.039,0.036,0.033,0.031,0.028,0.026,0.024,0.022,0.02,0.018,0.017,0.016,0.014,0.013,0.012,0.011,0.01})/SUM({0.077,0.071,0.065,0.06,0.055,0.051,0.047,0.043,0.039,0.036,0.033,0.031,0.028,0.026,0.024,0.022,0.02,0.018,0.017,0.016,0.014,0.013,0.012,0.011,0.01}),""))</f>
        <v>3542.8116805721088</v>
      </c>
      <c r="AD69" s="325" t="str">
        <f t="shared" si="34"/>
        <v>パーフェクト▲</v>
      </c>
      <c r="AE69" s="325" t="str">
        <f t="shared" si="35"/>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 t="shared" si="36"/>
        <v>0</v>
      </c>
      <c r="AH69">
        <f t="shared" si="37"/>
        <v>0</v>
      </c>
      <c r="AI69" s="373">
        <f t="array" ref="AI69">IF(C69="","",IFERROR((INDEX(終値!$E:$E,MATCH(TEXT(C69,"0"),終値!$A:$A,0))-INDEX(終値!$E:$CZ,MATCH(TEXT(C69,"0"),終値!$A:$A,0),$AN$2))/INDEX(終値!$E:$CZ,MATCH(TEXT(C69,"0"),終値!$A:$A,0),$AN$2)*100,""))</f>
        <v>-9.0720041590850009</v>
      </c>
      <c r="AJ69" s="373">
        <f t="array" ref="AJ69">IFERROR((終値!$E$5-INDEX(終値!$E$5:$CZ$5,1,$AN$2))/INDEX(終値!$E$5:$CZ$5,1,$AN$2)*100,"")</f>
        <v>-0.82558151178043282</v>
      </c>
      <c r="AK69" s="374">
        <f t="shared" si="38"/>
        <v>-8.2464226473045681</v>
      </c>
      <c r="AL69" s="372">
        <f t="shared" si="39"/>
        <v>3</v>
      </c>
      <c r="AO69" s="376" t="str">
        <f t="shared" si="40"/>
        <v>通常</v>
      </c>
      <c r="AP69" s="377">
        <f t="shared" si="41"/>
        <v>0</v>
      </c>
      <c r="AQ69">
        <f>IF(C69&lt;&gt;"",始値!F49,"")</f>
        <v>3480</v>
      </c>
      <c r="AR69">
        <f>IF(C69&lt;&gt;"",高値!F49,"")</f>
        <v>3575</v>
      </c>
      <c r="AS69">
        <f>IF(C69&lt;&gt;"",安値!F49,"")</f>
        <v>3464</v>
      </c>
      <c r="AT69" t="str">
        <f t="shared" si="42"/>
        <v>通常</v>
      </c>
      <c r="AU69">
        <f t="shared" si="43"/>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6655</v>
      </c>
      <c r="F70" s="333">
        <f>IF(C70&lt;&gt;"",_xll.RssMarket(C70,"始値"),"")</f>
        <v>6560</v>
      </c>
      <c r="G70" s="212">
        <f>IF(C70&lt;&gt;"",終値!F50,"")</f>
        <v>6614</v>
      </c>
      <c r="H70" s="333">
        <f>IF(C70&lt;&gt;"",_xll.RssMarket(C70,"高値"),"")</f>
        <v>6655</v>
      </c>
      <c r="I70" s="333">
        <f>IF(C70&lt;&gt;"",_xll.RssMarket(C70,"安値"),"")</f>
        <v>6474</v>
      </c>
      <c r="J70" s="333">
        <f>IF(C70&lt;&gt;"",_xll.RssMarket(C70,"出来高"),"")</f>
        <v>7788200</v>
      </c>
      <c r="K70" s="333">
        <f>IF(C70&lt;&gt;"",_xll.RssMarket(C70,"年初来高値"),"")</f>
        <v>7260</v>
      </c>
      <c r="L70" s="334">
        <f t="shared" si="22"/>
        <v>-8.3333333333333321</v>
      </c>
      <c r="M70" s="333">
        <f>IF(C70&lt;&gt;"",IFERROR(AVERAGE(出来高!E50:I50),""),"")</f>
        <v>16242880</v>
      </c>
      <c r="N70" s="333">
        <f>IF(C70&lt;&gt;"",IFERROR(AVERAGE(出来高!E50:AC50),""),"")</f>
        <v>12870088</v>
      </c>
      <c r="O70" s="335">
        <f t="shared" si="23"/>
        <v>0.47948393388364624</v>
      </c>
      <c r="P70" s="212" t="str">
        <f t="shared" si="24"/>
        <v>減少↓</v>
      </c>
      <c r="Q70" s="212" t="str">
        <f t="shared" si="25"/>
        <v>様子見▲</v>
      </c>
      <c r="R70" s="333">
        <f t="shared" si="26"/>
        <v>6123</v>
      </c>
      <c r="S70" s="333">
        <f t="shared" si="27"/>
        <v>6921</v>
      </c>
      <c r="T70" s="325">
        <f t="shared" si="28"/>
        <v>-1</v>
      </c>
      <c r="U70" s="212" t="str">
        <f t="shared" si="29"/>
        <v>除外</v>
      </c>
      <c r="V70" s="212" t="str">
        <f t="shared" si="30"/>
        <v>通常</v>
      </c>
      <c r="W70" s="336">
        <f t="array" ref="W70">IFERROR(100-100/(1+SUMPRODUCT((終値!F50:R50&gt;終値!G50:S50)*(終値!F50:R50-終値!G50:S50))/SUMPRODUCT((終値!F50:R50&lt;終値!G50:S50)*(終値!G50:S50-終値!F50:R50))),50)</f>
        <v>42.21331997996996</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-9.0071187196217579</v>
      </c>
      <c r="Y70" s="212" t="str">
        <f t="shared" si="31"/>
        <v>相場上昇・見送り | もみ合い→ MACD- RSI:42.2 前日比:+0.6%前日[長い下ヒゲ(反発)] [-1点]</v>
      </c>
      <c r="Z70" s="338">
        <f t="shared" si="32"/>
        <v>0.61989718778348957</v>
      </c>
      <c r="AA70" s="212" t="str">
        <f t="shared" si="33"/>
        <v>上昇▲</v>
      </c>
      <c r="AB70" s="333">
        <f>IF(OR(C70="",C70="TOPX",終値!E50=""),"",IFERROR(((終値!E50*0.333)+(終値!F50*0.222)+(終値!G50*0.148)+(終値!H50*0.099)+(終値!I50*0.066))/(0.333+0.222+0.148+0.099+0.066),""))</f>
        <v>6635.9735023041476</v>
      </c>
      <c r="AC70" s="333">
        <f>IF(OR(C70="",C70="TOPX",終値!E50=""),"",IFERROR(SUMPRODUCT((終値!E50:AC50),{0.077,0.071,0.065,0.06,0.055,0.051,0.047,0.043,0.039,0.036,0.033,0.031,0.028,0.026,0.024,0.022,0.02,0.018,0.017,0.016,0.014,0.013,0.012,0.011,0.01})/SUM({0.077,0.071,0.065,0.06,0.055,0.051,0.047,0.043,0.039,0.036,0.033,0.031,0.028,0.026,0.024,0.022,0.02,0.018,0.017,0.016,0.014,0.013,0.012,0.011,0.01}),""))</f>
        <v>6834.5792610250255</v>
      </c>
      <c r="AD70" s="212" t="str">
        <f t="shared" si="34"/>
        <v>もみ合い→</v>
      </c>
      <c r="AE70" s="212" t="str">
        <f t="shared" si="35"/>
        <v>なし</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相場上昇・見送り</v>
      </c>
      <c r="AG70">
        <f t="shared" si="36"/>
        <v>0</v>
      </c>
      <c r="AH70">
        <f t="shared" si="37"/>
        <v>0</v>
      </c>
      <c r="AI70" s="373">
        <f t="array" ref="AI70">IF(C70="","",IFERROR((INDEX(終値!$E:$E,MATCH(TEXT(C70,"0"),終値!$A:$A,0))-INDEX(終値!$E:$CZ,MATCH(TEXT(C70,"0"),終値!$A:$A,0),$AN$2))/INDEX(終値!$E:$CZ,MATCH(TEXT(C70,"0"),終値!$A:$A,0),$AN$2)*100,""))</f>
        <v>2.6954602774274905</v>
      </c>
      <c r="AJ70" s="373">
        <f t="array" ref="AJ70">IFERROR((終値!$E$5-INDEX(終値!$E$5:$CZ$5,1,$AN$2))/INDEX(終値!$E$5:$CZ$5,1,$AN$2)*100,"")</f>
        <v>-0.82558151178043282</v>
      </c>
      <c r="AK70" s="374">
        <f t="shared" si="38"/>
        <v>3.5210417892079233</v>
      </c>
      <c r="AL70" s="372">
        <f t="shared" si="39"/>
        <v>-2</v>
      </c>
      <c r="AO70" s="376" t="str">
        <f t="shared" si="40"/>
        <v>通常</v>
      </c>
      <c r="AP70" s="377">
        <f t="shared" si="41"/>
        <v>0</v>
      </c>
      <c r="AQ70">
        <f>IF(C70&lt;&gt;"",始値!F50,"")</f>
        <v>6700</v>
      </c>
      <c r="AR70">
        <f>IF(C70&lt;&gt;"",高値!F50,"")</f>
        <v>6713</v>
      </c>
      <c r="AS70">
        <f>IF(C70&lt;&gt;"",安値!F50,"")</f>
        <v>6420</v>
      </c>
      <c r="AT70" t="str">
        <f t="shared" si="42"/>
        <v>長い下ヒゲ(反発)</v>
      </c>
      <c r="AU70">
        <f t="shared" si="43"/>
        <v>-2</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4235</v>
      </c>
      <c r="F71" s="326">
        <f>IF(C71&lt;&gt;"",_xll.RssMarket(C71,"始値"),"")</f>
        <v>4000</v>
      </c>
      <c r="G71" s="325">
        <f>IF(C71&lt;&gt;"",終値!F55,"")</f>
        <v>4007</v>
      </c>
      <c r="H71" s="326">
        <f>IF(C71&lt;&gt;"",_xll.RssMarket(C71,"高値"),"")</f>
        <v>4305</v>
      </c>
      <c r="I71" s="326">
        <f>IF(C71&lt;&gt;"",_xll.RssMarket(C71,"安値"),"")</f>
        <v>3990</v>
      </c>
      <c r="J71" s="326">
        <f>IF(C71&lt;&gt;"",_xll.RssMarket(C71,"出来高"),"")</f>
        <v>194600</v>
      </c>
      <c r="K71" s="326">
        <f>IF(C71&lt;&gt;"",_xll.RssMarket(C71,"年初来高値"),"")</f>
        <v>4404</v>
      </c>
      <c r="L71" s="327">
        <f t="shared" si="22"/>
        <v>-3.8374205267938235</v>
      </c>
      <c r="M71" s="326">
        <f>IF(C71&lt;&gt;"",IFERROR(AVERAGE(出来高!E55:I55),""),"")</f>
        <v>242580</v>
      </c>
      <c r="N71" s="326">
        <f>IF(C71&lt;&gt;"",IFERROR(AVERAGE(出来高!E55:AC55),""),"")</f>
        <v>223188</v>
      </c>
      <c r="O71" s="328">
        <f t="shared" si="23"/>
        <v>0.80220958034462853</v>
      </c>
      <c r="P71" s="325" t="str">
        <f t="shared" si="24"/>
        <v>減少↓</v>
      </c>
      <c r="Q71" s="325" t="str">
        <f t="shared" si="25"/>
        <v>様子見▲</v>
      </c>
      <c r="R71" s="326">
        <f t="shared" si="26"/>
        <v>3896</v>
      </c>
      <c r="S71" s="326">
        <f t="shared" si="27"/>
        <v>4404</v>
      </c>
      <c r="T71" s="325">
        <f t="shared" si="28"/>
        <v>2</v>
      </c>
      <c r="U71" s="325" t="str">
        <f t="shared" si="29"/>
        <v>除外</v>
      </c>
      <c r="V71" s="325" t="str">
        <f t="shared" si="30"/>
        <v>通常</v>
      </c>
      <c r="W71" s="329">
        <f t="array" ref="W71">IFERROR(100-100/(1+SUMPRODUCT((終値!F55:R55&gt;終値!G55:S55)*(終値!F55:R55-終値!G55:S55))/SUMPRODUCT((終値!F55:R55&lt;終値!G55:S55)*(終値!G55:S55-終値!F55:R55))),50)</f>
        <v>50.826446280991732</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1.7296259736772299</v>
      </c>
      <c r="Y71" s="325" t="str">
        <f t="shared" si="31"/>
        <v>相場上昇・見送り | 上昇トレンド▲ MACD+ RSI:50.8 前日比:+5.7% [2点]</v>
      </c>
      <c r="Z71" s="331">
        <f t="shared" si="32"/>
        <v>5.6900424257549282</v>
      </c>
      <c r="AA71" s="325" t="str">
        <f t="shared" si="33"/>
        <v>上昇▲</v>
      </c>
      <c r="AB71" s="326">
        <f>IF(OR(C71="",C71="TOPX",終値!E55=""),"",IFERROR(((終値!E55*0.333)+(終値!F55*0.222)+(終値!G55*0.148)+(終値!H55*0.099)+(終値!I55*0.066))/(0.333+0.222+0.148+0.099+0.066),""))</f>
        <v>4038.3813364055295</v>
      </c>
      <c r="AC71" s="326">
        <f>IF(OR(C71="",C71="TOPX",終値!E55=""),"",IFERROR(SUMPRODUCT((終値!E55:AC55),{0.077,0.071,0.065,0.06,0.055,0.051,0.047,0.043,0.039,0.036,0.033,0.031,0.028,0.026,0.024,0.022,0.02,0.018,0.017,0.016,0.014,0.013,0.012,0.011,0.01})/SUM({0.077,0.071,0.065,0.06,0.055,0.051,0.047,0.043,0.039,0.036,0.033,0.031,0.028,0.026,0.024,0.022,0.02,0.018,0.017,0.016,0.014,0.013,0.012,0.011,0.01}),""))</f>
        <v>4080.4636471990452</v>
      </c>
      <c r="AD71" s="325" t="str">
        <f t="shared" si="34"/>
        <v>上昇トレンド▲</v>
      </c>
      <c r="AE71" s="325" t="str">
        <f t="shared" si="35"/>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 t="shared" si="36"/>
        <v>0</v>
      </c>
      <c r="AH71">
        <f t="shared" si="37"/>
        <v>0</v>
      </c>
      <c r="AI71" s="373">
        <f t="array" ref="AI71">IF(C71="","",IFERROR((INDEX(終値!$E:$E,MATCH(TEXT(C71,"0"),終値!$A:$A,0))-INDEX(終値!$E:$CZ,MATCH(TEXT(C71,"0"),終値!$A:$A,0),$AN$2))/INDEX(終値!$E:$CZ,MATCH(TEXT(C71,"0"),終値!$A:$A,0),$AN$2)*100,""))</f>
        <v>-3.5257184255010863</v>
      </c>
      <c r="AJ71" s="373">
        <f t="array" ref="AJ71">IFERROR((終値!$E$5-INDEX(終値!$E$5:$CZ$5,1,$AN$2))/INDEX(終値!$E$5:$CZ$5,1,$AN$2)*100,"")</f>
        <v>-0.82558151178043282</v>
      </c>
      <c r="AK71" s="374">
        <f t="shared" si="38"/>
        <v>-2.7001369137206535</v>
      </c>
      <c r="AL71" s="372">
        <f t="shared" si="39"/>
        <v>1</v>
      </c>
      <c r="AO71" s="376" t="str">
        <f t="shared" si="40"/>
        <v>通常</v>
      </c>
      <c r="AP71" s="377">
        <f t="shared" si="41"/>
        <v>0</v>
      </c>
      <c r="AQ71">
        <f>IF(C71&lt;&gt;"",始値!F55,"")</f>
        <v>4072</v>
      </c>
      <c r="AR71">
        <f>IF(C71&lt;&gt;"",高値!F55,"")</f>
        <v>4089</v>
      </c>
      <c r="AS71">
        <f>IF(C71&lt;&gt;"",安値!F55,"")</f>
        <v>3956</v>
      </c>
      <c r="AT71" t="str">
        <f t="shared" si="42"/>
        <v>通常</v>
      </c>
      <c r="AU71">
        <f t="shared" si="43"/>
        <v>0</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3333</v>
      </c>
      <c r="F72" s="333">
        <f>IF(C72&lt;&gt;"",_xll.RssMarket(C72,"始値"),"")</f>
        <v>3271</v>
      </c>
      <c r="G72" s="212">
        <f>IF(C72&lt;&gt;"",終値!F69,"")</f>
        <v>3300</v>
      </c>
      <c r="H72" s="333">
        <f>IF(C72&lt;&gt;"",_xll.RssMarket(C72,"高値"),"")</f>
        <v>3347</v>
      </c>
      <c r="I72" s="333">
        <f>IF(C72&lt;&gt;"",_xll.RssMarket(C72,"安値"),"")</f>
        <v>3170</v>
      </c>
      <c r="J72" s="333">
        <f>IF(C72&lt;&gt;"",_xll.RssMarket(C72,"出来高"),"")</f>
        <v>3426300</v>
      </c>
      <c r="K72" s="333">
        <f>IF(C72&lt;&gt;"",_xll.RssMarket(C72,"年初来高値"),"")</f>
        <v>5228</v>
      </c>
      <c r="L72" s="334">
        <f t="shared" si="22"/>
        <v>-36.247130833970928</v>
      </c>
      <c r="M72" s="333">
        <f>IF(C72&lt;&gt;"",IFERROR(AVERAGE(出来高!E69:I69),""),"")</f>
        <v>2246580</v>
      </c>
      <c r="N72" s="333">
        <f>IF(C72&lt;&gt;"",IFERROR(AVERAGE(出来高!E69:AC69),""),"")</f>
        <v>1813528</v>
      </c>
      <c r="O72" s="335">
        <f t="shared" si="23"/>
        <v>1.5251181796330422</v>
      </c>
      <c r="P72" s="212" t="str">
        <f t="shared" si="24"/>
        <v>増加↑</v>
      </c>
      <c r="Q72" s="212" t="str">
        <f t="shared" si="25"/>
        <v>様子見▲</v>
      </c>
      <c r="R72" s="333">
        <f t="shared" si="26"/>
        <v>3066</v>
      </c>
      <c r="S72" s="333">
        <f t="shared" si="27"/>
        <v>3466</v>
      </c>
      <c r="T72" s="325">
        <f t="shared" si="28"/>
        <v>12</v>
      </c>
      <c r="U72" s="212" t="str">
        <f t="shared" si="29"/>
        <v>有効</v>
      </c>
      <c r="V72" s="212" t="str">
        <f t="shared" si="30"/>
        <v>安値圏</v>
      </c>
      <c r="W72" s="336">
        <f t="array" ref="W72">IFERROR(100-100/(1+SUMPRODUCT((終値!F69:R69&gt;終値!G69:S69)*(終値!F69:R69-終値!G69:S69))/SUMPRODUCT((終値!F69:R69&lt;終値!G69:S69)*(終値!G69:S69-終値!F69:R69))),50)</f>
        <v>29.752604166666671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-108.77714845226956</v>
      </c>
      <c r="Y72" s="212" t="str">
        <f t="shared" si="31"/>
        <v>★逆張り売り | 下降トレンド▼ 5日戻り売り○ MACD- RSI:29.8 [売られ過ぎ] 前日比:+1.0% [安値圏] [長い下ヒゲ(反発警戒)] [12点]</v>
      </c>
      <c r="Z72" s="338">
        <f t="shared" si="32"/>
        <v>1</v>
      </c>
      <c r="AA72" s="212" t="str">
        <f t="shared" si="33"/>
        <v>上昇▲</v>
      </c>
      <c r="AB72" s="333">
        <f>IF(OR(C72="",C72="TOPX",終値!E69=""),"",IFERROR(((終値!E69*0.333)+(終値!F69*0.222)+(終値!G69*0.148)+(終値!H69*0.099)+(終値!I69*0.066))/(0.333+0.222+0.148+0.099+0.066),""))</f>
        <v>3333.4988479262665</v>
      </c>
      <c r="AC72" s="333">
        <f>IF(OR(C72="",C72="TOPX",終値!E69=""),"",IFERROR(SUMPRODUCT((終値!E69:AC69),{0.077,0.071,0.065,0.06,0.055,0.051,0.047,0.043,0.039,0.036,0.033,0.031,0.028,0.026,0.024,0.022,0.02,0.018,0.017,0.016,0.014,0.013,0.012,0.011,0.01})/SUM({0.077,0.071,0.065,0.06,0.055,0.051,0.047,0.043,0.039,0.036,0.033,0.031,0.028,0.026,0.024,0.022,0.02,0.018,0.017,0.016,0.014,0.013,0.012,0.011,0.01}),""))</f>
        <v>3594.9439809296778</v>
      </c>
      <c r="AD72" s="212" t="str">
        <f t="shared" si="34"/>
        <v>下降トレンド▼</v>
      </c>
      <c r="AE72" s="212" t="str">
        <f t="shared" si="35"/>
        <v>5日戻り売り○</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★逆張り売り</v>
      </c>
      <c r="AG72">
        <f t="shared" si="36"/>
        <v>12</v>
      </c>
      <c r="AH72">
        <f t="shared" si="37"/>
        <v>119928</v>
      </c>
      <c r="AI72" s="373">
        <f t="array" ref="AI72">IF(C72="","",IFERROR((INDEX(終値!$E:$E,MATCH(TEXT(C72,"0"),終値!$A:$A,0))-INDEX(終値!$E:$CZ,MATCH(TEXT(C72,"0"),終値!$A:$A,0),$AN$2))/INDEX(終値!$E:$CZ,MATCH(TEXT(C72,"0"),終値!$A:$A,0),$AN$2)*100,""))</f>
        <v>-18.938508300210426</v>
      </c>
      <c r="AJ72" s="373">
        <f t="array" ref="AJ72">IFERROR((終値!$E$5-INDEX(終値!$E$5:$CZ$5,1,$AN$2))/INDEX(終値!$E$5:$CZ$5,1,$AN$2)*100,"")</f>
        <v>-0.82558151178043282</v>
      </c>
      <c r="AK72" s="374">
        <f t="shared" si="38"/>
        <v>-18.112926788429995</v>
      </c>
      <c r="AL72" s="372">
        <f t="shared" si="39"/>
        <v>3</v>
      </c>
      <c r="AO72" s="376" t="str">
        <f t="shared" si="40"/>
        <v>長い下ヒゲ(反発警戒)</v>
      </c>
      <c r="AP72" s="377">
        <f t="shared" si="41"/>
        <v>-2</v>
      </c>
      <c r="AQ72">
        <f>IF(C72&lt;&gt;"",始値!F69,"")</f>
        <v>3319</v>
      </c>
      <c r="AR72">
        <f>IF(C72&lt;&gt;"",高値!F69,"")</f>
        <v>3383</v>
      </c>
      <c r="AS72">
        <f>IF(C72&lt;&gt;"",安値!F69,"")</f>
        <v>3246</v>
      </c>
      <c r="AT72" t="str">
        <f t="shared" si="42"/>
        <v>通常</v>
      </c>
      <c r="AU72">
        <f t="shared" si="43"/>
        <v>0</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2913.5</v>
      </c>
      <c r="F73" s="326">
        <f>IF(C73&lt;&gt;"",_xll.RssMarket(C73,"始値"),"")</f>
        <v>2903</v>
      </c>
      <c r="G73" s="325">
        <f>IF(C73&lt;&gt;"",終値!F77,"")</f>
        <v>2963.5</v>
      </c>
      <c r="H73" s="326">
        <f>IF(C73&lt;&gt;"",_xll.RssMarket(C73,"高値"),"")</f>
        <v>2917.5</v>
      </c>
      <c r="I73" s="326">
        <f>IF(C73&lt;&gt;"",_xll.RssMarket(C73,"安値"),"")</f>
        <v>2869.5</v>
      </c>
      <c r="J73" s="326">
        <f>IF(C73&lt;&gt;"",_xll.RssMarket(C73,"出来高"),"")</f>
        <v>33371100</v>
      </c>
      <c r="K73" s="326">
        <f>IF(C73&lt;&gt;"",_xll.RssMarket(C73,"年初来高値"),"")</f>
        <v>4000</v>
      </c>
      <c r="L73" s="327">
        <f t="shared" si="22"/>
        <v>-27.162500000000001</v>
      </c>
      <c r="M73" s="326">
        <f>IF(C73&lt;&gt;"",IFERROR(AVERAGE(出来高!E77:I77),""),"")</f>
        <v>62901500</v>
      </c>
      <c r="N73" s="326">
        <f>IF(C73&lt;&gt;"",IFERROR(AVERAGE(出来高!E77:AC77),""),"")</f>
        <v>34251452</v>
      </c>
      <c r="O73" s="328">
        <f t="shared" si="23"/>
        <v>0.53052947862928546</v>
      </c>
      <c r="P73" s="325" t="str">
        <f t="shared" si="24"/>
        <v>減少↓</v>
      </c>
      <c r="Q73" s="325" t="str">
        <f t="shared" si="25"/>
        <v>中立→</v>
      </c>
      <c r="R73" s="326">
        <f t="shared" si="26"/>
        <v>2680</v>
      </c>
      <c r="S73" s="326">
        <f t="shared" si="27"/>
        <v>3030</v>
      </c>
      <c r="T73" s="325">
        <f t="shared" si="28"/>
        <v>2</v>
      </c>
      <c r="U73" s="325" t="str">
        <f t="shared" si="29"/>
        <v>除外</v>
      </c>
      <c r="V73" s="325" t="str">
        <f t="shared" si="30"/>
        <v>安値圏</v>
      </c>
      <c r="W73" s="329">
        <f t="array" ref="W73">IFERROR(100-100/(1+SUMPRODUCT((終値!F77:R77&gt;終値!G77:S77)*(終値!F77:R77-終値!G77:S77))/SUMPRODUCT((終値!F77:R77&lt;終値!G77:S77)*(終値!G77:S77-終値!F77:R77))),50)</f>
        <v>59.899434318038971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26.766339023799446</v>
      </c>
      <c r="Y73" s="325" t="str">
        <f t="shared" si="31"/>
        <v>○逆張り売り | もみ合い→ 25日戻り売り★ MACD+ RSI:59.9 前日比:-1.7% [安値圏] [長い下ヒゲ(反発警戒)]前日[長い下ヒゲ(反発)] [2点]</v>
      </c>
      <c r="Z73" s="331">
        <f t="shared" si="32"/>
        <v>-1.6871941960519654</v>
      </c>
      <c r="AA73" s="325" t="str">
        <f t="shared" si="33"/>
        <v>下落▼</v>
      </c>
      <c r="AB73" s="326">
        <f>IF(OR(C73="",C73="TOPX",終値!E77=""),"",IFERROR(((終値!E77*0.333)+(終値!F77*0.222)+(終値!G77*0.148)+(終値!H77*0.099)+(終値!I77*0.066))/(0.333+0.222+0.148+0.099+0.066),""))</f>
        <v>3002.2252304147469</v>
      </c>
      <c r="AC73" s="326">
        <f>IF(OR(C73="",C73="TOPX",終値!E77=""),"",IFERROR(SUMPRODUCT((終値!E77:AC77),{0.077,0.071,0.065,0.06,0.055,0.051,0.047,0.043,0.039,0.036,0.033,0.031,0.028,0.026,0.024,0.022,0.02,0.018,0.017,0.016,0.014,0.013,0.012,0.011,0.01})/SUM({0.077,0.071,0.065,0.06,0.055,0.051,0.047,0.043,0.039,0.036,0.033,0.031,0.028,0.026,0.024,0.022,0.02,0.018,0.017,0.016,0.014,0.013,0.012,0.011,0.01}),""))</f>
        <v>2955.9386174016672</v>
      </c>
      <c r="AD73" s="325" t="str">
        <f t="shared" si="34"/>
        <v>もみ合い→</v>
      </c>
      <c r="AE73" s="325" t="str">
        <f t="shared" si="35"/>
        <v>25日戻り売り★</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○逆張り売り</v>
      </c>
      <c r="AG73">
        <f t="shared" si="36"/>
        <v>0</v>
      </c>
      <c r="AH73">
        <f t="shared" si="37"/>
        <v>0</v>
      </c>
      <c r="AI73" s="373">
        <f t="array" ref="AI73">IF(C73="","",IFERROR((INDEX(終値!$E:$E,MATCH(TEXT(C73,"0"),終値!$A:$A,0))-INDEX(終値!$E:$CZ,MATCH(TEXT(C73,"0"),終値!$A:$A,0),$AN$2))/INDEX(終値!$E:$CZ,MATCH(TEXT(C73,"0"),終値!$A:$A,0),$AN$2)*100,""))</f>
        <v>5.2849927849927845</v>
      </c>
      <c r="AJ73" s="373">
        <f t="array" ref="AJ73">IFERROR((終値!$E$5-INDEX(終値!$E$5:$CZ$5,1,$AN$2))/INDEX(終値!$E$5:$CZ$5,1,$AN$2)*100,"")</f>
        <v>-0.82558151178043282</v>
      </c>
      <c r="AK73" s="374">
        <f t="shared" si="38"/>
        <v>6.1105742967732173</v>
      </c>
      <c r="AL73" s="372">
        <f t="shared" si="39"/>
        <v>-2</v>
      </c>
      <c r="AO73" s="376" t="str">
        <f t="shared" si="40"/>
        <v>長い下ヒゲ(反発警戒)</v>
      </c>
      <c r="AP73" s="377">
        <f t="shared" si="41"/>
        <v>-2</v>
      </c>
      <c r="AQ73">
        <f>IF(C73&lt;&gt;"",始値!F77,"")</f>
        <v>2999</v>
      </c>
      <c r="AR73">
        <f>IF(C73&lt;&gt;"",高値!F77,"")</f>
        <v>2999</v>
      </c>
      <c r="AS73">
        <f>IF(C73&lt;&gt;"",安値!F77,"")</f>
        <v>2885.5</v>
      </c>
      <c r="AT73" t="str">
        <f t="shared" si="42"/>
        <v>長い下ヒゲ(反発)</v>
      </c>
      <c r="AU73">
        <f t="shared" si="43"/>
        <v>-2</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2196</v>
      </c>
      <c r="F74" s="333">
        <f>IF(C74&lt;&gt;"",_xll.RssMarket(C74,"始値"),"")</f>
        <v>2124</v>
      </c>
      <c r="G74" s="212">
        <f>IF(C74&lt;&gt;"",終値!F89,"")</f>
        <v>2147</v>
      </c>
      <c r="H74" s="333">
        <f>IF(C74&lt;&gt;"",_xll.RssMarket(C74,"高値"),"")</f>
        <v>2206</v>
      </c>
      <c r="I74" s="333">
        <f>IF(C74&lt;&gt;"",_xll.RssMarket(C74,"安値"),"")</f>
        <v>2120</v>
      </c>
      <c r="J74" s="333">
        <f>IF(C74&lt;&gt;"",_xll.RssMarket(C74,"出来高"),"")</f>
        <v>33300</v>
      </c>
      <c r="K74" s="333">
        <f>IF(C74&lt;&gt;"",_xll.RssMarket(C74,"年初来高値"),"")</f>
        <v>2993</v>
      </c>
      <c r="L74" s="334">
        <f t="shared" si="22"/>
        <v>-26.628800534580687</v>
      </c>
      <c r="M74" s="333">
        <f>IF(C74&lt;&gt;"",IFERROR(AVERAGE(出来高!E89:I89),""),"")</f>
        <v>35420</v>
      </c>
      <c r="N74" s="333">
        <f>IF(C74&lt;&gt;"",IFERROR(AVERAGE(出来高!E89:AC89),""),"")</f>
        <v>47284</v>
      </c>
      <c r="O74" s="335">
        <f t="shared" si="23"/>
        <v>0.94014680971202713</v>
      </c>
      <c r="P74" s="212" t="str">
        <f t="shared" si="24"/>
        <v>減少↓</v>
      </c>
      <c r="Q74" s="212" t="str">
        <f t="shared" si="25"/>
        <v>様子見▲</v>
      </c>
      <c r="R74" s="333">
        <f t="shared" si="26"/>
        <v>2020</v>
      </c>
      <c r="S74" s="333">
        <f t="shared" si="27"/>
        <v>2284</v>
      </c>
      <c r="T74" s="325">
        <f t="shared" si="28"/>
        <v>1</v>
      </c>
      <c r="U74" s="212" t="str">
        <f t="shared" si="29"/>
        <v>除外</v>
      </c>
      <c r="V74" s="212" t="str">
        <f t="shared" si="30"/>
        <v>安値圏</v>
      </c>
      <c r="W74" s="336">
        <f t="array" ref="W74">IFERROR(100-100/(1+SUMPRODUCT((終値!F89:R89&gt;終値!G89:S89)*(終値!F89:R89-終値!G89:S89))/SUMPRODUCT((終値!F89:R89&lt;終値!G89:S89)*(終値!G89:S89-終値!F89:R89))),50)</f>
        <v>60.391198044009784</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1.2102798530486325</v>
      </c>
      <c r="Y74" s="212" t="str">
        <f t="shared" si="31"/>
        <v>相場上昇・見送り | パーフェクト▲ MACD+ RSI:60.4 前日比:+2.3% [安値圏]前日[長い下ヒゲ(反発)] [1点]</v>
      </c>
      <c r="Z74" s="338">
        <f t="shared" si="32"/>
        <v>2.2822543083372149</v>
      </c>
      <c r="AA74" s="212" t="str">
        <f t="shared" si="33"/>
        <v>上昇▲</v>
      </c>
      <c r="AB74" s="333">
        <f>IF(OR(C74="",C74="TOPX",終値!E89=""),"",IFERROR(((終値!E89*0.333)+(終値!F89*0.222)+(終値!G89*0.148)+(終値!H89*0.099)+(終値!I89*0.066))/(0.333+0.222+0.148+0.099+0.066),""))</f>
        <v>2119.6509216589866</v>
      </c>
      <c r="AC74" s="333">
        <f>IF(OR(C74="",C74="TOPX",終値!E89=""),"",IFERROR(SUMPRODUCT((終値!E89:AC89),{0.077,0.071,0.065,0.06,0.055,0.051,0.047,0.043,0.039,0.036,0.033,0.031,0.028,0.026,0.024,0.022,0.02,0.018,0.017,0.016,0.014,0.013,0.012,0.011,0.01})/SUM({0.077,0.071,0.065,0.06,0.055,0.051,0.047,0.043,0.039,0.036,0.033,0.031,0.028,0.026,0.024,0.022,0.02,0.018,0.017,0.016,0.014,0.013,0.012,0.011,0.01}),""))</f>
        <v>2066.2967818831935</v>
      </c>
      <c r="AD74" s="212" t="str">
        <f t="shared" si="34"/>
        <v>パーフェクト▲</v>
      </c>
      <c r="AE74" s="212" t="str">
        <f t="shared" si="35"/>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 t="shared" si="36"/>
        <v>0</v>
      </c>
      <c r="AH74">
        <f t="shared" si="37"/>
        <v>0</v>
      </c>
      <c r="AI74" s="373">
        <f t="array" ref="AI74">IF(C74="","",IFERROR((INDEX(終値!$E:$E,MATCH(TEXT(C74,"0"),終値!$A:$A,0))-INDEX(終値!$E:$CZ,MATCH(TEXT(C74,"0"),終値!$A:$A,0),$AN$2))/INDEX(終値!$E:$CZ,MATCH(TEXT(C74,"0"),終値!$A:$A,0),$AN$2)*100,""))</f>
        <v>2.7040077257363593</v>
      </c>
      <c r="AJ74" s="373">
        <f t="array" ref="AJ74">IFERROR((終値!$E$5-INDEX(終値!$E$5:$CZ$5,1,$AN$2))/INDEX(終値!$E$5:$CZ$5,1,$AN$2)*100,"")</f>
        <v>-0.82558151178043282</v>
      </c>
      <c r="AK74" s="374">
        <f t="shared" si="38"/>
        <v>3.5295892375167921</v>
      </c>
      <c r="AL74" s="372">
        <f t="shared" si="39"/>
        <v>-2</v>
      </c>
      <c r="AO74" s="376" t="str">
        <f t="shared" si="40"/>
        <v>通常</v>
      </c>
      <c r="AP74" s="377">
        <f t="shared" si="41"/>
        <v>0</v>
      </c>
      <c r="AQ74">
        <f>IF(C74&lt;&gt;"",始値!F89,"")</f>
        <v>2128</v>
      </c>
      <c r="AR74">
        <f>IF(C74&lt;&gt;"",高値!F89,"")</f>
        <v>2147</v>
      </c>
      <c r="AS74">
        <f>IF(C74&lt;&gt;"",安値!F89,"")</f>
        <v>2060</v>
      </c>
      <c r="AT74" t="str">
        <f t="shared" si="42"/>
        <v>長い下ヒゲ(反発)</v>
      </c>
      <c r="AU74">
        <f t="shared" si="43"/>
        <v>-2</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4700</v>
      </c>
      <c r="F75" s="326">
        <f>IF(C75&lt;&gt;"",_xll.RssMarket(C75,"始値"),"")</f>
        <v>4590</v>
      </c>
      <c r="G75" s="325">
        <f>IF(C75&lt;&gt;"",終値!F97,"")</f>
        <v>4207</v>
      </c>
      <c r="H75" s="326">
        <f>IF(C75&lt;&gt;"",_xll.RssMarket(C75,"高値"),"")</f>
        <v>4715</v>
      </c>
      <c r="I75" s="326">
        <f>IF(C75&lt;&gt;"",_xll.RssMarket(C75,"安値"),"")</f>
        <v>4539</v>
      </c>
      <c r="J75" s="326">
        <f>IF(C75&lt;&gt;"",_xll.RssMarket(C75,"出来高"),"")</f>
        <v>913900</v>
      </c>
      <c r="K75" s="326">
        <f>IF(C75&lt;&gt;"",_xll.RssMarket(C75,"年初来高値"),"")</f>
        <v>5738</v>
      </c>
      <c r="L75" s="327">
        <f t="shared" si="22"/>
        <v>-18.089926803764378</v>
      </c>
      <c r="M75" s="326">
        <f>IF(C75&lt;&gt;"",IFERROR(AVERAGE(出来高!E97:I97),""),"")</f>
        <v>1491240</v>
      </c>
      <c r="N75" s="326">
        <f>IF(C75&lt;&gt;"",IFERROR(AVERAGE(出来高!E97:AC97),""),"")</f>
        <v>1091444</v>
      </c>
      <c r="O75" s="328">
        <f t="shared" si="23"/>
        <v>0.61284568546981033</v>
      </c>
      <c r="P75" s="325" t="str">
        <f t="shared" si="24"/>
        <v>減少↓</v>
      </c>
      <c r="Q75" s="325" t="str">
        <f t="shared" si="25"/>
        <v>様子見▲</v>
      </c>
      <c r="R75" s="326">
        <f t="shared" si="26"/>
        <v>4324</v>
      </c>
      <c r="S75" s="326">
        <f t="shared" si="27"/>
        <v>4888</v>
      </c>
      <c r="T75" s="325">
        <f t="shared" si="28"/>
        <v>6</v>
      </c>
      <c r="U75" s="325" t="str">
        <f t="shared" si="29"/>
        <v>要確認</v>
      </c>
      <c r="V75" s="325" t="str">
        <f t="shared" si="30"/>
        <v>通常</v>
      </c>
      <c r="W75" s="329">
        <f t="array" ref="W75">IFERROR(100-100/(1+SUMPRODUCT((終値!F97:R97&gt;終値!G97:S97)*(終値!F97:R97-終値!G97:S97))/SUMPRODUCT((終値!F97:R97&lt;終値!G97:S97)*(終値!G97:S97-終値!F97:R97))),50)</f>
        <v>41.106128550074743</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-89.040716210459323</v>
      </c>
      <c r="Y75" s="325" t="str">
        <f t="shared" si="31"/>
        <v>相場上昇・見送り | 上昇トレンド▲ MACD- RSI:41.1 前日比:+11.7% [6点]</v>
      </c>
      <c r="Z75" s="331">
        <f t="shared" si="32"/>
        <v>11.718564297599238</v>
      </c>
      <c r="AA75" s="325" t="str">
        <f t="shared" si="33"/>
        <v>上昇▲</v>
      </c>
      <c r="AB75" s="326">
        <f>IF(OR(C75="",C75="TOPX",終値!E97=""),"",IFERROR(((終値!E97*0.333)+(終値!F97*0.222)+(終値!G97*0.148)+(終値!H97*0.099)+(終値!I97*0.066))/(0.333+0.222+0.148+0.099+0.066),""))</f>
        <v>4181.7764976958524</v>
      </c>
      <c r="AC75" s="326">
        <f>IF(OR(C75="",C75="TOPX",終値!E97=""),"",IFERROR(SUMPRODUCT((終値!E97:AC97),{0.077,0.071,0.065,0.06,0.055,0.051,0.047,0.043,0.039,0.036,0.033,0.031,0.028,0.026,0.024,0.022,0.02,0.018,0.017,0.016,0.014,0.013,0.012,0.011,0.01})/SUM({0.077,0.071,0.065,0.06,0.055,0.051,0.047,0.043,0.039,0.036,0.033,0.031,0.028,0.026,0.024,0.022,0.02,0.018,0.017,0.016,0.014,0.013,0.012,0.011,0.01}),""))</f>
        <v>4371.8796185935626</v>
      </c>
      <c r="AD75" s="325" t="str">
        <f t="shared" si="34"/>
        <v>上昇トレンド▲</v>
      </c>
      <c r="AE75" s="325" t="str">
        <f t="shared" si="35"/>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 t="shared" si="36"/>
        <v>0</v>
      </c>
      <c r="AH75">
        <f t="shared" si="37"/>
        <v>0</v>
      </c>
      <c r="AI75" s="373">
        <f t="array" ref="AI75">IF(C75="","",IFERROR((INDEX(終値!$E:$E,MATCH(TEXT(C75,"0"),終値!$A:$A,0))-INDEX(終値!$E:$CZ,MATCH(TEXT(C75,"0"),終値!$A:$A,0),$AN$2))/INDEX(終値!$E:$CZ,MATCH(TEXT(C75,"0"),終値!$A:$A,0),$AN$2)*100,""))</f>
        <v>-16.012436844150795</v>
      </c>
      <c r="AJ75" s="373">
        <f t="array" ref="AJ75">IFERROR((終値!$E$5-INDEX(終値!$E$5:$CZ$5,1,$AN$2))/INDEX(終値!$E$5:$CZ$5,1,$AN$2)*100,"")</f>
        <v>-0.82558151178043282</v>
      </c>
      <c r="AK75" s="374">
        <f t="shared" si="38"/>
        <v>-15.186855332370362</v>
      </c>
      <c r="AL75" s="372">
        <f t="shared" si="39"/>
        <v>3</v>
      </c>
      <c r="AO75" s="376" t="str">
        <f t="shared" si="40"/>
        <v>通常</v>
      </c>
      <c r="AP75" s="377">
        <f t="shared" si="41"/>
        <v>0</v>
      </c>
      <c r="AQ75">
        <f>IF(C75&lt;&gt;"",始値!F97,"")</f>
        <v>4131</v>
      </c>
      <c r="AR75">
        <f>IF(C75&lt;&gt;"",高値!F97,"")</f>
        <v>4291</v>
      </c>
      <c r="AS75">
        <f>IF(C75&lt;&gt;"",安値!F97,"")</f>
        <v>4084</v>
      </c>
      <c r="AT75" t="str">
        <f t="shared" si="42"/>
        <v>通常</v>
      </c>
      <c r="AU75">
        <f t="shared" si="43"/>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2050</v>
      </c>
      <c r="F76" s="333">
        <f>IF(C76&lt;&gt;"",_xll.RssMarket(C76,"始値"),"")</f>
        <v>2101</v>
      </c>
      <c r="G76" s="212">
        <f>IF(C76&lt;&gt;"",終値!F106,"")</f>
        <v>2030</v>
      </c>
      <c r="H76" s="333">
        <f>IF(C76&lt;&gt;"",_xll.RssMarket(C76,"高値"),"")</f>
        <v>2149</v>
      </c>
      <c r="I76" s="333">
        <f>IF(C76&lt;&gt;"",_xll.RssMarket(C76,"安値"),"")</f>
        <v>2050</v>
      </c>
      <c r="J76" s="333">
        <f>IF(C76&lt;&gt;"",_xll.RssMarket(C76,"出来高"),"")</f>
        <v>1300</v>
      </c>
      <c r="K76" s="333">
        <f>IF(C76&lt;&gt;"",_xll.RssMarket(C76,"年初来高値"),"")</f>
        <v>2539</v>
      </c>
      <c r="L76" s="334">
        <f t="shared" si="22"/>
        <v>-19.259551004332415</v>
      </c>
      <c r="M76" s="333">
        <f>IF(C76&lt;&gt;"",IFERROR(AVERAGE(出来高!E106:I106),""),"")</f>
        <v>1520</v>
      </c>
      <c r="N76" s="333">
        <f>IF(C76&lt;&gt;"",IFERROR(AVERAGE(出来高!E106:AC106),""),"")</f>
        <v>1480</v>
      </c>
      <c r="O76" s="335">
        <f t="shared" si="23"/>
        <v>0.85526315789473684</v>
      </c>
      <c r="P76" s="212" t="str">
        <f t="shared" si="24"/>
        <v>減少↓</v>
      </c>
      <c r="Q76" s="212" t="str">
        <f t="shared" si="25"/>
        <v>様子見▲</v>
      </c>
      <c r="R76" s="333">
        <f t="shared" si="26"/>
        <v>1886</v>
      </c>
      <c r="S76" s="333">
        <f t="shared" si="27"/>
        <v>2132</v>
      </c>
      <c r="T76" s="325">
        <f t="shared" si="28"/>
        <v>2</v>
      </c>
      <c r="U76" s="212" t="str">
        <f t="shared" si="29"/>
        <v>除外</v>
      </c>
      <c r="V76" s="212" t="str">
        <f t="shared" si="30"/>
        <v>通常</v>
      </c>
      <c r="W76" s="336">
        <f t="array" ref="W76">IFERROR(100-100/(1+SUMPRODUCT((終値!F106:R106&gt;終値!G106:S106)*(終値!F106:R106-終値!G106:S106))/SUMPRODUCT((終値!F106:R106&lt;終値!G106:S106)*(終値!G106:S106-終値!F106:R106))),50)</f>
        <v>90</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27.146559650373547</v>
      </c>
      <c r="Y76" s="212" t="str">
        <f t="shared" si="31"/>
        <v>△過熱・様子見 | パーフェクト▲ MACD+ RSI:90.0 [過熱] 前日比:+1.0% [2点]</v>
      </c>
      <c r="Z76" s="338">
        <f t="shared" si="32"/>
        <v>0.98522167487684731</v>
      </c>
      <c r="AA76" s="212" t="str">
        <f t="shared" si="33"/>
        <v>上昇▲</v>
      </c>
      <c r="AB76" s="333">
        <f>IF(OR(C76="",C76="TOPX",終値!E106=""),"",IFERROR(((終値!E106*0.333)+(終値!F106*0.222)+(終値!G106*0.148)+(終値!H106*0.099)+(終値!I106*0.066))/(0.333+0.222+0.148+0.099+0.066),""))</f>
        <v>2028.5760368663596</v>
      </c>
      <c r="AC76" s="333">
        <f>IF(OR(C76="",C76="TOPX",終値!E106=""),"",IFERROR(SUMPRODUCT((終値!E106:AC106),{0.077,0.071,0.065,0.06,0.055,0.051,0.047,0.043,0.039,0.036,0.033,0.031,0.028,0.026,0.024,0.022,0.02,0.018,0.017,0.016,0.014,0.013,0.012,0.011,0.01})/SUM({0.077,0.071,0.065,0.06,0.055,0.051,0.047,0.043,0.039,0.036,0.033,0.031,0.028,0.026,0.024,0.022,0.02,0.018,0.017,0.016,0.014,0.013,0.012,0.011,0.01}),""))</f>
        <v>1935.0202622169236</v>
      </c>
      <c r="AD76" s="212" t="str">
        <f t="shared" si="34"/>
        <v>パーフェクト▲</v>
      </c>
      <c r="AE76" s="212" t="str">
        <f t="shared" si="35"/>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 t="shared" si="36"/>
        <v>0</v>
      </c>
      <c r="AH76">
        <f t="shared" si="37"/>
        <v>0</v>
      </c>
      <c r="AI76" s="373">
        <f t="array" ref="AI76">IF(C76="","",IFERROR((INDEX(終値!$E:$E,MATCH(TEXT(C76,"0"),終値!$A:$A,0))-INDEX(終値!$E:$CZ,MATCH(TEXT(C76,"0"),終値!$A:$A,0),$AN$2))/INDEX(終値!$E:$CZ,MATCH(TEXT(C76,"0"),終値!$A:$A,0),$AN$2)*100,""))</f>
        <v>14.444444444444443</v>
      </c>
      <c r="AJ76" s="373">
        <f t="array" ref="AJ76">IFERROR((終値!$E$5-INDEX(終値!$E$5:$CZ$5,1,$AN$2))/INDEX(終値!$E$5:$CZ$5,1,$AN$2)*100,"")</f>
        <v>-0.82558151178043282</v>
      </c>
      <c r="AK76" s="374">
        <f t="shared" si="38"/>
        <v>15.270025956224876</v>
      </c>
      <c r="AL76" s="372">
        <f t="shared" si="39"/>
        <v>-2</v>
      </c>
      <c r="AO76" s="376" t="str">
        <f t="shared" si="40"/>
        <v>通常</v>
      </c>
      <c r="AP76" s="377">
        <f t="shared" si="41"/>
        <v>0</v>
      </c>
      <c r="AQ76">
        <f>IF(C76&lt;&gt;"",始値!F106,"")</f>
        <v>1991</v>
      </c>
      <c r="AR76">
        <f>IF(C76&lt;&gt;"",高値!F106,"")</f>
        <v>2030</v>
      </c>
      <c r="AS76">
        <f>IF(C76&lt;&gt;"",安値!F106,"")</f>
        <v>1991</v>
      </c>
      <c r="AT76" t="str">
        <f t="shared" si="42"/>
        <v>通常</v>
      </c>
      <c r="AU76">
        <f t="shared" si="43"/>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4185</v>
      </c>
      <c r="F77" s="326">
        <f>IF(C77&lt;&gt;"",_xll.RssMarket(C77,"始値"),"")</f>
        <v>4218</v>
      </c>
      <c r="G77" s="325">
        <f>IF(C77&lt;&gt;"",終値!F113,"")</f>
        <v>4151</v>
      </c>
      <c r="H77" s="326">
        <f>IF(C77&lt;&gt;"",_xll.RssMarket(C77,"高値"),"")</f>
        <v>4274</v>
      </c>
      <c r="I77" s="326">
        <f>IF(C77&lt;&gt;"",_xll.RssMarket(C77,"安値"),"")</f>
        <v>4151</v>
      </c>
      <c r="J77" s="326">
        <f>IF(C77&lt;&gt;"",_xll.RssMarket(C77,"出来高"),"")</f>
        <v>182600</v>
      </c>
      <c r="K77" s="326">
        <f>IF(C77&lt;&gt;"",_xll.RssMarket(C77,"年初来高値"),"")</f>
        <v>4302</v>
      </c>
      <c r="L77" s="327">
        <f t="shared" si="22"/>
        <v>-2.7196652719665275</v>
      </c>
      <c r="M77" s="326">
        <f>IF(C77&lt;&gt;"",IFERROR(AVERAGE(出来高!E113:I113),""),"")</f>
        <v>698500</v>
      </c>
      <c r="N77" s="326">
        <f>IF(C77&lt;&gt;"",IFERROR(AVERAGE(出来高!E113:AC113),""),"")</f>
        <v>519916</v>
      </c>
      <c r="O77" s="328">
        <f t="shared" si="23"/>
        <v>0.26141732283464569</v>
      </c>
      <c r="P77" s="325" t="str">
        <f t="shared" si="24"/>
        <v>減少↓</v>
      </c>
      <c r="Q77" s="325" t="str">
        <f t="shared" si="25"/>
        <v>様子見▲</v>
      </c>
      <c r="R77" s="326">
        <f t="shared" si="26"/>
        <v>3850</v>
      </c>
      <c r="S77" s="326">
        <f t="shared" si="27"/>
        <v>4352</v>
      </c>
      <c r="T77" s="325">
        <f t="shared" si="28"/>
        <v>-2</v>
      </c>
      <c r="U77" s="325" t="str">
        <f t="shared" si="29"/>
        <v>除外</v>
      </c>
      <c r="V77" s="325" t="str">
        <f t="shared" si="30"/>
        <v>通常</v>
      </c>
      <c r="W77" s="329">
        <f t="array" ref="W77">IFERROR(100-100/(1+SUMPRODUCT((終値!F113:R113&gt;終値!G113:S113)*(終値!F113:R113-終値!G113:S113))/SUMPRODUCT((終値!F113:R113&lt;終値!G113:S113)*(終値!G113:S113-終値!F113:R113))),50)</f>
        <v>63.472378804960542</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55.797521483529181</v>
      </c>
      <c r="Y77" s="325" t="str">
        <f t="shared" si="31"/>
        <v>相場上昇・見送り | パーフェクト▲ MACD+ RSI:63.5 前日比:+0.8%前日[長い下ヒゲ(反発)] [-2点]</v>
      </c>
      <c r="Z77" s="331">
        <f t="shared" si="32"/>
        <v>0.81907973982172977</v>
      </c>
      <c r="AA77" s="325" t="str">
        <f t="shared" si="33"/>
        <v>上昇▲</v>
      </c>
      <c r="AB77" s="326">
        <f>IF(OR(C77="",C77="TOPX",終値!E113=""),"",IFERROR(((終値!E113*0.333)+(終値!F113*0.222)+(終値!G113*0.148)+(終値!H113*0.099)+(終値!I113*0.066))/(0.333+0.222+0.148+0.099+0.066),""))</f>
        <v>4182.5046082949302</v>
      </c>
      <c r="AC77" s="326">
        <f>IF(OR(C77="",C77="TOPX",終値!E113=""),"",IFERROR(SUMPRODUCT((終値!E113:AC113),{0.077,0.071,0.065,0.06,0.055,0.051,0.047,0.043,0.039,0.036,0.033,0.031,0.028,0.026,0.024,0.022,0.02,0.018,0.017,0.016,0.014,0.013,0.012,0.011,0.01})/SUM({0.077,0.071,0.065,0.06,0.055,0.051,0.047,0.043,0.039,0.036,0.033,0.031,0.028,0.026,0.024,0.022,0.02,0.018,0.017,0.016,0.014,0.013,0.012,0.011,0.01}),""))</f>
        <v>4023.0953516090558</v>
      </c>
      <c r="AD77" s="325" t="str">
        <f t="shared" si="34"/>
        <v>パーフェクト▲</v>
      </c>
      <c r="AE77" s="325" t="str">
        <f t="shared" si="35"/>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 t="shared" si="36"/>
        <v>0</v>
      </c>
      <c r="AH77">
        <f t="shared" si="37"/>
        <v>0</v>
      </c>
      <c r="AI77" s="373">
        <f t="array" ref="AI77">IF(C77="","",IFERROR((INDEX(終値!$E:$E,MATCH(TEXT(C77,"0"),終値!$A:$A,0))-INDEX(終値!$E:$CZ,MATCH(TEXT(C77,"0"),終値!$A:$A,0),$AN$2))/INDEX(終値!$E:$CZ,MATCH(TEXT(C77,"0"),終値!$A:$A,0),$AN$2)*100,""))</f>
        <v>22.43211334120425</v>
      </c>
      <c r="AJ77" s="373">
        <f t="array" ref="AJ77">IFERROR((終値!$E$5-INDEX(終値!$E$5:$CZ$5,1,$AN$2))/INDEX(終値!$E$5:$CZ$5,1,$AN$2)*100,"")</f>
        <v>-0.82558151178043282</v>
      </c>
      <c r="AK77" s="374">
        <f t="shared" si="38"/>
        <v>23.257694852984685</v>
      </c>
      <c r="AL77" s="372">
        <f t="shared" si="39"/>
        <v>-2</v>
      </c>
      <c r="AO77" s="376" t="str">
        <f t="shared" si="40"/>
        <v>通常</v>
      </c>
      <c r="AP77" s="377">
        <f t="shared" si="41"/>
        <v>0</v>
      </c>
      <c r="AQ77">
        <f>IF(C77&lt;&gt;"",始値!F113,"")</f>
        <v>4184</v>
      </c>
      <c r="AR77">
        <f>IF(C77&lt;&gt;"",高値!F113,"")</f>
        <v>4204</v>
      </c>
      <c r="AS77">
        <f>IF(C77&lt;&gt;"",安値!F113,"")</f>
        <v>4032</v>
      </c>
      <c r="AT77" t="str">
        <f t="shared" si="42"/>
        <v>長い下ヒゲ(反発)</v>
      </c>
      <c r="AU77">
        <f t="shared" si="43"/>
        <v>-2</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2776</v>
      </c>
      <c r="F78" s="333">
        <f>IF(C78&lt;&gt;"",_xll.RssMarket(C78,"始値"),"")</f>
        <v>2833.5</v>
      </c>
      <c r="G78" s="212">
        <f>IF(C78&lt;&gt;"",終値!F119,"")</f>
        <v>2897.5</v>
      </c>
      <c r="H78" s="333">
        <f>IF(C78&lt;&gt;"",_xll.RssMarket(C78,"高値"),"")</f>
        <v>2844</v>
      </c>
      <c r="I78" s="333">
        <f>IF(C78&lt;&gt;"",_xll.RssMarket(C78,"安値"),"")</f>
        <v>2753</v>
      </c>
      <c r="J78" s="333">
        <f>IF(C78&lt;&gt;"",_xll.RssMarket(C78,"出来高"),"")</f>
        <v>252400</v>
      </c>
      <c r="K78" s="333">
        <f>IF(C78&lt;&gt;"",_xll.RssMarket(C78,"年初来高値"),"")</f>
        <v>3953</v>
      </c>
      <c r="L78" s="334">
        <f t="shared" si="22"/>
        <v>-29.774854540855046</v>
      </c>
      <c r="M78" s="333">
        <f>IF(C78&lt;&gt;"",IFERROR(AVERAGE(出来高!E119:I119),""),"")</f>
        <v>673360</v>
      </c>
      <c r="N78" s="333">
        <f>IF(C78&lt;&gt;"",IFERROR(AVERAGE(出来高!E119:AC119),""),"")</f>
        <v>531956</v>
      </c>
      <c r="O78" s="335">
        <f t="shared" si="23"/>
        <v>0.37483664013306406</v>
      </c>
      <c r="P78" s="212" t="str">
        <f t="shared" si="24"/>
        <v>減少↓</v>
      </c>
      <c r="Q78" s="212" t="str">
        <f t="shared" si="25"/>
        <v>中立→</v>
      </c>
      <c r="R78" s="333">
        <f t="shared" si="26"/>
        <v>2554</v>
      </c>
      <c r="S78" s="333">
        <f t="shared" si="27"/>
        <v>2887</v>
      </c>
      <c r="T78" s="325">
        <f t="shared" si="28"/>
        <v>7</v>
      </c>
      <c r="U78" s="212" t="str">
        <f t="shared" si="29"/>
        <v>要確認</v>
      </c>
      <c r="V78" s="212" t="str">
        <f t="shared" si="30"/>
        <v>安値圏</v>
      </c>
      <c r="W78" s="336">
        <f t="array" ref="W78">IFERROR(100-100/(1+SUMPRODUCT((終値!F119:R119&gt;終値!G119:S119)*(終値!F119:R119-終値!G119:S119))/SUMPRODUCT((終値!F119:R119&lt;終値!G119:S119)*(終値!G119:S119-終値!F119:R119))),50)</f>
        <v>51.877133105802045</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4.3050501713523772</v>
      </c>
      <c r="Y78" s="212" t="str">
        <f t="shared" si="31"/>
        <v>相場上昇・見送り | 下降トレンド▼ MACD+ RSI:51.9 前日比:-4.2% [安値圏] [7点]</v>
      </c>
      <c r="Z78" s="338">
        <f t="shared" si="32"/>
        <v>-4.1932700603968938</v>
      </c>
      <c r="AA78" s="212" t="str">
        <f t="shared" si="33"/>
        <v>下落▼</v>
      </c>
      <c r="AB78" s="333">
        <f>IF(OR(C78="",C78="TOPX",終値!E119=""),"",IFERROR(((終値!E119*0.333)+(終値!F119*0.222)+(終値!G119*0.148)+(終値!H119*0.099)+(終値!I119*0.066))/(0.333+0.222+0.148+0.099+0.066),""))</f>
        <v>2881.0420506912442</v>
      </c>
      <c r="AC78" s="333">
        <f>IF(OR(C78="",C78="TOPX",終値!E119=""),"",IFERROR(SUMPRODUCT((終値!E119:AC119),{0.077,0.071,0.065,0.06,0.055,0.051,0.047,0.043,0.039,0.036,0.033,0.031,0.028,0.026,0.024,0.022,0.02,0.018,0.017,0.016,0.014,0.013,0.012,0.011,0.01})/SUM({0.077,0.071,0.065,0.06,0.055,0.051,0.047,0.043,0.039,0.036,0.033,0.031,0.028,0.026,0.024,0.022,0.02,0.018,0.017,0.016,0.014,0.013,0.012,0.011,0.01}),""))</f>
        <v>2899.3009535160895</v>
      </c>
      <c r="AD78" s="212" t="str">
        <f t="shared" si="34"/>
        <v>下降トレンド▼</v>
      </c>
      <c r="AE78" s="212" t="str">
        <f t="shared" si="35"/>
        <v>なし</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相場上昇・見送り</v>
      </c>
      <c r="AG78">
        <f t="shared" si="36"/>
        <v>7</v>
      </c>
      <c r="AH78">
        <f t="shared" si="37"/>
        <v>69922</v>
      </c>
      <c r="AI78" s="373">
        <f t="array" ref="AI78">IF(C78="","",IFERROR((INDEX(終値!$E:$E,MATCH(TEXT(C78,"0"),終値!$A:$A,0))-INDEX(終値!$E:$CZ,MATCH(TEXT(C78,"0"),終値!$A:$A,0),$AN$2))/INDEX(終値!$E:$CZ,MATCH(TEXT(C78,"0"),終値!$A:$A,0),$AN$2)*100,""))</f>
        <v>1.5875912408759123</v>
      </c>
      <c r="AJ78" s="373">
        <f t="array" ref="AJ78">IFERROR((終値!$E$5-INDEX(終値!$E$5:$CZ$5,1,$AN$2))/INDEX(終値!$E$5:$CZ$5,1,$AN$2)*100,"")</f>
        <v>-0.82558151178043282</v>
      </c>
      <c r="AK78" s="374">
        <f t="shared" si="38"/>
        <v>2.4131727526563451</v>
      </c>
      <c r="AL78" s="372">
        <f t="shared" si="39"/>
        <v>-1</v>
      </c>
      <c r="AO78" s="376" t="str">
        <f t="shared" si="40"/>
        <v>通常</v>
      </c>
      <c r="AP78" s="377">
        <f t="shared" si="41"/>
        <v>0</v>
      </c>
      <c r="AQ78">
        <f>IF(C78&lt;&gt;"",始値!F119,"")</f>
        <v>2816</v>
      </c>
      <c r="AR78">
        <f>IF(C78&lt;&gt;"",高値!F119,"")</f>
        <v>2935</v>
      </c>
      <c r="AS78">
        <f>IF(C78&lt;&gt;"",安値!F119,"")</f>
        <v>2804</v>
      </c>
      <c r="AT78" t="str">
        <f t="shared" si="42"/>
        <v>通常</v>
      </c>
      <c r="AU78">
        <f t="shared" si="43"/>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5334</v>
      </c>
      <c r="F79" s="326">
        <f>IF(C79&lt;&gt;"",_xll.RssMarket(C79,"始値"),"")</f>
        <v>5375</v>
      </c>
      <c r="G79" s="325">
        <f>IF(C79&lt;&gt;"",終値!F127,"")</f>
        <v>5421</v>
      </c>
      <c r="H79" s="326">
        <f>IF(C79&lt;&gt;"",_xll.RssMarket(C79,"高値"),"")</f>
        <v>5389</v>
      </c>
      <c r="I79" s="326">
        <f>IF(C79&lt;&gt;"",_xll.RssMarket(C79,"安値"),"")</f>
        <v>5266</v>
      </c>
      <c r="J79" s="326">
        <f>IF(C79&lt;&gt;"",_xll.RssMarket(C79,"出来高"),"")</f>
        <v>357600</v>
      </c>
      <c r="K79" s="326">
        <f>IF(C79&lt;&gt;"",_xll.RssMarket(C79,"年初来高値"),"")</f>
        <v>6828</v>
      </c>
      <c r="L79" s="327">
        <f t="shared" si="22"/>
        <v>-21.880492091388401</v>
      </c>
      <c r="M79" s="326">
        <f>IF(C79&lt;&gt;"",IFERROR(AVERAGE(出来高!E127:I127),""),"")</f>
        <v>1422960</v>
      </c>
      <c r="N79" s="326">
        <f>IF(C79&lt;&gt;"",IFERROR(AVERAGE(出来高!E127:AC127),""),"")</f>
        <v>925724</v>
      </c>
      <c r="O79" s="328">
        <f t="shared" si="23"/>
        <v>0.25130713442401753</v>
      </c>
      <c r="P79" s="325" t="str">
        <f t="shared" si="24"/>
        <v>減少↓</v>
      </c>
      <c r="Q79" s="325" t="str">
        <f t="shared" si="25"/>
        <v>中立→</v>
      </c>
      <c r="R79" s="326">
        <f t="shared" si="26"/>
        <v>4907</v>
      </c>
      <c r="S79" s="326">
        <f t="shared" si="27"/>
        <v>5547</v>
      </c>
      <c r="T79" s="325">
        <f t="shared" si="28"/>
        <v>3</v>
      </c>
      <c r="U79" s="325" t="str">
        <f t="shared" si="29"/>
        <v>要確認</v>
      </c>
      <c r="V79" s="325" t="str">
        <f t="shared" si="30"/>
        <v>通常</v>
      </c>
      <c r="W79" s="329">
        <f t="array" ref="W79">IFERROR(100-100/(1+SUMPRODUCT((終値!F127:R127&gt;終値!G127:S127)*(終値!F127:R127-終値!G127:S127))/SUMPRODUCT((終値!F127:R127&lt;終値!G127:S127)*(終値!G127:S127-終値!F127:R127))),50)</f>
        <v>58.970588235294116</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11.876515986775303</v>
      </c>
      <c r="Y79" s="325" t="str">
        <f t="shared" si="31"/>
        <v>相場上昇・見送り | 下降トレンド▼ MACD+ RSI:59.0 前日比:-1.6% [長い下ヒゲ(反発警戒)]前日[長い下ヒゲ(反発)] [3点]</v>
      </c>
      <c r="Z79" s="331">
        <f t="shared" si="32"/>
        <v>-1.6048699501936912</v>
      </c>
      <c r="AA79" s="325" t="str">
        <f t="shared" si="33"/>
        <v>下落▼</v>
      </c>
      <c r="AB79" s="326">
        <f>IF(OR(C79="",C79="TOPX",終値!E127=""),"",IFERROR(((終値!E127*0.333)+(終値!F127*0.222)+(終値!G127*0.148)+(終値!H127*0.099)+(終値!I127*0.066))/(0.333+0.222+0.148+0.099+0.066),""))</f>
        <v>5445.3847926267272</v>
      </c>
      <c r="AC79" s="326">
        <f>IF(OR(C79="",C79="TOPX",終値!E127=""),"",IFERROR(SUMPRODUCT((終値!E127:AC127),{0.077,0.071,0.065,0.06,0.055,0.051,0.047,0.043,0.039,0.036,0.033,0.031,0.028,0.026,0.024,0.022,0.02,0.018,0.017,0.016,0.014,0.013,0.012,0.011,0.01})/SUM({0.077,0.071,0.065,0.06,0.055,0.051,0.047,0.043,0.039,0.036,0.033,0.031,0.028,0.026,0.024,0.022,0.02,0.018,0.017,0.016,0.014,0.013,0.012,0.011,0.01}),""))</f>
        <v>5458.9332538736562</v>
      </c>
      <c r="AD79" s="325" t="str">
        <f t="shared" si="34"/>
        <v>下降トレンド▼</v>
      </c>
      <c r="AE79" s="325" t="str">
        <f t="shared" si="35"/>
        <v>なし</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相場上昇・見送り</v>
      </c>
      <c r="AG79">
        <f t="shared" si="36"/>
        <v>0</v>
      </c>
      <c r="AH79">
        <f t="shared" si="37"/>
        <v>0</v>
      </c>
      <c r="AI79" s="373">
        <f t="array" ref="AI79">IF(C79="","",IFERROR((INDEX(終値!$E:$E,MATCH(TEXT(C79,"0"),終値!$A:$A,0))-INDEX(終値!$E:$CZ,MATCH(TEXT(C79,"0"),終値!$A:$A,0),$AN$2))/INDEX(終値!$E:$CZ,MATCH(TEXT(C79,"0"),終値!$A:$A,0),$AN$2)*100,""))</f>
        <v>-1.6108365367014459</v>
      </c>
      <c r="AJ79" s="373">
        <f t="array" ref="AJ79">IFERROR((終値!$E$5-INDEX(終値!$E$5:$CZ$5,1,$AN$2))/INDEX(終値!$E$5:$CZ$5,1,$AN$2)*100,"")</f>
        <v>-0.82558151178043282</v>
      </c>
      <c r="AK79" s="374">
        <f t="shared" si="38"/>
        <v>-0.78525502492101307</v>
      </c>
      <c r="AL79" s="372">
        <f t="shared" si="39"/>
        <v>1</v>
      </c>
      <c r="AO79" s="376" t="str">
        <f t="shared" si="40"/>
        <v>長い下ヒゲ(反発警戒)</v>
      </c>
      <c r="AP79" s="377">
        <f t="shared" si="41"/>
        <v>-2</v>
      </c>
      <c r="AQ79">
        <f>IF(C79&lt;&gt;"",始値!F127,"")</f>
        <v>5462</v>
      </c>
      <c r="AR79">
        <f>IF(C79&lt;&gt;"",高値!F127,"")</f>
        <v>5498</v>
      </c>
      <c r="AS79">
        <f>IF(C79&lt;&gt;"",安値!F127,"")</f>
        <v>5304</v>
      </c>
      <c r="AT79" t="str">
        <f t="shared" si="42"/>
        <v>長い下ヒゲ(反発)</v>
      </c>
      <c r="AU79">
        <f t="shared" si="43"/>
        <v>-2</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899</v>
      </c>
      <c r="F80" s="333">
        <f>IF(C80&lt;&gt;"",_xll.RssMarket(C80,"始値"),"")</f>
        <v>886</v>
      </c>
      <c r="G80" s="212">
        <f>IF(C80&lt;&gt;"",終値!F136,"")</f>
        <v>856</v>
      </c>
      <c r="H80" s="333">
        <f>IF(C80&lt;&gt;"",_xll.RssMarket(C80,"高値"),"")</f>
        <v>908</v>
      </c>
      <c r="I80" s="333">
        <f>IF(C80&lt;&gt;"",_xll.RssMarket(C80,"安値"),"")</f>
        <v>871</v>
      </c>
      <c r="J80" s="333">
        <f>IF(C80&lt;&gt;"",_xll.RssMarket(C80,"出来高"),"")</f>
        <v>274900</v>
      </c>
      <c r="K80" s="333">
        <f>IF(C80&lt;&gt;"",_xll.RssMarket(C80,"年初来高値"),"")</f>
        <v>3100</v>
      </c>
      <c r="L80" s="334">
        <f t="shared" si="22"/>
        <v>-71</v>
      </c>
      <c r="M80" s="333">
        <f>IF(C80&lt;&gt;"",IFERROR(AVERAGE(出来高!E136:I136),""),"")</f>
        <v>404000</v>
      </c>
      <c r="N80" s="333">
        <f>IF(C80&lt;&gt;"",IFERROR(AVERAGE(出来高!E136:AC136),""),"")</f>
        <v>400695.83333333331</v>
      </c>
      <c r="O80" s="335">
        <f t="shared" si="23"/>
        <v>0.68044554455445549</v>
      </c>
      <c r="P80" s="212" t="str">
        <f t="shared" si="24"/>
        <v>減少↓</v>
      </c>
      <c r="Q80" s="212" t="str">
        <f t="shared" si="25"/>
        <v>様子見▲</v>
      </c>
      <c r="R80" s="333">
        <f t="shared" si="26"/>
        <v>827</v>
      </c>
      <c r="S80" s="333">
        <f t="shared" si="27"/>
        <v>935</v>
      </c>
      <c r="T80" s="325">
        <f t="shared" si="28"/>
        <v>13</v>
      </c>
      <c r="U80" s="212" t="str">
        <f t="shared" si="29"/>
        <v>要確認</v>
      </c>
      <c r="V80" s="212" t="str">
        <f t="shared" si="30"/>
        <v>年初来安値圏●</v>
      </c>
      <c r="W80" s="336">
        <f t="array" ref="W80">IFERROR(100-100/(1+SUMPRODUCT((終値!F136:R136&gt;終値!G136:S136)*(終値!F136:R136-終値!G136:S136))/SUMPRODUCT((終値!F136:R136&lt;終値!G136:S136)*(終値!G136:S136-終値!F136:R136))),50)</f>
        <v>45.696259576385764</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-40.575052042079619</v>
      </c>
      <c r="Y80" s="212" t="str">
        <f t="shared" si="31"/>
        <v>○逆張り売り | もみ合い→ 25日戻り売り★ MACD- RSI:45.7 前日比:+5.0% [年初来安値圏] [13点]</v>
      </c>
      <c r="Z80" s="338">
        <f t="shared" si="32"/>
        <v>5.0233644859813085</v>
      </c>
      <c r="AA80" s="212" t="str">
        <f t="shared" si="33"/>
        <v>上昇▲</v>
      </c>
      <c r="AB80" s="333">
        <f>IF(OR(C80="",C80="TOPX",終値!E136=""),"",IFERROR(((終値!E136*0.333)+(終値!F136*0.222)+(終値!G136*0.148)+(終値!H136*0.099)+(終値!I136*0.066))/(0.333+0.222+0.148+0.099+0.066),""))</f>
        <v>861.25460829493068</v>
      </c>
      <c r="AC80" s="333">
        <f>IF(OR(C80="",C80="TOPX",終値!E136=""),"",IFERROR(SUMPRODUCT((終値!E136:AC136),{0.077,0.071,0.065,0.06,0.055,0.051,0.047,0.043,0.039,0.036,0.033,0.031,0.028,0.026,0.024,0.022,0.02,0.018,0.017,0.016,0.014,0.013,0.012,0.011,0.01})/SUM({0.077,0.071,0.065,0.06,0.055,0.051,0.047,0.043,0.039,0.036,0.033,0.031,0.028,0.026,0.024,0.022,0.02,0.018,0.017,0.016,0.014,0.013,0.012,0.011,0.01}),""))</f>
        <v>899.14779499404005</v>
      </c>
      <c r="AD80" s="212" t="str">
        <f t="shared" si="34"/>
        <v>もみ合い→</v>
      </c>
      <c r="AE80" s="212" t="str">
        <f t="shared" si="35"/>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 t="shared" si="36"/>
        <v>13</v>
      </c>
      <c r="AH80">
        <f t="shared" si="37"/>
        <v>129920</v>
      </c>
      <c r="AI80" s="373">
        <f t="array" ref="AI80">IF(C80="","",IFERROR((INDEX(終値!$E:$E,MATCH(TEXT(C80,"0"),終値!$A:$A,0))-INDEX(終値!$E:$CZ,MATCH(TEXT(C80,"0"),終値!$A:$A,0),$AN$2))/INDEX(終値!$E:$CZ,MATCH(TEXT(C80,"0"),終値!$A:$A,0),$AN$2)*100,""))</f>
        <v>-24.247635425623386</v>
      </c>
      <c r="AJ80" s="373">
        <f t="array" ref="AJ80">IFERROR((終値!$E$5-INDEX(終値!$E$5:$CZ$5,1,$AN$2))/INDEX(終値!$E$5:$CZ$5,1,$AN$2)*100,"")</f>
        <v>-0.82558151178043282</v>
      </c>
      <c r="AK80" s="374">
        <f t="shared" si="38"/>
        <v>-23.422053913842952</v>
      </c>
      <c r="AL80" s="372">
        <f t="shared" si="39"/>
        <v>3</v>
      </c>
      <c r="AO80" s="376" t="str">
        <f t="shared" si="40"/>
        <v>通常</v>
      </c>
      <c r="AP80" s="377">
        <f t="shared" si="41"/>
        <v>0</v>
      </c>
      <c r="AQ80">
        <f>IF(C80&lt;&gt;"",始値!F136,"")</f>
        <v>855</v>
      </c>
      <c r="AR80">
        <f>IF(C80&lt;&gt;"",高値!F136,"")</f>
        <v>872</v>
      </c>
      <c r="AS80">
        <f>IF(C80&lt;&gt;"",安値!F136,"")</f>
        <v>820</v>
      </c>
      <c r="AT80" t="str">
        <f t="shared" si="42"/>
        <v>通常</v>
      </c>
      <c r="AU80">
        <f t="shared" si="43"/>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1007</v>
      </c>
      <c r="F81" s="326">
        <f>IF(C81&lt;&gt;"",_xll.RssMarket(C81,"始値"),"")</f>
        <v>914</v>
      </c>
      <c r="G81" s="325">
        <f>IF(C81&lt;&gt;"",終値!F138,"")</f>
        <v>838</v>
      </c>
      <c r="H81" s="326">
        <f>IF(C81&lt;&gt;"",_xll.RssMarket(C81,"高値"),"")</f>
        <v>1025</v>
      </c>
      <c r="I81" s="326">
        <f>IF(C81&lt;&gt;"",_xll.RssMarket(C81,"安値"),"")</f>
        <v>914</v>
      </c>
      <c r="J81" s="326">
        <f>IF(C81&lt;&gt;"",_xll.RssMarket(C81,"出来高"),"")</f>
        <v>4914500</v>
      </c>
      <c r="K81" s="326">
        <f>IF(C81&lt;&gt;"",_xll.RssMarket(C81,"年初来高値"),"")</f>
        <v>4380</v>
      </c>
      <c r="L81" s="327">
        <f t="shared" si="22"/>
        <v>-77.009132420091319</v>
      </c>
      <c r="M81" s="326">
        <f>IF(C81&lt;&gt;"",IFERROR(AVERAGE(出来高!E138:I138),""),"")</f>
        <v>2387700</v>
      </c>
      <c r="N81" s="326">
        <f>IF(C81&lt;&gt;"",IFERROR(AVERAGE(出来高!E138:AC138),""),"")</f>
        <v>2454664</v>
      </c>
      <c r="O81" s="328">
        <f t="shared" si="23"/>
        <v>2.0582568999455542</v>
      </c>
      <c r="P81" s="325" t="str">
        <f t="shared" si="24"/>
        <v>急増↑↑</v>
      </c>
      <c r="Q81" s="325" t="str">
        <f t="shared" si="25"/>
        <v>様子見▲</v>
      </c>
      <c r="R81" s="326">
        <f t="shared" si="26"/>
        <v>926</v>
      </c>
      <c r="S81" s="326">
        <f t="shared" si="27"/>
        <v>1047</v>
      </c>
      <c r="T81" s="325">
        <f t="shared" si="28"/>
        <v>12</v>
      </c>
      <c r="U81" s="325" t="str">
        <f t="shared" si="29"/>
        <v>有効</v>
      </c>
      <c r="V81" s="325" t="str">
        <f t="shared" si="30"/>
        <v>年初来安値圏●</v>
      </c>
      <c r="W81" s="329">
        <f t="array" ref="W81">IFERROR(100-100/(1+SUMPRODUCT((終値!F138:R138&gt;終値!G138:S138)*(終値!F138:R138-終値!G138:S138))/SUMPRODUCT((終値!F138:R138&lt;終値!G138:S138)*(終値!G138:S138-終値!F138:R138))),50)</f>
        <v>46.168224299065422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-19.148058223444536</v>
      </c>
      <c r="Y81" s="325" t="str">
        <f t="shared" si="31"/>
        <v>相場上昇・見送り | 上昇トレンド▲ MACD- RSI:46.2 前日比:+20.2% [年初来安値圏] [12点]</v>
      </c>
      <c r="Z81" s="331">
        <f t="shared" si="32"/>
        <v>20.167064439140812</v>
      </c>
      <c r="AA81" s="325" t="str">
        <f t="shared" si="33"/>
        <v>上昇▲</v>
      </c>
      <c r="AB81" s="326">
        <f>IF(OR(C81="",C81="TOPX",終値!E138=""),"",IFERROR(((終値!E138*0.333)+(終値!F138*0.222)+(終値!G138*0.148)+(終値!H138*0.099)+(終値!I138*0.066))/(0.333+0.222+0.148+0.099+0.066),""))</f>
        <v>838.13594470046075</v>
      </c>
      <c r="AC81" s="326">
        <f>IF(OR(C81="",C81="TOPX",終値!E138=""),"",IFERROR(SUMPRODUCT((終値!E138:AC138),{0.077,0.071,0.065,0.06,0.055,0.051,0.047,0.043,0.039,0.036,0.033,0.031,0.028,0.026,0.024,0.022,0.02,0.018,0.017,0.016,0.014,0.013,0.012,0.011,0.01})/SUM({0.077,0.071,0.065,0.06,0.055,0.051,0.047,0.043,0.039,0.036,0.033,0.031,0.028,0.026,0.024,0.022,0.02,0.018,0.017,0.016,0.014,0.013,0.012,0.011,0.01}),""))</f>
        <v>873.19427890345605</v>
      </c>
      <c r="AD81" s="325" t="str">
        <f t="shared" si="34"/>
        <v>上昇トレンド▲</v>
      </c>
      <c r="AE81" s="325" t="str">
        <f t="shared" si="35"/>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 t="shared" si="36"/>
        <v>12</v>
      </c>
      <c r="AH81">
        <f t="shared" si="37"/>
        <v>119919</v>
      </c>
      <c r="AI81" s="373">
        <f t="array" ref="AI81">IF(C81="","",IFERROR((INDEX(終値!$E:$E,MATCH(TEXT(C81,"0"),終値!$A:$A,0))-INDEX(終値!$E:$CZ,MATCH(TEXT(C81,"0"),終値!$A:$A,0),$AN$2))/INDEX(終値!$E:$CZ,MATCH(TEXT(C81,"0"),終値!$A:$A,0),$AN$2)*100,""))</f>
        <v>-15.362318840579711</v>
      </c>
      <c r="AJ81" s="373">
        <f t="array" ref="AJ81">IFERROR((終値!$E$5-INDEX(終値!$E$5:$CZ$5,1,$AN$2))/INDEX(終値!$E$5:$CZ$5,1,$AN$2)*100,"")</f>
        <v>-0.82558151178043282</v>
      </c>
      <c r="AK81" s="374">
        <f t="shared" si="38"/>
        <v>-14.536737328799278</v>
      </c>
      <c r="AL81" s="372">
        <f t="shared" si="39"/>
        <v>3</v>
      </c>
      <c r="AO81" s="376" t="str">
        <f t="shared" si="40"/>
        <v>通常</v>
      </c>
      <c r="AP81" s="377">
        <f t="shared" si="41"/>
        <v>0</v>
      </c>
      <c r="AQ81">
        <f>IF(C81&lt;&gt;"",始値!F138,"")</f>
        <v>815</v>
      </c>
      <c r="AR81">
        <f>IF(C81&lt;&gt;"",高値!F138,"")</f>
        <v>844</v>
      </c>
      <c r="AS81">
        <f>IF(C81&lt;&gt;"",安値!F138,"")</f>
        <v>804</v>
      </c>
      <c r="AT81" t="str">
        <f t="shared" si="42"/>
        <v>通常</v>
      </c>
      <c r="AU81">
        <f t="shared" si="43"/>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1064</v>
      </c>
      <c r="F82" s="333">
        <f>IF(C82&lt;&gt;"",_xll.RssMarket(C82,"始値"),"")</f>
        <v>1100</v>
      </c>
      <c r="G82" s="212">
        <f>IF(C82&lt;&gt;"",終値!F160,"")</f>
        <v>1096</v>
      </c>
      <c r="H82" s="333">
        <f>IF(C82&lt;&gt;"",_xll.RssMarket(C82,"高値"),"")</f>
        <v>1105</v>
      </c>
      <c r="I82" s="333">
        <f>IF(C82&lt;&gt;"",_xll.RssMarket(C82,"安値"),"")</f>
        <v>1060</v>
      </c>
      <c r="J82" s="333">
        <f>IF(C82&lt;&gt;"",_xll.RssMarket(C82,"出来高"),"")</f>
        <v>710100</v>
      </c>
      <c r="K82" s="333">
        <f>IF(C82&lt;&gt;"",_xll.RssMarket(C82,"年初来高値"),"")</f>
        <v>1212</v>
      </c>
      <c r="L82" s="334">
        <f t="shared" si="22"/>
        <v>-12.211221122112212</v>
      </c>
      <c r="M82" s="333">
        <f>IF(C82&lt;&gt;"",IFERROR(AVERAGE(出来高!E160:I160),""),"")</f>
        <v>1192860</v>
      </c>
      <c r="N82" s="333">
        <f>IF(C82&lt;&gt;"",IFERROR(AVERAGE(出来高!E160:AC160),""),"")</f>
        <v>1133840</v>
      </c>
      <c r="O82" s="335">
        <f t="shared" si="23"/>
        <v>0.59529198732458122</v>
      </c>
      <c r="P82" s="212" t="str">
        <f t="shared" si="24"/>
        <v>減少↓</v>
      </c>
      <c r="Q82" s="212" t="str">
        <f t="shared" si="25"/>
        <v>中立→</v>
      </c>
      <c r="R82" s="333">
        <f t="shared" si="26"/>
        <v>979</v>
      </c>
      <c r="S82" s="333">
        <f t="shared" si="27"/>
        <v>1107</v>
      </c>
      <c r="T82" s="325">
        <f t="shared" si="28"/>
        <v>5</v>
      </c>
      <c r="U82" s="212" t="str">
        <f t="shared" si="29"/>
        <v>要確認</v>
      </c>
      <c r="V82" s="212" t="str">
        <f t="shared" si="30"/>
        <v>通常</v>
      </c>
      <c r="W82" s="336">
        <f t="array" ref="W82">IFERROR(100-100/(1+SUMPRODUCT((終値!F160:R160&gt;終値!G160:S160)*(終値!F160:R160-終値!G160:S160))/SUMPRODUCT((終値!F160:R160&lt;終値!G160:S160)*(終値!G160:S160-終値!F160:R160))),50)</f>
        <v>59.077809798270891</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13.525495643590148</v>
      </c>
      <c r="Y82" s="212" t="str">
        <f t="shared" si="31"/>
        <v>○逆張り売り | もみ合い→ 25日戻り売り★ MACD+ RSI:59.1 前日比:-2.9% [大陰線▼] [5点]</v>
      </c>
      <c r="Z82" s="338">
        <f t="shared" si="32"/>
        <v>-2.9197080291970803</v>
      </c>
      <c r="AA82" s="212" t="str">
        <f t="shared" si="33"/>
        <v>下落▼</v>
      </c>
      <c r="AB82" s="333">
        <f>IF(OR(C82="",C82="TOPX",終値!E160=""),"",IFERROR(((終値!E160*0.333)+(終値!F160*0.222)+(終値!G160*0.148)+(終値!H160*0.099)+(終値!I160*0.066))/(0.333+0.222+0.148+0.099+0.066),""))</f>
        <v>1109.205069124424</v>
      </c>
      <c r="AC82" s="333">
        <f>IF(OR(C82="",C82="TOPX",終値!E160=""),"",IFERROR(SUMPRODUCT((終値!E160:AC160),{0.077,0.071,0.065,0.06,0.055,0.051,0.047,0.043,0.039,0.036,0.033,0.031,0.028,0.026,0.024,0.022,0.02,0.018,0.017,0.016,0.014,0.013,0.012,0.011,0.01})/SUM({0.077,0.071,0.065,0.06,0.055,0.051,0.047,0.043,0.039,0.036,0.033,0.031,0.028,0.026,0.024,0.022,0.02,0.018,0.017,0.016,0.014,0.013,0.012,0.011,0.01}),""))</f>
        <v>1084.3718712753273</v>
      </c>
      <c r="AD82" s="212" t="str">
        <f t="shared" si="34"/>
        <v>もみ合い→</v>
      </c>
      <c r="AE82" s="212" t="str">
        <f t="shared" si="35"/>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 t="shared" si="36"/>
        <v>0</v>
      </c>
      <c r="AH82">
        <f t="shared" si="37"/>
        <v>0</v>
      </c>
      <c r="AI82" s="373">
        <f t="array" ref="AI82">IF(C82="","",IFERROR((INDEX(終値!$E:$E,MATCH(TEXT(C82,"0"),終値!$A:$A,0))-INDEX(終値!$E:$CZ,MATCH(TEXT(C82,"0"),終値!$A:$A,0),$AN$2))/INDEX(終値!$E:$CZ,MATCH(TEXT(C82,"0"),終値!$A:$A,0),$AN$2)*100,""))</f>
        <v>11.941848390446522</v>
      </c>
      <c r="AJ82" s="373">
        <f t="array" ref="AJ82">IFERROR((終値!$E$5-INDEX(終値!$E$5:$CZ$5,1,$AN$2))/INDEX(終値!$E$5:$CZ$5,1,$AN$2)*100,"")</f>
        <v>-0.82558151178043282</v>
      </c>
      <c r="AK82" s="374">
        <f t="shared" si="38"/>
        <v>12.767429902226954</v>
      </c>
      <c r="AL82" s="372">
        <f t="shared" si="39"/>
        <v>-2</v>
      </c>
      <c r="AO82" s="376" t="str">
        <f t="shared" si="40"/>
        <v>大陰線▼</v>
      </c>
      <c r="AP82" s="377">
        <f t="shared" si="41"/>
        <v>2</v>
      </c>
      <c r="AQ82">
        <f>IF(C82&lt;&gt;"",始値!F160,"")</f>
        <v>1134</v>
      </c>
      <c r="AR82">
        <f>IF(C82&lt;&gt;"",高値!F160,"")</f>
        <v>1137</v>
      </c>
      <c r="AS82">
        <f>IF(C82&lt;&gt;"",安値!F160,"")</f>
        <v>1080</v>
      </c>
      <c r="AT82" t="str">
        <f t="shared" si="42"/>
        <v>通常</v>
      </c>
      <c r="AU82">
        <f t="shared" si="43"/>
        <v>0</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1523</v>
      </c>
      <c r="F83" s="326">
        <f>IF(C83&lt;&gt;"",_xll.RssMarket(C83,"始値"),"")</f>
        <v>1493</v>
      </c>
      <c r="G83" s="325">
        <f>IF(C83&lt;&gt;"",終値!F163,"")</f>
        <v>1468</v>
      </c>
      <c r="H83" s="326">
        <f>IF(C83&lt;&gt;"",_xll.RssMarket(C83,"高値"),"")</f>
        <v>1528</v>
      </c>
      <c r="I83" s="326">
        <f>IF(C83&lt;&gt;"",_xll.RssMarket(C83,"安値"),"")</f>
        <v>1484</v>
      </c>
      <c r="J83" s="326">
        <f>IF(C83&lt;&gt;"",_xll.RssMarket(C83,"出来高"),"")</f>
        <v>67100</v>
      </c>
      <c r="K83" s="326">
        <f>IF(C83&lt;&gt;"",_xll.RssMarket(C83,"年初来高値"),"")</f>
        <v>1821</v>
      </c>
      <c r="L83" s="327">
        <f t="shared" si="22"/>
        <v>-16.364634816035146</v>
      </c>
      <c r="M83" s="326">
        <f>IF(C83&lt;&gt;"",IFERROR(AVERAGE(出来高!E163:I163),""),"")</f>
        <v>162640</v>
      </c>
      <c r="N83" s="326">
        <f>IF(C83&lt;&gt;"",IFERROR(AVERAGE(出来高!E163:AC163),""),"")</f>
        <v>109604</v>
      </c>
      <c r="O83" s="328">
        <f t="shared" si="23"/>
        <v>0.41256763403836694</v>
      </c>
      <c r="P83" s="325" t="str">
        <f t="shared" si="24"/>
        <v>減少↓</v>
      </c>
      <c r="Q83" s="325" t="str">
        <f t="shared" si="25"/>
        <v>様子見▲</v>
      </c>
      <c r="R83" s="326">
        <f t="shared" si="26"/>
        <v>1401</v>
      </c>
      <c r="S83" s="326">
        <f t="shared" si="27"/>
        <v>1584</v>
      </c>
      <c r="T83" s="325">
        <f t="shared" si="28"/>
        <v>7</v>
      </c>
      <c r="U83" s="325" t="str">
        <f t="shared" si="29"/>
        <v>要確認</v>
      </c>
      <c r="V83" s="325" t="str">
        <f t="shared" si="30"/>
        <v>通常</v>
      </c>
      <c r="W83" s="329">
        <f t="array" ref="W83">IFERROR(100-100/(1+SUMPRODUCT((終値!F163:R163&gt;終値!G163:S163)*(終値!F163:R163-終値!G163:S163))/SUMPRODUCT((終値!F163:R163&lt;終値!G163:S163)*(終値!G163:S163-終値!F163:R163))),50)</f>
        <v>33.055555555555557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-20.38485267016631</v>
      </c>
      <c r="Y83" s="325" t="str">
        <f t="shared" si="31"/>
        <v>○逆張り売り | もみ合い→ 25日戻り売り★ MACD- RSI:33.1 前日比:+3.7%前日[長い下ヒゲ(反発)] [7点]</v>
      </c>
      <c r="Z83" s="331">
        <f t="shared" si="32"/>
        <v>3.746594005449591</v>
      </c>
      <c r="AA83" s="325" t="str">
        <f t="shared" si="33"/>
        <v>上昇▲</v>
      </c>
      <c r="AB83" s="326">
        <f>IF(OR(C83="",C83="TOPX",終値!E163=""),"",IFERROR(((終値!E163*0.333)+(終値!F163*0.222)+(終値!G163*0.148)+(終値!H163*0.099)+(終値!I163*0.066))/(0.333+0.222+0.148+0.099+0.066),""))</f>
        <v>1473.5875576036865</v>
      </c>
      <c r="AC83" s="326">
        <f>IF(OR(C83="",C83="TOPX",終値!E163=""),"",IFERROR(SUMPRODUCT((終値!E163:AC163),{0.077,0.071,0.065,0.06,0.055,0.051,0.047,0.043,0.039,0.036,0.033,0.031,0.028,0.026,0.024,0.022,0.02,0.018,0.017,0.016,0.014,0.013,0.012,0.011,0.01})/SUM({0.077,0.071,0.065,0.06,0.055,0.051,0.047,0.043,0.039,0.036,0.033,0.031,0.028,0.026,0.024,0.022,0.02,0.018,0.017,0.016,0.014,0.013,0.012,0.011,0.01}),""))</f>
        <v>1551.9880810488671</v>
      </c>
      <c r="AD83" s="325" t="str">
        <f t="shared" si="34"/>
        <v>もみ合い→</v>
      </c>
      <c r="AE83" s="325" t="str">
        <f t="shared" si="35"/>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 t="shared" si="36"/>
        <v>7</v>
      </c>
      <c r="AH83">
        <f t="shared" si="37"/>
        <v>69917</v>
      </c>
      <c r="AI83" s="373">
        <f t="array" ref="AI83">IF(C83="","",IFERROR((INDEX(終値!$E:$E,MATCH(TEXT(C83,"0"),終値!$A:$A,0))-INDEX(終値!$E:$CZ,MATCH(TEXT(C83,"0"),終値!$A:$A,0),$AN$2))/INDEX(終値!$E:$CZ,MATCH(TEXT(C83,"0"),終値!$A:$A,0),$AN$2)*100,""))</f>
        <v>-12.920353982300886</v>
      </c>
      <c r="AJ83" s="373">
        <f t="array" ref="AJ83">IFERROR((終値!$E$5-INDEX(終値!$E$5:$CZ$5,1,$AN$2))/INDEX(終値!$E$5:$CZ$5,1,$AN$2)*100,"")</f>
        <v>-0.82558151178043282</v>
      </c>
      <c r="AK83" s="374">
        <f t="shared" si="38"/>
        <v>-12.094772470520454</v>
      </c>
      <c r="AL83" s="372">
        <f t="shared" si="39"/>
        <v>3</v>
      </c>
      <c r="AO83" s="376" t="str">
        <f t="shared" si="40"/>
        <v>通常</v>
      </c>
      <c r="AP83" s="377">
        <f t="shared" si="41"/>
        <v>0</v>
      </c>
      <c r="AQ83">
        <f>IF(C83&lt;&gt;"",始値!F163,"")</f>
        <v>1477</v>
      </c>
      <c r="AR83">
        <f>IF(C83&lt;&gt;"",高値!F163,"")</f>
        <v>1478</v>
      </c>
      <c r="AS83">
        <f>IF(C83&lt;&gt;"",安値!F163,"")</f>
        <v>1435</v>
      </c>
      <c r="AT83" t="str">
        <f t="shared" si="42"/>
        <v>長い下ヒゲ(反発)</v>
      </c>
      <c r="AU83">
        <f t="shared" si="43"/>
        <v>-2</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46420</v>
      </c>
      <c r="F84" s="333">
        <f>IF(C84&lt;&gt;"",_xll.RssMarket(C84,"始値"),"")</f>
        <v>45140</v>
      </c>
      <c r="G84" s="212">
        <f>IF(C84&lt;&gt;"",終値!F199,"")</f>
        <v>40910</v>
      </c>
      <c r="H84" s="333">
        <f>IF(C84&lt;&gt;"",_xll.RssMarket(C84,"高値"),"")</f>
        <v>46730</v>
      </c>
      <c r="I84" s="333">
        <f>IF(C84&lt;&gt;"",_xll.RssMarket(C84,"安値"),"")</f>
        <v>44560</v>
      </c>
      <c r="J84" s="333">
        <f>IF(C84&lt;&gt;"",_xll.RssMarket(C84,"出来高"),"")</f>
        <v>3233800</v>
      </c>
      <c r="K84" s="333">
        <f>IF(C84&lt;&gt;"",_xll.RssMarket(C84,"年初来高値"),"")</f>
        <v>58580</v>
      </c>
      <c r="L84" s="334">
        <f t="shared" si="22"/>
        <v>-20.757937862751792</v>
      </c>
      <c r="M84" s="333">
        <f>IF(C84&lt;&gt;"",IFERROR(AVERAGE(出来高!E199:I199),""),"")</f>
        <v>4386560</v>
      </c>
      <c r="N84" s="333">
        <f>IF(C84&lt;&gt;"",IFERROR(AVERAGE(出来高!E199:AC199),""),"")</f>
        <v>3481540</v>
      </c>
      <c r="O84" s="335">
        <f t="shared" si="23"/>
        <v>0.73720637583892612</v>
      </c>
      <c r="P84" s="212" t="str">
        <f t="shared" si="24"/>
        <v>減少↓</v>
      </c>
      <c r="Q84" s="212" t="str">
        <f t="shared" si="25"/>
        <v>様子見▲</v>
      </c>
      <c r="R84" s="333">
        <f t="shared" si="26"/>
        <v>42706</v>
      </c>
      <c r="S84" s="333">
        <f t="shared" si="27"/>
        <v>48277</v>
      </c>
      <c r="T84" s="325">
        <f t="shared" si="28"/>
        <v>6</v>
      </c>
      <c r="U84" s="212" t="str">
        <f t="shared" si="29"/>
        <v>要確認</v>
      </c>
      <c r="V84" s="212" t="str">
        <f t="shared" si="30"/>
        <v>通常</v>
      </c>
      <c r="W84" s="336">
        <f t="array" ref="W84">IFERROR(100-100/(1+SUMPRODUCT((終値!F199:R199&gt;終値!G199:S199)*(終値!F199:R199-終値!G199:S199))/SUMPRODUCT((終値!F199:R199&lt;終値!G199:S199)*(終値!G199:S199-終値!F199:R199))),50)</f>
        <v>44.569499155880699</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-971.39343414040195</v>
      </c>
      <c r="Y84" s="212" t="str">
        <f t="shared" si="31"/>
        <v>相場上昇・見送り | 上昇トレンド▲ MACD- RSI:44.6 前日比:+13.5% [6点]</v>
      </c>
      <c r="Z84" s="338">
        <f t="shared" si="32"/>
        <v>13.468589586898069</v>
      </c>
      <c r="AA84" s="212" t="str">
        <f t="shared" si="33"/>
        <v>上昇▲</v>
      </c>
      <c r="AB84" s="333">
        <f>IF(OR(C84="",C84="TOPX",終値!E199=""),"",IFERROR(((終値!E199*0.333)+(終値!F199*0.222)+(終値!G199*0.148)+(終値!H199*0.099)+(終値!I199*0.066))/(0.333+0.222+0.148+0.099+0.066),""))</f>
        <v>40290.506912442397</v>
      </c>
      <c r="AC84" s="333">
        <f>IF(OR(C84="",C84="TOPX",終値!E199=""),"",IFERROR(SUMPRODUCT((終値!E199:AC199),{0.077,0.071,0.065,0.06,0.055,0.051,0.047,0.043,0.039,0.036,0.033,0.031,0.028,0.026,0.024,0.022,0.02,0.018,0.017,0.016,0.014,0.013,0.012,0.011,0.01})/SUM({0.077,0.071,0.065,0.06,0.055,0.051,0.047,0.043,0.039,0.036,0.033,0.031,0.028,0.026,0.024,0.022,0.02,0.018,0.017,0.016,0.014,0.013,0.012,0.011,0.01}),""))</f>
        <v>41913.992848629307</v>
      </c>
      <c r="AD84" s="212" t="str">
        <f t="shared" si="34"/>
        <v>上昇トレンド▲</v>
      </c>
      <c r="AE84" s="212" t="str">
        <f t="shared" si="35"/>
        <v>なし</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 t="shared" si="36"/>
        <v>0</v>
      </c>
      <c r="AH84">
        <f t="shared" si="37"/>
        <v>0</v>
      </c>
      <c r="AI84" s="373">
        <f t="array" ref="AI84">IF(C84="","",IFERROR((INDEX(終値!$E:$E,MATCH(TEXT(C84,"0"),終値!$A:$A,0))-INDEX(終値!$E:$CZ,MATCH(TEXT(C84,"0"),終値!$A:$A,0),$AN$2))/INDEX(終値!$E:$CZ,MATCH(TEXT(C84,"0"),終値!$A:$A,0),$AN$2)*100,""))</f>
        <v>-10.365853658536585</v>
      </c>
      <c r="AJ84" s="373">
        <f t="array" ref="AJ84">IFERROR((終値!$E$5-INDEX(終値!$E$5:$CZ$5,1,$AN$2))/INDEX(終値!$E$5:$CZ$5,1,$AN$2)*100,"")</f>
        <v>-0.82558151178043282</v>
      </c>
      <c r="AK84" s="374">
        <f t="shared" si="38"/>
        <v>-9.540272146756152</v>
      </c>
      <c r="AL84" s="372">
        <f t="shared" si="39"/>
        <v>3</v>
      </c>
      <c r="AO84" s="376" t="str">
        <f t="shared" si="40"/>
        <v>通常</v>
      </c>
      <c r="AP84" s="377">
        <f t="shared" si="41"/>
        <v>0</v>
      </c>
      <c r="AQ84">
        <f>IF(C84&lt;&gt;"",始値!F199,"")</f>
        <v>37210</v>
      </c>
      <c r="AR84">
        <f>IF(C84&lt;&gt;"",高値!F199,"")</f>
        <v>41520</v>
      </c>
      <c r="AS84">
        <f>IF(C84&lt;&gt;"",安値!F199,"")</f>
        <v>37200</v>
      </c>
      <c r="AT84" t="str">
        <f t="shared" si="42"/>
        <v>通常</v>
      </c>
      <c r="AU84">
        <f t="shared" si="43"/>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5443</v>
      </c>
      <c r="F85" s="326">
        <f>IF(C85&lt;&gt;"",_xll.RssMarket(C85,"始値"),"")</f>
        <v>5318</v>
      </c>
      <c r="G85" s="325">
        <f>IF(C85&lt;&gt;"",終値!F203,"")</f>
        <v>5244</v>
      </c>
      <c r="H85" s="326">
        <f>IF(C85&lt;&gt;"",_xll.RssMarket(C85,"高値"),"")</f>
        <v>5482</v>
      </c>
      <c r="I85" s="326">
        <f>IF(C85&lt;&gt;"",_xll.RssMarket(C85,"安値"),"")</f>
        <v>5312</v>
      </c>
      <c r="J85" s="326">
        <f>IF(C85&lt;&gt;"",_xll.RssMarket(C85,"出来高"),"")</f>
        <v>980200</v>
      </c>
      <c r="K85" s="326">
        <f>IF(C85&lt;&gt;"",_xll.RssMarket(C85,"年初来高値"),"")</f>
        <v>7225</v>
      </c>
      <c r="L85" s="327">
        <f t="shared" si="22"/>
        <v>-24.664359861591695</v>
      </c>
      <c r="M85" s="326">
        <f>IF(C85&lt;&gt;"",IFERROR(AVERAGE(出来高!E203:I203),""),"")</f>
        <v>2354880</v>
      </c>
      <c r="N85" s="326">
        <f>IF(C85&lt;&gt;"",IFERROR(AVERAGE(出来高!E203:AC203),""),"")</f>
        <v>1141936</v>
      </c>
      <c r="O85" s="328">
        <f t="shared" si="23"/>
        <v>0.41624201657833942</v>
      </c>
      <c r="P85" s="325" t="str">
        <f t="shared" si="24"/>
        <v>減少↓</v>
      </c>
      <c r="Q85" s="325" t="str">
        <f t="shared" si="25"/>
        <v>様子見▲</v>
      </c>
      <c r="R85" s="326">
        <f t="shared" si="26"/>
        <v>5008</v>
      </c>
      <c r="S85" s="326">
        <f t="shared" si="27"/>
        <v>5661</v>
      </c>
      <c r="T85" s="325">
        <f t="shared" si="28"/>
        <v>5</v>
      </c>
      <c r="U85" s="325" t="str">
        <f t="shared" si="29"/>
        <v>要確認</v>
      </c>
      <c r="V85" s="325" t="str">
        <f t="shared" si="30"/>
        <v>安値圏</v>
      </c>
      <c r="W85" s="329">
        <f t="array" ref="W85">IFERROR(100-100/(1+SUMPRODUCT((終値!F203:R203&gt;終値!G203:S203)*(終値!F203:R203-終値!G203:S203))/SUMPRODUCT((終値!F203:R203&lt;終値!G203:S203)*(終値!G203:S203-終値!F203:R203))),50)</f>
        <v>51.873884592504467</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21.449462464031058</v>
      </c>
      <c r="Y85" s="325" t="str">
        <f t="shared" si="31"/>
        <v>相場上昇・見送り | 上昇トレンド▲ MACD+ RSI:51.9 前日比:+3.8% [安値圏]前日[大陰線▼] [5点]</v>
      </c>
      <c r="Z85" s="331">
        <f t="shared" si="32"/>
        <v>3.7948131197559118</v>
      </c>
      <c r="AA85" s="325" t="str">
        <f t="shared" si="33"/>
        <v>上昇▲</v>
      </c>
      <c r="AB85" s="326">
        <f>IF(OR(C85="",C85="TOPX",終値!E203=""),"",IFERROR(((終値!E203*0.333)+(終値!F203*0.222)+(終値!G203*0.148)+(終値!H203*0.099)+(終値!I203*0.066))/(0.333+0.222+0.148+0.099+0.066),""))</f>
        <v>5361.4112903225796</v>
      </c>
      <c r="AC85" s="326">
        <f>IF(OR(C85="",C85="TOPX",終値!E203=""),"",IFERROR(SUMPRODUCT((終値!E203:AC203),{0.077,0.071,0.065,0.06,0.055,0.051,0.047,0.043,0.039,0.036,0.033,0.031,0.028,0.026,0.024,0.022,0.02,0.018,0.017,0.016,0.014,0.013,0.012,0.011,0.01})/SUM({0.077,0.071,0.065,0.06,0.055,0.051,0.047,0.043,0.039,0.036,0.033,0.031,0.028,0.026,0.024,0.022,0.02,0.018,0.017,0.016,0.014,0.013,0.012,0.011,0.01}),""))</f>
        <v>5363.3313468414754</v>
      </c>
      <c r="AD85" s="325" t="str">
        <f t="shared" si="34"/>
        <v>上昇トレンド▲</v>
      </c>
      <c r="AE85" s="325" t="str">
        <f t="shared" si="35"/>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 t="shared" si="36"/>
        <v>0</v>
      </c>
      <c r="AH85">
        <f t="shared" si="37"/>
        <v>0</v>
      </c>
      <c r="AI85" s="373">
        <f t="array" ref="AI85">IF(C85="","",IFERROR((INDEX(終値!$E:$E,MATCH(TEXT(C85,"0"),終値!$A:$A,0))-INDEX(終値!$E:$CZ,MATCH(TEXT(C85,"0"),終値!$A:$A,0),$AN$2))/INDEX(終値!$E:$CZ,MATCH(TEXT(C85,"0"),終値!$A:$A,0),$AN$2)*100,""))</f>
        <v>0.6450388920508443</v>
      </c>
      <c r="AJ85" s="373">
        <f t="array" ref="AJ85">IFERROR((終値!$E$5-INDEX(終値!$E$5:$CZ$5,1,$AN$2))/INDEX(終値!$E$5:$CZ$5,1,$AN$2)*100,"")</f>
        <v>-0.82558151178043282</v>
      </c>
      <c r="AK85" s="374">
        <f t="shared" si="38"/>
        <v>1.4706204038312771</v>
      </c>
      <c r="AL85" s="372">
        <f t="shared" si="39"/>
        <v>-1</v>
      </c>
      <c r="AO85" s="376" t="str">
        <f t="shared" si="40"/>
        <v>通常</v>
      </c>
      <c r="AP85" s="377">
        <f t="shared" si="41"/>
        <v>0</v>
      </c>
      <c r="AQ85">
        <f>IF(C85&lt;&gt;"",始値!F203,"")</f>
        <v>5449</v>
      </c>
      <c r="AR85">
        <f>IF(C85&lt;&gt;"",高値!F203,"")</f>
        <v>5486</v>
      </c>
      <c r="AS85">
        <f>IF(C85&lt;&gt;"",安値!F203,"")</f>
        <v>5209</v>
      </c>
      <c r="AT85" t="str">
        <f t="shared" si="42"/>
        <v>大陰線▼</v>
      </c>
      <c r="AU85">
        <f t="shared" si="43"/>
        <v>2</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3545</v>
      </c>
      <c r="F86" s="333">
        <f>IF(C86&lt;&gt;"",_xll.RssMarket(C86,"始値"),"")</f>
        <v>3522</v>
      </c>
      <c r="G86" s="212">
        <f>IF(C86&lt;&gt;"",終値!F205,"")</f>
        <v>0</v>
      </c>
      <c r="H86" s="333">
        <f>IF(C86&lt;&gt;"",_xll.RssMarket(C86,"高値"),"")</f>
        <v>3642</v>
      </c>
      <c r="I86" s="333">
        <f>IF(C86&lt;&gt;"",_xll.RssMarket(C86,"安値"),"")</f>
        <v>3515</v>
      </c>
      <c r="J86" s="333">
        <f>IF(C86&lt;&gt;"",_xll.RssMarket(C86,"出来高"),"")</f>
        <v>10225800</v>
      </c>
      <c r="K86" s="333">
        <f>IF(C86&lt;&gt;"",_xll.RssMarket(C86,"年初来高値"),"")</f>
        <v>4124</v>
      </c>
      <c r="L86" s="334">
        <f t="shared" si="22"/>
        <v>-14.039767216294861</v>
      </c>
      <c r="M86" s="333" t="str">
        <f>IF(C86&lt;&gt;"",IFERROR(AVERAGE(出来高!E205:I205),""),"")</f>
        <v/>
      </c>
      <c r="N86" s="333" t="str">
        <f>IF(C86&lt;&gt;"",IFERROR(AVERAGE(出来高!E205:AC205),""),"")</f>
        <v/>
      </c>
      <c r="O86" s="335" t="str">
        <f t="shared" si="23"/>
        <v/>
      </c>
      <c r="P86" s="212" t="str">
        <f t="shared" si="24"/>
        <v/>
      </c>
      <c r="Q86" s="212" t="str">
        <f t="shared" si="25"/>
        <v>様子見▲</v>
      </c>
      <c r="R86" s="333">
        <f t="shared" si="26"/>
        <v>3261</v>
      </c>
      <c r="S86" s="333">
        <f t="shared" si="27"/>
        <v>3687</v>
      </c>
      <c r="T86" s="325">
        <f t="shared" si="28"/>
        <v>3</v>
      </c>
      <c r="U86" s="212" t="str">
        <f t="shared" si="29"/>
        <v>有効</v>
      </c>
      <c r="V86" s="212" t="str">
        <f t="shared" si="30"/>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0</v>
      </c>
      <c r="Y86" s="212" t="str">
        <f t="shared" si="31"/>
        <v>相場上昇・見送り |   MACD+ RSI:50.0 前日比:% [上ヒゲ陰線▼] [3点]</v>
      </c>
      <c r="Z86" s="338" t="str">
        <f t="shared" si="32"/>
        <v/>
      </c>
      <c r="AA86" s="212" t="str">
        <f t="shared" si="33"/>
        <v>上昇▲</v>
      </c>
      <c r="AB86" s="333" t="str">
        <f>IF(OR(C86="",C86="TOPX",終値!E205=""),"",IFERROR(((終値!E205*0.333)+(終値!F205*0.222)+(終値!G205*0.148)+(終値!H205*0.099)+(終値!I205*0.066))/(0.333+0.222+0.148+0.099+0.066),""))</f>
        <v/>
      </c>
      <c r="AC86" s="333" t="str">
        <f>IF(OR(C86="",C86="TOPX",終値!E205=""),"",IFERROR(SUMPRODUCT((終値!E205:AC205),{0.077,0.071,0.065,0.06,0.055,0.051,0.047,0.043,0.039,0.036,0.033,0.031,0.028,0.026,0.024,0.022,0.02,0.018,0.017,0.016,0.014,0.013,0.012,0.011,0.01})/SUM({0.077,0.071,0.065,0.06,0.055,0.051,0.047,0.043,0.039,0.036,0.033,0.031,0.028,0.026,0.024,0.022,0.02,0.018,0.017,0.016,0.014,0.013,0.012,0.011,0.01}),""))</f>
        <v/>
      </c>
      <c r="AD86" s="212" t="str">
        <f t="shared" si="34"/>
        <v/>
      </c>
      <c r="AE86" s="212" t="str">
        <f t="shared" si="35"/>
        <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 t="shared" si="36"/>
        <v>0</v>
      </c>
      <c r="AH86">
        <f t="shared" si="37"/>
        <v>0</v>
      </c>
      <c r="AI86" s="373" t="str">
        <f t="array" ref="AI86">IF(C86="","",IFERROR((INDEX(終値!$E:$E,MATCH(TEXT(C86,"0"),終値!$A:$A,0))-INDEX(終値!$E:$CZ,MATCH(TEXT(C86,"0"),終値!$A:$A,0),$AN$2))/INDEX(終値!$E:$CZ,MATCH(TEXT(C86,"0"),終値!$A:$A,0),$AN$2)*100,""))</f>
        <v/>
      </c>
      <c r="AJ86" s="373">
        <f t="array" ref="AJ86">IFERROR((終値!$E$5-INDEX(終値!$E$5:$CZ$5,1,$AN$2))/INDEX(終値!$E$5:$CZ$5,1,$AN$2)*100,"")</f>
        <v>-0.82558151178043282</v>
      </c>
      <c r="AK86" s="374" t="str">
        <f t="shared" si="38"/>
        <v/>
      </c>
      <c r="AL86" s="372" t="str">
        <f t="shared" si="39"/>
        <v/>
      </c>
      <c r="AO86" s="376" t="str">
        <f t="shared" si="40"/>
        <v>上ヒゲ陰線▼</v>
      </c>
      <c r="AP86" s="377">
        <f t="shared" si="41"/>
        <v>2</v>
      </c>
      <c r="AQ86">
        <f>IF(C86&lt;&gt;"",始値!F205,"")</f>
        <v>0</v>
      </c>
      <c r="AR86">
        <f>IF(C86&lt;&gt;"",高値!F205,"")</f>
        <v>0</v>
      </c>
      <c r="AS86">
        <f>IF(C86&lt;&gt;"",安値!F205,"")</f>
        <v>0</v>
      </c>
      <c r="AT86" t="str">
        <f t="shared" si="42"/>
        <v>-</v>
      </c>
      <c r="AU86">
        <f t="shared" si="43"/>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4367</v>
      </c>
      <c r="F87" s="326">
        <f>IF(C87&lt;&gt;"",_xll.RssMarket(C87,"始値"),"")</f>
        <v>4236</v>
      </c>
      <c r="G87" s="325">
        <f>IF(C87&lt;&gt;"",終値!F9,"")</f>
        <v>4151</v>
      </c>
      <c r="H87" s="326">
        <f>IF(C87&lt;&gt;"",_xll.RssMarket(C87,"高値"),"")</f>
        <v>4404</v>
      </c>
      <c r="I87" s="326">
        <f>IF(C87&lt;&gt;"",_xll.RssMarket(C87,"安値"),"")</f>
        <v>4230</v>
      </c>
      <c r="J87" s="326">
        <f>IF(C87&lt;&gt;"",_xll.RssMarket(C87,"出来高"),"")</f>
        <v>911000</v>
      </c>
      <c r="K87" s="326">
        <f>IF(C87&lt;&gt;"",_xll.RssMarket(C87,"年初来高値"),"")</f>
        <v>6126</v>
      </c>
      <c r="L87" s="327">
        <f t="shared" si="22"/>
        <v>-28.713679399281748</v>
      </c>
      <c r="M87" s="326">
        <f>IF(C87&lt;&gt;"",IFERROR(AVERAGE(出来高!E9:I9),""),"")</f>
        <v>1264840</v>
      </c>
      <c r="N87" s="326">
        <f>IF(C87&lt;&gt;"",IFERROR(AVERAGE(出来高!E9:AC9),""),"")</f>
        <v>1431228</v>
      </c>
      <c r="O87" s="328">
        <f t="shared" si="23"/>
        <v>0.72024920148002913</v>
      </c>
      <c r="P87" s="325" t="str">
        <f t="shared" si="24"/>
        <v>減少↓</v>
      </c>
      <c r="Q87" s="325" t="str">
        <f t="shared" si="25"/>
        <v>様子見▲</v>
      </c>
      <c r="R87" s="326">
        <f t="shared" si="26"/>
        <v>4018</v>
      </c>
      <c r="S87" s="326">
        <f t="shared" si="27"/>
        <v>4542</v>
      </c>
      <c r="T87" s="325">
        <f t="shared" si="28"/>
        <v>7</v>
      </c>
      <c r="U87" s="325" t="str">
        <f t="shared" si="29"/>
        <v>要確認</v>
      </c>
      <c r="V87" s="325" t="str">
        <f t="shared" si="30"/>
        <v>安値圏</v>
      </c>
      <c r="W87" s="329">
        <f t="array" ref="W87">IFERROR(100-100/(1+SUMPRODUCT((終値!F9:R9&gt;終値!G9:S9)*(終値!F9:R9-終値!G9:S9))/SUMPRODUCT((終値!F9:R9&lt;終値!G9:S9)*(終値!G9:S9-終値!F9:R9))),50)</f>
        <v>53.359173126614984</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-18.738571638955364</v>
      </c>
      <c r="Y87" s="325" t="str">
        <f t="shared" si="31"/>
        <v>相場上昇・見送り | 上昇トレンド▲ MACD- RSI:53.4 前日比:+5.2% [安値圏] [7点]</v>
      </c>
      <c r="Z87" s="331">
        <f t="shared" si="32"/>
        <v>5.203565405926283</v>
      </c>
      <c r="AA87" s="325" t="str">
        <f t="shared" si="33"/>
        <v>上昇▲</v>
      </c>
      <c r="AB87" s="326">
        <f>IF(OR(C87="",C87="TOPX",終値!E9=""),"",IFERROR(((終値!E9*0.333)+(終値!F9*0.222)+(終値!G9*0.148)+(終値!H9*0.099)+(終値!I9*0.066))/(0.333+0.222+0.148+0.099+0.066),""))</f>
        <v>4119.2062211981565</v>
      </c>
      <c r="AC87" s="326">
        <f>IF(OR(C87="",C87="TOPX",終値!E9=""),"",IFERROR(SUMPRODUCT((終値!E9:AC9),{0.077,0.071,0.065,0.06,0.055,0.051,0.047,0.043,0.039,0.036,0.033,0.031,0.028,0.026,0.024,0.022,0.02,0.018,0.017,0.016,0.014,0.013,0.012,0.011,0.01})/SUM({0.077,0.071,0.065,0.06,0.055,0.051,0.047,0.043,0.039,0.036,0.033,0.031,0.028,0.026,0.024,0.022,0.02,0.018,0.017,0.016,0.014,0.013,0.012,0.011,0.01}),""))</f>
        <v>4154.6483909415965</v>
      </c>
      <c r="AD87" s="325" t="str">
        <f t="shared" si="34"/>
        <v>上昇トレンド▲</v>
      </c>
      <c r="AE87" s="325" t="str">
        <f t="shared" si="35"/>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 t="shared" si="36"/>
        <v>7</v>
      </c>
      <c r="AH87">
        <f t="shared" si="37"/>
        <v>69913</v>
      </c>
      <c r="AI87" s="373">
        <f t="array" ref="AI87">IF(C87="","",IFERROR((INDEX(終値!$E:$E,MATCH(TEXT(C87,"0"),終値!$A:$A,0))-INDEX(終値!$E:$CZ,MATCH(TEXT(C87,"0"),終値!$A:$A,0),$AN$2))/INDEX(終値!$E:$CZ,MATCH(TEXT(C87,"0"),終値!$A:$A,0),$AN$2)*100,""))</f>
        <v>-4.1184636742248957</v>
      </c>
      <c r="AJ87" s="373">
        <f t="array" ref="AJ87">IFERROR((終値!$E$5-INDEX(終値!$E$5:$CZ$5,1,$AN$2))/INDEX(終値!$E$5:$CZ$5,1,$AN$2)*100,"")</f>
        <v>-0.82558151178043282</v>
      </c>
      <c r="AK87" s="374">
        <f t="shared" si="38"/>
        <v>-3.2928821624444629</v>
      </c>
      <c r="AL87" s="372">
        <f t="shared" si="39"/>
        <v>1</v>
      </c>
      <c r="AO87" s="376" t="str">
        <f t="shared" si="40"/>
        <v>通常</v>
      </c>
      <c r="AP87" s="377">
        <f t="shared" si="41"/>
        <v>0</v>
      </c>
      <c r="AQ87">
        <f>IF(C87&lt;&gt;"",始値!F9,"")</f>
        <v>4053</v>
      </c>
      <c r="AR87">
        <f>IF(C87&lt;&gt;"",高値!F9,"")</f>
        <v>4193</v>
      </c>
      <c r="AS87">
        <f>IF(C87&lt;&gt;"",安値!F9,"")</f>
        <v>3970</v>
      </c>
      <c r="AT87" t="str">
        <f t="shared" si="42"/>
        <v>通常</v>
      </c>
      <c r="AU87">
        <f t="shared" si="43"/>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3762</v>
      </c>
      <c r="F88" s="333">
        <f>IF(C88&lt;&gt;"",_xll.RssMarket(C88,"始値"),"")</f>
        <v>3790</v>
      </c>
      <c r="G88" s="212">
        <f>IF(C88&lt;&gt;"",終値!F15,"")</f>
        <v>3836</v>
      </c>
      <c r="H88" s="333">
        <f>IF(C88&lt;&gt;"",_xll.RssMarket(C88,"高値"),"")</f>
        <v>3828</v>
      </c>
      <c r="I88" s="333">
        <f>IF(C88&lt;&gt;"",_xll.RssMarket(C88,"安値"),"")</f>
        <v>3755</v>
      </c>
      <c r="J88" s="333">
        <f>IF(C88&lt;&gt;"",_xll.RssMarket(C88,"出来高"),"")</f>
        <v>167200</v>
      </c>
      <c r="K88" s="333">
        <f>IF(C88&lt;&gt;"",_xll.RssMarket(C88,"年初来高値"),"")</f>
        <v>5034</v>
      </c>
      <c r="L88" s="334">
        <f t="shared" si="22"/>
        <v>-25.268176400476762</v>
      </c>
      <c r="M88" s="333">
        <f>IF(C88&lt;&gt;"",IFERROR(AVERAGE(出来高!E15:I15),""),"")</f>
        <v>591960</v>
      </c>
      <c r="N88" s="333">
        <f>IF(C88&lt;&gt;"",IFERROR(AVERAGE(出来高!E15:AC15),""),"")</f>
        <v>628300</v>
      </c>
      <c r="O88" s="335">
        <f t="shared" si="23"/>
        <v>0.28245151699439153</v>
      </c>
      <c r="P88" s="212" t="str">
        <f t="shared" si="24"/>
        <v>減少↓</v>
      </c>
      <c r="Q88" s="212" t="str">
        <f t="shared" si="25"/>
        <v>中立→</v>
      </c>
      <c r="R88" s="333">
        <f t="shared" si="26"/>
        <v>3461</v>
      </c>
      <c r="S88" s="333">
        <f t="shared" si="27"/>
        <v>3912</v>
      </c>
      <c r="T88" s="325">
        <f t="shared" si="28"/>
        <v>8</v>
      </c>
      <c r="U88" s="212" t="str">
        <f t="shared" si="29"/>
        <v>要確認</v>
      </c>
      <c r="V88" s="212" t="str">
        <f t="shared" si="30"/>
        <v>安値圏</v>
      </c>
      <c r="W88" s="336">
        <f t="array" ref="W88">IFERROR(100-100/(1+SUMPRODUCT((終値!F15:R15&gt;終値!G15:S15)*(終値!F15:R15-終値!G15:S15))/SUMPRODUCT((終値!F15:R15&lt;終値!G15:S15)*(終値!G15:S15-終値!F15:R15))),50)</f>
        <v>49.261083743842363</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6.3507934675749311</v>
      </c>
      <c r="Y88" s="212" t="str">
        <f t="shared" si="31"/>
        <v>相場上昇・見送り | 下降トレンド▼ MACD+ RSI:49.3 前日比:-1.9% [安値圏]前日[大陰線▼] [8点]</v>
      </c>
      <c r="Z88" s="338">
        <f t="shared" si="32"/>
        <v>-1.9290928050052139</v>
      </c>
      <c r="AA88" s="212" t="str">
        <f t="shared" si="33"/>
        <v>下落▼</v>
      </c>
      <c r="AB88" s="333">
        <f>IF(OR(C88="",C88="TOPX",終値!E15=""),"",IFERROR(((終値!E15*0.333)+(終値!F15*0.222)+(終値!G15*0.148)+(終値!H15*0.099)+(終値!I15*0.066))/(0.333+0.222+0.148+0.099+0.066),""))</f>
        <v>3870.9470046082943</v>
      </c>
      <c r="AC88" s="333">
        <f>IF(OR(C88="",C88="TOPX",終値!E15=""),"",IFERROR(SUMPRODUCT((終値!E15:AC15),{0.077,0.071,0.065,0.06,0.055,0.051,0.047,0.043,0.039,0.036,0.033,0.031,0.028,0.026,0.024,0.022,0.02,0.018,0.017,0.016,0.014,0.013,0.012,0.011,0.01})/SUM({0.077,0.071,0.065,0.06,0.055,0.051,0.047,0.043,0.039,0.036,0.033,0.031,0.028,0.026,0.024,0.022,0.02,0.018,0.017,0.016,0.014,0.013,0.012,0.011,0.01}),""))</f>
        <v>3906.7640047675791</v>
      </c>
      <c r="AD88" s="212" t="str">
        <f t="shared" si="34"/>
        <v>下降トレンド▼</v>
      </c>
      <c r="AE88" s="212" t="str">
        <f t="shared" si="35"/>
        <v>なし</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相場上昇・見送り</v>
      </c>
      <c r="AG88">
        <f t="shared" si="36"/>
        <v>8</v>
      </c>
      <c r="AH88">
        <f t="shared" si="37"/>
        <v>79912</v>
      </c>
      <c r="AI88" s="373">
        <f t="array" ref="AI88">IF(C88="","",IFERROR((INDEX(終値!$E:$E,MATCH(TEXT(C88,"0"),終値!$A:$A,0))-INDEX(終値!$E:$CZ,MATCH(TEXT(C88,"0"),終値!$A:$A,0),$AN$2))/INDEX(終値!$E:$CZ,MATCH(TEXT(C88,"0"),終値!$A:$A,0),$AN$2)*100,""))</f>
        <v>0.29139072847682118</v>
      </c>
      <c r="AJ88" s="373">
        <f t="array" ref="AJ88">IFERROR((終値!$E$5-INDEX(終値!$E$5:$CZ$5,1,$AN$2))/INDEX(終値!$E$5:$CZ$5,1,$AN$2)*100,"")</f>
        <v>-0.82558151178043282</v>
      </c>
      <c r="AK88" s="374">
        <f t="shared" si="38"/>
        <v>1.1169722402572539</v>
      </c>
      <c r="AL88" s="372">
        <f t="shared" si="39"/>
        <v>-1</v>
      </c>
      <c r="AO88" s="376" t="str">
        <f t="shared" si="40"/>
        <v>通常</v>
      </c>
      <c r="AP88" s="377">
        <f t="shared" si="41"/>
        <v>0</v>
      </c>
      <c r="AQ88">
        <f>IF(C88&lt;&gt;"",始値!F15,"")</f>
        <v>3964</v>
      </c>
      <c r="AR88">
        <f>IF(C88&lt;&gt;"",高値!F15,"")</f>
        <v>3966</v>
      </c>
      <c r="AS88">
        <f>IF(C88&lt;&gt;"",安値!F15,"")</f>
        <v>3802</v>
      </c>
      <c r="AT88" t="str">
        <f t="shared" si="42"/>
        <v>大陰線▼</v>
      </c>
      <c r="AU88">
        <f t="shared" si="43"/>
        <v>2</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4671</v>
      </c>
      <c r="F89" s="326">
        <f>IF(C89&lt;&gt;"",_xll.RssMarket(C89,"始値"),"")</f>
        <v>4694</v>
      </c>
      <c r="G89" s="325">
        <f>IF(C89&lt;&gt;"",終値!F16,"")</f>
        <v>4787</v>
      </c>
      <c r="H89" s="326">
        <f>IF(C89&lt;&gt;"",_xll.RssMarket(C89,"高値"),"")</f>
        <v>4744</v>
      </c>
      <c r="I89" s="326">
        <f>IF(C89&lt;&gt;"",_xll.RssMarket(C89,"安値"),"")</f>
        <v>4643</v>
      </c>
      <c r="J89" s="326">
        <f>IF(C89&lt;&gt;"",_xll.RssMarket(C89,"出来高"),"")</f>
        <v>4566800</v>
      </c>
      <c r="K89" s="326">
        <f>IF(C89&lt;&gt;"",_xll.RssMarket(C89,"年初来高値"),"")</f>
        <v>6012</v>
      </c>
      <c r="L89" s="327">
        <f t="shared" si="22"/>
        <v>-22.305389221556887</v>
      </c>
      <c r="M89" s="326">
        <f>IF(C89&lt;&gt;"",IFERROR(AVERAGE(出来高!E16:I16),""),"")</f>
        <v>10090300</v>
      </c>
      <c r="N89" s="326">
        <f>IF(C89&lt;&gt;"",IFERROR(AVERAGE(出来高!E16:AC16),""),"")</f>
        <v>8617392</v>
      </c>
      <c r="O89" s="328">
        <f t="shared" si="23"/>
        <v>0.45259308444743962</v>
      </c>
      <c r="P89" s="325" t="str">
        <f t="shared" si="24"/>
        <v>減少↓</v>
      </c>
      <c r="Q89" s="325" t="str">
        <f t="shared" si="25"/>
        <v>中立→</v>
      </c>
      <c r="R89" s="326">
        <f t="shared" si="26"/>
        <v>4297</v>
      </c>
      <c r="S89" s="326">
        <f t="shared" si="27"/>
        <v>4858</v>
      </c>
      <c r="T89" s="325">
        <f t="shared" si="28"/>
        <v>5</v>
      </c>
      <c r="U89" s="325" t="str">
        <f t="shared" si="29"/>
        <v>要確認</v>
      </c>
      <c r="V89" s="325" t="str">
        <f t="shared" si="30"/>
        <v>通常</v>
      </c>
      <c r="W89" s="329">
        <f t="array" ref="W89">IFERROR(100-100/(1+SUMPRODUCT((終値!F16:R16&gt;終値!G16:S16)*(終値!F16:R16-終値!G16:S16))/SUMPRODUCT((終値!F16:R16&lt;終値!G16:S16)*(終値!G16:S16-終値!F16:R16))),50)</f>
        <v>67.472306143001006</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51.484900831478626</v>
      </c>
      <c r="Y89" s="325" t="str">
        <f t="shared" si="31"/>
        <v>○逆張り売り | もみ合い→ 25日戻り売り★ MACD+ RSI:67.5 前日比:-2.4% [5点]</v>
      </c>
      <c r="Z89" s="331">
        <f t="shared" si="32"/>
        <v>-2.4232295801128054</v>
      </c>
      <c r="AA89" s="325" t="str">
        <f t="shared" si="33"/>
        <v>下落▼</v>
      </c>
      <c r="AB89" s="326">
        <f>IF(OR(C89="",C89="TOPX",終値!E16=""),"",IFERROR(((終値!E16*0.333)+(終値!F16*0.222)+(終値!G16*0.148)+(終値!H16*0.099)+(終値!I16*0.066))/(0.333+0.222+0.148+0.099+0.066),""))</f>
        <v>4767.6186635944687</v>
      </c>
      <c r="AC89" s="326">
        <f>IF(OR(C89="",C89="TOPX",終値!E16=""),"",IFERROR(SUMPRODUCT((終値!E16:AC16),{0.077,0.071,0.065,0.06,0.055,0.051,0.047,0.043,0.039,0.036,0.033,0.031,0.028,0.026,0.024,0.022,0.02,0.018,0.017,0.016,0.014,0.013,0.012,0.011,0.01})/SUM({0.077,0.071,0.065,0.06,0.055,0.051,0.047,0.043,0.039,0.036,0.033,0.031,0.028,0.026,0.024,0.022,0.02,0.018,0.017,0.016,0.014,0.013,0.012,0.011,0.01}),""))</f>
        <v>4694.4386174016672</v>
      </c>
      <c r="AD89" s="325" t="str">
        <f t="shared" si="34"/>
        <v>もみ合い→</v>
      </c>
      <c r="AE89" s="325" t="str">
        <f t="shared" si="35"/>
        <v>25日戻り売り★</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○逆張り売り</v>
      </c>
      <c r="AG89">
        <f t="shared" si="36"/>
        <v>0</v>
      </c>
      <c r="AH89">
        <f t="shared" si="37"/>
        <v>0</v>
      </c>
      <c r="AI89" s="373">
        <f t="array" ref="AI89">IF(C89="","",IFERROR((INDEX(終値!$E:$E,MATCH(TEXT(C89,"0"),終値!$A:$A,0))-INDEX(終値!$E:$CZ,MATCH(TEXT(C89,"0"),終値!$A:$A,0),$AN$2))/INDEX(終値!$E:$CZ,MATCH(TEXT(C89,"0"),終値!$A:$A,0),$AN$2)*100,""))</f>
        <v>7.3402809243316716</v>
      </c>
      <c r="AJ89" s="373">
        <f t="array" ref="AJ89">IFERROR((終値!$E$5-INDEX(終値!$E$5:$CZ$5,1,$AN$2))/INDEX(終値!$E$5:$CZ$5,1,$AN$2)*100,"")</f>
        <v>-0.82558151178043282</v>
      </c>
      <c r="AK89" s="374">
        <f t="shared" si="38"/>
        <v>8.1658624361121035</v>
      </c>
      <c r="AL89" s="372">
        <f t="shared" si="39"/>
        <v>-2</v>
      </c>
      <c r="AO89" s="376" t="str">
        <f t="shared" si="40"/>
        <v>通常</v>
      </c>
      <c r="AP89" s="377">
        <f t="shared" si="41"/>
        <v>0</v>
      </c>
      <c r="AQ89">
        <f>IF(C89&lt;&gt;"",始値!F16,"")</f>
        <v>4791</v>
      </c>
      <c r="AR89">
        <f>IF(C89&lt;&gt;"",高値!F16,"")</f>
        <v>4850</v>
      </c>
      <c r="AS89">
        <f>IF(C89&lt;&gt;"",安値!F16,"")</f>
        <v>4581</v>
      </c>
      <c r="AT89" t="str">
        <f t="shared" si="42"/>
        <v>通常</v>
      </c>
      <c r="AU89">
        <f t="shared" si="43"/>
        <v>0</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2529</v>
      </c>
      <c r="F90" s="333">
        <f>IF(C90&lt;&gt;"",_xll.RssMarket(C90,"始値"),"")</f>
        <v>2495</v>
      </c>
      <c r="G90" s="212">
        <f>IF(C90&lt;&gt;"",終値!F20,"")</f>
        <v>2430</v>
      </c>
      <c r="H90" s="333">
        <f>IF(C90&lt;&gt;"",_xll.RssMarket(C90,"高値"),"")</f>
        <v>2558</v>
      </c>
      <c r="I90" s="333">
        <f>IF(C90&lt;&gt;"",_xll.RssMarket(C90,"安値"),"")</f>
        <v>2485</v>
      </c>
      <c r="J90" s="333">
        <f>IF(C90&lt;&gt;"",_xll.RssMarket(C90,"出来高"),"")</f>
        <v>299800</v>
      </c>
      <c r="K90" s="333">
        <f>IF(C90&lt;&gt;"",_xll.RssMarket(C90,"年初来高値"),"")</f>
        <v>3865</v>
      </c>
      <c r="L90" s="334">
        <f t="shared" si="22"/>
        <v>-34.566623544631305</v>
      </c>
      <c r="M90" s="333">
        <f>IF(C90&lt;&gt;"",IFERROR(AVERAGE(出来高!E20:I20),""),"")</f>
        <v>244060</v>
      </c>
      <c r="N90" s="333">
        <f>IF(C90&lt;&gt;"",IFERROR(AVERAGE(出来高!E20:AC20),""),"")</f>
        <v>208208.33333333334</v>
      </c>
      <c r="O90" s="335">
        <f t="shared" si="23"/>
        <v>1.2283864623453249</v>
      </c>
      <c r="P90" s="212" t="str">
        <f t="shared" si="24"/>
        <v>普通→</v>
      </c>
      <c r="Q90" s="212" t="str">
        <f t="shared" si="25"/>
        <v>様子見▲</v>
      </c>
      <c r="R90" s="333">
        <f t="shared" si="26"/>
        <v>2327</v>
      </c>
      <c r="S90" s="333">
        <f t="shared" si="27"/>
        <v>2630</v>
      </c>
      <c r="T90" s="325">
        <f t="shared" si="28"/>
        <v>3</v>
      </c>
      <c r="U90" s="212" t="str">
        <f t="shared" si="29"/>
        <v>要確認</v>
      </c>
      <c r="V90" s="212" t="str">
        <f t="shared" si="30"/>
        <v>安値圏</v>
      </c>
      <c r="W90" s="336">
        <f t="array" ref="W90">IFERROR(100-100/(1+SUMPRODUCT((終値!F20:R20&gt;終値!G20:S20)*(終値!F20:R20-終値!G20:S20))/SUMPRODUCT((終値!F20:R20&lt;終値!G20:S20)*(終値!G20:S20-終値!F20:R20))),50)</f>
        <v>51.782548749261373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9.2872901898203963</v>
      </c>
      <c r="Y90" s="212" t="str">
        <f t="shared" si="31"/>
        <v>相場上昇・見送り | パーフェクト▲ MACD+ RSI:51.8 前日比:+4.1% [安値圏] [3点]</v>
      </c>
      <c r="Z90" s="338">
        <f t="shared" si="32"/>
        <v>4.0740740740740744</v>
      </c>
      <c r="AA90" s="212" t="str">
        <f t="shared" si="33"/>
        <v>上昇▲</v>
      </c>
      <c r="AB90" s="333">
        <f>IF(OR(C90="",C90="TOPX",終値!E20=""),"",IFERROR(((終値!E20*0.333)+(終値!F20*0.222)+(終値!G20*0.148)+(終値!H20*0.099)+(終値!I20*0.066))/(0.333+0.222+0.148+0.099+0.066),""))</f>
        <v>2449.7557603686632</v>
      </c>
      <c r="AC90" s="333">
        <f>IF(OR(C90="",C90="TOPX",終値!E20=""),"",IFERROR(SUMPRODUCT((終値!E20:AC20),{0.077,0.071,0.065,0.06,0.055,0.051,0.047,0.043,0.039,0.036,0.033,0.031,0.028,0.026,0.024,0.022,0.02,0.018,0.017,0.016,0.014,0.013,0.012,0.011,0.01})/SUM({0.077,0.071,0.065,0.06,0.055,0.051,0.047,0.043,0.039,0.036,0.033,0.031,0.028,0.026,0.024,0.022,0.02,0.018,0.017,0.016,0.014,0.013,0.012,0.011,0.01}),""))</f>
        <v>2231.9761620977351</v>
      </c>
      <c r="AD90" s="212" t="str">
        <f t="shared" si="34"/>
        <v>パーフェクト▲</v>
      </c>
      <c r="AE90" s="212" t="str">
        <f t="shared" si="35"/>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 t="shared" si="36"/>
        <v>0</v>
      </c>
      <c r="AH90">
        <f t="shared" si="37"/>
        <v>0</v>
      </c>
      <c r="AI90" s="373">
        <f t="array" ref="AI90">IF(C90="","",IFERROR((INDEX(終値!$E:$E,MATCH(TEXT(C90,"0"),終値!$A:$A,0))-INDEX(終値!$E:$CZ,MATCH(TEXT(C90,"0"),終値!$A:$A,0),$AN$2))/INDEX(終値!$E:$CZ,MATCH(TEXT(C90,"0"),終値!$A:$A,0),$AN$2)*100,""))</f>
        <v>15.577190542420027</v>
      </c>
      <c r="AJ90" s="373">
        <f t="array" ref="AJ90">IFERROR((終値!$E$5-INDEX(終値!$E$5:$CZ$5,1,$AN$2))/INDEX(終値!$E$5:$CZ$5,1,$AN$2)*100,"")</f>
        <v>-0.82558151178043282</v>
      </c>
      <c r="AK90" s="374">
        <f t="shared" si="38"/>
        <v>16.402772054200462</v>
      </c>
      <c r="AL90" s="372">
        <f t="shared" si="39"/>
        <v>-2</v>
      </c>
      <c r="AO90" s="376" t="str">
        <f t="shared" si="40"/>
        <v>通常</v>
      </c>
      <c r="AP90" s="377">
        <f t="shared" si="41"/>
        <v>0</v>
      </c>
      <c r="AQ90">
        <f>IF(C90&lt;&gt;"",始値!F20,"")</f>
        <v>2481</v>
      </c>
      <c r="AR90">
        <f>IF(C90&lt;&gt;"",高値!F20,"")</f>
        <v>2498</v>
      </c>
      <c r="AS90">
        <f>IF(C90&lt;&gt;"",安値!F20,"")</f>
        <v>2398</v>
      </c>
      <c r="AT90" t="str">
        <f t="shared" si="42"/>
        <v>通常</v>
      </c>
      <c r="AU90">
        <f t="shared" si="43"/>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5022</v>
      </c>
      <c r="F91" s="326">
        <f>IF(C91&lt;&gt;"",_xll.RssMarket(C91,"始値"),"")</f>
        <v>5020</v>
      </c>
      <c r="G91" s="325">
        <f>IF(C91&lt;&gt;"",終値!F23,"")</f>
        <v>4969</v>
      </c>
      <c r="H91" s="326">
        <f>IF(C91&lt;&gt;"",_xll.RssMarket(C91,"高値"),"")</f>
        <v>5040</v>
      </c>
      <c r="I91" s="326">
        <f>IF(C91&lt;&gt;"",_xll.RssMarket(C91,"安値"),"")</f>
        <v>4973</v>
      </c>
      <c r="J91" s="326">
        <f>IF(C91&lt;&gt;"",_xll.RssMarket(C91,"出来高"),"")</f>
        <v>581000</v>
      </c>
      <c r="K91" s="326">
        <f>IF(C91&lt;&gt;"",_xll.RssMarket(C91,"年初来高値"),"")</f>
        <v>5176</v>
      </c>
      <c r="L91" s="327">
        <f t="shared" si="22"/>
        <v>-2.9752704791344669</v>
      </c>
      <c r="M91" s="326">
        <f>IF(C91&lt;&gt;"",IFERROR(AVERAGE(出来高!E23:I23),""),"")</f>
        <v>1510160</v>
      </c>
      <c r="N91" s="326">
        <f>IF(C91&lt;&gt;"",IFERROR(AVERAGE(出来高!E23:AC23),""),"")</f>
        <v>1682983.3333333333</v>
      </c>
      <c r="O91" s="328">
        <f t="shared" si="23"/>
        <v>0.38472744609842668</v>
      </c>
      <c r="P91" s="325" t="str">
        <f t="shared" si="24"/>
        <v>減少↓</v>
      </c>
      <c r="Q91" s="325" t="str">
        <f t="shared" si="25"/>
        <v>様子見▲</v>
      </c>
      <c r="R91" s="326">
        <f t="shared" si="26"/>
        <v>4620</v>
      </c>
      <c r="S91" s="326">
        <f t="shared" si="27"/>
        <v>5223</v>
      </c>
      <c r="T91" s="325">
        <f t="shared" si="28"/>
        <v>-1</v>
      </c>
      <c r="U91" s="325" t="str">
        <f t="shared" si="29"/>
        <v>除外</v>
      </c>
      <c r="V91" s="325" t="str">
        <f t="shared" si="30"/>
        <v>通常</v>
      </c>
      <c r="W91" s="329">
        <f t="array" ref="W91">IFERROR(100-100/(1+SUMPRODUCT((終値!F23:R23&gt;終値!G23:S23)*(終値!F23:R23-終値!G23:S23))/SUMPRODUCT((終値!F23:R23&lt;終値!G23:S23)*(終値!G23:S23-終値!F23:R23))),50)</f>
        <v>50.180823851106993</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-20.865460776391956</v>
      </c>
      <c r="Y91" s="325" t="str">
        <f t="shared" si="31"/>
        <v>相場上昇・見送り | パーフェクト▲ MACD- RSI:50.2 前日比:+1.1%前日[長い下ヒゲ(反発)] [-1点]</v>
      </c>
      <c r="Z91" s="331">
        <f t="shared" si="32"/>
        <v>1.0666130006037433</v>
      </c>
      <c r="AA91" s="325" t="str">
        <f t="shared" si="33"/>
        <v>上昇▲</v>
      </c>
      <c r="AB91" s="326">
        <f>IF(OR(C91="",C91="TOPX",終値!E23=""),"",IFERROR(((終値!E23*0.333)+(終値!F23*0.222)+(終値!G23*0.148)+(終値!H23*0.099)+(終値!I23*0.066))/(0.333+0.222+0.148+0.099+0.066),""))</f>
        <v>5003.5472350230402</v>
      </c>
      <c r="AC91" s="326">
        <f>IF(OR(C91="",C91="TOPX",終値!E23=""),"",IFERROR(SUMPRODUCT((終値!E23:AC23),{0.077,0.071,0.065,0.06,0.055,0.051,0.047,0.043,0.039,0.036,0.033,0.031,0.028,0.026,0.024,0.022,0.02,0.018,0.017,0.016,0.014,0.013,0.012,0.011,0.01})/SUM({0.077,0.071,0.065,0.06,0.055,0.051,0.047,0.043,0.039,0.036,0.033,0.031,0.028,0.026,0.024,0.022,0.02,0.018,0.017,0.016,0.014,0.013,0.012,0.011,0.01}),""))</f>
        <v>4743.0131108462447</v>
      </c>
      <c r="AD91" s="325" t="str">
        <f t="shared" si="34"/>
        <v>パーフェクト▲</v>
      </c>
      <c r="AE91" s="325" t="str">
        <f t="shared" si="35"/>
        <v>なし</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 t="shared" si="36"/>
        <v>0</v>
      </c>
      <c r="AH91">
        <f t="shared" si="37"/>
        <v>0</v>
      </c>
      <c r="AI91" s="373">
        <f t="array" ref="AI91">IF(C91="","",IFERROR((INDEX(終値!$E:$E,MATCH(TEXT(C91,"0"),終値!$A:$A,0))-INDEX(終値!$E:$CZ,MATCH(TEXT(C91,"0"),終値!$A:$A,0),$AN$2))/INDEX(終値!$E:$CZ,MATCH(TEXT(C91,"0"),終値!$A:$A,0),$AN$2)*100,""))</f>
        <v>6.1752136752136755</v>
      </c>
      <c r="AJ91" s="373">
        <f t="array" ref="AJ91">IFERROR((終値!$E$5-INDEX(終値!$E$5:$CZ$5,1,$AN$2))/INDEX(終値!$E$5:$CZ$5,1,$AN$2)*100,"")</f>
        <v>-0.82558151178043282</v>
      </c>
      <c r="AK91" s="374">
        <f t="shared" si="38"/>
        <v>7.0007951869941083</v>
      </c>
      <c r="AL91" s="372">
        <f t="shared" si="39"/>
        <v>-2</v>
      </c>
      <c r="AO91" s="376" t="str">
        <f t="shared" si="40"/>
        <v>通常</v>
      </c>
      <c r="AP91" s="377">
        <f t="shared" si="41"/>
        <v>0</v>
      </c>
      <c r="AQ91">
        <f>IF(C91&lt;&gt;"",始値!F23,"")</f>
        <v>5020</v>
      </c>
      <c r="AR91">
        <f>IF(C91&lt;&gt;"",高値!F23,"")</f>
        <v>5047</v>
      </c>
      <c r="AS91">
        <f>IF(C91&lt;&gt;"",安値!F23,"")</f>
        <v>4868</v>
      </c>
      <c r="AT91" t="str">
        <f t="shared" si="42"/>
        <v>長い下ヒゲ(反発)</v>
      </c>
      <c r="AU91">
        <f t="shared" si="43"/>
        <v>-2</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2270.5</v>
      </c>
      <c r="F92" s="333">
        <f>IF(C92&lt;&gt;"",_xll.RssMarket(C92,"始値"),"")</f>
        <v>2208</v>
      </c>
      <c r="G92" s="212">
        <f>IF(C92&lt;&gt;"",終値!F35,"")</f>
        <v>2246.5</v>
      </c>
      <c r="H92" s="333">
        <f>IF(C92&lt;&gt;"",_xll.RssMarket(C92,"高値"),"")</f>
        <v>2271</v>
      </c>
      <c r="I92" s="333">
        <f>IF(C92&lt;&gt;"",_xll.RssMarket(C92,"安値"),"")</f>
        <v>2183.5</v>
      </c>
      <c r="J92" s="333">
        <f>IF(C92&lt;&gt;"",_xll.RssMarket(C92,"出来高"),"")</f>
        <v>6488700</v>
      </c>
      <c r="K92" s="333">
        <f>IF(C92&lt;&gt;"",_xll.RssMarket(C92,"年初来高値"),"")</f>
        <v>2420.5</v>
      </c>
      <c r="L92" s="334">
        <f t="shared" si="22"/>
        <v>-6.1970667217517041</v>
      </c>
      <c r="M92" s="333">
        <f>IF(C92&lt;&gt;"",IFERROR(AVERAGE(出来高!E35:I35),""),"")</f>
        <v>14711280</v>
      </c>
      <c r="N92" s="333">
        <f>IF(C92&lt;&gt;"",IFERROR(AVERAGE(出来高!E35:AC35),""),"")</f>
        <v>10169524</v>
      </c>
      <c r="O92" s="335">
        <f t="shared" si="23"/>
        <v>0.44106970977372467</v>
      </c>
      <c r="P92" s="212" t="str">
        <f t="shared" si="24"/>
        <v>減少↓</v>
      </c>
      <c r="Q92" s="212" t="str">
        <f t="shared" si="25"/>
        <v>様子見▲</v>
      </c>
      <c r="R92" s="333">
        <f t="shared" si="26"/>
        <v>2089</v>
      </c>
      <c r="S92" s="333">
        <f t="shared" si="27"/>
        <v>2361</v>
      </c>
      <c r="T92" s="325">
        <f t="shared" si="28"/>
        <v>3</v>
      </c>
      <c r="U92" s="212" t="str">
        <f t="shared" si="29"/>
        <v>要確認</v>
      </c>
      <c r="V92" s="212" t="str">
        <f t="shared" si="30"/>
        <v>通常</v>
      </c>
      <c r="W92" s="336">
        <f t="array" ref="W92">IFERROR(100-100/(1+SUMPRODUCT((終値!F35:R35&gt;終値!G35:S35)*(終値!F35:R35-終値!G35:S35))/SUMPRODUCT((終値!F35:R35&lt;終値!G35:S35)*(終値!G35:S35-終値!F35:R35))),50)</f>
        <v>40.720000000000006</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-11.892902773851802</v>
      </c>
      <c r="Y92" s="212" t="str">
        <f t="shared" si="31"/>
        <v>○逆張り売り | もみ合い→ 25日戻り売り★ MACD- RSI:40.7 前日比:+1.1% [3点]</v>
      </c>
      <c r="Z92" s="338">
        <f t="shared" si="32"/>
        <v>1.0683285110171379</v>
      </c>
      <c r="AA92" s="212" t="str">
        <f t="shared" si="33"/>
        <v>上昇▲</v>
      </c>
      <c r="AB92" s="333">
        <f>IF(OR(C92="",C92="TOPX",終値!E35=""),"",IFERROR(((終値!E35*0.333)+(終値!F35*0.222)+(終値!G35*0.148)+(終値!H35*0.099)+(終値!I35*0.066))/(0.333+0.222+0.148+0.099+0.066),""))</f>
        <v>2208.1330645161288</v>
      </c>
      <c r="AC92" s="333">
        <f>IF(OR(C92="",C92="TOPX",終値!E35=""),"",IFERROR(SUMPRODUCT((終値!E35:AC35),{0.077,0.071,0.065,0.06,0.055,0.051,0.047,0.043,0.039,0.036,0.033,0.031,0.028,0.026,0.024,0.022,0.02,0.018,0.017,0.016,0.014,0.013,0.012,0.011,0.01})/SUM({0.077,0.071,0.065,0.06,0.055,0.051,0.047,0.043,0.039,0.036,0.033,0.031,0.028,0.026,0.024,0.022,0.02,0.018,0.017,0.016,0.014,0.013,0.012,0.011,0.01}),""))</f>
        <v>2271.7002383790218</v>
      </c>
      <c r="AD92" s="212" t="str">
        <f t="shared" si="34"/>
        <v>もみ合い→</v>
      </c>
      <c r="AE92" s="212" t="str">
        <f t="shared" si="35"/>
        <v>25日戻り売り★</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○逆張り売り</v>
      </c>
      <c r="AG92">
        <f t="shared" si="36"/>
        <v>0</v>
      </c>
      <c r="AH92">
        <f t="shared" si="37"/>
        <v>0</v>
      </c>
      <c r="AI92" s="373">
        <f t="array" ref="AI92">IF(C92="","",IFERROR((INDEX(終値!$E:$E,MATCH(TEXT(C92,"0"),終値!$A:$A,0))-INDEX(終値!$E:$CZ,MATCH(TEXT(C92,"0"),終値!$A:$A,0),$AN$2))/INDEX(終値!$E:$CZ,MATCH(TEXT(C92,"0"),終値!$A:$A,0),$AN$2)*100,""))</f>
        <v>4.1339985744832504</v>
      </c>
      <c r="AJ92" s="373">
        <f t="array" ref="AJ92">IFERROR((終値!$E$5-INDEX(終値!$E$5:$CZ$5,1,$AN$2))/INDEX(終値!$E$5:$CZ$5,1,$AN$2)*100,"")</f>
        <v>-0.82558151178043282</v>
      </c>
      <c r="AK92" s="374">
        <f t="shared" si="38"/>
        <v>4.9595800862636832</v>
      </c>
      <c r="AL92" s="372">
        <f t="shared" si="39"/>
        <v>-2</v>
      </c>
      <c r="AO92" s="376" t="str">
        <f t="shared" si="40"/>
        <v>通常</v>
      </c>
      <c r="AP92" s="377">
        <f t="shared" si="41"/>
        <v>0</v>
      </c>
      <c r="AQ92">
        <f>IF(C92&lt;&gt;"",始値!F35,"")</f>
        <v>2180</v>
      </c>
      <c r="AR92">
        <f>IF(C92&lt;&gt;"",高値!F35,"")</f>
        <v>2276.5</v>
      </c>
      <c r="AS92">
        <f>IF(C92&lt;&gt;"",安値!F35,"")</f>
        <v>2166.5</v>
      </c>
      <c r="AT92" t="str">
        <f t="shared" si="42"/>
        <v>通常</v>
      </c>
      <c r="AU92">
        <f t="shared" si="43"/>
        <v>0</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1748</v>
      </c>
      <c r="F93" s="326">
        <f>IF(C93&lt;&gt;"",_xll.RssMarket(C93,"始値"),"")</f>
        <v>1720</v>
      </c>
      <c r="G93" s="325">
        <f>IF(C93&lt;&gt;"",終値!F36,"")</f>
        <v>1719</v>
      </c>
      <c r="H93" s="326">
        <f>IF(C93&lt;&gt;"",_xll.RssMarket(C93,"高値"),"")</f>
        <v>1753</v>
      </c>
      <c r="I93" s="326">
        <f>IF(C93&lt;&gt;"",_xll.RssMarket(C93,"安値"),"")</f>
        <v>1719</v>
      </c>
      <c r="J93" s="326">
        <f>IF(C93&lt;&gt;"",_xll.RssMarket(C93,"出来高"),"")</f>
        <v>1391100</v>
      </c>
      <c r="K93" s="326">
        <f>IF(C93&lt;&gt;"",_xll.RssMarket(C93,"年初来高値"),"")</f>
        <v>1943</v>
      </c>
      <c r="L93" s="327">
        <f t="shared" si="22"/>
        <v>-10.036026762738034</v>
      </c>
      <c r="M93" s="326">
        <f>IF(C93&lt;&gt;"",IFERROR(AVERAGE(出来高!E36:I36),""),"")</f>
        <v>3719340</v>
      </c>
      <c r="N93" s="326">
        <f>IF(C93&lt;&gt;"",IFERROR(AVERAGE(出来高!E36:AC36),""),"")</f>
        <v>2345456</v>
      </c>
      <c r="O93" s="328">
        <f t="shared" si="23"/>
        <v>0.37401797093032635</v>
      </c>
      <c r="P93" s="325" t="str">
        <f t="shared" si="24"/>
        <v>減少↓</v>
      </c>
      <c r="Q93" s="325" t="str">
        <f t="shared" si="25"/>
        <v>様子見▲</v>
      </c>
      <c r="R93" s="326">
        <f t="shared" si="26"/>
        <v>1608</v>
      </c>
      <c r="S93" s="326">
        <f t="shared" si="27"/>
        <v>1818</v>
      </c>
      <c r="T93" s="325">
        <f t="shared" si="28"/>
        <v>7</v>
      </c>
      <c r="U93" s="325" t="str">
        <f t="shared" si="29"/>
        <v>要確認</v>
      </c>
      <c r="V93" s="325" t="str">
        <f t="shared" si="30"/>
        <v>通常</v>
      </c>
      <c r="W93" s="329">
        <f t="array" ref="W93">IFERROR(100-100/(1+SUMPRODUCT((終値!F36:R36&gt;終値!G36:S36)*(終値!F36:R36-終値!G36:S36))/SUMPRODUCT((終値!F36:R36&lt;終値!G36:S36)*(終値!G36:S36-終値!F36:R36))),50)</f>
        <v>37.941473259334003</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-9.7146591492557945</v>
      </c>
      <c r="Y93" s="325" t="str">
        <f t="shared" si="31"/>
        <v>★逆張り売り | 下降トレンド▼ 5日戻り売り○ MACD- RSI:37.9 前日比:+1.7% [7点]</v>
      </c>
      <c r="Z93" s="331">
        <f t="shared" si="32"/>
        <v>1.6870273414776031</v>
      </c>
      <c r="AA93" s="325" t="str">
        <f t="shared" si="33"/>
        <v>上昇▲</v>
      </c>
      <c r="AB93" s="326">
        <f>IF(OR(C93="",C93="TOPX",終値!E36=""),"",IFERROR(((終値!E36*0.333)+(終値!F36*0.222)+(終値!G36*0.148)+(終値!H36*0.099)+(終値!I36*0.066))/(0.333+0.222+0.148+0.099+0.066),""))</f>
        <v>1757.2788018433175</v>
      </c>
      <c r="AC93" s="326">
        <f>IF(OR(C93="",C93="TOPX",終値!E36=""),"",IFERROR(SUMPRODUCT((終値!E36:AC36),{0.077,0.071,0.065,0.06,0.055,0.051,0.047,0.043,0.039,0.036,0.033,0.031,0.028,0.026,0.024,0.022,0.02,0.018,0.017,0.016,0.014,0.013,0.012,0.011,0.01})/SUM({0.077,0.071,0.065,0.06,0.055,0.051,0.047,0.043,0.039,0.036,0.033,0.031,0.028,0.026,0.024,0.022,0.02,0.018,0.017,0.016,0.014,0.013,0.012,0.011,0.01}),""))</f>
        <v>1832.2234803337299</v>
      </c>
      <c r="AD93" s="325" t="str">
        <f t="shared" si="34"/>
        <v>下降トレンド▼</v>
      </c>
      <c r="AE93" s="325" t="str">
        <f t="shared" si="35"/>
        <v>5日戻り売り○</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★逆張り売り</v>
      </c>
      <c r="AG93">
        <f t="shared" si="36"/>
        <v>7</v>
      </c>
      <c r="AH93">
        <f t="shared" si="37"/>
        <v>69907</v>
      </c>
      <c r="AI93" s="373">
        <f t="array" ref="AI93">IF(C93="","",IFERROR((INDEX(終値!$E:$E,MATCH(TEXT(C93,"0"),終値!$A:$A,0))-INDEX(終値!$E:$CZ,MATCH(TEXT(C93,"0"),終値!$A:$A,0),$AN$2))/INDEX(終値!$E:$CZ,MATCH(TEXT(C93,"0"),終値!$A:$A,0),$AN$2)*100,""))</f>
        <v>-4.3115438108484003</v>
      </c>
      <c r="AJ93" s="373">
        <f t="array" ref="AJ93">IFERROR((終値!$E$5-INDEX(終値!$E$5:$CZ$5,1,$AN$2))/INDEX(終値!$E$5:$CZ$5,1,$AN$2)*100,"")</f>
        <v>-0.82558151178043282</v>
      </c>
      <c r="AK93" s="374">
        <f t="shared" si="38"/>
        <v>-3.4859622990679675</v>
      </c>
      <c r="AL93" s="372">
        <f t="shared" si="39"/>
        <v>1</v>
      </c>
      <c r="AO93" s="376" t="str">
        <f t="shared" si="40"/>
        <v>通常</v>
      </c>
      <c r="AP93" s="377">
        <f t="shared" si="41"/>
        <v>0</v>
      </c>
      <c r="AQ93">
        <f>IF(C93&lt;&gt;"",始値!F36,"")</f>
        <v>1714.5</v>
      </c>
      <c r="AR93">
        <f>IF(C93&lt;&gt;"",高値!F36,"")</f>
        <v>1735.5</v>
      </c>
      <c r="AS93">
        <f>IF(C93&lt;&gt;"",安値!F36,"")</f>
        <v>1689</v>
      </c>
      <c r="AT93" t="str">
        <f t="shared" si="42"/>
        <v>通常</v>
      </c>
      <c r="AU93">
        <f t="shared" si="43"/>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1548.5</v>
      </c>
      <c r="F94" s="333">
        <f>IF(C94&lt;&gt;"",_xll.RssMarket(C94,"始値"),"")</f>
        <v>1541.5</v>
      </c>
      <c r="G94" s="212">
        <f>IF(C94&lt;&gt;"",終値!F37,"")</f>
        <v>1544</v>
      </c>
      <c r="H94" s="333">
        <f>IF(C94&lt;&gt;"",_xll.RssMarket(C94,"高値"),"")</f>
        <v>1549</v>
      </c>
      <c r="I94" s="333">
        <f>IF(C94&lt;&gt;"",_xll.RssMarket(C94,"安値"),"")</f>
        <v>1528</v>
      </c>
      <c r="J94" s="333">
        <f>IF(C94&lt;&gt;"",_xll.RssMarket(C94,"出来高"),"")</f>
        <v>139100</v>
      </c>
      <c r="K94" s="333">
        <f>IF(C94&lt;&gt;"",_xll.RssMarket(C94,"年初来高値"),"")</f>
        <v>1860</v>
      </c>
      <c r="L94" s="334">
        <f t="shared" si="22"/>
        <v>-16.747311827956992</v>
      </c>
      <c r="M94" s="333">
        <f>IF(C94&lt;&gt;"",IFERROR(AVERAGE(出来高!E37:I37),""),"")</f>
        <v>542320</v>
      </c>
      <c r="N94" s="333">
        <f>IF(C94&lt;&gt;"",IFERROR(AVERAGE(出来高!E37:AC37),""),"")</f>
        <v>524436</v>
      </c>
      <c r="O94" s="335">
        <f t="shared" si="23"/>
        <v>0.25649063283670159</v>
      </c>
      <c r="P94" s="212" t="str">
        <f t="shared" si="24"/>
        <v>減少↓</v>
      </c>
      <c r="Q94" s="212" t="str">
        <f t="shared" si="25"/>
        <v>様子見▲</v>
      </c>
      <c r="R94" s="333">
        <f t="shared" si="26"/>
        <v>1425</v>
      </c>
      <c r="S94" s="333">
        <f t="shared" si="27"/>
        <v>1610</v>
      </c>
      <c r="T94" s="325">
        <f t="shared" si="28"/>
        <v>0</v>
      </c>
      <c r="U94" s="212" t="str">
        <f t="shared" si="29"/>
        <v>除外</v>
      </c>
      <c r="V94" s="212" t="str">
        <f t="shared" si="30"/>
        <v>通常</v>
      </c>
      <c r="W94" s="336">
        <f t="array" ref="W94">IFERROR(100-100/(1+SUMPRODUCT((終値!F37:R37&gt;終値!G37:S37)*(終値!F37:R37-終値!G37:S37))/SUMPRODUCT((終値!F37:R37&lt;終値!G37:S37)*(終値!G37:S37-終値!F37:R37))),50)</f>
        <v>49.870801033591732</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5.1546853792603997</v>
      </c>
      <c r="Y94" s="212" t="str">
        <f t="shared" si="31"/>
        <v>○逆張り売り | もみ合い→ 25日戻り売り★ MACD+ RSI:49.9 前日比:+0.3% [長い下ヒゲ(反発警戒)] [0点]</v>
      </c>
      <c r="Z94" s="338">
        <f t="shared" si="32"/>
        <v>0.29145077720207252</v>
      </c>
      <c r="AA94" s="212" t="str">
        <f t="shared" si="33"/>
        <v>上昇▲</v>
      </c>
      <c r="AB94" s="333">
        <f>IF(OR(C94="",C94="TOPX",終値!E37=""),"",IFERROR(((終値!E37*0.333)+(終値!F37*0.222)+(終値!G37*0.148)+(終値!H37*0.099)+(終値!I37*0.066))/(0.333+0.222+0.148+0.099+0.066),""))</f>
        <v>1547.6837557603687</v>
      </c>
      <c r="AC94" s="333">
        <f>IF(OR(C94="",C94="TOPX",終値!E37=""),"",IFERROR(SUMPRODUCT((終値!E37:AC37),{0.077,0.071,0.065,0.06,0.055,0.051,0.047,0.043,0.039,0.036,0.033,0.031,0.028,0.026,0.024,0.022,0.02,0.018,0.017,0.016,0.014,0.013,0.012,0.011,0.01})/SUM({0.077,0.071,0.065,0.06,0.055,0.051,0.047,0.043,0.039,0.036,0.033,0.031,0.028,0.026,0.024,0.022,0.02,0.018,0.017,0.016,0.014,0.013,0.012,0.011,0.01}),""))</f>
        <v>1550.1764004767572</v>
      </c>
      <c r="AD94" s="212" t="str">
        <f t="shared" si="34"/>
        <v>もみ合い→</v>
      </c>
      <c r="AE94" s="212" t="str">
        <f t="shared" si="35"/>
        <v>25日戻り売り★</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○逆張り売り</v>
      </c>
      <c r="AG94">
        <f t="shared" si="36"/>
        <v>0</v>
      </c>
      <c r="AH94">
        <f t="shared" si="37"/>
        <v>0</v>
      </c>
      <c r="AI94" s="373">
        <f t="array" ref="AI94">IF(C94="","",IFERROR((INDEX(終値!$E:$E,MATCH(TEXT(C94,"0"),終値!$A:$A,0))-INDEX(終値!$E:$CZ,MATCH(TEXT(C94,"0"),終値!$A:$A,0),$AN$2))/INDEX(終値!$E:$CZ,MATCH(TEXT(C94,"0"),終値!$A:$A,0),$AN$2)*100,""))</f>
        <v>3.9809458999659748</v>
      </c>
      <c r="AJ94" s="373">
        <f t="array" ref="AJ94">IFERROR((終値!$E$5-INDEX(終値!$E$5:$CZ$5,1,$AN$2))/INDEX(終値!$E$5:$CZ$5,1,$AN$2)*100,"")</f>
        <v>-0.82558151178043282</v>
      </c>
      <c r="AK94" s="374">
        <f t="shared" si="38"/>
        <v>4.8065274117464076</v>
      </c>
      <c r="AL94" s="372">
        <f t="shared" si="39"/>
        <v>-2</v>
      </c>
      <c r="AO94" s="376" t="str">
        <f t="shared" si="40"/>
        <v>長い下ヒゲ(反発警戒)</v>
      </c>
      <c r="AP94" s="377">
        <f t="shared" si="41"/>
        <v>-2</v>
      </c>
      <c r="AQ94">
        <f>IF(C94&lt;&gt;"",始値!F37,"")</f>
        <v>1571</v>
      </c>
      <c r="AR94">
        <f>IF(C94&lt;&gt;"",高値!F37,"")</f>
        <v>1576.5</v>
      </c>
      <c r="AS94">
        <f>IF(C94&lt;&gt;"",安値!F37,"")</f>
        <v>1519.5</v>
      </c>
      <c r="AT94" t="str">
        <f t="shared" si="42"/>
        <v>通常</v>
      </c>
      <c r="AU94">
        <f t="shared" si="43"/>
        <v>0</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1937</v>
      </c>
      <c r="F95" s="326">
        <f>IF(C95&lt;&gt;"",_xll.RssMarket(C95,"始値"),"")</f>
        <v>2080</v>
      </c>
      <c r="G95" s="325">
        <f>IF(C95&lt;&gt;"",終値!F38,"")</f>
        <v>2073</v>
      </c>
      <c r="H95" s="326">
        <f>IF(C95&lt;&gt;"",_xll.RssMarket(C95,"高値"),"")</f>
        <v>2093.5</v>
      </c>
      <c r="I95" s="326">
        <f>IF(C95&lt;&gt;"",_xll.RssMarket(C95,"安値"),"")</f>
        <v>1927.5</v>
      </c>
      <c r="J95" s="326">
        <f>IF(C95&lt;&gt;"",_xll.RssMarket(C95,"出来高"),"")</f>
        <v>4763000</v>
      </c>
      <c r="K95" s="326">
        <f>IF(C95&lt;&gt;"",_xll.RssMarket(C95,"年初来高値"),"")</f>
        <v>2379.5</v>
      </c>
      <c r="L95" s="327">
        <f t="shared" si="22"/>
        <v>-18.596343769699516</v>
      </c>
      <c r="M95" s="326">
        <f>IF(C95&lt;&gt;"",IFERROR(AVERAGE(出来高!E38:I38),""),"")</f>
        <v>2438120</v>
      </c>
      <c r="N95" s="326">
        <f>IF(C95&lt;&gt;"",IFERROR(AVERAGE(出来高!E38:AC38),""),"")</f>
        <v>2192468</v>
      </c>
      <c r="O95" s="328">
        <f t="shared" si="23"/>
        <v>1.9535543779633489</v>
      </c>
      <c r="P95" s="325" t="str">
        <f t="shared" si="24"/>
        <v>増加↑</v>
      </c>
      <c r="Q95" s="325" t="str">
        <f t="shared" si="25"/>
        <v>売り▼</v>
      </c>
      <c r="R95" s="326">
        <f t="shared" si="26"/>
        <v>1782</v>
      </c>
      <c r="S95" s="326">
        <f t="shared" si="27"/>
        <v>2014</v>
      </c>
      <c r="T95" s="325">
        <f t="shared" si="28"/>
        <v>7</v>
      </c>
      <c r="U95" s="325" t="str">
        <f t="shared" si="29"/>
        <v>有効</v>
      </c>
      <c r="V95" s="325" t="str">
        <f t="shared" si="30"/>
        <v>通常</v>
      </c>
      <c r="W95" s="329">
        <f t="array" ref="W95">IFERROR(100-100/(1+SUMPRODUCT((終値!F38:R38&gt;終値!G38:S38)*(終値!F38:R38-終値!G38:S38))/SUMPRODUCT((終値!F38:R38&lt;終値!G38:S38)*(終値!G38:S38-終値!F38:R38))),50)</f>
        <v>84.322678843226782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25.246273468689651</v>
      </c>
      <c r="Y95" s="325" t="str">
        <f t="shared" si="31"/>
        <v>◎反落確認 | もみ合い→ MACD+ RSI:84.3 [過熱] 前日比:-6.6% [大陰線▼]前日[長い下ヒゲ(反発)] [7点]</v>
      </c>
      <c r="Z95" s="331">
        <f t="shared" si="32"/>
        <v>-6.5605402797877463</v>
      </c>
      <c r="AA95" s="325" t="str">
        <f t="shared" si="33"/>
        <v>下落▼</v>
      </c>
      <c r="AB95" s="326">
        <f>IF(OR(C95="",C95="TOPX",終値!E38=""),"",IFERROR(((終値!E38*0.333)+(終値!F38*0.222)+(終値!G38*0.148)+(終値!H38*0.099)+(終値!I38*0.066))/(0.333+0.222+0.148+0.099+0.066),""))</f>
        <v>2064.6889400921655</v>
      </c>
      <c r="AC95" s="326">
        <f>IF(OR(C95="",C95="TOPX",終値!E38=""),"",IFERROR(SUMPRODUCT((終値!E38:AC38),{0.077,0.071,0.065,0.06,0.055,0.051,0.047,0.043,0.039,0.036,0.033,0.031,0.028,0.026,0.024,0.022,0.02,0.018,0.017,0.016,0.014,0.013,0.012,0.011,0.01})/SUM({0.077,0.071,0.065,0.06,0.055,0.051,0.047,0.043,0.039,0.036,0.033,0.031,0.028,0.026,0.024,0.022,0.02,0.018,0.017,0.016,0.014,0.013,0.012,0.011,0.01}),""))</f>
        <v>1993.4874851013108</v>
      </c>
      <c r="AD95" s="325" t="str">
        <f t="shared" si="34"/>
        <v>もみ合い→</v>
      </c>
      <c r="AE95" s="325" t="str">
        <f t="shared" si="35"/>
        <v>なし</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◎反落確認</v>
      </c>
      <c r="AG95">
        <f t="shared" si="36"/>
        <v>7</v>
      </c>
      <c r="AH95">
        <f t="shared" si="37"/>
        <v>69905</v>
      </c>
      <c r="AI95" s="373">
        <f t="array" ref="AI95">IF(C95="","",IFERROR((INDEX(終値!$E:$E,MATCH(TEXT(C95,"0"),終値!$A:$A,0))-INDEX(終値!$E:$CZ,MATCH(TEXT(C95,"0"),終値!$A:$A,0),$AN$2))/INDEX(終値!$E:$CZ,MATCH(TEXT(C95,"0"),終値!$A:$A,0),$AN$2)*100,""))</f>
        <v>9.7991967871485937</v>
      </c>
      <c r="AJ95" s="373">
        <f t="array" ref="AJ95">IFERROR((終値!$E$5-INDEX(終値!$E$5:$CZ$5,1,$AN$2))/INDEX(終値!$E$5:$CZ$5,1,$AN$2)*100,"")</f>
        <v>-0.82558151178043282</v>
      </c>
      <c r="AK95" s="374">
        <f t="shared" si="38"/>
        <v>10.624778298929026</v>
      </c>
      <c r="AL95" s="372">
        <f t="shared" si="39"/>
        <v>-2</v>
      </c>
      <c r="AO95" s="376" t="str">
        <f t="shared" si="40"/>
        <v>大陰線▼</v>
      </c>
      <c r="AP95" s="377">
        <f t="shared" si="41"/>
        <v>2</v>
      </c>
      <c r="AQ95">
        <f>IF(C95&lt;&gt;"",始値!F38,"")</f>
        <v>2059</v>
      </c>
      <c r="AR95">
        <f>IF(C95&lt;&gt;"",高値!F38,"")</f>
        <v>2073.5</v>
      </c>
      <c r="AS95">
        <f>IF(C95&lt;&gt;"",安値!F38,"")</f>
        <v>2001.5</v>
      </c>
      <c r="AT95" t="str">
        <f t="shared" si="42"/>
        <v>長い下ヒゲ(反発)</v>
      </c>
      <c r="AU95">
        <f t="shared" si="43"/>
        <v>-2</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3489</v>
      </c>
      <c r="F96" s="333">
        <f>IF(C96&lt;&gt;"",_xll.RssMarket(C96,"始値"),"")</f>
        <v>3481</v>
      </c>
      <c r="G96" s="212">
        <f>IF(C96&lt;&gt;"",終値!F42,"")</f>
        <v>3544</v>
      </c>
      <c r="H96" s="333">
        <f>IF(C96&lt;&gt;"",_xll.RssMarket(C96,"高値"),"")</f>
        <v>3497</v>
      </c>
      <c r="I96" s="333">
        <f>IF(C96&lt;&gt;"",_xll.RssMarket(C96,"安値"),"")</f>
        <v>3463</v>
      </c>
      <c r="J96" s="333">
        <f>IF(C96&lt;&gt;"",_xll.RssMarket(C96,"出来高"),"")</f>
        <v>104800</v>
      </c>
      <c r="K96" s="333">
        <f>IF(C96&lt;&gt;"",_xll.RssMarket(C96,"年初来高値"),"")</f>
        <v>4456</v>
      </c>
      <c r="L96" s="334">
        <f t="shared" si="22"/>
        <v>-21.701077199281869</v>
      </c>
      <c r="M96" s="333">
        <f>IF(C96&lt;&gt;"",IFERROR(AVERAGE(出来高!E42:I42),""),"")</f>
        <v>405920</v>
      </c>
      <c r="N96" s="333">
        <f>IF(C96&lt;&gt;"",IFERROR(AVERAGE(出来高!E42:AC42),""),"")</f>
        <v>321268</v>
      </c>
      <c r="O96" s="335">
        <f t="shared" si="23"/>
        <v>0.25817895151754039</v>
      </c>
      <c r="P96" s="212" t="str">
        <f t="shared" si="24"/>
        <v>減少↓</v>
      </c>
      <c r="Q96" s="212" t="str">
        <f t="shared" si="25"/>
        <v>中立→</v>
      </c>
      <c r="R96" s="333">
        <f t="shared" si="26"/>
        <v>3210</v>
      </c>
      <c r="S96" s="333">
        <f t="shared" si="27"/>
        <v>3629</v>
      </c>
      <c r="T96" s="325">
        <f t="shared" si="28"/>
        <v>6</v>
      </c>
      <c r="U96" s="212" t="str">
        <f t="shared" si="29"/>
        <v>要確認</v>
      </c>
      <c r="V96" s="212" t="str">
        <f t="shared" si="30"/>
        <v>通常</v>
      </c>
      <c r="W96" s="336">
        <f t="array" ref="W96">IFERROR(100-100/(1+SUMPRODUCT((終値!F42:R42&gt;終値!G42:S42)*(終値!F42:R42-終値!G42:S42))/SUMPRODUCT((終値!F42:R42&lt;終値!G42:S42)*(終値!G42:S42-終値!F42:R42))),50)</f>
        <v>48.522550544323487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1.4256385354196937</v>
      </c>
      <c r="Y96" s="212" t="str">
        <f t="shared" si="31"/>
        <v>相場上昇・見送り | 下降トレンド▼ MACD+ RSI:48.5 前日比:-1.6% [6点]</v>
      </c>
      <c r="Z96" s="338">
        <f t="shared" si="32"/>
        <v>-1.5519187358916477</v>
      </c>
      <c r="AA96" s="212" t="str">
        <f t="shared" si="33"/>
        <v>下落▼</v>
      </c>
      <c r="AB96" s="333">
        <f>IF(OR(C96="",C96="TOPX",終値!E42=""),"",IFERROR(((終値!E42*0.333)+(終値!F42*0.222)+(終値!G42*0.148)+(終値!H42*0.099)+(終値!I42*0.066))/(0.333+0.222+0.148+0.099+0.066),""))</f>
        <v>3569.0610599078332</v>
      </c>
      <c r="AC96" s="333">
        <f>IF(OR(C96="",C96="TOPX",終値!E42=""),"",IFERROR(SUMPRODUCT((終値!E42:AC42),{0.077,0.071,0.065,0.06,0.055,0.051,0.047,0.043,0.039,0.036,0.033,0.031,0.028,0.026,0.024,0.022,0.02,0.018,0.017,0.016,0.014,0.013,0.012,0.011,0.01})/SUM({0.077,0.071,0.065,0.06,0.055,0.051,0.047,0.043,0.039,0.036,0.033,0.031,0.028,0.026,0.024,0.022,0.02,0.018,0.017,0.016,0.014,0.013,0.012,0.011,0.01}),""))</f>
        <v>3610.4243146603076</v>
      </c>
      <c r="AD96" s="212" t="str">
        <f t="shared" si="34"/>
        <v>下降トレンド▼</v>
      </c>
      <c r="AE96" s="212" t="str">
        <f t="shared" si="35"/>
        <v>なし</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相場上昇・見送り</v>
      </c>
      <c r="AG96">
        <f t="shared" si="36"/>
        <v>0</v>
      </c>
      <c r="AH96">
        <f t="shared" si="37"/>
        <v>0</v>
      </c>
      <c r="AI96" s="373">
        <f t="array" ref="AI96">IF(C96="","",IFERROR((INDEX(終値!$E:$E,MATCH(TEXT(C96,"0"),終値!$A:$A,0))-INDEX(終値!$E:$CZ,MATCH(TEXT(C96,"0"),終値!$A:$A,0),$AN$2))/INDEX(終値!$E:$CZ,MATCH(TEXT(C96,"0"),終値!$A:$A,0),$AN$2)*100,""))</f>
        <v>-3.166666666666667</v>
      </c>
      <c r="AJ96" s="373">
        <f t="array" ref="AJ96">IFERROR((終値!$E$5-INDEX(終値!$E$5:$CZ$5,1,$AN$2))/INDEX(終値!$E$5:$CZ$5,1,$AN$2)*100,"")</f>
        <v>-0.82558151178043282</v>
      </c>
      <c r="AK96" s="374">
        <f t="shared" si="38"/>
        <v>-2.3410851548862341</v>
      </c>
      <c r="AL96" s="372">
        <f t="shared" si="39"/>
        <v>1</v>
      </c>
      <c r="AO96" s="376" t="str">
        <f t="shared" si="40"/>
        <v>通常</v>
      </c>
      <c r="AP96" s="377">
        <f t="shared" si="41"/>
        <v>0</v>
      </c>
      <c r="AQ96">
        <f>IF(C96&lt;&gt;"",始値!F42,"")</f>
        <v>3566</v>
      </c>
      <c r="AR96">
        <f>IF(C96&lt;&gt;"",高値!F42,"")</f>
        <v>3599</v>
      </c>
      <c r="AS96">
        <f>IF(C96&lt;&gt;"",安値!F42,"")</f>
        <v>3517</v>
      </c>
      <c r="AT96" t="str">
        <f t="shared" si="42"/>
        <v>通常</v>
      </c>
      <c r="AU96">
        <f t="shared" si="43"/>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2722</v>
      </c>
      <c r="F97" s="326">
        <f>IF(C97&lt;&gt;"",_xll.RssMarket(C97,"始値"),"")</f>
        <v>2498</v>
      </c>
      <c r="G97" s="325">
        <f>IF(C97&lt;&gt;"",終値!F51,"")</f>
        <v>2368</v>
      </c>
      <c r="H97" s="326">
        <f>IF(C97&lt;&gt;"",_xll.RssMarket(C97,"高値"),"")</f>
        <v>2739</v>
      </c>
      <c r="I97" s="326">
        <f>IF(C97&lt;&gt;"",_xll.RssMarket(C97,"安値"),"")</f>
        <v>2491</v>
      </c>
      <c r="J97" s="326">
        <f>IF(C97&lt;&gt;"",_xll.RssMarket(C97,"出来高"),"")</f>
        <v>35200</v>
      </c>
      <c r="K97" s="326">
        <f>IF(C97&lt;&gt;"",_xll.RssMarket(C97,"年初来高値"),"")</f>
        <v>3935</v>
      </c>
      <c r="L97" s="327">
        <f t="shared" si="22"/>
        <v>-30.82592121982211</v>
      </c>
      <c r="M97" s="326">
        <f>IF(C97&lt;&gt;"",IFERROR(AVERAGE(出来高!E51:I51),""),"")</f>
        <v>80900</v>
      </c>
      <c r="N97" s="326">
        <f>IF(C97&lt;&gt;"",IFERROR(AVERAGE(出来高!E51:AC51),""),"")</f>
        <v>43144</v>
      </c>
      <c r="O97" s="328">
        <f t="shared" si="23"/>
        <v>0.43510506798516685</v>
      </c>
      <c r="P97" s="325" t="str">
        <f t="shared" si="24"/>
        <v>減少↓</v>
      </c>
      <c r="Q97" s="325" t="str">
        <f t="shared" si="25"/>
        <v>様子見▲</v>
      </c>
      <c r="R97" s="326">
        <f t="shared" si="26"/>
        <v>2504</v>
      </c>
      <c r="S97" s="326">
        <f t="shared" si="27"/>
        <v>2831</v>
      </c>
      <c r="T97" s="325">
        <f t="shared" si="28"/>
        <v>2</v>
      </c>
      <c r="U97" s="325" t="str">
        <f t="shared" si="29"/>
        <v>除外</v>
      </c>
      <c r="V97" s="325" t="str">
        <f t="shared" si="30"/>
        <v>安値圏</v>
      </c>
      <c r="W97" s="329">
        <f t="array" ref="W97">IFERROR(100-100/(1+SUMPRODUCT((終値!F51:R51&gt;終値!G51:S51)*(終値!F51:R51-終値!G51:S51))/SUMPRODUCT((終値!F51:R51&lt;終値!G51:S51)*(終値!G51:S51-終値!F51:R51))),50)</f>
        <v>41.528925619834716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18.046897575615731</v>
      </c>
      <c r="Y97" s="325" t="str">
        <f t="shared" si="31"/>
        <v>相場上昇・見送り | 上昇トレンド▲ MACD+ RSI:41.5 前日比:+14.9% [安値圏] [2点]</v>
      </c>
      <c r="Z97" s="331">
        <f t="shared" si="32"/>
        <v>14.949324324324326</v>
      </c>
      <c r="AA97" s="325" t="str">
        <f t="shared" si="33"/>
        <v>上昇▲</v>
      </c>
      <c r="AB97" s="326">
        <f>IF(OR(C97="",C97="TOPX",終値!E51=""),"",IFERROR(((終値!E51*0.333)+(終値!F51*0.222)+(終値!G51*0.148)+(終値!H51*0.099)+(終値!I51*0.066))/(0.333+0.222+0.148+0.099+0.066),""))</f>
        <v>2511.6405529953918</v>
      </c>
      <c r="AC97" s="326">
        <f>IF(OR(C97="",C97="TOPX",終値!E51=""),"",IFERROR(SUMPRODUCT((終値!E51:AC51),{0.077,0.071,0.065,0.06,0.055,0.051,0.047,0.043,0.039,0.036,0.033,0.031,0.028,0.026,0.024,0.022,0.02,0.018,0.017,0.016,0.014,0.013,0.012,0.011,0.01})/SUM({0.077,0.071,0.065,0.06,0.055,0.051,0.047,0.043,0.039,0.036,0.033,0.031,0.028,0.026,0.024,0.022,0.02,0.018,0.017,0.016,0.014,0.013,0.012,0.011,0.01}),""))</f>
        <v>2570.2932061978531</v>
      </c>
      <c r="AD97" s="325" t="str">
        <f t="shared" si="34"/>
        <v>上昇トレンド▲</v>
      </c>
      <c r="AE97" s="325" t="str">
        <f t="shared" si="35"/>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 t="shared" si="36"/>
        <v>0</v>
      </c>
      <c r="AH97">
        <f t="shared" si="37"/>
        <v>0</v>
      </c>
      <c r="AI97" s="373">
        <f t="array" ref="AI97">IF(C97="","",IFERROR((INDEX(終値!$E:$E,MATCH(TEXT(C97,"0"),終値!$A:$A,0))-INDEX(終値!$E:$CZ,MATCH(TEXT(C97,"0"),終値!$A:$A,0),$AN$2))/INDEX(終値!$E:$CZ,MATCH(TEXT(C97,"0"),終値!$A:$A,0),$AN$2)*100,""))</f>
        <v>2.5555090071219104</v>
      </c>
      <c r="AJ97" s="373">
        <f t="array" ref="AJ97">IFERROR((終値!$E$5-INDEX(終値!$E$5:$CZ$5,1,$AN$2))/INDEX(終値!$E$5:$CZ$5,1,$AN$2)*100,"")</f>
        <v>-0.82558151178043282</v>
      </c>
      <c r="AK97" s="374">
        <f t="shared" si="38"/>
        <v>3.3810905189023432</v>
      </c>
      <c r="AL97" s="372">
        <f t="shared" si="39"/>
        <v>-2</v>
      </c>
      <c r="AO97" s="376" t="str">
        <f t="shared" si="40"/>
        <v>通常</v>
      </c>
      <c r="AP97" s="377">
        <f t="shared" si="41"/>
        <v>0</v>
      </c>
      <c r="AQ97">
        <f>IF(C97&lt;&gt;"",始値!F51,"")</f>
        <v>2481</v>
      </c>
      <c r="AR97">
        <f>IF(C97&lt;&gt;"",高値!F51,"")</f>
        <v>2498</v>
      </c>
      <c r="AS97">
        <f>IF(C97&lt;&gt;"",安値!F51,"")</f>
        <v>2314</v>
      </c>
      <c r="AT97" t="str">
        <f t="shared" si="42"/>
        <v>通常</v>
      </c>
      <c r="AU97">
        <f t="shared" si="43"/>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2364</v>
      </c>
      <c r="F98" s="333">
        <f>IF(C98&lt;&gt;"",_xll.RssMarket(C98,"始値"),"")</f>
        <v>2318</v>
      </c>
      <c r="G98" s="212">
        <f>IF(C98&lt;&gt;"",終値!F72,"")</f>
        <v>2277</v>
      </c>
      <c r="H98" s="333">
        <f>IF(C98&lt;&gt;"",_xll.RssMarket(C98,"高値"),"")</f>
        <v>2364</v>
      </c>
      <c r="I98" s="333">
        <f>IF(C98&lt;&gt;"",_xll.RssMarket(C98,"安値"),"")</f>
        <v>2305</v>
      </c>
      <c r="J98" s="333">
        <f>IF(C98&lt;&gt;"",_xll.RssMarket(C98,"出来高"),"")</f>
        <v>21600</v>
      </c>
      <c r="K98" s="333">
        <f>IF(C98&lt;&gt;"",_xll.RssMarket(C98,"年初来高値"),"")</f>
        <v>3490</v>
      </c>
      <c r="L98" s="334">
        <f t="shared" si="22"/>
        <v>-32.263610315186249</v>
      </c>
      <c r="M98" s="333">
        <f>IF(C98&lt;&gt;"",IFERROR(AVERAGE(出来高!E72:I72),""),"")</f>
        <v>67040</v>
      </c>
      <c r="N98" s="333">
        <f>IF(C98&lt;&gt;"",IFERROR(AVERAGE(出来高!E72:AC72),""),"")</f>
        <v>76740</v>
      </c>
      <c r="O98" s="335">
        <f t="shared" si="23"/>
        <v>0.32219570405727921</v>
      </c>
      <c r="P98" s="212" t="str">
        <f t="shared" si="24"/>
        <v>減少↓</v>
      </c>
      <c r="Q98" s="212" t="str">
        <f t="shared" si="25"/>
        <v>様子見▲</v>
      </c>
      <c r="R98" s="333">
        <f t="shared" si="26"/>
        <v>2175</v>
      </c>
      <c r="S98" s="333">
        <f t="shared" si="27"/>
        <v>2459</v>
      </c>
      <c r="T98" s="325">
        <f t="shared" si="28"/>
        <v>7</v>
      </c>
      <c r="U98" s="212" t="str">
        <f t="shared" si="29"/>
        <v>要確認</v>
      </c>
      <c r="V98" s="212" t="str">
        <f t="shared" si="30"/>
        <v>安値圏</v>
      </c>
      <c r="W98" s="336">
        <f t="array" ref="W98">IFERROR(100-100/(1+SUMPRODUCT((終値!F72:R72&gt;終値!G72:S72)*(終値!F72:R72-終値!G72:S72))/SUMPRODUCT((終値!F72:R72&lt;終値!G72:S72)*(終値!G72:S72-終値!F72:R72))),50)</f>
        <v>42.486085343228204</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-14.137032865119636</v>
      </c>
      <c r="Y98" s="212" t="str">
        <f t="shared" si="31"/>
        <v>相場上昇・見送り | 上昇トレンド▲ MACD- RSI:42.5 前日比:+3.8% [安値圏]前日[大陰線▼] [7点]</v>
      </c>
      <c r="Z98" s="338">
        <f t="shared" si="32"/>
        <v>3.820816864295125</v>
      </c>
      <c r="AA98" s="212" t="str">
        <f t="shared" si="33"/>
        <v>上昇▲</v>
      </c>
      <c r="AB98" s="333">
        <f>IF(OR(C98="",C98="TOPX",終値!E72=""),"",IFERROR(((終値!E72*0.333)+(終値!F72*0.222)+(終値!G72*0.148)+(終値!H72*0.099)+(終値!I72*0.066))/(0.333+0.222+0.148+0.099+0.066),""))</f>
        <v>2292.897465437788</v>
      </c>
      <c r="AC98" s="333">
        <f>IF(OR(C98="",C98="TOPX",終値!E72=""),"",IFERROR(SUMPRODUCT((終値!E72:AC72),{0.077,0.071,0.065,0.06,0.055,0.051,0.047,0.043,0.039,0.036,0.033,0.031,0.028,0.026,0.024,0.022,0.02,0.018,0.017,0.016,0.014,0.013,0.012,0.011,0.01})/SUM({0.077,0.071,0.065,0.06,0.055,0.051,0.047,0.043,0.039,0.036,0.033,0.031,0.028,0.026,0.024,0.022,0.02,0.018,0.017,0.016,0.014,0.013,0.012,0.011,0.01}),""))</f>
        <v>2315.1680572109653</v>
      </c>
      <c r="AD98" s="212" t="str">
        <f t="shared" si="34"/>
        <v>上昇トレンド▲</v>
      </c>
      <c r="AE98" s="212" t="str">
        <f t="shared" si="35"/>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 t="shared" si="36"/>
        <v>7</v>
      </c>
      <c r="AH98">
        <f t="shared" si="37"/>
        <v>69902</v>
      </c>
      <c r="AI98" s="373">
        <f t="array" ref="AI98">IF(C98="","",IFERROR((INDEX(終値!$E:$E,MATCH(TEXT(C98,"0"),終値!$A:$A,0))-INDEX(終値!$E:$CZ,MATCH(TEXT(C98,"0"),終値!$A:$A,0),$AN$2))/INDEX(終値!$E:$CZ,MATCH(TEXT(C98,"0"),終値!$A:$A,0),$AN$2)*100,""))</f>
        <v>1.1037527593818985</v>
      </c>
      <c r="AJ98" s="373">
        <f t="array" ref="AJ98">IFERROR((終値!$E$5-INDEX(終値!$E$5:$CZ$5,1,$AN$2))/INDEX(終値!$E$5:$CZ$5,1,$AN$2)*100,"")</f>
        <v>-0.82558151178043282</v>
      </c>
      <c r="AK98" s="374">
        <f t="shared" si="38"/>
        <v>1.9293342711623314</v>
      </c>
      <c r="AL98" s="372">
        <f t="shared" si="39"/>
        <v>-1</v>
      </c>
      <c r="AO98" s="376" t="str">
        <f t="shared" si="40"/>
        <v>通常</v>
      </c>
      <c r="AP98" s="377">
        <f t="shared" si="41"/>
        <v>0</v>
      </c>
      <c r="AQ98">
        <f>IF(C98&lt;&gt;"",始値!F72,"")</f>
        <v>2362</v>
      </c>
      <c r="AR98">
        <f>IF(C98&lt;&gt;"",高値!F72,"")</f>
        <v>2362</v>
      </c>
      <c r="AS98">
        <f>IF(C98&lt;&gt;"",安値!F72,"")</f>
        <v>2277</v>
      </c>
      <c r="AT98" t="str">
        <f t="shared" si="42"/>
        <v>大陰線▼</v>
      </c>
      <c r="AU98">
        <f t="shared" si="43"/>
        <v>2</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3135</v>
      </c>
      <c r="F99" s="326">
        <f>IF(C99&lt;&gt;"",_xll.RssMarket(C99,"始値"),"")</f>
        <v>3115</v>
      </c>
      <c r="G99" s="325">
        <f>IF(C99&lt;&gt;"",終値!F74,"")</f>
        <v>3129</v>
      </c>
      <c r="H99" s="326">
        <f>IF(C99&lt;&gt;"",_xll.RssMarket(C99,"高値"),"")</f>
        <v>3157</v>
      </c>
      <c r="I99" s="326">
        <f>IF(C99&lt;&gt;"",_xll.RssMarket(C99,"安値"),"")</f>
        <v>3103</v>
      </c>
      <c r="J99" s="326">
        <f>IF(C99&lt;&gt;"",_xll.RssMarket(C99,"出来高"),"")</f>
        <v>1398900</v>
      </c>
      <c r="K99" s="326">
        <f>IF(C99&lt;&gt;"",_xll.RssMarket(C99,"年初来高値"),"")</f>
        <v>3419</v>
      </c>
      <c r="L99" s="327">
        <f t="shared" si="22"/>
        <v>-8.3065223749634391</v>
      </c>
      <c r="M99" s="326">
        <f>IF(C99&lt;&gt;"",IFERROR(AVERAGE(出来高!E74:I74),""),"")</f>
        <v>3692760</v>
      </c>
      <c r="N99" s="326">
        <f>IF(C99&lt;&gt;"",IFERROR(AVERAGE(出来高!E74:AC74),""),"")</f>
        <v>2677932</v>
      </c>
      <c r="O99" s="328">
        <f t="shared" si="23"/>
        <v>0.37882234426282779</v>
      </c>
      <c r="P99" s="325" t="str">
        <f t="shared" si="24"/>
        <v>減少↓</v>
      </c>
      <c r="Q99" s="325" t="str">
        <f t="shared" si="25"/>
        <v>様子見▲</v>
      </c>
      <c r="R99" s="326">
        <f t="shared" si="26"/>
        <v>2884</v>
      </c>
      <c r="S99" s="326">
        <f t="shared" si="27"/>
        <v>3260</v>
      </c>
      <c r="T99" s="325">
        <f t="shared" si="28"/>
        <v>-3</v>
      </c>
      <c r="U99" s="325" t="str">
        <f t="shared" si="29"/>
        <v>除外</v>
      </c>
      <c r="V99" s="325" t="str">
        <f t="shared" si="30"/>
        <v>通常</v>
      </c>
      <c r="W99" s="329">
        <f t="array" ref="W99">IFERROR(100-100/(1+SUMPRODUCT((終値!F74:R74&gt;終値!G74:S74)*(終値!F74:R74-終値!G74:S74))/SUMPRODUCT((終値!F74:R74&lt;終値!G74:S74)*(終値!G74:S74-終値!F74:R74))),50)</f>
        <v>59.437086092715234</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9.2258019256569241</v>
      </c>
      <c r="Y99" s="325" t="str">
        <f t="shared" si="31"/>
        <v>相場上昇・見送り | パーフェクト▲ MACD+ RSI:59.4 前日比:+0.2%前日[長い下ヒゲ(反発)] [-3点]</v>
      </c>
      <c r="Z99" s="331">
        <f t="shared" si="32"/>
        <v>0.19175455417066153</v>
      </c>
      <c r="AA99" s="325" t="str">
        <f t="shared" si="33"/>
        <v>上昇▲</v>
      </c>
      <c r="AB99" s="326">
        <f>IF(OR(C99="",C99="TOPX",終値!E74=""),"",IFERROR(((終値!E74*0.333)+(終値!F74*0.222)+(終値!G74*0.148)+(終値!H74*0.099)+(終値!I74*0.066))/(0.333+0.222+0.148+0.099+0.066),""))</f>
        <v>3125.3905529953913</v>
      </c>
      <c r="AC99" s="326">
        <f>IF(OR(C99="",C99="TOPX",終値!E74=""),"",IFERROR(SUMPRODUCT((終値!E74:AC74),{0.077,0.071,0.065,0.06,0.055,0.051,0.047,0.043,0.039,0.036,0.033,0.031,0.028,0.026,0.024,0.022,0.02,0.018,0.017,0.016,0.014,0.013,0.012,0.011,0.01})/SUM({0.077,0.071,0.065,0.06,0.055,0.051,0.047,0.043,0.039,0.036,0.033,0.031,0.028,0.026,0.024,0.022,0.02,0.018,0.017,0.016,0.014,0.013,0.012,0.011,0.01}),""))</f>
        <v>3083.7342073897489</v>
      </c>
      <c r="AD99" s="325" t="str">
        <f t="shared" si="34"/>
        <v>パーフェクト▲</v>
      </c>
      <c r="AE99" s="325" t="str">
        <f t="shared" si="35"/>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 t="shared" si="36"/>
        <v>0</v>
      </c>
      <c r="AH99">
        <f t="shared" si="37"/>
        <v>0</v>
      </c>
      <c r="AI99" s="373">
        <f t="array" ref="AI99">IF(C99="","",IFERROR((INDEX(終値!$E:$E,MATCH(TEXT(C99,"0"),終値!$A:$A,0))-INDEX(終値!$E:$CZ,MATCH(TEXT(C99,"0"),終値!$A:$A,0),$AN$2))/INDEX(終値!$E:$CZ,MATCH(TEXT(C99,"0"),終値!$A:$A,0),$AN$2)*100,""))</f>
        <v>3.3677892630876958</v>
      </c>
      <c r="AJ99" s="373">
        <f t="array" ref="AJ99">IFERROR((終値!$E$5-INDEX(終値!$E$5:$CZ$5,1,$AN$2))/INDEX(終値!$E$5:$CZ$5,1,$AN$2)*100,"")</f>
        <v>-0.82558151178043282</v>
      </c>
      <c r="AK99" s="374">
        <f t="shared" si="38"/>
        <v>4.1933707748681286</v>
      </c>
      <c r="AL99" s="372">
        <f t="shared" si="39"/>
        <v>-2</v>
      </c>
      <c r="AO99" s="376" t="str">
        <f t="shared" si="40"/>
        <v>通常</v>
      </c>
      <c r="AP99" s="377">
        <f t="shared" si="41"/>
        <v>0</v>
      </c>
      <c r="AQ99">
        <f>IF(C99&lt;&gt;"",始値!F74,"")</f>
        <v>3148</v>
      </c>
      <c r="AR99">
        <f>IF(C99&lt;&gt;"",高値!F74,"")</f>
        <v>3150</v>
      </c>
      <c r="AS99">
        <f>IF(C99&lt;&gt;"",安値!F74,"")</f>
        <v>3058</v>
      </c>
      <c r="AT99" t="str">
        <f t="shared" si="42"/>
        <v>長い下ヒゲ(反発)</v>
      </c>
      <c r="AU99">
        <f t="shared" si="43"/>
        <v>-2</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5320</v>
      </c>
      <c r="F100" s="333">
        <f>IF(C100&lt;&gt;"",_xll.RssMarket(C100,"始値"),"")</f>
        <v>5460</v>
      </c>
      <c r="G100" s="212">
        <f>IF(C100&lt;&gt;"",終値!F81,"")</f>
        <v>5704</v>
      </c>
      <c r="H100" s="333">
        <f>IF(C100&lt;&gt;"",_xll.RssMarket(C100,"高値"),"")</f>
        <v>5581</v>
      </c>
      <c r="I100" s="333">
        <f>IF(C100&lt;&gt;"",_xll.RssMarket(C100,"安値"),"")</f>
        <v>5253</v>
      </c>
      <c r="J100" s="333">
        <f>IF(C100&lt;&gt;"",_xll.RssMarket(C100,"出来高"),"")</f>
        <v>1649400</v>
      </c>
      <c r="K100" s="333">
        <f>IF(C100&lt;&gt;"",_xll.RssMarket(C100,"年初来高値"),"")</f>
        <v>6317</v>
      </c>
      <c r="L100" s="334">
        <f t="shared" si="22"/>
        <v>-15.782808295076778</v>
      </c>
      <c r="M100" s="333">
        <f>IF(C100&lt;&gt;"",IFERROR(AVERAGE(出来高!E81:I81),""),"")</f>
        <v>1244700</v>
      </c>
      <c r="N100" s="333">
        <f>IF(C100&lt;&gt;"",IFERROR(AVERAGE(出来高!E81:AC81),""),"")</f>
        <v>1084244</v>
      </c>
      <c r="O100" s="335">
        <f t="shared" si="23"/>
        <v>1.3251385876114727</v>
      </c>
      <c r="P100" s="212" t="str">
        <f t="shared" si="24"/>
        <v>普通→</v>
      </c>
      <c r="Q100" s="212" t="str">
        <f t="shared" si="25"/>
        <v>中立→</v>
      </c>
      <c r="R100" s="333">
        <f t="shared" si="26"/>
        <v>4894</v>
      </c>
      <c r="S100" s="333">
        <f t="shared" si="27"/>
        <v>5533</v>
      </c>
      <c r="T100" s="325">
        <f t="shared" si="28"/>
        <v>2</v>
      </c>
      <c r="U100" s="212" t="str">
        <f t="shared" si="29"/>
        <v>除外</v>
      </c>
      <c r="V100" s="212" t="str">
        <f t="shared" si="30"/>
        <v>通常</v>
      </c>
      <c r="W100" s="336">
        <f t="array" ref="W100">IFERROR(100-100/(1+SUMPRODUCT((終値!F81:R81&gt;終値!G81:S81)*(終値!F81:R81-終値!G81:S81))/SUMPRODUCT((終値!F81:R81&lt;終値!G81:S81)*(終値!G81:S81-終値!F81:R81))),50)</f>
        <v>53.768545994065278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27.583122047138204</v>
      </c>
      <c r="Y100" s="212" t="str">
        <f t="shared" si="31"/>
        <v>相場上昇・見送り | もみ合い→ MACD+ RSI:53.8 前日比:-6.7% [2点]</v>
      </c>
      <c r="Z100" s="338">
        <f t="shared" si="32"/>
        <v>-6.7321178120617109</v>
      </c>
      <c r="AA100" s="212" t="str">
        <f t="shared" si="33"/>
        <v>下落▼</v>
      </c>
      <c r="AB100" s="333">
        <f>IF(OR(C100="",C100="TOPX",終値!E81=""),"",IFERROR(((終値!E81*0.333)+(終値!F81*0.222)+(終値!G81*0.148)+(終値!H81*0.099)+(終値!I81*0.066))/(0.333+0.222+0.148+0.099+0.066),""))</f>
        <v>5767.9504608294919</v>
      </c>
      <c r="AC100" s="333">
        <f>IF(OR(C100="",C100="TOPX",終値!E81=""),"",IFERROR(SUMPRODUCT((終値!E81:AC81),{0.077,0.071,0.065,0.06,0.055,0.051,0.047,0.043,0.039,0.036,0.033,0.031,0.028,0.026,0.024,0.022,0.02,0.018,0.017,0.016,0.014,0.013,0.012,0.011,0.01})/SUM({0.077,0.071,0.065,0.06,0.055,0.051,0.047,0.043,0.039,0.036,0.033,0.031,0.028,0.026,0.024,0.022,0.02,0.018,0.017,0.016,0.014,0.013,0.012,0.011,0.01}),""))</f>
        <v>5694.9845053635245</v>
      </c>
      <c r="AD100" s="212" t="str">
        <f t="shared" si="34"/>
        <v>もみ合い→</v>
      </c>
      <c r="AE100" s="212" t="str">
        <f t="shared" si="35"/>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 t="shared" si="36"/>
        <v>0</v>
      </c>
      <c r="AH100">
        <f t="shared" si="37"/>
        <v>0</v>
      </c>
      <c r="AI100" s="373">
        <f t="array" ref="AI100">IF(C100="","",IFERROR((INDEX(終値!$E:$E,MATCH(TEXT(C100,"0"),終値!$A:$A,0))-INDEX(終値!$E:$CZ,MATCH(TEXT(C100,"0"),終値!$A:$A,0),$AN$2))/INDEX(終値!$E:$CZ,MATCH(TEXT(C100,"0"),終値!$A:$A,0),$AN$2)*100,""))</f>
        <v>5.3628888094386848</v>
      </c>
      <c r="AJ100" s="373">
        <f t="array" ref="AJ100">IFERROR((終値!$E$5-INDEX(終値!$E$5:$CZ$5,1,$AN$2))/INDEX(終値!$E$5:$CZ$5,1,$AN$2)*100,"")</f>
        <v>-0.82558151178043282</v>
      </c>
      <c r="AK100" s="374">
        <f t="shared" si="38"/>
        <v>6.1884703212191177</v>
      </c>
      <c r="AL100" s="372">
        <f t="shared" si="39"/>
        <v>-2</v>
      </c>
      <c r="AO100" s="376" t="str">
        <f t="shared" si="40"/>
        <v>通常</v>
      </c>
      <c r="AP100" s="377">
        <f t="shared" si="41"/>
        <v>0</v>
      </c>
      <c r="AQ100">
        <f>IF(C100&lt;&gt;"",始値!F81,"")</f>
        <v>5729</v>
      </c>
      <c r="AR100">
        <f>IF(C100&lt;&gt;"",高値!F81,"")</f>
        <v>5804</v>
      </c>
      <c r="AS100">
        <f>IF(C100&lt;&gt;"",安値!F81,"")</f>
        <v>5570</v>
      </c>
      <c r="AT100" t="str">
        <f t="shared" si="42"/>
        <v>通常</v>
      </c>
      <c r="AU100">
        <f t="shared" si="43"/>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1516</v>
      </c>
      <c r="F101" s="326">
        <f>IF(C101&lt;&gt;"",_xll.RssMarket(C101,"始値"),"")</f>
        <v>1490</v>
      </c>
      <c r="G101" s="325">
        <f>IF(C101&lt;&gt;"",終値!F82,"")</f>
        <v>1483</v>
      </c>
      <c r="H101" s="326">
        <f>IF(C101&lt;&gt;"",_xll.RssMarket(C101,"高値"),"")</f>
        <v>1517</v>
      </c>
      <c r="I101" s="326">
        <f>IF(C101&lt;&gt;"",_xll.RssMarket(C101,"安値"),"")</f>
        <v>1479</v>
      </c>
      <c r="J101" s="326">
        <f>IF(C101&lt;&gt;"",_xll.RssMarket(C101,"出来高"),"")</f>
        <v>1271200</v>
      </c>
      <c r="K101" s="326">
        <f>IF(C101&lt;&gt;"",_xll.RssMarket(C101,"年初来高値"),"")</f>
        <v>1585.5</v>
      </c>
      <c r="L101" s="327">
        <f t="shared" si="22"/>
        <v>-4.3834752444023968</v>
      </c>
      <c r="M101" s="326">
        <f>IF(C101&lt;&gt;"",IFERROR(AVERAGE(出来高!E82:I82),""),"")</f>
        <v>3044880</v>
      </c>
      <c r="N101" s="326">
        <f>IF(C101&lt;&gt;"",IFERROR(AVERAGE(出来高!E82:AC82),""),"")</f>
        <v>2993296</v>
      </c>
      <c r="O101" s="328">
        <f t="shared" si="23"/>
        <v>0.41748771708573079</v>
      </c>
      <c r="P101" s="325" t="str">
        <f t="shared" si="24"/>
        <v>減少↓</v>
      </c>
      <c r="Q101" s="325" t="str">
        <f t="shared" si="25"/>
        <v>様子見▲</v>
      </c>
      <c r="R101" s="326">
        <f t="shared" si="26"/>
        <v>1395</v>
      </c>
      <c r="S101" s="326">
        <f t="shared" si="27"/>
        <v>1577</v>
      </c>
      <c r="T101" s="325">
        <f t="shared" si="28"/>
        <v>0</v>
      </c>
      <c r="U101" s="325" t="str">
        <f t="shared" si="29"/>
        <v>除外</v>
      </c>
      <c r="V101" s="325" t="str">
        <f t="shared" si="30"/>
        <v>通常</v>
      </c>
      <c r="W101" s="329">
        <f t="array" ref="W101">IFERROR(100-100/(1+SUMPRODUCT((終値!F82:R82&gt;終値!G82:S82)*(終値!F82:R82-終値!G82:S82))/SUMPRODUCT((終値!F82:R82&lt;終値!G82:S82)*(終値!G82:S82-終値!F82:R82))),50)</f>
        <v>43.676662320730109</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-3.5794014862342465</v>
      </c>
      <c r="Y101" s="325" t="str">
        <f t="shared" si="31"/>
        <v>相場上昇・見送り | 上昇トレンド▲ MACD- RSI:43.7 前日比:+2.2% [0点]</v>
      </c>
      <c r="Z101" s="331">
        <f t="shared" si="32"/>
        <v>2.2252191503708696</v>
      </c>
      <c r="AA101" s="325" t="str">
        <f t="shared" si="33"/>
        <v>上昇▲</v>
      </c>
      <c r="AB101" s="326">
        <f>IF(OR(C101="",C101="TOPX",終値!E82=""),"",IFERROR(((終値!E82*0.333)+(終値!F82*0.222)+(終値!G82*0.148)+(終値!H82*0.099)+(終値!I82*0.066))/(0.333+0.222+0.148+0.099+0.066),""))</f>
        <v>1489.7488479262672</v>
      </c>
      <c r="AC101" s="326">
        <f>IF(OR(C101="",C101="TOPX",終値!E82=""),"",IFERROR(SUMPRODUCT((終値!E82:AC82),{0.077,0.071,0.065,0.06,0.055,0.051,0.047,0.043,0.039,0.036,0.033,0.031,0.028,0.026,0.024,0.022,0.02,0.018,0.017,0.016,0.014,0.013,0.012,0.011,0.01})/SUM({0.077,0.071,0.065,0.06,0.055,0.051,0.047,0.043,0.039,0.036,0.033,0.031,0.028,0.026,0.024,0.022,0.02,0.018,0.017,0.016,0.014,0.013,0.012,0.011,0.01}),""))</f>
        <v>1503.0166865315848</v>
      </c>
      <c r="AD101" s="325" t="str">
        <f t="shared" si="34"/>
        <v>上昇トレンド▲</v>
      </c>
      <c r="AE101" s="325" t="str">
        <f t="shared" si="35"/>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 t="shared" si="36"/>
        <v>0</v>
      </c>
      <c r="AH101">
        <f t="shared" si="37"/>
        <v>0</v>
      </c>
      <c r="AI101" s="373">
        <f t="array" ref="AI101">IF(C101="","",IFERROR((INDEX(終値!$E:$E,MATCH(TEXT(C101,"0"),終値!$A:$A,0))-INDEX(終値!$E:$CZ,MATCH(TEXT(C101,"0"),終値!$A:$A,0),$AN$2))/INDEX(終値!$E:$CZ,MATCH(TEXT(C101,"0"),終値!$A:$A,0),$AN$2)*100,""))</f>
        <v>5.946902654867257</v>
      </c>
      <c r="AJ101" s="373">
        <f t="array" ref="AJ101">IFERROR((終値!$E$5-INDEX(終値!$E$5:$CZ$5,1,$AN$2))/INDEX(終値!$E$5:$CZ$5,1,$AN$2)*100,"")</f>
        <v>-0.82558151178043282</v>
      </c>
      <c r="AK101" s="374">
        <f t="shared" si="38"/>
        <v>6.7724841666476898</v>
      </c>
      <c r="AL101" s="372">
        <f t="shared" si="39"/>
        <v>-2</v>
      </c>
      <c r="AO101" s="376" t="str">
        <f t="shared" si="40"/>
        <v>通常</v>
      </c>
      <c r="AP101" s="377">
        <f t="shared" si="41"/>
        <v>0</v>
      </c>
      <c r="AQ101">
        <f>IF(C101&lt;&gt;"",始値!F82,"")</f>
        <v>1489.5</v>
      </c>
      <c r="AR101">
        <f>IF(C101&lt;&gt;"",高値!F82,"")</f>
        <v>1508</v>
      </c>
      <c r="AS101">
        <f>IF(C101&lt;&gt;"",安値!F82,"")</f>
        <v>1432</v>
      </c>
      <c r="AT101" t="str">
        <f t="shared" si="42"/>
        <v>通常</v>
      </c>
      <c r="AU101">
        <f t="shared" si="43"/>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3174</v>
      </c>
      <c r="F102" s="333">
        <f>IF(C102&lt;&gt;"",_xll.RssMarket(C102,"始値"),"")</f>
        <v>3127</v>
      </c>
      <c r="G102" s="212">
        <f>IF(C102&lt;&gt;"",終値!F85,"")</f>
        <v>3102</v>
      </c>
      <c r="H102" s="333">
        <f>IF(C102&lt;&gt;"",_xll.RssMarket(C102,"高値"),"")</f>
        <v>3176</v>
      </c>
      <c r="I102" s="333">
        <f>IF(C102&lt;&gt;"",_xll.RssMarket(C102,"安値"),"")</f>
        <v>3081</v>
      </c>
      <c r="J102" s="333">
        <f>IF(C102&lt;&gt;"",_xll.RssMarket(C102,"出来高"),"")</f>
        <v>2817000</v>
      </c>
      <c r="K102" s="333">
        <f>IF(C102&lt;&gt;"",_xll.RssMarket(C102,"年初来高値"),"")</f>
        <v>3465</v>
      </c>
      <c r="L102" s="334">
        <f t="shared" si="22"/>
        <v>-8.3982683982683977</v>
      </c>
      <c r="M102" s="333">
        <f>IF(C102&lt;&gt;"",IFERROR(AVERAGE(出来高!E85:I85),""),"")</f>
        <v>8676320</v>
      </c>
      <c r="N102" s="333">
        <f>IF(C102&lt;&gt;"",IFERROR(AVERAGE(出来高!E85:AC85),""),"")</f>
        <v>6501216</v>
      </c>
      <c r="O102" s="335">
        <f t="shared" si="23"/>
        <v>0.3246768215095801</v>
      </c>
      <c r="P102" s="212" t="str">
        <f t="shared" si="24"/>
        <v>減少↓</v>
      </c>
      <c r="Q102" s="212" t="str">
        <f t="shared" si="25"/>
        <v>様子見▲</v>
      </c>
      <c r="R102" s="333">
        <f t="shared" si="26"/>
        <v>2920</v>
      </c>
      <c r="S102" s="333">
        <f t="shared" si="27"/>
        <v>3301</v>
      </c>
      <c r="T102" s="325">
        <f t="shared" si="28"/>
        <v>2</v>
      </c>
      <c r="U102" s="212" t="str">
        <f t="shared" si="29"/>
        <v>除外</v>
      </c>
      <c r="V102" s="212" t="str">
        <f t="shared" si="30"/>
        <v>通常</v>
      </c>
      <c r="W102" s="336">
        <f t="array" ref="W102">IFERROR(100-100/(1+SUMPRODUCT((終値!F85:R85&gt;終値!G85:S85)*(終値!F85:R85-終値!G85:S85))/SUMPRODUCT((終値!F85:R85&lt;終値!G85:S85)*(終値!G85:S85-終値!F85:R85))),50)</f>
        <v>39.211391018619935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-13.284448274351689</v>
      </c>
      <c r="Y102" s="212" t="str">
        <f t="shared" si="31"/>
        <v>○逆張り売り | もみ合い→ 25日戻り売り★ MACD- RSI:39.2 前日比:+2.3%前日[長い下ヒゲ(反発)] [2点]</v>
      </c>
      <c r="Z102" s="338">
        <f t="shared" si="32"/>
        <v>2.3210831721470022</v>
      </c>
      <c r="AA102" s="212" t="str">
        <f t="shared" si="33"/>
        <v>上昇▲</v>
      </c>
      <c r="AB102" s="333">
        <f>IF(OR(C102="",C102="TOPX",終値!E85=""),"",IFERROR(((終値!E85*0.333)+(終値!F85*0.222)+(終値!G85*0.148)+(終値!H85*0.099)+(終値!I85*0.066))/(0.333+0.222+0.148+0.099+0.066),""))</f>
        <v>3110.4297235023032</v>
      </c>
      <c r="AC102" s="333">
        <f>IF(OR(C102="",C102="TOPX",終値!E85=""),"",IFERROR(SUMPRODUCT((終値!E85:AC85),{0.077,0.071,0.065,0.06,0.055,0.051,0.047,0.043,0.039,0.036,0.033,0.031,0.028,0.026,0.024,0.022,0.02,0.018,0.017,0.016,0.014,0.013,0.012,0.011,0.01})/SUM({0.077,0.071,0.065,0.06,0.055,0.051,0.047,0.043,0.039,0.036,0.033,0.031,0.028,0.026,0.024,0.022,0.02,0.018,0.017,0.016,0.014,0.013,0.012,0.011,0.01}),""))</f>
        <v>3237.0846245530383</v>
      </c>
      <c r="AD102" s="212" t="str">
        <f t="shared" si="34"/>
        <v>もみ合い→</v>
      </c>
      <c r="AE102" s="212" t="str">
        <f t="shared" si="35"/>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 t="shared" si="36"/>
        <v>0</v>
      </c>
      <c r="AH102">
        <f t="shared" si="37"/>
        <v>0</v>
      </c>
      <c r="AI102" s="373">
        <f t="array" ref="AI102">IF(C102="","",IFERROR((INDEX(終値!$E:$E,MATCH(TEXT(C102,"0"),終値!$A:$A,0))-INDEX(終値!$E:$CZ,MATCH(TEXT(C102,"0"),終値!$A:$A,0),$AN$2))/INDEX(終値!$E:$CZ,MATCH(TEXT(C102,"0"),終値!$A:$A,0),$AN$2)*100,""))</f>
        <v>0.55230669265756982</v>
      </c>
      <c r="AJ102" s="373">
        <f t="array" ref="AJ102">IFERROR((終値!$E$5-INDEX(終値!$E$5:$CZ$5,1,$AN$2))/INDEX(終値!$E$5:$CZ$5,1,$AN$2)*100,"")</f>
        <v>-0.82558151178043282</v>
      </c>
      <c r="AK102" s="374">
        <f t="shared" si="38"/>
        <v>1.3778882044380025</v>
      </c>
      <c r="AL102" s="372">
        <f t="shared" si="39"/>
        <v>-1</v>
      </c>
      <c r="AO102" s="376" t="str">
        <f t="shared" si="40"/>
        <v>通常</v>
      </c>
      <c r="AP102" s="377">
        <f t="shared" si="41"/>
        <v>0</v>
      </c>
      <c r="AQ102">
        <f>IF(C102&lt;&gt;"",始値!F85,"")</f>
        <v>3072</v>
      </c>
      <c r="AR102">
        <f>IF(C102&lt;&gt;"",高値!F85,"")</f>
        <v>3123</v>
      </c>
      <c r="AS102">
        <f>IF(C102&lt;&gt;"",安値!F85,"")</f>
        <v>2978</v>
      </c>
      <c r="AT102" t="str">
        <f t="shared" si="42"/>
        <v>長い下ヒゲ(反発)</v>
      </c>
      <c r="AU102">
        <f t="shared" si="43"/>
        <v>-2</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2865</v>
      </c>
      <c r="F103" s="326">
        <f>IF(C103&lt;&gt;"",_xll.RssMarket(C103,"始値"),"")</f>
        <v>2915</v>
      </c>
      <c r="G103" s="325">
        <f>IF(C103&lt;&gt;"",終値!F101,"")</f>
        <v>3087</v>
      </c>
      <c r="H103" s="326">
        <f>IF(C103&lt;&gt;"",_xll.RssMarket(C103,"高値"),"")</f>
        <v>2943</v>
      </c>
      <c r="I103" s="326">
        <f>IF(C103&lt;&gt;"",_xll.RssMarket(C103,"安値"),"")</f>
        <v>2847</v>
      </c>
      <c r="J103" s="326">
        <f>IF(C103&lt;&gt;"",_xll.RssMarket(C103,"出来高"),"")</f>
        <v>4178300</v>
      </c>
      <c r="K103" s="326">
        <f>IF(C103&lt;&gt;"",_xll.RssMarket(C103,"年初来高値"),"")</f>
        <v>3167</v>
      </c>
      <c r="L103" s="327">
        <f t="shared" si="22"/>
        <v>-9.5358383328070726</v>
      </c>
      <c r="M103" s="326">
        <f>IF(C103&lt;&gt;"",IFERROR(AVERAGE(出来高!E101:I101),""),"")</f>
        <v>12398160</v>
      </c>
      <c r="N103" s="326">
        <f>IF(C103&lt;&gt;"",IFERROR(AVERAGE(出来高!E101:AC101),""),"")</f>
        <v>7493662.5</v>
      </c>
      <c r="O103" s="328">
        <f t="shared" si="23"/>
        <v>0.33700968530814251</v>
      </c>
      <c r="P103" s="325" t="str">
        <f t="shared" si="24"/>
        <v>減少↓</v>
      </c>
      <c r="Q103" s="325" t="str">
        <f t="shared" si="25"/>
        <v>中立→</v>
      </c>
      <c r="R103" s="326">
        <f t="shared" si="26"/>
        <v>2636</v>
      </c>
      <c r="S103" s="326">
        <f t="shared" si="27"/>
        <v>2980</v>
      </c>
      <c r="T103" s="325">
        <f t="shared" si="28"/>
        <v>0</v>
      </c>
      <c r="U103" s="325" t="str">
        <f t="shared" si="29"/>
        <v>除外</v>
      </c>
      <c r="V103" s="325" t="str">
        <f t="shared" si="30"/>
        <v>通常</v>
      </c>
      <c r="W103" s="329">
        <f t="array" ref="W103">IFERROR(100-100/(1+SUMPRODUCT((終値!F101:R101&gt;終値!G101:S101)*(終値!F101:R101-終値!G101:S101))/SUMPRODUCT((終値!F101:R101&lt;終値!G101:S101)*(終値!G101:S101-終値!F101:R101))),50)</f>
        <v>53.344558395836529</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38.512060229503277</v>
      </c>
      <c r="Y103" s="325" t="str">
        <f t="shared" si="31"/>
        <v>相場上昇・見送り | 上昇トレンド▲ MACD+ RSI:53.3 前日比:-7.2% [0点]</v>
      </c>
      <c r="Z103" s="331">
        <f t="shared" si="32"/>
        <v>-7.1914480077745386</v>
      </c>
      <c r="AA103" s="325" t="str">
        <f t="shared" si="33"/>
        <v>下落▼</v>
      </c>
      <c r="AB103" s="326">
        <f>IF(OR(C103="",C103="TOPX",終値!E101=""),"",IFERROR(((終値!E101*0.333)+(終値!F101*0.222)+(終値!G101*0.148)+(終値!H101*0.099)+(終値!I101*0.066))/(0.333+0.222+0.148+0.099+0.066),""))</f>
        <v>3022.7822580645156</v>
      </c>
      <c r="AC103" s="326">
        <f>IF(OR(C103="",C103="TOPX",終値!E101=""),"",IFERROR(SUMPRODUCT((終値!E101:AC101),{0.077,0.071,0.065,0.06,0.055,0.051,0.047,0.043,0.039,0.036,0.033,0.031,0.028,0.026,0.024,0.022,0.02,0.018,0.017,0.016,0.014,0.013,0.012,0.011,0.01})/SUM({0.077,0.071,0.065,0.06,0.055,0.051,0.047,0.043,0.039,0.036,0.033,0.031,0.028,0.026,0.024,0.022,0.02,0.018,0.017,0.016,0.014,0.013,0.012,0.011,0.01}),""))</f>
        <v>2679.073301549462</v>
      </c>
      <c r="AD103" s="325" t="str">
        <f t="shared" si="34"/>
        <v>上昇トレンド▲</v>
      </c>
      <c r="AE103" s="325" t="str">
        <f t="shared" si="35"/>
        <v>なし</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 t="shared" si="36"/>
        <v>0</v>
      </c>
      <c r="AH103">
        <f t="shared" si="37"/>
        <v>0</v>
      </c>
      <c r="AI103" s="373">
        <f t="array" ref="AI103">IF(C103="","",IFERROR((INDEX(終値!$E:$E,MATCH(TEXT(C103,"0"),終値!$A:$A,0))-INDEX(終値!$E:$CZ,MATCH(TEXT(C103,"0"),終値!$A:$A,0),$AN$2))/INDEX(終値!$E:$CZ,MATCH(TEXT(C103,"0"),終値!$A:$A,0),$AN$2)*100,""))</f>
        <v>17.870722433460077</v>
      </c>
      <c r="AJ103" s="373">
        <f t="array" ref="AJ103">IFERROR((終値!$E$5-INDEX(終値!$E$5:$CZ$5,1,$AN$2))/INDEX(終値!$E$5:$CZ$5,1,$AN$2)*100,"")</f>
        <v>-0.82558151178043282</v>
      </c>
      <c r="AK103" s="374">
        <f t="shared" si="38"/>
        <v>18.696303945240508</v>
      </c>
      <c r="AL103" s="372">
        <f t="shared" si="39"/>
        <v>-2</v>
      </c>
      <c r="AO103" s="376" t="str">
        <f t="shared" si="40"/>
        <v>通常</v>
      </c>
      <c r="AP103" s="377">
        <f t="shared" si="41"/>
        <v>0</v>
      </c>
      <c r="AQ103">
        <f>IF(C103&lt;&gt;"",始値!F101,"")</f>
        <v>3058</v>
      </c>
      <c r="AR103">
        <f>IF(C103&lt;&gt;"",高値!F101,"")</f>
        <v>3133</v>
      </c>
      <c r="AS103">
        <f>IF(C103&lt;&gt;"",安値!F101,"")</f>
        <v>3015</v>
      </c>
      <c r="AT103" t="str">
        <f t="shared" si="42"/>
        <v>通常</v>
      </c>
      <c r="AU103">
        <f t="shared" si="43"/>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3382</v>
      </c>
      <c r="F104" s="333">
        <f>IF(C104&lt;&gt;"",_xll.RssMarket(C104,"始値"),"")</f>
        <v>3412</v>
      </c>
      <c r="G104" s="212">
        <f>IF(C104&lt;&gt;"",終値!F109,"")</f>
        <v>3422</v>
      </c>
      <c r="H104" s="333">
        <f>IF(C104&lt;&gt;"",_xll.RssMarket(C104,"高値"),"")</f>
        <v>3447</v>
      </c>
      <c r="I104" s="333">
        <f>IF(C104&lt;&gt;"",_xll.RssMarket(C104,"安値"),"")</f>
        <v>3351</v>
      </c>
      <c r="J104" s="333">
        <f>IF(C104&lt;&gt;"",_xll.RssMarket(C104,"出来高"),"")</f>
        <v>1737900</v>
      </c>
      <c r="K104" s="333">
        <f>IF(C104&lt;&gt;"",_xll.RssMarket(C104,"年初来高値"),"")</f>
        <v>4211</v>
      </c>
      <c r="L104" s="334">
        <f t="shared" si="22"/>
        <v>-19.686535264782712</v>
      </c>
      <c r="M104" s="333">
        <f>IF(C104&lt;&gt;"",IFERROR(AVERAGE(出来高!E109:I109),""),"")</f>
        <v>4668420</v>
      </c>
      <c r="N104" s="333">
        <f>IF(C104&lt;&gt;"",IFERROR(AVERAGE(出来高!E109:AC109),""),"")</f>
        <v>3257660</v>
      </c>
      <c r="O104" s="335">
        <f t="shared" si="23"/>
        <v>0.372267276723174</v>
      </c>
      <c r="P104" s="212" t="str">
        <f t="shared" si="24"/>
        <v>減少↓</v>
      </c>
      <c r="Q104" s="212" t="str">
        <f t="shared" si="25"/>
        <v>中立→</v>
      </c>
      <c r="R104" s="333">
        <f t="shared" si="26"/>
        <v>3111</v>
      </c>
      <c r="S104" s="333">
        <f t="shared" si="27"/>
        <v>3517</v>
      </c>
      <c r="T104" s="325">
        <f t="shared" si="28"/>
        <v>6</v>
      </c>
      <c r="U104" s="212" t="str">
        <f t="shared" si="29"/>
        <v>要確認</v>
      </c>
      <c r="V104" s="212" t="str">
        <f t="shared" si="30"/>
        <v>通常</v>
      </c>
      <c r="W104" s="336">
        <f t="array" ref="W104">IFERROR(100-100/(1+SUMPRODUCT((終値!F109:R109&gt;終値!G109:S109)*(終値!F109:R109-終値!G109:S109))/SUMPRODUCT((終値!F109:R109&lt;終値!G109:S109)*(終値!G109:S109-終値!F109:R109))),50)</f>
        <v>44.976958525345616</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17.399024434901548</v>
      </c>
      <c r="Y104" s="212" t="str">
        <f t="shared" si="31"/>
        <v>相場上昇・見送り | 下降トレンド▼ MACD+ RSI:45.0 前日比:-1.2% [6点]</v>
      </c>
      <c r="Z104" s="338">
        <f t="shared" si="32"/>
        <v>-1.168907071887785</v>
      </c>
      <c r="AA104" s="212" t="str">
        <f t="shared" si="33"/>
        <v>下落▼</v>
      </c>
      <c r="AB104" s="333">
        <f>IF(OR(C104="",C104="TOPX",終値!E109=""),"",IFERROR(((終値!E109*0.333)+(終値!F109*0.222)+(終値!G109*0.148)+(終値!H109*0.099)+(終値!I109*0.066))/(0.333+0.222+0.148+0.099+0.066),""))</f>
        <v>3544.3387096774186</v>
      </c>
      <c r="AC104" s="333">
        <f>IF(OR(C104="",C104="TOPX",終値!E109=""),"",IFERROR(SUMPRODUCT((終値!E109:AC109),{0.077,0.071,0.065,0.06,0.055,0.051,0.047,0.043,0.039,0.036,0.033,0.031,0.028,0.026,0.024,0.022,0.02,0.018,0.017,0.016,0.014,0.013,0.012,0.011,0.01})/SUM({0.077,0.071,0.065,0.06,0.055,0.051,0.047,0.043,0.039,0.036,0.033,0.031,0.028,0.026,0.024,0.022,0.02,0.018,0.017,0.016,0.014,0.013,0.012,0.011,0.01}),""))</f>
        <v>3610.2574493444567</v>
      </c>
      <c r="AD104" s="212" t="str">
        <f t="shared" si="34"/>
        <v>下降トレンド▼</v>
      </c>
      <c r="AE104" s="212" t="str">
        <f t="shared" si="35"/>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 t="shared" si="36"/>
        <v>0</v>
      </c>
      <c r="AH104">
        <f t="shared" si="37"/>
        <v>0</v>
      </c>
      <c r="AI104" s="373">
        <f t="array" ref="AI104">IF(C104="","",IFERROR((INDEX(終値!$E:$E,MATCH(TEXT(C104,"0"),終値!$A:$A,0))-INDEX(終値!$E:$CZ,MATCH(TEXT(C104,"0"),終値!$A:$A,0),$AN$2))/INDEX(終値!$E:$CZ,MATCH(TEXT(C104,"0"),終値!$A:$A,0),$AN$2)*100,""))</f>
        <v>-1.2746234067207416</v>
      </c>
      <c r="AJ104" s="373">
        <f t="array" ref="AJ104">IFERROR((終値!$E$5-INDEX(終値!$E$5:$CZ$5,1,$AN$2))/INDEX(終値!$E$5:$CZ$5,1,$AN$2)*100,"")</f>
        <v>-0.82558151178043282</v>
      </c>
      <c r="AK104" s="374">
        <f t="shared" si="38"/>
        <v>-0.44904189494030877</v>
      </c>
      <c r="AL104" s="372">
        <f t="shared" si="39"/>
        <v>1</v>
      </c>
      <c r="AO104" s="376" t="str">
        <f t="shared" si="40"/>
        <v>通常</v>
      </c>
      <c r="AP104" s="377">
        <f t="shared" si="41"/>
        <v>0</v>
      </c>
      <c r="AQ104">
        <f>IF(C104&lt;&gt;"",始値!F109,"")</f>
        <v>3536</v>
      </c>
      <c r="AR104">
        <f>IF(C104&lt;&gt;"",高値!F109,"")</f>
        <v>3604</v>
      </c>
      <c r="AS104">
        <f>IF(C104&lt;&gt;"",安値!F109,"")</f>
        <v>3407</v>
      </c>
      <c r="AT104" t="str">
        <f t="shared" si="42"/>
        <v>通常</v>
      </c>
      <c r="AU104">
        <f t="shared" si="43"/>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525.20000000000005</v>
      </c>
      <c r="F105" s="326">
        <f>IF(C105&lt;&gt;"",_xll.RssMarket(C105,"始値"),"")</f>
        <v>527.79999999999995</v>
      </c>
      <c r="G105" s="325">
        <f>IF(C105&lt;&gt;"",終値!F114,"")</f>
        <v>526.1</v>
      </c>
      <c r="H105" s="326">
        <f>IF(C105&lt;&gt;"",_xll.RssMarket(C105,"高値"),"")</f>
        <v>534.29999999999995</v>
      </c>
      <c r="I105" s="326">
        <f>IF(C105&lt;&gt;"",_xll.RssMarket(C105,"安値"),"")</f>
        <v>518.79999999999995</v>
      </c>
      <c r="J105" s="326">
        <f>IF(C105&lt;&gt;"",_xll.RssMarket(C105,"出来高"),"")</f>
        <v>20332400</v>
      </c>
      <c r="K105" s="326">
        <f>IF(C105&lt;&gt;"",_xll.RssMarket(C105,"年初来高値"),"")</f>
        <v>760</v>
      </c>
      <c r="L105" s="327">
        <f t="shared" si="22"/>
        <v>-30.894736842105257</v>
      </c>
      <c r="M105" s="326">
        <f>IF(C105&lt;&gt;"",IFERROR(AVERAGE(出来高!E114:I114),""),"")</f>
        <v>45583900</v>
      </c>
      <c r="N105" s="326">
        <f>IF(C105&lt;&gt;"",IFERROR(AVERAGE(出来高!E114:AC114),""),"")</f>
        <v>35103644</v>
      </c>
      <c r="O105" s="328">
        <f t="shared" si="23"/>
        <v>0.44604344955126701</v>
      </c>
      <c r="P105" s="325" t="str">
        <f t="shared" si="24"/>
        <v>減少↓</v>
      </c>
      <c r="Q105" s="325" t="str">
        <f t="shared" si="25"/>
        <v>中立→</v>
      </c>
      <c r="R105" s="326">
        <f t="shared" si="26"/>
        <v>483</v>
      </c>
      <c r="S105" s="326">
        <f t="shared" si="27"/>
        <v>546</v>
      </c>
      <c r="T105" s="325">
        <f t="shared" si="28"/>
        <v>3</v>
      </c>
      <c r="U105" s="325" t="str">
        <f t="shared" si="29"/>
        <v>要確認</v>
      </c>
      <c r="V105" s="325" t="str">
        <f t="shared" si="30"/>
        <v>安値圏</v>
      </c>
      <c r="W105" s="329">
        <f t="array" ref="W105">IFERROR(100-100/(1+SUMPRODUCT((終値!F114:R114&gt;終値!G114:S114)*(終値!F114:R114-終値!G114:S114))/SUMPRODUCT((終値!F114:R114&lt;終値!G114:S114)*(終値!G114:S114-終値!F114:R114))),50)</f>
        <v>69.318181818181813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6.6040220666375262</v>
      </c>
      <c r="Y105" s="325" t="str">
        <f t="shared" si="31"/>
        <v>相場上昇・見送り | パーフェクト▲ MACD+ RSI:69.3 前日比:-0.2% [安値圏]前日[長い下ヒゲ(反発)] [3点]</v>
      </c>
      <c r="Z105" s="331">
        <f t="shared" si="32"/>
        <v>-0.17107013875688601</v>
      </c>
      <c r="AA105" s="325" t="str">
        <f t="shared" si="33"/>
        <v>下落▼</v>
      </c>
      <c r="AB105" s="326">
        <f>IF(OR(C105="",C105="TOPX",終値!E114=""),"",IFERROR(((終値!E114*0.333)+(終値!F114*0.222)+(終値!G114*0.148)+(終値!H114*0.099)+(終値!I114*0.066))/(0.333+0.222+0.148+0.099+0.066),""))</f>
        <v>524.13225806451601</v>
      </c>
      <c r="AC105" s="326">
        <f>IF(OR(C105="",C105="TOPX",終値!E114=""),"",IFERROR(SUMPRODUCT((終値!E114:AC114),{0.077,0.071,0.065,0.06,0.055,0.051,0.047,0.043,0.039,0.036,0.033,0.031,0.028,0.026,0.024,0.022,0.02,0.018,0.017,0.016,0.014,0.013,0.012,0.011,0.01})/SUM({0.077,0.071,0.065,0.06,0.055,0.051,0.047,0.043,0.039,0.036,0.033,0.031,0.028,0.026,0.024,0.022,0.02,0.018,0.017,0.016,0.014,0.013,0.012,0.011,0.01}),""))</f>
        <v>509.83301549463641</v>
      </c>
      <c r="AD105" s="325" t="str">
        <f t="shared" si="34"/>
        <v>パーフェクト▲</v>
      </c>
      <c r="AE105" s="325" t="str">
        <f t="shared" si="35"/>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 t="shared" si="36"/>
        <v>0</v>
      </c>
      <c r="AH105">
        <f t="shared" si="37"/>
        <v>0</v>
      </c>
      <c r="AI105" s="373">
        <f t="array" ref="AI105">IF(C105="","",IFERROR((INDEX(終値!$E:$E,MATCH(TEXT(C105,"0"),終値!$A:$A,0))-INDEX(終値!$E:$CZ,MATCH(TEXT(C105,"0"),終値!$A:$A,0),$AN$2))/INDEX(終値!$E:$CZ,MATCH(TEXT(C105,"0"),終値!$A:$A,0),$AN$2)*100,""))</f>
        <v>13.16017316017315</v>
      </c>
      <c r="AJ105" s="373">
        <f t="array" ref="AJ105">IFERROR((終値!$E$5-INDEX(終値!$E$5:$CZ$5,1,$AN$2))/INDEX(終値!$E$5:$CZ$5,1,$AN$2)*100,"")</f>
        <v>-0.82558151178043282</v>
      </c>
      <c r="AK105" s="374">
        <f t="shared" si="38"/>
        <v>13.985754671953583</v>
      </c>
      <c r="AL105" s="372">
        <f t="shared" si="39"/>
        <v>-2</v>
      </c>
      <c r="AO105" s="376" t="str">
        <f t="shared" si="40"/>
        <v>通常</v>
      </c>
      <c r="AP105" s="377">
        <f t="shared" si="41"/>
        <v>0</v>
      </c>
      <c r="AQ105">
        <f>IF(C105&lt;&gt;"",始値!F114,"")</f>
        <v>517.20000000000005</v>
      </c>
      <c r="AR105">
        <f>IF(C105&lt;&gt;"",高値!F114,"")</f>
        <v>529.70000000000005</v>
      </c>
      <c r="AS105">
        <f>IF(C105&lt;&gt;"",安値!F114,"")</f>
        <v>485.8</v>
      </c>
      <c r="AT105" t="str">
        <f t="shared" si="42"/>
        <v>長い下ヒゲ(反発)</v>
      </c>
      <c r="AU105">
        <f t="shared" si="43"/>
        <v>-2</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4605</v>
      </c>
      <c r="F106" s="333">
        <f>IF(C106&lt;&gt;"",_xll.RssMarket(C106,"始値"),"")</f>
        <v>4550</v>
      </c>
      <c r="G106" s="212">
        <f>IF(C106&lt;&gt;"",終値!F120,"")</f>
        <v>4470</v>
      </c>
      <c r="H106" s="333">
        <f>IF(C106&lt;&gt;"",_xll.RssMarket(C106,"高値"),"")</f>
        <v>4605</v>
      </c>
      <c r="I106" s="333">
        <f>IF(C106&lt;&gt;"",_xll.RssMarket(C106,"安値"),"")</f>
        <v>4545</v>
      </c>
      <c r="J106" s="333">
        <f>IF(C106&lt;&gt;"",_xll.RssMarket(C106,"出来高"),"")</f>
        <v>37900</v>
      </c>
      <c r="K106" s="333">
        <f>IF(C106&lt;&gt;"",_xll.RssMarket(C106,"年初来高値"),"")</f>
        <v>5020</v>
      </c>
      <c r="L106" s="334">
        <f t="shared" si="22"/>
        <v>-8.2669322709163335</v>
      </c>
      <c r="M106" s="333">
        <f>IF(C106&lt;&gt;"",IFERROR(AVERAGE(出来高!E120:I120),""),"")</f>
        <v>101300</v>
      </c>
      <c r="N106" s="333">
        <f>IF(C106&lt;&gt;"",IFERROR(AVERAGE(出来高!E120:AC120),""),"")</f>
        <v>79408.333333333328</v>
      </c>
      <c r="O106" s="335">
        <f t="shared" si="23"/>
        <v>0.37413622902270482</v>
      </c>
      <c r="P106" s="212" t="str">
        <f t="shared" si="24"/>
        <v>減少↓</v>
      </c>
      <c r="Q106" s="212" t="str">
        <f t="shared" si="25"/>
        <v>様子見▲</v>
      </c>
      <c r="R106" s="333">
        <f t="shared" si="26"/>
        <v>4237</v>
      </c>
      <c r="S106" s="333">
        <f t="shared" si="27"/>
        <v>4789</v>
      </c>
      <c r="T106" s="325">
        <f t="shared" si="28"/>
        <v>1</v>
      </c>
      <c r="U106" s="212" t="str">
        <f t="shared" si="29"/>
        <v>除外</v>
      </c>
      <c r="V106" s="212" t="str">
        <f t="shared" si="30"/>
        <v>通常</v>
      </c>
      <c r="W106" s="336">
        <f t="array" ref="W106">IFERROR(100-100/(1+SUMPRODUCT((終値!F120:R120&gt;終値!G120:S120)*(終値!F120:R120-終値!G120:S120))/SUMPRODUCT((終値!F120:R120&lt;終値!G120:S120)*(終値!G120:S120-終値!F120:R120))),50)</f>
        <v>51.280653950953678</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-7.7822312618636715</v>
      </c>
      <c r="Y106" s="212" t="str">
        <f t="shared" si="31"/>
        <v>相場上昇・見送り | パーフェクト▲ MACD- RSI:51.3 前日比:+3.0% [1点]</v>
      </c>
      <c r="Z106" s="338">
        <f t="shared" si="32"/>
        <v>3.0201342281879198</v>
      </c>
      <c r="AA106" s="212" t="str">
        <f t="shared" si="33"/>
        <v>上昇▲</v>
      </c>
      <c r="AB106" s="333">
        <f>IF(OR(C106="",C106="TOPX",終値!E120=""),"",IFERROR(((終値!E120*0.333)+(終値!F120*0.222)+(終値!G120*0.148)+(終値!H120*0.099)+(終値!I120*0.066))/(0.333+0.222+0.148+0.099+0.066),""))</f>
        <v>4459.0552995391699</v>
      </c>
      <c r="AC106" s="333">
        <f>IF(OR(C106="",C106="TOPX",終値!E120=""),"",IFERROR(SUMPRODUCT((終値!E120:AC120),{0.077,0.071,0.065,0.06,0.055,0.051,0.047,0.043,0.039,0.036,0.033,0.031,0.028,0.026,0.024,0.022,0.02,0.018,0.017,0.016,0.014,0.013,0.012,0.011,0.01})/SUM({0.077,0.071,0.065,0.06,0.055,0.051,0.047,0.043,0.039,0.036,0.033,0.031,0.028,0.026,0.024,0.022,0.02,0.018,0.017,0.016,0.014,0.013,0.012,0.011,0.01}),""))</f>
        <v>4135.5303933253845</v>
      </c>
      <c r="AD106" s="212" t="str">
        <f t="shared" si="34"/>
        <v>パーフェクト▲</v>
      </c>
      <c r="AE106" s="212" t="str">
        <f t="shared" si="35"/>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 t="shared" si="36"/>
        <v>0</v>
      </c>
      <c r="AH106">
        <f t="shared" si="37"/>
        <v>0</v>
      </c>
      <c r="AI106" s="373">
        <f t="array" ref="AI106">IF(C106="","",IFERROR((INDEX(終値!$E:$E,MATCH(TEXT(C106,"0"),終値!$A:$A,0))-INDEX(終値!$E:$CZ,MATCH(TEXT(C106,"0"),終値!$A:$A,0),$AN$2))/INDEX(終値!$E:$CZ,MATCH(TEXT(C106,"0"),終値!$A:$A,0),$AN$2)*100,""))</f>
        <v>8.19277108433735</v>
      </c>
      <c r="AJ106" s="373">
        <f t="array" ref="AJ106">IFERROR((終値!$E$5-INDEX(終値!$E$5:$CZ$5,1,$AN$2))/INDEX(終値!$E$5:$CZ$5,1,$AN$2)*100,"")</f>
        <v>-0.82558151178043282</v>
      </c>
      <c r="AK106" s="374">
        <f t="shared" si="38"/>
        <v>9.0183525961177828</v>
      </c>
      <c r="AL106" s="372">
        <f t="shared" si="39"/>
        <v>-2</v>
      </c>
      <c r="AO106" s="376" t="str">
        <f t="shared" si="40"/>
        <v>通常</v>
      </c>
      <c r="AP106" s="377">
        <f t="shared" si="41"/>
        <v>0</v>
      </c>
      <c r="AQ106">
        <f>IF(C106&lt;&gt;"",始値!F120,"")</f>
        <v>4415</v>
      </c>
      <c r="AR106">
        <f>IF(C106&lt;&gt;"",高値!F120,"")</f>
        <v>4490</v>
      </c>
      <c r="AS106">
        <f>IF(C106&lt;&gt;"",安値!F120,"")</f>
        <v>4370</v>
      </c>
      <c r="AT106" t="str">
        <f t="shared" si="42"/>
        <v>通常</v>
      </c>
      <c r="AU106">
        <f t="shared" si="43"/>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1023</v>
      </c>
      <c r="F107" s="326">
        <f>IF(C107&lt;&gt;"",_xll.RssMarket(C107,"始値"),"")</f>
        <v>1010</v>
      </c>
      <c r="G107" s="325">
        <f>IF(C107&lt;&gt;"",終値!F126,"")</f>
        <v>1027</v>
      </c>
      <c r="H107" s="326">
        <f>IF(C107&lt;&gt;"",_xll.RssMarket(C107,"高値"),"")</f>
        <v>1025</v>
      </c>
      <c r="I107" s="326">
        <f>IF(C107&lt;&gt;"",_xll.RssMarket(C107,"安値"),"")</f>
        <v>1009</v>
      </c>
      <c r="J107" s="326">
        <f>IF(C107&lt;&gt;"",_xll.RssMarket(C107,"出来高"),"")</f>
        <v>101600</v>
      </c>
      <c r="K107" s="326">
        <f>IF(C107&lt;&gt;"",_xll.RssMarket(C107,"年初来高値"),"")</f>
        <v>1343</v>
      </c>
      <c r="L107" s="327">
        <f t="shared" si="22"/>
        <v>-23.827252419955325</v>
      </c>
      <c r="M107" s="326">
        <f>IF(C107&lt;&gt;"",IFERROR(AVERAGE(出来高!E126:I126),""),"")</f>
        <v>361840</v>
      </c>
      <c r="N107" s="326">
        <f>IF(C107&lt;&gt;"",IFERROR(AVERAGE(出来高!E126:AC126),""),"")</f>
        <v>357804</v>
      </c>
      <c r="O107" s="328">
        <f t="shared" si="23"/>
        <v>0.28078708821578596</v>
      </c>
      <c r="P107" s="325" t="str">
        <f t="shared" si="24"/>
        <v>減少↓</v>
      </c>
      <c r="Q107" s="325" t="str">
        <f t="shared" si="25"/>
        <v>中立→</v>
      </c>
      <c r="R107" s="326">
        <f t="shared" si="26"/>
        <v>941</v>
      </c>
      <c r="S107" s="326">
        <f t="shared" si="27"/>
        <v>1064</v>
      </c>
      <c r="T107" s="325">
        <f t="shared" si="28"/>
        <v>0</v>
      </c>
      <c r="U107" s="325" t="str">
        <f t="shared" si="29"/>
        <v>除外</v>
      </c>
      <c r="V107" s="325" t="str">
        <f t="shared" si="30"/>
        <v>通常</v>
      </c>
      <c r="W107" s="329">
        <f t="array" ref="W107">IFERROR(100-100/(1+SUMPRODUCT((終値!F126:R126&gt;終値!G126:S126)*(終値!F126:R126-終値!G126:S126))/SUMPRODUCT((終値!F126:R126&lt;終値!G126:S126)*(終値!G126:S126-終値!F126:R126))),50)</f>
        <v>55.038759689922479</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2.5025234935657181</v>
      </c>
      <c r="Y107" s="325" t="str">
        <f t="shared" si="31"/>
        <v>相場上昇・見送り | 上昇トレンド▲ 5日戻り売り○ MACD+ RSI:55.0 前日比:-0.4%前日[長い下ヒゲ(反発)] [0点]</v>
      </c>
      <c r="Z107" s="331">
        <f t="shared" si="32"/>
        <v>-0.38948393378773127</v>
      </c>
      <c r="AA107" s="325" t="str">
        <f t="shared" si="33"/>
        <v>下落▼</v>
      </c>
      <c r="AB107" s="326">
        <f>IF(OR(C107="",C107="TOPX",終値!E126=""),"",IFERROR(((終値!E126*0.333)+(終値!F126*0.222)+(終値!G126*0.148)+(終値!H126*0.099)+(終値!I126*0.066))/(0.333+0.222+0.148+0.099+0.066),""))</f>
        <v>1024.1589861751152</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1014.38021454112</v>
      </c>
      <c r="AD107" s="325" t="str">
        <f t="shared" si="34"/>
        <v>上昇トレンド▲</v>
      </c>
      <c r="AE107" s="325" t="str">
        <f t="shared" si="35"/>
        <v>5日戻り売り○</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 t="shared" si="36"/>
        <v>0</v>
      </c>
      <c r="AH107">
        <f t="shared" si="37"/>
        <v>0</v>
      </c>
      <c r="AI107" s="373">
        <f t="array" ref="AI107">IF(C107="","",IFERROR((INDEX(終値!$E:$E,MATCH(TEXT(C107,"0"),終値!$A:$A,0))-INDEX(終値!$E:$CZ,MATCH(TEXT(C107,"0"),終値!$A:$A,0),$AN$2))/INDEX(終値!$E:$CZ,MATCH(TEXT(C107,"0"),終値!$A:$A,0),$AN$2)*100,""))</f>
        <v>3.4871794871794872</v>
      </c>
      <c r="AJ107" s="373">
        <f t="array" ref="AJ107">IFERROR((終値!$E$5-INDEX(終値!$E$5:$CZ$5,1,$AN$2))/INDEX(終値!$E$5:$CZ$5,1,$AN$2)*100,"")</f>
        <v>-0.82558151178043282</v>
      </c>
      <c r="AK107" s="374">
        <f t="shared" si="38"/>
        <v>4.31276099895992</v>
      </c>
      <c r="AL107" s="372">
        <f t="shared" si="39"/>
        <v>-2</v>
      </c>
      <c r="AO107" s="376" t="str">
        <f t="shared" si="40"/>
        <v>通常</v>
      </c>
      <c r="AP107" s="377">
        <f t="shared" si="41"/>
        <v>0</v>
      </c>
      <c r="AQ107">
        <f>IF(C107&lt;&gt;"",始値!F126,"")</f>
        <v>1032</v>
      </c>
      <c r="AR107">
        <f>IF(C107&lt;&gt;"",高値!F126,"")</f>
        <v>1033</v>
      </c>
      <c r="AS107">
        <f>IF(C107&lt;&gt;"",安値!F126,"")</f>
        <v>1015</v>
      </c>
      <c r="AT107" t="str">
        <f t="shared" si="42"/>
        <v>長い下ヒゲ(反発)</v>
      </c>
      <c r="AU107">
        <f t="shared" si="43"/>
        <v>-2</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7530</v>
      </c>
      <c r="F108" s="333">
        <f>IF(C108&lt;&gt;"",_xll.RssMarket(C108,"始値"),"")</f>
        <v>7180</v>
      </c>
      <c r="G108" s="212">
        <f>IF(C108&lt;&gt;"",終値!F132,"")</f>
        <v>6470</v>
      </c>
      <c r="H108" s="333">
        <f>IF(C108&lt;&gt;"",_xll.RssMarket(C108,"高値"),"")</f>
        <v>7600</v>
      </c>
      <c r="I108" s="333">
        <f>IF(C108&lt;&gt;"",_xll.RssMarket(C108,"安値"),"")</f>
        <v>7080</v>
      </c>
      <c r="J108" s="333">
        <f>IF(C108&lt;&gt;"",_xll.RssMarket(C108,"出来高"),"")</f>
        <v>937300</v>
      </c>
      <c r="K108" s="333">
        <f>IF(C108&lt;&gt;"",_xll.RssMarket(C108,"年初来高値"),"")</f>
        <v>9190</v>
      </c>
      <c r="L108" s="334">
        <f t="shared" si="22"/>
        <v>-18.063112078346027</v>
      </c>
      <c r="M108" s="333">
        <f>IF(C108&lt;&gt;"",IFERROR(AVERAGE(出来高!E132:I132),""),"")</f>
        <v>1147560</v>
      </c>
      <c r="N108" s="333">
        <f>IF(C108&lt;&gt;"",IFERROR(AVERAGE(出来高!E132:AC132),""),"")</f>
        <v>1461208.3333333333</v>
      </c>
      <c r="O108" s="335">
        <f t="shared" si="23"/>
        <v>0.81677646484715394</v>
      </c>
      <c r="P108" s="212" t="str">
        <f t="shared" si="24"/>
        <v>減少↓</v>
      </c>
      <c r="Q108" s="212" t="str">
        <f t="shared" si="25"/>
        <v>様子見▲</v>
      </c>
      <c r="R108" s="333">
        <f t="shared" si="26"/>
        <v>6928</v>
      </c>
      <c r="S108" s="333">
        <f t="shared" si="27"/>
        <v>7831</v>
      </c>
      <c r="T108" s="325">
        <f t="shared" si="28"/>
        <v>2</v>
      </c>
      <c r="U108" s="212" t="str">
        <f t="shared" si="29"/>
        <v>除外</v>
      </c>
      <c r="V108" s="212" t="str">
        <f t="shared" si="30"/>
        <v>通常</v>
      </c>
      <c r="W108" s="336">
        <f t="array" ref="W108">IFERROR(100-100/(1+SUMPRODUCT((終値!F132:R132&gt;終値!G132:S132)*(終値!F132:R132-終値!G132:S132))/SUMPRODUCT((終値!F132:R132&lt;終値!G132:S132)*(終値!G132:S132-終値!F132:R132))),50)</f>
        <v>46.555323590814197</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-130.05144503838892</v>
      </c>
      <c r="Y108" s="212" t="str">
        <f t="shared" si="31"/>
        <v>相場上昇・見送り | パーフェクト▲ MACD- RSI:46.6 前日比:+16.4% [2点]</v>
      </c>
      <c r="Z108" s="338">
        <f t="shared" si="32"/>
        <v>16.383307573415763</v>
      </c>
      <c r="AA108" s="212" t="str">
        <f t="shared" si="33"/>
        <v>上昇▲</v>
      </c>
      <c r="AB108" s="333">
        <f>IF(OR(C108="",C108="TOPX",終値!E132=""),"",IFERROR(((終値!E132*0.333)+(終値!F132*0.222)+(終値!G132*0.148)+(終値!H132*0.099)+(終値!I132*0.066))/(0.333+0.222+0.148+0.099+0.066),""))</f>
        <v>6468.294930875576</v>
      </c>
      <c r="AC108" s="333">
        <f>IF(OR(C108="",C108="TOPX",終値!E132=""),"",IFERROR(SUMPRODUCT((終値!E132:AC132),{0.077,0.071,0.065,0.06,0.055,0.051,0.047,0.043,0.039,0.036,0.033,0.031,0.028,0.026,0.024,0.022,0.02,0.018,0.017,0.016,0.014,0.013,0.012,0.011,0.01})/SUM({0.077,0.071,0.065,0.06,0.055,0.051,0.047,0.043,0.039,0.036,0.033,0.031,0.028,0.026,0.024,0.022,0.02,0.018,0.017,0.016,0.014,0.013,0.012,0.011,0.01}),""))</f>
        <v>6251.1680572109617</v>
      </c>
      <c r="AD108" s="212" t="str">
        <f t="shared" si="34"/>
        <v>パーフェクト▲</v>
      </c>
      <c r="AE108" s="212" t="str">
        <f t="shared" si="35"/>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 t="shared" si="36"/>
        <v>0</v>
      </c>
      <c r="AH108">
        <f t="shared" si="37"/>
        <v>0</v>
      </c>
      <c r="AI108" s="373">
        <f t="array" ref="AI108">IF(C108="","",IFERROR((INDEX(終値!$E:$E,MATCH(TEXT(C108,"0"),終値!$A:$A,0))-INDEX(終値!$E:$CZ,MATCH(TEXT(C108,"0"),終値!$A:$A,0),$AN$2))/INDEX(終値!$E:$CZ,MATCH(TEXT(C108,"0"),終値!$A:$A,0),$AN$2)*100,""))</f>
        <v>1.4858841010401187</v>
      </c>
      <c r="AJ108" s="373">
        <f t="array" ref="AJ108">IFERROR((終値!$E$5-INDEX(終値!$E$5:$CZ$5,1,$AN$2))/INDEX(終値!$E$5:$CZ$5,1,$AN$2)*100,"")</f>
        <v>-0.82558151178043282</v>
      </c>
      <c r="AK108" s="374">
        <f t="shared" si="38"/>
        <v>2.3114656128205517</v>
      </c>
      <c r="AL108" s="372">
        <f t="shared" si="39"/>
        <v>-1</v>
      </c>
      <c r="AO108" s="376" t="str">
        <f t="shared" si="40"/>
        <v>通常</v>
      </c>
      <c r="AP108" s="377">
        <f t="shared" si="41"/>
        <v>0</v>
      </c>
      <c r="AQ108">
        <f>IF(C108&lt;&gt;"",始値!F132,"")</f>
        <v>6310</v>
      </c>
      <c r="AR108">
        <f>IF(C108&lt;&gt;"",高値!F132,"")</f>
        <v>6740</v>
      </c>
      <c r="AS108">
        <f>IF(C108&lt;&gt;"",安値!F132,"")</f>
        <v>6310</v>
      </c>
      <c r="AT108" t="str">
        <f t="shared" si="42"/>
        <v>通常</v>
      </c>
      <c r="AU108">
        <f t="shared" si="43"/>
        <v>0</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3450</v>
      </c>
      <c r="F109" s="326">
        <f>IF(C109&lt;&gt;"",_xll.RssMarket(C109,"始値"),"")</f>
        <v>3350</v>
      </c>
      <c r="G109" s="325">
        <f>IF(C109&lt;&gt;"",終値!F134,"")</f>
        <v>0</v>
      </c>
      <c r="H109" s="326">
        <f>IF(C109&lt;&gt;"",_xll.RssMarket(C109,"高値"),"")</f>
        <v>3610</v>
      </c>
      <c r="I109" s="326">
        <f>IF(C109&lt;&gt;"",_xll.RssMarket(C109,"安値"),"")</f>
        <v>3350</v>
      </c>
      <c r="J109" s="326">
        <f>IF(C109&lt;&gt;"",_xll.RssMarket(C109,"出来高"),"")</f>
        <v>8213100</v>
      </c>
      <c r="K109" s="326">
        <f>IF(C109&lt;&gt;"",_xll.RssMarket(C109,"年初来高値"),"")</f>
        <v>4580</v>
      </c>
      <c r="L109" s="327">
        <f t="shared" si="22"/>
        <v>-24.672489082969431</v>
      </c>
      <c r="M109" s="326" t="str">
        <f>IF(C109&lt;&gt;"",IFERROR(AVERAGE(出来高!E134:I134),""),"")</f>
        <v/>
      </c>
      <c r="N109" s="326" t="str">
        <f>IF(C109&lt;&gt;"",IFERROR(AVERAGE(出来高!E134:AC134),""),"")</f>
        <v/>
      </c>
      <c r="O109" s="328" t="str">
        <f t="shared" si="23"/>
        <v/>
      </c>
      <c r="P109" s="325" t="str">
        <f t="shared" si="24"/>
        <v/>
      </c>
      <c r="Q109" s="325" t="str">
        <f t="shared" si="25"/>
        <v>様子見▲</v>
      </c>
      <c r="R109" s="326">
        <f t="shared" si="26"/>
        <v>3174</v>
      </c>
      <c r="S109" s="326">
        <f t="shared" si="27"/>
        <v>3588</v>
      </c>
      <c r="T109" s="325">
        <f t="shared" si="28"/>
        <v>4</v>
      </c>
      <c r="U109" s="325" t="str">
        <f t="shared" si="29"/>
        <v>有効</v>
      </c>
      <c r="V109" s="325" t="str">
        <f t="shared" si="30"/>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0</v>
      </c>
      <c r="Y109" s="325" t="str">
        <f t="shared" si="31"/>
        <v>相場上昇・見送り |   MACD+ RSI:50.0 前日比:% [安値圏] [4点]</v>
      </c>
      <c r="Z109" s="331" t="str">
        <f t="shared" si="32"/>
        <v/>
      </c>
      <c r="AA109" s="325" t="str">
        <f t="shared" si="33"/>
        <v>上昇▲</v>
      </c>
      <c r="AB109" s="326" t="str">
        <f>IF(OR(C109="",C109="TOPX",終値!E134=""),"",IFERROR(((終値!E134*0.333)+(終値!F134*0.222)+(終値!G134*0.148)+(終値!H134*0.099)+(終値!I134*0.066))/(0.333+0.222+0.148+0.099+0.066),""))</f>
        <v/>
      </c>
      <c r="AC109" s="326" t="str">
        <f>IF(OR(C109="",C109="TOPX",終値!E134=""),"",IFERROR(SUMPRODUCT((終値!E134:AC134),{0.077,0.071,0.065,0.06,0.055,0.051,0.047,0.043,0.039,0.036,0.033,0.031,0.028,0.026,0.024,0.022,0.02,0.018,0.017,0.016,0.014,0.013,0.012,0.011,0.01})/SUM({0.077,0.071,0.065,0.06,0.055,0.051,0.047,0.043,0.039,0.036,0.033,0.031,0.028,0.026,0.024,0.022,0.02,0.018,0.017,0.016,0.014,0.013,0.012,0.011,0.01}),""))</f>
        <v/>
      </c>
      <c r="AD109" s="325" t="str">
        <f t="shared" si="34"/>
        <v/>
      </c>
      <c r="AE109" s="325" t="str">
        <f t="shared" si="35"/>
        <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 t="shared" si="36"/>
        <v>0</v>
      </c>
      <c r="AH109">
        <f t="shared" si="37"/>
        <v>0</v>
      </c>
      <c r="AI109" s="373" t="str">
        <f t="array" ref="AI109">IF(C109="","",IFERROR((INDEX(終値!$E:$E,MATCH(TEXT(C109,"0"),終値!$A:$A,0))-INDEX(終値!$E:$CZ,MATCH(TEXT(C109,"0"),終値!$A:$A,0),$AN$2))/INDEX(終値!$E:$CZ,MATCH(TEXT(C109,"0"),終値!$A:$A,0),$AN$2)*100,""))</f>
        <v/>
      </c>
      <c r="AJ109" s="373">
        <f t="array" ref="AJ109">IFERROR((終値!$E$5-INDEX(終値!$E$5:$CZ$5,1,$AN$2))/INDEX(終値!$E$5:$CZ$5,1,$AN$2)*100,"")</f>
        <v>-0.82558151178043282</v>
      </c>
      <c r="AK109" s="374" t="str">
        <f t="shared" si="38"/>
        <v/>
      </c>
      <c r="AL109" s="372" t="str">
        <f t="shared" si="39"/>
        <v/>
      </c>
      <c r="AO109" s="376" t="str">
        <f t="shared" si="40"/>
        <v>通常</v>
      </c>
      <c r="AP109" s="377">
        <f t="shared" si="41"/>
        <v>0</v>
      </c>
      <c r="AQ109">
        <f>IF(C109&lt;&gt;"",始値!F134,"")</f>
        <v>0</v>
      </c>
      <c r="AR109">
        <f>IF(C109&lt;&gt;"",高値!F134,"")</f>
        <v>0</v>
      </c>
      <c r="AS109">
        <f>IF(C109&lt;&gt;"",安値!F134,"")</f>
        <v>0</v>
      </c>
      <c r="AT109" t="str">
        <f t="shared" si="42"/>
        <v>-</v>
      </c>
      <c r="AU109">
        <f t="shared" si="43"/>
        <v>0</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2573.5</v>
      </c>
      <c r="F110" s="333">
        <f>IF(C110&lt;&gt;"",_xll.RssMarket(C110,"始値"),"")</f>
        <v>2509</v>
      </c>
      <c r="G110" s="212">
        <f>IF(C110&lt;&gt;"",終値!F142,"")</f>
        <v>2570</v>
      </c>
      <c r="H110" s="333">
        <f>IF(C110&lt;&gt;"",_xll.RssMarket(C110,"高値"),"")</f>
        <v>2586.5</v>
      </c>
      <c r="I110" s="333">
        <f>IF(C110&lt;&gt;"",_xll.RssMarket(C110,"安値"),"")</f>
        <v>2508</v>
      </c>
      <c r="J110" s="333">
        <f>IF(C110&lt;&gt;"",_xll.RssMarket(C110,"出来高"),"")</f>
        <v>3828900</v>
      </c>
      <c r="K110" s="333">
        <f>IF(C110&lt;&gt;"",_xll.RssMarket(C110,"年初来高値"),"")</f>
        <v>3625</v>
      </c>
      <c r="L110" s="334">
        <f t="shared" si="22"/>
        <v>-29.006896551724136</v>
      </c>
      <c r="M110" s="333">
        <f>IF(C110&lt;&gt;"",IFERROR(AVERAGE(出来高!E142:I142),""),"")</f>
        <v>10120720</v>
      </c>
      <c r="N110" s="333">
        <f>IF(C110&lt;&gt;"",IFERROR(AVERAGE(出来高!E142:AC142),""),"")</f>
        <v>7103808</v>
      </c>
      <c r="O110" s="335">
        <f t="shared" si="23"/>
        <v>0.37832288611877418</v>
      </c>
      <c r="P110" s="212" t="str">
        <f t="shared" si="24"/>
        <v>減少↓</v>
      </c>
      <c r="Q110" s="212" t="str">
        <f t="shared" si="25"/>
        <v>様子見▲</v>
      </c>
      <c r="R110" s="333">
        <f t="shared" si="26"/>
        <v>2368</v>
      </c>
      <c r="S110" s="333">
        <f t="shared" si="27"/>
        <v>2676</v>
      </c>
      <c r="T110" s="325">
        <f t="shared" si="28"/>
        <v>7</v>
      </c>
      <c r="U110" s="212" t="str">
        <f t="shared" si="29"/>
        <v>要確認</v>
      </c>
      <c r="V110" s="212" t="str">
        <f t="shared" si="30"/>
        <v>安値圏</v>
      </c>
      <c r="W110" s="336">
        <f t="array" ref="W110">IFERROR(100-100/(1+SUMPRODUCT((終値!F142:R142&gt;終値!G142:S142)*(終値!F142:R142-終値!G142:S142))/SUMPRODUCT((終値!F142:R142&lt;終値!G142:S142)*(終値!G142:S142-終値!F142:R142))),50)</f>
        <v>41.019955654101999</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1.0845250936199591E-2</v>
      </c>
      <c r="Y110" s="212" t="str">
        <f t="shared" si="31"/>
        <v>相場上昇・見送り | 下降トレンド▼ MACD+ RSI:41.0 前日比:+0.1% [安値圏] [7点]</v>
      </c>
      <c r="Z110" s="338">
        <f t="shared" si="32"/>
        <v>0.13618677042801555</v>
      </c>
      <c r="AA110" s="212" t="str">
        <f t="shared" si="33"/>
        <v>上昇▲</v>
      </c>
      <c r="AB110" s="333">
        <f>IF(OR(C110="",C110="TOPX",終値!E142=""),"",IFERROR(((終値!E142*0.333)+(終値!F142*0.222)+(終値!G142*0.148)+(終値!H142*0.099)+(終値!I142*0.066))/(0.333+0.222+0.148+0.099+0.066),""))</f>
        <v>2603.1682027649767</v>
      </c>
      <c r="AC110" s="333">
        <f>IF(OR(C110="",C110="TOPX",終値!E142=""),"",IFERROR(SUMPRODUCT((終値!E142:AC142),{0.077,0.071,0.065,0.06,0.055,0.051,0.047,0.043,0.039,0.036,0.033,0.031,0.028,0.026,0.024,0.022,0.02,0.018,0.017,0.016,0.014,0.013,0.012,0.011,0.01})/SUM({0.077,0.071,0.065,0.06,0.055,0.051,0.047,0.043,0.039,0.036,0.033,0.031,0.028,0.026,0.024,0.022,0.02,0.018,0.017,0.016,0.014,0.013,0.012,0.011,0.01}),""))</f>
        <v>2718.7592371871256</v>
      </c>
      <c r="AD110" s="212" t="str">
        <f t="shared" si="34"/>
        <v>下降トレンド▼</v>
      </c>
      <c r="AE110" s="212" t="str">
        <f t="shared" si="35"/>
        <v>なし</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相場上昇・見送り</v>
      </c>
      <c r="AG110">
        <f t="shared" si="36"/>
        <v>7</v>
      </c>
      <c r="AH110">
        <f t="shared" si="37"/>
        <v>69890</v>
      </c>
      <c r="AI110" s="373">
        <f t="array" ref="AI110">IF(C110="","",IFERROR((INDEX(終値!$E:$E,MATCH(TEXT(C110,"0"),終値!$A:$A,0))-INDEX(終値!$E:$CZ,MATCH(TEXT(C110,"0"),終値!$A:$A,0),$AN$2))/INDEX(終値!$E:$CZ,MATCH(TEXT(C110,"0"),終値!$A:$A,0),$AN$2)*100,""))</f>
        <v>-4.3611323641928079</v>
      </c>
      <c r="AJ110" s="373">
        <f t="array" ref="AJ110">IFERROR((終値!$E$5-INDEX(終値!$E$5:$CZ$5,1,$AN$2))/INDEX(終値!$E$5:$CZ$5,1,$AN$2)*100,"")</f>
        <v>-0.82558151178043282</v>
      </c>
      <c r="AK110" s="374">
        <f t="shared" si="38"/>
        <v>-3.5355508524123751</v>
      </c>
      <c r="AL110" s="372">
        <f t="shared" si="39"/>
        <v>1</v>
      </c>
      <c r="AO110" s="376" t="str">
        <f t="shared" si="40"/>
        <v>通常</v>
      </c>
      <c r="AP110" s="377">
        <f t="shared" si="41"/>
        <v>0</v>
      </c>
      <c r="AQ110">
        <f>IF(C110&lt;&gt;"",始値!F142,"")</f>
        <v>2574</v>
      </c>
      <c r="AR110">
        <f>IF(C110&lt;&gt;"",高値!F142,"")</f>
        <v>2625</v>
      </c>
      <c r="AS110">
        <f>IF(C110&lt;&gt;"",安値!F142,"")</f>
        <v>2541</v>
      </c>
      <c r="AT110" t="str">
        <f t="shared" si="42"/>
        <v>通常</v>
      </c>
      <c r="AU110">
        <f t="shared" si="43"/>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1709</v>
      </c>
      <c r="F111" s="326">
        <f>IF(C111&lt;&gt;"",_xll.RssMarket(C111,"始値"),"")</f>
        <v>1746</v>
      </c>
      <c r="G111" s="325">
        <f>IF(C111&lt;&gt;"",終値!F143,"")</f>
        <v>1500</v>
      </c>
      <c r="H111" s="326">
        <f>IF(C111&lt;&gt;"",_xll.RssMarket(C111,"高値"),"")</f>
        <v>1783</v>
      </c>
      <c r="I111" s="326">
        <f>IF(C111&lt;&gt;"",_xll.RssMarket(C111,"安値"),"")</f>
        <v>1653</v>
      </c>
      <c r="J111" s="326">
        <f>IF(C111&lt;&gt;"",_xll.RssMarket(C111,"出来高"),"")</f>
        <v>917000</v>
      </c>
      <c r="K111" s="326">
        <f>IF(C111&lt;&gt;"",_xll.RssMarket(C111,"年初来高値"),"")</f>
        <v>2580</v>
      </c>
      <c r="L111" s="327">
        <f t="shared" si="22"/>
        <v>-33.759689922480618</v>
      </c>
      <c r="M111" s="326">
        <f>IF(C111&lt;&gt;"",IFERROR(AVERAGE(出来高!E143:I143),""),"")</f>
        <v>1376860</v>
      </c>
      <c r="N111" s="326">
        <f>IF(C111&lt;&gt;"",IFERROR(AVERAGE(出来高!E143:AC143),""),"")</f>
        <v>2618592</v>
      </c>
      <c r="O111" s="328">
        <f t="shared" si="23"/>
        <v>0.66600816350246217</v>
      </c>
      <c r="P111" s="325" t="str">
        <f t="shared" si="24"/>
        <v>減少↓</v>
      </c>
      <c r="Q111" s="325" t="str">
        <f t="shared" si="25"/>
        <v>様子見▲</v>
      </c>
      <c r="R111" s="326">
        <f t="shared" si="26"/>
        <v>1572</v>
      </c>
      <c r="S111" s="326">
        <f t="shared" si="27"/>
        <v>1777</v>
      </c>
      <c r="T111" s="325">
        <f t="shared" si="28"/>
        <v>4</v>
      </c>
      <c r="U111" s="325" t="str">
        <f t="shared" si="29"/>
        <v>要確認</v>
      </c>
      <c r="V111" s="325" t="str">
        <f t="shared" si="30"/>
        <v>安値圏</v>
      </c>
      <c r="W111" s="329">
        <f t="array" ref="W111">IFERROR(100-100/(1+SUMPRODUCT((終値!F143:R143&gt;終値!G143:S143)*(終値!F143:R143-終値!G143:S143))/SUMPRODUCT((終値!F143:R143&lt;終値!G143:S143)*(終値!G143:S143-終値!F143:R143))),50)</f>
        <v>37.525987525987524</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-47.364708504650253</v>
      </c>
      <c r="Y111" s="325" t="str">
        <f t="shared" si="31"/>
        <v>相場上昇・見送り | 上昇トレンド▲ MACD- RSI:37.5 前日比:+13.9% [安値圏] [4点]</v>
      </c>
      <c r="Z111" s="331">
        <f t="shared" si="32"/>
        <v>13.933333333333334</v>
      </c>
      <c r="AA111" s="325" t="str">
        <f t="shared" si="33"/>
        <v>上昇▲</v>
      </c>
      <c r="AB111" s="326">
        <f>IF(OR(C111="",C111="TOPX",終値!E143=""),"",IFERROR(((終値!E143*0.333)+(終値!F143*0.222)+(終値!G143*0.148)+(終値!H143*0.099)+(終値!I143*0.066))/(0.333+0.222+0.148+0.099+0.066),""))</f>
        <v>1635.0460829493088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1650.8653158522045</v>
      </c>
      <c r="AD111" s="325" t="str">
        <f t="shared" si="34"/>
        <v>上昇トレンド▲</v>
      </c>
      <c r="AE111" s="325" t="str">
        <f t="shared" si="35"/>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 t="shared" si="36"/>
        <v>0</v>
      </c>
      <c r="AH111">
        <f t="shared" si="37"/>
        <v>0</v>
      </c>
      <c r="AI111" s="373">
        <f t="array" ref="AI111">IF(C111="","",IFERROR((INDEX(終値!$E:$E,MATCH(TEXT(C111,"0"),終値!$A:$A,0))-INDEX(終値!$E:$CZ,MATCH(TEXT(C111,"0"),終値!$A:$A,0),$AN$2))/INDEX(終値!$E:$CZ,MATCH(TEXT(C111,"0"),終値!$A:$A,0),$AN$2)*100,""))</f>
        <v>73.398058252427191</v>
      </c>
      <c r="AJ111" s="373">
        <f t="array" ref="AJ111">IFERROR((終値!$E$5-INDEX(終値!$E$5:$CZ$5,1,$AN$2))/INDEX(終値!$E$5:$CZ$5,1,$AN$2)*100,"")</f>
        <v>-0.82558151178043282</v>
      </c>
      <c r="AK111" s="374">
        <f t="shared" si="38"/>
        <v>74.223639764207618</v>
      </c>
      <c r="AL111" s="372">
        <f t="shared" si="39"/>
        <v>-2</v>
      </c>
      <c r="AO111" s="376" t="str">
        <f t="shared" si="40"/>
        <v>通常</v>
      </c>
      <c r="AP111" s="377">
        <f t="shared" si="41"/>
        <v>0</v>
      </c>
      <c r="AQ111">
        <f>IF(C111&lt;&gt;"",始値!F143,"")</f>
        <v>1553</v>
      </c>
      <c r="AR111">
        <f>IF(C111&lt;&gt;"",高値!F143,"")</f>
        <v>1569</v>
      </c>
      <c r="AS111">
        <f>IF(C111&lt;&gt;"",安値!F143,"")</f>
        <v>1454</v>
      </c>
      <c r="AT111" t="str">
        <f t="shared" si="42"/>
        <v>通常</v>
      </c>
      <c r="AU111">
        <f t="shared" si="43"/>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4385</v>
      </c>
      <c r="F112" s="333">
        <f>IF(C112&lt;&gt;"",_xll.RssMarket(C112,"始値"),"")</f>
        <v>4155</v>
      </c>
      <c r="G112" s="212">
        <f>IF(C112&lt;&gt;"",終値!F153,"")</f>
        <v>4200</v>
      </c>
      <c r="H112" s="333">
        <f>IF(C112&lt;&gt;"",_xll.RssMarket(C112,"高値"),"")</f>
        <v>4465</v>
      </c>
      <c r="I112" s="333">
        <f>IF(C112&lt;&gt;"",_xll.RssMarket(C112,"安値"),"")</f>
        <v>4150</v>
      </c>
      <c r="J112" s="333">
        <f>IF(C112&lt;&gt;"",_xll.RssMarket(C112,"出来高"),"")</f>
        <v>25600</v>
      </c>
      <c r="K112" s="333">
        <f>IF(C112&lt;&gt;"",_xll.RssMarket(C112,"年初来高値"),"")</f>
        <v>4700</v>
      </c>
      <c r="L112" s="334">
        <f t="shared" si="22"/>
        <v>-6.7021276595744679</v>
      </c>
      <c r="M112" s="333">
        <f>IF(C112&lt;&gt;"",IFERROR(AVERAGE(出来高!E153:I153),""),"")</f>
        <v>73880</v>
      </c>
      <c r="N112" s="333">
        <f>IF(C112&lt;&gt;"",IFERROR(AVERAGE(出来高!E153:AC153),""),"")</f>
        <v>81896</v>
      </c>
      <c r="O112" s="335">
        <f t="shared" si="23"/>
        <v>0.34650785056848943</v>
      </c>
      <c r="P112" s="212" t="str">
        <f t="shared" si="24"/>
        <v>減少↓</v>
      </c>
      <c r="Q112" s="212" t="str">
        <f t="shared" si="25"/>
        <v>様子見▲</v>
      </c>
      <c r="R112" s="333">
        <f t="shared" si="26"/>
        <v>4034</v>
      </c>
      <c r="S112" s="333">
        <f t="shared" si="27"/>
        <v>4560</v>
      </c>
      <c r="T112" s="325">
        <f t="shared" si="28"/>
        <v>-1</v>
      </c>
      <c r="U112" s="212" t="str">
        <f t="shared" si="29"/>
        <v>除外</v>
      </c>
      <c r="V112" s="212" t="str">
        <f t="shared" si="30"/>
        <v>通常</v>
      </c>
      <c r="W112" s="336">
        <f t="array" ref="W112">IFERROR(100-100/(1+SUMPRODUCT((終値!F153:R153&gt;終値!G153:S153)*(終値!F153:R153-終値!G153:S153))/SUMPRODUCT((終値!F153:R153&lt;終値!G153:S153)*(終値!G153:S153-終値!F153:R153))),50)</f>
        <v>56.983240223463689</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44.087134163087285</v>
      </c>
      <c r="Y112" s="212" t="str">
        <f t="shared" si="31"/>
        <v>相場上昇・見送り | パーフェクト▲ MACD+ RSI:57.0 前日比:+4.4% [-1点]</v>
      </c>
      <c r="Z112" s="338">
        <f t="shared" si="32"/>
        <v>4.4047619047619051</v>
      </c>
      <c r="AA112" s="212" t="str">
        <f t="shared" si="33"/>
        <v>上昇▲</v>
      </c>
      <c r="AB112" s="333">
        <f>IF(OR(C112="",C112="TOPX",終値!E153=""),"",IFERROR(((終値!E153*0.333)+(終値!F153*0.222)+(終値!G153*0.148)+(終値!H153*0.099)+(終値!I153*0.066))/(0.333+0.222+0.148+0.099+0.066),""))</f>
        <v>4307.1486175115206</v>
      </c>
      <c r="AC112" s="333">
        <f>IF(OR(C112="",C112="TOPX",終値!E153=""),"",IFERROR(SUMPRODUCT((終値!E153:AC153),{0.077,0.071,0.065,0.06,0.055,0.051,0.047,0.043,0.039,0.036,0.033,0.031,0.028,0.026,0.024,0.022,0.02,0.018,0.017,0.016,0.014,0.013,0.012,0.011,0.01})/SUM({0.077,0.071,0.065,0.06,0.055,0.051,0.047,0.043,0.039,0.036,0.033,0.031,0.028,0.026,0.024,0.022,0.02,0.018,0.017,0.016,0.014,0.013,0.012,0.011,0.01}),""))</f>
        <v>4275.3992848629296</v>
      </c>
      <c r="AD112" s="212" t="str">
        <f t="shared" si="34"/>
        <v>パーフェクト▲</v>
      </c>
      <c r="AE112" s="212" t="str">
        <f t="shared" si="35"/>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 t="shared" si="36"/>
        <v>0</v>
      </c>
      <c r="AH112">
        <f t="shared" si="37"/>
        <v>0</v>
      </c>
      <c r="AI112" s="373">
        <f t="array" ref="AI112">IF(C112="","",IFERROR((INDEX(終値!$E:$E,MATCH(TEXT(C112,"0"),終値!$A:$A,0))-INDEX(終値!$E:$CZ,MATCH(TEXT(C112,"0"),終値!$A:$A,0),$AN$2))/INDEX(終値!$E:$CZ,MATCH(TEXT(C112,"0"),終値!$A:$A,0),$AN$2)*100,""))</f>
        <v>9.5424836601307188</v>
      </c>
      <c r="AJ112" s="373">
        <f t="array" ref="AJ112">IFERROR((終値!$E$5-INDEX(終値!$E$5:$CZ$5,1,$AN$2))/INDEX(終値!$E$5:$CZ$5,1,$AN$2)*100,"")</f>
        <v>-0.82558151178043282</v>
      </c>
      <c r="AK112" s="374">
        <f t="shared" si="38"/>
        <v>10.368065171911152</v>
      </c>
      <c r="AL112" s="372">
        <f t="shared" si="39"/>
        <v>-2</v>
      </c>
      <c r="AO112" s="376" t="str">
        <f t="shared" si="40"/>
        <v>通常</v>
      </c>
      <c r="AP112" s="377">
        <f t="shared" si="41"/>
        <v>0</v>
      </c>
      <c r="AQ112">
        <f>IF(C112&lt;&gt;"",始値!F153,"")</f>
        <v>4230</v>
      </c>
      <c r="AR112">
        <f>IF(C112&lt;&gt;"",高値!F153,"")</f>
        <v>4390</v>
      </c>
      <c r="AS112">
        <f>IF(C112&lt;&gt;"",安値!F153,"")</f>
        <v>4100</v>
      </c>
      <c r="AT112" t="str">
        <f t="shared" si="42"/>
        <v>通常</v>
      </c>
      <c r="AU112">
        <f t="shared" si="43"/>
        <v>0</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33320</v>
      </c>
      <c r="F113" s="326">
        <f>IF(C113&lt;&gt;"",_xll.RssMarket(C113,"始値"),"")</f>
        <v>32500</v>
      </c>
      <c r="G113" s="325">
        <f>IF(C113&lt;&gt;"",終値!F158,"")</f>
        <v>31430</v>
      </c>
      <c r="H113" s="326">
        <f>IF(C113&lt;&gt;"",_xll.RssMarket(C113,"高値"),"")</f>
        <v>33640</v>
      </c>
      <c r="I113" s="326">
        <f>IF(C113&lt;&gt;"",_xll.RssMarket(C113,"安値"),"")</f>
        <v>32390</v>
      </c>
      <c r="J113" s="326">
        <f>IF(C113&lt;&gt;"",_xll.RssMarket(C113,"出来高"),"")</f>
        <v>6993800</v>
      </c>
      <c r="K113" s="326">
        <f>IF(C113&lt;&gt;"",_xll.RssMarket(C113,"年初来高値"),"")</f>
        <v>35940</v>
      </c>
      <c r="L113" s="327">
        <f t="shared" si="22"/>
        <v>-7.2899276572064551</v>
      </c>
      <c r="M113" s="326">
        <f>IF(C113&lt;&gt;"",IFERROR(AVERAGE(出来高!E158:I158),""),"")</f>
        <v>13823500</v>
      </c>
      <c r="N113" s="326">
        <f>IF(C113&lt;&gt;"",IFERROR(AVERAGE(出来高!E158:AC158),""),"")</f>
        <v>9568552</v>
      </c>
      <c r="O113" s="328">
        <f t="shared" si="23"/>
        <v>0.50593554454371181</v>
      </c>
      <c r="P113" s="325" t="str">
        <f t="shared" si="24"/>
        <v>減少↓</v>
      </c>
      <c r="Q113" s="325" t="str">
        <f t="shared" si="25"/>
        <v>様子見▲</v>
      </c>
      <c r="R113" s="326">
        <f t="shared" si="26"/>
        <v>30654</v>
      </c>
      <c r="S113" s="326">
        <f t="shared" si="27"/>
        <v>34653</v>
      </c>
      <c r="T113" s="325">
        <f t="shared" si="28"/>
        <v>4</v>
      </c>
      <c r="U113" s="325" t="str">
        <f t="shared" si="29"/>
        <v>要確認</v>
      </c>
      <c r="V113" s="325" t="str">
        <f t="shared" si="30"/>
        <v>通常</v>
      </c>
      <c r="W113" s="329">
        <f t="array" ref="W113">IFERROR(100-100/(1+SUMPRODUCT((終値!F158:R158&gt;終値!G158:S158)*(終値!F158:R158-終値!G158:S158))/SUMPRODUCT((終値!F158:R158&lt;終値!G158:S158)*(終値!G158:S158-終値!F158:R158))),50)</f>
        <v>55.426195426195427</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-29.366818049737049</v>
      </c>
      <c r="Y113" s="325" t="str">
        <f t="shared" si="31"/>
        <v>相場上昇・見送り | パーフェクト▲ MACD- RSI:55.4 前日比:+6.0% [4点]</v>
      </c>
      <c r="Z113" s="331">
        <f t="shared" si="32"/>
        <v>6.0133630289532292</v>
      </c>
      <c r="AA113" s="325" t="str">
        <f t="shared" si="33"/>
        <v>上昇▲</v>
      </c>
      <c r="AB113" s="326">
        <f>IF(OR(C113="",C113="TOPX",終値!E158=""),"",IFERROR(((終値!E158*0.333)+(終値!F158*0.222)+(終値!G158*0.148)+(終値!H158*0.099)+(終値!I158*0.066))/(0.333+0.222+0.148+0.099+0.066),""))</f>
        <v>30575.144009216583</v>
      </c>
      <c r="AC113" s="326">
        <f>IF(OR(C113="",C113="TOPX",終値!E158=""),"",IFERROR(SUMPRODUCT((終値!E158:AC158),{0.077,0.071,0.065,0.06,0.055,0.051,0.047,0.043,0.039,0.036,0.033,0.031,0.028,0.026,0.024,0.022,0.02,0.018,0.017,0.016,0.014,0.013,0.012,0.011,0.01})/SUM({0.077,0.071,0.065,0.06,0.055,0.051,0.047,0.043,0.039,0.036,0.033,0.031,0.028,0.026,0.024,0.022,0.02,0.018,0.017,0.016,0.014,0.013,0.012,0.011,0.01}),""))</f>
        <v>29394.189511322998</v>
      </c>
      <c r="AD113" s="325" t="str">
        <f t="shared" si="34"/>
        <v>パーフェクト▲</v>
      </c>
      <c r="AE113" s="325" t="str">
        <f t="shared" si="35"/>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 t="shared" si="36"/>
        <v>0</v>
      </c>
      <c r="AH113">
        <f t="shared" si="37"/>
        <v>0</v>
      </c>
      <c r="AI113" s="373">
        <f t="array" ref="AI113">IF(C113="","",IFERROR((INDEX(終値!$E:$E,MATCH(TEXT(C113,"0"),終値!$A:$A,0))-INDEX(終値!$E:$CZ,MATCH(TEXT(C113,"0"),終値!$A:$A,0),$AN$2))/INDEX(終値!$E:$CZ,MATCH(TEXT(C113,"0"),終値!$A:$A,0),$AN$2)*100,""))</f>
        <v>-2.9733959311424099</v>
      </c>
      <c r="AJ113" s="373">
        <f t="array" ref="AJ113">IFERROR((終値!$E$5-INDEX(終値!$E$5:$CZ$5,1,$AN$2))/INDEX(終値!$E$5:$CZ$5,1,$AN$2)*100,"")</f>
        <v>-0.82558151178043282</v>
      </c>
      <c r="AK113" s="374">
        <f t="shared" si="38"/>
        <v>-2.147814419361977</v>
      </c>
      <c r="AL113" s="372">
        <f t="shared" si="39"/>
        <v>1</v>
      </c>
      <c r="AO113" s="376" t="str">
        <f t="shared" si="40"/>
        <v>通常</v>
      </c>
      <c r="AP113" s="377">
        <f t="shared" si="41"/>
        <v>0</v>
      </c>
      <c r="AQ113">
        <f>IF(C113&lt;&gt;"",始値!F158,"")</f>
        <v>31800</v>
      </c>
      <c r="AR113">
        <f>IF(C113&lt;&gt;"",高値!F158,"")</f>
        <v>32780</v>
      </c>
      <c r="AS113">
        <f>IF(C113&lt;&gt;"",安値!F158,"")</f>
        <v>31100</v>
      </c>
      <c r="AT113" t="str">
        <f t="shared" si="42"/>
        <v>通常</v>
      </c>
      <c r="AU113">
        <f t="shared" si="43"/>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1073</v>
      </c>
      <c r="F114" s="333">
        <f>IF(C114&lt;&gt;"",_xll.RssMarket(C114,"始値"),"")</f>
        <v>1073</v>
      </c>
      <c r="G114" s="212">
        <f>IF(C114&lt;&gt;"",終値!F161,"")</f>
        <v>1068</v>
      </c>
      <c r="H114" s="333">
        <f>IF(C114&lt;&gt;"",_xll.RssMarket(C114,"高値"),"")</f>
        <v>1084</v>
      </c>
      <c r="I114" s="333">
        <f>IF(C114&lt;&gt;"",_xll.RssMarket(C114,"安値"),"")</f>
        <v>1066</v>
      </c>
      <c r="J114" s="333">
        <f>IF(C114&lt;&gt;"",_xll.RssMarket(C114,"出来高"),"")</f>
        <v>113700</v>
      </c>
      <c r="K114" s="333">
        <f>IF(C114&lt;&gt;"",_xll.RssMarket(C114,"年初来高値"),"")</f>
        <v>1267</v>
      </c>
      <c r="L114" s="334">
        <f t="shared" si="22"/>
        <v>-15.311760063141278</v>
      </c>
      <c r="M114" s="333">
        <f>IF(C114&lt;&gt;"",IFERROR(AVERAGE(出来高!E161:I161),""),"")</f>
        <v>344340</v>
      </c>
      <c r="N114" s="333">
        <f>IF(C114&lt;&gt;"",IFERROR(AVERAGE(出来高!E161:AC161),""),"")</f>
        <v>194066.66666666666</v>
      </c>
      <c r="O114" s="335">
        <f t="shared" si="23"/>
        <v>0.3301968984143579</v>
      </c>
      <c r="P114" s="212" t="str">
        <f t="shared" si="24"/>
        <v>減少↓</v>
      </c>
      <c r="Q114" s="212" t="str">
        <f t="shared" si="25"/>
        <v>様子見▲</v>
      </c>
      <c r="R114" s="333">
        <f t="shared" si="26"/>
        <v>987</v>
      </c>
      <c r="S114" s="333">
        <f t="shared" si="27"/>
        <v>1116</v>
      </c>
      <c r="T114" s="325">
        <f t="shared" si="28"/>
        <v>3</v>
      </c>
      <c r="U114" s="212" t="str">
        <f t="shared" si="29"/>
        <v>要確認</v>
      </c>
      <c r="V114" s="212" t="str">
        <f t="shared" si="30"/>
        <v>通常</v>
      </c>
      <c r="W114" s="336">
        <f t="array" ref="W114">IFERROR(100-100/(1+SUMPRODUCT((終値!F161:R161&gt;終値!G161:S161)*(終値!F161:R161-終値!G161:S161))/SUMPRODUCT((終値!F161:R161&lt;終値!G161:S161)*(終値!G161:S161-終値!F161:R161))),50)</f>
        <v>48.859233749461907</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-10.733317677589639</v>
      </c>
      <c r="Y114" s="212" t="str">
        <f t="shared" si="31"/>
        <v>相場上昇・見送り | 上昇トレンド▲ 5日戻り売り○ MACD- RSI:48.9 前日比:+0.5%前日[長い下ヒゲ(反発)] [3点]</v>
      </c>
      <c r="Z114" s="338">
        <f t="shared" si="32"/>
        <v>0.46816479400749067</v>
      </c>
      <c r="AA114" s="212" t="str">
        <f t="shared" si="33"/>
        <v>上昇▲</v>
      </c>
      <c r="AB114" s="333">
        <f>IF(OR(C114="",C114="TOPX",終値!E161=""),"",IFERROR(((終値!E161*0.333)+(終値!F161*0.222)+(終値!G161*0.148)+(終値!H161*0.099)+(終値!I161*0.066))/(0.333+0.222+0.148+0.099+0.066),""))</f>
        <v>1075.8997695852534</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1041.1191895113227</v>
      </c>
      <c r="AD114" s="212" t="str">
        <f t="shared" si="34"/>
        <v>上昇トレンド▲</v>
      </c>
      <c r="AE114" s="212" t="str">
        <f t="shared" si="35"/>
        <v>5日戻り売り○</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 t="shared" si="36"/>
        <v>0</v>
      </c>
      <c r="AH114">
        <f t="shared" si="37"/>
        <v>0</v>
      </c>
      <c r="AI114" s="373">
        <f t="array" ref="AI114">IF(C114="","",IFERROR((INDEX(終値!$E:$E,MATCH(TEXT(C114,"0"),終値!$A:$A,0))-INDEX(終値!$E:$CZ,MATCH(TEXT(C114,"0"),終値!$A:$A,0),$AN$2))/INDEX(終値!$E:$CZ,MATCH(TEXT(C114,"0"),終値!$A:$A,0),$AN$2)*100,""))</f>
        <v>-0.92421441774491686</v>
      </c>
      <c r="AJ114" s="373">
        <f t="array" ref="AJ114">IFERROR((終値!$E$5-INDEX(終値!$E$5:$CZ$5,1,$AN$2))/INDEX(終値!$E$5:$CZ$5,1,$AN$2)*100,"")</f>
        <v>-0.82558151178043282</v>
      </c>
      <c r="AK114" s="374">
        <f t="shared" si="38"/>
        <v>-9.8632905964484041E-2</v>
      </c>
      <c r="AL114" s="372">
        <f t="shared" si="39"/>
        <v>1</v>
      </c>
      <c r="AO114" s="376" t="str">
        <f t="shared" si="40"/>
        <v>通常</v>
      </c>
      <c r="AP114" s="377">
        <f t="shared" si="41"/>
        <v>0</v>
      </c>
      <c r="AQ114">
        <f>IF(C114&lt;&gt;"",始値!F161,"")</f>
        <v>1072</v>
      </c>
      <c r="AR114">
        <f>IF(C114&lt;&gt;"",高値!F161,"")</f>
        <v>1072</v>
      </c>
      <c r="AS114">
        <f>IF(C114&lt;&gt;"",安値!F161,"")</f>
        <v>1047</v>
      </c>
      <c r="AT114" t="str">
        <f t="shared" si="42"/>
        <v>長い下ヒゲ(反発)</v>
      </c>
      <c r="AU114">
        <f t="shared" si="43"/>
        <v>-2</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1013</v>
      </c>
      <c r="F115" s="326">
        <f>IF(C115&lt;&gt;"",_xll.RssMarket(C115,"始値"),"")</f>
        <v>1010</v>
      </c>
      <c r="G115" s="325">
        <f>IF(C115&lt;&gt;"",終値!F170,"")</f>
        <v>1034</v>
      </c>
      <c r="H115" s="326">
        <f>IF(C115&lt;&gt;"",_xll.RssMarket(C115,"高値"),"")</f>
        <v>1019</v>
      </c>
      <c r="I115" s="326">
        <f>IF(C115&lt;&gt;"",_xll.RssMarket(C115,"安値"),"")</f>
        <v>1007</v>
      </c>
      <c r="J115" s="326">
        <f>IF(C115&lt;&gt;"",_xll.RssMarket(C115,"出来高"),"")</f>
        <v>38700</v>
      </c>
      <c r="K115" s="326">
        <f>IF(C115&lt;&gt;"",_xll.RssMarket(C115,"年初来高値"),"")</f>
        <v>1161</v>
      </c>
      <c r="L115" s="327">
        <f t="shared" si="22"/>
        <v>-12.747631352282514</v>
      </c>
      <c r="M115" s="326">
        <f>IF(C115&lt;&gt;"",IFERROR(AVERAGE(出来高!E170:I170),""),"")</f>
        <v>130380</v>
      </c>
      <c r="N115" s="326">
        <f>IF(C115&lt;&gt;"",IFERROR(AVERAGE(出来高!E170:AC170),""),"")</f>
        <v>69708</v>
      </c>
      <c r="O115" s="328">
        <f t="shared" si="23"/>
        <v>0.29682466635987115</v>
      </c>
      <c r="P115" s="325" t="str">
        <f t="shared" si="24"/>
        <v>減少↓</v>
      </c>
      <c r="Q115" s="325" t="str">
        <f t="shared" si="25"/>
        <v>中立→</v>
      </c>
      <c r="R115" s="326">
        <f t="shared" si="26"/>
        <v>932</v>
      </c>
      <c r="S115" s="326">
        <f t="shared" si="27"/>
        <v>1054</v>
      </c>
      <c r="T115" s="325">
        <f t="shared" si="28"/>
        <v>9</v>
      </c>
      <c r="U115" s="325" t="str">
        <f t="shared" si="29"/>
        <v>要確認</v>
      </c>
      <c r="V115" s="325" t="str">
        <f t="shared" si="30"/>
        <v>通常</v>
      </c>
      <c r="W115" s="329">
        <f t="array" ref="W115">IFERROR(100-100/(1+SUMPRODUCT((終値!F170:R170&gt;終値!G170:S170)*(終値!F170:R170-終値!G170:S170))/SUMPRODUCT((終値!F170:R170&lt;終値!G170:S170)*(終値!G170:S170-終値!F170:R170))),50)</f>
        <v>35.123966942148769</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-3.7962060030483826</v>
      </c>
      <c r="Y115" s="325" t="str">
        <f t="shared" si="31"/>
        <v>相場上昇・見送り | 下降トレンド▼ MACD- RSI:35.1 前日比:-2.0% [9点]</v>
      </c>
      <c r="Z115" s="331">
        <f t="shared" si="32"/>
        <v>-2.0309477756286265</v>
      </c>
      <c r="AA115" s="325" t="str">
        <f t="shared" si="33"/>
        <v>下落▼</v>
      </c>
      <c r="AB115" s="326">
        <f>IF(OR(C115="",C115="TOPX",終値!E170=""),"",IFERROR(((終値!E170*0.333)+(終値!F170*0.222)+(終値!G170*0.148)+(終値!H170*0.099)+(終値!I170*0.066))/(0.333+0.222+0.148+0.099+0.066),""))</f>
        <v>1043.8744239631337</v>
      </c>
      <c r="AC115" s="326">
        <f>IF(OR(C115="",C115="TOPX",終値!E170=""),"",IFERROR(SUMPRODUCT((終値!E170:AC170),{0.077,0.071,0.065,0.06,0.055,0.051,0.047,0.043,0.039,0.036,0.033,0.031,0.028,0.026,0.024,0.022,0.02,0.018,0.017,0.016,0.014,0.013,0.012,0.011,0.01})/SUM({0.077,0.071,0.065,0.06,0.055,0.051,0.047,0.043,0.039,0.036,0.033,0.031,0.028,0.026,0.024,0.022,0.02,0.018,0.017,0.016,0.014,0.013,0.012,0.011,0.01}),""))</f>
        <v>1090.3253873659114</v>
      </c>
      <c r="AD115" s="325" t="str">
        <f t="shared" si="34"/>
        <v>下降トレンド▼</v>
      </c>
      <c r="AE115" s="325" t="str">
        <f t="shared" si="35"/>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 t="shared" si="36"/>
        <v>9</v>
      </c>
      <c r="AH115">
        <f t="shared" si="37"/>
        <v>89885</v>
      </c>
      <c r="AI115" s="373">
        <f t="array" ref="AI115">IF(C115="","",IFERROR((INDEX(終値!$E:$E,MATCH(TEXT(C115,"0"),終値!$A:$A,0))-INDEX(終値!$E:$CZ,MATCH(TEXT(C115,"0"),終値!$A:$A,0),$AN$2))/INDEX(終値!$E:$CZ,MATCH(TEXT(C115,"0"),終値!$A:$A,0),$AN$2)*100,""))</f>
        <v>-5.8878504672897192</v>
      </c>
      <c r="AJ115" s="373">
        <f t="array" ref="AJ115">IFERROR((終値!$E$5-INDEX(終値!$E$5:$CZ$5,1,$AN$2))/INDEX(終値!$E$5:$CZ$5,1,$AN$2)*100,"")</f>
        <v>-0.82558151178043282</v>
      </c>
      <c r="AK115" s="374">
        <f t="shared" si="38"/>
        <v>-5.0622689555092864</v>
      </c>
      <c r="AL115" s="372">
        <f t="shared" si="39"/>
        <v>3</v>
      </c>
      <c r="AO115" s="376" t="str">
        <f t="shared" si="40"/>
        <v>通常</v>
      </c>
      <c r="AP115" s="377">
        <f t="shared" si="41"/>
        <v>0</v>
      </c>
      <c r="AQ115">
        <f>IF(C115&lt;&gt;"",始値!F170,"")</f>
        <v>1001</v>
      </c>
      <c r="AR115">
        <f>IF(C115&lt;&gt;"",高値!F170,"")</f>
        <v>1040</v>
      </c>
      <c r="AS115">
        <f>IF(C115&lt;&gt;"",安値!F170,"")</f>
        <v>1000</v>
      </c>
      <c r="AT115" t="str">
        <f t="shared" si="42"/>
        <v>通常</v>
      </c>
      <c r="AU115">
        <f t="shared" si="43"/>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3005</v>
      </c>
      <c r="F116" s="333">
        <f>IF(C116&lt;&gt;"",_xll.RssMarket(C116,"始値"),"")</f>
        <v>2990</v>
      </c>
      <c r="G116" s="212">
        <f>IF(C116&lt;&gt;"",終値!F171,"")</f>
        <v>2995</v>
      </c>
      <c r="H116" s="333">
        <f>IF(C116&lt;&gt;"",_xll.RssMarket(C116,"高値"),"")</f>
        <v>3010</v>
      </c>
      <c r="I116" s="333">
        <f>IF(C116&lt;&gt;"",_xll.RssMarket(C116,"安値"),"")</f>
        <v>2980</v>
      </c>
      <c r="J116" s="333">
        <f>IF(C116&lt;&gt;"",_xll.RssMarket(C116,"出来高"),"")</f>
        <v>59500</v>
      </c>
      <c r="K116" s="333">
        <f>IF(C116&lt;&gt;"",_xll.RssMarket(C116,"年初来高値"),"")</f>
        <v>3330</v>
      </c>
      <c r="L116" s="334">
        <f t="shared" si="22"/>
        <v>-9.7597597597597598</v>
      </c>
      <c r="M116" s="333">
        <f>IF(C116&lt;&gt;"",IFERROR(AVERAGE(出来高!E171:I171),""),"")</f>
        <v>300380</v>
      </c>
      <c r="N116" s="333">
        <f>IF(C116&lt;&gt;"",IFERROR(AVERAGE(出来高!E171:AC171),""),"")</f>
        <v>146872</v>
      </c>
      <c r="O116" s="335">
        <f t="shared" si="23"/>
        <v>0.19808242892336375</v>
      </c>
      <c r="P116" s="212" t="str">
        <f t="shared" si="24"/>
        <v>減少↓</v>
      </c>
      <c r="Q116" s="212" t="str">
        <f t="shared" si="25"/>
        <v>様子見▲</v>
      </c>
      <c r="R116" s="333">
        <f t="shared" si="26"/>
        <v>2765</v>
      </c>
      <c r="S116" s="333">
        <f t="shared" si="27"/>
        <v>3125</v>
      </c>
      <c r="T116" s="325">
        <f t="shared" si="28"/>
        <v>7</v>
      </c>
      <c r="U116" s="212" t="str">
        <f t="shared" si="29"/>
        <v>要確認</v>
      </c>
      <c r="V116" s="212" t="str">
        <f t="shared" si="30"/>
        <v>通常</v>
      </c>
      <c r="W116" s="336">
        <f t="array" ref="W116">IFERROR(100-100/(1+SUMPRODUCT((終値!F171:R171&gt;終値!G171:S171)*(終値!F171:R171-終値!G171:S171))/SUMPRODUCT((終値!F171:R171&lt;終値!G171:S171)*(終値!G171:S171-終値!F171:R171))),50)</f>
        <v>45.98540145985401</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-1.6318923415547033</v>
      </c>
      <c r="Y116" s="212" t="str">
        <f t="shared" si="31"/>
        <v>★逆張り売り | 下降トレンド▼ 5日戻り売り○ MACD- RSI:46.0 前日比:+0.3% [7点]</v>
      </c>
      <c r="Z116" s="338">
        <f t="shared" si="32"/>
        <v>0.333889816360601</v>
      </c>
      <c r="AA116" s="212" t="str">
        <f t="shared" si="33"/>
        <v>上昇▲</v>
      </c>
      <c r="AB116" s="333">
        <f>IF(OR(C116="",C116="TOPX",終値!E171=""),"",IFERROR(((終値!E171*0.333)+(終値!F171*0.222)+(終値!G171*0.148)+(終値!H171*0.099)+(終値!I171*0.066))/(0.333+0.222+0.148+0.099+0.066),""))</f>
        <v>3023.5771889400921</v>
      </c>
      <c r="AC116" s="333">
        <f>IF(OR(C116="",C116="TOPX",終値!E171=""),"",IFERROR(SUMPRODUCT((終値!E171:AC171),{0.077,0.071,0.065,0.06,0.055,0.051,0.047,0.043,0.039,0.036,0.033,0.031,0.028,0.026,0.024,0.022,0.02,0.018,0.017,0.016,0.014,0.013,0.012,0.011,0.01})/SUM({0.077,0.071,0.065,0.06,0.055,0.051,0.047,0.043,0.039,0.036,0.033,0.031,0.028,0.026,0.024,0.022,0.02,0.018,0.017,0.016,0.014,0.013,0.012,0.011,0.01}),""))</f>
        <v>3094.7735399284852</v>
      </c>
      <c r="AD116" s="212" t="str">
        <f t="shared" si="34"/>
        <v>下降トレンド▼</v>
      </c>
      <c r="AE116" s="212" t="str">
        <f t="shared" si="35"/>
        <v>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 t="shared" si="36"/>
        <v>7</v>
      </c>
      <c r="AH116">
        <f t="shared" si="37"/>
        <v>69884</v>
      </c>
      <c r="AI116" s="373">
        <f t="array" ref="AI116">IF(C116="","",IFERROR((INDEX(終値!$E:$E,MATCH(TEXT(C116,"0"),終値!$A:$A,0))-INDEX(終値!$E:$CZ,MATCH(TEXT(C116,"0"),終値!$A:$A,0),$AN$2))/INDEX(終値!$E:$CZ,MATCH(TEXT(C116,"0"),終値!$A:$A,0),$AN$2)*100,""))</f>
        <v>-2.9220779220779218</v>
      </c>
      <c r="AJ116" s="373">
        <f t="array" ref="AJ116">IFERROR((終値!$E$5-INDEX(終値!$E$5:$CZ$5,1,$AN$2))/INDEX(終値!$E$5:$CZ$5,1,$AN$2)*100,"")</f>
        <v>-0.82558151178043282</v>
      </c>
      <c r="AK116" s="374">
        <f t="shared" si="38"/>
        <v>-2.096496410297489</v>
      </c>
      <c r="AL116" s="372">
        <f t="shared" si="39"/>
        <v>1</v>
      </c>
      <c r="AO116" s="376" t="str">
        <f t="shared" si="40"/>
        <v>通常</v>
      </c>
      <c r="AP116" s="377">
        <f t="shared" si="41"/>
        <v>0</v>
      </c>
      <c r="AQ116">
        <f>IF(C116&lt;&gt;"",始値!F171,"")</f>
        <v>2970</v>
      </c>
      <c r="AR116">
        <f>IF(C116&lt;&gt;"",高値!F171,"")</f>
        <v>3025</v>
      </c>
      <c r="AS116">
        <f>IF(C116&lt;&gt;"",安値!F171,"")</f>
        <v>2960</v>
      </c>
      <c r="AT116" t="str">
        <f t="shared" si="42"/>
        <v>通常</v>
      </c>
      <c r="AU116">
        <f t="shared" si="43"/>
        <v>0</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2493</v>
      </c>
      <c r="F117" s="326">
        <f>IF(C117&lt;&gt;"",_xll.RssMarket(C117,"始値"),"")</f>
        <v>2462</v>
      </c>
      <c r="G117" s="325">
        <f>IF(C117&lt;&gt;"",終値!F176,"")</f>
        <v>2389</v>
      </c>
      <c r="H117" s="326">
        <f>IF(C117&lt;&gt;"",_xll.RssMarket(C117,"高値"),"")</f>
        <v>2498</v>
      </c>
      <c r="I117" s="326">
        <f>IF(C117&lt;&gt;"",_xll.RssMarket(C117,"安値"),"")</f>
        <v>2428</v>
      </c>
      <c r="J117" s="326">
        <f>IF(C117&lt;&gt;"",_xll.RssMarket(C117,"出来高"),"")</f>
        <v>85100</v>
      </c>
      <c r="K117" s="326">
        <f>IF(C117&lt;&gt;"",_xll.RssMarket(C117,"年初来高値"),"")</f>
        <v>3245</v>
      </c>
      <c r="L117" s="327">
        <f t="shared" si="22"/>
        <v>-23.174114021571647</v>
      </c>
      <c r="M117" s="326">
        <f>IF(C117&lt;&gt;"",IFERROR(AVERAGE(出来高!E176:I176),""),"")</f>
        <v>111200</v>
      </c>
      <c r="N117" s="326">
        <f>IF(C117&lt;&gt;"",IFERROR(AVERAGE(出来高!E176:AC176),""),"")</f>
        <v>84012</v>
      </c>
      <c r="O117" s="328">
        <f t="shared" si="23"/>
        <v>0.76528776978417268</v>
      </c>
      <c r="P117" s="325" t="str">
        <f t="shared" si="24"/>
        <v>減少↓</v>
      </c>
      <c r="Q117" s="325" t="str">
        <f t="shared" si="25"/>
        <v>様子見▲</v>
      </c>
      <c r="R117" s="326">
        <f t="shared" si="26"/>
        <v>2294</v>
      </c>
      <c r="S117" s="326">
        <f t="shared" si="27"/>
        <v>2593</v>
      </c>
      <c r="T117" s="325">
        <f t="shared" si="28"/>
        <v>9</v>
      </c>
      <c r="U117" s="325" t="str">
        <f t="shared" si="29"/>
        <v>要確認</v>
      </c>
      <c r="V117" s="325" t="str">
        <f t="shared" si="30"/>
        <v>安値圏</v>
      </c>
      <c r="W117" s="329">
        <f t="array" ref="W117">IFERROR(100-100/(1+SUMPRODUCT((終値!F176:R176&gt;終値!G176:S176)*(終値!F176:R176-終値!G176:S176))/SUMPRODUCT((終値!F176:R176&lt;終値!G176:S176)*(終値!G176:S176-終値!F176:R176))),50)</f>
        <v>31.756756756756758</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-28.889429984993058</v>
      </c>
      <c r="Y117" s="325" t="str">
        <f t="shared" si="31"/>
        <v>○逆張り売り | もみ合い→ 25日戻り売り★ MACD- RSI:31.8 前日比:+4.4% [安値圏]前日[長い下ヒゲ(反発)] [9点]</v>
      </c>
      <c r="Z117" s="331">
        <f t="shared" si="32"/>
        <v>4.3532858936793639</v>
      </c>
      <c r="AA117" s="325" t="str">
        <f t="shared" si="33"/>
        <v>上昇▲</v>
      </c>
      <c r="AB117" s="326">
        <f>IF(OR(C117="",C117="TOPX",終値!E176=""),"",IFERROR(((終値!E176*0.333)+(終値!F176*0.222)+(終値!G176*0.148)+(終値!H176*0.099)+(終値!I176*0.066))/(0.333+0.222+0.148+0.099+0.066),""))</f>
        <v>2415.5126728110595</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2498.3337306317035</v>
      </c>
      <c r="AD117" s="325" t="str">
        <f t="shared" si="34"/>
        <v>もみ合い→</v>
      </c>
      <c r="AE117" s="325" t="str">
        <f t="shared" si="35"/>
        <v>25日戻り売り★</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○逆張り売り</v>
      </c>
      <c r="AG117">
        <f t="shared" si="36"/>
        <v>9</v>
      </c>
      <c r="AH117">
        <f t="shared" si="37"/>
        <v>89883</v>
      </c>
      <c r="AI117" s="373">
        <f t="array" ref="AI117">IF(C117="","",IFERROR((INDEX(終値!$E:$E,MATCH(TEXT(C117,"0"),終値!$A:$A,0))-INDEX(終値!$E:$CZ,MATCH(TEXT(C117,"0"),終値!$A:$A,0),$AN$2))/INDEX(終値!$E:$CZ,MATCH(TEXT(C117,"0"),終値!$A:$A,0),$AN$2)*100,""))</f>
        <v>-10.830589096231249</v>
      </c>
      <c r="AJ117" s="373">
        <f t="array" ref="AJ117">IFERROR((終値!$E$5-INDEX(終値!$E$5:$CZ$5,1,$AN$2))/INDEX(終値!$E$5:$CZ$5,1,$AN$2)*100,"")</f>
        <v>-0.82558151178043282</v>
      </c>
      <c r="AK117" s="374">
        <f t="shared" si="38"/>
        <v>-10.005007584450816</v>
      </c>
      <c r="AL117" s="372">
        <f t="shared" si="39"/>
        <v>3</v>
      </c>
      <c r="AO117" s="376" t="str">
        <f t="shared" si="40"/>
        <v>通常</v>
      </c>
      <c r="AP117" s="377">
        <f t="shared" si="41"/>
        <v>0</v>
      </c>
      <c r="AQ117">
        <f>IF(C117&lt;&gt;"",始値!F176,"")</f>
        <v>2404</v>
      </c>
      <c r="AR117">
        <f>IF(C117&lt;&gt;"",高値!F176,"")</f>
        <v>2404</v>
      </c>
      <c r="AS117">
        <f>IF(C117&lt;&gt;"",安値!F176,"")</f>
        <v>2330</v>
      </c>
      <c r="AT117" t="str">
        <f t="shared" si="42"/>
        <v>長い下ヒゲ(反発)</v>
      </c>
      <c r="AU117">
        <f t="shared" si="43"/>
        <v>-2</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2839</v>
      </c>
      <c r="F118" s="333">
        <f>IF(C118&lt;&gt;"",_xll.RssMarket(C118,"始値"),"")</f>
        <v>2828</v>
      </c>
      <c r="G118" s="212">
        <f>IF(C118&lt;&gt;"",終値!F179,"")</f>
        <v>2872</v>
      </c>
      <c r="H118" s="333">
        <f>IF(C118&lt;&gt;"",_xll.RssMarket(C118,"高値"),"")</f>
        <v>2862</v>
      </c>
      <c r="I118" s="333">
        <f>IF(C118&lt;&gt;"",_xll.RssMarket(C118,"安値"),"")</f>
        <v>2817</v>
      </c>
      <c r="J118" s="333">
        <f>IF(C118&lt;&gt;"",_xll.RssMarket(C118,"出来高"),"")</f>
        <v>74800</v>
      </c>
      <c r="K118" s="333">
        <f>IF(C118&lt;&gt;"",_xll.RssMarket(C118,"年初来高値"),"")</f>
        <v>4280</v>
      </c>
      <c r="L118" s="334">
        <f t="shared" si="22"/>
        <v>-33.668224299065422</v>
      </c>
      <c r="M118" s="333">
        <f>IF(C118&lt;&gt;"",IFERROR(AVERAGE(出来高!E179:I179),""),"")</f>
        <v>133040</v>
      </c>
      <c r="N118" s="333">
        <f>IF(C118&lt;&gt;"",IFERROR(AVERAGE(出来高!E179:AC179),""),"")</f>
        <v>101400</v>
      </c>
      <c r="O118" s="335">
        <f t="shared" si="23"/>
        <v>0.56223692122669877</v>
      </c>
      <c r="P118" s="212" t="str">
        <f t="shared" si="24"/>
        <v>減少↓</v>
      </c>
      <c r="Q118" s="212" t="str">
        <f t="shared" si="25"/>
        <v>中立→</v>
      </c>
      <c r="R118" s="333">
        <f t="shared" si="26"/>
        <v>2612</v>
      </c>
      <c r="S118" s="333">
        <f t="shared" si="27"/>
        <v>2953</v>
      </c>
      <c r="T118" s="325">
        <f t="shared" si="28"/>
        <v>6</v>
      </c>
      <c r="U118" s="212" t="str">
        <f t="shared" si="29"/>
        <v>要確認</v>
      </c>
      <c r="V118" s="212" t="str">
        <f t="shared" si="30"/>
        <v>安値圏</v>
      </c>
      <c r="W118" s="336">
        <f t="array" ref="W118">IFERROR(100-100/(1+SUMPRODUCT((終値!F179:R179&gt;終値!G179:S179)*(終値!F179:R179-終値!G179:S179))/SUMPRODUCT((終値!F179:R179&lt;終値!G179:S179)*(終値!G179:S179-終値!F179:R179))),50)</f>
        <v>69.565217391304344</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28.243956949360836</v>
      </c>
      <c r="Y118" s="212" t="str">
        <f t="shared" si="31"/>
        <v>相場上昇・見送り | 上昇トレンド▲ 5日戻り売り○ MACD+ RSI:69.6 前日比:-1.1% [安値圏] [6点]</v>
      </c>
      <c r="Z118" s="338">
        <f t="shared" si="32"/>
        <v>-1.149025069637883</v>
      </c>
      <c r="AA118" s="212" t="str">
        <f t="shared" si="33"/>
        <v>下落▼</v>
      </c>
      <c r="AB118" s="333">
        <f>IF(OR(C118="",C118="TOPX",終値!E179=""),"",IFERROR(((終値!E179*0.333)+(終値!F179*0.222)+(終値!G179*0.148)+(終値!H179*0.099)+(終値!I179*0.066))/(0.333+0.222+0.148+0.099+0.066),""))</f>
        <v>2857.7995391705063</v>
      </c>
      <c r="AC118" s="333">
        <f>IF(OR(C118="",C118="TOPX",終値!E179=""),"",IFERROR(SUMPRODUCT((終値!E179:AC179),{0.077,0.071,0.065,0.06,0.055,0.051,0.047,0.043,0.039,0.036,0.033,0.031,0.028,0.026,0.024,0.022,0.02,0.018,0.017,0.016,0.014,0.013,0.012,0.011,0.01})/SUM({0.077,0.071,0.065,0.06,0.055,0.051,0.047,0.043,0.039,0.036,0.033,0.031,0.028,0.026,0.024,0.022,0.02,0.018,0.017,0.016,0.014,0.013,0.012,0.011,0.01}),""))</f>
        <v>2780.8939213349217</v>
      </c>
      <c r="AD118" s="212" t="str">
        <f t="shared" si="34"/>
        <v>上昇トレンド▲</v>
      </c>
      <c r="AE118" s="212" t="str">
        <f t="shared" si="35"/>
        <v>5日戻り売り○</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 t="shared" si="36"/>
        <v>0</v>
      </c>
      <c r="AH118">
        <f t="shared" si="37"/>
        <v>0</v>
      </c>
      <c r="AI118" s="373">
        <f t="array" ref="AI118">IF(C118="","",IFERROR((INDEX(終値!$E:$E,MATCH(TEXT(C118,"0"),終値!$A:$A,0))-INDEX(終値!$E:$CZ,MATCH(TEXT(C118,"0"),終値!$A:$A,0),$AN$2))/INDEX(終値!$E:$CZ,MATCH(TEXT(C118,"0"),終値!$A:$A,0),$AN$2)*100,""))</f>
        <v>7.8565980167810832</v>
      </c>
      <c r="AJ118" s="373">
        <f t="array" ref="AJ118">IFERROR((終値!$E$5-INDEX(終値!$E$5:$CZ$5,1,$AN$2))/INDEX(終値!$E$5:$CZ$5,1,$AN$2)*100,"")</f>
        <v>-0.82558151178043282</v>
      </c>
      <c r="AK118" s="374">
        <f t="shared" si="38"/>
        <v>8.682179528561516</v>
      </c>
      <c r="AL118" s="372">
        <f t="shared" si="39"/>
        <v>-2</v>
      </c>
      <c r="AO118" s="376" t="str">
        <f t="shared" si="40"/>
        <v>通常</v>
      </c>
      <c r="AP118" s="377">
        <f t="shared" si="41"/>
        <v>0</v>
      </c>
      <c r="AQ118">
        <f>IF(C118&lt;&gt;"",始値!F179,"")</f>
        <v>2863</v>
      </c>
      <c r="AR118">
        <f>IF(C118&lt;&gt;"",高値!F179,"")</f>
        <v>2906</v>
      </c>
      <c r="AS118">
        <f>IF(C118&lt;&gt;"",安値!F179,"")</f>
        <v>2827</v>
      </c>
      <c r="AT118" t="str">
        <f t="shared" si="42"/>
        <v>通常</v>
      </c>
      <c r="AU118">
        <f t="shared" si="43"/>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1728</v>
      </c>
      <c r="F119" s="326">
        <f>IF(C119&lt;&gt;"",_xll.RssMarket(C119,"始値"),"")</f>
        <v>1698.5</v>
      </c>
      <c r="G119" s="325">
        <f>IF(C119&lt;&gt;"",終値!F190,"")</f>
        <v>1728</v>
      </c>
      <c r="H119" s="326">
        <f>IF(C119&lt;&gt;"",_xll.RssMarket(C119,"高値"),"")</f>
        <v>1728</v>
      </c>
      <c r="I119" s="326">
        <f>IF(C119&lt;&gt;"",_xll.RssMarket(C119,"安値"),"")</f>
        <v>1696.5</v>
      </c>
      <c r="J119" s="326">
        <f>IF(C119&lt;&gt;"",_xll.RssMarket(C119,"出来高"),"")</f>
        <v>905600</v>
      </c>
      <c r="K119" s="326">
        <f>IF(C119&lt;&gt;"",_xll.RssMarket(C119,"年初来高値"),"")</f>
        <v>1797.5</v>
      </c>
      <c r="L119" s="327">
        <f t="shared" si="22"/>
        <v>-3.8664812239221145</v>
      </c>
      <c r="M119" s="326">
        <f>IF(C119&lt;&gt;"",IFERROR(AVERAGE(出来高!E190:I190),""),"")</f>
        <v>2610380</v>
      </c>
      <c r="N119" s="326">
        <f>IF(C119&lt;&gt;"",IFERROR(AVERAGE(出来高!E190:AC190),""),"")</f>
        <v>2390120</v>
      </c>
      <c r="O119" s="328">
        <f t="shared" si="23"/>
        <v>0.34692267026256712</v>
      </c>
      <c r="P119" s="325" t="str">
        <f t="shared" si="24"/>
        <v>減少↓</v>
      </c>
      <c r="Q119" s="325" t="str">
        <f t="shared" si="25"/>
        <v>中立→</v>
      </c>
      <c r="R119" s="326">
        <f t="shared" si="26"/>
        <v>1590</v>
      </c>
      <c r="S119" s="326">
        <f t="shared" si="27"/>
        <v>1797</v>
      </c>
      <c r="T119" s="325">
        <f t="shared" si="28"/>
        <v>0</v>
      </c>
      <c r="U119" s="325" t="str">
        <f t="shared" si="29"/>
        <v>除外</v>
      </c>
      <c r="V119" s="325" t="str">
        <f t="shared" si="30"/>
        <v>通常</v>
      </c>
      <c r="W119" s="329">
        <f t="array" ref="W119">IFERROR(100-100/(1+SUMPRODUCT((終値!F190:R190&gt;終値!G190:S190)*(終値!F190:R190-終値!G190:S190))/SUMPRODUCT((終値!F190:R190&lt;終値!G190:S190)*(終値!G190:S190-終値!F190:R190))),50)</f>
        <v>62.084765177548682</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17.954190034190788</v>
      </c>
      <c r="Y119" s="325" t="str">
        <f t="shared" si="31"/>
        <v>相場上昇・見送り | パーフェクト▲ MACD+ RSI:62.1 前日比:0.0% [0点]</v>
      </c>
      <c r="Z119" s="331">
        <f t="shared" si="32"/>
        <v>0</v>
      </c>
      <c r="AA119" s="325" t="str">
        <f t="shared" si="33"/>
        <v>横ばい→</v>
      </c>
      <c r="AB119" s="326">
        <f>IF(OR(C119="",C119="TOPX",終値!E190=""),"",IFERROR(((終値!E190*0.333)+(終値!F190*0.222)+(終値!G190*0.148)+(終値!H190*0.099)+(終値!I190*0.066))/(0.333+0.222+0.148+0.099+0.066),""))</f>
        <v>1727.7730414746543</v>
      </c>
      <c r="AC119" s="326">
        <f>IF(OR(C119="",C119="TOPX",終値!E190=""),"",IFERROR(SUMPRODUCT((終値!E190:AC190),{0.077,0.071,0.065,0.06,0.055,0.051,0.047,0.043,0.039,0.036,0.033,0.031,0.028,0.026,0.024,0.022,0.02,0.018,0.017,0.016,0.014,0.013,0.012,0.011,0.01})/SUM({0.077,0.071,0.065,0.06,0.055,0.051,0.047,0.043,0.039,0.036,0.033,0.031,0.028,0.026,0.024,0.022,0.02,0.018,0.017,0.016,0.014,0.013,0.012,0.011,0.01}),""))</f>
        <v>1707.172824791418</v>
      </c>
      <c r="AD119" s="325" t="str">
        <f t="shared" si="34"/>
        <v>パーフェクト▲</v>
      </c>
      <c r="AE119" s="325" t="str">
        <f t="shared" si="35"/>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 t="shared" si="36"/>
        <v>0</v>
      </c>
      <c r="AH119">
        <f t="shared" si="37"/>
        <v>0</v>
      </c>
      <c r="AI119" s="373">
        <f t="array" ref="AI119">IF(C119="","",IFERROR((INDEX(終値!$E:$E,MATCH(TEXT(C119,"0"),終値!$A:$A,0))-INDEX(終値!$E:$CZ,MATCH(TEXT(C119,"0"),終値!$A:$A,0),$AN$2))/INDEX(終値!$E:$CZ,MATCH(TEXT(C119,"0"),終値!$A:$A,0),$AN$2)*100,""))</f>
        <v>12.474983322214809</v>
      </c>
      <c r="AJ119" s="373">
        <f t="array" ref="AJ119">IFERROR((終値!$E$5-INDEX(終値!$E$5:$CZ$5,1,$AN$2))/INDEX(終値!$E$5:$CZ$5,1,$AN$2)*100,"")</f>
        <v>-0.82558151178043282</v>
      </c>
      <c r="AK119" s="374">
        <f t="shared" si="38"/>
        <v>13.300564833995242</v>
      </c>
      <c r="AL119" s="372">
        <f t="shared" si="39"/>
        <v>-2</v>
      </c>
      <c r="AO119" s="376" t="str">
        <f t="shared" si="40"/>
        <v>通常</v>
      </c>
      <c r="AP119" s="377">
        <f t="shared" si="41"/>
        <v>0</v>
      </c>
      <c r="AQ119">
        <f>IF(C119&lt;&gt;"",始値!F190,"")</f>
        <v>1739.5</v>
      </c>
      <c r="AR119">
        <f>IF(C119&lt;&gt;"",高値!F190,"")</f>
        <v>1763</v>
      </c>
      <c r="AS119">
        <f>IF(C119&lt;&gt;"",安値!F190,"")</f>
        <v>1686.5</v>
      </c>
      <c r="AT119" t="str">
        <f t="shared" si="42"/>
        <v>通常</v>
      </c>
      <c r="AU119">
        <f t="shared" si="43"/>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63950</v>
      </c>
      <c r="F120" s="333">
        <f>IF(C120&lt;&gt;"",_xll.RssMarket(C120,"始値"),"")</f>
        <v>63890</v>
      </c>
      <c r="G120" s="212">
        <f>IF(C120&lt;&gt;"",終値!F197,"")</f>
        <v>60520</v>
      </c>
      <c r="H120" s="333">
        <f>IF(C120&lt;&gt;"",_xll.RssMarket(C120,"高値"),"")</f>
        <v>64480</v>
      </c>
      <c r="I120" s="333">
        <f>IF(C120&lt;&gt;"",_xll.RssMarket(C120,"安値"),"")</f>
        <v>62440</v>
      </c>
      <c r="J120" s="333">
        <f>IF(C120&lt;&gt;"",_xll.RssMarket(C120,"出来高"),"")</f>
        <v>1155400</v>
      </c>
      <c r="K120" s="333">
        <f>IF(C120&lt;&gt;"",_xll.RssMarket(C120,"年初来高値"),"")</f>
        <v>91680</v>
      </c>
      <c r="L120" s="334">
        <f t="shared" si="22"/>
        <v>-30.246509598603836</v>
      </c>
      <c r="M120" s="333">
        <f>IF(C120&lt;&gt;"",IFERROR(AVERAGE(出来高!E197:I197),""),"")</f>
        <v>2724680</v>
      </c>
      <c r="N120" s="333">
        <f>IF(C120&lt;&gt;"",IFERROR(AVERAGE(出来高!E197:AC197),""),"")</f>
        <v>1932272</v>
      </c>
      <c r="O120" s="335">
        <f t="shared" si="23"/>
        <v>0.42404979667337084</v>
      </c>
      <c r="P120" s="212" t="str">
        <f t="shared" si="24"/>
        <v>減少↓</v>
      </c>
      <c r="Q120" s="212" t="str">
        <f t="shared" si="25"/>
        <v>様子見▲</v>
      </c>
      <c r="R120" s="333">
        <f t="shared" si="26"/>
        <v>58834</v>
      </c>
      <c r="S120" s="333">
        <f t="shared" si="27"/>
        <v>66508</v>
      </c>
      <c r="T120" s="325">
        <f t="shared" si="28"/>
        <v>9</v>
      </c>
      <c r="U120" s="212" t="str">
        <f t="shared" si="29"/>
        <v>要確認</v>
      </c>
      <c r="V120" s="212" t="str">
        <f t="shared" si="30"/>
        <v>安値圏</v>
      </c>
      <c r="W120" s="336">
        <f t="array" ref="W120">IFERROR(100-100/(1+SUMPRODUCT((終値!F197:R197&gt;終値!G197:S197)*(終値!F197:R197-終値!G197:S197))/SUMPRODUCT((終値!F197:R197&lt;終値!G197:S197)*(終値!G197:S197-終値!F197:R197))),50)</f>
        <v>38.963531669865645</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-2339.8319528416978</v>
      </c>
      <c r="Y120" s="212" t="str">
        <f t="shared" si="31"/>
        <v>相場上昇・見送り | 上昇トレンド▲ MACD- RSI:39.0 前日比:+5.7% [安値圏] [9点]</v>
      </c>
      <c r="Z120" s="338">
        <f t="shared" si="32"/>
        <v>5.6675479180436223</v>
      </c>
      <c r="AA120" s="212" t="str">
        <f t="shared" si="33"/>
        <v>上昇▲</v>
      </c>
      <c r="AB120" s="333">
        <f>IF(OR(C120="",C120="TOPX",終値!E197=""),"",IFERROR(((終値!E197*0.333)+(終値!F197*0.222)+(終値!G197*0.148)+(終値!H197*0.099)+(終値!I197*0.066))/(0.333+0.222+0.148+0.099+0.066),""))</f>
        <v>58627.995391705066</v>
      </c>
      <c r="AC120" s="333">
        <f>IF(OR(C120="",C120="TOPX",終値!E197=""),"",IFERROR(SUMPRODUCT((終値!E197:AC197),{0.077,0.071,0.065,0.06,0.055,0.051,0.047,0.043,0.039,0.036,0.033,0.031,0.028,0.026,0.024,0.022,0.02,0.018,0.017,0.016,0.014,0.013,0.012,0.011,0.01})/SUM({0.077,0.071,0.065,0.06,0.055,0.051,0.047,0.043,0.039,0.036,0.033,0.031,0.028,0.026,0.024,0.022,0.02,0.018,0.017,0.016,0.014,0.013,0.012,0.011,0.01}),""))</f>
        <v>63882.574493444547</v>
      </c>
      <c r="AD120" s="212" t="str">
        <f t="shared" si="34"/>
        <v>上昇トレンド▲</v>
      </c>
      <c r="AE120" s="212" t="str">
        <f t="shared" si="35"/>
        <v>なし</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相場上昇・見送り</v>
      </c>
      <c r="AG120">
        <f t="shared" si="36"/>
        <v>9</v>
      </c>
      <c r="AH120">
        <f t="shared" si="37"/>
        <v>89880</v>
      </c>
      <c r="AI120" s="373">
        <f t="array" ref="AI120">IF(C120="","",IFERROR((INDEX(終値!$E:$E,MATCH(TEXT(C120,"0"),終値!$A:$A,0))-INDEX(終値!$E:$CZ,MATCH(TEXT(C120,"0"),終値!$A:$A,0),$AN$2))/INDEX(終値!$E:$CZ,MATCH(TEXT(C120,"0"),終値!$A:$A,0),$AN$2)*100,""))</f>
        <v>-23.456945317410433</v>
      </c>
      <c r="AJ120" s="373">
        <f t="array" ref="AJ120">IFERROR((終値!$E$5-INDEX(終値!$E$5:$CZ$5,1,$AN$2))/INDEX(終値!$E$5:$CZ$5,1,$AN$2)*100,"")</f>
        <v>-0.82558151178043282</v>
      </c>
      <c r="AK120" s="374">
        <f t="shared" si="38"/>
        <v>-22.631363805630002</v>
      </c>
      <c r="AL120" s="372">
        <f t="shared" si="39"/>
        <v>3</v>
      </c>
      <c r="AO120" s="376" t="str">
        <f t="shared" si="40"/>
        <v>通常</v>
      </c>
      <c r="AP120" s="377">
        <f t="shared" si="41"/>
        <v>0</v>
      </c>
      <c r="AQ120">
        <f>IF(C120&lt;&gt;"",始値!F197,"")</f>
        <v>58000</v>
      </c>
      <c r="AR120">
        <f>IF(C120&lt;&gt;"",高値!F197,"")</f>
        <v>61600</v>
      </c>
      <c r="AS120">
        <f>IF(C120&lt;&gt;"",安値!F197,"")</f>
        <v>57840</v>
      </c>
      <c r="AT120" t="str">
        <f t="shared" si="42"/>
        <v>通常</v>
      </c>
      <c r="AU120">
        <f t="shared" si="43"/>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5224</v>
      </c>
      <c r="F121" s="326">
        <f>IF(C121&lt;&gt;"",_xll.RssMarket(C121,"始値"),"")</f>
        <v>5356</v>
      </c>
      <c r="G121" s="325">
        <f>IF(C121&lt;&gt;"",終値!F208,"")</f>
        <v>5255</v>
      </c>
      <c r="H121" s="326">
        <f>IF(C121&lt;&gt;"",_xll.RssMarket(C121,"高値"),"")</f>
        <v>5454</v>
      </c>
      <c r="I121" s="326">
        <f>IF(C121&lt;&gt;"",_xll.RssMarket(C121,"安値"),"")</f>
        <v>5102</v>
      </c>
      <c r="J121" s="326">
        <f>IF(C121&lt;&gt;"",_xll.RssMarket(C121,"出来高"),"")</f>
        <v>2227400</v>
      </c>
      <c r="K121" s="326">
        <f>IF(C121&lt;&gt;"",_xll.RssMarket(C121,"年初来高値"),"")</f>
        <v>8040</v>
      </c>
      <c r="L121" s="327">
        <f t="shared" si="22"/>
        <v>-35.024875621890551</v>
      </c>
      <c r="M121" s="326">
        <f>IF(C121&lt;&gt;"",IFERROR(AVERAGE(出来高!E208:I208),""),"")</f>
        <v>1915940</v>
      </c>
      <c r="N121" s="326">
        <f>IF(C121&lt;&gt;"",IFERROR(AVERAGE(出来高!E208:AC208),""),"")</f>
        <v>1657220</v>
      </c>
      <c r="O121" s="328">
        <f t="shared" si="23"/>
        <v>1.1625625019572638</v>
      </c>
      <c r="P121" s="325" t="str">
        <f t="shared" si="24"/>
        <v>普通→</v>
      </c>
      <c r="Q121" s="325" t="str">
        <f t="shared" si="25"/>
        <v>中立→</v>
      </c>
      <c r="R121" s="326">
        <f t="shared" si="26"/>
        <v>4806</v>
      </c>
      <c r="S121" s="326">
        <f t="shared" si="27"/>
        <v>5433</v>
      </c>
      <c r="T121" s="325">
        <f t="shared" si="28"/>
        <v>11</v>
      </c>
      <c r="U121" s="325" t="str">
        <f t="shared" si="29"/>
        <v>要確認</v>
      </c>
      <c r="V121" s="325" t="str">
        <f t="shared" si="30"/>
        <v>安値圏</v>
      </c>
      <c r="W121" s="329">
        <f t="array" ref="W121">IFERROR(100-100/(1+SUMPRODUCT((終値!F208:R208&gt;終値!G208:S208)*(終値!F208:R208-終値!G208:S208))/SUMPRODUCT((終値!F208:R208&lt;終値!G208:S208)*(終値!G208:S208-終値!F208:R208))),50)</f>
        <v>33.243243243243242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-65.829833345937004</v>
      </c>
      <c r="Y121" s="325" t="str">
        <f t="shared" si="31"/>
        <v>相場上昇・見送り | 下降トレンド▼ MACD- RSI:33.2 前日比:-0.6% [安値圏]前日[長い下ヒゲ(反発)] [11点]</v>
      </c>
      <c r="Z121" s="331">
        <f t="shared" si="32"/>
        <v>-0.58991436726926738</v>
      </c>
      <c r="AA121" s="325" t="str">
        <f t="shared" si="33"/>
        <v>下落▼</v>
      </c>
      <c r="AB121" s="326">
        <f>IF(OR(C121="",C121="TOPX",終値!E208=""),"",IFERROR(((終値!E208*0.333)+(終値!F208*0.222)+(終値!G208*0.148)+(終値!H208*0.099)+(終値!I208*0.066))/(0.333+0.222+0.148+0.099+0.066),""))</f>
        <v>5323.20737327189</v>
      </c>
      <c r="AC121" s="326">
        <f>IF(OR(C121="",C121="TOPX",終値!E208=""),"",IFERROR(SUMPRODUCT((終値!E208:AC208),{0.077,0.071,0.065,0.06,0.055,0.051,0.047,0.043,0.039,0.036,0.033,0.031,0.028,0.026,0.024,0.022,0.02,0.018,0.017,0.016,0.014,0.013,0.012,0.011,0.01})/SUM({0.077,0.071,0.065,0.06,0.055,0.051,0.047,0.043,0.039,0.036,0.033,0.031,0.028,0.026,0.024,0.022,0.02,0.018,0.017,0.016,0.014,0.013,0.012,0.011,0.01}),""))</f>
        <v>5559.7938021454092</v>
      </c>
      <c r="AD121" s="325" t="str">
        <f t="shared" si="34"/>
        <v>下降トレンド▼</v>
      </c>
      <c r="AE121" s="325" t="str">
        <f t="shared" si="35"/>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 t="shared" si="36"/>
        <v>11</v>
      </c>
      <c r="AH121">
        <f t="shared" si="37"/>
        <v>109879</v>
      </c>
      <c r="AI121" s="373">
        <f t="array" ref="AI121">IF(C121="","",IFERROR((INDEX(終値!$E:$E,MATCH(TEXT(C121,"0"),終値!$A:$A,0))-INDEX(終値!$E:$CZ,MATCH(TEXT(C121,"0"),終値!$A:$A,0),$AN$2))/INDEX(終値!$E:$CZ,MATCH(TEXT(C121,"0"),終値!$A:$A,0),$AN$2)*100,""))</f>
        <v>-9.4937787625703081</v>
      </c>
      <c r="AJ121" s="373">
        <f t="array" ref="AJ121">IFERROR((終値!$E$5-INDEX(終値!$E$5:$CZ$5,1,$AN$2))/INDEX(終値!$E$5:$CZ$5,1,$AN$2)*100,"")</f>
        <v>-0.82558151178043282</v>
      </c>
      <c r="AK121" s="374">
        <f t="shared" si="38"/>
        <v>-8.6681972507898752</v>
      </c>
      <c r="AL121" s="372">
        <f t="shared" si="39"/>
        <v>3</v>
      </c>
      <c r="AO121" s="376" t="str">
        <f t="shared" si="40"/>
        <v>通常</v>
      </c>
      <c r="AP121" s="377">
        <f t="shared" si="41"/>
        <v>0</v>
      </c>
      <c r="AQ121">
        <f>IF(C121&lt;&gt;"",始値!F208,"")</f>
        <v>5333</v>
      </c>
      <c r="AR121">
        <f>IF(C121&lt;&gt;"",高値!F208,"")</f>
        <v>5354</v>
      </c>
      <c r="AS121">
        <f>IF(C121&lt;&gt;"",安値!F208,"")</f>
        <v>5121</v>
      </c>
      <c r="AT121" t="str">
        <f t="shared" si="42"/>
        <v>長い下ヒゲ(反発)</v>
      </c>
      <c r="AU121">
        <f t="shared" si="43"/>
        <v>-2</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1683</v>
      </c>
      <c r="F122" s="333">
        <f>IF(C122&lt;&gt;"",_xll.RssMarket(C122,"始値"),"")</f>
        <v>1701</v>
      </c>
      <c r="G122" s="212">
        <f>IF(C122&lt;&gt;"",終値!F18,"")</f>
        <v>1710</v>
      </c>
      <c r="H122" s="333">
        <f>IF(C122&lt;&gt;"",_xll.RssMarket(C122,"高値"),"")</f>
        <v>1711</v>
      </c>
      <c r="I122" s="333">
        <f>IF(C122&lt;&gt;"",_xll.RssMarket(C122,"安値"),"")</f>
        <v>1673</v>
      </c>
      <c r="J122" s="333">
        <f>IF(C122&lt;&gt;"",_xll.RssMarket(C122,"出来高"),"")</f>
        <v>1011900</v>
      </c>
      <c r="K122" s="333">
        <f>IF(C122&lt;&gt;"",_xll.RssMarket(C122,"年初来高値"),"")</f>
        <v>2819</v>
      </c>
      <c r="L122" s="334">
        <f t="shared" si="22"/>
        <v>-40.297978006385243</v>
      </c>
      <c r="M122" s="333">
        <f>IF(C122&lt;&gt;"",IFERROR(AVERAGE(出来高!E18:I18),""),"")</f>
        <v>1267440</v>
      </c>
      <c r="N122" s="333">
        <f>IF(C122&lt;&gt;"",IFERROR(AVERAGE(出来高!E18:AC18),""),"")</f>
        <v>1344908.3333333333</v>
      </c>
      <c r="O122" s="335">
        <f t="shared" si="23"/>
        <v>0.79838098844915739</v>
      </c>
      <c r="P122" s="212" t="str">
        <f t="shared" si="24"/>
        <v>減少↓</v>
      </c>
      <c r="Q122" s="212" t="str">
        <f t="shared" si="25"/>
        <v>中立→</v>
      </c>
      <c r="R122" s="333">
        <f t="shared" si="26"/>
        <v>1548</v>
      </c>
      <c r="S122" s="333">
        <f t="shared" si="27"/>
        <v>1750</v>
      </c>
      <c r="T122" s="325">
        <f t="shared" si="28"/>
        <v>5</v>
      </c>
      <c r="U122" s="212" t="str">
        <f t="shared" si="29"/>
        <v>要確認</v>
      </c>
      <c r="V122" s="212" t="str">
        <f t="shared" si="30"/>
        <v>年初来安値圏●</v>
      </c>
      <c r="W122" s="336">
        <f t="array" ref="W122">IFERROR(100-100/(1+SUMPRODUCT((終値!F18:R18&gt;終値!G18:S18)*(終値!F18:R18-終値!G18:S18))/SUMPRODUCT((終値!F18:R18&lt;終値!G18:S18)*(終値!G18:S18-終値!F18:R18))),50)</f>
        <v>50.545171339563865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-1.111614836868057</v>
      </c>
      <c r="Y122" s="212" t="str">
        <f t="shared" si="31"/>
        <v>相場上昇・見送り | 上昇トレンド▲ MACD- RSI:50.5 前日比:-1.6% [年初来安値圏]前日[長い下ヒゲ(反発)] [5点]</v>
      </c>
      <c r="Z122" s="338">
        <f t="shared" si="32"/>
        <v>-1.5789473684210527</v>
      </c>
      <c r="AA122" s="212" t="str">
        <f t="shared" si="33"/>
        <v>下落▼</v>
      </c>
      <c r="AB122" s="333">
        <f>IF(OR(C122="",C122="TOPX",終値!E18=""),"",IFERROR(((終値!E18*0.333)+(終値!F18*0.222)+(終値!G18*0.148)+(終値!H18*0.099)+(終値!I18*0.066))/(0.333+0.222+0.148+0.099+0.066),""))</f>
        <v>1726.7972350230414</v>
      </c>
      <c r="AC122" s="333">
        <f>IF(OR(C122="",C122="TOPX",終値!E18=""),"",IFERROR(SUMPRODUCT((終値!E18:AC18),{0.077,0.071,0.065,0.06,0.055,0.051,0.047,0.043,0.039,0.036,0.033,0.031,0.028,0.026,0.024,0.022,0.02,0.018,0.017,0.016,0.014,0.013,0.012,0.011,0.01})/SUM({0.077,0.071,0.065,0.06,0.055,0.051,0.047,0.043,0.039,0.036,0.033,0.031,0.028,0.026,0.024,0.022,0.02,0.018,0.017,0.016,0.014,0.013,0.012,0.011,0.01}),""))</f>
        <v>1625.6245530393319</v>
      </c>
      <c r="AD122" s="212" t="str">
        <f t="shared" si="34"/>
        <v>上昇トレンド▲</v>
      </c>
      <c r="AE122" s="212" t="str">
        <f t="shared" si="35"/>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 t="shared" si="36"/>
        <v>0</v>
      </c>
      <c r="AH122">
        <f t="shared" si="37"/>
        <v>0</v>
      </c>
      <c r="AI122" s="373">
        <f t="array" ref="AI122">IF(C122="","",IFERROR((INDEX(終値!$E:$E,MATCH(TEXT(C122,"0"),終値!$A:$A,0))-INDEX(終値!$E:$CZ,MATCH(TEXT(C122,"0"),終値!$A:$A,0),$AN$2))/INDEX(終値!$E:$CZ,MATCH(TEXT(C122,"0"),終値!$A:$A,0),$AN$2)*100,""))</f>
        <v>5.9813084112149539</v>
      </c>
      <c r="AJ122" s="373">
        <f t="array" ref="AJ122">IFERROR((終値!$E$5-INDEX(終値!$E$5:$CZ$5,1,$AN$2))/INDEX(終値!$E$5:$CZ$5,1,$AN$2)*100,"")</f>
        <v>-0.82558151178043282</v>
      </c>
      <c r="AK122" s="374">
        <f t="shared" si="38"/>
        <v>6.8068899229953868</v>
      </c>
      <c r="AL122" s="372">
        <f t="shared" si="39"/>
        <v>-2</v>
      </c>
      <c r="AO122" s="376" t="str">
        <f t="shared" si="40"/>
        <v>通常</v>
      </c>
      <c r="AP122" s="377">
        <f t="shared" si="41"/>
        <v>0</v>
      </c>
      <c r="AQ122">
        <f>IF(C122&lt;&gt;"",始値!F18,"")</f>
        <v>1745</v>
      </c>
      <c r="AR122">
        <f>IF(C122&lt;&gt;"",高値!F18,"")</f>
        <v>1748</v>
      </c>
      <c r="AS122">
        <f>IF(C122&lt;&gt;"",安値!F18,"")</f>
        <v>1665</v>
      </c>
      <c r="AT122" t="str">
        <f t="shared" si="42"/>
        <v>長い下ヒゲ(反発)</v>
      </c>
      <c r="AU122">
        <f t="shared" si="43"/>
        <v>-2</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857.2</v>
      </c>
      <c r="F123" s="326">
        <f>IF(C123&lt;&gt;"",_xll.RssMarket(C123,"始値"),"")</f>
        <v>864.3</v>
      </c>
      <c r="G123" s="325">
        <f>IF(C123&lt;&gt;"",終値!F41,"")</f>
        <v>876.3</v>
      </c>
      <c r="H123" s="326">
        <f>IF(C123&lt;&gt;"",_xll.RssMarket(C123,"高値"),"")</f>
        <v>878.1</v>
      </c>
      <c r="I123" s="326">
        <f>IF(C123&lt;&gt;"",_xll.RssMarket(C123,"安値"),"")</f>
        <v>842.5</v>
      </c>
      <c r="J123" s="326">
        <f>IF(C123&lt;&gt;"",_xll.RssMarket(C123,"出来高"),"")</f>
        <v>4205000</v>
      </c>
      <c r="K123" s="326">
        <f>IF(C123&lt;&gt;"",_xll.RssMarket(C123,"年初来高値"),"")</f>
        <v>990.7</v>
      </c>
      <c r="L123" s="327">
        <f t="shared" si="22"/>
        <v>-13.475320480468355</v>
      </c>
      <c r="M123" s="326">
        <f>IF(C123&lt;&gt;"",IFERROR(AVERAGE(出来高!E41:I41),""),"")</f>
        <v>5131240</v>
      </c>
      <c r="N123" s="326">
        <f>IF(C123&lt;&gt;"",IFERROR(AVERAGE(出来高!E41:AC41),""),"")</f>
        <v>4063000</v>
      </c>
      <c r="O123" s="328">
        <f t="shared" si="23"/>
        <v>0.81949002580272989</v>
      </c>
      <c r="P123" s="325" t="str">
        <f t="shared" si="24"/>
        <v>減少↓</v>
      </c>
      <c r="Q123" s="325" t="str">
        <f t="shared" si="25"/>
        <v>中立→</v>
      </c>
      <c r="R123" s="326">
        <f t="shared" si="26"/>
        <v>789</v>
      </c>
      <c r="S123" s="326">
        <f t="shared" si="27"/>
        <v>891</v>
      </c>
      <c r="T123" s="325">
        <f t="shared" si="28"/>
        <v>3</v>
      </c>
      <c r="U123" s="325" t="str">
        <f t="shared" si="29"/>
        <v>要確認</v>
      </c>
      <c r="V123" s="325" t="str">
        <f t="shared" si="30"/>
        <v>通常</v>
      </c>
      <c r="W123" s="329">
        <f t="array" ref="W123">IFERROR(100-100/(1+SUMPRODUCT((終値!F41:R41&gt;終値!G41:S41)*(終値!F41:R41-終値!G41:S41))/SUMPRODUCT((終値!F41:R41&lt;終値!G41:S41)*(終値!G41:S41-終値!F41:R41))),50)</f>
        <v>75.847457627118587</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9.3065702379013828</v>
      </c>
      <c r="Y123" s="325" t="str">
        <f t="shared" si="31"/>
        <v>○逆張り売り | もみ合い→ 25日戻り売り★ MACD+ RSI:75.8 [過熱] 前日比:-2.2%前日[長い下ヒゲ(反発)] [3点]</v>
      </c>
      <c r="Z123" s="331">
        <f t="shared" si="32"/>
        <v>-2.1796188519913171</v>
      </c>
      <c r="AA123" s="325" t="str">
        <f t="shared" si="33"/>
        <v>下落▼</v>
      </c>
      <c r="AB123" s="326">
        <f>IF(OR(C123="",C123="TOPX",終値!E41=""),"",IFERROR(((終値!E41*0.333)+(終値!F41*0.222)+(終値!G41*0.148)+(終値!H41*0.099)+(終値!I41*0.066))/(0.333+0.222+0.148+0.099+0.066),""))</f>
        <v>878.88375576036867</v>
      </c>
      <c r="AC123" s="326">
        <f>IF(OR(C123="",C123="TOPX",終値!E41=""),"",IFERROR(SUMPRODUCT((終値!E41:AC41),{0.077,0.071,0.065,0.06,0.055,0.051,0.047,0.043,0.039,0.036,0.033,0.031,0.028,0.026,0.024,0.022,0.02,0.018,0.017,0.016,0.014,0.013,0.012,0.011,0.01})/SUM({0.077,0.071,0.065,0.06,0.055,0.051,0.047,0.043,0.039,0.036,0.033,0.031,0.028,0.026,0.024,0.022,0.02,0.018,0.017,0.016,0.014,0.013,0.012,0.011,0.01}),""))</f>
        <v>859.56579261025013</v>
      </c>
      <c r="AD123" s="325" t="str">
        <f t="shared" si="34"/>
        <v>もみ合い→</v>
      </c>
      <c r="AE123" s="325" t="str">
        <f t="shared" si="35"/>
        <v>25日戻り売り★</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○逆張り売り</v>
      </c>
      <c r="AG123">
        <f t="shared" si="36"/>
        <v>0</v>
      </c>
      <c r="AH123">
        <f t="shared" si="37"/>
        <v>0</v>
      </c>
      <c r="AI123" s="373">
        <f t="array" ref="AI123">IF(C123="","",IFERROR((INDEX(終値!$E:$E,MATCH(TEXT(C123,"0"),終値!$A:$A,0))-INDEX(終値!$E:$CZ,MATCH(TEXT(C123,"0"),終値!$A:$A,0),$AN$2))/INDEX(終値!$E:$CZ,MATCH(TEXT(C123,"0"),終値!$A:$A,0),$AN$2)*100,""))</f>
        <v>8.3571339873339223</v>
      </c>
      <c r="AJ123" s="373">
        <f t="array" ref="AJ123">IFERROR((終値!$E$5-INDEX(終値!$E$5:$CZ$5,1,$AN$2))/INDEX(終値!$E$5:$CZ$5,1,$AN$2)*100,"")</f>
        <v>-0.82558151178043282</v>
      </c>
      <c r="AK123" s="374">
        <f t="shared" si="38"/>
        <v>9.1827154991143551</v>
      </c>
      <c r="AL123" s="372">
        <f t="shared" si="39"/>
        <v>-2</v>
      </c>
      <c r="AO123" s="376" t="str">
        <f t="shared" si="40"/>
        <v>通常</v>
      </c>
      <c r="AP123" s="377">
        <f t="shared" si="41"/>
        <v>0</v>
      </c>
      <c r="AQ123">
        <f>IF(C123&lt;&gt;"",始値!F41,"")</f>
        <v>877.9</v>
      </c>
      <c r="AR123">
        <f>IF(C123&lt;&gt;"",高値!F41,"")</f>
        <v>877.9</v>
      </c>
      <c r="AS123">
        <f>IF(C123&lt;&gt;"",安値!F41,"")</f>
        <v>851</v>
      </c>
      <c r="AT123" t="str">
        <f t="shared" si="42"/>
        <v>長い下ヒゲ(反発)</v>
      </c>
      <c r="AU123">
        <f t="shared" si="43"/>
        <v>-2</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3718</v>
      </c>
      <c r="F124" s="333">
        <f>IF(C124&lt;&gt;"",_xll.RssMarket(C124,"始値"),"")</f>
        <v>3754</v>
      </c>
      <c r="G124" s="212">
        <f>IF(C124&lt;&gt;"",終値!F64,"")</f>
        <v>3790</v>
      </c>
      <c r="H124" s="333">
        <f>IF(C124&lt;&gt;"",_xll.RssMarket(C124,"高値"),"")</f>
        <v>3770</v>
      </c>
      <c r="I124" s="333">
        <f>IF(C124&lt;&gt;"",_xll.RssMarket(C124,"安値"),"")</f>
        <v>3702</v>
      </c>
      <c r="J124" s="333">
        <f>IF(C124&lt;&gt;"",_xll.RssMarket(C124,"出来高"),"")</f>
        <v>206500</v>
      </c>
      <c r="K124" s="333">
        <f>IF(C124&lt;&gt;"",_xll.RssMarket(C124,"年初来高値"),"")</f>
        <v>4403</v>
      </c>
      <c r="L124" s="334">
        <f t="shared" si="22"/>
        <v>-15.557574381103793</v>
      </c>
      <c r="M124" s="333">
        <f>IF(C124&lt;&gt;"",IFERROR(AVERAGE(出来高!E64:I64),""),"")</f>
        <v>464740</v>
      </c>
      <c r="N124" s="333">
        <f>IF(C124&lt;&gt;"",IFERROR(AVERAGE(出来高!E64:AC64),""),"")</f>
        <v>364272</v>
      </c>
      <c r="O124" s="335">
        <f t="shared" si="23"/>
        <v>0.44433446658346604</v>
      </c>
      <c r="P124" s="212" t="str">
        <f t="shared" si="24"/>
        <v>減少↓</v>
      </c>
      <c r="Q124" s="212" t="str">
        <f t="shared" si="25"/>
        <v>中立→</v>
      </c>
      <c r="R124" s="333">
        <f t="shared" si="26"/>
        <v>3421</v>
      </c>
      <c r="S124" s="333">
        <f t="shared" si="27"/>
        <v>3867</v>
      </c>
      <c r="T124" s="325">
        <f t="shared" si="28"/>
        <v>2</v>
      </c>
      <c r="U124" s="212" t="str">
        <f t="shared" si="29"/>
        <v>除外</v>
      </c>
      <c r="V124" s="212" t="str">
        <f t="shared" si="30"/>
        <v>通常</v>
      </c>
      <c r="W124" s="336">
        <f t="array" ref="W124">IFERROR(100-100/(1+SUMPRODUCT((終値!F64:R64&gt;終値!G64:S64)*(終値!F64:R64-終値!G64:S64))/SUMPRODUCT((終値!F64:R64&lt;終値!G64:S64)*(終値!G64:S64-終値!F64:R64))),50)</f>
        <v>47.773279352226716</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7.2414513670250926</v>
      </c>
      <c r="Y124" s="212" t="str">
        <f t="shared" si="31"/>
        <v>相場上昇・見送り | 下降トレンド▼ MACD+ RSI:47.8 前日比:-1.9%前日[長い下ヒゲ(反発)] [2点]</v>
      </c>
      <c r="Z124" s="338">
        <f t="shared" si="32"/>
        <v>-1.8997361477572559</v>
      </c>
      <c r="AA124" s="212" t="str">
        <f t="shared" si="33"/>
        <v>下落▼</v>
      </c>
      <c r="AB124" s="333">
        <f>IF(OR(C124="",C124="TOPX",終値!E64=""),"",IFERROR(((終値!E64*0.333)+(終値!F64*0.222)+(終値!G64*0.148)+(終値!H64*0.099)+(終値!I64*0.066))/(0.333+0.222+0.148+0.099+0.066),""))</f>
        <v>3821.8214285714284</v>
      </c>
      <c r="AC124" s="333">
        <f>IF(OR(C124="",C124="TOPX",終値!E64=""),"",IFERROR(SUMPRODUCT((終値!E64:AC64),{0.077,0.071,0.065,0.06,0.055,0.051,0.047,0.043,0.039,0.036,0.033,0.031,0.028,0.026,0.024,0.022,0.02,0.018,0.017,0.016,0.014,0.013,0.012,0.011,0.01})/SUM({0.077,0.071,0.065,0.06,0.055,0.051,0.047,0.043,0.039,0.036,0.033,0.031,0.028,0.026,0.024,0.022,0.02,0.018,0.017,0.016,0.014,0.013,0.012,0.011,0.01}),""))</f>
        <v>3847.276519666269</v>
      </c>
      <c r="AD124" s="212" t="str">
        <f t="shared" si="34"/>
        <v>下降トレンド▼</v>
      </c>
      <c r="AE124" s="212" t="str">
        <f t="shared" si="35"/>
        <v>なし</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相場上昇・見送り</v>
      </c>
      <c r="AG124">
        <f t="shared" si="36"/>
        <v>0</v>
      </c>
      <c r="AH124">
        <f t="shared" si="37"/>
        <v>0</v>
      </c>
      <c r="AI124" s="373">
        <f t="array" ref="AI124">IF(C124="","",IFERROR((INDEX(終値!$E:$E,MATCH(TEXT(C124,"0"),終値!$A:$A,0))-INDEX(終値!$E:$CZ,MATCH(TEXT(C124,"0"),終値!$A:$A,0),$AN$2))/INDEX(終値!$E:$CZ,MATCH(TEXT(C124,"0"),終値!$A:$A,0),$AN$2)*100,""))</f>
        <v>0.74886333244182945</v>
      </c>
      <c r="AJ124" s="373">
        <f t="array" ref="AJ124">IFERROR((終値!$E$5-INDEX(終値!$E$5:$CZ$5,1,$AN$2))/INDEX(終値!$E$5:$CZ$5,1,$AN$2)*100,"")</f>
        <v>-0.82558151178043282</v>
      </c>
      <c r="AK124" s="374">
        <f t="shared" si="38"/>
        <v>1.5744448442222623</v>
      </c>
      <c r="AL124" s="372">
        <f t="shared" si="39"/>
        <v>-1</v>
      </c>
      <c r="AO124" s="376" t="str">
        <f t="shared" si="40"/>
        <v>通常</v>
      </c>
      <c r="AP124" s="377">
        <f t="shared" si="41"/>
        <v>0</v>
      </c>
      <c r="AQ124">
        <f>IF(C124&lt;&gt;"",始値!F64,"")</f>
        <v>3800</v>
      </c>
      <c r="AR124">
        <f>IF(C124&lt;&gt;"",高値!F64,"")</f>
        <v>3809</v>
      </c>
      <c r="AS124">
        <f>IF(C124&lt;&gt;"",安値!F64,"")</f>
        <v>3730</v>
      </c>
      <c r="AT124" t="str">
        <f t="shared" si="42"/>
        <v>長い下ヒゲ(反発)</v>
      </c>
      <c r="AU124">
        <f t="shared" si="43"/>
        <v>-2</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1858</v>
      </c>
      <c r="F125" s="326">
        <f>IF(C125&lt;&gt;"",_xll.RssMarket(C125,"始値"),"")</f>
        <v>1860</v>
      </c>
      <c r="G125" s="325">
        <f>IF(C125&lt;&gt;"",終値!F67,"")</f>
        <v>1869</v>
      </c>
      <c r="H125" s="326">
        <f>IF(C125&lt;&gt;"",_xll.RssMarket(C125,"高値"),"")</f>
        <v>1875</v>
      </c>
      <c r="I125" s="326">
        <f>IF(C125&lt;&gt;"",_xll.RssMarket(C125,"安値"),"")</f>
        <v>1845</v>
      </c>
      <c r="J125" s="326">
        <f>IF(C125&lt;&gt;"",_xll.RssMarket(C125,"出来高"),"")</f>
        <v>279300</v>
      </c>
      <c r="K125" s="326">
        <f>IF(C125&lt;&gt;"",_xll.RssMarket(C125,"年初来高値"),"")</f>
        <v>2254</v>
      </c>
      <c r="L125" s="327">
        <f t="shared" si="22"/>
        <v>-17.56876663708962</v>
      </c>
      <c r="M125" s="326">
        <f>IF(C125&lt;&gt;"",IFERROR(AVERAGE(出来高!E67:I67),""),"")</f>
        <v>1268140</v>
      </c>
      <c r="N125" s="326">
        <f>IF(C125&lt;&gt;"",IFERROR(AVERAGE(出来高!E67:AC67),""),"")</f>
        <v>1235475</v>
      </c>
      <c r="O125" s="328">
        <f t="shared" si="23"/>
        <v>0.22024382166006909</v>
      </c>
      <c r="P125" s="325" t="str">
        <f t="shared" si="24"/>
        <v>減少↓</v>
      </c>
      <c r="Q125" s="325" t="str">
        <f t="shared" si="25"/>
        <v>中立→</v>
      </c>
      <c r="R125" s="326">
        <f t="shared" si="26"/>
        <v>1709</v>
      </c>
      <c r="S125" s="326">
        <f t="shared" si="27"/>
        <v>1932</v>
      </c>
      <c r="T125" s="325">
        <f t="shared" si="28"/>
        <v>8</v>
      </c>
      <c r="U125" s="325" t="str">
        <f t="shared" si="29"/>
        <v>要確認</v>
      </c>
      <c r="V125" s="325" t="str">
        <f t="shared" si="30"/>
        <v>通常</v>
      </c>
      <c r="W125" s="329">
        <f t="array" ref="W125">IFERROR(100-100/(1+SUMPRODUCT((終値!F67:R67&gt;終値!G67:S67)*(終値!F67:R67-終値!G67:S67))/SUMPRODUCT((終値!F67:R67&lt;終値!G67:S67)*(終値!G67:S67-終値!F67:R67))),50)</f>
        <v>46.756383712905453</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-50.615494608718336</v>
      </c>
      <c r="Y125" s="325" t="str">
        <f t="shared" si="31"/>
        <v>相場上昇・見送り | 下降トレンド▼ MACD- RSI:46.8 前日比:-0.6%前日[長い下ヒゲ(反発)] [8点]</v>
      </c>
      <c r="Z125" s="331">
        <f t="shared" si="32"/>
        <v>-0.58855002675227397</v>
      </c>
      <c r="AA125" s="325" t="str">
        <f t="shared" si="33"/>
        <v>下落▼</v>
      </c>
      <c r="AB125" s="326">
        <f>IF(OR(C125="",C125="TOPX",終値!E67=""),"",IFERROR(((終値!E67*0.333)+(終値!F67*0.222)+(終値!G67*0.148)+(終値!H67*0.099)+(終値!I67*0.066))/(0.333+0.222+0.148+0.099+0.066),""))</f>
        <v>1891.1595622119814</v>
      </c>
      <c r="AC125" s="326">
        <f>IF(OR(C125="",C125="TOPX",終値!E67=""),"",IFERROR(SUMPRODUCT((終値!E67:AC67),{0.077,0.071,0.065,0.06,0.055,0.051,0.047,0.043,0.039,0.036,0.033,0.031,0.028,0.026,0.024,0.022,0.02,0.018,0.017,0.016,0.014,0.013,0.012,0.011,0.01})/SUM({0.077,0.071,0.065,0.06,0.055,0.051,0.047,0.043,0.039,0.036,0.033,0.031,0.028,0.026,0.024,0.022,0.02,0.018,0.017,0.016,0.014,0.013,0.012,0.011,0.01}),""))</f>
        <v>1902.005959475566</v>
      </c>
      <c r="AD125" s="325" t="str">
        <f t="shared" si="34"/>
        <v>下降トレンド▼</v>
      </c>
      <c r="AE125" s="325" t="str">
        <f t="shared" si="35"/>
        <v>なし</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相場上昇・見送り</v>
      </c>
      <c r="AG125">
        <f t="shared" si="36"/>
        <v>8</v>
      </c>
      <c r="AH125">
        <f t="shared" si="37"/>
        <v>79875</v>
      </c>
      <c r="AI125" s="373">
        <f t="array" ref="AI125">IF(C125="","",IFERROR((INDEX(終値!$E:$E,MATCH(TEXT(C125,"0"),終値!$A:$A,0))-INDEX(終値!$E:$CZ,MATCH(TEXT(C125,"0"),終値!$A:$A,0),$AN$2))/INDEX(終値!$E:$CZ,MATCH(TEXT(C125,"0"),終値!$A:$A,0),$AN$2)*100,""))</f>
        <v>-12.922002328288706</v>
      </c>
      <c r="AJ125" s="373">
        <f t="array" ref="AJ125">IFERROR((終値!$E$5-INDEX(終値!$E$5:$CZ$5,1,$AN$2))/INDEX(終値!$E$5:$CZ$5,1,$AN$2)*100,"")</f>
        <v>-0.82558151178043282</v>
      </c>
      <c r="AK125" s="374">
        <f t="shared" si="38"/>
        <v>-12.096420816508273</v>
      </c>
      <c r="AL125" s="372">
        <f t="shared" si="39"/>
        <v>3</v>
      </c>
      <c r="AO125" s="376" t="str">
        <f t="shared" si="40"/>
        <v>通常</v>
      </c>
      <c r="AP125" s="377">
        <f t="shared" si="41"/>
        <v>0</v>
      </c>
      <c r="AQ125">
        <f>IF(C125&lt;&gt;"",始値!F67,"")</f>
        <v>1884</v>
      </c>
      <c r="AR125">
        <f>IF(C125&lt;&gt;"",高値!F67,"")</f>
        <v>1889</v>
      </c>
      <c r="AS125">
        <f>IF(C125&lt;&gt;"",安値!F67,"")</f>
        <v>1844</v>
      </c>
      <c r="AT125" t="str">
        <f t="shared" si="42"/>
        <v>長い下ヒゲ(反発)</v>
      </c>
      <c r="AU125">
        <f t="shared" si="43"/>
        <v>-2</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5472</v>
      </c>
      <c r="F126" s="333">
        <f>IF(C126&lt;&gt;"",_xll.RssMarket(C126,"始値"),"")</f>
        <v>5425</v>
      </c>
      <c r="G126" s="212">
        <f>IF(C126&lt;&gt;"",終値!F91,"")</f>
        <v>5301</v>
      </c>
      <c r="H126" s="333">
        <f>IF(C126&lt;&gt;"",_xll.RssMarket(C126,"高値"),"")</f>
        <v>5473</v>
      </c>
      <c r="I126" s="333">
        <f>IF(C126&lt;&gt;"",_xll.RssMarket(C126,"安値"),"")</f>
        <v>5314</v>
      </c>
      <c r="J126" s="333">
        <f>IF(C126&lt;&gt;"",_xll.RssMarket(C126,"出来高"),"")</f>
        <v>9062200</v>
      </c>
      <c r="K126" s="333">
        <f>IF(C126&lt;&gt;"",_xll.RssMarket(C126,"年初来高値"),"")</f>
        <v>6039</v>
      </c>
      <c r="L126" s="334">
        <f t="shared" si="22"/>
        <v>-9.3889716840536508</v>
      </c>
      <c r="M126" s="333">
        <f>IF(C126&lt;&gt;"",IFERROR(AVERAGE(出来高!E91:I91),""),"")</f>
        <v>17547820</v>
      </c>
      <c r="N126" s="333">
        <f>IF(C126&lt;&gt;"",IFERROR(AVERAGE(出来高!E91:AC91),""),"")</f>
        <v>12582104</v>
      </c>
      <c r="O126" s="335">
        <f t="shared" si="23"/>
        <v>0.51642882135786672</v>
      </c>
      <c r="P126" s="212" t="str">
        <f t="shared" si="24"/>
        <v>減少↓</v>
      </c>
      <c r="Q126" s="212" t="str">
        <f t="shared" si="25"/>
        <v>様子見▲</v>
      </c>
      <c r="R126" s="333">
        <f t="shared" si="26"/>
        <v>5034</v>
      </c>
      <c r="S126" s="333">
        <f t="shared" si="27"/>
        <v>5691</v>
      </c>
      <c r="T126" s="325">
        <f t="shared" si="28"/>
        <v>-1</v>
      </c>
      <c r="U126" s="212" t="str">
        <f t="shared" si="29"/>
        <v>除外</v>
      </c>
      <c r="V126" s="212" t="str">
        <f t="shared" si="30"/>
        <v>通常</v>
      </c>
      <c r="W126" s="336">
        <f t="array" ref="W126">IFERROR(100-100/(1+SUMPRODUCT((終値!F91:R91&gt;終値!G91:S91)*(終値!F91:R91-終値!G91:S91))/SUMPRODUCT((終値!F91:R91&lt;終値!G91:S91)*(終値!G91:S91-終値!F91:R91))),50)</f>
        <v>78.425655976676381</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70.089920354725109</v>
      </c>
      <c r="Y126" s="212" t="str">
        <f t="shared" si="31"/>
        <v>△過熱・様子見 | パーフェクト▲ MACD+ RSI:78.4 [過熱] 前日比:+3.2% [長い下ヒゲ(反発警戒)] [-1点]</v>
      </c>
      <c r="Z126" s="338">
        <f t="shared" si="32"/>
        <v>3.225806451612903</v>
      </c>
      <c r="AA126" s="212" t="str">
        <f t="shared" si="33"/>
        <v>上昇▲</v>
      </c>
      <c r="AB126" s="333">
        <f>IF(OR(C126="",C126="TOPX",終値!E91=""),"",IFERROR(((終値!E91*0.333)+(終値!F91*0.222)+(終値!G91*0.148)+(終値!H91*0.099)+(終値!I91*0.066))/(0.333+0.222+0.148+0.099+0.066),""))</f>
        <v>5306.3836405529955</v>
      </c>
      <c r="AC126" s="333">
        <f>IF(OR(C126="",C126="TOPX",終値!E91=""),"",IFERROR(SUMPRODUCT((終値!E91:AC91),{0.077,0.071,0.065,0.06,0.055,0.051,0.047,0.043,0.039,0.036,0.033,0.031,0.028,0.026,0.024,0.022,0.02,0.018,0.017,0.016,0.014,0.013,0.012,0.011,0.01})/SUM({0.077,0.071,0.065,0.06,0.055,0.051,0.047,0.043,0.039,0.036,0.033,0.031,0.028,0.026,0.024,0.022,0.02,0.018,0.017,0.016,0.014,0.013,0.012,0.011,0.01}),""))</f>
        <v>4976.411203814062</v>
      </c>
      <c r="AD126" s="212" t="str">
        <f t="shared" si="34"/>
        <v>パーフェクト▲</v>
      </c>
      <c r="AE126" s="212" t="str">
        <f t="shared" si="35"/>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 t="shared" si="36"/>
        <v>0</v>
      </c>
      <c r="AH126">
        <f t="shared" si="37"/>
        <v>0</v>
      </c>
      <c r="AI126" s="373">
        <f t="array" ref="AI126">IF(C126="","",IFERROR((INDEX(終値!$E:$E,MATCH(TEXT(C126,"0"),終値!$A:$A,0))-INDEX(終値!$E:$CZ,MATCH(TEXT(C126,"0"),終値!$A:$A,0),$AN$2))/INDEX(終値!$E:$CZ,MATCH(TEXT(C126,"0"),終値!$A:$A,0),$AN$2)*100,""))</f>
        <v>20.641997325011147</v>
      </c>
      <c r="AJ126" s="373">
        <f t="array" ref="AJ126">IFERROR((終値!$E$5-INDEX(終値!$E$5:$CZ$5,1,$AN$2))/INDEX(終値!$E$5:$CZ$5,1,$AN$2)*100,"")</f>
        <v>-0.82558151178043282</v>
      </c>
      <c r="AK126" s="374">
        <f t="shared" si="38"/>
        <v>21.467578836791581</v>
      </c>
      <c r="AL126" s="372">
        <f t="shared" si="39"/>
        <v>-2</v>
      </c>
      <c r="AO126" s="376" t="str">
        <f t="shared" si="40"/>
        <v>長い下ヒゲ(反発警戒)</v>
      </c>
      <c r="AP126" s="377">
        <f t="shared" si="41"/>
        <v>-2</v>
      </c>
      <c r="AQ126">
        <f>IF(C126&lt;&gt;"",始値!F91,"")</f>
        <v>5181</v>
      </c>
      <c r="AR126">
        <f>IF(C126&lt;&gt;"",高値!F91,"")</f>
        <v>5336</v>
      </c>
      <c r="AS126">
        <f>IF(C126&lt;&gt;"",安値!F91,"")</f>
        <v>5167</v>
      </c>
      <c r="AT126" t="str">
        <f t="shared" si="42"/>
        <v>通常</v>
      </c>
      <c r="AU126">
        <f t="shared" si="43"/>
        <v>0</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1262</v>
      </c>
      <c r="F127" s="326">
        <f>IF(C127&lt;&gt;"",_xll.RssMarket(C127,"始値"),"")</f>
        <v>1248</v>
      </c>
      <c r="G127" s="325">
        <f>IF(C127&lt;&gt;"",終値!F95,"")</f>
        <v>1218</v>
      </c>
      <c r="H127" s="326">
        <f>IF(C127&lt;&gt;"",_xll.RssMarket(C127,"高値"),"")</f>
        <v>1263</v>
      </c>
      <c r="I127" s="326">
        <f>IF(C127&lt;&gt;"",_xll.RssMarket(C127,"安値"),"")</f>
        <v>1240</v>
      </c>
      <c r="J127" s="326">
        <f>IF(C127&lt;&gt;"",_xll.RssMarket(C127,"出来高"),"")</f>
        <v>85300</v>
      </c>
      <c r="K127" s="326">
        <f>IF(C127&lt;&gt;"",_xll.RssMarket(C127,"年初来高値"),"")</f>
        <v>1398</v>
      </c>
      <c r="L127" s="327">
        <f t="shared" si="22"/>
        <v>-9.7281831187410592</v>
      </c>
      <c r="M127" s="326">
        <f>IF(C127&lt;&gt;"",IFERROR(AVERAGE(出来高!E95:I95),""),"")</f>
        <v>185640</v>
      </c>
      <c r="N127" s="326">
        <f>IF(C127&lt;&gt;"",IFERROR(AVERAGE(出来高!E95:AC95),""),"")</f>
        <v>177045.83333333334</v>
      </c>
      <c r="O127" s="328">
        <f t="shared" si="23"/>
        <v>0.45949148890325359</v>
      </c>
      <c r="P127" s="325" t="str">
        <f t="shared" si="24"/>
        <v>減少↓</v>
      </c>
      <c r="Q127" s="325" t="str">
        <f t="shared" si="25"/>
        <v>様子見▲</v>
      </c>
      <c r="R127" s="326">
        <f t="shared" si="26"/>
        <v>1161</v>
      </c>
      <c r="S127" s="326">
        <f t="shared" si="27"/>
        <v>1312</v>
      </c>
      <c r="T127" s="325">
        <f t="shared" si="28"/>
        <v>3</v>
      </c>
      <c r="U127" s="325" t="str">
        <f t="shared" si="29"/>
        <v>要確認</v>
      </c>
      <c r="V127" s="325" t="str">
        <f t="shared" si="30"/>
        <v>通常</v>
      </c>
      <c r="W127" s="329">
        <f t="array" ref="W127">IFERROR(100-100/(1+SUMPRODUCT((終値!F95:R95&gt;終値!G95:S95)*(終値!F95:R95-終値!G95:S95))/SUMPRODUCT((終値!F95:R95&lt;終値!G95:S95)*(終値!G95:S95-終値!F95:R95))),50)</f>
        <v>49.226340410219507</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-17.509769581951332</v>
      </c>
      <c r="Y127" s="325" t="str">
        <f t="shared" si="31"/>
        <v>相場上昇・見送り | パーフェクト▲ MACD- RSI:49.2 前日比:+3.6% [3点]</v>
      </c>
      <c r="Z127" s="331">
        <f t="shared" si="32"/>
        <v>3.6124794745484397</v>
      </c>
      <c r="AA127" s="325" t="str">
        <f t="shared" si="33"/>
        <v>上昇▲</v>
      </c>
      <c r="AB127" s="326">
        <f>IF(OR(C127="",C127="TOPX",終値!E95=""),"",IFERROR(((終値!E95*0.333)+(終値!F95*0.222)+(終値!G95*0.148)+(終値!H95*0.099)+(終値!I95*0.066))/(0.333+0.222+0.148+0.099+0.066),""))</f>
        <v>1227.8559907834099</v>
      </c>
      <c r="AC127" s="326">
        <f>IF(OR(C127="",C127="TOPX",終値!E95=""),"",IFERROR(SUMPRODUCT((終値!E95:AC95),{0.077,0.071,0.065,0.06,0.055,0.051,0.047,0.043,0.039,0.036,0.033,0.031,0.028,0.026,0.024,0.022,0.02,0.018,0.017,0.016,0.014,0.013,0.012,0.011,0.01})/SUM({0.077,0.071,0.065,0.06,0.055,0.051,0.047,0.043,0.039,0.036,0.033,0.031,0.028,0.026,0.024,0.022,0.02,0.018,0.017,0.016,0.014,0.013,0.012,0.011,0.01}),""))</f>
        <v>1196.3206197854586</v>
      </c>
      <c r="AD127" s="325" t="str">
        <f t="shared" si="34"/>
        <v>パーフェクト▲</v>
      </c>
      <c r="AE127" s="325" t="str">
        <f t="shared" si="35"/>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 t="shared" si="36"/>
        <v>0</v>
      </c>
      <c r="AH127">
        <f t="shared" si="37"/>
        <v>0</v>
      </c>
      <c r="AI127" s="373">
        <f t="array" ref="AI127">IF(C127="","",IFERROR((INDEX(終値!$E:$E,MATCH(TEXT(C127,"0"),終値!$A:$A,0))-INDEX(終値!$E:$CZ,MATCH(TEXT(C127,"0"),終値!$A:$A,0),$AN$2))/INDEX(終値!$E:$CZ,MATCH(TEXT(C127,"0"),終値!$A:$A,0),$AN$2)*100,""))</f>
        <v>-4.4015444015444016</v>
      </c>
      <c r="AJ127" s="373">
        <f t="array" ref="AJ127">IFERROR((終値!$E$5-INDEX(終値!$E$5:$CZ$5,1,$AN$2))/INDEX(終値!$E$5:$CZ$5,1,$AN$2)*100,"")</f>
        <v>-0.82558151178043282</v>
      </c>
      <c r="AK127" s="374">
        <f t="shared" si="38"/>
        <v>-3.5759628897639688</v>
      </c>
      <c r="AL127" s="372">
        <f t="shared" si="39"/>
        <v>1</v>
      </c>
      <c r="AO127" s="376" t="str">
        <f t="shared" si="40"/>
        <v>通常</v>
      </c>
      <c r="AP127" s="377">
        <f t="shared" si="41"/>
        <v>0</v>
      </c>
      <c r="AQ127">
        <f>IF(C127&lt;&gt;"",始値!F95,"")</f>
        <v>1224</v>
      </c>
      <c r="AR127">
        <f>IF(C127&lt;&gt;"",高値!F95,"")</f>
        <v>1244</v>
      </c>
      <c r="AS127">
        <f>IF(C127&lt;&gt;"",安値!F95,"")</f>
        <v>1199</v>
      </c>
      <c r="AT127" t="str">
        <f t="shared" si="42"/>
        <v>通常</v>
      </c>
      <c r="AU127">
        <f t="shared" si="43"/>
        <v>0</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1717</v>
      </c>
      <c r="F128" s="333">
        <f>IF(C128&lt;&gt;"",_xll.RssMarket(C128,"始値"),"")</f>
        <v>1725</v>
      </c>
      <c r="G128" s="212">
        <f>IF(C128&lt;&gt;"",終値!F116,"")</f>
        <v>1745</v>
      </c>
      <c r="H128" s="333">
        <f>IF(C128&lt;&gt;"",_xll.RssMarket(C128,"高値"),"")</f>
        <v>1728</v>
      </c>
      <c r="I128" s="333">
        <f>IF(C128&lt;&gt;"",_xll.RssMarket(C128,"安値"),"")</f>
        <v>1707</v>
      </c>
      <c r="J128" s="333">
        <f>IF(C128&lt;&gt;"",_xll.RssMarket(C128,"出来高"),"")</f>
        <v>106500</v>
      </c>
      <c r="K128" s="333">
        <f>IF(C128&lt;&gt;"",_xll.RssMarket(C128,"年初来高値"),"")</f>
        <v>1891</v>
      </c>
      <c r="L128" s="334">
        <f t="shared" si="22"/>
        <v>-9.2014806980433619</v>
      </c>
      <c r="M128" s="333">
        <f>IF(C128&lt;&gt;"",IFERROR(AVERAGE(出来高!E116:I116),""),"")</f>
        <v>257340</v>
      </c>
      <c r="N128" s="333">
        <f>IF(C128&lt;&gt;"",IFERROR(AVERAGE(出来高!E116:AC116),""),"")</f>
        <v>196936</v>
      </c>
      <c r="O128" s="335">
        <f t="shared" si="23"/>
        <v>0.41384938214035905</v>
      </c>
      <c r="P128" s="212" t="str">
        <f t="shared" si="24"/>
        <v>減少↓</v>
      </c>
      <c r="Q128" s="212" t="str">
        <f t="shared" si="25"/>
        <v>中立→</v>
      </c>
      <c r="R128" s="333">
        <f t="shared" si="26"/>
        <v>1580</v>
      </c>
      <c r="S128" s="333">
        <f t="shared" si="27"/>
        <v>1786</v>
      </c>
      <c r="T128" s="325">
        <f t="shared" si="28"/>
        <v>7</v>
      </c>
      <c r="U128" s="212" t="str">
        <f t="shared" si="29"/>
        <v>要確認</v>
      </c>
      <c r="V128" s="212" t="str">
        <f t="shared" si="30"/>
        <v>通常</v>
      </c>
      <c r="W128" s="336">
        <f t="array" ref="W128">IFERROR(100-100/(1+SUMPRODUCT((終値!F116:R116&gt;終値!G116:S116)*(終値!F116:R116-終値!G116:S116))/SUMPRODUCT((終値!F116:R116&lt;終値!G116:S116)*(終値!G116:S116-終値!F116:R116))),50)</f>
        <v>38.275862068965516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-2.2970557914970868</v>
      </c>
      <c r="Y128" s="212" t="str">
        <f t="shared" si="31"/>
        <v>相場上昇・見送り | 下降トレンド▼ MACD- RSI:38.3 前日比:-1.6% [7点]</v>
      </c>
      <c r="Z128" s="338">
        <f t="shared" si="32"/>
        <v>-1.6045845272206303</v>
      </c>
      <c r="AA128" s="212" t="str">
        <f t="shared" si="33"/>
        <v>下落▼</v>
      </c>
      <c r="AB128" s="333">
        <f>IF(OR(C128="",C128="TOPX",終値!E116=""),"",IFERROR(((終値!E116*0.333)+(終値!F116*0.222)+(終値!G116*0.148)+(終値!H116*0.099)+(終値!I116*0.066))/(0.333+0.222+0.148+0.099+0.066),""))</f>
        <v>1770.9193548387095</v>
      </c>
      <c r="AC128" s="333">
        <f>IF(OR(C128="",C128="TOPX",終値!E116=""),"",IFERROR(SUMPRODUCT((終値!E116:AC116),{0.077,0.071,0.065,0.06,0.055,0.051,0.047,0.043,0.039,0.036,0.033,0.031,0.028,0.026,0.024,0.022,0.02,0.018,0.017,0.016,0.014,0.013,0.012,0.011,0.01})/SUM({0.077,0.071,0.065,0.06,0.055,0.051,0.047,0.043,0.039,0.036,0.033,0.031,0.028,0.026,0.024,0.022,0.02,0.018,0.017,0.016,0.014,0.013,0.012,0.011,0.01}),""))</f>
        <v>1805.6090584028595</v>
      </c>
      <c r="AD128" s="212" t="str">
        <f t="shared" si="34"/>
        <v>下降トレンド▼</v>
      </c>
      <c r="AE128" s="212" t="str">
        <f t="shared" si="35"/>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 t="shared" si="36"/>
        <v>7</v>
      </c>
      <c r="AH128">
        <f t="shared" si="37"/>
        <v>69872</v>
      </c>
      <c r="AI128" s="373">
        <f t="array" ref="AI128">IF(C128="","",IFERROR((INDEX(終値!$E:$E,MATCH(TEXT(C128,"0"),終値!$A:$A,0))-INDEX(終値!$E:$CZ,MATCH(TEXT(C128,"0"),終値!$A:$A,0),$AN$2))/INDEX(終値!$E:$CZ,MATCH(TEXT(C128,"0"),終値!$A:$A,0),$AN$2)*100,""))</f>
        <v>-2.9345372460496613</v>
      </c>
      <c r="AJ128" s="373">
        <f t="array" ref="AJ128">IFERROR((終値!$E$5-INDEX(終値!$E$5:$CZ$5,1,$AN$2))/INDEX(終値!$E$5:$CZ$5,1,$AN$2)*100,"")</f>
        <v>-0.82558151178043282</v>
      </c>
      <c r="AK128" s="374">
        <f t="shared" si="38"/>
        <v>-2.1089557342692284</v>
      </c>
      <c r="AL128" s="372">
        <f t="shared" si="39"/>
        <v>1</v>
      </c>
      <c r="AO128" s="376" t="str">
        <f t="shared" si="40"/>
        <v>通常</v>
      </c>
      <c r="AP128" s="377">
        <f t="shared" si="41"/>
        <v>0</v>
      </c>
      <c r="AQ128">
        <f>IF(C128&lt;&gt;"",始値!F116,"")</f>
        <v>1728</v>
      </c>
      <c r="AR128">
        <f>IF(C128&lt;&gt;"",高値!F116,"")</f>
        <v>1773</v>
      </c>
      <c r="AS128">
        <f>IF(C128&lt;&gt;"",安値!F116,"")</f>
        <v>1706</v>
      </c>
      <c r="AT128" t="str">
        <f t="shared" si="42"/>
        <v>通常</v>
      </c>
      <c r="AU128">
        <f t="shared" si="43"/>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1484.5</v>
      </c>
      <c r="F129" s="326">
        <f>IF(C129&lt;&gt;"",_xll.RssMarket(C129,"始値"),"")</f>
        <v>1479.5</v>
      </c>
      <c r="G129" s="325">
        <f>IF(C129&lt;&gt;"",終値!F124,"")</f>
        <v>1488.5</v>
      </c>
      <c r="H129" s="326">
        <f>IF(C129&lt;&gt;"",_xll.RssMarket(C129,"高値"),"")</f>
        <v>1495.5</v>
      </c>
      <c r="I129" s="326">
        <f>IF(C129&lt;&gt;"",_xll.RssMarket(C129,"安値"),"")</f>
        <v>1473.5</v>
      </c>
      <c r="J129" s="326">
        <f>IF(C129&lt;&gt;"",_xll.RssMarket(C129,"出来高"),"")</f>
        <v>3874700</v>
      </c>
      <c r="K129" s="326">
        <f>IF(C129&lt;&gt;"",_xll.RssMarket(C129,"年初来高値"),"")</f>
        <v>2158</v>
      </c>
      <c r="L129" s="327">
        <f t="shared" si="22"/>
        <v>-31.209453197405008</v>
      </c>
      <c r="M129" s="326">
        <f>IF(C129&lt;&gt;"",IFERROR(AVERAGE(出来高!E124:I124),""),"")</f>
        <v>11614260</v>
      </c>
      <c r="N129" s="326">
        <f>IF(C129&lt;&gt;"",IFERROR(AVERAGE(出来高!E124:AC124),""),"")</f>
        <v>9091984</v>
      </c>
      <c r="O129" s="328">
        <f t="shared" si="23"/>
        <v>0.33361574478270678</v>
      </c>
      <c r="P129" s="325" t="str">
        <f t="shared" si="24"/>
        <v>減少↓</v>
      </c>
      <c r="Q129" s="325" t="str">
        <f t="shared" si="25"/>
        <v>中立→</v>
      </c>
      <c r="R129" s="326">
        <f t="shared" si="26"/>
        <v>1366</v>
      </c>
      <c r="S129" s="326">
        <f t="shared" si="27"/>
        <v>1544</v>
      </c>
      <c r="T129" s="325">
        <f t="shared" si="28"/>
        <v>9</v>
      </c>
      <c r="U129" s="325" t="str">
        <f t="shared" si="29"/>
        <v>要確認</v>
      </c>
      <c r="V129" s="325" t="str">
        <f t="shared" si="30"/>
        <v>安値圏</v>
      </c>
      <c r="W129" s="329">
        <f t="array" ref="W129">IFERROR(100-100/(1+SUMPRODUCT((終値!F124:R124&gt;終値!G124:S124)*(終値!F124:R124-終値!G124:S124))/SUMPRODUCT((終値!F124:R124&lt;終値!G124:S124)*(終値!G124:S124-終値!F124:R124))),50)</f>
        <v>45.701357466063349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1.8838436707678738</v>
      </c>
      <c r="Y129" s="325" t="str">
        <f t="shared" si="31"/>
        <v>相場上昇・見送り | 下降トレンド▼ MACD+ RSI:45.7 前日比:-0.3% [安値圏] [9点]</v>
      </c>
      <c r="Z129" s="331">
        <f t="shared" si="32"/>
        <v>-0.26872690628149143</v>
      </c>
      <c r="AA129" s="325" t="str">
        <f t="shared" si="33"/>
        <v>下落▼</v>
      </c>
      <c r="AB129" s="326">
        <f>IF(OR(C129="",C129="TOPX",終値!E124=""),"",IFERROR(((終値!E124*0.333)+(終値!F124*0.222)+(終値!G124*0.148)+(終値!H124*0.099)+(終値!I124*0.066))/(0.333+0.222+0.148+0.099+0.066),""))</f>
        <v>1519.6313364055297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1548.5971394517273</v>
      </c>
      <c r="AD129" s="325" t="str">
        <f t="shared" si="34"/>
        <v>下降トレンド▼</v>
      </c>
      <c r="AE129" s="325" t="str">
        <f t="shared" si="35"/>
        <v>なし</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相場上昇・見送り</v>
      </c>
      <c r="AG129">
        <f t="shared" si="36"/>
        <v>9</v>
      </c>
      <c r="AH129">
        <f t="shared" si="37"/>
        <v>89871</v>
      </c>
      <c r="AI129" s="373">
        <f t="array" ref="AI129">IF(C129="","",IFERROR((INDEX(終値!$E:$E,MATCH(TEXT(C129,"0"),終値!$A:$A,0))-INDEX(終値!$E:$CZ,MATCH(TEXT(C129,"0"),終値!$A:$A,0),$AN$2))/INDEX(終値!$E:$CZ,MATCH(TEXT(C129,"0"),終値!$A:$A,0),$AN$2)*100,""))</f>
        <v>-3.0582045379809273</v>
      </c>
      <c r="AJ129" s="373">
        <f t="array" ref="AJ129">IFERROR((終値!$E$5-INDEX(終値!$E$5:$CZ$5,1,$AN$2))/INDEX(終値!$E$5:$CZ$5,1,$AN$2)*100,"")</f>
        <v>-0.82558151178043282</v>
      </c>
      <c r="AK129" s="374">
        <f t="shared" si="38"/>
        <v>-2.2326230262004945</v>
      </c>
      <c r="AL129" s="372">
        <f t="shared" si="39"/>
        <v>1</v>
      </c>
      <c r="AO129" s="376" t="str">
        <f t="shared" si="40"/>
        <v>通常</v>
      </c>
      <c r="AP129" s="377">
        <f t="shared" si="41"/>
        <v>0</v>
      </c>
      <c r="AQ129">
        <f>IF(C129&lt;&gt;"",始値!F124,"")</f>
        <v>1530</v>
      </c>
      <c r="AR129">
        <f>IF(C129&lt;&gt;"",高値!F124,"")</f>
        <v>1541</v>
      </c>
      <c r="AS129">
        <f>IF(C129&lt;&gt;"",安値!F124,"")</f>
        <v>1479</v>
      </c>
      <c r="AT129" t="str">
        <f t="shared" si="42"/>
        <v>通常</v>
      </c>
      <c r="AU129">
        <f t="shared" si="43"/>
        <v>0</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21400</v>
      </c>
      <c r="F130" s="333">
        <f>IF(C130&lt;&gt;"",_xll.RssMarket(C130,"始値"),"")</f>
        <v>21000</v>
      </c>
      <c r="G130" s="212">
        <f>IF(C130&lt;&gt;"",終値!F144,"")</f>
        <v>17950</v>
      </c>
      <c r="H130" s="333">
        <f>IF(C130&lt;&gt;"",_xll.RssMarket(C130,"高値"),"")</f>
        <v>21540</v>
      </c>
      <c r="I130" s="333">
        <f>IF(C130&lt;&gt;"",_xll.RssMarket(C130,"安値"),"")</f>
        <v>20320</v>
      </c>
      <c r="J130" s="333">
        <f>IF(C130&lt;&gt;"",_xll.RssMarket(C130,"出来高"),"")</f>
        <v>164400</v>
      </c>
      <c r="K130" s="333">
        <f>IF(C130&lt;&gt;"",_xll.RssMarket(C130,"年初来高値"),"")</f>
        <v>34700</v>
      </c>
      <c r="L130" s="334">
        <f t="shared" si="22"/>
        <v>-38.328530259365998</v>
      </c>
      <c r="M130" s="333">
        <f>IF(C130&lt;&gt;"",IFERROR(AVERAGE(出来高!E144:I144),""),"")</f>
        <v>162460</v>
      </c>
      <c r="N130" s="333">
        <f>IF(C130&lt;&gt;"",IFERROR(AVERAGE(出来高!E144:AC144),""),"")</f>
        <v>140125</v>
      </c>
      <c r="O130" s="335">
        <f t="shared" si="23"/>
        <v>1.0119414009602363</v>
      </c>
      <c r="P130" s="212" t="str">
        <f t="shared" si="24"/>
        <v>普通→</v>
      </c>
      <c r="Q130" s="212" t="str">
        <f t="shared" si="25"/>
        <v>様子見▲</v>
      </c>
      <c r="R130" s="333">
        <f t="shared" si="26"/>
        <v>19688</v>
      </c>
      <c r="S130" s="333">
        <f t="shared" si="27"/>
        <v>22256</v>
      </c>
      <c r="T130" s="325">
        <f t="shared" si="28"/>
        <v>8</v>
      </c>
      <c r="U130" s="212" t="str">
        <f t="shared" si="29"/>
        <v>要確認</v>
      </c>
      <c r="V130" s="212" t="str">
        <f t="shared" si="30"/>
        <v>年初来安値圏●</v>
      </c>
      <c r="W130" s="336">
        <f t="array" ref="W130">IFERROR(100-100/(1+SUMPRODUCT((終値!F144:R144&gt;終値!G144:S144)*(終値!F144:R144-終値!G144:S144))/SUMPRODUCT((終値!F144:R144&lt;終値!G144:S144)*(終値!G144:S144-終値!F144:R144))),50)</f>
        <v>46.997279765641345</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-816.49116976265213</v>
      </c>
      <c r="Y130" s="212" t="str">
        <f t="shared" si="31"/>
        <v>相場上昇・見送り | 上昇トレンド▲ MACD- RSI:47.0 前日比:+19.2% [年初来安値圏] [長い下ヒゲ(反発警戒)] [8点]</v>
      </c>
      <c r="Z130" s="338">
        <f t="shared" si="32"/>
        <v>19.220055710306408</v>
      </c>
      <c r="AA130" s="212" t="str">
        <f t="shared" si="33"/>
        <v>上昇▲</v>
      </c>
      <c r="AB130" s="333">
        <f>IF(OR(C130="",C130="TOPX",終値!E144=""),"",IFERROR(((終値!E144*0.333)+(終値!F144*0.222)+(終値!G144*0.148)+(終値!H144*0.099)+(終値!I144*0.066))/(0.333+0.222+0.148+0.099+0.066),""))</f>
        <v>17901.739631336401</v>
      </c>
      <c r="AC130" s="333">
        <f>IF(OR(C130="",C130="TOPX",終値!E144=""),"",IFERROR(SUMPRODUCT((終値!E144:AC144),{0.077,0.071,0.065,0.06,0.055,0.051,0.047,0.043,0.039,0.036,0.033,0.031,0.028,0.026,0.024,0.022,0.02,0.018,0.017,0.016,0.014,0.013,0.012,0.011,0.01})/SUM({0.077,0.071,0.065,0.06,0.055,0.051,0.047,0.043,0.039,0.036,0.033,0.031,0.028,0.026,0.024,0.022,0.02,0.018,0.017,0.016,0.014,0.013,0.012,0.011,0.01}),""))</f>
        <v>18007.640047675799</v>
      </c>
      <c r="AD130" s="212" t="str">
        <f t="shared" si="34"/>
        <v>上昇トレンド▲</v>
      </c>
      <c r="AE130" s="212" t="str">
        <f t="shared" si="35"/>
        <v>なし</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 t="shared" si="36"/>
        <v>8</v>
      </c>
      <c r="AH130">
        <f t="shared" si="37"/>
        <v>79870</v>
      </c>
      <c r="AI130" s="373">
        <f t="array" ref="AI130">IF(C130="","",IFERROR((INDEX(終値!$E:$E,MATCH(TEXT(C130,"0"),終値!$A:$A,0))-INDEX(終値!$E:$CZ,MATCH(TEXT(C130,"0"),終値!$A:$A,0),$AN$2))/INDEX(終値!$E:$CZ,MATCH(TEXT(C130,"0"),終値!$A:$A,0),$AN$2)*100,""))</f>
        <v>-26.251896813353564</v>
      </c>
      <c r="AJ130" s="373">
        <f t="array" ref="AJ130">IFERROR((終値!$E$5-INDEX(終値!$E$5:$CZ$5,1,$AN$2))/INDEX(終値!$E$5:$CZ$5,1,$AN$2)*100,"")</f>
        <v>-0.82558151178043282</v>
      </c>
      <c r="AK130" s="374">
        <f t="shared" si="38"/>
        <v>-25.426315301573133</v>
      </c>
      <c r="AL130" s="372">
        <f t="shared" si="39"/>
        <v>3</v>
      </c>
      <c r="AO130" s="376" t="str">
        <f t="shared" si="40"/>
        <v>長い下ヒゲ(反発警戒)</v>
      </c>
      <c r="AP130" s="377">
        <f t="shared" si="41"/>
        <v>-2</v>
      </c>
      <c r="AQ130">
        <f>IF(C130&lt;&gt;"",始値!F144,"")</f>
        <v>16880</v>
      </c>
      <c r="AR130">
        <f>IF(C130&lt;&gt;"",高値!F144,"")</f>
        <v>18160</v>
      </c>
      <c r="AS130">
        <f>IF(C130&lt;&gt;"",安値!F144,"")</f>
        <v>16660</v>
      </c>
      <c r="AT130" t="str">
        <f t="shared" si="42"/>
        <v>通常</v>
      </c>
      <c r="AU130">
        <f t="shared" si="43"/>
        <v>0</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315</v>
      </c>
      <c r="F131" s="326">
        <f>IF(C131&lt;&gt;"",_xll.RssMarket(C131,"始値"),"")</f>
        <v>316</v>
      </c>
      <c r="G131" s="325">
        <f>IF(C131&lt;&gt;"",終値!F146,"")</f>
        <v>311</v>
      </c>
      <c r="H131" s="326">
        <f>IF(C131&lt;&gt;"",_xll.RssMarket(C131,"高値"),"")</f>
        <v>322</v>
      </c>
      <c r="I131" s="326">
        <f>IF(C131&lt;&gt;"",_xll.RssMarket(C131,"安値"),"")</f>
        <v>314</v>
      </c>
      <c r="J131" s="326">
        <f>IF(C131&lt;&gt;"",_xll.RssMarket(C131,"出来高"),"")</f>
        <v>92300</v>
      </c>
      <c r="K131" s="326">
        <f>IF(C131&lt;&gt;"",_xll.RssMarket(C131,"年初来高値"),"")</f>
        <v>995</v>
      </c>
      <c r="L131" s="327">
        <f t="shared" ref="L131:L194" si="44">IF(AND(E131&lt;&gt;"",K131&lt;&gt;"",K131&lt;&gt;0),(E131-K131)/K131*100,"")</f>
        <v>-68.341708542713562</v>
      </c>
      <c r="M131" s="326">
        <f>IF(C131&lt;&gt;"",IFERROR(AVERAGE(出来高!E146:I146),""),"")</f>
        <v>231260</v>
      </c>
      <c r="N131" s="326">
        <f>IF(C131&lt;&gt;"",IFERROR(AVERAGE(出来高!E146:AC146),""),"")</f>
        <v>241128</v>
      </c>
      <c r="O131" s="328">
        <f t="shared" ref="O131:O194" si="45">IF(AND(J131&lt;&gt;"",M131&lt;&gt;"",M131&lt;&gt;0),J131/M131,"")</f>
        <v>0.39911787598374127</v>
      </c>
      <c r="P131" s="325" t="str">
        <f t="shared" ref="P131:P194" si="46">IF(O131="","",IF(O131&gt;=2,"急増↑↑",IF(O131&gt;=1.5,"増加↑",IF(O131&gt;=1,"普通→","減少↓"))))</f>
        <v>減少↓</v>
      </c>
      <c r="Q131" s="325" t="str">
        <f t="shared" ref="Q131:Q194" si="47">IF(E131="","",IF(AND(E131&lt;G131,O131&gt;=1.5),"売り▼",IF(E131&gt;G131,"様子見▲","中立→")))</f>
        <v>様子見▲</v>
      </c>
      <c r="R131" s="326">
        <f t="shared" ref="R131:R194" si="48">IF(E131&lt;&gt;"",ROUND(E131*0.92,0),"")</f>
        <v>290</v>
      </c>
      <c r="S131" s="326">
        <f t="shared" ref="S131:S194" si="49">IF(E131&lt;&gt;"",ROUND(E131*1.04,0),"")</f>
        <v>328</v>
      </c>
      <c r="T131" s="325">
        <f t="shared" ref="T131:T194" si="50">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4</v>
      </c>
      <c r="U131" s="325" t="str">
        <f t="shared" ref="U131:U194" si="51">IF(T131="","",IF(AND(T131&gt;=3,O131&gt;=1.5),"有効",IF(T131&gt;=3,"要確認","除外")))</f>
        <v>要確認</v>
      </c>
      <c r="V131" s="325" t="str">
        <f t="shared" ref="V131:V194" si="52">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42.857142857142854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-1.4053112773094654</v>
      </c>
      <c r="Y131" s="325" t="str">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MACD- RSI:42.9 前日比:+1.3% [年初来安値圏]前日[長い下ヒゲ(反発)] [4点]</v>
      </c>
      <c r="Z131" s="331">
        <f t="shared" ref="Z131:Z194" si="54">IF(AND(E131&lt;&gt;"",G131&lt;&gt;"",G131&lt;&gt;0),(E131-G131)/G131*100,"")</f>
        <v>1.2861736334405145</v>
      </c>
      <c r="AA131" s="325" t="str">
        <f t="shared" ref="AA131:AA194" si="55">IF(OR(C131="",E131="",E131=0),"",IF(E131&gt;G131,"上昇▲",IF(E131&lt;G131,"下落▼","横ばい→")))</f>
        <v>上昇▲</v>
      </c>
      <c r="AB131" s="326">
        <f>IF(OR(C131="",C131="TOPX",終値!E146=""),"",IFERROR(((終値!E146*0.333)+(終値!F146*0.222)+(終値!G146*0.148)+(終値!H146*0.099)+(終値!I146*0.066))/(0.333+0.222+0.148+0.099+0.066),""))</f>
        <v>309.72695852534559</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310.26221692491049</v>
      </c>
      <c r="AD131" s="325" t="str">
        <f t="shared" ref="AD131:AD194" si="56">IF(OR(C131="",AB131="",AC131="",AB131=0,AC131=0),"",IF(AND(E131&gt;AB131,AB131&gt;AC131),"パーフェクト▲",IF(E131&gt;AC131,"上昇トレンド▲",IF(AND(E131&lt;AB131,AB131&lt;AC131),"下降トレンド▼","もみ合い→"))))</f>
        <v>上昇トレンド▲</v>
      </c>
      <c r="AE131" s="325" t="str">
        <f t="shared" ref="AE131:AE194" si="57">IF(OR(C131="",AB131="",AC131=""),"",IF(AND(ABS(E131-AC131)/AC131&lt;=0.02,E131&lt;AC131),"25日戻り売り★",IF(AND(ABS(E131-AB131)/AB131&lt;=0.01,E131&lt;AB131),"5日戻り売り○","なし")))</f>
        <v>なし</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 t="shared" ref="AG131:AG194" si="58">IF(AND(T131&gt;=7,C131&lt;&gt;""),T131,0)</f>
        <v>0</v>
      </c>
      <c r="AH131">
        <f t="shared" ref="AH131:AH194" si="59">IF(AG131&gt;0,AG131*10000-ROW(A131),0)</f>
        <v>0</v>
      </c>
      <c r="AI131" s="373">
        <f t="array" ref="AI131">IF(C131="","",IFERROR((INDEX(終値!$E:$E,MATCH(TEXT(C131,"0"),終値!$A:$A,0))-INDEX(終値!$E:$CZ,MATCH(TEXT(C131,"0"),終値!$A:$A,0),$AN$2))/INDEX(終値!$E:$CZ,MATCH(TEXT(C131,"0"),終値!$A:$A,0),$AN$2)*100,""))</f>
        <v>1.935483870967742</v>
      </c>
      <c r="AJ131" s="373">
        <f t="array" ref="AJ131">IFERROR((終値!$E$5-INDEX(終値!$E$5:$CZ$5,1,$AN$2))/INDEX(終値!$E$5:$CZ$5,1,$AN$2)*100,"")</f>
        <v>-0.82558151178043282</v>
      </c>
      <c r="AK131" s="374">
        <f t="shared" ref="AK131:AK194" si="60">IF(OR(AI131="",AJ131=""),"",AI131-AJ131)</f>
        <v>2.7610653827481748</v>
      </c>
      <c r="AL131" s="372">
        <f t="shared" ref="AL131:AL194" si="61">IF(AK131="","",IF(AK131&lt;-5,3,IF(AK131&lt;0,1,IF(AK131&lt;3,-1,-2))))</f>
        <v>-1</v>
      </c>
      <c r="AO131" s="376" t="str">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 t="shared" ref="AP131:AP194" si="63">IF($AO131="上ヒゲ陰線▼",2,IF($AO131="大陰線▼",2,IF($AO131="長い下ヒゲ(反発警戒)",-2,0)))</f>
        <v>0</v>
      </c>
      <c r="AQ131">
        <f>IF(C131&lt;&gt;"",始値!F146,"")</f>
        <v>304</v>
      </c>
      <c r="AR131">
        <f>IF(C131&lt;&gt;"",高値!F146,"")</f>
        <v>312</v>
      </c>
      <c r="AS131">
        <f>IF(C131&lt;&gt;"",安値!F146,"")</f>
        <v>295</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長い下ヒゲ(反発)</v>
      </c>
      <c r="AU131">
        <f t="shared" ref="AU131:AU194" si="65">IF(AT131="上ヒゲ陰線▼",2,IF(AT131="大陰線▼",2,IF(AT131="長い下ヒゲ(反発)",-2,0)))</f>
        <v>-2</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2545</v>
      </c>
      <c r="F132" s="333">
        <f>IF(C132&lt;&gt;"",_xll.RssMarket(C132,"始値"),"")</f>
        <v>2524</v>
      </c>
      <c r="G132" s="212">
        <f>IF(C132&lt;&gt;"",終値!F156,"")</f>
        <v>2534</v>
      </c>
      <c r="H132" s="333">
        <f>IF(C132&lt;&gt;"",_xll.RssMarket(C132,"高値"),"")</f>
        <v>2577</v>
      </c>
      <c r="I132" s="333">
        <f>IF(C132&lt;&gt;"",_xll.RssMarket(C132,"安値"),"")</f>
        <v>2520</v>
      </c>
      <c r="J132" s="333">
        <f>IF(C132&lt;&gt;"",_xll.RssMarket(C132,"出来高"),"")</f>
        <v>427500</v>
      </c>
      <c r="K132" s="333">
        <f>IF(C132&lt;&gt;"",_xll.RssMarket(C132,"年初来高値"),"")</f>
        <v>2949</v>
      </c>
      <c r="L132" s="334">
        <f t="shared" si="44"/>
        <v>-13.69955917260088</v>
      </c>
      <c r="M132" s="333">
        <f>IF(C132&lt;&gt;"",IFERROR(AVERAGE(出来高!E156:I156),""),"")</f>
        <v>1416140</v>
      </c>
      <c r="N132" s="333">
        <f>IF(C132&lt;&gt;"",IFERROR(AVERAGE(出来高!E156:AC156),""),"")</f>
        <v>968600</v>
      </c>
      <c r="O132" s="335">
        <f t="shared" si="45"/>
        <v>0.30187693307158897</v>
      </c>
      <c r="P132" s="212" t="str">
        <f t="shared" si="46"/>
        <v>減少↓</v>
      </c>
      <c r="Q132" s="212" t="str">
        <f t="shared" si="47"/>
        <v>様子見▲</v>
      </c>
      <c r="R132" s="333">
        <f t="shared" si="48"/>
        <v>2341</v>
      </c>
      <c r="S132" s="333">
        <f t="shared" si="49"/>
        <v>2647</v>
      </c>
      <c r="T132" s="325">
        <f t="shared" si="50"/>
        <v>9</v>
      </c>
      <c r="U132" s="212" t="str">
        <f t="shared" si="51"/>
        <v>要確認</v>
      </c>
      <c r="V132" s="212" t="str">
        <f t="shared" si="52"/>
        <v>通常</v>
      </c>
      <c r="W132" s="336">
        <f t="array" ref="W132">IFERROR(100-100/(1+SUMPRODUCT((終値!F156:R156&gt;終値!G156:S156)*(終値!F156:R156-終値!G156:S156))/SUMPRODUCT((終値!F156:R156&lt;終値!G156:S156)*(終値!G156:S156-終値!F156:R156))),50)</f>
        <v>51.612903225806448</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-12.451928243623115</v>
      </c>
      <c r="Y132" s="212" t="str">
        <f t="shared" si="53"/>
        <v>○逆張り売り | もみ合い→ 25日戻り売り★ MACD- RSI:51.6 前日比:+0.4% [9点]</v>
      </c>
      <c r="Z132" s="338">
        <f t="shared" si="54"/>
        <v>0.43409629044988163</v>
      </c>
      <c r="AA132" s="212" t="str">
        <f t="shared" si="55"/>
        <v>上昇▲</v>
      </c>
      <c r="AB132" s="333">
        <f>IF(OR(C132="",C132="TOPX",終値!E156=""),"",IFERROR(((終値!E156*0.333)+(終値!F156*0.222)+(終値!G156*0.148)+(終値!H156*0.099)+(終値!I156*0.066))/(0.333+0.222+0.148+0.099+0.066),""))</f>
        <v>2542.6140552995394</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2589.8927294398081</v>
      </c>
      <c r="AD132" s="212" t="str">
        <f t="shared" si="56"/>
        <v>もみ合い→</v>
      </c>
      <c r="AE132" s="212" t="str">
        <f t="shared" si="57"/>
        <v>25日戻り売り★</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○逆張り売り</v>
      </c>
      <c r="AG132">
        <f t="shared" si="58"/>
        <v>9</v>
      </c>
      <c r="AH132">
        <f t="shared" si="59"/>
        <v>89868</v>
      </c>
      <c r="AI132" s="373">
        <f t="array" ref="AI132">IF(C132="","",IFERROR((INDEX(終値!$E:$E,MATCH(TEXT(C132,"0"),終値!$A:$A,0))-INDEX(終値!$E:$CZ,MATCH(TEXT(C132,"0"),終値!$A:$A,0),$AN$2))/INDEX(終値!$E:$CZ,MATCH(TEXT(C132,"0"),終値!$A:$A,0),$AN$2)*100,""))</f>
        <v>-8.5580726357425387</v>
      </c>
      <c r="AJ132" s="373">
        <f t="array" ref="AJ132">IFERROR((終値!$E$5-INDEX(終値!$E$5:$CZ$5,1,$AN$2))/INDEX(終値!$E$5:$CZ$5,1,$AN$2)*100,"")</f>
        <v>-0.82558151178043282</v>
      </c>
      <c r="AK132" s="374">
        <f t="shared" si="60"/>
        <v>-7.7324911239621059</v>
      </c>
      <c r="AL132" s="372">
        <f t="shared" si="61"/>
        <v>3</v>
      </c>
      <c r="AO132" s="376" t="str">
        <f t="shared" si="62"/>
        <v>通常</v>
      </c>
      <c r="AP132" s="377">
        <f t="shared" si="63"/>
        <v>0</v>
      </c>
      <c r="AQ132">
        <f>IF(C132&lt;&gt;"",始値!F156,"")</f>
        <v>2567</v>
      </c>
      <c r="AR132">
        <f>IF(C132&lt;&gt;"",高値!F156,"")</f>
        <v>2610</v>
      </c>
      <c r="AS132">
        <f>IF(C132&lt;&gt;"",安値!F156,"")</f>
        <v>2493</v>
      </c>
      <c r="AT132" t="str">
        <f t="shared" si="64"/>
        <v>通常</v>
      </c>
      <c r="AU132">
        <f t="shared" si="65"/>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7846</v>
      </c>
      <c r="F133" s="326">
        <f>IF(C133&lt;&gt;"",_xll.RssMarket(C133,"始値"),"")</f>
        <v>7781</v>
      </c>
      <c r="G133" s="325">
        <f>IF(C133&lt;&gt;"",終値!F165,"")</f>
        <v>7873</v>
      </c>
      <c r="H133" s="326">
        <f>IF(C133&lt;&gt;"",_xll.RssMarket(C133,"高値"),"")</f>
        <v>7935</v>
      </c>
      <c r="I133" s="326">
        <f>IF(C133&lt;&gt;"",_xll.RssMarket(C133,"安値"),"")</f>
        <v>7756</v>
      </c>
      <c r="J133" s="326">
        <f>IF(C133&lt;&gt;"",_xll.RssMarket(C133,"出来高"),"")</f>
        <v>93200</v>
      </c>
      <c r="K133" s="326">
        <f>IF(C133&lt;&gt;"",_xll.RssMarket(C133,"年初来高値"),"")</f>
        <v>8611</v>
      </c>
      <c r="L133" s="327">
        <f t="shared" si="44"/>
        <v>-8.8839855998141903</v>
      </c>
      <c r="M133" s="326">
        <f>IF(C133&lt;&gt;"",IFERROR(AVERAGE(出来高!E165:I165),""),"")</f>
        <v>340120</v>
      </c>
      <c r="N133" s="326">
        <f>IF(C133&lt;&gt;"",IFERROR(AVERAGE(出来高!E165:AC165),""),"")</f>
        <v>344512</v>
      </c>
      <c r="O133" s="328">
        <f t="shared" si="45"/>
        <v>0.27402093378807479</v>
      </c>
      <c r="P133" s="325" t="str">
        <f t="shared" si="46"/>
        <v>減少↓</v>
      </c>
      <c r="Q133" s="325" t="str">
        <f t="shared" si="47"/>
        <v>中立→</v>
      </c>
      <c r="R133" s="326">
        <f t="shared" si="48"/>
        <v>7218</v>
      </c>
      <c r="S133" s="326">
        <f t="shared" si="49"/>
        <v>8160</v>
      </c>
      <c r="T133" s="325">
        <f t="shared" si="50"/>
        <v>2</v>
      </c>
      <c r="U133" s="325" t="str">
        <f t="shared" si="51"/>
        <v>除外</v>
      </c>
      <c r="V133" s="325" t="str">
        <f t="shared" si="52"/>
        <v>通常</v>
      </c>
      <c r="W133" s="329">
        <f t="array" ref="W133">IFERROR(100-100/(1+SUMPRODUCT((終値!F165:R165&gt;終値!G165:S165)*(終値!F165:R165-終値!G165:S165))/SUMPRODUCT((終値!F165:R165&lt;終値!G165:S165)*(終値!G165:S165-終値!F165:R165))),50)</f>
        <v>73.566176470588232</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221.88564474464783</v>
      </c>
      <c r="Y133" s="325" t="str">
        <f t="shared" si="53"/>
        <v>◎反落確認 | 上昇トレンド▲ MACD+ RSI:73.6 [過熱] 前日比:-0.3% [2点]</v>
      </c>
      <c r="Z133" s="331">
        <f t="shared" si="54"/>
        <v>-0.34294423980693511</v>
      </c>
      <c r="AA133" s="325" t="str">
        <f t="shared" si="55"/>
        <v>下落▼</v>
      </c>
      <c r="AB133" s="326">
        <f>IF(OR(C133="",C133="TOPX",終値!E165=""),"",IFERROR(((終値!E165*0.333)+(終値!F165*0.222)+(終値!G165*0.148)+(終値!H165*0.099)+(終値!I165*0.066))/(0.333+0.222+0.148+0.099+0.066),""))</f>
        <v>7928.597926267279</v>
      </c>
      <c r="AC133" s="326">
        <f>IF(OR(C133="",C133="TOPX",終値!E165=""),"",IFERROR(SUMPRODUCT((終値!E165:AC165),{0.077,0.071,0.065,0.06,0.055,0.051,0.047,0.043,0.039,0.036,0.033,0.031,0.028,0.026,0.024,0.022,0.02,0.018,0.017,0.016,0.014,0.013,0.012,0.011,0.01})/SUM({0.077,0.071,0.065,0.06,0.055,0.051,0.047,0.043,0.039,0.036,0.033,0.031,0.028,0.026,0.024,0.022,0.02,0.018,0.017,0.016,0.014,0.013,0.012,0.011,0.01}),""))</f>
        <v>7371.3420738974946</v>
      </c>
      <c r="AD133" s="325" t="str">
        <f t="shared" si="56"/>
        <v>上昇トレンド▲</v>
      </c>
      <c r="AE133" s="325" t="str">
        <f t="shared" si="57"/>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◎反落確認</v>
      </c>
      <c r="AG133">
        <f t="shared" si="58"/>
        <v>0</v>
      </c>
      <c r="AH133">
        <f t="shared" si="59"/>
        <v>0</v>
      </c>
      <c r="AI133" s="373">
        <f t="array" ref="AI133">IF(C133="","",IFERROR((INDEX(終値!$E:$E,MATCH(TEXT(C133,"0"),終値!$A:$A,0))-INDEX(終値!$E:$CZ,MATCH(TEXT(C133,"0"),終値!$A:$A,0),$AN$2))/INDEX(終値!$E:$CZ,MATCH(TEXT(C133,"0"),終値!$A:$A,0),$AN$2)*100,""))</f>
        <v>26.239973809134064</v>
      </c>
      <c r="AJ133" s="373">
        <f t="array" ref="AJ133">IFERROR((終値!$E$5-INDEX(終値!$E$5:$CZ$5,1,$AN$2))/INDEX(終値!$E$5:$CZ$5,1,$AN$2)*100,"")</f>
        <v>-0.82558151178043282</v>
      </c>
      <c r="AK133" s="374">
        <f t="shared" si="60"/>
        <v>27.065555320914498</v>
      </c>
      <c r="AL133" s="372">
        <f t="shared" si="61"/>
        <v>-2</v>
      </c>
      <c r="AO133" s="376" t="str">
        <f t="shared" si="62"/>
        <v>通常</v>
      </c>
      <c r="AP133" s="377">
        <f t="shared" si="63"/>
        <v>0</v>
      </c>
      <c r="AQ133">
        <f>IF(C133&lt;&gt;"",始値!F165,"")</f>
        <v>8029</v>
      </c>
      <c r="AR133">
        <f>IF(C133&lt;&gt;"",高値!F165,"")</f>
        <v>8061</v>
      </c>
      <c r="AS133">
        <f>IF(C133&lt;&gt;"",安値!F165,"")</f>
        <v>7764</v>
      </c>
      <c r="AT133" t="str">
        <f t="shared" si="64"/>
        <v>通常</v>
      </c>
      <c r="AU133">
        <f t="shared" si="65"/>
        <v>0</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3335</v>
      </c>
      <c r="F134" s="333">
        <f>IF(C134&lt;&gt;"",_xll.RssMarket(C134,"始値"),"")</f>
        <v>3235</v>
      </c>
      <c r="G134" s="212">
        <f>IF(C134&lt;&gt;"",終値!F167,"")</f>
        <v>3125</v>
      </c>
      <c r="H134" s="333">
        <f>IF(C134&lt;&gt;"",_xll.RssMarket(C134,"高値"),"")</f>
        <v>3350</v>
      </c>
      <c r="I134" s="333">
        <f>IF(C134&lt;&gt;"",_xll.RssMarket(C134,"安値"),"")</f>
        <v>3235</v>
      </c>
      <c r="J134" s="333">
        <f>IF(C134&lt;&gt;"",_xll.RssMarket(C134,"出来高"),"")</f>
        <v>75500</v>
      </c>
      <c r="K134" s="333">
        <f>IF(C134&lt;&gt;"",_xll.RssMarket(C134,"年初来高値"),"")</f>
        <v>4220</v>
      </c>
      <c r="L134" s="334">
        <f t="shared" si="44"/>
        <v>-20.971563981042653</v>
      </c>
      <c r="M134" s="333">
        <f>IF(C134&lt;&gt;"",IFERROR(AVERAGE(出来高!E167:I167),""),"")</f>
        <v>271880</v>
      </c>
      <c r="N134" s="333">
        <f>IF(C134&lt;&gt;"",IFERROR(AVERAGE(出来高!E167:AC167),""),"")</f>
        <v>146075</v>
      </c>
      <c r="O134" s="335">
        <f t="shared" si="45"/>
        <v>0.27769604237163453</v>
      </c>
      <c r="P134" s="212" t="str">
        <f t="shared" si="46"/>
        <v>減少↓</v>
      </c>
      <c r="Q134" s="212" t="str">
        <f t="shared" si="47"/>
        <v>様子見▲</v>
      </c>
      <c r="R134" s="333">
        <f t="shared" si="48"/>
        <v>3068</v>
      </c>
      <c r="S134" s="333">
        <f t="shared" si="49"/>
        <v>3468</v>
      </c>
      <c r="T134" s="325">
        <f t="shared" si="50"/>
        <v>2</v>
      </c>
      <c r="U134" s="212" t="str">
        <f t="shared" si="51"/>
        <v>除外</v>
      </c>
      <c r="V134" s="212" t="str">
        <f t="shared" si="52"/>
        <v>通常</v>
      </c>
      <c r="W134" s="336">
        <f t="array" ref="W134">IFERROR(100-100/(1+SUMPRODUCT((終値!F167:R167&gt;終値!G167:S167)*(終値!F167:R167-終値!G167:S167))/SUMPRODUCT((終値!F167:R167&lt;終値!G167:S167)*(終値!G167:S167-終値!F167:R167))),50)</f>
        <v>49.428571428571431</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-39.421298046877837</v>
      </c>
      <c r="Y134" s="212" t="str">
        <f t="shared" si="53"/>
        <v>相場上昇・見送り | パーフェクト▲ MACD- RSI:49.4 前日比:+6.7%前日[長い下ヒゲ(反発)] [2点]</v>
      </c>
      <c r="Z134" s="338">
        <f t="shared" si="54"/>
        <v>6.72</v>
      </c>
      <c r="AA134" s="212" t="str">
        <f t="shared" si="55"/>
        <v>上昇▲</v>
      </c>
      <c r="AB134" s="333">
        <f>IF(OR(C134="",C134="TOPX",終値!E167=""),"",IFERROR(((終値!E167*0.333)+(終値!F167*0.222)+(終値!G167*0.148)+(終値!H167*0.099)+(終値!I167*0.066))/(0.333+0.222+0.148+0.099+0.066),""))</f>
        <v>3147.8341013824884</v>
      </c>
      <c r="AC134" s="333">
        <f>IF(OR(C134="",C134="TOPX",終値!E167=""),"",IFERROR(SUMPRODUCT((終値!E167:AC167),{0.077,0.071,0.065,0.06,0.055,0.051,0.047,0.043,0.039,0.036,0.033,0.031,0.028,0.026,0.024,0.022,0.02,0.018,0.017,0.016,0.014,0.013,0.012,0.011,0.01})/SUM({0.077,0.071,0.065,0.06,0.055,0.051,0.047,0.043,0.039,0.036,0.033,0.031,0.028,0.026,0.024,0.022,0.02,0.018,0.017,0.016,0.014,0.013,0.012,0.011,0.01}),""))</f>
        <v>3011.1144219308676</v>
      </c>
      <c r="AD134" s="212" t="str">
        <f t="shared" si="56"/>
        <v>パーフェクト▲</v>
      </c>
      <c r="AE134" s="212" t="str">
        <f t="shared" si="57"/>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 t="shared" si="58"/>
        <v>0</v>
      </c>
      <c r="AH134">
        <f t="shared" si="59"/>
        <v>0</v>
      </c>
      <c r="AI134" s="373">
        <f t="array" ref="AI134">IF(C134="","",IFERROR((INDEX(終値!$E:$E,MATCH(TEXT(C134,"0"),終値!$A:$A,0))-INDEX(終値!$E:$CZ,MATCH(TEXT(C134,"0"),終値!$A:$A,0),$AN$2))/INDEX(終値!$E:$CZ,MATCH(TEXT(C134,"0"),終値!$A:$A,0),$AN$2)*100,""))</f>
        <v>-4.7128129602356408</v>
      </c>
      <c r="AJ134" s="373">
        <f t="array" ref="AJ134">IFERROR((終値!$E$5-INDEX(終値!$E$5:$CZ$5,1,$AN$2))/INDEX(終値!$E$5:$CZ$5,1,$AN$2)*100,"")</f>
        <v>-0.82558151178043282</v>
      </c>
      <c r="AK134" s="374">
        <f t="shared" si="60"/>
        <v>-3.887231448455208</v>
      </c>
      <c r="AL134" s="372">
        <f t="shared" si="61"/>
        <v>1</v>
      </c>
      <c r="AO134" s="376" t="str">
        <f t="shared" si="62"/>
        <v>通常</v>
      </c>
      <c r="AP134" s="377">
        <f t="shared" si="63"/>
        <v>0</v>
      </c>
      <c r="AQ134">
        <f>IF(C134&lt;&gt;"",始値!F167,"")</f>
        <v>3080</v>
      </c>
      <c r="AR134">
        <f>IF(C134&lt;&gt;"",高値!F167,"")</f>
        <v>3150</v>
      </c>
      <c r="AS134">
        <f>IF(C134&lt;&gt;"",安値!F167,"")</f>
        <v>3000</v>
      </c>
      <c r="AT134" t="str">
        <f t="shared" si="64"/>
        <v>長い下ヒゲ(反発)</v>
      </c>
      <c r="AU134">
        <f t="shared" si="65"/>
        <v>-2</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2058</v>
      </c>
      <c r="F135" s="326">
        <f>IF(C135&lt;&gt;"",_xll.RssMarket(C135,"始値"),"")</f>
        <v>2016</v>
      </c>
      <c r="G135" s="325">
        <f>IF(C135&lt;&gt;"",終値!F168,"")</f>
        <v>2038</v>
      </c>
      <c r="H135" s="326">
        <f>IF(C135&lt;&gt;"",_xll.RssMarket(C135,"高値"),"")</f>
        <v>2059</v>
      </c>
      <c r="I135" s="326">
        <f>IF(C135&lt;&gt;"",_xll.RssMarket(C135,"安値"),"")</f>
        <v>2016</v>
      </c>
      <c r="J135" s="326">
        <f>IF(C135&lt;&gt;"",_xll.RssMarket(C135,"出来高"),"")</f>
        <v>24000</v>
      </c>
      <c r="K135" s="326">
        <f>IF(C135&lt;&gt;"",_xll.RssMarket(C135,"年初来高値"),"")</f>
        <v>2348</v>
      </c>
      <c r="L135" s="327">
        <f t="shared" si="44"/>
        <v>-12.350936967632027</v>
      </c>
      <c r="M135" s="326">
        <f>IF(C135&lt;&gt;"",IFERROR(AVERAGE(出来高!E168:I168),""),"")</f>
        <v>35080</v>
      </c>
      <c r="N135" s="326">
        <f>IF(C135&lt;&gt;"",IFERROR(AVERAGE(出来高!E168:AC168),""),"")</f>
        <v>25266.666666666668</v>
      </c>
      <c r="O135" s="328">
        <f t="shared" si="45"/>
        <v>0.68415051311288488</v>
      </c>
      <c r="P135" s="325" t="str">
        <f t="shared" si="46"/>
        <v>減少↓</v>
      </c>
      <c r="Q135" s="325" t="str">
        <f t="shared" si="47"/>
        <v>様子見▲</v>
      </c>
      <c r="R135" s="326">
        <f t="shared" si="48"/>
        <v>1893</v>
      </c>
      <c r="S135" s="326">
        <f t="shared" si="49"/>
        <v>2140</v>
      </c>
      <c r="T135" s="325">
        <f t="shared" si="50"/>
        <v>2</v>
      </c>
      <c r="U135" s="325" t="str">
        <f t="shared" si="51"/>
        <v>除外</v>
      </c>
      <c r="V135" s="325" t="str">
        <f t="shared" si="52"/>
        <v>通常</v>
      </c>
      <c r="W135" s="329">
        <f t="array" ref="W135">IFERROR(100-100/(1+SUMPRODUCT((終値!F168:R168&gt;終値!G168:S168)*(終値!F168:R168-終値!G168:S168))/SUMPRODUCT((終値!F168:R168&lt;終値!G168:S168)*(終値!G168:S168-終値!F168:R168))),50)</f>
        <v>50.511782908831229</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-6.2025342403037484</v>
      </c>
      <c r="Y135" s="325" t="str">
        <f t="shared" si="53"/>
        <v>相場上昇・見送り | パーフェクト▲ MACD- RSI:50.5 前日比:+1.0% [2点]</v>
      </c>
      <c r="Z135" s="331">
        <f t="shared" si="54"/>
        <v>0.98135426889106969</v>
      </c>
      <c r="AA135" s="325" t="str">
        <f t="shared" si="55"/>
        <v>上昇▲</v>
      </c>
      <c r="AB135" s="326">
        <f>IF(OR(C135="",C135="TOPX",終値!E168=""),"",IFERROR(((終値!E168*0.333)+(終値!F168*0.222)+(終値!G168*0.148)+(終値!H168*0.099)+(終値!I168*0.066))/(0.333+0.222+0.148+0.099+0.066),""))</f>
        <v>2028.5633640552994</v>
      </c>
      <c r="AC135" s="326">
        <f>IF(OR(C135="",C135="TOPX",終値!E168=""),"",IFERROR(SUMPRODUCT((終値!E168:AC168),{0.077,0.071,0.065,0.06,0.055,0.051,0.047,0.043,0.039,0.036,0.033,0.031,0.028,0.026,0.024,0.022,0.02,0.018,0.017,0.016,0.014,0.013,0.012,0.011,0.01})/SUM({0.077,0.071,0.065,0.06,0.055,0.051,0.047,0.043,0.039,0.036,0.033,0.031,0.028,0.026,0.024,0.022,0.02,0.018,0.017,0.016,0.014,0.013,0.012,0.011,0.01}),""))</f>
        <v>1903.2061978545878</v>
      </c>
      <c r="AD135" s="325" t="str">
        <f t="shared" si="56"/>
        <v>パーフェクト▲</v>
      </c>
      <c r="AE135" s="325" t="str">
        <f t="shared" si="57"/>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 t="shared" si="58"/>
        <v>0</v>
      </c>
      <c r="AH135">
        <f t="shared" si="59"/>
        <v>0</v>
      </c>
      <c r="AI135" s="373">
        <f t="array" ref="AI135">IF(C135="","",IFERROR((INDEX(終値!$E:$E,MATCH(TEXT(C135,"0"),終値!$A:$A,0))-INDEX(終値!$E:$CZ,MATCH(TEXT(C135,"0"),終値!$A:$A,0),$AN$2))/INDEX(終値!$E:$CZ,MATCH(TEXT(C135,"0"),終値!$A:$A,0),$AN$2)*100,""))</f>
        <v>1.4631685166498487</v>
      </c>
      <c r="AJ135" s="373">
        <f t="array" ref="AJ135">IFERROR((終値!$E$5-INDEX(終値!$E$5:$CZ$5,1,$AN$2))/INDEX(終値!$E$5:$CZ$5,1,$AN$2)*100,"")</f>
        <v>-0.82558151178043282</v>
      </c>
      <c r="AK135" s="374">
        <f t="shared" si="60"/>
        <v>2.2887500284302815</v>
      </c>
      <c r="AL135" s="372">
        <f t="shared" si="61"/>
        <v>-1</v>
      </c>
      <c r="AO135" s="376" t="str">
        <f t="shared" si="62"/>
        <v>通常</v>
      </c>
      <c r="AP135" s="377">
        <f t="shared" si="63"/>
        <v>0</v>
      </c>
      <c r="AQ135">
        <f>IF(C135&lt;&gt;"",始値!F168,"")</f>
        <v>2011</v>
      </c>
      <c r="AR135">
        <f>IF(C135&lt;&gt;"",高値!F168,"")</f>
        <v>2040</v>
      </c>
      <c r="AS135">
        <f>IF(C135&lt;&gt;"",安値!F168,"")</f>
        <v>1999</v>
      </c>
      <c r="AT135" t="str">
        <f t="shared" si="64"/>
        <v>通常</v>
      </c>
      <c r="AU135">
        <f t="shared" si="65"/>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890</v>
      </c>
      <c r="F136" s="333">
        <f>IF(C136&lt;&gt;"",_xll.RssMarket(C136,"始値"),"")</f>
        <v>891</v>
      </c>
      <c r="G136" s="212">
        <f>IF(C136&lt;&gt;"",終値!F169,"")</f>
        <v>898</v>
      </c>
      <c r="H136" s="333">
        <f>IF(C136&lt;&gt;"",_xll.RssMarket(C136,"高値"),"")</f>
        <v>900</v>
      </c>
      <c r="I136" s="333">
        <f>IF(C136&lt;&gt;"",_xll.RssMarket(C136,"安値"),"")</f>
        <v>886</v>
      </c>
      <c r="J136" s="333">
        <f>IF(C136&lt;&gt;"",_xll.RssMarket(C136,"出来高"),"")</f>
        <v>97600</v>
      </c>
      <c r="K136" s="333">
        <f>IF(C136&lt;&gt;"",_xll.RssMarket(C136,"年初来高値"),"")</f>
        <v>1041</v>
      </c>
      <c r="L136" s="334">
        <f t="shared" si="44"/>
        <v>-14.505283381364073</v>
      </c>
      <c r="M136" s="333">
        <f>IF(C136&lt;&gt;"",IFERROR(AVERAGE(出来高!E169:I169),""),"")</f>
        <v>239600</v>
      </c>
      <c r="N136" s="333">
        <f>IF(C136&lt;&gt;"",IFERROR(AVERAGE(出来高!E169:AC169),""),"")</f>
        <v>187612</v>
      </c>
      <c r="O136" s="335">
        <f t="shared" si="45"/>
        <v>0.4073455759599332</v>
      </c>
      <c r="P136" s="212" t="str">
        <f t="shared" si="46"/>
        <v>減少↓</v>
      </c>
      <c r="Q136" s="212" t="str">
        <f t="shared" si="47"/>
        <v>中立→</v>
      </c>
      <c r="R136" s="333">
        <f t="shared" si="48"/>
        <v>819</v>
      </c>
      <c r="S136" s="333">
        <f t="shared" si="49"/>
        <v>926</v>
      </c>
      <c r="T136" s="325">
        <f t="shared" si="50"/>
        <v>5</v>
      </c>
      <c r="U136" s="212" t="str">
        <f t="shared" si="51"/>
        <v>要確認</v>
      </c>
      <c r="V136" s="212" t="str">
        <f t="shared" si="52"/>
        <v>通常</v>
      </c>
      <c r="W136" s="336">
        <f t="array" ref="W136">IFERROR(100-100/(1+SUMPRODUCT((終値!F169:R169&gt;終値!G169:S169)*(終値!F169:R169-終値!G169:S169))/SUMPRODUCT((終値!F169:R169&lt;終値!G169:S169)*(終値!G169:S169-終値!F169:R169))),50)</f>
        <v>49.21875</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0.25704209935565814</v>
      </c>
      <c r="Y136" s="212" t="str">
        <f t="shared" si="53"/>
        <v>★逆張り売り | 下降トレンド▼ 25日戻り売り★ MACD+ RSI:49.2 前日比:-0.9% [5点]</v>
      </c>
      <c r="Z136" s="338">
        <f t="shared" si="54"/>
        <v>-0.89086859688195985</v>
      </c>
      <c r="AA136" s="212" t="str">
        <f t="shared" si="55"/>
        <v>下落▼</v>
      </c>
      <c r="AB136" s="333">
        <f>IF(OR(C136="",C136="TOPX",終値!E169=""),"",IFERROR(((終値!E169*0.333)+(終値!F169*0.222)+(終値!G169*0.148)+(終値!H169*0.099)+(終値!I169*0.066))/(0.333+0.222+0.148+0.099+0.066),""))</f>
        <v>902.05529953917028</v>
      </c>
      <c r="AC136" s="333">
        <f>IF(OR(C136="",C136="TOPX",終値!E169=""),"",IFERROR(SUMPRODUCT((終値!E169:AC169),{0.077,0.071,0.065,0.06,0.055,0.051,0.047,0.043,0.039,0.036,0.033,0.031,0.028,0.026,0.024,0.022,0.02,0.018,0.017,0.016,0.014,0.013,0.012,0.011,0.01})/SUM({0.077,0.071,0.065,0.06,0.055,0.051,0.047,0.043,0.039,0.036,0.033,0.031,0.028,0.026,0.024,0.022,0.02,0.018,0.017,0.016,0.014,0.013,0.012,0.011,0.01}),""))</f>
        <v>907.46364719904614</v>
      </c>
      <c r="AD136" s="212" t="str">
        <f t="shared" si="56"/>
        <v>下降トレンド▼</v>
      </c>
      <c r="AE136" s="212" t="str">
        <f t="shared" si="57"/>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 t="shared" si="58"/>
        <v>0</v>
      </c>
      <c r="AH136">
        <f t="shared" si="59"/>
        <v>0</v>
      </c>
      <c r="AI136" s="373">
        <f t="array" ref="AI136">IF(C136="","",IFERROR((INDEX(終値!$E:$E,MATCH(TEXT(C136,"0"),終値!$A:$A,0))-INDEX(終値!$E:$CZ,MATCH(TEXT(C136,"0"),終値!$A:$A,0),$AN$2))/INDEX(終値!$E:$CZ,MATCH(TEXT(C136,"0"),終値!$A:$A,0),$AN$2)*100,""))</f>
        <v>1.8202502844141069</v>
      </c>
      <c r="AJ136" s="373">
        <f t="array" ref="AJ136">IFERROR((終値!$E$5-INDEX(終値!$E$5:$CZ$5,1,$AN$2))/INDEX(終値!$E$5:$CZ$5,1,$AN$2)*100,"")</f>
        <v>-0.82558151178043282</v>
      </c>
      <c r="AK136" s="374">
        <f t="shared" si="60"/>
        <v>2.6458317961945399</v>
      </c>
      <c r="AL136" s="372">
        <f t="shared" si="61"/>
        <v>-1</v>
      </c>
      <c r="AO136" s="376" t="str">
        <f t="shared" si="62"/>
        <v>通常</v>
      </c>
      <c r="AP136" s="377">
        <f t="shared" si="63"/>
        <v>0</v>
      </c>
      <c r="AQ136">
        <f>IF(C136&lt;&gt;"",始値!F169,"")</f>
        <v>896</v>
      </c>
      <c r="AR136">
        <f>IF(C136&lt;&gt;"",高値!F169,"")</f>
        <v>906</v>
      </c>
      <c r="AS136">
        <f>IF(C136&lt;&gt;"",安値!F169,"")</f>
        <v>877</v>
      </c>
      <c r="AT136" t="str">
        <f t="shared" si="64"/>
        <v>通常</v>
      </c>
      <c r="AU136">
        <f t="shared" si="65"/>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1523</v>
      </c>
      <c r="F137" s="326">
        <f>IF(C137&lt;&gt;"",_xll.RssMarket(C137,"始値"),"")</f>
        <v>1465</v>
      </c>
      <c r="G137" s="325">
        <f>IF(C137&lt;&gt;"",終値!F177,"")</f>
        <v>0</v>
      </c>
      <c r="H137" s="326">
        <f>IF(C137&lt;&gt;"",_xll.RssMarket(C137,"高値"),"")</f>
        <v>1535</v>
      </c>
      <c r="I137" s="326">
        <f>IF(C137&lt;&gt;"",_xll.RssMarket(C137,"安値"),"")</f>
        <v>1465</v>
      </c>
      <c r="J137" s="326">
        <f>IF(C137&lt;&gt;"",_xll.RssMarket(C137,"出来高"),"")</f>
        <v>514800</v>
      </c>
      <c r="K137" s="326">
        <f>IF(C137&lt;&gt;"",_xll.RssMarket(C137,"年初来高値"),"")</f>
        <v>1596</v>
      </c>
      <c r="L137" s="327">
        <f t="shared" si="44"/>
        <v>-4.5739348370927315</v>
      </c>
      <c r="M137" s="326" t="str">
        <f>IF(C137&lt;&gt;"",IFERROR(AVERAGE(出来高!E177:I177),""),"")</f>
        <v/>
      </c>
      <c r="N137" s="326" t="str">
        <f>IF(C137&lt;&gt;"",IFERROR(AVERAGE(出来高!E177:AC177),""),"")</f>
        <v/>
      </c>
      <c r="O137" s="328" t="str">
        <f t="shared" si="45"/>
        <v/>
      </c>
      <c r="P137" s="325" t="str">
        <f t="shared" si="46"/>
        <v/>
      </c>
      <c r="Q137" s="325" t="str">
        <f t="shared" si="47"/>
        <v>様子見▲</v>
      </c>
      <c r="R137" s="326">
        <f t="shared" si="48"/>
        <v>1401</v>
      </c>
      <c r="S137" s="326">
        <f t="shared" si="49"/>
        <v>1584</v>
      </c>
      <c r="T137" s="325">
        <f t="shared" si="50"/>
        <v>1</v>
      </c>
      <c r="U137" s="325" t="str">
        <f t="shared" si="51"/>
        <v>除外</v>
      </c>
      <c r="V137" s="325" t="str">
        <f t="shared" si="52"/>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0</v>
      </c>
      <c r="Y137" s="325" t="str">
        <f t="shared" si="53"/>
        <v>相場上昇・見送り |   MACD+ RSI:50.0 前日比:% [1点]</v>
      </c>
      <c r="Z137" s="331" t="str">
        <f t="shared" si="54"/>
        <v/>
      </c>
      <c r="AA137" s="325" t="str">
        <f t="shared" si="55"/>
        <v>上昇▲</v>
      </c>
      <c r="AB137" s="326" t="str">
        <f>IF(OR(C137="",C137="TOPX",終値!E177=""),"",IFERROR(((終値!E177*0.333)+(終値!F177*0.222)+(終値!G177*0.148)+(終値!H177*0.099)+(終値!I177*0.066))/(0.333+0.222+0.148+0.099+0.066),""))</f>
        <v/>
      </c>
      <c r="AC137" s="326" t="str">
        <f>IF(OR(C137="",C137="TOPX",終値!E177=""),"",IFERROR(SUMPRODUCT((終値!E177:AC177),{0.077,0.071,0.065,0.06,0.055,0.051,0.047,0.043,0.039,0.036,0.033,0.031,0.028,0.026,0.024,0.022,0.02,0.018,0.017,0.016,0.014,0.013,0.012,0.011,0.01})/SUM({0.077,0.071,0.065,0.06,0.055,0.051,0.047,0.043,0.039,0.036,0.033,0.031,0.028,0.026,0.024,0.022,0.02,0.018,0.017,0.016,0.014,0.013,0.012,0.011,0.01}),""))</f>
        <v/>
      </c>
      <c r="AD137" s="325" t="str">
        <f t="shared" si="56"/>
        <v/>
      </c>
      <c r="AE137" s="325" t="str">
        <f t="shared" si="57"/>
        <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 t="shared" si="58"/>
        <v>0</v>
      </c>
      <c r="AH137">
        <f t="shared" si="59"/>
        <v>0</v>
      </c>
      <c r="AI137" s="373" t="str">
        <f t="array" ref="AI137">IF(C137="","",IFERROR((INDEX(終値!$E:$E,MATCH(TEXT(C137,"0"),終値!$A:$A,0))-INDEX(終値!$E:$CZ,MATCH(TEXT(C137,"0"),終値!$A:$A,0),$AN$2))/INDEX(終値!$E:$CZ,MATCH(TEXT(C137,"0"),終値!$A:$A,0),$AN$2)*100,""))</f>
        <v/>
      </c>
      <c r="AJ137" s="373">
        <f t="array" ref="AJ137">IFERROR((終値!$E$5-INDEX(終値!$E$5:$CZ$5,1,$AN$2))/INDEX(終値!$E$5:$CZ$5,1,$AN$2)*100,"")</f>
        <v>-0.82558151178043282</v>
      </c>
      <c r="AK137" s="374" t="str">
        <f t="shared" si="60"/>
        <v/>
      </c>
      <c r="AL137" s="372" t="str">
        <f t="shared" si="61"/>
        <v/>
      </c>
      <c r="AO137" s="376" t="str">
        <f t="shared" si="62"/>
        <v>通常</v>
      </c>
      <c r="AP137" s="377">
        <f t="shared" si="63"/>
        <v>0</v>
      </c>
      <c r="AQ137">
        <f>IF(C137&lt;&gt;"",始値!F177,"")</f>
        <v>0</v>
      </c>
      <c r="AR137">
        <f>IF(C137&lt;&gt;"",高値!F177,"")</f>
        <v>0</v>
      </c>
      <c r="AS137">
        <f>IF(C137&lt;&gt;"",安値!F177,"")</f>
        <v>0</v>
      </c>
      <c r="AT137" t="str">
        <f t="shared" si="64"/>
        <v>-</v>
      </c>
      <c r="AU137">
        <f t="shared" si="65"/>
        <v>0</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2269</v>
      </c>
      <c r="F138" s="333">
        <f>IF(C138&lt;&gt;"",_xll.RssMarket(C138,"始値"),"")</f>
        <v>2182</v>
      </c>
      <c r="G138" s="212">
        <f>IF(C138&lt;&gt;"",終値!F193,"")</f>
        <v>1984</v>
      </c>
      <c r="H138" s="333">
        <f>IF(C138&lt;&gt;"",_xll.RssMarket(C138,"高値"),"")</f>
        <v>2310</v>
      </c>
      <c r="I138" s="333">
        <f>IF(C138&lt;&gt;"",_xll.RssMarket(C138,"安値"),"")</f>
        <v>2160</v>
      </c>
      <c r="J138" s="333">
        <f>IF(C138&lt;&gt;"",_xll.RssMarket(C138,"出来高"),"")</f>
        <v>296700</v>
      </c>
      <c r="K138" s="333">
        <f>IF(C138&lt;&gt;"",_xll.RssMarket(C138,"年初来高値"),"")</f>
        <v>3405</v>
      </c>
      <c r="L138" s="334">
        <f t="shared" si="44"/>
        <v>-33.362701908957412</v>
      </c>
      <c r="M138" s="333">
        <f>IF(C138&lt;&gt;"",IFERROR(AVERAGE(出来高!E193:I193),""),"")</f>
        <v>328220</v>
      </c>
      <c r="N138" s="333">
        <f>IF(C138&lt;&gt;"",IFERROR(AVERAGE(出来高!E193:AC193),""),"")</f>
        <v>608916</v>
      </c>
      <c r="O138" s="335">
        <f t="shared" si="45"/>
        <v>0.90396685150204137</v>
      </c>
      <c r="P138" s="212" t="str">
        <f t="shared" si="46"/>
        <v>減少↓</v>
      </c>
      <c r="Q138" s="212" t="str">
        <f t="shared" si="47"/>
        <v>様子見▲</v>
      </c>
      <c r="R138" s="333">
        <f t="shared" si="48"/>
        <v>2087</v>
      </c>
      <c r="S138" s="333">
        <f t="shared" si="49"/>
        <v>2360</v>
      </c>
      <c r="T138" s="325">
        <f t="shared" si="50"/>
        <v>6</v>
      </c>
      <c r="U138" s="212" t="str">
        <f t="shared" si="51"/>
        <v>要確認</v>
      </c>
      <c r="V138" s="212" t="str">
        <f t="shared" si="52"/>
        <v>安値圏</v>
      </c>
      <c r="W138" s="336">
        <f t="array" ref="W138">IFERROR(100-100/(1+SUMPRODUCT((終値!F193:R193&gt;終値!G193:S193)*(終値!F193:R193-終値!G193:S193))/SUMPRODUCT((終値!F193:R193&lt;終値!G193:S193)*(終値!G193:S193-終値!F193:R193))),50)</f>
        <v>43.0045871559633</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-6.6071808118949775</v>
      </c>
      <c r="Y138" s="212" t="str">
        <f t="shared" si="53"/>
        <v>相場上昇・見送り | パーフェクト▲ MACD- RSI:43.0 前日比:+14.4% [安値圏]前日[大陰線▼] [6点]</v>
      </c>
      <c r="Z138" s="338">
        <f t="shared" si="54"/>
        <v>14.36491935483871</v>
      </c>
      <c r="AA138" s="212" t="str">
        <f t="shared" si="55"/>
        <v>上昇▲</v>
      </c>
      <c r="AB138" s="333">
        <f>IF(OR(C138="",C138="TOPX",終値!E193=""),"",IFERROR(((終値!E193*0.333)+(終値!F193*0.222)+(終値!G193*0.148)+(終値!H193*0.099)+(終値!I193*0.066))/(0.333+0.222+0.148+0.099+0.066),""))</f>
        <v>2087.9089861751149</v>
      </c>
      <c r="AC138" s="333">
        <f>IF(OR(C138="",C138="TOPX",終値!E193=""),"",IFERROR(SUMPRODUCT((終値!E193:AC193),{0.077,0.071,0.065,0.06,0.055,0.051,0.047,0.043,0.039,0.036,0.033,0.031,0.028,0.026,0.024,0.022,0.02,0.018,0.017,0.016,0.014,0.013,0.012,0.011,0.01})/SUM({0.077,0.071,0.065,0.06,0.055,0.051,0.047,0.043,0.039,0.036,0.033,0.031,0.028,0.026,0.024,0.022,0.02,0.018,0.017,0.016,0.014,0.013,0.012,0.011,0.01}),""))</f>
        <v>2071.21811680572</v>
      </c>
      <c r="AD138" s="212" t="str">
        <f t="shared" si="56"/>
        <v>パーフェクト▲</v>
      </c>
      <c r="AE138" s="212" t="str">
        <f t="shared" si="57"/>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 t="shared" si="58"/>
        <v>0</v>
      </c>
      <c r="AH138">
        <f t="shared" si="59"/>
        <v>0</v>
      </c>
      <c r="AI138" s="373">
        <f t="array" ref="AI138">IF(C138="","",IFERROR((INDEX(終値!$E:$E,MATCH(TEXT(C138,"0"),終値!$A:$A,0))-INDEX(終値!$E:$CZ,MATCH(TEXT(C138,"0"),終値!$A:$A,0),$AN$2))/INDEX(終値!$E:$CZ,MATCH(TEXT(C138,"0"),終値!$A:$A,0),$AN$2)*100,""))</f>
        <v>17.410228509249183</v>
      </c>
      <c r="AJ138" s="373">
        <f t="array" ref="AJ138">IFERROR((終値!$E$5-INDEX(終値!$E$5:$CZ$5,1,$AN$2))/INDEX(終値!$E$5:$CZ$5,1,$AN$2)*100,"")</f>
        <v>-0.82558151178043282</v>
      </c>
      <c r="AK138" s="374">
        <f t="shared" si="60"/>
        <v>18.235810021029614</v>
      </c>
      <c r="AL138" s="372">
        <f t="shared" si="61"/>
        <v>-2</v>
      </c>
      <c r="AO138" s="376" t="str">
        <f t="shared" si="62"/>
        <v>通常</v>
      </c>
      <c r="AP138" s="377">
        <f t="shared" si="63"/>
        <v>0</v>
      </c>
      <c r="AQ138">
        <f>IF(C138&lt;&gt;"",始値!F193,"")</f>
        <v>2149</v>
      </c>
      <c r="AR138">
        <f>IF(C138&lt;&gt;"",高値!F193,"")</f>
        <v>2188</v>
      </c>
      <c r="AS138">
        <f>IF(C138&lt;&gt;"",安値!F193,"")</f>
        <v>1982</v>
      </c>
      <c r="AT138" t="str">
        <f t="shared" si="64"/>
        <v>大陰線▼</v>
      </c>
      <c r="AU138">
        <f t="shared" si="65"/>
        <v>2</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4664</v>
      </c>
      <c r="F139" s="326">
        <f>IF(C139&lt;&gt;"",_xll.RssMarket(C139,"始値"),"")</f>
        <v>4677</v>
      </c>
      <c r="G139" s="325">
        <f>IF(C139&lt;&gt;"",終値!F11,"")</f>
        <v>4733</v>
      </c>
      <c r="H139" s="326">
        <f>IF(C139&lt;&gt;"",_xll.RssMarket(C139,"高値"),"")</f>
        <v>4753</v>
      </c>
      <c r="I139" s="326">
        <f>IF(C139&lt;&gt;"",_xll.RssMarket(C139,"安値"),"")</f>
        <v>4635</v>
      </c>
      <c r="J139" s="326">
        <f>IF(C139&lt;&gt;"",_xll.RssMarket(C139,"出来高"),"")</f>
        <v>2879200</v>
      </c>
      <c r="K139" s="326">
        <f>IF(C139&lt;&gt;"",_xll.RssMarket(C139,"年初来高値"),"")</f>
        <v>6036</v>
      </c>
      <c r="L139" s="327">
        <f t="shared" si="44"/>
        <v>-22.730284956925114</v>
      </c>
      <c r="M139" s="326">
        <f>IF(C139&lt;&gt;"",IFERROR(AVERAGE(出来高!E11:I11),""),"")</f>
        <v>10888780</v>
      </c>
      <c r="N139" s="326">
        <f>IF(C139&lt;&gt;"",IFERROR(AVERAGE(出来高!E11:AC11),""),"")</f>
        <v>7375472</v>
      </c>
      <c r="O139" s="328">
        <f t="shared" si="45"/>
        <v>0.26441897072031945</v>
      </c>
      <c r="P139" s="325" t="str">
        <f t="shared" si="46"/>
        <v>減少↓</v>
      </c>
      <c r="Q139" s="325" t="str">
        <f t="shared" si="47"/>
        <v>中立→</v>
      </c>
      <c r="R139" s="326">
        <f t="shared" si="48"/>
        <v>4291</v>
      </c>
      <c r="S139" s="326">
        <f t="shared" si="49"/>
        <v>4851</v>
      </c>
      <c r="T139" s="325">
        <f t="shared" si="50"/>
        <v>3</v>
      </c>
      <c r="U139" s="325" t="str">
        <f t="shared" si="51"/>
        <v>要確認</v>
      </c>
      <c r="V139" s="325" t="str">
        <f t="shared" si="52"/>
        <v>通常</v>
      </c>
      <c r="W139" s="329">
        <f t="array" ref="W139">IFERROR(100-100/(1+SUMPRODUCT((終値!F11:R11&gt;終値!G11:S11)*(終値!F11:R11-終値!G11:S11))/SUMPRODUCT((終値!F11:R11&lt;終値!G11:S11)*(終値!G11:S11-終値!F11:R11))),50)</f>
        <v>61.924939467312342</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54.269347115693563</v>
      </c>
      <c r="Y139" s="325" t="str">
        <f t="shared" si="53"/>
        <v>相場上昇・見送り | 上昇トレンド▲ 5日戻り売り○ MACD+ RSI:61.9 前日比:-1.5% [3点]</v>
      </c>
      <c r="Z139" s="331">
        <f t="shared" si="54"/>
        <v>-1.4578491443059372</v>
      </c>
      <c r="AA139" s="325" t="str">
        <f t="shared" si="55"/>
        <v>下落▼</v>
      </c>
      <c r="AB139" s="326">
        <f>IF(OR(C139="",C139="TOPX",終値!E11=""),"",IFERROR(((終値!E11*0.333)+(終値!F11*0.222)+(終値!G11*0.148)+(終値!H11*0.099)+(終値!I11*0.066))/(0.333+0.222+0.148+0.099+0.066),""))</f>
        <v>4703.9585253456216</v>
      </c>
      <c r="AC139" s="326">
        <f>IF(OR(C139="",C139="TOPX",終値!E11=""),"",IFERROR(SUMPRODUCT((終値!E11:AC11),{0.077,0.071,0.065,0.06,0.055,0.051,0.047,0.043,0.039,0.036,0.033,0.031,0.028,0.026,0.024,0.022,0.02,0.018,0.017,0.016,0.014,0.013,0.012,0.011,0.01})/SUM({0.077,0.071,0.065,0.06,0.055,0.051,0.047,0.043,0.039,0.036,0.033,0.031,0.028,0.026,0.024,0.022,0.02,0.018,0.017,0.016,0.014,0.013,0.012,0.011,0.01}),""))</f>
        <v>4486.2598331346826</v>
      </c>
      <c r="AD139" s="325" t="str">
        <f t="shared" si="56"/>
        <v>上昇トレンド▲</v>
      </c>
      <c r="AE139" s="325" t="str">
        <f t="shared" si="57"/>
        <v>5日戻り売り○</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 t="shared" si="58"/>
        <v>0</v>
      </c>
      <c r="AH139">
        <f t="shared" si="59"/>
        <v>0</v>
      </c>
      <c r="AI139" s="373">
        <f t="array" ref="AI139">IF(C139="","",IFERROR((INDEX(終値!$E:$E,MATCH(TEXT(C139,"0"),終値!$A:$A,0))-INDEX(終値!$E:$CZ,MATCH(TEXT(C139,"0"),終値!$A:$A,0),$AN$2))/INDEX(終値!$E:$CZ,MATCH(TEXT(C139,"0"),終値!$A:$A,0),$AN$2)*100,""))</f>
        <v>13.615023474178404</v>
      </c>
      <c r="AJ139" s="373">
        <f t="array" ref="AJ139">IFERROR((終値!$E$5-INDEX(終値!$E$5:$CZ$5,1,$AN$2))/INDEX(終値!$E$5:$CZ$5,1,$AN$2)*100,"")</f>
        <v>-0.82558151178043282</v>
      </c>
      <c r="AK139" s="374">
        <f t="shared" si="60"/>
        <v>14.440604985958837</v>
      </c>
      <c r="AL139" s="372">
        <f t="shared" si="61"/>
        <v>-2</v>
      </c>
      <c r="AO139" s="376" t="str">
        <f t="shared" si="62"/>
        <v>通常</v>
      </c>
      <c r="AP139" s="377">
        <f t="shared" si="63"/>
        <v>0</v>
      </c>
      <c r="AQ139">
        <f>IF(C139&lt;&gt;"",始値!F11,"")</f>
        <v>4750</v>
      </c>
      <c r="AR139">
        <f>IF(C139&lt;&gt;"",高値!F11,"")</f>
        <v>4832</v>
      </c>
      <c r="AS139">
        <f>IF(C139&lt;&gt;"",安値!F11,"")</f>
        <v>4615</v>
      </c>
      <c r="AT139" t="str">
        <f t="shared" si="64"/>
        <v>通常</v>
      </c>
      <c r="AU139">
        <f t="shared" si="65"/>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1239.5</v>
      </c>
      <c r="F140" s="333">
        <f>IF(C140&lt;&gt;"",_xll.RssMarket(C140,"始値"),"")</f>
        <v>1244.5</v>
      </c>
      <c r="G140" s="212">
        <f>IF(C140&lt;&gt;"",終値!F24,"")</f>
        <v>1267</v>
      </c>
      <c r="H140" s="333">
        <f>IF(C140&lt;&gt;"",_xll.RssMarket(C140,"高値"),"")</f>
        <v>1255</v>
      </c>
      <c r="I140" s="333">
        <f>IF(C140&lt;&gt;"",_xll.RssMarket(C140,"安値"),"")</f>
        <v>1231</v>
      </c>
      <c r="J140" s="333">
        <f>IF(C140&lt;&gt;"",_xll.RssMarket(C140,"出来高"),"")</f>
        <v>2064000</v>
      </c>
      <c r="K140" s="333">
        <f>IF(C140&lt;&gt;"",_xll.RssMarket(C140,"年初来高値"),"")</f>
        <v>1671</v>
      </c>
      <c r="L140" s="334">
        <f t="shared" si="44"/>
        <v>-25.822860562537404</v>
      </c>
      <c r="M140" s="333">
        <f>IF(C140&lt;&gt;"",IFERROR(AVERAGE(出来高!E24:I24),""),"")</f>
        <v>3357980</v>
      </c>
      <c r="N140" s="333">
        <f>IF(C140&lt;&gt;"",IFERROR(AVERAGE(出来高!E24:AC24),""),"")</f>
        <v>3672116</v>
      </c>
      <c r="O140" s="335">
        <f t="shared" si="45"/>
        <v>0.61465523916163889</v>
      </c>
      <c r="P140" s="212" t="str">
        <f t="shared" si="46"/>
        <v>減少↓</v>
      </c>
      <c r="Q140" s="212" t="str">
        <f t="shared" si="47"/>
        <v>中立→</v>
      </c>
      <c r="R140" s="333">
        <f t="shared" si="48"/>
        <v>1140</v>
      </c>
      <c r="S140" s="333">
        <f t="shared" si="49"/>
        <v>1289</v>
      </c>
      <c r="T140" s="325">
        <f t="shared" si="50"/>
        <v>6</v>
      </c>
      <c r="U140" s="212" t="str">
        <f t="shared" si="51"/>
        <v>要確認</v>
      </c>
      <c r="V140" s="212" t="str">
        <f t="shared" si="52"/>
        <v>安値圏</v>
      </c>
      <c r="W140" s="336">
        <f t="array" ref="W140">IFERROR(100-100/(1+SUMPRODUCT((終値!F24:R24&gt;終値!G24:S24)*(終値!F24:R24-終値!G24:S24))/SUMPRODUCT((終値!F24:R24&lt;終値!G24:S24)*(終値!G24:S24-終値!F24:R24))),50)</f>
        <v>53.889943074003796</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7.5642545544289987</v>
      </c>
      <c r="Y140" s="212" t="str">
        <f t="shared" si="53"/>
        <v>相場上昇・見送り | 下降トレンド▼ MACD+ RSI:53.9 前日比:-2.2% [安値圏] [6点]</v>
      </c>
      <c r="Z140" s="338">
        <f t="shared" si="54"/>
        <v>-2.1704814522494082</v>
      </c>
      <c r="AA140" s="212" t="str">
        <f t="shared" si="55"/>
        <v>下落▼</v>
      </c>
      <c r="AB140" s="333">
        <f>IF(OR(C140="",C140="TOPX",終値!E24=""),"",IFERROR(((終値!E24*0.333)+(終値!F24*0.222)+(終値!G24*0.148)+(終値!H24*0.099)+(終値!I24*0.066))/(0.333+0.222+0.148+0.099+0.066),""))</f>
        <v>1276.6278801843316</v>
      </c>
      <c r="AC140" s="333">
        <f>IF(OR(C140="",C140="TOPX",終値!E24=""),"",IFERROR(SUMPRODUCT((終値!E24:AC24),{0.077,0.071,0.065,0.06,0.055,0.051,0.047,0.043,0.039,0.036,0.033,0.031,0.028,0.026,0.024,0.022,0.02,0.018,0.017,0.016,0.014,0.013,0.012,0.011,0.01})/SUM({0.077,0.071,0.065,0.06,0.055,0.051,0.047,0.043,0.039,0.036,0.033,0.031,0.028,0.026,0.024,0.022,0.02,0.018,0.017,0.016,0.014,0.013,0.012,0.011,0.01}),""))</f>
        <v>1280.8974970202621</v>
      </c>
      <c r="AD140" s="212" t="str">
        <f t="shared" si="56"/>
        <v>下降トレンド▼</v>
      </c>
      <c r="AE140" s="212" t="str">
        <f t="shared" si="57"/>
        <v>なし</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相場上昇・見送り</v>
      </c>
      <c r="AG140">
        <f t="shared" si="58"/>
        <v>0</v>
      </c>
      <c r="AH140">
        <f t="shared" si="59"/>
        <v>0</v>
      </c>
      <c r="AI140" s="373">
        <f t="array" ref="AI140">IF(C140="","",IFERROR((INDEX(終値!$E:$E,MATCH(TEXT(C140,"0"),終値!$A:$A,0))-INDEX(終値!$E:$CZ,MATCH(TEXT(C140,"0"),終値!$A:$A,0),$AN$2))/INDEX(終値!$E:$CZ,MATCH(TEXT(C140,"0"),終値!$A:$A,0),$AN$2)*100,""))</f>
        <v>3.5640281806879406</v>
      </c>
      <c r="AJ140" s="373">
        <f t="array" ref="AJ140">IFERROR((終値!$E$5-INDEX(終値!$E$5:$CZ$5,1,$AN$2))/INDEX(終値!$E$5:$CZ$5,1,$AN$2)*100,"")</f>
        <v>-0.82558151178043282</v>
      </c>
      <c r="AK140" s="374">
        <f t="shared" si="60"/>
        <v>4.3896096924683734</v>
      </c>
      <c r="AL140" s="372">
        <f t="shared" si="61"/>
        <v>-2</v>
      </c>
      <c r="AO140" s="376" t="str">
        <f t="shared" si="62"/>
        <v>通常</v>
      </c>
      <c r="AP140" s="377">
        <f t="shared" si="63"/>
        <v>0</v>
      </c>
      <c r="AQ140">
        <f>IF(C140&lt;&gt;"",始値!F24,"")</f>
        <v>1300</v>
      </c>
      <c r="AR140">
        <f>IF(C140&lt;&gt;"",高値!F24,"")</f>
        <v>1305</v>
      </c>
      <c r="AS140">
        <f>IF(C140&lt;&gt;"",安値!F24,"")</f>
        <v>1254.5</v>
      </c>
      <c r="AT140" t="str">
        <f t="shared" si="64"/>
        <v>通常</v>
      </c>
      <c r="AU140">
        <f t="shared" si="65"/>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1283.5</v>
      </c>
      <c r="F141" s="326">
        <f>IF(C141&lt;&gt;"",_xll.RssMarket(C141,"始値"),"")</f>
        <v>1279</v>
      </c>
      <c r="G141" s="325">
        <f>IF(C141&lt;&gt;"",終値!F29,"")</f>
        <v>1294</v>
      </c>
      <c r="H141" s="326">
        <f>IF(C141&lt;&gt;"",_xll.RssMarket(C141,"高値"),"")</f>
        <v>1301</v>
      </c>
      <c r="I141" s="326">
        <f>IF(C141&lt;&gt;"",_xll.RssMarket(C141,"安値"),"")</f>
        <v>1273.5</v>
      </c>
      <c r="J141" s="326">
        <f>IF(C141&lt;&gt;"",_xll.RssMarket(C141,"出来高"),"")</f>
        <v>3076900</v>
      </c>
      <c r="K141" s="326">
        <f>IF(C141&lt;&gt;"",_xll.RssMarket(C141,"年初来高値"),"")</f>
        <v>1552.5</v>
      </c>
      <c r="L141" s="327">
        <f t="shared" si="44"/>
        <v>-17.326892109500804</v>
      </c>
      <c r="M141" s="326">
        <f>IF(C141&lt;&gt;"",IFERROR(AVERAGE(出来高!E29:I29),""),"")</f>
        <v>7319460</v>
      </c>
      <c r="N141" s="326">
        <f>IF(C141&lt;&gt;"",IFERROR(AVERAGE(出来高!E29:AC29),""),"")</f>
        <v>6895984</v>
      </c>
      <c r="O141" s="328">
        <f t="shared" si="45"/>
        <v>0.42037254114374556</v>
      </c>
      <c r="P141" s="325" t="str">
        <f t="shared" si="46"/>
        <v>減少↓</v>
      </c>
      <c r="Q141" s="325" t="str">
        <f t="shared" si="47"/>
        <v>中立→</v>
      </c>
      <c r="R141" s="326">
        <f t="shared" si="48"/>
        <v>1181</v>
      </c>
      <c r="S141" s="326">
        <f t="shared" si="49"/>
        <v>1335</v>
      </c>
      <c r="T141" s="325">
        <f t="shared" si="50"/>
        <v>2</v>
      </c>
      <c r="U141" s="325" t="str">
        <f t="shared" si="51"/>
        <v>除外</v>
      </c>
      <c r="V141" s="325" t="str">
        <f t="shared" si="52"/>
        <v>通常</v>
      </c>
      <c r="W141" s="329">
        <f t="array" ref="W141">IFERROR(100-100/(1+SUMPRODUCT((終値!F29:R29&gt;終値!G29:S29)*(終値!F29:R29-終値!G29:S29))/SUMPRODUCT((終値!F29:R29&lt;終値!G29:S29)*(終値!G29:S29-終値!F29:R29))),50)</f>
        <v>56.869565217391305</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8.4842749334304699</v>
      </c>
      <c r="Y141" s="325" t="str">
        <f t="shared" si="53"/>
        <v>○逆張り売り | もみ合い→ 25日戻り売り★ MACD+ RSI:56.9 前日比:-0.8%前日[長い下ヒゲ(反発)] [2点]</v>
      </c>
      <c r="Z141" s="331">
        <f t="shared" si="54"/>
        <v>-0.81143740340030912</v>
      </c>
      <c r="AA141" s="325" t="str">
        <f t="shared" si="55"/>
        <v>下落▼</v>
      </c>
      <c r="AB141" s="326">
        <f>IF(OR(C141="",C141="TOPX",終値!E29=""),"",IFERROR(((終値!E29*0.333)+(終値!F29*0.222)+(終値!G29*0.148)+(終値!H29*0.099)+(終値!I29*0.066))/(0.333+0.222+0.148+0.099+0.066),""))</f>
        <v>1297.3116359447001</v>
      </c>
      <c r="AC141" s="326">
        <f>IF(OR(C141="",C141="TOPX",終値!E29=""),"",IFERROR(SUMPRODUCT((終値!E29:AC29),{0.077,0.071,0.065,0.06,0.055,0.051,0.047,0.043,0.039,0.036,0.033,0.031,0.028,0.026,0.024,0.022,0.02,0.018,0.017,0.016,0.014,0.013,0.012,0.011,0.01})/SUM({0.077,0.071,0.065,0.06,0.055,0.051,0.047,0.043,0.039,0.036,0.033,0.031,0.028,0.026,0.024,0.022,0.02,0.018,0.017,0.016,0.014,0.013,0.012,0.011,0.01}),""))</f>
        <v>1288.7532777115605</v>
      </c>
      <c r="AD141" s="325" t="str">
        <f t="shared" si="56"/>
        <v>もみ合い→</v>
      </c>
      <c r="AE141" s="325" t="str">
        <f t="shared" si="57"/>
        <v>25日戻り売り★</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○逆張り売り</v>
      </c>
      <c r="AG141">
        <f t="shared" si="58"/>
        <v>0</v>
      </c>
      <c r="AH141">
        <f t="shared" si="59"/>
        <v>0</v>
      </c>
      <c r="AI141" s="373">
        <f t="array" ref="AI141">IF(C141="","",IFERROR((INDEX(終値!$E:$E,MATCH(TEXT(C141,"0"),終値!$A:$A,0))-INDEX(終値!$E:$CZ,MATCH(TEXT(C141,"0"),終値!$A:$A,0),$AN$2))/INDEX(終値!$E:$CZ,MATCH(TEXT(C141,"0"),終値!$A:$A,0),$AN$2)*100,""))</f>
        <v>6.791666666666667</v>
      </c>
      <c r="AJ141" s="373">
        <f t="array" ref="AJ141">IFERROR((終値!$E$5-INDEX(終値!$E$5:$CZ$5,1,$AN$2))/INDEX(終値!$E$5:$CZ$5,1,$AN$2)*100,"")</f>
        <v>-0.82558151178043282</v>
      </c>
      <c r="AK141" s="374">
        <f t="shared" si="60"/>
        <v>7.6172481784470998</v>
      </c>
      <c r="AL141" s="372">
        <f t="shared" si="61"/>
        <v>-2</v>
      </c>
      <c r="AO141" s="376" t="str">
        <f t="shared" si="62"/>
        <v>通常</v>
      </c>
      <c r="AP141" s="377">
        <f t="shared" si="63"/>
        <v>0</v>
      </c>
      <c r="AQ141">
        <f>IF(C141&lt;&gt;"",始値!F29,"")</f>
        <v>1311</v>
      </c>
      <c r="AR141">
        <f>IF(C141&lt;&gt;"",高値!F29,"")</f>
        <v>1314</v>
      </c>
      <c r="AS141">
        <f>IF(C141&lt;&gt;"",安値!F29,"")</f>
        <v>1266.5</v>
      </c>
      <c r="AT141" t="str">
        <f t="shared" si="64"/>
        <v>長い下ヒゲ(反発)</v>
      </c>
      <c r="AU141">
        <f t="shared" si="65"/>
        <v>-2</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1592.5</v>
      </c>
      <c r="F142" s="333">
        <f>IF(C142&lt;&gt;"",_xll.RssMarket(C142,"始値"),"")</f>
        <v>1507</v>
      </c>
      <c r="G142" s="212">
        <f>IF(C142&lt;&gt;"",終値!F48,"")</f>
        <v>1490</v>
      </c>
      <c r="H142" s="333">
        <f>IF(C142&lt;&gt;"",_xll.RssMarket(C142,"高値"),"")</f>
        <v>1614.5</v>
      </c>
      <c r="I142" s="333">
        <f>IF(C142&lt;&gt;"",_xll.RssMarket(C142,"安値"),"")</f>
        <v>1492</v>
      </c>
      <c r="J142" s="333">
        <f>IF(C142&lt;&gt;"",_xll.RssMarket(C142,"出来高"),"")</f>
        <v>1443500</v>
      </c>
      <c r="K142" s="333">
        <f>IF(C142&lt;&gt;"",_xll.RssMarket(C142,"年初来高値"),"")</f>
        <v>1565</v>
      </c>
      <c r="L142" s="334">
        <f t="shared" si="44"/>
        <v>1.7571884984025559</v>
      </c>
      <c r="M142" s="333">
        <f>IF(C142&lt;&gt;"",IFERROR(AVERAGE(出来高!E48:I48),""),"")</f>
        <v>1125040</v>
      </c>
      <c r="N142" s="333">
        <f>IF(C142&lt;&gt;"",IFERROR(AVERAGE(出来高!E48:AC48),""),"")</f>
        <v>981808</v>
      </c>
      <c r="O142" s="335">
        <f t="shared" si="45"/>
        <v>1.2830654910047643</v>
      </c>
      <c r="P142" s="212" t="str">
        <f t="shared" si="46"/>
        <v>普通→</v>
      </c>
      <c r="Q142" s="212" t="str">
        <f t="shared" si="47"/>
        <v>様子見▲</v>
      </c>
      <c r="R142" s="333">
        <f t="shared" si="48"/>
        <v>1465</v>
      </c>
      <c r="S142" s="333">
        <f t="shared" si="49"/>
        <v>1656</v>
      </c>
      <c r="T142" s="325">
        <f t="shared" si="50"/>
        <v>-2</v>
      </c>
      <c r="U142" s="212" t="str">
        <f t="shared" si="51"/>
        <v>除外</v>
      </c>
      <c r="V142" s="212" t="str">
        <f t="shared" si="52"/>
        <v>通常</v>
      </c>
      <c r="W142" s="336">
        <f t="array" ref="W142">IFERROR(100-100/(1+SUMPRODUCT((終値!F48:R48&gt;終値!G48:S48)*(終値!F48:R48-終値!G48:S48))/SUMPRODUCT((終値!F48:R48&lt;終値!G48:S48)*(終値!G48:S48-終値!F48:R48))),50)</f>
        <v>67.857142857142861</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12.498327289951703</v>
      </c>
      <c r="Y142" s="212" t="str">
        <f t="shared" si="53"/>
        <v>相場上昇・見送り | パーフェクト▲ MACD+ RSI:67.9 前日比:+6.9%前日[長い下ヒゲ(反発)] [-2点]</v>
      </c>
      <c r="Z142" s="338">
        <f t="shared" si="54"/>
        <v>6.8791946308724832</v>
      </c>
      <c r="AA142" s="212" t="str">
        <f t="shared" si="55"/>
        <v>上昇▲</v>
      </c>
      <c r="AB142" s="333">
        <f>IF(OR(C142="",C142="TOPX",終値!E48=""),"",IFERROR(((終値!E48*0.333)+(終値!F48*0.222)+(終値!G48*0.148)+(終値!H48*0.099)+(終値!I48*0.066))/(0.333+0.222+0.148+0.099+0.066),""))</f>
        <v>1498.4320276497695</v>
      </c>
      <c r="AC142" s="333">
        <f>IF(OR(C142="",C142="TOPX",終値!E48=""),"",IFERROR(SUMPRODUCT((終値!E48:AC48),{0.077,0.071,0.065,0.06,0.055,0.051,0.047,0.043,0.039,0.036,0.033,0.031,0.028,0.026,0.024,0.022,0.02,0.018,0.017,0.016,0.014,0.013,0.012,0.011,0.01})/SUM({0.077,0.071,0.065,0.06,0.055,0.051,0.047,0.043,0.039,0.036,0.033,0.031,0.028,0.026,0.024,0.022,0.02,0.018,0.017,0.016,0.014,0.013,0.012,0.011,0.01}),""))</f>
        <v>1474.0458879618591</v>
      </c>
      <c r="AD142" s="212" t="str">
        <f t="shared" si="56"/>
        <v>パーフェクト▲</v>
      </c>
      <c r="AE142" s="212" t="str">
        <f t="shared" si="57"/>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相場上昇・見送り</v>
      </c>
      <c r="AG142">
        <f t="shared" si="58"/>
        <v>0</v>
      </c>
      <c r="AH142">
        <f t="shared" si="59"/>
        <v>0</v>
      </c>
      <c r="AI142" s="373">
        <f t="array" ref="AI142">IF(C142="","",IFERROR((INDEX(終値!$E:$E,MATCH(TEXT(C142,"0"),終値!$A:$A,0))-INDEX(終値!$E:$CZ,MATCH(TEXT(C142,"0"),終値!$A:$A,0),$AN$2))/INDEX(終値!$E:$CZ,MATCH(TEXT(C142,"0"),終値!$A:$A,0),$AN$2)*100,""))</f>
        <v>3.8956521739130432</v>
      </c>
      <c r="AJ142" s="373">
        <f t="array" ref="AJ142">IFERROR((終値!$E$5-INDEX(終値!$E$5:$CZ$5,1,$AN$2))/INDEX(終値!$E$5:$CZ$5,1,$AN$2)*100,"")</f>
        <v>-0.82558151178043282</v>
      </c>
      <c r="AK142" s="374">
        <f t="shared" si="60"/>
        <v>4.721233685693476</v>
      </c>
      <c r="AL142" s="372">
        <f t="shared" si="61"/>
        <v>-2</v>
      </c>
      <c r="AO142" s="376" t="str">
        <f t="shared" si="62"/>
        <v>通常</v>
      </c>
      <c r="AP142" s="377">
        <f t="shared" si="63"/>
        <v>0</v>
      </c>
      <c r="AQ142">
        <f>IF(C142&lt;&gt;"",始値!F48,"")</f>
        <v>1504</v>
      </c>
      <c r="AR142">
        <f>IF(C142&lt;&gt;"",高値!F48,"")</f>
        <v>1504</v>
      </c>
      <c r="AS142">
        <f>IF(C142&lt;&gt;"",安値!F48,"")</f>
        <v>1462</v>
      </c>
      <c r="AT142" t="str">
        <f t="shared" si="64"/>
        <v>長い下ヒゲ(反発)</v>
      </c>
      <c r="AU142">
        <f t="shared" si="65"/>
        <v>-2</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1707.5</v>
      </c>
      <c r="F143" s="326">
        <f>IF(C143&lt;&gt;"",_xll.RssMarket(C143,"始値"),"")</f>
        <v>1719</v>
      </c>
      <c r="G143" s="325">
        <f>IF(C143&lt;&gt;"",終値!F88,"")</f>
        <v>1710</v>
      </c>
      <c r="H143" s="326">
        <f>IF(C143&lt;&gt;"",_xll.RssMarket(C143,"高値"),"")</f>
        <v>1728</v>
      </c>
      <c r="I143" s="326">
        <f>IF(C143&lt;&gt;"",_xll.RssMarket(C143,"安値"),"")</f>
        <v>1699</v>
      </c>
      <c r="J143" s="326">
        <f>IF(C143&lt;&gt;"",_xll.RssMarket(C143,"出来高"),"")</f>
        <v>1578300</v>
      </c>
      <c r="K143" s="326">
        <f>IF(C143&lt;&gt;"",_xll.RssMarket(C143,"年初来高値"),"")</f>
        <v>2094</v>
      </c>
      <c r="L143" s="327">
        <f t="shared" si="44"/>
        <v>-18.457497612225406</v>
      </c>
      <c r="M143" s="326">
        <f>IF(C143&lt;&gt;"",IFERROR(AVERAGE(出来高!E88:I88),""),"")</f>
        <v>3811100</v>
      </c>
      <c r="N143" s="326">
        <f>IF(C143&lt;&gt;"",IFERROR(AVERAGE(出来高!E88:AC88),""),"")</f>
        <v>2945924</v>
      </c>
      <c r="O143" s="328">
        <f t="shared" si="45"/>
        <v>0.41413240271837526</v>
      </c>
      <c r="P143" s="325" t="str">
        <f t="shared" si="46"/>
        <v>減少↓</v>
      </c>
      <c r="Q143" s="325" t="str">
        <f t="shared" si="47"/>
        <v>中立→</v>
      </c>
      <c r="R143" s="326">
        <f t="shared" si="48"/>
        <v>1571</v>
      </c>
      <c r="S143" s="326">
        <f t="shared" si="49"/>
        <v>1776</v>
      </c>
      <c r="T143" s="325">
        <f t="shared" si="50"/>
        <v>6</v>
      </c>
      <c r="U143" s="325" t="str">
        <f t="shared" si="51"/>
        <v>要確認</v>
      </c>
      <c r="V143" s="325" t="str">
        <f t="shared" si="52"/>
        <v>通常</v>
      </c>
      <c r="W143" s="329">
        <f t="array" ref="W143">IFERROR(100-100/(1+SUMPRODUCT((終値!F88:R88&gt;終値!G88:S88)*(終値!F88:R88-終値!G88:S88))/SUMPRODUCT((終値!F88:R88&lt;終値!G88:S88)*(終値!G88:S88-終値!F88:R88))),50)</f>
        <v>44.553483807654565</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2.1459377325979858</v>
      </c>
      <c r="Y143" s="325" t="str">
        <f t="shared" si="53"/>
        <v>相場上昇・見送り | 下降トレンド▼ MACD+ RSI:44.6 前日比:-0.1%前日[大陰線▼] [6点]</v>
      </c>
      <c r="Z143" s="331">
        <f t="shared" si="54"/>
        <v>-0.14619883040935672</v>
      </c>
      <c r="AA143" s="325" t="str">
        <f t="shared" si="55"/>
        <v>下落▼</v>
      </c>
      <c r="AB143" s="326">
        <f>IF(OR(C143="",C143="TOPX",終値!E88=""),"",IFERROR(((終値!E88*0.333)+(終値!F88*0.222)+(終値!G88*0.148)+(終値!H88*0.099)+(終値!I88*0.066))/(0.333+0.222+0.148+0.099+0.066),""))</f>
        <v>1748.7966589861749</v>
      </c>
      <c r="AC143" s="326">
        <f>IF(OR(C143="",C143="TOPX",終値!E88=""),"",IFERROR(SUMPRODUCT((終値!E88:AC88),{0.077,0.071,0.065,0.06,0.055,0.051,0.047,0.043,0.039,0.036,0.033,0.031,0.028,0.026,0.024,0.022,0.02,0.018,0.017,0.016,0.014,0.013,0.012,0.011,0.01})/SUM({0.077,0.071,0.065,0.06,0.055,0.051,0.047,0.043,0.039,0.036,0.033,0.031,0.028,0.026,0.024,0.022,0.02,0.018,0.017,0.016,0.014,0.013,0.012,0.011,0.01}),""))</f>
        <v>1779.0589988081042</v>
      </c>
      <c r="AD143" s="325" t="str">
        <f t="shared" si="56"/>
        <v>下降トレンド▼</v>
      </c>
      <c r="AE143" s="325" t="str">
        <f t="shared" si="57"/>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 t="shared" si="58"/>
        <v>0</v>
      </c>
      <c r="AH143">
        <f t="shared" si="59"/>
        <v>0</v>
      </c>
      <c r="AI143" s="373">
        <f t="array" ref="AI143">IF(C143="","",IFERROR((INDEX(終値!$E:$E,MATCH(TEXT(C143,"0"),終値!$A:$A,0))-INDEX(終値!$E:$CZ,MATCH(TEXT(C143,"0"),終値!$A:$A,0),$AN$2))/INDEX(終値!$E:$CZ,MATCH(TEXT(C143,"0"),終値!$A:$A,0),$AN$2)*100,""))</f>
        <v>0.17523364485981308</v>
      </c>
      <c r="AJ143" s="373">
        <f t="array" ref="AJ143">IFERROR((終値!$E$5-INDEX(終値!$E$5:$CZ$5,1,$AN$2))/INDEX(終値!$E$5:$CZ$5,1,$AN$2)*100,"")</f>
        <v>-0.82558151178043282</v>
      </c>
      <c r="AK143" s="374">
        <f t="shared" si="60"/>
        <v>1.0008151566402459</v>
      </c>
      <c r="AL143" s="372">
        <f t="shared" si="61"/>
        <v>-1</v>
      </c>
      <c r="AO143" s="376" t="str">
        <f t="shared" si="62"/>
        <v>通常</v>
      </c>
      <c r="AP143" s="377">
        <f t="shared" si="63"/>
        <v>0</v>
      </c>
      <c r="AQ143">
        <f>IF(C143&lt;&gt;"",始値!F88,"")</f>
        <v>1756.5</v>
      </c>
      <c r="AR143">
        <f>IF(C143&lt;&gt;"",高値!F88,"")</f>
        <v>1760.5</v>
      </c>
      <c r="AS143">
        <f>IF(C143&lt;&gt;"",安値!F88,"")</f>
        <v>1704</v>
      </c>
      <c r="AT143" t="str">
        <f t="shared" si="64"/>
        <v>大陰線▼</v>
      </c>
      <c r="AU143">
        <f t="shared" si="65"/>
        <v>2</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747</v>
      </c>
      <c r="F144" s="333">
        <f>IF(C144&lt;&gt;"",_xll.RssMarket(C144,"始値"),"")</f>
        <v>733</v>
      </c>
      <c r="G144" s="212">
        <f>IF(C144&lt;&gt;"",終値!F93,"")</f>
        <v>722</v>
      </c>
      <c r="H144" s="333">
        <f>IF(C144&lt;&gt;"",_xll.RssMarket(C144,"高値"),"")</f>
        <v>755</v>
      </c>
      <c r="I144" s="333">
        <f>IF(C144&lt;&gt;"",_xll.RssMarket(C144,"安値"),"")</f>
        <v>733</v>
      </c>
      <c r="J144" s="333">
        <f>IF(C144&lt;&gt;"",_xll.RssMarket(C144,"出来高"),"")</f>
        <v>288900</v>
      </c>
      <c r="K144" s="333">
        <f>IF(C144&lt;&gt;"",_xll.RssMarket(C144,"年初来高値"),"")</f>
        <v>1638</v>
      </c>
      <c r="L144" s="334">
        <f t="shared" si="44"/>
        <v>-54.395604395604394</v>
      </c>
      <c r="M144" s="333">
        <f>IF(C144&lt;&gt;"",IFERROR(AVERAGE(出来高!E93:I93),""),"")</f>
        <v>298800</v>
      </c>
      <c r="N144" s="333">
        <f>IF(C144&lt;&gt;"",IFERROR(AVERAGE(出来高!E93:AC93),""),"")</f>
        <v>994900</v>
      </c>
      <c r="O144" s="335">
        <f t="shared" si="45"/>
        <v>0.9668674698795181</v>
      </c>
      <c r="P144" s="212" t="str">
        <f t="shared" si="46"/>
        <v>減少↓</v>
      </c>
      <c r="Q144" s="212" t="str">
        <f t="shared" si="47"/>
        <v>様子見▲</v>
      </c>
      <c r="R144" s="333">
        <f t="shared" si="48"/>
        <v>687</v>
      </c>
      <c r="S144" s="333">
        <f t="shared" si="49"/>
        <v>777</v>
      </c>
      <c r="T144" s="325">
        <f t="shared" si="50"/>
        <v>13</v>
      </c>
      <c r="U144" s="212" t="str">
        <f t="shared" si="51"/>
        <v>要確認</v>
      </c>
      <c r="V144" s="212" t="str">
        <f t="shared" si="52"/>
        <v>年初来安値圏●</v>
      </c>
      <c r="W144" s="336">
        <f t="array" ref="W144">IFERROR(100-100/(1+SUMPRODUCT((終値!F93:R93&gt;終値!G93:S93)*(終値!F93:R93-終値!G93:S93))/SUMPRODUCT((終値!F93:R93&lt;終値!G93:S93)*(終値!G93:S93-終値!F93:R93))),50)</f>
        <v>31.979695431472081</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-12.866153344027111</v>
      </c>
      <c r="Y144" s="212" t="str">
        <f t="shared" si="53"/>
        <v>○逆張り売り | もみ合い→ 25日戻り売り★ MACD- RSI:32.0 前日比:+3.5% [年初来安値圏] [13点]</v>
      </c>
      <c r="Z144" s="338">
        <f t="shared" si="54"/>
        <v>3.4626038781163437</v>
      </c>
      <c r="AA144" s="212" t="str">
        <f t="shared" si="55"/>
        <v>上昇▲</v>
      </c>
      <c r="AB144" s="333">
        <f>IF(OR(C144="",C144="TOPX",終値!E93=""),"",IFERROR(((終値!E93*0.333)+(終値!F93*0.222)+(終値!G93*0.148)+(終値!H93*0.099)+(終値!I93*0.066))/(0.333+0.222+0.148+0.099+0.066),""))</f>
        <v>726.03917050691234</v>
      </c>
      <c r="AC144" s="333">
        <f>IF(OR(C144="",C144="TOPX",終値!E93=""),"",IFERROR(SUMPRODUCT((終値!E93:AC93),{0.077,0.071,0.065,0.06,0.055,0.051,0.047,0.043,0.039,0.036,0.033,0.031,0.028,0.026,0.024,0.022,0.02,0.018,0.017,0.016,0.014,0.013,0.012,0.011,0.01})/SUM({0.077,0.071,0.065,0.06,0.055,0.051,0.047,0.043,0.039,0.036,0.033,0.031,0.028,0.026,0.024,0.022,0.02,0.018,0.017,0.016,0.014,0.013,0.012,0.011,0.01}),""))</f>
        <v>761.89272943980893</v>
      </c>
      <c r="AD144" s="212" t="str">
        <f t="shared" si="56"/>
        <v>もみ合い→</v>
      </c>
      <c r="AE144" s="212" t="str">
        <f t="shared" si="57"/>
        <v>25日戻り売り★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 t="shared" si="58"/>
        <v>13</v>
      </c>
      <c r="AH144">
        <f t="shared" si="59"/>
        <v>129856</v>
      </c>
      <c r="AI144" s="373">
        <f t="array" ref="AI144">IF(C144="","",IFERROR((INDEX(終値!$E:$E,MATCH(TEXT(C144,"0"),終値!$A:$A,0))-INDEX(終値!$E:$CZ,MATCH(TEXT(C144,"0"),終値!$A:$A,0),$AN$2))/INDEX(終値!$E:$CZ,MATCH(TEXT(C144,"0"),終値!$A:$A,0),$AN$2)*100,""))</f>
        <v>-22.550052687038988</v>
      </c>
      <c r="AJ144" s="373">
        <f t="array" ref="AJ144">IFERROR((終値!$E$5-INDEX(終値!$E$5:$CZ$5,1,$AN$2))/INDEX(終値!$E$5:$CZ$5,1,$AN$2)*100,"")</f>
        <v>-0.82558151178043282</v>
      </c>
      <c r="AK144" s="374">
        <f t="shared" si="60"/>
        <v>-21.724471175258557</v>
      </c>
      <c r="AL144" s="372">
        <f t="shared" si="61"/>
        <v>3</v>
      </c>
      <c r="AO144" s="376" t="str">
        <f t="shared" si="62"/>
        <v>通常</v>
      </c>
      <c r="AP144" s="377">
        <f t="shared" si="63"/>
        <v>0</v>
      </c>
      <c r="AQ144">
        <f>IF(C144&lt;&gt;"",始値!F93,"")</f>
        <v>715</v>
      </c>
      <c r="AR144">
        <f>IF(C144&lt;&gt;"",高値!F93,"")</f>
        <v>728</v>
      </c>
      <c r="AS144">
        <f>IF(C144&lt;&gt;"",安値!F93,"")</f>
        <v>709</v>
      </c>
      <c r="AT144" t="str">
        <f t="shared" si="64"/>
        <v>通常</v>
      </c>
      <c r="AU144">
        <f t="shared" si="65"/>
        <v>0</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1158</v>
      </c>
      <c r="F145" s="326">
        <f>IF(C145&lt;&gt;"",_xll.RssMarket(C145,"始値"),"")</f>
        <v>1130</v>
      </c>
      <c r="G145" s="325">
        <f>IF(C145&lt;&gt;"",終値!F98,"")</f>
        <v>1135.5</v>
      </c>
      <c r="H145" s="326">
        <f>IF(C145&lt;&gt;"",_xll.RssMarket(C145,"高値"),"")</f>
        <v>1164</v>
      </c>
      <c r="I145" s="326">
        <f>IF(C145&lt;&gt;"",_xll.RssMarket(C145,"安値"),"")</f>
        <v>1123</v>
      </c>
      <c r="J145" s="326">
        <f>IF(C145&lt;&gt;"",_xll.RssMarket(C145,"出来高"),"")</f>
        <v>2985400</v>
      </c>
      <c r="K145" s="326">
        <f>IF(C145&lt;&gt;"",_xll.RssMarket(C145,"年初来高値"),"")</f>
        <v>1232.5</v>
      </c>
      <c r="L145" s="327">
        <f t="shared" si="44"/>
        <v>-6.044624746450304</v>
      </c>
      <c r="M145" s="326">
        <f>IF(C145&lt;&gt;"",IFERROR(AVERAGE(出来高!E98:I98),""),"")</f>
        <v>9097480</v>
      </c>
      <c r="N145" s="326">
        <f>IF(C145&lt;&gt;"",IFERROR(AVERAGE(出来高!E98:AC98),""),"")</f>
        <v>6756179.166666667</v>
      </c>
      <c r="O145" s="328">
        <f t="shared" si="45"/>
        <v>0.32815680825899041</v>
      </c>
      <c r="P145" s="325" t="str">
        <f t="shared" si="46"/>
        <v>減少↓</v>
      </c>
      <c r="Q145" s="325" t="str">
        <f t="shared" si="47"/>
        <v>様子見▲</v>
      </c>
      <c r="R145" s="326">
        <f t="shared" si="48"/>
        <v>1065</v>
      </c>
      <c r="S145" s="326">
        <f t="shared" si="49"/>
        <v>1204</v>
      </c>
      <c r="T145" s="325">
        <f t="shared" si="50"/>
        <v>1</v>
      </c>
      <c r="U145" s="325" t="str">
        <f t="shared" si="51"/>
        <v>除外</v>
      </c>
      <c r="V145" s="325" t="str">
        <f t="shared" si="52"/>
        <v>通常</v>
      </c>
      <c r="W145" s="329">
        <f t="array" ref="W145">IFERROR(100-100/(1+SUMPRODUCT((終値!F98:R98&gt;終値!G98:S98)*(終値!F98:R98-終値!G98:S98))/SUMPRODUCT((終値!F98:R98&lt;終値!G98:S98)*(終値!G98:S98-終値!F98:R98))),50)</f>
        <v>49.534717251252687</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-11.282621328694631</v>
      </c>
      <c r="Y145" s="325" t="str">
        <f t="shared" si="53"/>
        <v>相場上昇・見送り | パーフェクト▲ MACD- RSI:49.5 前日比:+2.0%前日[長い下ヒゲ(反発)] [1点]</v>
      </c>
      <c r="Z145" s="331">
        <f t="shared" si="54"/>
        <v>1.9815059445178336</v>
      </c>
      <c r="AA145" s="325" t="str">
        <f t="shared" si="55"/>
        <v>上昇▲</v>
      </c>
      <c r="AB145" s="326">
        <f>IF(OR(C145="",C145="TOPX",終値!E98=""),"",IFERROR(((終値!E98*0.333)+(終値!F98*0.222)+(終値!G98*0.148)+(終値!H98*0.099)+(終値!I98*0.066))/(0.333+0.222+0.148+0.099+0.066),""))</f>
        <v>1139.294930875576</v>
      </c>
      <c r="AC145" s="326">
        <f>IF(OR(C145="",C145="TOPX",終値!E98=""),"",IFERROR(SUMPRODUCT((終値!E98:AC98),{0.077,0.071,0.065,0.06,0.055,0.051,0.047,0.043,0.039,0.036,0.033,0.031,0.028,0.026,0.024,0.022,0.02,0.018,0.017,0.016,0.014,0.013,0.012,0.011,0.01})/SUM({0.077,0.071,0.065,0.06,0.055,0.051,0.047,0.043,0.039,0.036,0.033,0.031,0.028,0.026,0.024,0.022,0.02,0.018,0.017,0.016,0.014,0.013,0.012,0.011,0.01}),""))</f>
        <v>1108.2586412395706</v>
      </c>
      <c r="AD145" s="325" t="str">
        <f t="shared" si="56"/>
        <v>パーフェクト▲</v>
      </c>
      <c r="AE145" s="325" t="str">
        <f t="shared" si="57"/>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 t="shared" si="58"/>
        <v>0</v>
      </c>
      <c r="AH145">
        <f t="shared" si="59"/>
        <v>0</v>
      </c>
      <c r="AI145" s="373">
        <f t="array" ref="AI145">IF(C145="","",IFERROR((INDEX(終値!$E:$E,MATCH(TEXT(C145,"0"),終値!$A:$A,0))-INDEX(終値!$E:$CZ,MATCH(TEXT(C145,"0"),終値!$A:$A,0),$AN$2))/INDEX(終値!$E:$CZ,MATCH(TEXT(C145,"0"),終値!$A:$A,0),$AN$2)*100,""))</f>
        <v>-1.1061946902654867</v>
      </c>
      <c r="AJ145" s="373">
        <f t="array" ref="AJ145">IFERROR((終値!$E$5-INDEX(終値!$E$5:$CZ$5,1,$AN$2))/INDEX(終値!$E$5:$CZ$5,1,$AN$2)*100,"")</f>
        <v>-0.82558151178043282</v>
      </c>
      <c r="AK145" s="374">
        <f t="shared" si="60"/>
        <v>-0.28061317848505385</v>
      </c>
      <c r="AL145" s="372">
        <f t="shared" si="61"/>
        <v>1</v>
      </c>
      <c r="AO145" s="376" t="str">
        <f t="shared" si="62"/>
        <v>通常</v>
      </c>
      <c r="AP145" s="377">
        <f t="shared" si="63"/>
        <v>0</v>
      </c>
      <c r="AQ145">
        <f>IF(C145&lt;&gt;"",始値!F98,"")</f>
        <v>1167</v>
      </c>
      <c r="AR145">
        <f>IF(C145&lt;&gt;"",高値!F98,"")</f>
        <v>1170.5</v>
      </c>
      <c r="AS145">
        <f>IF(C145&lt;&gt;"",安値!F98,"")</f>
        <v>1100.5</v>
      </c>
      <c r="AT145" t="str">
        <f t="shared" si="64"/>
        <v>長い下ヒゲ(反発)</v>
      </c>
      <c r="AU145">
        <f t="shared" si="65"/>
        <v>-2</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889</v>
      </c>
      <c r="F146" s="333">
        <f>IF(C146&lt;&gt;"",_xll.RssMarket(C146,"始値"),"")</f>
        <v>866</v>
      </c>
      <c r="G146" s="212">
        <f>IF(C146&lt;&gt;"",終値!F111,"")</f>
        <v>850</v>
      </c>
      <c r="H146" s="333">
        <f>IF(C146&lt;&gt;"",_xll.RssMarket(C146,"高値"),"")</f>
        <v>898</v>
      </c>
      <c r="I146" s="333">
        <f>IF(C146&lt;&gt;"",_xll.RssMarket(C146,"安値"),"")</f>
        <v>865</v>
      </c>
      <c r="J146" s="333">
        <f>IF(C146&lt;&gt;"",_xll.RssMarket(C146,"出来高"),"")</f>
        <v>136200</v>
      </c>
      <c r="K146" s="333">
        <f>IF(C146&lt;&gt;"",_xll.RssMarket(C146,"年初来高値"),"")</f>
        <v>1620</v>
      </c>
      <c r="L146" s="334">
        <f t="shared" si="44"/>
        <v>-45.123456790123456</v>
      </c>
      <c r="M146" s="333">
        <f>IF(C146&lt;&gt;"",IFERROR(AVERAGE(出来高!E111:I111),""),"")</f>
        <v>1325320</v>
      </c>
      <c r="N146" s="333">
        <f>IF(C146&lt;&gt;"",IFERROR(AVERAGE(出来高!E111:AC111),""),"")</f>
        <v>391195.83333333331</v>
      </c>
      <c r="O146" s="335">
        <f t="shared" si="45"/>
        <v>0.10276763347719796</v>
      </c>
      <c r="P146" s="212" t="str">
        <f t="shared" si="46"/>
        <v>減少↓</v>
      </c>
      <c r="Q146" s="212" t="str">
        <f t="shared" si="47"/>
        <v>様子見▲</v>
      </c>
      <c r="R146" s="333">
        <f t="shared" si="48"/>
        <v>818</v>
      </c>
      <c r="S146" s="333">
        <f t="shared" si="49"/>
        <v>925</v>
      </c>
      <c r="T146" s="325">
        <f t="shared" si="50"/>
        <v>7</v>
      </c>
      <c r="U146" s="212" t="str">
        <f t="shared" si="51"/>
        <v>要確認</v>
      </c>
      <c r="V146" s="212" t="str">
        <f t="shared" si="52"/>
        <v>年初来安値圏●</v>
      </c>
      <c r="W146" s="336">
        <f t="array" ref="W146">IFERROR(100-100/(1+SUMPRODUCT((終値!F111:R111&gt;終値!G111:S111)*(終値!F111:R111-終値!G111:S111))/SUMPRODUCT((終値!F111:R111&lt;終値!G111:S111)*(終値!G111:S111-終値!F111:R111))),50)</f>
        <v>50.386001029336079</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-9.3561688272915262</v>
      </c>
      <c r="Y146" s="212" t="str">
        <f t="shared" si="53"/>
        <v>相場上昇・見送り | パーフェクト▲ MACD- RSI:50.4 前日比:+4.6% [年初来安値圏] [7点]</v>
      </c>
      <c r="Z146" s="338">
        <f t="shared" si="54"/>
        <v>4.5882352941176467</v>
      </c>
      <c r="AA146" s="212" t="str">
        <f t="shared" si="55"/>
        <v>上昇▲</v>
      </c>
      <c r="AB146" s="333">
        <f>IF(OR(C146="",C146="TOPX",終値!E111=""),"",IFERROR(((終値!E111*0.333)+(終値!F111*0.222)+(終値!G111*0.148)+(終値!H111*0.099)+(終値!I111*0.066))/(0.333+0.222+0.148+0.099+0.066),""))</f>
        <v>872.3974654377879</v>
      </c>
      <c r="AC146" s="333">
        <f>IF(OR(C146="",C146="TOPX",終値!E111=""),"",IFERROR(SUMPRODUCT((終値!E111:AC111),{0.077,0.071,0.065,0.06,0.055,0.051,0.047,0.043,0.039,0.036,0.033,0.031,0.028,0.026,0.024,0.022,0.02,0.018,0.017,0.016,0.014,0.013,0.012,0.011,0.01})/SUM({0.077,0.071,0.065,0.06,0.055,0.051,0.047,0.043,0.039,0.036,0.033,0.031,0.028,0.026,0.024,0.022,0.02,0.018,0.017,0.016,0.014,0.013,0.012,0.011,0.01}),""))</f>
        <v>816.15613825983269</v>
      </c>
      <c r="AD146" s="212" t="str">
        <f t="shared" si="56"/>
        <v>パーフェクト▲</v>
      </c>
      <c r="AE146" s="212" t="str">
        <f t="shared" si="57"/>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 t="shared" si="58"/>
        <v>7</v>
      </c>
      <c r="AH146">
        <f t="shared" si="59"/>
        <v>69854</v>
      </c>
      <c r="AI146" s="373">
        <f t="array" ref="AI146">IF(C146="","",IFERROR((INDEX(終値!$E:$E,MATCH(TEXT(C146,"0"),終値!$A:$A,0))-INDEX(終値!$E:$CZ,MATCH(TEXT(C146,"0"),終値!$A:$A,0),$AN$2))/INDEX(終値!$E:$CZ,MATCH(TEXT(C146,"0"),終値!$A:$A,0),$AN$2)*100,""))</f>
        <v>0.45662100456621002</v>
      </c>
      <c r="AJ146" s="373">
        <f t="array" ref="AJ146">IFERROR((終値!$E$5-INDEX(終値!$E$5:$CZ$5,1,$AN$2))/INDEX(終値!$E$5:$CZ$5,1,$AN$2)*100,"")</f>
        <v>-0.82558151178043282</v>
      </c>
      <c r="AK146" s="374">
        <f t="shared" si="60"/>
        <v>1.2822025163466428</v>
      </c>
      <c r="AL146" s="372">
        <f t="shared" si="61"/>
        <v>-1</v>
      </c>
      <c r="AO146" s="376" t="str">
        <f t="shared" si="62"/>
        <v>通常</v>
      </c>
      <c r="AP146" s="377">
        <f t="shared" si="63"/>
        <v>0</v>
      </c>
      <c r="AQ146">
        <f>IF(C146&lt;&gt;"",始値!F111,"")</f>
        <v>835</v>
      </c>
      <c r="AR146">
        <f>IF(C146&lt;&gt;"",高値!F111,"")</f>
        <v>856</v>
      </c>
      <c r="AS146">
        <f>IF(C146&lt;&gt;"",安値!F111,"")</f>
        <v>818</v>
      </c>
      <c r="AT146" t="str">
        <f t="shared" si="64"/>
        <v>通常</v>
      </c>
      <c r="AU146">
        <f t="shared" si="65"/>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5561</v>
      </c>
      <c r="F147" s="326">
        <f>IF(C147&lt;&gt;"",_xll.RssMarket(C147,"始値"),"")</f>
        <v>5355</v>
      </c>
      <c r="G147" s="325">
        <f>IF(C147&lt;&gt;"",終値!F117,"")</f>
        <v>5304</v>
      </c>
      <c r="H147" s="326">
        <f>IF(C147&lt;&gt;"",_xll.RssMarket(C147,"高値"),"")</f>
        <v>5602</v>
      </c>
      <c r="I147" s="326">
        <f>IF(C147&lt;&gt;"",_xll.RssMarket(C147,"安値"),"")</f>
        <v>5291</v>
      </c>
      <c r="J147" s="326">
        <f>IF(C147&lt;&gt;"",_xll.RssMarket(C147,"出来高"),"")</f>
        <v>699800</v>
      </c>
      <c r="K147" s="326">
        <f>IF(C147&lt;&gt;"",_xll.RssMarket(C147,"年初来高値"),"")</f>
        <v>9317</v>
      </c>
      <c r="L147" s="327">
        <f t="shared" si="44"/>
        <v>-40.313405602661803</v>
      </c>
      <c r="M147" s="326">
        <f>IF(C147&lt;&gt;"",IFERROR(AVERAGE(出来高!E117:I117),""),"")</f>
        <v>1032060</v>
      </c>
      <c r="N147" s="326">
        <f>IF(C147&lt;&gt;"",IFERROR(AVERAGE(出来高!E117:AC117),""),"")</f>
        <v>1092632</v>
      </c>
      <c r="O147" s="328">
        <f t="shared" si="45"/>
        <v>0.67806135302211112</v>
      </c>
      <c r="P147" s="325" t="str">
        <f t="shared" si="46"/>
        <v>減少↓</v>
      </c>
      <c r="Q147" s="325" t="str">
        <f t="shared" si="47"/>
        <v>様子見▲</v>
      </c>
      <c r="R147" s="326">
        <f t="shared" si="48"/>
        <v>5116</v>
      </c>
      <c r="S147" s="326">
        <f t="shared" si="49"/>
        <v>5783</v>
      </c>
      <c r="T147" s="325">
        <f t="shared" si="50"/>
        <v>5</v>
      </c>
      <c r="U147" s="325" t="str">
        <f t="shared" si="51"/>
        <v>要確認</v>
      </c>
      <c r="V147" s="325" t="str">
        <f t="shared" si="52"/>
        <v>年初来安値圏●</v>
      </c>
      <c r="W147" s="329">
        <f t="array" ref="W147">IFERROR(100-100/(1+SUMPRODUCT((終値!F117:R117&gt;終値!G117:S117)*(終値!F117:R117-終値!G117:S117))/SUMPRODUCT((終値!F117:R117&lt;終値!G117:S117)*(終値!G117:S117-終値!F117:R117))),50)</f>
        <v>37.097598364844146</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-29.937786330942799</v>
      </c>
      <c r="Y147" s="325" t="str">
        <f t="shared" si="53"/>
        <v>相場上昇・見送り | 上昇トレンド▲ MACD- RSI:37.1 前日比:+4.8% [年初来安値圏] [5点]</v>
      </c>
      <c r="Z147" s="331">
        <f t="shared" si="54"/>
        <v>4.8453996983408754</v>
      </c>
      <c r="AA147" s="325" t="str">
        <f t="shared" si="55"/>
        <v>上昇▲</v>
      </c>
      <c r="AB147" s="326">
        <f>IF(OR(C147="",C147="TOPX",終値!E117=""),"",IFERROR(((終値!E117*0.333)+(終値!F117*0.222)+(終値!G117*0.148)+(終値!H117*0.099)+(終値!I117*0.066))/(0.333+0.222+0.148+0.099+0.066),""))</f>
        <v>5383.7327188940098</v>
      </c>
      <c r="AC147" s="326">
        <f>IF(OR(C147="",C147="TOPX",終値!E117=""),"",IFERROR(SUMPRODUCT((終値!E117:AC117),{0.077,0.071,0.065,0.06,0.055,0.051,0.047,0.043,0.039,0.036,0.033,0.031,0.028,0.026,0.024,0.022,0.02,0.018,0.017,0.016,0.014,0.013,0.012,0.011,0.01})/SUM({0.077,0.071,0.065,0.06,0.055,0.051,0.047,0.043,0.039,0.036,0.033,0.031,0.028,0.026,0.024,0.022,0.02,0.018,0.017,0.016,0.014,0.013,0.012,0.011,0.01}),""))</f>
        <v>5488.3980929678173</v>
      </c>
      <c r="AD147" s="325" t="str">
        <f t="shared" si="56"/>
        <v>上昇トレンド▲</v>
      </c>
      <c r="AE147" s="325" t="str">
        <f t="shared" si="57"/>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 t="shared" si="58"/>
        <v>0</v>
      </c>
      <c r="AH147">
        <f t="shared" si="59"/>
        <v>0</v>
      </c>
      <c r="AI147" s="373">
        <f t="array" ref="AI147">IF(C147="","",IFERROR((INDEX(終値!$E:$E,MATCH(TEXT(C147,"0"),終値!$A:$A,0))-INDEX(終値!$E:$CZ,MATCH(TEXT(C147,"0"),終値!$A:$A,0),$AN$2))/INDEX(終値!$E:$CZ,MATCH(TEXT(C147,"0"),終値!$A:$A,0),$AN$2)*100,""))</f>
        <v>6.0623896409652742</v>
      </c>
      <c r="AJ147" s="373">
        <f t="array" ref="AJ147">IFERROR((終値!$E$5-INDEX(終値!$E$5:$CZ$5,1,$AN$2))/INDEX(終値!$E$5:$CZ$5,1,$AN$2)*100,"")</f>
        <v>-0.82558151178043282</v>
      </c>
      <c r="AK147" s="374">
        <f t="shared" si="60"/>
        <v>6.887971152745707</v>
      </c>
      <c r="AL147" s="372">
        <f t="shared" si="61"/>
        <v>-2</v>
      </c>
      <c r="AO147" s="376" t="str">
        <f t="shared" si="62"/>
        <v>通常</v>
      </c>
      <c r="AP147" s="377">
        <f t="shared" si="63"/>
        <v>0</v>
      </c>
      <c r="AQ147">
        <f>IF(C147&lt;&gt;"",始値!F117,"")</f>
        <v>5400</v>
      </c>
      <c r="AR147">
        <f>IF(C147&lt;&gt;"",高値!F117,"")</f>
        <v>5444</v>
      </c>
      <c r="AS147">
        <f>IF(C147&lt;&gt;"",安値!F117,"")</f>
        <v>5192</v>
      </c>
      <c r="AT147" t="str">
        <f t="shared" si="64"/>
        <v>通常</v>
      </c>
      <c r="AU147">
        <f t="shared" si="65"/>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3130</v>
      </c>
      <c r="F148" s="333">
        <f>IF(C148&lt;&gt;"",_xll.RssMarket(C148,"始値"),"")</f>
        <v>2980</v>
      </c>
      <c r="G148" s="212">
        <f>IF(C148&lt;&gt;"",終値!F121,"")</f>
        <v>2952</v>
      </c>
      <c r="H148" s="333">
        <f>IF(C148&lt;&gt;"",_xll.RssMarket(C148,"高値"),"")</f>
        <v>3130</v>
      </c>
      <c r="I148" s="333">
        <f>IF(C148&lt;&gt;"",_xll.RssMarket(C148,"安値"),"")</f>
        <v>2972</v>
      </c>
      <c r="J148" s="333">
        <f>IF(C148&lt;&gt;"",_xll.RssMarket(C148,"出来高"),"")</f>
        <v>130400</v>
      </c>
      <c r="K148" s="333">
        <f>IF(C148&lt;&gt;"",_xll.RssMarket(C148,"年初来高値"),"")</f>
        <v>4155</v>
      </c>
      <c r="L148" s="334">
        <f t="shared" si="44"/>
        <v>-24.669073405535499</v>
      </c>
      <c r="M148" s="333">
        <f>IF(C148&lt;&gt;"",IFERROR(AVERAGE(出来高!E121:I121),""),"")</f>
        <v>319420</v>
      </c>
      <c r="N148" s="333">
        <f>IF(C148&lt;&gt;"",IFERROR(AVERAGE(出来高!E121:AC121),""),"")</f>
        <v>344875</v>
      </c>
      <c r="O148" s="335">
        <f t="shared" si="45"/>
        <v>0.40823993488197358</v>
      </c>
      <c r="P148" s="212" t="str">
        <f t="shared" si="46"/>
        <v>減少↓</v>
      </c>
      <c r="Q148" s="212" t="str">
        <f t="shared" si="47"/>
        <v>様子見▲</v>
      </c>
      <c r="R148" s="333">
        <f t="shared" si="48"/>
        <v>2880</v>
      </c>
      <c r="S148" s="333">
        <f t="shared" si="49"/>
        <v>3255</v>
      </c>
      <c r="T148" s="325">
        <f t="shared" si="50"/>
        <v>8</v>
      </c>
      <c r="U148" s="212" t="str">
        <f t="shared" si="51"/>
        <v>要確認</v>
      </c>
      <c r="V148" s="212" t="str">
        <f t="shared" si="52"/>
        <v>安値圏</v>
      </c>
      <c r="W148" s="336">
        <f t="array" ref="W148">IFERROR(100-100/(1+SUMPRODUCT((終値!F121:R121&gt;終値!G121:S121)*(終値!F121:R121-終値!G121:S121))/SUMPRODUCT((終値!F121:R121&lt;終値!G121:S121)*(終値!G121:S121-終値!F121:R121))),50)</f>
        <v>45.534050179211469</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-102.04879218592623</v>
      </c>
      <c r="Y148" s="212" t="str">
        <f t="shared" si="53"/>
        <v>相場上昇・見送り | 上昇トレンド▲ MACD- RSI:45.5 前日比:+6.0% [安値圏] [8点]</v>
      </c>
      <c r="Z148" s="338">
        <f t="shared" si="54"/>
        <v>6.0298102981029809</v>
      </c>
      <c r="AA148" s="212" t="str">
        <f t="shared" si="55"/>
        <v>上昇▲</v>
      </c>
      <c r="AB148" s="333">
        <f>IF(OR(C148="",C148="TOPX",終値!E121=""),"",IFERROR(((終値!E121*0.333)+(終値!F121*0.222)+(終値!G121*0.148)+(終値!H121*0.099)+(終値!I121*0.066))/(0.333+0.222+0.148+0.099+0.066),""))</f>
        <v>2970.4481566820273</v>
      </c>
      <c r="AC148" s="333">
        <f>IF(OR(C148="",C148="TOPX",終値!E121=""),"",IFERROR(SUMPRODUCT((終値!E121:AC121),{0.077,0.071,0.065,0.06,0.055,0.051,0.047,0.043,0.039,0.036,0.033,0.031,0.028,0.026,0.024,0.022,0.02,0.018,0.017,0.016,0.014,0.013,0.012,0.011,0.01})/SUM({0.077,0.071,0.065,0.06,0.055,0.051,0.047,0.043,0.039,0.036,0.033,0.031,0.028,0.026,0.024,0.022,0.02,0.018,0.017,0.016,0.014,0.013,0.012,0.011,0.01}),""))</f>
        <v>3028.321811680571</v>
      </c>
      <c r="AD148" s="212" t="str">
        <f t="shared" si="56"/>
        <v>上昇トレンド▲</v>
      </c>
      <c r="AE148" s="212" t="str">
        <f t="shared" si="57"/>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 t="shared" si="58"/>
        <v>8</v>
      </c>
      <c r="AH148">
        <f t="shared" si="59"/>
        <v>79852</v>
      </c>
      <c r="AI148" s="373">
        <f t="array" ref="AI148">IF(C148="","",IFERROR((INDEX(終値!$E:$E,MATCH(TEXT(C148,"0"),終値!$A:$A,0))-INDEX(終値!$E:$CZ,MATCH(TEXT(C148,"0"),終値!$A:$A,0),$AN$2))/INDEX(終値!$E:$CZ,MATCH(TEXT(C148,"0"),終値!$A:$A,0),$AN$2)*100,""))</f>
        <v>-10.375939849624061</v>
      </c>
      <c r="AJ148" s="373">
        <f t="array" ref="AJ148">IFERROR((終値!$E$5-INDEX(終値!$E$5:$CZ$5,1,$AN$2))/INDEX(終値!$E$5:$CZ$5,1,$AN$2)*100,"")</f>
        <v>-0.82558151178043282</v>
      </c>
      <c r="AK148" s="374">
        <f t="shared" si="60"/>
        <v>-9.5503583378436279</v>
      </c>
      <c r="AL148" s="372">
        <f t="shared" si="61"/>
        <v>3</v>
      </c>
      <c r="AO148" s="376" t="str">
        <f t="shared" si="62"/>
        <v>通常</v>
      </c>
      <c r="AP148" s="377">
        <f t="shared" si="63"/>
        <v>0</v>
      </c>
      <c r="AQ148">
        <f>IF(C148&lt;&gt;"",始値!F121,"")</f>
        <v>3015</v>
      </c>
      <c r="AR148">
        <f>IF(C148&lt;&gt;"",高値!F121,"")</f>
        <v>3015</v>
      </c>
      <c r="AS148">
        <f>IF(C148&lt;&gt;"",安値!F121,"")</f>
        <v>2910</v>
      </c>
      <c r="AT148" t="str">
        <f t="shared" si="64"/>
        <v>通常</v>
      </c>
      <c r="AU148">
        <f t="shared" si="65"/>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2434</v>
      </c>
      <c r="F149" s="326">
        <f>IF(C149&lt;&gt;"",_xll.RssMarket(C149,"始値"),"")</f>
        <v>2425</v>
      </c>
      <c r="G149" s="325">
        <f>IF(C149&lt;&gt;"",終値!F125,"")</f>
        <v>2435</v>
      </c>
      <c r="H149" s="326">
        <f>IF(C149&lt;&gt;"",_xll.RssMarket(C149,"高値"),"")</f>
        <v>2435</v>
      </c>
      <c r="I149" s="326">
        <f>IF(C149&lt;&gt;"",_xll.RssMarket(C149,"安値"),"")</f>
        <v>2414</v>
      </c>
      <c r="J149" s="326">
        <f>IF(C149&lt;&gt;"",_xll.RssMarket(C149,"出来高"),"")</f>
        <v>42500</v>
      </c>
      <c r="K149" s="326">
        <f>IF(C149&lt;&gt;"",_xll.RssMarket(C149,"年初来高値"),"")</f>
        <v>2885</v>
      </c>
      <c r="L149" s="327">
        <f t="shared" si="44"/>
        <v>-15.632582322357019</v>
      </c>
      <c r="M149" s="326">
        <f>IF(C149&lt;&gt;"",IFERROR(AVERAGE(出来高!E125:I125),""),"")</f>
        <v>128200</v>
      </c>
      <c r="N149" s="326">
        <f>IF(C149&lt;&gt;"",IFERROR(AVERAGE(出来高!E125:AC125),""),"")</f>
        <v>116440</v>
      </c>
      <c r="O149" s="328">
        <f t="shared" si="45"/>
        <v>0.33151326053042124</v>
      </c>
      <c r="P149" s="325" t="str">
        <f t="shared" si="46"/>
        <v>減少↓</v>
      </c>
      <c r="Q149" s="325" t="str">
        <f t="shared" si="47"/>
        <v>中立→</v>
      </c>
      <c r="R149" s="326">
        <f t="shared" si="48"/>
        <v>2239</v>
      </c>
      <c r="S149" s="326">
        <f t="shared" si="49"/>
        <v>2531</v>
      </c>
      <c r="T149" s="325">
        <f t="shared" si="50"/>
        <v>6</v>
      </c>
      <c r="U149" s="325" t="str">
        <f t="shared" si="51"/>
        <v>要確認</v>
      </c>
      <c r="V149" s="325" t="str">
        <f t="shared" si="52"/>
        <v>通常</v>
      </c>
      <c r="W149" s="329">
        <f t="array" ref="W149">IFERROR(100-100/(1+SUMPRODUCT((終値!F125:R125&gt;終値!G125:S125)*(終値!F125:R125-終値!G125:S125))/SUMPRODUCT((終値!F125:R125&lt;終値!G125:S125)*(終値!G125:S125-終値!F125:R125))),50)</f>
        <v>46.351931330472098</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0.13912847925757887</v>
      </c>
      <c r="Y149" s="325" t="str">
        <f t="shared" si="53"/>
        <v>相場上昇・見送り | 下降トレンド▼ MACD+ RSI:46.4 前日比:-0.0% [長い下ヒゲ(反発警戒)]前日[大陰線▼] [6点]</v>
      </c>
      <c r="Z149" s="331">
        <f t="shared" si="54"/>
        <v>-4.1067761806981518E-2</v>
      </c>
      <c r="AA149" s="325" t="str">
        <f t="shared" si="55"/>
        <v>下落▼</v>
      </c>
      <c r="AB149" s="326">
        <f>IF(OR(C149="",C149="TOPX",終値!E125=""),"",IFERROR(((終値!E125*0.333)+(終値!F125*0.222)+(終値!G125*0.148)+(終値!H125*0.099)+(終値!I125*0.066))/(0.333+0.222+0.148+0.099+0.066),""))</f>
        <v>2462.1912442396306</v>
      </c>
      <c r="AC149" s="326">
        <f>IF(OR(C149="",C149="TOPX",終値!E125=""),"",IFERROR(SUMPRODUCT((終値!E125:AC125),{0.077,0.071,0.065,0.06,0.055,0.051,0.047,0.043,0.039,0.036,0.033,0.031,0.028,0.026,0.024,0.022,0.02,0.018,0.017,0.016,0.014,0.013,0.012,0.011,0.01})/SUM({0.077,0.071,0.065,0.06,0.055,0.051,0.047,0.043,0.039,0.036,0.033,0.031,0.028,0.026,0.024,0.022,0.02,0.018,0.017,0.016,0.014,0.013,0.012,0.011,0.01}),""))</f>
        <v>2501.5876042908226</v>
      </c>
      <c r="AD149" s="325" t="str">
        <f t="shared" si="56"/>
        <v>下降トレンド▼</v>
      </c>
      <c r="AE149" s="325" t="str">
        <f t="shared" si="57"/>
        <v>なし</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相場上昇・見送り</v>
      </c>
      <c r="AG149">
        <f t="shared" si="58"/>
        <v>0</v>
      </c>
      <c r="AH149">
        <f t="shared" si="59"/>
        <v>0</v>
      </c>
      <c r="AI149" s="373">
        <f t="array" ref="AI149">IF(C149="","",IFERROR((INDEX(終値!$E:$E,MATCH(TEXT(C149,"0"),終値!$A:$A,0))-INDEX(終値!$E:$CZ,MATCH(TEXT(C149,"0"),終値!$A:$A,0),$AN$2))/INDEX(終値!$E:$CZ,MATCH(TEXT(C149,"0"),終値!$A:$A,0),$AN$2)*100,""))</f>
        <v>-1.6319869441044472</v>
      </c>
      <c r="AJ149" s="373">
        <f t="array" ref="AJ149">IFERROR((終値!$E$5-INDEX(終値!$E$5:$CZ$5,1,$AN$2))/INDEX(終値!$E$5:$CZ$5,1,$AN$2)*100,"")</f>
        <v>-0.82558151178043282</v>
      </c>
      <c r="AK149" s="374">
        <f t="shared" si="60"/>
        <v>-0.8064054323240144</v>
      </c>
      <c r="AL149" s="372">
        <f t="shared" si="61"/>
        <v>1</v>
      </c>
      <c r="AO149" s="376" t="str">
        <f t="shared" si="62"/>
        <v>長い下ヒゲ(反発警戒)</v>
      </c>
      <c r="AP149" s="377">
        <f t="shared" si="63"/>
        <v>-2</v>
      </c>
      <c r="AQ149">
        <f>IF(C149&lt;&gt;"",始値!F125,"")</f>
        <v>2500</v>
      </c>
      <c r="AR149">
        <f>IF(C149&lt;&gt;"",高値!F125,"")</f>
        <v>2500</v>
      </c>
      <c r="AS149">
        <f>IF(C149&lt;&gt;"",安値!F125,"")</f>
        <v>2431</v>
      </c>
      <c r="AT149" t="str">
        <f t="shared" si="64"/>
        <v>大陰線▼</v>
      </c>
      <c r="AU149">
        <f t="shared" si="65"/>
        <v>2</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77</v>
      </c>
      <c r="F150" s="333">
        <f>IF(C150&lt;&gt;"",_xll.RssMarket(C150,"始値"),"")</f>
        <v>78</v>
      </c>
      <c r="G150" s="212">
        <f>IF(C150&lt;&gt;"",終値!F137,"")</f>
        <v>70</v>
      </c>
      <c r="H150" s="333">
        <f>IF(C150&lt;&gt;"",_xll.RssMarket(C150,"高値"),"")</f>
        <v>81</v>
      </c>
      <c r="I150" s="333">
        <f>IF(C150&lt;&gt;"",_xll.RssMarket(C150,"安値"),"")</f>
        <v>74</v>
      </c>
      <c r="J150" s="333">
        <f>IF(C150&lt;&gt;"",_xll.RssMarket(C150,"出来高"),"")</f>
        <v>1831800</v>
      </c>
      <c r="K150" s="333">
        <f>IF(C150&lt;&gt;"",_xll.RssMarket(C150,"年初来高値"),"")</f>
        <v>720</v>
      </c>
      <c r="L150" s="334">
        <f t="shared" si="44"/>
        <v>-89.305555555555557</v>
      </c>
      <c r="M150" s="333">
        <f>IF(C150&lt;&gt;"",IFERROR(AVERAGE(出来高!E137:I137),""),"")</f>
        <v>5110600</v>
      </c>
      <c r="N150" s="333">
        <f>IF(C150&lt;&gt;"",IFERROR(AVERAGE(出来高!E137:AC137),""),"")</f>
        <v>3894108.3333333335</v>
      </c>
      <c r="O150" s="335">
        <f t="shared" si="45"/>
        <v>0.35843149532344537</v>
      </c>
      <c r="P150" s="212" t="str">
        <f t="shared" si="46"/>
        <v>減少↓</v>
      </c>
      <c r="Q150" s="212" t="str">
        <f t="shared" si="47"/>
        <v>様子見▲</v>
      </c>
      <c r="R150" s="333">
        <f t="shared" si="48"/>
        <v>71</v>
      </c>
      <c r="S150" s="333">
        <f t="shared" si="49"/>
        <v>80</v>
      </c>
      <c r="T150" s="325">
        <f t="shared" si="50"/>
        <v>15</v>
      </c>
      <c r="U150" s="212" t="str">
        <f t="shared" si="51"/>
        <v>要確認</v>
      </c>
      <c r="V150" s="212" t="str">
        <f t="shared" si="52"/>
        <v>年初来安値圏●</v>
      </c>
      <c r="W150" s="336">
        <f t="array" ref="W150">IFERROR(100-100/(1+SUMPRODUCT((終値!F137:R137&gt;終値!G137:S137)*(終値!F137:R137-終値!G137:S137))/SUMPRODUCT((終値!F137:R137&lt;終値!G137:S137)*(終値!G137:S137-終値!F137:R137))),50)</f>
        <v>34.06326034063261</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-22.519085412694665</v>
      </c>
      <c r="Y150" s="212" t="str">
        <f t="shared" si="53"/>
        <v>相場上昇・見送り | 下降トレンド▼ MACD- RSI:34.1 前日比:+10.0% [年初来安値圏]前日[大陰線▼] [15点]</v>
      </c>
      <c r="Z150" s="338">
        <f t="shared" si="54"/>
        <v>10</v>
      </c>
      <c r="AA150" s="212" t="str">
        <f t="shared" si="55"/>
        <v>上昇▲</v>
      </c>
      <c r="AB150" s="333">
        <f>IF(OR(C150="",C150="TOPX",終値!E137=""),"",IFERROR(((終値!E137*0.333)+(終値!F137*0.222)+(終値!G137*0.148)+(終値!H137*0.099)+(終値!I137*0.066))/(0.333+0.222+0.148+0.099+0.066),""))</f>
        <v>79.176267281105993</v>
      </c>
      <c r="AC150" s="333">
        <f>IF(OR(C150="",C150="TOPX",終値!E137=""),"",IFERROR(SUMPRODUCT((終値!E137:AC137),{0.077,0.071,0.065,0.06,0.055,0.051,0.047,0.043,0.039,0.036,0.033,0.031,0.028,0.026,0.024,0.022,0.02,0.018,0.017,0.016,0.014,0.013,0.012,0.011,0.01})/SUM({0.077,0.071,0.065,0.06,0.055,0.051,0.047,0.043,0.039,0.036,0.033,0.031,0.028,0.026,0.024,0.022,0.02,0.018,0.017,0.016,0.014,0.013,0.012,0.011,0.01}),""))</f>
        <v>130.35399284862928</v>
      </c>
      <c r="AD150" s="212" t="str">
        <f t="shared" si="56"/>
        <v>下降トレンド▼</v>
      </c>
      <c r="AE150" s="212" t="str">
        <f t="shared" si="57"/>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 t="shared" si="58"/>
        <v>15</v>
      </c>
      <c r="AH150">
        <f t="shared" si="59"/>
        <v>149850</v>
      </c>
      <c r="AI150" s="373">
        <f t="array" ref="AI150">IF(C150="","",IFERROR((INDEX(終値!$E:$E,MATCH(TEXT(C150,"0"),終値!$A:$A,0))-INDEX(終値!$E:$CZ,MATCH(TEXT(C150,"0"),終値!$A:$A,0),$AN$2))/INDEX(終値!$E:$CZ,MATCH(TEXT(C150,"0"),終値!$A:$A,0),$AN$2)*100,""))</f>
        <v>-72.101449275362313</v>
      </c>
      <c r="AJ150" s="373">
        <f t="array" ref="AJ150">IFERROR((終値!$E$5-INDEX(終値!$E$5:$CZ$5,1,$AN$2))/INDEX(終値!$E$5:$CZ$5,1,$AN$2)*100,"")</f>
        <v>-0.82558151178043282</v>
      </c>
      <c r="AK150" s="374">
        <f t="shared" si="60"/>
        <v>-71.275867763581886</v>
      </c>
      <c r="AL150" s="372">
        <f t="shared" si="61"/>
        <v>3</v>
      </c>
      <c r="AO150" s="376" t="str">
        <f t="shared" si="62"/>
        <v>通常</v>
      </c>
      <c r="AP150" s="377">
        <f t="shared" si="63"/>
        <v>0</v>
      </c>
      <c r="AQ150">
        <f>IF(C150&lt;&gt;"",始値!F137,"")</f>
        <v>86</v>
      </c>
      <c r="AR150">
        <f>IF(C150&lt;&gt;"",高値!F137,"")</f>
        <v>87</v>
      </c>
      <c r="AS150">
        <f>IF(C150&lt;&gt;"",安値!F137,"")</f>
        <v>68</v>
      </c>
      <c r="AT150" t="str">
        <f t="shared" si="64"/>
        <v>大陰線▼</v>
      </c>
      <c r="AU150">
        <f t="shared" si="65"/>
        <v>2</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4500</v>
      </c>
      <c r="F151" s="326">
        <f>IF(C151&lt;&gt;"",_xll.RssMarket(C151,"始値"),"")</f>
        <v>4589</v>
      </c>
      <c r="G151" s="325">
        <f>IF(C151&lt;&gt;"",終値!F150,"")</f>
        <v>4688</v>
      </c>
      <c r="H151" s="326">
        <f>IF(C151&lt;&gt;"",_xll.RssMarket(C151,"高値"),"")</f>
        <v>4660</v>
      </c>
      <c r="I151" s="326">
        <f>IF(C151&lt;&gt;"",_xll.RssMarket(C151,"安値"),"")</f>
        <v>4486</v>
      </c>
      <c r="J151" s="326">
        <f>IF(C151&lt;&gt;"",_xll.RssMarket(C151,"出来高"),"")</f>
        <v>2812000</v>
      </c>
      <c r="K151" s="326">
        <f>IF(C151&lt;&gt;"",_xll.RssMarket(C151,"年初来高値"),"")</f>
        <v>6300</v>
      </c>
      <c r="L151" s="327">
        <f t="shared" si="44"/>
        <v>-28.571428571428569</v>
      </c>
      <c r="M151" s="326">
        <f>IF(C151&lt;&gt;"",IFERROR(AVERAGE(出来高!E150:I150),""),"")</f>
        <v>4810700</v>
      </c>
      <c r="N151" s="326">
        <f>IF(C151&lt;&gt;"",IFERROR(AVERAGE(出来高!E150:AC150),""),"")</f>
        <v>2988072</v>
      </c>
      <c r="O151" s="328">
        <f t="shared" si="45"/>
        <v>0.58453031783316356</v>
      </c>
      <c r="P151" s="325" t="str">
        <f t="shared" si="46"/>
        <v>減少↓</v>
      </c>
      <c r="Q151" s="325" t="str">
        <f t="shared" si="47"/>
        <v>中立→</v>
      </c>
      <c r="R151" s="326">
        <f t="shared" si="48"/>
        <v>4140</v>
      </c>
      <c r="S151" s="326">
        <f t="shared" si="49"/>
        <v>4680</v>
      </c>
      <c r="T151" s="325">
        <f t="shared" si="50"/>
        <v>4</v>
      </c>
      <c r="U151" s="325" t="str">
        <f t="shared" si="51"/>
        <v>要確認</v>
      </c>
      <c r="V151" s="325" t="str">
        <f t="shared" si="52"/>
        <v>安値圏</v>
      </c>
      <c r="W151" s="329">
        <f t="array" ref="W151">IFERROR(100-100/(1+SUMPRODUCT((終値!F150:R150&gt;終値!G150:S150)*(終値!F150:R150-終値!G150:S150))/SUMPRODUCT((終値!F150:R150&lt;終値!G150:S150)*(終値!G150:S150-終値!F150:R150))),50)</f>
        <v>41.646720919100048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2.618602207463482</v>
      </c>
      <c r="Y151" s="325" t="str">
        <f t="shared" si="53"/>
        <v>相場上昇・見送り | 下降トレンド▼ MACD+ RSI:41.6 前日比:-4.0% [安値圏]前日[長い下ヒゲ(反発)] [4点]</v>
      </c>
      <c r="Z151" s="331">
        <f t="shared" si="54"/>
        <v>-4.0102389078498293</v>
      </c>
      <c r="AA151" s="325" t="str">
        <f t="shared" si="55"/>
        <v>下落▼</v>
      </c>
      <c r="AB151" s="326">
        <f>IF(OR(C151="",C151="TOPX",終値!E150=""),"",IFERROR(((終値!E150*0.333)+(終値!F150*0.222)+(終値!G150*0.148)+(終値!H150*0.099)+(終値!I150*0.066))/(0.333+0.222+0.148+0.099+0.066),""))</f>
        <v>4826.747695852534</v>
      </c>
      <c r="AC151" s="326">
        <f>IF(OR(C151="",C151="TOPX",終値!E150=""),"",IFERROR(SUMPRODUCT((終値!E150:AC150),{0.077,0.071,0.065,0.06,0.055,0.051,0.047,0.043,0.039,0.036,0.033,0.031,0.028,0.026,0.024,0.022,0.02,0.018,0.017,0.016,0.014,0.013,0.012,0.011,0.01})/SUM({0.077,0.071,0.065,0.06,0.055,0.051,0.047,0.043,0.039,0.036,0.033,0.031,0.028,0.026,0.024,0.022,0.02,0.018,0.017,0.016,0.014,0.013,0.012,0.011,0.01}),""))</f>
        <v>5005.3873659117971</v>
      </c>
      <c r="AD151" s="325" t="str">
        <f t="shared" si="56"/>
        <v>下降トレンド▼</v>
      </c>
      <c r="AE151" s="325" t="str">
        <f t="shared" si="57"/>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 t="shared" si="58"/>
        <v>0</v>
      </c>
      <c r="AH151">
        <f t="shared" si="59"/>
        <v>0</v>
      </c>
      <c r="AI151" s="373">
        <f t="array" ref="AI151">IF(C151="","",IFERROR((INDEX(終値!$E:$E,MATCH(TEXT(C151,"0"),終値!$A:$A,0))-INDEX(終値!$E:$CZ,MATCH(TEXT(C151,"0"),終値!$A:$A,0),$AN$2))/INDEX(終値!$E:$CZ,MATCH(TEXT(C151,"0"),終値!$A:$A,0),$AN$2)*100,""))</f>
        <v>-6.4794816414686832E-2</v>
      </c>
      <c r="AJ151" s="373">
        <f t="array" ref="AJ151">IFERROR((終値!$E$5-INDEX(終値!$E$5:$CZ$5,1,$AN$2))/INDEX(終値!$E$5:$CZ$5,1,$AN$2)*100,"")</f>
        <v>-0.82558151178043282</v>
      </c>
      <c r="AK151" s="374">
        <f t="shared" si="60"/>
        <v>0.76078669536574595</v>
      </c>
      <c r="AL151" s="372">
        <f t="shared" si="61"/>
        <v>-1</v>
      </c>
      <c r="AO151" s="376" t="str">
        <f t="shared" si="62"/>
        <v>通常</v>
      </c>
      <c r="AP151" s="377">
        <f t="shared" si="63"/>
        <v>0</v>
      </c>
      <c r="AQ151">
        <f>IF(C151&lt;&gt;"",始値!F150,"")</f>
        <v>4743</v>
      </c>
      <c r="AR151">
        <f>IF(C151&lt;&gt;"",高値!F150,"")</f>
        <v>4750</v>
      </c>
      <c r="AS151">
        <f>IF(C151&lt;&gt;"",安値!F150,"")</f>
        <v>4583</v>
      </c>
      <c r="AT151" t="str">
        <f t="shared" si="64"/>
        <v>長い下ヒゲ(反発)</v>
      </c>
      <c r="AU151">
        <f t="shared" si="65"/>
        <v>-2</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5948</v>
      </c>
      <c r="F152" s="333">
        <f>IF(C152&lt;&gt;"",_xll.RssMarket(C152,"始値"),"")</f>
        <v>5800</v>
      </c>
      <c r="G152" s="212">
        <f>IF(C152&lt;&gt;"",終値!F157,"")</f>
        <v>5656</v>
      </c>
      <c r="H152" s="333">
        <f>IF(C152&lt;&gt;"",_xll.RssMarket(C152,"高値"),"")</f>
        <v>5948</v>
      </c>
      <c r="I152" s="333">
        <f>IF(C152&lt;&gt;"",_xll.RssMarket(C152,"安値"),"")</f>
        <v>5800</v>
      </c>
      <c r="J152" s="333">
        <f>IF(C152&lt;&gt;"",_xll.RssMarket(C152,"出来高"),"")</f>
        <v>214000</v>
      </c>
      <c r="K152" s="333">
        <f>IF(C152&lt;&gt;"",_xll.RssMarket(C152,"年初来高値"),"")</f>
        <v>6509</v>
      </c>
      <c r="L152" s="334">
        <f t="shared" si="44"/>
        <v>-8.6188354585957896</v>
      </c>
      <c r="M152" s="333">
        <f>IF(C152&lt;&gt;"",IFERROR(AVERAGE(出来高!E157:I157),""),"")</f>
        <v>750860</v>
      </c>
      <c r="N152" s="333">
        <f>IF(C152&lt;&gt;"",IFERROR(AVERAGE(出来高!E157:AC157),""),"")</f>
        <v>551144</v>
      </c>
      <c r="O152" s="335">
        <f t="shared" si="45"/>
        <v>0.28500652585035824</v>
      </c>
      <c r="P152" s="212" t="str">
        <f t="shared" si="46"/>
        <v>減少↓</v>
      </c>
      <c r="Q152" s="212" t="str">
        <f t="shared" si="47"/>
        <v>様子見▲</v>
      </c>
      <c r="R152" s="333">
        <f t="shared" si="48"/>
        <v>5472</v>
      </c>
      <c r="S152" s="333">
        <f t="shared" si="49"/>
        <v>6186</v>
      </c>
      <c r="T152" s="325">
        <f t="shared" si="50"/>
        <v>1</v>
      </c>
      <c r="U152" s="212" t="str">
        <f t="shared" si="51"/>
        <v>除外</v>
      </c>
      <c r="V152" s="212" t="str">
        <f t="shared" si="52"/>
        <v>通常</v>
      </c>
      <c r="W152" s="336">
        <f t="array" ref="W152">IFERROR(100-100/(1+SUMPRODUCT((終値!F157:R157&gt;終値!G157:S157)*(終値!F157:R157-終値!G157:S157))/SUMPRODUCT((終値!F157:R157&lt;終値!G157:S157)*(終値!G157:S157-終値!F157:R157))),50)</f>
        <v>30.77669902912622</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-50.222901301151978</v>
      </c>
      <c r="Y152" s="212" t="str">
        <f t="shared" si="53"/>
        <v>相場上昇・見送り | 上昇トレンド▲ MACD- RSI:30.8 前日比:+5.2%前日[長い下ヒゲ(反発)] [1点]</v>
      </c>
      <c r="Z152" s="338">
        <f t="shared" si="54"/>
        <v>5.1626591230551622</v>
      </c>
      <c r="AA152" s="212" t="str">
        <f t="shared" si="55"/>
        <v>上昇▲</v>
      </c>
      <c r="AB152" s="333">
        <f>IF(OR(C152="",C152="TOPX",終値!E157=""),"",IFERROR(((終値!E157*0.333)+(終値!F157*0.222)+(終値!G157*0.148)+(終値!H157*0.099)+(終値!I157*0.066))/(0.333+0.222+0.148+0.099+0.066),""))</f>
        <v>5755.3859447004606</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5930.0059594755639</v>
      </c>
      <c r="AD152" s="212" t="str">
        <f t="shared" si="56"/>
        <v>上昇トレンド▲</v>
      </c>
      <c r="AE152" s="212" t="str">
        <f t="shared" si="57"/>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 t="shared" si="58"/>
        <v>0</v>
      </c>
      <c r="AH152">
        <f t="shared" si="59"/>
        <v>0</v>
      </c>
      <c r="AI152" s="373">
        <f t="array" ref="AI152">IF(C152="","",IFERROR((INDEX(終値!$E:$E,MATCH(TEXT(C152,"0"),終値!$A:$A,0))-INDEX(終値!$E:$CZ,MATCH(TEXT(C152,"0"),終値!$A:$A,0),$AN$2))/INDEX(終値!$E:$CZ,MATCH(TEXT(C152,"0"),終値!$A:$A,0),$AN$2)*100,""))</f>
        <v>-2.5493837582306265</v>
      </c>
      <c r="AJ152" s="373">
        <f t="array" ref="AJ152">IFERROR((終値!$E$5-INDEX(終値!$E$5:$CZ$5,1,$AN$2))/INDEX(終値!$E$5:$CZ$5,1,$AN$2)*100,"")</f>
        <v>-0.82558151178043282</v>
      </c>
      <c r="AK152" s="374">
        <f t="shared" si="60"/>
        <v>-1.7238022464501936</v>
      </c>
      <c r="AL152" s="372">
        <f t="shared" si="61"/>
        <v>1</v>
      </c>
      <c r="AO152" s="376" t="str">
        <f t="shared" si="62"/>
        <v>通常</v>
      </c>
      <c r="AP152" s="377">
        <f t="shared" si="63"/>
        <v>0</v>
      </c>
      <c r="AQ152">
        <f>IF(C152&lt;&gt;"",始値!F157,"")</f>
        <v>5781</v>
      </c>
      <c r="AR152">
        <f>IF(C152&lt;&gt;"",高値!F157,"")</f>
        <v>5781</v>
      </c>
      <c r="AS152">
        <f>IF(C152&lt;&gt;"",安値!F157,"")</f>
        <v>5521</v>
      </c>
      <c r="AT152" t="str">
        <f t="shared" si="64"/>
        <v>長い下ヒゲ(反発)</v>
      </c>
      <c r="AU152">
        <f t="shared" si="65"/>
        <v>-2</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2289</v>
      </c>
      <c r="F153" s="326">
        <f>IF(C153&lt;&gt;"",_xll.RssMarket(C153,"始値"),"")</f>
        <v>2312</v>
      </c>
      <c r="G153" s="325">
        <f>IF(C153&lt;&gt;"",終値!F166,"")</f>
        <v>2322</v>
      </c>
      <c r="H153" s="326">
        <f>IF(C153&lt;&gt;"",_xll.RssMarket(C153,"高値"),"")</f>
        <v>2312</v>
      </c>
      <c r="I153" s="326">
        <f>IF(C153&lt;&gt;"",_xll.RssMarket(C153,"安値"),"")</f>
        <v>2289</v>
      </c>
      <c r="J153" s="326">
        <f>IF(C153&lt;&gt;"",_xll.RssMarket(C153,"出来高"),"")</f>
        <v>7000</v>
      </c>
      <c r="K153" s="326">
        <f>IF(C153&lt;&gt;"",_xll.RssMarket(C153,"年初来高値"),"")</f>
        <v>2877</v>
      </c>
      <c r="L153" s="327">
        <f t="shared" si="44"/>
        <v>-20.437956204379564</v>
      </c>
      <c r="M153" s="326">
        <f>IF(C153&lt;&gt;"",IFERROR(AVERAGE(出来高!E166:I166),""),"")</f>
        <v>25540</v>
      </c>
      <c r="N153" s="326">
        <f>IF(C153&lt;&gt;"",IFERROR(AVERAGE(出来高!E166:AC166),""),"")</f>
        <v>28596</v>
      </c>
      <c r="O153" s="328">
        <f t="shared" si="45"/>
        <v>0.27407987470634299</v>
      </c>
      <c r="P153" s="325" t="str">
        <f t="shared" si="46"/>
        <v>減少↓</v>
      </c>
      <c r="Q153" s="325" t="str">
        <f t="shared" si="47"/>
        <v>中立→</v>
      </c>
      <c r="R153" s="326">
        <f t="shared" si="48"/>
        <v>2106</v>
      </c>
      <c r="S153" s="326">
        <f t="shared" si="49"/>
        <v>2381</v>
      </c>
      <c r="T153" s="325">
        <f t="shared" si="50"/>
        <v>12</v>
      </c>
      <c r="U153" s="325" t="str">
        <f t="shared" si="51"/>
        <v>要確認</v>
      </c>
      <c r="V153" s="325" t="str">
        <f t="shared" si="52"/>
        <v>通常</v>
      </c>
      <c r="W153" s="329">
        <f t="array" ref="W153">IFERROR(100-100/(1+SUMPRODUCT((終値!F166:R166&gt;終値!G166:S166)*(終値!F166:R166-終値!G166:S166))/SUMPRODUCT((終値!F166:R166&lt;終値!G166:S166)*(終値!G166:S166-終値!F166:R166))),50)</f>
        <v>42.168674698795179</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-6.4093671762739177</v>
      </c>
      <c r="Y153" s="325" t="str">
        <f t="shared" si="53"/>
        <v>★逆張り売り | 下降トレンド▼ 25日戻り売り★ MACD- RSI:42.2 前日比:-1.4% [大陰線▼] [12点]</v>
      </c>
      <c r="Z153" s="331">
        <f t="shared" si="54"/>
        <v>-1.421188630490956</v>
      </c>
      <c r="AA153" s="325" t="str">
        <f t="shared" si="55"/>
        <v>下落▼</v>
      </c>
      <c r="AB153" s="326">
        <f>IF(OR(C153="",C153="TOPX",終値!E166=""),"",IFERROR(((終値!E166*0.333)+(終値!F166*0.222)+(終値!G166*0.148)+(終値!H166*0.099)+(終値!I166*0.066))/(0.333+0.222+0.148+0.099+0.066),""))</f>
        <v>2316.5034562211981</v>
      </c>
      <c r="AC153" s="326">
        <f>IF(OR(C153="",C153="TOPX",終値!E166=""),"",IFERROR(SUMPRODUCT((終値!E166:AC166),{0.077,0.071,0.065,0.06,0.055,0.051,0.047,0.043,0.039,0.036,0.033,0.031,0.028,0.026,0.024,0.022,0.02,0.018,0.017,0.016,0.014,0.013,0.012,0.011,0.01})/SUM({0.077,0.071,0.065,0.06,0.055,0.051,0.047,0.043,0.039,0.036,0.033,0.031,0.028,0.026,0.024,0.022,0.02,0.018,0.017,0.016,0.014,0.013,0.012,0.011,0.01}),""))</f>
        <v>2334.0190703218109</v>
      </c>
      <c r="AD153" s="325" t="str">
        <f t="shared" si="56"/>
        <v>下降トレンド▼</v>
      </c>
      <c r="AE153" s="325" t="str">
        <f t="shared" si="57"/>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 t="shared" si="58"/>
        <v>12</v>
      </c>
      <c r="AH153">
        <f t="shared" si="59"/>
        <v>119847</v>
      </c>
      <c r="AI153" s="373">
        <f t="array" ref="AI153">IF(C153="","",IFERROR((INDEX(終値!$E:$E,MATCH(TEXT(C153,"0"),終値!$A:$A,0))-INDEX(終値!$E:$CZ,MATCH(TEXT(C153,"0"),終値!$A:$A,0),$AN$2))/INDEX(終値!$E:$CZ,MATCH(TEXT(C153,"0"),終値!$A:$A,0),$AN$2)*100,""))</f>
        <v>-1.6738197424892705</v>
      </c>
      <c r="AJ153" s="373">
        <f t="array" ref="AJ153">IFERROR((終値!$E$5-INDEX(終値!$E$5:$CZ$5,1,$AN$2))/INDEX(終値!$E$5:$CZ$5,1,$AN$2)*100,"")</f>
        <v>-0.82558151178043282</v>
      </c>
      <c r="AK153" s="374">
        <f t="shared" si="60"/>
        <v>-0.84823823070883764</v>
      </c>
      <c r="AL153" s="372">
        <f t="shared" si="61"/>
        <v>1</v>
      </c>
      <c r="AO153" s="376" t="str">
        <f t="shared" si="62"/>
        <v>大陰線▼</v>
      </c>
      <c r="AP153" s="377">
        <f t="shared" si="63"/>
        <v>2</v>
      </c>
      <c r="AQ153">
        <f>IF(C153&lt;&gt;"",始値!F166,"")</f>
        <v>2338</v>
      </c>
      <c r="AR153">
        <f>IF(C153&lt;&gt;"",高値!F166,"")</f>
        <v>2346</v>
      </c>
      <c r="AS153">
        <f>IF(C153&lt;&gt;"",安値!F166,"")</f>
        <v>2312</v>
      </c>
      <c r="AT153" t="str">
        <f t="shared" si="64"/>
        <v>通常</v>
      </c>
      <c r="AU153">
        <f t="shared" si="65"/>
        <v>0</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3657</v>
      </c>
      <c r="F154" s="333">
        <f>IF(C154&lt;&gt;"",_xll.RssMarket(C154,"始値"),"")</f>
        <v>3710</v>
      </c>
      <c r="G154" s="212">
        <f>IF(C154&lt;&gt;"",終値!F174,"")</f>
        <v>3726</v>
      </c>
      <c r="H154" s="333">
        <f>IF(C154&lt;&gt;"",_xll.RssMarket(C154,"高値"),"")</f>
        <v>3713</v>
      </c>
      <c r="I154" s="333">
        <f>IF(C154&lt;&gt;"",_xll.RssMarket(C154,"安値"),"")</f>
        <v>3617</v>
      </c>
      <c r="J154" s="333">
        <f>IF(C154&lt;&gt;"",_xll.RssMarket(C154,"出来高"),"")</f>
        <v>110600</v>
      </c>
      <c r="K154" s="333">
        <f>IF(C154&lt;&gt;"",_xll.RssMarket(C154,"年初来高値"),"")</f>
        <v>4655</v>
      </c>
      <c r="L154" s="334">
        <f t="shared" si="44"/>
        <v>-21.439312567132117</v>
      </c>
      <c r="M154" s="333">
        <f>IF(C154&lt;&gt;"",IFERROR(AVERAGE(出来高!E174:I174),""),"")</f>
        <v>416000</v>
      </c>
      <c r="N154" s="333">
        <f>IF(C154&lt;&gt;"",IFERROR(AVERAGE(出来高!E174:AC174),""),"")</f>
        <v>308888</v>
      </c>
      <c r="O154" s="335">
        <f t="shared" si="45"/>
        <v>0.26586538461538461</v>
      </c>
      <c r="P154" s="212" t="str">
        <f t="shared" si="46"/>
        <v>減少↓</v>
      </c>
      <c r="Q154" s="212" t="str">
        <f t="shared" si="47"/>
        <v>中立→</v>
      </c>
      <c r="R154" s="333">
        <f t="shared" si="48"/>
        <v>3364</v>
      </c>
      <c r="S154" s="333">
        <f t="shared" si="49"/>
        <v>3803</v>
      </c>
      <c r="T154" s="325">
        <f t="shared" si="50"/>
        <v>5</v>
      </c>
      <c r="U154" s="212" t="str">
        <f t="shared" si="51"/>
        <v>要確認</v>
      </c>
      <c r="V154" s="212" t="str">
        <f t="shared" si="52"/>
        <v>通常</v>
      </c>
      <c r="W154" s="336">
        <f t="array" ref="W154">IFERROR(100-100/(1+SUMPRODUCT((終値!F174:R174&gt;終値!G174:S174)*(終値!F174:R174-終値!G174:S174))/SUMPRODUCT((終値!F174:R174&lt;終値!G174:S174)*(終値!G174:S174-終値!F174:R174))),50)</f>
        <v>46.796338672768876</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18.753760363640595</v>
      </c>
      <c r="Y154" s="212" t="str">
        <f t="shared" si="53"/>
        <v>相場上昇・見送り | 下降トレンド▼ MACD+ RSI:46.8 前日比:-1.9%前日[大陰線▼] [5点]</v>
      </c>
      <c r="Z154" s="338">
        <f t="shared" si="54"/>
        <v>-1.8518518518518516</v>
      </c>
      <c r="AA154" s="212" t="str">
        <f t="shared" si="55"/>
        <v>下落▼</v>
      </c>
      <c r="AB154" s="333">
        <f>IF(OR(C154="",C154="TOPX",終値!E174=""),"",IFERROR(((終値!E174*0.333)+(終値!F174*0.222)+(終値!G174*0.148)+(終値!H174*0.099)+(終値!I174*0.066))/(0.333+0.222+0.148+0.099+0.066),""))</f>
        <v>3789.791474654377</v>
      </c>
      <c r="AC154" s="333">
        <f>IF(OR(C154="",C154="TOPX",終値!E174=""),"",IFERROR(SUMPRODUCT((終値!E174:AC174),{0.077,0.071,0.065,0.06,0.055,0.051,0.047,0.043,0.039,0.036,0.033,0.031,0.028,0.026,0.024,0.022,0.02,0.018,0.017,0.016,0.014,0.013,0.012,0.011,0.01})/SUM({0.077,0.071,0.065,0.06,0.055,0.051,0.047,0.043,0.039,0.036,0.033,0.031,0.028,0.026,0.024,0.022,0.02,0.018,0.017,0.016,0.014,0.013,0.012,0.011,0.01}),""))</f>
        <v>3796.3957091775919</v>
      </c>
      <c r="AD154" s="212" t="str">
        <f t="shared" si="56"/>
        <v>下降トレンド▼</v>
      </c>
      <c r="AE154" s="212" t="str">
        <f t="shared" si="57"/>
        <v>なし</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相場上昇・見送り</v>
      </c>
      <c r="AG154">
        <f t="shared" si="58"/>
        <v>0</v>
      </c>
      <c r="AH154">
        <f t="shared" si="59"/>
        <v>0</v>
      </c>
      <c r="AI154" s="373">
        <f t="array" ref="AI154">IF(C154="","",IFERROR((INDEX(終値!$E:$E,MATCH(TEXT(C154,"0"),終値!$A:$A,0))-INDEX(終値!$E:$CZ,MATCH(TEXT(C154,"0"),終値!$A:$A,0),$AN$2))/INDEX(終値!$E:$CZ,MATCH(TEXT(C154,"0"),終値!$A:$A,0),$AN$2)*100,""))</f>
        <v>9.4138543516873892</v>
      </c>
      <c r="AJ154" s="373">
        <f t="array" ref="AJ154">IFERROR((終値!$E$5-INDEX(終値!$E$5:$CZ$5,1,$AN$2))/INDEX(終値!$E$5:$CZ$5,1,$AN$2)*100,"")</f>
        <v>-0.82558151178043282</v>
      </c>
      <c r="AK154" s="374">
        <f t="shared" si="60"/>
        <v>10.239435863467822</v>
      </c>
      <c r="AL154" s="372">
        <f t="shared" si="61"/>
        <v>-2</v>
      </c>
      <c r="AO154" s="376" t="str">
        <f t="shared" si="62"/>
        <v>通常</v>
      </c>
      <c r="AP154" s="377">
        <f t="shared" si="63"/>
        <v>0</v>
      </c>
      <c r="AQ154">
        <f>IF(C154&lt;&gt;"",始値!F174,"")</f>
        <v>3845</v>
      </c>
      <c r="AR154">
        <f>IF(C154&lt;&gt;"",高値!F174,"")</f>
        <v>3862</v>
      </c>
      <c r="AS154">
        <f>IF(C154&lt;&gt;"",安値!F174,"")</f>
        <v>3696</v>
      </c>
      <c r="AT154" t="str">
        <f t="shared" si="64"/>
        <v>大陰線▼</v>
      </c>
      <c r="AU154">
        <f t="shared" si="65"/>
        <v>2</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3860</v>
      </c>
      <c r="F155" s="326">
        <f>IF(C155&lt;&gt;"",_xll.RssMarket(C155,"始値"),"")</f>
        <v>3868</v>
      </c>
      <c r="G155" s="325">
        <f>IF(C155&lt;&gt;"",終値!F178,"")</f>
        <v>3933</v>
      </c>
      <c r="H155" s="326">
        <f>IF(C155&lt;&gt;"",_xll.RssMarket(C155,"高値"),"")</f>
        <v>3884</v>
      </c>
      <c r="I155" s="326">
        <f>IF(C155&lt;&gt;"",_xll.RssMarket(C155,"安値"),"")</f>
        <v>3829</v>
      </c>
      <c r="J155" s="326">
        <f>IF(C155&lt;&gt;"",_xll.RssMarket(C155,"出来高"),"")</f>
        <v>154400</v>
      </c>
      <c r="K155" s="326">
        <f>IF(C155&lt;&gt;"",_xll.RssMarket(C155,"年初来高値"),"")</f>
        <v>4310</v>
      </c>
      <c r="L155" s="327">
        <f t="shared" si="44"/>
        <v>-10.440835266821345</v>
      </c>
      <c r="M155" s="326">
        <f>IF(C155&lt;&gt;"",IFERROR(AVERAGE(出来高!E178:I178),""),"")</f>
        <v>523100</v>
      </c>
      <c r="N155" s="326">
        <f>IF(C155&lt;&gt;"",IFERROR(AVERAGE(出来高!E178:AC178),""),"")</f>
        <v>327804.16666666669</v>
      </c>
      <c r="O155" s="328">
        <f t="shared" si="45"/>
        <v>0.29516344867138217</v>
      </c>
      <c r="P155" s="325" t="str">
        <f t="shared" si="46"/>
        <v>減少↓</v>
      </c>
      <c r="Q155" s="325" t="str">
        <f t="shared" si="47"/>
        <v>中立→</v>
      </c>
      <c r="R155" s="326">
        <f t="shared" si="48"/>
        <v>3551</v>
      </c>
      <c r="S155" s="326">
        <f t="shared" si="49"/>
        <v>4014</v>
      </c>
      <c r="T155" s="325">
        <f t="shared" si="50"/>
        <v>3</v>
      </c>
      <c r="U155" s="325" t="str">
        <f t="shared" si="51"/>
        <v>要確認</v>
      </c>
      <c r="V155" s="325" t="str">
        <f t="shared" si="52"/>
        <v>通常</v>
      </c>
      <c r="W155" s="329">
        <f t="array" ref="W155">IFERROR(100-100/(1+SUMPRODUCT((終値!F178:R178&gt;終値!G178:S178)*(終値!F178:R178-終値!G178:S178))/SUMPRODUCT((終値!F178:R178&lt;終値!G178:S178)*(終値!G178:S178-終値!F178:R178))),50)</f>
        <v>51.222636236609226</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-0.68984114727345514</v>
      </c>
      <c r="Y155" s="325" t="str">
        <f t="shared" si="53"/>
        <v>相場上昇・見送り | 上昇トレンド▲ 5日戻り売り○ MACD- RSI:51.2 前日比:-1.9% [3点]</v>
      </c>
      <c r="Z155" s="331">
        <f t="shared" si="54"/>
        <v>-1.8560894991100942</v>
      </c>
      <c r="AA155" s="325" t="str">
        <f t="shared" si="55"/>
        <v>下落▼</v>
      </c>
      <c r="AB155" s="326">
        <f>IF(OR(C155="",C155="TOPX",終値!E178=""),"",IFERROR(((終値!E178*0.333)+(終値!F178*0.222)+(終値!G178*0.148)+(終値!H178*0.099)+(終値!I178*0.066))/(0.333+0.222+0.148+0.099+0.066),""))</f>
        <v>3896.9389400921655</v>
      </c>
      <c r="AC155" s="326">
        <f>IF(OR(C155="",C155="TOPX",終値!E178=""),"",IFERROR(SUMPRODUCT((終値!E178:AC178),{0.077,0.071,0.065,0.06,0.055,0.051,0.047,0.043,0.039,0.036,0.033,0.031,0.028,0.026,0.024,0.022,0.02,0.018,0.017,0.016,0.014,0.013,0.012,0.011,0.01})/SUM({0.077,0.071,0.065,0.06,0.055,0.051,0.047,0.043,0.039,0.036,0.033,0.031,0.028,0.026,0.024,0.022,0.02,0.018,0.017,0.016,0.014,0.013,0.012,0.011,0.01}),""))</f>
        <v>3640.1704410011907</v>
      </c>
      <c r="AD155" s="325" t="str">
        <f t="shared" si="56"/>
        <v>上昇トレンド▲</v>
      </c>
      <c r="AE155" s="325" t="str">
        <f t="shared" si="57"/>
        <v>5日戻り売り○</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 t="shared" si="58"/>
        <v>0</v>
      </c>
      <c r="AH155">
        <f t="shared" si="59"/>
        <v>0</v>
      </c>
      <c r="AI155" s="373">
        <f t="array" ref="AI155">IF(C155="","",IFERROR((INDEX(終値!$E:$E,MATCH(TEXT(C155,"0"),終値!$A:$A,0))-INDEX(終値!$E:$CZ,MATCH(TEXT(C155,"0"),終値!$A:$A,0),$AN$2))/INDEX(終値!$E:$CZ,MATCH(TEXT(C155,"0"),終値!$A:$A,0),$AN$2)*100,""))</f>
        <v>6.2739726027397262</v>
      </c>
      <c r="AJ155" s="373">
        <f t="array" ref="AJ155">IFERROR((終値!$E$5-INDEX(終値!$E$5:$CZ$5,1,$AN$2))/INDEX(終値!$E$5:$CZ$5,1,$AN$2)*100,"")</f>
        <v>-0.82558151178043282</v>
      </c>
      <c r="AK155" s="374">
        <f t="shared" si="60"/>
        <v>7.0995541145201591</v>
      </c>
      <c r="AL155" s="372">
        <f t="shared" si="61"/>
        <v>-2</v>
      </c>
      <c r="AO155" s="376" t="str">
        <f t="shared" si="62"/>
        <v>通常</v>
      </c>
      <c r="AP155" s="377">
        <f t="shared" si="63"/>
        <v>0</v>
      </c>
      <c r="AQ155">
        <f>IF(C155&lt;&gt;"",始値!F178,"")</f>
        <v>3891</v>
      </c>
      <c r="AR155">
        <f>IF(C155&lt;&gt;"",高値!F178,"")</f>
        <v>3960</v>
      </c>
      <c r="AS155">
        <f>IF(C155&lt;&gt;"",安値!F178,"")</f>
        <v>3875</v>
      </c>
      <c r="AT155" t="str">
        <f t="shared" si="64"/>
        <v>通常</v>
      </c>
      <c r="AU155">
        <f t="shared" si="65"/>
        <v>0</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1860</v>
      </c>
      <c r="F156" s="333">
        <f>IF(C156&lt;&gt;"",_xll.RssMarket(C156,"始値"),"")</f>
        <v>1866</v>
      </c>
      <c r="G156" s="212">
        <f>IF(C156&lt;&gt;"",終値!F180,"")</f>
        <v>1876</v>
      </c>
      <c r="H156" s="333">
        <f>IF(C156&lt;&gt;"",_xll.RssMarket(C156,"高値"),"")</f>
        <v>1873</v>
      </c>
      <c r="I156" s="333">
        <f>IF(C156&lt;&gt;"",_xll.RssMarket(C156,"安値"),"")</f>
        <v>1852</v>
      </c>
      <c r="J156" s="333">
        <f>IF(C156&lt;&gt;"",_xll.RssMarket(C156,"出来高"),"")</f>
        <v>65900</v>
      </c>
      <c r="K156" s="333">
        <f>IF(C156&lt;&gt;"",_xll.RssMarket(C156,"年初来高値"),"")</f>
        <v>2696</v>
      </c>
      <c r="L156" s="334">
        <f t="shared" si="44"/>
        <v>-31.008902077151333</v>
      </c>
      <c r="M156" s="333">
        <f>IF(C156&lt;&gt;"",IFERROR(AVERAGE(出来高!E180:I180),""),"")</f>
        <v>187940</v>
      </c>
      <c r="N156" s="333">
        <f>IF(C156&lt;&gt;"",IFERROR(AVERAGE(出来高!E180:AC180),""),"")</f>
        <v>132408.33333333334</v>
      </c>
      <c r="O156" s="335">
        <f t="shared" si="45"/>
        <v>0.35064382249654147</v>
      </c>
      <c r="P156" s="212" t="str">
        <f t="shared" si="46"/>
        <v>減少↓</v>
      </c>
      <c r="Q156" s="212" t="str">
        <f t="shared" si="47"/>
        <v>中立→</v>
      </c>
      <c r="R156" s="333">
        <f t="shared" si="48"/>
        <v>1711</v>
      </c>
      <c r="S156" s="333">
        <f t="shared" si="49"/>
        <v>1934</v>
      </c>
      <c r="T156" s="325">
        <f t="shared" si="50"/>
        <v>4</v>
      </c>
      <c r="U156" s="212" t="str">
        <f t="shared" si="51"/>
        <v>要確認</v>
      </c>
      <c r="V156" s="212" t="str">
        <f t="shared" si="52"/>
        <v>安値圏</v>
      </c>
      <c r="W156" s="336">
        <f t="array" ref="W156">IFERROR(100-100/(1+SUMPRODUCT((終値!F180:R180&gt;終値!G180:S180)*(終値!F180:R180-終値!G180:S180))/SUMPRODUCT((終値!F180:R180&lt;終値!G180:S180)*(終値!G180:S180-終値!F180:R180))),50)</f>
        <v>50.924813836175829</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5.7361098396347643</v>
      </c>
      <c r="Y156" s="212" t="str">
        <f t="shared" si="53"/>
        <v>相場上昇・見送り | 上昇トレンド▲ MACD+ RSI:50.9 前日比:-0.9% [安値圏] [4点]</v>
      </c>
      <c r="Z156" s="338">
        <f t="shared" si="54"/>
        <v>-0.85287846481876328</v>
      </c>
      <c r="AA156" s="212" t="str">
        <f t="shared" si="55"/>
        <v>下落▼</v>
      </c>
      <c r="AB156" s="333">
        <f>IF(OR(C156="",C156="TOPX",終値!E180=""),"",IFERROR(((終値!E180*0.333)+(終値!F180*0.222)+(終値!G180*0.148)+(終値!H180*0.099)+(終値!I180*0.066))/(0.333+0.222+0.148+0.099+0.066),""))</f>
        <v>1908.0495391705065</v>
      </c>
      <c r="AC156" s="333">
        <f>IF(OR(C156="",C156="TOPX",終値!E180=""),"",IFERROR(SUMPRODUCT((終値!E180:AC180),{0.077,0.071,0.065,0.06,0.055,0.051,0.047,0.043,0.039,0.036,0.033,0.031,0.028,0.026,0.024,0.022,0.02,0.018,0.017,0.016,0.014,0.013,0.012,0.011,0.01})/SUM({0.077,0.071,0.065,0.06,0.055,0.051,0.047,0.043,0.039,0.036,0.033,0.031,0.028,0.026,0.024,0.022,0.02,0.018,0.017,0.016,0.014,0.013,0.012,0.011,0.01}),""))</f>
        <v>1786.4970202622167</v>
      </c>
      <c r="AD156" s="212" t="str">
        <f t="shared" si="56"/>
        <v>上昇トレンド▲</v>
      </c>
      <c r="AE156" s="212" t="str">
        <f t="shared" si="57"/>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 t="shared" si="58"/>
        <v>0</v>
      </c>
      <c r="AH156">
        <f t="shared" si="59"/>
        <v>0</v>
      </c>
      <c r="AI156" s="373">
        <f t="array" ref="AI156">IF(C156="","",IFERROR((INDEX(終値!$E:$E,MATCH(TEXT(C156,"0"),終値!$A:$A,0))-INDEX(終値!$E:$CZ,MATCH(TEXT(C156,"0"),終値!$A:$A,0),$AN$2))/INDEX(終値!$E:$CZ,MATCH(TEXT(C156,"0"),終値!$A:$A,0),$AN$2)*100,""))</f>
        <v>6.7544361763022325</v>
      </c>
      <c r="AJ156" s="373">
        <f t="array" ref="AJ156">IFERROR((終値!$E$5-INDEX(終値!$E$5:$CZ$5,1,$AN$2))/INDEX(終値!$E$5:$CZ$5,1,$AN$2)*100,"")</f>
        <v>-0.82558151178043282</v>
      </c>
      <c r="AK156" s="374">
        <f t="shared" si="60"/>
        <v>7.5800176880826653</v>
      </c>
      <c r="AL156" s="372">
        <f t="shared" si="61"/>
        <v>-2</v>
      </c>
      <c r="AO156" s="376" t="str">
        <f t="shared" si="62"/>
        <v>通常</v>
      </c>
      <c r="AP156" s="377">
        <f t="shared" si="63"/>
        <v>0</v>
      </c>
      <c r="AQ156">
        <f>IF(C156&lt;&gt;"",始値!F180,"")</f>
        <v>1868</v>
      </c>
      <c r="AR156">
        <f>IF(C156&lt;&gt;"",高値!F180,"")</f>
        <v>1897</v>
      </c>
      <c r="AS156">
        <f>IF(C156&lt;&gt;"",安値!F180,"")</f>
        <v>1826</v>
      </c>
      <c r="AT156" t="str">
        <f t="shared" si="64"/>
        <v>通常</v>
      </c>
      <c r="AU156">
        <f t="shared" si="65"/>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916.6</v>
      </c>
      <c r="F157" s="326">
        <f>IF(C157&lt;&gt;"",_xll.RssMarket(C157,"始値"),"")</f>
        <v>924.7</v>
      </c>
      <c r="G157" s="325">
        <f>IF(C157&lt;&gt;"",終値!F181,"")</f>
        <v>940</v>
      </c>
      <c r="H157" s="326">
        <f>IF(C157&lt;&gt;"",_xll.RssMarket(C157,"高値"),"")</f>
        <v>939.6</v>
      </c>
      <c r="I157" s="326">
        <f>IF(C157&lt;&gt;"",_xll.RssMarket(C157,"安値"),"")</f>
        <v>915.6</v>
      </c>
      <c r="J157" s="326">
        <f>IF(C157&lt;&gt;"",_xll.RssMarket(C157,"出来高"),"")</f>
        <v>446700</v>
      </c>
      <c r="K157" s="326">
        <f>IF(C157&lt;&gt;"",_xll.RssMarket(C157,"年初来高値"),"")</f>
        <v>1142</v>
      </c>
      <c r="L157" s="327">
        <f t="shared" si="44"/>
        <v>-19.737302977232922</v>
      </c>
      <c r="M157" s="326">
        <f>IF(C157&lt;&gt;"",IFERROR(AVERAGE(出来高!E181:I181),""),"")</f>
        <v>1329980</v>
      </c>
      <c r="N157" s="326">
        <f>IF(C157&lt;&gt;"",IFERROR(AVERAGE(出来高!E181:AC181),""),"")</f>
        <v>918732</v>
      </c>
      <c r="O157" s="328">
        <f t="shared" si="45"/>
        <v>0.33586971232650115</v>
      </c>
      <c r="P157" s="325" t="str">
        <f t="shared" si="46"/>
        <v>減少↓</v>
      </c>
      <c r="Q157" s="325" t="str">
        <f t="shared" si="47"/>
        <v>中立→</v>
      </c>
      <c r="R157" s="326">
        <f t="shared" si="48"/>
        <v>843</v>
      </c>
      <c r="S157" s="326">
        <f t="shared" si="49"/>
        <v>953</v>
      </c>
      <c r="T157" s="325">
        <f t="shared" si="50"/>
        <v>3</v>
      </c>
      <c r="U157" s="325" t="str">
        <f t="shared" si="51"/>
        <v>要確認</v>
      </c>
      <c r="V157" s="325" t="str">
        <f t="shared" si="52"/>
        <v>通常</v>
      </c>
      <c r="W157" s="329">
        <f t="array" ref="W157">IFERROR(100-100/(1+SUMPRODUCT((終値!F181:R181&gt;終値!G181:S181)*(終値!F181:R181-終値!G181:S181))/SUMPRODUCT((終値!F181:R181&lt;終値!G181:S181)*(終値!G181:S181-終値!F181:R181))),50)</f>
        <v>63.209302325581397</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8.5646742742968627</v>
      </c>
      <c r="Y157" s="325" t="str">
        <f t="shared" si="53"/>
        <v>相場上昇・見送り | もみ合い→ MACD+ RSI:63.2 前日比:-2.5% [3点]</v>
      </c>
      <c r="Z157" s="331">
        <f t="shared" si="54"/>
        <v>-2.4893617021276571</v>
      </c>
      <c r="AA157" s="325" t="str">
        <f t="shared" si="55"/>
        <v>下落▼</v>
      </c>
      <c r="AB157" s="326">
        <f>IF(OR(C157="",C157="TOPX",終値!E181=""),"",IFERROR(((終値!E181*0.333)+(終値!F181*0.222)+(終値!G181*0.148)+(終値!H181*0.099)+(終値!I181*0.066))/(0.333+0.222+0.148+0.099+0.066),""))</f>
        <v>949.40529953917041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937.43611442193082</v>
      </c>
      <c r="AD157" s="325" t="str">
        <f t="shared" si="56"/>
        <v>もみ合い→</v>
      </c>
      <c r="AE157" s="325" t="str">
        <f t="shared" si="57"/>
        <v>なし</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相場上昇・見送り</v>
      </c>
      <c r="AG157">
        <f t="shared" si="58"/>
        <v>0</v>
      </c>
      <c r="AH157">
        <f t="shared" si="59"/>
        <v>0</v>
      </c>
      <c r="AI157" s="373">
        <f t="array" ref="AI157">IF(C157="","",IFERROR((INDEX(終値!$E:$E,MATCH(TEXT(C157,"0"),終値!$A:$A,0))-INDEX(終値!$E:$CZ,MATCH(TEXT(C157,"0"),終値!$A:$A,0),$AN$2))/INDEX(終値!$E:$CZ,MATCH(TEXT(C157,"0"),終値!$A:$A,0),$AN$2)*100,""))</f>
        <v>6.1389521640091091</v>
      </c>
      <c r="AJ157" s="373">
        <f t="array" ref="AJ157">IFERROR((終値!$E$5-INDEX(終値!$E$5:$CZ$5,1,$AN$2))/INDEX(終値!$E$5:$CZ$5,1,$AN$2)*100,"")</f>
        <v>-0.82558151178043282</v>
      </c>
      <c r="AK157" s="374">
        <f t="shared" si="60"/>
        <v>6.964533675789542</v>
      </c>
      <c r="AL157" s="372">
        <f t="shared" si="61"/>
        <v>-2</v>
      </c>
      <c r="AO157" s="376" t="str">
        <f t="shared" si="62"/>
        <v>通常</v>
      </c>
      <c r="AP157" s="377">
        <f t="shared" si="63"/>
        <v>0</v>
      </c>
      <c r="AQ157">
        <f>IF(C157&lt;&gt;"",始値!F181,"")</f>
        <v>947.6</v>
      </c>
      <c r="AR157">
        <f>IF(C157&lt;&gt;"",高値!F181,"")</f>
        <v>955</v>
      </c>
      <c r="AS157">
        <f>IF(C157&lt;&gt;"",安値!F181,"")</f>
        <v>928</v>
      </c>
      <c r="AT157" t="str">
        <f t="shared" si="64"/>
        <v>通常</v>
      </c>
      <c r="AU157">
        <f t="shared" si="65"/>
        <v>0</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2339</v>
      </c>
      <c r="F158" s="333">
        <f>IF(C158&lt;&gt;"",_xll.RssMarket(C158,"始値"),"")</f>
        <v>2357</v>
      </c>
      <c r="G158" s="212">
        <f>IF(C158&lt;&gt;"",終値!F182,"")</f>
        <v>2382</v>
      </c>
      <c r="H158" s="333">
        <f>IF(C158&lt;&gt;"",_xll.RssMarket(C158,"高値"),"")</f>
        <v>2358</v>
      </c>
      <c r="I158" s="333">
        <f>IF(C158&lt;&gt;"",_xll.RssMarket(C158,"安値"),"")</f>
        <v>2339</v>
      </c>
      <c r="J158" s="333">
        <f>IF(C158&lt;&gt;"",_xll.RssMarket(C158,"出来高"),"")</f>
        <v>4600</v>
      </c>
      <c r="K158" s="333">
        <f>IF(C158&lt;&gt;"",_xll.RssMarket(C158,"年初来高値"),"")</f>
        <v>2730</v>
      </c>
      <c r="L158" s="334">
        <f t="shared" si="44"/>
        <v>-14.322344322344321</v>
      </c>
      <c r="M158" s="333">
        <f>IF(C158&lt;&gt;"",IFERROR(AVERAGE(出来高!E182:I182),""),"")</f>
        <v>17320</v>
      </c>
      <c r="N158" s="333">
        <f>IF(C158&lt;&gt;"",IFERROR(AVERAGE(出来高!E182:AC182),""),"")</f>
        <v>14396</v>
      </c>
      <c r="O158" s="335">
        <f t="shared" si="45"/>
        <v>0.26558891454965355</v>
      </c>
      <c r="P158" s="212" t="str">
        <f t="shared" si="46"/>
        <v>減少↓</v>
      </c>
      <c r="Q158" s="212" t="str">
        <f t="shared" si="47"/>
        <v>中立→</v>
      </c>
      <c r="R158" s="333">
        <f t="shared" si="48"/>
        <v>2152</v>
      </c>
      <c r="S158" s="333">
        <f t="shared" si="49"/>
        <v>2433</v>
      </c>
      <c r="T158" s="325">
        <f t="shared" si="50"/>
        <v>7</v>
      </c>
      <c r="U158" s="212" t="str">
        <f t="shared" si="51"/>
        <v>要確認</v>
      </c>
      <c r="V158" s="212" t="str">
        <f t="shared" si="52"/>
        <v>通常</v>
      </c>
      <c r="W158" s="336">
        <f t="array" ref="W158">IFERROR(100-100/(1+SUMPRODUCT((終値!F182:R182&gt;終値!G182:S182)*(終値!F182:R182-終値!G182:S182))/SUMPRODUCT((終値!F182:R182&lt;終値!G182:S182)*(終値!G182:S182-終値!F182:R182))),50)</f>
        <v>77.832512315270932</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11.533947754927794</v>
      </c>
      <c r="Y158" s="212" t="str">
        <f t="shared" si="53"/>
        <v>○逆張り売り | もみ合い→ 25日戻り売り★ MACD+ RSI:77.8 [過熱] 前日比:-1.8% [大陰線▼] [7点]</v>
      </c>
      <c r="Z158" s="338">
        <f t="shared" si="54"/>
        <v>-1.8052057094878253</v>
      </c>
      <c r="AA158" s="212" t="str">
        <f t="shared" si="55"/>
        <v>下落▼</v>
      </c>
      <c r="AB158" s="333">
        <f>IF(OR(C158="",C158="TOPX",終値!E182=""),"",IFERROR(((終値!E182*0.333)+(終値!F182*0.222)+(終値!G182*0.148)+(終値!H182*0.099)+(終値!I182*0.066))/(0.333+0.222+0.148+0.099+0.066),""))</f>
        <v>2377.014976958525</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2341.7687723480331</v>
      </c>
      <c r="AD158" s="212" t="str">
        <f t="shared" si="56"/>
        <v>もみ合い→</v>
      </c>
      <c r="AE158" s="212" t="str">
        <f t="shared" si="57"/>
        <v>25日戻り売り★</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○逆張り売り</v>
      </c>
      <c r="AG158">
        <f t="shared" si="58"/>
        <v>7</v>
      </c>
      <c r="AH158">
        <f t="shared" si="59"/>
        <v>69842</v>
      </c>
      <c r="AI158" s="373">
        <f t="array" ref="AI158">IF(C158="","",IFERROR((INDEX(終値!$E:$E,MATCH(TEXT(C158,"0"),終値!$A:$A,0))-INDEX(終値!$E:$CZ,MATCH(TEXT(C158,"0"),終値!$A:$A,0),$AN$2))/INDEX(終値!$E:$CZ,MATCH(TEXT(C158,"0"),終値!$A:$A,0),$AN$2)*100,""))</f>
        <v>2.8322440087145968</v>
      </c>
      <c r="AJ158" s="373">
        <f t="array" ref="AJ158">IFERROR((終値!$E$5-INDEX(終値!$E$5:$CZ$5,1,$AN$2))/INDEX(終値!$E$5:$CZ$5,1,$AN$2)*100,"")</f>
        <v>-0.82558151178043282</v>
      </c>
      <c r="AK158" s="374">
        <f t="shared" si="60"/>
        <v>3.6578255204950296</v>
      </c>
      <c r="AL158" s="372">
        <f t="shared" si="61"/>
        <v>-2</v>
      </c>
      <c r="AO158" s="376" t="str">
        <f t="shared" si="62"/>
        <v>大陰線▼</v>
      </c>
      <c r="AP158" s="377">
        <f t="shared" si="63"/>
        <v>2</v>
      </c>
      <c r="AQ158">
        <f>IF(C158&lt;&gt;"",始値!F182,"")</f>
        <v>2368</v>
      </c>
      <c r="AR158">
        <f>IF(C158&lt;&gt;"",高値!F182,"")</f>
        <v>2400</v>
      </c>
      <c r="AS158">
        <f>IF(C158&lt;&gt;"",安値!F182,"")</f>
        <v>2334</v>
      </c>
      <c r="AT158" t="str">
        <f t="shared" si="64"/>
        <v>通常</v>
      </c>
      <c r="AU158">
        <f t="shared" si="65"/>
        <v>0</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3779</v>
      </c>
      <c r="F159" s="326">
        <f>IF(C159&lt;&gt;"",_xll.RssMarket(C159,"始値"),"")</f>
        <v>3840</v>
      </c>
      <c r="G159" s="325">
        <f>IF(C159&lt;&gt;"",終値!F184,"")</f>
        <v>3902</v>
      </c>
      <c r="H159" s="326">
        <f>IF(C159&lt;&gt;"",_xll.RssMarket(C159,"高値"),"")</f>
        <v>3844</v>
      </c>
      <c r="I159" s="326">
        <f>IF(C159&lt;&gt;"",_xll.RssMarket(C159,"安値"),"")</f>
        <v>3764</v>
      </c>
      <c r="J159" s="326">
        <f>IF(C159&lt;&gt;"",_xll.RssMarket(C159,"出来高"),"")</f>
        <v>1150800</v>
      </c>
      <c r="K159" s="326">
        <f>IF(C159&lt;&gt;"",_xll.RssMarket(C159,"年初来高値"),"")</f>
        <v>4830</v>
      </c>
      <c r="L159" s="327">
        <f t="shared" si="44"/>
        <v>-21.759834368530022</v>
      </c>
      <c r="M159" s="326">
        <f>IF(C159&lt;&gt;"",IFERROR(AVERAGE(出来高!E184:I184),""),"")</f>
        <v>4042020</v>
      </c>
      <c r="N159" s="326">
        <f>IF(C159&lt;&gt;"",IFERROR(AVERAGE(出来高!E184:AC184),""),"")</f>
        <v>3259748</v>
      </c>
      <c r="O159" s="328">
        <f t="shared" si="45"/>
        <v>0.28470913058322322</v>
      </c>
      <c r="P159" s="325" t="str">
        <f t="shared" si="46"/>
        <v>減少↓</v>
      </c>
      <c r="Q159" s="325" t="str">
        <f t="shared" si="47"/>
        <v>中立→</v>
      </c>
      <c r="R159" s="326">
        <f t="shared" si="48"/>
        <v>3477</v>
      </c>
      <c r="S159" s="326">
        <f t="shared" si="49"/>
        <v>3930</v>
      </c>
      <c r="T159" s="325">
        <f t="shared" si="50"/>
        <v>5</v>
      </c>
      <c r="U159" s="325" t="str">
        <f t="shared" si="51"/>
        <v>要確認</v>
      </c>
      <c r="V159" s="325" t="str">
        <f t="shared" si="52"/>
        <v>通常</v>
      </c>
      <c r="W159" s="329">
        <f t="array" ref="W159">IFERROR(100-100/(1+SUMPRODUCT((終値!F184:R184&gt;終値!G184:S184)*(終値!F184:R184-終値!G184:S184))/SUMPRODUCT((終値!F184:R184&lt;終値!G184:S184)*(終値!G184:S184-終値!F184:R184))),50)</f>
        <v>61.767531219980782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55.321486711855869</v>
      </c>
      <c r="Y159" s="325" t="str">
        <f t="shared" si="53"/>
        <v>相場上昇・見送り | もみ合い→ MACD+ RSI:61.8 前日比:-3.2% [大陰線▼] [5点]</v>
      </c>
      <c r="Z159" s="331">
        <f t="shared" si="54"/>
        <v>-3.1522296258329066</v>
      </c>
      <c r="AA159" s="325" t="str">
        <f t="shared" si="55"/>
        <v>下落▼</v>
      </c>
      <c r="AB159" s="326">
        <f>IF(OR(C159="",C159="TOPX",終値!E184=""),"",IFERROR(((終値!E184*0.333)+(終値!F184*0.222)+(終値!G184*0.148)+(終値!H184*0.099)+(終値!I184*0.066))/(0.333+0.222+0.148+0.099+0.066),""))</f>
        <v>3942.1566820276498</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3864.8796185935626</v>
      </c>
      <c r="AD159" s="325" t="str">
        <f t="shared" si="56"/>
        <v>もみ合い→</v>
      </c>
      <c r="AE159" s="325" t="str">
        <f t="shared" si="57"/>
        <v>なし</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相場上昇・見送り</v>
      </c>
      <c r="AG159">
        <f t="shared" si="58"/>
        <v>0</v>
      </c>
      <c r="AH159">
        <f t="shared" si="59"/>
        <v>0</v>
      </c>
      <c r="AI159" s="373">
        <f t="array" ref="AI159">IF(C159="","",IFERROR((INDEX(終値!$E:$E,MATCH(TEXT(C159,"0"),終値!$A:$A,0))-INDEX(終値!$E:$CZ,MATCH(TEXT(C159,"0"),終値!$A:$A,0),$AN$2))/INDEX(終値!$E:$CZ,MATCH(TEXT(C159,"0"),終値!$A:$A,0),$AN$2)*100,""))</f>
        <v>9.6126255380200867</v>
      </c>
      <c r="AJ159" s="373">
        <f t="array" ref="AJ159">IFERROR((終値!$E$5-INDEX(終値!$E$5:$CZ$5,1,$AN$2))/INDEX(終値!$E$5:$CZ$5,1,$AN$2)*100,"")</f>
        <v>-0.82558151178043282</v>
      </c>
      <c r="AK159" s="374">
        <f t="shared" si="60"/>
        <v>10.438207049800519</v>
      </c>
      <c r="AL159" s="372">
        <f t="shared" si="61"/>
        <v>-2</v>
      </c>
      <c r="AO159" s="376" t="str">
        <f t="shared" si="62"/>
        <v>大陰線▼</v>
      </c>
      <c r="AP159" s="377">
        <f t="shared" si="63"/>
        <v>2</v>
      </c>
      <c r="AQ159">
        <f>IF(C159&lt;&gt;"",始値!F184,"")</f>
        <v>3801</v>
      </c>
      <c r="AR159">
        <f>IF(C159&lt;&gt;"",高値!F184,"")</f>
        <v>3999</v>
      </c>
      <c r="AS159">
        <f>IF(C159&lt;&gt;"",安値!F184,"")</f>
        <v>3801</v>
      </c>
      <c r="AT159" t="str">
        <f t="shared" si="64"/>
        <v>通常</v>
      </c>
      <c r="AU159">
        <f t="shared" si="65"/>
        <v>0</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2352</v>
      </c>
      <c r="F160" s="333">
        <f>IF(C160&lt;&gt;"",_xll.RssMarket(C160,"始値"),"")</f>
        <v>2381</v>
      </c>
      <c r="G160" s="212">
        <f>IF(C160&lt;&gt;"",終値!F185,"")</f>
        <v>2419</v>
      </c>
      <c r="H160" s="333">
        <f>IF(C160&lt;&gt;"",_xll.RssMarket(C160,"高値"),"")</f>
        <v>2397</v>
      </c>
      <c r="I160" s="333">
        <f>IF(C160&lt;&gt;"",_xll.RssMarket(C160,"安値"),"")</f>
        <v>2347</v>
      </c>
      <c r="J160" s="333">
        <f>IF(C160&lt;&gt;"",_xll.RssMarket(C160,"出来高"),"")</f>
        <v>45000</v>
      </c>
      <c r="K160" s="333">
        <f>IF(C160&lt;&gt;"",_xll.RssMarket(C160,"年初来高値"),"")</f>
        <v>2634</v>
      </c>
      <c r="L160" s="334">
        <f t="shared" si="44"/>
        <v>-10.70615034168565</v>
      </c>
      <c r="M160" s="333">
        <f>IF(C160&lt;&gt;"",IFERROR(AVERAGE(出来高!E185:I185),""),"")</f>
        <v>97340</v>
      </c>
      <c r="N160" s="333">
        <f>IF(C160&lt;&gt;"",IFERROR(AVERAGE(出来高!E185:AC185),""),"")</f>
        <v>75996</v>
      </c>
      <c r="O160" s="335">
        <f t="shared" si="45"/>
        <v>0.4622971029381549</v>
      </c>
      <c r="P160" s="212" t="str">
        <f t="shared" si="46"/>
        <v>減少↓</v>
      </c>
      <c r="Q160" s="212" t="str">
        <f t="shared" si="47"/>
        <v>中立→</v>
      </c>
      <c r="R160" s="333">
        <f t="shared" si="48"/>
        <v>2164</v>
      </c>
      <c r="S160" s="333">
        <f t="shared" si="49"/>
        <v>2446</v>
      </c>
      <c r="T160" s="325">
        <f t="shared" si="50"/>
        <v>3</v>
      </c>
      <c r="U160" s="212" t="str">
        <f t="shared" si="51"/>
        <v>要確認</v>
      </c>
      <c r="V160" s="212" t="str">
        <f t="shared" si="52"/>
        <v>通常</v>
      </c>
      <c r="W160" s="336">
        <f t="array" ref="W160">IFERROR(100-100/(1+SUMPRODUCT((終値!F185:R185&gt;終値!G185:S185)*(終値!F185:R185-終値!G185:S185))/SUMPRODUCT((終値!F185:R185&lt;終値!G185:S185)*(終値!G185:S185-終値!F185:R185))),50)</f>
        <v>70.39473684210526</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11.583693216420215</v>
      </c>
      <c r="Y160" s="212" t="str">
        <f t="shared" si="53"/>
        <v>○逆張り売り | もみ合い→ 25日戻り売り★ MACD+ RSI:70.4 [過熱] 前日比:-2.8%前日[長い下ヒゲ(反発)] [3点]</v>
      </c>
      <c r="Z160" s="338">
        <f t="shared" si="54"/>
        <v>-2.7697395618023974</v>
      </c>
      <c r="AA160" s="212" t="str">
        <f t="shared" si="55"/>
        <v>下落▼</v>
      </c>
      <c r="AB160" s="333">
        <f>IF(OR(C160="",C160="TOPX",終値!E185=""),"",IFERROR(((終値!E185*0.333)+(終値!F185*0.222)+(終値!G185*0.148)+(終値!H185*0.099)+(終値!I185*0.066))/(0.333+0.222+0.148+0.099+0.066),""))</f>
        <v>2386.5103686635944</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2352.6162097735387</v>
      </c>
      <c r="AD160" s="212" t="str">
        <f t="shared" si="56"/>
        <v>もみ合い→</v>
      </c>
      <c r="AE160" s="212" t="str">
        <f t="shared" si="57"/>
        <v>25日戻り売り★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○逆張り売り</v>
      </c>
      <c r="AG160">
        <f t="shared" si="58"/>
        <v>0</v>
      </c>
      <c r="AH160">
        <f t="shared" si="59"/>
        <v>0</v>
      </c>
      <c r="AI160" s="373">
        <f t="array" ref="AI160">IF(C160="","",IFERROR((INDEX(終値!$E:$E,MATCH(TEXT(C160,"0"),終値!$A:$A,0))-INDEX(終値!$E:$CZ,MATCH(TEXT(C160,"0"),終値!$A:$A,0),$AN$2))/INDEX(終値!$E:$CZ,MATCH(TEXT(C160,"0"),終値!$A:$A,0),$AN$2)*100,""))</f>
        <v>4.8898678414096919</v>
      </c>
      <c r="AJ160" s="373">
        <f t="array" ref="AJ160">IFERROR((終値!$E$5-INDEX(終値!$E$5:$CZ$5,1,$AN$2))/INDEX(終値!$E$5:$CZ$5,1,$AN$2)*100,"")</f>
        <v>-0.82558151178043282</v>
      </c>
      <c r="AK160" s="374">
        <f t="shared" si="60"/>
        <v>5.7154493531901247</v>
      </c>
      <c r="AL160" s="372">
        <f t="shared" si="61"/>
        <v>-2</v>
      </c>
      <c r="AO160" s="376" t="str">
        <f t="shared" si="62"/>
        <v>通常</v>
      </c>
      <c r="AP160" s="377">
        <f t="shared" si="63"/>
        <v>0</v>
      </c>
      <c r="AQ160">
        <f>IF(C160&lt;&gt;"",始値!F185,"")</f>
        <v>2434</v>
      </c>
      <c r="AR160">
        <f>IF(C160&lt;&gt;"",高値!F185,"")</f>
        <v>2440</v>
      </c>
      <c r="AS160">
        <f>IF(C160&lt;&gt;"",安値!F185,"")</f>
        <v>2371</v>
      </c>
      <c r="AT160" t="str">
        <f t="shared" si="64"/>
        <v>長い下ヒゲ(反発)</v>
      </c>
      <c r="AU160">
        <f t="shared" si="65"/>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636.29999999999995</v>
      </c>
      <c r="F161" s="326">
        <f>IF(C161&lt;&gt;"",_xll.RssMarket(C161,"始値"),"")</f>
        <v>637</v>
      </c>
      <c r="G161" s="325">
        <f>IF(C161&lt;&gt;"",終値!F187,"")</f>
        <v>639.29999999999995</v>
      </c>
      <c r="H161" s="326">
        <f>IF(C161&lt;&gt;"",_xll.RssMarket(C161,"高値"),"")</f>
        <v>637</v>
      </c>
      <c r="I161" s="326">
        <f>IF(C161&lt;&gt;"",_xll.RssMarket(C161,"安値"),"")</f>
        <v>629.29999999999995</v>
      </c>
      <c r="J161" s="326">
        <f>IF(C161&lt;&gt;"",_xll.RssMarket(C161,"出来高"),"")</f>
        <v>1137200</v>
      </c>
      <c r="K161" s="326">
        <f>IF(C161&lt;&gt;"",_xll.RssMarket(C161,"年初来高値"),"")</f>
        <v>763.7</v>
      </c>
      <c r="L161" s="327">
        <f t="shared" si="44"/>
        <v>-16.681943171402395</v>
      </c>
      <c r="M161" s="326">
        <f>IF(C161&lt;&gt;"",IFERROR(AVERAGE(出来高!E187:I187),""),"")</f>
        <v>4544220</v>
      </c>
      <c r="N161" s="326">
        <f>IF(C161&lt;&gt;"",IFERROR(AVERAGE(出来高!E187:AC187),""),"")</f>
        <v>2183932</v>
      </c>
      <c r="O161" s="328">
        <f t="shared" si="45"/>
        <v>0.25025196843462683</v>
      </c>
      <c r="P161" s="325" t="str">
        <f t="shared" si="46"/>
        <v>減少↓</v>
      </c>
      <c r="Q161" s="325" t="str">
        <f t="shared" si="47"/>
        <v>中立→</v>
      </c>
      <c r="R161" s="326">
        <f t="shared" si="48"/>
        <v>585</v>
      </c>
      <c r="S161" s="326">
        <f t="shared" si="49"/>
        <v>662</v>
      </c>
      <c r="T161" s="325">
        <f t="shared" si="50"/>
        <v>2</v>
      </c>
      <c r="U161" s="325" t="str">
        <f t="shared" si="51"/>
        <v>除外</v>
      </c>
      <c r="V161" s="325" t="str">
        <f t="shared" si="52"/>
        <v>通常</v>
      </c>
      <c r="W161" s="329">
        <f t="array" ref="W161">IFERROR(100-100/(1+SUMPRODUCT((終値!F187:R187&gt;終値!G187:S187)*(終値!F187:R187-終値!G187:S187))/SUMPRODUCT((終値!F187:R187&lt;終値!G187:S187)*(終値!G187:S187-終値!F187:R187))),50)</f>
        <v>38.953888506538178</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-1.8648734869983628</v>
      </c>
      <c r="Y161" s="325" t="str">
        <f t="shared" si="53"/>
        <v>相場上昇・見送り | 下降トレンド▼ MACD- RSI:39.0 前日比:-0.5% [長い下ヒゲ(反発警戒)]前日[長い下ヒゲ(反発)] [2点]</v>
      </c>
      <c r="Z161" s="331">
        <f t="shared" si="54"/>
        <v>-0.46926325668700142</v>
      </c>
      <c r="AA161" s="325" t="str">
        <f t="shared" si="55"/>
        <v>下落▼</v>
      </c>
      <c r="AB161" s="326">
        <f>IF(OR(C161="",C161="TOPX",終値!E187=""),"",IFERROR(((終値!E187*0.333)+(終値!F187*0.222)+(終値!G187*0.148)+(終値!H187*0.099)+(終値!I187*0.066))/(0.333+0.222+0.148+0.099+0.066),""))</f>
        <v>648.91497695852536</v>
      </c>
      <c r="AC161" s="326">
        <f>IF(OR(C161="",C161="TOPX",終値!E187=""),"",IFERROR(SUMPRODUCT((終値!E187:AC187),{0.077,0.071,0.065,0.06,0.055,0.051,0.047,0.043,0.039,0.036,0.033,0.031,0.028,0.026,0.024,0.022,0.02,0.018,0.017,0.016,0.014,0.013,0.012,0.011,0.01})/SUM({0.077,0.071,0.065,0.06,0.055,0.051,0.047,0.043,0.039,0.036,0.033,0.031,0.028,0.026,0.024,0.022,0.02,0.018,0.017,0.016,0.014,0.013,0.012,0.011,0.01}),""))</f>
        <v>666.16364719904652</v>
      </c>
      <c r="AD161" s="325" t="str">
        <f t="shared" si="56"/>
        <v>下降トレンド▼</v>
      </c>
      <c r="AE161" s="325" t="str">
        <f t="shared" si="57"/>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 t="shared" si="58"/>
        <v>0</v>
      </c>
      <c r="AH161">
        <f t="shared" si="59"/>
        <v>0</v>
      </c>
      <c r="AI161" s="373">
        <f t="array" ref="AI161">IF(C161="","",IFERROR((INDEX(終値!$E:$E,MATCH(TEXT(C161,"0"),終値!$A:$A,0))-INDEX(終値!$E:$CZ,MATCH(TEXT(C161,"0"),終値!$A:$A,0),$AN$2))/INDEX(終値!$E:$CZ,MATCH(TEXT(C161,"0"),終値!$A:$A,0),$AN$2)*100,""))</f>
        <v>0.18927444794953399</v>
      </c>
      <c r="AJ161" s="373">
        <f t="array" ref="AJ161">IFERROR((終値!$E$5-INDEX(終値!$E$5:$CZ$5,1,$AN$2))/INDEX(終値!$E$5:$CZ$5,1,$AN$2)*100,"")</f>
        <v>-0.82558151178043282</v>
      </c>
      <c r="AK161" s="374">
        <f t="shared" si="60"/>
        <v>1.0148559597299669</v>
      </c>
      <c r="AL161" s="372">
        <f t="shared" si="61"/>
        <v>-1</v>
      </c>
      <c r="AO161" s="376" t="str">
        <f t="shared" si="62"/>
        <v>長い下ヒゲ(反発警戒)</v>
      </c>
      <c r="AP161" s="377">
        <f t="shared" si="63"/>
        <v>-2</v>
      </c>
      <c r="AQ161">
        <f>IF(C161&lt;&gt;"",始値!F187,"")</f>
        <v>637.70000000000005</v>
      </c>
      <c r="AR161">
        <f>IF(C161&lt;&gt;"",高値!F187,"")</f>
        <v>641</v>
      </c>
      <c r="AS161">
        <f>IF(C161&lt;&gt;"",安値!F187,"")</f>
        <v>620.6</v>
      </c>
      <c r="AT161" t="str">
        <f t="shared" si="64"/>
        <v>長い下ヒゲ(反発)</v>
      </c>
      <c r="AU161">
        <f t="shared" si="65"/>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622.29999999999995</v>
      </c>
      <c r="F162" s="333">
        <f>IF(C162&lt;&gt;"",_xll.RssMarket(C162,"始値"),"")</f>
        <v>617</v>
      </c>
      <c r="G162" s="212">
        <f>IF(C162&lt;&gt;"",終値!F188,"")</f>
        <v>623.1</v>
      </c>
      <c r="H162" s="333">
        <f>IF(C162&lt;&gt;"",_xll.RssMarket(C162,"高値"),"")</f>
        <v>632.9</v>
      </c>
      <c r="I162" s="333">
        <f>IF(C162&lt;&gt;"",_xll.RssMarket(C162,"安値"),"")</f>
        <v>612.5</v>
      </c>
      <c r="J162" s="333">
        <f>IF(C162&lt;&gt;"",_xll.RssMarket(C162,"出来高"),"")</f>
        <v>1832600</v>
      </c>
      <c r="K162" s="333">
        <f>IF(C162&lt;&gt;"",_xll.RssMarket(C162,"年初来高値"),"")</f>
        <v>830.5</v>
      </c>
      <c r="L162" s="334">
        <f t="shared" si="44"/>
        <v>-25.069235400361233</v>
      </c>
      <c r="M162" s="333">
        <f>IF(C162&lt;&gt;"",IFERROR(AVERAGE(出来高!E188:I188),""),"")</f>
        <v>3736460</v>
      </c>
      <c r="N162" s="333">
        <f>IF(C162&lt;&gt;"",IFERROR(AVERAGE(出来高!E188:AC188),""),"")</f>
        <v>3531760</v>
      </c>
      <c r="O162" s="335">
        <f t="shared" si="45"/>
        <v>0.49046423620218066</v>
      </c>
      <c r="P162" s="212" t="str">
        <f t="shared" si="46"/>
        <v>減少↓</v>
      </c>
      <c r="Q162" s="212" t="str">
        <f t="shared" si="47"/>
        <v>中立→</v>
      </c>
      <c r="R162" s="333">
        <f t="shared" si="48"/>
        <v>573</v>
      </c>
      <c r="S162" s="333">
        <f t="shared" si="49"/>
        <v>647</v>
      </c>
      <c r="T162" s="325">
        <f t="shared" si="50"/>
        <v>10</v>
      </c>
      <c r="U162" s="212" t="str">
        <f t="shared" si="51"/>
        <v>要確認</v>
      </c>
      <c r="V162" s="212" t="str">
        <f t="shared" si="52"/>
        <v>安値圏</v>
      </c>
      <c r="W162" s="336">
        <f t="array" ref="W162">IFERROR(100-100/(1+SUMPRODUCT((終値!F188:R188&gt;終値!G188:S188)*(終値!F188:R188-終値!G188:S188))/SUMPRODUCT((終値!F188:R188&lt;終値!G188:S188)*(終値!G188:S188-終値!F188:R188))),50)</f>
        <v>44.761904761904788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-3.606133402855221</v>
      </c>
      <c r="Y162" s="212" t="str">
        <f t="shared" si="53"/>
        <v>○逆張り売り | もみ合い→ 25日戻り売り★ MACD- RSI:44.8 前日比:-0.1% [安値圏] [10点]</v>
      </c>
      <c r="Z162" s="338">
        <f t="shared" si="54"/>
        <v>-0.12839030653186778</v>
      </c>
      <c r="AA162" s="212" t="str">
        <f t="shared" si="55"/>
        <v>下落▼</v>
      </c>
      <c r="AB162" s="333">
        <f>IF(OR(C162="",C162="TOPX",終値!E188=""),"",IFERROR(((終値!E188*0.333)+(終値!F188*0.222)+(終値!G188*0.148)+(終値!H188*0.099)+(終値!I188*0.066))/(0.333+0.222+0.148+0.099+0.066),""))</f>
        <v>622.29516129032254</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625.33277711561368</v>
      </c>
      <c r="AD162" s="212" t="str">
        <f t="shared" si="56"/>
        <v>もみ合い→</v>
      </c>
      <c r="AE162" s="212" t="str">
        <f t="shared" si="57"/>
        <v>25日戻り売り★</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○逆張り売り</v>
      </c>
      <c r="AG162">
        <f t="shared" si="58"/>
        <v>10</v>
      </c>
      <c r="AH162">
        <f t="shared" si="59"/>
        <v>99838</v>
      </c>
      <c r="AI162" s="373">
        <f t="array" ref="AI162">IF(C162="","",IFERROR((INDEX(終値!$E:$E,MATCH(TEXT(C162,"0"),終値!$A:$A,0))-INDEX(終値!$E:$CZ,MATCH(TEXT(C162,"0"),終値!$A:$A,0),$AN$2))/INDEX(終値!$E:$CZ,MATCH(TEXT(C162,"0"),終値!$A:$A,0),$AN$2)*100,""))</f>
        <v>-2.4478837650031582</v>
      </c>
      <c r="AJ162" s="373">
        <f t="array" ref="AJ162">IFERROR((終値!$E$5-INDEX(終値!$E$5:$CZ$5,1,$AN$2))/INDEX(終値!$E$5:$CZ$5,1,$AN$2)*100,"")</f>
        <v>-0.82558151178043282</v>
      </c>
      <c r="AK162" s="374">
        <f t="shared" si="60"/>
        <v>-1.6223022532227254</v>
      </c>
      <c r="AL162" s="372">
        <f t="shared" si="61"/>
        <v>1</v>
      </c>
      <c r="AO162" s="376" t="str">
        <f t="shared" si="62"/>
        <v>通常</v>
      </c>
      <c r="AP162" s="377">
        <f t="shared" si="63"/>
        <v>0</v>
      </c>
      <c r="AQ162">
        <f>IF(C162&lt;&gt;"",始値!F188,"")</f>
        <v>613</v>
      </c>
      <c r="AR162">
        <f>IF(C162&lt;&gt;"",高値!F188,"")</f>
        <v>630.5</v>
      </c>
      <c r="AS162">
        <f>IF(C162&lt;&gt;"",安値!F188,"")</f>
        <v>608.79999999999995</v>
      </c>
      <c r="AT162" t="str">
        <f t="shared" si="64"/>
        <v>通常</v>
      </c>
      <c r="AU162">
        <f t="shared" si="65"/>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1891.5</v>
      </c>
      <c r="F163" s="326">
        <f>IF(C163&lt;&gt;"",_xll.RssMarket(C163,"始値"),"")</f>
        <v>1910</v>
      </c>
      <c r="G163" s="325">
        <f>IF(C163&lt;&gt;"",終値!F189,"")</f>
        <v>2041</v>
      </c>
      <c r="H163" s="326">
        <f>IF(C163&lt;&gt;"",_xll.RssMarket(C163,"高値"),"")</f>
        <v>1961.5</v>
      </c>
      <c r="I163" s="326">
        <f>IF(C163&lt;&gt;"",_xll.RssMarket(C163,"安値"),"")</f>
        <v>1884.5</v>
      </c>
      <c r="J163" s="326">
        <f>IF(C163&lt;&gt;"",_xll.RssMarket(C163,"出来高"),"")</f>
        <v>859400</v>
      </c>
      <c r="K163" s="326">
        <f>IF(C163&lt;&gt;"",_xll.RssMarket(C163,"年初来高値"),"")</f>
        <v>2275</v>
      </c>
      <c r="L163" s="327">
        <f t="shared" si="44"/>
        <v>-16.857142857142858</v>
      </c>
      <c r="M163" s="326">
        <f>IF(C163&lt;&gt;"",IFERROR(AVERAGE(出来高!E189:I189),""),"")</f>
        <v>1939140</v>
      </c>
      <c r="N163" s="326">
        <f>IF(C163&lt;&gt;"",IFERROR(AVERAGE(出来高!E189:AC189),""),"")</f>
        <v>1394584</v>
      </c>
      <c r="O163" s="328">
        <f t="shared" si="45"/>
        <v>0.44318615468712935</v>
      </c>
      <c r="P163" s="325" t="str">
        <f t="shared" si="46"/>
        <v>減少↓</v>
      </c>
      <c r="Q163" s="325" t="str">
        <f t="shared" si="47"/>
        <v>中立→</v>
      </c>
      <c r="R163" s="326">
        <f t="shared" si="48"/>
        <v>1740</v>
      </c>
      <c r="S163" s="326">
        <f t="shared" si="49"/>
        <v>1967</v>
      </c>
      <c r="T163" s="325">
        <f t="shared" si="50"/>
        <v>7</v>
      </c>
      <c r="U163" s="325" t="str">
        <f t="shared" si="51"/>
        <v>要確認</v>
      </c>
      <c r="V163" s="325" t="str">
        <f t="shared" si="52"/>
        <v>通常</v>
      </c>
      <c r="W163" s="329">
        <f t="array" ref="W163">IFERROR(100-100/(1+SUMPRODUCT((終値!F189:R189&gt;終値!G189:S189)*(終値!F189:R189-終値!G189:S189))/SUMPRODUCT((終値!F189:R189&lt;終値!G189:S189)*(終値!G189:S189-終値!F189:R189))),50)</f>
        <v>63.218390804597703</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16.478482640036873</v>
      </c>
      <c r="Y163" s="325" t="str">
        <f t="shared" si="53"/>
        <v>相場上昇・見送り | 下降トレンド▼ MACD+ RSI:63.2 前日比:-7.3% [上ヒゲ陰線▼] [7点]</v>
      </c>
      <c r="Z163" s="331">
        <f t="shared" si="54"/>
        <v>-7.3248407643312099</v>
      </c>
      <c r="AA163" s="325" t="str">
        <f t="shared" si="55"/>
        <v>下落▼</v>
      </c>
      <c r="AB163" s="326">
        <f>IF(OR(C163="",C163="TOPX",終値!E189=""),"",IFERROR(((終値!E189*0.333)+(終値!F189*0.222)+(終値!G189*0.148)+(終値!H189*0.099)+(終値!I189*0.066))/(0.333+0.222+0.148+0.099+0.066),""))</f>
        <v>2019.4591013824881</v>
      </c>
      <c r="AC163" s="326">
        <f>IF(OR(C163="",C163="TOPX",終値!E189=""),"",IFERROR(SUMPRODUCT((終値!E189:AC189),{0.077,0.071,0.065,0.06,0.055,0.051,0.047,0.043,0.039,0.036,0.033,0.031,0.028,0.026,0.024,0.022,0.02,0.018,0.017,0.016,0.014,0.013,0.012,0.011,0.01})/SUM({0.077,0.071,0.065,0.06,0.055,0.051,0.047,0.043,0.039,0.036,0.033,0.031,0.028,0.026,0.024,0.022,0.02,0.018,0.017,0.016,0.014,0.013,0.012,0.011,0.01}),""))</f>
        <v>2023.1495828367104</v>
      </c>
      <c r="AD163" s="325" t="str">
        <f t="shared" si="56"/>
        <v>下降トレンド▼</v>
      </c>
      <c r="AE163" s="325" t="str">
        <f t="shared" si="57"/>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 t="shared" si="58"/>
        <v>7</v>
      </c>
      <c r="AH163">
        <f t="shared" si="59"/>
        <v>69837</v>
      </c>
      <c r="AI163" s="373">
        <f t="array" ref="AI163">IF(C163="","",IFERROR((INDEX(終値!$E:$E,MATCH(TEXT(C163,"0"),終値!$A:$A,0))-INDEX(終値!$E:$CZ,MATCH(TEXT(C163,"0"),終値!$A:$A,0),$AN$2))/INDEX(終値!$E:$CZ,MATCH(TEXT(C163,"0"),終値!$A:$A,0),$AN$2)*100,""))</f>
        <v>3.3171521035598706</v>
      </c>
      <c r="AJ163" s="373">
        <f t="array" ref="AJ163">IFERROR((終値!$E$5-INDEX(終値!$E$5:$CZ$5,1,$AN$2))/INDEX(終値!$E$5:$CZ$5,1,$AN$2)*100,"")</f>
        <v>-0.82558151178043282</v>
      </c>
      <c r="AK163" s="374">
        <f t="shared" si="60"/>
        <v>4.1427336153403029</v>
      </c>
      <c r="AL163" s="372">
        <f t="shared" si="61"/>
        <v>-2</v>
      </c>
      <c r="AO163" s="376" t="str">
        <f t="shared" si="62"/>
        <v>上ヒゲ陰線▼</v>
      </c>
      <c r="AP163" s="377">
        <f t="shared" si="63"/>
        <v>2</v>
      </c>
      <c r="AQ163">
        <f>IF(C163&lt;&gt;"",始値!F189,"")</f>
        <v>2055</v>
      </c>
      <c r="AR163">
        <f>IF(C163&lt;&gt;"",高値!F189,"")</f>
        <v>2073.5</v>
      </c>
      <c r="AS163">
        <f>IF(C163&lt;&gt;"",安値!F189,"")</f>
        <v>2012.5</v>
      </c>
      <c r="AT163" t="str">
        <f t="shared" si="64"/>
        <v>通常</v>
      </c>
      <c r="AU163">
        <f t="shared" si="65"/>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5760</v>
      </c>
      <c r="F164" s="333">
        <f>IF(C164&lt;&gt;"",_xll.RssMarket(C164,"始値"),"")</f>
        <v>5994</v>
      </c>
      <c r="G164" s="212">
        <f>IF(C164&lt;&gt;"",終値!F206,"")</f>
        <v>6042</v>
      </c>
      <c r="H164" s="333">
        <f>IF(C164&lt;&gt;"",_xll.RssMarket(C164,"高値"),"")</f>
        <v>6005</v>
      </c>
      <c r="I164" s="333">
        <f>IF(C164&lt;&gt;"",_xll.RssMarket(C164,"安値"),"")</f>
        <v>5758</v>
      </c>
      <c r="J164" s="333">
        <f>IF(C164&lt;&gt;"",_xll.RssMarket(C164,"出来高"),"")</f>
        <v>3758600</v>
      </c>
      <c r="K164" s="333">
        <f>IF(C164&lt;&gt;"",_xll.RssMarket(C164,"年初来高値"),"")</f>
        <v>6394</v>
      </c>
      <c r="L164" s="334">
        <f t="shared" si="44"/>
        <v>-9.9155458242101968</v>
      </c>
      <c r="M164" s="333">
        <f>IF(C164&lt;&gt;"",IFERROR(AVERAGE(出来高!E206:I206),""),"")</f>
        <v>3130620</v>
      </c>
      <c r="N164" s="333">
        <f>IF(C164&lt;&gt;"",IFERROR(AVERAGE(出来高!E206:AC206),""),"")</f>
        <v>2831400</v>
      </c>
      <c r="O164" s="335">
        <f t="shared" si="45"/>
        <v>1.200592853811705</v>
      </c>
      <c r="P164" s="212" t="str">
        <f t="shared" si="46"/>
        <v>普通→</v>
      </c>
      <c r="Q164" s="212" t="str">
        <f t="shared" si="47"/>
        <v>中立→</v>
      </c>
      <c r="R164" s="333">
        <f t="shared" si="48"/>
        <v>5299</v>
      </c>
      <c r="S164" s="333">
        <f t="shared" si="49"/>
        <v>5990</v>
      </c>
      <c r="T164" s="325">
        <f t="shared" si="50"/>
        <v>7</v>
      </c>
      <c r="U164" s="212" t="str">
        <f t="shared" si="51"/>
        <v>要確認</v>
      </c>
      <c r="V164" s="212" t="str">
        <f t="shared" si="52"/>
        <v>通常</v>
      </c>
      <c r="W164" s="336">
        <f t="array" ref="W164">IFERROR(100-100/(1+SUMPRODUCT((終値!F206:R206&gt;終値!G206:S206)*(終値!F206:R206-終値!G206:S206))/SUMPRODUCT((終値!F206:R206&lt;終値!G206:S206)*(終値!G206:S206-終値!F206:R206))),50)</f>
        <v>84.330484330484325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106.17834611664784</v>
      </c>
      <c r="Y164" s="212" t="str">
        <f t="shared" si="53"/>
        <v>○逆張り売り | もみ合い→ 25日戻り売り★ MACD+ RSI:84.3 [過熱] 前日比:-4.7% [大陰線▼] [7点]</v>
      </c>
      <c r="Z164" s="338">
        <f t="shared" si="54"/>
        <v>-4.6673286991062559</v>
      </c>
      <c r="AA164" s="212" t="str">
        <f t="shared" si="55"/>
        <v>下落▼</v>
      </c>
      <c r="AB164" s="333">
        <f>IF(OR(C164="",C164="TOPX",終値!E206=""),"",IFERROR(((終値!E206*0.333)+(終値!F206*0.222)+(終値!G206*0.148)+(終値!H206*0.099)+(終値!I206*0.066))/(0.333+0.222+0.148+0.099+0.066),""))</f>
        <v>6059.0276497695831</v>
      </c>
      <c r="AC164" s="333">
        <f>IF(OR(C164="",C164="TOPX",終値!E206=""),"",IFERROR(SUMPRODUCT((終値!E206:AC206),{0.077,0.071,0.065,0.06,0.055,0.051,0.047,0.043,0.039,0.036,0.033,0.031,0.028,0.026,0.024,0.022,0.02,0.018,0.017,0.016,0.014,0.013,0.012,0.011,0.01})/SUM({0.077,0.071,0.065,0.06,0.055,0.051,0.047,0.043,0.039,0.036,0.033,0.031,0.028,0.026,0.024,0.022,0.02,0.018,0.017,0.016,0.014,0.013,0.012,0.011,0.01}),""))</f>
        <v>5815.8390941597117</v>
      </c>
      <c r="AD164" s="212" t="str">
        <f t="shared" si="56"/>
        <v>もみ合い→</v>
      </c>
      <c r="AE164" s="212" t="str">
        <f t="shared" si="57"/>
        <v>25日戻り売り★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○逆張り売り</v>
      </c>
      <c r="AG164">
        <f t="shared" si="58"/>
        <v>7</v>
      </c>
      <c r="AH164">
        <f t="shared" si="59"/>
        <v>69836</v>
      </c>
      <c r="AI164" s="373">
        <f t="array" ref="AI164">IF(C164="","",IFERROR((INDEX(終値!$E:$E,MATCH(TEXT(C164,"0"),終値!$A:$A,0))-INDEX(終値!$E:$CZ,MATCH(TEXT(C164,"0"),終値!$A:$A,0),$AN$2))/INDEX(終値!$E:$CZ,MATCH(TEXT(C164,"0"),終値!$A:$A,0),$AN$2)*100,""))</f>
        <v>15.794536360138514</v>
      </c>
      <c r="AJ164" s="373">
        <f t="array" ref="AJ164">IFERROR((終値!$E$5-INDEX(終値!$E$5:$CZ$5,1,$AN$2))/INDEX(終値!$E$5:$CZ$5,1,$AN$2)*100,"")</f>
        <v>-0.82558151178043282</v>
      </c>
      <c r="AK164" s="374">
        <f t="shared" si="60"/>
        <v>16.620117871918946</v>
      </c>
      <c r="AL164" s="372">
        <f t="shared" si="61"/>
        <v>-2</v>
      </c>
      <c r="AO164" s="376" t="str">
        <f t="shared" si="62"/>
        <v>大陰線▼</v>
      </c>
      <c r="AP164" s="377">
        <f t="shared" si="63"/>
        <v>2</v>
      </c>
      <c r="AQ164">
        <f>IF(C164&lt;&gt;"",始値!F206,"")</f>
        <v>6021</v>
      </c>
      <c r="AR164">
        <f>IF(C164&lt;&gt;"",高値!F206,"")</f>
        <v>6078</v>
      </c>
      <c r="AS164">
        <f>IF(C164&lt;&gt;"",安値!F206,"")</f>
        <v>5903</v>
      </c>
      <c r="AT164" t="str">
        <f t="shared" si="64"/>
        <v>通常</v>
      </c>
      <c r="AU164">
        <f t="shared" si="65"/>
        <v>0</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1706</v>
      </c>
      <c r="F165" s="326">
        <f>IF(C165&lt;&gt;"",_xll.RssMarket(C165,"始値"),"")</f>
        <v>1697</v>
      </c>
      <c r="G165" s="325">
        <f>IF(C165&lt;&gt;"",終値!F7,"")</f>
        <v>1695</v>
      </c>
      <c r="H165" s="326">
        <f>IF(C165&lt;&gt;"",_xll.RssMarket(C165,"高値"),"")</f>
        <v>1722</v>
      </c>
      <c r="I165" s="326">
        <f>IF(C165&lt;&gt;"",_xll.RssMarket(C165,"安値"),"")</f>
        <v>1689</v>
      </c>
      <c r="J165" s="326">
        <f>IF(C165&lt;&gt;"",_xll.RssMarket(C165,"出来高"),"")</f>
        <v>137200</v>
      </c>
      <c r="K165" s="326">
        <f>IF(C165&lt;&gt;"",_xll.RssMarket(C165,"年初来高値"),"")</f>
        <v>1973</v>
      </c>
      <c r="L165" s="327">
        <f t="shared" si="44"/>
        <v>-13.532691332995439</v>
      </c>
      <c r="M165" s="326">
        <f>IF(C165&lt;&gt;"",IFERROR(AVERAGE(出来高!E7:I7),""),"")</f>
        <v>410460</v>
      </c>
      <c r="N165" s="326">
        <f>IF(C165&lt;&gt;"",IFERROR(AVERAGE(出来高!E7:AC7),""),"")</f>
        <v>385268</v>
      </c>
      <c r="O165" s="328">
        <f t="shared" si="45"/>
        <v>0.33425912390975976</v>
      </c>
      <c r="P165" s="325" t="str">
        <f t="shared" si="46"/>
        <v>減少↓</v>
      </c>
      <c r="Q165" s="325" t="str">
        <f t="shared" si="47"/>
        <v>様子見▲</v>
      </c>
      <c r="R165" s="326">
        <f t="shared" si="48"/>
        <v>1570</v>
      </c>
      <c r="S165" s="326">
        <f t="shared" si="49"/>
        <v>1774</v>
      </c>
      <c r="T165" s="325">
        <f t="shared" si="50"/>
        <v>8</v>
      </c>
      <c r="U165" s="325" t="str">
        <f t="shared" si="51"/>
        <v>要確認</v>
      </c>
      <c r="V165" s="325" t="str">
        <f t="shared" si="52"/>
        <v>通常</v>
      </c>
      <c r="W165" s="329">
        <f t="array" ref="W165">IFERROR(100-100/(1+SUMPRODUCT((終値!F7:R7&gt;終値!G7:S7)*(終値!F7:R7-終値!G7:S7))/SUMPRODUCT((終値!F7:R7&lt;終値!G7:S7)*(終値!G7:S7-終値!F7:R7))),50)</f>
        <v>45.481049562682216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-1.0704886582088875</v>
      </c>
      <c r="Y165" s="325" t="str">
        <f t="shared" si="53"/>
        <v>★逆張り売り | 下降トレンド▼ 25日戻り売り★ MACD- RSI:45.5 前日比:+0.6%前日[大陰線▼] [8点]</v>
      </c>
      <c r="Z165" s="331">
        <f t="shared" si="54"/>
        <v>0.64896755162241893</v>
      </c>
      <c r="AA165" s="325" t="str">
        <f t="shared" si="55"/>
        <v>上昇▲</v>
      </c>
      <c r="AB165" s="326">
        <f>IF(OR(C165="",C165="TOPX",終値!E7=""),"",IFERROR(((終値!E7*0.333)+(終値!F7*0.222)+(終値!G7*0.148)+(終値!H7*0.099)+(終値!I7*0.066))/(0.333+0.222+0.148+0.099+0.066),""))</f>
        <v>1719.9700460829492</v>
      </c>
      <c r="AC165" s="326">
        <f>IF(OR(C165="",C165="TOPX",終値!E7=""),"",IFERROR(SUMPRODUCT((終値!E7:AC7),{0.077,0.071,0.065,0.06,0.055,0.051,0.047,0.043,0.039,0.036,0.033,0.031,0.028,0.026,0.024,0.022,0.02,0.018,0.017,0.016,0.014,0.013,0.012,0.011,0.01})/SUM({0.077,0.071,0.065,0.06,0.055,0.051,0.047,0.043,0.039,0.036,0.033,0.031,0.028,0.026,0.024,0.022,0.02,0.018,0.017,0.016,0.014,0.013,0.012,0.011,0.01}),""))</f>
        <v>1733.9284862932057</v>
      </c>
      <c r="AD165" s="325" t="str">
        <f t="shared" si="56"/>
        <v>下降トレンド▼</v>
      </c>
      <c r="AE165" s="325" t="str">
        <f t="shared" si="57"/>
        <v>25日戻り売り★</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★逆張り売り</v>
      </c>
      <c r="AG165">
        <f t="shared" si="58"/>
        <v>8</v>
      </c>
      <c r="AH165">
        <f t="shared" si="59"/>
        <v>79835</v>
      </c>
      <c r="AI165" s="373">
        <f t="array" ref="AI165">IF(C165="","",IFERROR((INDEX(終値!$E:$E,MATCH(TEXT(C165,"0"),終値!$A:$A,0))-INDEX(終値!$E:$CZ,MATCH(TEXT(C165,"0"),終値!$A:$A,0),$AN$2))/INDEX(終値!$E:$CZ,MATCH(TEXT(C165,"0"),終値!$A:$A,0),$AN$2)*100,""))</f>
        <v>-0.11827321111768185</v>
      </c>
      <c r="AJ165" s="373">
        <f t="array" ref="AJ165">IFERROR((終値!$E$5-INDEX(終値!$E$5:$CZ$5,1,$AN$2))/INDEX(終値!$E$5:$CZ$5,1,$AN$2)*100,"")</f>
        <v>-0.82558151178043282</v>
      </c>
      <c r="AK165" s="374">
        <f t="shared" si="60"/>
        <v>0.70730830066275097</v>
      </c>
      <c r="AL165" s="372">
        <f t="shared" si="61"/>
        <v>-1</v>
      </c>
      <c r="AO165" s="376" t="str">
        <f t="shared" si="62"/>
        <v>通常</v>
      </c>
      <c r="AP165" s="377">
        <f t="shared" si="63"/>
        <v>0</v>
      </c>
      <c r="AQ165">
        <f>IF(C165&lt;&gt;"",始値!F7,"")</f>
        <v>1760</v>
      </c>
      <c r="AR165">
        <f>IF(C165&lt;&gt;"",高値!F7,"")</f>
        <v>1763</v>
      </c>
      <c r="AS165">
        <f>IF(C165&lt;&gt;"",安値!F7,"")</f>
        <v>1694</v>
      </c>
      <c r="AT165" t="str">
        <f t="shared" si="64"/>
        <v>大陰線▼</v>
      </c>
      <c r="AU165">
        <f t="shared" si="65"/>
        <v>2</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3406</v>
      </c>
      <c r="F166" s="333">
        <f>IF(C166&lt;&gt;"",_xll.RssMarket(C166,"始値"),"")</f>
        <v>3451</v>
      </c>
      <c r="G166" s="212">
        <f>IF(C166&lt;&gt;"",終値!F12,"")</f>
        <v>3519</v>
      </c>
      <c r="H166" s="333">
        <f>IF(C166&lt;&gt;"",_xll.RssMarket(C166,"高値"),"")</f>
        <v>3472</v>
      </c>
      <c r="I166" s="333">
        <f>IF(C166&lt;&gt;"",_xll.RssMarket(C166,"安値"),"")</f>
        <v>3385</v>
      </c>
      <c r="J166" s="333">
        <f>IF(C166&lt;&gt;"",_xll.RssMarket(C166,"出来高"),"")</f>
        <v>2896500</v>
      </c>
      <c r="K166" s="333">
        <f>IF(C166&lt;&gt;"",_xll.RssMarket(C166,"年初来高値"),"")</f>
        <v>4955</v>
      </c>
      <c r="L166" s="334">
        <f t="shared" si="44"/>
        <v>-31.261352169525729</v>
      </c>
      <c r="M166" s="333">
        <f>IF(C166&lt;&gt;"",IFERROR(AVERAGE(出来高!E12:I12),""),"")</f>
        <v>3695420</v>
      </c>
      <c r="N166" s="333">
        <f>IF(C166&lt;&gt;"",IFERROR(AVERAGE(出来高!E12:AC12),""),"")</f>
        <v>4560436</v>
      </c>
      <c r="O166" s="335">
        <f t="shared" si="45"/>
        <v>0.78380806511844392</v>
      </c>
      <c r="P166" s="212" t="str">
        <f t="shared" si="46"/>
        <v>減少↓</v>
      </c>
      <c r="Q166" s="212" t="str">
        <f t="shared" si="47"/>
        <v>中立→</v>
      </c>
      <c r="R166" s="333">
        <f t="shared" si="48"/>
        <v>3134</v>
      </c>
      <c r="S166" s="333">
        <f t="shared" si="49"/>
        <v>3542</v>
      </c>
      <c r="T166" s="325">
        <f t="shared" si="50"/>
        <v>3</v>
      </c>
      <c r="U166" s="212" t="str">
        <f t="shared" si="51"/>
        <v>要確認</v>
      </c>
      <c r="V166" s="212" t="str">
        <f t="shared" si="52"/>
        <v>安値圏</v>
      </c>
      <c r="W166" s="336">
        <f t="array" ref="W166">IFERROR(100-100/(1+SUMPRODUCT((終値!F12:R12&gt;終値!G12:S12)*(終値!F12:R12-終値!G12:S12))/SUMPRODUCT((終値!F12:R12&lt;終値!G12:S12)*(終値!G12:S12-終値!F12:R12))),50)</f>
        <v>56.517311608961307</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32.526106615613116</v>
      </c>
      <c r="Y166" s="212" t="str">
        <f t="shared" si="53"/>
        <v>相場上昇・見送り | もみ合い→ MACD+ RSI:56.5 前日比:-3.2% [安値圏]前日[長い下ヒゲ(反発)] [3点]</v>
      </c>
      <c r="Z166" s="338">
        <f t="shared" si="54"/>
        <v>-3.2111395282750781</v>
      </c>
      <c r="AA166" s="212" t="str">
        <f t="shared" si="55"/>
        <v>下落▼</v>
      </c>
      <c r="AB166" s="333">
        <f>IF(OR(C166="",C166="TOPX",終値!E12=""),"",IFERROR(((終値!E12*0.333)+(終値!F12*0.222)+(終値!G12*0.148)+(終値!H12*0.099)+(終値!I12*0.066))/(0.333+0.222+0.148+0.099+0.066),""))</f>
        <v>3546.8640552995384</v>
      </c>
      <c r="AC166" s="333">
        <f>IF(OR(C166="",C166="TOPX",終値!E12=""),"",IFERROR(SUMPRODUCT((終値!E12:AC12),{0.077,0.071,0.065,0.06,0.055,0.051,0.047,0.043,0.039,0.036,0.033,0.031,0.028,0.026,0.024,0.022,0.02,0.018,0.017,0.016,0.014,0.013,0.012,0.011,0.01})/SUM({0.077,0.071,0.065,0.06,0.055,0.051,0.047,0.043,0.039,0.036,0.033,0.031,0.028,0.026,0.024,0.022,0.02,0.018,0.017,0.016,0.014,0.013,0.012,0.011,0.01}),""))</f>
        <v>3528.2061978545871</v>
      </c>
      <c r="AD166" s="212" t="str">
        <f t="shared" si="56"/>
        <v>もみ合い→</v>
      </c>
      <c r="AE166" s="212" t="str">
        <f t="shared" si="57"/>
        <v>なし</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相場上昇・見送り</v>
      </c>
      <c r="AG166">
        <f t="shared" si="58"/>
        <v>0</v>
      </c>
      <c r="AH166">
        <f t="shared" si="59"/>
        <v>0</v>
      </c>
      <c r="AI166" s="373">
        <f t="array" ref="AI166">IF(C166="","",IFERROR((INDEX(終値!$E:$E,MATCH(TEXT(C166,"0"),終値!$A:$A,0))-INDEX(終値!$E:$CZ,MATCH(TEXT(C166,"0"),終値!$A:$A,0),$AN$2))/INDEX(終値!$E:$CZ,MATCH(TEXT(C166,"0"),終値!$A:$A,0),$AN$2)*100,""))</f>
        <v>6.52837095790116</v>
      </c>
      <c r="AJ166" s="373">
        <f t="array" ref="AJ166">IFERROR((終値!$E$5-INDEX(終値!$E$5:$CZ$5,1,$AN$2))/INDEX(終値!$E$5:$CZ$5,1,$AN$2)*100,"")</f>
        <v>-0.82558151178043282</v>
      </c>
      <c r="AK166" s="374">
        <f t="shared" si="60"/>
        <v>7.3539524696815928</v>
      </c>
      <c r="AL166" s="372">
        <f t="shared" si="61"/>
        <v>-2</v>
      </c>
      <c r="AO166" s="376" t="str">
        <f t="shared" si="62"/>
        <v>通常</v>
      </c>
      <c r="AP166" s="377">
        <f t="shared" si="63"/>
        <v>0</v>
      </c>
      <c r="AQ166">
        <f>IF(C166&lt;&gt;"",始値!F12,"")</f>
        <v>3600</v>
      </c>
      <c r="AR166">
        <f>IF(C166&lt;&gt;"",高値!F12,"")</f>
        <v>3601</v>
      </c>
      <c r="AS166">
        <f>IF(C166&lt;&gt;"",安値!F12,"")</f>
        <v>3430</v>
      </c>
      <c r="AT166" t="str">
        <f t="shared" si="64"/>
        <v>長い下ヒゲ(反発)</v>
      </c>
      <c r="AU166">
        <f t="shared" si="65"/>
        <v>-2</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4820</v>
      </c>
      <c r="F167" s="326">
        <f>IF(C167&lt;&gt;"",_xll.RssMarket(C167,"始値"),"")</f>
        <v>4901</v>
      </c>
      <c r="G167" s="325">
        <f>IF(C167&lt;&gt;"",終値!F14,"")</f>
        <v>5132</v>
      </c>
      <c r="H167" s="326">
        <f>IF(C167&lt;&gt;"",_xll.RssMarket(C167,"高値"),"")</f>
        <v>4922</v>
      </c>
      <c r="I167" s="326">
        <f>IF(C167&lt;&gt;"",_xll.RssMarket(C167,"安値"),"")</f>
        <v>4788</v>
      </c>
      <c r="J167" s="326">
        <f>IF(C167&lt;&gt;"",_xll.RssMarket(C167,"出来高"),"")</f>
        <v>5208400</v>
      </c>
      <c r="K167" s="326">
        <f>IF(C167&lt;&gt;"",_xll.RssMarket(C167,"年初来高値"),"")</f>
        <v>6328</v>
      </c>
      <c r="L167" s="327">
        <f t="shared" si="44"/>
        <v>-23.830594184576487</v>
      </c>
      <c r="M167" s="326">
        <f>IF(C167&lt;&gt;"",IFERROR(AVERAGE(出来高!E14:I14),""),"")</f>
        <v>7239620</v>
      </c>
      <c r="N167" s="326">
        <f>IF(C167&lt;&gt;"",IFERROR(AVERAGE(出来高!E14:AC14),""),"")</f>
        <v>4865348</v>
      </c>
      <c r="O167" s="328">
        <f t="shared" si="45"/>
        <v>0.7194300253328213</v>
      </c>
      <c r="P167" s="325" t="str">
        <f t="shared" si="46"/>
        <v>減少↓</v>
      </c>
      <c r="Q167" s="325" t="str">
        <f t="shared" si="47"/>
        <v>中立→</v>
      </c>
      <c r="R167" s="326">
        <f t="shared" si="48"/>
        <v>4434</v>
      </c>
      <c r="S167" s="326">
        <f t="shared" si="49"/>
        <v>5013</v>
      </c>
      <c r="T167" s="325">
        <f t="shared" si="50"/>
        <v>5</v>
      </c>
      <c r="U167" s="325" t="str">
        <f t="shared" si="51"/>
        <v>要確認</v>
      </c>
      <c r="V167" s="325" t="str">
        <f t="shared" si="52"/>
        <v>通常</v>
      </c>
      <c r="W167" s="329">
        <f t="array" ref="W167">IFERROR(100-100/(1+SUMPRODUCT((終値!F14:R14&gt;終値!G14:S14)*(終値!F14:R14-終値!G14:S14))/SUMPRODUCT((終値!F14:R14&lt;終値!G14:S14)*(終値!G14:S14-終値!F14:R14))),50)</f>
        <v>61.36363636363636</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38.023927415728394</v>
      </c>
      <c r="Y167" s="325" t="str">
        <f t="shared" si="53"/>
        <v>相場上昇・見送り | 下降トレンド▼ MACD+ RSI:61.4 前日比:-6.1% [5点]</v>
      </c>
      <c r="Z167" s="331">
        <f t="shared" si="54"/>
        <v>-6.0795011691348408</v>
      </c>
      <c r="AA167" s="325" t="str">
        <f t="shared" si="55"/>
        <v>下落▼</v>
      </c>
      <c r="AB167" s="326">
        <f>IF(OR(C167="",C167="TOPX",終値!E14=""),"",IFERROR(((終値!E14*0.333)+(終値!F14*0.222)+(終値!G14*0.148)+(終値!H14*0.099)+(終値!I14*0.066))/(0.333+0.222+0.148+0.099+0.066),""))</f>
        <v>5081.8052995391708</v>
      </c>
      <c r="AC167" s="326">
        <f>IF(OR(C167="",C167="TOPX",終値!E14=""),"",IFERROR(SUMPRODUCT((終値!E14:AC14),{0.077,0.071,0.065,0.06,0.055,0.051,0.047,0.043,0.039,0.036,0.033,0.031,0.028,0.026,0.024,0.022,0.02,0.018,0.017,0.016,0.014,0.013,0.012,0.011,0.01})/SUM({0.077,0.071,0.065,0.06,0.055,0.051,0.047,0.043,0.039,0.036,0.033,0.031,0.028,0.026,0.024,0.022,0.02,0.018,0.017,0.016,0.014,0.013,0.012,0.011,0.01}),""))</f>
        <v>5122.3492252681745</v>
      </c>
      <c r="AD167" s="325" t="str">
        <f t="shared" si="56"/>
        <v>下降トレンド▼</v>
      </c>
      <c r="AE167" s="325" t="str">
        <f t="shared" si="57"/>
        <v>なし</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相場上昇・見送り</v>
      </c>
      <c r="AG167">
        <f t="shared" si="58"/>
        <v>0</v>
      </c>
      <c r="AH167">
        <f t="shared" si="59"/>
        <v>0</v>
      </c>
      <c r="AI167" s="373">
        <f t="array" ref="AI167">IF(C167="","",IFERROR((INDEX(終値!$E:$E,MATCH(TEXT(C167,"0"),終値!$A:$A,0))-INDEX(終値!$E:$CZ,MATCH(TEXT(C167,"0"),終値!$A:$A,0),$AN$2))/INDEX(終値!$E:$CZ,MATCH(TEXT(C167,"0"),終値!$A:$A,0),$AN$2)*100,""))</f>
        <v>4.7528113727986421</v>
      </c>
      <c r="AJ167" s="373">
        <f t="array" ref="AJ167">IFERROR((終値!$E$5-INDEX(終値!$E$5:$CZ$5,1,$AN$2))/INDEX(終値!$E$5:$CZ$5,1,$AN$2)*100,"")</f>
        <v>-0.82558151178043282</v>
      </c>
      <c r="AK167" s="374">
        <f t="shared" si="60"/>
        <v>5.5783928845790749</v>
      </c>
      <c r="AL167" s="372">
        <f t="shared" si="61"/>
        <v>-2</v>
      </c>
      <c r="AO167" s="376" t="str">
        <f t="shared" si="62"/>
        <v>通常</v>
      </c>
      <c r="AP167" s="377">
        <f t="shared" si="63"/>
        <v>0</v>
      </c>
      <c r="AQ167">
        <f>IF(C167&lt;&gt;"",始値!F14,"")</f>
        <v>5111</v>
      </c>
      <c r="AR167">
        <f>IF(C167&lt;&gt;"",高値!F14,"")</f>
        <v>5351</v>
      </c>
      <c r="AS167">
        <f>IF(C167&lt;&gt;"",安値!F14,"")</f>
        <v>4985</v>
      </c>
      <c r="AT167" t="str">
        <f t="shared" si="64"/>
        <v>通常</v>
      </c>
      <c r="AU167">
        <f t="shared" si="65"/>
        <v>0</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4749</v>
      </c>
      <c r="F168" s="333">
        <f>IF(C168&lt;&gt;"",_xll.RssMarket(C168,"始値"),"")</f>
        <v>4809</v>
      </c>
      <c r="G168" s="212">
        <f>IF(C168&lt;&gt;"",終値!F22,"")</f>
        <v>4820</v>
      </c>
      <c r="H168" s="333">
        <f>IF(C168&lt;&gt;"",_xll.RssMarket(C168,"高値"),"")</f>
        <v>4822</v>
      </c>
      <c r="I168" s="333">
        <f>IF(C168&lt;&gt;"",_xll.RssMarket(C168,"安値"),"")</f>
        <v>4737</v>
      </c>
      <c r="J168" s="333">
        <f>IF(C168&lt;&gt;"",_xll.RssMarket(C168,"出来高"),"")</f>
        <v>1896000</v>
      </c>
      <c r="K168" s="333">
        <f>IF(C168&lt;&gt;"",_xll.RssMarket(C168,"年初来高値"),"")</f>
        <v>5073</v>
      </c>
      <c r="L168" s="334">
        <f t="shared" si="44"/>
        <v>-6.3867534003548192</v>
      </c>
      <c r="M168" s="333">
        <f>IF(C168&lt;&gt;"",IFERROR(AVERAGE(出来高!E22:I22),""),"")</f>
        <v>4717800</v>
      </c>
      <c r="N168" s="333">
        <f>IF(C168&lt;&gt;"",IFERROR(AVERAGE(出来高!E22:AC22),""),"")</f>
        <v>4937276</v>
      </c>
      <c r="O168" s="335">
        <f t="shared" si="45"/>
        <v>0.40188223324430877</v>
      </c>
      <c r="P168" s="212" t="str">
        <f t="shared" si="46"/>
        <v>減少↓</v>
      </c>
      <c r="Q168" s="212" t="str">
        <f t="shared" si="47"/>
        <v>中立→</v>
      </c>
      <c r="R168" s="333">
        <f t="shared" si="48"/>
        <v>4369</v>
      </c>
      <c r="S168" s="333">
        <f t="shared" si="49"/>
        <v>4939</v>
      </c>
      <c r="T168" s="325">
        <f t="shared" si="50"/>
        <v>4</v>
      </c>
      <c r="U168" s="212" t="str">
        <f t="shared" si="51"/>
        <v>要確認</v>
      </c>
      <c r="V168" s="212" t="str">
        <f t="shared" si="52"/>
        <v>通常</v>
      </c>
      <c r="W168" s="336">
        <f t="array" ref="W168">IFERROR(100-100/(1+SUMPRODUCT((終値!F22:R22&gt;終値!G22:S22)*(終値!F22:R22-終値!G22:S22))/SUMPRODUCT((終値!F22:R22&lt;終値!G22:S22)*(終値!G22:S22-終値!F22:R22))),50)</f>
        <v>68.86517943743938</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66.176535092086851</v>
      </c>
      <c r="Y168" s="212" t="str">
        <f t="shared" si="53"/>
        <v>○逆張り売り | もみ合い→ 25日戻り売り★ MACD+ RSI:68.9 前日比:-1.5% [大陰線▼]前日[長い下ヒゲ(反発)] [4点]</v>
      </c>
      <c r="Z168" s="338">
        <f t="shared" si="54"/>
        <v>-1.4730290456431534</v>
      </c>
      <c r="AA168" s="212" t="str">
        <f t="shared" si="55"/>
        <v>下落▼</v>
      </c>
      <c r="AB168" s="333">
        <f>IF(OR(C168="",C168="TOPX",終値!E22=""),"",IFERROR(((終値!E22*0.333)+(終値!F22*0.222)+(終値!G22*0.148)+(終値!H22*0.099)+(終値!I22*0.066))/(0.333+0.222+0.148+0.099+0.066),""))</f>
        <v>4844.4585253456216</v>
      </c>
      <c r="AC168" s="333">
        <f>IF(OR(C168="",C168="TOPX",終値!E22=""),"",IFERROR(SUMPRODUCT((終値!E22:AC22),{0.077,0.071,0.065,0.06,0.055,0.051,0.047,0.043,0.039,0.036,0.033,0.031,0.028,0.026,0.024,0.022,0.02,0.018,0.017,0.016,0.014,0.013,0.012,0.011,0.01})/SUM({0.077,0.071,0.065,0.06,0.055,0.051,0.047,0.043,0.039,0.036,0.033,0.031,0.028,0.026,0.024,0.022,0.02,0.018,0.017,0.016,0.014,0.013,0.012,0.011,0.01}),""))</f>
        <v>4764.3969010727042</v>
      </c>
      <c r="AD168" s="212" t="str">
        <f t="shared" si="56"/>
        <v>もみ合い→</v>
      </c>
      <c r="AE168" s="212" t="str">
        <f t="shared" si="57"/>
        <v>25日戻り売り★</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○逆張り売り</v>
      </c>
      <c r="AG168">
        <f t="shared" si="58"/>
        <v>0</v>
      </c>
      <c r="AH168">
        <f t="shared" si="59"/>
        <v>0</v>
      </c>
      <c r="AI168" s="373">
        <f t="array" ref="AI168">IF(C168="","",IFERROR((INDEX(終値!$E:$E,MATCH(TEXT(C168,"0"),終値!$A:$A,0))-INDEX(終値!$E:$CZ,MATCH(TEXT(C168,"0"),終値!$A:$A,0),$AN$2))/INDEX(終値!$E:$CZ,MATCH(TEXT(C168,"0"),終値!$A:$A,0),$AN$2)*100,""))</f>
        <v>11.31455399061033</v>
      </c>
      <c r="AJ168" s="373">
        <f t="array" ref="AJ168">IFERROR((終値!$E$5-INDEX(終値!$E$5:$CZ$5,1,$AN$2))/INDEX(終値!$E$5:$CZ$5,1,$AN$2)*100,"")</f>
        <v>-0.82558151178043282</v>
      </c>
      <c r="AK168" s="374">
        <f t="shared" si="60"/>
        <v>12.140135502390763</v>
      </c>
      <c r="AL168" s="372">
        <f t="shared" si="61"/>
        <v>-2</v>
      </c>
      <c r="AO168" s="376" t="str">
        <f t="shared" si="62"/>
        <v>大陰線▼</v>
      </c>
      <c r="AP168" s="377">
        <f t="shared" si="63"/>
        <v>2</v>
      </c>
      <c r="AQ168">
        <f>IF(C168&lt;&gt;"",始値!F22,"")</f>
        <v>4854</v>
      </c>
      <c r="AR168">
        <f>IF(C168&lt;&gt;"",高値!F22,"")</f>
        <v>4863</v>
      </c>
      <c r="AS168">
        <f>IF(C168&lt;&gt;"",安値!F22,"")</f>
        <v>4702</v>
      </c>
      <c r="AT168" t="str">
        <f t="shared" si="64"/>
        <v>長い下ヒゲ(反発)</v>
      </c>
      <c r="AU168">
        <f t="shared" si="65"/>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1627.5</v>
      </c>
      <c r="F169" s="326">
        <f>IF(C169&lt;&gt;"",_xll.RssMarket(C169,"始値"),"")</f>
        <v>1628.5</v>
      </c>
      <c r="G169" s="325">
        <f>IF(C169&lt;&gt;"",終値!F27,"")</f>
        <v>0</v>
      </c>
      <c r="H169" s="326">
        <f>IF(C169&lt;&gt;"",_xll.RssMarket(C169,"高値"),"")</f>
        <v>1659</v>
      </c>
      <c r="I169" s="326">
        <f>IF(C169&lt;&gt;"",_xll.RssMarket(C169,"安値"),"")</f>
        <v>1612</v>
      </c>
      <c r="J169" s="326">
        <f>IF(C169&lt;&gt;"",_xll.RssMarket(C169,"出来高"),"")</f>
        <v>523700</v>
      </c>
      <c r="K169" s="326">
        <f>IF(C169&lt;&gt;"",_xll.RssMarket(C169,"年初来高値"),"")</f>
        <v>1773</v>
      </c>
      <c r="L169" s="327">
        <f t="shared" si="44"/>
        <v>-8.2064297800338419</v>
      </c>
      <c r="M169" s="326" t="str">
        <f>IF(C169&lt;&gt;"",IFERROR(AVERAGE(出来高!E27:I27),""),"")</f>
        <v/>
      </c>
      <c r="N169" s="326" t="str">
        <f>IF(C169&lt;&gt;"",IFERROR(AVERAGE(出来高!E27:AC27),""),"")</f>
        <v/>
      </c>
      <c r="O169" s="328" t="str">
        <f t="shared" si="45"/>
        <v/>
      </c>
      <c r="P169" s="325" t="str">
        <f t="shared" si="46"/>
        <v/>
      </c>
      <c r="Q169" s="325" t="str">
        <f t="shared" si="47"/>
        <v>様子見▲</v>
      </c>
      <c r="R169" s="326">
        <f t="shared" si="48"/>
        <v>1497</v>
      </c>
      <c r="S169" s="326">
        <f t="shared" si="49"/>
        <v>1693</v>
      </c>
      <c r="T169" s="325">
        <f t="shared" si="50"/>
        <v>1</v>
      </c>
      <c r="U169" s="325" t="str">
        <f t="shared" si="51"/>
        <v>除外</v>
      </c>
      <c r="V169" s="325" t="str">
        <f t="shared" si="52"/>
        <v>通常</v>
      </c>
      <c r="W169" s="329">
        <f t="array" ref="W169">IFERROR(100-100/(1+SUMPRODUCT((終値!F27:R27&gt;終値!G27:S27)*(終値!F27:R27-終値!G27:S27))/SUMPRODUCT((終値!F27:R27&lt;終値!G27:S27)*(終値!G27:S27-終値!F27:R27))),50)</f>
        <v>50</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0</v>
      </c>
      <c r="Y169" s="325" t="str">
        <f t="shared" si="53"/>
        <v>相場上昇・見送り |   MACD+ RSI:50.0 前日比:% [1点]</v>
      </c>
      <c r="Z169" s="331" t="str">
        <f t="shared" si="54"/>
        <v/>
      </c>
      <c r="AA169" s="325" t="str">
        <f t="shared" si="55"/>
        <v>上昇▲</v>
      </c>
      <c r="AB169" s="326" t="str">
        <f>IF(OR(C169="",C169="TOPX",終値!E27=""),"",IFERROR(((終値!E27*0.333)+(終値!F27*0.222)+(終値!G27*0.148)+(終値!H27*0.099)+(終値!I27*0.066))/(0.333+0.222+0.148+0.099+0.066),""))</f>
        <v/>
      </c>
      <c r="AC169" s="326" t="str">
        <f>IF(OR(C169="",C169="TOPX",終値!E27=""),"",IFERROR(SUMPRODUCT((終値!E27:AC27),{0.077,0.071,0.065,0.06,0.055,0.051,0.047,0.043,0.039,0.036,0.033,0.031,0.028,0.026,0.024,0.022,0.02,0.018,0.017,0.016,0.014,0.013,0.012,0.011,0.01})/SUM({0.077,0.071,0.065,0.06,0.055,0.051,0.047,0.043,0.039,0.036,0.033,0.031,0.028,0.026,0.024,0.022,0.02,0.018,0.017,0.016,0.014,0.013,0.012,0.011,0.01}),""))</f>
        <v/>
      </c>
      <c r="AD169" s="325" t="str">
        <f t="shared" si="56"/>
        <v/>
      </c>
      <c r="AE169" s="325" t="str">
        <f t="shared" si="57"/>
        <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 t="shared" si="58"/>
        <v>0</v>
      </c>
      <c r="AH169">
        <f t="shared" si="59"/>
        <v>0</v>
      </c>
      <c r="AI169" s="373" t="str">
        <f t="array" ref="AI169">IF(C169="","",IFERROR((INDEX(終値!$E:$E,MATCH(TEXT(C169,"0"),終値!$A:$A,0))-INDEX(終値!$E:$CZ,MATCH(TEXT(C169,"0"),終値!$A:$A,0),$AN$2))/INDEX(終値!$E:$CZ,MATCH(TEXT(C169,"0"),終値!$A:$A,0),$AN$2)*100,""))</f>
        <v/>
      </c>
      <c r="AJ169" s="373">
        <f t="array" ref="AJ169">IFERROR((終値!$E$5-INDEX(終値!$E$5:$CZ$5,1,$AN$2))/INDEX(終値!$E$5:$CZ$5,1,$AN$2)*100,"")</f>
        <v>-0.82558151178043282</v>
      </c>
      <c r="AK169" s="374" t="str">
        <f t="shared" si="60"/>
        <v/>
      </c>
      <c r="AL169" s="372" t="str">
        <f t="shared" si="61"/>
        <v/>
      </c>
      <c r="AO169" s="376" t="str">
        <f t="shared" si="62"/>
        <v>通常</v>
      </c>
      <c r="AP169" s="377">
        <f t="shared" si="63"/>
        <v>0</v>
      </c>
      <c r="AQ169">
        <f>IF(C169&lt;&gt;"",始値!F27,"")</f>
        <v>0</v>
      </c>
      <c r="AR169">
        <f>IF(C169&lt;&gt;"",高値!F27,"")</f>
        <v>0</v>
      </c>
      <c r="AS169">
        <f>IF(C169&lt;&gt;"",安値!F27,"")</f>
        <v>0</v>
      </c>
      <c r="AT169" t="str">
        <f t="shared" si="64"/>
        <v>-</v>
      </c>
      <c r="AU169">
        <f t="shared" si="65"/>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4076</v>
      </c>
      <c r="F170" s="333">
        <f>IF(C170&lt;&gt;"",_xll.RssMarket(C170,"始値"),"")</f>
        <v>4058</v>
      </c>
      <c r="G170" s="212">
        <f>IF(C170&lt;&gt;"",終値!F34,"")</f>
        <v>3959</v>
      </c>
      <c r="H170" s="333">
        <f>IF(C170&lt;&gt;"",_xll.RssMarket(C170,"高値"),"")</f>
        <v>4126</v>
      </c>
      <c r="I170" s="333">
        <f>IF(C170&lt;&gt;"",_xll.RssMarket(C170,"安値"),"")</f>
        <v>4026</v>
      </c>
      <c r="J170" s="333">
        <f>IF(C170&lt;&gt;"",_xll.RssMarket(C170,"出来高"),"")</f>
        <v>206100</v>
      </c>
      <c r="K170" s="333">
        <f>IF(C170&lt;&gt;"",_xll.RssMarket(C170,"年初来高値"),"")</f>
        <v>4968</v>
      </c>
      <c r="L170" s="334">
        <f t="shared" si="44"/>
        <v>-17.954911433172303</v>
      </c>
      <c r="M170" s="333">
        <f>IF(C170&lt;&gt;"",IFERROR(AVERAGE(出来高!E34:I34),""),"")</f>
        <v>670420</v>
      </c>
      <c r="N170" s="333">
        <f>IF(C170&lt;&gt;"",IFERROR(AVERAGE(出来高!E34:AC34),""),"")</f>
        <v>612484</v>
      </c>
      <c r="O170" s="335">
        <f t="shared" si="45"/>
        <v>0.30741922973658303</v>
      </c>
      <c r="P170" s="212" t="str">
        <f t="shared" si="46"/>
        <v>減少↓</v>
      </c>
      <c r="Q170" s="212" t="str">
        <f t="shared" si="47"/>
        <v>様子見▲</v>
      </c>
      <c r="R170" s="333">
        <f t="shared" si="48"/>
        <v>3750</v>
      </c>
      <c r="S170" s="333">
        <f t="shared" si="49"/>
        <v>4239</v>
      </c>
      <c r="T170" s="325">
        <f t="shared" si="50"/>
        <v>3</v>
      </c>
      <c r="U170" s="212" t="str">
        <f t="shared" si="51"/>
        <v>要確認</v>
      </c>
      <c r="V170" s="212" t="str">
        <f t="shared" si="52"/>
        <v>通常</v>
      </c>
      <c r="W170" s="336">
        <f t="array" ref="W170">IFERROR(100-100/(1+SUMPRODUCT((終値!F34:R34&gt;終値!G34:S34)*(終値!F34:R34-終値!G34:S34))/SUMPRODUCT((終値!F34:R34&lt;終値!G34:S34)*(終値!G34:S34-終値!F34:R34))),50)</f>
        <v>54.945054945054949</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17.598877960828304</v>
      </c>
      <c r="Y170" s="212" t="str">
        <f t="shared" si="53"/>
        <v>相場上昇・見送り | 上昇トレンド▲ MACD+ RSI:54.9 前日比:+3.0% [3点]</v>
      </c>
      <c r="Z170" s="338">
        <f t="shared" si="54"/>
        <v>2.9552917403384691</v>
      </c>
      <c r="AA170" s="212" t="str">
        <f t="shared" si="55"/>
        <v>上昇▲</v>
      </c>
      <c r="AB170" s="333">
        <f>IF(OR(C170="",C170="TOPX",終値!E34=""),"",IFERROR(((終値!E34*0.333)+(終値!F34*0.222)+(終値!G34*0.148)+(終値!H34*0.099)+(終値!I34*0.066))/(0.333+0.222+0.148+0.099+0.066),""))</f>
        <v>4039.0092165898618</v>
      </c>
      <c r="AC170" s="333">
        <f>IF(OR(C170="",C170="TOPX",終値!E34=""),"",IFERROR(SUMPRODUCT((終値!E34:AC34),{0.077,0.071,0.065,0.06,0.055,0.051,0.047,0.043,0.039,0.036,0.033,0.031,0.028,0.026,0.024,0.022,0.02,0.018,0.017,0.016,0.014,0.013,0.012,0.011,0.01})/SUM({0.077,0.071,0.065,0.06,0.055,0.051,0.047,0.043,0.039,0.036,0.033,0.031,0.028,0.026,0.024,0.022,0.02,0.018,0.017,0.016,0.014,0.013,0.012,0.011,0.01}),""))</f>
        <v>4072.7091775923714</v>
      </c>
      <c r="AD170" s="212" t="str">
        <f t="shared" si="56"/>
        <v>上昇トレンド▲</v>
      </c>
      <c r="AE170" s="212" t="str">
        <f t="shared" si="57"/>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 t="shared" si="58"/>
        <v>0</v>
      </c>
      <c r="AH170">
        <f t="shared" si="59"/>
        <v>0</v>
      </c>
      <c r="AI170" s="373">
        <f t="array" ref="AI170">IF(C170="","",IFERROR((INDEX(終値!$E:$E,MATCH(TEXT(C170,"0"),終値!$A:$A,0))-INDEX(終値!$E:$CZ,MATCH(TEXT(C170,"0"),終値!$A:$A,0),$AN$2))/INDEX(終値!$E:$CZ,MATCH(TEXT(C170,"0"),終値!$A:$A,0),$AN$2)*100,""))</f>
        <v>-1.2833168805528135</v>
      </c>
      <c r="AJ170" s="373">
        <f t="array" ref="AJ170">IFERROR((終値!$E$5-INDEX(終値!$E$5:$CZ$5,1,$AN$2))/INDEX(終値!$E$5:$CZ$5,1,$AN$2)*100,"")</f>
        <v>-0.82558151178043282</v>
      </c>
      <c r="AK170" s="374">
        <f t="shared" si="60"/>
        <v>-0.45773536877238064</v>
      </c>
      <c r="AL170" s="372">
        <f t="shared" si="61"/>
        <v>1</v>
      </c>
      <c r="AO170" s="376" t="str">
        <f t="shared" si="62"/>
        <v>通常</v>
      </c>
      <c r="AP170" s="377">
        <f t="shared" si="63"/>
        <v>0</v>
      </c>
      <c r="AQ170">
        <f>IF(C170&lt;&gt;"",始値!F34,"")</f>
        <v>4036</v>
      </c>
      <c r="AR170">
        <f>IF(C170&lt;&gt;"",高値!F34,"")</f>
        <v>4056</v>
      </c>
      <c r="AS170">
        <f>IF(C170&lt;&gt;"",安値!F34,"")</f>
        <v>3915</v>
      </c>
      <c r="AT170" t="str">
        <f t="shared" si="64"/>
        <v>通常</v>
      </c>
      <c r="AU170">
        <f t="shared" si="65"/>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1413</v>
      </c>
      <c r="F171" s="326">
        <f>IF(C171&lt;&gt;"",_xll.RssMarket(C171,"始値"),"")</f>
        <v>1414.5</v>
      </c>
      <c r="G171" s="325">
        <f>IF(C171&lt;&gt;"",終値!F39,"")</f>
        <v>1430.5</v>
      </c>
      <c r="H171" s="326">
        <f>IF(C171&lt;&gt;"",_xll.RssMarket(C171,"高値"),"")</f>
        <v>1422</v>
      </c>
      <c r="I171" s="326">
        <f>IF(C171&lt;&gt;"",_xll.RssMarket(C171,"安値"),"")</f>
        <v>1405</v>
      </c>
      <c r="J171" s="326">
        <f>IF(C171&lt;&gt;"",_xll.RssMarket(C171,"出来高"),"")</f>
        <v>2117800</v>
      </c>
      <c r="K171" s="326">
        <f>IF(C171&lt;&gt;"",_xll.RssMarket(C171,"年初来高値"),"")</f>
        <v>1541.5</v>
      </c>
      <c r="L171" s="327">
        <f t="shared" si="44"/>
        <v>-8.3360363282517032</v>
      </c>
      <c r="M171" s="326">
        <f>IF(C171&lt;&gt;"",IFERROR(AVERAGE(出来高!E39:I39),""),"")</f>
        <v>5965480</v>
      </c>
      <c r="N171" s="326">
        <f>IF(C171&lt;&gt;"",IFERROR(AVERAGE(出来高!E39:AC39),""),"")</f>
        <v>4333384</v>
      </c>
      <c r="O171" s="328">
        <f t="shared" si="45"/>
        <v>0.35500915265829402</v>
      </c>
      <c r="P171" s="325" t="str">
        <f t="shared" si="46"/>
        <v>減少↓</v>
      </c>
      <c r="Q171" s="325" t="str">
        <f t="shared" si="47"/>
        <v>中立→</v>
      </c>
      <c r="R171" s="326">
        <f t="shared" si="48"/>
        <v>1300</v>
      </c>
      <c r="S171" s="326">
        <f t="shared" si="49"/>
        <v>1470</v>
      </c>
      <c r="T171" s="325">
        <f t="shared" si="50"/>
        <v>1</v>
      </c>
      <c r="U171" s="325" t="str">
        <f t="shared" si="51"/>
        <v>除外</v>
      </c>
      <c r="V171" s="325" t="str">
        <f t="shared" si="52"/>
        <v>通常</v>
      </c>
      <c r="W171" s="329">
        <f t="array" ref="W171">IFERROR(100-100/(1+SUMPRODUCT((終値!F39:R39&gt;終値!G39:S39)*(終値!F39:R39-終値!G39:S39))/SUMPRODUCT((終値!F39:R39&lt;終値!G39:S39)*(終値!G39:S39-終値!F39:R39))),50)</f>
        <v>59.098786828422874</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12.441501916501693</v>
      </c>
      <c r="Y171" s="325" t="str">
        <f t="shared" si="53"/>
        <v>○逆張り売り | もみ合い→ 25日戻り売り★ MACD+ RSI:59.1 前日比:-1.2%前日[長い下ヒゲ(反発)] [1点]</v>
      </c>
      <c r="Z171" s="331">
        <f t="shared" si="54"/>
        <v>-1.223348479552604</v>
      </c>
      <c r="AA171" s="325" t="str">
        <f t="shared" si="55"/>
        <v>下落▼</v>
      </c>
      <c r="AB171" s="326">
        <f>IF(OR(C171="",C171="TOPX",終値!E39=""),"",IFERROR(((終値!E39*0.333)+(終値!F39*0.222)+(終値!G39*0.148)+(終値!H39*0.099)+(終値!I39*0.066))/(0.333+0.222+0.148+0.099+0.066),""))</f>
        <v>1443.1866359447004</v>
      </c>
      <c r="AC171" s="326">
        <f>IF(OR(C171="",C171="TOPX",終値!E39=""),"",IFERROR(SUMPRODUCT((終値!E39:AC39),{0.077,0.071,0.065,0.06,0.055,0.051,0.047,0.043,0.039,0.036,0.033,0.031,0.028,0.026,0.024,0.022,0.02,0.018,0.017,0.016,0.014,0.013,0.012,0.011,0.01})/SUM({0.077,0.071,0.065,0.06,0.055,0.051,0.047,0.043,0.039,0.036,0.033,0.031,0.028,0.026,0.024,0.022,0.02,0.018,0.017,0.016,0.014,0.013,0.012,0.011,0.01}),""))</f>
        <v>1429.619189511322</v>
      </c>
      <c r="AD171" s="325" t="str">
        <f t="shared" si="56"/>
        <v>もみ合い→</v>
      </c>
      <c r="AE171" s="325" t="str">
        <f t="shared" si="57"/>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 t="shared" si="58"/>
        <v>0</v>
      </c>
      <c r="AH171">
        <f t="shared" si="59"/>
        <v>0</v>
      </c>
      <c r="AI171" s="373">
        <f t="array" ref="AI171">IF(C171="","",IFERROR((INDEX(終値!$E:$E,MATCH(TEXT(C171,"0"),終値!$A:$A,0))-INDEX(終値!$E:$CZ,MATCH(TEXT(C171,"0"),終値!$A:$A,0),$AN$2))/INDEX(終値!$E:$CZ,MATCH(TEXT(C171,"0"),終値!$A:$A,0),$AN$2)*100,""))</f>
        <v>6.8207654414550971</v>
      </c>
      <c r="AJ171" s="373">
        <f t="array" ref="AJ171">IFERROR((終値!$E$5-INDEX(終値!$E$5:$CZ$5,1,$AN$2))/INDEX(終値!$E$5:$CZ$5,1,$AN$2)*100,"")</f>
        <v>-0.82558151178043282</v>
      </c>
      <c r="AK171" s="374">
        <f t="shared" si="60"/>
        <v>7.6463469532355299</v>
      </c>
      <c r="AL171" s="372">
        <f t="shared" si="61"/>
        <v>-2</v>
      </c>
      <c r="AO171" s="376" t="str">
        <f t="shared" si="62"/>
        <v>通常</v>
      </c>
      <c r="AP171" s="377">
        <f t="shared" si="63"/>
        <v>0</v>
      </c>
      <c r="AQ171">
        <f>IF(C171&lt;&gt;"",始値!F39,"")</f>
        <v>1451</v>
      </c>
      <c r="AR171">
        <f>IF(C171&lt;&gt;"",高値!F39,"")</f>
        <v>1453</v>
      </c>
      <c r="AS171">
        <f>IF(C171&lt;&gt;"",安値!F39,"")</f>
        <v>1404</v>
      </c>
      <c r="AT171" t="str">
        <f t="shared" si="64"/>
        <v>長い下ヒゲ(反発)</v>
      </c>
      <c r="AU171">
        <f t="shared" si="65"/>
        <v>-2</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1177</v>
      </c>
      <c r="F172" s="333">
        <f>IF(C172&lt;&gt;"",_xll.RssMarket(C172,"始値"),"")</f>
        <v>1151</v>
      </c>
      <c r="G172" s="212">
        <f>IF(C172&lt;&gt;"",終値!F44,"")</f>
        <v>1129.5</v>
      </c>
      <c r="H172" s="333">
        <f>IF(C172&lt;&gt;"",_xll.RssMarket(C172,"高値"),"")</f>
        <v>1182.5</v>
      </c>
      <c r="I172" s="333">
        <f>IF(C172&lt;&gt;"",_xll.RssMarket(C172,"安値"),"")</f>
        <v>1150.5</v>
      </c>
      <c r="J172" s="333">
        <f>IF(C172&lt;&gt;"",_xll.RssMarket(C172,"出来高"),"")</f>
        <v>2992400</v>
      </c>
      <c r="K172" s="333">
        <f>IF(C172&lt;&gt;"",_xll.RssMarket(C172,"年初来高値"),"")</f>
        <v>1353.5</v>
      </c>
      <c r="L172" s="334">
        <f t="shared" si="44"/>
        <v>-13.040265977096416</v>
      </c>
      <c r="M172" s="333">
        <f>IF(C172&lt;&gt;"",IFERROR(AVERAGE(出来高!E44:I44),""),"")</f>
        <v>4559920</v>
      </c>
      <c r="N172" s="333">
        <f>IF(C172&lt;&gt;"",IFERROR(AVERAGE(出来高!E44:AC44),""),"")</f>
        <v>4323796</v>
      </c>
      <c r="O172" s="335">
        <f t="shared" si="45"/>
        <v>0.65623958315058162</v>
      </c>
      <c r="P172" s="212" t="str">
        <f t="shared" si="46"/>
        <v>減少↓</v>
      </c>
      <c r="Q172" s="212" t="str">
        <f t="shared" si="47"/>
        <v>様子見▲</v>
      </c>
      <c r="R172" s="333">
        <f t="shared" si="48"/>
        <v>1083</v>
      </c>
      <c r="S172" s="333">
        <f t="shared" si="49"/>
        <v>1224</v>
      </c>
      <c r="T172" s="325">
        <f t="shared" si="50"/>
        <v>-1</v>
      </c>
      <c r="U172" s="212" t="str">
        <f t="shared" si="51"/>
        <v>除外</v>
      </c>
      <c r="V172" s="212" t="str">
        <f t="shared" si="52"/>
        <v>通常</v>
      </c>
      <c r="W172" s="336">
        <f t="array" ref="W172">IFERROR(100-100/(1+SUMPRODUCT((終値!F44:R44&gt;終値!G44:S44)*(終値!F44:R44-終値!G44:S44))/SUMPRODUCT((終値!F44:R44&lt;終値!G44:S44)*(終値!G44:S44-終値!F44:R44))),50)</f>
        <v>48.054919908466822</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-0.23988313916242987</v>
      </c>
      <c r="Y172" s="212" t="str">
        <f t="shared" si="53"/>
        <v>相場上昇・見送り | 上昇トレンド▲ MACD- RSI:48.1 前日比:+4.2%前日[長い下ヒゲ(反発)] [-1点]</v>
      </c>
      <c r="Z172" s="338">
        <f t="shared" si="54"/>
        <v>4.2054006197432496</v>
      </c>
      <c r="AA172" s="212" t="str">
        <f t="shared" si="55"/>
        <v>上昇▲</v>
      </c>
      <c r="AB172" s="333">
        <f>IF(OR(C172="",C172="TOPX",終値!E44=""),"",IFERROR(((終値!E44*0.333)+(終値!F44*0.222)+(終値!G44*0.148)+(終値!H44*0.099)+(終値!I44*0.066))/(0.333+0.222+0.148+0.099+0.066),""))</f>
        <v>1146.3940092165899</v>
      </c>
      <c r="AC172" s="333">
        <f>IF(OR(C172="",C172="TOPX",終値!E44=""),"",IFERROR(SUMPRODUCT((終値!E44:AC44),{0.077,0.071,0.065,0.06,0.055,0.051,0.047,0.043,0.039,0.036,0.033,0.031,0.028,0.026,0.024,0.022,0.02,0.018,0.017,0.016,0.014,0.013,0.012,0.011,0.01})/SUM({0.077,0.071,0.065,0.06,0.055,0.051,0.047,0.043,0.039,0.036,0.033,0.031,0.028,0.026,0.024,0.022,0.02,0.018,0.017,0.016,0.014,0.013,0.012,0.011,0.01}),""))</f>
        <v>1155.1662693682952</v>
      </c>
      <c r="AD172" s="212" t="str">
        <f t="shared" si="56"/>
        <v>上昇トレンド▲</v>
      </c>
      <c r="AE172" s="212" t="str">
        <f t="shared" si="57"/>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 t="shared" si="58"/>
        <v>0</v>
      </c>
      <c r="AH172">
        <f t="shared" si="59"/>
        <v>0</v>
      </c>
      <c r="AI172" s="373">
        <f t="array" ref="AI172">IF(C172="","",IFERROR((INDEX(終値!$E:$E,MATCH(TEXT(C172,"0"),終値!$A:$A,0))-INDEX(終値!$E:$CZ,MATCH(TEXT(C172,"0"),終値!$A:$A,0),$AN$2))/INDEX(終値!$E:$CZ,MATCH(TEXT(C172,"0"),終値!$A:$A,0),$AN$2)*100,""))</f>
        <v>0.70267896354852877</v>
      </c>
      <c r="AJ172" s="373">
        <f t="array" ref="AJ172">IFERROR((終値!$E$5-INDEX(終値!$E$5:$CZ$5,1,$AN$2))/INDEX(終値!$E$5:$CZ$5,1,$AN$2)*100,"")</f>
        <v>-0.82558151178043282</v>
      </c>
      <c r="AK172" s="374">
        <f t="shared" si="60"/>
        <v>1.5282604753289615</v>
      </c>
      <c r="AL172" s="372">
        <f t="shared" si="61"/>
        <v>-1</v>
      </c>
      <c r="AO172" s="376" t="str">
        <f t="shared" si="62"/>
        <v>通常</v>
      </c>
      <c r="AP172" s="377">
        <f t="shared" si="63"/>
        <v>0</v>
      </c>
      <c r="AQ172">
        <f>IF(C172&lt;&gt;"",始値!F44,"")</f>
        <v>1140</v>
      </c>
      <c r="AR172">
        <f>IF(C172&lt;&gt;"",高値!F44,"")</f>
        <v>1141</v>
      </c>
      <c r="AS172">
        <f>IF(C172&lt;&gt;"",安値!F44,"")</f>
        <v>1105</v>
      </c>
      <c r="AT172" t="str">
        <f t="shared" si="64"/>
        <v>長い下ヒゲ(反発)</v>
      </c>
      <c r="AU172">
        <f t="shared" si="65"/>
        <v>-2</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660</v>
      </c>
      <c r="F173" s="326">
        <f>IF(C173&lt;&gt;"",_xll.RssMarket(C173,"始値"),"")</f>
        <v>658</v>
      </c>
      <c r="G173" s="325">
        <f>IF(C173&lt;&gt;"",終値!F46,"")</f>
        <v>647</v>
      </c>
      <c r="H173" s="326">
        <f>IF(C173&lt;&gt;"",_xll.RssMarket(C173,"高値"),"")</f>
        <v>675.7</v>
      </c>
      <c r="I173" s="326">
        <f>IF(C173&lt;&gt;"",_xll.RssMarket(C173,"安値"),"")</f>
        <v>655.9</v>
      </c>
      <c r="J173" s="326">
        <f>IF(C173&lt;&gt;"",_xll.RssMarket(C173,"出来高"),"")</f>
        <v>58725600</v>
      </c>
      <c r="K173" s="326">
        <f>IF(C173&lt;&gt;"",_xll.RssMarket(C173,"年初来高値"),"")</f>
        <v>699.8</v>
      </c>
      <c r="L173" s="327">
        <f t="shared" si="44"/>
        <v>-5.6873392397827889</v>
      </c>
      <c r="M173" s="326">
        <f>IF(C173&lt;&gt;"",IFERROR(AVERAGE(出来高!E46:I46),""),"")</f>
        <v>55233000</v>
      </c>
      <c r="N173" s="326">
        <f>IF(C173&lt;&gt;"",IFERROR(AVERAGE(出来高!E46:AC46),""),"")</f>
        <v>39992054.166666664</v>
      </c>
      <c r="O173" s="328">
        <f t="shared" si="45"/>
        <v>1.0632339362337733</v>
      </c>
      <c r="P173" s="325" t="str">
        <f t="shared" si="46"/>
        <v>普通→</v>
      </c>
      <c r="Q173" s="325" t="str">
        <f t="shared" si="47"/>
        <v>様子見▲</v>
      </c>
      <c r="R173" s="326">
        <f t="shared" si="48"/>
        <v>607</v>
      </c>
      <c r="S173" s="326">
        <f t="shared" si="49"/>
        <v>686</v>
      </c>
      <c r="T173" s="325">
        <f t="shared" si="50"/>
        <v>-3</v>
      </c>
      <c r="U173" s="325" t="str">
        <f t="shared" si="51"/>
        <v>除外</v>
      </c>
      <c r="V173" s="325" t="str">
        <f t="shared" si="52"/>
        <v>通常</v>
      </c>
      <c r="W173" s="329">
        <f t="array" ref="W173">IFERROR(100-100/(1+SUMPRODUCT((終値!F46:R46&gt;終値!G46:S46)*(終値!F46:R46-終値!G46:S46))/SUMPRODUCT((終値!F46:R46&lt;終値!G46:S46)*(終値!G46:S46-終値!F46:R46))),50)</f>
        <v>53.212228622064693</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9.7992538976832293</v>
      </c>
      <c r="Y173" s="325" t="str">
        <f t="shared" si="53"/>
        <v>相場上昇・見送り | パーフェクト▲ MACD+ RSI:53.2 前日比:+2.0%前日[長い下ヒゲ(反発)] [-3点]</v>
      </c>
      <c r="Z173" s="331">
        <f t="shared" si="54"/>
        <v>2.009273570324575</v>
      </c>
      <c r="AA173" s="325" t="str">
        <f t="shared" si="55"/>
        <v>上昇▲</v>
      </c>
      <c r="AB173" s="326">
        <f>IF(OR(C173="",C173="TOPX",終値!E46=""),"",IFERROR(((終値!E46*0.333)+(終値!F46*0.222)+(終値!G46*0.148)+(終値!H46*0.099)+(終値!I46*0.066))/(0.333+0.222+0.148+0.099+0.066),""))</f>
        <v>650.50414746543788</v>
      </c>
      <c r="AC173" s="326">
        <f>IF(OR(C173="",C173="TOPX",終値!E46=""),"",IFERROR(SUMPRODUCT((終値!E46:AC46),{0.077,0.071,0.065,0.06,0.055,0.051,0.047,0.043,0.039,0.036,0.033,0.031,0.028,0.026,0.024,0.022,0.02,0.018,0.017,0.016,0.014,0.013,0.012,0.011,0.01})/SUM({0.077,0.071,0.065,0.06,0.055,0.051,0.047,0.043,0.039,0.036,0.033,0.031,0.028,0.026,0.024,0.022,0.02,0.018,0.017,0.016,0.014,0.013,0.012,0.011,0.01}),""))</f>
        <v>583.3150178784266</v>
      </c>
      <c r="AD173" s="325" t="str">
        <f t="shared" si="56"/>
        <v>パーフェクト▲</v>
      </c>
      <c r="AE173" s="325" t="str">
        <f t="shared" si="57"/>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 t="shared" si="58"/>
        <v>0</v>
      </c>
      <c r="AH173">
        <f t="shared" si="59"/>
        <v>0</v>
      </c>
      <c r="AI173" s="373">
        <f t="array" ref="AI173">IF(C173="","",IFERROR((INDEX(終値!$E:$E,MATCH(TEXT(C173,"0"),終値!$A:$A,0))-INDEX(終値!$E:$CZ,MATCH(TEXT(C173,"0"),終値!$A:$A,0),$AN$2))/INDEX(終値!$E:$CZ,MATCH(TEXT(C173,"0"),終値!$A:$A,0),$AN$2)*100,""))</f>
        <v>18.293352865775496</v>
      </c>
      <c r="AJ173" s="373">
        <f t="array" ref="AJ173">IFERROR((終値!$E$5-INDEX(終値!$E$5:$CZ$5,1,$AN$2))/INDEX(終値!$E$5:$CZ$5,1,$AN$2)*100,"")</f>
        <v>-0.82558151178043282</v>
      </c>
      <c r="AK173" s="374">
        <f t="shared" si="60"/>
        <v>19.118934377555931</v>
      </c>
      <c r="AL173" s="372">
        <f t="shared" si="61"/>
        <v>-2</v>
      </c>
      <c r="AO173" s="376" t="str">
        <f t="shared" si="62"/>
        <v>通常</v>
      </c>
      <c r="AP173" s="377">
        <f t="shared" si="63"/>
        <v>0</v>
      </c>
      <c r="AQ173">
        <f>IF(C173&lt;&gt;"",始値!F46,"")</f>
        <v>645</v>
      </c>
      <c r="AR173">
        <f>IF(C173&lt;&gt;"",高値!F46,"")</f>
        <v>647</v>
      </c>
      <c r="AS173">
        <f>IF(C173&lt;&gt;"",安値!F46,"")</f>
        <v>628.20000000000005</v>
      </c>
      <c r="AT173" t="str">
        <f t="shared" si="64"/>
        <v>長い下ヒゲ(反発)</v>
      </c>
      <c r="AU173">
        <f t="shared" si="65"/>
        <v>-2</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7712</v>
      </c>
      <c r="F174" s="333">
        <f>IF(C174&lt;&gt;"",_xll.RssMarket(C174,"始値"),"")</f>
        <v>7717</v>
      </c>
      <c r="G174" s="212">
        <f>IF(C174&lt;&gt;"",終値!F52,"")</f>
        <v>7885</v>
      </c>
      <c r="H174" s="333">
        <f>IF(C174&lt;&gt;"",_xll.RssMarket(C174,"高値"),"")</f>
        <v>7819</v>
      </c>
      <c r="I174" s="333">
        <f>IF(C174&lt;&gt;"",_xll.RssMarket(C174,"安値"),"")</f>
        <v>7696</v>
      </c>
      <c r="J174" s="333">
        <f>IF(C174&lt;&gt;"",_xll.RssMarket(C174,"出来高"),"")</f>
        <v>1818500</v>
      </c>
      <c r="K174" s="333">
        <f>IF(C174&lt;&gt;"",_xll.RssMarket(C174,"年初来高値"),"")</f>
        <v>8468</v>
      </c>
      <c r="L174" s="334">
        <f t="shared" si="44"/>
        <v>-8.9277279168634855</v>
      </c>
      <c r="M174" s="333">
        <f>IF(C174&lt;&gt;"",IFERROR(AVERAGE(出来高!E52:I52),""),"")</f>
        <v>5116340</v>
      </c>
      <c r="N174" s="333">
        <f>IF(C174&lt;&gt;"",IFERROR(AVERAGE(出来高!E52:AC52),""),"")</f>
        <v>5307096</v>
      </c>
      <c r="O174" s="335">
        <f t="shared" si="45"/>
        <v>0.35542985806259941</v>
      </c>
      <c r="P174" s="212" t="str">
        <f t="shared" si="46"/>
        <v>減少↓</v>
      </c>
      <c r="Q174" s="212" t="str">
        <f t="shared" si="47"/>
        <v>中立→</v>
      </c>
      <c r="R174" s="333">
        <f t="shared" si="48"/>
        <v>7095</v>
      </c>
      <c r="S174" s="333">
        <f t="shared" si="49"/>
        <v>8020</v>
      </c>
      <c r="T174" s="325">
        <f t="shared" si="50"/>
        <v>-1</v>
      </c>
      <c r="U174" s="212" t="str">
        <f t="shared" si="51"/>
        <v>除外</v>
      </c>
      <c r="V174" s="212" t="str">
        <f t="shared" si="52"/>
        <v>通常</v>
      </c>
      <c r="W174" s="336">
        <f t="array" ref="W174">IFERROR(100-100/(1+SUMPRODUCT((終値!F52:R52&gt;終値!G52:S52)*(終値!F52:R52-終値!G52:S52))/SUMPRODUCT((終値!F52:R52&lt;終値!G52:S52)*(終値!G52:S52-終値!F52:R52))),50)</f>
        <v>57.456140350877192</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60.344956396102134</v>
      </c>
      <c r="Y174" s="212" t="str">
        <f t="shared" si="53"/>
        <v>相場上昇・見送り | もみ合い→ MACD+ RSI:57.5 前日比:-2.2%前日[長い下ヒゲ(反発)] [-1点]</v>
      </c>
      <c r="Z174" s="338">
        <f t="shared" si="54"/>
        <v>-2.1940393151553583</v>
      </c>
      <c r="AA174" s="212" t="str">
        <f t="shared" si="55"/>
        <v>下落▼</v>
      </c>
      <c r="AB174" s="333">
        <f>IF(OR(C174="",C174="TOPX",終値!E52=""),"",IFERROR(((終値!E52*0.333)+(終値!F52*0.222)+(終値!G52*0.148)+(終値!H52*0.099)+(終値!I52*0.066))/(0.333+0.222+0.148+0.099+0.066),""))</f>
        <v>7931.307603686635</v>
      </c>
      <c r="AC174" s="333">
        <f>IF(OR(C174="",C174="TOPX",終値!E52=""),"",IFERROR(SUMPRODUCT((終値!E52:AC52),{0.077,0.071,0.065,0.06,0.055,0.051,0.047,0.043,0.039,0.036,0.033,0.031,0.028,0.026,0.024,0.022,0.02,0.018,0.017,0.016,0.014,0.013,0.012,0.011,0.01})/SUM({0.077,0.071,0.065,0.06,0.055,0.051,0.047,0.043,0.039,0.036,0.033,0.031,0.028,0.026,0.024,0.022,0.02,0.018,0.017,0.016,0.014,0.013,0.012,0.011,0.01}),""))</f>
        <v>7917.550655542308</v>
      </c>
      <c r="AD174" s="212" t="str">
        <f t="shared" si="56"/>
        <v>もみ合い→</v>
      </c>
      <c r="AE174" s="212" t="str">
        <f t="shared" si="57"/>
        <v>なし</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相場上昇・見送り</v>
      </c>
      <c r="AG174">
        <f t="shared" si="58"/>
        <v>0</v>
      </c>
      <c r="AH174">
        <f t="shared" si="59"/>
        <v>0</v>
      </c>
      <c r="AI174" s="373">
        <f t="array" ref="AI174">IF(C174="","",IFERROR((INDEX(終値!$E:$E,MATCH(TEXT(C174,"0"),終値!$A:$A,0))-INDEX(終値!$E:$CZ,MATCH(TEXT(C174,"0"),終値!$A:$A,0),$AN$2))/INDEX(終値!$E:$CZ,MATCH(TEXT(C174,"0"),終値!$A:$A,0),$AN$2)*100,""))</f>
        <v>6.3603752759381909</v>
      </c>
      <c r="AJ174" s="373">
        <f t="array" ref="AJ174">IFERROR((終値!$E$5-INDEX(終値!$E$5:$CZ$5,1,$AN$2))/INDEX(終値!$E$5:$CZ$5,1,$AN$2)*100,"")</f>
        <v>-0.82558151178043282</v>
      </c>
      <c r="AK174" s="374">
        <f t="shared" si="60"/>
        <v>7.1859567877186237</v>
      </c>
      <c r="AL174" s="372">
        <f t="shared" si="61"/>
        <v>-2</v>
      </c>
      <c r="AO174" s="376" t="str">
        <f t="shared" si="62"/>
        <v>通常</v>
      </c>
      <c r="AP174" s="377">
        <f t="shared" si="63"/>
        <v>0</v>
      </c>
      <c r="AQ174">
        <f>IF(C174&lt;&gt;"",始値!F52,"")</f>
        <v>8000</v>
      </c>
      <c r="AR174">
        <f>IF(C174&lt;&gt;"",高値!F52,"")</f>
        <v>8020</v>
      </c>
      <c r="AS174">
        <f>IF(C174&lt;&gt;"",安値!F52,"")</f>
        <v>7709</v>
      </c>
      <c r="AT174" t="str">
        <f t="shared" si="64"/>
        <v>長い下ヒゲ(反発)</v>
      </c>
      <c r="AU174">
        <f t="shared" si="65"/>
        <v>-2</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5781</v>
      </c>
      <c r="F175" s="326">
        <f>IF(C175&lt;&gt;"",_xll.RssMarket(C175,"始値"),"")</f>
        <v>5634</v>
      </c>
      <c r="G175" s="325">
        <f>IF(C175&lt;&gt;"",終値!F53,"")</f>
        <v>6063</v>
      </c>
      <c r="H175" s="326">
        <f>IF(C175&lt;&gt;"",_xll.RssMarket(C175,"高値"),"")</f>
        <v>5821</v>
      </c>
      <c r="I175" s="326">
        <f>IF(C175&lt;&gt;"",_xll.RssMarket(C175,"安値"),"")</f>
        <v>5611</v>
      </c>
      <c r="J175" s="326">
        <f>IF(C175&lt;&gt;"",_xll.RssMarket(C175,"出来高"),"")</f>
        <v>2097000</v>
      </c>
      <c r="K175" s="326">
        <f>IF(C175&lt;&gt;"",_xll.RssMarket(C175,"年初来高値"),"")</f>
        <v>8315</v>
      </c>
      <c r="L175" s="327">
        <f t="shared" si="44"/>
        <v>-30.475045099218278</v>
      </c>
      <c r="M175" s="326">
        <f>IF(C175&lt;&gt;"",IFERROR(AVERAGE(出来高!E53:I53),""),"")</f>
        <v>2716380</v>
      </c>
      <c r="N175" s="326">
        <f>IF(C175&lt;&gt;"",IFERROR(AVERAGE(出来高!E53:AC53),""),"")</f>
        <v>1524196</v>
      </c>
      <c r="O175" s="328">
        <f t="shared" si="45"/>
        <v>0.77198330130541382</v>
      </c>
      <c r="P175" s="325" t="str">
        <f t="shared" si="46"/>
        <v>減少↓</v>
      </c>
      <c r="Q175" s="325" t="str">
        <f t="shared" si="47"/>
        <v>中立→</v>
      </c>
      <c r="R175" s="326">
        <f t="shared" si="48"/>
        <v>5319</v>
      </c>
      <c r="S175" s="326">
        <f t="shared" si="49"/>
        <v>6012</v>
      </c>
      <c r="T175" s="325">
        <f t="shared" si="50"/>
        <v>11</v>
      </c>
      <c r="U175" s="325" t="str">
        <f t="shared" si="51"/>
        <v>要確認</v>
      </c>
      <c r="V175" s="325" t="str">
        <f t="shared" si="52"/>
        <v>安値圏</v>
      </c>
      <c r="W175" s="329">
        <f t="array" ref="W175">IFERROR(100-100/(1+SUMPRODUCT((終値!F53:R53&gt;終値!G53:S53)*(終値!F53:R53-終値!G53:S53))/SUMPRODUCT((終値!F53:R53&lt;終値!G53:S53)*(終値!G53:S53-終値!F53:R53))),50)</f>
        <v>40.156918687589162</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-90.322443967692379</v>
      </c>
      <c r="Y175" s="325" t="str">
        <f t="shared" si="53"/>
        <v>相場上昇・見送り | 下降トレンド▼ MACD- RSI:40.2 前日比:-4.7% [安値圏]前日[長い下ヒゲ(反発)] [11点]</v>
      </c>
      <c r="Z175" s="331">
        <f t="shared" si="54"/>
        <v>-4.6511627906976747</v>
      </c>
      <c r="AA175" s="325" t="str">
        <f t="shared" si="55"/>
        <v>下落▼</v>
      </c>
      <c r="AB175" s="326">
        <f>IF(OR(C175="",C175="TOPX",終値!E53=""),"",IFERROR(((終値!E53*0.333)+(終値!F53*0.222)+(終値!G53*0.148)+(終値!H53*0.099)+(終値!I53*0.066))/(0.333+0.222+0.148+0.099+0.066),""))</f>
        <v>5872.0829493087549</v>
      </c>
      <c r="AC175" s="326">
        <f>IF(OR(C175="",C175="TOPX",終値!E53=""),"",IFERROR(SUMPRODUCT((終値!E53:AC53),{0.077,0.071,0.065,0.06,0.055,0.051,0.047,0.043,0.039,0.036,0.033,0.031,0.028,0.026,0.024,0.022,0.02,0.018,0.017,0.016,0.014,0.013,0.012,0.011,0.01})/SUM({0.077,0.071,0.065,0.06,0.055,0.051,0.047,0.043,0.039,0.036,0.033,0.031,0.028,0.026,0.024,0.022,0.02,0.018,0.017,0.016,0.014,0.013,0.012,0.011,0.01}),""))</f>
        <v>6215.7759237187138</v>
      </c>
      <c r="AD175" s="325" t="str">
        <f t="shared" si="56"/>
        <v>下降トレンド▼</v>
      </c>
      <c r="AE175" s="325" t="str">
        <f t="shared" si="57"/>
        <v>なし</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相場上昇・見送り</v>
      </c>
      <c r="AG175">
        <f t="shared" si="58"/>
        <v>11</v>
      </c>
      <c r="AH175">
        <f t="shared" si="59"/>
        <v>109825</v>
      </c>
      <c r="AI175" s="373">
        <f t="array" ref="AI175">IF(C175="","",IFERROR((INDEX(終値!$E:$E,MATCH(TEXT(C175,"0"),終値!$A:$A,0))-INDEX(終値!$E:$CZ,MATCH(TEXT(C175,"0"),終値!$A:$A,0),$AN$2))/INDEX(終値!$E:$CZ,MATCH(TEXT(C175,"0"),終値!$A:$A,0),$AN$2)*100,""))</f>
        <v>-19.221868672259184</v>
      </c>
      <c r="AJ175" s="373">
        <f t="array" ref="AJ175">IFERROR((終値!$E$5-INDEX(終値!$E$5:$CZ$5,1,$AN$2))/INDEX(終値!$E$5:$CZ$5,1,$AN$2)*100,"")</f>
        <v>-0.82558151178043282</v>
      </c>
      <c r="AK175" s="374">
        <f t="shared" si="60"/>
        <v>-18.396287160478749</v>
      </c>
      <c r="AL175" s="372">
        <f t="shared" si="61"/>
        <v>3</v>
      </c>
      <c r="AO175" s="376" t="str">
        <f t="shared" si="62"/>
        <v>通常</v>
      </c>
      <c r="AP175" s="377">
        <f t="shared" si="63"/>
        <v>0</v>
      </c>
      <c r="AQ175">
        <f>IF(C175&lt;&gt;"",始値!F53,"")</f>
        <v>6100</v>
      </c>
      <c r="AR175">
        <f>IF(C175&lt;&gt;"",高値!F53,"")</f>
        <v>6106</v>
      </c>
      <c r="AS175">
        <f>IF(C175&lt;&gt;"",安値!F53,"")</f>
        <v>5882</v>
      </c>
      <c r="AT175" t="str">
        <f t="shared" si="64"/>
        <v>長い下ヒゲ(反発)</v>
      </c>
      <c r="AU175">
        <f t="shared" si="65"/>
        <v>-2</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6938</v>
      </c>
      <c r="F176" s="333">
        <f>IF(C176&lt;&gt;"",_xll.RssMarket(C176,"始値"),"")</f>
        <v>6863</v>
      </c>
      <c r="G176" s="212">
        <f>IF(C176&lt;&gt;"",終値!F54,"")</f>
        <v>6872</v>
      </c>
      <c r="H176" s="333">
        <f>IF(C176&lt;&gt;"",_xll.RssMarket(C176,"高値"),"")</f>
        <v>6944</v>
      </c>
      <c r="I176" s="333">
        <f>IF(C176&lt;&gt;"",_xll.RssMarket(C176,"安値"),"")</f>
        <v>6852</v>
      </c>
      <c r="J176" s="333">
        <f>IF(C176&lt;&gt;"",_xll.RssMarket(C176,"出来高"),"")</f>
        <v>752800</v>
      </c>
      <c r="K176" s="333">
        <f>IF(C176&lt;&gt;"",_xll.RssMarket(C176,"年初来高値"),"")</f>
        <v>7413</v>
      </c>
      <c r="L176" s="334">
        <f t="shared" si="44"/>
        <v>-6.4076622150276545</v>
      </c>
      <c r="M176" s="333">
        <f>IF(C176&lt;&gt;"",IFERROR(AVERAGE(出来高!E54:I54),""),"")</f>
        <v>2920900</v>
      </c>
      <c r="N176" s="333">
        <f>IF(C176&lt;&gt;"",IFERROR(AVERAGE(出来高!E54:AC54),""),"")</f>
        <v>2660764</v>
      </c>
      <c r="O176" s="335">
        <f t="shared" si="45"/>
        <v>0.25772878222465678</v>
      </c>
      <c r="P176" s="212" t="str">
        <f t="shared" si="46"/>
        <v>減少↓</v>
      </c>
      <c r="Q176" s="212" t="str">
        <f t="shared" si="47"/>
        <v>様子見▲</v>
      </c>
      <c r="R176" s="333">
        <f t="shared" si="48"/>
        <v>6383</v>
      </c>
      <c r="S176" s="333">
        <f t="shared" si="49"/>
        <v>7216</v>
      </c>
      <c r="T176" s="325">
        <f t="shared" si="50"/>
        <v>1</v>
      </c>
      <c r="U176" s="212" t="str">
        <f t="shared" si="51"/>
        <v>除外</v>
      </c>
      <c r="V176" s="212" t="str">
        <f t="shared" si="52"/>
        <v>通常</v>
      </c>
      <c r="W176" s="336">
        <f t="array" ref="W176">IFERROR(100-100/(1+SUMPRODUCT((終値!F54:R54&gt;終値!G54:S54)*(終値!F54:R54-終値!G54:S54))/SUMPRODUCT((終値!F54:R54&lt;終値!G54:S54)*(終値!G54:S54-終値!F54:R54))),50)</f>
        <v>63.437926330150063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76.339272565170177</v>
      </c>
      <c r="Y176" s="212" t="str">
        <f t="shared" si="53"/>
        <v>相場上昇・見送り | 上昇トレンド▲ 5日戻り売り○ MACD+ RSI:63.4 前日比:+1.0% [1点]</v>
      </c>
      <c r="Z176" s="338">
        <f t="shared" si="54"/>
        <v>0.96041909196740405</v>
      </c>
      <c r="AA176" s="212" t="str">
        <f t="shared" si="55"/>
        <v>上昇▲</v>
      </c>
      <c r="AB176" s="333">
        <f>IF(OR(C176="",C176="TOPX",終値!E54=""),"",IFERROR(((終値!E54*0.333)+(終値!F54*0.222)+(終値!G54*0.148)+(終値!H54*0.099)+(終値!I54*0.066))/(0.333+0.222+0.148+0.099+0.066),""))</f>
        <v>6966.4493087557594</v>
      </c>
      <c r="AC176" s="333">
        <f>IF(OR(C176="",C176="TOPX",終値!E54=""),"",IFERROR(SUMPRODUCT((終値!E54:AC54),{0.077,0.071,0.065,0.06,0.055,0.051,0.047,0.043,0.039,0.036,0.033,0.031,0.028,0.026,0.024,0.022,0.02,0.018,0.017,0.016,0.014,0.013,0.012,0.011,0.01})/SUM({0.077,0.071,0.065,0.06,0.055,0.051,0.047,0.043,0.039,0.036,0.033,0.031,0.028,0.026,0.024,0.022,0.02,0.018,0.017,0.016,0.014,0.013,0.012,0.011,0.01}),""))</f>
        <v>6907.7604290822383</v>
      </c>
      <c r="AD176" s="212" t="str">
        <f t="shared" si="56"/>
        <v>上昇トレンド▲</v>
      </c>
      <c r="AE176" s="212" t="str">
        <f t="shared" si="57"/>
        <v>5日戻り売り○</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 t="shared" si="58"/>
        <v>0</v>
      </c>
      <c r="AH176">
        <f t="shared" si="59"/>
        <v>0</v>
      </c>
      <c r="AI176" s="373">
        <f t="array" ref="AI176">IF(C176="","",IFERROR((INDEX(終値!$E:$E,MATCH(TEXT(C176,"0"),終値!$A:$A,0))-INDEX(終値!$E:$CZ,MATCH(TEXT(C176,"0"),終値!$A:$A,0),$AN$2))/INDEX(終値!$E:$CZ,MATCH(TEXT(C176,"0"),終値!$A:$A,0),$AN$2)*100,""))</f>
        <v>9.6073382684261333</v>
      </c>
      <c r="AJ176" s="373">
        <f t="array" ref="AJ176">IFERROR((終値!$E$5-INDEX(終値!$E$5:$CZ$5,1,$AN$2))/INDEX(終値!$E$5:$CZ$5,1,$AN$2)*100,"")</f>
        <v>-0.82558151178043282</v>
      </c>
      <c r="AK176" s="374">
        <f t="shared" si="60"/>
        <v>10.432919780206566</v>
      </c>
      <c r="AL176" s="372">
        <f t="shared" si="61"/>
        <v>-2</v>
      </c>
      <c r="AO176" s="376" t="str">
        <f t="shared" si="62"/>
        <v>通常</v>
      </c>
      <c r="AP176" s="377">
        <f t="shared" si="63"/>
        <v>0</v>
      </c>
      <c r="AQ176">
        <f>IF(C176&lt;&gt;"",始値!F54,"")</f>
        <v>6963</v>
      </c>
      <c r="AR176">
        <f>IF(C176&lt;&gt;"",高値!F54,"")</f>
        <v>7052</v>
      </c>
      <c r="AS176">
        <f>IF(C176&lt;&gt;"",安値!F54,"")</f>
        <v>6740</v>
      </c>
      <c r="AT176" t="str">
        <f t="shared" si="64"/>
        <v>通常</v>
      </c>
      <c r="AU176">
        <f t="shared" si="65"/>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4075</v>
      </c>
      <c r="F177" s="326">
        <f>IF(C177&lt;&gt;"",_xll.RssMarket(C177,"始値"),"")</f>
        <v>4004</v>
      </c>
      <c r="G177" s="325">
        <f>IF(C177&lt;&gt;"",終値!F58,"")</f>
        <v>3919</v>
      </c>
      <c r="H177" s="326">
        <f>IF(C177&lt;&gt;"",_xll.RssMarket(C177,"高値"),"")</f>
        <v>4103</v>
      </c>
      <c r="I177" s="326">
        <f>IF(C177&lt;&gt;"",_xll.RssMarket(C177,"安値"),"")</f>
        <v>3934</v>
      </c>
      <c r="J177" s="326">
        <f>IF(C177&lt;&gt;"",_xll.RssMarket(C177,"出来高"),"")</f>
        <v>588800</v>
      </c>
      <c r="K177" s="326">
        <f>IF(C177&lt;&gt;"",_xll.RssMarket(C177,"年初来高値"),"")</f>
        <v>4466</v>
      </c>
      <c r="L177" s="327">
        <f t="shared" si="44"/>
        <v>-8.7550380653828928</v>
      </c>
      <c r="M177" s="326">
        <f>IF(C177&lt;&gt;"",IFERROR(AVERAGE(出来高!E58:I58),""),"")</f>
        <v>678120</v>
      </c>
      <c r="N177" s="326">
        <f>IF(C177&lt;&gt;"",IFERROR(AVERAGE(出来高!E58:AC58),""),"")</f>
        <v>562408</v>
      </c>
      <c r="O177" s="328">
        <f t="shared" si="45"/>
        <v>0.86828289978174955</v>
      </c>
      <c r="P177" s="325" t="str">
        <f t="shared" si="46"/>
        <v>減少↓</v>
      </c>
      <c r="Q177" s="325" t="str">
        <f t="shared" si="47"/>
        <v>様子見▲</v>
      </c>
      <c r="R177" s="326">
        <f t="shared" si="48"/>
        <v>3749</v>
      </c>
      <c r="S177" s="326">
        <f t="shared" si="49"/>
        <v>4238</v>
      </c>
      <c r="T177" s="325">
        <f t="shared" si="50"/>
        <v>-1</v>
      </c>
      <c r="U177" s="325" t="str">
        <f t="shared" si="51"/>
        <v>除外</v>
      </c>
      <c r="V177" s="325" t="str">
        <f t="shared" si="52"/>
        <v>通常</v>
      </c>
      <c r="W177" s="329">
        <f t="array" ref="W177">IFERROR(100-100/(1+SUMPRODUCT((終値!F58:R58&gt;終値!G58:S58)*(終値!F58:R58-終値!G58:S58))/SUMPRODUCT((終値!F58:R58&lt;終値!G58:S58)*(終値!G58:S58-終値!F58:R58))),50)</f>
        <v>37.32767762460233</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-9.960690816312308</v>
      </c>
      <c r="Y177" s="325" t="str">
        <f t="shared" si="53"/>
        <v>相場上昇・見送り | 上昇トレンド▲ MACD- RSI:37.3 前日比:+4.0%前日[長い下ヒゲ(反発)] [-1点]</v>
      </c>
      <c r="Z177" s="331">
        <f t="shared" si="54"/>
        <v>3.9806072977800455</v>
      </c>
      <c r="AA177" s="325" t="str">
        <f t="shared" si="55"/>
        <v>上昇▲</v>
      </c>
      <c r="AB177" s="326">
        <f>IF(OR(C177="",C177="TOPX",終値!E58=""),"",IFERROR(((終値!E58*0.333)+(終値!F58*0.222)+(終値!G58*0.148)+(終値!H58*0.099)+(終値!I58*0.066))/(0.333+0.222+0.148+0.099+0.066),""))</f>
        <v>3965.2741935483868</v>
      </c>
      <c r="AC177" s="326">
        <f>IF(OR(C177="",C177="TOPX",終値!E58=""),"",IFERROR(SUMPRODUCT((終値!E58:AC58),{0.077,0.071,0.065,0.06,0.055,0.051,0.047,0.043,0.039,0.036,0.033,0.031,0.028,0.026,0.024,0.022,0.02,0.018,0.017,0.016,0.014,0.013,0.012,0.011,0.01})/SUM({0.077,0.071,0.065,0.06,0.055,0.051,0.047,0.043,0.039,0.036,0.033,0.031,0.028,0.026,0.024,0.022,0.02,0.018,0.017,0.016,0.014,0.013,0.012,0.011,0.01}),""))</f>
        <v>4064.444576877233</v>
      </c>
      <c r="AD177" s="325" t="str">
        <f t="shared" si="56"/>
        <v>上昇トレンド▲</v>
      </c>
      <c r="AE177" s="325" t="str">
        <f t="shared" si="57"/>
        <v>なし</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相場上昇・見送り</v>
      </c>
      <c r="AG177">
        <f t="shared" si="58"/>
        <v>0</v>
      </c>
      <c r="AH177">
        <f t="shared" si="59"/>
        <v>0</v>
      </c>
      <c r="AI177" s="373">
        <f t="array" ref="AI177">IF(C177="","",IFERROR((INDEX(終値!$E:$E,MATCH(TEXT(C177,"0"),終値!$A:$A,0))-INDEX(終値!$E:$CZ,MATCH(TEXT(C177,"0"),終値!$A:$A,0),$AN$2))/INDEX(終値!$E:$CZ,MATCH(TEXT(C177,"0"),終値!$A:$A,0),$AN$2)*100,""))</f>
        <v>1.3333333333333335</v>
      </c>
      <c r="AJ177" s="373">
        <f t="array" ref="AJ177">IFERROR((終値!$E$5-INDEX(終値!$E$5:$CZ$5,1,$AN$2))/INDEX(終値!$E$5:$CZ$5,1,$AN$2)*100,"")</f>
        <v>-0.82558151178043282</v>
      </c>
      <c r="AK177" s="374">
        <f t="shared" si="60"/>
        <v>2.1589148451137663</v>
      </c>
      <c r="AL177" s="372">
        <f t="shared" si="61"/>
        <v>-1</v>
      </c>
      <c r="AO177" s="376" t="str">
        <f t="shared" si="62"/>
        <v>通常</v>
      </c>
      <c r="AP177" s="377">
        <f t="shared" si="63"/>
        <v>0</v>
      </c>
      <c r="AQ177">
        <f>IF(C177&lt;&gt;"",始値!F58,"")</f>
        <v>3959</v>
      </c>
      <c r="AR177">
        <f>IF(C177&lt;&gt;"",高値!F58,"")</f>
        <v>3972</v>
      </c>
      <c r="AS177">
        <f>IF(C177&lt;&gt;"",安値!F58,"")</f>
        <v>3856</v>
      </c>
      <c r="AT177" t="str">
        <f t="shared" si="64"/>
        <v>長い下ヒゲ(反発)</v>
      </c>
      <c r="AU177">
        <f t="shared" si="65"/>
        <v>-2</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1834.5</v>
      </c>
      <c r="F178" s="333">
        <f>IF(C178&lt;&gt;"",_xll.RssMarket(C178,"始値"),"")</f>
        <v>1829</v>
      </c>
      <c r="G178" s="212">
        <f>IF(C178&lt;&gt;"",終値!F61,"")</f>
        <v>1832.5</v>
      </c>
      <c r="H178" s="333">
        <f>IF(C178&lt;&gt;"",_xll.RssMarket(C178,"高値"),"")</f>
        <v>1845</v>
      </c>
      <c r="I178" s="333">
        <f>IF(C178&lt;&gt;"",_xll.RssMarket(C178,"安値"),"")</f>
        <v>1826.5</v>
      </c>
      <c r="J178" s="333">
        <f>IF(C178&lt;&gt;"",_xll.RssMarket(C178,"出来高"),"")</f>
        <v>125800</v>
      </c>
      <c r="K178" s="333">
        <f>IF(C178&lt;&gt;"",_xll.RssMarket(C178,"年初来高値"),"")</f>
        <v>1922.5</v>
      </c>
      <c r="L178" s="334">
        <f t="shared" si="44"/>
        <v>-4.5773732119635886</v>
      </c>
      <c r="M178" s="333">
        <f>IF(C178&lt;&gt;"",IFERROR(AVERAGE(出来高!E61:I61),""),"")</f>
        <v>488880</v>
      </c>
      <c r="N178" s="333">
        <f>IF(C178&lt;&gt;"",IFERROR(AVERAGE(出来高!E61:AC61),""),"")</f>
        <v>315392</v>
      </c>
      <c r="O178" s="335">
        <f t="shared" si="45"/>
        <v>0.25732286041564389</v>
      </c>
      <c r="P178" s="212" t="str">
        <f t="shared" si="46"/>
        <v>減少↓</v>
      </c>
      <c r="Q178" s="212" t="str">
        <f t="shared" si="47"/>
        <v>様子見▲</v>
      </c>
      <c r="R178" s="333">
        <f t="shared" si="48"/>
        <v>1688</v>
      </c>
      <c r="S178" s="333">
        <f t="shared" si="49"/>
        <v>1908</v>
      </c>
      <c r="T178" s="325">
        <f t="shared" si="50"/>
        <v>1</v>
      </c>
      <c r="U178" s="212" t="str">
        <f t="shared" si="51"/>
        <v>除外</v>
      </c>
      <c r="V178" s="212" t="str">
        <f t="shared" si="52"/>
        <v>通常</v>
      </c>
      <c r="W178" s="336">
        <f t="array" ref="W178">IFERROR(100-100/(1+SUMPRODUCT((終値!F61:R61&gt;終値!G61:S61)*(終値!F61:R61-終値!G61:S61))/SUMPRODUCT((終値!F61:R61&lt;終値!G61:S61)*(終値!G61:S61-終値!F61:R61))),50)</f>
        <v>79.625292740046831</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9.9421228392100147</v>
      </c>
      <c r="Y178" s="212" t="str">
        <f t="shared" si="53"/>
        <v>△過熱・様子見 | パーフェクト▲ MACD+ RSI:79.6 [過熱] 前日比:+0.1% [1点]</v>
      </c>
      <c r="Z178" s="338">
        <f t="shared" si="54"/>
        <v>0.10914051841746249</v>
      </c>
      <c r="AA178" s="212" t="str">
        <f t="shared" si="55"/>
        <v>上昇▲</v>
      </c>
      <c r="AB178" s="333">
        <f>IF(OR(C178="",C178="TOPX",終値!E61=""),"",IFERROR(((終値!E61*0.333)+(終値!F61*0.222)+(終値!G61*0.148)+(終値!H61*0.099)+(終値!I61*0.066))/(0.333+0.222+0.148+0.099+0.066),""))</f>
        <v>1815.9302995391702</v>
      </c>
      <c r="AC178" s="333">
        <f>IF(OR(C178="",C178="TOPX",終値!E61=""),"",IFERROR(SUMPRODUCT((終値!E61:AC61),{0.077,0.071,0.065,0.06,0.055,0.051,0.047,0.043,0.039,0.036,0.033,0.031,0.028,0.026,0.024,0.022,0.02,0.018,0.017,0.016,0.014,0.013,0.012,0.011,0.01})/SUM({0.077,0.071,0.065,0.06,0.055,0.051,0.047,0.043,0.039,0.036,0.033,0.031,0.028,0.026,0.024,0.022,0.02,0.018,0.017,0.016,0.014,0.013,0.012,0.011,0.01}),""))</f>
        <v>1777.8337306317044</v>
      </c>
      <c r="AD178" s="212" t="str">
        <f t="shared" si="56"/>
        <v>パーフェクト▲</v>
      </c>
      <c r="AE178" s="212" t="str">
        <f t="shared" si="57"/>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 t="shared" si="58"/>
        <v>0</v>
      </c>
      <c r="AH178">
        <f t="shared" si="59"/>
        <v>0</v>
      </c>
      <c r="AI178" s="373">
        <f t="array" ref="AI178">IF(C178="","",IFERROR((INDEX(終値!$E:$E,MATCH(TEXT(C178,"0"),終値!$A:$A,0))-INDEX(終値!$E:$CZ,MATCH(TEXT(C178,"0"),終値!$A:$A,0),$AN$2))/INDEX(終値!$E:$CZ,MATCH(TEXT(C178,"0"),終値!$A:$A,0),$AN$2)*100,""))</f>
        <v>4.1060735671514115</v>
      </c>
      <c r="AJ178" s="373">
        <f t="array" ref="AJ178">IFERROR((終値!$E$5-INDEX(終値!$E$5:$CZ$5,1,$AN$2))/INDEX(終値!$E$5:$CZ$5,1,$AN$2)*100,"")</f>
        <v>-0.82558151178043282</v>
      </c>
      <c r="AK178" s="374">
        <f t="shared" si="60"/>
        <v>4.9316550789318443</v>
      </c>
      <c r="AL178" s="372">
        <f t="shared" si="61"/>
        <v>-2</v>
      </c>
      <c r="AO178" s="376" t="str">
        <f t="shared" si="62"/>
        <v>通常</v>
      </c>
      <c r="AP178" s="377">
        <f t="shared" si="63"/>
        <v>0</v>
      </c>
      <c r="AQ178">
        <f>IF(C178&lt;&gt;"",始値!F61,"")</f>
        <v>1814</v>
      </c>
      <c r="AR178">
        <f>IF(C178&lt;&gt;"",高値!F61,"")</f>
        <v>1844</v>
      </c>
      <c r="AS178">
        <f>IF(C178&lt;&gt;"",安値!F61,"")</f>
        <v>1787.5</v>
      </c>
      <c r="AT178" t="str">
        <f t="shared" si="64"/>
        <v>通常</v>
      </c>
      <c r="AU178">
        <f t="shared" si="65"/>
        <v>0</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1077</v>
      </c>
      <c r="F179" s="326">
        <f>IF(C179&lt;&gt;"",_xll.RssMarket(C179,"始値"),"")</f>
        <v>1074</v>
      </c>
      <c r="G179" s="325">
        <f>IF(C179&lt;&gt;"",終値!F63,"")</f>
        <v>1089</v>
      </c>
      <c r="H179" s="326">
        <f>IF(C179&lt;&gt;"",_xll.RssMarket(C179,"高値"),"")</f>
        <v>1079</v>
      </c>
      <c r="I179" s="326">
        <f>IF(C179&lt;&gt;"",_xll.RssMarket(C179,"安値"),"")</f>
        <v>1067</v>
      </c>
      <c r="J179" s="326">
        <f>IF(C179&lt;&gt;"",_xll.RssMarket(C179,"出来高"),"")</f>
        <v>39800</v>
      </c>
      <c r="K179" s="326">
        <f>IF(C179&lt;&gt;"",_xll.RssMarket(C179,"年初来高値"),"")</f>
        <v>1168</v>
      </c>
      <c r="L179" s="327">
        <f t="shared" si="44"/>
        <v>-7.7910958904109595</v>
      </c>
      <c r="M179" s="326">
        <f>IF(C179&lt;&gt;"",IFERROR(AVERAGE(出来高!E63:I63),""),"")</f>
        <v>103400</v>
      </c>
      <c r="N179" s="326">
        <f>IF(C179&lt;&gt;"",IFERROR(AVERAGE(出来高!E63:AC63),""),"")</f>
        <v>85541.666666666672</v>
      </c>
      <c r="O179" s="328">
        <f t="shared" si="45"/>
        <v>0.38491295938104447</v>
      </c>
      <c r="P179" s="325" t="str">
        <f t="shared" si="46"/>
        <v>減少↓</v>
      </c>
      <c r="Q179" s="325" t="str">
        <f t="shared" si="47"/>
        <v>中立→</v>
      </c>
      <c r="R179" s="326">
        <f t="shared" si="48"/>
        <v>991</v>
      </c>
      <c r="S179" s="326">
        <f t="shared" si="49"/>
        <v>1120</v>
      </c>
      <c r="T179" s="325">
        <f t="shared" si="50"/>
        <v>-1</v>
      </c>
      <c r="U179" s="325" t="str">
        <f t="shared" si="51"/>
        <v>除外</v>
      </c>
      <c r="V179" s="325" t="str">
        <f t="shared" si="52"/>
        <v>通常</v>
      </c>
      <c r="W179" s="329">
        <f t="array" ref="W179">IFERROR(100-100/(1+SUMPRODUCT((終値!F63:R63&gt;終値!G63:S63)*(終値!F63:R63-終値!G63:S63))/SUMPRODUCT((終値!F63:R63&lt;終値!G63:S63)*(終値!G63:S63-終値!F63:R63))),50)</f>
        <v>50.127768313458255</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-5.842629926086147</v>
      </c>
      <c r="Y179" s="325" t="str">
        <f t="shared" si="53"/>
        <v>相場上昇・見送り | 上昇トレンド▲ MACD- RSI:50.1 前日比:-1.1% [長い下ヒゲ(反発警戒)]前日[長い下ヒゲ(反発)] [-1点]</v>
      </c>
      <c r="Z179" s="331">
        <f t="shared" si="54"/>
        <v>-1.1019283746556474</v>
      </c>
      <c r="AA179" s="325" t="str">
        <f t="shared" si="55"/>
        <v>下落▼</v>
      </c>
      <c r="AB179" s="326">
        <f>IF(OR(C179="",C179="TOPX",終値!E63=""),"",IFERROR(((終値!E63*0.333)+(終値!F63*0.222)+(終値!G63*0.148)+(終値!H63*0.099)+(終値!I63*0.066))/(0.333+0.222+0.148+0.099+0.066),""))</f>
        <v>1091.814516129032</v>
      </c>
      <c r="AC179" s="326">
        <f>IF(OR(C179="",C179="TOPX",終値!E63=""),"",IFERROR(SUMPRODUCT((終値!E63:AC63),{0.077,0.071,0.065,0.06,0.055,0.051,0.047,0.043,0.039,0.036,0.033,0.031,0.028,0.026,0.024,0.022,0.02,0.018,0.017,0.016,0.014,0.013,0.012,0.011,0.01})/SUM({0.077,0.071,0.065,0.06,0.055,0.051,0.047,0.043,0.039,0.036,0.033,0.031,0.028,0.026,0.024,0.022,0.02,0.018,0.017,0.016,0.014,0.013,0.012,0.011,0.01}),""))</f>
        <v>1043.5589988081044</v>
      </c>
      <c r="AD179" s="325" t="str">
        <f t="shared" si="56"/>
        <v>上昇トレンド▲</v>
      </c>
      <c r="AE179" s="325" t="str">
        <f t="shared" si="57"/>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 t="shared" si="58"/>
        <v>0</v>
      </c>
      <c r="AH179">
        <f t="shared" si="59"/>
        <v>0</v>
      </c>
      <c r="AI179" s="373">
        <f t="array" ref="AI179">IF(C179="","",IFERROR((INDEX(終値!$E:$E,MATCH(TEXT(C179,"0"),終値!$A:$A,0))-INDEX(終値!$E:$CZ,MATCH(TEXT(C179,"0"),終値!$A:$A,0),$AN$2))/INDEX(終値!$E:$CZ,MATCH(TEXT(C179,"0"),終値!$A:$A,0),$AN$2)*100,""))</f>
        <v>0.28011204481792717</v>
      </c>
      <c r="AJ179" s="373">
        <f t="array" ref="AJ179">IFERROR((終値!$E$5-INDEX(終値!$E$5:$CZ$5,1,$AN$2))/INDEX(終値!$E$5:$CZ$5,1,$AN$2)*100,"")</f>
        <v>-0.82558151178043282</v>
      </c>
      <c r="AK179" s="374">
        <f t="shared" si="60"/>
        <v>1.1056935565983599</v>
      </c>
      <c r="AL179" s="372">
        <f t="shared" si="61"/>
        <v>-1</v>
      </c>
      <c r="AO179" s="376" t="str">
        <f t="shared" si="62"/>
        <v>長い下ヒゲ(反発警戒)</v>
      </c>
      <c r="AP179" s="377">
        <f t="shared" si="63"/>
        <v>-2</v>
      </c>
      <c r="AQ179">
        <f>IF(C179&lt;&gt;"",始値!F63,"")</f>
        <v>1096</v>
      </c>
      <c r="AR179">
        <f>IF(C179&lt;&gt;"",高値!F63,"")</f>
        <v>1100</v>
      </c>
      <c r="AS179">
        <f>IF(C179&lt;&gt;"",安値!F63,"")</f>
        <v>1078</v>
      </c>
      <c r="AT179" t="str">
        <f t="shared" si="64"/>
        <v>長い下ヒゲ(反発)</v>
      </c>
      <c r="AU179">
        <f t="shared" si="65"/>
        <v>-2</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5740</v>
      </c>
      <c r="F180" s="333">
        <f>IF(C180&lt;&gt;"",_xll.RssMarket(C180,"始値"),"")</f>
        <v>5750</v>
      </c>
      <c r="G180" s="212">
        <f>IF(C180&lt;&gt;"",終値!F80,"")</f>
        <v>5780</v>
      </c>
      <c r="H180" s="333">
        <f>IF(C180&lt;&gt;"",_xll.RssMarket(C180,"高値"),"")</f>
        <v>5770</v>
      </c>
      <c r="I180" s="333">
        <f>IF(C180&lt;&gt;"",_xll.RssMarket(C180,"安値"),"")</f>
        <v>5710</v>
      </c>
      <c r="J180" s="333">
        <f>IF(C180&lt;&gt;"",_xll.RssMarket(C180,"出来高"),"")</f>
        <v>44800</v>
      </c>
      <c r="K180" s="333">
        <f>IF(C180&lt;&gt;"",_xll.RssMarket(C180,"年初来高値"),"")</f>
        <v>7490</v>
      </c>
      <c r="L180" s="334">
        <f t="shared" si="44"/>
        <v>-23.364485981308412</v>
      </c>
      <c r="M180" s="333">
        <f>IF(C180&lt;&gt;"",IFERROR(AVERAGE(出来高!E80:I80),""),"")</f>
        <v>120560</v>
      </c>
      <c r="N180" s="333">
        <f>IF(C180&lt;&gt;"",IFERROR(AVERAGE(出来高!E80:AC80),""),"")</f>
        <v>103470.83333333333</v>
      </c>
      <c r="O180" s="335">
        <f t="shared" si="45"/>
        <v>0.37159920371599203</v>
      </c>
      <c r="P180" s="212" t="str">
        <f t="shared" si="46"/>
        <v>減少↓</v>
      </c>
      <c r="Q180" s="212" t="str">
        <f t="shared" si="47"/>
        <v>中立→</v>
      </c>
      <c r="R180" s="333">
        <f t="shared" si="48"/>
        <v>5281</v>
      </c>
      <c r="S180" s="333">
        <f t="shared" si="49"/>
        <v>5970</v>
      </c>
      <c r="T180" s="325">
        <f t="shared" si="50"/>
        <v>3</v>
      </c>
      <c r="U180" s="212" t="str">
        <f t="shared" si="51"/>
        <v>要確認</v>
      </c>
      <c r="V180" s="212" t="str">
        <f t="shared" si="52"/>
        <v>通常</v>
      </c>
      <c r="W180" s="336">
        <f t="array" ref="W180">IFERROR(100-100/(1+SUMPRODUCT((終値!F80:R80&gt;終値!G80:S80)*(終値!F80:R80-終値!G80:S80))/SUMPRODUCT((終値!F80:R80&lt;終値!G80:S80)*(終値!G80:S80-終値!F80:R80))),50)</f>
        <v>50.918196994991654</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-21.646977579117447</v>
      </c>
      <c r="Y180" s="212" t="str">
        <f t="shared" si="53"/>
        <v>相場上昇・見送り | 上昇トレンド▲ 5日戻り売り○ MACD- RSI:50.9 前日比:-0.7%前日[長い下ヒゲ(反発)] [3点]</v>
      </c>
      <c r="Z180" s="338">
        <f t="shared" si="54"/>
        <v>-0.69204152249134954</v>
      </c>
      <c r="AA180" s="212" t="str">
        <f t="shared" si="55"/>
        <v>下落▼</v>
      </c>
      <c r="AB180" s="333">
        <f>IF(OR(C180="",C180="TOPX",終値!E80=""),"",IFERROR(((終値!E80*0.333)+(終値!F80*0.222)+(終値!G80*0.148)+(終値!H80*0.099)+(終値!I80*0.066))/(0.333+0.222+0.148+0.099+0.066),""))</f>
        <v>5765.9447004608292</v>
      </c>
      <c r="AC180" s="333">
        <f>IF(OR(C180="",C180="TOPX",終値!E80=""),"",IFERROR(SUMPRODUCT((終値!E80:AC80),{0.077,0.071,0.065,0.06,0.055,0.051,0.047,0.043,0.039,0.036,0.033,0.031,0.028,0.026,0.024,0.022,0.02,0.018,0.017,0.016,0.014,0.013,0.012,0.011,0.01})/SUM({0.077,0.071,0.065,0.06,0.055,0.051,0.047,0.043,0.039,0.036,0.033,0.031,0.028,0.026,0.024,0.022,0.02,0.018,0.017,0.016,0.014,0.013,0.012,0.011,0.01}),""))</f>
        <v>5441.9427890345632</v>
      </c>
      <c r="AD180" s="212" t="str">
        <f t="shared" si="56"/>
        <v>上昇トレンド▲</v>
      </c>
      <c r="AE180" s="212" t="str">
        <f t="shared" si="57"/>
        <v>5日戻り売り○</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 t="shared" si="58"/>
        <v>0</v>
      </c>
      <c r="AH180">
        <f t="shared" si="59"/>
        <v>0</v>
      </c>
      <c r="AI180" s="373">
        <f t="array" ref="AI180">IF(C180="","",IFERROR((INDEX(終値!$E:$E,MATCH(TEXT(C180,"0"),終値!$A:$A,0))-INDEX(終値!$E:$CZ,MATCH(TEXT(C180,"0"),終値!$A:$A,0),$AN$2))/INDEX(終値!$E:$CZ,MATCH(TEXT(C180,"0"),終値!$A:$A,0),$AN$2)*100,""))</f>
        <v>0.52631578947368418</v>
      </c>
      <c r="AJ180" s="373">
        <f t="array" ref="AJ180">IFERROR((終値!$E$5-INDEX(終値!$E$5:$CZ$5,1,$AN$2))/INDEX(終値!$E$5:$CZ$5,1,$AN$2)*100,"")</f>
        <v>-0.82558151178043282</v>
      </c>
      <c r="AK180" s="374">
        <f t="shared" si="60"/>
        <v>1.3518973012541169</v>
      </c>
      <c r="AL180" s="372">
        <f t="shared" si="61"/>
        <v>-1</v>
      </c>
      <c r="AO180" s="376" t="str">
        <f t="shared" si="62"/>
        <v>通常</v>
      </c>
      <c r="AP180" s="377">
        <f t="shared" si="63"/>
        <v>0</v>
      </c>
      <c r="AQ180">
        <f>IF(C180&lt;&gt;"",始値!F80,"")</f>
        <v>5880</v>
      </c>
      <c r="AR180">
        <f>IF(C180&lt;&gt;"",高値!F80,"")</f>
        <v>5880</v>
      </c>
      <c r="AS180">
        <f>IF(C180&lt;&gt;"",安値!F80,"")</f>
        <v>5680</v>
      </c>
      <c r="AT180" t="str">
        <f t="shared" si="64"/>
        <v>長い下ヒゲ(反発)</v>
      </c>
      <c r="AU180">
        <f t="shared" si="65"/>
        <v>-2</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4505</v>
      </c>
      <c r="F181" s="326">
        <f>IF(C181&lt;&gt;"",_xll.RssMarket(C181,"始値"),"")</f>
        <v>4560</v>
      </c>
      <c r="G181" s="325">
        <f>IF(C181&lt;&gt;"",終値!F83,"")</f>
        <v>4584</v>
      </c>
      <c r="H181" s="326">
        <f>IF(C181&lt;&gt;"",_xll.RssMarket(C181,"高値"),"")</f>
        <v>4573</v>
      </c>
      <c r="I181" s="326">
        <f>IF(C181&lt;&gt;"",_xll.RssMarket(C181,"安値"),"")</f>
        <v>4484</v>
      </c>
      <c r="J181" s="326">
        <f>IF(C181&lt;&gt;"",_xll.RssMarket(C181,"出来高"),"")</f>
        <v>1092700</v>
      </c>
      <c r="K181" s="326">
        <f>IF(C181&lt;&gt;"",_xll.RssMarket(C181,"年初来高値"),"")</f>
        <v>5805</v>
      </c>
      <c r="L181" s="327">
        <f t="shared" si="44"/>
        <v>-22.394487510766581</v>
      </c>
      <c r="M181" s="326">
        <f>IF(C181&lt;&gt;"",IFERROR(AVERAGE(出来高!E83:I83),""),"")</f>
        <v>2437580</v>
      </c>
      <c r="N181" s="326">
        <f>IF(C181&lt;&gt;"",IFERROR(AVERAGE(出来高!E83:AC83),""),"")</f>
        <v>2230064</v>
      </c>
      <c r="O181" s="328">
        <f t="shared" si="45"/>
        <v>0.44827246695493073</v>
      </c>
      <c r="P181" s="325" t="str">
        <f t="shared" si="46"/>
        <v>減少↓</v>
      </c>
      <c r="Q181" s="325" t="str">
        <f t="shared" si="47"/>
        <v>中立→</v>
      </c>
      <c r="R181" s="326">
        <f t="shared" si="48"/>
        <v>4145</v>
      </c>
      <c r="S181" s="326">
        <f t="shared" si="49"/>
        <v>4685</v>
      </c>
      <c r="T181" s="325">
        <f t="shared" si="50"/>
        <v>3</v>
      </c>
      <c r="U181" s="325" t="str">
        <f t="shared" si="51"/>
        <v>要確認</v>
      </c>
      <c r="V181" s="325" t="str">
        <f t="shared" si="52"/>
        <v>通常</v>
      </c>
      <c r="W181" s="329">
        <f t="array" ref="W181">IFERROR(100-100/(1+SUMPRODUCT((終値!F83:R83&gt;終値!G83:S83)*(終値!F83:R83-終値!G83:S83))/SUMPRODUCT((終値!F83:R83&lt;終値!G83:S83)*(終値!G83:S83-終値!F83:R83))),50)</f>
        <v>52.457142857142856</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21.087603835392656</v>
      </c>
      <c r="Y181" s="325" t="str">
        <f t="shared" si="53"/>
        <v>相場上昇・見送り | もみ合い→ MACD+ RSI:52.5 前日比:-1.7% [3点]</v>
      </c>
      <c r="Z181" s="331">
        <f t="shared" si="54"/>
        <v>-1.7233856893542756</v>
      </c>
      <c r="AA181" s="325" t="str">
        <f t="shared" si="55"/>
        <v>下落▼</v>
      </c>
      <c r="AB181" s="326">
        <f>IF(OR(C181="",C181="TOPX",終値!E83=""),"",IFERROR(((終値!E83*0.333)+(終値!F83*0.222)+(終値!G83*0.148)+(終値!H83*0.099)+(終値!I83*0.066))/(0.333+0.222+0.148+0.099+0.066),""))</f>
        <v>4637.6797235023041</v>
      </c>
      <c r="AC181" s="326">
        <f>IF(OR(C181="",C181="TOPX",終値!E83=""),"",IFERROR(SUMPRODUCT((終値!E83:AC83),{0.077,0.071,0.065,0.06,0.055,0.051,0.047,0.043,0.039,0.036,0.033,0.031,0.028,0.026,0.024,0.022,0.02,0.018,0.017,0.016,0.014,0.013,0.012,0.011,0.01})/SUM({0.077,0.071,0.065,0.06,0.055,0.051,0.047,0.043,0.039,0.036,0.033,0.031,0.028,0.026,0.024,0.022,0.02,0.018,0.017,0.016,0.014,0.013,0.012,0.011,0.01}),""))</f>
        <v>4633.1072705601891</v>
      </c>
      <c r="AD181" s="325" t="str">
        <f t="shared" si="56"/>
        <v>もみ合い→</v>
      </c>
      <c r="AE181" s="325" t="str">
        <f t="shared" si="57"/>
        <v>なし</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相場上昇・見送り</v>
      </c>
      <c r="AG181">
        <f t="shared" si="58"/>
        <v>0</v>
      </c>
      <c r="AH181">
        <f t="shared" si="59"/>
        <v>0</v>
      </c>
      <c r="AI181" s="373">
        <f t="array" ref="AI181">IF(C181="","",IFERROR((INDEX(終値!$E:$E,MATCH(TEXT(C181,"0"),終値!$A:$A,0))-INDEX(終値!$E:$CZ,MATCH(TEXT(C181,"0"),終値!$A:$A,0),$AN$2))/INDEX(終値!$E:$CZ,MATCH(TEXT(C181,"0"),終値!$A:$A,0),$AN$2)*100,""))</f>
        <v>2.0664869721473496</v>
      </c>
      <c r="AJ181" s="373">
        <f t="array" ref="AJ181">IFERROR((終値!$E$5-INDEX(終値!$E$5:$CZ$5,1,$AN$2))/INDEX(終値!$E$5:$CZ$5,1,$AN$2)*100,"")</f>
        <v>-0.82558151178043282</v>
      </c>
      <c r="AK181" s="374">
        <f t="shared" si="60"/>
        <v>2.8920684839277824</v>
      </c>
      <c r="AL181" s="372">
        <f t="shared" si="61"/>
        <v>-1</v>
      </c>
      <c r="AO181" s="376" t="str">
        <f t="shared" si="62"/>
        <v>通常</v>
      </c>
      <c r="AP181" s="377">
        <f t="shared" si="63"/>
        <v>0</v>
      </c>
      <c r="AQ181">
        <f>IF(C181&lt;&gt;"",始値!F83,"")</f>
        <v>4664</v>
      </c>
      <c r="AR181">
        <f>IF(C181&lt;&gt;"",高値!F83,"")</f>
        <v>4671</v>
      </c>
      <c r="AS181">
        <f>IF(C181&lt;&gt;"",安値!F83,"")</f>
        <v>4554</v>
      </c>
      <c r="AT181" t="str">
        <f t="shared" si="64"/>
        <v>通常</v>
      </c>
      <c r="AU181">
        <f t="shared" si="65"/>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6831</v>
      </c>
      <c r="F182" s="333">
        <f>IF(C182&lt;&gt;"",_xll.RssMarket(C182,"始値"),"")</f>
        <v>6758</v>
      </c>
      <c r="G182" s="212">
        <f>IF(C182&lt;&gt;"",終値!F87,"")</f>
        <v>6993</v>
      </c>
      <c r="H182" s="333">
        <f>IF(C182&lt;&gt;"",_xll.RssMarket(C182,"高値"),"")</f>
        <v>6835</v>
      </c>
      <c r="I182" s="333">
        <f>IF(C182&lt;&gt;"",_xll.RssMarket(C182,"安値"),"")</f>
        <v>6671</v>
      </c>
      <c r="J182" s="333">
        <f>IF(C182&lt;&gt;"",_xll.RssMarket(C182,"出来高"),"")</f>
        <v>2973600</v>
      </c>
      <c r="K182" s="333">
        <f>IF(C182&lt;&gt;"",_xll.RssMarket(C182,"年初来高値"),"")</f>
        <v>7218</v>
      </c>
      <c r="L182" s="334">
        <f t="shared" si="44"/>
        <v>-5.3615960099750621</v>
      </c>
      <c r="M182" s="333">
        <f>IF(C182&lt;&gt;"",IFERROR(AVERAGE(出来高!E87:I87),""),"")</f>
        <v>6995060</v>
      </c>
      <c r="N182" s="333">
        <f>IF(C182&lt;&gt;"",IFERROR(AVERAGE(出来高!E87:AC87),""),"")</f>
        <v>5147420</v>
      </c>
      <c r="O182" s="335">
        <f t="shared" si="45"/>
        <v>0.42509999914225183</v>
      </c>
      <c r="P182" s="212" t="str">
        <f t="shared" si="46"/>
        <v>減少↓</v>
      </c>
      <c r="Q182" s="212" t="str">
        <f t="shared" si="47"/>
        <v>中立→</v>
      </c>
      <c r="R182" s="333">
        <f t="shared" si="48"/>
        <v>6285</v>
      </c>
      <c r="S182" s="333">
        <f t="shared" si="49"/>
        <v>7104</v>
      </c>
      <c r="T182" s="325">
        <f t="shared" si="50"/>
        <v>1</v>
      </c>
      <c r="U182" s="212" t="str">
        <f t="shared" si="51"/>
        <v>除外</v>
      </c>
      <c r="V182" s="212" t="str">
        <f t="shared" si="52"/>
        <v>通常</v>
      </c>
      <c r="W182" s="336">
        <f t="array" ref="W182">IFERROR(100-100/(1+SUMPRODUCT((終値!F87:R87&gt;終値!G87:S87)*(終値!F87:R87-終値!G87:S87))/SUMPRODUCT((終値!F87:R87&lt;終値!G87:S87)*(終値!G87:S87-終値!F87:R87))),50)</f>
        <v>77.90988735919899</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106.41490771735153</v>
      </c>
      <c r="Y182" s="212" t="str">
        <f t="shared" si="53"/>
        <v>◎反落確認 | 上昇トレンド▲ 5日戻り売り○ MACD+ RSI:77.9 [過熱] 前日比:-2.3% [長い下ヒゲ(反発警戒)] [1点]</v>
      </c>
      <c r="Z182" s="338">
        <f t="shared" si="54"/>
        <v>-2.3166023166023164</v>
      </c>
      <c r="AA182" s="212" t="str">
        <f t="shared" si="55"/>
        <v>下落▼</v>
      </c>
      <c r="AB182" s="333">
        <f>IF(OR(C182="",C182="TOPX",終値!E87=""),"",IFERROR(((終値!E87*0.333)+(終値!F87*0.222)+(終値!G87*0.148)+(終値!H87*0.099)+(終値!I87*0.066))/(0.333+0.222+0.148+0.099+0.066),""))</f>
        <v>6896.9285714285716</v>
      </c>
      <c r="AC182" s="333">
        <f>IF(OR(C182="",C182="TOPX",終値!E87=""),"",IFERROR(SUMPRODUCT((終値!E87:AC87),{0.077,0.071,0.065,0.06,0.055,0.051,0.047,0.043,0.039,0.036,0.033,0.031,0.028,0.026,0.024,0.022,0.02,0.018,0.017,0.016,0.014,0.013,0.012,0.011,0.01})/SUM({0.077,0.071,0.065,0.06,0.055,0.051,0.047,0.043,0.039,0.036,0.033,0.031,0.028,0.026,0.024,0.022,0.02,0.018,0.017,0.016,0.014,0.013,0.012,0.011,0.01}),""))</f>
        <v>6537.460071513703</v>
      </c>
      <c r="AD182" s="212" t="str">
        <f t="shared" si="56"/>
        <v>上昇トレンド▲</v>
      </c>
      <c r="AE182" s="212" t="str">
        <f t="shared" si="57"/>
        <v>5日戻り売り○</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◎反落確認</v>
      </c>
      <c r="AG182">
        <f t="shared" si="58"/>
        <v>0</v>
      </c>
      <c r="AH182">
        <f t="shared" si="59"/>
        <v>0</v>
      </c>
      <c r="AI182" s="373">
        <f t="array" ref="AI182">IF(C182="","",IFERROR((INDEX(終値!$E:$E,MATCH(TEXT(C182,"0"),終値!$A:$A,0))-INDEX(終値!$E:$CZ,MATCH(TEXT(C182,"0"),終値!$A:$A,0),$AN$2))/INDEX(終値!$E:$CZ,MATCH(TEXT(C182,"0"),終値!$A:$A,0),$AN$2)*100,""))</f>
        <v>13.159641553269166</v>
      </c>
      <c r="AJ182" s="373">
        <f t="array" ref="AJ182">IFERROR((終値!$E$5-INDEX(終値!$E$5:$CZ$5,1,$AN$2))/INDEX(終値!$E$5:$CZ$5,1,$AN$2)*100,"")</f>
        <v>-0.82558151178043282</v>
      </c>
      <c r="AK182" s="374">
        <f t="shared" si="60"/>
        <v>13.985223065049599</v>
      </c>
      <c r="AL182" s="372">
        <f t="shared" si="61"/>
        <v>-2</v>
      </c>
      <c r="AO182" s="376" t="str">
        <f t="shared" si="62"/>
        <v>長い下ヒゲ(反発警戒)</v>
      </c>
      <c r="AP182" s="377">
        <f t="shared" si="63"/>
        <v>-2</v>
      </c>
      <c r="AQ182">
        <f>IF(C182&lt;&gt;"",始値!F87,"")</f>
        <v>7002</v>
      </c>
      <c r="AR182">
        <f>IF(C182&lt;&gt;"",高値!F87,"")</f>
        <v>7068</v>
      </c>
      <c r="AS182">
        <f>IF(C182&lt;&gt;"",安値!F87,"")</f>
        <v>6870</v>
      </c>
      <c r="AT182" t="str">
        <f t="shared" si="64"/>
        <v>通常</v>
      </c>
      <c r="AU182">
        <f t="shared" si="65"/>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1629</v>
      </c>
      <c r="F183" s="326">
        <f>IF(C183&lt;&gt;"",_xll.RssMarket(C183,"始値"),"")</f>
        <v>1610</v>
      </c>
      <c r="G183" s="325">
        <f>IF(C183&lt;&gt;"",終値!F94,"")</f>
        <v>1647.5</v>
      </c>
      <c r="H183" s="326">
        <f>IF(C183&lt;&gt;"",_xll.RssMarket(C183,"高値"),"")</f>
        <v>1639.5</v>
      </c>
      <c r="I183" s="326">
        <f>IF(C183&lt;&gt;"",_xll.RssMarket(C183,"安値"),"")</f>
        <v>1605</v>
      </c>
      <c r="J183" s="326">
        <f>IF(C183&lt;&gt;"",_xll.RssMarket(C183,"出来高"),"")</f>
        <v>5390900</v>
      </c>
      <c r="K183" s="326">
        <f>IF(C183&lt;&gt;"",_xll.RssMarket(C183,"年初来高値"),"")</f>
        <v>1906</v>
      </c>
      <c r="L183" s="327">
        <f t="shared" si="44"/>
        <v>-14.53305351521511</v>
      </c>
      <c r="M183" s="326">
        <f>IF(C183&lt;&gt;"",IFERROR(AVERAGE(出来高!E94:I94),""),"")</f>
        <v>10039920</v>
      </c>
      <c r="N183" s="326">
        <f>IF(C183&lt;&gt;"",IFERROR(AVERAGE(出来高!E94:AC94),""),"")</f>
        <v>5478140</v>
      </c>
      <c r="O183" s="328">
        <f t="shared" si="45"/>
        <v>0.53694650953394052</v>
      </c>
      <c r="P183" s="325" t="str">
        <f t="shared" si="46"/>
        <v>減少↓</v>
      </c>
      <c r="Q183" s="325" t="str">
        <f t="shared" si="47"/>
        <v>中立→</v>
      </c>
      <c r="R183" s="326">
        <f t="shared" si="48"/>
        <v>1499</v>
      </c>
      <c r="S183" s="326">
        <f t="shared" si="49"/>
        <v>1694</v>
      </c>
      <c r="T183" s="325">
        <f t="shared" si="50"/>
        <v>9</v>
      </c>
      <c r="U183" s="325" t="str">
        <f t="shared" si="51"/>
        <v>要確認</v>
      </c>
      <c r="V183" s="325" t="str">
        <f t="shared" si="52"/>
        <v>通常</v>
      </c>
      <c r="W183" s="329">
        <f t="array" ref="W183">IFERROR(100-100/(1+SUMPRODUCT((終値!F94:R94&gt;終値!G94:S94)*(終値!F94:R94-終値!G94:S94))/SUMPRODUCT((終値!F94:R94&lt;終値!G94:S94)*(終値!G94:S94-終値!F94:R94))),50)</f>
        <v>32.389937106918239</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-18.90746162020946</v>
      </c>
      <c r="Y183" s="325" t="str">
        <f t="shared" si="53"/>
        <v>相場上昇・見送り | 下降トレンド▼ MACD- RSI:32.4 前日比:-1.1% [9点]</v>
      </c>
      <c r="Z183" s="331">
        <f t="shared" si="54"/>
        <v>-1.1229135053110775</v>
      </c>
      <c r="AA183" s="325" t="str">
        <f t="shared" si="55"/>
        <v>下落▼</v>
      </c>
      <c r="AB183" s="326">
        <f>IF(OR(C183="",C183="TOPX",終値!E94=""),"",IFERROR(((終値!E94*0.333)+(終値!F94*0.222)+(終値!G94*0.148)+(終値!H94*0.099)+(終値!I94*0.066))/(0.333+0.222+0.148+0.099+0.066),""))</f>
        <v>1666.6491935483871</v>
      </c>
      <c r="AC183" s="326">
        <f>IF(OR(C183="",C183="TOPX",終値!E94=""),"",IFERROR(SUMPRODUCT((終値!E94:AC94),{0.077,0.071,0.065,0.06,0.055,0.051,0.047,0.043,0.039,0.036,0.033,0.031,0.028,0.026,0.024,0.022,0.02,0.018,0.017,0.016,0.014,0.013,0.012,0.011,0.01})/SUM({0.077,0.071,0.065,0.06,0.055,0.051,0.047,0.043,0.039,0.036,0.033,0.031,0.028,0.026,0.024,0.022,0.02,0.018,0.017,0.016,0.014,0.013,0.012,0.011,0.01}),""))</f>
        <v>1793.0679380214533</v>
      </c>
      <c r="AD183" s="325" t="str">
        <f t="shared" si="56"/>
        <v>下降トレンド▼</v>
      </c>
      <c r="AE183" s="325" t="str">
        <f t="shared" si="57"/>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 t="shared" si="58"/>
        <v>9</v>
      </c>
      <c r="AH183">
        <f t="shared" si="59"/>
        <v>89817</v>
      </c>
      <c r="AI183" s="373">
        <f t="array" ref="AI183">IF(C183="","",IFERROR((INDEX(終値!$E:$E,MATCH(TEXT(C183,"0"),終値!$A:$A,0))-INDEX(終値!$E:$CZ,MATCH(TEXT(C183,"0"),終値!$A:$A,0),$AN$2))/INDEX(終値!$E:$CZ,MATCH(TEXT(C183,"0"),終値!$A:$A,0),$AN$2)*100,""))</f>
        <v>-12.420293873024674</v>
      </c>
      <c r="AJ183" s="373">
        <f t="array" ref="AJ183">IFERROR((終値!$E$5-INDEX(終値!$E$5:$CZ$5,1,$AN$2))/INDEX(終値!$E$5:$CZ$5,1,$AN$2)*100,"")</f>
        <v>-0.82558151178043282</v>
      </c>
      <c r="AK183" s="374">
        <f t="shared" si="60"/>
        <v>-11.594712361244241</v>
      </c>
      <c r="AL183" s="372">
        <f t="shared" si="61"/>
        <v>3</v>
      </c>
      <c r="AO183" s="376" t="str">
        <f t="shared" si="62"/>
        <v>通常</v>
      </c>
      <c r="AP183" s="377">
        <f t="shared" si="63"/>
        <v>0</v>
      </c>
      <c r="AQ183">
        <f>IF(C183&lt;&gt;"",始値!F94,"")</f>
        <v>1686</v>
      </c>
      <c r="AR183">
        <f>IF(C183&lt;&gt;"",高値!F94,"")</f>
        <v>1713.5</v>
      </c>
      <c r="AS183">
        <f>IF(C183&lt;&gt;"",安値!F94,"")</f>
        <v>1618.5</v>
      </c>
      <c r="AT183" t="str">
        <f t="shared" si="64"/>
        <v>通常</v>
      </c>
      <c r="AU183">
        <f t="shared" si="65"/>
        <v>0</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4507</v>
      </c>
      <c r="F184" s="333">
        <f>IF(C184&lt;&gt;"",_xll.RssMarket(C184,"始値"),"")</f>
        <v>4590</v>
      </c>
      <c r="G184" s="212">
        <f>IF(C184&lt;&gt;"",終値!F99,"")</f>
        <v>4656</v>
      </c>
      <c r="H184" s="333">
        <f>IF(C184&lt;&gt;"",_xll.RssMarket(C184,"高値"),"")</f>
        <v>4607</v>
      </c>
      <c r="I184" s="333">
        <f>IF(C184&lt;&gt;"",_xll.RssMarket(C184,"安値"),"")</f>
        <v>4476</v>
      </c>
      <c r="J184" s="333">
        <f>IF(C184&lt;&gt;"",_xll.RssMarket(C184,"出来高"),"")</f>
        <v>971300</v>
      </c>
      <c r="K184" s="333">
        <f>IF(C184&lt;&gt;"",_xll.RssMarket(C184,"年初来高値"),"")</f>
        <v>5243</v>
      </c>
      <c r="L184" s="334">
        <f t="shared" si="44"/>
        <v>-14.037764638565706</v>
      </c>
      <c r="M184" s="333">
        <f>IF(C184&lt;&gt;"",IFERROR(AVERAGE(出来高!E99:I99),""),"")</f>
        <v>2487300</v>
      </c>
      <c r="N184" s="333">
        <f>IF(C184&lt;&gt;"",IFERROR(AVERAGE(出来高!E99:AC99),""),"")</f>
        <v>1911488</v>
      </c>
      <c r="O184" s="335">
        <f t="shared" si="45"/>
        <v>0.39050375909620871</v>
      </c>
      <c r="P184" s="212" t="str">
        <f t="shared" si="46"/>
        <v>減少↓</v>
      </c>
      <c r="Q184" s="212" t="str">
        <f t="shared" si="47"/>
        <v>中立→</v>
      </c>
      <c r="R184" s="333">
        <f t="shared" si="48"/>
        <v>4146</v>
      </c>
      <c r="S184" s="333">
        <f t="shared" si="49"/>
        <v>4687</v>
      </c>
      <c r="T184" s="325">
        <f t="shared" si="50"/>
        <v>2</v>
      </c>
      <c r="U184" s="212" t="str">
        <f t="shared" si="51"/>
        <v>除外</v>
      </c>
      <c r="V184" s="212" t="str">
        <f t="shared" si="52"/>
        <v>通常</v>
      </c>
      <c r="W184" s="336">
        <f t="array" ref="W184">IFERROR(100-100/(1+SUMPRODUCT((終値!F99:R99&gt;終値!G99:S99)*(終値!F99:R99-終値!G99:S99))/SUMPRODUCT((終値!F99:R99&lt;終値!G99:S99)*(終値!G99:S99-終値!F99:R99))),50)</f>
        <v>63.228699551569512</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78.470936040983361</v>
      </c>
      <c r="Y184" s="212" t="str">
        <f t="shared" si="53"/>
        <v>相場上昇・見送り | もみ合い→ MACD+ RSI:63.2 前日比:-3.2% [2点]</v>
      </c>
      <c r="Z184" s="338">
        <f t="shared" si="54"/>
        <v>-3.2001718213058417</v>
      </c>
      <c r="AA184" s="212" t="str">
        <f t="shared" si="55"/>
        <v>下落▼</v>
      </c>
      <c r="AB184" s="333">
        <f>IF(OR(C184="",C184="TOPX",終値!E99=""),"",IFERROR(((終値!E99*0.333)+(終値!F99*0.222)+(終値!G99*0.148)+(終値!H99*0.099)+(終値!I99*0.066))/(0.333+0.222+0.148+0.099+0.066),""))</f>
        <v>4749.9585253456216</v>
      </c>
      <c r="AC184" s="333">
        <f>IF(OR(C184="",C184="TOPX",終値!E99=""),"",IFERROR(SUMPRODUCT((終値!E99:AC99),{0.077,0.071,0.065,0.06,0.055,0.051,0.047,0.043,0.039,0.036,0.033,0.031,0.028,0.026,0.024,0.022,0.02,0.018,0.017,0.016,0.014,0.013,0.012,0.011,0.01})/SUM({0.077,0.071,0.065,0.06,0.055,0.051,0.047,0.043,0.039,0.036,0.033,0.031,0.028,0.026,0.024,0.022,0.02,0.018,0.017,0.016,0.014,0.013,0.012,0.011,0.01}),""))</f>
        <v>4606.6853396901051</v>
      </c>
      <c r="AD184" s="212" t="str">
        <f t="shared" si="56"/>
        <v>もみ合い→</v>
      </c>
      <c r="AE184" s="212" t="str">
        <f t="shared" si="57"/>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 t="shared" si="58"/>
        <v>0</v>
      </c>
      <c r="AH184">
        <f t="shared" si="59"/>
        <v>0</v>
      </c>
      <c r="AI184" s="373">
        <f t="array" ref="AI184">IF(C184="","",IFERROR((INDEX(終値!$E:$E,MATCH(TEXT(C184,"0"),終値!$A:$A,0))-INDEX(終値!$E:$CZ,MATCH(TEXT(C184,"0"),終値!$A:$A,0),$AN$2))/INDEX(終値!$E:$CZ,MATCH(TEXT(C184,"0"),終値!$A:$A,0),$AN$2)*100,""))</f>
        <v>11.531966224366705</v>
      </c>
      <c r="AJ184" s="373">
        <f t="array" ref="AJ184">IFERROR((終値!$E$5-INDEX(終値!$E$5:$CZ$5,1,$AN$2))/INDEX(終値!$E$5:$CZ$5,1,$AN$2)*100,"")</f>
        <v>-0.82558151178043282</v>
      </c>
      <c r="AK184" s="374">
        <f t="shared" si="60"/>
        <v>12.357547736147138</v>
      </c>
      <c r="AL184" s="372">
        <f t="shared" si="61"/>
        <v>-2</v>
      </c>
      <c r="AO184" s="376" t="str">
        <f t="shared" si="62"/>
        <v>通常</v>
      </c>
      <c r="AP184" s="377">
        <f t="shared" si="63"/>
        <v>0</v>
      </c>
      <c r="AQ184">
        <f>IF(C184&lt;&gt;"",始値!F99,"")</f>
        <v>4807</v>
      </c>
      <c r="AR184">
        <f>IF(C184&lt;&gt;"",高値!F99,"")</f>
        <v>4816</v>
      </c>
      <c r="AS184">
        <f>IF(C184&lt;&gt;"",安値!F99,"")</f>
        <v>4538</v>
      </c>
      <c r="AT184" t="str">
        <f t="shared" si="64"/>
        <v>通常</v>
      </c>
      <c r="AU184">
        <f t="shared" si="65"/>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4360</v>
      </c>
      <c r="F185" s="326">
        <f>IF(C185&lt;&gt;"",_xll.RssMarket(C185,"始値"),"")</f>
        <v>4389</v>
      </c>
      <c r="G185" s="325">
        <f>IF(C185&lt;&gt;"",終値!F108,"")</f>
        <v>4464</v>
      </c>
      <c r="H185" s="326">
        <f>IF(C185&lt;&gt;"",_xll.RssMarket(C185,"高値"),"")</f>
        <v>4409</v>
      </c>
      <c r="I185" s="326">
        <f>IF(C185&lt;&gt;"",_xll.RssMarket(C185,"安値"),"")</f>
        <v>4356</v>
      </c>
      <c r="J185" s="326">
        <f>IF(C185&lt;&gt;"",_xll.RssMarket(C185,"出来高"),"")</f>
        <v>62000</v>
      </c>
      <c r="K185" s="326">
        <f>IF(C185&lt;&gt;"",_xll.RssMarket(C185,"年初来高値"),"")</f>
        <v>4664</v>
      </c>
      <c r="L185" s="327">
        <f t="shared" si="44"/>
        <v>-6.5180102915951972</v>
      </c>
      <c r="M185" s="326">
        <f>IF(C185&lt;&gt;"",IFERROR(AVERAGE(出来高!E108:I108),""),"")</f>
        <v>280100</v>
      </c>
      <c r="N185" s="326">
        <f>IF(C185&lt;&gt;"",IFERROR(AVERAGE(出来高!E108:AC108),""),"")</f>
        <v>183972</v>
      </c>
      <c r="O185" s="328">
        <f t="shared" si="45"/>
        <v>0.22134951802927527</v>
      </c>
      <c r="P185" s="325" t="str">
        <f t="shared" si="46"/>
        <v>減少↓</v>
      </c>
      <c r="Q185" s="325" t="str">
        <f t="shared" si="47"/>
        <v>中立→</v>
      </c>
      <c r="R185" s="326">
        <f t="shared" si="48"/>
        <v>4011</v>
      </c>
      <c r="S185" s="326">
        <f t="shared" si="49"/>
        <v>4534</v>
      </c>
      <c r="T185" s="325">
        <f t="shared" si="50"/>
        <v>2</v>
      </c>
      <c r="U185" s="325" t="str">
        <f t="shared" si="51"/>
        <v>除外</v>
      </c>
      <c r="V185" s="325" t="str">
        <f t="shared" si="52"/>
        <v>通常</v>
      </c>
      <c r="W185" s="329">
        <f t="array" ref="W185">IFERROR(100-100/(1+SUMPRODUCT((終値!F108:R108&gt;終値!G108:S108)*(終値!F108:R108-終値!G108:S108))/SUMPRODUCT((終値!F108:R108&lt;終値!G108:S108)*(終値!G108:S108-終値!F108:R108))),50)</f>
        <v>65.390749601275914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31.29400093138338</v>
      </c>
      <c r="Y185" s="325" t="str">
        <f t="shared" si="53"/>
        <v>○逆張り売り | もみ合い→ 25日戻り売り★ MACD+ RSI:65.4 前日比:-2.3%前日[長い下ヒゲ(反発)] [2点]</v>
      </c>
      <c r="Z185" s="331">
        <f t="shared" si="54"/>
        <v>-2.3297491039426523</v>
      </c>
      <c r="AA185" s="325" t="str">
        <f t="shared" si="55"/>
        <v>下落▼</v>
      </c>
      <c r="AB185" s="326">
        <f>IF(OR(C185="",C185="TOPX",終値!E108=""),"",IFERROR(((終値!E108*0.333)+(終値!F108*0.222)+(終値!G108*0.148)+(終値!H108*0.099)+(終値!I108*0.066))/(0.333+0.222+0.148+0.099+0.066),""))</f>
        <v>4459.0276497695841</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4412.9499404052431</v>
      </c>
      <c r="AD185" s="325" t="str">
        <f t="shared" si="56"/>
        <v>もみ合い→</v>
      </c>
      <c r="AE185" s="325" t="str">
        <f t="shared" si="57"/>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 t="shared" si="58"/>
        <v>0</v>
      </c>
      <c r="AH185">
        <f t="shared" si="59"/>
        <v>0</v>
      </c>
      <c r="AI185" s="373">
        <f t="array" ref="AI185">IF(C185="","",IFERROR((INDEX(終値!$E:$E,MATCH(TEXT(C185,"0"),終値!$A:$A,0))-INDEX(終値!$E:$CZ,MATCH(TEXT(C185,"0"),終値!$A:$A,0),$AN$2))/INDEX(終値!$E:$CZ,MATCH(TEXT(C185,"0"),終値!$A:$A,0),$AN$2)*100,""))</f>
        <v>3.5257927117841934</v>
      </c>
      <c r="AJ185" s="373">
        <f t="array" ref="AJ185">IFERROR((終値!$E$5-INDEX(終値!$E$5:$CZ$5,1,$AN$2))/INDEX(終値!$E$5:$CZ$5,1,$AN$2)*100,"")</f>
        <v>-0.82558151178043282</v>
      </c>
      <c r="AK185" s="374">
        <f t="shared" si="60"/>
        <v>4.3513742235646262</v>
      </c>
      <c r="AL185" s="372">
        <f t="shared" si="61"/>
        <v>-2</v>
      </c>
      <c r="AO185" s="376" t="str">
        <f t="shared" si="62"/>
        <v>通常</v>
      </c>
      <c r="AP185" s="377">
        <f t="shared" si="63"/>
        <v>0</v>
      </c>
      <c r="AQ185">
        <f>IF(C185&lt;&gt;"",始値!F108,"")</f>
        <v>4500</v>
      </c>
      <c r="AR185">
        <f>IF(C185&lt;&gt;"",高値!F108,"")</f>
        <v>4509</v>
      </c>
      <c r="AS185">
        <f>IF(C185&lt;&gt;"",安値!F108,"")</f>
        <v>4390</v>
      </c>
      <c r="AT185" t="str">
        <f t="shared" si="64"/>
        <v>長い下ヒゲ(反発)</v>
      </c>
      <c r="AU185">
        <f t="shared" si="65"/>
        <v>-2</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2105</v>
      </c>
      <c r="F186" s="333">
        <f>IF(C186&lt;&gt;"",_xll.RssMarket(C186,"始値"),"")</f>
        <v>2025</v>
      </c>
      <c r="G186" s="212">
        <f>IF(C186&lt;&gt;"",終値!F128,"")</f>
        <v>1897</v>
      </c>
      <c r="H186" s="333">
        <f>IF(C186&lt;&gt;"",_xll.RssMarket(C186,"高値"),"")</f>
        <v>2110</v>
      </c>
      <c r="I186" s="333">
        <f>IF(C186&lt;&gt;"",_xll.RssMarket(C186,"安値"),"")</f>
        <v>2011</v>
      </c>
      <c r="J186" s="333">
        <f>IF(C186&lt;&gt;"",_xll.RssMarket(C186,"出来高"),"")</f>
        <v>1282600</v>
      </c>
      <c r="K186" s="333">
        <f>IF(C186&lt;&gt;"",_xll.RssMarket(C186,"年初来高値"),"")</f>
        <v>8760</v>
      </c>
      <c r="L186" s="334">
        <f t="shared" si="44"/>
        <v>-75.970319634703202</v>
      </c>
      <c r="M186" s="333">
        <f>IF(C186&lt;&gt;"",IFERROR(AVERAGE(出来高!E128:I128),""),"")</f>
        <v>1879160</v>
      </c>
      <c r="N186" s="333">
        <f>IF(C186&lt;&gt;"",IFERROR(AVERAGE(出来高!E128:AC128),""),"")</f>
        <v>2062479.1666666667</v>
      </c>
      <c r="O186" s="335">
        <f t="shared" si="45"/>
        <v>0.68253900679026802</v>
      </c>
      <c r="P186" s="212" t="str">
        <f t="shared" si="46"/>
        <v>減少↓</v>
      </c>
      <c r="Q186" s="212" t="str">
        <f t="shared" si="47"/>
        <v>様子見▲</v>
      </c>
      <c r="R186" s="333">
        <f t="shared" si="48"/>
        <v>1937</v>
      </c>
      <c r="S186" s="333">
        <f t="shared" si="49"/>
        <v>2189</v>
      </c>
      <c r="T186" s="325">
        <f t="shared" si="50"/>
        <v>12</v>
      </c>
      <c r="U186" s="212" t="str">
        <f t="shared" si="51"/>
        <v>要確認</v>
      </c>
      <c r="V186" s="212" t="str">
        <f t="shared" si="52"/>
        <v>年初来安値圏●</v>
      </c>
      <c r="W186" s="336">
        <f t="array" ref="W186">IFERROR(100-100/(1+SUMPRODUCT((終値!F128:R128&gt;終値!G128:S128)*(終値!F128:R128-終値!G128:S128))/SUMPRODUCT((終値!F128:R128&lt;終値!G128:S128)*(終値!G128:S128-終値!F128:R128))),50)</f>
        <v>49.596260093497662</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-20.490357786807635</v>
      </c>
      <c r="Y186" s="212" t="str">
        <f t="shared" si="53"/>
        <v>相場上昇・見送り | パーフェクト▲ MACD- RSI:49.6 前日比:+11.0% [年初来安値圏]前日[大陰線▼] [12点]</v>
      </c>
      <c r="Z186" s="338">
        <f t="shared" si="54"/>
        <v>10.964681075382183</v>
      </c>
      <c r="AA186" s="212" t="str">
        <f t="shared" si="55"/>
        <v>上昇▲</v>
      </c>
      <c r="AB186" s="333">
        <f>IF(OR(C186="",C186="TOPX",終値!E128=""),"",IFERROR(((終値!E128*0.333)+(終値!F128*0.222)+(終値!G128*0.148)+(終値!H128*0.099)+(終値!I128*0.066))/(0.333+0.222+0.148+0.099+0.066),""))</f>
        <v>1942.2799539170505</v>
      </c>
      <c r="AC186" s="333">
        <f>IF(OR(C186="",C186="TOPX",終値!E128=""),"",IFERROR(SUMPRODUCT((終値!E128:AC128),{0.077,0.071,0.065,0.06,0.055,0.051,0.047,0.043,0.039,0.036,0.033,0.031,0.028,0.026,0.024,0.022,0.02,0.018,0.017,0.016,0.014,0.013,0.012,0.011,0.01})/SUM({0.077,0.071,0.065,0.06,0.055,0.051,0.047,0.043,0.039,0.036,0.033,0.031,0.028,0.026,0.024,0.022,0.02,0.018,0.017,0.016,0.014,0.013,0.012,0.011,0.01}),""))</f>
        <v>1851.8295589988074</v>
      </c>
      <c r="AD186" s="212" t="str">
        <f t="shared" si="56"/>
        <v>パーフェクト▲</v>
      </c>
      <c r="AE186" s="212" t="str">
        <f t="shared" si="57"/>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 t="shared" si="58"/>
        <v>12</v>
      </c>
      <c r="AH186">
        <f t="shared" si="59"/>
        <v>119814</v>
      </c>
      <c r="AI186" s="373">
        <f t="array" ref="AI186">IF(C186="","",IFERROR((INDEX(終値!$E:$E,MATCH(TEXT(C186,"0"),終値!$A:$A,0))-INDEX(終値!$E:$CZ,MATCH(TEXT(C186,"0"),終値!$A:$A,0),$AN$2))/INDEX(終値!$E:$CZ,MATCH(TEXT(C186,"0"),終値!$A:$A,0),$AN$2)*100,""))</f>
        <v>-7.2853828306264496</v>
      </c>
      <c r="AJ186" s="373">
        <f t="array" ref="AJ186">IFERROR((終値!$E$5-INDEX(終値!$E$5:$CZ$5,1,$AN$2))/INDEX(終値!$E$5:$CZ$5,1,$AN$2)*100,"")</f>
        <v>-0.82558151178043282</v>
      </c>
      <c r="AK186" s="374">
        <f t="shared" si="60"/>
        <v>-6.4598013188460168</v>
      </c>
      <c r="AL186" s="372">
        <f t="shared" si="61"/>
        <v>3</v>
      </c>
      <c r="AO186" s="376" t="str">
        <f t="shared" si="62"/>
        <v>通常</v>
      </c>
      <c r="AP186" s="377">
        <f t="shared" si="63"/>
        <v>0</v>
      </c>
      <c r="AQ186">
        <f>IF(C186&lt;&gt;"",始値!F128,"")</f>
        <v>1982</v>
      </c>
      <c r="AR186">
        <f>IF(C186&lt;&gt;"",高値!F128,"")</f>
        <v>1982</v>
      </c>
      <c r="AS186">
        <f>IF(C186&lt;&gt;"",安値!F128,"")</f>
        <v>1885</v>
      </c>
      <c r="AT186" t="str">
        <f t="shared" si="64"/>
        <v>大陰線▼</v>
      </c>
      <c r="AU186">
        <f t="shared" si="65"/>
        <v>2</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2638</v>
      </c>
      <c r="F187" s="326">
        <f>IF(C187&lt;&gt;"",_xll.RssMarket(C187,"始値"),"")</f>
        <v>2532</v>
      </c>
      <c r="G187" s="325">
        <f>IF(C187&lt;&gt;"",終値!F131,"")</f>
        <v>2488</v>
      </c>
      <c r="H187" s="326">
        <f>IF(C187&lt;&gt;"",_xll.RssMarket(C187,"高値"),"")</f>
        <v>2665</v>
      </c>
      <c r="I187" s="326">
        <f>IF(C187&lt;&gt;"",_xll.RssMarket(C187,"安値"),"")</f>
        <v>2526</v>
      </c>
      <c r="J187" s="326">
        <f>IF(C187&lt;&gt;"",_xll.RssMarket(C187,"出来高"),"")</f>
        <v>619200</v>
      </c>
      <c r="K187" s="326">
        <f>IF(C187&lt;&gt;"",_xll.RssMarket(C187,"年初来高値"),"")</f>
        <v>3740</v>
      </c>
      <c r="L187" s="327">
        <f t="shared" si="44"/>
        <v>-29.465240641711233</v>
      </c>
      <c r="M187" s="326">
        <f>IF(C187&lt;&gt;"",IFERROR(AVERAGE(出来高!E131:I131),""),"")</f>
        <v>1071680</v>
      </c>
      <c r="N187" s="326">
        <f>IF(C187&lt;&gt;"",IFERROR(AVERAGE(出来高!E131:AC131),""),"")</f>
        <v>878400</v>
      </c>
      <c r="O187" s="328">
        <f t="shared" si="45"/>
        <v>0.57778441325768881</v>
      </c>
      <c r="P187" s="325" t="str">
        <f t="shared" si="46"/>
        <v>減少↓</v>
      </c>
      <c r="Q187" s="325" t="str">
        <f t="shared" si="47"/>
        <v>様子見▲</v>
      </c>
      <c r="R187" s="326">
        <f t="shared" si="48"/>
        <v>2427</v>
      </c>
      <c r="S187" s="326">
        <f t="shared" si="49"/>
        <v>2744</v>
      </c>
      <c r="T187" s="325">
        <f t="shared" si="50"/>
        <v>8</v>
      </c>
      <c r="U187" s="325" t="str">
        <f t="shared" si="51"/>
        <v>要確認</v>
      </c>
      <c r="V187" s="325" t="str">
        <f t="shared" si="52"/>
        <v>安値圏</v>
      </c>
      <c r="W187" s="329">
        <f t="array" ref="W187">IFERROR(100-100/(1+SUMPRODUCT((終値!F131:R131&gt;終値!G131:S131)*(終値!F131:R131-終値!G131:S131))/SUMPRODUCT((終値!F131:R131&lt;終値!G131:S131)*(終値!G131:S131-終値!F131:R131))),50)</f>
        <v>45.187793427230048</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-30.779252026953145</v>
      </c>
      <c r="Y187" s="325" t="str">
        <f t="shared" si="53"/>
        <v>相場上昇・見送り | 上昇トレンド▲ MACD- RSI:45.2 前日比:+6.0% [安値圏] [8点]</v>
      </c>
      <c r="Z187" s="331">
        <f t="shared" si="54"/>
        <v>6.028938906752412</v>
      </c>
      <c r="AA187" s="325" t="str">
        <f t="shared" si="55"/>
        <v>上昇▲</v>
      </c>
      <c r="AB187" s="326">
        <f>IF(OR(C187="",C187="TOPX",終値!E131=""),"",IFERROR(((終値!E131*0.333)+(終値!F131*0.222)+(終値!G131*0.148)+(終値!H131*0.099)+(終値!I131*0.066))/(0.333+0.222+0.148+0.099+0.066),""))</f>
        <v>2471.3744239631337</v>
      </c>
      <c r="AC187" s="326">
        <f>IF(OR(C187="",C187="TOPX",終値!E131=""),"",IFERROR(SUMPRODUCT((終値!E131:AC131),{0.077,0.071,0.065,0.06,0.055,0.051,0.047,0.043,0.039,0.036,0.033,0.031,0.028,0.026,0.024,0.022,0.02,0.018,0.017,0.016,0.014,0.013,0.012,0.011,0.01})/SUM({0.077,0.071,0.065,0.06,0.055,0.051,0.047,0.043,0.039,0.036,0.033,0.031,0.028,0.026,0.024,0.022,0.02,0.018,0.017,0.016,0.014,0.013,0.012,0.011,0.01}),""))</f>
        <v>2537.1537544696057</v>
      </c>
      <c r="AD187" s="325" t="str">
        <f t="shared" si="56"/>
        <v>上昇トレンド▲</v>
      </c>
      <c r="AE187" s="325" t="str">
        <f t="shared" si="57"/>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 t="shared" si="58"/>
        <v>8</v>
      </c>
      <c r="AH187">
        <f t="shared" si="59"/>
        <v>79813</v>
      </c>
      <c r="AI187" s="373">
        <f t="array" ref="AI187">IF(C187="","",IFERROR((INDEX(終値!$E:$E,MATCH(TEXT(C187,"0"),終値!$A:$A,0))-INDEX(終値!$E:$CZ,MATCH(TEXT(C187,"0"),終値!$A:$A,0),$AN$2))/INDEX(終値!$E:$CZ,MATCH(TEXT(C187,"0"),終値!$A:$A,0),$AN$2)*100,""))</f>
        <v>-9.1822094691535163</v>
      </c>
      <c r="AJ187" s="373">
        <f t="array" ref="AJ187">IFERROR((終値!$E$5-INDEX(終値!$E$5:$CZ$5,1,$AN$2))/INDEX(終値!$E$5:$CZ$5,1,$AN$2)*100,"")</f>
        <v>-0.82558151178043282</v>
      </c>
      <c r="AK187" s="374">
        <f t="shared" si="60"/>
        <v>-8.3566279573730835</v>
      </c>
      <c r="AL187" s="372">
        <f t="shared" si="61"/>
        <v>3</v>
      </c>
      <c r="AO187" s="376" t="str">
        <f t="shared" si="62"/>
        <v>通常</v>
      </c>
      <c r="AP187" s="377">
        <f t="shared" si="63"/>
        <v>0</v>
      </c>
      <c r="AQ187">
        <f>IF(C187&lt;&gt;"",始値!F131,"")</f>
        <v>2472</v>
      </c>
      <c r="AR187">
        <f>IF(C187&lt;&gt;"",高値!F131,"")</f>
        <v>2510</v>
      </c>
      <c r="AS187">
        <f>IF(C187&lt;&gt;"",安値!F131,"")</f>
        <v>2446</v>
      </c>
      <c r="AT187" t="str">
        <f t="shared" si="64"/>
        <v>通常</v>
      </c>
      <c r="AU187">
        <f t="shared" si="65"/>
        <v>0</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561</v>
      </c>
      <c r="F188" s="333">
        <f>IF(C188&lt;&gt;"",_xll.RssMarket(C188,"始値"),"")</f>
        <v>552</v>
      </c>
      <c r="G188" s="212">
        <f>IF(C188&lt;&gt;"",終値!F139,"")</f>
        <v>527</v>
      </c>
      <c r="H188" s="333">
        <f>IF(C188&lt;&gt;"",_xll.RssMarket(C188,"高値"),"")</f>
        <v>572</v>
      </c>
      <c r="I188" s="333">
        <f>IF(C188&lt;&gt;"",_xll.RssMarket(C188,"安値"),"")</f>
        <v>542</v>
      </c>
      <c r="J188" s="333">
        <f>IF(C188&lt;&gt;"",_xll.RssMarket(C188,"出来高"),"")</f>
        <v>46100</v>
      </c>
      <c r="K188" s="333">
        <f>IF(C188&lt;&gt;"",_xll.RssMarket(C188,"年初来高値"),"")</f>
        <v>1630</v>
      </c>
      <c r="L188" s="334">
        <f t="shared" si="44"/>
        <v>-65.582822085889575</v>
      </c>
      <c r="M188" s="333">
        <f>IF(C188&lt;&gt;"",IFERROR(AVERAGE(出来高!E139:I139),""),"")</f>
        <v>82660</v>
      </c>
      <c r="N188" s="333">
        <f>IF(C188&lt;&gt;"",IFERROR(AVERAGE(出来高!E139:AC139),""),"")</f>
        <v>72228</v>
      </c>
      <c r="O188" s="335">
        <f t="shared" si="45"/>
        <v>0.55770626663440603</v>
      </c>
      <c r="P188" s="212" t="str">
        <f t="shared" si="46"/>
        <v>減少↓</v>
      </c>
      <c r="Q188" s="212" t="str">
        <f t="shared" si="47"/>
        <v>様子見▲</v>
      </c>
      <c r="R188" s="333">
        <f t="shared" si="48"/>
        <v>516</v>
      </c>
      <c r="S188" s="333">
        <f t="shared" si="49"/>
        <v>583</v>
      </c>
      <c r="T188" s="325">
        <f t="shared" si="50"/>
        <v>8</v>
      </c>
      <c r="U188" s="212" t="str">
        <f t="shared" si="51"/>
        <v>要確認</v>
      </c>
      <c r="V188" s="212" t="str">
        <f t="shared" si="52"/>
        <v>年初来安値圏●</v>
      </c>
      <c r="W188" s="336">
        <f t="array" ref="W188">IFERROR(100-100/(1+SUMPRODUCT((終値!F139:R139&gt;終値!G139:S139)*(終値!F139:R139-終値!G139:S139))/SUMPRODUCT((終値!F139:R139&lt;終値!G139:S139)*(終値!G139:S139-終値!F139:R139))),50)</f>
        <v>44.71153846153846</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-6.1315002845893787</v>
      </c>
      <c r="Y188" s="212" t="str">
        <f t="shared" si="53"/>
        <v>相場上昇・見送り | 上昇トレンド▲ MACD- RSI:44.7 前日比:+6.5% [年初来安値圏] [8点]</v>
      </c>
      <c r="Z188" s="338">
        <f t="shared" si="54"/>
        <v>6.4516129032258061</v>
      </c>
      <c r="AA188" s="212" t="str">
        <f t="shared" si="55"/>
        <v>上昇▲</v>
      </c>
      <c r="AB188" s="333">
        <f>IF(OR(C188="",C188="TOPX",終値!E139=""),"",IFERROR(((終値!E139*0.333)+(終値!F139*0.222)+(終値!G139*0.148)+(終値!H139*0.099)+(終値!I139*0.066))/(0.333+0.222+0.148+0.099+0.066),""))</f>
        <v>528.5460829493087</v>
      </c>
      <c r="AC188" s="333">
        <f>IF(OR(C188="",C188="TOPX",終値!E139=""),"",IFERROR(SUMPRODUCT((終値!E139:AC139),{0.077,0.071,0.065,0.06,0.055,0.051,0.047,0.043,0.039,0.036,0.033,0.031,0.028,0.026,0.024,0.022,0.02,0.018,0.017,0.016,0.014,0.013,0.012,0.011,0.01})/SUM({0.077,0.071,0.065,0.06,0.055,0.051,0.047,0.043,0.039,0.036,0.033,0.031,0.028,0.026,0.024,0.022,0.02,0.018,0.017,0.016,0.014,0.013,0.012,0.011,0.01}),""))</f>
        <v>534.26102502979711</v>
      </c>
      <c r="AD188" s="212" t="str">
        <f t="shared" si="56"/>
        <v>上昇トレンド▲</v>
      </c>
      <c r="AE188" s="212" t="str">
        <f t="shared" si="57"/>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 t="shared" si="58"/>
        <v>8</v>
      </c>
      <c r="AH188">
        <f t="shared" si="59"/>
        <v>79812</v>
      </c>
      <c r="AI188" s="373">
        <f t="array" ref="AI188">IF(C188="","",IFERROR((INDEX(終値!$E:$E,MATCH(TEXT(C188,"0"),終値!$A:$A,0))-INDEX(終値!$E:$CZ,MATCH(TEXT(C188,"0"),終値!$A:$A,0),$AN$2))/INDEX(終値!$E:$CZ,MATCH(TEXT(C188,"0"),終値!$A:$A,0),$AN$2)*100,""))</f>
        <v>-1.2455516014234875</v>
      </c>
      <c r="AJ188" s="373">
        <f t="array" ref="AJ188">IFERROR((終値!$E$5-INDEX(終値!$E$5:$CZ$5,1,$AN$2))/INDEX(終値!$E$5:$CZ$5,1,$AN$2)*100,"")</f>
        <v>-0.82558151178043282</v>
      </c>
      <c r="AK188" s="374">
        <f t="shared" si="60"/>
        <v>-0.41997008964305471</v>
      </c>
      <c r="AL188" s="372">
        <f t="shared" si="61"/>
        <v>1</v>
      </c>
      <c r="AO188" s="376" t="str">
        <f t="shared" si="62"/>
        <v>通常</v>
      </c>
      <c r="AP188" s="377">
        <f t="shared" si="63"/>
        <v>0</v>
      </c>
      <c r="AQ188">
        <f>IF(C188&lt;&gt;"",始値!F139,"")</f>
        <v>513</v>
      </c>
      <c r="AR188">
        <f>IF(C188&lt;&gt;"",高値!F139,"")</f>
        <v>535</v>
      </c>
      <c r="AS188">
        <f>IF(C188&lt;&gt;"",安値!F139,"")</f>
        <v>501</v>
      </c>
      <c r="AT188" t="str">
        <f t="shared" si="64"/>
        <v>通常</v>
      </c>
      <c r="AU188">
        <f t="shared" si="65"/>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47</v>
      </c>
      <c r="F189" s="326">
        <f>IF(C189&lt;&gt;"",_xll.RssMarket(C189,"始値"),"")</f>
        <v>46</v>
      </c>
      <c r="G189" s="325">
        <f>IF(C189&lt;&gt;"",終値!F140,"")</f>
        <v>47</v>
      </c>
      <c r="H189" s="326">
        <f>IF(C189&lt;&gt;"",_xll.RssMarket(C189,"高値"),"")</f>
        <v>48</v>
      </c>
      <c r="I189" s="326">
        <f>IF(C189&lt;&gt;"",_xll.RssMarket(C189,"安値"),"")</f>
        <v>46</v>
      </c>
      <c r="J189" s="326">
        <f>IF(C189&lt;&gt;"",_xll.RssMarket(C189,"出来高"),"")</f>
        <v>6248600</v>
      </c>
      <c r="K189" s="326">
        <f>IF(C189&lt;&gt;"",_xll.RssMarket(C189,"年初来高値"),"")</f>
        <v>164</v>
      </c>
      <c r="L189" s="327">
        <f t="shared" si="44"/>
        <v>-71.341463414634148</v>
      </c>
      <c r="M189" s="326">
        <f>IF(C189&lt;&gt;"",IFERROR(AVERAGE(出来高!E140:I140),""),"")</f>
        <v>15737500</v>
      </c>
      <c r="N189" s="326">
        <f>IF(C189&lt;&gt;"",IFERROR(AVERAGE(出来高!E140:AC140),""),"")</f>
        <v>28912141.666666668</v>
      </c>
      <c r="O189" s="328">
        <f t="shared" si="45"/>
        <v>0.39705162827640983</v>
      </c>
      <c r="P189" s="325" t="str">
        <f t="shared" si="46"/>
        <v>減少↓</v>
      </c>
      <c r="Q189" s="325" t="str">
        <f t="shared" si="47"/>
        <v>中立→</v>
      </c>
      <c r="R189" s="326">
        <f t="shared" si="48"/>
        <v>43</v>
      </c>
      <c r="S189" s="326">
        <f t="shared" si="49"/>
        <v>49</v>
      </c>
      <c r="T189" s="325">
        <f t="shared" si="50"/>
        <v>8</v>
      </c>
      <c r="U189" s="325" t="str">
        <f t="shared" si="51"/>
        <v>要確認</v>
      </c>
      <c r="V189" s="325" t="str">
        <f t="shared" si="52"/>
        <v>年初来安値圏●</v>
      </c>
      <c r="W189" s="329">
        <f t="array" ref="W189">IFERROR(100-100/(1+SUMPRODUCT((終値!F140:R140&gt;終値!G140:S140)*(終値!F140:R140-終値!G140:S140))/SUMPRODUCT((終値!F140:R140&lt;終値!G140:S140)*(終値!G140:S140-終値!F140:R140))),50)</f>
        <v>47.787610619469028</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-1.2017083334991696</v>
      </c>
      <c r="Y189" s="325" t="str">
        <f t="shared" si="53"/>
        <v>相場上昇・見送り | パーフェクト▲ MACD- RSI:47.8 前日比:0.0% [年初来安値圏]前日[長い下ヒゲ(反発)] [8点]</v>
      </c>
      <c r="Z189" s="331">
        <f t="shared" si="54"/>
        <v>0</v>
      </c>
      <c r="AA189" s="325" t="str">
        <f t="shared" si="55"/>
        <v>横ばい→</v>
      </c>
      <c r="AB189" s="326">
        <f>IF(OR(C189="",C189="TOPX",終値!E140=""),"",IFERROR(((終値!E140*0.333)+(終値!F140*0.222)+(終値!G140*0.148)+(終値!H140*0.099)+(終値!I140*0.066))/(0.333+0.222+0.148+0.099+0.066),""))</f>
        <v>46.672811059907829</v>
      </c>
      <c r="AC189" s="326">
        <f>IF(OR(C189="",C189="TOPX",終値!E140=""),"",IFERROR(SUMPRODUCT((終値!E140:AC140),{0.077,0.071,0.065,0.06,0.055,0.051,0.047,0.043,0.039,0.036,0.033,0.031,0.028,0.026,0.024,0.022,0.02,0.018,0.017,0.016,0.014,0.013,0.012,0.011,0.01})/SUM({0.077,0.071,0.065,0.06,0.055,0.051,0.047,0.043,0.039,0.036,0.033,0.031,0.028,0.026,0.024,0.022,0.02,0.018,0.017,0.016,0.014,0.013,0.012,0.011,0.01}),""))</f>
        <v>45.970202622169225</v>
      </c>
      <c r="AD189" s="325" t="str">
        <f t="shared" si="56"/>
        <v>パーフェクト▲</v>
      </c>
      <c r="AE189" s="325" t="str">
        <f t="shared" si="57"/>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 t="shared" si="58"/>
        <v>8</v>
      </c>
      <c r="AH189">
        <f t="shared" si="59"/>
        <v>79811</v>
      </c>
      <c r="AI189" s="373">
        <f t="array" ref="AI189">IF(C189="","",IFERROR((INDEX(終値!$E:$E,MATCH(TEXT(C189,"0"),終値!$A:$A,0))-INDEX(終値!$E:$CZ,MATCH(TEXT(C189,"0"),終値!$A:$A,0),$AN$2))/INDEX(終値!$E:$CZ,MATCH(TEXT(C189,"0"),終値!$A:$A,0),$AN$2)*100,""))</f>
        <v>-23.333333333333332</v>
      </c>
      <c r="AJ189" s="373">
        <f t="array" ref="AJ189">IFERROR((終値!$E$5-INDEX(終値!$E$5:$CZ$5,1,$AN$2))/INDEX(終値!$E$5:$CZ$5,1,$AN$2)*100,"")</f>
        <v>-0.82558151178043282</v>
      </c>
      <c r="AK189" s="374">
        <f t="shared" si="60"/>
        <v>-22.507751821552901</v>
      </c>
      <c r="AL189" s="372">
        <f t="shared" si="61"/>
        <v>3</v>
      </c>
      <c r="AO189" s="376" t="str">
        <f t="shared" si="62"/>
        <v>通常</v>
      </c>
      <c r="AP189" s="377">
        <f t="shared" si="63"/>
        <v>0</v>
      </c>
      <c r="AQ189">
        <f>IF(C189&lt;&gt;"",始値!F140,"")</f>
        <v>47</v>
      </c>
      <c r="AR189">
        <f>IF(C189&lt;&gt;"",高値!F140,"")</f>
        <v>47</v>
      </c>
      <c r="AS189">
        <f>IF(C189&lt;&gt;"",安値!F140,"")</f>
        <v>46</v>
      </c>
      <c r="AT189" t="str">
        <f t="shared" si="64"/>
        <v>長い下ヒゲ(反発)</v>
      </c>
      <c r="AU189">
        <f t="shared" si="65"/>
        <v>-2</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1161</v>
      </c>
      <c r="F190" s="333">
        <f>IF(C190&lt;&gt;"",_xll.RssMarket(C190,"始値"),"")</f>
        <v>1138</v>
      </c>
      <c r="G190" s="212">
        <f>IF(C190&lt;&gt;"",終値!F149,"")</f>
        <v>0</v>
      </c>
      <c r="H190" s="333">
        <f>IF(C190&lt;&gt;"",_xll.RssMarket(C190,"高値"),"")</f>
        <v>1170</v>
      </c>
      <c r="I190" s="333">
        <f>IF(C190&lt;&gt;"",_xll.RssMarket(C190,"安値"),"")</f>
        <v>1134</v>
      </c>
      <c r="J190" s="333">
        <f>IF(C190&lt;&gt;"",_xll.RssMarket(C190,"出来高"),"")</f>
        <v>11100</v>
      </c>
      <c r="K190" s="333">
        <f>IF(C190&lt;&gt;"",_xll.RssMarket(C190,"年初来高値"),"")</f>
        <v>2660</v>
      </c>
      <c r="L190" s="334">
        <f t="shared" si="44"/>
        <v>-56.353383458646618</v>
      </c>
      <c r="M190" s="333" t="str">
        <f>IF(C190&lt;&gt;"",IFERROR(AVERAGE(出来高!E149:I149),""),"")</f>
        <v/>
      </c>
      <c r="N190" s="333" t="str">
        <f>IF(C190&lt;&gt;"",IFERROR(AVERAGE(出来高!E149:AC149),""),"")</f>
        <v/>
      </c>
      <c r="O190" s="335" t="str">
        <f t="shared" si="45"/>
        <v/>
      </c>
      <c r="P190" s="212" t="str">
        <f t="shared" si="46"/>
        <v/>
      </c>
      <c r="Q190" s="212" t="str">
        <f t="shared" si="47"/>
        <v>様子見▲</v>
      </c>
      <c r="R190" s="333">
        <f t="shared" si="48"/>
        <v>1068</v>
      </c>
      <c r="S190" s="333">
        <f t="shared" si="49"/>
        <v>1207</v>
      </c>
      <c r="T190" s="325">
        <f t="shared" si="50"/>
        <v>6</v>
      </c>
      <c r="U190" s="212" t="str">
        <f t="shared" si="51"/>
        <v>有効</v>
      </c>
      <c r="V190" s="212" t="str">
        <f t="shared" si="52"/>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0</v>
      </c>
      <c r="Y190" s="212" t="str">
        <f t="shared" si="53"/>
        <v>相場上昇・見送り |   MACD+ RSI:50.0 前日比:% [年初来安値圏] [6点]</v>
      </c>
      <c r="Z190" s="338" t="str">
        <f t="shared" si="54"/>
        <v/>
      </c>
      <c r="AA190" s="212" t="str">
        <f t="shared" si="55"/>
        <v>上昇▲</v>
      </c>
      <c r="AB190" s="333" t="str">
        <f>IF(OR(C190="",C190="TOPX",終値!E149=""),"",IFERROR(((終値!E149*0.333)+(終値!F149*0.222)+(終値!G149*0.148)+(終値!H149*0.099)+(終値!I149*0.066))/(0.333+0.222+0.148+0.099+0.066),""))</f>
        <v/>
      </c>
      <c r="AC190" s="333" t="str">
        <f>IF(OR(C190="",C190="TOPX",終値!E149=""),"",IFERROR(SUMPRODUCT((終値!E149:AC149),{0.077,0.071,0.065,0.06,0.055,0.051,0.047,0.043,0.039,0.036,0.033,0.031,0.028,0.026,0.024,0.022,0.02,0.018,0.017,0.016,0.014,0.013,0.012,0.011,0.01})/SUM({0.077,0.071,0.065,0.06,0.055,0.051,0.047,0.043,0.039,0.036,0.033,0.031,0.028,0.026,0.024,0.022,0.02,0.018,0.017,0.016,0.014,0.013,0.012,0.011,0.01}),""))</f>
        <v/>
      </c>
      <c r="AD190" s="212" t="str">
        <f t="shared" si="56"/>
        <v/>
      </c>
      <c r="AE190" s="212" t="str">
        <f t="shared" si="57"/>
        <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 t="shared" si="58"/>
        <v>0</v>
      </c>
      <c r="AH190">
        <f t="shared" si="59"/>
        <v>0</v>
      </c>
      <c r="AI190" s="373" t="str">
        <f t="array" ref="AI190">IF(C190="","",IFERROR((INDEX(終値!$E:$E,MATCH(TEXT(C190,"0"),終値!$A:$A,0))-INDEX(終値!$E:$CZ,MATCH(TEXT(C190,"0"),終値!$A:$A,0),$AN$2))/INDEX(終値!$E:$CZ,MATCH(TEXT(C190,"0"),終値!$A:$A,0),$AN$2)*100,""))</f>
        <v/>
      </c>
      <c r="AJ190" s="373">
        <f t="array" ref="AJ190">IFERROR((終値!$E$5-INDEX(終値!$E$5:$CZ$5,1,$AN$2))/INDEX(終値!$E$5:$CZ$5,1,$AN$2)*100,"")</f>
        <v>-0.82558151178043282</v>
      </c>
      <c r="AK190" s="374" t="str">
        <f t="shared" si="60"/>
        <v/>
      </c>
      <c r="AL190" s="372" t="str">
        <f t="shared" si="61"/>
        <v/>
      </c>
      <c r="AO190" s="376" t="str">
        <f t="shared" si="62"/>
        <v>通常</v>
      </c>
      <c r="AP190" s="377">
        <f t="shared" si="63"/>
        <v>0</v>
      </c>
      <c r="AQ190">
        <f>IF(C190&lt;&gt;"",始値!F149,"")</f>
        <v>0</v>
      </c>
      <c r="AR190">
        <f>IF(C190&lt;&gt;"",高値!F149,"")</f>
        <v>0</v>
      </c>
      <c r="AS190">
        <f>IF(C190&lt;&gt;"",安値!F149,"")</f>
        <v>0</v>
      </c>
      <c r="AT190" t="str">
        <f t="shared" si="64"/>
        <v>-</v>
      </c>
      <c r="AU190">
        <f t="shared" si="65"/>
        <v>0</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1486</v>
      </c>
      <c r="F191" s="326">
        <f>IF(C191&lt;&gt;"",_xll.RssMarket(C191,"始値"),"")</f>
        <v>1449.5</v>
      </c>
      <c r="G191" s="325">
        <f>IF(C191&lt;&gt;"",終値!F172,"")</f>
        <v>1453</v>
      </c>
      <c r="H191" s="326">
        <f>IF(C191&lt;&gt;"",_xll.RssMarket(C191,"高値"),"")</f>
        <v>1501</v>
      </c>
      <c r="I191" s="326">
        <f>IF(C191&lt;&gt;"",_xll.RssMarket(C191,"安値"),"")</f>
        <v>1443</v>
      </c>
      <c r="J191" s="326">
        <f>IF(C191&lt;&gt;"",_xll.RssMarket(C191,"出来高"),"")</f>
        <v>4793300</v>
      </c>
      <c r="K191" s="326">
        <f>IF(C191&lt;&gt;"",_xll.RssMarket(C191,"年初来高値"),"")</f>
        <v>2200</v>
      </c>
      <c r="L191" s="327">
        <f t="shared" si="44"/>
        <v>-32.454545454545453</v>
      </c>
      <c r="M191" s="326">
        <f>IF(C191&lt;&gt;"",IFERROR(AVERAGE(出来高!E172:I172),""),"")</f>
        <v>5983480</v>
      </c>
      <c r="N191" s="326">
        <f>IF(C191&lt;&gt;"",IFERROR(AVERAGE(出来高!E172:AC172),""),"")</f>
        <v>3629696</v>
      </c>
      <c r="O191" s="328">
        <f t="shared" si="45"/>
        <v>0.80108899837552727</v>
      </c>
      <c r="P191" s="325" t="str">
        <f t="shared" si="46"/>
        <v>減少↓</v>
      </c>
      <c r="Q191" s="325" t="str">
        <f t="shared" si="47"/>
        <v>様子見▲</v>
      </c>
      <c r="R191" s="326">
        <f t="shared" si="48"/>
        <v>1367</v>
      </c>
      <c r="S191" s="326">
        <f t="shared" si="49"/>
        <v>1545</v>
      </c>
      <c r="T191" s="325">
        <f t="shared" si="50"/>
        <v>8</v>
      </c>
      <c r="U191" s="325" t="str">
        <f t="shared" si="51"/>
        <v>要確認</v>
      </c>
      <c r="V191" s="325" t="str">
        <f t="shared" si="52"/>
        <v>安値圏</v>
      </c>
      <c r="W191" s="329">
        <f t="array" ref="W191">IFERROR(100-100/(1+SUMPRODUCT((終値!F172:R172&gt;終値!G172:S172)*(終値!F172:R172-終値!G172:S172))/SUMPRODUCT((終値!F172:R172&lt;終値!G172:S172)*(終値!G172:S172-終値!F172:R172))),50)</f>
        <v>51.293103448275865</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-0.44804747670536926</v>
      </c>
      <c r="Y191" s="325" t="str">
        <f t="shared" si="53"/>
        <v>相場上昇・見送り | パーフェクト▲ MACD- RSI:51.3 前日比:+2.3% [安値圏]前日[大陰線▼] [8点]</v>
      </c>
      <c r="Z191" s="331">
        <f t="shared" si="54"/>
        <v>2.2711631108052308</v>
      </c>
      <c r="AA191" s="325" t="str">
        <f t="shared" si="55"/>
        <v>上昇▲</v>
      </c>
      <c r="AB191" s="326">
        <f>IF(OR(C191="",C191="TOPX",終値!E172=""),"",IFERROR(((終値!E172*0.333)+(終値!F172*0.222)+(終値!G172*0.148)+(終値!H172*0.099)+(終値!I172*0.066))/(0.333+0.222+0.148+0.099+0.066),""))</f>
        <v>1447.6417050691243</v>
      </c>
      <c r="AC191" s="326">
        <f>IF(OR(C191="",C191="TOPX",終値!E172=""),"",IFERROR(SUMPRODUCT((終値!E172:AC172),{0.077,0.071,0.065,0.06,0.055,0.051,0.047,0.043,0.039,0.036,0.033,0.031,0.028,0.026,0.024,0.022,0.02,0.018,0.017,0.016,0.014,0.013,0.012,0.011,0.01})/SUM({0.077,0.071,0.065,0.06,0.055,0.051,0.047,0.043,0.039,0.036,0.033,0.031,0.028,0.026,0.024,0.022,0.02,0.018,0.017,0.016,0.014,0.013,0.012,0.011,0.01}),""))</f>
        <v>1443.8092967818827</v>
      </c>
      <c r="AD191" s="325" t="str">
        <f t="shared" si="56"/>
        <v>パーフェクト▲</v>
      </c>
      <c r="AE191" s="325" t="str">
        <f t="shared" si="57"/>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 t="shared" si="58"/>
        <v>8</v>
      </c>
      <c r="AH191">
        <f t="shared" si="59"/>
        <v>79809</v>
      </c>
      <c r="AI191" s="373">
        <f t="array" ref="AI191">IF(C191="","",IFERROR((INDEX(終値!$E:$E,MATCH(TEXT(C191,"0"),終値!$A:$A,0))-INDEX(終値!$E:$CZ,MATCH(TEXT(C191,"0"),終値!$A:$A,0),$AN$2))/INDEX(終値!$E:$CZ,MATCH(TEXT(C191,"0"),終値!$A:$A,0),$AN$2)*100,""))</f>
        <v>0.91228070175438591</v>
      </c>
      <c r="AJ191" s="373">
        <f t="array" ref="AJ191">IFERROR((終値!$E$5-INDEX(終値!$E$5:$CZ$5,1,$AN$2))/INDEX(終値!$E$5:$CZ$5,1,$AN$2)*100,"")</f>
        <v>-0.82558151178043282</v>
      </c>
      <c r="AK191" s="374">
        <f t="shared" si="60"/>
        <v>1.7378622135348187</v>
      </c>
      <c r="AL191" s="372">
        <f t="shared" si="61"/>
        <v>-1</v>
      </c>
      <c r="AO191" s="376" t="str">
        <f t="shared" si="62"/>
        <v>通常</v>
      </c>
      <c r="AP191" s="377">
        <f t="shared" si="63"/>
        <v>0</v>
      </c>
      <c r="AQ191">
        <f>IF(C191&lt;&gt;"",始値!F172,"")</f>
        <v>1501</v>
      </c>
      <c r="AR191">
        <f>IF(C191&lt;&gt;"",高値!F172,"")</f>
        <v>1503</v>
      </c>
      <c r="AS191">
        <f>IF(C191&lt;&gt;"",安値!F172,"")</f>
        <v>1437.5</v>
      </c>
      <c r="AT191" t="str">
        <f t="shared" si="64"/>
        <v>大陰線▼</v>
      </c>
      <c r="AU191">
        <f t="shared" si="65"/>
        <v>2</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714</v>
      </c>
      <c r="F192" s="333">
        <f>IF(C192&lt;&gt;"",_xll.RssMarket(C192,"始値"),"")</f>
        <v>706</v>
      </c>
      <c r="G192" s="212">
        <f>IF(C192&lt;&gt;"",終値!F173,"")</f>
        <v>705</v>
      </c>
      <c r="H192" s="333">
        <f>IF(C192&lt;&gt;"",_xll.RssMarket(C192,"高値"),"")</f>
        <v>716</v>
      </c>
      <c r="I192" s="333">
        <f>IF(C192&lt;&gt;"",_xll.RssMarket(C192,"安値"),"")</f>
        <v>706</v>
      </c>
      <c r="J192" s="333">
        <f>IF(C192&lt;&gt;"",_xll.RssMarket(C192,"出来高"),"")</f>
        <v>31600</v>
      </c>
      <c r="K192" s="333">
        <f>IF(C192&lt;&gt;"",_xll.RssMarket(C192,"年初来高値"),"")</f>
        <v>995</v>
      </c>
      <c r="L192" s="334">
        <f t="shared" si="44"/>
        <v>-28.241206030150757</v>
      </c>
      <c r="M192" s="333">
        <f>IF(C192&lt;&gt;"",IFERROR(AVERAGE(出来高!E173:I173),""),"")</f>
        <v>37200</v>
      </c>
      <c r="N192" s="333">
        <f>IF(C192&lt;&gt;"",IFERROR(AVERAGE(出来高!E173:AC173),""),"")</f>
        <v>56058.333333333336</v>
      </c>
      <c r="O192" s="335">
        <f t="shared" si="45"/>
        <v>0.84946236559139787</v>
      </c>
      <c r="P192" s="212" t="str">
        <f t="shared" si="46"/>
        <v>減少↓</v>
      </c>
      <c r="Q192" s="212" t="str">
        <f t="shared" si="47"/>
        <v>様子見▲</v>
      </c>
      <c r="R192" s="333">
        <f t="shared" si="48"/>
        <v>657</v>
      </c>
      <c r="S192" s="333">
        <f t="shared" si="49"/>
        <v>743</v>
      </c>
      <c r="T192" s="325">
        <f t="shared" si="50"/>
        <v>7</v>
      </c>
      <c r="U192" s="212" t="str">
        <f t="shared" si="51"/>
        <v>要確認</v>
      </c>
      <c r="V192" s="212" t="str">
        <f t="shared" si="52"/>
        <v>安値圏</v>
      </c>
      <c r="W192" s="336">
        <f t="array" ref="W192">IFERROR(100-100/(1+SUMPRODUCT((終値!F173:R173&gt;終値!G173:S173)*(終値!F173:R173-終値!G173:S173))/SUMPRODUCT((終値!F173:R173&lt;終値!G173:S173)*(終値!G173:S173-終値!F173:R173))),50)</f>
        <v>50.436534586971128</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-6.0150155827715253</v>
      </c>
      <c r="Y192" s="212" t="str">
        <f t="shared" si="53"/>
        <v>相場上昇・見送り | パーフェクト▲ MACD- RSI:50.4 前日比:+1.3% [安値圏]前日[長い下ヒゲ(反発)] [7点]</v>
      </c>
      <c r="Z192" s="338">
        <f t="shared" si="54"/>
        <v>1.2765957446808509</v>
      </c>
      <c r="AA192" s="212" t="str">
        <f t="shared" si="55"/>
        <v>上昇▲</v>
      </c>
      <c r="AB192" s="333">
        <f>IF(OR(C192="",C192="TOPX",終値!E173=""),"",IFERROR(((終値!E173*0.333)+(終値!F173*0.222)+(終値!G173*0.148)+(終値!H173*0.099)+(終値!I173*0.066))/(0.333+0.222+0.148+0.099+0.066),""))</f>
        <v>702.98732718893996</v>
      </c>
      <c r="AC192" s="333">
        <f>IF(OR(C192="",C192="TOPX",終値!E173=""),"",IFERROR(SUMPRODUCT((終値!E173:AC173),{0.077,0.071,0.065,0.06,0.055,0.051,0.047,0.043,0.039,0.036,0.033,0.031,0.028,0.026,0.024,0.022,0.02,0.018,0.017,0.016,0.014,0.013,0.012,0.011,0.01})/SUM({0.077,0.071,0.065,0.06,0.055,0.051,0.047,0.043,0.039,0.036,0.033,0.031,0.028,0.026,0.024,0.022,0.02,0.018,0.017,0.016,0.014,0.013,0.012,0.011,0.01}),""))</f>
        <v>668.7306317044098</v>
      </c>
      <c r="AD192" s="212" t="str">
        <f t="shared" si="56"/>
        <v>パーフェクト▲</v>
      </c>
      <c r="AE192" s="212" t="str">
        <f t="shared" si="57"/>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 t="shared" si="58"/>
        <v>7</v>
      </c>
      <c r="AH192">
        <f t="shared" si="59"/>
        <v>69808</v>
      </c>
      <c r="AI192" s="373">
        <f t="array" ref="AI192">IF(C192="","",IFERROR((INDEX(終値!$E:$E,MATCH(TEXT(C192,"0"),終値!$A:$A,0))-INDEX(終値!$E:$CZ,MATCH(TEXT(C192,"0"),終値!$A:$A,0),$AN$2))/INDEX(終値!$E:$CZ,MATCH(TEXT(C192,"0"),終値!$A:$A,0),$AN$2)*100,""))</f>
        <v>-6.4986737400530501</v>
      </c>
      <c r="AJ192" s="373">
        <f t="array" ref="AJ192">IFERROR((終値!$E$5-INDEX(終値!$E$5:$CZ$5,1,$AN$2))/INDEX(終値!$E$5:$CZ$5,1,$AN$2)*100,"")</f>
        <v>-0.82558151178043282</v>
      </c>
      <c r="AK192" s="374">
        <f t="shared" si="60"/>
        <v>-5.6730922282726173</v>
      </c>
      <c r="AL192" s="372">
        <f t="shared" si="61"/>
        <v>3</v>
      </c>
      <c r="AO192" s="376" t="str">
        <f t="shared" si="62"/>
        <v>通常</v>
      </c>
      <c r="AP192" s="377">
        <f t="shared" si="63"/>
        <v>0</v>
      </c>
      <c r="AQ192">
        <f>IF(C192&lt;&gt;"",始値!F173,"")</f>
        <v>701</v>
      </c>
      <c r="AR192">
        <f>IF(C192&lt;&gt;"",高値!F173,"")</f>
        <v>708</v>
      </c>
      <c r="AS192">
        <f>IF(C192&lt;&gt;"",安値!F173,"")</f>
        <v>691</v>
      </c>
      <c r="AT192" t="str">
        <f t="shared" si="64"/>
        <v>長い下ヒゲ(反発)</v>
      </c>
      <c r="AU192">
        <f t="shared" si="65"/>
        <v>-2</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1192.5</v>
      </c>
      <c r="F193" s="326">
        <f>IF(C193&lt;&gt;"",_xll.RssMarket(C193,"始値"),"")</f>
        <v>1192</v>
      </c>
      <c r="G193" s="325">
        <f>IF(C193&lt;&gt;"",終値!F186,"")</f>
        <v>1190.5</v>
      </c>
      <c r="H193" s="326">
        <f>IF(C193&lt;&gt;"",_xll.RssMarket(C193,"高値"),"")</f>
        <v>1208</v>
      </c>
      <c r="I193" s="326">
        <f>IF(C193&lt;&gt;"",_xll.RssMarket(C193,"安値"),"")</f>
        <v>1188.5</v>
      </c>
      <c r="J193" s="326">
        <f>IF(C193&lt;&gt;"",_xll.RssMarket(C193,"出来高"),"")</f>
        <v>1241700</v>
      </c>
      <c r="K193" s="326">
        <f>IF(C193&lt;&gt;"",_xll.RssMarket(C193,"年初来高値"),"")</f>
        <v>1323</v>
      </c>
      <c r="L193" s="327">
        <f t="shared" si="44"/>
        <v>-9.8639455782312915</v>
      </c>
      <c r="M193" s="326">
        <f>IF(C193&lt;&gt;"",IFERROR(AVERAGE(出来高!E186:I186),""),"")</f>
        <v>3982480</v>
      </c>
      <c r="N193" s="326">
        <f>IF(C193&lt;&gt;"",IFERROR(AVERAGE(出来高!E186:AC186),""),"")</f>
        <v>2722796</v>
      </c>
      <c r="O193" s="328">
        <f t="shared" si="45"/>
        <v>0.31179064301641191</v>
      </c>
      <c r="P193" s="325" t="str">
        <f t="shared" si="46"/>
        <v>減少↓</v>
      </c>
      <c r="Q193" s="325" t="str">
        <f t="shared" si="47"/>
        <v>様子見▲</v>
      </c>
      <c r="R193" s="326">
        <f t="shared" si="48"/>
        <v>1097</v>
      </c>
      <c r="S193" s="326">
        <f t="shared" si="49"/>
        <v>1240</v>
      </c>
      <c r="T193" s="325">
        <f t="shared" si="50"/>
        <v>-1</v>
      </c>
      <c r="U193" s="325" t="str">
        <f t="shared" si="51"/>
        <v>除外</v>
      </c>
      <c r="V193" s="325" t="str">
        <f t="shared" si="52"/>
        <v>通常</v>
      </c>
      <c r="W193" s="329">
        <f t="array" ref="W193">IFERROR(100-100/(1+SUMPRODUCT((終値!F186:R186&gt;終値!G186:S186)*(終値!F186:R186-終値!G186:S186))/SUMPRODUCT((終値!F186:R186&lt;終値!G186:S186)*(終値!G186:S186-終値!F186:R186))),50)</f>
        <v>78.71148459383754</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13.686721607713025</v>
      </c>
      <c r="Y193" s="325" t="str">
        <f t="shared" si="53"/>
        <v>△過熱・様子見 | パーフェクト▲ MACD+ RSI:78.7 [過熱] 前日比:+0.2%前日[長い下ヒゲ(反発)] [-1点]</v>
      </c>
      <c r="Z193" s="331">
        <f t="shared" si="54"/>
        <v>0.16799664006719867</v>
      </c>
      <c r="AA193" s="325" t="str">
        <f t="shared" si="55"/>
        <v>上昇▲</v>
      </c>
      <c r="AB193" s="326">
        <f>IF(OR(C193="",C193="TOPX",終値!E186=""),"",IFERROR(((終値!E186*0.333)+(終値!F186*0.222)+(終値!G186*0.148)+(終値!H186*0.099)+(終値!I186*0.066))/(0.333+0.222+0.148+0.099+0.066),""))</f>
        <v>1186.1008064516127</v>
      </c>
      <c r="AC193" s="326">
        <f>IF(OR(C193="",C193="TOPX",終値!E186=""),"",IFERROR(SUMPRODUCT((終値!E186:AC186),{0.077,0.071,0.065,0.06,0.055,0.051,0.047,0.043,0.039,0.036,0.033,0.031,0.028,0.026,0.024,0.022,0.02,0.018,0.017,0.016,0.014,0.013,0.012,0.011,0.01})/SUM({0.077,0.071,0.065,0.06,0.055,0.051,0.047,0.043,0.039,0.036,0.033,0.031,0.028,0.026,0.024,0.022,0.02,0.018,0.017,0.016,0.014,0.013,0.012,0.011,0.01}),""))</f>
        <v>1147.7312276519663</v>
      </c>
      <c r="AD193" s="325" t="str">
        <f t="shared" si="56"/>
        <v>パーフェクト▲</v>
      </c>
      <c r="AE193" s="325" t="str">
        <f t="shared" si="57"/>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△過熱・様子見</v>
      </c>
      <c r="AG193">
        <f t="shared" si="58"/>
        <v>0</v>
      </c>
      <c r="AH193">
        <f t="shared" si="59"/>
        <v>0</v>
      </c>
      <c r="AI193" s="373">
        <f t="array" ref="AI193">IF(C193="","",IFERROR((INDEX(終値!$E:$E,MATCH(TEXT(C193,"0"),終値!$A:$A,0))-INDEX(終値!$E:$CZ,MATCH(TEXT(C193,"0"),終値!$A:$A,0),$AN$2))/INDEX(終値!$E:$CZ,MATCH(TEXT(C193,"0"),終値!$A:$A,0),$AN$2)*100,""))</f>
        <v>13</v>
      </c>
      <c r="AJ193" s="373">
        <f t="array" ref="AJ193">IFERROR((終値!$E$5-INDEX(終値!$E$5:$CZ$5,1,$AN$2))/INDEX(終値!$E$5:$CZ$5,1,$AN$2)*100,"")</f>
        <v>-0.82558151178043282</v>
      </c>
      <c r="AK193" s="374">
        <f t="shared" si="60"/>
        <v>13.825581511780433</v>
      </c>
      <c r="AL193" s="372">
        <f t="shared" si="61"/>
        <v>-2</v>
      </c>
      <c r="AO193" s="376" t="str">
        <f t="shared" si="62"/>
        <v>通常</v>
      </c>
      <c r="AP193" s="377">
        <f t="shared" si="63"/>
        <v>0</v>
      </c>
      <c r="AQ193">
        <f>IF(C193&lt;&gt;"",始値!F186,"")</f>
        <v>1175.5</v>
      </c>
      <c r="AR193">
        <f>IF(C193&lt;&gt;"",高値!F186,"")</f>
        <v>1194</v>
      </c>
      <c r="AS193">
        <f>IF(C193&lt;&gt;"",安値!F186,"")</f>
        <v>1139.5</v>
      </c>
      <c r="AT193" t="str">
        <f t="shared" si="64"/>
        <v>長い下ヒゲ(反発)</v>
      </c>
      <c r="AU193">
        <f t="shared" si="65"/>
        <v>-2</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1576</v>
      </c>
      <c r="F194" s="333">
        <f>IF(C194&lt;&gt;"",_xll.RssMarket(C194,"始値"),"")</f>
        <v>1580</v>
      </c>
      <c r="G194" s="212">
        <f>IF(C194&lt;&gt;"",終値!F191,"")</f>
        <v>1569</v>
      </c>
      <c r="H194" s="333">
        <f>IF(C194&lt;&gt;"",_xll.RssMarket(C194,"高値"),"")</f>
        <v>1592</v>
      </c>
      <c r="I194" s="333">
        <f>IF(C194&lt;&gt;"",_xll.RssMarket(C194,"安値"),"")</f>
        <v>1571</v>
      </c>
      <c r="J194" s="333">
        <f>IF(C194&lt;&gt;"",_xll.RssMarket(C194,"出来高"),"")</f>
        <v>9700</v>
      </c>
      <c r="K194" s="333">
        <f>IF(C194&lt;&gt;"",_xll.RssMarket(C194,"年初来高値"),"")</f>
        <v>1787</v>
      </c>
      <c r="L194" s="334">
        <f t="shared" si="44"/>
        <v>-11.807498601007275</v>
      </c>
      <c r="M194" s="333">
        <f>IF(C194&lt;&gt;"",IFERROR(AVERAGE(出来高!E191:I191),""),"")</f>
        <v>26000</v>
      </c>
      <c r="N194" s="333">
        <f>IF(C194&lt;&gt;"",IFERROR(AVERAGE(出来高!E191:AC191),""),"")</f>
        <v>22940</v>
      </c>
      <c r="O194" s="335">
        <f t="shared" si="45"/>
        <v>0.37307692307692308</v>
      </c>
      <c r="P194" s="212" t="str">
        <f t="shared" si="46"/>
        <v>減少↓</v>
      </c>
      <c r="Q194" s="212" t="str">
        <f t="shared" si="47"/>
        <v>様子見▲</v>
      </c>
      <c r="R194" s="333">
        <f t="shared" si="48"/>
        <v>1450</v>
      </c>
      <c r="S194" s="333">
        <f t="shared" si="49"/>
        <v>1639</v>
      </c>
      <c r="T194" s="325">
        <f t="shared" si="50"/>
        <v>-3</v>
      </c>
      <c r="U194" s="212" t="str">
        <f t="shared" si="51"/>
        <v>除外</v>
      </c>
      <c r="V194" s="212" t="str">
        <f t="shared" si="52"/>
        <v>通常</v>
      </c>
      <c r="W194" s="336">
        <f t="array" ref="W194">IFERROR(100-100/(1+SUMPRODUCT((終値!F191:R191&gt;終値!G191:S191)*(終値!F191:R191-終値!G191:S191))/SUMPRODUCT((終値!F191:R191&lt;終値!G191:S191)*(終値!G191:S191-終値!F191:R191))),50)</f>
        <v>58.720930232558146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5.1979031917819611</v>
      </c>
      <c r="Y194" s="212" t="str">
        <f t="shared" si="53"/>
        <v>相場上昇・見送り | パーフェクト▲ MACD+ RSI:58.7 前日比:+0.4%前日[長い下ヒゲ(反発)] [-3点]</v>
      </c>
      <c r="Z194" s="338">
        <f t="shared" si="54"/>
        <v>0.44614404079031234</v>
      </c>
      <c r="AA194" s="212" t="str">
        <f t="shared" si="55"/>
        <v>上昇▲</v>
      </c>
      <c r="AB194" s="333">
        <f>IF(OR(C194="",C194="TOPX",終値!E191=""),"",IFERROR(((終値!E191*0.333)+(終値!F191*0.222)+(終値!G191*0.148)+(終値!H191*0.099)+(終値!I191*0.066))/(0.333+0.222+0.148+0.099+0.066),""))</f>
        <v>1575.1900921658985</v>
      </c>
      <c r="AC194" s="333">
        <f>IF(OR(C194="",C194="TOPX",終値!E191=""),"",IFERROR(SUMPRODUCT((終値!E191:AC191),{0.077,0.071,0.065,0.06,0.055,0.051,0.047,0.043,0.039,0.036,0.033,0.031,0.028,0.026,0.024,0.022,0.02,0.018,0.017,0.016,0.014,0.013,0.012,0.011,0.01})/SUM({0.077,0.071,0.065,0.06,0.055,0.051,0.047,0.043,0.039,0.036,0.033,0.031,0.028,0.026,0.024,0.022,0.02,0.018,0.017,0.016,0.014,0.013,0.012,0.011,0.01}),""))</f>
        <v>1557.99284862932</v>
      </c>
      <c r="AD194" s="212" t="str">
        <f t="shared" si="56"/>
        <v>パーフェクト▲</v>
      </c>
      <c r="AE194" s="212" t="str">
        <f t="shared" si="57"/>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 t="shared" si="58"/>
        <v>0</v>
      </c>
      <c r="AH194">
        <f t="shared" si="59"/>
        <v>0</v>
      </c>
      <c r="AI194" s="373">
        <f t="array" ref="AI194">IF(C194="","",IFERROR((INDEX(終値!$E:$E,MATCH(TEXT(C194,"0"),終値!$A:$A,0))-INDEX(終値!$E:$CZ,MATCH(TEXT(C194,"0"),終値!$A:$A,0),$AN$2))/INDEX(終値!$E:$CZ,MATCH(TEXT(C194,"0"),終値!$A:$A,0),$AN$2)*100,""))</f>
        <v>4.2412193505632869</v>
      </c>
      <c r="AJ194" s="373">
        <f t="array" ref="AJ194">IFERROR((終値!$E$5-INDEX(終値!$E$5:$CZ$5,1,$AN$2))/INDEX(終値!$E$5:$CZ$5,1,$AN$2)*100,"")</f>
        <v>-0.82558151178043282</v>
      </c>
      <c r="AK194" s="374">
        <f t="shared" si="60"/>
        <v>5.0668008623437197</v>
      </c>
      <c r="AL194" s="372">
        <f t="shared" si="61"/>
        <v>-2</v>
      </c>
      <c r="AO194" s="376" t="str">
        <f t="shared" si="62"/>
        <v>通常</v>
      </c>
      <c r="AP194" s="377">
        <f t="shared" si="63"/>
        <v>0</v>
      </c>
      <c r="AQ194">
        <f>IF(C194&lt;&gt;"",始値!F191,"")</f>
        <v>1571</v>
      </c>
      <c r="AR194">
        <f>IF(C194&lt;&gt;"",高値!F191,"")</f>
        <v>1571</v>
      </c>
      <c r="AS194">
        <f>IF(C194&lt;&gt;"",安値!F191,"")</f>
        <v>1540</v>
      </c>
      <c r="AT194" t="str">
        <f t="shared" si="64"/>
        <v>長い下ヒゲ(反発)</v>
      </c>
      <c r="AU194">
        <f t="shared" si="65"/>
        <v>-2</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1604</v>
      </c>
      <c r="F195" s="326">
        <f>IF(C195&lt;&gt;"",_xll.RssMarket(C195,"始値"),"")</f>
        <v>1605</v>
      </c>
      <c r="G195" s="325">
        <f>IF(C195&lt;&gt;"",終値!F192,"")</f>
        <v>1616.5</v>
      </c>
      <c r="H195" s="326">
        <f>IF(C195&lt;&gt;"",_xll.RssMarket(C195,"高値"),"")</f>
        <v>1619</v>
      </c>
      <c r="I195" s="326">
        <f>IF(C195&lt;&gt;"",_xll.RssMarket(C195,"安値"),"")</f>
        <v>1601.5</v>
      </c>
      <c r="J195" s="326">
        <f>IF(C195&lt;&gt;"",_xll.RssMarket(C195,"出来高"),"")</f>
        <v>252700</v>
      </c>
      <c r="K195" s="326">
        <f>IF(C195&lt;&gt;"",_xll.RssMarket(C195,"年初来高値"),"")</f>
        <v>2447</v>
      </c>
      <c r="L195" s="327">
        <f t="shared" ref="L195:L206" si="66">IF(AND(E195&lt;&gt;"",K195&lt;&gt;"",K195&lt;&gt;0),(E195-K195)/K195*100,"")</f>
        <v>-34.450347364119331</v>
      </c>
      <c r="M195" s="326">
        <f>IF(C195&lt;&gt;"",IFERROR(AVERAGE(出来高!E192:I192),""),"")</f>
        <v>537100</v>
      </c>
      <c r="N195" s="326">
        <f>IF(C195&lt;&gt;"",IFERROR(AVERAGE(出来高!E192:AC192),""),"")</f>
        <v>440292</v>
      </c>
      <c r="O195" s="328">
        <f t="shared" ref="O195:O206" si="67">IF(AND(J195&lt;&gt;"",M195&lt;&gt;"",M195&lt;&gt;0),J195/M195,"")</f>
        <v>0.47048966672872833</v>
      </c>
      <c r="P195" s="325" t="str">
        <f t="shared" ref="P195:P206" si="68">IF(O195="","",IF(O195&gt;=2,"急増↑↑",IF(O195&gt;=1.5,"増加↑",IF(O195&gt;=1,"普通→","減少↓"))))</f>
        <v>減少↓</v>
      </c>
      <c r="Q195" s="325" t="str">
        <f t="shared" ref="Q195:Q206" si="69">IF(E195="","",IF(AND(E195&lt;G195,O195&gt;=1.5),"売り▼",IF(E195&gt;G195,"様子見▲","中立→")))</f>
        <v>中立→</v>
      </c>
      <c r="R195" s="326">
        <f t="shared" ref="R195:R206" si="70">IF(E195&lt;&gt;"",ROUND(E195*0.92,0),"")</f>
        <v>1476</v>
      </c>
      <c r="S195" s="326">
        <f t="shared" ref="S195:S206" si="71">IF(E195&lt;&gt;"",ROUND(E195*1.04,0),"")</f>
        <v>1668</v>
      </c>
      <c r="T195" s="325">
        <f t="shared" ref="T195:T206" si="72">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11</v>
      </c>
      <c r="U195" s="325" t="str">
        <f t="shared" ref="U195:U206" si="73">IF(T195="","",IF(AND(T195&gt;=3,O195&gt;=1.5),"有効",IF(T195&gt;=3,"要確認","除外")))</f>
        <v>要確認</v>
      </c>
      <c r="V195" s="325" t="str">
        <f t="shared" ref="V195:V206" si="74">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39.863325740318906</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-6.5120353527902353</v>
      </c>
      <c r="Y195" s="325" t="str">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下降トレンド▼ MACD- RSI:39.9 前日比:-0.8% [安値圏] [11点]</v>
      </c>
      <c r="Z195" s="331">
        <f t="shared" ref="Z195:Z206" si="76">IF(AND(E195&lt;&gt;"",G195&lt;&gt;"",G195&lt;&gt;0),(E195-G195)/G195*100,"")</f>
        <v>-0.77327559542220847</v>
      </c>
      <c r="AA195" s="325" t="str">
        <f t="shared" ref="AA195:AA206" si="77">IF(OR(C195="",E195="",E195=0),"",IF(E195&gt;G195,"上昇▲",IF(E195&lt;G195,"下落▼","横ばい→")))</f>
        <v>下落▼</v>
      </c>
      <c r="AB195" s="326">
        <f>IF(OR(C195="",C195="TOPX",終値!E192=""),"",IFERROR(((終値!E192*0.333)+(終値!F192*0.222)+(終値!G192*0.148)+(終値!H192*0.099)+(終値!I192*0.066))/(0.333+0.222+0.148+0.099+0.066),""))</f>
        <v>1632.9285714285716</v>
      </c>
      <c r="AC195" s="326">
        <f>IF(OR(C195="",C195="TOPX",終値!E192=""),"",IFERROR(SUMPRODUCT((終値!E192:AC192),{0.077,0.071,0.065,0.06,0.055,0.051,0.047,0.043,0.039,0.036,0.033,0.031,0.028,0.026,0.024,0.022,0.02,0.018,0.017,0.016,0.014,0.013,0.012,0.011,0.01})/SUM({0.077,0.071,0.065,0.06,0.055,0.051,0.047,0.043,0.039,0.036,0.033,0.031,0.028,0.026,0.024,0.022,0.02,0.018,0.017,0.016,0.014,0.013,0.012,0.011,0.01}),""))</f>
        <v>1670.1257449344448</v>
      </c>
      <c r="AD195" s="325" t="str">
        <f t="shared" ref="AD195:AD206" si="78">IF(OR(C195="",AB195="",AC195="",AB195=0,AC195=0),"",IF(AND(E195&gt;AB195,AB195&gt;AC195),"パーフェクト▲",IF(E195&gt;AC195,"上昇トレンド▲",IF(AND(E195&lt;AB195,AB195&lt;AC195),"下降トレンド▼","もみ合い→"))))</f>
        <v>下降トレンド▼</v>
      </c>
      <c r="AE195" s="325" t="str">
        <f t="shared" ref="AE195:AE206" si="79">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 t="shared" ref="AG195:AG206" si="80">IF(AND(T195&gt;=7,C195&lt;&gt;""),T195,0)</f>
        <v>11</v>
      </c>
      <c r="AH195">
        <f t="shared" ref="AH195:AH206" si="81">IF(AG195&gt;0,AG195*10000-ROW(A195),0)</f>
        <v>109805</v>
      </c>
      <c r="AI195" s="373">
        <f t="array" ref="AI195">IF(C195="","",IFERROR((INDEX(終値!$E:$E,MATCH(TEXT(C195,"0"),終値!$A:$A,0))-INDEX(終値!$E:$CZ,MATCH(TEXT(C195,"0"),終値!$A:$A,0),$AN$2))/INDEX(終値!$E:$CZ,MATCH(TEXT(C195,"0"),終値!$A:$A,0),$AN$2)*100,""))</f>
        <v>-3.7270814547640514</v>
      </c>
      <c r="AJ195" s="373">
        <f t="array" ref="AJ195">IFERROR((終値!$E$5-INDEX(終値!$E$5:$CZ$5,1,$AN$2))/INDEX(終値!$E$5:$CZ$5,1,$AN$2)*100,"")</f>
        <v>-0.82558151178043282</v>
      </c>
      <c r="AK195" s="374">
        <f t="shared" ref="AK195:AK206" si="82">IF(OR(AI195="",AJ195=""),"",AI195-AJ195)</f>
        <v>-2.9014999429836186</v>
      </c>
      <c r="AL195" s="372">
        <f t="shared" ref="AL195:AL206" si="83">IF(AK195="","",IF(AK195&lt;-5,3,IF(AK195&lt;0,1,IF(AK195&lt;3,-1,-2))))</f>
        <v>1</v>
      </c>
      <c r="AO195" s="376" t="str">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 t="shared" ref="AP195:AP206" si="85">IF($AO195="上ヒゲ陰線▼",2,IF($AO195="大陰線▼",2,IF($AO195="長い下ヒゲ(反発警戒)",-2,0)))</f>
        <v>0</v>
      </c>
      <c r="AQ195">
        <f>IF(C195&lt;&gt;"",始値!F192,"")</f>
        <v>1637</v>
      </c>
      <c r="AR195">
        <f>IF(C195&lt;&gt;"",高値!F192,"")</f>
        <v>1656.5</v>
      </c>
      <c r="AS195">
        <f>IF(C195&lt;&gt;"",安値!F192,"")</f>
        <v>1595</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通常</v>
      </c>
      <c r="AU195">
        <f t="shared" ref="AU195:AU206" si="87">IF(AT195="上ヒゲ陰線▼",2,IF(AT195="大陰線▼",2,IF(AT195="長い下ヒゲ(反発)",-2,0)))</f>
        <v>0</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8020</v>
      </c>
      <c r="F196" s="333">
        <f>IF(C196&lt;&gt;"",_xll.RssMarket(C196,"始値"),"")</f>
        <v>8140</v>
      </c>
      <c r="G196" s="212">
        <f>IF(C196&lt;&gt;"",終値!F194,"")</f>
        <v>8220</v>
      </c>
      <c r="H196" s="333">
        <f>IF(C196&lt;&gt;"",_xll.RssMarket(C196,"高値"),"")</f>
        <v>8150</v>
      </c>
      <c r="I196" s="333">
        <f>IF(C196&lt;&gt;"",_xll.RssMarket(C196,"安値"),"")</f>
        <v>8000</v>
      </c>
      <c r="J196" s="333">
        <f>IF(C196&lt;&gt;"",_xll.RssMarket(C196,"出来高"),"")</f>
        <v>247000</v>
      </c>
      <c r="K196" s="333">
        <f>IF(C196&lt;&gt;"",_xll.RssMarket(C196,"年初来高値"),"")</f>
        <v>8780</v>
      </c>
      <c r="L196" s="334">
        <f t="shared" si="66"/>
        <v>-8.6560364464692476</v>
      </c>
      <c r="M196" s="333">
        <f>IF(C196&lt;&gt;"",IFERROR(AVERAGE(出来高!E194:I194),""),"")</f>
        <v>773520</v>
      </c>
      <c r="N196" s="333">
        <f>IF(C196&lt;&gt;"",IFERROR(AVERAGE(出来高!E194:AC194),""),"")</f>
        <v>675454.16666666663</v>
      </c>
      <c r="O196" s="335">
        <f t="shared" si="67"/>
        <v>0.31931947460957699</v>
      </c>
      <c r="P196" s="212" t="str">
        <f t="shared" si="68"/>
        <v>減少↓</v>
      </c>
      <c r="Q196" s="212" t="str">
        <f t="shared" si="69"/>
        <v>中立→</v>
      </c>
      <c r="R196" s="333">
        <f t="shared" si="70"/>
        <v>7378</v>
      </c>
      <c r="S196" s="333">
        <f t="shared" si="71"/>
        <v>8341</v>
      </c>
      <c r="T196" s="325">
        <f t="shared" si="72"/>
        <v>2</v>
      </c>
      <c r="U196" s="212" t="str">
        <f t="shared" si="73"/>
        <v>除外</v>
      </c>
      <c r="V196" s="212" t="str">
        <f t="shared" si="74"/>
        <v>通常</v>
      </c>
      <c r="W196" s="336">
        <f t="array" ref="W196">IFERROR(100-100/(1+SUMPRODUCT((終値!F194:R194&gt;終値!G194:S194)*(終値!F194:R194-終値!G194:S194))/SUMPRODUCT((終値!F194:R194&lt;終値!G194:S194)*(終値!G194:S194-終値!F194:R194))),50)</f>
        <v>51.503990178023336</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5.759575543608662</v>
      </c>
      <c r="Y196" s="212" t="str">
        <f t="shared" si="75"/>
        <v>相場上昇・見送り | 上昇トレンド▲ MACD+ RSI:51.5 前日比:-2.4% [大陰線▼] [2点]</v>
      </c>
      <c r="Z196" s="338">
        <f t="shared" si="76"/>
        <v>-2.4330900243309004</v>
      </c>
      <c r="AA196" s="212" t="str">
        <f t="shared" si="77"/>
        <v>下落▼</v>
      </c>
      <c r="AB196" s="333">
        <f>IF(OR(C196="",C196="TOPX",終値!E194=""),"",IFERROR(((終値!E194*0.333)+(終値!F194*0.222)+(終値!G194*0.148)+(終値!H194*0.099)+(終値!I194*0.066))/(0.333+0.222+0.148+0.099+0.066),""))</f>
        <v>8153.6866359447004</v>
      </c>
      <c r="AC196" s="333">
        <f>IF(OR(C196="",C196="TOPX",終値!E194=""),"",IFERROR(SUMPRODUCT((終値!E194:AC194),{0.077,0.071,0.065,0.06,0.055,0.051,0.047,0.043,0.039,0.036,0.033,0.031,0.028,0.026,0.024,0.022,0.02,0.018,0.017,0.016,0.014,0.013,0.012,0.011,0.01})/SUM({0.077,0.071,0.065,0.06,0.055,0.051,0.047,0.043,0.039,0.036,0.033,0.031,0.028,0.026,0.024,0.022,0.02,0.018,0.017,0.016,0.014,0.013,0.012,0.011,0.01}),""))</f>
        <v>7461.7401668653129</v>
      </c>
      <c r="AD196" s="212" t="str">
        <f t="shared" si="78"/>
        <v>上昇トレンド▲</v>
      </c>
      <c r="AE196" s="212" t="str">
        <f t="shared" si="79"/>
        <v>なし</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 t="shared" si="80"/>
        <v>0</v>
      </c>
      <c r="AH196">
        <f t="shared" si="81"/>
        <v>0</v>
      </c>
      <c r="AI196" s="373">
        <f t="array" ref="AI196">IF(C196="","",IFERROR((INDEX(終値!$E:$E,MATCH(TEXT(C196,"0"),終値!$A:$A,0))-INDEX(終値!$E:$CZ,MATCH(TEXT(C196,"0"),終値!$A:$A,0),$AN$2))/INDEX(終値!$E:$CZ,MATCH(TEXT(C196,"0"),終値!$A:$A,0),$AN$2)*100,""))</f>
        <v>7.5197889182058049</v>
      </c>
      <c r="AJ196" s="373">
        <f t="array" ref="AJ196">IFERROR((終値!$E$5-INDEX(終値!$E$5:$CZ$5,1,$AN$2))/INDEX(終値!$E$5:$CZ$5,1,$AN$2)*100,"")</f>
        <v>-0.82558151178043282</v>
      </c>
      <c r="AK196" s="374">
        <f t="shared" si="82"/>
        <v>8.3453704299862377</v>
      </c>
      <c r="AL196" s="372">
        <f t="shared" si="83"/>
        <v>-2</v>
      </c>
      <c r="AO196" s="376" t="str">
        <f t="shared" si="84"/>
        <v>大陰線▼</v>
      </c>
      <c r="AP196" s="377">
        <f t="shared" si="85"/>
        <v>2</v>
      </c>
      <c r="AQ196">
        <f>IF(C196&lt;&gt;"",始値!F194,"")</f>
        <v>8150</v>
      </c>
      <c r="AR196">
        <f>IF(C196&lt;&gt;"",高値!F194,"")</f>
        <v>8240</v>
      </c>
      <c r="AS196">
        <f>IF(C196&lt;&gt;"",安値!F194,"")</f>
        <v>8080</v>
      </c>
      <c r="AT196" t="str">
        <f t="shared" si="86"/>
        <v>通常</v>
      </c>
      <c r="AU196">
        <f t="shared" si="87"/>
        <v>0</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3979</v>
      </c>
      <c r="F197" s="326">
        <f>IF(C197&lt;&gt;"",_xll.RssMarket(C197,"始値"),"")</f>
        <v>4040</v>
      </c>
      <c r="G197" s="325">
        <f>IF(C197&lt;&gt;"",終値!F207,"")</f>
        <v>3799</v>
      </c>
      <c r="H197" s="326">
        <f>IF(C197&lt;&gt;"",_xll.RssMarket(C197,"高値"),"")</f>
        <v>4072</v>
      </c>
      <c r="I197" s="326">
        <f>IF(C197&lt;&gt;"",_xll.RssMarket(C197,"安値"),"")</f>
        <v>3887</v>
      </c>
      <c r="J197" s="326">
        <f>IF(C197&lt;&gt;"",_xll.RssMarket(C197,"出来高"),"")</f>
        <v>23415700</v>
      </c>
      <c r="K197" s="326">
        <f>IF(C197&lt;&gt;"",_xll.RssMarket(C197,"年初来高値"),"")</f>
        <v>5208</v>
      </c>
      <c r="L197" s="327">
        <f t="shared" si="66"/>
        <v>-23.598310291858677</v>
      </c>
      <c r="M197" s="326">
        <f>IF(C197&lt;&gt;"",IFERROR(AVERAGE(出来高!E207:I207),""),"")</f>
        <v>26412560</v>
      </c>
      <c r="N197" s="326">
        <f>IF(C197&lt;&gt;"",IFERROR(AVERAGE(出来高!E207:AC207),""),"")</f>
        <v>20140892</v>
      </c>
      <c r="O197" s="328">
        <f t="shared" si="67"/>
        <v>0.88653655685022581</v>
      </c>
      <c r="P197" s="325" t="str">
        <f t="shared" si="68"/>
        <v>減少↓</v>
      </c>
      <c r="Q197" s="325" t="str">
        <f t="shared" si="69"/>
        <v>様子見▲</v>
      </c>
      <c r="R197" s="326">
        <f t="shared" si="70"/>
        <v>3661</v>
      </c>
      <c r="S197" s="326">
        <f t="shared" si="71"/>
        <v>4138</v>
      </c>
      <c r="T197" s="325">
        <f t="shared" si="72"/>
        <v>0</v>
      </c>
      <c r="U197" s="325" t="str">
        <f t="shared" si="73"/>
        <v>除外</v>
      </c>
      <c r="V197" s="325" t="str">
        <f t="shared" si="74"/>
        <v>安値圏</v>
      </c>
      <c r="W197" s="329">
        <f t="array" ref="W197">IFERROR(100-100/(1+SUMPRODUCT((終値!F207:R207&gt;終値!G207:S207)*(終値!F207:R207-終値!G207:S207))/SUMPRODUCT((終値!F207:R207&lt;終値!G207:S207)*(終値!G207:S207-終値!F207:R207))),50)</f>
        <v>52.638352638352636</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8.3681355203611929</v>
      </c>
      <c r="Y197" s="325" t="str">
        <f t="shared" si="75"/>
        <v>相場上昇・見送り | パーフェクト▲ MACD+ RSI:52.6 前日比:+4.7% [安値圏]前日[長い下ヒゲ(反発)] [0点]</v>
      </c>
      <c r="Z197" s="331">
        <f t="shared" si="76"/>
        <v>4.738088970781785</v>
      </c>
      <c r="AA197" s="325" t="str">
        <f t="shared" si="77"/>
        <v>上昇▲</v>
      </c>
      <c r="AB197" s="326">
        <f>IF(OR(C197="",C197="TOPX",終値!E207=""),"",IFERROR(((終値!E207*0.333)+(終値!F207*0.222)+(終値!G207*0.148)+(終値!H207*0.099)+(終値!I207*0.066))/(0.333+0.222+0.148+0.099+0.066),""))</f>
        <v>3893.3836405529955</v>
      </c>
      <c r="AC197" s="326">
        <f>IF(OR(C197="",C197="TOPX",終値!E207=""),"",IFERROR(SUMPRODUCT((終値!E207:AC207),{0.077,0.071,0.065,0.06,0.055,0.051,0.047,0.043,0.039,0.036,0.033,0.031,0.028,0.026,0.024,0.022,0.02,0.018,0.017,0.016,0.014,0.013,0.012,0.011,0.01})/SUM({0.077,0.071,0.065,0.06,0.055,0.051,0.047,0.043,0.039,0.036,0.033,0.031,0.028,0.026,0.024,0.022,0.02,0.018,0.017,0.016,0.014,0.013,0.012,0.011,0.01}),""))</f>
        <v>3840.2753277711554</v>
      </c>
      <c r="AD197" s="325" t="str">
        <f t="shared" si="78"/>
        <v>パーフェクト▲</v>
      </c>
      <c r="AE197" s="325" t="str">
        <f t="shared" si="79"/>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 t="shared" si="80"/>
        <v>0</v>
      </c>
      <c r="AH197">
        <f t="shared" si="81"/>
        <v>0</v>
      </c>
      <c r="AI197" s="373">
        <f t="array" ref="AI197">IF(C197="","",IFERROR((INDEX(終値!$E:$E,MATCH(TEXT(C197,"0"),終値!$A:$A,0))-INDEX(終値!$E:$CZ,MATCH(TEXT(C197,"0"),終値!$A:$A,0),$AN$2))/INDEX(終値!$E:$CZ,MATCH(TEXT(C197,"0"),終値!$A:$A,0),$AN$2)*100,""))</f>
        <v>12.051492741714599</v>
      </c>
      <c r="AJ197" s="373">
        <f t="array" ref="AJ197">IFERROR((終値!$E$5-INDEX(終値!$E$5:$CZ$5,1,$AN$2))/INDEX(終値!$E$5:$CZ$5,1,$AN$2)*100,"")</f>
        <v>-0.82558151178043282</v>
      </c>
      <c r="AK197" s="374">
        <f t="shared" si="82"/>
        <v>12.877074253495032</v>
      </c>
      <c r="AL197" s="372">
        <f t="shared" si="83"/>
        <v>-2</v>
      </c>
      <c r="AO197" s="376" t="str">
        <f t="shared" si="84"/>
        <v>通常</v>
      </c>
      <c r="AP197" s="377">
        <f t="shared" si="85"/>
        <v>0</v>
      </c>
      <c r="AQ197">
        <f>IF(C197&lt;&gt;"",始値!F207,"")</f>
        <v>3747</v>
      </c>
      <c r="AR197">
        <f>IF(C197&lt;&gt;"",高値!F207,"")</f>
        <v>3805</v>
      </c>
      <c r="AS197">
        <f>IF(C197&lt;&gt;"",安値!F207,"")</f>
        <v>3621</v>
      </c>
      <c r="AT197" t="str">
        <f t="shared" si="86"/>
        <v>長い下ヒゲ(反発)</v>
      </c>
      <c r="AU197">
        <f t="shared" si="87"/>
        <v>-2</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1808.5</v>
      </c>
      <c r="F198" s="333">
        <f>IF(C198&lt;&gt;"",_xll.RssMarket(C198,"始値"),"")</f>
        <v>1787</v>
      </c>
      <c r="G198" s="212">
        <f>IF(C198&lt;&gt;"",終値!F33,"")</f>
        <v>1812</v>
      </c>
      <c r="H198" s="333">
        <f>IF(C198&lt;&gt;"",_xll.RssMarket(C198,"高値"),"")</f>
        <v>1830</v>
      </c>
      <c r="I198" s="333">
        <f>IF(C198&lt;&gt;"",_xll.RssMarket(C198,"安値"),"")</f>
        <v>1782</v>
      </c>
      <c r="J198" s="333">
        <f>IF(C198&lt;&gt;"",_xll.RssMarket(C198,"出来高"),"")</f>
        <v>2585900</v>
      </c>
      <c r="K198" s="333">
        <f>IF(C198&lt;&gt;"",_xll.RssMarket(C198,"年初来高値"),"")</f>
        <v>1886.5</v>
      </c>
      <c r="L198" s="334">
        <f t="shared" si="66"/>
        <v>-4.1346408693347474</v>
      </c>
      <c r="M198" s="333">
        <f>IF(C198&lt;&gt;"",IFERROR(AVERAGE(出来高!E33:I33),""),"")</f>
        <v>6658340</v>
      </c>
      <c r="N198" s="333">
        <f>IF(C198&lt;&gt;"",IFERROR(AVERAGE(出来高!E33:AC33),""),"")</f>
        <v>5264408</v>
      </c>
      <c r="O198" s="335">
        <f t="shared" si="67"/>
        <v>0.38837007422270414</v>
      </c>
      <c r="P198" s="212" t="str">
        <f t="shared" si="68"/>
        <v>減少↓</v>
      </c>
      <c r="Q198" s="212" t="str">
        <f t="shared" si="69"/>
        <v>中立→</v>
      </c>
      <c r="R198" s="333">
        <f t="shared" si="70"/>
        <v>1664</v>
      </c>
      <c r="S198" s="333">
        <f t="shared" si="71"/>
        <v>1881</v>
      </c>
      <c r="T198" s="325">
        <f t="shared" si="72"/>
        <v>-2</v>
      </c>
      <c r="U198" s="212" t="str">
        <f t="shared" si="73"/>
        <v>除外</v>
      </c>
      <c r="V198" s="212" t="str">
        <f t="shared" si="74"/>
        <v>通常</v>
      </c>
      <c r="W198" s="336">
        <f t="array" ref="W198">IFERROR(100-100/(1+SUMPRODUCT((終値!F33:R33&gt;終値!G33:S33)*(終値!F33:R33-終値!G33:S33))/SUMPRODUCT((終値!F33:R33&lt;終値!G33:S33)*(終値!G33:S33-終値!F33:R33))),50)</f>
        <v>54.186602870813395</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8.6475119308704507</v>
      </c>
      <c r="Y198" s="212" t="str">
        <f t="shared" si="75"/>
        <v>相場上昇・見送り | 上昇トレンド▲ MACD+ RSI:54.2 前日比:-0.2%前日[長い下ヒゲ(反発)] [-2点]</v>
      </c>
      <c r="Z198" s="338">
        <f t="shared" si="76"/>
        <v>-0.19315673289183224</v>
      </c>
      <c r="AA198" s="212" t="str">
        <f t="shared" si="77"/>
        <v>下落▼</v>
      </c>
      <c r="AB198" s="333">
        <f>IF(OR(C198="",C198="TOPX",終値!E33=""),"",IFERROR(((終値!E33*0.333)+(終値!F33*0.222)+(終値!G33*0.148)+(終値!H33*0.099)+(終値!I33*0.066))/(0.333+0.222+0.148+0.099+0.066),""))</f>
        <v>1793.0990783410134</v>
      </c>
      <c r="AC198" s="333">
        <f>IF(OR(C198="",C198="TOPX",終値!E33=""),"",IFERROR(SUMPRODUCT((終値!E33:AC33),{0.077,0.071,0.065,0.06,0.055,0.051,0.047,0.043,0.039,0.036,0.033,0.031,0.028,0.026,0.024,0.022,0.02,0.018,0.017,0.016,0.014,0.013,0.012,0.011,0.01})/SUM({0.077,0.071,0.065,0.06,0.055,0.051,0.047,0.043,0.039,0.036,0.033,0.031,0.028,0.026,0.024,0.022,0.02,0.018,0.017,0.016,0.014,0.013,0.012,0.011,0.01}),""))</f>
        <v>1800.937425506555</v>
      </c>
      <c r="AD198" s="212" t="str">
        <f t="shared" si="78"/>
        <v>上昇トレンド▲</v>
      </c>
      <c r="AE198" s="212" t="str">
        <f t="shared" si="79"/>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 t="shared" si="80"/>
        <v>0</v>
      </c>
      <c r="AH198">
        <f t="shared" si="81"/>
        <v>0</v>
      </c>
      <c r="AI198" s="373">
        <f t="array" ref="AI198">IF(C198="","",IFERROR((INDEX(終値!$E:$E,MATCH(TEXT(C198,"0"),終値!$A:$A,0))-INDEX(終値!$E:$CZ,MATCH(TEXT(C198,"0"),終値!$A:$A,0),$AN$2))/INDEX(終値!$E:$CZ,MATCH(TEXT(C198,"0"),終値!$A:$A,0),$AN$2)*100,""))</f>
        <v>11.142587346553352</v>
      </c>
      <c r="AJ198" s="373">
        <f t="array" ref="AJ198">IFERROR((終値!$E$5-INDEX(終値!$E$5:$CZ$5,1,$AN$2))/INDEX(終値!$E$5:$CZ$5,1,$AN$2)*100,"")</f>
        <v>-0.82558151178043282</v>
      </c>
      <c r="AK198" s="374">
        <f t="shared" si="82"/>
        <v>11.968168858333785</v>
      </c>
      <c r="AL198" s="372">
        <f t="shared" si="83"/>
        <v>-2</v>
      </c>
      <c r="AO198" s="376" t="str">
        <f t="shared" si="84"/>
        <v>通常</v>
      </c>
      <c r="AP198" s="377">
        <f t="shared" si="85"/>
        <v>0</v>
      </c>
      <c r="AQ198">
        <f>IF(C198&lt;&gt;"",始値!F33,"")</f>
        <v>1796</v>
      </c>
      <c r="AR198">
        <f>IF(C198&lt;&gt;"",高値!F33,"")</f>
        <v>1814.5</v>
      </c>
      <c r="AS198">
        <f>IF(C198&lt;&gt;"",安値!F33,"")</f>
        <v>1741.5</v>
      </c>
      <c r="AT198" t="str">
        <f t="shared" si="86"/>
        <v>長い下ヒゲ(反発)</v>
      </c>
      <c r="AU198">
        <f t="shared" si="87"/>
        <v>-2</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1560.5</v>
      </c>
      <c r="F199" s="326">
        <f>IF(C199&lt;&gt;"",_xll.RssMarket(C199,"始値"),"")</f>
        <v>1548</v>
      </c>
      <c r="G199" s="325">
        <f>IF(C199&lt;&gt;"",終値!F40,"")</f>
        <v>1505.5</v>
      </c>
      <c r="H199" s="326">
        <f>IF(C199&lt;&gt;"",_xll.RssMarket(C199,"高値"),"")</f>
        <v>1564</v>
      </c>
      <c r="I199" s="326">
        <f>IF(C199&lt;&gt;"",_xll.RssMarket(C199,"安値"),"")</f>
        <v>1531.5</v>
      </c>
      <c r="J199" s="326">
        <f>IF(C199&lt;&gt;"",_xll.RssMarket(C199,"出来高"),"")</f>
        <v>4918000</v>
      </c>
      <c r="K199" s="326">
        <f>IF(C199&lt;&gt;"",_xll.RssMarket(C199,"年初来高値"),"")</f>
        <v>1636</v>
      </c>
      <c r="L199" s="327">
        <f t="shared" si="66"/>
        <v>-4.6149144254278722</v>
      </c>
      <c r="M199" s="326">
        <f>IF(C199&lt;&gt;"",IFERROR(AVERAGE(出来高!E40:I40),""),"")</f>
        <v>15250340</v>
      </c>
      <c r="N199" s="326">
        <f>IF(C199&lt;&gt;"",IFERROR(AVERAGE(出来高!E40:AC40),""),"")</f>
        <v>11214732</v>
      </c>
      <c r="O199" s="328">
        <f t="shared" si="67"/>
        <v>0.32248461345779833</v>
      </c>
      <c r="P199" s="325" t="str">
        <f t="shared" si="68"/>
        <v>減少↓</v>
      </c>
      <c r="Q199" s="325" t="str">
        <f t="shared" si="69"/>
        <v>様子見▲</v>
      </c>
      <c r="R199" s="326">
        <f t="shared" si="70"/>
        <v>1436</v>
      </c>
      <c r="S199" s="326">
        <f t="shared" si="71"/>
        <v>1623</v>
      </c>
      <c r="T199" s="325">
        <f t="shared" si="72"/>
        <v>-6</v>
      </c>
      <c r="U199" s="325" t="str">
        <f t="shared" si="73"/>
        <v>除外</v>
      </c>
      <c r="V199" s="325" t="str">
        <f t="shared" si="74"/>
        <v>通常</v>
      </c>
      <c r="W199" s="329">
        <f t="array" ref="W199">IFERROR(100-100/(1+SUMPRODUCT((終値!F40:R40&gt;終値!G40:S40)*(終値!F40:R40-終値!G40:S40))/SUMPRODUCT((終値!F40:R40&lt;終値!G40:S40)*(終値!G40:S40-終値!F40:R40))),50)</f>
        <v>46.489563567362431</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0.50776750424938655</v>
      </c>
      <c r="Y199" s="325" t="str">
        <f t="shared" si="75"/>
        <v>相場上昇・見送り | 上昇トレンド▲ MACD+ RSI:46.5 前日比:+3.7% [長い下ヒゲ(反発警戒)]前日[長い下ヒゲ(反発)] [-6点]</v>
      </c>
      <c r="Z199" s="331">
        <f t="shared" si="76"/>
        <v>3.6532713384257725</v>
      </c>
      <c r="AA199" s="325" t="str">
        <f t="shared" si="77"/>
        <v>上昇▲</v>
      </c>
      <c r="AB199" s="326">
        <f>IF(OR(C199="",C199="TOPX",終値!E40=""),"",IFERROR(((終値!E40*0.333)+(終値!F40*0.222)+(終値!G40*0.148)+(終値!H40*0.099)+(終値!I40*0.066))/(0.333+0.222+0.148+0.099+0.066),""))</f>
        <v>1512.6624423963131</v>
      </c>
      <c r="AC199" s="326">
        <f>IF(OR(C199="",C199="TOPX",終値!E40=""),"",IFERROR(SUMPRODUCT((終値!E40:AC40),{0.077,0.071,0.065,0.06,0.055,0.051,0.047,0.043,0.039,0.036,0.033,0.031,0.028,0.026,0.024,0.022,0.02,0.018,0.017,0.016,0.014,0.013,0.012,0.011,0.01})/SUM({0.077,0.071,0.065,0.06,0.055,0.051,0.047,0.043,0.039,0.036,0.033,0.031,0.028,0.026,0.024,0.022,0.02,0.018,0.017,0.016,0.014,0.013,0.012,0.011,0.01}),""))</f>
        <v>1541.8104886769959</v>
      </c>
      <c r="AD199" s="325" t="str">
        <f t="shared" si="78"/>
        <v>上昇トレンド▲</v>
      </c>
      <c r="AE199" s="325" t="str">
        <f t="shared" si="79"/>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 t="shared" si="80"/>
        <v>0</v>
      </c>
      <c r="AH199">
        <f t="shared" si="81"/>
        <v>0</v>
      </c>
      <c r="AI199" s="373">
        <f t="array" ref="AI199">IF(C199="","",IFERROR((INDEX(終値!$E:$E,MATCH(TEXT(C199,"0"),終値!$A:$A,0))-INDEX(終値!$E:$CZ,MATCH(TEXT(C199,"0"),終値!$A:$A,0),$AN$2))/INDEX(終値!$E:$CZ,MATCH(TEXT(C199,"0"),終値!$A:$A,0),$AN$2)*100,""))</f>
        <v>7.0671378091872796</v>
      </c>
      <c r="AJ199" s="373">
        <f t="array" ref="AJ199">IFERROR((終値!$E$5-INDEX(終値!$E$5:$CZ$5,1,$AN$2))/INDEX(終値!$E$5:$CZ$5,1,$AN$2)*100,"")</f>
        <v>-0.82558151178043282</v>
      </c>
      <c r="AK199" s="374">
        <f t="shared" si="82"/>
        <v>7.8927193209677124</v>
      </c>
      <c r="AL199" s="372">
        <f t="shared" si="83"/>
        <v>-2</v>
      </c>
      <c r="AO199" s="376" t="str">
        <f t="shared" si="84"/>
        <v>長い下ヒゲ(反発警戒)</v>
      </c>
      <c r="AP199" s="377">
        <f t="shared" si="85"/>
        <v>-2</v>
      </c>
      <c r="AQ199">
        <f>IF(C199&lt;&gt;"",始値!F40,"")</f>
        <v>1510</v>
      </c>
      <c r="AR199">
        <f>IF(C199&lt;&gt;"",高値!F40,"")</f>
        <v>1510.5</v>
      </c>
      <c r="AS199">
        <f>IF(C199&lt;&gt;"",安値!F40,"")</f>
        <v>1455.5</v>
      </c>
      <c r="AT199" t="str">
        <f t="shared" si="86"/>
        <v>長い下ヒゲ(反発)</v>
      </c>
      <c r="AU199">
        <f t="shared" si="87"/>
        <v>-2</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1903</v>
      </c>
      <c r="F200" s="333">
        <f>IF(C200&lt;&gt;"",_xll.RssMarket(C200,"始値"),"")</f>
        <v>1891.5</v>
      </c>
      <c r="G200" s="212">
        <f>IF(C200&lt;&gt;"",終値!F43,"")</f>
        <v>1888.5</v>
      </c>
      <c r="H200" s="333">
        <f>IF(C200&lt;&gt;"",_xll.RssMarket(C200,"高値"),"")</f>
        <v>1903</v>
      </c>
      <c r="I200" s="333">
        <f>IF(C200&lt;&gt;"",_xll.RssMarket(C200,"安値"),"")</f>
        <v>1880</v>
      </c>
      <c r="J200" s="333">
        <f>IF(C200&lt;&gt;"",_xll.RssMarket(C200,"出来高"),"")</f>
        <v>3884100</v>
      </c>
      <c r="K200" s="333">
        <f>IF(C200&lt;&gt;"",_xll.RssMarket(C200,"年初来高値"),"")</f>
        <v>1959</v>
      </c>
      <c r="L200" s="334">
        <f t="shared" si="66"/>
        <v>-2.8586013272077588</v>
      </c>
      <c r="M200" s="333">
        <f>IF(C200&lt;&gt;"",IFERROR(AVERAGE(出来高!E43:I43),""),"")</f>
        <v>9965040</v>
      </c>
      <c r="N200" s="333">
        <f>IF(C200&lt;&gt;"",IFERROR(AVERAGE(出来高!E43:AC43),""),"")</f>
        <v>10656370.833333334</v>
      </c>
      <c r="O200" s="335">
        <f t="shared" si="67"/>
        <v>0.38977264516750559</v>
      </c>
      <c r="P200" s="212" t="str">
        <f t="shared" si="68"/>
        <v>減少↓</v>
      </c>
      <c r="Q200" s="212" t="str">
        <f t="shared" si="69"/>
        <v>様子見▲</v>
      </c>
      <c r="R200" s="333">
        <f t="shared" si="70"/>
        <v>1751</v>
      </c>
      <c r="S200" s="333">
        <f t="shared" si="71"/>
        <v>1979</v>
      </c>
      <c r="T200" s="325">
        <f t="shared" si="72"/>
        <v>-3</v>
      </c>
      <c r="U200" s="212" t="str">
        <f t="shared" si="73"/>
        <v>除外</v>
      </c>
      <c r="V200" s="212" t="str">
        <f t="shared" si="74"/>
        <v>通常</v>
      </c>
      <c r="W200" s="336">
        <f t="array" ref="W200">IFERROR(100-100/(1+SUMPRODUCT((終値!F43:R43&gt;終値!G43:S43)*(終値!F43:R43-終値!G43:S43))/SUMPRODUCT((終値!F43:R43&lt;終値!G43:S43)*(終値!G43:S43-終値!F43:R43))),50)</f>
        <v>50.705046031931012</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-4.542583953923895</v>
      </c>
      <c r="Y200" s="212" t="str">
        <f t="shared" si="75"/>
        <v>相場上昇・見送り | パーフェクト▲ MACD- RSI:50.7 前日比:+0.8% [長い下ヒゲ(反発警戒)]前日[長い下ヒゲ(反発)] [-3点]</v>
      </c>
      <c r="Z200" s="338">
        <f t="shared" si="76"/>
        <v>0.76780513635160175</v>
      </c>
      <c r="AA200" s="212" t="str">
        <f t="shared" si="77"/>
        <v>上昇▲</v>
      </c>
      <c r="AB200" s="333">
        <f>IF(OR(C200="",C200="TOPX",終値!E43=""),"",IFERROR(((終値!E43*0.333)+(終値!F43*0.222)+(終値!G43*0.148)+(終値!H43*0.099)+(終値!I43*0.066))/(0.333+0.222+0.148+0.099+0.066),""))</f>
        <v>1895.4331797235022</v>
      </c>
      <c r="AC200" s="333">
        <f>IF(OR(C200="",C200="TOPX",終値!E43=""),"",IFERROR(SUMPRODUCT((終値!E43:AC43),{0.077,0.071,0.065,0.06,0.055,0.051,0.047,0.043,0.039,0.036,0.033,0.031,0.028,0.026,0.024,0.022,0.02,0.018,0.017,0.016,0.014,0.013,0.012,0.011,0.01})/SUM({0.077,0.071,0.065,0.06,0.055,0.051,0.047,0.043,0.039,0.036,0.033,0.031,0.028,0.026,0.024,0.022,0.02,0.018,0.017,0.016,0.014,0.013,0.012,0.011,0.01}),""))</f>
        <v>1787.7425506555414</v>
      </c>
      <c r="AD200" s="212" t="str">
        <f t="shared" si="78"/>
        <v>パーフェクト▲</v>
      </c>
      <c r="AE200" s="212" t="str">
        <f t="shared" si="79"/>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 t="shared" si="80"/>
        <v>0</v>
      </c>
      <c r="AH200">
        <f t="shared" si="81"/>
        <v>0</v>
      </c>
      <c r="AI200" s="373">
        <f t="array" ref="AI200">IF(C200="","",IFERROR((INDEX(終値!$E:$E,MATCH(TEXT(C200,"0"),終値!$A:$A,0))-INDEX(終値!$E:$CZ,MATCH(TEXT(C200,"0"),終値!$A:$A,0),$AN$2))/INDEX(終値!$E:$CZ,MATCH(TEXT(C200,"0"),終値!$A:$A,0),$AN$2)*100,""))</f>
        <v>8.1656124209315699</v>
      </c>
      <c r="AJ200" s="373">
        <f t="array" ref="AJ200">IFERROR((終値!$E$5-INDEX(終値!$E$5:$CZ$5,1,$AN$2))/INDEX(終値!$E$5:$CZ$5,1,$AN$2)*100,"")</f>
        <v>-0.82558151178043282</v>
      </c>
      <c r="AK200" s="374">
        <f t="shared" si="82"/>
        <v>8.9911939327120027</v>
      </c>
      <c r="AL200" s="372">
        <f t="shared" si="83"/>
        <v>-2</v>
      </c>
      <c r="AO200" s="376" t="str">
        <f t="shared" si="84"/>
        <v>長い下ヒゲ(反発警戒)</v>
      </c>
      <c r="AP200" s="377">
        <f t="shared" si="85"/>
        <v>-2</v>
      </c>
      <c r="AQ200">
        <f>IF(C200&lt;&gt;"",始値!F43,"")</f>
        <v>1898</v>
      </c>
      <c r="AR200">
        <f>IF(C200&lt;&gt;"",高値!F43,"")</f>
        <v>1900</v>
      </c>
      <c r="AS200">
        <f>IF(C200&lt;&gt;"",安値!F43,"")</f>
        <v>1835.5</v>
      </c>
      <c r="AT200" t="str">
        <f t="shared" si="86"/>
        <v>長い下ヒゲ(反発)</v>
      </c>
      <c r="AU200">
        <f t="shared" si="87"/>
        <v>-2</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3541</v>
      </c>
      <c r="F201" s="326">
        <f>IF(C201&lt;&gt;"",_xll.RssMarket(C201,"始値"),"")</f>
        <v>3480</v>
      </c>
      <c r="G201" s="325">
        <f>IF(C201&lt;&gt;"",終値!F45,"")</f>
        <v>3567</v>
      </c>
      <c r="H201" s="326">
        <f>IF(C201&lt;&gt;"",_xll.RssMarket(C201,"高値"),"")</f>
        <v>3550</v>
      </c>
      <c r="I201" s="326">
        <f>IF(C201&lt;&gt;"",_xll.RssMarket(C201,"安値"),"")</f>
        <v>3449</v>
      </c>
      <c r="J201" s="326">
        <f>IF(C201&lt;&gt;"",_xll.RssMarket(C201,"出来高"),"")</f>
        <v>29938900</v>
      </c>
      <c r="K201" s="326">
        <f>IF(C201&lt;&gt;"",_xll.RssMarket(C201,"年初来高値"),"")</f>
        <v>3813</v>
      </c>
      <c r="L201" s="327">
        <f t="shared" si="66"/>
        <v>-7.1334906897456074</v>
      </c>
      <c r="M201" s="326">
        <f>IF(C201&lt;&gt;"",IFERROR(AVERAGE(出来高!E45:I45),""),"")</f>
        <v>49269340</v>
      </c>
      <c r="N201" s="326">
        <f>IF(C201&lt;&gt;"",IFERROR(AVERAGE(出来高!E45:AC45),""),"")</f>
        <v>42548476</v>
      </c>
      <c r="O201" s="328">
        <f t="shared" si="67"/>
        <v>0.60765782533315849</v>
      </c>
      <c r="P201" s="325" t="str">
        <f t="shared" si="68"/>
        <v>減少↓</v>
      </c>
      <c r="Q201" s="325" t="str">
        <f t="shared" si="69"/>
        <v>中立→</v>
      </c>
      <c r="R201" s="326">
        <f t="shared" si="70"/>
        <v>3258</v>
      </c>
      <c r="S201" s="326">
        <f t="shared" si="71"/>
        <v>3683</v>
      </c>
      <c r="T201" s="325">
        <f t="shared" si="72"/>
        <v>1</v>
      </c>
      <c r="U201" s="325" t="str">
        <f t="shared" si="73"/>
        <v>除外</v>
      </c>
      <c r="V201" s="325" t="str">
        <f t="shared" si="74"/>
        <v>通常</v>
      </c>
      <c r="W201" s="329">
        <f t="array" ref="W201">IFERROR(100-100/(1+SUMPRODUCT((終値!F45:R45&gt;終値!G45:S45)*(終値!F45:R45-終値!G45:S45))/SUMPRODUCT((終値!F45:R45&lt;終値!G45:S45)*(終値!G45:S45-終値!F45:R45))),50)</f>
        <v>51.262135922330096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17.990863281576821</v>
      </c>
      <c r="Y201" s="325" t="str">
        <f t="shared" si="75"/>
        <v>○逆張り売り | もみ合い→ 25日戻り売り★ MACD+ RSI:51.3 前日比:-0.7%前日[長い下ヒゲ(反発)] [1点]</v>
      </c>
      <c r="Z201" s="331">
        <f t="shared" si="76"/>
        <v>-0.72890384076254555</v>
      </c>
      <c r="AA201" s="325" t="str">
        <f t="shared" si="77"/>
        <v>下落▼</v>
      </c>
      <c r="AB201" s="326">
        <f>IF(OR(C201="",C201="TOPX",終値!E45=""),"",IFERROR(((終値!E45*0.333)+(終値!F45*0.222)+(終値!G45*0.148)+(終値!H45*0.099)+(終値!I45*0.066))/(0.333+0.222+0.148+0.099+0.066),""))</f>
        <v>3531.761520737326</v>
      </c>
      <c r="AC201" s="326">
        <f>IF(OR(C201="",C201="TOPX",終値!E45=""),"",IFERROR(SUMPRODUCT((終値!E45:AC45),{0.077,0.071,0.065,0.06,0.055,0.051,0.047,0.043,0.039,0.036,0.033,0.031,0.028,0.026,0.024,0.022,0.02,0.018,0.017,0.016,0.014,0.013,0.012,0.011,0.01})/SUM({0.077,0.071,0.065,0.06,0.055,0.051,0.047,0.043,0.039,0.036,0.033,0.031,0.028,0.026,0.024,0.022,0.02,0.018,0.017,0.016,0.014,0.013,0.012,0.011,0.01}),""))</f>
        <v>3566.3230035756842</v>
      </c>
      <c r="AD201" s="325" t="str">
        <f t="shared" si="78"/>
        <v>もみ合い→</v>
      </c>
      <c r="AE201" s="325" t="str">
        <f t="shared" si="79"/>
        <v>25日戻り売り★</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○逆張り売り</v>
      </c>
      <c r="AG201">
        <f t="shared" si="80"/>
        <v>0</v>
      </c>
      <c r="AH201">
        <f t="shared" si="81"/>
        <v>0</v>
      </c>
      <c r="AI201" s="373">
        <f t="array" ref="AI201">IF(C201="","",IFERROR((INDEX(終値!$E:$E,MATCH(TEXT(C201,"0"),終値!$A:$A,0))-INDEX(終値!$E:$CZ,MATCH(TEXT(C201,"0"),終値!$A:$A,0),$AN$2))/INDEX(終値!$E:$CZ,MATCH(TEXT(C201,"0"),終値!$A:$A,0),$AN$2)*100,""))</f>
        <v>8.0660230457801312</v>
      </c>
      <c r="AJ201" s="373">
        <f t="array" ref="AJ201">IFERROR((終値!$E$5-INDEX(終値!$E$5:$CZ$5,1,$AN$2))/INDEX(終値!$E$5:$CZ$5,1,$AN$2)*100,"")</f>
        <v>-0.82558151178043282</v>
      </c>
      <c r="AK201" s="374">
        <f t="shared" si="82"/>
        <v>8.891604557560564</v>
      </c>
      <c r="AL201" s="372">
        <f t="shared" si="83"/>
        <v>-2</v>
      </c>
      <c r="AO201" s="376" t="str">
        <f t="shared" si="84"/>
        <v>通常</v>
      </c>
      <c r="AP201" s="377">
        <f t="shared" si="85"/>
        <v>0</v>
      </c>
      <c r="AQ201">
        <f>IF(C201&lt;&gt;"",始値!F45,"")</f>
        <v>3530</v>
      </c>
      <c r="AR201">
        <f>IF(C201&lt;&gt;"",高値!F45,"")</f>
        <v>3573</v>
      </c>
      <c r="AS201">
        <f>IF(C201&lt;&gt;"",安値!F45,"")</f>
        <v>3426</v>
      </c>
      <c r="AT201" t="str">
        <f t="shared" si="86"/>
        <v>長い下ヒゲ(反発)</v>
      </c>
      <c r="AU201">
        <f t="shared" si="87"/>
        <v>-2</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1770.5</v>
      </c>
      <c r="F202" s="333">
        <f>IF(C202&lt;&gt;"",_xll.RssMarket(C202,"始値"),"")</f>
        <v>1789.5</v>
      </c>
      <c r="G202" s="212">
        <f>IF(C202&lt;&gt;"",終値!F75,"")</f>
        <v>0</v>
      </c>
      <c r="H202" s="333">
        <f>IF(C202&lt;&gt;"",_xll.RssMarket(C202,"高値"),"")</f>
        <v>1789.5</v>
      </c>
      <c r="I202" s="333">
        <f>IF(C202&lt;&gt;"",_xll.RssMarket(C202,"安値"),"")</f>
        <v>1758.5</v>
      </c>
      <c r="J202" s="333">
        <f>IF(C202&lt;&gt;"",_xll.RssMarket(C202,"出来高"),"")</f>
        <v>101800</v>
      </c>
      <c r="K202" s="333">
        <f>IF(C202&lt;&gt;"",_xll.RssMarket(C202,"年初来高値"),"")</f>
        <v>1862.5</v>
      </c>
      <c r="L202" s="334">
        <f t="shared" si="66"/>
        <v>-4.9395973154362416</v>
      </c>
      <c r="M202" s="333" t="str">
        <f>IF(C202&lt;&gt;"",IFERROR(AVERAGE(出来高!E75:I75),""),"")</f>
        <v/>
      </c>
      <c r="N202" s="333" t="str">
        <f>IF(C202&lt;&gt;"",IFERROR(AVERAGE(出来高!E75:AC75),""),"")</f>
        <v/>
      </c>
      <c r="O202" s="335" t="str">
        <f t="shared" si="67"/>
        <v/>
      </c>
      <c r="P202" s="212" t="str">
        <f t="shared" si="68"/>
        <v/>
      </c>
      <c r="Q202" s="212" t="str">
        <f t="shared" si="69"/>
        <v>様子見▲</v>
      </c>
      <c r="R202" s="333">
        <f t="shared" si="70"/>
        <v>1629</v>
      </c>
      <c r="S202" s="333">
        <f t="shared" si="71"/>
        <v>1841</v>
      </c>
      <c r="T202" s="325">
        <f t="shared" si="72"/>
        <v>1</v>
      </c>
      <c r="U202" s="212" t="str">
        <f t="shared" si="73"/>
        <v>除外</v>
      </c>
      <c r="V202" s="212" t="str">
        <f t="shared" si="74"/>
        <v>通常</v>
      </c>
      <c r="W202" s="336">
        <f t="array" ref="W202">IFERROR(100-100/(1+SUMPRODUCT((終値!F75:R75&gt;終値!G75:S75)*(終値!F75:R75-終値!G75:S75))/SUMPRODUCT((終値!F75:R75&lt;終値!G75:S75)*(終値!G75:S75-終値!F75:R75))),50)</f>
        <v>50</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0</v>
      </c>
      <c r="Y202" s="212" t="str">
        <f t="shared" si="75"/>
        <v>相場上昇・見送り |   MACD+ RSI:50.0 前日比:% [1点]</v>
      </c>
      <c r="Z202" s="338" t="str">
        <f t="shared" si="76"/>
        <v/>
      </c>
      <c r="AA202" s="212" t="str">
        <f t="shared" si="77"/>
        <v>上昇▲</v>
      </c>
      <c r="AB202" s="333" t="str">
        <f>IF(OR(C202="",C202="TOPX",終値!E75=""),"",IFERROR(((終値!E75*0.333)+(終値!F75*0.222)+(終値!G75*0.148)+(終値!H75*0.099)+(終値!I75*0.066))/(0.333+0.222+0.148+0.099+0.066),""))</f>
        <v/>
      </c>
      <c r="AC202" s="333" t="str">
        <f>IF(OR(C202="",C202="TOPX",終値!E75=""),"",IFERROR(SUMPRODUCT((終値!E75:AC75),{0.077,0.071,0.065,0.06,0.055,0.051,0.047,0.043,0.039,0.036,0.033,0.031,0.028,0.026,0.024,0.022,0.02,0.018,0.017,0.016,0.014,0.013,0.012,0.011,0.01})/SUM({0.077,0.071,0.065,0.06,0.055,0.051,0.047,0.043,0.039,0.036,0.033,0.031,0.028,0.026,0.024,0.022,0.02,0.018,0.017,0.016,0.014,0.013,0.012,0.011,0.01}),""))</f>
        <v/>
      </c>
      <c r="AD202" s="212" t="str">
        <f t="shared" si="78"/>
        <v/>
      </c>
      <c r="AE202" s="212" t="str">
        <f t="shared" si="79"/>
        <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 t="shared" si="80"/>
        <v>0</v>
      </c>
      <c r="AH202">
        <f t="shared" si="81"/>
        <v>0</v>
      </c>
      <c r="AI202" s="373" t="str">
        <f t="array" ref="AI202">IF(C202="","",IFERROR((INDEX(終値!$E:$E,MATCH(TEXT(C202,"0"),終値!$A:$A,0))-INDEX(終値!$E:$CZ,MATCH(TEXT(C202,"0"),終値!$A:$A,0),$AN$2))/INDEX(終値!$E:$CZ,MATCH(TEXT(C202,"0"),終値!$A:$A,0),$AN$2)*100,""))</f>
        <v/>
      </c>
      <c r="AJ202" s="373">
        <f t="array" ref="AJ202">IFERROR((終値!$E$5-INDEX(終値!$E$5:$CZ$5,1,$AN$2))/INDEX(終値!$E$5:$CZ$5,1,$AN$2)*100,"")</f>
        <v>-0.82558151178043282</v>
      </c>
      <c r="AK202" s="374" t="str">
        <f t="shared" si="82"/>
        <v/>
      </c>
      <c r="AL202" s="372" t="str">
        <f t="shared" si="83"/>
        <v/>
      </c>
      <c r="AO202" s="376" t="str">
        <f t="shared" si="84"/>
        <v>通常</v>
      </c>
      <c r="AP202" s="377">
        <f t="shared" si="85"/>
        <v>0</v>
      </c>
      <c r="AQ202">
        <f>IF(C202&lt;&gt;"",始値!F75,"")</f>
        <v>0</v>
      </c>
      <c r="AR202">
        <f>IF(C202&lt;&gt;"",高値!F75,"")</f>
        <v>0</v>
      </c>
      <c r="AS202">
        <f>IF(C202&lt;&gt;"",安値!F75,"")</f>
        <v>0</v>
      </c>
      <c r="AT202" t="str">
        <f t="shared" si="86"/>
        <v>-</v>
      </c>
      <c r="AU202">
        <f t="shared" si="87"/>
        <v>0</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5956</v>
      </c>
      <c r="F203" s="326">
        <f>IF(C203&lt;&gt;"",_xll.RssMarket(C203,"始値"),"")</f>
        <v>6059</v>
      </c>
      <c r="G203" s="325">
        <f>IF(C203&lt;&gt;"",終値!F115,"")</f>
        <v>6181</v>
      </c>
      <c r="H203" s="326">
        <f>IF(C203&lt;&gt;"",_xll.RssMarket(C203,"高値"),"")</f>
        <v>6079</v>
      </c>
      <c r="I203" s="326">
        <f>IF(C203&lt;&gt;"",_xll.RssMarket(C203,"安値"),"")</f>
        <v>5901</v>
      </c>
      <c r="J203" s="326">
        <f>IF(C203&lt;&gt;"",_xll.RssMarket(C203,"出来高"),"")</f>
        <v>481100</v>
      </c>
      <c r="K203" s="326">
        <f>IF(C203&lt;&gt;"",_xll.RssMarket(C203,"年初来高値"),"")</f>
        <v>7967</v>
      </c>
      <c r="L203" s="327">
        <f t="shared" si="66"/>
        <v>-25.241621689469063</v>
      </c>
      <c r="M203" s="326">
        <f>IF(C203&lt;&gt;"",IFERROR(AVERAGE(出来高!E115:I115),""),"")</f>
        <v>1257120</v>
      </c>
      <c r="N203" s="326">
        <f>IF(C203&lt;&gt;"",IFERROR(AVERAGE(出来高!E115:AC115),""),"")</f>
        <v>1045116</v>
      </c>
      <c r="O203" s="328">
        <f t="shared" si="67"/>
        <v>0.38270014000254549</v>
      </c>
      <c r="P203" s="325" t="str">
        <f t="shared" si="68"/>
        <v>減少↓</v>
      </c>
      <c r="Q203" s="325" t="str">
        <f t="shared" si="69"/>
        <v>中立→</v>
      </c>
      <c r="R203" s="326">
        <f t="shared" si="70"/>
        <v>5480</v>
      </c>
      <c r="S203" s="326">
        <f t="shared" si="71"/>
        <v>6194</v>
      </c>
      <c r="T203" s="325">
        <f t="shared" si="72"/>
        <v>9</v>
      </c>
      <c r="U203" s="325" t="str">
        <f t="shared" si="73"/>
        <v>要確認</v>
      </c>
      <c r="V203" s="325" t="str">
        <f t="shared" si="74"/>
        <v>安値圏</v>
      </c>
      <c r="W203" s="329">
        <f t="array" ref="W203">IFERROR(100-100/(1+SUMPRODUCT((終値!F115:R115&gt;終値!G115:S115)*(終値!F115:R115-終値!G115:S115))/SUMPRODUCT((終値!F115:R115&lt;終値!G115:S115)*(終値!G115:S115-終値!F115:R115))),50)</f>
        <v>74.21052631578948</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21.276660868736144</v>
      </c>
      <c r="Y203" s="325" t="str">
        <f t="shared" si="75"/>
        <v>◎反落確認 | 下降トレンド▼ MACD+ RSI:74.2 [過熱] 前日比:-3.6% [安値圏]前日[長い下ヒゲ(反発)] [9点]</v>
      </c>
      <c r="Z203" s="331">
        <f t="shared" si="76"/>
        <v>-3.6401876718977508</v>
      </c>
      <c r="AA203" s="325" t="str">
        <f t="shared" si="77"/>
        <v>下落▼</v>
      </c>
      <c r="AB203" s="326">
        <f>IF(OR(C203="",C203="TOPX",終値!E115=""),"",IFERROR(((終値!E115*0.333)+(終値!F115*0.222)+(終値!G115*0.148)+(終値!H115*0.099)+(終値!I115*0.066))/(0.333+0.222+0.148+0.099+0.066),""))</f>
        <v>6150.2592165898623</v>
      </c>
      <c r="AC203" s="326">
        <f>IF(OR(C203="",C203="TOPX",終値!E115=""),"",IFERROR(SUMPRODUCT((終値!E115:AC115),{0.077,0.071,0.065,0.06,0.055,0.051,0.047,0.043,0.039,0.036,0.033,0.031,0.028,0.026,0.024,0.022,0.02,0.018,0.017,0.016,0.014,0.013,0.012,0.011,0.01})/SUM({0.077,0.071,0.065,0.06,0.055,0.051,0.047,0.043,0.039,0.036,0.033,0.031,0.028,0.026,0.024,0.022,0.02,0.018,0.017,0.016,0.014,0.013,0.012,0.011,0.01}),""))</f>
        <v>6151.2502979737765</v>
      </c>
      <c r="AD203" s="325" t="str">
        <f t="shared" si="78"/>
        <v>下降トレンド▼</v>
      </c>
      <c r="AE203" s="325" t="str">
        <f t="shared" si="79"/>
        <v>なし</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◎反落確認</v>
      </c>
      <c r="AG203">
        <f t="shared" si="80"/>
        <v>9</v>
      </c>
      <c r="AH203">
        <f t="shared" si="81"/>
        <v>89797</v>
      </c>
      <c r="AI203" s="373">
        <f t="array" ref="AI203">IF(C203="","",IFERROR((INDEX(終値!$E:$E,MATCH(TEXT(C203,"0"),終値!$A:$A,0))-INDEX(終値!$E:$CZ,MATCH(TEXT(C203,"0"),終値!$A:$A,0),$AN$2))/INDEX(終値!$E:$CZ,MATCH(TEXT(C203,"0"),終値!$A:$A,0),$AN$2)*100,""))</f>
        <v>-2.0282330034074314</v>
      </c>
      <c r="AJ203" s="373">
        <f t="array" ref="AJ203">IFERROR((終値!$E$5-INDEX(終値!$E$5:$CZ$5,1,$AN$2))/INDEX(終値!$E$5:$CZ$5,1,$AN$2)*100,"")</f>
        <v>-0.82558151178043282</v>
      </c>
      <c r="AK203" s="374">
        <f t="shared" si="82"/>
        <v>-1.2026514916269986</v>
      </c>
      <c r="AL203" s="372">
        <f t="shared" si="83"/>
        <v>1</v>
      </c>
      <c r="AO203" s="376" t="str">
        <f t="shared" si="84"/>
        <v>通常</v>
      </c>
      <c r="AP203" s="377">
        <f t="shared" si="85"/>
        <v>0</v>
      </c>
      <c r="AQ203">
        <f>IF(C203&lt;&gt;"",始値!F115,"")</f>
        <v>6150</v>
      </c>
      <c r="AR203">
        <f>IF(C203&lt;&gt;"",高値!F115,"")</f>
        <v>6224</v>
      </c>
      <c r="AS203">
        <f>IF(C203&lt;&gt;"",安値!F115,"")</f>
        <v>6007</v>
      </c>
      <c r="AT203" t="str">
        <f t="shared" si="86"/>
        <v>長い下ヒゲ(反発)</v>
      </c>
      <c r="AU203">
        <f t="shared" si="87"/>
        <v>-2</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2560.5</v>
      </c>
      <c r="F204" s="333">
        <f>IF(C204&lt;&gt;"",_xll.RssMarket(C204,"始値"),"")</f>
        <v>2496.5</v>
      </c>
      <c r="G204" s="212">
        <f>IF(C204&lt;&gt;"",終値!F122,"")</f>
        <v>2527.5</v>
      </c>
      <c r="H204" s="333">
        <f>IF(C204&lt;&gt;"",_xll.RssMarket(C204,"高値"),"")</f>
        <v>2570</v>
      </c>
      <c r="I204" s="333">
        <f>IF(C204&lt;&gt;"",_xll.RssMarket(C204,"安値"),"")</f>
        <v>2496.5</v>
      </c>
      <c r="J204" s="333">
        <f>IF(C204&lt;&gt;"",_xll.RssMarket(C204,"出来高"),"")</f>
        <v>548400</v>
      </c>
      <c r="K204" s="333">
        <f>IF(C204&lt;&gt;"",_xll.RssMarket(C204,"年初来高値"),"")</f>
        <v>2661</v>
      </c>
      <c r="L204" s="334">
        <f t="shared" si="66"/>
        <v>-3.7767756482525368</v>
      </c>
      <c r="M204" s="333">
        <f>IF(C204&lt;&gt;"",IFERROR(AVERAGE(出来高!E122:I122),""),"")</f>
        <v>1103780</v>
      </c>
      <c r="N204" s="333">
        <f>IF(C204&lt;&gt;"",IFERROR(AVERAGE(出来高!E122:AC122),""),"")</f>
        <v>959684</v>
      </c>
      <c r="O204" s="335">
        <f t="shared" si="67"/>
        <v>0.4968381380347533</v>
      </c>
      <c r="P204" s="212" t="str">
        <f t="shared" si="68"/>
        <v>減少↓</v>
      </c>
      <c r="Q204" s="212" t="str">
        <f t="shared" si="69"/>
        <v>様子見▲</v>
      </c>
      <c r="R204" s="333">
        <f t="shared" si="70"/>
        <v>2356</v>
      </c>
      <c r="S204" s="333">
        <f t="shared" si="71"/>
        <v>2663</v>
      </c>
      <c r="T204" s="325">
        <f t="shared" si="72"/>
        <v>-3</v>
      </c>
      <c r="U204" s="212" t="str">
        <f t="shared" si="73"/>
        <v>除外</v>
      </c>
      <c r="V204" s="212" t="str">
        <f t="shared" si="74"/>
        <v>通常</v>
      </c>
      <c r="W204" s="336">
        <f t="array" ref="W204">IFERROR(100-100/(1+SUMPRODUCT((終値!F122:R122&gt;終値!G122:S122)*(終値!F122:R122-終値!G122:S122))/SUMPRODUCT((終値!F122:R122&lt;終値!G122:S122)*(終値!G122:S122-終値!F122:R122))),50)</f>
        <v>50.906735751295336</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5.4566468581720073</v>
      </c>
      <c r="Y204" s="212" t="str">
        <f t="shared" si="75"/>
        <v>相場上昇・見送り | 上昇トレンド▲ MACD+ RSI:50.9 前日比:+1.3%前日[長い下ヒゲ(反発)] [-3点]</v>
      </c>
      <c r="Z204" s="338">
        <f t="shared" si="76"/>
        <v>1.3056379821958457</v>
      </c>
      <c r="AA204" s="212" t="str">
        <f t="shared" si="77"/>
        <v>上昇▲</v>
      </c>
      <c r="AB204" s="333">
        <f>IF(OR(C204="",C204="TOPX",終値!E122=""),"",IFERROR(((終値!E122*0.333)+(終値!F122*0.222)+(終値!G122*0.148)+(終値!H122*0.099)+(終値!I122*0.066))/(0.333+0.222+0.148+0.099+0.066),""))</f>
        <v>2509.7805299539168</v>
      </c>
      <c r="AC204" s="333">
        <f>IF(OR(C204="",C204="TOPX",終値!E122=""),"",IFERROR(SUMPRODUCT((終値!E122:AC122),{0.077,0.071,0.065,0.06,0.055,0.051,0.047,0.043,0.039,0.036,0.033,0.031,0.028,0.026,0.024,0.022,0.02,0.018,0.017,0.016,0.014,0.013,0.012,0.011,0.01})/SUM({0.077,0.071,0.065,0.06,0.055,0.051,0.047,0.043,0.039,0.036,0.033,0.031,0.028,0.026,0.024,0.022,0.02,0.018,0.017,0.016,0.014,0.013,0.012,0.011,0.01}),""))</f>
        <v>2525.3939213349208</v>
      </c>
      <c r="AD204" s="212" t="str">
        <f t="shared" si="78"/>
        <v>上昇トレンド▲</v>
      </c>
      <c r="AE204" s="212" t="str">
        <f t="shared" si="79"/>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 t="shared" si="80"/>
        <v>0</v>
      </c>
      <c r="AH204">
        <f t="shared" si="81"/>
        <v>0</v>
      </c>
      <c r="AI204" s="373">
        <f t="array" ref="AI204">IF(C204="","",IFERROR((INDEX(終値!$E:$E,MATCH(TEXT(C204,"0"),終値!$A:$A,0))-INDEX(終値!$E:$CZ,MATCH(TEXT(C204,"0"),終値!$A:$A,0),$AN$2))/INDEX(終値!$E:$CZ,MATCH(TEXT(C204,"0"),終値!$A:$A,0),$AN$2)*100,""))</f>
        <v>6.5769805680119582</v>
      </c>
      <c r="AJ204" s="373">
        <f t="array" ref="AJ204">IFERROR((終値!$E$5-INDEX(終値!$E$5:$CZ$5,1,$AN$2))/INDEX(終値!$E$5:$CZ$5,1,$AN$2)*100,"")</f>
        <v>-0.82558151178043282</v>
      </c>
      <c r="AK204" s="374">
        <f t="shared" si="82"/>
        <v>7.402562079792391</v>
      </c>
      <c r="AL204" s="372">
        <f t="shared" si="83"/>
        <v>-2</v>
      </c>
      <c r="AO204" s="376" t="str">
        <f t="shared" si="84"/>
        <v>通常</v>
      </c>
      <c r="AP204" s="377">
        <f t="shared" si="85"/>
        <v>0</v>
      </c>
      <c r="AQ204">
        <f>IF(C204&lt;&gt;"",始値!F122,"")</f>
        <v>2531</v>
      </c>
      <c r="AR204">
        <f>IF(C204&lt;&gt;"",高値!F122,"")</f>
        <v>2550</v>
      </c>
      <c r="AS204">
        <f>IF(C204&lt;&gt;"",安値!F122,"")</f>
        <v>2440</v>
      </c>
      <c r="AT204" t="str">
        <f t="shared" si="86"/>
        <v>長い下ヒゲ(反発)</v>
      </c>
      <c r="AU204">
        <f t="shared" si="87"/>
        <v>-2</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6683</v>
      </c>
      <c r="F205" s="326">
        <f>IF(C205&lt;&gt;"",_xll.RssMarket(C205,"始値"),"")</f>
        <v>6601</v>
      </c>
      <c r="G205" s="325">
        <f>IF(C205&lt;&gt;"",終値!F130,"")</f>
        <v>6687</v>
      </c>
      <c r="H205" s="326">
        <f>IF(C205&lt;&gt;"",_xll.RssMarket(C205,"高値"),"")</f>
        <v>6686</v>
      </c>
      <c r="I205" s="326">
        <f>IF(C205&lt;&gt;"",_xll.RssMarket(C205,"安値"),"")</f>
        <v>6601</v>
      </c>
      <c r="J205" s="326">
        <f>IF(C205&lt;&gt;"",_xll.RssMarket(C205,"出来高"),"")</f>
        <v>1376300</v>
      </c>
      <c r="K205" s="326">
        <f>IF(C205&lt;&gt;"",_xll.RssMarket(C205,"年初来高値"),"")</f>
        <v>10700</v>
      </c>
      <c r="L205" s="327">
        <f t="shared" si="66"/>
        <v>-37.542056074766357</v>
      </c>
      <c r="M205" s="326">
        <f>IF(C205&lt;&gt;"",IFERROR(AVERAGE(出来高!E130:I130),""),"")</f>
        <v>2996920</v>
      </c>
      <c r="N205" s="326">
        <f>IF(C205&lt;&gt;"",IFERROR(AVERAGE(出来高!E130:AC130),""),"")</f>
        <v>2815770.8333333335</v>
      </c>
      <c r="O205" s="328">
        <f t="shared" si="67"/>
        <v>0.459238151168533</v>
      </c>
      <c r="P205" s="325" t="str">
        <f t="shared" si="68"/>
        <v>減少↓</v>
      </c>
      <c r="Q205" s="325" t="str">
        <f t="shared" si="69"/>
        <v>中立→</v>
      </c>
      <c r="R205" s="326">
        <f t="shared" si="70"/>
        <v>6148</v>
      </c>
      <c r="S205" s="326">
        <f t="shared" si="71"/>
        <v>6950</v>
      </c>
      <c r="T205" s="325">
        <f t="shared" si="72"/>
        <v>13</v>
      </c>
      <c r="U205" s="325" t="str">
        <f t="shared" si="73"/>
        <v>要確認</v>
      </c>
      <c r="V205" s="325" t="str">
        <f t="shared" si="74"/>
        <v>安値圏</v>
      </c>
      <c r="W205" s="329">
        <f t="array" ref="W205">IFERROR(100-100/(1+SUMPRODUCT((終値!F130:R130&gt;終値!G130:S130)*(終値!F130:R130-終値!G130:S130))/SUMPRODUCT((終値!F130:R130&lt;終値!G130:S130)*(終値!G130:S130-終値!F130:R130))),50)</f>
        <v>48.219088225647752</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-119.07026775301438</v>
      </c>
      <c r="Y205" s="325" t="str">
        <f t="shared" si="75"/>
        <v>○逆張り売り | もみ合い→ 25日戻り売り★ MACD- RSI:48.2 前日比:-0.1% [安値圏] [13点]</v>
      </c>
      <c r="Z205" s="331">
        <f t="shared" si="76"/>
        <v>-5.9817556452818901E-2</v>
      </c>
      <c r="AA205" s="325" t="str">
        <f t="shared" si="77"/>
        <v>下落▼</v>
      </c>
      <c r="AB205" s="326">
        <f>IF(OR(C205="",C205="TOPX",終値!E130=""),"",IFERROR(((終値!E130*0.333)+(終値!F130*0.222)+(終値!G130*0.148)+(終値!H130*0.099)+(終値!I130*0.066))/(0.333+0.222+0.148+0.099+0.066),""))</f>
        <v>6798.9320276497683</v>
      </c>
      <c r="AC205" s="326">
        <f>IF(OR(C205="",C205="TOPX",終値!E130=""),"",IFERROR(SUMPRODUCT((終値!E130:AC130),{0.077,0.071,0.065,0.06,0.055,0.051,0.047,0.043,0.039,0.036,0.033,0.031,0.028,0.026,0.024,0.022,0.02,0.018,0.017,0.016,0.014,0.013,0.012,0.011,0.01})/SUM({0.077,0.071,0.065,0.06,0.055,0.051,0.047,0.043,0.039,0.036,0.033,0.031,0.028,0.026,0.024,0.022,0.02,0.018,0.017,0.016,0.014,0.013,0.012,0.011,0.01}),""))</f>
        <v>6734.1895113230021</v>
      </c>
      <c r="AD205" s="325" t="str">
        <f t="shared" si="78"/>
        <v>もみ合い→</v>
      </c>
      <c r="AE205" s="325" t="str">
        <f t="shared" si="79"/>
        <v>25日戻り売り★</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○逆張り売り</v>
      </c>
      <c r="AG205">
        <f t="shared" si="80"/>
        <v>13</v>
      </c>
      <c r="AH205">
        <f t="shared" si="81"/>
        <v>129795</v>
      </c>
      <c r="AI205" s="373">
        <f t="array" ref="AI205">IF(C205="","",IFERROR((INDEX(終値!$E:$E,MATCH(TEXT(C205,"0"),終値!$A:$A,0))-INDEX(終値!$E:$CZ,MATCH(TEXT(C205,"0"),終値!$A:$A,0),$AN$2))/INDEX(終値!$E:$CZ,MATCH(TEXT(C205,"0"),終値!$A:$A,0),$AN$2)*100,""))</f>
        <v>-11.803538420913652</v>
      </c>
      <c r="AJ205" s="373">
        <f t="array" ref="AJ205">IFERROR((終値!$E$5-INDEX(終値!$E$5:$CZ$5,1,$AN$2))/INDEX(終値!$E$5:$CZ$5,1,$AN$2)*100,"")</f>
        <v>-0.82558151178043282</v>
      </c>
      <c r="AK205" s="374">
        <f t="shared" si="82"/>
        <v>-10.977956909133219</v>
      </c>
      <c r="AL205" s="372">
        <f t="shared" si="83"/>
        <v>3</v>
      </c>
      <c r="AO205" s="376" t="str">
        <f t="shared" si="84"/>
        <v>通常</v>
      </c>
      <c r="AP205" s="377">
        <f t="shared" si="85"/>
        <v>0</v>
      </c>
      <c r="AQ205">
        <f>IF(C205&lt;&gt;"",始値!F130,"")</f>
        <v>6811</v>
      </c>
      <c r="AR205">
        <f>IF(C205&lt;&gt;"",高値!F130,"")</f>
        <v>6812</v>
      </c>
      <c r="AS205">
        <f>IF(C205&lt;&gt;"",安値!F130,"")</f>
        <v>6608</v>
      </c>
      <c r="AT205" t="str">
        <f t="shared" si="86"/>
        <v>通常</v>
      </c>
      <c r="AU205">
        <f t="shared" si="87"/>
        <v>0</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5372</v>
      </c>
      <c r="F206" s="333">
        <f>IF(C206&lt;&gt;"",_xll.RssMarket(C206,"始値"),"")</f>
        <v>5255</v>
      </c>
      <c r="G206" s="212">
        <f>IF(C206&lt;&gt;"",終値!F202,"")</f>
        <v>5193</v>
      </c>
      <c r="H206" s="333">
        <f>IF(C206&lt;&gt;"",_xll.RssMarket(C206,"高値"),"")</f>
        <v>5380</v>
      </c>
      <c r="I206" s="333">
        <f>IF(C206&lt;&gt;"",_xll.RssMarket(C206,"安値"),"")</f>
        <v>5217</v>
      </c>
      <c r="J206" s="333">
        <f>IF(C206&lt;&gt;"",_xll.RssMarket(C206,"出来高"),"")</f>
        <v>621100</v>
      </c>
      <c r="K206" s="333">
        <f>IF(C206&lt;&gt;"",_xll.RssMarket(C206,"年初来高値"),"")</f>
        <v>7257</v>
      </c>
      <c r="L206" s="334">
        <f t="shared" si="66"/>
        <v>-25.97492076615681</v>
      </c>
      <c r="M206" s="333">
        <f>IF(C206&lt;&gt;"",IFERROR(AVERAGE(出来高!E202:I202),""),"")</f>
        <v>1695380</v>
      </c>
      <c r="N206" s="333">
        <f>IF(C206&lt;&gt;"",IFERROR(AVERAGE(出来高!E202:AC202),""),"")</f>
        <v>1248696</v>
      </c>
      <c r="O206" s="335">
        <f t="shared" si="67"/>
        <v>0.36634854722834997</v>
      </c>
      <c r="P206" s="212" t="str">
        <f t="shared" si="68"/>
        <v>減少↓</v>
      </c>
      <c r="Q206" s="212" t="str">
        <f t="shared" si="69"/>
        <v>様子見▲</v>
      </c>
      <c r="R206" s="333">
        <f t="shared" si="70"/>
        <v>4942</v>
      </c>
      <c r="S206" s="333">
        <f t="shared" si="71"/>
        <v>5587</v>
      </c>
      <c r="T206" s="325">
        <f t="shared" si="72"/>
        <v>3</v>
      </c>
      <c r="U206" s="212" t="str">
        <f t="shared" si="73"/>
        <v>要確認</v>
      </c>
      <c r="V206" s="212" t="str">
        <f t="shared" si="74"/>
        <v>安値圏</v>
      </c>
      <c r="W206" s="336">
        <f t="array" ref="W206">IFERROR(100-100/(1+SUMPRODUCT((終値!F202:R202&gt;終値!G202:S202)*(終値!F202:R202-終値!G202:S202))/SUMPRODUCT((終値!F202:R202&lt;終値!G202:S202)*(終値!G202:S202-終値!F202:R202))),50)</f>
        <v>55.85509688289806</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21.827542698389152</v>
      </c>
      <c r="Y206" s="212" t="str">
        <f t="shared" si="75"/>
        <v>相場上昇・見送り | 上昇トレンド▲ MACD+ RSI:55.9 前日比:+3.4% [安値圏] [3点]</v>
      </c>
      <c r="Z206" s="338">
        <f t="shared" si="76"/>
        <v>3.4469478143654921</v>
      </c>
      <c r="AA206" s="212" t="str">
        <f t="shared" si="77"/>
        <v>上昇▲</v>
      </c>
      <c r="AB206" s="333">
        <f>IF(OR(C206="",C206="TOPX",終値!E202=""),"",IFERROR(((終値!E202*0.333)+(終値!F202*0.222)+(終値!G202*0.148)+(終値!H202*0.099)+(終値!I202*0.066))/(0.333+0.222+0.148+0.099+0.066),""))</f>
        <v>5268.3790322580635</v>
      </c>
      <c r="AC206" s="333">
        <f>IF(OR(C206="",C206="TOPX",終値!E202=""),"",IFERROR(SUMPRODUCT((終値!E202:AC202),{0.077,0.071,0.065,0.06,0.055,0.051,0.047,0.043,0.039,0.036,0.033,0.031,0.028,0.026,0.024,0.022,0.02,0.018,0.017,0.016,0.014,0.013,0.012,0.011,0.01})/SUM({0.077,0.071,0.065,0.06,0.055,0.051,0.047,0.043,0.039,0.036,0.033,0.031,0.028,0.026,0.024,0.022,0.02,0.018,0.017,0.016,0.014,0.013,0.012,0.011,0.01}),""))</f>
        <v>5281.1191895113207</v>
      </c>
      <c r="AD206" s="212" t="str">
        <f t="shared" si="78"/>
        <v>上昇トレンド▲</v>
      </c>
      <c r="AE206" s="212" t="str">
        <f t="shared" si="79"/>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 t="shared" si="80"/>
        <v>0</v>
      </c>
      <c r="AH206">
        <f t="shared" si="81"/>
        <v>0</v>
      </c>
      <c r="AI206" s="373">
        <f t="array" ref="AI206">IF(C206="","",IFERROR((INDEX(終値!$E:$E,MATCH(TEXT(C206,"0"),終値!$A:$A,0))-INDEX(終値!$E:$CZ,MATCH(TEXT(C206,"0"),終値!$A:$A,0),$AN$2))/INDEX(終値!$E:$CZ,MATCH(TEXT(C206,"0"),終値!$A:$A,0),$AN$2)*100,""))</f>
        <v>0.13397129186602871</v>
      </c>
      <c r="AJ206" s="373">
        <f t="array" ref="AJ206">IFERROR((終値!$E$5-INDEX(終値!$E$5:$CZ$5,1,$AN$2))/INDEX(終値!$E$5:$CZ$5,1,$AN$2)*100,"")</f>
        <v>-0.82558151178043282</v>
      </c>
      <c r="AK206" s="374">
        <f t="shared" si="82"/>
        <v>0.95955280364646156</v>
      </c>
      <c r="AL206" s="372">
        <f t="shared" si="83"/>
        <v>-1</v>
      </c>
      <c r="AO206" s="376" t="str">
        <f t="shared" si="84"/>
        <v>通常</v>
      </c>
      <c r="AP206" s="377">
        <f t="shared" si="85"/>
        <v>0</v>
      </c>
      <c r="AQ206">
        <f>IF(C206&lt;&gt;"",始値!F202,"")</f>
        <v>5181</v>
      </c>
      <c r="AR206">
        <f>IF(C206&lt;&gt;"",高値!F202,"")</f>
        <v>5235</v>
      </c>
      <c r="AS206">
        <f>IF(C206&lt;&gt;"",安値!F202,"")</f>
        <v>5087</v>
      </c>
      <c r="AT206" t="str">
        <f t="shared" si="86"/>
        <v>通常</v>
      </c>
      <c r="AU206">
        <f t="shared" si="87"/>
        <v>0</v>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862" t="s">
        <v>579</v>
      </c>
      <c r="B1" s="853"/>
      <c r="C1" s="853"/>
      <c r="D1" s="853"/>
      <c r="E1" s="853"/>
      <c r="F1" s="853"/>
      <c r="G1" s="853"/>
      <c r="H1" s="853"/>
      <c r="I1" s="853"/>
      <c r="J1" s="853"/>
      <c r="K1" s="853"/>
      <c r="L1" s="853"/>
      <c r="M1" s="853"/>
      <c r="N1" s="853"/>
      <c r="O1" s="853"/>
      <c r="P1" s="853"/>
      <c r="Q1" s="853"/>
      <c r="R1" s="853"/>
      <c r="S1" s="853"/>
      <c r="T1" s="853"/>
      <c r="U1" s="853"/>
      <c r="V1" s="853"/>
      <c r="W1" s="853"/>
      <c r="X1" s="853"/>
      <c r="Y1" s="863"/>
      <c r="Z1" s="853"/>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1763</v>
      </c>
      <c r="F3" s="326">
        <f>IF(売分析!F3&lt;&gt;"",売分析!F3,"")</f>
        <v>1820</v>
      </c>
      <c r="G3" s="326">
        <f>IF(売分析!H3&lt;&gt;"",売分析!H3,"")</f>
        <v>1920</v>
      </c>
      <c r="H3" s="326">
        <f>IF(売分析!I3&lt;&gt;"",売分析!I3,"")</f>
        <v>1757</v>
      </c>
      <c r="I3" s="325">
        <f>IF(売分析!J3&lt;&gt;"",売分析!J3,"")</f>
        <v>3397500</v>
      </c>
      <c r="J3" s="326">
        <f>IF(売分析!AB3&lt;&gt;"",売分析!AB3,"")</f>
        <v>1508.5725806451615</v>
      </c>
      <c r="K3" s="326">
        <f>IF(売分析!AC3&lt;&gt;"",売分析!AC3,"")</f>
        <v>1814.891537544695</v>
      </c>
      <c r="L3" s="326">
        <f>IF(売分析!K3&lt;&gt;"",売分析!K3,"")</f>
        <v>3620</v>
      </c>
      <c r="M3" s="325" t="str">
        <f>IF(売分析!P3&lt;&gt;"",売分析!P3,"")</f>
        <v>普通→</v>
      </c>
      <c r="N3" s="328">
        <f>IF(売分析!O3&lt;&gt;"",売分析!O3,"")</f>
        <v>1.0871165094520741</v>
      </c>
      <c r="O3" s="330">
        <f>IF(売分析!X3&lt;&gt;"",売分析!X3,"")</f>
        <v>-167.65458786255249</v>
      </c>
      <c r="P3" s="327">
        <f>IF(売分析!L3&lt;&gt;"",売分析!L3,"")</f>
        <v>-51.298342541436462</v>
      </c>
      <c r="Q3" s="326">
        <f>IF(売分析!S3&lt;&gt;"",売分析!S3,"")</f>
        <v>1834</v>
      </c>
      <c r="R3" s="326">
        <f>IF(売分析!R3&lt;&gt;"",売分析!R3,"")</f>
        <v>1622</v>
      </c>
      <c r="S3" s="325" t="str">
        <f>IF(売分析!AA3&lt;&gt;"",売分析!AA3,"")</f>
        <v>上昇▲</v>
      </c>
      <c r="T3" s="331">
        <f>IF(売分析!Z3&lt;&gt;"",売分析!Z3,"")</f>
        <v>18.72053872053872</v>
      </c>
      <c r="U3" s="325" t="str">
        <f>IF(売分析!V3&lt;&gt;"",売分析!V3,"")</f>
        <v>年初来安値圏●</v>
      </c>
      <c r="V3" s="329">
        <f>IF(売分析!W3&lt;&gt;"",売分析!W3,"")</f>
        <v>21.258134490238618</v>
      </c>
      <c r="W3" s="325" t="str">
        <f>IF(売分析!AD3&lt;&gt;"",売分析!AD3,"")</f>
        <v>もみ合い→</v>
      </c>
      <c r="X3" s="325" t="str">
        <f>IF(売分析!AE3&lt;&gt;"",売分析!AE3,"")</f>
        <v>なし</v>
      </c>
      <c r="Y3" s="387">
        <f>IF(売分析!T3&lt;&gt;"",売分析!T3,"")</f>
        <v>11</v>
      </c>
      <c r="Z3" s="325" t="str">
        <f>IF(売分析!Y3&lt;&gt;"",売分析!Y3,"")</f>
        <v>相場上昇・見送り | もみ合い→ MACD- RSI:21.3 [売られ過ぎ] 前日比:+18.7% [年初来安値圏] [11点]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3716</v>
      </c>
      <c r="F4" s="333">
        <f>IF(売分析!F4&lt;&gt;"",売分析!F4,"")</f>
        <v>3777</v>
      </c>
      <c r="G4" s="333">
        <f>IF(売分析!H4&lt;&gt;"",売分析!H4,"")</f>
        <v>3869</v>
      </c>
      <c r="H4" s="333">
        <f>IF(売分析!I4&lt;&gt;"",売分析!I4,"")</f>
        <v>3696</v>
      </c>
      <c r="I4" s="212">
        <f>IF(売分析!J4&lt;&gt;"",売分析!J4,"")</f>
        <v>9679400</v>
      </c>
      <c r="J4" s="333">
        <f>IF(売分析!AB4&lt;&gt;"",売分析!AB4,"")</f>
        <v>6358.3882488479267</v>
      </c>
      <c r="K4" s="333">
        <f>IF(売分析!AC4&lt;&gt;"",売分析!AC4,"")</f>
        <v>6274.980929678185</v>
      </c>
      <c r="L4" s="333">
        <f>IF(売分析!K4&lt;&gt;"",売分析!K4,"")</f>
        <v>5939</v>
      </c>
      <c r="M4" s="212" t="str">
        <f>IF(売分析!P4&lt;&gt;"",売分析!P4,"")</f>
        <v>急増↑↑</v>
      </c>
      <c r="N4" s="335">
        <f>IF(売分析!O4&lt;&gt;"",売分析!O4,"")</f>
        <v>2.5086824453913064</v>
      </c>
      <c r="O4" s="337">
        <f>IF(売分析!X4&lt;&gt;"",売分析!X4,"")</f>
        <v>-19.412414075840388</v>
      </c>
      <c r="P4" s="334">
        <f>IF(売分析!L4&lt;&gt;"",売分析!L4,"")</f>
        <v>-37.43054386260313</v>
      </c>
      <c r="Q4" s="333">
        <f>IF(売分析!S4&lt;&gt;"",売分析!S4,"")</f>
        <v>3865</v>
      </c>
      <c r="R4" s="333">
        <f>IF(売分析!R4&lt;&gt;"",売分析!R4,"")</f>
        <v>3419</v>
      </c>
      <c r="S4" s="212" t="str">
        <f>IF(売分析!AA4&lt;&gt;"",売分析!AA4,"")</f>
        <v>下落▼</v>
      </c>
      <c r="T4" s="338">
        <f>IF(売分析!Z4&lt;&gt;"",売分析!Z4,"")</f>
        <v>-41.461877756773788</v>
      </c>
      <c r="U4" s="212" t="str">
        <f>IF(売分析!V4&lt;&gt;"",売分析!V4,"")</f>
        <v>安値圏</v>
      </c>
      <c r="V4" s="336">
        <f>IF(売分析!W4&lt;&gt;"",売分析!W4,"")</f>
        <v>49.722830991362642</v>
      </c>
      <c r="W4" s="212" t="str">
        <f>IF(売分析!AD4&lt;&gt;"",売分析!AD4,"")</f>
        <v>もみ合い→</v>
      </c>
      <c r="X4" s="212" t="str">
        <f>IF(売分析!AE4&lt;&gt;"",売分析!AE4,"")</f>
        <v>なし</v>
      </c>
      <c r="Y4" s="388">
        <f>IF(売分析!T4&lt;&gt;"",売分析!T4,"")</f>
        <v>8</v>
      </c>
      <c r="Z4" s="212" t="str">
        <f>IF(売分析!Y4&lt;&gt;"",売分析!Y4,"")</f>
        <v>相場上昇・見送り | もみ合い→ MACD- RSI:49.7 前日比:-41.5% [安値圏]前日[長い下ヒゲ(反発)] [8点]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4540</v>
      </c>
      <c r="F5" s="326">
        <f>IF(売分析!F5&lt;&gt;"",売分析!F5,"")</f>
        <v>4280</v>
      </c>
      <c r="G5" s="326">
        <f>IF(売分析!H5&lt;&gt;"",売分析!H5,"")</f>
        <v>4565</v>
      </c>
      <c r="H5" s="326">
        <f>IF(売分析!I5&lt;&gt;"",売分析!I5,"")</f>
        <v>4240</v>
      </c>
      <c r="I5" s="325">
        <f>IF(売分析!J5&lt;&gt;"",売分析!J5,"")</f>
        <v>840900</v>
      </c>
      <c r="J5" s="326">
        <f>IF(売分析!AB5&lt;&gt;"",売分析!AB5,"")</f>
        <v>3980.6912442396306</v>
      </c>
      <c r="K5" s="326">
        <f>IF(売分析!AC5&lt;&gt;"",売分析!AC5,"")</f>
        <v>4111.7699642431462</v>
      </c>
      <c r="L5" s="326">
        <f>IF(売分析!K5&lt;&gt;"",売分析!K5,"")</f>
        <v>5500</v>
      </c>
      <c r="M5" s="325" t="str">
        <f>IF(売分析!P5&lt;&gt;"",売分析!P5,"")</f>
        <v>減少↓</v>
      </c>
      <c r="N5" s="328">
        <f>IF(売分析!O5&lt;&gt;"",売分析!O5,"")</f>
        <v>0.8013608553948196</v>
      </c>
      <c r="O5" s="330">
        <f>IF(売分析!X5&lt;&gt;"",売分析!X5,"")</f>
        <v>-89.841575153538088</v>
      </c>
      <c r="P5" s="327">
        <f>IF(売分析!L5&lt;&gt;"",売分析!L5,"")</f>
        <v>-17.454545454545457</v>
      </c>
      <c r="Q5" s="326">
        <f>IF(売分析!S5&lt;&gt;"",売分析!S5,"")</f>
        <v>4722</v>
      </c>
      <c r="R5" s="326">
        <f>IF(売分析!R5&lt;&gt;"",売分析!R5,"")</f>
        <v>4177</v>
      </c>
      <c r="S5" s="325" t="str">
        <f>IF(売分析!AA5&lt;&gt;"",売分析!AA5,"")</f>
        <v>上昇▲</v>
      </c>
      <c r="T5" s="331">
        <f>IF(売分析!Z5&lt;&gt;"",売分析!Z5,"")</f>
        <v>14.357682619647354</v>
      </c>
      <c r="U5" s="325" t="str">
        <f>IF(売分析!V5&lt;&gt;"",売分析!V5,"")</f>
        <v>通常</v>
      </c>
      <c r="V5" s="329">
        <f>IF(売分析!W5&lt;&gt;"",売分析!W5,"")</f>
        <v>42.912621359223301</v>
      </c>
      <c r="W5" s="325" t="str">
        <f>IF(売分析!AD5&lt;&gt;"",売分析!AD5,"")</f>
        <v>上昇トレンド▲</v>
      </c>
      <c r="X5" s="325" t="str">
        <f>IF(売分析!AE5&lt;&gt;"",売分析!AE5,"")</f>
        <v>なし</v>
      </c>
      <c r="Y5" s="387">
        <f>IF(売分析!T5&lt;&gt;"",売分析!T5,"")</f>
        <v>4</v>
      </c>
      <c r="Z5" s="325" t="str">
        <f>IF(売分析!Y5&lt;&gt;"",売分析!Y5,"")</f>
        <v>相場上昇・見送り | 上昇トレンド▲ MACD- RSI:42.9 前日比:+14.4%前日[長い下ヒゲ(反発)] [4点]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1509</v>
      </c>
      <c r="F6" s="333">
        <f>IF(売分析!F6&lt;&gt;"",売分析!F6,"")</f>
        <v>1468</v>
      </c>
      <c r="G6" s="333">
        <f>IF(売分析!H6&lt;&gt;"",売分析!H6,"")</f>
        <v>1519</v>
      </c>
      <c r="H6" s="333">
        <f>IF(売分析!I6&lt;&gt;"",売分析!I6,"")</f>
        <v>1457</v>
      </c>
      <c r="I6" s="212">
        <f>IF(売分析!J6&lt;&gt;"",売分析!J6,"")</f>
        <v>162600</v>
      </c>
      <c r="J6" s="333">
        <f>IF(売分析!AB6&lt;&gt;"",売分析!AB6,"")</f>
        <v>1365.5149769585253</v>
      </c>
      <c r="K6" s="333">
        <f>IF(売分析!AC6&lt;&gt;"",売分析!AC6,"")</f>
        <v>1405.5959475566149</v>
      </c>
      <c r="L6" s="333">
        <f>IF(売分析!K6&lt;&gt;"",売分析!K6,"")</f>
        <v>2496</v>
      </c>
      <c r="M6" s="212" t="str">
        <f>IF(売分析!P6&lt;&gt;"",売分析!P6,"")</f>
        <v>減少↓</v>
      </c>
      <c r="N6" s="335">
        <f>IF(売分析!O6&lt;&gt;"",売分析!O6,"")</f>
        <v>0.527579493835172</v>
      </c>
      <c r="O6" s="337">
        <f>IF(売分析!X6&lt;&gt;"",売分析!X6,"")</f>
        <v>-37.25844116558369</v>
      </c>
      <c r="P6" s="334">
        <f>IF(売分析!L6&lt;&gt;"",売分析!L6,"")</f>
        <v>-39.543269230769226</v>
      </c>
      <c r="Q6" s="333">
        <f>IF(売分析!S6&lt;&gt;"",売分析!S6,"")</f>
        <v>1569</v>
      </c>
      <c r="R6" s="333">
        <f>IF(売分析!R6&lt;&gt;"",売分析!R6,"")</f>
        <v>1388</v>
      </c>
      <c r="S6" s="212" t="str">
        <f>IF(売分析!AA6&lt;&gt;"",売分析!AA6,"")</f>
        <v>上昇▲</v>
      </c>
      <c r="T6" s="338">
        <f>IF(売分析!Z6&lt;&gt;"",売分析!Z6,"")</f>
        <v>8.8744588744588757</v>
      </c>
      <c r="U6" s="212" t="str">
        <f>IF(売分析!V6&lt;&gt;"",売分析!V6,"")</f>
        <v>年初来安値圏●</v>
      </c>
      <c r="V6" s="336">
        <f>IF(売分析!W6&lt;&gt;"",売分析!W6,"")</f>
        <v>44.791666666666671</v>
      </c>
      <c r="W6" s="212" t="str">
        <f>IF(売分析!AD6&lt;&gt;"",売分析!AD6,"")</f>
        <v>上昇トレンド▲</v>
      </c>
      <c r="X6" s="212" t="str">
        <f>IF(売分析!AE6&lt;&gt;"",売分析!AE6,"")</f>
        <v>なし</v>
      </c>
      <c r="Y6" s="388">
        <f>IF(売分析!T6&lt;&gt;"",売分析!T6,"")</f>
        <v>10</v>
      </c>
      <c r="Z6" s="212" t="str">
        <f>IF(売分析!Y6&lt;&gt;"",売分析!Y6,"")</f>
        <v>相場上昇・見送り | 上昇トレンド▲ MACD- RSI:44.8 前日比:+8.9% [年初来安値圏] [10点]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1774</v>
      </c>
      <c r="F7" s="326">
        <f>IF(売分析!F7&lt;&gt;"",売分析!F7,"")</f>
        <v>1777</v>
      </c>
      <c r="G7" s="326">
        <f>IF(売分析!H7&lt;&gt;"",売分析!H7,"")</f>
        <v>1805.5</v>
      </c>
      <c r="H7" s="326">
        <f>IF(売分析!I7&lt;&gt;"",売分析!I7,"")</f>
        <v>1758</v>
      </c>
      <c r="I7" s="325">
        <f>IF(売分析!J7&lt;&gt;"",売分析!J7,"")</f>
        <v>4759700</v>
      </c>
      <c r="J7" s="326">
        <f>IF(売分析!AB7&lt;&gt;"",売分析!AB7,"")</f>
        <v>1813.8035714285713</v>
      </c>
      <c r="K7" s="326">
        <f>IF(売分析!AC7&lt;&gt;"",売分析!AC7,"")</f>
        <v>1745.3563766388552</v>
      </c>
      <c r="L7" s="326">
        <f>IF(売分析!K7&lt;&gt;"",売分析!K7,"")</f>
        <v>2359</v>
      </c>
      <c r="M7" s="325" t="str">
        <f>IF(売分析!P7&lt;&gt;"",売分析!P7,"")</f>
        <v>減少↓</v>
      </c>
      <c r="N7" s="328">
        <f>IF(売分析!O7&lt;&gt;"",売分析!O7,"")</f>
        <v>0.70506971149573083</v>
      </c>
      <c r="O7" s="330">
        <f>IF(売分析!X7&lt;&gt;"",売分析!X7,"")</f>
        <v>27.477388064752404</v>
      </c>
      <c r="P7" s="327">
        <f>IF(売分析!L7&lt;&gt;"",売分析!L7,"")</f>
        <v>-24.798643493005514</v>
      </c>
      <c r="Q7" s="326">
        <f>IF(売分析!S7&lt;&gt;"",売分析!S7,"")</f>
        <v>1845</v>
      </c>
      <c r="R7" s="326">
        <f>IF(売分析!R7&lt;&gt;"",売分析!R7,"")</f>
        <v>1632</v>
      </c>
      <c r="S7" s="325" t="str">
        <f>IF(売分析!AA7&lt;&gt;"",売分析!AA7,"")</f>
        <v>下落▼</v>
      </c>
      <c r="T7" s="331">
        <f>IF(売分析!Z7&lt;&gt;"",売分析!Z7,"")</f>
        <v>-1.1148272017837235</v>
      </c>
      <c r="U7" s="325" t="str">
        <f>IF(売分析!V7&lt;&gt;"",売分析!V7,"")</f>
        <v>安値圏</v>
      </c>
      <c r="V7" s="329">
        <f>IF(売分析!W7&lt;&gt;"",売分析!W7,"")</f>
        <v>71.612903225806448</v>
      </c>
      <c r="W7" s="325" t="str">
        <f>IF(売分析!AD7&lt;&gt;"",売分析!AD7,"")</f>
        <v>上昇トレンド▲</v>
      </c>
      <c r="X7" s="325" t="str">
        <f>IF(売分析!AE7&lt;&gt;"",売分析!AE7,"")</f>
        <v>なし</v>
      </c>
      <c r="Y7" s="387">
        <f>IF(売分析!T7&lt;&gt;"",売分析!T7,"")</f>
        <v>3</v>
      </c>
      <c r="Z7" s="325" t="str">
        <f>IF(売分析!Y7&lt;&gt;"",売分析!Y7,"")</f>
        <v>◎反落確認 | 上昇トレンド▲ MACD+ RSI:71.6 [過熱] 前日比:-1.1% [安値圏]前日[長い下ヒゲ(反発)] [3点]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421</v>
      </c>
      <c r="F8" s="333">
        <f>IF(売分析!F8&lt;&gt;"",売分析!F8,"")</f>
        <v>416</v>
      </c>
      <c r="G8" s="333">
        <f>IF(売分析!H8&lt;&gt;"",売分析!H8,"")</f>
        <v>422</v>
      </c>
      <c r="H8" s="333">
        <f>IF(売分析!I8&lt;&gt;"",売分析!I8,"")</f>
        <v>412</v>
      </c>
      <c r="I8" s="212">
        <f>IF(売分析!J8&lt;&gt;"",売分析!J8,"")</f>
        <v>702600</v>
      </c>
      <c r="J8" s="333">
        <f>IF(売分析!AB8&lt;&gt;"",売分析!AB8,"")</f>
        <v>407.29147465437785</v>
      </c>
      <c r="K8" s="333">
        <f>IF(売分析!AC8&lt;&gt;"",売分析!AC8,"")</f>
        <v>398.94517282479131</v>
      </c>
      <c r="L8" s="333">
        <f>IF(売分析!K8&lt;&gt;"",売分析!K8,"")</f>
        <v>710</v>
      </c>
      <c r="M8" s="212" t="str">
        <f>IF(売分析!P8&lt;&gt;"",売分析!P8,"")</f>
        <v>減少↓</v>
      </c>
      <c r="N8" s="335">
        <f>IF(売分析!O8&lt;&gt;"",売分析!O8,"")</f>
        <v>0.55140480301365558</v>
      </c>
      <c r="O8" s="337">
        <f>IF(売分析!X8&lt;&gt;"",売分析!X8,"")</f>
        <v>-9.2319066705406385</v>
      </c>
      <c r="P8" s="334">
        <f>IF(売分析!L8&lt;&gt;"",売分析!L8,"")</f>
        <v>-40.70422535211268</v>
      </c>
      <c r="Q8" s="333">
        <f>IF(売分析!S8&lt;&gt;"",売分析!S8,"")</f>
        <v>438</v>
      </c>
      <c r="R8" s="333">
        <f>IF(売分析!R8&lt;&gt;"",売分析!R8,"")</f>
        <v>387</v>
      </c>
      <c r="S8" s="212" t="str">
        <f>IF(売分析!AA8&lt;&gt;"",売分析!AA8,"")</f>
        <v>上昇▲</v>
      </c>
      <c r="T8" s="338">
        <f>IF(売分析!Z8&lt;&gt;"",売分析!Z8,"")</f>
        <v>4.4665012406947886</v>
      </c>
      <c r="U8" s="212" t="str">
        <f>IF(売分析!V8&lt;&gt;"",売分析!V8,"")</f>
        <v>年初来安値圏●</v>
      </c>
      <c r="V8" s="336">
        <f>IF(売分析!W8&lt;&gt;"",売分析!W8,"")</f>
        <v>47.87350054525627</v>
      </c>
      <c r="W8" s="212" t="str">
        <f>IF(売分析!AD8&lt;&gt;"",売分析!AD8,"")</f>
        <v>パーフェクト▲</v>
      </c>
      <c r="X8" s="212" t="str">
        <f>IF(売分析!AE8&lt;&gt;"",売分析!AE8,"")</f>
        <v>なし</v>
      </c>
      <c r="Y8" s="388">
        <f>IF(売分析!T8&lt;&gt;"",売分析!T8,"")</f>
        <v>8</v>
      </c>
      <c r="Z8" s="212" t="str">
        <f>IF(売分析!Y8&lt;&gt;"",売分析!Y8,"")</f>
        <v>相場上昇・見送り | パーフェクト▲ MACD- RSI:47.9 前日比:+4.5% [年初来安値圏]前日[長い下ヒゲ(反発)] [8点]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1946</v>
      </c>
      <c r="F9" s="326">
        <f>IF(売分析!F9&lt;&gt;"",売分析!F9,"")</f>
        <v>1888</v>
      </c>
      <c r="G9" s="326">
        <f>IF(売分析!H9&lt;&gt;"",売分析!H9,"")</f>
        <v>1958</v>
      </c>
      <c r="H9" s="326">
        <f>IF(売分析!I9&lt;&gt;"",売分析!I9,"")</f>
        <v>1853</v>
      </c>
      <c r="I9" s="325">
        <f>IF(売分析!J9&lt;&gt;"",売分析!J9,"")</f>
        <v>238900</v>
      </c>
      <c r="J9" s="326">
        <f>IF(売分析!AB9&lt;&gt;"",売分析!AB9,"")</f>
        <v>1793.9101382488477</v>
      </c>
      <c r="K9" s="326">
        <f>IF(売分析!AC9&lt;&gt;"",売分析!AC9,"")</f>
        <v>1841.1370679380209</v>
      </c>
      <c r="L9" s="326">
        <f>IF(売分析!K9&lt;&gt;"",売分析!K9,"")</f>
        <v>4400</v>
      </c>
      <c r="M9" s="325" t="str">
        <f>IF(売分析!P9&lt;&gt;"",売分析!P9,"")</f>
        <v>普通→</v>
      </c>
      <c r="N9" s="328">
        <f>IF(売分析!O9&lt;&gt;"",売分析!O9,"")</f>
        <v>1.1643435032654255</v>
      </c>
      <c r="O9" s="330">
        <f>IF(売分析!X9&lt;&gt;"",売分析!X9,"")</f>
        <v>-30.691548684718327</v>
      </c>
      <c r="P9" s="327">
        <f>IF(売分析!L9&lt;&gt;"",売分析!L9,"")</f>
        <v>-55.772727272727273</v>
      </c>
      <c r="Q9" s="326">
        <f>IF(売分析!S9&lt;&gt;"",売分析!S9,"")</f>
        <v>2024</v>
      </c>
      <c r="R9" s="326">
        <f>IF(売分析!R9&lt;&gt;"",売分析!R9,"")</f>
        <v>1790</v>
      </c>
      <c r="S9" s="325" t="str">
        <f>IF(売分析!AA9&lt;&gt;"",売分析!AA9,"")</f>
        <v>上昇▲</v>
      </c>
      <c r="T9" s="331">
        <f>IF(売分析!Z9&lt;&gt;"",売分析!Z9,"")</f>
        <v>8.4122562674094716</v>
      </c>
      <c r="U9" s="325" t="str">
        <f>IF(売分析!V9&lt;&gt;"",売分析!V9,"")</f>
        <v>年初来安値圏●</v>
      </c>
      <c r="V9" s="329">
        <f>IF(売分析!W9&lt;&gt;"",売分析!W9,"")</f>
        <v>43.11926605504587</v>
      </c>
      <c r="W9" s="325" t="str">
        <f>IF(売分析!AD9&lt;&gt;"",売分析!AD9,"")</f>
        <v>上昇トレンド▲</v>
      </c>
      <c r="X9" s="325" t="str">
        <f>IF(売分析!AE9&lt;&gt;"",売分析!AE9,"")</f>
        <v>なし</v>
      </c>
      <c r="Y9" s="387">
        <f>IF(売分析!T9&lt;&gt;"",売分析!T9,"")</f>
        <v>10</v>
      </c>
      <c r="Z9" s="325" t="str">
        <f>IF(売分析!Y9&lt;&gt;"",売分析!Y9,"")</f>
        <v>相場上昇・見送り | 上昇トレンド▲ MACD- RSI:43.1 前日比:+8.4% [年初来安値圏] [10点]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24720</v>
      </c>
      <c r="F10" s="333">
        <f>IF(売分析!F10&lt;&gt;"",売分析!F10,"")</f>
        <v>23340</v>
      </c>
      <c r="G10" s="333">
        <f>IF(売分析!H10&lt;&gt;"",売分析!H10,"")</f>
        <v>24740</v>
      </c>
      <c r="H10" s="333">
        <f>IF(売分析!I10&lt;&gt;"",売分析!I10,"")</f>
        <v>22980</v>
      </c>
      <c r="I10" s="212">
        <f>IF(売分析!J10&lt;&gt;"",売分析!J10,"")</f>
        <v>466000</v>
      </c>
      <c r="J10" s="333">
        <f>IF(売分析!AB10&lt;&gt;"",売分析!AB10,"")</f>
        <v>20967.315668202762</v>
      </c>
      <c r="K10" s="333">
        <f>IF(売分析!AC10&lt;&gt;"",売分析!AC10,"")</f>
        <v>23126.102502979727</v>
      </c>
      <c r="L10" s="333">
        <f>IF(売分析!K10&lt;&gt;"",売分析!K10,"")</f>
        <v>45300</v>
      </c>
      <c r="M10" s="212" t="str">
        <f>IF(売分析!P10&lt;&gt;"",売分析!P10,"")</f>
        <v>減少↓</v>
      </c>
      <c r="N10" s="335">
        <f>IF(売分析!O10&lt;&gt;"",売分析!O10,"")</f>
        <v>0.92828685258964139</v>
      </c>
      <c r="O10" s="337">
        <f>IF(売分析!X10&lt;&gt;"",売分析!X10,"")</f>
        <v>-919.77306469137693</v>
      </c>
      <c r="P10" s="334">
        <f>IF(売分析!L10&lt;&gt;"",売分析!L10,"")</f>
        <v>-45.430463576158942</v>
      </c>
      <c r="Q10" s="333">
        <f>IF(売分析!S10&lt;&gt;"",売分析!S10,"")</f>
        <v>25709</v>
      </c>
      <c r="R10" s="333">
        <f>IF(売分析!R10&lt;&gt;"",売分析!R10,"")</f>
        <v>22742</v>
      </c>
      <c r="S10" s="212" t="str">
        <f>IF(売分析!AA10&lt;&gt;"",売分析!AA10,"")</f>
        <v>上昇▲</v>
      </c>
      <c r="T10" s="338">
        <f>IF(売分析!Z10&lt;&gt;"",売分析!Z10,"")</f>
        <v>16.71388101983003</v>
      </c>
      <c r="U10" s="212" t="str">
        <f>IF(売分析!V10&lt;&gt;"",売分析!V10,"")</f>
        <v>年初来安値圏●</v>
      </c>
      <c r="V10" s="336">
        <f>IF(売分析!W10&lt;&gt;"",売分析!W10,"")</f>
        <v>35.403726708074529</v>
      </c>
      <c r="W10" s="212" t="str">
        <f>IF(売分析!AD10&lt;&gt;"",売分析!AD10,"")</f>
        <v>上昇トレンド▲</v>
      </c>
      <c r="X10" s="212" t="str">
        <f>IF(売分析!AE10&lt;&gt;"",売分析!AE10,"")</f>
        <v>なし</v>
      </c>
      <c r="Y10" s="388">
        <f>IF(売分析!T10&lt;&gt;"",売分析!T10,"")</f>
        <v>10</v>
      </c>
      <c r="Z10" s="212" t="str">
        <f>IF(売分析!Y10&lt;&gt;"",売分析!Y10,"")</f>
        <v>相場上昇・見送り | 上昇トレンド▲ MACD- RSI:35.4 前日比:+16.7% [年初来安値圏] [10点]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35080</v>
      </c>
      <c r="F11" s="326">
        <f>IF(売分析!F11&lt;&gt;"",売分析!F11,"")</f>
        <v>33900</v>
      </c>
      <c r="G11" s="326">
        <f>IF(売分析!H11&lt;&gt;"",売分析!H11,"")</f>
        <v>35270</v>
      </c>
      <c r="H11" s="326">
        <f>IF(売分析!I11&lt;&gt;"",売分析!I11,"")</f>
        <v>33370</v>
      </c>
      <c r="I11" s="325">
        <f>IF(売分析!J11&lt;&gt;"",売分析!J11,"")</f>
        <v>1106200</v>
      </c>
      <c r="J11" s="326">
        <f>IF(売分析!AB11&lt;&gt;"",売分析!AB11,"")</f>
        <v>30457.574884792619</v>
      </c>
      <c r="K11" s="326">
        <f>IF(売分析!AC11&lt;&gt;"",売分析!AC11,"")</f>
        <v>32119.290822407616</v>
      </c>
      <c r="L11" s="326">
        <f>IF(売分析!K11&lt;&gt;"",売分析!K11,"")</f>
        <v>57700</v>
      </c>
      <c r="M11" s="325" t="str">
        <f>IF(売分析!P11&lt;&gt;"",売分析!P11,"")</f>
        <v>減少↓</v>
      </c>
      <c r="N11" s="328">
        <f>IF(売分析!O11&lt;&gt;"",売分析!O11,"")</f>
        <v>0.76425640104461734</v>
      </c>
      <c r="O11" s="330">
        <f>IF(売分析!X11&lt;&gt;"",売分析!X11,"")</f>
        <v>-980.84847495810027</v>
      </c>
      <c r="P11" s="327">
        <f>IF(売分析!L11&lt;&gt;"",売分析!L11,"")</f>
        <v>-39.202772963604851</v>
      </c>
      <c r="Q11" s="326">
        <f>IF(売分析!S11&lt;&gt;"",売分析!S11,"")</f>
        <v>36483</v>
      </c>
      <c r="R11" s="326">
        <f>IF(売分析!R11&lt;&gt;"",売分析!R11,"")</f>
        <v>32274</v>
      </c>
      <c r="S11" s="325" t="str">
        <f>IF(売分析!AA11&lt;&gt;"",売分析!AA11,"")</f>
        <v>上昇▲</v>
      </c>
      <c r="T11" s="331">
        <f>IF(売分析!Z11&lt;&gt;"",売分析!Z11,"")</f>
        <v>13.56426027840725</v>
      </c>
      <c r="U11" s="325" t="str">
        <f>IF(売分析!V11&lt;&gt;"",売分析!V11,"")</f>
        <v>年初来安値圏●</v>
      </c>
      <c r="V11" s="329">
        <f>IF(売分析!W11&lt;&gt;"",売分析!W11,"")</f>
        <v>40.846538782318596</v>
      </c>
      <c r="W11" s="325" t="str">
        <f>IF(売分析!AD11&lt;&gt;"",売分析!AD11,"")</f>
        <v>上昇トレンド▲</v>
      </c>
      <c r="X11" s="325" t="str">
        <f>IF(売分析!AE11&lt;&gt;"",売分析!AE11,"")</f>
        <v>なし</v>
      </c>
      <c r="Y11" s="387">
        <f>IF(売分析!T11&lt;&gt;"",売分析!T11,"")</f>
        <v>10</v>
      </c>
      <c r="Z11" s="325" t="str">
        <f>IF(売分析!Y11&lt;&gt;"",売分析!Y11,"")</f>
        <v>相場上昇・見送り | 上昇トレンド▲ MACD- RSI:40.8 前日比:+13.6% [年初来安値圏] [10点]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6584</v>
      </c>
      <c r="F12" s="333">
        <f>IF(売分析!F12&lt;&gt;"",売分析!F12,"")</f>
        <v>6352</v>
      </c>
      <c r="G12" s="333">
        <f>IF(売分析!H12&lt;&gt;"",売分析!H12,"")</f>
        <v>6599</v>
      </c>
      <c r="H12" s="333">
        <f>IF(売分析!I12&lt;&gt;"",売分析!I12,"")</f>
        <v>6344</v>
      </c>
      <c r="I12" s="212">
        <f>IF(売分析!J12&lt;&gt;"",売分析!J12,"")</f>
        <v>783300</v>
      </c>
      <c r="J12" s="333">
        <f>IF(売分析!AB12&lt;&gt;"",売分析!AB12,"")</f>
        <v>6464.6566820276494</v>
      </c>
      <c r="K12" s="333">
        <f>IF(売分析!AC12&lt;&gt;"",売分析!AC12,"")</f>
        <v>6908.3230035756824</v>
      </c>
      <c r="L12" s="333">
        <f>IF(売分析!K12&lt;&gt;"",売分析!K12,"")</f>
        <v>9500</v>
      </c>
      <c r="M12" s="212" t="str">
        <f>IF(売分析!P12&lt;&gt;"",売分析!P12,"")</f>
        <v>減少↓</v>
      </c>
      <c r="N12" s="335">
        <f>IF(売分析!O12&lt;&gt;"",売分析!O12,"")</f>
        <v>0.37322037774686007</v>
      </c>
      <c r="O12" s="337">
        <f>IF(売分析!X12&lt;&gt;"",売分析!X12,"")</f>
        <v>-277.75279116697675</v>
      </c>
      <c r="P12" s="334">
        <f>IF(売分析!L12&lt;&gt;"",売分析!L12,"")</f>
        <v>-30.694736842105264</v>
      </c>
      <c r="Q12" s="333">
        <f>IF(売分析!S12&lt;&gt;"",売分析!S12,"")</f>
        <v>6847</v>
      </c>
      <c r="R12" s="333">
        <f>IF(売分析!R12&lt;&gt;"",売分析!R12,"")</f>
        <v>6057</v>
      </c>
      <c r="S12" s="212" t="str">
        <f>IF(売分析!AA12&lt;&gt;"",売分析!AA12,"")</f>
        <v>上昇▲</v>
      </c>
      <c r="T12" s="338">
        <f>IF(売分析!Z12&lt;&gt;"",売分析!Z12,"")</f>
        <v>6.6925943931291529</v>
      </c>
      <c r="U12" s="212" t="str">
        <f>IF(売分析!V12&lt;&gt;"",売分析!V12,"")</f>
        <v>安値圏</v>
      </c>
      <c r="V12" s="336">
        <f>IF(売分析!W12&lt;&gt;"",売分析!W12,"")</f>
        <v>45.152182506070361</v>
      </c>
      <c r="W12" s="212" t="str">
        <f>IF(売分析!AD12&lt;&gt;"",売分析!AD12,"")</f>
        <v>もみ合い→</v>
      </c>
      <c r="X12" s="212" t="str">
        <f>IF(売分析!AE12&lt;&gt;"",売分析!AE12,"")</f>
        <v>なし</v>
      </c>
      <c r="Y12" s="388">
        <f>IF(売分析!T12&lt;&gt;"",売分析!T12,"")</f>
        <v>10</v>
      </c>
      <c r="Z12" s="212" t="str">
        <f>IF(売分析!Y12&lt;&gt;"",売分析!Y12,"")</f>
        <v>相場上昇・見送り | もみ合い→ MACD- RSI:45.2 前日比:+6.7% [安値圏] [10点]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3717</v>
      </c>
      <c r="F13" s="326">
        <f>IF(売分析!F13&lt;&gt;"",売分析!F13,"")</f>
        <v>3618</v>
      </c>
      <c r="G13" s="326">
        <f>IF(売分析!H13&lt;&gt;"",売分析!H13,"")</f>
        <v>3718</v>
      </c>
      <c r="H13" s="326">
        <f>IF(売分析!I13&lt;&gt;"",売分析!I13,"")</f>
        <v>3618</v>
      </c>
      <c r="I13" s="325">
        <f>IF(売分析!J13&lt;&gt;"",売分析!J13,"")</f>
        <v>176900</v>
      </c>
      <c r="J13" s="326">
        <f>IF(売分析!AB13&lt;&gt;"",売分析!AB13,"")</f>
        <v>3585.6117511520733</v>
      </c>
      <c r="K13" s="326">
        <f>IF(売分析!AC13&lt;&gt;"",売分析!AC13,"")</f>
        <v>3521.1096543504168</v>
      </c>
      <c r="L13" s="326">
        <f>IF(売分析!K13&lt;&gt;"",売分析!K13,"")</f>
        <v>3673</v>
      </c>
      <c r="M13" s="325" t="str">
        <f>IF(売分析!P13&lt;&gt;"",売分析!P13,"")</f>
        <v>減少↓</v>
      </c>
      <c r="N13" s="328">
        <f>IF(売分析!O13&lt;&gt;"",売分析!O13,"")</f>
        <v>0.60853113175094597</v>
      </c>
      <c r="O13" s="330">
        <f>IF(売分析!X13&lt;&gt;"",売分析!X13,"")</f>
        <v>24.004101672112029</v>
      </c>
      <c r="P13" s="327">
        <f>IF(売分析!L13&lt;&gt;"",売分析!L13,"")</f>
        <v>1.1979308467193031</v>
      </c>
      <c r="Q13" s="326">
        <f>IF(売分析!S13&lt;&gt;"",売分析!S13,"")</f>
        <v>3866</v>
      </c>
      <c r="R13" s="326">
        <f>IF(売分析!R13&lt;&gt;"",売分析!R13,"")</f>
        <v>3420</v>
      </c>
      <c r="S13" s="325" t="str">
        <f>IF(売分析!AA13&lt;&gt;"",売分析!AA13,"")</f>
        <v>上昇▲</v>
      </c>
      <c r="T13" s="331">
        <f>IF(売分析!Z13&lt;&gt;"",売分析!Z13,"")</f>
        <v>5.1485148514851486</v>
      </c>
      <c r="U13" s="325" t="str">
        <f>IF(売分析!V13&lt;&gt;"",売分析!V13,"")</f>
        <v>通常</v>
      </c>
      <c r="V13" s="329">
        <f>IF(売分析!W13&lt;&gt;"",売分析!W13,"")</f>
        <v>66.275167785234899</v>
      </c>
      <c r="W13" s="325" t="str">
        <f>IF(売分析!AD13&lt;&gt;"",売分析!AD13,"")</f>
        <v>パーフェクト▲</v>
      </c>
      <c r="X13" s="325" t="str">
        <f>IF(売分析!AE13&lt;&gt;"",売分析!AE13,"")</f>
        <v>なし</v>
      </c>
      <c r="Y13" s="387">
        <f>IF(売分析!T13&lt;&gt;"",売分析!T13,"")</f>
        <v>-2</v>
      </c>
      <c r="Z13" s="325" t="str">
        <f>IF(売分析!Y13&lt;&gt;"",売分析!Y13,"")</f>
        <v>相場上昇・見送り | パーフェクト▲ MACD+ RSI:66.3 前日比:+5.1%前日[長い下ヒゲ(反発)]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6150</v>
      </c>
      <c r="F14" s="333">
        <f>IF(売分析!F14&lt;&gt;"",売分析!F14,"")</f>
        <v>6004</v>
      </c>
      <c r="G14" s="333">
        <f>IF(売分析!H14&lt;&gt;"",売分析!H14,"")</f>
        <v>6213</v>
      </c>
      <c r="H14" s="333">
        <f>IF(売分析!I14&lt;&gt;"",売分析!I14,"")</f>
        <v>6004</v>
      </c>
      <c r="I14" s="212">
        <f>IF(売分析!J14&lt;&gt;"",売分析!J14,"")</f>
        <v>6211400</v>
      </c>
      <c r="J14" s="333">
        <f>IF(売分析!AB14&lt;&gt;"",売分析!AB14,"")</f>
        <v>5869.867511520737</v>
      </c>
      <c r="K14" s="333">
        <f>IF(売分析!AC14&lt;&gt;"",売分析!AC14,"")</f>
        <v>6493.6567342073877</v>
      </c>
      <c r="L14" s="333">
        <f>IF(売分析!K14&lt;&gt;"",売分析!K14,"")</f>
        <v>7930</v>
      </c>
      <c r="M14" s="212" t="str">
        <f>IF(売分析!P14&lt;&gt;"",売分析!P14,"")</f>
        <v>減少↓</v>
      </c>
      <c r="N14" s="335">
        <f>IF(売分析!O14&lt;&gt;"",売分析!O14,"")</f>
        <v>0.54578844700630902</v>
      </c>
      <c r="O14" s="337">
        <f>IF(売分析!X14&lt;&gt;"",売分析!X14,"")</f>
        <v>-200.63659503500367</v>
      </c>
      <c r="P14" s="334">
        <f>IF(売分析!L14&lt;&gt;"",売分析!L14,"")</f>
        <v>-22.446406052963429</v>
      </c>
      <c r="Q14" s="333">
        <f>IF(売分析!S14&lt;&gt;"",売分析!S14,"")</f>
        <v>6396</v>
      </c>
      <c r="R14" s="333">
        <f>IF(売分析!R14&lt;&gt;"",売分析!R14,"")</f>
        <v>5658</v>
      </c>
      <c r="S14" s="212" t="str">
        <f>IF(売分析!AA14&lt;&gt;"",売分析!AA14,"")</f>
        <v>上昇▲</v>
      </c>
      <c r="T14" s="338">
        <f>IF(売分析!Z14&lt;&gt;"",売分析!Z14,"")</f>
        <v>5.2181351582549187</v>
      </c>
      <c r="U14" s="212" t="str">
        <f>IF(売分析!V14&lt;&gt;"",売分析!V14,"")</f>
        <v>通常</v>
      </c>
      <c r="V14" s="336">
        <f>IF(売分析!W14&lt;&gt;"",売分析!W14,"")</f>
        <v>21.261053440984242</v>
      </c>
      <c r="W14" s="212" t="str">
        <f>IF(売分析!AD14&lt;&gt;"",売分析!AD14,"")</f>
        <v>もみ合い→</v>
      </c>
      <c r="X14" s="212" t="str">
        <f>IF(売分析!AE14&lt;&gt;"",売分析!AE14,"")</f>
        <v>なし</v>
      </c>
      <c r="Y14" s="388">
        <f>IF(売分析!T14&lt;&gt;"",売分析!T14,"")</f>
        <v>5</v>
      </c>
      <c r="Z14" s="212" t="str">
        <f>IF(売分析!Y14&lt;&gt;"",売分析!Y14,"")</f>
        <v>相場上昇・見送り | もみ合い→ MACD- RSI:21.3 [売られ過ぎ] 前日比:+5.2%前日[長い下ヒゲ(反発)] [5点]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115</v>
      </c>
      <c r="F15" s="326">
        <f>IF(売分析!F15&lt;&gt;"",売分析!F15,"")</f>
        <v>114</v>
      </c>
      <c r="G15" s="326">
        <f>IF(売分析!H15&lt;&gt;"",売分析!H15,"")</f>
        <v>116</v>
      </c>
      <c r="H15" s="326">
        <f>IF(売分析!I15&lt;&gt;"",売分析!I15,"")</f>
        <v>113</v>
      </c>
      <c r="I15" s="325">
        <f>IF(売分析!J15&lt;&gt;"",売分析!J15,"")</f>
        <v>1218700</v>
      </c>
      <c r="J15" s="326">
        <f>IF(売分析!AB15&lt;&gt;"",売分析!AB15,"")</f>
        <v>115.00921658986174</v>
      </c>
      <c r="K15" s="326">
        <f>IF(売分析!AC15&lt;&gt;"",売分析!AC15,"")</f>
        <v>107.71752085816445</v>
      </c>
      <c r="L15" s="326">
        <f>IF(売分析!K15&lt;&gt;"",売分析!K15,"")</f>
        <v>155</v>
      </c>
      <c r="M15" s="325" t="str">
        <f>IF(売分析!P15&lt;&gt;"",売分析!P15,"")</f>
        <v>減少↓</v>
      </c>
      <c r="N15" s="328">
        <f>IF(売分析!O15&lt;&gt;"",売分析!O15,"")</f>
        <v>0.80110170382835511</v>
      </c>
      <c r="O15" s="330">
        <f>IF(売分析!X15&lt;&gt;"",売分析!X15,"")</f>
        <v>-0.52050637042813719</v>
      </c>
      <c r="P15" s="327">
        <f>IF(売分析!L15&lt;&gt;"",売分析!L15,"")</f>
        <v>-25.806451612903224</v>
      </c>
      <c r="Q15" s="326">
        <f>IF(売分析!S15&lt;&gt;"",売分析!S15,"")</f>
        <v>120</v>
      </c>
      <c r="R15" s="326">
        <f>IF(売分析!R15&lt;&gt;"",売分析!R15,"")</f>
        <v>106</v>
      </c>
      <c r="S15" s="325" t="str">
        <f>IF(売分析!AA15&lt;&gt;"",売分析!AA15,"")</f>
        <v>下落▼</v>
      </c>
      <c r="T15" s="331">
        <f>IF(売分析!Z15&lt;&gt;"",売分析!Z15,"")</f>
        <v>-0.86206896551724133</v>
      </c>
      <c r="U15" s="325" t="str">
        <f>IF(売分析!V15&lt;&gt;"",売分析!V15,"")</f>
        <v>安値圏</v>
      </c>
      <c r="V15" s="329">
        <f>IF(売分析!W15&lt;&gt;"",売分析!W15,"")</f>
        <v>50</v>
      </c>
      <c r="W15" s="325" t="str">
        <f>IF(売分析!AD15&lt;&gt;"",売分析!AD15,"")</f>
        <v>上昇トレンド▲</v>
      </c>
      <c r="X15" s="325" t="str">
        <f>IF(売分析!AE15&lt;&gt;"",売分析!AE15,"")</f>
        <v>5日戻り売り○</v>
      </c>
      <c r="Y15" s="387">
        <f>IF(売分析!T15&lt;&gt;"",売分析!T15,"")</f>
        <v>6</v>
      </c>
      <c r="Z15" s="325" t="str">
        <f>IF(売分析!Y15&lt;&gt;"",売分析!Y15,"")</f>
        <v>相場上昇・見送り | 上昇トレンド▲ 5日戻り売り○ MACD- RSI:50.0 前日比:-0.9% [安値圏] [6点]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6472</v>
      </c>
      <c r="F16" s="333">
        <f>IF(売分析!F16&lt;&gt;"",売分析!F16,"")</f>
        <v>6487</v>
      </c>
      <c r="G16" s="333">
        <f>IF(売分析!H16&lt;&gt;"",売分析!H16,"")</f>
        <v>6495</v>
      </c>
      <c r="H16" s="333">
        <f>IF(売分析!I16&lt;&gt;"",売分析!I16,"")</f>
        <v>6327</v>
      </c>
      <c r="I16" s="212">
        <f>IF(売分析!J16&lt;&gt;"",売分析!J16,"")</f>
        <v>5721900</v>
      </c>
      <c r="J16" s="333">
        <f>IF(売分析!AB16&lt;&gt;"",売分析!AB16,"")</f>
        <v>6400.7983870967737</v>
      </c>
      <c r="K16" s="333">
        <f>IF(売分析!AC16&lt;&gt;"",売分析!AC16,"")</f>
        <v>6719.2610250297939</v>
      </c>
      <c r="L16" s="333">
        <f>IF(売分析!K16&lt;&gt;"",売分析!K16,"")</f>
        <v>8880</v>
      </c>
      <c r="M16" s="212" t="str">
        <f>IF(売分析!P16&lt;&gt;"",売分析!P16,"")</f>
        <v>減少↓</v>
      </c>
      <c r="N16" s="335">
        <f>IF(売分析!O16&lt;&gt;"",売分析!O16,"")</f>
        <v>0.47686791811263013</v>
      </c>
      <c r="O16" s="337">
        <f>IF(売分析!X16&lt;&gt;"",売分析!X16,"")</f>
        <v>-85.487380542030223</v>
      </c>
      <c r="P16" s="334">
        <f>IF(売分析!L16&lt;&gt;"",売分析!L16,"")</f>
        <v>-27.117117117117118</v>
      </c>
      <c r="Q16" s="333">
        <f>IF(売分析!S16&lt;&gt;"",売分析!S16,"")</f>
        <v>6731</v>
      </c>
      <c r="R16" s="333">
        <f>IF(売分析!R16&lt;&gt;"",売分析!R16,"")</f>
        <v>5954</v>
      </c>
      <c r="S16" s="212" t="str">
        <f>IF(売分析!AA16&lt;&gt;"",売分析!AA16,"")</f>
        <v>上昇▲</v>
      </c>
      <c r="T16" s="338">
        <f>IF(売分析!Z16&lt;&gt;"",売分析!Z16,"")</f>
        <v>5.8554138043833825</v>
      </c>
      <c r="U16" s="212" t="str">
        <f>IF(売分析!V16&lt;&gt;"",売分析!V16,"")</f>
        <v>安値圏</v>
      </c>
      <c r="V16" s="336">
        <f>IF(売分析!W16&lt;&gt;"",売分析!W16,"")</f>
        <v>38.385230090934137</v>
      </c>
      <c r="W16" s="212" t="str">
        <f>IF(売分析!AD16&lt;&gt;"",売分析!AD16,"")</f>
        <v>もみ合い→</v>
      </c>
      <c r="X16" s="212" t="str">
        <f>IF(売分析!AE16&lt;&gt;"",売分析!AE16,"")</f>
        <v>なし</v>
      </c>
      <c r="Y16" s="388">
        <f>IF(売分析!T16&lt;&gt;"",売分析!T16,"")</f>
        <v>5</v>
      </c>
      <c r="Z16" s="212" t="str">
        <f>IF(売分析!Y16&lt;&gt;"",売分析!Y16,"")</f>
        <v>相場上昇・見送り | もみ合い→ MACD- RSI:38.4 前日比:+5.9% [安値圏] [長い下ヒゲ(反発警戒)]前日[長い下ヒゲ(反発)] [5点]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2305</v>
      </c>
      <c r="F17" s="326">
        <f>IF(売分析!F17&lt;&gt;"",売分析!F17,"")</f>
        <v>2320</v>
      </c>
      <c r="G17" s="326">
        <f>IF(売分析!H17&lt;&gt;"",売分析!H17,"")</f>
        <v>2320</v>
      </c>
      <c r="H17" s="326">
        <f>IF(売分析!I17&lt;&gt;"",売分析!I17,"")</f>
        <v>2264.5</v>
      </c>
      <c r="I17" s="325">
        <f>IF(売分析!J17&lt;&gt;"",売分析!J17,"")</f>
        <v>723300</v>
      </c>
      <c r="J17" s="326">
        <f>IF(売分析!AB17&lt;&gt;"",売分析!AB17,"")</f>
        <v>2359.123847926267</v>
      </c>
      <c r="K17" s="326">
        <f>IF(売分析!AC17&lt;&gt;"",売分析!AC17,"")</f>
        <v>2282.6698450536342</v>
      </c>
      <c r="L17" s="326">
        <f>IF(売分析!K17&lt;&gt;"",売分析!K17,"")</f>
        <v>2674.5</v>
      </c>
      <c r="M17" s="325" t="str">
        <f>IF(売分析!P17&lt;&gt;"",売分析!P17,"")</f>
        <v>減少↓</v>
      </c>
      <c r="N17" s="328">
        <f>IF(売分析!O17&lt;&gt;"",売分析!O17,"")</f>
        <v>0.32071405767798233</v>
      </c>
      <c r="O17" s="330">
        <f>IF(売分析!X17&lt;&gt;"",売分析!X17,"")</f>
        <v>-22.301266921138904</v>
      </c>
      <c r="P17" s="327">
        <f>IF(売分析!L17&lt;&gt;"",売分析!L17,"")</f>
        <v>-13.815666479715835</v>
      </c>
      <c r="Q17" s="326">
        <f>IF(売分析!S17&lt;&gt;"",売分析!S17,"")</f>
        <v>2397</v>
      </c>
      <c r="R17" s="326">
        <f>IF(売分析!R17&lt;&gt;"",売分析!R17,"")</f>
        <v>2121</v>
      </c>
      <c r="S17" s="325" t="str">
        <f>IF(売分析!AA17&lt;&gt;"",売分析!AA17,"")</f>
        <v>下落▼</v>
      </c>
      <c r="T17" s="331">
        <f>IF(売分析!Z17&lt;&gt;"",売分析!Z17,"")</f>
        <v>-1.3903743315508021</v>
      </c>
      <c r="U17" s="325" t="str">
        <f>IF(売分析!V17&lt;&gt;"",売分析!V17,"")</f>
        <v>通常</v>
      </c>
      <c r="V17" s="329">
        <f>IF(売分析!W17&lt;&gt;"",売分析!W17,"")</f>
        <v>49.399428026692085</v>
      </c>
      <c r="W17" s="325" t="str">
        <f>IF(売分析!AD17&lt;&gt;"",売分析!AD17,"")</f>
        <v>上昇トレンド▲</v>
      </c>
      <c r="X17" s="325" t="str">
        <f>IF(売分析!AE17&lt;&gt;"",売分析!AE17,"")</f>
        <v>なし</v>
      </c>
      <c r="Y17" s="387">
        <f>IF(売分析!T17&lt;&gt;"",売分析!T17,"")</f>
        <v>2</v>
      </c>
      <c r="Z17" s="325" t="str">
        <f>IF(売分析!Y17&lt;&gt;"",売分析!Y17,"")</f>
        <v>相場上昇・見送り | 上昇トレンド▲ MACD- RSI:49.4 前日比:-1.4% [長い下ヒゲ(反発警戒)] [2点]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18900</v>
      </c>
      <c r="F18" s="333">
        <f>IF(売分析!F18&lt;&gt;"",売分析!F18,"")</f>
        <v>18100</v>
      </c>
      <c r="G18" s="333">
        <f>IF(売分析!H18&lt;&gt;"",売分析!H18,"")</f>
        <v>18945</v>
      </c>
      <c r="H18" s="333">
        <f>IF(売分析!I18&lt;&gt;"",売分析!I18,"")</f>
        <v>17625</v>
      </c>
      <c r="I18" s="212">
        <f>IF(売分析!J18&lt;&gt;"",売分析!J18,"")</f>
        <v>761100</v>
      </c>
      <c r="J18" s="333">
        <f>IF(売分析!AB18&lt;&gt;"",売分析!AB18,"")</f>
        <v>17146.365207373274</v>
      </c>
      <c r="K18" s="333">
        <f>IF(売分析!AC18&lt;&gt;"",売分析!AC18,"")</f>
        <v>17559.255065554229</v>
      </c>
      <c r="L18" s="333">
        <f>IF(売分析!K18&lt;&gt;"",売分析!K18,"")</f>
        <v>21310</v>
      </c>
      <c r="M18" s="212" t="str">
        <f>IF(売分析!P18&lt;&gt;"",売分析!P18,"")</f>
        <v>普通→</v>
      </c>
      <c r="N18" s="335">
        <f>IF(売分析!O18&lt;&gt;"",売分析!O18,"")</f>
        <v>1.1956077790694022</v>
      </c>
      <c r="O18" s="337">
        <f>IF(売分析!X18&lt;&gt;"",売分析!X18,"")</f>
        <v>-272.8845840016802</v>
      </c>
      <c r="P18" s="334">
        <f>IF(売分析!L18&lt;&gt;"",売分析!L18,"")</f>
        <v>-11.309244486156734</v>
      </c>
      <c r="Q18" s="333">
        <f>IF(売分析!S18&lt;&gt;"",売分析!S18,"")</f>
        <v>19656</v>
      </c>
      <c r="R18" s="333">
        <f>IF(売分析!R18&lt;&gt;"",売分析!R18,"")</f>
        <v>17388</v>
      </c>
      <c r="S18" s="212" t="str">
        <f>IF(売分析!AA18&lt;&gt;"",売分析!AA18,"")</f>
        <v>上昇▲</v>
      </c>
      <c r="T18" s="338">
        <f>IF(売分析!Z18&lt;&gt;"",売分析!Z18,"")</f>
        <v>9.660574412532636</v>
      </c>
      <c r="U18" s="212" t="str">
        <f>IF(売分析!V18&lt;&gt;"",売分析!V18,"")</f>
        <v>通常</v>
      </c>
      <c r="V18" s="336">
        <f>IF(売分析!W18&lt;&gt;"",売分析!W18,"")</f>
        <v>43.28802039082413</v>
      </c>
      <c r="W18" s="212" t="str">
        <f>IF(売分析!AD18&lt;&gt;"",売分析!AD18,"")</f>
        <v>上昇トレンド▲</v>
      </c>
      <c r="X18" s="212" t="str">
        <f>IF(売分析!AE18&lt;&gt;"",売分析!AE18,"")</f>
        <v>なし</v>
      </c>
      <c r="Y18" s="388">
        <f>IF(売分析!T18&lt;&gt;"",売分析!T18,"")</f>
        <v>5</v>
      </c>
      <c r="Z18" s="212" t="str">
        <f>IF(売分析!Y18&lt;&gt;"",売分析!Y18,"")</f>
        <v>相場上昇・見送り | 上昇トレンド▲ MACD- RSI:43.3 前日比:+9.7% [5点]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1328</v>
      </c>
      <c r="F19" s="326">
        <f>IF(売分析!F19&lt;&gt;"",売分析!F19,"")</f>
        <v>1304</v>
      </c>
      <c r="G19" s="326">
        <f>IF(売分析!H19&lt;&gt;"",売分析!H19,"")</f>
        <v>1340</v>
      </c>
      <c r="H19" s="326">
        <f>IF(売分析!I19&lt;&gt;"",売分析!I19,"")</f>
        <v>1304</v>
      </c>
      <c r="I19" s="325">
        <f>IF(売分析!J19&lt;&gt;"",売分析!J19,"")</f>
        <v>53100</v>
      </c>
      <c r="J19" s="326">
        <f>IF(売分析!AB19&lt;&gt;"",売分析!AB19,"")</f>
        <v>1280.9089861751152</v>
      </c>
      <c r="K19" s="326">
        <f>IF(売分析!AC19&lt;&gt;"",売分析!AC19,"")</f>
        <v>1258.4719904648387</v>
      </c>
      <c r="L19" s="326">
        <f>IF(売分析!K19&lt;&gt;"",売分析!K19,"")</f>
        <v>1332</v>
      </c>
      <c r="M19" s="325" t="str">
        <f>IF(売分析!P19&lt;&gt;"",売分析!P19,"")</f>
        <v>減少↓</v>
      </c>
      <c r="N19" s="328">
        <f>IF(売分析!O19&lt;&gt;"",売分析!O19,"")</f>
        <v>0.36645962732919257</v>
      </c>
      <c r="O19" s="330">
        <f>IF(売分析!X19&lt;&gt;"",売分析!X19,"")</f>
        <v>3.5119865944384401</v>
      </c>
      <c r="P19" s="327">
        <f>IF(売分析!L19&lt;&gt;"",売分析!L19,"")</f>
        <v>-0.3003003003003003</v>
      </c>
      <c r="Q19" s="326">
        <f>IF(売分析!S19&lt;&gt;"",売分析!S19,"")</f>
        <v>1381</v>
      </c>
      <c r="R19" s="326">
        <f>IF(売分析!R19&lt;&gt;"",売分析!R19,"")</f>
        <v>1222</v>
      </c>
      <c r="S19" s="325" t="str">
        <f>IF(売分析!AA19&lt;&gt;"",売分析!AA19,"")</f>
        <v>上昇▲</v>
      </c>
      <c r="T19" s="331">
        <f>IF(売分析!Z19&lt;&gt;"",売分析!Z19,"")</f>
        <v>0.22641509433962265</v>
      </c>
      <c r="U19" s="325" t="str">
        <f>IF(売分析!V19&lt;&gt;"",売分析!V19,"")</f>
        <v>通常</v>
      </c>
      <c r="V19" s="329">
        <f>IF(売分析!W19&lt;&gt;"",売分析!W19,"")</f>
        <v>59.915611814345993</v>
      </c>
      <c r="W19" s="325" t="str">
        <f>IF(売分析!AD19&lt;&gt;"",売分析!AD19,"")</f>
        <v>パーフェクト▲</v>
      </c>
      <c r="X19" s="325" t="str">
        <f>IF(売分析!AE19&lt;&gt;"",売分析!AE19,"")</f>
        <v>なし</v>
      </c>
      <c r="Y19" s="387">
        <f>IF(売分析!T19&lt;&gt;"",売分析!T19,"")</f>
        <v>-1</v>
      </c>
      <c r="Z19" s="325" t="str">
        <f>IF(売分析!Y19&lt;&gt;"",売分析!Y19,"")</f>
        <v>相場上昇・見送り | パーフェクト▲ MACD+ RSI:59.9 前日比:+0.2% [-1点]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5374</v>
      </c>
      <c r="F20" s="333">
        <f>IF(売分析!F20&lt;&gt;"",売分析!F20,"")</f>
        <v>5231</v>
      </c>
      <c r="G20" s="333">
        <f>IF(売分析!H20&lt;&gt;"",売分析!H20,"")</f>
        <v>5405</v>
      </c>
      <c r="H20" s="333">
        <f>IF(売分析!I20&lt;&gt;"",売分析!I20,"")</f>
        <v>5211</v>
      </c>
      <c r="I20" s="212">
        <f>IF(売分析!J20&lt;&gt;"",売分析!J20,"")</f>
        <v>5132000</v>
      </c>
      <c r="J20" s="333">
        <f>IF(売分析!AB20&lt;&gt;"",売分析!AB20,"")</f>
        <v>4931.5034562211977</v>
      </c>
      <c r="K20" s="333">
        <f>IF(売分析!AC20&lt;&gt;"",売分析!AC20,"")</f>
        <v>5405.3051251489851</v>
      </c>
      <c r="L20" s="333">
        <f>IF(売分析!K20&lt;&gt;"",売分析!K20,"")</f>
        <v>7915</v>
      </c>
      <c r="M20" s="212" t="str">
        <f>IF(売分析!P20&lt;&gt;"",売分析!P20,"")</f>
        <v>減少↓</v>
      </c>
      <c r="N20" s="335">
        <f>IF(売分析!O20&lt;&gt;"",売分析!O20,"")</f>
        <v>0.72904562075421842</v>
      </c>
      <c r="O20" s="337">
        <f>IF(売分析!X20&lt;&gt;"",売分析!X20,"")</f>
        <v>-239.39750397032276</v>
      </c>
      <c r="P20" s="334">
        <f>IF(売分析!L20&lt;&gt;"",売分析!L20,"")</f>
        <v>-32.103600758054327</v>
      </c>
      <c r="Q20" s="333">
        <f>IF(売分析!S20&lt;&gt;"",売分析!S20,"")</f>
        <v>5589</v>
      </c>
      <c r="R20" s="333">
        <f>IF(売分析!R20&lt;&gt;"",売分析!R20,"")</f>
        <v>4944</v>
      </c>
      <c r="S20" s="212" t="str">
        <f>IF(売分析!AA20&lt;&gt;"",売分析!AA20,"")</f>
        <v>上昇▲</v>
      </c>
      <c r="T20" s="338">
        <f>IF(売分析!Z20&lt;&gt;"",売分析!Z20,"")</f>
        <v>8.8956433637284693</v>
      </c>
      <c r="U20" s="212" t="str">
        <f>IF(売分析!V20&lt;&gt;"",売分析!V20,"")</f>
        <v>安値圏</v>
      </c>
      <c r="V20" s="336">
        <f>IF(売分析!W20&lt;&gt;"",売分析!W20,"")</f>
        <v>30.396975425330808</v>
      </c>
      <c r="W20" s="212" t="str">
        <f>IF(売分析!AD20&lt;&gt;"",売分析!AD20,"")</f>
        <v>もみ合い→</v>
      </c>
      <c r="X20" s="212" t="str">
        <f>IF(売分析!AE20&lt;&gt;"",売分析!AE20,"")</f>
        <v>25日戻り売り★</v>
      </c>
      <c r="Y20" s="388">
        <f>IF(売分析!T20&lt;&gt;"",売分析!T20,"")</f>
        <v>12</v>
      </c>
      <c r="Z20" s="212" t="str">
        <f>IF(売分析!Y20&lt;&gt;"",売分析!Y20,"")</f>
        <v>○逆張り売り | もみ合い→ 25日戻り売り★ MACD- RSI:30.4 前日比:+8.9% [安値圏] [12点]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1354</v>
      </c>
      <c r="F21" s="326">
        <f>IF(売分析!F21&lt;&gt;"",売分析!F21,"")</f>
        <v>1325</v>
      </c>
      <c r="G21" s="326">
        <f>IF(売分析!H21&lt;&gt;"",売分析!H21,"")</f>
        <v>1373</v>
      </c>
      <c r="H21" s="326">
        <f>IF(売分析!I21&lt;&gt;"",売分析!I21,"")</f>
        <v>1317</v>
      </c>
      <c r="I21" s="325">
        <f>IF(売分析!J21&lt;&gt;"",売分析!J21,"")</f>
        <v>346900</v>
      </c>
      <c r="J21" s="326">
        <f>IF(売分析!AB21&lt;&gt;"",売分析!AB21,"")</f>
        <v>1368.9285714285713</v>
      </c>
      <c r="K21" s="326">
        <f>IF(売分析!AC21&lt;&gt;"",売分析!AC21,"")</f>
        <v>1416.7306317044099</v>
      </c>
      <c r="L21" s="326">
        <f>IF(売分析!K21&lt;&gt;"",売分析!K21,"")</f>
        <v>1612</v>
      </c>
      <c r="M21" s="325" t="str">
        <f>IF(売分析!P21&lt;&gt;"",売分析!P21,"")</f>
        <v>減少↓</v>
      </c>
      <c r="N21" s="328">
        <f>IF(売分析!O21&lt;&gt;"",売分析!O21,"")</f>
        <v>0.26001768929797475</v>
      </c>
      <c r="O21" s="330">
        <f>IF(売分析!X21&lt;&gt;"",売分析!X21,"")</f>
        <v>12.420470149937273</v>
      </c>
      <c r="P21" s="327">
        <f>IF(売分析!L21&lt;&gt;"",売分析!L21,"")</f>
        <v>-16.00496277915633</v>
      </c>
      <c r="Q21" s="326">
        <f>IF(売分析!S21&lt;&gt;"",売分析!S21,"")</f>
        <v>1408</v>
      </c>
      <c r="R21" s="326">
        <f>IF(売分析!R21&lt;&gt;"",売分析!R21,"")</f>
        <v>1246</v>
      </c>
      <c r="S21" s="325" t="str">
        <f>IF(売分析!AA21&lt;&gt;"",売分析!AA21,"")</f>
        <v>上昇▲</v>
      </c>
      <c r="T21" s="331">
        <f>IF(売分析!Z21&lt;&gt;"",売分析!Z21,"")</f>
        <v>0.66914498141263945</v>
      </c>
      <c r="U21" s="325" t="str">
        <f>IF(売分析!V21&lt;&gt;"",売分析!V21,"")</f>
        <v>通常</v>
      </c>
      <c r="V21" s="329">
        <f>IF(売分析!W21&lt;&gt;"",売分析!W21,"")</f>
        <v>50.300601202404813</v>
      </c>
      <c r="W21" s="325" t="str">
        <f>IF(売分析!AD21&lt;&gt;"",売分析!AD21,"")</f>
        <v>下降トレンド▼</v>
      </c>
      <c r="X21" s="325" t="str">
        <f>IF(売分析!AE21&lt;&gt;"",売分析!AE21,"")</f>
        <v>なし</v>
      </c>
      <c r="Y21" s="387">
        <f>IF(売分析!T21&lt;&gt;"",売分析!T21,"")</f>
        <v>1</v>
      </c>
      <c r="Z21" s="325" t="str">
        <f>IF(売分析!Y21&lt;&gt;"",売分析!Y21,"")</f>
        <v>相場上昇・見送り | 下降トレンド▼ MACD+ RSI:50.3 前日比:+0.7%前日[長い下ヒゲ(反発)] [1点]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2297</v>
      </c>
      <c r="F22" s="333">
        <f>IF(売分析!F22&lt;&gt;"",売分析!F22,"")</f>
        <v>2260</v>
      </c>
      <c r="G22" s="333">
        <f>IF(売分析!H22&lt;&gt;"",売分析!H22,"")</f>
        <v>2308</v>
      </c>
      <c r="H22" s="333">
        <f>IF(売分析!I22&lt;&gt;"",売分析!I22,"")</f>
        <v>2235</v>
      </c>
      <c r="I22" s="212">
        <f>IF(売分析!J22&lt;&gt;"",売分析!J22,"")</f>
        <v>1701000</v>
      </c>
      <c r="J22" s="333">
        <f>IF(売分析!AB22&lt;&gt;"",売分析!AB22,"")</f>
        <v>2147.9055299539168</v>
      </c>
      <c r="K22" s="333">
        <f>IF(売分析!AC22&lt;&gt;"",売分析!AC22,"")</f>
        <v>2281.7103694874845</v>
      </c>
      <c r="L22" s="333">
        <f>IF(売分析!K22&lt;&gt;"",売分析!K22,"")</f>
        <v>4720</v>
      </c>
      <c r="M22" s="212" t="str">
        <f>IF(売分析!P22&lt;&gt;"",売分析!P22,"")</f>
        <v>減少↓</v>
      </c>
      <c r="N22" s="335">
        <f>IF(売分析!O22&lt;&gt;"",売分析!O22,"")</f>
        <v>0.7467863163810059</v>
      </c>
      <c r="O22" s="337">
        <f>IF(売分析!X22&lt;&gt;"",売分析!X22,"")</f>
        <v>-62.381853533885533</v>
      </c>
      <c r="P22" s="334">
        <f>IF(売分析!L22&lt;&gt;"",売分析!L22,"")</f>
        <v>-51.334745762711862</v>
      </c>
      <c r="Q22" s="333">
        <f>IF(売分析!S22&lt;&gt;"",売分析!S22,"")</f>
        <v>2389</v>
      </c>
      <c r="R22" s="333">
        <f>IF(売分析!R22&lt;&gt;"",売分析!R22,"")</f>
        <v>2113</v>
      </c>
      <c r="S22" s="212" t="str">
        <f>IF(売分析!AA22&lt;&gt;"",売分析!AA22,"")</f>
        <v>上昇▲</v>
      </c>
      <c r="T22" s="338">
        <f>IF(売分析!Z22&lt;&gt;"",売分析!Z22,"")</f>
        <v>6.5398886827458256</v>
      </c>
      <c r="U22" s="212" t="str">
        <f>IF(売分析!V22&lt;&gt;"",売分析!V22,"")</f>
        <v>年初来安値圏●</v>
      </c>
      <c r="V22" s="336">
        <f>IF(売分析!W22&lt;&gt;"",売分析!W22,"")</f>
        <v>23.001631321370311</v>
      </c>
      <c r="W22" s="212" t="str">
        <f>IF(売分析!AD22&lt;&gt;"",売分析!AD22,"")</f>
        <v>上昇トレンド▲</v>
      </c>
      <c r="X22" s="212" t="str">
        <f>IF(売分析!AE22&lt;&gt;"",売分析!AE22,"")</f>
        <v>なし</v>
      </c>
      <c r="Y22" s="388">
        <f>IF(売分析!T22&lt;&gt;"",売分析!T22,"")</f>
        <v>10</v>
      </c>
      <c r="Z22" s="212" t="str">
        <f>IF(売分析!Y22&lt;&gt;"",売分析!Y22,"")</f>
        <v>相場上昇・見送り | 上昇トレンド▲ MACD- RSI:23.0 [売られ過ぎ] 前日比:+6.5% [年初来安値圏] [10点]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5284</v>
      </c>
      <c r="F23" s="326">
        <f>IF(売分析!F23&lt;&gt;"",売分析!F23,"")</f>
        <v>5198</v>
      </c>
      <c r="G23" s="326">
        <f>IF(売分析!H23&lt;&gt;"",売分析!H23,"")</f>
        <v>5295</v>
      </c>
      <c r="H23" s="326">
        <f>IF(売分析!I23&lt;&gt;"",売分析!I23,"")</f>
        <v>5127</v>
      </c>
      <c r="I23" s="325">
        <f>IF(売分析!J23&lt;&gt;"",売分析!J23,"")</f>
        <v>3920800</v>
      </c>
      <c r="J23" s="326">
        <f>IF(売分析!AB23&lt;&gt;"",売分析!AB23,"")</f>
        <v>4919.4055299539159</v>
      </c>
      <c r="K23" s="326">
        <f>IF(売分析!AC23&lt;&gt;"",売分析!AC23,"")</f>
        <v>5218.0858164481524</v>
      </c>
      <c r="L23" s="326">
        <f>IF(売分析!K23&lt;&gt;"",売分析!K23,"")</f>
        <v>6340</v>
      </c>
      <c r="M23" s="325" t="str">
        <f>IF(売分析!P23&lt;&gt;"",売分析!P23,"")</f>
        <v>減少↓</v>
      </c>
      <c r="N23" s="328">
        <f>IF(売分析!O23&lt;&gt;"",売分析!O23,"")</f>
        <v>0.8888324665962396</v>
      </c>
      <c r="O23" s="330">
        <f>IF(売分析!X23&lt;&gt;"",売分析!X23,"")</f>
        <v>-130.59260902964979</v>
      </c>
      <c r="P23" s="327">
        <f>IF(売分析!L23&lt;&gt;"",売分析!L23,"")</f>
        <v>-16.656151419558359</v>
      </c>
      <c r="Q23" s="326">
        <f>IF(売分析!S23&lt;&gt;"",売分析!S23,"")</f>
        <v>5495</v>
      </c>
      <c r="R23" s="326">
        <f>IF(売分析!R23&lt;&gt;"",売分析!R23,"")</f>
        <v>4861</v>
      </c>
      <c r="S23" s="325" t="str">
        <f>IF(売分析!AA23&lt;&gt;"",売分析!AA23,"")</f>
        <v>上昇▲</v>
      </c>
      <c r="T23" s="331">
        <f>IF(売分析!Z23&lt;&gt;"",売分析!Z23,"")</f>
        <v>7.9248366013071889</v>
      </c>
      <c r="U23" s="325" t="str">
        <f>IF(売分析!V23&lt;&gt;"",売分析!V23,"")</f>
        <v>通常</v>
      </c>
      <c r="V23" s="329">
        <f>IF(売分析!W23&lt;&gt;"",売分析!W23,"")</f>
        <v>19.299743808710502</v>
      </c>
      <c r="W23" s="325" t="str">
        <f>IF(売分析!AD23&lt;&gt;"",売分析!AD23,"")</f>
        <v>上昇トレンド▲</v>
      </c>
      <c r="X23" s="325" t="str">
        <f>IF(売分析!AE23&lt;&gt;"",売分析!AE23,"")</f>
        <v>なし</v>
      </c>
      <c r="Y23" s="387">
        <f>IF(売分析!T23&lt;&gt;"",売分析!T23,"")</f>
        <v>4</v>
      </c>
      <c r="Z23" s="325" t="str">
        <f>IF(売分析!Y23&lt;&gt;"",売分析!Y23,"")</f>
        <v>相場上昇・見送り | 上昇トレンド▲ MACD- RSI:19.3 [売られ過ぎ] 前日比:+7.9%前日[長い下ヒゲ(反発)] [4点]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4100</v>
      </c>
      <c r="F24" s="333">
        <f>IF(売分析!F24&lt;&gt;"",売分析!F24,"")</f>
        <v>3927</v>
      </c>
      <c r="G24" s="333">
        <f>IF(売分析!H24&lt;&gt;"",売分析!H24,"")</f>
        <v>4126</v>
      </c>
      <c r="H24" s="333">
        <f>IF(売分析!I24&lt;&gt;"",売分析!I24,"")</f>
        <v>3913</v>
      </c>
      <c r="I24" s="212">
        <f>IF(売分析!J24&lt;&gt;"",売分析!J24,"")</f>
        <v>2553100</v>
      </c>
      <c r="J24" s="333">
        <f>IF(売分析!AB24&lt;&gt;"",売分析!AB24,"")</f>
        <v>3740.1324884792621</v>
      </c>
      <c r="K24" s="333">
        <f>IF(売分析!AC24&lt;&gt;"",売分析!AC24,"")</f>
        <v>3948.9630512514877</v>
      </c>
      <c r="L24" s="333">
        <f>IF(売分析!K24&lt;&gt;"",売分析!K24,"")</f>
        <v>5307</v>
      </c>
      <c r="M24" s="212" t="str">
        <f>IF(売分析!P24&lt;&gt;"",売分析!P24,"")</f>
        <v>減少↓</v>
      </c>
      <c r="N24" s="335">
        <f>IF(売分析!O24&lt;&gt;"",売分析!O24,"")</f>
        <v>0.77671232043224037</v>
      </c>
      <c r="O24" s="337">
        <f>IF(売分析!X24&lt;&gt;"",売分析!X24,"")</f>
        <v>-101.80795776133436</v>
      </c>
      <c r="P24" s="334">
        <f>IF(売分析!L24&lt;&gt;"",売分析!L24,"")</f>
        <v>-22.743546259657059</v>
      </c>
      <c r="Q24" s="333">
        <f>IF(売分析!S24&lt;&gt;"",売分析!S24,"")</f>
        <v>4264</v>
      </c>
      <c r="R24" s="333">
        <f>IF(売分析!R24&lt;&gt;"",売分析!R24,"")</f>
        <v>3772</v>
      </c>
      <c r="S24" s="212" t="str">
        <f>IF(売分析!AA24&lt;&gt;"",売分析!AA24,"")</f>
        <v>上昇▲</v>
      </c>
      <c r="T24" s="338">
        <f>IF(売分析!Z24&lt;&gt;"",売分析!Z24,"")</f>
        <v>8.897742363877823</v>
      </c>
      <c r="U24" s="212" t="str">
        <f>IF(売分析!V24&lt;&gt;"",売分析!V24,"")</f>
        <v>安値圏</v>
      </c>
      <c r="V24" s="336">
        <f>IF(売分析!W24&lt;&gt;"",売分析!W24,"")</f>
        <v>34.776006074411541</v>
      </c>
      <c r="W24" s="212" t="str">
        <f>IF(売分析!AD24&lt;&gt;"",売分析!AD24,"")</f>
        <v>上昇トレンド▲</v>
      </c>
      <c r="X24" s="212" t="str">
        <f>IF(売分析!AE24&lt;&gt;"",売分析!AE24,"")</f>
        <v>なし</v>
      </c>
      <c r="Y24" s="388">
        <f>IF(売分析!T24&lt;&gt;"",売分析!T24,"")</f>
        <v>6</v>
      </c>
      <c r="Z24" s="212" t="str">
        <f>IF(売分析!Y24&lt;&gt;"",売分析!Y24,"")</f>
        <v>相場上昇・見送り | 上昇トレンド▲ MACD- RSI:34.8 前日比:+8.9% [安値圏]前日[長い下ヒゲ(反発)] [6点]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8426</v>
      </c>
      <c r="F25" s="326">
        <f>IF(売分析!F25&lt;&gt;"",売分析!F25,"")</f>
        <v>8131</v>
      </c>
      <c r="G25" s="326">
        <f>IF(売分析!H25&lt;&gt;"",売分析!H25,"")</f>
        <v>8470</v>
      </c>
      <c r="H25" s="326">
        <f>IF(売分析!I25&lt;&gt;"",売分析!I25,"")</f>
        <v>7933</v>
      </c>
      <c r="I25" s="325">
        <f>IF(売分析!J25&lt;&gt;"",売分析!J25,"")</f>
        <v>1317600</v>
      </c>
      <c r="J25" s="326">
        <f>IF(売分析!AB25&lt;&gt;"",売分析!AB25,"")</f>
        <v>7516.0069124423944</v>
      </c>
      <c r="K25" s="326">
        <f>IF(売分析!AC25&lt;&gt;"",売分析!AC25,"")</f>
        <v>7516.5852205005922</v>
      </c>
      <c r="L25" s="326">
        <f>IF(売分析!K25&lt;&gt;"",売分析!K25,"")</f>
        <v>8943</v>
      </c>
      <c r="M25" s="325" t="str">
        <f>IF(売分析!P25&lt;&gt;"",売分析!P25,"")</f>
        <v>減少↓</v>
      </c>
      <c r="N25" s="328">
        <f>IF(売分析!O25&lt;&gt;"",売分析!O25,"")</f>
        <v>0.76030005770340447</v>
      </c>
      <c r="O25" s="330">
        <f>IF(売分析!X25&lt;&gt;"",売分析!X25,"")</f>
        <v>-108.80626614498578</v>
      </c>
      <c r="P25" s="327">
        <f>IF(売分析!L25&lt;&gt;"",売分析!L25,"")</f>
        <v>-5.7810578105781056</v>
      </c>
      <c r="Q25" s="326">
        <f>IF(売分析!S25&lt;&gt;"",売分析!S25,"")</f>
        <v>8763</v>
      </c>
      <c r="R25" s="326">
        <f>IF(売分析!R25&lt;&gt;"",売分析!R25,"")</f>
        <v>7752</v>
      </c>
      <c r="S25" s="325" t="str">
        <f>IF(売分析!AA25&lt;&gt;"",売分析!AA25,"")</f>
        <v>上昇▲</v>
      </c>
      <c r="T25" s="331">
        <f>IF(売分析!Z25&lt;&gt;"",売分析!Z25,"")</f>
        <v>13.176628609805238</v>
      </c>
      <c r="U25" s="325" t="str">
        <f>IF(売分析!V25&lt;&gt;"",売分析!V25,"")</f>
        <v>通常</v>
      </c>
      <c r="V25" s="329">
        <f>IF(売分析!W25&lt;&gt;"",売分析!W25,"")</f>
        <v>44.970565651394935</v>
      </c>
      <c r="W25" s="325" t="str">
        <f>IF(売分析!AD25&lt;&gt;"",売分析!AD25,"")</f>
        <v>上昇トレンド▲</v>
      </c>
      <c r="X25" s="325" t="str">
        <f>IF(売分析!AE25&lt;&gt;"",売分析!AE25,"")</f>
        <v>なし</v>
      </c>
      <c r="Y25" s="387">
        <f>IF(売分析!T25&lt;&gt;"",売分析!T25,"")</f>
        <v>1</v>
      </c>
      <c r="Z25" s="325" t="str">
        <f>IF(売分析!Y25&lt;&gt;"",売分析!Y25,"")</f>
        <v>相場上昇・見送り | 上昇トレンド▲ MACD- RSI:45.0 前日比:+13.2% [1点]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2568</v>
      </c>
      <c r="F26" s="333">
        <f>IF(売分析!F26&lt;&gt;"",売分析!F26,"")</f>
        <v>2497</v>
      </c>
      <c r="G26" s="333">
        <f>IF(売分析!H26&lt;&gt;"",売分析!H26,"")</f>
        <v>2568</v>
      </c>
      <c r="H26" s="333">
        <f>IF(売分析!I26&lt;&gt;"",売分析!I26,"")</f>
        <v>2482</v>
      </c>
      <c r="I26" s="212">
        <f>IF(売分析!J26&lt;&gt;"",売分析!J26,"")</f>
        <v>789600</v>
      </c>
      <c r="J26" s="333">
        <f>IF(売分析!AB26&lt;&gt;"",売分析!AB26,"")</f>
        <v>2496.7828341013824</v>
      </c>
      <c r="K26" s="333">
        <f>IF(売分析!AC26&lt;&gt;"",売分析!AC26,"")</f>
        <v>2553.29201430274</v>
      </c>
      <c r="L26" s="333">
        <f>IF(売分析!K26&lt;&gt;"",売分析!K26,"")</f>
        <v>2699.5</v>
      </c>
      <c r="M26" s="212" t="str">
        <f>IF(売分析!P26&lt;&gt;"",売分析!P26,"")</f>
        <v>減少↓</v>
      </c>
      <c r="N26" s="335">
        <f>IF(売分析!O26&lt;&gt;"",売分析!O26,"")</f>
        <v>0.43857407880558547</v>
      </c>
      <c r="O26" s="337">
        <f>IF(売分析!X26&lt;&gt;"",売分析!X26,"")</f>
        <v>-2.8634626789626054</v>
      </c>
      <c r="P26" s="334">
        <f>IF(売分析!L26&lt;&gt;"",売分析!L26,"")</f>
        <v>-4.8712724578625677</v>
      </c>
      <c r="Q26" s="333">
        <f>IF(売分析!S26&lt;&gt;"",売分析!S26,"")</f>
        <v>2671</v>
      </c>
      <c r="R26" s="333">
        <f>IF(売分析!R26&lt;&gt;"",売分析!R26,"")</f>
        <v>2363</v>
      </c>
      <c r="S26" s="212" t="str">
        <f>IF(売分析!AA26&lt;&gt;"",売分析!AA26,"")</f>
        <v>上昇▲</v>
      </c>
      <c r="T26" s="338">
        <f>IF(売分析!Z26&lt;&gt;"",売分析!Z26,"")</f>
        <v>3.0290872617853561</v>
      </c>
      <c r="U26" s="212" t="str">
        <f>IF(売分析!V26&lt;&gt;"",売分析!V26,"")</f>
        <v>通常</v>
      </c>
      <c r="V26" s="336">
        <f>IF(売分析!W26&lt;&gt;"",売分析!W26,"")</f>
        <v>45.051194539249146</v>
      </c>
      <c r="W26" s="212" t="str">
        <f>IF(売分析!AD26&lt;&gt;"",売分析!AD26,"")</f>
        <v>上昇トレンド▲</v>
      </c>
      <c r="X26" s="212" t="str">
        <f>IF(売分析!AE26&lt;&gt;"",売分析!AE26,"")</f>
        <v>なし</v>
      </c>
      <c r="Y26" s="388">
        <f>IF(売分析!T26&lt;&gt;"",売分析!T26,"")</f>
        <v>-2</v>
      </c>
      <c r="Z26" s="212" t="str">
        <f>IF(売分析!Y26&lt;&gt;"",売分析!Y26,"")</f>
        <v>相場上昇・見送り | 上昇トレンド▲ MACD- RSI:45.1 前日比:+3.0%前日[長い下ヒゲ(反発)] [-2点]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3380</v>
      </c>
      <c r="F27" s="326">
        <f>IF(売分析!F27&lt;&gt;"",売分析!F27,"")</f>
        <v>3415</v>
      </c>
      <c r="G27" s="326">
        <f>IF(売分析!H27&lt;&gt;"",売分析!H27,"")</f>
        <v>3500</v>
      </c>
      <c r="H27" s="326">
        <f>IF(売分析!I27&lt;&gt;"",売分析!I27,"")</f>
        <v>3215</v>
      </c>
      <c r="I27" s="325">
        <f>IF(売分析!J27&lt;&gt;"",売分析!J27,"")</f>
        <v>745700</v>
      </c>
      <c r="J27" s="326">
        <f>IF(売分析!AB27&lt;&gt;"",売分析!AB27,"")</f>
        <v>2963.967741935483</v>
      </c>
      <c r="K27" s="326">
        <f>IF(売分析!AC27&lt;&gt;"",売分析!AC27,"")</f>
        <v>3866.8653158522038</v>
      </c>
      <c r="L27" s="326">
        <f>IF(売分析!K27&lt;&gt;"",売分析!K27,"")</f>
        <v>9480</v>
      </c>
      <c r="M27" s="325" t="str">
        <f>IF(売分析!P27&lt;&gt;"",売分析!P27,"")</f>
        <v>減少↓</v>
      </c>
      <c r="N27" s="328">
        <f>IF(売分析!O27&lt;&gt;"",売分析!O27,"")</f>
        <v>0.90845962672384384</v>
      </c>
      <c r="O27" s="330">
        <f>IF(売分析!X27&lt;&gt;"",売分析!X27,"")</f>
        <v>-477.24323452966883</v>
      </c>
      <c r="P27" s="327">
        <f>IF(売分析!L27&lt;&gt;"",売分析!L27,"")</f>
        <v>-64.345991561181435</v>
      </c>
      <c r="Q27" s="326">
        <f>IF(売分析!S27&lt;&gt;"",売分析!S27,"")</f>
        <v>3515</v>
      </c>
      <c r="R27" s="326">
        <f>IF(売分析!R27&lt;&gt;"",売分析!R27,"")</f>
        <v>3110</v>
      </c>
      <c r="S27" s="325" t="str">
        <f>IF(売分析!AA27&lt;&gt;"",売分析!AA27,"")</f>
        <v>上昇▲</v>
      </c>
      <c r="T27" s="331">
        <f>IF(売分析!Z27&lt;&gt;"",売分析!Z27,"")</f>
        <v>15.005103776794829</v>
      </c>
      <c r="U27" s="325" t="str">
        <f>IF(売分析!V27&lt;&gt;"",売分析!V27,"")</f>
        <v>年初来安値圏●</v>
      </c>
      <c r="V27" s="329">
        <f>IF(売分析!W27&lt;&gt;"",売分析!W27,"")</f>
        <v>38.805828016379394</v>
      </c>
      <c r="W27" s="325" t="str">
        <f>IF(売分析!AD27&lt;&gt;"",売分析!AD27,"")</f>
        <v>もみ合い→</v>
      </c>
      <c r="X27" s="325" t="str">
        <f>IF(売分析!AE27&lt;&gt;"",売分析!AE27,"")</f>
        <v>なし</v>
      </c>
      <c r="Y27" s="387">
        <f>IF(売分析!T27&lt;&gt;"",売分析!T27,"")</f>
        <v>11</v>
      </c>
      <c r="Z27" s="325" t="str">
        <f>IF(売分析!Y27&lt;&gt;"",売分析!Y27,"")</f>
        <v>相場上昇・見送り | もみ合い→ MACD- RSI:38.8 前日比:+15.0% [年初来安値圏] [11点]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1832</v>
      </c>
      <c r="F28" s="333">
        <f>IF(売分析!F28&lt;&gt;"",売分析!F28,"")</f>
        <v>1750</v>
      </c>
      <c r="G28" s="333">
        <f>IF(売分析!H28&lt;&gt;"",売分析!H28,"")</f>
        <v>1840</v>
      </c>
      <c r="H28" s="333">
        <f>IF(売分析!I28&lt;&gt;"",売分析!I28,"")</f>
        <v>1731</v>
      </c>
      <c r="I28" s="212">
        <f>IF(売分析!J28&lt;&gt;"",売分析!J28,"")</f>
        <v>529000</v>
      </c>
      <c r="J28" s="333">
        <f>IF(売分析!AB28&lt;&gt;"",売分析!AB28,"")</f>
        <v>2963.967741935483</v>
      </c>
      <c r="K28" s="333">
        <f>IF(売分析!AC28&lt;&gt;"",売分析!AC28,"")</f>
        <v>3956.4529201430259</v>
      </c>
      <c r="L28" s="333">
        <f>IF(売分析!K28&lt;&gt;"",売分析!K28,"")</f>
        <v>4130</v>
      </c>
      <c r="M28" s="212" t="str">
        <f>IF(売分析!P28&lt;&gt;"",売分析!P28,"")</f>
        <v>減少↓</v>
      </c>
      <c r="N28" s="335">
        <f>IF(売分析!O28&lt;&gt;"",売分析!O28,"")</f>
        <v>0.64446177086886602</v>
      </c>
      <c r="O28" s="337">
        <f>IF(売分析!X28&lt;&gt;"",売分析!X28,"")</f>
        <v>-465.37370790362729</v>
      </c>
      <c r="P28" s="334">
        <f>IF(売分析!L28&lt;&gt;"",売分析!L28,"")</f>
        <v>-55.641646489104112</v>
      </c>
      <c r="Q28" s="333">
        <f>IF(売分析!S28&lt;&gt;"",売分析!S28,"")</f>
        <v>1905</v>
      </c>
      <c r="R28" s="333">
        <f>IF(売分析!R28&lt;&gt;"",売分析!R28,"")</f>
        <v>1685</v>
      </c>
      <c r="S28" s="212" t="str">
        <f>IF(売分析!AA28&lt;&gt;"",売分析!AA28,"")</f>
        <v>下落▼</v>
      </c>
      <c r="T28" s="338">
        <f>IF(売分析!Z28&lt;&gt;"",売分析!Z28,"")</f>
        <v>-37.665872745831912</v>
      </c>
      <c r="U28" s="212" t="str">
        <f>IF(売分析!V28&lt;&gt;"",売分析!V28,"")</f>
        <v>年初来安値圏●</v>
      </c>
      <c r="V28" s="336">
        <f>IF(売分析!W28&lt;&gt;"",売分析!W28,"")</f>
        <v>33.219129193433261</v>
      </c>
      <c r="W28" s="212" t="str">
        <f>IF(売分析!AD28&lt;&gt;"",売分析!AD28,"")</f>
        <v>下降トレンド▼</v>
      </c>
      <c r="X28" s="212" t="str">
        <f>IF(売分析!AE28&lt;&gt;"",売分析!AE28,"")</f>
        <v>なし</v>
      </c>
      <c r="Y28" s="388">
        <f>IF(売分析!T28&lt;&gt;"",売分析!T28,"")</f>
        <v>14</v>
      </c>
      <c r="Z28" s="212" t="str">
        <f>IF(売分析!Y28&lt;&gt;"",売分析!Y28,"")</f>
        <v>相場上昇・見送り | 下降トレンド▼ MACD- RSI:33.2 前日比:-37.7% [年初来安値圏] [14点]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6080</v>
      </c>
      <c r="F29" s="326">
        <f>IF(売分析!F29&lt;&gt;"",売分析!F29,"")</f>
        <v>5990</v>
      </c>
      <c r="G29" s="326">
        <f>IF(売分析!H29&lt;&gt;"",売分析!H29,"")</f>
        <v>6190</v>
      </c>
      <c r="H29" s="326">
        <f>IF(売分析!I29&lt;&gt;"",売分析!I29,"")</f>
        <v>5920</v>
      </c>
      <c r="I29" s="325">
        <f>IF(売分析!J29&lt;&gt;"",売分析!J29,"")</f>
        <v>164700</v>
      </c>
      <c r="J29" s="326">
        <f>IF(売分析!AB29&lt;&gt;"",売分析!AB29,"")</f>
        <v>5500.1036866359445</v>
      </c>
      <c r="K29" s="326">
        <f>IF(売分析!AC29&lt;&gt;"",売分析!AC29,"")</f>
        <v>5401.8593563766381</v>
      </c>
      <c r="L29" s="326">
        <f>IF(売分析!K29&lt;&gt;"",売分析!K29,"")</f>
        <v>7880</v>
      </c>
      <c r="M29" s="325" t="str">
        <f>IF(売分析!P29&lt;&gt;"",売分析!P29,"")</f>
        <v>減少↓</v>
      </c>
      <c r="N29" s="328">
        <f>IF(売分析!O29&lt;&gt;"",売分析!O29,"")</f>
        <v>0.42547145440454665</v>
      </c>
      <c r="O29" s="330">
        <f>IF(売分析!X29&lt;&gt;"",売分析!X29,"")</f>
        <v>-134.74755113656283</v>
      </c>
      <c r="P29" s="327">
        <f>IF(売分析!L29&lt;&gt;"",売分析!L29,"")</f>
        <v>-22.842639593908629</v>
      </c>
      <c r="Q29" s="326">
        <f>IF(売分析!S29&lt;&gt;"",売分析!S29,"")</f>
        <v>6323</v>
      </c>
      <c r="R29" s="326">
        <f>IF(売分析!R29&lt;&gt;"",売分析!R29,"")</f>
        <v>5594</v>
      </c>
      <c r="S29" s="325" t="str">
        <f>IF(売分析!AA29&lt;&gt;"",売分析!AA29,"")</f>
        <v>上昇▲</v>
      </c>
      <c r="T29" s="331">
        <f>IF(売分析!Z29&lt;&gt;"",売分析!Z29,"")</f>
        <v>10.545454545454545</v>
      </c>
      <c r="U29" s="325" t="str">
        <f>IF(売分析!V29&lt;&gt;"",売分析!V29,"")</f>
        <v>通常</v>
      </c>
      <c r="V29" s="329">
        <f>IF(売分析!W29&lt;&gt;"",売分析!W29,"")</f>
        <v>48.363095238095241</v>
      </c>
      <c r="W29" s="325" t="str">
        <f>IF(売分析!AD29&lt;&gt;"",売分析!AD29,"")</f>
        <v>パーフェクト▲</v>
      </c>
      <c r="X29" s="325" t="str">
        <f>IF(売分析!AE29&lt;&gt;"",売分析!AE29,"")</f>
        <v>なし</v>
      </c>
      <c r="Y29" s="387">
        <f>IF(売分析!T29&lt;&gt;"",売分析!T29,"")</f>
        <v>4</v>
      </c>
      <c r="Z29" s="325" t="str">
        <f>IF(売分析!Y29&lt;&gt;"",売分析!Y29,"")</f>
        <v>相場上昇・見送り | パーフェクト▲ MACD- RSI:48.4 前日比:+10.5%前日[長い下ヒゲ(反発)] [4点]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7873</v>
      </c>
      <c r="F30" s="333">
        <f>IF(売分析!F30&lt;&gt;"",売分析!F30,"")</f>
        <v>7351</v>
      </c>
      <c r="G30" s="333">
        <f>IF(売分析!H30&lt;&gt;"",売分析!H30,"")</f>
        <v>7907</v>
      </c>
      <c r="H30" s="333">
        <f>IF(売分析!I30&lt;&gt;"",売分析!I30,"")</f>
        <v>7305</v>
      </c>
      <c r="I30" s="212">
        <f>IF(売分析!J30&lt;&gt;"",売分析!J30,"")</f>
        <v>30347200</v>
      </c>
      <c r="J30" s="333">
        <f>IF(売分析!AB30&lt;&gt;"",売分析!AB30,"")</f>
        <v>7036.5172811059911</v>
      </c>
      <c r="K30" s="333">
        <f>IF(売分析!AC30&lt;&gt;"",売分析!AC30,"")</f>
        <v>8073.2681764004737</v>
      </c>
      <c r="L30" s="333">
        <f>IF(売分析!K30&lt;&gt;"",売分析!K30,"")</f>
        <v>12895</v>
      </c>
      <c r="M30" s="212" t="str">
        <f>IF(売分析!P30&lt;&gt;"",売分析!P30,"")</f>
        <v>減少↓</v>
      </c>
      <c r="N30" s="335">
        <f>IF(売分析!O30&lt;&gt;"",売分析!O30,"")</f>
        <v>0.93434245471176802</v>
      </c>
      <c r="O30" s="337">
        <f>IF(売分析!X30&lt;&gt;"",売分析!X30,"")</f>
        <v>-394.05014149872932</v>
      </c>
      <c r="P30" s="334">
        <f>IF(売分析!L30&lt;&gt;"",売分析!L30,"")</f>
        <v>-38.945327646374558</v>
      </c>
      <c r="Q30" s="333">
        <f>IF(売分析!S30&lt;&gt;"",売分析!S30,"")</f>
        <v>8188</v>
      </c>
      <c r="R30" s="333">
        <f>IF(売分析!R30&lt;&gt;"",売分析!R30,"")</f>
        <v>7243</v>
      </c>
      <c r="S30" s="212" t="str">
        <f>IF(売分析!AA30&lt;&gt;"",売分析!AA30,"")</f>
        <v>上昇▲</v>
      </c>
      <c r="T30" s="338">
        <f>IF(売分析!Z30&lt;&gt;"",売分析!Z30,"")</f>
        <v>9.9427454266163942</v>
      </c>
      <c r="U30" s="212" t="str">
        <f>IF(売分析!V30&lt;&gt;"",売分析!V30,"")</f>
        <v>年初来安値圏●</v>
      </c>
      <c r="V30" s="336">
        <f>IF(売分析!W30&lt;&gt;"",売分析!W30,"")</f>
        <v>34.524776604386687</v>
      </c>
      <c r="W30" s="212" t="str">
        <f>IF(売分析!AD30&lt;&gt;"",売分析!AD30,"")</f>
        <v>もみ合い→</v>
      </c>
      <c r="X30" s="212" t="str">
        <f>IF(売分析!AE30&lt;&gt;"",売分析!AE30,"")</f>
        <v>なし</v>
      </c>
      <c r="Y30" s="388">
        <f>IF(売分析!T30&lt;&gt;"",売分析!T30,"")</f>
        <v>11</v>
      </c>
      <c r="Z30" s="212" t="str">
        <f>IF(売分析!Y30&lt;&gt;"",売分析!Y30,"")</f>
        <v>相場上昇・見送り | もみ合い→ MACD- RSI:34.5 前日比:+9.9% [年初来安値圏] [11点]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3844</v>
      </c>
      <c r="F31" s="326">
        <f>IF(売分析!F31&lt;&gt;"",売分析!F31,"")</f>
        <v>3635</v>
      </c>
      <c r="G31" s="326">
        <f>IF(売分析!H31&lt;&gt;"",売分析!H31,"")</f>
        <v>3873</v>
      </c>
      <c r="H31" s="326">
        <f>IF(売分析!I31&lt;&gt;"",売分析!I31,"")</f>
        <v>3630</v>
      </c>
      <c r="I31" s="325">
        <f>IF(売分析!J31&lt;&gt;"",売分析!J31,"")</f>
        <v>1758100</v>
      </c>
      <c r="J31" s="326">
        <f>IF(売分析!AB31&lt;&gt;"",売分析!AB31,"")</f>
        <v>3555.850230414746</v>
      </c>
      <c r="K31" s="326">
        <f>IF(売分析!AC31&lt;&gt;"",売分析!AC31,"")</f>
        <v>3620.0297973778288</v>
      </c>
      <c r="L31" s="326">
        <f>IF(売分析!K31&lt;&gt;"",売分析!K31,"")</f>
        <v>4855</v>
      </c>
      <c r="M31" s="325" t="str">
        <f>IF(売分析!P31&lt;&gt;"",売分析!P31,"")</f>
        <v>減少↓</v>
      </c>
      <c r="N31" s="328">
        <f>IF(売分析!O31&lt;&gt;"",売分析!O31,"")</f>
        <v>0.68414949255961643</v>
      </c>
      <c r="O31" s="330">
        <f>IF(売分析!X31&lt;&gt;"",売分析!X31,"")</f>
        <v>-114.12956587153985</v>
      </c>
      <c r="P31" s="327">
        <f>IF(売分析!L31&lt;&gt;"",売分析!L31,"")</f>
        <v>-20.823892893923791</v>
      </c>
      <c r="Q31" s="326">
        <f>IF(売分析!S31&lt;&gt;"",売分析!S31,"")</f>
        <v>3998</v>
      </c>
      <c r="R31" s="326">
        <f>IF(売分析!R31&lt;&gt;"",売分析!R31,"")</f>
        <v>3536</v>
      </c>
      <c r="S31" s="325" t="str">
        <f>IF(売分析!AA31&lt;&gt;"",売分析!AA31,"")</f>
        <v>上昇▲</v>
      </c>
      <c r="T31" s="331">
        <f>IF(売分析!Z31&lt;&gt;"",売分析!Z31,"")</f>
        <v>9.7972007997714936</v>
      </c>
      <c r="U31" s="325" t="str">
        <f>IF(売分析!V31&lt;&gt;"",売分析!V31,"")</f>
        <v>安値圏</v>
      </c>
      <c r="V31" s="329">
        <f>IF(売分析!W31&lt;&gt;"",売分析!W31,"")</f>
        <v>47.079439252336442</v>
      </c>
      <c r="W31" s="325" t="str">
        <f>IF(売分析!AD31&lt;&gt;"",売分析!AD31,"")</f>
        <v>上昇トレンド▲</v>
      </c>
      <c r="X31" s="325" t="str">
        <f>IF(売分析!AE31&lt;&gt;"",売分析!AE31,"")</f>
        <v>なし</v>
      </c>
      <c r="Y31" s="387">
        <f>IF(売分析!T31&lt;&gt;"",売分析!T31,"")</f>
        <v>8</v>
      </c>
      <c r="Z31" s="325" t="str">
        <f>IF(売分析!Y31&lt;&gt;"",売分析!Y31,"")</f>
        <v>相場上昇・見送り | 上昇トレンド▲ MACD- RSI:47.1 前日比:+9.8% [安値圏] [8点]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5677</v>
      </c>
      <c r="F32" s="333">
        <f>IF(売分析!F32&lt;&gt;"",売分析!F32,"")</f>
        <v>5584</v>
      </c>
      <c r="G32" s="333">
        <f>IF(売分析!H32&lt;&gt;"",売分析!H32,"")</f>
        <v>5704</v>
      </c>
      <c r="H32" s="333">
        <f>IF(売分析!I32&lt;&gt;"",売分析!I32,"")</f>
        <v>5496</v>
      </c>
      <c r="I32" s="212">
        <f>IF(売分析!J32&lt;&gt;"",売分析!J32,"")</f>
        <v>737500</v>
      </c>
      <c r="J32" s="333">
        <f>IF(売分析!AB32&lt;&gt;"",売分析!AB32,"")</f>
        <v>5443.9089861751145</v>
      </c>
      <c r="K32" s="333">
        <f>IF(売分析!AC32&lt;&gt;"",売分析!AC32,"")</f>
        <v>5905.9249106078669</v>
      </c>
      <c r="L32" s="333">
        <f>IF(売分析!K32&lt;&gt;"",売分析!K32,"")</f>
        <v>7460</v>
      </c>
      <c r="M32" s="212" t="str">
        <f>IF(売分析!P32&lt;&gt;"",売分析!P32,"")</f>
        <v>減少↓</v>
      </c>
      <c r="N32" s="335">
        <f>IF(売分析!O32&lt;&gt;"",売分析!O32,"")</f>
        <v>0.26938080766758227</v>
      </c>
      <c r="O32" s="337">
        <f>IF(売分析!X32&lt;&gt;"",売分析!X32,"")</f>
        <v>-136.87240834424483</v>
      </c>
      <c r="P32" s="334">
        <f>IF(売分析!L32&lt;&gt;"",売分析!L32,"")</f>
        <v>-23.900804289544237</v>
      </c>
      <c r="Q32" s="333">
        <f>IF(売分析!S32&lt;&gt;"",売分析!S32,"")</f>
        <v>5904</v>
      </c>
      <c r="R32" s="333">
        <f>IF(売分析!R32&lt;&gt;"",売分析!R32,"")</f>
        <v>5223</v>
      </c>
      <c r="S32" s="212" t="str">
        <f>IF(売分析!AA32&lt;&gt;"",売分析!AA32,"")</f>
        <v>上昇▲</v>
      </c>
      <c r="T32" s="338">
        <f>IF(売分析!Z32&lt;&gt;"",売分析!Z32,"")</f>
        <v>6.6503851211722713</v>
      </c>
      <c r="U32" s="212" t="str">
        <f>IF(売分析!V32&lt;&gt;"",売分析!V32,"")</f>
        <v>安値圏</v>
      </c>
      <c r="V32" s="336">
        <f>IF(売分析!W32&lt;&gt;"",売分析!W32,"")</f>
        <v>26.472303206997083</v>
      </c>
      <c r="W32" s="212" t="str">
        <f>IF(売分析!AD32&lt;&gt;"",売分析!AD32,"")</f>
        <v>もみ合い→</v>
      </c>
      <c r="X32" s="212" t="str">
        <f>IF(売分析!AE32&lt;&gt;"",売分析!AE32,"")</f>
        <v>なし</v>
      </c>
      <c r="Y32" s="388">
        <f>IF(売分析!T32&lt;&gt;"",売分析!T32,"")</f>
        <v>7</v>
      </c>
      <c r="Z32" s="212" t="str">
        <f>IF(売分析!Y32&lt;&gt;"",売分析!Y32,"")</f>
        <v>相場上昇・見送り | もみ合い→ MACD- RSI:26.5 [売られ過ぎ] 前日比:+6.7% [安値圏]前日[長い下ヒゲ(反発)] [7点]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9370</v>
      </c>
      <c r="F33" s="326">
        <f>IF(売分析!F33&lt;&gt;"",売分析!F33,"")</f>
        <v>8980</v>
      </c>
      <c r="G33" s="326">
        <f>IF(売分析!H33&lt;&gt;"",売分析!H33,"")</f>
        <v>9420</v>
      </c>
      <c r="H33" s="326">
        <f>IF(売分析!I33&lt;&gt;"",売分析!I33,"")</f>
        <v>8700</v>
      </c>
      <c r="I33" s="325">
        <f>IF(売分析!J33&lt;&gt;"",売分析!J33,"")</f>
        <v>1182300</v>
      </c>
      <c r="J33" s="326">
        <f>IF(売分析!AB33&lt;&gt;"",売分析!AB33,"")</f>
        <v>8230.8064516129016</v>
      </c>
      <c r="K33" s="326">
        <f>IF(売分析!AC33&lt;&gt;"",売分析!AC33,"")</f>
        <v>8191.3468414779481</v>
      </c>
      <c r="L33" s="326">
        <f>IF(売分析!K33&lt;&gt;"",売分析!K33,"")</f>
        <v>11700</v>
      </c>
      <c r="M33" s="325" t="str">
        <f>IF(売分析!P33&lt;&gt;"",売分析!P33,"")</f>
        <v>減少↓</v>
      </c>
      <c r="N33" s="328">
        <f>IF(売分析!O33&lt;&gt;"",売分析!O33,"")</f>
        <v>0.59560512634506102</v>
      </c>
      <c r="O33" s="330">
        <f>IF(売分析!X33&lt;&gt;"",売分析!X33,"")</f>
        <v>-81.35325327675946</v>
      </c>
      <c r="P33" s="327">
        <f>IF(売分析!L33&lt;&gt;"",売分析!L33,"")</f>
        <v>-19.914529914529915</v>
      </c>
      <c r="Q33" s="326">
        <f>IF(売分析!S33&lt;&gt;"",売分析!S33,"")</f>
        <v>9745</v>
      </c>
      <c r="R33" s="326">
        <f>IF(売分析!R33&lt;&gt;"",売分析!R33,"")</f>
        <v>8620</v>
      </c>
      <c r="S33" s="325" t="str">
        <f>IF(売分析!AA33&lt;&gt;"",売分析!AA33,"")</f>
        <v>上昇▲</v>
      </c>
      <c r="T33" s="331">
        <f>IF(売分析!Z33&lt;&gt;"",売分析!Z33,"")</f>
        <v>14.407814407814406</v>
      </c>
      <c r="U33" s="325" t="str">
        <f>IF(売分析!V33&lt;&gt;"",売分析!V33,"")</f>
        <v>安値圏</v>
      </c>
      <c r="V33" s="329">
        <f>IF(売分析!W33&lt;&gt;"",売分析!W33,"")</f>
        <v>48.208955223880601</v>
      </c>
      <c r="W33" s="325" t="str">
        <f>IF(売分析!AD33&lt;&gt;"",売分析!AD33,"")</f>
        <v>パーフェクト▲</v>
      </c>
      <c r="X33" s="325" t="str">
        <f>IF(売分析!AE33&lt;&gt;"",売分析!AE33,"")</f>
        <v>なし</v>
      </c>
      <c r="Y33" s="387">
        <f>IF(売分析!T33&lt;&gt;"",売分析!T33,"")</f>
        <v>6</v>
      </c>
      <c r="Z33" s="325" t="str">
        <f>IF(売分析!Y33&lt;&gt;"",売分析!Y33,"")</f>
        <v>相場上昇・見送り | パーフェクト▲ MACD- RSI:48.2 前日比:+14.4% [安値圏] [6点]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25610</v>
      </c>
      <c r="F34" s="333">
        <f>IF(売分析!F34&lt;&gt;"",売分析!F34,"")</f>
        <v>24790</v>
      </c>
      <c r="G34" s="333">
        <f>IF(売分析!H34&lt;&gt;"",売分析!H34,"")</f>
        <v>25750</v>
      </c>
      <c r="H34" s="333">
        <f>IF(売分析!I34&lt;&gt;"",売分析!I34,"")</f>
        <v>24710</v>
      </c>
      <c r="I34" s="212">
        <f>IF(売分析!J34&lt;&gt;"",売分析!J34,"")</f>
        <v>47900</v>
      </c>
      <c r="J34" s="333">
        <f>IF(売分析!AB34&lt;&gt;"",売分析!AB34,"")</f>
        <v>22720.195852534562</v>
      </c>
      <c r="K34" s="333">
        <f>IF(売分析!AC34&lt;&gt;"",売分析!AC34,"")</f>
        <v>23301.430274135866</v>
      </c>
      <c r="L34" s="333">
        <f>IF(売分析!K34&lt;&gt;"",売分析!K34,"")</f>
        <v>28430</v>
      </c>
      <c r="M34" s="212" t="str">
        <f>IF(売分析!P34&lt;&gt;"",売分析!P34,"")</f>
        <v>減少↓</v>
      </c>
      <c r="N34" s="335">
        <f>IF(売分析!O34&lt;&gt;"",売分析!O34,"")</f>
        <v>0.42836701842246466</v>
      </c>
      <c r="O34" s="337">
        <f>IF(売分析!X34&lt;&gt;"",売分析!X34,"")</f>
        <v>-370.91916462013978</v>
      </c>
      <c r="P34" s="334">
        <f>IF(売分析!L34&lt;&gt;"",売分析!L34,"")</f>
        <v>-9.9190995427365447</v>
      </c>
      <c r="Q34" s="333">
        <f>IF(売分析!S34&lt;&gt;"",売分析!S34,"")</f>
        <v>26634</v>
      </c>
      <c r="R34" s="333">
        <f>IF(売分析!R34&lt;&gt;"",売分析!R34,"")</f>
        <v>23561</v>
      </c>
      <c r="S34" s="212" t="str">
        <f>IF(売分析!AA34&lt;&gt;"",売分析!AA34,"")</f>
        <v>上昇▲</v>
      </c>
      <c r="T34" s="338">
        <f>IF(売分析!Z34&lt;&gt;"",売分析!Z34,"")</f>
        <v>11.687745311818579</v>
      </c>
      <c r="U34" s="212" t="str">
        <f>IF(売分析!V34&lt;&gt;"",売分析!V34,"")</f>
        <v>通常</v>
      </c>
      <c r="V34" s="336">
        <f>IF(売分析!W34&lt;&gt;"",売分析!W34,"")</f>
        <v>47.64309764309764</v>
      </c>
      <c r="W34" s="212" t="str">
        <f>IF(売分析!AD34&lt;&gt;"",売分析!AD34,"")</f>
        <v>上昇トレンド▲</v>
      </c>
      <c r="X34" s="212" t="str">
        <f>IF(売分析!AE34&lt;&gt;"",売分析!AE34,"")</f>
        <v>なし</v>
      </c>
      <c r="Y34" s="388">
        <f>IF(売分析!T34&lt;&gt;"",売分析!T34,"")</f>
        <v>5</v>
      </c>
      <c r="Z34" s="212" t="str">
        <f>IF(売分析!Y34&lt;&gt;"",売分析!Y34,"")</f>
        <v>相場上昇・見送り | 上昇トレンド▲ MACD- RSI:47.6 前日比:+11.7% [5点]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58720</v>
      </c>
      <c r="F35" s="326">
        <f>IF(売分析!F35&lt;&gt;"",売分析!F35,"")</f>
        <v>59000</v>
      </c>
      <c r="G35" s="326">
        <f>IF(売分析!H35&lt;&gt;"",売分析!H35,"")</f>
        <v>59700</v>
      </c>
      <c r="H35" s="326">
        <f>IF(売分析!I35&lt;&gt;"",売分析!I35,"")</f>
        <v>58300</v>
      </c>
      <c r="I35" s="325">
        <f>IF(売分析!J35&lt;&gt;"",売分析!J35,"")</f>
        <v>2442300</v>
      </c>
      <c r="J35" s="326">
        <f>IF(売分析!AB35&lt;&gt;"",売分析!AB35,"")</f>
        <v>55039.907834101381</v>
      </c>
      <c r="K35" s="326">
        <f>IF(売分析!AC35&lt;&gt;"",売分析!AC35,"")</f>
        <v>62158.963051251463</v>
      </c>
      <c r="L35" s="326">
        <f>IF(売分析!K35&lt;&gt;"",売分析!K35,"")</f>
        <v>81260</v>
      </c>
      <c r="M35" s="325" t="str">
        <f>IF(売分析!P35&lt;&gt;"",売分析!P35,"")</f>
        <v>減少↓</v>
      </c>
      <c r="N35" s="328">
        <f>IF(売分析!O35&lt;&gt;"",売分析!O35,"")</f>
        <v>0.33754125458153894</v>
      </c>
      <c r="O35" s="330">
        <f>IF(売分析!X35&lt;&gt;"",売分析!X35,"")</f>
        <v>-2504.87752697627</v>
      </c>
      <c r="P35" s="327">
        <f>IF(売分析!L35&lt;&gt;"",売分析!L35,"")</f>
        <v>-27.738124538518338</v>
      </c>
      <c r="Q35" s="326">
        <f>IF(売分析!S35&lt;&gt;"",売分析!S35,"")</f>
        <v>61069</v>
      </c>
      <c r="R35" s="326">
        <f>IF(売分析!R35&lt;&gt;"",売分析!R35,"")</f>
        <v>54022</v>
      </c>
      <c r="S35" s="325" t="str">
        <f>IF(売分析!AA35&lt;&gt;"",売分析!AA35,"")</f>
        <v>上昇▲</v>
      </c>
      <c r="T35" s="331">
        <f>IF(売分析!Z35&lt;&gt;"",売分析!Z35,"")</f>
        <v>6.7830514639025274</v>
      </c>
      <c r="U35" s="325" t="str">
        <f>IF(売分析!V35&lt;&gt;"",売分析!V35,"")</f>
        <v>安値圏</v>
      </c>
      <c r="V35" s="329">
        <f>IF(売分析!W35&lt;&gt;"",売分析!W35,"")</f>
        <v>27.80952380952381</v>
      </c>
      <c r="W35" s="325" t="str">
        <f>IF(売分析!AD35&lt;&gt;"",売分析!AD35,"")</f>
        <v>もみ合い→</v>
      </c>
      <c r="X35" s="325" t="str">
        <f>IF(売分析!AE35&lt;&gt;"",売分析!AE35,"")</f>
        <v>なし</v>
      </c>
      <c r="Y35" s="387">
        <f>IF(売分析!T35&lt;&gt;"",売分析!T35,"")</f>
        <v>9</v>
      </c>
      <c r="Z35" s="325" t="str">
        <f>IF(売分析!Y35&lt;&gt;"",売分析!Y35,"")</f>
        <v>相場上昇・見送り | もみ合い→ MACD- RSI:27.8 [売られ過ぎ] 前日比:+6.8% [安値圏] [9点]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4037.09</v>
      </c>
      <c r="E36" s="333" t="str">
        <f>IF(売分析!E36&lt;&gt;"",売分析!E36,"")</f>
        <v/>
      </c>
      <c r="F36" s="333" t="str">
        <f>IF(売分析!F36&lt;&gt;"",売分析!F36,"")</f>
        <v/>
      </c>
      <c r="G36" s="333" t="str">
        <f>IF(売分析!H36&lt;&gt;"",売分析!H36,"")</f>
        <v/>
      </c>
      <c r="H36" s="333" t="str">
        <f>IF(売分析!I36&lt;&gt;"",売分析!I36,"")</f>
        <v/>
      </c>
      <c r="I36" s="212" t="str">
        <f>IF(売分析!J36&lt;&gt;"",売分析!J36,"")</f>
        <v/>
      </c>
      <c r="J36" s="333" t="str">
        <f>IF(売分析!AB36&lt;&gt;"",売分析!AB36,"")</f>
        <v/>
      </c>
      <c r="K36" s="333" t="str">
        <f>IF(売分析!AC36&lt;&gt;"",売分析!AC36,"")</f>
        <v/>
      </c>
      <c r="L36" s="333" t="str">
        <f>IF(売分析!K36&lt;&gt;"",売分析!K36,"")</f>
        <v/>
      </c>
      <c r="M36" s="212" t="str">
        <f>IF(売分析!P36&lt;&gt;"",売分析!P36,"")</f>
        <v/>
      </c>
      <c r="N36" s="335" t="str">
        <f>IF(売分析!O36&lt;&gt;"",売分析!O36,"")</f>
        <v/>
      </c>
      <c r="O36" s="337">
        <f>IF(売分析!X36&lt;&gt;"",売分析!X36,"")</f>
        <v>-6.1301808636385431</v>
      </c>
      <c r="P36" s="334" t="str">
        <f>IF(売分析!L36&lt;&gt;"",売分析!L36,"")</f>
        <v/>
      </c>
      <c r="Q36" s="333" t="str">
        <f>IF(売分析!S36&lt;&gt;"",売分析!S36,"")</f>
        <v/>
      </c>
      <c r="R36" s="333" t="str">
        <f>IF(売分析!R36&lt;&gt;"",売分析!R36,"")</f>
        <v/>
      </c>
      <c r="S36" s="212" t="str">
        <f>IF(売分析!AA36&lt;&gt;"",売分析!AA36,"")</f>
        <v/>
      </c>
      <c r="T36" s="338" t="str">
        <f>IF(売分析!Z36&lt;&gt;"",売分析!Z36,"")</f>
        <v/>
      </c>
      <c r="U36" s="212" t="str">
        <f>IF(売分析!V36&lt;&gt;"",売分析!V36,"")</f>
        <v/>
      </c>
      <c r="V36" s="336">
        <f>IF(売分析!W36&lt;&gt;"",売分析!W36,"")</f>
        <v>44.182619331830189</v>
      </c>
      <c r="W36" s="212" t="str">
        <f>IF(売分析!AD36&lt;&gt;"",売分析!AD36,"")</f>
        <v/>
      </c>
      <c r="X36" s="212" t="str">
        <f>IF(売分析!AE36&lt;&gt;"",売分析!AE36,"")</f>
        <v/>
      </c>
      <c r="Y36" s="388">
        <f>IF(売分析!T36&lt;&gt;"",売分析!T36,"")</f>
        <v>0</v>
      </c>
      <c r="Z36" s="212" t="e">
        <f>IF(売分析!Y36&lt;&gt;"",売分析!Y36,"")</f>
        <v>#VALUE!</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5895</v>
      </c>
      <c r="F37" s="326">
        <f>IF(売分析!F37&lt;&gt;"",売分析!F37,"")</f>
        <v>5796</v>
      </c>
      <c r="G37" s="326">
        <f>IF(売分析!H37&lt;&gt;"",売分析!H37,"")</f>
        <v>5915</v>
      </c>
      <c r="H37" s="326">
        <f>IF(売分析!I37&lt;&gt;"",売分析!I37,"")</f>
        <v>5702</v>
      </c>
      <c r="I37" s="325">
        <f>IF(売分析!J37&lt;&gt;"",売分析!J37,"")</f>
        <v>1197100</v>
      </c>
      <c r="J37" s="326">
        <f>IF(売分析!AB37&lt;&gt;"",売分析!AB37,"")</f>
        <v>5510.3110599078336</v>
      </c>
      <c r="K37" s="326">
        <f>IF(売分析!AC37&lt;&gt;"",売分析!AC37,"")</f>
        <v>6079.4886769964232</v>
      </c>
      <c r="L37" s="326">
        <f>IF(売分析!K37&lt;&gt;"",売分析!K37,"")</f>
        <v>7894</v>
      </c>
      <c r="M37" s="325" t="str">
        <f>IF(売分析!P37&lt;&gt;"",売分析!P37,"")</f>
        <v>減少↓</v>
      </c>
      <c r="N37" s="328">
        <f>IF(売分析!O37&lt;&gt;"",売分析!O37,"")</f>
        <v>0.45723649030602109</v>
      </c>
      <c r="O37" s="330">
        <f>IF(売分析!X37&lt;&gt;"",売分析!X37,"")</f>
        <v>-223.63524174192571</v>
      </c>
      <c r="P37" s="327">
        <f>IF(売分析!L37&lt;&gt;"",売分析!L37,"")</f>
        <v>-25.323030149480619</v>
      </c>
      <c r="Q37" s="326">
        <f>IF(売分析!S37&lt;&gt;"",売分析!S37,"")</f>
        <v>6131</v>
      </c>
      <c r="R37" s="326">
        <f>IF(売分析!R37&lt;&gt;"",売分析!R37,"")</f>
        <v>5423</v>
      </c>
      <c r="S37" s="325" t="str">
        <f>IF(売分析!AA37&lt;&gt;"",売分析!AA37,"")</f>
        <v>上昇▲</v>
      </c>
      <c r="T37" s="331">
        <f>IF(売分析!Z37&lt;&gt;"",売分析!Z37,"")</f>
        <v>6.5618221258134488</v>
      </c>
      <c r="U37" s="325" t="str">
        <f>IF(売分析!V37&lt;&gt;"",売分析!V37,"")</f>
        <v>安値圏</v>
      </c>
      <c r="V37" s="329">
        <f>IF(売分析!W37&lt;&gt;"",売分析!W37,"")</f>
        <v>28.817365269461078</v>
      </c>
      <c r="W37" s="325" t="str">
        <f>IF(売分析!AD37&lt;&gt;"",売分析!AD37,"")</f>
        <v>もみ合い→</v>
      </c>
      <c r="X37" s="325" t="str">
        <f>IF(売分析!AE37&lt;&gt;"",売分析!AE37,"")</f>
        <v>なし</v>
      </c>
      <c r="Y37" s="387">
        <f>IF(売分析!T37&lt;&gt;"",売分析!T37,"")</f>
        <v>9</v>
      </c>
      <c r="Z37" s="325" t="str">
        <f>IF(売分析!Y37&lt;&gt;"",売分析!Y37,"")</f>
        <v>相場上昇・見送り | もみ合い→ MACD- RSI:28.8 [売られ過ぎ] 前日比:+6.6% [安値圏] [9点]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474.4</v>
      </c>
      <c r="F38" s="333">
        <f>IF(売分析!F38&lt;&gt;"",売分析!F38,"")</f>
        <v>476</v>
      </c>
      <c r="G38" s="333">
        <f>IF(売分析!H38&lt;&gt;"",売分析!H38,"")</f>
        <v>480</v>
      </c>
      <c r="H38" s="333">
        <f>IF(売分析!I38&lt;&gt;"",売分析!I38,"")</f>
        <v>473</v>
      </c>
      <c r="I38" s="212">
        <f>IF(売分析!J38&lt;&gt;"",売分析!J38,"")</f>
        <v>669800</v>
      </c>
      <c r="J38" s="333">
        <f>IF(売分析!AB38&lt;&gt;"",売分析!AB38,"")</f>
        <v>476.50714285714281</v>
      </c>
      <c r="K38" s="333">
        <f>IF(売分析!AC38&lt;&gt;"",売分析!AC38,"")</f>
        <v>482.44886769964216</v>
      </c>
      <c r="L38" s="333">
        <f>IF(売分析!K38&lt;&gt;"",売分析!K38,"")</f>
        <v>539.9</v>
      </c>
      <c r="M38" s="212" t="str">
        <f>IF(売分析!P38&lt;&gt;"",売分析!P38,"")</f>
        <v>減少↓</v>
      </c>
      <c r="N38" s="335">
        <f>IF(売分析!O38&lt;&gt;"",売分析!O38,"")</f>
        <v>0.37568428609889615</v>
      </c>
      <c r="O38" s="337">
        <f>IF(売分析!X38&lt;&gt;"",売分析!X38,"")</f>
        <v>0.37523433861804278</v>
      </c>
      <c r="P38" s="334">
        <f>IF(売分析!L38&lt;&gt;"",売分析!L38,"")</f>
        <v>-12.131876273383961</v>
      </c>
      <c r="Q38" s="333">
        <f>IF(売分析!S38&lt;&gt;"",売分析!S38,"")</f>
        <v>493</v>
      </c>
      <c r="R38" s="333">
        <f>IF(売分析!R38&lt;&gt;"",売分析!R38,"")</f>
        <v>436</v>
      </c>
      <c r="S38" s="212" t="str">
        <f>IF(売分析!AA38&lt;&gt;"",売分析!AA38,"")</f>
        <v>下落▼</v>
      </c>
      <c r="T38" s="338">
        <f>IF(売分析!Z38&lt;&gt;"",売分析!Z38,"")</f>
        <v>-0.21034917963819941</v>
      </c>
      <c r="U38" s="212" t="str">
        <f>IF(売分析!V38&lt;&gt;"",売分析!V38,"")</f>
        <v>通常</v>
      </c>
      <c r="V38" s="336">
        <f>IF(売分析!W38&lt;&gt;"",売分析!W38,"")</f>
        <v>44.936708860759467</v>
      </c>
      <c r="W38" s="212" t="str">
        <f>IF(売分析!AD38&lt;&gt;"",売分析!AD38,"")</f>
        <v>下降トレンド▼</v>
      </c>
      <c r="X38" s="212" t="str">
        <f>IF(売分析!AE38&lt;&gt;"",売分析!AE38,"")</f>
        <v>25日戻り売り★</v>
      </c>
      <c r="Y38" s="388">
        <f>IF(売分析!T38&lt;&gt;"",売分析!T38,"")</f>
        <v>4</v>
      </c>
      <c r="Z38" s="212" t="str">
        <f>IF(売分析!Y38&lt;&gt;"",売分析!Y38,"")</f>
        <v>★逆張り売り | 下降トレンド▼ 25日戻り売り★ MACD+ RSI:44.9 前日比:-0.2% [4点]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5838</v>
      </c>
      <c r="F39" s="326">
        <f>IF(売分析!F39&lt;&gt;"",売分析!F39,"")</f>
        <v>5748</v>
      </c>
      <c r="G39" s="326">
        <f>IF(売分析!H39&lt;&gt;"",売分析!H39,"")</f>
        <v>5838</v>
      </c>
      <c r="H39" s="326">
        <f>IF(売分析!I39&lt;&gt;"",売分析!I39,"")</f>
        <v>5678</v>
      </c>
      <c r="I39" s="325">
        <f>IF(売分析!J39&lt;&gt;"",売分析!J39,"")</f>
        <v>3886800</v>
      </c>
      <c r="J39" s="326">
        <f>IF(売分析!AB39&lt;&gt;"",売分析!AB39,"")</f>
        <v>5590.9205069124428</v>
      </c>
      <c r="K39" s="326">
        <f>IF(売分析!AC39&lt;&gt;"",売分析!AC39,"")</f>
        <v>5621.5566150178765</v>
      </c>
      <c r="L39" s="326">
        <f>IF(売分析!K39&lt;&gt;"",売分析!K39,"")</f>
        <v>6686</v>
      </c>
      <c r="M39" s="325" t="str">
        <f>IF(売分析!P39&lt;&gt;"",売分析!P39,"")</f>
        <v>減少↓</v>
      </c>
      <c r="N39" s="328">
        <f>IF(売分析!O39&lt;&gt;"",売分析!O39,"")</f>
        <v>0.40635990682619405</v>
      </c>
      <c r="O39" s="330">
        <f>IF(売分析!X39&lt;&gt;"",売分析!X39,"")</f>
        <v>-36.820744390797699</v>
      </c>
      <c r="P39" s="327">
        <f>IF(売分析!L39&lt;&gt;"",売分析!L39,"")</f>
        <v>-12.683218665868981</v>
      </c>
      <c r="Q39" s="326">
        <f>IF(売分析!S39&lt;&gt;"",売分析!S39,"")</f>
        <v>6072</v>
      </c>
      <c r="R39" s="326">
        <f>IF(売分析!R39&lt;&gt;"",売分析!R39,"")</f>
        <v>5371</v>
      </c>
      <c r="S39" s="325" t="str">
        <f>IF(売分析!AA39&lt;&gt;"",売分析!AA39,"")</f>
        <v>上昇▲</v>
      </c>
      <c r="T39" s="331">
        <f>IF(売分析!Z39&lt;&gt;"",売分析!Z39,"")</f>
        <v>5.4552023121387281</v>
      </c>
      <c r="U39" s="325" t="str">
        <f>IF(売分析!V39&lt;&gt;"",売分析!V39,"")</f>
        <v>通常</v>
      </c>
      <c r="V39" s="329">
        <f>IF(売分析!W39&lt;&gt;"",売分析!W39,"")</f>
        <v>47.963302752293579</v>
      </c>
      <c r="W39" s="325" t="str">
        <f>IF(売分析!AD39&lt;&gt;"",売分析!AD39,"")</f>
        <v>上昇トレンド▲</v>
      </c>
      <c r="X39" s="325" t="str">
        <f>IF(売分析!AE39&lt;&gt;"",売分析!AE39,"")</f>
        <v>なし</v>
      </c>
      <c r="Y39" s="387">
        <f>IF(売分析!T39&lt;&gt;"",売分析!T39,"")</f>
        <v>3</v>
      </c>
      <c r="Z39" s="325" t="str">
        <f>IF(売分析!Y39&lt;&gt;"",売分析!Y39,"")</f>
        <v>相場上昇・見送り | 上昇トレンド▲ MACD- RSI:48.0 前日比:+5.5% [3点]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2329</v>
      </c>
      <c r="F40" s="333">
        <f>IF(売分析!F40&lt;&gt;"",売分析!F40,"")</f>
        <v>2310</v>
      </c>
      <c r="G40" s="333">
        <f>IF(売分析!H40&lt;&gt;"",売分析!H40,"")</f>
        <v>2355.5</v>
      </c>
      <c r="H40" s="333">
        <f>IF(売分析!I40&lt;&gt;"",売分析!I40,"")</f>
        <v>2302.5</v>
      </c>
      <c r="I40" s="212">
        <f>IF(売分析!J40&lt;&gt;"",売分析!J40,"")</f>
        <v>742500</v>
      </c>
      <c r="J40" s="333">
        <f>IF(売分析!AB40&lt;&gt;"",売分析!AB40,"")</f>
        <v>2265.925115207373</v>
      </c>
      <c r="K40" s="333">
        <f>IF(売分析!AC40&lt;&gt;"",売分析!AC40,"")</f>
        <v>2190.1615017878426</v>
      </c>
      <c r="L40" s="333">
        <f>IF(売分析!K40&lt;&gt;"",売分析!K40,"")</f>
        <v>2927.5</v>
      </c>
      <c r="M40" s="212" t="str">
        <f>IF(売分析!P40&lt;&gt;"",売分析!P40,"")</f>
        <v>減少↓</v>
      </c>
      <c r="N40" s="335">
        <f>IF(売分析!O40&lt;&gt;"",売分析!O40,"")</f>
        <v>0.43538683460577698</v>
      </c>
      <c r="O40" s="337">
        <f>IF(売分析!X40&lt;&gt;"",売分析!X40,"")</f>
        <v>-32.672418493943042</v>
      </c>
      <c r="P40" s="334">
        <f>IF(売分析!L40&lt;&gt;"",売分析!L40,"")</f>
        <v>-20.44406490179334</v>
      </c>
      <c r="Q40" s="333">
        <f>IF(売分析!S40&lt;&gt;"",売分析!S40,"")</f>
        <v>2422</v>
      </c>
      <c r="R40" s="333">
        <f>IF(売分析!R40&lt;&gt;"",売分析!R40,"")</f>
        <v>2143</v>
      </c>
      <c r="S40" s="212" t="str">
        <f>IF(売分析!AA40&lt;&gt;"",売分析!AA40,"")</f>
        <v>上昇▲</v>
      </c>
      <c r="T40" s="338">
        <f>IF(売分析!Z40&lt;&gt;"",売分析!Z40,"")</f>
        <v>3.0759017481743749</v>
      </c>
      <c r="U40" s="212" t="str">
        <f>IF(売分析!V40&lt;&gt;"",売分析!V40,"")</f>
        <v>通常</v>
      </c>
      <c r="V40" s="336">
        <f>IF(売分析!W40&lt;&gt;"",売分析!W40,"")</f>
        <v>49.579344357412246</v>
      </c>
      <c r="W40" s="212" t="str">
        <f>IF(売分析!AD40&lt;&gt;"",売分析!AD40,"")</f>
        <v>パーフェクト▲</v>
      </c>
      <c r="X40" s="212" t="str">
        <f>IF(売分析!AE40&lt;&gt;"",売分析!AE40,"")</f>
        <v>なし</v>
      </c>
      <c r="Y40" s="388">
        <f>IF(売分析!T40&lt;&gt;"",売分析!T40,"")</f>
        <v>4</v>
      </c>
      <c r="Z40" s="212" t="str">
        <f>IF(売分析!Y40&lt;&gt;"",売分析!Y40,"")</f>
        <v>相場上昇・見送り | パーフェクト▲ MACD- RSI:49.6 前日比:+3.1%前日[長い下ヒゲ(反発)] [4点]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4485</v>
      </c>
      <c r="F41" s="326">
        <f>IF(売分析!F41&lt;&gt;"",売分析!F41,"")</f>
        <v>4400</v>
      </c>
      <c r="G41" s="326">
        <f>IF(売分析!H41&lt;&gt;"",売分析!H41,"")</f>
        <v>4517</v>
      </c>
      <c r="H41" s="326">
        <f>IF(売分析!I41&lt;&gt;"",売分析!I41,"")</f>
        <v>4372</v>
      </c>
      <c r="I41" s="325">
        <f>IF(売分析!J41&lt;&gt;"",売分析!J41,"")</f>
        <v>2044400</v>
      </c>
      <c r="J41" s="326">
        <f>IF(売分析!AB41&lt;&gt;"",売分析!AB41,"")</f>
        <v>3994.1843317972343</v>
      </c>
      <c r="K41" s="326">
        <f>IF(売分析!AC41&lt;&gt;"",売分析!AC41,"")</f>
        <v>4249.3253873659087</v>
      </c>
      <c r="L41" s="326">
        <f>IF(売分析!K41&lt;&gt;"",売分析!K41,"")</f>
        <v>5199</v>
      </c>
      <c r="M41" s="325" t="str">
        <f>IF(売分析!P41&lt;&gt;"",売分析!P41,"")</f>
        <v>減少↓</v>
      </c>
      <c r="N41" s="328">
        <f>IF(売分析!O41&lt;&gt;"",売分析!O41,"")</f>
        <v>0.49106928390933807</v>
      </c>
      <c r="O41" s="330">
        <f>IF(売分析!X41&lt;&gt;"",売分析!X41,"")</f>
        <v>-103.53348803330573</v>
      </c>
      <c r="P41" s="327">
        <f>IF(売分析!L41&lt;&gt;"",売分析!L41,"")</f>
        <v>-13.733410271206001</v>
      </c>
      <c r="Q41" s="326">
        <f>IF(売分析!S41&lt;&gt;"",売分析!S41,"")</f>
        <v>4664</v>
      </c>
      <c r="R41" s="326">
        <f>IF(売分析!R41&lt;&gt;"",売分析!R41,"")</f>
        <v>4126</v>
      </c>
      <c r="S41" s="325" t="str">
        <f>IF(売分析!AA41&lt;&gt;"",売分析!AA41,"")</f>
        <v>上昇▲</v>
      </c>
      <c r="T41" s="331">
        <f>IF(売分析!Z41&lt;&gt;"",売分析!Z41,"")</f>
        <v>12.830188679245284</v>
      </c>
      <c r="U41" s="325" t="str">
        <f>IF(売分析!V41&lt;&gt;"",売分析!V41,"")</f>
        <v>通常</v>
      </c>
      <c r="V41" s="329">
        <f>IF(売分析!W41&lt;&gt;"",売分析!W41,"")</f>
        <v>40.139082058414466</v>
      </c>
      <c r="W41" s="325" t="str">
        <f>IF(売分析!AD41&lt;&gt;"",売分析!AD41,"")</f>
        <v>上昇トレンド▲</v>
      </c>
      <c r="X41" s="325" t="str">
        <f>IF(売分析!AE41&lt;&gt;"",売分析!AE41,"")</f>
        <v>なし</v>
      </c>
      <c r="Y41" s="387">
        <f>IF(売分析!T41&lt;&gt;"",売分析!T41,"")</f>
        <v>3</v>
      </c>
      <c r="Z41" s="325" t="str">
        <f>IF(売分析!Y41&lt;&gt;"",売分析!Y41,"")</f>
        <v>相場上昇・見送り | 上昇トレンド▲ MACD- RSI:40.1 前日比:+12.8% [3点]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4336</v>
      </c>
      <c r="F42" s="333">
        <f>IF(売分析!F42&lt;&gt;"",売分析!F42,"")</f>
        <v>4363</v>
      </c>
      <c r="G42" s="333">
        <f>IF(売分析!H42&lt;&gt;"",売分析!H42,"")</f>
        <v>4416</v>
      </c>
      <c r="H42" s="333">
        <f>IF(売分析!I42&lt;&gt;"",売分析!I42,"")</f>
        <v>4245</v>
      </c>
      <c r="I42" s="212">
        <f>IF(売分析!J42&lt;&gt;"",売分析!J42,"")</f>
        <v>849700</v>
      </c>
      <c r="J42" s="333">
        <f>IF(売分析!AB42&lt;&gt;"",売分析!AB42,"")</f>
        <v>3839.8859447004602</v>
      </c>
      <c r="K42" s="333">
        <f>IF(売分析!AC42&lt;&gt;"",売分析!AC42,"")</f>
        <v>4024.2431466030962</v>
      </c>
      <c r="L42" s="333">
        <f>IF(売分析!K42&lt;&gt;"",売分析!K42,"")</f>
        <v>5164</v>
      </c>
      <c r="M42" s="212" t="str">
        <f>IF(売分析!P42&lt;&gt;"",売分析!P42,"")</f>
        <v>増加↑</v>
      </c>
      <c r="N42" s="335">
        <f>IF(売分析!O42&lt;&gt;"",売分析!O42,"")</f>
        <v>1.7472034874156934</v>
      </c>
      <c r="O42" s="337">
        <f>IF(売分析!X42&lt;&gt;"",売分析!X42,"")</f>
        <v>-71.788368844008801</v>
      </c>
      <c r="P42" s="334">
        <f>IF(売分析!L42&lt;&gt;"",売分析!L42,"")</f>
        <v>-16.03408210689388</v>
      </c>
      <c r="Q42" s="333">
        <f>IF(売分析!S42&lt;&gt;"",売分析!S42,"")</f>
        <v>4509</v>
      </c>
      <c r="R42" s="333">
        <f>IF(売分析!R42&lt;&gt;"",売分析!R42,"")</f>
        <v>3989</v>
      </c>
      <c r="S42" s="212" t="str">
        <f>IF(売分析!AA42&lt;&gt;"",売分析!AA42,"")</f>
        <v>上昇▲</v>
      </c>
      <c r="T42" s="338">
        <f>IF(売分析!Z42&lt;&gt;"",売分析!Z42,"")</f>
        <v>14.165350184307529</v>
      </c>
      <c r="U42" s="212" t="str">
        <f>IF(売分析!V42&lt;&gt;"",売分析!V42,"")</f>
        <v>通常</v>
      </c>
      <c r="V42" s="336">
        <f>IF(売分析!W42&lt;&gt;"",売分析!W42,"")</f>
        <v>39.804827940421163</v>
      </c>
      <c r="W42" s="212" t="str">
        <f>IF(売分析!AD42&lt;&gt;"",売分析!AD42,"")</f>
        <v>上昇トレンド▲</v>
      </c>
      <c r="X42" s="212" t="str">
        <f>IF(売分析!AE42&lt;&gt;"",売分析!AE42,"")</f>
        <v>なし</v>
      </c>
      <c r="Y42" s="388">
        <f>IF(売分析!T42&lt;&gt;"",売分析!T42,"")</f>
        <v>7</v>
      </c>
      <c r="Z42" s="212" t="str">
        <f>IF(売分析!Y42&lt;&gt;"",売分析!Y42,"")</f>
        <v>相場上昇・見送り | 上昇トレンド▲ MACD- RSI:39.8 前日比:+14.2% [7点]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7370</v>
      </c>
      <c r="F43" s="326">
        <f>IF(売分析!F43&lt;&gt;"",売分析!F43,"")</f>
        <v>7300</v>
      </c>
      <c r="G43" s="326">
        <f>IF(売分析!H43&lt;&gt;"",売分析!H43,"")</f>
        <v>7700</v>
      </c>
      <c r="H43" s="326">
        <f>IF(売分析!I43&lt;&gt;"",売分析!I43,"")</f>
        <v>7140</v>
      </c>
      <c r="I43" s="325">
        <f>IF(売分析!J43&lt;&gt;"",売分析!J43,"")</f>
        <v>244100</v>
      </c>
      <c r="J43" s="326">
        <f>IF(売分析!AB43&lt;&gt;"",売分析!AB43,"")</f>
        <v>6565.1728110599079</v>
      </c>
      <c r="K43" s="326">
        <f>IF(売分析!AC43&lt;&gt;"",売分析!AC43,"")</f>
        <v>7108.7961859356355</v>
      </c>
      <c r="L43" s="326">
        <f>IF(売分析!K43&lt;&gt;"",売分析!K43,"")</f>
        <v>11110</v>
      </c>
      <c r="M43" s="325" t="str">
        <f>IF(売分析!P43&lt;&gt;"",売分析!P43,"")</f>
        <v>減少↓</v>
      </c>
      <c r="N43" s="328">
        <f>IF(売分析!O43&lt;&gt;"",売分析!O43,"")</f>
        <v>0.63857060639355412</v>
      </c>
      <c r="O43" s="330">
        <f>IF(売分析!X43&lt;&gt;"",売分析!X43,"")</f>
        <v>-269.95004756426806</v>
      </c>
      <c r="P43" s="327">
        <f>IF(売分析!L43&lt;&gt;"",売分析!L43,"")</f>
        <v>-33.663366336633665</v>
      </c>
      <c r="Q43" s="326">
        <f>IF(売分析!S43&lt;&gt;"",売分析!S43,"")</f>
        <v>7665</v>
      </c>
      <c r="R43" s="326">
        <f>IF(売分析!R43&lt;&gt;"",売分析!R43,"")</f>
        <v>6780</v>
      </c>
      <c r="S43" s="325" t="str">
        <f>IF(売分析!AA43&lt;&gt;"",売分析!AA43,"")</f>
        <v>上昇▲</v>
      </c>
      <c r="T43" s="331">
        <f>IF(売分析!Z43&lt;&gt;"",売分析!Z43,"")</f>
        <v>8.2232011747430249</v>
      </c>
      <c r="U43" s="325" t="str">
        <f>IF(売分析!V43&lt;&gt;"",売分析!V43,"")</f>
        <v>安値圏</v>
      </c>
      <c r="V43" s="329">
        <f>IF(売分析!W43&lt;&gt;"",売分析!W43,"")</f>
        <v>42.372881355932208</v>
      </c>
      <c r="W43" s="325" t="str">
        <f>IF(売分析!AD43&lt;&gt;"",売分析!AD43,"")</f>
        <v>上昇トレンド▲</v>
      </c>
      <c r="X43" s="325" t="str">
        <f>IF(売分析!AE43&lt;&gt;"",売分析!AE43,"")</f>
        <v>なし</v>
      </c>
      <c r="Y43" s="387">
        <f>IF(売分析!T43&lt;&gt;"",売分析!T43,"")</f>
        <v>9</v>
      </c>
      <c r="Z43" s="325" t="str">
        <f>IF(売分析!Y43&lt;&gt;"",売分析!Y43,"")</f>
        <v>相場上昇・見送り | 上昇トレンド▲ MACD- RSI:42.4 前日比:+8.2% [安値圏] [9点]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4375</v>
      </c>
      <c r="F44" s="333">
        <f>IF(売分析!F44&lt;&gt;"",売分析!F44,"")</f>
        <v>4375</v>
      </c>
      <c r="G44" s="333">
        <f>IF(売分析!H44&lt;&gt;"",売分析!H44,"")</f>
        <v>4375</v>
      </c>
      <c r="H44" s="333">
        <f>IF(売分析!I44&lt;&gt;"",売分析!I44,"")</f>
        <v>4375</v>
      </c>
      <c r="I44" s="212">
        <f>IF(売分析!J44&lt;&gt;"",売分析!J44,"")</f>
        <v>200</v>
      </c>
      <c r="J44" s="333">
        <f>IF(売分析!AB44&lt;&gt;"",売分析!AB44,"")</f>
        <v>4428.5541474654365</v>
      </c>
      <c r="K44" s="333">
        <f>IF(売分析!AC44&lt;&gt;"",売分析!AC44,"")</f>
        <v>4211.5554231227643</v>
      </c>
      <c r="L44" s="333">
        <f>IF(売分析!K44&lt;&gt;"",売分析!K44,"")</f>
        <v>5320</v>
      </c>
      <c r="M44" s="212" t="str">
        <f>IF(売分析!P44&lt;&gt;"",売分析!P44,"")</f>
        <v>減少↓</v>
      </c>
      <c r="N44" s="335">
        <f>IF(売分析!O44&lt;&gt;"",売分析!O44,"")</f>
        <v>0.16129032258064516</v>
      </c>
      <c r="O44" s="337">
        <f>IF(売分析!X44&lt;&gt;"",売分析!X44,"")</f>
        <v>-15.781138676717092</v>
      </c>
      <c r="P44" s="334">
        <f>IF(売分析!L44&lt;&gt;"",売分析!L44,"")</f>
        <v>-17.763157894736842</v>
      </c>
      <c r="Q44" s="333">
        <f>IF(売分析!S44&lt;&gt;"",売分析!S44,"")</f>
        <v>4550</v>
      </c>
      <c r="R44" s="333">
        <f>IF(売分析!R44&lt;&gt;"",売分析!R44,"")</f>
        <v>4025</v>
      </c>
      <c r="S44" s="212" t="str">
        <f>IF(売分析!AA44&lt;&gt;"",売分析!AA44,"")</f>
        <v>下落▼</v>
      </c>
      <c r="T44" s="338">
        <f>IF(売分析!Z44&lt;&gt;"",売分析!Z44,"")</f>
        <v>-1.0180995475113122</v>
      </c>
      <c r="U44" s="212" t="str">
        <f>IF(売分析!V44&lt;&gt;"",売分析!V44,"")</f>
        <v>通常</v>
      </c>
      <c r="V44" s="336">
        <f>IF(売分析!W44&lt;&gt;"",売分析!W44,"")</f>
        <v>50.131648235913637</v>
      </c>
      <c r="W44" s="212" t="str">
        <f>IF(売分析!AD44&lt;&gt;"",売分析!AD44,"")</f>
        <v>上昇トレンド▲</v>
      </c>
      <c r="X44" s="212" t="str">
        <f>IF(売分析!AE44&lt;&gt;"",売分析!AE44,"")</f>
        <v>なし</v>
      </c>
      <c r="Y44" s="388">
        <f>IF(売分析!T44&lt;&gt;"",売分析!T44,"")</f>
        <v>6</v>
      </c>
      <c r="Z44" s="212" t="str">
        <f>IF(売分析!Y44&lt;&gt;"",売分析!Y44,"")</f>
        <v>相場上昇・見送り | 上昇トレンド▲ MACD- RSI:50.1 前日比:-1.0%前日[大陰線▼] [6点]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3923</v>
      </c>
      <c r="F45" s="326">
        <f>IF(売分析!F45&lt;&gt;"",売分析!F45,"")</f>
        <v>3846</v>
      </c>
      <c r="G45" s="326">
        <f>IF(売分析!H45&lt;&gt;"",売分析!H45,"")</f>
        <v>3976</v>
      </c>
      <c r="H45" s="326">
        <f>IF(売分析!I45&lt;&gt;"",売分析!I45,"")</f>
        <v>3781</v>
      </c>
      <c r="I45" s="325">
        <f>IF(売分析!J45&lt;&gt;"",売分析!J45,"")</f>
        <v>23086900</v>
      </c>
      <c r="J45" s="326">
        <f>IF(売分析!AB45&lt;&gt;"",売分析!AB45,"")</f>
        <v>3250.3404377880183</v>
      </c>
      <c r="K45" s="326">
        <f>IF(売分析!AC45&lt;&gt;"",売分析!AC45,"")</f>
        <v>3381.1078665077466</v>
      </c>
      <c r="L45" s="326">
        <f>IF(売分析!K45&lt;&gt;"",売分析!K45,"")</f>
        <v>4870</v>
      </c>
      <c r="M45" s="325" t="str">
        <f>IF(売分析!P45&lt;&gt;"",売分析!P45,"")</f>
        <v>減少↓</v>
      </c>
      <c r="N45" s="328">
        <f>IF(売分析!O45&lt;&gt;"",売分析!O45,"")</f>
        <v>0.92844130409429626</v>
      </c>
      <c r="O45" s="330">
        <f>IF(売分析!X45&lt;&gt;"",売分析!X45,"")</f>
        <v>-90.792388920510348</v>
      </c>
      <c r="P45" s="327">
        <f>IF(売分析!L45&lt;&gt;"",売分析!L45,"")</f>
        <v>-19.44558521560575</v>
      </c>
      <c r="Q45" s="326">
        <f>IF(売分析!S45&lt;&gt;"",売分析!S45,"")</f>
        <v>4080</v>
      </c>
      <c r="R45" s="326">
        <f>IF(売分析!R45&lt;&gt;"",売分析!R45,"")</f>
        <v>3609</v>
      </c>
      <c r="S45" s="325" t="str">
        <f>IF(売分析!AA45&lt;&gt;"",売分析!AA45,"")</f>
        <v>上昇▲</v>
      </c>
      <c r="T45" s="331">
        <f>IF(売分析!Z45&lt;&gt;"",売分析!Z45,"")</f>
        <v>22.59375</v>
      </c>
      <c r="U45" s="325" t="str">
        <f>IF(売分析!V45&lt;&gt;"",売分析!V45,"")</f>
        <v>通常</v>
      </c>
      <c r="V45" s="329">
        <f>IF(売分析!W45&lt;&gt;"",売分析!W45,"")</f>
        <v>41.40141467727674</v>
      </c>
      <c r="W45" s="325" t="str">
        <f>IF(売分析!AD45&lt;&gt;"",売分析!AD45,"")</f>
        <v>上昇トレンド▲</v>
      </c>
      <c r="X45" s="325" t="str">
        <f>IF(売分析!AE45&lt;&gt;"",売分析!AE45,"")</f>
        <v>なし</v>
      </c>
      <c r="Y45" s="387">
        <f>IF(売分析!T45&lt;&gt;"",売分析!T45,"")</f>
        <v>6</v>
      </c>
      <c r="Z45" s="325" t="str">
        <f>IF(売分析!Y45&lt;&gt;"",売分析!Y45,"")</f>
        <v>相場上昇・見送り | 上昇トレンド▲ MACD- RSI:41.4 前日比:+22.6% [6点]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8476</v>
      </c>
      <c r="F46" s="333">
        <f>IF(売分析!F46&lt;&gt;"",売分析!F46,"")</f>
        <v>8358</v>
      </c>
      <c r="G46" s="333">
        <f>IF(売分析!H46&lt;&gt;"",売分析!H46,"")</f>
        <v>8574</v>
      </c>
      <c r="H46" s="333">
        <f>IF(売分析!I46&lt;&gt;"",売分析!I46,"")</f>
        <v>8233</v>
      </c>
      <c r="I46" s="212">
        <f>IF(売分析!J46&lt;&gt;"",売分析!J46,"")</f>
        <v>1906800</v>
      </c>
      <c r="J46" s="333">
        <f>IF(売分析!AB46&lt;&gt;"",売分析!AB46,"")</f>
        <v>7926.7235023041476</v>
      </c>
      <c r="K46" s="333">
        <f>IF(売分析!AC46&lt;&gt;"",売分析!AC46,"")</f>
        <v>7594.2634088200221</v>
      </c>
      <c r="L46" s="333">
        <f>IF(売分析!K46&lt;&gt;"",売分析!K46,"")</f>
        <v>13300</v>
      </c>
      <c r="M46" s="212" t="str">
        <f>IF(売分析!P46&lt;&gt;"",売分析!P46,"")</f>
        <v>減少↓</v>
      </c>
      <c r="N46" s="335">
        <f>IF(売分析!O46&lt;&gt;"",売分析!O46,"")</f>
        <v>0.57094606733498621</v>
      </c>
      <c r="O46" s="337">
        <f>IF(売分析!X46&lt;&gt;"",売分析!X46,"")</f>
        <v>61.4309263291143</v>
      </c>
      <c r="P46" s="334">
        <f>IF(売分析!L46&lt;&gt;"",売分析!L46,"")</f>
        <v>-36.270676691729328</v>
      </c>
      <c r="Q46" s="333">
        <f>IF(売分析!S46&lt;&gt;"",売分析!S46,"")</f>
        <v>8815</v>
      </c>
      <c r="R46" s="333">
        <f>IF(売分析!R46&lt;&gt;"",売分析!R46,"")</f>
        <v>7798</v>
      </c>
      <c r="S46" s="212" t="str">
        <f>IF(売分析!AA46&lt;&gt;"",売分析!AA46,"")</f>
        <v>上昇▲</v>
      </c>
      <c r="T46" s="338">
        <f>IF(売分析!Z46&lt;&gt;"",売分析!Z46,"")</f>
        <v>6.4690365531968341</v>
      </c>
      <c r="U46" s="212" t="str">
        <f>IF(売分析!V46&lt;&gt;"",売分析!V46,"")</f>
        <v>安値圏</v>
      </c>
      <c r="V46" s="336">
        <f>IF(売分析!W46&lt;&gt;"",売分析!W46,"")</f>
        <v>59.367000232720507</v>
      </c>
      <c r="W46" s="212" t="str">
        <f>IF(売分析!AD46&lt;&gt;"",売分析!AD46,"")</f>
        <v>パーフェクト▲</v>
      </c>
      <c r="X46" s="212" t="str">
        <f>IF(売分析!AE46&lt;&gt;"",売分析!AE46,"")</f>
        <v>なし</v>
      </c>
      <c r="Y46" s="388">
        <f>IF(売分析!T46&lt;&gt;"",売分析!T46,"")</f>
        <v>1</v>
      </c>
      <c r="Z46" s="212" t="str">
        <f>IF(売分析!Y46&lt;&gt;"",売分析!Y46,"")</f>
        <v>相場上昇・見送り | パーフェクト▲ MACD+ RSI:59.4 前日比:+6.5% [安値圏]前日[長い下ヒゲ(反発)] [1点]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8533</v>
      </c>
      <c r="F47" s="326">
        <f>IF(売分析!F47&lt;&gt;"",売分析!F47,"")</f>
        <v>8347</v>
      </c>
      <c r="G47" s="326">
        <f>IF(売分析!H47&lt;&gt;"",売分析!H47,"")</f>
        <v>8628</v>
      </c>
      <c r="H47" s="326">
        <f>IF(売分析!I47&lt;&gt;"",売分析!I47,"")</f>
        <v>8330</v>
      </c>
      <c r="I47" s="325">
        <f>IF(売分析!J47&lt;&gt;"",売分析!J47,"")</f>
        <v>357200</v>
      </c>
      <c r="J47" s="326">
        <f>IF(売分析!AB47&lt;&gt;"",売分析!AB47,"")</f>
        <v>8148.100230414746</v>
      </c>
      <c r="K47" s="326">
        <f>IF(売分析!AC47&lt;&gt;"",売分析!AC47,"")</f>
        <v>8282.4004767580445</v>
      </c>
      <c r="L47" s="326">
        <f>IF(売分析!K47&lt;&gt;"",売分析!K47,"")</f>
        <v>12380</v>
      </c>
      <c r="M47" s="325" t="str">
        <f>IF(売分析!P47&lt;&gt;"",売分析!P47,"")</f>
        <v>減少↓</v>
      </c>
      <c r="N47" s="328">
        <f>IF(売分析!O47&lt;&gt;"",売分析!O47,"")</f>
        <v>0.70215442679666618</v>
      </c>
      <c r="O47" s="330">
        <f>IF(売分析!X47&lt;&gt;"",売分析!X47,"")</f>
        <v>-50.461472940104613</v>
      </c>
      <c r="P47" s="327">
        <f>IF(売分析!L47&lt;&gt;"",売分析!L47,"")</f>
        <v>-31.074313408723746</v>
      </c>
      <c r="Q47" s="326">
        <f>IF(売分析!S47&lt;&gt;"",売分析!S47,"")</f>
        <v>8874</v>
      </c>
      <c r="R47" s="326">
        <f>IF(売分析!R47&lt;&gt;"",売分析!R47,"")</f>
        <v>7850</v>
      </c>
      <c r="S47" s="325" t="str">
        <f>IF(売分析!AA47&lt;&gt;"",売分析!AA47,"")</f>
        <v>上昇▲</v>
      </c>
      <c r="T47" s="331">
        <f>IF(売分析!Z47&lt;&gt;"",売分析!Z47,"")</f>
        <v>4.5838950851820073</v>
      </c>
      <c r="U47" s="325" t="str">
        <f>IF(売分析!V47&lt;&gt;"",売分析!V47,"")</f>
        <v>安値圏</v>
      </c>
      <c r="V47" s="329">
        <f>IF(売分析!W47&lt;&gt;"",売分析!W47,"")</f>
        <v>47.679324894514764</v>
      </c>
      <c r="W47" s="325" t="str">
        <f>IF(売分析!AD47&lt;&gt;"",売分析!AD47,"")</f>
        <v>上昇トレンド▲</v>
      </c>
      <c r="X47" s="325" t="str">
        <f>IF(売分析!AE47&lt;&gt;"",売分析!AE47,"")</f>
        <v>なし</v>
      </c>
      <c r="Y47" s="387">
        <f>IF(売分析!T47&lt;&gt;"",売分析!T47,"")</f>
        <v>9</v>
      </c>
      <c r="Z47" s="325" t="str">
        <f>IF(売分析!Y47&lt;&gt;"",売分析!Y47,"")</f>
        <v>相場上昇・見送り | 上昇トレンド▲ MACD- RSI:47.7 前日比:+4.6% [安値圏] [9点]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2856</v>
      </c>
      <c r="F48" s="333">
        <f>IF(売分析!F48&lt;&gt;"",売分析!F48,"")</f>
        <v>2841</v>
      </c>
      <c r="G48" s="333">
        <f>IF(売分析!H48&lt;&gt;"",売分析!H48,"")</f>
        <v>2886</v>
      </c>
      <c r="H48" s="333">
        <f>IF(売分析!I48&lt;&gt;"",売分析!I48,"")</f>
        <v>2811</v>
      </c>
      <c r="I48" s="212">
        <f>IF(売分析!J48&lt;&gt;"",売分析!J48,"")</f>
        <v>175500</v>
      </c>
      <c r="J48" s="333">
        <f>IF(売分析!AB48&lt;&gt;"",売分析!AB48,"")</f>
        <v>2751.2834101382487</v>
      </c>
      <c r="K48" s="333">
        <f>IF(売分析!AC48&lt;&gt;"",売分析!AC48,"")</f>
        <v>2700.0083432657916</v>
      </c>
      <c r="L48" s="333">
        <f>IF(売分析!K48&lt;&gt;"",売分析!K48,"")</f>
        <v>3330</v>
      </c>
      <c r="M48" s="212" t="str">
        <f>IF(売分析!P48&lt;&gt;"",売分析!P48,"")</f>
        <v>減少↓</v>
      </c>
      <c r="N48" s="335">
        <f>IF(売分析!O48&lt;&gt;"",売分析!O48,"")</f>
        <v>0.2698422460715274</v>
      </c>
      <c r="O48" s="337">
        <f>IF(売分析!X48&lt;&gt;"",売分析!X48,"")</f>
        <v>-0.27794450702231188</v>
      </c>
      <c r="P48" s="334">
        <f>IF(売分析!L48&lt;&gt;"",売分析!L48,"")</f>
        <v>-14.234234234234233</v>
      </c>
      <c r="Q48" s="333">
        <f>IF(売分析!S48&lt;&gt;"",売分析!S48,"")</f>
        <v>2970</v>
      </c>
      <c r="R48" s="333">
        <f>IF(売分析!R48&lt;&gt;"",売分析!R48,"")</f>
        <v>2628</v>
      </c>
      <c r="S48" s="212" t="str">
        <f>IF(売分析!AA48&lt;&gt;"",売分析!AA48,"")</f>
        <v>上昇▲</v>
      </c>
      <c r="T48" s="338">
        <f>IF(売分析!Z48&lt;&gt;"",売分析!Z48,"")</f>
        <v>0.74074074074074081</v>
      </c>
      <c r="U48" s="212" t="str">
        <f>IF(売分析!V48&lt;&gt;"",売分析!V48,"")</f>
        <v>通常</v>
      </c>
      <c r="V48" s="336">
        <f>IF(売分析!W48&lt;&gt;"",売分析!W48,"")</f>
        <v>60.296096904441455</v>
      </c>
      <c r="W48" s="212" t="str">
        <f>IF(売分析!AD48&lt;&gt;"",売分析!AD48,"")</f>
        <v>パーフェクト▲</v>
      </c>
      <c r="X48" s="212" t="str">
        <f>IF(売分析!AE48&lt;&gt;"",売分析!AE48,"")</f>
        <v>なし</v>
      </c>
      <c r="Y48" s="388">
        <f>IF(売分析!T48&lt;&gt;"",売分析!T48,"")</f>
        <v>3</v>
      </c>
      <c r="Z48" s="212" t="str">
        <f>IF(売分析!Y48&lt;&gt;"",売分析!Y48,"")</f>
        <v>相場上昇・見送り | パーフェクト▲ MACD- RSI:60.3 前日比:+0.7% [3点]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1707</v>
      </c>
      <c r="F49" s="326">
        <f>IF(売分析!F49&lt;&gt;"",売分析!F49,"")</f>
        <v>1660</v>
      </c>
      <c r="G49" s="326">
        <f>IF(売分析!H49&lt;&gt;"",売分析!H49,"")</f>
        <v>1712.5</v>
      </c>
      <c r="H49" s="326">
        <f>IF(売分析!I49&lt;&gt;"",売分析!I49,"")</f>
        <v>1657.5</v>
      </c>
      <c r="I49" s="325">
        <f>IF(売分析!J49&lt;&gt;"",売分析!J49,"")</f>
        <v>6146900</v>
      </c>
      <c r="J49" s="326" t="str">
        <f>IF(売分析!AB49&lt;&gt;"",売分析!AB49,"")</f>
        <v/>
      </c>
      <c r="K49" s="326" t="str">
        <f>IF(売分析!AC49&lt;&gt;"",売分析!AC49,"")</f>
        <v/>
      </c>
      <c r="L49" s="326">
        <f>IF(売分析!K49&lt;&gt;"",売分析!K49,"")</f>
        <v>1697.5</v>
      </c>
      <c r="M49" s="325" t="str">
        <f>IF(売分析!P49&lt;&gt;"",売分析!P49,"")</f>
        <v/>
      </c>
      <c r="N49" s="328" t="str">
        <f>IF(売分析!O49&lt;&gt;"",売分析!O49,"")</f>
        <v/>
      </c>
      <c r="O49" s="330">
        <f>IF(売分析!X49&lt;&gt;"",売分析!X49,"")</f>
        <v>0</v>
      </c>
      <c r="P49" s="327">
        <f>IF(売分析!L49&lt;&gt;"",売分析!L49,"")</f>
        <v>0.55964653902798234</v>
      </c>
      <c r="Q49" s="326">
        <f>IF(売分析!S49&lt;&gt;"",売分析!S49,"")</f>
        <v>1775</v>
      </c>
      <c r="R49" s="326">
        <f>IF(売分析!R49&lt;&gt;"",売分析!R49,"")</f>
        <v>1570</v>
      </c>
      <c r="S49" s="325" t="str">
        <f>IF(売分析!AA49&lt;&gt;"",売分析!AA49,"")</f>
        <v>上昇▲</v>
      </c>
      <c r="T49" s="331" t="str">
        <f>IF(売分析!Z49&lt;&gt;"",売分析!Z49,"")</f>
        <v/>
      </c>
      <c r="U49" s="325" t="str">
        <f>IF(売分析!V49&lt;&gt;"",売分析!V49,"")</f>
        <v>通常</v>
      </c>
      <c r="V49" s="329">
        <f>IF(売分析!W49&lt;&gt;"",売分析!W49,"")</f>
        <v>50</v>
      </c>
      <c r="W49" s="325" t="str">
        <f>IF(売分析!AD49&lt;&gt;"",売分析!AD49,"")</f>
        <v/>
      </c>
      <c r="X49" s="325" t="str">
        <f>IF(売分析!AE49&lt;&gt;"",売分析!AE49,"")</f>
        <v/>
      </c>
      <c r="Y49" s="387">
        <f>IF(売分析!T49&lt;&gt;"",売分析!T49,"")</f>
        <v>1</v>
      </c>
      <c r="Z49" s="325" t="str">
        <f>IF(売分析!Y49&lt;&gt;"",売分析!Y49,"")</f>
        <v>相場上昇・見送り |   MACD+ RSI:50.0 前日比:% [1点]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1457</v>
      </c>
      <c r="F50" s="333">
        <f>IF(売分析!F50&lt;&gt;"",売分析!F50,"")</f>
        <v>1405</v>
      </c>
      <c r="G50" s="333">
        <f>IF(売分析!H50&lt;&gt;"",売分析!H50,"")</f>
        <v>1472</v>
      </c>
      <c r="H50" s="333">
        <f>IF(売分析!I50&lt;&gt;"",売分析!I50,"")</f>
        <v>1405</v>
      </c>
      <c r="I50" s="212">
        <f>IF(売分析!J50&lt;&gt;"",売分析!J50,"")</f>
        <v>224700</v>
      </c>
      <c r="J50" s="333">
        <f>IF(売分析!AB50&lt;&gt;"",売分析!AB50,"")</f>
        <v>1368.7546082949307</v>
      </c>
      <c r="K50" s="333">
        <f>IF(売分析!AC50&lt;&gt;"",売分析!AC50,"")</f>
        <v>1451.7234803337303</v>
      </c>
      <c r="L50" s="333">
        <f>IF(売分析!K50&lt;&gt;"",売分析!K50,"")</f>
        <v>2030</v>
      </c>
      <c r="M50" s="212" t="str">
        <f>IF(売分析!P50&lt;&gt;"",売分析!P50,"")</f>
        <v>減少↓</v>
      </c>
      <c r="N50" s="335">
        <f>IF(売分析!O50&lt;&gt;"",売分析!O50,"")</f>
        <v>0.92180833606826384</v>
      </c>
      <c r="O50" s="337">
        <f>IF(売分析!X50&lt;&gt;"",売分析!X50,"")</f>
        <v>-37.226811920123055</v>
      </c>
      <c r="P50" s="334">
        <f>IF(売分析!L50&lt;&gt;"",売分析!L50,"")</f>
        <v>-28.226600985221673</v>
      </c>
      <c r="Q50" s="333">
        <f>IF(売分析!S50&lt;&gt;"",売分析!S50,"")</f>
        <v>1515</v>
      </c>
      <c r="R50" s="333">
        <f>IF(売分析!R50&lt;&gt;"",売分析!R50,"")</f>
        <v>1340</v>
      </c>
      <c r="S50" s="212" t="str">
        <f>IF(売分析!AA50&lt;&gt;"",売分析!AA50,"")</f>
        <v>上昇▲</v>
      </c>
      <c r="T50" s="338">
        <f>IF(売分析!Z50&lt;&gt;"",売分析!Z50,"")</f>
        <v>7.1323529411764701</v>
      </c>
      <c r="U50" s="212" t="str">
        <f>IF(売分析!V50&lt;&gt;"",売分析!V50,"")</f>
        <v>安値圏</v>
      </c>
      <c r="V50" s="336">
        <f>IF(売分析!W50&lt;&gt;"",売分析!W50,"")</f>
        <v>28.051001821493628</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RSI:28.1 [売られ過ぎ] 前日比:+7.1% [安値圏]前日[大陰線▼]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2458</v>
      </c>
      <c r="F51" s="326">
        <f>IF(売分析!F51&lt;&gt;"",売分析!F51,"")</f>
        <v>2291</v>
      </c>
      <c r="G51" s="326">
        <f>IF(売分析!H51&lt;&gt;"",売分析!H51,"")</f>
        <v>2472</v>
      </c>
      <c r="H51" s="326">
        <f>IF(売分析!I51&lt;&gt;"",売分析!I51,"")</f>
        <v>2282</v>
      </c>
      <c r="I51" s="325">
        <f>IF(売分析!J51&lt;&gt;"",売分析!J51,"")</f>
        <v>773500</v>
      </c>
      <c r="J51" s="326">
        <f>IF(売分析!AB51&lt;&gt;"",売分析!AB51,"")</f>
        <v>2270.3732718894007</v>
      </c>
      <c r="K51" s="326">
        <f>IF(売分析!AC51&lt;&gt;"",売分析!AC51,"")</f>
        <v>2446.0965435041703</v>
      </c>
      <c r="L51" s="326">
        <f>IF(売分析!K51&lt;&gt;"",売分析!K51,"")</f>
        <v>3275</v>
      </c>
      <c r="M51" s="325" t="str">
        <f>IF(売分析!P51&lt;&gt;"",売分析!P51,"")</f>
        <v>減少↓</v>
      </c>
      <c r="N51" s="328">
        <f>IF(売分析!O51&lt;&gt;"",売分析!O51,"")</f>
        <v>0.7226405575589977</v>
      </c>
      <c r="O51" s="330">
        <f>IF(売分析!X51&lt;&gt;"",売分析!X51,"")</f>
        <v>-63.044298456846263</v>
      </c>
      <c r="P51" s="327">
        <f>IF(売分析!L51&lt;&gt;"",売分析!L51,"")</f>
        <v>-24.946564885496183</v>
      </c>
      <c r="Q51" s="326">
        <f>IF(売分析!S51&lt;&gt;"",売分析!S51,"")</f>
        <v>2556</v>
      </c>
      <c r="R51" s="326">
        <f>IF(売分析!R51&lt;&gt;"",売分析!R51,"")</f>
        <v>2261</v>
      </c>
      <c r="S51" s="325" t="str">
        <f>IF(売分析!AA51&lt;&gt;"",売分析!AA51,"")</f>
        <v>上昇▲</v>
      </c>
      <c r="T51" s="331">
        <f>IF(売分析!Z51&lt;&gt;"",売分析!Z51,"")</f>
        <v>10.621062106210621</v>
      </c>
      <c r="U51" s="325" t="str">
        <f>IF(売分析!V51&lt;&gt;"",売分析!V51,"")</f>
        <v>安値圏</v>
      </c>
      <c r="V51" s="329">
        <f>IF(売分析!W51&lt;&gt;"",売分析!W51,"")</f>
        <v>29.477611940298502</v>
      </c>
      <c r="W51" s="325" t="str">
        <f>IF(売分析!AD51&lt;&gt;"",売分析!AD51,"")</f>
        <v>上昇トレンド▲</v>
      </c>
      <c r="X51" s="325" t="str">
        <f>IF(売分析!AE51&lt;&gt;"",売分析!AE51,"")</f>
        <v>なし</v>
      </c>
      <c r="Y51" s="387">
        <f>IF(売分析!T51&lt;&gt;"",売分析!T51,"")</f>
        <v>8</v>
      </c>
      <c r="Z51" s="325" t="str">
        <f>IF(売分析!Y51&lt;&gt;"",売分析!Y51,"")</f>
        <v>相場上昇・見送り | 上昇トレンド▲ MACD- RSI:29.5 [売られ過ぎ] 前日比:+10.6% [安値圏] [8点]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3265</v>
      </c>
      <c r="F52" s="333">
        <f>IF(売分析!F52&lt;&gt;"",売分析!F52,"")</f>
        <v>3160</v>
      </c>
      <c r="G52" s="333">
        <f>IF(売分析!H52&lt;&gt;"",売分析!H52,"")</f>
        <v>3305</v>
      </c>
      <c r="H52" s="333">
        <f>IF(売分析!I52&lt;&gt;"",売分析!I52,"")</f>
        <v>3160</v>
      </c>
      <c r="I52" s="212">
        <f>IF(売分析!J52&lt;&gt;"",売分析!J52,"")</f>
        <v>1096300</v>
      </c>
      <c r="J52" s="333">
        <f>IF(売分析!AB52&lt;&gt;"",売分析!AB52,"")</f>
        <v>3061.4988479262674</v>
      </c>
      <c r="K52" s="333">
        <f>IF(売分析!AC52&lt;&gt;"",売分析!AC52,"")</f>
        <v>3041.1120381406427</v>
      </c>
      <c r="L52" s="333">
        <f>IF(売分析!K52&lt;&gt;"",売分析!K52,"")</f>
        <v>4720</v>
      </c>
      <c r="M52" s="212" t="str">
        <f>IF(売分析!P52&lt;&gt;"",売分析!P52,"")</f>
        <v>増加↑</v>
      </c>
      <c r="N52" s="335">
        <f>IF(売分析!O52&lt;&gt;"",売分析!O52,"")</f>
        <v>1.6217455621301775</v>
      </c>
      <c r="O52" s="337">
        <f>IF(売分析!X52&lt;&gt;"",売分析!X52,"")</f>
        <v>9.7021620847085615</v>
      </c>
      <c r="P52" s="334">
        <f>IF(売分析!L52&lt;&gt;"",売分析!L52,"")</f>
        <v>-30.826271186440678</v>
      </c>
      <c r="Q52" s="333">
        <f>IF(売分析!S52&lt;&gt;"",売分析!S52,"")</f>
        <v>3396</v>
      </c>
      <c r="R52" s="333">
        <f>IF(売分析!R52&lt;&gt;"",売分析!R52,"")</f>
        <v>3004</v>
      </c>
      <c r="S52" s="212" t="str">
        <f>IF(売分析!AA52&lt;&gt;"",売分析!AA52,"")</f>
        <v>上昇▲</v>
      </c>
      <c r="T52" s="338">
        <f>IF(売分析!Z52&lt;&gt;"",売分析!Z52,"")</f>
        <v>7.0491803278688518</v>
      </c>
      <c r="U52" s="212" t="str">
        <f>IF(売分析!V52&lt;&gt;"",売分析!V52,"")</f>
        <v>安値圏</v>
      </c>
      <c r="V52" s="336">
        <f>IF(売分析!W52&lt;&gt;"",売分析!W52,"")</f>
        <v>54.465270121278941</v>
      </c>
      <c r="W52" s="212" t="str">
        <f>IF(売分析!AD52&lt;&gt;"",売分析!AD52,"")</f>
        <v>パーフェクト▲</v>
      </c>
      <c r="X52" s="212" t="str">
        <f>IF(売分析!AE52&lt;&gt;"",売分析!AE52,"")</f>
        <v>なし</v>
      </c>
      <c r="Y52" s="388">
        <f>IF(売分析!T52&lt;&gt;"",売分析!T52,"")</f>
        <v>4</v>
      </c>
      <c r="Z52" s="212" t="str">
        <f>IF(売分析!Y52&lt;&gt;"",売分析!Y52,"")</f>
        <v>相場上昇・見送り | パーフェクト▲ MACD+ RSI:54.5 前日比:+7.0% [安値圏] [4点]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5872</v>
      </c>
      <c r="F53" s="326">
        <f>IF(売分析!F53&lt;&gt;"",売分析!F53,"")</f>
        <v>5628</v>
      </c>
      <c r="G53" s="326">
        <f>IF(売分析!H53&lt;&gt;"",売分析!H53,"")</f>
        <v>5880</v>
      </c>
      <c r="H53" s="326">
        <f>IF(売分析!I53&lt;&gt;"",売分析!I53,"")</f>
        <v>5605</v>
      </c>
      <c r="I53" s="325">
        <f>IF(売分析!J53&lt;&gt;"",売分析!J53,"")</f>
        <v>42788800</v>
      </c>
      <c r="J53" s="326">
        <f>IF(売分析!AB53&lt;&gt;"",売分析!AB53,"")</f>
        <v>5169.5092165898614</v>
      </c>
      <c r="K53" s="326">
        <f>IF(売分析!AC53&lt;&gt;"",売分析!AC53,"")</f>
        <v>5511.7187127532743</v>
      </c>
      <c r="L53" s="326">
        <f>IF(売分析!K53&lt;&gt;"",売分析!K53,"")</f>
        <v>9074</v>
      </c>
      <c r="M53" s="325" t="str">
        <f>IF(売分析!P53&lt;&gt;"",売分析!P53,"")</f>
        <v>減少↓</v>
      </c>
      <c r="N53" s="328">
        <f>IF(売分析!O53&lt;&gt;"",売分析!O53,"")</f>
        <v>0.74680413321167249</v>
      </c>
      <c r="O53" s="330">
        <f>IF(売分析!X53&lt;&gt;"",売分析!X53,"")</f>
        <v>-154.48934480713433</v>
      </c>
      <c r="P53" s="327">
        <f>IF(売分析!L53&lt;&gt;"",売分析!L53,"")</f>
        <v>-35.287635001102053</v>
      </c>
      <c r="Q53" s="326">
        <f>IF(売分析!S53&lt;&gt;"",売分析!S53,"")</f>
        <v>6107</v>
      </c>
      <c r="R53" s="326">
        <f>IF(売分析!R53&lt;&gt;"",売分析!R53,"")</f>
        <v>5402</v>
      </c>
      <c r="S53" s="325" t="str">
        <f>IF(売分析!AA53&lt;&gt;"",売分析!AA53,"")</f>
        <v>上昇▲</v>
      </c>
      <c r="T53" s="331">
        <f>IF(売分析!Z53&lt;&gt;"",売分析!Z53,"")</f>
        <v>8.881883923604672</v>
      </c>
      <c r="U53" s="325" t="str">
        <f>IF(売分析!V53&lt;&gt;"",売分析!V53,"")</f>
        <v>安値圏</v>
      </c>
      <c r="V53" s="329">
        <f>IF(売分析!W53&lt;&gt;"",売分析!W53,"")</f>
        <v>37.913866069205866</v>
      </c>
      <c r="W53" s="325" t="str">
        <f>IF(売分析!AD53&lt;&gt;"",売分析!AD53,"")</f>
        <v>上昇トレンド▲</v>
      </c>
      <c r="X53" s="325" t="str">
        <f>IF(売分析!AE53&lt;&gt;"",売分析!AE53,"")</f>
        <v>なし</v>
      </c>
      <c r="Y53" s="387">
        <f>IF(売分析!T53&lt;&gt;"",売分析!T53,"")</f>
        <v>7</v>
      </c>
      <c r="Z53" s="325" t="str">
        <f>IF(売分析!Y53&lt;&gt;"",売分析!Y53,"")</f>
        <v>相場上昇・見送り | 上昇トレンド▲ MACD- RSI:37.9 前日比:+8.9% [安値圏]前日[長い下ヒゲ(反発)] [7点]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2209</v>
      </c>
      <c r="F54" s="333">
        <f>IF(売分析!F54&lt;&gt;"",売分析!F54,"")</f>
        <v>2225</v>
      </c>
      <c r="G54" s="333">
        <f>IF(売分析!H54&lt;&gt;"",売分析!H54,"")</f>
        <v>2243</v>
      </c>
      <c r="H54" s="333">
        <f>IF(売分析!I54&lt;&gt;"",売分析!I54,"")</f>
        <v>2201</v>
      </c>
      <c r="I54" s="212">
        <f>IF(売分析!J54&lt;&gt;"",売分析!J54,"")</f>
        <v>35600</v>
      </c>
      <c r="J54" s="333">
        <f>IF(売分析!AB54&lt;&gt;"",売分析!AB54,"")</f>
        <v>2244.7926267281105</v>
      </c>
      <c r="K54" s="333">
        <f>IF(売分析!AC54&lt;&gt;"",売分析!AC54,"")</f>
        <v>2305.1918951132293</v>
      </c>
      <c r="L54" s="333">
        <f>IF(売分析!K54&lt;&gt;"",売分析!K54,"")</f>
        <v>2653</v>
      </c>
      <c r="M54" s="212" t="str">
        <f>IF(売分析!P54&lt;&gt;"",売分析!P54,"")</f>
        <v>減少↓</v>
      </c>
      <c r="N54" s="335">
        <f>IF(売分析!O54&lt;&gt;"",売分析!O54,"")</f>
        <v>0.29627163781624499</v>
      </c>
      <c r="O54" s="337">
        <f>IF(売分析!X54&lt;&gt;"",売分析!X54,"")</f>
        <v>-18.557268178904906</v>
      </c>
      <c r="P54" s="334">
        <f>IF(売分析!L54&lt;&gt;"",売分析!L54,"")</f>
        <v>-16.735770825480589</v>
      </c>
      <c r="Q54" s="333">
        <f>IF(売分析!S54&lt;&gt;"",売分析!S54,"")</f>
        <v>2297</v>
      </c>
      <c r="R54" s="333">
        <f>IF(売分析!R54&lt;&gt;"",売分析!R54,"")</f>
        <v>2032</v>
      </c>
      <c r="S54" s="212" t="str">
        <f>IF(売分析!AA54&lt;&gt;"",売分析!AA54,"")</f>
        <v>下落▼</v>
      </c>
      <c r="T54" s="338">
        <f>IF(売分析!Z54&lt;&gt;"",売分析!Z54,"")</f>
        <v>-0.7191011235955056</v>
      </c>
      <c r="U54" s="212" t="str">
        <f>IF(売分析!V54&lt;&gt;"",売分析!V54,"")</f>
        <v>通常</v>
      </c>
      <c r="V54" s="336">
        <f>IF(売分析!W54&lt;&gt;"",売分析!W54,"")</f>
        <v>29.166666666666657</v>
      </c>
      <c r="W54" s="212" t="str">
        <f>IF(売分析!AD54&lt;&gt;"",売分析!AD54,"")</f>
        <v>下降トレンド▼</v>
      </c>
      <c r="X54" s="212" t="str">
        <f>IF(売分析!AE54&lt;&gt;"",売分析!AE54,"")</f>
        <v>なし</v>
      </c>
      <c r="Y54" s="388">
        <f>IF(売分析!T54&lt;&gt;"",売分析!T54,"")</f>
        <v>8</v>
      </c>
      <c r="Z54" s="212" t="str">
        <f>IF(売分析!Y54&lt;&gt;"",売分析!Y54,"")</f>
        <v>相場上昇・見送り | 下降トレンド▼ MACD- RSI:29.2 [売られ過ぎ] 前日比:-0.7%前日[大陰線▼] [8点]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7650</v>
      </c>
      <c r="F55" s="326">
        <f>IF(売分析!F55&lt;&gt;"",売分析!F55,"")</f>
        <v>7850</v>
      </c>
      <c r="G55" s="326">
        <f>IF(売分析!H55&lt;&gt;"",売分析!H55,"")</f>
        <v>7940</v>
      </c>
      <c r="H55" s="326">
        <f>IF(売分析!I55&lt;&gt;"",売分析!I55,"")</f>
        <v>7120</v>
      </c>
      <c r="I55" s="325">
        <f>IF(売分析!J55&lt;&gt;"",売分析!J55,"")</f>
        <v>329900</v>
      </c>
      <c r="J55" s="326">
        <f>IF(売分析!AB55&lt;&gt;"",売分析!AB55,"")</f>
        <v>7505.4147465437773</v>
      </c>
      <c r="K55" s="326">
        <f>IF(売分析!AC55&lt;&gt;"",売分析!AC55,"")</f>
        <v>7589.8212157330136</v>
      </c>
      <c r="L55" s="326">
        <f>IF(売分析!K55&lt;&gt;"",売分析!K55,"")</f>
        <v>8380</v>
      </c>
      <c r="M55" s="325" t="str">
        <f>IF(売分析!P55&lt;&gt;"",売分析!P55,"")</f>
        <v>急増↑↑</v>
      </c>
      <c r="N55" s="328">
        <f>IF(売分析!O55&lt;&gt;"",売分析!O55,"")</f>
        <v>2.3618270332187858</v>
      </c>
      <c r="O55" s="330">
        <f>IF(売分析!X55&lt;&gt;"",売分析!X55,"")</f>
        <v>-18.58154983899658</v>
      </c>
      <c r="P55" s="327">
        <f>IF(売分析!L55&lt;&gt;"",売分析!L55,"")</f>
        <v>-8.7112171837708843</v>
      </c>
      <c r="Q55" s="326">
        <f>IF(売分析!S55&lt;&gt;"",売分析!S55,"")</f>
        <v>7956</v>
      </c>
      <c r="R55" s="326">
        <f>IF(売分析!R55&lt;&gt;"",売分析!R55,"")</f>
        <v>7038</v>
      </c>
      <c r="S55" s="325" t="str">
        <f>IF(売分析!AA55&lt;&gt;"",売分析!AA55,"")</f>
        <v>下落▼</v>
      </c>
      <c r="T55" s="331">
        <f>IF(売分析!Z55&lt;&gt;"",売分析!Z55,"")</f>
        <v>-1.9230769230769231</v>
      </c>
      <c r="U55" s="325" t="str">
        <f>IF(売分析!V55&lt;&gt;"",売分析!V55,"")</f>
        <v>通常</v>
      </c>
      <c r="V55" s="329">
        <f>IF(売分析!W55&lt;&gt;"",売分析!W55,"")</f>
        <v>59.706959706959708</v>
      </c>
      <c r="W55" s="325" t="str">
        <f>IF(売分析!AD55&lt;&gt;"",売分析!AD55,"")</f>
        <v>上昇トレンド▲</v>
      </c>
      <c r="X55" s="325" t="str">
        <f>IF(売分析!AE55&lt;&gt;"",売分析!AE55,"")</f>
        <v>なし</v>
      </c>
      <c r="Y55" s="387">
        <f>IF(売分析!T55&lt;&gt;"",売分析!T55,"")</f>
        <v>3</v>
      </c>
      <c r="Z55" s="325" t="str">
        <f>IF(売分析!Y55&lt;&gt;"",売分析!Y55,"")</f>
        <v>相場上昇・見送り | 上昇トレンド▲ MACD- RSI:59.7 前日比:-1.9% [長い下ヒゲ(反発警戒)]前日[長い下ヒゲ(反発)] [3点]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20330</v>
      </c>
      <c r="F56" s="333">
        <f>IF(売分析!F56&lt;&gt;"",売分析!F56,"")</f>
        <v>19930</v>
      </c>
      <c r="G56" s="333">
        <f>IF(売分析!H56&lt;&gt;"",売分析!H56,"")</f>
        <v>20330</v>
      </c>
      <c r="H56" s="333">
        <f>IF(売分析!I56&lt;&gt;"",売分析!I56,"")</f>
        <v>19155</v>
      </c>
      <c r="I56" s="212">
        <f>IF(売分析!J56&lt;&gt;"",売分析!J56,"")</f>
        <v>8304600</v>
      </c>
      <c r="J56" s="333">
        <f>IF(売分析!AB56&lt;&gt;"",売分析!AB56,"")</f>
        <v>15658.099078341014</v>
      </c>
      <c r="K56" s="333">
        <f>IF(売分析!AC56&lt;&gt;"",売分析!AC56,"")</f>
        <v>17250.601907032171</v>
      </c>
      <c r="L56" s="333">
        <f>IF(売分析!K56&lt;&gt;"",売分析!K56,"")</f>
        <v>27480</v>
      </c>
      <c r="M56" s="212" t="str">
        <f>IF(売分析!P56&lt;&gt;"",売分析!P56,"")</f>
        <v>普通→</v>
      </c>
      <c r="N56" s="335">
        <f>IF(売分析!O56&lt;&gt;"",売分析!O56,"")</f>
        <v>1.0739003144914343</v>
      </c>
      <c r="O56" s="337">
        <f>IF(売分析!X56&lt;&gt;"",売分析!X56,"")</f>
        <v>-721.69798478739176</v>
      </c>
      <c r="P56" s="334">
        <f>IF(売分析!L56&lt;&gt;"",売分析!L56,"")</f>
        <v>-26.018922852983987</v>
      </c>
      <c r="Q56" s="333">
        <f>IF(売分析!S56&lt;&gt;"",売分析!S56,"")</f>
        <v>21143</v>
      </c>
      <c r="R56" s="333">
        <f>IF(売分析!R56&lt;&gt;"",売分析!R56,"")</f>
        <v>18704</v>
      </c>
      <c r="S56" s="212" t="str">
        <f>IF(売分析!AA56&lt;&gt;"",売分析!AA56,"")</f>
        <v>上昇▲</v>
      </c>
      <c r="T56" s="338">
        <f>IF(売分析!Z56&lt;&gt;"",売分析!Z56,"")</f>
        <v>30.86578693273254</v>
      </c>
      <c r="U56" s="212" t="str">
        <f>IF(売分析!V56&lt;&gt;"",売分析!V56,"")</f>
        <v>安値圏</v>
      </c>
      <c r="V56" s="336">
        <f>IF(売分析!W56&lt;&gt;"",売分析!W56,"")</f>
        <v>40.915634897782901</v>
      </c>
      <c r="W56" s="212" t="str">
        <f>IF(売分析!AD56&lt;&gt;"",売分析!AD56,"")</f>
        <v>上昇トレンド▲</v>
      </c>
      <c r="X56" s="212" t="str">
        <f>IF(売分析!AE56&lt;&gt;"",売分析!AE56,"")</f>
        <v>なし</v>
      </c>
      <c r="Y56" s="388">
        <f>IF(売分析!T56&lt;&gt;"",売分析!T56,"")</f>
        <v>6</v>
      </c>
      <c r="Z56" s="212" t="str">
        <f>IF(売分析!Y56&lt;&gt;"",売分析!Y56,"")</f>
        <v>相場上昇・見送り | 上昇トレンド▲ MACD- RSI:40.9 前日比:+30.9% [安値圏] [長い下ヒゲ(反発警戒)] [6点]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2359.5</v>
      </c>
      <c r="F57" s="326">
        <f>IF(売分析!F57&lt;&gt;"",売分析!F57,"")</f>
        <v>2352</v>
      </c>
      <c r="G57" s="326">
        <f>IF(売分析!H57&lt;&gt;"",売分析!H57,"")</f>
        <v>2395</v>
      </c>
      <c r="H57" s="326">
        <f>IF(売分析!I57&lt;&gt;"",売分析!I57,"")</f>
        <v>2294</v>
      </c>
      <c r="I57" s="325">
        <f>IF(売分析!J57&lt;&gt;"",売分析!J57,"")</f>
        <v>22279800</v>
      </c>
      <c r="J57" s="326" t="str">
        <f>IF(売分析!AB57&lt;&gt;"",売分析!AB57,"")</f>
        <v/>
      </c>
      <c r="K57" s="326" t="str">
        <f>IF(売分析!AC57&lt;&gt;"",売分析!AC57,"")</f>
        <v/>
      </c>
      <c r="L57" s="326">
        <f>IF(売分析!K57&lt;&gt;"",売分析!K57,"")</f>
        <v>3019</v>
      </c>
      <c r="M57" s="325" t="str">
        <f>IF(売分析!P57&lt;&gt;"",売分析!P57,"")</f>
        <v/>
      </c>
      <c r="N57" s="328" t="str">
        <f>IF(売分析!O57&lt;&gt;"",売分析!O57,"")</f>
        <v/>
      </c>
      <c r="O57" s="330">
        <f>IF(売分析!X57&lt;&gt;"",売分析!X57,"")</f>
        <v>0</v>
      </c>
      <c r="P57" s="327">
        <f>IF(売分析!L57&lt;&gt;"",売分析!L57,"")</f>
        <v>-21.844981782047036</v>
      </c>
      <c r="Q57" s="326">
        <f>IF(売分析!S57&lt;&gt;"",売分析!S57,"")</f>
        <v>2454</v>
      </c>
      <c r="R57" s="326">
        <f>IF(売分析!R57&lt;&gt;"",売分析!R57,"")</f>
        <v>2171</v>
      </c>
      <c r="S57" s="325" t="str">
        <f>IF(売分析!AA57&lt;&gt;"",売分析!AA57,"")</f>
        <v>上昇▲</v>
      </c>
      <c r="T57" s="331" t="str">
        <f>IF(売分析!Z57&lt;&gt;"",売分析!Z57,"")</f>
        <v/>
      </c>
      <c r="U57" s="325" t="str">
        <f>IF(売分析!V57&lt;&gt;"",売分析!V57,"")</f>
        <v>通常</v>
      </c>
      <c r="V57" s="329">
        <f>IF(売分析!W57&lt;&gt;"",売分析!W57,"")</f>
        <v>50</v>
      </c>
      <c r="W57" s="325" t="str">
        <f>IF(売分析!AD57&lt;&gt;"",売分析!AD57,"")</f>
        <v/>
      </c>
      <c r="X57" s="325" t="str">
        <f>IF(売分析!AE57&lt;&gt;"",売分析!AE57,"")</f>
        <v/>
      </c>
      <c r="Y57" s="387">
        <f>IF(売分析!T57&lt;&gt;"",売分析!T57,"")</f>
        <v>2</v>
      </c>
      <c r="Z57" s="325" t="str">
        <f>IF(売分析!Y57&lt;&gt;"",売分析!Y57,"")</f>
        <v>相場上昇・見送り |   MACD+ RSI:50.0 前日比:% [2点]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5076</v>
      </c>
      <c r="F58" s="333">
        <f>IF(売分析!F58&lt;&gt;"",売分析!F58,"")</f>
        <v>4830</v>
      </c>
      <c r="G58" s="333">
        <f>IF(売分析!H58&lt;&gt;"",売分析!H58,"")</f>
        <v>5095</v>
      </c>
      <c r="H58" s="333">
        <f>IF(売分析!I58&lt;&gt;"",売分析!I58,"")</f>
        <v>4799</v>
      </c>
      <c r="I58" s="212">
        <f>IF(売分析!J58&lt;&gt;"",売分析!J58,"")</f>
        <v>37509700</v>
      </c>
      <c r="J58" s="333">
        <f>IF(売分析!AB58&lt;&gt;"",売分析!AB58,"")</f>
        <v>4294.2396313364052</v>
      </c>
      <c r="K58" s="333">
        <f>IF(売分析!AC58&lt;&gt;"",売分析!AC58,"")</f>
        <v>4553.9976162097728</v>
      </c>
      <c r="L58" s="333">
        <f>IF(売分析!K58&lt;&gt;"",売分析!K58,"")</f>
        <v>7933</v>
      </c>
      <c r="M58" s="212" t="str">
        <f>IF(売分析!P58&lt;&gt;"",売分析!P58,"")</f>
        <v>減少↓</v>
      </c>
      <c r="N58" s="335">
        <f>IF(売分析!O58&lt;&gt;"",売分析!O58,"")</f>
        <v>0.69798292300689946</v>
      </c>
      <c r="O58" s="337">
        <f>IF(売分析!X58&lt;&gt;"",売分析!X58,"")</f>
        <v>-143.01137164214106</v>
      </c>
      <c r="P58" s="334">
        <f>IF(売分析!L58&lt;&gt;"",売分析!L58,"")</f>
        <v>-36.014118240262192</v>
      </c>
      <c r="Q58" s="333">
        <f>IF(売分析!S58&lt;&gt;"",売分析!S58,"")</f>
        <v>5279</v>
      </c>
      <c r="R58" s="333">
        <f>IF(売分析!R58&lt;&gt;"",売分析!R58,"")</f>
        <v>4670</v>
      </c>
      <c r="S58" s="212" t="str">
        <f>IF(売分析!AA58&lt;&gt;"",売分析!AA58,"")</f>
        <v>上昇▲</v>
      </c>
      <c r="T58" s="338">
        <f>IF(売分析!Z58&lt;&gt;"",売分析!Z58,"")</f>
        <v>18.321678321678323</v>
      </c>
      <c r="U58" s="212" t="str">
        <f>IF(売分析!V58&lt;&gt;"",売分析!V58,"")</f>
        <v>安値圏</v>
      </c>
      <c r="V58" s="336">
        <f>IF(売分析!W58&lt;&gt;"",売分析!W58,"")</f>
        <v>38.45410628019323</v>
      </c>
      <c r="W58" s="212" t="str">
        <f>IF(売分析!AD58&lt;&gt;"",売分析!AD58,"")</f>
        <v>上昇トレンド▲</v>
      </c>
      <c r="X58" s="212" t="str">
        <f>IF(売分析!AE58&lt;&gt;"",売分析!AE58,"")</f>
        <v>なし</v>
      </c>
      <c r="Y58" s="388">
        <f>IF(売分析!T58&lt;&gt;"",売分析!T58,"")</f>
        <v>9</v>
      </c>
      <c r="Z58" s="212" t="str">
        <f>IF(売分析!Y58&lt;&gt;"",売分析!Y58,"")</f>
        <v>相場上昇・見送り | 上昇トレンド▲ MACD- RSI:38.5 前日比:+18.3% [安値圏] [9点]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2347</v>
      </c>
      <c r="F59" s="326">
        <f>IF(売分析!F59&lt;&gt;"",売分析!F59,"")</f>
        <v>2340</v>
      </c>
      <c r="G59" s="326">
        <f>IF(売分析!H59&lt;&gt;"",売分析!H59,"")</f>
        <v>2350</v>
      </c>
      <c r="H59" s="326">
        <f>IF(売分析!I59&lt;&gt;"",売分析!I59,"")</f>
        <v>2316.5</v>
      </c>
      <c r="I59" s="325">
        <f>IF(売分析!J59&lt;&gt;"",売分析!J59,"")</f>
        <v>2014900</v>
      </c>
      <c r="J59" s="326">
        <f>IF(売分析!AB59&lt;&gt;"",売分析!AB59,"")</f>
        <v>2361.022465437788</v>
      </c>
      <c r="K59" s="326">
        <f>IF(売分析!AC59&lt;&gt;"",売分析!AC59,"")</f>
        <v>2388.4410011918944</v>
      </c>
      <c r="L59" s="326">
        <f>IF(売分析!K59&lt;&gt;"",売分析!K59,"")</f>
        <v>2539.5</v>
      </c>
      <c r="M59" s="325" t="str">
        <f>IF(売分析!P59&lt;&gt;"",売分析!P59,"")</f>
        <v>減少↓</v>
      </c>
      <c r="N59" s="328">
        <f>IF(売分析!O59&lt;&gt;"",売分析!O59,"")</f>
        <v>0.33083756136807713</v>
      </c>
      <c r="O59" s="330">
        <f>IF(売分析!X59&lt;&gt;"",売分析!X59,"")</f>
        <v>11.585487324818587</v>
      </c>
      <c r="P59" s="327">
        <f>IF(売分析!L59&lt;&gt;"",売分析!L59,"")</f>
        <v>-7.5802323291986609</v>
      </c>
      <c r="Q59" s="326">
        <f>IF(売分析!S59&lt;&gt;"",売分析!S59,"")</f>
        <v>2441</v>
      </c>
      <c r="R59" s="326">
        <f>IF(売分析!R59&lt;&gt;"",売分析!R59,"")</f>
        <v>2159</v>
      </c>
      <c r="S59" s="325" t="str">
        <f>IF(売分析!AA59&lt;&gt;"",売分析!AA59,"")</f>
        <v>上昇▲</v>
      </c>
      <c r="T59" s="331">
        <f>IF(売分析!Z59&lt;&gt;"",売分析!Z59,"")</f>
        <v>0.49239991436523228</v>
      </c>
      <c r="U59" s="325" t="str">
        <f>IF(売分析!V59&lt;&gt;"",売分析!V59,"")</f>
        <v>通常</v>
      </c>
      <c r="V59" s="329">
        <f>IF(売分析!W59&lt;&gt;"",売分析!W59,"")</f>
        <v>50.220264317180622</v>
      </c>
      <c r="W59" s="325" t="str">
        <f>IF(売分析!AD59&lt;&gt;"",売分析!AD59,"")</f>
        <v>下降トレンド▼</v>
      </c>
      <c r="X59" s="325" t="str">
        <f>IF(売分析!AE59&lt;&gt;"",売分析!AE59,"")</f>
        <v>25日戻り売り★</v>
      </c>
      <c r="Y59" s="387">
        <f>IF(売分析!T59&lt;&gt;"",売分析!T59,"")</f>
        <v>2</v>
      </c>
      <c r="Z59" s="325" t="str">
        <f>IF(売分析!Y59&lt;&gt;"",売分析!Y59,"")</f>
        <v>★逆張り売り | 下降トレンド▼ 25日戻り売り★ MACD+ RSI:50.2 前日比:+0.5% [長い下ヒゲ(反発警戒)] [2点]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2190</v>
      </c>
      <c r="F60" s="333">
        <f>IF(売分析!F60&lt;&gt;"",売分析!F60,"")</f>
        <v>2202.5</v>
      </c>
      <c r="G60" s="333">
        <f>IF(売分析!H60&lt;&gt;"",売分析!H60,"")</f>
        <v>2218.5</v>
      </c>
      <c r="H60" s="333">
        <f>IF(売分析!I60&lt;&gt;"",売分析!I60,"")</f>
        <v>2190</v>
      </c>
      <c r="I60" s="212">
        <f>IF(売分析!J60&lt;&gt;"",売分析!J60,"")</f>
        <v>206400</v>
      </c>
      <c r="J60" s="333">
        <f>IF(売分析!AB60&lt;&gt;"",売分析!AB60,"")</f>
        <v>2212.9032258064512</v>
      </c>
      <c r="K60" s="333">
        <f>IF(売分析!AC60&lt;&gt;"",売分析!AC60,"")</f>
        <v>2162.0667461263397</v>
      </c>
      <c r="L60" s="333">
        <f>IF(売分析!K60&lt;&gt;"",売分析!K60,"")</f>
        <v>2274</v>
      </c>
      <c r="M60" s="212" t="str">
        <f>IF(売分析!P60&lt;&gt;"",売分析!P60,"")</f>
        <v>減少↓</v>
      </c>
      <c r="N60" s="335">
        <f>IF(売分析!O60&lt;&gt;"",売分析!O60,"")</f>
        <v>0.41046853870018296</v>
      </c>
      <c r="O60" s="337">
        <f>IF(売分析!X60&lt;&gt;"",売分析!X60,"")</f>
        <v>26.783381560983798</v>
      </c>
      <c r="P60" s="334">
        <f>IF(売分析!L60&lt;&gt;"",売分析!L60,"")</f>
        <v>-3.6939313984168867</v>
      </c>
      <c r="Q60" s="333">
        <f>IF(売分析!S60&lt;&gt;"",売分析!S60,"")</f>
        <v>2278</v>
      </c>
      <c r="R60" s="333">
        <f>IF(売分析!R60&lt;&gt;"",売分析!R60,"")</f>
        <v>2015</v>
      </c>
      <c r="S60" s="212" t="str">
        <f>IF(売分析!AA60&lt;&gt;"",売分析!AA60,"")</f>
        <v>下落▼</v>
      </c>
      <c r="T60" s="338">
        <f>IF(売分析!Z60&lt;&gt;"",売分析!Z60,"")</f>
        <v>-1.3291281820229781</v>
      </c>
      <c r="U60" s="212" t="str">
        <f>IF(売分析!V60&lt;&gt;"",売分析!V60,"")</f>
        <v>通常</v>
      </c>
      <c r="V60" s="336">
        <f>IF(売分析!W60&lt;&gt;"",売分析!W60,"")</f>
        <v>67.84615384615384</v>
      </c>
      <c r="W60" s="212" t="str">
        <f>IF(売分析!AD60&lt;&gt;"",売分析!AD60,"")</f>
        <v>上昇トレンド▲</v>
      </c>
      <c r="X60" s="212" t="str">
        <f>IF(売分析!AE60&lt;&gt;"",売分析!AE60,"")</f>
        <v>なし</v>
      </c>
      <c r="Y60" s="388">
        <f>IF(売分析!T60&lt;&gt;"",売分析!T60,"")</f>
        <v>1</v>
      </c>
      <c r="Z60" s="212" t="str">
        <f>IF(売分析!Y60&lt;&gt;"",売分析!Y60,"")</f>
        <v>相場上昇・見送り | 上昇トレンド▲ MACD+ RSI:67.8 前日比:-1.3%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4659</v>
      </c>
      <c r="F61" s="326">
        <f>IF(売分析!F61&lt;&gt;"",売分析!F61,"")</f>
        <v>4540</v>
      </c>
      <c r="G61" s="326">
        <f>IF(売分析!H61&lt;&gt;"",売分析!H61,"")</f>
        <v>4659</v>
      </c>
      <c r="H61" s="326">
        <f>IF(売分析!I61&lt;&gt;"",売分析!I61,"")</f>
        <v>4535</v>
      </c>
      <c r="I61" s="325">
        <f>IF(売分析!J61&lt;&gt;"",売分析!J61,"")</f>
        <v>487700</v>
      </c>
      <c r="J61" s="326">
        <f>IF(売分析!AB61&lt;&gt;"",売分析!AB61,"")</f>
        <v>4514.5195852534562</v>
      </c>
      <c r="K61" s="326">
        <f>IF(売分析!AC61&lt;&gt;"",売分析!AC61,"")</f>
        <v>4586.4994040524425</v>
      </c>
      <c r="L61" s="326">
        <f>IF(売分析!K61&lt;&gt;"",売分析!K61,"")</f>
        <v>4890</v>
      </c>
      <c r="M61" s="325" t="str">
        <f>IF(売分析!P61&lt;&gt;"",売分析!P61,"")</f>
        <v>減少↓</v>
      </c>
      <c r="N61" s="328">
        <f>IF(売分析!O61&lt;&gt;"",売分析!O61,"")</f>
        <v>0.40861638487189367</v>
      </c>
      <c r="O61" s="330">
        <f>IF(売分析!X61&lt;&gt;"",売分析!X61,"")</f>
        <v>-25.866457834968969</v>
      </c>
      <c r="P61" s="327">
        <f>IF(売分析!L61&lt;&gt;"",売分析!L61,"")</f>
        <v>-4.7239263803680975</v>
      </c>
      <c r="Q61" s="326">
        <f>IF(売分析!S61&lt;&gt;"",売分析!S61,"")</f>
        <v>4845</v>
      </c>
      <c r="R61" s="326">
        <f>IF(売分析!R61&lt;&gt;"",売分析!R61,"")</f>
        <v>4286</v>
      </c>
      <c r="S61" s="325" t="str">
        <f>IF(売分析!AA61&lt;&gt;"",売分析!AA61,"")</f>
        <v>上昇▲</v>
      </c>
      <c r="T61" s="331">
        <f>IF(売分析!Z61&lt;&gt;"",売分析!Z61,"")</f>
        <v>3.7639198218262808</v>
      </c>
      <c r="U61" s="325" t="str">
        <f>IF(売分析!V61&lt;&gt;"",売分析!V61,"")</f>
        <v>通常</v>
      </c>
      <c r="V61" s="329">
        <f>IF(売分析!W61&lt;&gt;"",売分析!W61,"")</f>
        <v>42.697594501718214</v>
      </c>
      <c r="W61" s="325" t="str">
        <f>IF(売分析!AD61&lt;&gt;"",売分析!AD61,"")</f>
        <v>上昇トレンド▲</v>
      </c>
      <c r="X61" s="325" t="str">
        <f>IF(売分析!AE61&lt;&gt;"",売分析!AE61,"")</f>
        <v>なし</v>
      </c>
      <c r="Y61" s="387">
        <f>IF(売分析!T61&lt;&gt;"",売分析!T61,"")</f>
        <v>1</v>
      </c>
      <c r="Z61" s="325" t="str">
        <f>IF(売分析!Y61&lt;&gt;"",売分析!Y61,"")</f>
        <v>相場上昇・見送り | 上昇トレンド▲ MACD- RSI:42.7 前日比:+3.8% [1点]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9870</v>
      </c>
      <c r="F62" s="333">
        <f>IF(売分析!F62&lt;&gt;"",売分析!F62,"")</f>
        <v>9950</v>
      </c>
      <c r="G62" s="333">
        <f>IF(売分析!H62&lt;&gt;"",売分析!H62,"")</f>
        <v>9960</v>
      </c>
      <c r="H62" s="333">
        <f>IF(売分析!I62&lt;&gt;"",売分析!I62,"")</f>
        <v>9460</v>
      </c>
      <c r="I62" s="212">
        <f>IF(売分析!J62&lt;&gt;"",売分析!J62,"")</f>
        <v>121300</v>
      </c>
      <c r="J62" s="333">
        <f>IF(売分析!AB62&lt;&gt;"",売分析!AB62,"")</f>
        <v>8638.0645161290322</v>
      </c>
      <c r="K62" s="333">
        <f>IF(売分析!AC62&lt;&gt;"",売分析!AC62,"")</f>
        <v>9455.2800953516089</v>
      </c>
      <c r="L62" s="333">
        <f>IF(売分析!K62&lt;&gt;"",売分析!K62,"")</f>
        <v>16930</v>
      </c>
      <c r="M62" s="212" t="str">
        <f>IF(売分析!P62&lt;&gt;"",売分析!P62,"")</f>
        <v>減少↓</v>
      </c>
      <c r="N62" s="335">
        <f>IF(売分析!O62&lt;&gt;"",売分析!O62,"")</f>
        <v>0.72756717850287911</v>
      </c>
      <c r="O62" s="337">
        <f>IF(売分析!X62&lt;&gt;"",売分析!X62,"")</f>
        <v>-674.44176660470475</v>
      </c>
      <c r="P62" s="334">
        <f>IF(売分析!L62&lt;&gt;"",売分析!L62,"")</f>
        <v>-41.701122268163026</v>
      </c>
      <c r="Q62" s="333">
        <f>IF(売分析!S62&lt;&gt;"",売分析!S62,"")</f>
        <v>10265</v>
      </c>
      <c r="R62" s="333">
        <f>IF(売分析!R62&lt;&gt;"",売分析!R62,"")</f>
        <v>9080</v>
      </c>
      <c r="S62" s="212" t="str">
        <f>IF(売分析!AA62&lt;&gt;"",売分析!AA62,"")</f>
        <v>上昇▲</v>
      </c>
      <c r="T62" s="338">
        <f>IF(売分析!Z62&lt;&gt;"",売分析!Z62,"")</f>
        <v>15.845070422535212</v>
      </c>
      <c r="U62" s="212" t="str">
        <f>IF(売分析!V62&lt;&gt;"",売分析!V62,"")</f>
        <v>年初来安値圏●</v>
      </c>
      <c r="V62" s="336">
        <f>IF(売分析!W62&lt;&gt;"",売分析!W62,"")</f>
        <v>41.74793698424606</v>
      </c>
      <c r="W62" s="212" t="str">
        <f>IF(売分析!AD62&lt;&gt;"",売分析!AD62,"")</f>
        <v>上昇トレンド▲</v>
      </c>
      <c r="X62" s="212" t="str">
        <f>IF(売分析!AE62&lt;&gt;"",売分析!AE62,"")</f>
        <v>なし</v>
      </c>
      <c r="Y62" s="388">
        <f>IF(売分析!T62&lt;&gt;"",売分析!T62,"")</f>
        <v>8</v>
      </c>
      <c r="Z62" s="212" t="str">
        <f>IF(売分析!Y62&lt;&gt;"",売分析!Y62,"")</f>
        <v>相場上昇・見送り | 上昇トレンド▲ MACD- RSI:41.7 前日比:+15.8% [年初来安値圏] [長い下ヒゲ(反発警戒)] [8点]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1154</v>
      </c>
      <c r="F63" s="326">
        <f>IF(売分析!F63&lt;&gt;"",売分析!F63,"")</f>
        <v>1138</v>
      </c>
      <c r="G63" s="326">
        <f>IF(売分析!H63&lt;&gt;"",売分析!H63,"")</f>
        <v>1178</v>
      </c>
      <c r="H63" s="326">
        <f>IF(売分析!I63&lt;&gt;"",売分析!I63,"")</f>
        <v>1138</v>
      </c>
      <c r="I63" s="325">
        <f>IF(売分析!J63&lt;&gt;"",売分析!J63,"")</f>
        <v>402100</v>
      </c>
      <c r="J63" s="326">
        <f>IF(売分析!AB63&lt;&gt;"",売分析!AB63,"")</f>
        <v>1114.4205069124423</v>
      </c>
      <c r="K63" s="326">
        <f>IF(売分析!AC63&lt;&gt;"",売分析!AC63,"")</f>
        <v>1107.8653158522043</v>
      </c>
      <c r="L63" s="326">
        <f>IF(売分析!K63&lt;&gt;"",売分析!K63,"")</f>
        <v>1189</v>
      </c>
      <c r="M63" s="325" t="str">
        <f>IF(売分析!P63&lt;&gt;"",売分析!P63,"")</f>
        <v>減少↓</v>
      </c>
      <c r="N63" s="328">
        <f>IF(売分析!O63&lt;&gt;"",売分析!O63,"")</f>
        <v>0.54168013794589931</v>
      </c>
      <c r="O63" s="330">
        <f>IF(売分析!X63&lt;&gt;"",売分析!X63,"")</f>
        <v>10.544505431083508</v>
      </c>
      <c r="P63" s="327">
        <f>IF(売分析!L63&lt;&gt;"",売分析!L63,"")</f>
        <v>-2.9436501261564341</v>
      </c>
      <c r="Q63" s="326">
        <f>IF(売分析!S63&lt;&gt;"",売分析!S63,"")</f>
        <v>1200</v>
      </c>
      <c r="R63" s="326">
        <f>IF(売分析!R63&lt;&gt;"",売分析!R63,"")</f>
        <v>1062</v>
      </c>
      <c r="S63" s="325" t="str">
        <f>IF(売分析!AA63&lt;&gt;"",売分析!AA63,"")</f>
        <v>上昇▲</v>
      </c>
      <c r="T63" s="331">
        <f>IF(売分析!Z63&lt;&gt;"",売分析!Z63,"")</f>
        <v>2.3957409050576755</v>
      </c>
      <c r="U63" s="325" t="str">
        <f>IF(売分析!V63&lt;&gt;"",売分析!V63,"")</f>
        <v>通常</v>
      </c>
      <c r="V63" s="329">
        <f>IF(売分析!W63&lt;&gt;"",売分析!W63,"")</f>
        <v>59.477124183006538</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RSI:59.5 前日比:+2.4%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14950</v>
      </c>
      <c r="F64" s="333">
        <f>IF(売分析!F64&lt;&gt;"",売分析!F64,"")</f>
        <v>14450</v>
      </c>
      <c r="G64" s="333">
        <f>IF(売分析!H64&lt;&gt;"",売分析!H64,"")</f>
        <v>15060</v>
      </c>
      <c r="H64" s="333">
        <f>IF(売分析!I64&lt;&gt;"",売分析!I64,"")</f>
        <v>14150</v>
      </c>
      <c r="I64" s="212">
        <f>IF(売分析!J64&lt;&gt;"",売分析!J64,"")</f>
        <v>128300</v>
      </c>
      <c r="J64" s="333">
        <f>IF(売分析!AB64&lt;&gt;"",売分析!AB64,"")</f>
        <v>13395.771889400919</v>
      </c>
      <c r="K64" s="333">
        <f>IF(売分析!AC64&lt;&gt;"",売分析!AC64,"")</f>
        <v>13847.651966626929</v>
      </c>
      <c r="L64" s="333">
        <f>IF(売分析!K64&lt;&gt;"",売分析!K64,"")</f>
        <v>16900</v>
      </c>
      <c r="M64" s="212" t="str">
        <f>IF(売分析!P64&lt;&gt;"",売分析!P64,"")</f>
        <v>減少↓</v>
      </c>
      <c r="N64" s="335">
        <f>IF(売分析!O64&lt;&gt;"",売分析!O64,"")</f>
        <v>0.63133549847455961</v>
      </c>
      <c r="O64" s="337">
        <f>IF(売分析!X64&lt;&gt;"",売分析!X64,"")</f>
        <v>-267.56009218313011</v>
      </c>
      <c r="P64" s="334">
        <f>IF(売分析!L64&lt;&gt;"",売分析!L64,"")</f>
        <v>-11.538461538461538</v>
      </c>
      <c r="Q64" s="333">
        <f>IF(売分析!S64&lt;&gt;"",売分析!S64,"")</f>
        <v>15548</v>
      </c>
      <c r="R64" s="333">
        <f>IF(売分析!R64&lt;&gt;"",売分析!R64,"")</f>
        <v>13754</v>
      </c>
      <c r="S64" s="212" t="str">
        <f>IF(売分析!AA64&lt;&gt;"",売分析!AA64,"")</f>
        <v>上昇▲</v>
      </c>
      <c r="T64" s="338">
        <f>IF(売分析!Z64&lt;&gt;"",売分析!Z64,"")</f>
        <v>11.152416356877323</v>
      </c>
      <c r="U64" s="212" t="str">
        <f>IF(売分析!V64&lt;&gt;"",売分析!V64,"")</f>
        <v>通常</v>
      </c>
      <c r="V64" s="336">
        <f>IF(売分析!W64&lt;&gt;"",売分析!W64,"")</f>
        <v>43.768545994065285</v>
      </c>
      <c r="W64" s="212" t="str">
        <f>IF(売分析!AD64&lt;&gt;"",売分析!AD64,"")</f>
        <v>上昇トレンド▲</v>
      </c>
      <c r="X64" s="212" t="str">
        <f>IF(売分析!AE64&lt;&gt;"",売分析!AE64,"")</f>
        <v>なし</v>
      </c>
      <c r="Y64" s="388">
        <f>IF(売分析!T64&lt;&gt;"",売分析!T64,"")</f>
        <v>5</v>
      </c>
      <c r="Z64" s="212" t="str">
        <f>IF(売分析!Y64&lt;&gt;"",売分析!Y64,"")</f>
        <v>相場上昇・見送り | 上昇トレンド▲ MACD- RSI:43.8 前日比:+11.2% [5点]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7159</v>
      </c>
      <c r="F65" s="326">
        <f>IF(売分析!F65&lt;&gt;"",売分析!F65,"")</f>
        <v>6990</v>
      </c>
      <c r="G65" s="326">
        <f>IF(売分析!H65&lt;&gt;"",売分析!H65,"")</f>
        <v>7174</v>
      </c>
      <c r="H65" s="326">
        <f>IF(売分析!I65&lt;&gt;"",売分析!I65,"")</f>
        <v>6868</v>
      </c>
      <c r="I65" s="325">
        <f>IF(売分析!J65&lt;&gt;"",売分析!J65,"")</f>
        <v>1867400</v>
      </c>
      <c r="J65" s="326">
        <f>IF(売分析!AB65&lt;&gt;"",売分析!AB65,"")</f>
        <v>6717.8145161290313</v>
      </c>
      <c r="K65" s="326">
        <f>IF(売分析!AC65&lt;&gt;"",売分析!AC65,"")</f>
        <v>6453.2550655542291</v>
      </c>
      <c r="L65" s="326">
        <f>IF(売分析!K65&lt;&gt;"",売分析!K65,"")</f>
        <v>7559</v>
      </c>
      <c r="M65" s="325" t="str">
        <f>IF(売分析!P65&lt;&gt;"",売分析!P65,"")</f>
        <v>減少↓</v>
      </c>
      <c r="N65" s="328">
        <f>IF(売分析!O65&lt;&gt;"",売分析!O65,"")</f>
        <v>0.36982465312847812</v>
      </c>
      <c r="O65" s="330">
        <f>IF(売分析!X65&lt;&gt;"",売分析!X65,"")</f>
        <v>83.434647885082995</v>
      </c>
      <c r="P65" s="327">
        <f>IF(売分析!L65&lt;&gt;"",売分析!L65,"")</f>
        <v>-5.2917052520174623</v>
      </c>
      <c r="Q65" s="326">
        <f>IF(売分析!S65&lt;&gt;"",売分析!S65,"")</f>
        <v>7445</v>
      </c>
      <c r="R65" s="326">
        <f>IF(売分析!R65&lt;&gt;"",売分析!R65,"")</f>
        <v>6586</v>
      </c>
      <c r="S65" s="325" t="str">
        <f>IF(売分析!AA65&lt;&gt;"",売分析!AA65,"")</f>
        <v>上昇▲</v>
      </c>
      <c r="T65" s="331">
        <f>IF(売分析!Z65&lt;&gt;"",売分析!Z65,"")</f>
        <v>7.3474284000599788</v>
      </c>
      <c r="U65" s="325" t="str">
        <f>IF(売分析!V65&lt;&gt;"",売分析!V65,"")</f>
        <v>通常</v>
      </c>
      <c r="V65" s="329">
        <f>IF(売分析!W65&lt;&gt;"",売分析!W65,"")</f>
        <v>68.761439902379493</v>
      </c>
      <c r="W65" s="325" t="str">
        <f>IF(売分析!AD65&lt;&gt;"",売分析!AD65,"")</f>
        <v>パーフェクト▲</v>
      </c>
      <c r="X65" s="325" t="str">
        <f>IF(売分析!AE65&lt;&gt;"",売分析!AE65,"")</f>
        <v>なし</v>
      </c>
      <c r="Y65" s="387">
        <f>IF(売分析!T65&lt;&gt;"",売分析!T65,"")</f>
        <v>0</v>
      </c>
      <c r="Z65" s="325" t="str">
        <f>IF(売分析!Y65&lt;&gt;"",売分析!Y65,"")</f>
        <v>相場上昇・見送り | パーフェクト▲ MACD+ RSI:68.8 前日比:+7.3% [0点]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8471</v>
      </c>
      <c r="F66" s="333">
        <f>IF(売分析!F66&lt;&gt;"",売分析!F66,"")</f>
        <v>8188</v>
      </c>
      <c r="G66" s="333">
        <f>IF(売分析!H66&lt;&gt;"",売分析!H66,"")</f>
        <v>8473</v>
      </c>
      <c r="H66" s="333">
        <f>IF(売分析!I66&lt;&gt;"",売分析!I66,"")</f>
        <v>8137</v>
      </c>
      <c r="I66" s="212">
        <f>IF(売分析!J66&lt;&gt;"",売分析!J66,"")</f>
        <v>6986100</v>
      </c>
      <c r="J66" s="333">
        <f>IF(売分析!AB66&lt;&gt;"",売分析!AB66,"")</f>
        <v>8090.5311059907826</v>
      </c>
      <c r="K66" s="333">
        <f>IF(売分析!AC66&lt;&gt;"",売分析!AC66,"")</f>
        <v>8241.5351609058362</v>
      </c>
      <c r="L66" s="333">
        <f>IF(売分析!K66&lt;&gt;"",売分析!K66,"")</f>
        <v>8816</v>
      </c>
      <c r="M66" s="212" t="str">
        <f>IF(売分析!P66&lt;&gt;"",売分析!P66,"")</f>
        <v>減少↓</v>
      </c>
      <c r="N66" s="335">
        <f>IF(売分析!O66&lt;&gt;"",売分析!O66,"")</f>
        <v>0.6115015974440895</v>
      </c>
      <c r="O66" s="337">
        <f>IF(売分析!X66&lt;&gt;"",売分析!X66,"")</f>
        <v>-15.346753489704497</v>
      </c>
      <c r="P66" s="334">
        <f>IF(売分析!L66&lt;&gt;"",売分析!L66,"")</f>
        <v>-3.9133393829401091</v>
      </c>
      <c r="Q66" s="333">
        <f>IF(売分析!S66&lt;&gt;"",売分析!S66,"")</f>
        <v>8810</v>
      </c>
      <c r="R66" s="333">
        <f>IF(売分析!R66&lt;&gt;"",売分析!R66,"")</f>
        <v>7793</v>
      </c>
      <c r="S66" s="212" t="str">
        <f>IF(売分析!AA66&lt;&gt;"",売分析!AA66,"")</f>
        <v>上昇▲</v>
      </c>
      <c r="T66" s="338">
        <f>IF(売分析!Z66&lt;&gt;"",売分析!Z66,"")</f>
        <v>4.6577711885347171</v>
      </c>
      <c r="U66" s="212" t="str">
        <f>IF(売分析!V66&lt;&gt;"",売分析!V66,"")</f>
        <v>通常</v>
      </c>
      <c r="V66" s="336">
        <f>IF(売分析!W66&lt;&gt;"",売分析!W66,"")</f>
        <v>44.802059864821373</v>
      </c>
      <c r="W66" s="212" t="str">
        <f>IF(売分析!AD66&lt;&gt;"",売分析!AD66,"")</f>
        <v>上昇トレンド▲</v>
      </c>
      <c r="X66" s="212" t="str">
        <f>IF(売分析!AE66&lt;&gt;"",売分析!AE66,"")</f>
        <v>なし</v>
      </c>
      <c r="Y66" s="388">
        <f>IF(売分析!T66&lt;&gt;"",売分析!T66,"")</f>
        <v>-2</v>
      </c>
      <c r="Z66" s="212" t="str">
        <f>IF(売分析!Y66&lt;&gt;"",売分析!Y66,"")</f>
        <v>相場上昇・見送り | 上昇トレンド▲ MACD- RSI:44.8 前日比:+4.7%前日[長い下ヒゲ(反発)] [-2点]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6505</v>
      </c>
      <c r="F67" s="326">
        <f>IF(売分析!F67&lt;&gt;"",売分析!F67,"")</f>
        <v>6384</v>
      </c>
      <c r="G67" s="326">
        <f>IF(売分析!H67&lt;&gt;"",売分析!H67,"")</f>
        <v>6508</v>
      </c>
      <c r="H67" s="326">
        <f>IF(売分析!I67&lt;&gt;"",売分析!I67,"")</f>
        <v>6384</v>
      </c>
      <c r="I67" s="325">
        <f>IF(売分析!J67&lt;&gt;"",売分析!J67,"")</f>
        <v>1734500</v>
      </c>
      <c r="J67" s="326">
        <f>IF(売分析!AB67&lt;&gt;"",売分析!AB67,"")</f>
        <v>6358.3882488479267</v>
      </c>
      <c r="K67" s="326">
        <f>IF(売分析!AC67&lt;&gt;"",売分析!AC67,"")</f>
        <v>6424.2252681763975</v>
      </c>
      <c r="L67" s="326">
        <f>IF(売分析!K67&lt;&gt;"",売分析!K67,"")</f>
        <v>6680</v>
      </c>
      <c r="M67" s="325" t="str">
        <f>IF(売分析!P67&lt;&gt;"",売分析!P67,"")</f>
        <v>減少↓</v>
      </c>
      <c r="N67" s="328">
        <f>IF(売分析!O67&lt;&gt;"",売分析!O67,"")</f>
        <v>0.44954332929016472</v>
      </c>
      <c r="O67" s="330">
        <f>IF(売分析!X67&lt;&gt;"",売分析!X67,"")</f>
        <v>0.36107650484154874</v>
      </c>
      <c r="P67" s="327">
        <f>IF(売分析!L67&lt;&gt;"",売分析!L67,"")</f>
        <v>-2.6197604790419158</v>
      </c>
      <c r="Q67" s="326">
        <f>IF(売分析!S67&lt;&gt;"",売分析!S67,"")</f>
        <v>6765</v>
      </c>
      <c r="R67" s="326">
        <f>IF(売分析!R67&lt;&gt;"",売分析!R67,"")</f>
        <v>5985</v>
      </c>
      <c r="S67" s="325" t="str">
        <f>IF(売分析!AA67&lt;&gt;"",売分析!AA67,"")</f>
        <v>上昇▲</v>
      </c>
      <c r="T67" s="331">
        <f>IF(売分析!Z67&lt;&gt;"",売分析!Z67,"")</f>
        <v>2.473219911783239</v>
      </c>
      <c r="U67" s="325" t="str">
        <f>IF(売分析!V67&lt;&gt;"",売分析!V67,"")</f>
        <v>通常</v>
      </c>
      <c r="V67" s="329">
        <f>IF(売分析!W67&lt;&gt;"",売分析!W67,"")</f>
        <v>48.887739265390586</v>
      </c>
      <c r="W67" s="325" t="str">
        <f>IF(売分析!AD67&lt;&gt;"",売分析!AD67,"")</f>
        <v>上昇トレンド▲</v>
      </c>
      <c r="X67" s="325" t="str">
        <f>IF(売分析!AE67&lt;&gt;"",売分析!AE67,"")</f>
        <v>なし</v>
      </c>
      <c r="Y67" s="387">
        <f>IF(売分析!T67&lt;&gt;"",売分析!T67,"")</f>
        <v>-4</v>
      </c>
      <c r="Z67" s="325" t="str">
        <f>IF(売分析!Y67&lt;&gt;"",売分析!Y67,"")</f>
        <v>相場上昇・見送り | 上昇トレンド▲ MACD+ RSI:48.9 前日比:+2.5%前日[長い下ヒゲ(反発)] [-4点]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1664</v>
      </c>
      <c r="F68" s="333">
        <f>IF(売分析!F68&lt;&gt;"",売分析!F68,"")</f>
        <v>1642</v>
      </c>
      <c r="G68" s="333">
        <f>IF(売分析!H68&lt;&gt;"",売分析!H68,"")</f>
        <v>1666.5</v>
      </c>
      <c r="H68" s="333">
        <f>IF(売分析!I68&lt;&gt;"",売分析!I68,"")</f>
        <v>1621</v>
      </c>
      <c r="I68" s="212">
        <f>IF(売分析!J68&lt;&gt;"",売分析!J68,"")</f>
        <v>3664800</v>
      </c>
      <c r="J68" s="333" t="str">
        <f>IF(売分析!AB68&lt;&gt;"",売分析!AB68,"")</f>
        <v/>
      </c>
      <c r="K68" s="333" t="str">
        <f>IF(売分析!AC68&lt;&gt;"",売分析!AC68,"")</f>
        <v/>
      </c>
      <c r="L68" s="333">
        <f>IF(売分析!K68&lt;&gt;"",売分析!K68,"")</f>
        <v>1705</v>
      </c>
      <c r="M68" s="212" t="str">
        <f>IF(売分析!P68&lt;&gt;"",売分析!P68,"")</f>
        <v/>
      </c>
      <c r="N68" s="335" t="str">
        <f>IF(売分析!O68&lt;&gt;"",売分析!O68,"")</f>
        <v/>
      </c>
      <c r="O68" s="337">
        <f>IF(売分析!X68&lt;&gt;"",売分析!X68,"")</f>
        <v>0</v>
      </c>
      <c r="P68" s="334">
        <f>IF(売分析!L68&lt;&gt;"",売分析!L68,"")</f>
        <v>-2.404692082111437</v>
      </c>
      <c r="Q68" s="333">
        <f>IF(売分析!S68&lt;&gt;"",売分析!S68,"")</f>
        <v>1731</v>
      </c>
      <c r="R68" s="333">
        <f>IF(売分析!R68&lt;&gt;"",売分析!R68,"")</f>
        <v>1531</v>
      </c>
      <c r="S68" s="212" t="str">
        <f>IF(売分析!AA68&lt;&gt;"",売分析!AA68,"")</f>
        <v>上昇▲</v>
      </c>
      <c r="T68" s="338" t="str">
        <f>IF(売分析!Z68&lt;&gt;"",売分析!Z68,"")</f>
        <v/>
      </c>
      <c r="U68" s="212" t="str">
        <f>IF(売分析!V68&lt;&gt;"",売分析!V68,"")</f>
        <v>通常</v>
      </c>
      <c r="V68" s="336">
        <f>IF(売分析!W68&lt;&gt;"",売分析!W68,"")</f>
        <v>50</v>
      </c>
      <c r="W68" s="212" t="str">
        <f>IF(売分析!AD68&lt;&gt;"",売分析!AD68,"")</f>
        <v/>
      </c>
      <c r="X68" s="212" t="str">
        <f>IF(売分析!AE68&lt;&gt;"",売分析!AE68,"")</f>
        <v/>
      </c>
      <c r="Y68" s="388">
        <f>IF(売分析!T68&lt;&gt;"",売分析!T68,"")</f>
        <v>1</v>
      </c>
      <c r="Z68" s="212" t="str">
        <f>IF(売分析!Y68&lt;&gt;"",売分析!Y68,"")</f>
        <v>相場上昇・見送り |   MACD+ RSI:50.0 前日比:% [1点]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3615</v>
      </c>
      <c r="F69" s="326">
        <f>IF(売分析!F69&lt;&gt;"",売分析!F69,"")</f>
        <v>3516</v>
      </c>
      <c r="G69" s="326">
        <f>IF(売分析!H69&lt;&gt;"",売分析!H69,"")</f>
        <v>3629</v>
      </c>
      <c r="H69" s="326">
        <f>IF(売分析!I69&lt;&gt;"",売分析!I69,"")</f>
        <v>3516</v>
      </c>
      <c r="I69" s="325">
        <f>IF(売分析!J69&lt;&gt;"",売分析!J69,"")</f>
        <v>438700</v>
      </c>
      <c r="J69" s="326">
        <f>IF(売分析!AB69&lt;&gt;"",売分析!AB69,"")</f>
        <v>3582.2154377880183</v>
      </c>
      <c r="K69" s="326">
        <f>IF(売分析!AC69&lt;&gt;"",売分析!AC69,"")</f>
        <v>3542.8116805721088</v>
      </c>
      <c r="L69" s="326">
        <f>IF(売分析!K69&lt;&gt;"",売分析!K69,"")</f>
        <v>4284</v>
      </c>
      <c r="M69" s="325" t="str">
        <f>IF(売分析!P69&lt;&gt;"",売分析!P69,"")</f>
        <v>減少↓</v>
      </c>
      <c r="N69" s="328">
        <f>IF(売分析!O69&lt;&gt;"",売分析!O69,"")</f>
        <v>0.3947060622964389</v>
      </c>
      <c r="O69" s="330">
        <f>IF(売分析!X69&lt;&gt;"",売分析!X69,"")</f>
        <v>-33.753656876518562</v>
      </c>
      <c r="P69" s="327">
        <f>IF(売分析!L69&lt;&gt;"",売分析!L69,"")</f>
        <v>-15.616246498599439</v>
      </c>
      <c r="Q69" s="326">
        <f>IF(売分析!S69&lt;&gt;"",売分析!S69,"")</f>
        <v>3760</v>
      </c>
      <c r="R69" s="326">
        <f>IF(売分析!R69&lt;&gt;"",売分析!R69,"")</f>
        <v>3326</v>
      </c>
      <c r="S69" s="325" t="str">
        <f>IF(売分析!AA69&lt;&gt;"",売分析!AA69,"")</f>
        <v>上昇▲</v>
      </c>
      <c r="T69" s="331">
        <f>IF(売分析!Z69&lt;&gt;"",売分析!Z69,"")</f>
        <v>2.4079320113314444</v>
      </c>
      <c r="U69" s="325" t="str">
        <f>IF(売分析!V69&lt;&gt;"",売分析!V69,"")</f>
        <v>通常</v>
      </c>
      <c r="V69" s="329">
        <f>IF(売分析!W69&lt;&gt;"",売分析!W69,"")</f>
        <v>49.235114144504593</v>
      </c>
      <c r="W69" s="325" t="str">
        <f>IF(売分析!AD69&lt;&gt;"",売分析!AD69,"")</f>
        <v>パーフェクト▲</v>
      </c>
      <c r="X69" s="325" t="str">
        <f>IF(売分析!AE69&lt;&gt;"",売分析!AE69,"")</f>
        <v>なし</v>
      </c>
      <c r="Y69" s="387">
        <f>IF(売分析!T69&lt;&gt;"",売分析!T69,"")</f>
        <v>6</v>
      </c>
      <c r="Z69" s="325" t="str">
        <f>IF(売分析!Y69&lt;&gt;"",売分析!Y69,"")</f>
        <v>相場上昇・見送り | パーフェクト▲ MACD- RSI:49.2 前日比:+2.4% [6点]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6655</v>
      </c>
      <c r="F70" s="333">
        <f>IF(売分析!F70&lt;&gt;"",売分析!F70,"")</f>
        <v>6560</v>
      </c>
      <c r="G70" s="333">
        <f>IF(売分析!H70&lt;&gt;"",売分析!H70,"")</f>
        <v>6655</v>
      </c>
      <c r="H70" s="333">
        <f>IF(売分析!I70&lt;&gt;"",売分析!I70,"")</f>
        <v>6474</v>
      </c>
      <c r="I70" s="212">
        <f>IF(売分析!J70&lt;&gt;"",売分析!J70,"")</f>
        <v>7788200</v>
      </c>
      <c r="J70" s="333">
        <f>IF(売分析!AB70&lt;&gt;"",売分析!AB70,"")</f>
        <v>6635.9735023041476</v>
      </c>
      <c r="K70" s="333">
        <f>IF(売分析!AC70&lt;&gt;"",売分析!AC70,"")</f>
        <v>6834.5792610250255</v>
      </c>
      <c r="L70" s="333">
        <f>IF(売分析!K70&lt;&gt;"",売分析!K70,"")</f>
        <v>7260</v>
      </c>
      <c r="M70" s="212" t="str">
        <f>IF(売分析!P70&lt;&gt;"",売分析!P70,"")</f>
        <v>減少↓</v>
      </c>
      <c r="N70" s="335">
        <f>IF(売分析!O70&lt;&gt;"",売分析!O70,"")</f>
        <v>0.47948393388364624</v>
      </c>
      <c r="O70" s="337">
        <f>IF(売分析!X70&lt;&gt;"",売分析!X70,"")</f>
        <v>-9.0071187196217579</v>
      </c>
      <c r="P70" s="334">
        <f>IF(売分析!L70&lt;&gt;"",売分析!L70,"")</f>
        <v>-8.3333333333333321</v>
      </c>
      <c r="Q70" s="333">
        <f>IF(売分析!S70&lt;&gt;"",売分析!S70,"")</f>
        <v>6921</v>
      </c>
      <c r="R70" s="333">
        <f>IF(売分析!R70&lt;&gt;"",売分析!R70,"")</f>
        <v>6123</v>
      </c>
      <c r="S70" s="212" t="str">
        <f>IF(売分析!AA70&lt;&gt;"",売分析!AA70,"")</f>
        <v>上昇▲</v>
      </c>
      <c r="T70" s="338">
        <f>IF(売分析!Z70&lt;&gt;"",売分析!Z70,"")</f>
        <v>0.61989718778348957</v>
      </c>
      <c r="U70" s="212" t="str">
        <f>IF(売分析!V70&lt;&gt;"",売分析!V70,"")</f>
        <v>通常</v>
      </c>
      <c r="V70" s="336">
        <f>IF(売分析!W70&lt;&gt;"",売分析!W70,"")</f>
        <v>42.21331997996996</v>
      </c>
      <c r="W70" s="212" t="str">
        <f>IF(売分析!AD70&lt;&gt;"",売分析!AD70,"")</f>
        <v>もみ合い→</v>
      </c>
      <c r="X70" s="212" t="str">
        <f>IF(売分析!AE70&lt;&gt;"",売分析!AE70,"")</f>
        <v>なし</v>
      </c>
      <c r="Y70" s="388">
        <f>IF(売分析!T70&lt;&gt;"",売分析!T70,"")</f>
        <v>-1</v>
      </c>
      <c r="Z70" s="212" t="str">
        <f>IF(売分析!Y70&lt;&gt;"",売分析!Y70,"")</f>
        <v>相場上昇・見送り | もみ合い→ MACD- RSI:42.2 前日比:+0.6%前日[長い下ヒゲ(反発)] [-1点]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4235</v>
      </c>
      <c r="F71" s="326">
        <f>IF(売分析!F71&lt;&gt;"",売分析!F71,"")</f>
        <v>4000</v>
      </c>
      <c r="G71" s="326">
        <f>IF(売分析!H71&lt;&gt;"",売分析!H71,"")</f>
        <v>4305</v>
      </c>
      <c r="H71" s="326">
        <f>IF(売分析!I71&lt;&gt;"",売分析!I71,"")</f>
        <v>3990</v>
      </c>
      <c r="I71" s="325">
        <f>IF(売分析!J71&lt;&gt;"",売分析!J71,"")</f>
        <v>194600</v>
      </c>
      <c r="J71" s="326">
        <f>IF(売分析!AB71&lt;&gt;"",売分析!AB71,"")</f>
        <v>4038.3813364055295</v>
      </c>
      <c r="K71" s="326">
        <f>IF(売分析!AC71&lt;&gt;"",売分析!AC71,"")</f>
        <v>4080.4636471990452</v>
      </c>
      <c r="L71" s="326">
        <f>IF(売分析!K71&lt;&gt;"",売分析!K71,"")</f>
        <v>4404</v>
      </c>
      <c r="M71" s="325" t="str">
        <f>IF(売分析!P71&lt;&gt;"",売分析!P71,"")</f>
        <v>減少↓</v>
      </c>
      <c r="N71" s="328">
        <f>IF(売分析!O71&lt;&gt;"",売分析!O71,"")</f>
        <v>0.80220958034462853</v>
      </c>
      <c r="O71" s="330">
        <f>IF(売分析!X71&lt;&gt;"",売分析!X71,"")</f>
        <v>1.7296259736772299</v>
      </c>
      <c r="P71" s="327">
        <f>IF(売分析!L71&lt;&gt;"",売分析!L71,"")</f>
        <v>-3.8374205267938235</v>
      </c>
      <c r="Q71" s="326">
        <f>IF(売分析!S71&lt;&gt;"",売分析!S71,"")</f>
        <v>4404</v>
      </c>
      <c r="R71" s="326">
        <f>IF(売分析!R71&lt;&gt;"",売分析!R71,"")</f>
        <v>3896</v>
      </c>
      <c r="S71" s="325" t="str">
        <f>IF(売分析!AA71&lt;&gt;"",売分析!AA71,"")</f>
        <v>上昇▲</v>
      </c>
      <c r="T71" s="331">
        <f>IF(売分析!Z71&lt;&gt;"",売分析!Z71,"")</f>
        <v>5.6900424257549282</v>
      </c>
      <c r="U71" s="325" t="str">
        <f>IF(売分析!V71&lt;&gt;"",売分析!V71,"")</f>
        <v>通常</v>
      </c>
      <c r="V71" s="329">
        <f>IF(売分析!W71&lt;&gt;"",売分析!W71,"")</f>
        <v>50.826446280991732</v>
      </c>
      <c r="W71" s="325" t="str">
        <f>IF(売分析!AD71&lt;&gt;"",売分析!AD71,"")</f>
        <v>上昇トレンド▲</v>
      </c>
      <c r="X71" s="325" t="str">
        <f>IF(売分析!AE71&lt;&gt;"",売分析!AE71,"")</f>
        <v>なし</v>
      </c>
      <c r="Y71" s="387">
        <f>IF(売分析!T71&lt;&gt;"",売分析!T71,"")</f>
        <v>2</v>
      </c>
      <c r="Z71" s="325" t="str">
        <f>IF(売分析!Y71&lt;&gt;"",売分析!Y71,"")</f>
        <v>相場上昇・見送り | 上昇トレンド▲ MACD+ RSI:50.8 前日比:+5.7% [2点]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3333</v>
      </c>
      <c r="F72" s="333">
        <f>IF(売分析!F72&lt;&gt;"",売分析!F72,"")</f>
        <v>3271</v>
      </c>
      <c r="G72" s="333">
        <f>IF(売分析!H72&lt;&gt;"",売分析!H72,"")</f>
        <v>3347</v>
      </c>
      <c r="H72" s="333">
        <f>IF(売分析!I72&lt;&gt;"",売分析!I72,"")</f>
        <v>3170</v>
      </c>
      <c r="I72" s="212">
        <f>IF(売分析!J72&lt;&gt;"",売分析!J72,"")</f>
        <v>3426300</v>
      </c>
      <c r="J72" s="333">
        <f>IF(売分析!AB72&lt;&gt;"",売分析!AB72,"")</f>
        <v>3333.4988479262665</v>
      </c>
      <c r="K72" s="333">
        <f>IF(売分析!AC72&lt;&gt;"",売分析!AC72,"")</f>
        <v>3594.9439809296778</v>
      </c>
      <c r="L72" s="333">
        <f>IF(売分析!K72&lt;&gt;"",売分析!K72,"")</f>
        <v>5228</v>
      </c>
      <c r="M72" s="212" t="str">
        <f>IF(売分析!P72&lt;&gt;"",売分析!P72,"")</f>
        <v>増加↑</v>
      </c>
      <c r="N72" s="335">
        <f>IF(売分析!O72&lt;&gt;"",売分析!O72,"")</f>
        <v>1.5251181796330422</v>
      </c>
      <c r="O72" s="337">
        <f>IF(売分析!X72&lt;&gt;"",売分析!X72,"")</f>
        <v>-108.77714845226956</v>
      </c>
      <c r="P72" s="334">
        <f>IF(売分析!L72&lt;&gt;"",売分析!L72,"")</f>
        <v>-36.247130833970928</v>
      </c>
      <c r="Q72" s="333">
        <f>IF(売分析!S72&lt;&gt;"",売分析!S72,"")</f>
        <v>3466</v>
      </c>
      <c r="R72" s="333">
        <f>IF(売分析!R72&lt;&gt;"",売分析!R72,"")</f>
        <v>3066</v>
      </c>
      <c r="S72" s="212" t="str">
        <f>IF(売分析!AA72&lt;&gt;"",売分析!AA72,"")</f>
        <v>上昇▲</v>
      </c>
      <c r="T72" s="338">
        <f>IF(売分析!Z72&lt;&gt;"",売分析!Z72,"")</f>
        <v>1</v>
      </c>
      <c r="U72" s="212" t="str">
        <f>IF(売分析!V72&lt;&gt;"",売分析!V72,"")</f>
        <v>安値圏</v>
      </c>
      <c r="V72" s="336">
        <f>IF(売分析!W72&lt;&gt;"",売分析!W72,"")</f>
        <v>29.752604166666671</v>
      </c>
      <c r="W72" s="212" t="str">
        <f>IF(売分析!AD72&lt;&gt;"",売分析!AD72,"")</f>
        <v>下降トレンド▼</v>
      </c>
      <c r="X72" s="212" t="str">
        <f>IF(売分析!AE72&lt;&gt;"",売分析!AE72,"")</f>
        <v>5日戻り売り○</v>
      </c>
      <c r="Y72" s="388">
        <f>IF(売分析!T72&lt;&gt;"",売分析!T72,"")</f>
        <v>12</v>
      </c>
      <c r="Z72" s="212" t="str">
        <f>IF(売分析!Y72&lt;&gt;"",売分析!Y72,"")</f>
        <v>★逆張り売り | 下降トレンド▼ 5日戻り売り○ MACD- RSI:29.8 [売られ過ぎ] 前日比:+1.0% [安値圏] [長い下ヒゲ(反発警戒)] [12点]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2913.5</v>
      </c>
      <c r="F73" s="326">
        <f>IF(売分析!F73&lt;&gt;"",売分析!F73,"")</f>
        <v>2903</v>
      </c>
      <c r="G73" s="326">
        <f>IF(売分析!H73&lt;&gt;"",売分析!H73,"")</f>
        <v>2917.5</v>
      </c>
      <c r="H73" s="326">
        <f>IF(売分析!I73&lt;&gt;"",売分析!I73,"")</f>
        <v>2869.5</v>
      </c>
      <c r="I73" s="325">
        <f>IF(売分析!J73&lt;&gt;"",売分析!J73,"")</f>
        <v>33371100</v>
      </c>
      <c r="J73" s="326">
        <f>IF(売分析!AB73&lt;&gt;"",売分析!AB73,"")</f>
        <v>3002.2252304147469</v>
      </c>
      <c r="K73" s="326">
        <f>IF(売分析!AC73&lt;&gt;"",売分析!AC73,"")</f>
        <v>2955.9386174016672</v>
      </c>
      <c r="L73" s="326">
        <f>IF(売分析!K73&lt;&gt;"",売分析!K73,"")</f>
        <v>4000</v>
      </c>
      <c r="M73" s="325" t="str">
        <f>IF(売分析!P73&lt;&gt;"",売分析!P73,"")</f>
        <v>減少↓</v>
      </c>
      <c r="N73" s="328">
        <f>IF(売分析!O73&lt;&gt;"",売分析!O73,"")</f>
        <v>0.53052947862928546</v>
      </c>
      <c r="O73" s="330">
        <f>IF(売分析!X73&lt;&gt;"",売分析!X73,"")</f>
        <v>26.766339023799446</v>
      </c>
      <c r="P73" s="327">
        <f>IF(売分析!L73&lt;&gt;"",売分析!L73,"")</f>
        <v>-27.162500000000001</v>
      </c>
      <c r="Q73" s="326">
        <f>IF(売分析!S73&lt;&gt;"",売分析!S73,"")</f>
        <v>3030</v>
      </c>
      <c r="R73" s="326">
        <f>IF(売分析!R73&lt;&gt;"",売分析!R73,"")</f>
        <v>2680</v>
      </c>
      <c r="S73" s="325" t="str">
        <f>IF(売分析!AA73&lt;&gt;"",売分析!AA73,"")</f>
        <v>下落▼</v>
      </c>
      <c r="T73" s="331">
        <f>IF(売分析!Z73&lt;&gt;"",売分析!Z73,"")</f>
        <v>-1.6871941960519654</v>
      </c>
      <c r="U73" s="325" t="str">
        <f>IF(売分析!V73&lt;&gt;"",売分析!V73,"")</f>
        <v>安値圏</v>
      </c>
      <c r="V73" s="329">
        <f>IF(売分析!W73&lt;&gt;"",売分析!W73,"")</f>
        <v>59.899434318038971</v>
      </c>
      <c r="W73" s="325" t="str">
        <f>IF(売分析!AD73&lt;&gt;"",売分析!AD73,"")</f>
        <v>もみ合い→</v>
      </c>
      <c r="X73" s="325" t="str">
        <f>IF(売分析!AE73&lt;&gt;"",売分析!AE73,"")</f>
        <v>25日戻り売り★</v>
      </c>
      <c r="Y73" s="387">
        <f>IF(売分析!T73&lt;&gt;"",売分析!T73,"")</f>
        <v>2</v>
      </c>
      <c r="Z73" s="325" t="str">
        <f>IF(売分析!Y73&lt;&gt;"",売分析!Y73,"")</f>
        <v>○逆張り売り | もみ合い→ 25日戻り売り★ MACD+ RSI:59.9 前日比:-1.7% [安値圏] [長い下ヒゲ(反発警戒)]前日[長い下ヒゲ(反発)] [2点]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2196</v>
      </c>
      <c r="F74" s="333">
        <f>IF(売分析!F74&lt;&gt;"",売分析!F74,"")</f>
        <v>2124</v>
      </c>
      <c r="G74" s="333">
        <f>IF(売分析!H74&lt;&gt;"",売分析!H74,"")</f>
        <v>2206</v>
      </c>
      <c r="H74" s="333">
        <f>IF(売分析!I74&lt;&gt;"",売分析!I74,"")</f>
        <v>2120</v>
      </c>
      <c r="I74" s="212">
        <f>IF(売分析!J74&lt;&gt;"",売分析!J74,"")</f>
        <v>33300</v>
      </c>
      <c r="J74" s="333">
        <f>IF(売分析!AB74&lt;&gt;"",売分析!AB74,"")</f>
        <v>2119.6509216589866</v>
      </c>
      <c r="K74" s="333">
        <f>IF(売分析!AC74&lt;&gt;"",売分析!AC74,"")</f>
        <v>2066.2967818831935</v>
      </c>
      <c r="L74" s="333">
        <f>IF(売分析!K74&lt;&gt;"",売分析!K74,"")</f>
        <v>2993</v>
      </c>
      <c r="M74" s="212" t="str">
        <f>IF(売分析!P74&lt;&gt;"",売分析!P74,"")</f>
        <v>減少↓</v>
      </c>
      <c r="N74" s="335">
        <f>IF(売分析!O74&lt;&gt;"",売分析!O74,"")</f>
        <v>0.94014680971202713</v>
      </c>
      <c r="O74" s="337">
        <f>IF(売分析!X74&lt;&gt;"",売分析!X74,"")</f>
        <v>1.2102798530486325</v>
      </c>
      <c r="P74" s="334">
        <f>IF(売分析!L74&lt;&gt;"",売分析!L74,"")</f>
        <v>-26.628800534580687</v>
      </c>
      <c r="Q74" s="333">
        <f>IF(売分析!S74&lt;&gt;"",売分析!S74,"")</f>
        <v>2284</v>
      </c>
      <c r="R74" s="333">
        <f>IF(売分析!R74&lt;&gt;"",売分析!R74,"")</f>
        <v>2020</v>
      </c>
      <c r="S74" s="212" t="str">
        <f>IF(売分析!AA74&lt;&gt;"",売分析!AA74,"")</f>
        <v>上昇▲</v>
      </c>
      <c r="T74" s="338">
        <f>IF(売分析!Z74&lt;&gt;"",売分析!Z74,"")</f>
        <v>2.2822543083372149</v>
      </c>
      <c r="U74" s="212" t="str">
        <f>IF(売分析!V74&lt;&gt;"",売分析!V74,"")</f>
        <v>安値圏</v>
      </c>
      <c r="V74" s="336">
        <f>IF(売分析!W74&lt;&gt;"",売分析!W74,"")</f>
        <v>60.391198044009784</v>
      </c>
      <c r="W74" s="212" t="str">
        <f>IF(売分析!AD74&lt;&gt;"",売分析!AD74,"")</f>
        <v>パーフェクト▲</v>
      </c>
      <c r="X74" s="212" t="str">
        <f>IF(売分析!AE74&lt;&gt;"",売分析!AE74,"")</f>
        <v>なし</v>
      </c>
      <c r="Y74" s="388">
        <f>IF(売分析!T74&lt;&gt;"",売分析!T74,"")</f>
        <v>1</v>
      </c>
      <c r="Z74" s="212" t="str">
        <f>IF(売分析!Y74&lt;&gt;"",売分析!Y74,"")</f>
        <v>相場上昇・見送り | パーフェクト▲ MACD+ RSI:60.4 前日比:+2.3% [安値圏]前日[長い下ヒゲ(反発)] [1点]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4700</v>
      </c>
      <c r="F75" s="326">
        <f>IF(売分析!F75&lt;&gt;"",売分析!F75,"")</f>
        <v>4590</v>
      </c>
      <c r="G75" s="326">
        <f>IF(売分析!H75&lt;&gt;"",売分析!H75,"")</f>
        <v>4715</v>
      </c>
      <c r="H75" s="326">
        <f>IF(売分析!I75&lt;&gt;"",売分析!I75,"")</f>
        <v>4539</v>
      </c>
      <c r="I75" s="325">
        <f>IF(売分析!J75&lt;&gt;"",売分析!J75,"")</f>
        <v>913900</v>
      </c>
      <c r="J75" s="326">
        <f>IF(売分析!AB75&lt;&gt;"",売分析!AB75,"")</f>
        <v>4181.7764976958524</v>
      </c>
      <c r="K75" s="326">
        <f>IF(売分析!AC75&lt;&gt;"",売分析!AC75,"")</f>
        <v>4371.8796185935626</v>
      </c>
      <c r="L75" s="326">
        <f>IF(売分析!K75&lt;&gt;"",売分析!K75,"")</f>
        <v>5738</v>
      </c>
      <c r="M75" s="325" t="str">
        <f>IF(売分析!P75&lt;&gt;"",売分析!P75,"")</f>
        <v>減少↓</v>
      </c>
      <c r="N75" s="328">
        <f>IF(売分析!O75&lt;&gt;"",売分析!O75,"")</f>
        <v>0.61284568546981033</v>
      </c>
      <c r="O75" s="330">
        <f>IF(売分析!X75&lt;&gt;"",売分析!X75,"")</f>
        <v>-89.040716210459323</v>
      </c>
      <c r="P75" s="327">
        <f>IF(売分析!L75&lt;&gt;"",売分析!L75,"")</f>
        <v>-18.089926803764378</v>
      </c>
      <c r="Q75" s="326">
        <f>IF(売分析!S75&lt;&gt;"",売分析!S75,"")</f>
        <v>4888</v>
      </c>
      <c r="R75" s="326">
        <f>IF(売分析!R75&lt;&gt;"",売分析!R75,"")</f>
        <v>4324</v>
      </c>
      <c r="S75" s="325" t="str">
        <f>IF(売分析!AA75&lt;&gt;"",売分析!AA75,"")</f>
        <v>上昇▲</v>
      </c>
      <c r="T75" s="331">
        <f>IF(売分析!Z75&lt;&gt;"",売分析!Z75,"")</f>
        <v>11.718564297599238</v>
      </c>
      <c r="U75" s="325" t="str">
        <f>IF(売分析!V75&lt;&gt;"",売分析!V75,"")</f>
        <v>通常</v>
      </c>
      <c r="V75" s="329">
        <f>IF(売分析!W75&lt;&gt;"",売分析!W75,"")</f>
        <v>41.106128550074743</v>
      </c>
      <c r="W75" s="325" t="str">
        <f>IF(売分析!AD75&lt;&gt;"",売分析!AD75,"")</f>
        <v>上昇トレンド▲</v>
      </c>
      <c r="X75" s="325" t="str">
        <f>IF(売分析!AE75&lt;&gt;"",売分析!AE75,"")</f>
        <v>なし</v>
      </c>
      <c r="Y75" s="387">
        <f>IF(売分析!T75&lt;&gt;"",売分析!T75,"")</f>
        <v>6</v>
      </c>
      <c r="Z75" s="325" t="str">
        <f>IF(売分析!Y75&lt;&gt;"",売分析!Y75,"")</f>
        <v>相場上昇・見送り | 上昇トレンド▲ MACD- RSI:41.1 前日比:+11.7% [6点]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2050</v>
      </c>
      <c r="F76" s="333">
        <f>IF(売分析!F76&lt;&gt;"",売分析!F76,"")</f>
        <v>2101</v>
      </c>
      <c r="G76" s="333">
        <f>IF(売分析!H76&lt;&gt;"",売分析!H76,"")</f>
        <v>2149</v>
      </c>
      <c r="H76" s="333">
        <f>IF(売分析!I76&lt;&gt;"",売分析!I76,"")</f>
        <v>2050</v>
      </c>
      <c r="I76" s="212">
        <f>IF(売分析!J76&lt;&gt;"",売分析!J76,"")</f>
        <v>1300</v>
      </c>
      <c r="J76" s="333">
        <f>IF(売分析!AB76&lt;&gt;"",売分析!AB76,"")</f>
        <v>2028.5760368663596</v>
      </c>
      <c r="K76" s="333">
        <f>IF(売分析!AC76&lt;&gt;"",売分析!AC76,"")</f>
        <v>1935.0202622169236</v>
      </c>
      <c r="L76" s="333">
        <f>IF(売分析!K76&lt;&gt;"",売分析!K76,"")</f>
        <v>2539</v>
      </c>
      <c r="M76" s="212" t="str">
        <f>IF(売分析!P76&lt;&gt;"",売分析!P76,"")</f>
        <v>減少↓</v>
      </c>
      <c r="N76" s="335">
        <f>IF(売分析!O76&lt;&gt;"",売分析!O76,"")</f>
        <v>0.85526315789473684</v>
      </c>
      <c r="O76" s="337">
        <f>IF(売分析!X76&lt;&gt;"",売分析!X76,"")</f>
        <v>27.146559650373547</v>
      </c>
      <c r="P76" s="334">
        <f>IF(売分析!L76&lt;&gt;"",売分析!L76,"")</f>
        <v>-19.259551004332415</v>
      </c>
      <c r="Q76" s="333">
        <f>IF(売分析!S76&lt;&gt;"",売分析!S76,"")</f>
        <v>2132</v>
      </c>
      <c r="R76" s="333">
        <f>IF(売分析!R76&lt;&gt;"",売分析!R76,"")</f>
        <v>1886</v>
      </c>
      <c r="S76" s="212" t="str">
        <f>IF(売分析!AA76&lt;&gt;"",売分析!AA76,"")</f>
        <v>上昇▲</v>
      </c>
      <c r="T76" s="338">
        <f>IF(売分析!Z76&lt;&gt;"",売分析!Z76,"")</f>
        <v>0.98522167487684731</v>
      </c>
      <c r="U76" s="212" t="str">
        <f>IF(売分析!V76&lt;&gt;"",売分析!V76,"")</f>
        <v>通常</v>
      </c>
      <c r="V76" s="336">
        <f>IF(売分析!W76&lt;&gt;"",売分析!W76,"")</f>
        <v>90</v>
      </c>
      <c r="W76" s="212" t="str">
        <f>IF(売分析!AD76&lt;&gt;"",売分析!AD76,"")</f>
        <v>パーフェクト▲</v>
      </c>
      <c r="X76" s="212" t="str">
        <f>IF(売分析!AE76&lt;&gt;"",売分析!AE76,"")</f>
        <v>なし</v>
      </c>
      <c r="Y76" s="388">
        <f>IF(売分析!T76&lt;&gt;"",売分析!T76,"")</f>
        <v>2</v>
      </c>
      <c r="Z76" s="212" t="str">
        <f>IF(売分析!Y76&lt;&gt;"",売分析!Y76,"")</f>
        <v>△過熱・様子見 | パーフェクト▲ MACD+ RSI:90.0 [過熱] 前日比:+1.0% [2点]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4185</v>
      </c>
      <c r="F77" s="326">
        <f>IF(売分析!F77&lt;&gt;"",売分析!F77,"")</f>
        <v>4218</v>
      </c>
      <c r="G77" s="326">
        <f>IF(売分析!H77&lt;&gt;"",売分析!H77,"")</f>
        <v>4274</v>
      </c>
      <c r="H77" s="326">
        <f>IF(売分析!I77&lt;&gt;"",売分析!I77,"")</f>
        <v>4151</v>
      </c>
      <c r="I77" s="325">
        <f>IF(売分析!J77&lt;&gt;"",売分析!J77,"")</f>
        <v>182600</v>
      </c>
      <c r="J77" s="326">
        <f>IF(売分析!AB77&lt;&gt;"",売分析!AB77,"")</f>
        <v>4182.5046082949302</v>
      </c>
      <c r="K77" s="326">
        <f>IF(売分析!AC77&lt;&gt;"",売分析!AC77,"")</f>
        <v>4023.0953516090558</v>
      </c>
      <c r="L77" s="326">
        <f>IF(売分析!K77&lt;&gt;"",売分析!K77,"")</f>
        <v>4302</v>
      </c>
      <c r="M77" s="325" t="str">
        <f>IF(売分析!P77&lt;&gt;"",売分析!P77,"")</f>
        <v>減少↓</v>
      </c>
      <c r="N77" s="328">
        <f>IF(売分析!O77&lt;&gt;"",売分析!O77,"")</f>
        <v>0.26141732283464569</v>
      </c>
      <c r="O77" s="330">
        <f>IF(売分析!X77&lt;&gt;"",売分析!X77,"")</f>
        <v>55.797521483529181</v>
      </c>
      <c r="P77" s="327">
        <f>IF(売分析!L77&lt;&gt;"",売分析!L77,"")</f>
        <v>-2.7196652719665275</v>
      </c>
      <c r="Q77" s="326">
        <f>IF(売分析!S77&lt;&gt;"",売分析!S77,"")</f>
        <v>4352</v>
      </c>
      <c r="R77" s="326">
        <f>IF(売分析!R77&lt;&gt;"",売分析!R77,"")</f>
        <v>3850</v>
      </c>
      <c r="S77" s="325" t="str">
        <f>IF(売分析!AA77&lt;&gt;"",売分析!AA77,"")</f>
        <v>上昇▲</v>
      </c>
      <c r="T77" s="331">
        <f>IF(売分析!Z77&lt;&gt;"",売分析!Z77,"")</f>
        <v>0.81907973982172977</v>
      </c>
      <c r="U77" s="325" t="str">
        <f>IF(売分析!V77&lt;&gt;"",売分析!V77,"")</f>
        <v>通常</v>
      </c>
      <c r="V77" s="329">
        <f>IF(売分析!W77&lt;&gt;"",売分析!W77,"")</f>
        <v>63.472378804960542</v>
      </c>
      <c r="W77" s="325" t="str">
        <f>IF(売分析!AD77&lt;&gt;"",売分析!AD77,"")</f>
        <v>パーフェクト▲</v>
      </c>
      <c r="X77" s="325" t="str">
        <f>IF(売分析!AE77&lt;&gt;"",売分析!AE77,"")</f>
        <v>なし</v>
      </c>
      <c r="Y77" s="387">
        <f>IF(売分析!T77&lt;&gt;"",売分析!T77,"")</f>
        <v>-2</v>
      </c>
      <c r="Z77" s="325" t="str">
        <f>IF(売分析!Y77&lt;&gt;"",売分析!Y77,"")</f>
        <v>相場上昇・見送り | パーフェクト▲ MACD+ RSI:63.5 前日比:+0.8%前日[長い下ヒゲ(反発)] [-2点]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2776</v>
      </c>
      <c r="F78" s="333">
        <f>IF(売分析!F78&lt;&gt;"",売分析!F78,"")</f>
        <v>2833.5</v>
      </c>
      <c r="G78" s="333">
        <f>IF(売分析!H78&lt;&gt;"",売分析!H78,"")</f>
        <v>2844</v>
      </c>
      <c r="H78" s="333">
        <f>IF(売分析!I78&lt;&gt;"",売分析!I78,"")</f>
        <v>2753</v>
      </c>
      <c r="I78" s="212">
        <f>IF(売分析!J78&lt;&gt;"",売分析!J78,"")</f>
        <v>252400</v>
      </c>
      <c r="J78" s="333">
        <f>IF(売分析!AB78&lt;&gt;"",売分析!AB78,"")</f>
        <v>2881.0420506912442</v>
      </c>
      <c r="K78" s="333">
        <f>IF(売分析!AC78&lt;&gt;"",売分析!AC78,"")</f>
        <v>2899.3009535160895</v>
      </c>
      <c r="L78" s="333">
        <f>IF(売分析!K78&lt;&gt;"",売分析!K78,"")</f>
        <v>3953</v>
      </c>
      <c r="M78" s="212" t="str">
        <f>IF(売分析!P78&lt;&gt;"",売分析!P78,"")</f>
        <v>減少↓</v>
      </c>
      <c r="N78" s="335">
        <f>IF(売分析!O78&lt;&gt;"",売分析!O78,"")</f>
        <v>0.37483664013306406</v>
      </c>
      <c r="O78" s="337">
        <f>IF(売分析!X78&lt;&gt;"",売分析!X78,"")</f>
        <v>4.3050501713523772</v>
      </c>
      <c r="P78" s="334">
        <f>IF(売分析!L78&lt;&gt;"",売分析!L78,"")</f>
        <v>-29.774854540855046</v>
      </c>
      <c r="Q78" s="333">
        <f>IF(売分析!S78&lt;&gt;"",売分析!S78,"")</f>
        <v>2887</v>
      </c>
      <c r="R78" s="333">
        <f>IF(売分析!R78&lt;&gt;"",売分析!R78,"")</f>
        <v>2554</v>
      </c>
      <c r="S78" s="212" t="str">
        <f>IF(売分析!AA78&lt;&gt;"",売分析!AA78,"")</f>
        <v>下落▼</v>
      </c>
      <c r="T78" s="338">
        <f>IF(売分析!Z78&lt;&gt;"",売分析!Z78,"")</f>
        <v>-4.1932700603968938</v>
      </c>
      <c r="U78" s="212" t="str">
        <f>IF(売分析!V78&lt;&gt;"",売分析!V78,"")</f>
        <v>安値圏</v>
      </c>
      <c r="V78" s="336">
        <f>IF(売分析!W78&lt;&gt;"",売分析!W78,"")</f>
        <v>51.877133105802045</v>
      </c>
      <c r="W78" s="212" t="str">
        <f>IF(売分析!AD78&lt;&gt;"",売分析!AD78,"")</f>
        <v>下降トレンド▼</v>
      </c>
      <c r="X78" s="212" t="str">
        <f>IF(売分析!AE78&lt;&gt;"",売分析!AE78,"")</f>
        <v>なし</v>
      </c>
      <c r="Y78" s="388">
        <f>IF(売分析!T78&lt;&gt;"",売分析!T78,"")</f>
        <v>7</v>
      </c>
      <c r="Z78" s="212" t="str">
        <f>IF(売分析!Y78&lt;&gt;"",売分析!Y78,"")</f>
        <v>相場上昇・見送り | 下降トレンド▼ MACD+ RSI:51.9 前日比:-4.2%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5334</v>
      </c>
      <c r="F79" s="326">
        <f>IF(売分析!F79&lt;&gt;"",売分析!F79,"")</f>
        <v>5375</v>
      </c>
      <c r="G79" s="326">
        <f>IF(売分析!H79&lt;&gt;"",売分析!H79,"")</f>
        <v>5389</v>
      </c>
      <c r="H79" s="326">
        <f>IF(売分析!I79&lt;&gt;"",売分析!I79,"")</f>
        <v>5266</v>
      </c>
      <c r="I79" s="325">
        <f>IF(売分析!J79&lt;&gt;"",売分析!J79,"")</f>
        <v>357600</v>
      </c>
      <c r="J79" s="326">
        <f>IF(売分析!AB79&lt;&gt;"",売分析!AB79,"")</f>
        <v>5445.3847926267272</v>
      </c>
      <c r="K79" s="326">
        <f>IF(売分析!AC79&lt;&gt;"",売分析!AC79,"")</f>
        <v>5458.9332538736562</v>
      </c>
      <c r="L79" s="326">
        <f>IF(売分析!K79&lt;&gt;"",売分析!K79,"")</f>
        <v>6828</v>
      </c>
      <c r="M79" s="325" t="str">
        <f>IF(売分析!P79&lt;&gt;"",売分析!P79,"")</f>
        <v>減少↓</v>
      </c>
      <c r="N79" s="328">
        <f>IF(売分析!O79&lt;&gt;"",売分析!O79,"")</f>
        <v>0.25130713442401753</v>
      </c>
      <c r="O79" s="330">
        <f>IF(売分析!X79&lt;&gt;"",売分析!X79,"")</f>
        <v>11.876515986775303</v>
      </c>
      <c r="P79" s="327">
        <f>IF(売分析!L79&lt;&gt;"",売分析!L79,"")</f>
        <v>-21.880492091388401</v>
      </c>
      <c r="Q79" s="326">
        <f>IF(売分析!S79&lt;&gt;"",売分析!S79,"")</f>
        <v>5547</v>
      </c>
      <c r="R79" s="326">
        <f>IF(売分析!R79&lt;&gt;"",売分析!R79,"")</f>
        <v>4907</v>
      </c>
      <c r="S79" s="325" t="str">
        <f>IF(売分析!AA79&lt;&gt;"",売分析!AA79,"")</f>
        <v>下落▼</v>
      </c>
      <c r="T79" s="331">
        <f>IF(売分析!Z79&lt;&gt;"",売分析!Z79,"")</f>
        <v>-1.6048699501936912</v>
      </c>
      <c r="U79" s="325" t="str">
        <f>IF(売分析!V79&lt;&gt;"",売分析!V79,"")</f>
        <v>通常</v>
      </c>
      <c r="V79" s="329">
        <f>IF(売分析!W79&lt;&gt;"",売分析!W79,"")</f>
        <v>58.970588235294116</v>
      </c>
      <c r="W79" s="325" t="str">
        <f>IF(売分析!AD79&lt;&gt;"",売分析!AD79,"")</f>
        <v>下降トレンド▼</v>
      </c>
      <c r="X79" s="325" t="str">
        <f>IF(売分析!AE79&lt;&gt;"",売分析!AE79,"")</f>
        <v>なし</v>
      </c>
      <c r="Y79" s="387">
        <f>IF(売分析!T79&lt;&gt;"",売分析!T79,"")</f>
        <v>3</v>
      </c>
      <c r="Z79" s="325" t="str">
        <f>IF(売分析!Y79&lt;&gt;"",売分析!Y79,"")</f>
        <v>相場上昇・見送り | 下降トレンド▼ MACD+ RSI:59.0 前日比:-1.6% [長い下ヒゲ(反発警戒)]前日[長い下ヒゲ(反発)]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899</v>
      </c>
      <c r="F80" s="333">
        <f>IF(売分析!F80&lt;&gt;"",売分析!F80,"")</f>
        <v>886</v>
      </c>
      <c r="G80" s="333">
        <f>IF(売分析!H80&lt;&gt;"",売分析!H80,"")</f>
        <v>908</v>
      </c>
      <c r="H80" s="333">
        <f>IF(売分析!I80&lt;&gt;"",売分析!I80,"")</f>
        <v>871</v>
      </c>
      <c r="I80" s="212">
        <f>IF(売分析!J80&lt;&gt;"",売分析!J80,"")</f>
        <v>274900</v>
      </c>
      <c r="J80" s="333">
        <f>IF(売分析!AB80&lt;&gt;"",売分析!AB80,"")</f>
        <v>861.25460829493068</v>
      </c>
      <c r="K80" s="333">
        <f>IF(売分析!AC80&lt;&gt;"",売分析!AC80,"")</f>
        <v>899.14779499404005</v>
      </c>
      <c r="L80" s="333">
        <f>IF(売分析!K80&lt;&gt;"",売分析!K80,"")</f>
        <v>3100</v>
      </c>
      <c r="M80" s="212" t="str">
        <f>IF(売分析!P80&lt;&gt;"",売分析!P80,"")</f>
        <v>減少↓</v>
      </c>
      <c r="N80" s="335">
        <f>IF(売分析!O80&lt;&gt;"",売分析!O80,"")</f>
        <v>0.68044554455445549</v>
      </c>
      <c r="O80" s="337">
        <f>IF(売分析!X80&lt;&gt;"",売分析!X80,"")</f>
        <v>-40.575052042079619</v>
      </c>
      <c r="P80" s="334">
        <f>IF(売分析!L80&lt;&gt;"",売分析!L80,"")</f>
        <v>-71</v>
      </c>
      <c r="Q80" s="333">
        <f>IF(売分析!S80&lt;&gt;"",売分析!S80,"")</f>
        <v>935</v>
      </c>
      <c r="R80" s="333">
        <f>IF(売分析!R80&lt;&gt;"",売分析!R80,"")</f>
        <v>827</v>
      </c>
      <c r="S80" s="212" t="str">
        <f>IF(売分析!AA80&lt;&gt;"",売分析!AA80,"")</f>
        <v>上昇▲</v>
      </c>
      <c r="T80" s="338">
        <f>IF(売分析!Z80&lt;&gt;"",売分析!Z80,"")</f>
        <v>5.0233644859813085</v>
      </c>
      <c r="U80" s="212" t="str">
        <f>IF(売分析!V80&lt;&gt;"",売分析!V80,"")</f>
        <v>年初来安値圏●</v>
      </c>
      <c r="V80" s="336">
        <f>IF(売分析!W80&lt;&gt;"",売分析!W80,"")</f>
        <v>45.696259576385764</v>
      </c>
      <c r="W80" s="212" t="str">
        <f>IF(売分析!AD80&lt;&gt;"",売分析!AD80,"")</f>
        <v>もみ合い→</v>
      </c>
      <c r="X80" s="212" t="str">
        <f>IF(売分析!AE80&lt;&gt;"",売分析!AE80,"")</f>
        <v>25日戻り売り★</v>
      </c>
      <c r="Y80" s="388">
        <f>IF(売分析!T80&lt;&gt;"",売分析!T80,"")</f>
        <v>13</v>
      </c>
      <c r="Z80" s="212" t="str">
        <f>IF(売分析!Y80&lt;&gt;"",売分析!Y80,"")</f>
        <v>○逆張り売り | もみ合い→ 25日戻り売り★ MACD- RSI:45.7 前日比:+5.0% [年初来安値圏] [13点]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1007</v>
      </c>
      <c r="F81" s="326">
        <f>IF(売分析!F81&lt;&gt;"",売分析!F81,"")</f>
        <v>914</v>
      </c>
      <c r="G81" s="326">
        <f>IF(売分析!H81&lt;&gt;"",売分析!H81,"")</f>
        <v>1025</v>
      </c>
      <c r="H81" s="326">
        <f>IF(売分析!I81&lt;&gt;"",売分析!I81,"")</f>
        <v>914</v>
      </c>
      <c r="I81" s="325">
        <f>IF(売分析!J81&lt;&gt;"",売分析!J81,"")</f>
        <v>4914500</v>
      </c>
      <c r="J81" s="326">
        <f>IF(売分析!AB81&lt;&gt;"",売分析!AB81,"")</f>
        <v>838.13594470046075</v>
      </c>
      <c r="K81" s="326">
        <f>IF(売分析!AC81&lt;&gt;"",売分析!AC81,"")</f>
        <v>873.19427890345605</v>
      </c>
      <c r="L81" s="326">
        <f>IF(売分析!K81&lt;&gt;"",売分析!K81,"")</f>
        <v>4380</v>
      </c>
      <c r="M81" s="325" t="str">
        <f>IF(売分析!P81&lt;&gt;"",売分析!P81,"")</f>
        <v>急増↑↑</v>
      </c>
      <c r="N81" s="328">
        <f>IF(売分析!O81&lt;&gt;"",売分析!O81,"")</f>
        <v>2.0582568999455542</v>
      </c>
      <c r="O81" s="330">
        <f>IF(売分析!X81&lt;&gt;"",売分析!X81,"")</f>
        <v>-19.148058223444536</v>
      </c>
      <c r="P81" s="327">
        <f>IF(売分析!L81&lt;&gt;"",売分析!L81,"")</f>
        <v>-77.009132420091319</v>
      </c>
      <c r="Q81" s="326">
        <f>IF(売分析!S81&lt;&gt;"",売分析!S81,"")</f>
        <v>1047</v>
      </c>
      <c r="R81" s="326">
        <f>IF(売分析!R81&lt;&gt;"",売分析!R81,"")</f>
        <v>926</v>
      </c>
      <c r="S81" s="325" t="str">
        <f>IF(売分析!AA81&lt;&gt;"",売分析!AA81,"")</f>
        <v>上昇▲</v>
      </c>
      <c r="T81" s="331">
        <f>IF(売分析!Z81&lt;&gt;"",売分析!Z81,"")</f>
        <v>20.167064439140812</v>
      </c>
      <c r="U81" s="325" t="str">
        <f>IF(売分析!V81&lt;&gt;"",売分析!V81,"")</f>
        <v>年初来安値圏●</v>
      </c>
      <c r="V81" s="329">
        <f>IF(売分析!W81&lt;&gt;"",売分析!W81,"")</f>
        <v>46.168224299065422</v>
      </c>
      <c r="W81" s="325" t="str">
        <f>IF(売分析!AD81&lt;&gt;"",売分析!AD81,"")</f>
        <v>上昇トレンド▲</v>
      </c>
      <c r="X81" s="325" t="str">
        <f>IF(売分析!AE81&lt;&gt;"",売分析!AE81,"")</f>
        <v>なし</v>
      </c>
      <c r="Y81" s="387">
        <f>IF(売分析!T81&lt;&gt;"",売分析!T81,"")</f>
        <v>12</v>
      </c>
      <c r="Z81" s="325" t="str">
        <f>IF(売分析!Y81&lt;&gt;"",売分析!Y81,"")</f>
        <v>相場上昇・見送り | 上昇トレンド▲ MACD- RSI:46.2 前日比:+20.2% [年初来安値圏] [12点]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1064</v>
      </c>
      <c r="F82" s="333">
        <f>IF(売分析!F82&lt;&gt;"",売分析!F82,"")</f>
        <v>1100</v>
      </c>
      <c r="G82" s="333">
        <f>IF(売分析!H82&lt;&gt;"",売分析!H82,"")</f>
        <v>1105</v>
      </c>
      <c r="H82" s="333">
        <f>IF(売分析!I82&lt;&gt;"",売分析!I82,"")</f>
        <v>1060</v>
      </c>
      <c r="I82" s="212">
        <f>IF(売分析!J82&lt;&gt;"",売分析!J82,"")</f>
        <v>710100</v>
      </c>
      <c r="J82" s="333">
        <f>IF(売分析!AB82&lt;&gt;"",売分析!AB82,"")</f>
        <v>1109.205069124424</v>
      </c>
      <c r="K82" s="333">
        <f>IF(売分析!AC82&lt;&gt;"",売分析!AC82,"")</f>
        <v>1084.3718712753273</v>
      </c>
      <c r="L82" s="333">
        <f>IF(売分析!K82&lt;&gt;"",売分析!K82,"")</f>
        <v>1212</v>
      </c>
      <c r="M82" s="212" t="str">
        <f>IF(売分析!P82&lt;&gt;"",売分析!P82,"")</f>
        <v>減少↓</v>
      </c>
      <c r="N82" s="335">
        <f>IF(売分析!O82&lt;&gt;"",売分析!O82,"")</f>
        <v>0.59529198732458122</v>
      </c>
      <c r="O82" s="337">
        <f>IF(売分析!X82&lt;&gt;"",売分析!X82,"")</f>
        <v>13.525495643590148</v>
      </c>
      <c r="P82" s="334">
        <f>IF(売分析!L82&lt;&gt;"",売分析!L82,"")</f>
        <v>-12.211221122112212</v>
      </c>
      <c r="Q82" s="333">
        <f>IF(売分析!S82&lt;&gt;"",売分析!S82,"")</f>
        <v>1107</v>
      </c>
      <c r="R82" s="333">
        <f>IF(売分析!R82&lt;&gt;"",売分析!R82,"")</f>
        <v>979</v>
      </c>
      <c r="S82" s="212" t="str">
        <f>IF(売分析!AA82&lt;&gt;"",売分析!AA82,"")</f>
        <v>下落▼</v>
      </c>
      <c r="T82" s="338">
        <f>IF(売分析!Z82&lt;&gt;"",売分析!Z82,"")</f>
        <v>-2.9197080291970803</v>
      </c>
      <c r="U82" s="212" t="str">
        <f>IF(売分析!V82&lt;&gt;"",売分析!V82,"")</f>
        <v>通常</v>
      </c>
      <c r="V82" s="336">
        <f>IF(売分析!W82&lt;&gt;"",売分析!W82,"")</f>
        <v>59.077809798270891</v>
      </c>
      <c r="W82" s="212" t="str">
        <f>IF(売分析!AD82&lt;&gt;"",売分析!AD82,"")</f>
        <v>もみ合い→</v>
      </c>
      <c r="X82" s="212" t="str">
        <f>IF(売分析!AE82&lt;&gt;"",売分析!AE82,"")</f>
        <v>25日戻り売り★</v>
      </c>
      <c r="Y82" s="388">
        <f>IF(売分析!T82&lt;&gt;"",売分析!T82,"")</f>
        <v>5</v>
      </c>
      <c r="Z82" s="212" t="str">
        <f>IF(売分析!Y82&lt;&gt;"",売分析!Y82,"")</f>
        <v>○逆張り売り | もみ合い→ 25日戻り売り★ MACD+ RSI:59.1 前日比:-2.9% [大陰線▼] [5点]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1523</v>
      </c>
      <c r="F83" s="326">
        <f>IF(売分析!F83&lt;&gt;"",売分析!F83,"")</f>
        <v>1493</v>
      </c>
      <c r="G83" s="326">
        <f>IF(売分析!H83&lt;&gt;"",売分析!H83,"")</f>
        <v>1528</v>
      </c>
      <c r="H83" s="326">
        <f>IF(売分析!I83&lt;&gt;"",売分析!I83,"")</f>
        <v>1484</v>
      </c>
      <c r="I83" s="325">
        <f>IF(売分析!J83&lt;&gt;"",売分析!J83,"")</f>
        <v>67100</v>
      </c>
      <c r="J83" s="326">
        <f>IF(売分析!AB83&lt;&gt;"",売分析!AB83,"")</f>
        <v>1473.5875576036865</v>
      </c>
      <c r="K83" s="326">
        <f>IF(売分析!AC83&lt;&gt;"",売分析!AC83,"")</f>
        <v>1551.9880810488671</v>
      </c>
      <c r="L83" s="326">
        <f>IF(売分析!K83&lt;&gt;"",売分析!K83,"")</f>
        <v>1821</v>
      </c>
      <c r="M83" s="325" t="str">
        <f>IF(売分析!P83&lt;&gt;"",売分析!P83,"")</f>
        <v>減少↓</v>
      </c>
      <c r="N83" s="328">
        <f>IF(売分析!O83&lt;&gt;"",売分析!O83,"")</f>
        <v>0.41256763403836694</v>
      </c>
      <c r="O83" s="330">
        <f>IF(売分析!X83&lt;&gt;"",売分析!X83,"")</f>
        <v>-20.38485267016631</v>
      </c>
      <c r="P83" s="327">
        <f>IF(売分析!L83&lt;&gt;"",売分析!L83,"")</f>
        <v>-16.364634816035146</v>
      </c>
      <c r="Q83" s="326">
        <f>IF(売分析!S83&lt;&gt;"",売分析!S83,"")</f>
        <v>1584</v>
      </c>
      <c r="R83" s="326">
        <f>IF(売分析!R83&lt;&gt;"",売分析!R83,"")</f>
        <v>1401</v>
      </c>
      <c r="S83" s="325" t="str">
        <f>IF(売分析!AA83&lt;&gt;"",売分析!AA83,"")</f>
        <v>上昇▲</v>
      </c>
      <c r="T83" s="331">
        <f>IF(売分析!Z83&lt;&gt;"",売分析!Z83,"")</f>
        <v>3.746594005449591</v>
      </c>
      <c r="U83" s="325" t="str">
        <f>IF(売分析!V83&lt;&gt;"",売分析!V83,"")</f>
        <v>通常</v>
      </c>
      <c r="V83" s="329">
        <f>IF(売分析!W83&lt;&gt;"",売分析!W83,"")</f>
        <v>33.055555555555557</v>
      </c>
      <c r="W83" s="325" t="str">
        <f>IF(売分析!AD83&lt;&gt;"",売分析!AD83,"")</f>
        <v>もみ合い→</v>
      </c>
      <c r="X83" s="325" t="str">
        <f>IF(売分析!AE83&lt;&gt;"",売分析!AE83,"")</f>
        <v>25日戻り売り★</v>
      </c>
      <c r="Y83" s="387">
        <f>IF(売分析!T83&lt;&gt;"",売分析!T83,"")</f>
        <v>7</v>
      </c>
      <c r="Z83" s="325" t="str">
        <f>IF(売分析!Y83&lt;&gt;"",売分析!Y83,"")</f>
        <v>○逆張り売り | もみ合い→ 25日戻り売り★ MACD- RSI:33.1 前日比:+3.7%前日[長い下ヒゲ(反発)] [7点]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46420</v>
      </c>
      <c r="F84" s="333">
        <f>IF(売分析!F84&lt;&gt;"",売分析!F84,"")</f>
        <v>45140</v>
      </c>
      <c r="G84" s="333">
        <f>IF(売分析!H84&lt;&gt;"",売分析!H84,"")</f>
        <v>46730</v>
      </c>
      <c r="H84" s="333">
        <f>IF(売分析!I84&lt;&gt;"",売分析!I84,"")</f>
        <v>44560</v>
      </c>
      <c r="I84" s="212">
        <f>IF(売分析!J84&lt;&gt;"",売分析!J84,"")</f>
        <v>3233800</v>
      </c>
      <c r="J84" s="333">
        <f>IF(売分析!AB84&lt;&gt;"",売分析!AB84,"")</f>
        <v>40290.506912442397</v>
      </c>
      <c r="K84" s="333">
        <f>IF(売分析!AC84&lt;&gt;"",売分析!AC84,"")</f>
        <v>41913.992848629307</v>
      </c>
      <c r="L84" s="333">
        <f>IF(売分析!K84&lt;&gt;"",売分析!K84,"")</f>
        <v>58580</v>
      </c>
      <c r="M84" s="212" t="str">
        <f>IF(売分析!P84&lt;&gt;"",売分析!P84,"")</f>
        <v>減少↓</v>
      </c>
      <c r="N84" s="335">
        <f>IF(売分析!O84&lt;&gt;"",売分析!O84,"")</f>
        <v>0.73720637583892612</v>
      </c>
      <c r="O84" s="337">
        <f>IF(売分析!X84&lt;&gt;"",売分析!X84,"")</f>
        <v>-971.39343414040195</v>
      </c>
      <c r="P84" s="334">
        <f>IF(売分析!L84&lt;&gt;"",売分析!L84,"")</f>
        <v>-20.757937862751792</v>
      </c>
      <c r="Q84" s="333">
        <f>IF(売分析!S84&lt;&gt;"",売分析!S84,"")</f>
        <v>48277</v>
      </c>
      <c r="R84" s="333">
        <f>IF(売分析!R84&lt;&gt;"",売分析!R84,"")</f>
        <v>42706</v>
      </c>
      <c r="S84" s="212" t="str">
        <f>IF(売分析!AA84&lt;&gt;"",売分析!AA84,"")</f>
        <v>上昇▲</v>
      </c>
      <c r="T84" s="338">
        <f>IF(売分析!Z84&lt;&gt;"",売分析!Z84,"")</f>
        <v>13.468589586898069</v>
      </c>
      <c r="U84" s="212" t="str">
        <f>IF(売分析!V84&lt;&gt;"",売分析!V84,"")</f>
        <v>通常</v>
      </c>
      <c r="V84" s="336">
        <f>IF(売分析!W84&lt;&gt;"",売分析!W84,"")</f>
        <v>44.569499155880699</v>
      </c>
      <c r="W84" s="212" t="str">
        <f>IF(売分析!AD84&lt;&gt;"",売分析!AD84,"")</f>
        <v>上昇トレンド▲</v>
      </c>
      <c r="X84" s="212" t="str">
        <f>IF(売分析!AE84&lt;&gt;"",売分析!AE84,"")</f>
        <v>なし</v>
      </c>
      <c r="Y84" s="388">
        <f>IF(売分析!T84&lt;&gt;"",売分析!T84,"")</f>
        <v>6</v>
      </c>
      <c r="Z84" s="212" t="str">
        <f>IF(売分析!Y84&lt;&gt;"",売分析!Y84,"")</f>
        <v>相場上昇・見送り | 上昇トレンド▲ MACD- RSI:44.6 前日比:+13.5% [6点]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5443</v>
      </c>
      <c r="F85" s="326">
        <f>IF(売分析!F85&lt;&gt;"",売分析!F85,"")</f>
        <v>5318</v>
      </c>
      <c r="G85" s="326">
        <f>IF(売分析!H85&lt;&gt;"",売分析!H85,"")</f>
        <v>5482</v>
      </c>
      <c r="H85" s="326">
        <f>IF(売分析!I85&lt;&gt;"",売分析!I85,"")</f>
        <v>5312</v>
      </c>
      <c r="I85" s="325">
        <f>IF(売分析!J85&lt;&gt;"",売分析!J85,"")</f>
        <v>980200</v>
      </c>
      <c r="J85" s="326">
        <f>IF(売分析!AB85&lt;&gt;"",売分析!AB85,"")</f>
        <v>5361.4112903225796</v>
      </c>
      <c r="K85" s="326">
        <f>IF(売分析!AC85&lt;&gt;"",売分析!AC85,"")</f>
        <v>5363.3313468414754</v>
      </c>
      <c r="L85" s="326">
        <f>IF(売分析!K85&lt;&gt;"",売分析!K85,"")</f>
        <v>7225</v>
      </c>
      <c r="M85" s="325" t="str">
        <f>IF(売分析!P85&lt;&gt;"",売分析!P85,"")</f>
        <v>減少↓</v>
      </c>
      <c r="N85" s="328">
        <f>IF(売分析!O85&lt;&gt;"",売分析!O85,"")</f>
        <v>0.41624201657833942</v>
      </c>
      <c r="O85" s="330">
        <f>IF(売分析!X85&lt;&gt;"",売分析!X85,"")</f>
        <v>21.449462464031058</v>
      </c>
      <c r="P85" s="327">
        <f>IF(売分析!L85&lt;&gt;"",売分析!L85,"")</f>
        <v>-24.664359861591695</v>
      </c>
      <c r="Q85" s="326">
        <f>IF(売分析!S85&lt;&gt;"",売分析!S85,"")</f>
        <v>5661</v>
      </c>
      <c r="R85" s="326">
        <f>IF(売分析!R85&lt;&gt;"",売分析!R85,"")</f>
        <v>5008</v>
      </c>
      <c r="S85" s="325" t="str">
        <f>IF(売分析!AA85&lt;&gt;"",売分析!AA85,"")</f>
        <v>上昇▲</v>
      </c>
      <c r="T85" s="331">
        <f>IF(売分析!Z85&lt;&gt;"",売分析!Z85,"")</f>
        <v>3.7948131197559118</v>
      </c>
      <c r="U85" s="325" t="str">
        <f>IF(売分析!V85&lt;&gt;"",売分析!V85,"")</f>
        <v>安値圏</v>
      </c>
      <c r="V85" s="329">
        <f>IF(売分析!W85&lt;&gt;"",売分析!W85,"")</f>
        <v>51.873884592504467</v>
      </c>
      <c r="W85" s="325" t="str">
        <f>IF(売分析!AD85&lt;&gt;"",売分析!AD85,"")</f>
        <v>上昇トレンド▲</v>
      </c>
      <c r="X85" s="325" t="str">
        <f>IF(売分析!AE85&lt;&gt;"",売分析!AE85,"")</f>
        <v>なし</v>
      </c>
      <c r="Y85" s="387">
        <f>IF(売分析!T85&lt;&gt;"",売分析!T85,"")</f>
        <v>5</v>
      </c>
      <c r="Z85" s="325" t="str">
        <f>IF(売分析!Y85&lt;&gt;"",売分析!Y85,"")</f>
        <v>相場上昇・見送り | 上昇トレンド▲ MACD+ RSI:51.9 前日比:+3.8% [安値圏]前日[大陰線▼] [5点]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3545</v>
      </c>
      <c r="F86" s="333">
        <f>IF(売分析!F86&lt;&gt;"",売分析!F86,"")</f>
        <v>3522</v>
      </c>
      <c r="G86" s="333">
        <f>IF(売分析!H86&lt;&gt;"",売分析!H86,"")</f>
        <v>3642</v>
      </c>
      <c r="H86" s="333">
        <f>IF(売分析!I86&lt;&gt;"",売分析!I86,"")</f>
        <v>3515</v>
      </c>
      <c r="I86" s="212">
        <f>IF(売分析!J86&lt;&gt;"",売分析!J86,"")</f>
        <v>10225800</v>
      </c>
      <c r="J86" s="333" t="str">
        <f>IF(売分析!AB86&lt;&gt;"",売分析!AB86,"")</f>
        <v/>
      </c>
      <c r="K86" s="333" t="str">
        <f>IF(売分析!AC86&lt;&gt;"",売分析!AC86,"")</f>
        <v/>
      </c>
      <c r="L86" s="333">
        <f>IF(売分析!K86&lt;&gt;"",売分析!K86,"")</f>
        <v>4124</v>
      </c>
      <c r="M86" s="212" t="str">
        <f>IF(売分析!P86&lt;&gt;"",売分析!P86,"")</f>
        <v/>
      </c>
      <c r="N86" s="335" t="str">
        <f>IF(売分析!O86&lt;&gt;"",売分析!O86,"")</f>
        <v/>
      </c>
      <c r="O86" s="337">
        <f>IF(売分析!X86&lt;&gt;"",売分析!X86,"")</f>
        <v>0</v>
      </c>
      <c r="P86" s="334">
        <f>IF(売分析!L86&lt;&gt;"",売分析!L86,"")</f>
        <v>-14.039767216294861</v>
      </c>
      <c r="Q86" s="333">
        <f>IF(売分析!S86&lt;&gt;"",売分析!S86,"")</f>
        <v>3687</v>
      </c>
      <c r="R86" s="333">
        <f>IF(売分析!R86&lt;&gt;"",売分析!R86,"")</f>
        <v>3261</v>
      </c>
      <c r="S86" s="212" t="str">
        <f>IF(売分析!AA86&lt;&gt;"",売分析!AA86,"")</f>
        <v>上昇▲</v>
      </c>
      <c r="T86" s="338" t="str">
        <f>IF(売分析!Z86&lt;&gt;"",売分析!Z86,"")</f>
        <v/>
      </c>
      <c r="U86" s="212" t="str">
        <f>IF(売分析!V86&lt;&gt;"",売分析!V86,"")</f>
        <v>通常</v>
      </c>
      <c r="V86" s="336">
        <f>IF(売分析!W86&lt;&gt;"",売分析!W86,"")</f>
        <v>50</v>
      </c>
      <c r="W86" s="212" t="str">
        <f>IF(売分析!AD86&lt;&gt;"",売分析!AD86,"")</f>
        <v/>
      </c>
      <c r="X86" s="212" t="str">
        <f>IF(売分析!AE86&lt;&gt;"",売分析!AE86,"")</f>
        <v/>
      </c>
      <c r="Y86" s="388">
        <f>IF(売分析!T86&lt;&gt;"",売分析!T86,"")</f>
        <v>3</v>
      </c>
      <c r="Z86" s="212" t="str">
        <f>IF(売分析!Y86&lt;&gt;"",売分析!Y86,"")</f>
        <v>相場上昇・見送り |   MACD+ RSI:50.0 前日比:% [上ヒゲ陰線▼] [3点]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4367</v>
      </c>
      <c r="F87" s="326">
        <f>IF(売分析!F87&lt;&gt;"",売分析!F87,"")</f>
        <v>4236</v>
      </c>
      <c r="G87" s="326">
        <f>IF(売分析!H87&lt;&gt;"",売分析!H87,"")</f>
        <v>4404</v>
      </c>
      <c r="H87" s="326">
        <f>IF(売分析!I87&lt;&gt;"",売分析!I87,"")</f>
        <v>4230</v>
      </c>
      <c r="I87" s="325">
        <f>IF(売分析!J87&lt;&gt;"",売分析!J87,"")</f>
        <v>911000</v>
      </c>
      <c r="J87" s="326">
        <f>IF(売分析!AB87&lt;&gt;"",売分析!AB87,"")</f>
        <v>4119.2062211981565</v>
      </c>
      <c r="K87" s="326">
        <f>IF(売分析!AC87&lt;&gt;"",売分析!AC87,"")</f>
        <v>4154.6483909415965</v>
      </c>
      <c r="L87" s="326">
        <f>IF(売分析!K87&lt;&gt;"",売分析!K87,"")</f>
        <v>6126</v>
      </c>
      <c r="M87" s="325" t="str">
        <f>IF(売分析!P87&lt;&gt;"",売分析!P87,"")</f>
        <v>減少↓</v>
      </c>
      <c r="N87" s="328">
        <f>IF(売分析!O87&lt;&gt;"",売分析!O87,"")</f>
        <v>0.72024920148002913</v>
      </c>
      <c r="O87" s="330">
        <f>IF(売分析!X87&lt;&gt;"",売分析!X87,"")</f>
        <v>-18.738571638955364</v>
      </c>
      <c r="P87" s="327">
        <f>IF(売分析!L87&lt;&gt;"",売分析!L87,"")</f>
        <v>-28.713679399281748</v>
      </c>
      <c r="Q87" s="326">
        <f>IF(売分析!S87&lt;&gt;"",売分析!S87,"")</f>
        <v>4542</v>
      </c>
      <c r="R87" s="326">
        <f>IF(売分析!R87&lt;&gt;"",売分析!R87,"")</f>
        <v>4018</v>
      </c>
      <c r="S87" s="325" t="str">
        <f>IF(売分析!AA87&lt;&gt;"",売分析!AA87,"")</f>
        <v>上昇▲</v>
      </c>
      <c r="T87" s="331">
        <f>IF(売分析!Z87&lt;&gt;"",売分析!Z87,"")</f>
        <v>5.203565405926283</v>
      </c>
      <c r="U87" s="325" t="str">
        <f>IF(売分析!V87&lt;&gt;"",売分析!V87,"")</f>
        <v>安値圏</v>
      </c>
      <c r="V87" s="329">
        <f>IF(売分析!W87&lt;&gt;"",売分析!W87,"")</f>
        <v>53.359173126614984</v>
      </c>
      <c r="W87" s="325" t="str">
        <f>IF(売分析!AD87&lt;&gt;"",売分析!AD87,"")</f>
        <v>上昇トレンド▲</v>
      </c>
      <c r="X87" s="325" t="str">
        <f>IF(売分析!AE87&lt;&gt;"",売分析!AE87,"")</f>
        <v>なし</v>
      </c>
      <c r="Y87" s="387">
        <f>IF(売分析!T87&lt;&gt;"",売分析!T87,"")</f>
        <v>7</v>
      </c>
      <c r="Z87" s="325" t="str">
        <f>IF(売分析!Y87&lt;&gt;"",売分析!Y87,"")</f>
        <v>相場上昇・見送り | 上昇トレンド▲ MACD- RSI:53.4 前日比:+5.2% [安値圏] [7点]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3762</v>
      </c>
      <c r="F88" s="333">
        <f>IF(売分析!F88&lt;&gt;"",売分析!F88,"")</f>
        <v>3790</v>
      </c>
      <c r="G88" s="333">
        <f>IF(売分析!H88&lt;&gt;"",売分析!H88,"")</f>
        <v>3828</v>
      </c>
      <c r="H88" s="333">
        <f>IF(売分析!I88&lt;&gt;"",売分析!I88,"")</f>
        <v>3755</v>
      </c>
      <c r="I88" s="212">
        <f>IF(売分析!J88&lt;&gt;"",売分析!J88,"")</f>
        <v>167200</v>
      </c>
      <c r="J88" s="333">
        <f>IF(売分析!AB88&lt;&gt;"",売分析!AB88,"")</f>
        <v>3870.9470046082943</v>
      </c>
      <c r="K88" s="333">
        <f>IF(売分析!AC88&lt;&gt;"",売分析!AC88,"")</f>
        <v>3906.7640047675791</v>
      </c>
      <c r="L88" s="333">
        <f>IF(売分析!K88&lt;&gt;"",売分析!K88,"")</f>
        <v>5034</v>
      </c>
      <c r="M88" s="212" t="str">
        <f>IF(売分析!P88&lt;&gt;"",売分析!P88,"")</f>
        <v>減少↓</v>
      </c>
      <c r="N88" s="335">
        <f>IF(売分析!O88&lt;&gt;"",売分析!O88,"")</f>
        <v>0.28245151699439153</v>
      </c>
      <c r="O88" s="337">
        <f>IF(売分析!X88&lt;&gt;"",売分析!X88,"")</f>
        <v>6.3507934675749311</v>
      </c>
      <c r="P88" s="334">
        <f>IF(売分析!L88&lt;&gt;"",売分析!L88,"")</f>
        <v>-25.268176400476762</v>
      </c>
      <c r="Q88" s="333">
        <f>IF(売分析!S88&lt;&gt;"",売分析!S88,"")</f>
        <v>3912</v>
      </c>
      <c r="R88" s="333">
        <f>IF(売分析!R88&lt;&gt;"",売分析!R88,"")</f>
        <v>3461</v>
      </c>
      <c r="S88" s="212" t="str">
        <f>IF(売分析!AA88&lt;&gt;"",売分析!AA88,"")</f>
        <v>下落▼</v>
      </c>
      <c r="T88" s="338">
        <f>IF(売分析!Z88&lt;&gt;"",売分析!Z88,"")</f>
        <v>-1.9290928050052139</v>
      </c>
      <c r="U88" s="212" t="str">
        <f>IF(売分析!V88&lt;&gt;"",売分析!V88,"")</f>
        <v>安値圏</v>
      </c>
      <c r="V88" s="336">
        <f>IF(売分析!W88&lt;&gt;"",売分析!W88,"")</f>
        <v>49.261083743842363</v>
      </c>
      <c r="W88" s="212" t="str">
        <f>IF(売分析!AD88&lt;&gt;"",売分析!AD88,"")</f>
        <v>下降トレンド▼</v>
      </c>
      <c r="X88" s="212" t="str">
        <f>IF(売分析!AE88&lt;&gt;"",売分析!AE88,"")</f>
        <v>なし</v>
      </c>
      <c r="Y88" s="388">
        <f>IF(売分析!T88&lt;&gt;"",売分析!T88,"")</f>
        <v>8</v>
      </c>
      <c r="Z88" s="212" t="str">
        <f>IF(売分析!Y88&lt;&gt;"",売分析!Y88,"")</f>
        <v>相場上昇・見送り | 下降トレンド▼ MACD+ RSI:49.3 前日比:-1.9% [安値圏]前日[大陰線▼] [8点]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4671</v>
      </c>
      <c r="F89" s="326">
        <f>IF(売分析!F89&lt;&gt;"",売分析!F89,"")</f>
        <v>4694</v>
      </c>
      <c r="G89" s="326">
        <f>IF(売分析!H89&lt;&gt;"",売分析!H89,"")</f>
        <v>4744</v>
      </c>
      <c r="H89" s="326">
        <f>IF(売分析!I89&lt;&gt;"",売分析!I89,"")</f>
        <v>4643</v>
      </c>
      <c r="I89" s="325">
        <f>IF(売分析!J89&lt;&gt;"",売分析!J89,"")</f>
        <v>4566800</v>
      </c>
      <c r="J89" s="326">
        <f>IF(売分析!AB89&lt;&gt;"",売分析!AB89,"")</f>
        <v>4767.6186635944687</v>
      </c>
      <c r="K89" s="326">
        <f>IF(売分析!AC89&lt;&gt;"",売分析!AC89,"")</f>
        <v>4694.4386174016672</v>
      </c>
      <c r="L89" s="326">
        <f>IF(売分析!K89&lt;&gt;"",売分析!K89,"")</f>
        <v>6012</v>
      </c>
      <c r="M89" s="325" t="str">
        <f>IF(売分析!P89&lt;&gt;"",売分析!P89,"")</f>
        <v>減少↓</v>
      </c>
      <c r="N89" s="328">
        <f>IF(売分析!O89&lt;&gt;"",売分析!O89,"")</f>
        <v>0.45259308444743962</v>
      </c>
      <c r="O89" s="330">
        <f>IF(売分析!X89&lt;&gt;"",売分析!X89,"")</f>
        <v>51.484900831478626</v>
      </c>
      <c r="P89" s="327">
        <f>IF(売分析!L89&lt;&gt;"",売分析!L89,"")</f>
        <v>-22.305389221556887</v>
      </c>
      <c r="Q89" s="326">
        <f>IF(売分析!S89&lt;&gt;"",売分析!S89,"")</f>
        <v>4858</v>
      </c>
      <c r="R89" s="326">
        <f>IF(売分析!R89&lt;&gt;"",売分析!R89,"")</f>
        <v>4297</v>
      </c>
      <c r="S89" s="325" t="str">
        <f>IF(売分析!AA89&lt;&gt;"",売分析!AA89,"")</f>
        <v>下落▼</v>
      </c>
      <c r="T89" s="331">
        <f>IF(売分析!Z89&lt;&gt;"",売分析!Z89,"")</f>
        <v>-2.4232295801128054</v>
      </c>
      <c r="U89" s="325" t="str">
        <f>IF(売分析!V89&lt;&gt;"",売分析!V89,"")</f>
        <v>通常</v>
      </c>
      <c r="V89" s="329">
        <f>IF(売分析!W89&lt;&gt;"",売分析!W89,"")</f>
        <v>67.472306143001006</v>
      </c>
      <c r="W89" s="325" t="str">
        <f>IF(売分析!AD89&lt;&gt;"",売分析!AD89,"")</f>
        <v>もみ合い→</v>
      </c>
      <c r="X89" s="325" t="str">
        <f>IF(売分析!AE89&lt;&gt;"",売分析!AE89,"")</f>
        <v>25日戻り売り★</v>
      </c>
      <c r="Y89" s="387">
        <f>IF(売分析!T89&lt;&gt;"",売分析!T89,"")</f>
        <v>5</v>
      </c>
      <c r="Z89" s="325" t="str">
        <f>IF(売分析!Y89&lt;&gt;"",売分析!Y89,"")</f>
        <v>○逆張り売り | もみ合い→ 25日戻り売り★ MACD+ RSI:67.5 前日比:-2.4% [5点]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2529</v>
      </c>
      <c r="F90" s="333">
        <f>IF(売分析!F90&lt;&gt;"",売分析!F90,"")</f>
        <v>2495</v>
      </c>
      <c r="G90" s="333">
        <f>IF(売分析!H90&lt;&gt;"",売分析!H90,"")</f>
        <v>2558</v>
      </c>
      <c r="H90" s="333">
        <f>IF(売分析!I90&lt;&gt;"",売分析!I90,"")</f>
        <v>2485</v>
      </c>
      <c r="I90" s="212">
        <f>IF(売分析!J90&lt;&gt;"",売分析!J90,"")</f>
        <v>299800</v>
      </c>
      <c r="J90" s="333">
        <f>IF(売分析!AB90&lt;&gt;"",売分析!AB90,"")</f>
        <v>2449.7557603686632</v>
      </c>
      <c r="K90" s="333">
        <f>IF(売分析!AC90&lt;&gt;"",売分析!AC90,"")</f>
        <v>2231.9761620977351</v>
      </c>
      <c r="L90" s="333">
        <f>IF(売分析!K90&lt;&gt;"",売分析!K90,"")</f>
        <v>3865</v>
      </c>
      <c r="M90" s="212" t="str">
        <f>IF(売分析!P90&lt;&gt;"",売分析!P90,"")</f>
        <v>普通→</v>
      </c>
      <c r="N90" s="335">
        <f>IF(売分析!O90&lt;&gt;"",売分析!O90,"")</f>
        <v>1.2283864623453249</v>
      </c>
      <c r="O90" s="337">
        <f>IF(売分析!X90&lt;&gt;"",売分析!X90,"")</f>
        <v>9.2872901898203963</v>
      </c>
      <c r="P90" s="334">
        <f>IF(売分析!L90&lt;&gt;"",売分析!L90,"")</f>
        <v>-34.566623544631305</v>
      </c>
      <c r="Q90" s="333">
        <f>IF(売分析!S90&lt;&gt;"",売分析!S90,"")</f>
        <v>2630</v>
      </c>
      <c r="R90" s="333">
        <f>IF(売分析!R90&lt;&gt;"",売分析!R90,"")</f>
        <v>2327</v>
      </c>
      <c r="S90" s="212" t="str">
        <f>IF(売分析!AA90&lt;&gt;"",売分析!AA90,"")</f>
        <v>上昇▲</v>
      </c>
      <c r="T90" s="338">
        <f>IF(売分析!Z90&lt;&gt;"",売分析!Z90,"")</f>
        <v>4.0740740740740744</v>
      </c>
      <c r="U90" s="212" t="str">
        <f>IF(売分析!V90&lt;&gt;"",売分析!V90,"")</f>
        <v>安値圏</v>
      </c>
      <c r="V90" s="336">
        <f>IF(売分析!W90&lt;&gt;"",売分析!W90,"")</f>
        <v>51.782548749261373</v>
      </c>
      <c r="W90" s="212" t="str">
        <f>IF(売分析!AD90&lt;&gt;"",売分析!AD90,"")</f>
        <v>パーフェクト▲</v>
      </c>
      <c r="X90" s="212" t="str">
        <f>IF(売分析!AE90&lt;&gt;"",売分析!AE90,"")</f>
        <v>なし</v>
      </c>
      <c r="Y90" s="388">
        <f>IF(売分析!T90&lt;&gt;"",売分析!T90,"")</f>
        <v>3</v>
      </c>
      <c r="Z90" s="212" t="str">
        <f>IF(売分析!Y90&lt;&gt;"",売分析!Y90,"")</f>
        <v>相場上昇・見送り | パーフェクト▲ MACD+ RSI:51.8 前日比:+4.1% [安値圏] [3点]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5022</v>
      </c>
      <c r="F91" s="326">
        <f>IF(売分析!F91&lt;&gt;"",売分析!F91,"")</f>
        <v>5020</v>
      </c>
      <c r="G91" s="326">
        <f>IF(売分析!H91&lt;&gt;"",売分析!H91,"")</f>
        <v>5040</v>
      </c>
      <c r="H91" s="326">
        <f>IF(売分析!I91&lt;&gt;"",売分析!I91,"")</f>
        <v>4973</v>
      </c>
      <c r="I91" s="325">
        <f>IF(売分析!J91&lt;&gt;"",売分析!J91,"")</f>
        <v>581000</v>
      </c>
      <c r="J91" s="326">
        <f>IF(売分析!AB91&lt;&gt;"",売分析!AB91,"")</f>
        <v>5003.5472350230402</v>
      </c>
      <c r="K91" s="326">
        <f>IF(売分析!AC91&lt;&gt;"",売分析!AC91,"")</f>
        <v>4743.0131108462447</v>
      </c>
      <c r="L91" s="326">
        <f>IF(売分析!K91&lt;&gt;"",売分析!K91,"")</f>
        <v>5176</v>
      </c>
      <c r="M91" s="325" t="str">
        <f>IF(売分析!P91&lt;&gt;"",売分析!P91,"")</f>
        <v>減少↓</v>
      </c>
      <c r="N91" s="328">
        <f>IF(売分析!O91&lt;&gt;"",売分析!O91,"")</f>
        <v>0.38472744609842668</v>
      </c>
      <c r="O91" s="330">
        <f>IF(売分析!X91&lt;&gt;"",売分析!X91,"")</f>
        <v>-20.865460776391956</v>
      </c>
      <c r="P91" s="327">
        <f>IF(売分析!L91&lt;&gt;"",売分析!L91,"")</f>
        <v>-2.9752704791344669</v>
      </c>
      <c r="Q91" s="326">
        <f>IF(売分析!S91&lt;&gt;"",売分析!S91,"")</f>
        <v>5223</v>
      </c>
      <c r="R91" s="326">
        <f>IF(売分析!R91&lt;&gt;"",売分析!R91,"")</f>
        <v>4620</v>
      </c>
      <c r="S91" s="325" t="str">
        <f>IF(売分析!AA91&lt;&gt;"",売分析!AA91,"")</f>
        <v>上昇▲</v>
      </c>
      <c r="T91" s="331">
        <f>IF(売分析!Z91&lt;&gt;"",売分析!Z91,"")</f>
        <v>1.0666130006037433</v>
      </c>
      <c r="U91" s="325" t="str">
        <f>IF(売分析!V91&lt;&gt;"",売分析!V91,"")</f>
        <v>通常</v>
      </c>
      <c r="V91" s="329">
        <f>IF(売分析!W91&lt;&gt;"",売分析!W91,"")</f>
        <v>50.180823851106993</v>
      </c>
      <c r="W91" s="325" t="str">
        <f>IF(売分析!AD91&lt;&gt;"",売分析!AD91,"")</f>
        <v>パーフェクト▲</v>
      </c>
      <c r="X91" s="325" t="str">
        <f>IF(売分析!AE91&lt;&gt;"",売分析!AE91,"")</f>
        <v>なし</v>
      </c>
      <c r="Y91" s="387">
        <f>IF(売分析!T91&lt;&gt;"",売分析!T91,"")</f>
        <v>-1</v>
      </c>
      <c r="Z91" s="325" t="str">
        <f>IF(売分析!Y91&lt;&gt;"",売分析!Y91,"")</f>
        <v>相場上昇・見送り | パーフェクト▲ MACD- RSI:50.2 前日比:+1.1%前日[長い下ヒゲ(反発)]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2270.5</v>
      </c>
      <c r="F92" s="333">
        <f>IF(売分析!F92&lt;&gt;"",売分析!F92,"")</f>
        <v>2208</v>
      </c>
      <c r="G92" s="333">
        <f>IF(売分析!H92&lt;&gt;"",売分析!H92,"")</f>
        <v>2271</v>
      </c>
      <c r="H92" s="333">
        <f>IF(売分析!I92&lt;&gt;"",売分析!I92,"")</f>
        <v>2183.5</v>
      </c>
      <c r="I92" s="212">
        <f>IF(売分析!J92&lt;&gt;"",売分析!J92,"")</f>
        <v>6488700</v>
      </c>
      <c r="J92" s="333">
        <f>IF(売分析!AB92&lt;&gt;"",売分析!AB92,"")</f>
        <v>2208.1330645161288</v>
      </c>
      <c r="K92" s="333">
        <f>IF(売分析!AC92&lt;&gt;"",売分析!AC92,"")</f>
        <v>2271.7002383790218</v>
      </c>
      <c r="L92" s="333">
        <f>IF(売分析!K92&lt;&gt;"",売分析!K92,"")</f>
        <v>2420.5</v>
      </c>
      <c r="M92" s="212" t="str">
        <f>IF(売分析!P92&lt;&gt;"",売分析!P92,"")</f>
        <v>減少↓</v>
      </c>
      <c r="N92" s="335">
        <f>IF(売分析!O92&lt;&gt;"",売分析!O92,"")</f>
        <v>0.44106970977372467</v>
      </c>
      <c r="O92" s="337">
        <f>IF(売分析!X92&lt;&gt;"",売分析!X92,"")</f>
        <v>-11.892902773851802</v>
      </c>
      <c r="P92" s="334">
        <f>IF(売分析!L92&lt;&gt;"",売分析!L92,"")</f>
        <v>-6.1970667217517041</v>
      </c>
      <c r="Q92" s="333">
        <f>IF(売分析!S92&lt;&gt;"",売分析!S92,"")</f>
        <v>2361</v>
      </c>
      <c r="R92" s="333">
        <f>IF(売分析!R92&lt;&gt;"",売分析!R92,"")</f>
        <v>2089</v>
      </c>
      <c r="S92" s="212" t="str">
        <f>IF(売分析!AA92&lt;&gt;"",売分析!AA92,"")</f>
        <v>上昇▲</v>
      </c>
      <c r="T92" s="338">
        <f>IF(売分析!Z92&lt;&gt;"",売分析!Z92,"")</f>
        <v>1.0683285110171379</v>
      </c>
      <c r="U92" s="212" t="str">
        <f>IF(売分析!V92&lt;&gt;"",売分析!V92,"")</f>
        <v>通常</v>
      </c>
      <c r="V92" s="336">
        <f>IF(売分析!W92&lt;&gt;"",売分析!W92,"")</f>
        <v>40.720000000000006</v>
      </c>
      <c r="W92" s="212" t="str">
        <f>IF(売分析!AD92&lt;&gt;"",売分析!AD92,"")</f>
        <v>もみ合い→</v>
      </c>
      <c r="X92" s="212" t="str">
        <f>IF(売分析!AE92&lt;&gt;"",売分析!AE92,"")</f>
        <v>25日戻り売り★</v>
      </c>
      <c r="Y92" s="388">
        <f>IF(売分析!T92&lt;&gt;"",売分析!T92,"")</f>
        <v>3</v>
      </c>
      <c r="Z92" s="212" t="str">
        <f>IF(売分析!Y92&lt;&gt;"",売分析!Y92,"")</f>
        <v>○逆張り売り | もみ合い→ 25日戻り売り★ MACD- RSI:40.7 前日比:+1.1% [3点]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1748</v>
      </c>
      <c r="F93" s="326">
        <f>IF(売分析!F93&lt;&gt;"",売分析!F93,"")</f>
        <v>1720</v>
      </c>
      <c r="G93" s="326">
        <f>IF(売分析!H93&lt;&gt;"",売分析!H93,"")</f>
        <v>1753</v>
      </c>
      <c r="H93" s="326">
        <f>IF(売分析!I93&lt;&gt;"",売分析!I93,"")</f>
        <v>1719</v>
      </c>
      <c r="I93" s="325">
        <f>IF(売分析!J93&lt;&gt;"",売分析!J93,"")</f>
        <v>1391100</v>
      </c>
      <c r="J93" s="326">
        <f>IF(売分析!AB93&lt;&gt;"",売分析!AB93,"")</f>
        <v>1757.2788018433175</v>
      </c>
      <c r="K93" s="326">
        <f>IF(売分析!AC93&lt;&gt;"",売分析!AC93,"")</f>
        <v>1832.2234803337299</v>
      </c>
      <c r="L93" s="326">
        <f>IF(売分析!K93&lt;&gt;"",売分析!K93,"")</f>
        <v>1943</v>
      </c>
      <c r="M93" s="325" t="str">
        <f>IF(売分析!P93&lt;&gt;"",売分析!P93,"")</f>
        <v>減少↓</v>
      </c>
      <c r="N93" s="328">
        <f>IF(売分析!O93&lt;&gt;"",売分析!O93,"")</f>
        <v>0.37401797093032635</v>
      </c>
      <c r="O93" s="330">
        <f>IF(売分析!X93&lt;&gt;"",売分析!X93,"")</f>
        <v>-9.7146591492557945</v>
      </c>
      <c r="P93" s="327">
        <f>IF(売分析!L93&lt;&gt;"",売分析!L93,"")</f>
        <v>-10.036026762738034</v>
      </c>
      <c r="Q93" s="326">
        <f>IF(売分析!S93&lt;&gt;"",売分析!S93,"")</f>
        <v>1818</v>
      </c>
      <c r="R93" s="326">
        <f>IF(売分析!R93&lt;&gt;"",売分析!R93,"")</f>
        <v>1608</v>
      </c>
      <c r="S93" s="325" t="str">
        <f>IF(売分析!AA93&lt;&gt;"",売分析!AA93,"")</f>
        <v>上昇▲</v>
      </c>
      <c r="T93" s="331">
        <f>IF(売分析!Z93&lt;&gt;"",売分析!Z93,"")</f>
        <v>1.6870273414776031</v>
      </c>
      <c r="U93" s="325" t="str">
        <f>IF(売分析!V93&lt;&gt;"",売分析!V93,"")</f>
        <v>通常</v>
      </c>
      <c r="V93" s="329">
        <f>IF(売分析!W93&lt;&gt;"",売分析!W93,"")</f>
        <v>37.941473259334003</v>
      </c>
      <c r="W93" s="325" t="str">
        <f>IF(売分析!AD93&lt;&gt;"",売分析!AD93,"")</f>
        <v>下降トレンド▼</v>
      </c>
      <c r="X93" s="325" t="str">
        <f>IF(売分析!AE93&lt;&gt;"",売分析!AE93,"")</f>
        <v>5日戻り売り○</v>
      </c>
      <c r="Y93" s="387">
        <f>IF(売分析!T93&lt;&gt;"",売分析!T93,"")</f>
        <v>7</v>
      </c>
      <c r="Z93" s="325" t="str">
        <f>IF(売分析!Y93&lt;&gt;"",売分析!Y93,"")</f>
        <v>★逆張り売り | 下降トレンド▼ 5日戻り売り○ MACD- RSI:37.9 前日比:+1.7% [7点]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1548.5</v>
      </c>
      <c r="F94" s="333">
        <f>IF(売分析!F94&lt;&gt;"",売分析!F94,"")</f>
        <v>1541.5</v>
      </c>
      <c r="G94" s="333">
        <f>IF(売分析!H94&lt;&gt;"",売分析!H94,"")</f>
        <v>1549</v>
      </c>
      <c r="H94" s="333">
        <f>IF(売分析!I94&lt;&gt;"",売分析!I94,"")</f>
        <v>1528</v>
      </c>
      <c r="I94" s="212">
        <f>IF(売分析!J94&lt;&gt;"",売分析!J94,"")</f>
        <v>139100</v>
      </c>
      <c r="J94" s="333">
        <f>IF(売分析!AB94&lt;&gt;"",売分析!AB94,"")</f>
        <v>1547.6837557603687</v>
      </c>
      <c r="K94" s="333">
        <f>IF(売分析!AC94&lt;&gt;"",売分析!AC94,"")</f>
        <v>1550.1764004767572</v>
      </c>
      <c r="L94" s="333">
        <f>IF(売分析!K94&lt;&gt;"",売分析!K94,"")</f>
        <v>1860</v>
      </c>
      <c r="M94" s="212" t="str">
        <f>IF(売分析!P94&lt;&gt;"",売分析!P94,"")</f>
        <v>減少↓</v>
      </c>
      <c r="N94" s="335">
        <f>IF(売分析!O94&lt;&gt;"",売分析!O94,"")</f>
        <v>0.25649063283670159</v>
      </c>
      <c r="O94" s="337">
        <f>IF(売分析!X94&lt;&gt;"",売分析!X94,"")</f>
        <v>5.1546853792603997</v>
      </c>
      <c r="P94" s="334">
        <f>IF(売分析!L94&lt;&gt;"",売分析!L94,"")</f>
        <v>-16.747311827956992</v>
      </c>
      <c r="Q94" s="333">
        <f>IF(売分析!S94&lt;&gt;"",売分析!S94,"")</f>
        <v>1610</v>
      </c>
      <c r="R94" s="333">
        <f>IF(売分析!R94&lt;&gt;"",売分析!R94,"")</f>
        <v>1425</v>
      </c>
      <c r="S94" s="212" t="str">
        <f>IF(売分析!AA94&lt;&gt;"",売分析!AA94,"")</f>
        <v>上昇▲</v>
      </c>
      <c r="T94" s="338">
        <f>IF(売分析!Z94&lt;&gt;"",売分析!Z94,"")</f>
        <v>0.29145077720207252</v>
      </c>
      <c r="U94" s="212" t="str">
        <f>IF(売分析!V94&lt;&gt;"",売分析!V94,"")</f>
        <v>通常</v>
      </c>
      <c r="V94" s="336">
        <f>IF(売分析!W94&lt;&gt;"",売分析!W94,"")</f>
        <v>49.870801033591732</v>
      </c>
      <c r="W94" s="212" t="str">
        <f>IF(売分析!AD94&lt;&gt;"",売分析!AD94,"")</f>
        <v>もみ合い→</v>
      </c>
      <c r="X94" s="212" t="str">
        <f>IF(売分析!AE94&lt;&gt;"",売分析!AE94,"")</f>
        <v>25日戻り売り★</v>
      </c>
      <c r="Y94" s="388">
        <f>IF(売分析!T94&lt;&gt;"",売分析!T94,"")</f>
        <v>0</v>
      </c>
      <c r="Z94" s="212" t="str">
        <f>IF(売分析!Y94&lt;&gt;"",売分析!Y94,"")</f>
        <v>○逆張り売り | もみ合い→ 25日戻り売り★ MACD+ RSI:49.9 前日比:+0.3% [長い下ヒゲ(反発警戒)] [0点]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1937</v>
      </c>
      <c r="F95" s="326">
        <f>IF(売分析!F95&lt;&gt;"",売分析!F95,"")</f>
        <v>2080</v>
      </c>
      <c r="G95" s="326">
        <f>IF(売分析!H95&lt;&gt;"",売分析!H95,"")</f>
        <v>2093.5</v>
      </c>
      <c r="H95" s="326">
        <f>IF(売分析!I95&lt;&gt;"",売分析!I95,"")</f>
        <v>1927.5</v>
      </c>
      <c r="I95" s="325">
        <f>IF(売分析!J95&lt;&gt;"",売分析!J95,"")</f>
        <v>4763000</v>
      </c>
      <c r="J95" s="326">
        <f>IF(売分析!AB95&lt;&gt;"",売分析!AB95,"")</f>
        <v>2064.6889400921655</v>
      </c>
      <c r="K95" s="326">
        <f>IF(売分析!AC95&lt;&gt;"",売分析!AC95,"")</f>
        <v>1993.4874851013108</v>
      </c>
      <c r="L95" s="326">
        <f>IF(売分析!K95&lt;&gt;"",売分析!K95,"")</f>
        <v>2379.5</v>
      </c>
      <c r="M95" s="325" t="str">
        <f>IF(売分析!P95&lt;&gt;"",売分析!P95,"")</f>
        <v>増加↑</v>
      </c>
      <c r="N95" s="328">
        <f>IF(売分析!O95&lt;&gt;"",売分析!O95,"")</f>
        <v>1.9535543779633489</v>
      </c>
      <c r="O95" s="330">
        <f>IF(売分析!X95&lt;&gt;"",売分析!X95,"")</f>
        <v>25.246273468689651</v>
      </c>
      <c r="P95" s="327">
        <f>IF(売分析!L95&lt;&gt;"",売分析!L95,"")</f>
        <v>-18.596343769699516</v>
      </c>
      <c r="Q95" s="326">
        <f>IF(売分析!S95&lt;&gt;"",売分析!S95,"")</f>
        <v>2014</v>
      </c>
      <c r="R95" s="326">
        <f>IF(売分析!R95&lt;&gt;"",売分析!R95,"")</f>
        <v>1782</v>
      </c>
      <c r="S95" s="325" t="str">
        <f>IF(売分析!AA95&lt;&gt;"",売分析!AA95,"")</f>
        <v>下落▼</v>
      </c>
      <c r="T95" s="331">
        <f>IF(売分析!Z95&lt;&gt;"",売分析!Z95,"")</f>
        <v>-6.5605402797877463</v>
      </c>
      <c r="U95" s="325" t="str">
        <f>IF(売分析!V95&lt;&gt;"",売分析!V95,"")</f>
        <v>通常</v>
      </c>
      <c r="V95" s="329">
        <f>IF(売分析!W95&lt;&gt;"",売分析!W95,"")</f>
        <v>84.322678843226782</v>
      </c>
      <c r="W95" s="325" t="str">
        <f>IF(売分析!AD95&lt;&gt;"",売分析!AD95,"")</f>
        <v>もみ合い→</v>
      </c>
      <c r="X95" s="325" t="str">
        <f>IF(売分析!AE95&lt;&gt;"",売分析!AE95,"")</f>
        <v>なし</v>
      </c>
      <c r="Y95" s="387">
        <f>IF(売分析!T95&lt;&gt;"",売分析!T95,"")</f>
        <v>7</v>
      </c>
      <c r="Z95" s="325" t="str">
        <f>IF(売分析!Y95&lt;&gt;"",売分析!Y95,"")</f>
        <v>◎反落確認 | もみ合い→ MACD+ RSI:84.3 [過熱] 前日比:-6.6% [大陰線▼]前日[長い下ヒゲ(反発)] [7点]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3489</v>
      </c>
      <c r="F96" s="333">
        <f>IF(売分析!F96&lt;&gt;"",売分析!F96,"")</f>
        <v>3481</v>
      </c>
      <c r="G96" s="333">
        <f>IF(売分析!H96&lt;&gt;"",売分析!H96,"")</f>
        <v>3497</v>
      </c>
      <c r="H96" s="333">
        <f>IF(売分析!I96&lt;&gt;"",売分析!I96,"")</f>
        <v>3463</v>
      </c>
      <c r="I96" s="212">
        <f>IF(売分析!J96&lt;&gt;"",売分析!J96,"")</f>
        <v>104800</v>
      </c>
      <c r="J96" s="333">
        <f>IF(売分析!AB96&lt;&gt;"",売分析!AB96,"")</f>
        <v>3569.0610599078332</v>
      </c>
      <c r="K96" s="333">
        <f>IF(売分析!AC96&lt;&gt;"",売分析!AC96,"")</f>
        <v>3610.4243146603076</v>
      </c>
      <c r="L96" s="333">
        <f>IF(売分析!K96&lt;&gt;"",売分析!K96,"")</f>
        <v>4456</v>
      </c>
      <c r="M96" s="212" t="str">
        <f>IF(売分析!P96&lt;&gt;"",売分析!P96,"")</f>
        <v>減少↓</v>
      </c>
      <c r="N96" s="335">
        <f>IF(売分析!O96&lt;&gt;"",売分析!O96,"")</f>
        <v>0.25817895151754039</v>
      </c>
      <c r="O96" s="337">
        <f>IF(売分析!X96&lt;&gt;"",売分析!X96,"")</f>
        <v>1.4256385354196937</v>
      </c>
      <c r="P96" s="334">
        <f>IF(売分析!L96&lt;&gt;"",売分析!L96,"")</f>
        <v>-21.701077199281869</v>
      </c>
      <c r="Q96" s="333">
        <f>IF(売分析!S96&lt;&gt;"",売分析!S96,"")</f>
        <v>3629</v>
      </c>
      <c r="R96" s="333">
        <f>IF(売分析!R96&lt;&gt;"",売分析!R96,"")</f>
        <v>3210</v>
      </c>
      <c r="S96" s="212" t="str">
        <f>IF(売分析!AA96&lt;&gt;"",売分析!AA96,"")</f>
        <v>下落▼</v>
      </c>
      <c r="T96" s="338">
        <f>IF(売分析!Z96&lt;&gt;"",売分析!Z96,"")</f>
        <v>-1.5519187358916477</v>
      </c>
      <c r="U96" s="212" t="str">
        <f>IF(売分析!V96&lt;&gt;"",売分析!V96,"")</f>
        <v>通常</v>
      </c>
      <c r="V96" s="336">
        <f>IF(売分析!W96&lt;&gt;"",売分析!W96,"")</f>
        <v>48.522550544323487</v>
      </c>
      <c r="W96" s="212" t="str">
        <f>IF(売分析!AD96&lt;&gt;"",売分析!AD96,"")</f>
        <v>下降トレンド▼</v>
      </c>
      <c r="X96" s="212" t="str">
        <f>IF(売分析!AE96&lt;&gt;"",売分析!AE96,"")</f>
        <v>なし</v>
      </c>
      <c r="Y96" s="388">
        <f>IF(売分析!T96&lt;&gt;"",売分析!T96,"")</f>
        <v>6</v>
      </c>
      <c r="Z96" s="212" t="str">
        <f>IF(売分析!Y96&lt;&gt;"",売分析!Y96,"")</f>
        <v>相場上昇・見送り | 下降トレンド▼ MACD+ RSI:48.5 前日比:-1.6% [6点]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2722</v>
      </c>
      <c r="F97" s="326">
        <f>IF(売分析!F97&lt;&gt;"",売分析!F97,"")</f>
        <v>2498</v>
      </c>
      <c r="G97" s="326">
        <f>IF(売分析!H97&lt;&gt;"",売分析!H97,"")</f>
        <v>2739</v>
      </c>
      <c r="H97" s="326">
        <f>IF(売分析!I97&lt;&gt;"",売分析!I97,"")</f>
        <v>2491</v>
      </c>
      <c r="I97" s="325">
        <f>IF(売分析!J97&lt;&gt;"",売分析!J97,"")</f>
        <v>35200</v>
      </c>
      <c r="J97" s="326">
        <f>IF(売分析!AB97&lt;&gt;"",売分析!AB97,"")</f>
        <v>2511.6405529953918</v>
      </c>
      <c r="K97" s="326">
        <f>IF(売分析!AC97&lt;&gt;"",売分析!AC97,"")</f>
        <v>2570.2932061978531</v>
      </c>
      <c r="L97" s="326">
        <f>IF(売分析!K97&lt;&gt;"",売分析!K97,"")</f>
        <v>3935</v>
      </c>
      <c r="M97" s="325" t="str">
        <f>IF(売分析!P97&lt;&gt;"",売分析!P97,"")</f>
        <v>減少↓</v>
      </c>
      <c r="N97" s="328">
        <f>IF(売分析!O97&lt;&gt;"",売分析!O97,"")</f>
        <v>0.43510506798516685</v>
      </c>
      <c r="O97" s="330">
        <f>IF(売分析!X97&lt;&gt;"",売分析!X97,"")</f>
        <v>18.046897575615731</v>
      </c>
      <c r="P97" s="327">
        <f>IF(売分析!L97&lt;&gt;"",売分析!L97,"")</f>
        <v>-30.82592121982211</v>
      </c>
      <c r="Q97" s="326">
        <f>IF(売分析!S97&lt;&gt;"",売分析!S97,"")</f>
        <v>2831</v>
      </c>
      <c r="R97" s="326">
        <f>IF(売分析!R97&lt;&gt;"",売分析!R97,"")</f>
        <v>2504</v>
      </c>
      <c r="S97" s="325" t="str">
        <f>IF(売分析!AA97&lt;&gt;"",売分析!AA97,"")</f>
        <v>上昇▲</v>
      </c>
      <c r="T97" s="331">
        <f>IF(売分析!Z97&lt;&gt;"",売分析!Z97,"")</f>
        <v>14.949324324324326</v>
      </c>
      <c r="U97" s="325" t="str">
        <f>IF(売分析!V97&lt;&gt;"",売分析!V97,"")</f>
        <v>安値圏</v>
      </c>
      <c r="V97" s="329">
        <f>IF(売分析!W97&lt;&gt;"",売分析!W97,"")</f>
        <v>41.528925619834716</v>
      </c>
      <c r="W97" s="325" t="str">
        <f>IF(売分析!AD97&lt;&gt;"",売分析!AD97,"")</f>
        <v>上昇トレンド▲</v>
      </c>
      <c r="X97" s="325" t="str">
        <f>IF(売分析!AE97&lt;&gt;"",売分析!AE97,"")</f>
        <v>なし</v>
      </c>
      <c r="Y97" s="387">
        <f>IF(売分析!T97&lt;&gt;"",売分析!T97,"")</f>
        <v>2</v>
      </c>
      <c r="Z97" s="325" t="str">
        <f>IF(売分析!Y97&lt;&gt;"",売分析!Y97,"")</f>
        <v>相場上昇・見送り | 上昇トレンド▲ MACD+ RSI:41.5 前日比:+14.9%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2364</v>
      </c>
      <c r="F98" s="333">
        <f>IF(売分析!F98&lt;&gt;"",売分析!F98,"")</f>
        <v>2318</v>
      </c>
      <c r="G98" s="333">
        <f>IF(売分析!H98&lt;&gt;"",売分析!H98,"")</f>
        <v>2364</v>
      </c>
      <c r="H98" s="333">
        <f>IF(売分析!I98&lt;&gt;"",売分析!I98,"")</f>
        <v>2305</v>
      </c>
      <c r="I98" s="212">
        <f>IF(売分析!J98&lt;&gt;"",売分析!J98,"")</f>
        <v>21600</v>
      </c>
      <c r="J98" s="333">
        <f>IF(売分析!AB98&lt;&gt;"",売分析!AB98,"")</f>
        <v>2292.897465437788</v>
      </c>
      <c r="K98" s="333">
        <f>IF(売分析!AC98&lt;&gt;"",売分析!AC98,"")</f>
        <v>2315.1680572109653</v>
      </c>
      <c r="L98" s="333">
        <f>IF(売分析!K98&lt;&gt;"",売分析!K98,"")</f>
        <v>3490</v>
      </c>
      <c r="M98" s="212" t="str">
        <f>IF(売分析!P98&lt;&gt;"",売分析!P98,"")</f>
        <v>減少↓</v>
      </c>
      <c r="N98" s="335">
        <f>IF(売分析!O98&lt;&gt;"",売分析!O98,"")</f>
        <v>0.32219570405727921</v>
      </c>
      <c r="O98" s="337">
        <f>IF(売分析!X98&lt;&gt;"",売分析!X98,"")</f>
        <v>-14.137032865119636</v>
      </c>
      <c r="P98" s="334">
        <f>IF(売分析!L98&lt;&gt;"",売分析!L98,"")</f>
        <v>-32.263610315186249</v>
      </c>
      <c r="Q98" s="333">
        <f>IF(売分析!S98&lt;&gt;"",売分析!S98,"")</f>
        <v>2459</v>
      </c>
      <c r="R98" s="333">
        <f>IF(売分析!R98&lt;&gt;"",売分析!R98,"")</f>
        <v>2175</v>
      </c>
      <c r="S98" s="212" t="str">
        <f>IF(売分析!AA98&lt;&gt;"",売分析!AA98,"")</f>
        <v>上昇▲</v>
      </c>
      <c r="T98" s="338">
        <f>IF(売分析!Z98&lt;&gt;"",売分析!Z98,"")</f>
        <v>3.820816864295125</v>
      </c>
      <c r="U98" s="212" t="str">
        <f>IF(売分析!V98&lt;&gt;"",売分析!V98,"")</f>
        <v>安値圏</v>
      </c>
      <c r="V98" s="336">
        <f>IF(売分析!W98&lt;&gt;"",売分析!W98,"")</f>
        <v>42.486085343228204</v>
      </c>
      <c r="W98" s="212" t="str">
        <f>IF(売分析!AD98&lt;&gt;"",売分析!AD98,"")</f>
        <v>上昇トレンド▲</v>
      </c>
      <c r="X98" s="212" t="str">
        <f>IF(売分析!AE98&lt;&gt;"",売分析!AE98,"")</f>
        <v>なし</v>
      </c>
      <c r="Y98" s="388">
        <f>IF(売分析!T98&lt;&gt;"",売分析!T98,"")</f>
        <v>7</v>
      </c>
      <c r="Z98" s="212" t="str">
        <f>IF(売分析!Y98&lt;&gt;"",売分析!Y98,"")</f>
        <v>相場上昇・見送り | 上昇トレンド▲ MACD- RSI:42.5 前日比:+3.8% [安値圏]前日[大陰線▼] [7点]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3135</v>
      </c>
      <c r="F99" s="326">
        <f>IF(売分析!F99&lt;&gt;"",売分析!F99,"")</f>
        <v>3115</v>
      </c>
      <c r="G99" s="326">
        <f>IF(売分析!H99&lt;&gt;"",売分析!H99,"")</f>
        <v>3157</v>
      </c>
      <c r="H99" s="326">
        <f>IF(売分析!I99&lt;&gt;"",売分析!I99,"")</f>
        <v>3103</v>
      </c>
      <c r="I99" s="325">
        <f>IF(売分析!J99&lt;&gt;"",売分析!J99,"")</f>
        <v>1398900</v>
      </c>
      <c r="J99" s="326">
        <f>IF(売分析!AB99&lt;&gt;"",売分析!AB99,"")</f>
        <v>3125.3905529953913</v>
      </c>
      <c r="K99" s="326">
        <f>IF(売分析!AC99&lt;&gt;"",売分析!AC99,"")</f>
        <v>3083.7342073897489</v>
      </c>
      <c r="L99" s="326">
        <f>IF(売分析!K99&lt;&gt;"",売分析!K99,"")</f>
        <v>3419</v>
      </c>
      <c r="M99" s="325" t="str">
        <f>IF(売分析!P99&lt;&gt;"",売分析!P99,"")</f>
        <v>減少↓</v>
      </c>
      <c r="N99" s="328">
        <f>IF(売分析!O99&lt;&gt;"",売分析!O99,"")</f>
        <v>0.37882234426282779</v>
      </c>
      <c r="O99" s="330">
        <f>IF(売分析!X99&lt;&gt;"",売分析!X99,"")</f>
        <v>9.2258019256569241</v>
      </c>
      <c r="P99" s="327">
        <f>IF(売分析!L99&lt;&gt;"",売分析!L99,"")</f>
        <v>-8.3065223749634391</v>
      </c>
      <c r="Q99" s="326">
        <f>IF(売分析!S99&lt;&gt;"",売分析!S99,"")</f>
        <v>3260</v>
      </c>
      <c r="R99" s="326">
        <f>IF(売分析!R99&lt;&gt;"",売分析!R99,"")</f>
        <v>2884</v>
      </c>
      <c r="S99" s="325" t="str">
        <f>IF(売分析!AA99&lt;&gt;"",売分析!AA99,"")</f>
        <v>上昇▲</v>
      </c>
      <c r="T99" s="331">
        <f>IF(売分析!Z99&lt;&gt;"",売分析!Z99,"")</f>
        <v>0.19175455417066153</v>
      </c>
      <c r="U99" s="325" t="str">
        <f>IF(売分析!V99&lt;&gt;"",売分析!V99,"")</f>
        <v>通常</v>
      </c>
      <c r="V99" s="329">
        <f>IF(売分析!W99&lt;&gt;"",売分析!W99,"")</f>
        <v>59.437086092715234</v>
      </c>
      <c r="W99" s="325" t="str">
        <f>IF(売分析!AD99&lt;&gt;"",売分析!AD99,"")</f>
        <v>パーフェクト▲</v>
      </c>
      <c r="X99" s="325" t="str">
        <f>IF(売分析!AE99&lt;&gt;"",売分析!AE99,"")</f>
        <v>なし</v>
      </c>
      <c r="Y99" s="387">
        <f>IF(売分析!T99&lt;&gt;"",売分析!T99,"")</f>
        <v>-3</v>
      </c>
      <c r="Z99" s="325" t="str">
        <f>IF(売分析!Y99&lt;&gt;"",売分析!Y99,"")</f>
        <v>相場上昇・見送り | パーフェクト▲ MACD+ RSI:59.4 前日比:+0.2%前日[長い下ヒゲ(反発)] [-3点]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5320</v>
      </c>
      <c r="F100" s="333">
        <f>IF(売分析!F100&lt;&gt;"",売分析!F100,"")</f>
        <v>5460</v>
      </c>
      <c r="G100" s="333">
        <f>IF(売分析!H100&lt;&gt;"",売分析!H100,"")</f>
        <v>5581</v>
      </c>
      <c r="H100" s="333">
        <f>IF(売分析!I100&lt;&gt;"",売分析!I100,"")</f>
        <v>5253</v>
      </c>
      <c r="I100" s="212">
        <f>IF(売分析!J100&lt;&gt;"",売分析!J100,"")</f>
        <v>1649400</v>
      </c>
      <c r="J100" s="333">
        <f>IF(売分析!AB100&lt;&gt;"",売分析!AB100,"")</f>
        <v>5767.9504608294919</v>
      </c>
      <c r="K100" s="333">
        <f>IF(売分析!AC100&lt;&gt;"",売分析!AC100,"")</f>
        <v>5694.9845053635245</v>
      </c>
      <c r="L100" s="333">
        <f>IF(売分析!K100&lt;&gt;"",売分析!K100,"")</f>
        <v>6317</v>
      </c>
      <c r="M100" s="212" t="str">
        <f>IF(売分析!P100&lt;&gt;"",売分析!P100,"")</f>
        <v>普通→</v>
      </c>
      <c r="N100" s="335">
        <f>IF(売分析!O100&lt;&gt;"",売分析!O100,"")</f>
        <v>1.3251385876114727</v>
      </c>
      <c r="O100" s="337">
        <f>IF(売分析!X100&lt;&gt;"",売分析!X100,"")</f>
        <v>27.583122047138204</v>
      </c>
      <c r="P100" s="334">
        <f>IF(売分析!L100&lt;&gt;"",売分析!L100,"")</f>
        <v>-15.782808295076778</v>
      </c>
      <c r="Q100" s="333">
        <f>IF(売分析!S100&lt;&gt;"",売分析!S100,"")</f>
        <v>5533</v>
      </c>
      <c r="R100" s="333">
        <f>IF(売分析!R100&lt;&gt;"",売分析!R100,"")</f>
        <v>4894</v>
      </c>
      <c r="S100" s="212" t="str">
        <f>IF(売分析!AA100&lt;&gt;"",売分析!AA100,"")</f>
        <v>下落▼</v>
      </c>
      <c r="T100" s="338">
        <f>IF(売分析!Z100&lt;&gt;"",売分析!Z100,"")</f>
        <v>-6.7321178120617109</v>
      </c>
      <c r="U100" s="212" t="str">
        <f>IF(売分析!V100&lt;&gt;"",売分析!V100,"")</f>
        <v>通常</v>
      </c>
      <c r="V100" s="336">
        <f>IF(売分析!W100&lt;&gt;"",売分析!W100,"")</f>
        <v>53.768545994065278</v>
      </c>
      <c r="W100" s="212" t="str">
        <f>IF(売分析!AD100&lt;&gt;"",売分析!AD100,"")</f>
        <v>もみ合い→</v>
      </c>
      <c r="X100" s="212" t="str">
        <f>IF(売分析!AE100&lt;&gt;"",売分析!AE100,"")</f>
        <v>なし</v>
      </c>
      <c r="Y100" s="388">
        <f>IF(売分析!T100&lt;&gt;"",売分析!T100,"")</f>
        <v>2</v>
      </c>
      <c r="Z100" s="212" t="str">
        <f>IF(売分析!Y100&lt;&gt;"",売分析!Y100,"")</f>
        <v>相場上昇・見送り | もみ合い→ MACD+ RSI:53.8 前日比:-6.7% [2点]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1516</v>
      </c>
      <c r="F101" s="326">
        <f>IF(売分析!F101&lt;&gt;"",売分析!F101,"")</f>
        <v>1490</v>
      </c>
      <c r="G101" s="326">
        <f>IF(売分析!H101&lt;&gt;"",売分析!H101,"")</f>
        <v>1517</v>
      </c>
      <c r="H101" s="326">
        <f>IF(売分析!I101&lt;&gt;"",売分析!I101,"")</f>
        <v>1479</v>
      </c>
      <c r="I101" s="325">
        <f>IF(売分析!J101&lt;&gt;"",売分析!J101,"")</f>
        <v>1271200</v>
      </c>
      <c r="J101" s="326">
        <f>IF(売分析!AB101&lt;&gt;"",売分析!AB101,"")</f>
        <v>1489.7488479262672</v>
      </c>
      <c r="K101" s="326">
        <f>IF(売分析!AC101&lt;&gt;"",売分析!AC101,"")</f>
        <v>1503.0166865315848</v>
      </c>
      <c r="L101" s="326">
        <f>IF(売分析!K101&lt;&gt;"",売分析!K101,"")</f>
        <v>1585.5</v>
      </c>
      <c r="M101" s="325" t="str">
        <f>IF(売分析!P101&lt;&gt;"",売分析!P101,"")</f>
        <v>減少↓</v>
      </c>
      <c r="N101" s="328">
        <f>IF(売分析!O101&lt;&gt;"",売分析!O101,"")</f>
        <v>0.41748771708573079</v>
      </c>
      <c r="O101" s="330">
        <f>IF(売分析!X101&lt;&gt;"",売分析!X101,"")</f>
        <v>-3.5794014862342465</v>
      </c>
      <c r="P101" s="327">
        <f>IF(売分析!L101&lt;&gt;"",売分析!L101,"")</f>
        <v>-4.3834752444023968</v>
      </c>
      <c r="Q101" s="326">
        <f>IF(売分析!S101&lt;&gt;"",売分析!S101,"")</f>
        <v>1577</v>
      </c>
      <c r="R101" s="326">
        <f>IF(売分析!R101&lt;&gt;"",売分析!R101,"")</f>
        <v>1395</v>
      </c>
      <c r="S101" s="325" t="str">
        <f>IF(売分析!AA101&lt;&gt;"",売分析!AA101,"")</f>
        <v>上昇▲</v>
      </c>
      <c r="T101" s="331">
        <f>IF(売分析!Z101&lt;&gt;"",売分析!Z101,"")</f>
        <v>2.2252191503708696</v>
      </c>
      <c r="U101" s="325" t="str">
        <f>IF(売分析!V101&lt;&gt;"",売分析!V101,"")</f>
        <v>通常</v>
      </c>
      <c r="V101" s="329">
        <f>IF(売分析!W101&lt;&gt;"",売分析!W101,"")</f>
        <v>43.676662320730109</v>
      </c>
      <c r="W101" s="325" t="str">
        <f>IF(売分析!AD101&lt;&gt;"",売分析!AD101,"")</f>
        <v>上昇トレンド▲</v>
      </c>
      <c r="X101" s="325" t="str">
        <f>IF(売分析!AE101&lt;&gt;"",売分析!AE101,"")</f>
        <v>なし</v>
      </c>
      <c r="Y101" s="387">
        <f>IF(売分析!T101&lt;&gt;"",売分析!T101,"")</f>
        <v>0</v>
      </c>
      <c r="Z101" s="325" t="str">
        <f>IF(売分析!Y101&lt;&gt;"",売分析!Y101,"")</f>
        <v>相場上昇・見送り | 上昇トレンド▲ MACD- RSI:43.7 前日比:+2.2% [0点]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3174</v>
      </c>
      <c r="F102" s="333">
        <f>IF(売分析!F102&lt;&gt;"",売分析!F102,"")</f>
        <v>3127</v>
      </c>
      <c r="G102" s="333">
        <f>IF(売分析!H102&lt;&gt;"",売分析!H102,"")</f>
        <v>3176</v>
      </c>
      <c r="H102" s="333">
        <f>IF(売分析!I102&lt;&gt;"",売分析!I102,"")</f>
        <v>3081</v>
      </c>
      <c r="I102" s="212">
        <f>IF(売分析!J102&lt;&gt;"",売分析!J102,"")</f>
        <v>2817000</v>
      </c>
      <c r="J102" s="333">
        <f>IF(売分析!AB102&lt;&gt;"",売分析!AB102,"")</f>
        <v>3110.4297235023032</v>
      </c>
      <c r="K102" s="333">
        <f>IF(売分析!AC102&lt;&gt;"",売分析!AC102,"")</f>
        <v>3237.0846245530383</v>
      </c>
      <c r="L102" s="333">
        <f>IF(売分析!K102&lt;&gt;"",売分析!K102,"")</f>
        <v>3465</v>
      </c>
      <c r="M102" s="212" t="str">
        <f>IF(売分析!P102&lt;&gt;"",売分析!P102,"")</f>
        <v>減少↓</v>
      </c>
      <c r="N102" s="335">
        <f>IF(売分析!O102&lt;&gt;"",売分析!O102,"")</f>
        <v>0.3246768215095801</v>
      </c>
      <c r="O102" s="337">
        <f>IF(売分析!X102&lt;&gt;"",売分析!X102,"")</f>
        <v>-13.284448274351689</v>
      </c>
      <c r="P102" s="334">
        <f>IF(売分析!L102&lt;&gt;"",売分析!L102,"")</f>
        <v>-8.3982683982683977</v>
      </c>
      <c r="Q102" s="333">
        <f>IF(売分析!S102&lt;&gt;"",売分析!S102,"")</f>
        <v>3301</v>
      </c>
      <c r="R102" s="333">
        <f>IF(売分析!R102&lt;&gt;"",売分析!R102,"")</f>
        <v>2920</v>
      </c>
      <c r="S102" s="212" t="str">
        <f>IF(売分析!AA102&lt;&gt;"",売分析!AA102,"")</f>
        <v>上昇▲</v>
      </c>
      <c r="T102" s="338">
        <f>IF(売分析!Z102&lt;&gt;"",売分析!Z102,"")</f>
        <v>2.3210831721470022</v>
      </c>
      <c r="U102" s="212" t="str">
        <f>IF(売分析!V102&lt;&gt;"",売分析!V102,"")</f>
        <v>通常</v>
      </c>
      <c r="V102" s="336">
        <f>IF(売分析!W102&lt;&gt;"",売分析!W102,"")</f>
        <v>39.211391018619935</v>
      </c>
      <c r="W102" s="212" t="str">
        <f>IF(売分析!AD102&lt;&gt;"",売分析!AD102,"")</f>
        <v>もみ合い→</v>
      </c>
      <c r="X102" s="212" t="str">
        <f>IF(売分析!AE102&lt;&gt;"",売分析!AE102,"")</f>
        <v>25日戻り売り★</v>
      </c>
      <c r="Y102" s="388">
        <f>IF(売分析!T102&lt;&gt;"",売分析!T102,"")</f>
        <v>2</v>
      </c>
      <c r="Z102" s="212" t="str">
        <f>IF(売分析!Y102&lt;&gt;"",売分析!Y102,"")</f>
        <v>○逆張り売り | もみ合い→ 25日戻り売り★ MACD- RSI:39.2 前日比:+2.3%前日[長い下ヒゲ(反発)] [2点]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2865</v>
      </c>
      <c r="F103" s="326">
        <f>IF(売分析!F103&lt;&gt;"",売分析!F103,"")</f>
        <v>2915</v>
      </c>
      <c r="G103" s="326">
        <f>IF(売分析!H103&lt;&gt;"",売分析!H103,"")</f>
        <v>2943</v>
      </c>
      <c r="H103" s="326">
        <f>IF(売分析!I103&lt;&gt;"",売分析!I103,"")</f>
        <v>2847</v>
      </c>
      <c r="I103" s="325">
        <f>IF(売分析!J103&lt;&gt;"",売分析!J103,"")</f>
        <v>4178300</v>
      </c>
      <c r="J103" s="326">
        <f>IF(売分析!AB103&lt;&gt;"",売分析!AB103,"")</f>
        <v>3022.7822580645156</v>
      </c>
      <c r="K103" s="326">
        <f>IF(売分析!AC103&lt;&gt;"",売分析!AC103,"")</f>
        <v>2679.073301549462</v>
      </c>
      <c r="L103" s="326">
        <f>IF(売分析!K103&lt;&gt;"",売分析!K103,"")</f>
        <v>3167</v>
      </c>
      <c r="M103" s="325" t="str">
        <f>IF(売分析!P103&lt;&gt;"",売分析!P103,"")</f>
        <v>減少↓</v>
      </c>
      <c r="N103" s="328">
        <f>IF(売分析!O103&lt;&gt;"",売分析!O103,"")</f>
        <v>0.33700968530814251</v>
      </c>
      <c r="O103" s="330">
        <f>IF(売分析!X103&lt;&gt;"",売分析!X103,"")</f>
        <v>38.512060229503277</v>
      </c>
      <c r="P103" s="327">
        <f>IF(売分析!L103&lt;&gt;"",売分析!L103,"")</f>
        <v>-9.5358383328070726</v>
      </c>
      <c r="Q103" s="326">
        <f>IF(売分析!S103&lt;&gt;"",売分析!S103,"")</f>
        <v>2980</v>
      </c>
      <c r="R103" s="326">
        <f>IF(売分析!R103&lt;&gt;"",売分析!R103,"")</f>
        <v>2636</v>
      </c>
      <c r="S103" s="325" t="str">
        <f>IF(売分析!AA103&lt;&gt;"",売分析!AA103,"")</f>
        <v>下落▼</v>
      </c>
      <c r="T103" s="331">
        <f>IF(売分析!Z103&lt;&gt;"",売分析!Z103,"")</f>
        <v>-7.1914480077745386</v>
      </c>
      <c r="U103" s="325" t="str">
        <f>IF(売分析!V103&lt;&gt;"",売分析!V103,"")</f>
        <v>通常</v>
      </c>
      <c r="V103" s="329">
        <f>IF(売分析!W103&lt;&gt;"",売分析!W103,"")</f>
        <v>53.344558395836529</v>
      </c>
      <c r="W103" s="325" t="str">
        <f>IF(売分析!AD103&lt;&gt;"",売分析!AD103,"")</f>
        <v>上昇トレンド▲</v>
      </c>
      <c r="X103" s="325" t="str">
        <f>IF(売分析!AE103&lt;&gt;"",売分析!AE103,"")</f>
        <v>なし</v>
      </c>
      <c r="Y103" s="387">
        <f>IF(売分析!T103&lt;&gt;"",売分析!T103,"")</f>
        <v>0</v>
      </c>
      <c r="Z103" s="325" t="str">
        <f>IF(売分析!Y103&lt;&gt;"",売分析!Y103,"")</f>
        <v>相場上昇・見送り | 上昇トレンド▲ MACD+ RSI:53.3 前日比:-7.2%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3382</v>
      </c>
      <c r="F104" s="333">
        <f>IF(売分析!F104&lt;&gt;"",売分析!F104,"")</f>
        <v>3412</v>
      </c>
      <c r="G104" s="333">
        <f>IF(売分析!H104&lt;&gt;"",売分析!H104,"")</f>
        <v>3447</v>
      </c>
      <c r="H104" s="333">
        <f>IF(売分析!I104&lt;&gt;"",売分析!I104,"")</f>
        <v>3351</v>
      </c>
      <c r="I104" s="212">
        <f>IF(売分析!J104&lt;&gt;"",売分析!J104,"")</f>
        <v>1737900</v>
      </c>
      <c r="J104" s="333">
        <f>IF(売分析!AB104&lt;&gt;"",売分析!AB104,"")</f>
        <v>3544.3387096774186</v>
      </c>
      <c r="K104" s="333">
        <f>IF(売分析!AC104&lt;&gt;"",売分析!AC104,"")</f>
        <v>3610.2574493444567</v>
      </c>
      <c r="L104" s="333">
        <f>IF(売分析!K104&lt;&gt;"",売分析!K104,"")</f>
        <v>4211</v>
      </c>
      <c r="M104" s="212" t="str">
        <f>IF(売分析!P104&lt;&gt;"",売分析!P104,"")</f>
        <v>減少↓</v>
      </c>
      <c r="N104" s="335">
        <f>IF(売分析!O104&lt;&gt;"",売分析!O104,"")</f>
        <v>0.372267276723174</v>
      </c>
      <c r="O104" s="337">
        <f>IF(売分析!X104&lt;&gt;"",売分析!X104,"")</f>
        <v>17.399024434901548</v>
      </c>
      <c r="P104" s="334">
        <f>IF(売分析!L104&lt;&gt;"",売分析!L104,"")</f>
        <v>-19.686535264782712</v>
      </c>
      <c r="Q104" s="333">
        <f>IF(売分析!S104&lt;&gt;"",売分析!S104,"")</f>
        <v>3517</v>
      </c>
      <c r="R104" s="333">
        <f>IF(売分析!R104&lt;&gt;"",売分析!R104,"")</f>
        <v>3111</v>
      </c>
      <c r="S104" s="212" t="str">
        <f>IF(売分析!AA104&lt;&gt;"",売分析!AA104,"")</f>
        <v>下落▼</v>
      </c>
      <c r="T104" s="338">
        <f>IF(売分析!Z104&lt;&gt;"",売分析!Z104,"")</f>
        <v>-1.168907071887785</v>
      </c>
      <c r="U104" s="212" t="str">
        <f>IF(売分析!V104&lt;&gt;"",売分析!V104,"")</f>
        <v>通常</v>
      </c>
      <c r="V104" s="336">
        <f>IF(売分析!W104&lt;&gt;"",売分析!W104,"")</f>
        <v>44.976958525345616</v>
      </c>
      <c r="W104" s="212" t="str">
        <f>IF(売分析!AD104&lt;&gt;"",売分析!AD104,"")</f>
        <v>下降トレンド▼</v>
      </c>
      <c r="X104" s="212" t="str">
        <f>IF(売分析!AE104&lt;&gt;"",売分析!AE104,"")</f>
        <v>なし</v>
      </c>
      <c r="Y104" s="388">
        <f>IF(売分析!T104&lt;&gt;"",売分析!T104,"")</f>
        <v>6</v>
      </c>
      <c r="Z104" s="212" t="str">
        <f>IF(売分析!Y104&lt;&gt;"",売分析!Y104,"")</f>
        <v>相場上昇・見送り | 下降トレンド▼ MACD+ RSI:45.0 前日比:-1.2% [6点]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525.20000000000005</v>
      </c>
      <c r="F105" s="326">
        <f>IF(売分析!F105&lt;&gt;"",売分析!F105,"")</f>
        <v>527.79999999999995</v>
      </c>
      <c r="G105" s="326">
        <f>IF(売分析!H105&lt;&gt;"",売分析!H105,"")</f>
        <v>534.29999999999995</v>
      </c>
      <c r="H105" s="326">
        <f>IF(売分析!I105&lt;&gt;"",売分析!I105,"")</f>
        <v>518.79999999999995</v>
      </c>
      <c r="I105" s="325">
        <f>IF(売分析!J105&lt;&gt;"",売分析!J105,"")</f>
        <v>20332400</v>
      </c>
      <c r="J105" s="326">
        <f>IF(売分析!AB105&lt;&gt;"",売分析!AB105,"")</f>
        <v>524.13225806451601</v>
      </c>
      <c r="K105" s="326">
        <f>IF(売分析!AC105&lt;&gt;"",売分析!AC105,"")</f>
        <v>509.83301549463641</v>
      </c>
      <c r="L105" s="326">
        <f>IF(売分析!K105&lt;&gt;"",売分析!K105,"")</f>
        <v>760</v>
      </c>
      <c r="M105" s="325" t="str">
        <f>IF(売分析!P105&lt;&gt;"",売分析!P105,"")</f>
        <v>減少↓</v>
      </c>
      <c r="N105" s="328">
        <f>IF(売分析!O105&lt;&gt;"",売分析!O105,"")</f>
        <v>0.44604344955126701</v>
      </c>
      <c r="O105" s="330">
        <f>IF(売分析!X105&lt;&gt;"",売分析!X105,"")</f>
        <v>6.6040220666375262</v>
      </c>
      <c r="P105" s="327">
        <f>IF(売分析!L105&lt;&gt;"",売分析!L105,"")</f>
        <v>-30.894736842105257</v>
      </c>
      <c r="Q105" s="326">
        <f>IF(売分析!S105&lt;&gt;"",売分析!S105,"")</f>
        <v>546</v>
      </c>
      <c r="R105" s="326">
        <f>IF(売分析!R105&lt;&gt;"",売分析!R105,"")</f>
        <v>483</v>
      </c>
      <c r="S105" s="325" t="str">
        <f>IF(売分析!AA105&lt;&gt;"",売分析!AA105,"")</f>
        <v>下落▼</v>
      </c>
      <c r="T105" s="331">
        <f>IF(売分析!Z105&lt;&gt;"",売分析!Z105,"")</f>
        <v>-0.17107013875688601</v>
      </c>
      <c r="U105" s="325" t="str">
        <f>IF(売分析!V105&lt;&gt;"",売分析!V105,"")</f>
        <v>安値圏</v>
      </c>
      <c r="V105" s="329">
        <f>IF(売分析!W105&lt;&gt;"",売分析!W105,"")</f>
        <v>69.318181818181813</v>
      </c>
      <c r="W105" s="325" t="str">
        <f>IF(売分析!AD105&lt;&gt;"",売分析!AD105,"")</f>
        <v>パーフェクト▲</v>
      </c>
      <c r="X105" s="325" t="str">
        <f>IF(売分析!AE105&lt;&gt;"",売分析!AE105,"")</f>
        <v>なし</v>
      </c>
      <c r="Y105" s="387">
        <f>IF(売分析!T105&lt;&gt;"",売分析!T105,"")</f>
        <v>3</v>
      </c>
      <c r="Z105" s="325" t="str">
        <f>IF(売分析!Y105&lt;&gt;"",売分析!Y105,"")</f>
        <v>相場上昇・見送り | パーフェクト▲ MACD+ RSI:69.3 前日比:-0.2% [安値圏]前日[長い下ヒゲ(反発)] [3点]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4605</v>
      </c>
      <c r="F106" s="333">
        <f>IF(売分析!F106&lt;&gt;"",売分析!F106,"")</f>
        <v>4550</v>
      </c>
      <c r="G106" s="333">
        <f>IF(売分析!H106&lt;&gt;"",売分析!H106,"")</f>
        <v>4605</v>
      </c>
      <c r="H106" s="333">
        <f>IF(売分析!I106&lt;&gt;"",売分析!I106,"")</f>
        <v>4545</v>
      </c>
      <c r="I106" s="212">
        <f>IF(売分析!J106&lt;&gt;"",売分析!J106,"")</f>
        <v>37900</v>
      </c>
      <c r="J106" s="333">
        <f>IF(売分析!AB106&lt;&gt;"",売分析!AB106,"")</f>
        <v>4459.0552995391699</v>
      </c>
      <c r="K106" s="333">
        <f>IF(売分析!AC106&lt;&gt;"",売分析!AC106,"")</f>
        <v>4135.5303933253845</v>
      </c>
      <c r="L106" s="333">
        <f>IF(売分析!K106&lt;&gt;"",売分析!K106,"")</f>
        <v>5020</v>
      </c>
      <c r="M106" s="212" t="str">
        <f>IF(売分析!P106&lt;&gt;"",売分析!P106,"")</f>
        <v>減少↓</v>
      </c>
      <c r="N106" s="335">
        <f>IF(売分析!O106&lt;&gt;"",売分析!O106,"")</f>
        <v>0.37413622902270482</v>
      </c>
      <c r="O106" s="337">
        <f>IF(売分析!X106&lt;&gt;"",売分析!X106,"")</f>
        <v>-7.7822312618636715</v>
      </c>
      <c r="P106" s="334">
        <f>IF(売分析!L106&lt;&gt;"",売分析!L106,"")</f>
        <v>-8.2669322709163335</v>
      </c>
      <c r="Q106" s="333">
        <f>IF(売分析!S106&lt;&gt;"",売分析!S106,"")</f>
        <v>4789</v>
      </c>
      <c r="R106" s="333">
        <f>IF(売分析!R106&lt;&gt;"",売分析!R106,"")</f>
        <v>4237</v>
      </c>
      <c r="S106" s="212" t="str">
        <f>IF(売分析!AA106&lt;&gt;"",売分析!AA106,"")</f>
        <v>上昇▲</v>
      </c>
      <c r="T106" s="338">
        <f>IF(売分析!Z106&lt;&gt;"",売分析!Z106,"")</f>
        <v>3.0201342281879198</v>
      </c>
      <c r="U106" s="212" t="str">
        <f>IF(売分析!V106&lt;&gt;"",売分析!V106,"")</f>
        <v>通常</v>
      </c>
      <c r="V106" s="336">
        <f>IF(売分析!W106&lt;&gt;"",売分析!W106,"")</f>
        <v>51.280653950953678</v>
      </c>
      <c r="W106" s="212" t="str">
        <f>IF(売分析!AD106&lt;&gt;"",売分析!AD106,"")</f>
        <v>パーフェクト▲</v>
      </c>
      <c r="X106" s="212" t="str">
        <f>IF(売分析!AE106&lt;&gt;"",売分析!AE106,"")</f>
        <v>なし</v>
      </c>
      <c r="Y106" s="388">
        <f>IF(売分析!T106&lt;&gt;"",売分析!T106,"")</f>
        <v>1</v>
      </c>
      <c r="Z106" s="212" t="str">
        <f>IF(売分析!Y106&lt;&gt;"",売分析!Y106,"")</f>
        <v>相場上昇・見送り | パーフェクト▲ MACD- RSI:51.3 前日比:+3.0% [1点]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1023</v>
      </c>
      <c r="F107" s="326">
        <f>IF(売分析!F107&lt;&gt;"",売分析!F107,"")</f>
        <v>1010</v>
      </c>
      <c r="G107" s="326">
        <f>IF(売分析!H107&lt;&gt;"",売分析!H107,"")</f>
        <v>1025</v>
      </c>
      <c r="H107" s="326">
        <f>IF(売分析!I107&lt;&gt;"",売分析!I107,"")</f>
        <v>1009</v>
      </c>
      <c r="I107" s="325">
        <f>IF(売分析!J107&lt;&gt;"",売分析!J107,"")</f>
        <v>101600</v>
      </c>
      <c r="J107" s="326">
        <f>IF(売分析!AB107&lt;&gt;"",売分析!AB107,"")</f>
        <v>1024.1589861751152</v>
      </c>
      <c r="K107" s="326">
        <f>IF(売分析!AC107&lt;&gt;"",売分析!AC107,"")</f>
        <v>1014.38021454112</v>
      </c>
      <c r="L107" s="326">
        <f>IF(売分析!K107&lt;&gt;"",売分析!K107,"")</f>
        <v>1343</v>
      </c>
      <c r="M107" s="325" t="str">
        <f>IF(売分析!P107&lt;&gt;"",売分析!P107,"")</f>
        <v>減少↓</v>
      </c>
      <c r="N107" s="328">
        <f>IF(売分析!O107&lt;&gt;"",売分析!O107,"")</f>
        <v>0.28078708821578596</v>
      </c>
      <c r="O107" s="330">
        <f>IF(売分析!X107&lt;&gt;"",売分析!X107,"")</f>
        <v>2.5025234935657181</v>
      </c>
      <c r="P107" s="327">
        <f>IF(売分析!L107&lt;&gt;"",売分析!L107,"")</f>
        <v>-23.827252419955325</v>
      </c>
      <c r="Q107" s="326">
        <f>IF(売分析!S107&lt;&gt;"",売分析!S107,"")</f>
        <v>1064</v>
      </c>
      <c r="R107" s="326">
        <f>IF(売分析!R107&lt;&gt;"",売分析!R107,"")</f>
        <v>941</v>
      </c>
      <c r="S107" s="325" t="str">
        <f>IF(売分析!AA107&lt;&gt;"",売分析!AA107,"")</f>
        <v>下落▼</v>
      </c>
      <c r="T107" s="331">
        <f>IF(売分析!Z107&lt;&gt;"",売分析!Z107,"")</f>
        <v>-0.38948393378773127</v>
      </c>
      <c r="U107" s="325" t="str">
        <f>IF(売分析!V107&lt;&gt;"",売分析!V107,"")</f>
        <v>通常</v>
      </c>
      <c r="V107" s="329">
        <f>IF(売分析!W107&lt;&gt;"",売分析!W107,"")</f>
        <v>55.038759689922479</v>
      </c>
      <c r="W107" s="325" t="str">
        <f>IF(売分析!AD107&lt;&gt;"",売分析!AD107,"")</f>
        <v>上昇トレンド▲</v>
      </c>
      <c r="X107" s="325" t="str">
        <f>IF(売分析!AE107&lt;&gt;"",売分析!AE107,"")</f>
        <v>5日戻り売り○</v>
      </c>
      <c r="Y107" s="387">
        <f>IF(売分析!T107&lt;&gt;"",売分析!T107,"")</f>
        <v>0</v>
      </c>
      <c r="Z107" s="325" t="str">
        <f>IF(売分析!Y107&lt;&gt;"",売分析!Y107,"")</f>
        <v>相場上昇・見送り | 上昇トレンド▲ 5日戻り売り○ MACD+ RSI:55.0 前日比:-0.4%前日[長い下ヒゲ(反発)]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7530</v>
      </c>
      <c r="F108" s="333">
        <f>IF(売分析!F108&lt;&gt;"",売分析!F108,"")</f>
        <v>7180</v>
      </c>
      <c r="G108" s="333">
        <f>IF(売分析!H108&lt;&gt;"",売分析!H108,"")</f>
        <v>7600</v>
      </c>
      <c r="H108" s="333">
        <f>IF(売分析!I108&lt;&gt;"",売分析!I108,"")</f>
        <v>7080</v>
      </c>
      <c r="I108" s="212">
        <f>IF(売分析!J108&lt;&gt;"",売分析!J108,"")</f>
        <v>937300</v>
      </c>
      <c r="J108" s="333">
        <f>IF(売分析!AB108&lt;&gt;"",売分析!AB108,"")</f>
        <v>6468.294930875576</v>
      </c>
      <c r="K108" s="333">
        <f>IF(売分析!AC108&lt;&gt;"",売分析!AC108,"")</f>
        <v>6251.1680572109617</v>
      </c>
      <c r="L108" s="333">
        <f>IF(売分析!K108&lt;&gt;"",売分析!K108,"")</f>
        <v>9190</v>
      </c>
      <c r="M108" s="212" t="str">
        <f>IF(売分析!P108&lt;&gt;"",売分析!P108,"")</f>
        <v>減少↓</v>
      </c>
      <c r="N108" s="335">
        <f>IF(売分析!O108&lt;&gt;"",売分析!O108,"")</f>
        <v>0.81677646484715394</v>
      </c>
      <c r="O108" s="337">
        <f>IF(売分析!X108&lt;&gt;"",売分析!X108,"")</f>
        <v>-130.05144503838892</v>
      </c>
      <c r="P108" s="334">
        <f>IF(売分析!L108&lt;&gt;"",売分析!L108,"")</f>
        <v>-18.063112078346027</v>
      </c>
      <c r="Q108" s="333">
        <f>IF(売分析!S108&lt;&gt;"",売分析!S108,"")</f>
        <v>7831</v>
      </c>
      <c r="R108" s="333">
        <f>IF(売分析!R108&lt;&gt;"",売分析!R108,"")</f>
        <v>6928</v>
      </c>
      <c r="S108" s="212" t="str">
        <f>IF(売分析!AA108&lt;&gt;"",売分析!AA108,"")</f>
        <v>上昇▲</v>
      </c>
      <c r="T108" s="338">
        <f>IF(売分析!Z108&lt;&gt;"",売分析!Z108,"")</f>
        <v>16.383307573415763</v>
      </c>
      <c r="U108" s="212" t="str">
        <f>IF(売分析!V108&lt;&gt;"",売分析!V108,"")</f>
        <v>通常</v>
      </c>
      <c r="V108" s="336">
        <f>IF(売分析!W108&lt;&gt;"",売分析!W108,"")</f>
        <v>46.555323590814197</v>
      </c>
      <c r="W108" s="212" t="str">
        <f>IF(売分析!AD108&lt;&gt;"",売分析!AD108,"")</f>
        <v>パーフェクト▲</v>
      </c>
      <c r="X108" s="212" t="str">
        <f>IF(売分析!AE108&lt;&gt;"",売分析!AE108,"")</f>
        <v>なし</v>
      </c>
      <c r="Y108" s="388">
        <f>IF(売分析!T108&lt;&gt;"",売分析!T108,"")</f>
        <v>2</v>
      </c>
      <c r="Z108" s="212" t="str">
        <f>IF(売分析!Y108&lt;&gt;"",売分析!Y108,"")</f>
        <v>相場上昇・見送り | パーフェクト▲ MACD- RSI:46.6 前日比:+16.4% [2点]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3450</v>
      </c>
      <c r="F109" s="326">
        <f>IF(売分析!F109&lt;&gt;"",売分析!F109,"")</f>
        <v>3350</v>
      </c>
      <c r="G109" s="326">
        <f>IF(売分析!H109&lt;&gt;"",売分析!H109,"")</f>
        <v>3610</v>
      </c>
      <c r="H109" s="326">
        <f>IF(売分析!I109&lt;&gt;"",売分析!I109,"")</f>
        <v>3350</v>
      </c>
      <c r="I109" s="325">
        <f>IF(売分析!J109&lt;&gt;"",売分析!J109,"")</f>
        <v>8213100</v>
      </c>
      <c r="J109" s="326" t="str">
        <f>IF(売分析!AB109&lt;&gt;"",売分析!AB109,"")</f>
        <v/>
      </c>
      <c r="K109" s="326" t="str">
        <f>IF(売分析!AC109&lt;&gt;"",売分析!AC109,"")</f>
        <v/>
      </c>
      <c r="L109" s="326">
        <f>IF(売分析!K109&lt;&gt;"",売分析!K109,"")</f>
        <v>4580</v>
      </c>
      <c r="M109" s="325" t="str">
        <f>IF(売分析!P109&lt;&gt;"",売分析!P109,"")</f>
        <v/>
      </c>
      <c r="N109" s="328" t="str">
        <f>IF(売分析!O109&lt;&gt;"",売分析!O109,"")</f>
        <v/>
      </c>
      <c r="O109" s="330">
        <f>IF(売分析!X109&lt;&gt;"",売分析!X109,"")</f>
        <v>0</v>
      </c>
      <c r="P109" s="327">
        <f>IF(売分析!L109&lt;&gt;"",売分析!L109,"")</f>
        <v>-24.672489082969431</v>
      </c>
      <c r="Q109" s="326">
        <f>IF(売分析!S109&lt;&gt;"",売分析!S109,"")</f>
        <v>3588</v>
      </c>
      <c r="R109" s="326">
        <f>IF(売分析!R109&lt;&gt;"",売分析!R109,"")</f>
        <v>3174</v>
      </c>
      <c r="S109" s="325" t="str">
        <f>IF(売分析!AA109&lt;&gt;"",売分析!AA109,"")</f>
        <v>上昇▲</v>
      </c>
      <c r="T109" s="331" t="str">
        <f>IF(売分析!Z109&lt;&gt;"",売分析!Z109,"")</f>
        <v/>
      </c>
      <c r="U109" s="325" t="str">
        <f>IF(売分析!V109&lt;&gt;"",売分析!V109,"")</f>
        <v>安値圏</v>
      </c>
      <c r="V109" s="329">
        <f>IF(売分析!W109&lt;&gt;"",売分析!W109,"")</f>
        <v>50</v>
      </c>
      <c r="W109" s="325" t="str">
        <f>IF(売分析!AD109&lt;&gt;"",売分析!AD109,"")</f>
        <v/>
      </c>
      <c r="X109" s="325" t="str">
        <f>IF(売分析!AE109&lt;&gt;"",売分析!AE109,"")</f>
        <v/>
      </c>
      <c r="Y109" s="387">
        <f>IF(売分析!T109&lt;&gt;"",売分析!T109,"")</f>
        <v>4</v>
      </c>
      <c r="Z109" s="325" t="str">
        <f>IF(売分析!Y109&lt;&gt;"",売分析!Y109,"")</f>
        <v>相場上昇・見送り |   MACD+ RSI:50.0 前日比:% [安値圏] [4点]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2573.5</v>
      </c>
      <c r="F110" s="333">
        <f>IF(売分析!F110&lt;&gt;"",売分析!F110,"")</f>
        <v>2509</v>
      </c>
      <c r="G110" s="333">
        <f>IF(売分析!H110&lt;&gt;"",売分析!H110,"")</f>
        <v>2586.5</v>
      </c>
      <c r="H110" s="333">
        <f>IF(売分析!I110&lt;&gt;"",売分析!I110,"")</f>
        <v>2508</v>
      </c>
      <c r="I110" s="212">
        <f>IF(売分析!J110&lt;&gt;"",売分析!J110,"")</f>
        <v>3828900</v>
      </c>
      <c r="J110" s="333">
        <f>IF(売分析!AB110&lt;&gt;"",売分析!AB110,"")</f>
        <v>2603.1682027649767</v>
      </c>
      <c r="K110" s="333">
        <f>IF(売分析!AC110&lt;&gt;"",売分析!AC110,"")</f>
        <v>2718.7592371871256</v>
      </c>
      <c r="L110" s="333">
        <f>IF(売分析!K110&lt;&gt;"",売分析!K110,"")</f>
        <v>3625</v>
      </c>
      <c r="M110" s="212" t="str">
        <f>IF(売分析!P110&lt;&gt;"",売分析!P110,"")</f>
        <v>減少↓</v>
      </c>
      <c r="N110" s="335">
        <f>IF(売分析!O110&lt;&gt;"",売分析!O110,"")</f>
        <v>0.37832288611877418</v>
      </c>
      <c r="O110" s="337">
        <f>IF(売分析!X110&lt;&gt;"",売分析!X110,"")</f>
        <v>1.0845250936199591E-2</v>
      </c>
      <c r="P110" s="334">
        <f>IF(売分析!L110&lt;&gt;"",売分析!L110,"")</f>
        <v>-29.006896551724136</v>
      </c>
      <c r="Q110" s="333">
        <f>IF(売分析!S110&lt;&gt;"",売分析!S110,"")</f>
        <v>2676</v>
      </c>
      <c r="R110" s="333">
        <f>IF(売分析!R110&lt;&gt;"",売分析!R110,"")</f>
        <v>2368</v>
      </c>
      <c r="S110" s="212" t="str">
        <f>IF(売分析!AA110&lt;&gt;"",売分析!AA110,"")</f>
        <v>上昇▲</v>
      </c>
      <c r="T110" s="338">
        <f>IF(売分析!Z110&lt;&gt;"",売分析!Z110,"")</f>
        <v>0.13618677042801555</v>
      </c>
      <c r="U110" s="212" t="str">
        <f>IF(売分析!V110&lt;&gt;"",売分析!V110,"")</f>
        <v>安値圏</v>
      </c>
      <c r="V110" s="336">
        <f>IF(売分析!W110&lt;&gt;"",売分析!W110,"")</f>
        <v>41.019955654101999</v>
      </c>
      <c r="W110" s="212" t="str">
        <f>IF(売分析!AD110&lt;&gt;"",売分析!AD110,"")</f>
        <v>下降トレンド▼</v>
      </c>
      <c r="X110" s="212" t="str">
        <f>IF(売分析!AE110&lt;&gt;"",売分析!AE110,"")</f>
        <v>なし</v>
      </c>
      <c r="Y110" s="388">
        <f>IF(売分析!T110&lt;&gt;"",売分析!T110,"")</f>
        <v>7</v>
      </c>
      <c r="Z110" s="212" t="str">
        <f>IF(売分析!Y110&lt;&gt;"",売分析!Y110,"")</f>
        <v>相場上昇・見送り | 下降トレンド▼ MACD+ RSI:41.0 前日比:+0.1%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1709</v>
      </c>
      <c r="F111" s="326">
        <f>IF(売分析!F111&lt;&gt;"",売分析!F111,"")</f>
        <v>1746</v>
      </c>
      <c r="G111" s="326">
        <f>IF(売分析!H111&lt;&gt;"",売分析!H111,"")</f>
        <v>1783</v>
      </c>
      <c r="H111" s="326">
        <f>IF(売分析!I111&lt;&gt;"",売分析!I111,"")</f>
        <v>1653</v>
      </c>
      <c r="I111" s="325">
        <f>IF(売分析!J111&lt;&gt;"",売分析!J111,"")</f>
        <v>917000</v>
      </c>
      <c r="J111" s="326">
        <f>IF(売分析!AB111&lt;&gt;"",売分析!AB111,"")</f>
        <v>1635.0460829493088</v>
      </c>
      <c r="K111" s="326">
        <f>IF(売分析!AC111&lt;&gt;"",売分析!AC111,"")</f>
        <v>1650.8653158522045</v>
      </c>
      <c r="L111" s="326">
        <f>IF(売分析!K111&lt;&gt;"",売分析!K111,"")</f>
        <v>2580</v>
      </c>
      <c r="M111" s="325" t="str">
        <f>IF(売分析!P111&lt;&gt;"",売分析!P111,"")</f>
        <v>減少↓</v>
      </c>
      <c r="N111" s="328">
        <f>IF(売分析!O111&lt;&gt;"",売分析!O111,"")</f>
        <v>0.66600816350246217</v>
      </c>
      <c r="O111" s="330">
        <f>IF(売分析!X111&lt;&gt;"",売分析!X111,"")</f>
        <v>-47.364708504650253</v>
      </c>
      <c r="P111" s="327">
        <f>IF(売分析!L111&lt;&gt;"",売分析!L111,"")</f>
        <v>-33.759689922480618</v>
      </c>
      <c r="Q111" s="326">
        <f>IF(売分析!S111&lt;&gt;"",売分析!S111,"")</f>
        <v>1777</v>
      </c>
      <c r="R111" s="326">
        <f>IF(売分析!R111&lt;&gt;"",売分析!R111,"")</f>
        <v>1572</v>
      </c>
      <c r="S111" s="325" t="str">
        <f>IF(売分析!AA111&lt;&gt;"",売分析!AA111,"")</f>
        <v>上昇▲</v>
      </c>
      <c r="T111" s="331">
        <f>IF(売分析!Z111&lt;&gt;"",売分析!Z111,"")</f>
        <v>13.933333333333334</v>
      </c>
      <c r="U111" s="325" t="str">
        <f>IF(売分析!V111&lt;&gt;"",売分析!V111,"")</f>
        <v>安値圏</v>
      </c>
      <c r="V111" s="329">
        <f>IF(売分析!W111&lt;&gt;"",売分析!W111,"")</f>
        <v>37.525987525987524</v>
      </c>
      <c r="W111" s="325" t="str">
        <f>IF(売分析!AD111&lt;&gt;"",売分析!AD111,"")</f>
        <v>上昇トレンド▲</v>
      </c>
      <c r="X111" s="325" t="str">
        <f>IF(売分析!AE111&lt;&gt;"",売分析!AE111,"")</f>
        <v>なし</v>
      </c>
      <c r="Y111" s="387">
        <f>IF(売分析!T111&lt;&gt;"",売分析!T111,"")</f>
        <v>4</v>
      </c>
      <c r="Z111" s="325" t="str">
        <f>IF(売分析!Y111&lt;&gt;"",売分析!Y111,"")</f>
        <v>相場上昇・見送り | 上昇トレンド▲ MACD- RSI:37.5 前日比:+13.9% [安値圏] [4点]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4385</v>
      </c>
      <c r="F112" s="333">
        <f>IF(売分析!F112&lt;&gt;"",売分析!F112,"")</f>
        <v>4155</v>
      </c>
      <c r="G112" s="333">
        <f>IF(売分析!H112&lt;&gt;"",売分析!H112,"")</f>
        <v>4465</v>
      </c>
      <c r="H112" s="333">
        <f>IF(売分析!I112&lt;&gt;"",売分析!I112,"")</f>
        <v>4150</v>
      </c>
      <c r="I112" s="212">
        <f>IF(売分析!J112&lt;&gt;"",売分析!J112,"")</f>
        <v>25600</v>
      </c>
      <c r="J112" s="333">
        <f>IF(売分析!AB112&lt;&gt;"",売分析!AB112,"")</f>
        <v>4307.1486175115206</v>
      </c>
      <c r="K112" s="333">
        <f>IF(売分析!AC112&lt;&gt;"",売分析!AC112,"")</f>
        <v>4275.3992848629296</v>
      </c>
      <c r="L112" s="333">
        <f>IF(売分析!K112&lt;&gt;"",売分析!K112,"")</f>
        <v>4700</v>
      </c>
      <c r="M112" s="212" t="str">
        <f>IF(売分析!P112&lt;&gt;"",売分析!P112,"")</f>
        <v>減少↓</v>
      </c>
      <c r="N112" s="335">
        <f>IF(売分析!O112&lt;&gt;"",売分析!O112,"")</f>
        <v>0.34650785056848943</v>
      </c>
      <c r="O112" s="337">
        <f>IF(売分析!X112&lt;&gt;"",売分析!X112,"")</f>
        <v>44.087134163087285</v>
      </c>
      <c r="P112" s="334">
        <f>IF(売分析!L112&lt;&gt;"",売分析!L112,"")</f>
        <v>-6.7021276595744679</v>
      </c>
      <c r="Q112" s="333">
        <f>IF(売分析!S112&lt;&gt;"",売分析!S112,"")</f>
        <v>4560</v>
      </c>
      <c r="R112" s="333">
        <f>IF(売分析!R112&lt;&gt;"",売分析!R112,"")</f>
        <v>4034</v>
      </c>
      <c r="S112" s="212" t="str">
        <f>IF(売分析!AA112&lt;&gt;"",売分析!AA112,"")</f>
        <v>上昇▲</v>
      </c>
      <c r="T112" s="338">
        <f>IF(売分析!Z112&lt;&gt;"",売分析!Z112,"")</f>
        <v>4.4047619047619051</v>
      </c>
      <c r="U112" s="212" t="str">
        <f>IF(売分析!V112&lt;&gt;"",売分析!V112,"")</f>
        <v>通常</v>
      </c>
      <c r="V112" s="336">
        <f>IF(売分析!W112&lt;&gt;"",売分析!W112,"")</f>
        <v>56.983240223463689</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RSI:57.0 前日比:+4.4%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33320</v>
      </c>
      <c r="F113" s="326">
        <f>IF(売分析!F113&lt;&gt;"",売分析!F113,"")</f>
        <v>32500</v>
      </c>
      <c r="G113" s="326">
        <f>IF(売分析!H113&lt;&gt;"",売分析!H113,"")</f>
        <v>33640</v>
      </c>
      <c r="H113" s="326">
        <f>IF(売分析!I113&lt;&gt;"",売分析!I113,"")</f>
        <v>32390</v>
      </c>
      <c r="I113" s="325">
        <f>IF(売分析!J113&lt;&gt;"",売分析!J113,"")</f>
        <v>6993800</v>
      </c>
      <c r="J113" s="326">
        <f>IF(売分析!AB113&lt;&gt;"",売分析!AB113,"")</f>
        <v>30575.144009216583</v>
      </c>
      <c r="K113" s="326">
        <f>IF(売分析!AC113&lt;&gt;"",売分析!AC113,"")</f>
        <v>29394.189511322998</v>
      </c>
      <c r="L113" s="326">
        <f>IF(売分析!K113&lt;&gt;"",売分析!K113,"")</f>
        <v>35940</v>
      </c>
      <c r="M113" s="325" t="str">
        <f>IF(売分析!P113&lt;&gt;"",売分析!P113,"")</f>
        <v>減少↓</v>
      </c>
      <c r="N113" s="328">
        <f>IF(売分析!O113&lt;&gt;"",売分析!O113,"")</f>
        <v>0.50593554454371181</v>
      </c>
      <c r="O113" s="330">
        <f>IF(売分析!X113&lt;&gt;"",売分析!X113,"")</f>
        <v>-29.366818049737049</v>
      </c>
      <c r="P113" s="327">
        <f>IF(売分析!L113&lt;&gt;"",売分析!L113,"")</f>
        <v>-7.2899276572064551</v>
      </c>
      <c r="Q113" s="326">
        <f>IF(売分析!S113&lt;&gt;"",売分析!S113,"")</f>
        <v>34653</v>
      </c>
      <c r="R113" s="326">
        <f>IF(売分析!R113&lt;&gt;"",売分析!R113,"")</f>
        <v>30654</v>
      </c>
      <c r="S113" s="325" t="str">
        <f>IF(売分析!AA113&lt;&gt;"",売分析!AA113,"")</f>
        <v>上昇▲</v>
      </c>
      <c r="T113" s="331">
        <f>IF(売分析!Z113&lt;&gt;"",売分析!Z113,"")</f>
        <v>6.0133630289532292</v>
      </c>
      <c r="U113" s="325" t="str">
        <f>IF(売分析!V113&lt;&gt;"",売分析!V113,"")</f>
        <v>通常</v>
      </c>
      <c r="V113" s="329">
        <f>IF(売分析!W113&lt;&gt;"",売分析!W113,"")</f>
        <v>55.426195426195427</v>
      </c>
      <c r="W113" s="325" t="str">
        <f>IF(売分析!AD113&lt;&gt;"",売分析!AD113,"")</f>
        <v>パーフェクト▲</v>
      </c>
      <c r="X113" s="325" t="str">
        <f>IF(売分析!AE113&lt;&gt;"",売分析!AE113,"")</f>
        <v>なし</v>
      </c>
      <c r="Y113" s="387">
        <f>IF(売分析!T113&lt;&gt;"",売分析!T113,"")</f>
        <v>4</v>
      </c>
      <c r="Z113" s="325" t="str">
        <f>IF(売分析!Y113&lt;&gt;"",売分析!Y113,"")</f>
        <v>相場上昇・見送り | パーフェクト▲ MACD- RSI:55.4 前日比:+6.0% [4点]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1073</v>
      </c>
      <c r="F114" s="333">
        <f>IF(売分析!F114&lt;&gt;"",売分析!F114,"")</f>
        <v>1073</v>
      </c>
      <c r="G114" s="333">
        <f>IF(売分析!H114&lt;&gt;"",売分析!H114,"")</f>
        <v>1084</v>
      </c>
      <c r="H114" s="333">
        <f>IF(売分析!I114&lt;&gt;"",売分析!I114,"")</f>
        <v>1066</v>
      </c>
      <c r="I114" s="212">
        <f>IF(売分析!J114&lt;&gt;"",売分析!J114,"")</f>
        <v>113700</v>
      </c>
      <c r="J114" s="333">
        <f>IF(売分析!AB114&lt;&gt;"",売分析!AB114,"")</f>
        <v>1075.8997695852534</v>
      </c>
      <c r="K114" s="333">
        <f>IF(売分析!AC114&lt;&gt;"",売分析!AC114,"")</f>
        <v>1041.1191895113227</v>
      </c>
      <c r="L114" s="333">
        <f>IF(売分析!K114&lt;&gt;"",売分析!K114,"")</f>
        <v>1267</v>
      </c>
      <c r="M114" s="212" t="str">
        <f>IF(売分析!P114&lt;&gt;"",売分析!P114,"")</f>
        <v>減少↓</v>
      </c>
      <c r="N114" s="335">
        <f>IF(売分析!O114&lt;&gt;"",売分析!O114,"")</f>
        <v>0.3301968984143579</v>
      </c>
      <c r="O114" s="337">
        <f>IF(売分析!X114&lt;&gt;"",売分析!X114,"")</f>
        <v>-10.733317677589639</v>
      </c>
      <c r="P114" s="334">
        <f>IF(売分析!L114&lt;&gt;"",売分析!L114,"")</f>
        <v>-15.311760063141278</v>
      </c>
      <c r="Q114" s="333">
        <f>IF(売分析!S114&lt;&gt;"",売分析!S114,"")</f>
        <v>1116</v>
      </c>
      <c r="R114" s="333">
        <f>IF(売分析!R114&lt;&gt;"",売分析!R114,"")</f>
        <v>987</v>
      </c>
      <c r="S114" s="212" t="str">
        <f>IF(売分析!AA114&lt;&gt;"",売分析!AA114,"")</f>
        <v>上昇▲</v>
      </c>
      <c r="T114" s="338">
        <f>IF(売分析!Z114&lt;&gt;"",売分析!Z114,"")</f>
        <v>0.46816479400749067</v>
      </c>
      <c r="U114" s="212" t="str">
        <f>IF(売分析!V114&lt;&gt;"",売分析!V114,"")</f>
        <v>通常</v>
      </c>
      <c r="V114" s="336">
        <f>IF(売分析!W114&lt;&gt;"",売分析!W114,"")</f>
        <v>48.859233749461907</v>
      </c>
      <c r="W114" s="212" t="str">
        <f>IF(売分析!AD114&lt;&gt;"",売分析!AD114,"")</f>
        <v>上昇トレンド▲</v>
      </c>
      <c r="X114" s="212" t="str">
        <f>IF(売分析!AE114&lt;&gt;"",売分析!AE114,"")</f>
        <v>5日戻り売り○</v>
      </c>
      <c r="Y114" s="388">
        <f>IF(売分析!T114&lt;&gt;"",売分析!T114,"")</f>
        <v>3</v>
      </c>
      <c r="Z114" s="212" t="str">
        <f>IF(売分析!Y114&lt;&gt;"",売分析!Y114,"")</f>
        <v>相場上昇・見送り | 上昇トレンド▲ 5日戻り売り○ MACD- RSI:48.9 前日比:+0.5%前日[長い下ヒゲ(反発)] [3点]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1013</v>
      </c>
      <c r="F115" s="326">
        <f>IF(売分析!F115&lt;&gt;"",売分析!F115,"")</f>
        <v>1010</v>
      </c>
      <c r="G115" s="326">
        <f>IF(売分析!H115&lt;&gt;"",売分析!H115,"")</f>
        <v>1019</v>
      </c>
      <c r="H115" s="326">
        <f>IF(売分析!I115&lt;&gt;"",売分析!I115,"")</f>
        <v>1007</v>
      </c>
      <c r="I115" s="325">
        <f>IF(売分析!J115&lt;&gt;"",売分析!J115,"")</f>
        <v>38700</v>
      </c>
      <c r="J115" s="326">
        <f>IF(売分析!AB115&lt;&gt;"",売分析!AB115,"")</f>
        <v>1043.8744239631337</v>
      </c>
      <c r="K115" s="326">
        <f>IF(売分析!AC115&lt;&gt;"",売分析!AC115,"")</f>
        <v>1090.3253873659114</v>
      </c>
      <c r="L115" s="326">
        <f>IF(売分析!K115&lt;&gt;"",売分析!K115,"")</f>
        <v>1161</v>
      </c>
      <c r="M115" s="325" t="str">
        <f>IF(売分析!P115&lt;&gt;"",売分析!P115,"")</f>
        <v>減少↓</v>
      </c>
      <c r="N115" s="328">
        <f>IF(売分析!O115&lt;&gt;"",売分析!O115,"")</f>
        <v>0.29682466635987115</v>
      </c>
      <c r="O115" s="330">
        <f>IF(売分析!X115&lt;&gt;"",売分析!X115,"")</f>
        <v>-3.7962060030483826</v>
      </c>
      <c r="P115" s="327">
        <f>IF(売分析!L115&lt;&gt;"",売分析!L115,"")</f>
        <v>-12.747631352282514</v>
      </c>
      <c r="Q115" s="326">
        <f>IF(売分析!S115&lt;&gt;"",売分析!S115,"")</f>
        <v>1054</v>
      </c>
      <c r="R115" s="326">
        <f>IF(売分析!R115&lt;&gt;"",売分析!R115,"")</f>
        <v>932</v>
      </c>
      <c r="S115" s="325" t="str">
        <f>IF(売分析!AA115&lt;&gt;"",売分析!AA115,"")</f>
        <v>下落▼</v>
      </c>
      <c r="T115" s="331">
        <f>IF(売分析!Z115&lt;&gt;"",売分析!Z115,"")</f>
        <v>-2.0309477756286265</v>
      </c>
      <c r="U115" s="325" t="str">
        <f>IF(売分析!V115&lt;&gt;"",売分析!V115,"")</f>
        <v>通常</v>
      </c>
      <c r="V115" s="329">
        <f>IF(売分析!W115&lt;&gt;"",売分析!W115,"")</f>
        <v>35.123966942148769</v>
      </c>
      <c r="W115" s="325" t="str">
        <f>IF(売分析!AD115&lt;&gt;"",売分析!AD115,"")</f>
        <v>下降トレンド▼</v>
      </c>
      <c r="X115" s="325" t="str">
        <f>IF(売分析!AE115&lt;&gt;"",売分析!AE115,"")</f>
        <v>なし</v>
      </c>
      <c r="Y115" s="387">
        <f>IF(売分析!T115&lt;&gt;"",売分析!T115,"")</f>
        <v>9</v>
      </c>
      <c r="Z115" s="325" t="str">
        <f>IF(売分析!Y115&lt;&gt;"",売分析!Y115,"")</f>
        <v>相場上昇・見送り | 下降トレンド▼ MACD- RSI:35.1 前日比:-2.0% [9点]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3005</v>
      </c>
      <c r="F116" s="333">
        <f>IF(売分析!F116&lt;&gt;"",売分析!F116,"")</f>
        <v>2990</v>
      </c>
      <c r="G116" s="333">
        <f>IF(売分析!H116&lt;&gt;"",売分析!H116,"")</f>
        <v>3010</v>
      </c>
      <c r="H116" s="333">
        <f>IF(売分析!I116&lt;&gt;"",売分析!I116,"")</f>
        <v>2980</v>
      </c>
      <c r="I116" s="212">
        <f>IF(売分析!J116&lt;&gt;"",売分析!J116,"")</f>
        <v>59500</v>
      </c>
      <c r="J116" s="333">
        <f>IF(売分析!AB116&lt;&gt;"",売分析!AB116,"")</f>
        <v>3023.5771889400921</v>
      </c>
      <c r="K116" s="333">
        <f>IF(売分析!AC116&lt;&gt;"",売分析!AC116,"")</f>
        <v>3094.7735399284852</v>
      </c>
      <c r="L116" s="333">
        <f>IF(売分析!K116&lt;&gt;"",売分析!K116,"")</f>
        <v>3330</v>
      </c>
      <c r="M116" s="212" t="str">
        <f>IF(売分析!P116&lt;&gt;"",売分析!P116,"")</f>
        <v>減少↓</v>
      </c>
      <c r="N116" s="335">
        <f>IF(売分析!O116&lt;&gt;"",売分析!O116,"")</f>
        <v>0.19808242892336375</v>
      </c>
      <c r="O116" s="337">
        <f>IF(売分析!X116&lt;&gt;"",売分析!X116,"")</f>
        <v>-1.6318923415547033</v>
      </c>
      <c r="P116" s="334">
        <f>IF(売分析!L116&lt;&gt;"",売分析!L116,"")</f>
        <v>-9.7597597597597598</v>
      </c>
      <c r="Q116" s="333">
        <f>IF(売分析!S116&lt;&gt;"",売分析!S116,"")</f>
        <v>3125</v>
      </c>
      <c r="R116" s="333">
        <f>IF(売分析!R116&lt;&gt;"",売分析!R116,"")</f>
        <v>2765</v>
      </c>
      <c r="S116" s="212" t="str">
        <f>IF(売分析!AA116&lt;&gt;"",売分析!AA116,"")</f>
        <v>上昇▲</v>
      </c>
      <c r="T116" s="338">
        <f>IF(売分析!Z116&lt;&gt;"",売分析!Z116,"")</f>
        <v>0.333889816360601</v>
      </c>
      <c r="U116" s="212" t="str">
        <f>IF(売分析!V116&lt;&gt;"",売分析!V116,"")</f>
        <v>通常</v>
      </c>
      <c r="V116" s="336">
        <f>IF(売分析!W116&lt;&gt;"",売分析!W116,"")</f>
        <v>45.98540145985401</v>
      </c>
      <c r="W116" s="212" t="str">
        <f>IF(売分析!AD116&lt;&gt;"",売分析!AD116,"")</f>
        <v>下降トレンド▼</v>
      </c>
      <c r="X116" s="212" t="str">
        <f>IF(売分析!AE116&lt;&gt;"",売分析!AE116,"")</f>
        <v>5日戻り売り○</v>
      </c>
      <c r="Y116" s="388">
        <f>IF(売分析!T116&lt;&gt;"",売分析!T116,"")</f>
        <v>7</v>
      </c>
      <c r="Z116" s="212" t="str">
        <f>IF(売分析!Y116&lt;&gt;"",売分析!Y116,"")</f>
        <v>★逆張り売り | 下降トレンド▼ 5日戻り売り○ MACD- RSI:46.0 前日比:+0.3% [7点]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2493</v>
      </c>
      <c r="F117" s="326">
        <f>IF(売分析!F117&lt;&gt;"",売分析!F117,"")</f>
        <v>2462</v>
      </c>
      <c r="G117" s="326">
        <f>IF(売分析!H117&lt;&gt;"",売分析!H117,"")</f>
        <v>2498</v>
      </c>
      <c r="H117" s="326">
        <f>IF(売分析!I117&lt;&gt;"",売分析!I117,"")</f>
        <v>2428</v>
      </c>
      <c r="I117" s="325">
        <f>IF(売分析!J117&lt;&gt;"",売分析!J117,"")</f>
        <v>85100</v>
      </c>
      <c r="J117" s="326">
        <f>IF(売分析!AB117&lt;&gt;"",売分析!AB117,"")</f>
        <v>2415.5126728110595</v>
      </c>
      <c r="K117" s="326">
        <f>IF(売分析!AC117&lt;&gt;"",売分析!AC117,"")</f>
        <v>2498.3337306317035</v>
      </c>
      <c r="L117" s="326">
        <f>IF(売分析!K117&lt;&gt;"",売分析!K117,"")</f>
        <v>3245</v>
      </c>
      <c r="M117" s="325" t="str">
        <f>IF(売分析!P117&lt;&gt;"",売分析!P117,"")</f>
        <v>減少↓</v>
      </c>
      <c r="N117" s="328">
        <f>IF(売分析!O117&lt;&gt;"",売分析!O117,"")</f>
        <v>0.76528776978417268</v>
      </c>
      <c r="O117" s="330">
        <f>IF(売分析!X117&lt;&gt;"",売分析!X117,"")</f>
        <v>-28.889429984993058</v>
      </c>
      <c r="P117" s="327">
        <f>IF(売分析!L117&lt;&gt;"",売分析!L117,"")</f>
        <v>-23.174114021571647</v>
      </c>
      <c r="Q117" s="326">
        <f>IF(売分析!S117&lt;&gt;"",売分析!S117,"")</f>
        <v>2593</v>
      </c>
      <c r="R117" s="326">
        <f>IF(売分析!R117&lt;&gt;"",売分析!R117,"")</f>
        <v>2294</v>
      </c>
      <c r="S117" s="325" t="str">
        <f>IF(売分析!AA117&lt;&gt;"",売分析!AA117,"")</f>
        <v>上昇▲</v>
      </c>
      <c r="T117" s="331">
        <f>IF(売分析!Z117&lt;&gt;"",売分析!Z117,"")</f>
        <v>4.3532858936793639</v>
      </c>
      <c r="U117" s="325" t="str">
        <f>IF(売分析!V117&lt;&gt;"",売分析!V117,"")</f>
        <v>安値圏</v>
      </c>
      <c r="V117" s="329">
        <f>IF(売分析!W117&lt;&gt;"",売分析!W117,"")</f>
        <v>31.756756756756758</v>
      </c>
      <c r="W117" s="325" t="str">
        <f>IF(売分析!AD117&lt;&gt;"",売分析!AD117,"")</f>
        <v>もみ合い→</v>
      </c>
      <c r="X117" s="325" t="str">
        <f>IF(売分析!AE117&lt;&gt;"",売分析!AE117,"")</f>
        <v>25日戻り売り★</v>
      </c>
      <c r="Y117" s="387">
        <f>IF(売分析!T117&lt;&gt;"",売分析!T117,"")</f>
        <v>9</v>
      </c>
      <c r="Z117" s="325" t="str">
        <f>IF(売分析!Y117&lt;&gt;"",売分析!Y117,"")</f>
        <v>○逆張り売り | もみ合い→ 25日戻り売り★ MACD- RSI:31.8 前日比:+4.4% [安値圏]前日[長い下ヒゲ(反発)] [9点]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2839</v>
      </c>
      <c r="F118" s="333">
        <f>IF(売分析!F118&lt;&gt;"",売分析!F118,"")</f>
        <v>2828</v>
      </c>
      <c r="G118" s="333">
        <f>IF(売分析!H118&lt;&gt;"",売分析!H118,"")</f>
        <v>2862</v>
      </c>
      <c r="H118" s="333">
        <f>IF(売分析!I118&lt;&gt;"",売分析!I118,"")</f>
        <v>2817</v>
      </c>
      <c r="I118" s="212">
        <f>IF(売分析!J118&lt;&gt;"",売分析!J118,"")</f>
        <v>74800</v>
      </c>
      <c r="J118" s="333">
        <f>IF(売分析!AB118&lt;&gt;"",売分析!AB118,"")</f>
        <v>2857.7995391705063</v>
      </c>
      <c r="K118" s="333">
        <f>IF(売分析!AC118&lt;&gt;"",売分析!AC118,"")</f>
        <v>2780.8939213349217</v>
      </c>
      <c r="L118" s="333">
        <f>IF(売分析!K118&lt;&gt;"",売分析!K118,"")</f>
        <v>4280</v>
      </c>
      <c r="M118" s="212" t="str">
        <f>IF(売分析!P118&lt;&gt;"",売分析!P118,"")</f>
        <v>減少↓</v>
      </c>
      <c r="N118" s="335">
        <f>IF(売分析!O118&lt;&gt;"",売分析!O118,"")</f>
        <v>0.56223692122669877</v>
      </c>
      <c r="O118" s="337">
        <f>IF(売分析!X118&lt;&gt;"",売分析!X118,"")</f>
        <v>28.243956949360836</v>
      </c>
      <c r="P118" s="334">
        <f>IF(売分析!L118&lt;&gt;"",売分析!L118,"")</f>
        <v>-33.668224299065422</v>
      </c>
      <c r="Q118" s="333">
        <f>IF(売分析!S118&lt;&gt;"",売分析!S118,"")</f>
        <v>2953</v>
      </c>
      <c r="R118" s="333">
        <f>IF(売分析!R118&lt;&gt;"",売分析!R118,"")</f>
        <v>2612</v>
      </c>
      <c r="S118" s="212" t="str">
        <f>IF(売分析!AA118&lt;&gt;"",売分析!AA118,"")</f>
        <v>下落▼</v>
      </c>
      <c r="T118" s="338">
        <f>IF(売分析!Z118&lt;&gt;"",売分析!Z118,"")</f>
        <v>-1.149025069637883</v>
      </c>
      <c r="U118" s="212" t="str">
        <f>IF(売分析!V118&lt;&gt;"",売分析!V118,"")</f>
        <v>安値圏</v>
      </c>
      <c r="V118" s="336">
        <f>IF(売分析!W118&lt;&gt;"",売分析!W118,"")</f>
        <v>69.565217391304344</v>
      </c>
      <c r="W118" s="212" t="str">
        <f>IF(売分析!AD118&lt;&gt;"",売分析!AD118,"")</f>
        <v>上昇トレンド▲</v>
      </c>
      <c r="X118" s="212" t="str">
        <f>IF(売分析!AE118&lt;&gt;"",売分析!AE118,"")</f>
        <v>5日戻り売り○</v>
      </c>
      <c r="Y118" s="388">
        <f>IF(売分析!T118&lt;&gt;"",売分析!T118,"")</f>
        <v>6</v>
      </c>
      <c r="Z118" s="212" t="str">
        <f>IF(売分析!Y118&lt;&gt;"",売分析!Y118,"")</f>
        <v>相場上昇・見送り | 上昇トレンド▲ 5日戻り売り○ MACD+ RSI:69.6 前日比:-1.1% [安値圏] [6点]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1728</v>
      </c>
      <c r="F119" s="326">
        <f>IF(売分析!F119&lt;&gt;"",売分析!F119,"")</f>
        <v>1698.5</v>
      </c>
      <c r="G119" s="326">
        <f>IF(売分析!H119&lt;&gt;"",売分析!H119,"")</f>
        <v>1728</v>
      </c>
      <c r="H119" s="326">
        <f>IF(売分析!I119&lt;&gt;"",売分析!I119,"")</f>
        <v>1696.5</v>
      </c>
      <c r="I119" s="325">
        <f>IF(売分析!J119&lt;&gt;"",売分析!J119,"")</f>
        <v>905600</v>
      </c>
      <c r="J119" s="326">
        <f>IF(売分析!AB119&lt;&gt;"",売分析!AB119,"")</f>
        <v>1727.7730414746543</v>
      </c>
      <c r="K119" s="326">
        <f>IF(売分析!AC119&lt;&gt;"",売分析!AC119,"")</f>
        <v>1707.172824791418</v>
      </c>
      <c r="L119" s="326">
        <f>IF(売分析!K119&lt;&gt;"",売分析!K119,"")</f>
        <v>1797.5</v>
      </c>
      <c r="M119" s="325" t="str">
        <f>IF(売分析!P119&lt;&gt;"",売分析!P119,"")</f>
        <v>減少↓</v>
      </c>
      <c r="N119" s="328">
        <f>IF(売分析!O119&lt;&gt;"",売分析!O119,"")</f>
        <v>0.34692267026256712</v>
      </c>
      <c r="O119" s="330">
        <f>IF(売分析!X119&lt;&gt;"",売分析!X119,"")</f>
        <v>17.954190034190788</v>
      </c>
      <c r="P119" s="327">
        <f>IF(売分析!L119&lt;&gt;"",売分析!L119,"")</f>
        <v>-3.8664812239221145</v>
      </c>
      <c r="Q119" s="326">
        <f>IF(売分析!S119&lt;&gt;"",売分析!S119,"")</f>
        <v>1797</v>
      </c>
      <c r="R119" s="326">
        <f>IF(売分析!R119&lt;&gt;"",売分析!R119,"")</f>
        <v>1590</v>
      </c>
      <c r="S119" s="325" t="str">
        <f>IF(売分析!AA119&lt;&gt;"",売分析!AA119,"")</f>
        <v>横ばい→</v>
      </c>
      <c r="T119" s="331">
        <f>IF(売分析!Z119&lt;&gt;"",売分析!Z119,"")</f>
        <v>0</v>
      </c>
      <c r="U119" s="325" t="str">
        <f>IF(売分析!V119&lt;&gt;"",売分析!V119,"")</f>
        <v>通常</v>
      </c>
      <c r="V119" s="329">
        <f>IF(売分析!W119&lt;&gt;"",売分析!W119,"")</f>
        <v>62.084765177548682</v>
      </c>
      <c r="W119" s="325" t="str">
        <f>IF(売分析!AD119&lt;&gt;"",売分析!AD119,"")</f>
        <v>パーフェクト▲</v>
      </c>
      <c r="X119" s="325" t="str">
        <f>IF(売分析!AE119&lt;&gt;"",売分析!AE119,"")</f>
        <v>なし</v>
      </c>
      <c r="Y119" s="387">
        <f>IF(売分析!T119&lt;&gt;"",売分析!T119,"")</f>
        <v>0</v>
      </c>
      <c r="Z119" s="325" t="str">
        <f>IF(売分析!Y119&lt;&gt;"",売分析!Y119,"")</f>
        <v>相場上昇・見送り | パーフェクト▲ MACD+ RSI:62.1 前日比:0.0% [0点]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63950</v>
      </c>
      <c r="F120" s="333">
        <f>IF(売分析!F120&lt;&gt;"",売分析!F120,"")</f>
        <v>63890</v>
      </c>
      <c r="G120" s="333">
        <f>IF(売分析!H120&lt;&gt;"",売分析!H120,"")</f>
        <v>64480</v>
      </c>
      <c r="H120" s="333">
        <f>IF(売分析!I120&lt;&gt;"",売分析!I120,"")</f>
        <v>62440</v>
      </c>
      <c r="I120" s="212">
        <f>IF(売分析!J120&lt;&gt;"",売分析!J120,"")</f>
        <v>1155400</v>
      </c>
      <c r="J120" s="333">
        <f>IF(売分析!AB120&lt;&gt;"",売分析!AB120,"")</f>
        <v>58627.995391705066</v>
      </c>
      <c r="K120" s="333">
        <f>IF(売分析!AC120&lt;&gt;"",売分析!AC120,"")</f>
        <v>63882.574493444547</v>
      </c>
      <c r="L120" s="333">
        <f>IF(売分析!K120&lt;&gt;"",売分析!K120,"")</f>
        <v>91680</v>
      </c>
      <c r="M120" s="212" t="str">
        <f>IF(売分析!P120&lt;&gt;"",売分析!P120,"")</f>
        <v>減少↓</v>
      </c>
      <c r="N120" s="335">
        <f>IF(売分析!O120&lt;&gt;"",売分析!O120,"")</f>
        <v>0.42404979667337084</v>
      </c>
      <c r="O120" s="337">
        <f>IF(売分析!X120&lt;&gt;"",売分析!X120,"")</f>
        <v>-2339.8319528416978</v>
      </c>
      <c r="P120" s="334">
        <f>IF(売分析!L120&lt;&gt;"",売分析!L120,"")</f>
        <v>-30.246509598603836</v>
      </c>
      <c r="Q120" s="333">
        <f>IF(売分析!S120&lt;&gt;"",売分析!S120,"")</f>
        <v>66508</v>
      </c>
      <c r="R120" s="333">
        <f>IF(売分析!R120&lt;&gt;"",売分析!R120,"")</f>
        <v>58834</v>
      </c>
      <c r="S120" s="212" t="str">
        <f>IF(売分析!AA120&lt;&gt;"",売分析!AA120,"")</f>
        <v>上昇▲</v>
      </c>
      <c r="T120" s="338">
        <f>IF(売分析!Z120&lt;&gt;"",売分析!Z120,"")</f>
        <v>5.6675479180436223</v>
      </c>
      <c r="U120" s="212" t="str">
        <f>IF(売分析!V120&lt;&gt;"",売分析!V120,"")</f>
        <v>安値圏</v>
      </c>
      <c r="V120" s="336">
        <f>IF(売分析!W120&lt;&gt;"",売分析!W120,"")</f>
        <v>38.963531669865645</v>
      </c>
      <c r="W120" s="212" t="str">
        <f>IF(売分析!AD120&lt;&gt;"",売分析!AD120,"")</f>
        <v>上昇トレンド▲</v>
      </c>
      <c r="X120" s="212" t="str">
        <f>IF(売分析!AE120&lt;&gt;"",売分析!AE120,"")</f>
        <v>なし</v>
      </c>
      <c r="Y120" s="388">
        <f>IF(売分析!T120&lt;&gt;"",売分析!T120,"")</f>
        <v>9</v>
      </c>
      <c r="Z120" s="212" t="str">
        <f>IF(売分析!Y120&lt;&gt;"",売分析!Y120,"")</f>
        <v>相場上昇・見送り | 上昇トレンド▲ MACD- RSI:39.0 前日比:+5.7% [安値圏] [9点]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5224</v>
      </c>
      <c r="F121" s="326">
        <f>IF(売分析!F121&lt;&gt;"",売分析!F121,"")</f>
        <v>5356</v>
      </c>
      <c r="G121" s="326">
        <f>IF(売分析!H121&lt;&gt;"",売分析!H121,"")</f>
        <v>5454</v>
      </c>
      <c r="H121" s="326">
        <f>IF(売分析!I121&lt;&gt;"",売分析!I121,"")</f>
        <v>5102</v>
      </c>
      <c r="I121" s="325">
        <f>IF(売分析!J121&lt;&gt;"",売分析!J121,"")</f>
        <v>2227400</v>
      </c>
      <c r="J121" s="326">
        <f>IF(売分析!AB121&lt;&gt;"",売分析!AB121,"")</f>
        <v>5323.20737327189</v>
      </c>
      <c r="K121" s="326">
        <f>IF(売分析!AC121&lt;&gt;"",売分析!AC121,"")</f>
        <v>5559.7938021454092</v>
      </c>
      <c r="L121" s="326">
        <f>IF(売分析!K121&lt;&gt;"",売分析!K121,"")</f>
        <v>8040</v>
      </c>
      <c r="M121" s="325" t="str">
        <f>IF(売分析!P121&lt;&gt;"",売分析!P121,"")</f>
        <v>普通→</v>
      </c>
      <c r="N121" s="328">
        <f>IF(売分析!O121&lt;&gt;"",売分析!O121,"")</f>
        <v>1.1625625019572638</v>
      </c>
      <c r="O121" s="330">
        <f>IF(売分析!X121&lt;&gt;"",売分析!X121,"")</f>
        <v>-65.829833345937004</v>
      </c>
      <c r="P121" s="327">
        <f>IF(売分析!L121&lt;&gt;"",売分析!L121,"")</f>
        <v>-35.024875621890551</v>
      </c>
      <c r="Q121" s="326">
        <f>IF(売分析!S121&lt;&gt;"",売分析!S121,"")</f>
        <v>5433</v>
      </c>
      <c r="R121" s="326">
        <f>IF(売分析!R121&lt;&gt;"",売分析!R121,"")</f>
        <v>4806</v>
      </c>
      <c r="S121" s="325" t="str">
        <f>IF(売分析!AA121&lt;&gt;"",売分析!AA121,"")</f>
        <v>下落▼</v>
      </c>
      <c r="T121" s="331">
        <f>IF(売分析!Z121&lt;&gt;"",売分析!Z121,"")</f>
        <v>-0.58991436726926738</v>
      </c>
      <c r="U121" s="325" t="str">
        <f>IF(売分析!V121&lt;&gt;"",売分析!V121,"")</f>
        <v>安値圏</v>
      </c>
      <c r="V121" s="329">
        <f>IF(売分析!W121&lt;&gt;"",売分析!W121,"")</f>
        <v>33.243243243243242</v>
      </c>
      <c r="W121" s="325" t="str">
        <f>IF(売分析!AD121&lt;&gt;"",売分析!AD121,"")</f>
        <v>下降トレンド▼</v>
      </c>
      <c r="X121" s="325" t="str">
        <f>IF(売分析!AE121&lt;&gt;"",売分析!AE121,"")</f>
        <v>なし</v>
      </c>
      <c r="Y121" s="387">
        <f>IF(売分析!T121&lt;&gt;"",売分析!T121,"")</f>
        <v>11</v>
      </c>
      <c r="Z121" s="325" t="str">
        <f>IF(売分析!Y121&lt;&gt;"",売分析!Y121,"")</f>
        <v>相場上昇・見送り | 下降トレンド▼ MACD- RSI:33.2 前日比:-0.6% [安値圏]前日[長い下ヒゲ(反発)] [11点]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1683</v>
      </c>
      <c r="F122" s="333">
        <f>IF(売分析!F122&lt;&gt;"",売分析!F122,"")</f>
        <v>1701</v>
      </c>
      <c r="G122" s="333">
        <f>IF(売分析!H122&lt;&gt;"",売分析!H122,"")</f>
        <v>1711</v>
      </c>
      <c r="H122" s="333">
        <f>IF(売分析!I122&lt;&gt;"",売分析!I122,"")</f>
        <v>1673</v>
      </c>
      <c r="I122" s="212">
        <f>IF(売分析!J122&lt;&gt;"",売分析!J122,"")</f>
        <v>1011900</v>
      </c>
      <c r="J122" s="333">
        <f>IF(売分析!AB122&lt;&gt;"",売分析!AB122,"")</f>
        <v>1726.7972350230414</v>
      </c>
      <c r="K122" s="333">
        <f>IF(売分析!AC122&lt;&gt;"",売分析!AC122,"")</f>
        <v>1625.6245530393319</v>
      </c>
      <c r="L122" s="333">
        <f>IF(売分析!K122&lt;&gt;"",売分析!K122,"")</f>
        <v>2819</v>
      </c>
      <c r="M122" s="212" t="str">
        <f>IF(売分析!P122&lt;&gt;"",売分析!P122,"")</f>
        <v>減少↓</v>
      </c>
      <c r="N122" s="335">
        <f>IF(売分析!O122&lt;&gt;"",売分析!O122,"")</f>
        <v>0.79838098844915739</v>
      </c>
      <c r="O122" s="337">
        <f>IF(売分析!X122&lt;&gt;"",売分析!X122,"")</f>
        <v>-1.111614836868057</v>
      </c>
      <c r="P122" s="334">
        <f>IF(売分析!L122&lt;&gt;"",売分析!L122,"")</f>
        <v>-40.297978006385243</v>
      </c>
      <c r="Q122" s="333">
        <f>IF(売分析!S122&lt;&gt;"",売分析!S122,"")</f>
        <v>1750</v>
      </c>
      <c r="R122" s="333">
        <f>IF(売分析!R122&lt;&gt;"",売分析!R122,"")</f>
        <v>1548</v>
      </c>
      <c r="S122" s="212" t="str">
        <f>IF(売分析!AA122&lt;&gt;"",売分析!AA122,"")</f>
        <v>下落▼</v>
      </c>
      <c r="T122" s="338">
        <f>IF(売分析!Z122&lt;&gt;"",売分析!Z122,"")</f>
        <v>-1.5789473684210527</v>
      </c>
      <c r="U122" s="212" t="str">
        <f>IF(売分析!V122&lt;&gt;"",売分析!V122,"")</f>
        <v>年初来安値圏●</v>
      </c>
      <c r="V122" s="336">
        <f>IF(売分析!W122&lt;&gt;"",売分析!W122,"")</f>
        <v>50.545171339563865</v>
      </c>
      <c r="W122" s="212" t="str">
        <f>IF(売分析!AD122&lt;&gt;"",売分析!AD122,"")</f>
        <v>上昇トレンド▲</v>
      </c>
      <c r="X122" s="212" t="str">
        <f>IF(売分析!AE122&lt;&gt;"",売分析!AE122,"")</f>
        <v>なし</v>
      </c>
      <c r="Y122" s="388">
        <f>IF(売分析!T122&lt;&gt;"",売分析!T122,"")</f>
        <v>5</v>
      </c>
      <c r="Z122" s="212" t="str">
        <f>IF(売分析!Y122&lt;&gt;"",売分析!Y122,"")</f>
        <v>相場上昇・見送り | 上昇トレンド▲ MACD- RSI:50.5 前日比:-1.6% [年初来安値圏]前日[長い下ヒゲ(反発)] [5点]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857.2</v>
      </c>
      <c r="F123" s="326">
        <f>IF(売分析!F123&lt;&gt;"",売分析!F123,"")</f>
        <v>864.3</v>
      </c>
      <c r="G123" s="326">
        <f>IF(売分析!H123&lt;&gt;"",売分析!H123,"")</f>
        <v>878.1</v>
      </c>
      <c r="H123" s="326">
        <f>IF(売分析!I123&lt;&gt;"",売分析!I123,"")</f>
        <v>842.5</v>
      </c>
      <c r="I123" s="325">
        <f>IF(売分析!J123&lt;&gt;"",売分析!J123,"")</f>
        <v>4205000</v>
      </c>
      <c r="J123" s="326">
        <f>IF(売分析!AB123&lt;&gt;"",売分析!AB123,"")</f>
        <v>878.88375576036867</v>
      </c>
      <c r="K123" s="326">
        <f>IF(売分析!AC123&lt;&gt;"",売分析!AC123,"")</f>
        <v>859.56579261025013</v>
      </c>
      <c r="L123" s="326">
        <f>IF(売分析!K123&lt;&gt;"",売分析!K123,"")</f>
        <v>990.7</v>
      </c>
      <c r="M123" s="325" t="str">
        <f>IF(売分析!P123&lt;&gt;"",売分析!P123,"")</f>
        <v>減少↓</v>
      </c>
      <c r="N123" s="328">
        <f>IF(売分析!O123&lt;&gt;"",売分析!O123,"")</f>
        <v>0.81949002580272989</v>
      </c>
      <c r="O123" s="330">
        <f>IF(売分析!X123&lt;&gt;"",売分析!X123,"")</f>
        <v>9.3065702379013828</v>
      </c>
      <c r="P123" s="327">
        <f>IF(売分析!L123&lt;&gt;"",売分析!L123,"")</f>
        <v>-13.475320480468355</v>
      </c>
      <c r="Q123" s="326">
        <f>IF(売分析!S123&lt;&gt;"",売分析!S123,"")</f>
        <v>891</v>
      </c>
      <c r="R123" s="326">
        <f>IF(売分析!R123&lt;&gt;"",売分析!R123,"")</f>
        <v>789</v>
      </c>
      <c r="S123" s="325" t="str">
        <f>IF(売分析!AA123&lt;&gt;"",売分析!AA123,"")</f>
        <v>下落▼</v>
      </c>
      <c r="T123" s="331">
        <f>IF(売分析!Z123&lt;&gt;"",売分析!Z123,"")</f>
        <v>-2.1796188519913171</v>
      </c>
      <c r="U123" s="325" t="str">
        <f>IF(売分析!V123&lt;&gt;"",売分析!V123,"")</f>
        <v>通常</v>
      </c>
      <c r="V123" s="329">
        <f>IF(売分析!W123&lt;&gt;"",売分析!W123,"")</f>
        <v>75.847457627118587</v>
      </c>
      <c r="W123" s="325" t="str">
        <f>IF(売分析!AD123&lt;&gt;"",売分析!AD123,"")</f>
        <v>もみ合い→</v>
      </c>
      <c r="X123" s="325" t="str">
        <f>IF(売分析!AE123&lt;&gt;"",売分析!AE123,"")</f>
        <v>25日戻り売り★</v>
      </c>
      <c r="Y123" s="387">
        <f>IF(売分析!T123&lt;&gt;"",売分析!T123,"")</f>
        <v>3</v>
      </c>
      <c r="Z123" s="325" t="str">
        <f>IF(売分析!Y123&lt;&gt;"",売分析!Y123,"")</f>
        <v>○逆張り売り | もみ合い→ 25日戻り売り★ MACD+ RSI:75.8 [過熱] 前日比:-2.2%前日[長い下ヒゲ(反発)]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3718</v>
      </c>
      <c r="F124" s="333">
        <f>IF(売分析!F124&lt;&gt;"",売分析!F124,"")</f>
        <v>3754</v>
      </c>
      <c r="G124" s="333">
        <f>IF(売分析!H124&lt;&gt;"",売分析!H124,"")</f>
        <v>3770</v>
      </c>
      <c r="H124" s="333">
        <f>IF(売分析!I124&lt;&gt;"",売分析!I124,"")</f>
        <v>3702</v>
      </c>
      <c r="I124" s="212">
        <f>IF(売分析!J124&lt;&gt;"",売分析!J124,"")</f>
        <v>206500</v>
      </c>
      <c r="J124" s="333">
        <f>IF(売分析!AB124&lt;&gt;"",売分析!AB124,"")</f>
        <v>3821.8214285714284</v>
      </c>
      <c r="K124" s="333">
        <f>IF(売分析!AC124&lt;&gt;"",売分析!AC124,"")</f>
        <v>3847.276519666269</v>
      </c>
      <c r="L124" s="333">
        <f>IF(売分析!K124&lt;&gt;"",売分析!K124,"")</f>
        <v>4403</v>
      </c>
      <c r="M124" s="212" t="str">
        <f>IF(売分析!P124&lt;&gt;"",売分析!P124,"")</f>
        <v>減少↓</v>
      </c>
      <c r="N124" s="335">
        <f>IF(売分析!O124&lt;&gt;"",売分析!O124,"")</f>
        <v>0.44433446658346604</v>
      </c>
      <c r="O124" s="337">
        <f>IF(売分析!X124&lt;&gt;"",売分析!X124,"")</f>
        <v>7.2414513670250926</v>
      </c>
      <c r="P124" s="334">
        <f>IF(売分析!L124&lt;&gt;"",売分析!L124,"")</f>
        <v>-15.557574381103793</v>
      </c>
      <c r="Q124" s="333">
        <f>IF(売分析!S124&lt;&gt;"",売分析!S124,"")</f>
        <v>3867</v>
      </c>
      <c r="R124" s="333">
        <f>IF(売分析!R124&lt;&gt;"",売分析!R124,"")</f>
        <v>3421</v>
      </c>
      <c r="S124" s="212" t="str">
        <f>IF(売分析!AA124&lt;&gt;"",売分析!AA124,"")</f>
        <v>下落▼</v>
      </c>
      <c r="T124" s="338">
        <f>IF(売分析!Z124&lt;&gt;"",売分析!Z124,"")</f>
        <v>-1.8997361477572559</v>
      </c>
      <c r="U124" s="212" t="str">
        <f>IF(売分析!V124&lt;&gt;"",売分析!V124,"")</f>
        <v>通常</v>
      </c>
      <c r="V124" s="336">
        <f>IF(売分析!W124&lt;&gt;"",売分析!W124,"")</f>
        <v>47.773279352226716</v>
      </c>
      <c r="W124" s="212" t="str">
        <f>IF(売分析!AD124&lt;&gt;"",売分析!AD124,"")</f>
        <v>下降トレンド▼</v>
      </c>
      <c r="X124" s="212" t="str">
        <f>IF(売分析!AE124&lt;&gt;"",売分析!AE124,"")</f>
        <v>なし</v>
      </c>
      <c r="Y124" s="388">
        <f>IF(売分析!T124&lt;&gt;"",売分析!T124,"")</f>
        <v>2</v>
      </c>
      <c r="Z124" s="212" t="str">
        <f>IF(売分析!Y124&lt;&gt;"",売分析!Y124,"")</f>
        <v>相場上昇・見送り | 下降トレンド▼ MACD+ RSI:47.8 前日比:-1.9%前日[長い下ヒゲ(反発)] [2点]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1858</v>
      </c>
      <c r="F125" s="326">
        <f>IF(売分析!F125&lt;&gt;"",売分析!F125,"")</f>
        <v>1860</v>
      </c>
      <c r="G125" s="326">
        <f>IF(売分析!H125&lt;&gt;"",売分析!H125,"")</f>
        <v>1875</v>
      </c>
      <c r="H125" s="326">
        <f>IF(売分析!I125&lt;&gt;"",売分析!I125,"")</f>
        <v>1845</v>
      </c>
      <c r="I125" s="325">
        <f>IF(売分析!J125&lt;&gt;"",売分析!J125,"")</f>
        <v>279300</v>
      </c>
      <c r="J125" s="326">
        <f>IF(売分析!AB125&lt;&gt;"",売分析!AB125,"")</f>
        <v>1891.1595622119814</v>
      </c>
      <c r="K125" s="326">
        <f>IF(売分析!AC125&lt;&gt;"",売分析!AC125,"")</f>
        <v>1902.005959475566</v>
      </c>
      <c r="L125" s="326">
        <f>IF(売分析!K125&lt;&gt;"",売分析!K125,"")</f>
        <v>2254</v>
      </c>
      <c r="M125" s="325" t="str">
        <f>IF(売分析!P125&lt;&gt;"",売分析!P125,"")</f>
        <v>減少↓</v>
      </c>
      <c r="N125" s="328">
        <f>IF(売分析!O125&lt;&gt;"",売分析!O125,"")</f>
        <v>0.22024382166006909</v>
      </c>
      <c r="O125" s="330">
        <f>IF(売分析!X125&lt;&gt;"",売分析!X125,"")</f>
        <v>-50.615494608718336</v>
      </c>
      <c r="P125" s="327">
        <f>IF(売分析!L125&lt;&gt;"",売分析!L125,"")</f>
        <v>-17.56876663708962</v>
      </c>
      <c r="Q125" s="326">
        <f>IF(売分析!S125&lt;&gt;"",売分析!S125,"")</f>
        <v>1932</v>
      </c>
      <c r="R125" s="326">
        <f>IF(売分析!R125&lt;&gt;"",売分析!R125,"")</f>
        <v>1709</v>
      </c>
      <c r="S125" s="325" t="str">
        <f>IF(売分析!AA125&lt;&gt;"",売分析!AA125,"")</f>
        <v>下落▼</v>
      </c>
      <c r="T125" s="331">
        <f>IF(売分析!Z125&lt;&gt;"",売分析!Z125,"")</f>
        <v>-0.58855002675227397</v>
      </c>
      <c r="U125" s="325" t="str">
        <f>IF(売分析!V125&lt;&gt;"",売分析!V125,"")</f>
        <v>通常</v>
      </c>
      <c r="V125" s="329">
        <f>IF(売分析!W125&lt;&gt;"",売分析!W125,"")</f>
        <v>46.756383712905453</v>
      </c>
      <c r="W125" s="325" t="str">
        <f>IF(売分析!AD125&lt;&gt;"",売分析!AD125,"")</f>
        <v>下降トレンド▼</v>
      </c>
      <c r="X125" s="325" t="str">
        <f>IF(売分析!AE125&lt;&gt;"",売分析!AE125,"")</f>
        <v>なし</v>
      </c>
      <c r="Y125" s="387">
        <f>IF(売分析!T125&lt;&gt;"",売分析!T125,"")</f>
        <v>8</v>
      </c>
      <c r="Z125" s="325" t="str">
        <f>IF(売分析!Y125&lt;&gt;"",売分析!Y125,"")</f>
        <v>相場上昇・見送り | 下降トレンド▼ MACD- RSI:46.8 前日比:-0.6%前日[長い下ヒゲ(反発)] [8点]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5472</v>
      </c>
      <c r="F126" s="333">
        <f>IF(売分析!F126&lt;&gt;"",売分析!F126,"")</f>
        <v>5425</v>
      </c>
      <c r="G126" s="333">
        <f>IF(売分析!H126&lt;&gt;"",売分析!H126,"")</f>
        <v>5473</v>
      </c>
      <c r="H126" s="333">
        <f>IF(売分析!I126&lt;&gt;"",売分析!I126,"")</f>
        <v>5314</v>
      </c>
      <c r="I126" s="212">
        <f>IF(売分析!J126&lt;&gt;"",売分析!J126,"")</f>
        <v>9062200</v>
      </c>
      <c r="J126" s="333">
        <f>IF(売分析!AB126&lt;&gt;"",売分析!AB126,"")</f>
        <v>5306.3836405529955</v>
      </c>
      <c r="K126" s="333">
        <f>IF(売分析!AC126&lt;&gt;"",売分析!AC126,"")</f>
        <v>4976.411203814062</v>
      </c>
      <c r="L126" s="333">
        <f>IF(売分析!K126&lt;&gt;"",売分析!K126,"")</f>
        <v>6039</v>
      </c>
      <c r="M126" s="212" t="str">
        <f>IF(売分析!P126&lt;&gt;"",売分析!P126,"")</f>
        <v>減少↓</v>
      </c>
      <c r="N126" s="335">
        <f>IF(売分析!O126&lt;&gt;"",売分析!O126,"")</f>
        <v>0.51642882135786672</v>
      </c>
      <c r="O126" s="337">
        <f>IF(売分析!X126&lt;&gt;"",売分析!X126,"")</f>
        <v>70.089920354725109</v>
      </c>
      <c r="P126" s="334">
        <f>IF(売分析!L126&lt;&gt;"",売分析!L126,"")</f>
        <v>-9.3889716840536508</v>
      </c>
      <c r="Q126" s="333">
        <f>IF(売分析!S126&lt;&gt;"",売分析!S126,"")</f>
        <v>5691</v>
      </c>
      <c r="R126" s="333">
        <f>IF(売分析!R126&lt;&gt;"",売分析!R126,"")</f>
        <v>5034</v>
      </c>
      <c r="S126" s="212" t="str">
        <f>IF(売分析!AA126&lt;&gt;"",売分析!AA126,"")</f>
        <v>上昇▲</v>
      </c>
      <c r="T126" s="338">
        <f>IF(売分析!Z126&lt;&gt;"",売分析!Z126,"")</f>
        <v>3.225806451612903</v>
      </c>
      <c r="U126" s="212" t="str">
        <f>IF(売分析!V126&lt;&gt;"",売分析!V126,"")</f>
        <v>通常</v>
      </c>
      <c r="V126" s="336">
        <f>IF(売分析!W126&lt;&gt;"",売分析!W126,"")</f>
        <v>78.425655976676381</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RSI:78.4 [過熱] 前日比:+3.2% [長い下ヒゲ(反発警戒)]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1262</v>
      </c>
      <c r="F127" s="326">
        <f>IF(売分析!F127&lt;&gt;"",売分析!F127,"")</f>
        <v>1248</v>
      </c>
      <c r="G127" s="326">
        <f>IF(売分析!H127&lt;&gt;"",売分析!H127,"")</f>
        <v>1263</v>
      </c>
      <c r="H127" s="326">
        <f>IF(売分析!I127&lt;&gt;"",売分析!I127,"")</f>
        <v>1240</v>
      </c>
      <c r="I127" s="325">
        <f>IF(売分析!J127&lt;&gt;"",売分析!J127,"")</f>
        <v>85300</v>
      </c>
      <c r="J127" s="326">
        <f>IF(売分析!AB127&lt;&gt;"",売分析!AB127,"")</f>
        <v>1227.8559907834099</v>
      </c>
      <c r="K127" s="326">
        <f>IF(売分析!AC127&lt;&gt;"",売分析!AC127,"")</f>
        <v>1196.3206197854586</v>
      </c>
      <c r="L127" s="326">
        <f>IF(売分析!K127&lt;&gt;"",売分析!K127,"")</f>
        <v>1398</v>
      </c>
      <c r="M127" s="325" t="str">
        <f>IF(売分析!P127&lt;&gt;"",売分析!P127,"")</f>
        <v>減少↓</v>
      </c>
      <c r="N127" s="328">
        <f>IF(売分析!O127&lt;&gt;"",売分析!O127,"")</f>
        <v>0.45949148890325359</v>
      </c>
      <c r="O127" s="330">
        <f>IF(売分析!X127&lt;&gt;"",売分析!X127,"")</f>
        <v>-17.509769581951332</v>
      </c>
      <c r="P127" s="327">
        <f>IF(売分析!L127&lt;&gt;"",売分析!L127,"")</f>
        <v>-9.7281831187410592</v>
      </c>
      <c r="Q127" s="326">
        <f>IF(売分析!S127&lt;&gt;"",売分析!S127,"")</f>
        <v>1312</v>
      </c>
      <c r="R127" s="326">
        <f>IF(売分析!R127&lt;&gt;"",売分析!R127,"")</f>
        <v>1161</v>
      </c>
      <c r="S127" s="325" t="str">
        <f>IF(売分析!AA127&lt;&gt;"",売分析!AA127,"")</f>
        <v>上昇▲</v>
      </c>
      <c r="T127" s="331">
        <f>IF(売分析!Z127&lt;&gt;"",売分析!Z127,"")</f>
        <v>3.6124794745484397</v>
      </c>
      <c r="U127" s="325" t="str">
        <f>IF(売分析!V127&lt;&gt;"",売分析!V127,"")</f>
        <v>通常</v>
      </c>
      <c r="V127" s="329">
        <f>IF(売分析!W127&lt;&gt;"",売分析!W127,"")</f>
        <v>49.226340410219507</v>
      </c>
      <c r="W127" s="325" t="str">
        <f>IF(売分析!AD127&lt;&gt;"",売分析!AD127,"")</f>
        <v>パーフェクト▲</v>
      </c>
      <c r="X127" s="325" t="str">
        <f>IF(売分析!AE127&lt;&gt;"",売分析!AE127,"")</f>
        <v>なし</v>
      </c>
      <c r="Y127" s="387">
        <f>IF(売分析!T127&lt;&gt;"",売分析!T127,"")</f>
        <v>3</v>
      </c>
      <c r="Z127" s="325" t="str">
        <f>IF(売分析!Y127&lt;&gt;"",売分析!Y127,"")</f>
        <v>相場上昇・見送り | パーフェクト▲ MACD- RSI:49.2 前日比:+3.6% [3点]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1717</v>
      </c>
      <c r="F128" s="333">
        <f>IF(売分析!F128&lt;&gt;"",売分析!F128,"")</f>
        <v>1725</v>
      </c>
      <c r="G128" s="333">
        <f>IF(売分析!H128&lt;&gt;"",売分析!H128,"")</f>
        <v>1728</v>
      </c>
      <c r="H128" s="333">
        <f>IF(売分析!I128&lt;&gt;"",売分析!I128,"")</f>
        <v>1707</v>
      </c>
      <c r="I128" s="212">
        <f>IF(売分析!J128&lt;&gt;"",売分析!J128,"")</f>
        <v>106500</v>
      </c>
      <c r="J128" s="333">
        <f>IF(売分析!AB128&lt;&gt;"",売分析!AB128,"")</f>
        <v>1770.9193548387095</v>
      </c>
      <c r="K128" s="333">
        <f>IF(売分析!AC128&lt;&gt;"",売分析!AC128,"")</f>
        <v>1805.6090584028595</v>
      </c>
      <c r="L128" s="333">
        <f>IF(売分析!K128&lt;&gt;"",売分析!K128,"")</f>
        <v>1891</v>
      </c>
      <c r="M128" s="212" t="str">
        <f>IF(売分析!P128&lt;&gt;"",売分析!P128,"")</f>
        <v>減少↓</v>
      </c>
      <c r="N128" s="335">
        <f>IF(売分析!O128&lt;&gt;"",売分析!O128,"")</f>
        <v>0.41384938214035905</v>
      </c>
      <c r="O128" s="337">
        <f>IF(売分析!X128&lt;&gt;"",売分析!X128,"")</f>
        <v>-2.2970557914970868</v>
      </c>
      <c r="P128" s="334">
        <f>IF(売分析!L128&lt;&gt;"",売分析!L128,"")</f>
        <v>-9.2014806980433619</v>
      </c>
      <c r="Q128" s="333">
        <f>IF(売分析!S128&lt;&gt;"",売分析!S128,"")</f>
        <v>1786</v>
      </c>
      <c r="R128" s="333">
        <f>IF(売分析!R128&lt;&gt;"",売分析!R128,"")</f>
        <v>1580</v>
      </c>
      <c r="S128" s="212" t="str">
        <f>IF(売分析!AA128&lt;&gt;"",売分析!AA128,"")</f>
        <v>下落▼</v>
      </c>
      <c r="T128" s="338">
        <f>IF(売分析!Z128&lt;&gt;"",売分析!Z128,"")</f>
        <v>-1.6045845272206303</v>
      </c>
      <c r="U128" s="212" t="str">
        <f>IF(売分析!V128&lt;&gt;"",売分析!V128,"")</f>
        <v>通常</v>
      </c>
      <c r="V128" s="336">
        <f>IF(売分析!W128&lt;&gt;"",売分析!W128,"")</f>
        <v>38.275862068965516</v>
      </c>
      <c r="W128" s="212" t="str">
        <f>IF(売分析!AD128&lt;&gt;"",売分析!AD128,"")</f>
        <v>下降トレンド▼</v>
      </c>
      <c r="X128" s="212" t="str">
        <f>IF(売分析!AE128&lt;&gt;"",売分析!AE128,"")</f>
        <v>なし</v>
      </c>
      <c r="Y128" s="388">
        <f>IF(売分析!T128&lt;&gt;"",売分析!T128,"")</f>
        <v>7</v>
      </c>
      <c r="Z128" s="212" t="str">
        <f>IF(売分析!Y128&lt;&gt;"",売分析!Y128,"")</f>
        <v>相場上昇・見送り | 下降トレンド▼ MACD- RSI:38.3 前日比:-1.6% [7点]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1484.5</v>
      </c>
      <c r="F129" s="326">
        <f>IF(売分析!F129&lt;&gt;"",売分析!F129,"")</f>
        <v>1479.5</v>
      </c>
      <c r="G129" s="326">
        <f>IF(売分析!H129&lt;&gt;"",売分析!H129,"")</f>
        <v>1495.5</v>
      </c>
      <c r="H129" s="326">
        <f>IF(売分析!I129&lt;&gt;"",売分析!I129,"")</f>
        <v>1473.5</v>
      </c>
      <c r="I129" s="325">
        <f>IF(売分析!J129&lt;&gt;"",売分析!J129,"")</f>
        <v>3874700</v>
      </c>
      <c r="J129" s="326">
        <f>IF(売分析!AB129&lt;&gt;"",売分析!AB129,"")</f>
        <v>1519.6313364055297</v>
      </c>
      <c r="K129" s="326">
        <f>IF(売分析!AC129&lt;&gt;"",売分析!AC129,"")</f>
        <v>1548.5971394517273</v>
      </c>
      <c r="L129" s="326">
        <f>IF(売分析!K129&lt;&gt;"",売分析!K129,"")</f>
        <v>2158</v>
      </c>
      <c r="M129" s="325" t="str">
        <f>IF(売分析!P129&lt;&gt;"",売分析!P129,"")</f>
        <v>減少↓</v>
      </c>
      <c r="N129" s="328">
        <f>IF(売分析!O129&lt;&gt;"",売分析!O129,"")</f>
        <v>0.33361574478270678</v>
      </c>
      <c r="O129" s="330">
        <f>IF(売分析!X129&lt;&gt;"",売分析!X129,"")</f>
        <v>1.8838436707678738</v>
      </c>
      <c r="P129" s="327">
        <f>IF(売分析!L129&lt;&gt;"",売分析!L129,"")</f>
        <v>-31.209453197405008</v>
      </c>
      <c r="Q129" s="326">
        <f>IF(売分析!S129&lt;&gt;"",売分析!S129,"")</f>
        <v>1544</v>
      </c>
      <c r="R129" s="326">
        <f>IF(売分析!R129&lt;&gt;"",売分析!R129,"")</f>
        <v>1366</v>
      </c>
      <c r="S129" s="325" t="str">
        <f>IF(売分析!AA129&lt;&gt;"",売分析!AA129,"")</f>
        <v>下落▼</v>
      </c>
      <c r="T129" s="331">
        <f>IF(売分析!Z129&lt;&gt;"",売分析!Z129,"")</f>
        <v>-0.26872690628149143</v>
      </c>
      <c r="U129" s="325" t="str">
        <f>IF(売分析!V129&lt;&gt;"",売分析!V129,"")</f>
        <v>安値圏</v>
      </c>
      <c r="V129" s="329">
        <f>IF(売分析!W129&lt;&gt;"",売分析!W129,"")</f>
        <v>45.701357466063349</v>
      </c>
      <c r="W129" s="325" t="str">
        <f>IF(売分析!AD129&lt;&gt;"",売分析!AD129,"")</f>
        <v>下降トレンド▼</v>
      </c>
      <c r="X129" s="325" t="str">
        <f>IF(売分析!AE129&lt;&gt;"",売分析!AE129,"")</f>
        <v>なし</v>
      </c>
      <c r="Y129" s="387">
        <f>IF(売分析!T129&lt;&gt;"",売分析!T129,"")</f>
        <v>9</v>
      </c>
      <c r="Z129" s="325" t="str">
        <f>IF(売分析!Y129&lt;&gt;"",売分析!Y129,"")</f>
        <v>相場上昇・見送り | 下降トレンド▼ MACD+ RSI:45.7 前日比:-0.3% [安値圏] [9点]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21400</v>
      </c>
      <c r="F130" s="333">
        <f>IF(売分析!F130&lt;&gt;"",売分析!F130,"")</f>
        <v>21000</v>
      </c>
      <c r="G130" s="333">
        <f>IF(売分析!H130&lt;&gt;"",売分析!H130,"")</f>
        <v>21540</v>
      </c>
      <c r="H130" s="333">
        <f>IF(売分析!I130&lt;&gt;"",売分析!I130,"")</f>
        <v>20320</v>
      </c>
      <c r="I130" s="212">
        <f>IF(売分析!J130&lt;&gt;"",売分析!J130,"")</f>
        <v>164400</v>
      </c>
      <c r="J130" s="333">
        <f>IF(売分析!AB130&lt;&gt;"",売分析!AB130,"")</f>
        <v>17901.739631336401</v>
      </c>
      <c r="K130" s="333">
        <f>IF(売分析!AC130&lt;&gt;"",売分析!AC130,"")</f>
        <v>18007.640047675799</v>
      </c>
      <c r="L130" s="333">
        <f>IF(売分析!K130&lt;&gt;"",売分析!K130,"")</f>
        <v>34700</v>
      </c>
      <c r="M130" s="212" t="str">
        <f>IF(売分析!P130&lt;&gt;"",売分析!P130,"")</f>
        <v>普通→</v>
      </c>
      <c r="N130" s="335">
        <f>IF(売分析!O130&lt;&gt;"",売分析!O130,"")</f>
        <v>1.0119414009602363</v>
      </c>
      <c r="O130" s="337">
        <f>IF(売分析!X130&lt;&gt;"",売分析!X130,"")</f>
        <v>-816.49116976265213</v>
      </c>
      <c r="P130" s="334">
        <f>IF(売分析!L130&lt;&gt;"",売分析!L130,"")</f>
        <v>-38.328530259365998</v>
      </c>
      <c r="Q130" s="333">
        <f>IF(売分析!S130&lt;&gt;"",売分析!S130,"")</f>
        <v>22256</v>
      </c>
      <c r="R130" s="333">
        <f>IF(売分析!R130&lt;&gt;"",売分析!R130,"")</f>
        <v>19688</v>
      </c>
      <c r="S130" s="212" t="str">
        <f>IF(売分析!AA130&lt;&gt;"",売分析!AA130,"")</f>
        <v>上昇▲</v>
      </c>
      <c r="T130" s="338">
        <f>IF(売分析!Z130&lt;&gt;"",売分析!Z130,"")</f>
        <v>19.220055710306408</v>
      </c>
      <c r="U130" s="212" t="str">
        <f>IF(売分析!V130&lt;&gt;"",売分析!V130,"")</f>
        <v>年初来安値圏●</v>
      </c>
      <c r="V130" s="336">
        <f>IF(売分析!W130&lt;&gt;"",売分析!W130,"")</f>
        <v>46.997279765641345</v>
      </c>
      <c r="W130" s="212" t="str">
        <f>IF(売分析!AD130&lt;&gt;"",売分析!AD130,"")</f>
        <v>上昇トレンド▲</v>
      </c>
      <c r="X130" s="212" t="str">
        <f>IF(売分析!AE130&lt;&gt;"",売分析!AE130,"")</f>
        <v>なし</v>
      </c>
      <c r="Y130" s="388">
        <f>IF(売分析!T130&lt;&gt;"",売分析!T130,"")</f>
        <v>8</v>
      </c>
      <c r="Z130" s="212" t="str">
        <f>IF(売分析!Y130&lt;&gt;"",売分析!Y130,"")</f>
        <v>相場上昇・見送り | 上昇トレンド▲ MACD- RSI:47.0 前日比:+19.2% [年初来安値圏] [長い下ヒゲ(反発警戒)] [8点]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315</v>
      </c>
      <c r="F131" s="326">
        <f>IF(売分析!F131&lt;&gt;"",売分析!F131,"")</f>
        <v>316</v>
      </c>
      <c r="G131" s="326">
        <f>IF(売分析!H131&lt;&gt;"",売分析!H131,"")</f>
        <v>322</v>
      </c>
      <c r="H131" s="326">
        <f>IF(売分析!I131&lt;&gt;"",売分析!I131,"")</f>
        <v>314</v>
      </c>
      <c r="I131" s="325">
        <f>IF(売分析!J131&lt;&gt;"",売分析!J131,"")</f>
        <v>92300</v>
      </c>
      <c r="J131" s="326">
        <f>IF(売分析!AB131&lt;&gt;"",売分析!AB131,"")</f>
        <v>309.72695852534559</v>
      </c>
      <c r="K131" s="326">
        <f>IF(売分析!AC131&lt;&gt;"",売分析!AC131,"")</f>
        <v>310.26221692491049</v>
      </c>
      <c r="L131" s="326">
        <f>IF(売分析!K131&lt;&gt;"",売分析!K131,"")</f>
        <v>995</v>
      </c>
      <c r="M131" s="325" t="str">
        <f>IF(売分析!P131&lt;&gt;"",売分析!P131,"")</f>
        <v>減少↓</v>
      </c>
      <c r="N131" s="328">
        <f>IF(売分析!O131&lt;&gt;"",売分析!O131,"")</f>
        <v>0.39911787598374127</v>
      </c>
      <c r="O131" s="330">
        <f>IF(売分析!X131&lt;&gt;"",売分析!X131,"")</f>
        <v>-1.4053112773094654</v>
      </c>
      <c r="P131" s="327">
        <f>IF(売分析!L131&lt;&gt;"",売分析!L131,"")</f>
        <v>-68.341708542713562</v>
      </c>
      <c r="Q131" s="326">
        <f>IF(売分析!S131&lt;&gt;"",売分析!S131,"")</f>
        <v>328</v>
      </c>
      <c r="R131" s="326">
        <f>IF(売分析!R131&lt;&gt;"",売分析!R131,"")</f>
        <v>290</v>
      </c>
      <c r="S131" s="325" t="str">
        <f>IF(売分析!AA131&lt;&gt;"",売分析!AA131,"")</f>
        <v>上昇▲</v>
      </c>
      <c r="T131" s="331">
        <f>IF(売分析!Z131&lt;&gt;"",売分析!Z131,"")</f>
        <v>1.2861736334405145</v>
      </c>
      <c r="U131" s="325" t="str">
        <f>IF(売分析!V131&lt;&gt;"",売分析!V131,"")</f>
        <v>年初来安値圏●</v>
      </c>
      <c r="V131" s="329">
        <f>IF(売分析!W131&lt;&gt;"",売分析!W131,"")</f>
        <v>42.857142857142854</v>
      </c>
      <c r="W131" s="325" t="str">
        <f>IF(売分析!AD131&lt;&gt;"",売分析!AD131,"")</f>
        <v>上昇トレンド▲</v>
      </c>
      <c r="X131" s="325" t="str">
        <f>IF(売分析!AE131&lt;&gt;"",売分析!AE131,"")</f>
        <v>なし</v>
      </c>
      <c r="Y131" s="387">
        <f>IF(売分析!T131&lt;&gt;"",売分析!T131,"")</f>
        <v>4</v>
      </c>
      <c r="Z131" s="325" t="str">
        <f>IF(売分析!Y131&lt;&gt;"",売分析!Y131,"")</f>
        <v>相場上昇・見送り | 上昇トレンド▲ MACD- RSI:42.9 前日比:+1.3% [年初来安値圏]前日[長い下ヒゲ(反発)] [4点]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2545</v>
      </c>
      <c r="F132" s="333">
        <f>IF(売分析!F132&lt;&gt;"",売分析!F132,"")</f>
        <v>2524</v>
      </c>
      <c r="G132" s="333">
        <f>IF(売分析!H132&lt;&gt;"",売分析!H132,"")</f>
        <v>2577</v>
      </c>
      <c r="H132" s="333">
        <f>IF(売分析!I132&lt;&gt;"",売分析!I132,"")</f>
        <v>2520</v>
      </c>
      <c r="I132" s="212">
        <f>IF(売分析!J132&lt;&gt;"",売分析!J132,"")</f>
        <v>427500</v>
      </c>
      <c r="J132" s="333">
        <f>IF(売分析!AB132&lt;&gt;"",売分析!AB132,"")</f>
        <v>2542.6140552995394</v>
      </c>
      <c r="K132" s="333">
        <f>IF(売分析!AC132&lt;&gt;"",売分析!AC132,"")</f>
        <v>2589.8927294398081</v>
      </c>
      <c r="L132" s="333">
        <f>IF(売分析!K132&lt;&gt;"",売分析!K132,"")</f>
        <v>2949</v>
      </c>
      <c r="M132" s="212" t="str">
        <f>IF(売分析!P132&lt;&gt;"",売分析!P132,"")</f>
        <v>減少↓</v>
      </c>
      <c r="N132" s="335">
        <f>IF(売分析!O132&lt;&gt;"",売分析!O132,"")</f>
        <v>0.30187693307158897</v>
      </c>
      <c r="O132" s="337">
        <f>IF(売分析!X132&lt;&gt;"",売分析!X132,"")</f>
        <v>-12.451928243623115</v>
      </c>
      <c r="P132" s="334">
        <f>IF(売分析!L132&lt;&gt;"",売分析!L132,"")</f>
        <v>-13.69955917260088</v>
      </c>
      <c r="Q132" s="333">
        <f>IF(売分析!S132&lt;&gt;"",売分析!S132,"")</f>
        <v>2647</v>
      </c>
      <c r="R132" s="333">
        <f>IF(売分析!R132&lt;&gt;"",売分析!R132,"")</f>
        <v>2341</v>
      </c>
      <c r="S132" s="212" t="str">
        <f>IF(売分析!AA132&lt;&gt;"",売分析!AA132,"")</f>
        <v>上昇▲</v>
      </c>
      <c r="T132" s="338">
        <f>IF(売分析!Z132&lt;&gt;"",売分析!Z132,"")</f>
        <v>0.43409629044988163</v>
      </c>
      <c r="U132" s="212" t="str">
        <f>IF(売分析!V132&lt;&gt;"",売分析!V132,"")</f>
        <v>通常</v>
      </c>
      <c r="V132" s="336">
        <f>IF(売分析!W132&lt;&gt;"",売分析!W132,"")</f>
        <v>51.612903225806448</v>
      </c>
      <c r="W132" s="212" t="str">
        <f>IF(売分析!AD132&lt;&gt;"",売分析!AD132,"")</f>
        <v>もみ合い→</v>
      </c>
      <c r="X132" s="212" t="str">
        <f>IF(売分析!AE132&lt;&gt;"",売分析!AE132,"")</f>
        <v>25日戻り売り★</v>
      </c>
      <c r="Y132" s="388">
        <f>IF(売分析!T132&lt;&gt;"",売分析!T132,"")</f>
        <v>9</v>
      </c>
      <c r="Z132" s="212" t="str">
        <f>IF(売分析!Y132&lt;&gt;"",売分析!Y132,"")</f>
        <v>○逆張り売り | もみ合い→ 25日戻り売り★ MACD- RSI:51.6 前日比:+0.4% [9点]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7846</v>
      </c>
      <c r="F133" s="326">
        <f>IF(売分析!F133&lt;&gt;"",売分析!F133,"")</f>
        <v>7781</v>
      </c>
      <c r="G133" s="326">
        <f>IF(売分析!H133&lt;&gt;"",売分析!H133,"")</f>
        <v>7935</v>
      </c>
      <c r="H133" s="326">
        <f>IF(売分析!I133&lt;&gt;"",売分析!I133,"")</f>
        <v>7756</v>
      </c>
      <c r="I133" s="325">
        <f>IF(売分析!J133&lt;&gt;"",売分析!J133,"")</f>
        <v>93200</v>
      </c>
      <c r="J133" s="326">
        <f>IF(売分析!AB133&lt;&gt;"",売分析!AB133,"")</f>
        <v>7928.597926267279</v>
      </c>
      <c r="K133" s="326">
        <f>IF(売分析!AC133&lt;&gt;"",売分析!AC133,"")</f>
        <v>7371.3420738974946</v>
      </c>
      <c r="L133" s="326">
        <f>IF(売分析!K133&lt;&gt;"",売分析!K133,"")</f>
        <v>8611</v>
      </c>
      <c r="M133" s="325" t="str">
        <f>IF(売分析!P133&lt;&gt;"",売分析!P133,"")</f>
        <v>減少↓</v>
      </c>
      <c r="N133" s="328">
        <f>IF(売分析!O133&lt;&gt;"",売分析!O133,"")</f>
        <v>0.27402093378807479</v>
      </c>
      <c r="O133" s="330">
        <f>IF(売分析!X133&lt;&gt;"",売分析!X133,"")</f>
        <v>221.88564474464783</v>
      </c>
      <c r="P133" s="327">
        <f>IF(売分析!L133&lt;&gt;"",売分析!L133,"")</f>
        <v>-8.8839855998141903</v>
      </c>
      <c r="Q133" s="326">
        <f>IF(売分析!S133&lt;&gt;"",売分析!S133,"")</f>
        <v>8160</v>
      </c>
      <c r="R133" s="326">
        <f>IF(売分析!R133&lt;&gt;"",売分析!R133,"")</f>
        <v>7218</v>
      </c>
      <c r="S133" s="325" t="str">
        <f>IF(売分析!AA133&lt;&gt;"",売分析!AA133,"")</f>
        <v>下落▼</v>
      </c>
      <c r="T133" s="331">
        <f>IF(売分析!Z133&lt;&gt;"",売分析!Z133,"")</f>
        <v>-0.34294423980693511</v>
      </c>
      <c r="U133" s="325" t="str">
        <f>IF(売分析!V133&lt;&gt;"",売分析!V133,"")</f>
        <v>通常</v>
      </c>
      <c r="V133" s="329">
        <f>IF(売分析!W133&lt;&gt;"",売分析!W133,"")</f>
        <v>73.566176470588232</v>
      </c>
      <c r="W133" s="325" t="str">
        <f>IF(売分析!AD133&lt;&gt;"",売分析!AD133,"")</f>
        <v>上昇トレンド▲</v>
      </c>
      <c r="X133" s="325" t="str">
        <f>IF(売分析!AE133&lt;&gt;"",売分析!AE133,"")</f>
        <v>なし</v>
      </c>
      <c r="Y133" s="387">
        <f>IF(売分析!T133&lt;&gt;"",売分析!T133,"")</f>
        <v>2</v>
      </c>
      <c r="Z133" s="325" t="str">
        <f>IF(売分析!Y133&lt;&gt;"",売分析!Y133,"")</f>
        <v>◎反落確認 | 上昇トレンド▲ MACD+ RSI:73.6 [過熱] 前日比:-0.3% [2点]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3335</v>
      </c>
      <c r="F134" s="333">
        <f>IF(売分析!F134&lt;&gt;"",売分析!F134,"")</f>
        <v>3235</v>
      </c>
      <c r="G134" s="333">
        <f>IF(売分析!H134&lt;&gt;"",売分析!H134,"")</f>
        <v>3350</v>
      </c>
      <c r="H134" s="333">
        <f>IF(売分析!I134&lt;&gt;"",売分析!I134,"")</f>
        <v>3235</v>
      </c>
      <c r="I134" s="212">
        <f>IF(売分析!J134&lt;&gt;"",売分析!J134,"")</f>
        <v>75500</v>
      </c>
      <c r="J134" s="333">
        <f>IF(売分析!AB134&lt;&gt;"",売分析!AB134,"")</f>
        <v>3147.8341013824884</v>
      </c>
      <c r="K134" s="333">
        <f>IF(売分析!AC134&lt;&gt;"",売分析!AC134,"")</f>
        <v>3011.1144219308676</v>
      </c>
      <c r="L134" s="333">
        <f>IF(売分析!K134&lt;&gt;"",売分析!K134,"")</f>
        <v>4220</v>
      </c>
      <c r="M134" s="212" t="str">
        <f>IF(売分析!P134&lt;&gt;"",売分析!P134,"")</f>
        <v>減少↓</v>
      </c>
      <c r="N134" s="335">
        <f>IF(売分析!O134&lt;&gt;"",売分析!O134,"")</f>
        <v>0.27769604237163453</v>
      </c>
      <c r="O134" s="337">
        <f>IF(売分析!X134&lt;&gt;"",売分析!X134,"")</f>
        <v>-39.421298046877837</v>
      </c>
      <c r="P134" s="334">
        <f>IF(売分析!L134&lt;&gt;"",売分析!L134,"")</f>
        <v>-20.971563981042653</v>
      </c>
      <c r="Q134" s="333">
        <f>IF(売分析!S134&lt;&gt;"",売分析!S134,"")</f>
        <v>3468</v>
      </c>
      <c r="R134" s="333">
        <f>IF(売分析!R134&lt;&gt;"",売分析!R134,"")</f>
        <v>3068</v>
      </c>
      <c r="S134" s="212" t="str">
        <f>IF(売分析!AA134&lt;&gt;"",売分析!AA134,"")</f>
        <v>上昇▲</v>
      </c>
      <c r="T134" s="338">
        <f>IF(売分析!Z134&lt;&gt;"",売分析!Z134,"")</f>
        <v>6.72</v>
      </c>
      <c r="U134" s="212" t="str">
        <f>IF(売分析!V134&lt;&gt;"",売分析!V134,"")</f>
        <v>通常</v>
      </c>
      <c r="V134" s="336">
        <f>IF(売分析!W134&lt;&gt;"",売分析!W134,"")</f>
        <v>49.428571428571431</v>
      </c>
      <c r="W134" s="212" t="str">
        <f>IF(売分析!AD134&lt;&gt;"",売分析!AD134,"")</f>
        <v>パーフェクト▲</v>
      </c>
      <c r="X134" s="212" t="str">
        <f>IF(売分析!AE134&lt;&gt;"",売分析!AE134,"")</f>
        <v>なし</v>
      </c>
      <c r="Y134" s="388">
        <f>IF(売分析!T134&lt;&gt;"",売分析!T134,"")</f>
        <v>2</v>
      </c>
      <c r="Z134" s="212" t="str">
        <f>IF(売分析!Y134&lt;&gt;"",売分析!Y134,"")</f>
        <v>相場上昇・見送り | パーフェクト▲ MACD- RSI:49.4 前日比:+6.7%前日[長い下ヒゲ(反発)] [2点]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2058</v>
      </c>
      <c r="F135" s="326">
        <f>IF(売分析!F135&lt;&gt;"",売分析!F135,"")</f>
        <v>2016</v>
      </c>
      <c r="G135" s="326">
        <f>IF(売分析!H135&lt;&gt;"",売分析!H135,"")</f>
        <v>2059</v>
      </c>
      <c r="H135" s="326">
        <f>IF(売分析!I135&lt;&gt;"",売分析!I135,"")</f>
        <v>2016</v>
      </c>
      <c r="I135" s="325">
        <f>IF(売分析!J135&lt;&gt;"",売分析!J135,"")</f>
        <v>24000</v>
      </c>
      <c r="J135" s="326">
        <f>IF(売分析!AB135&lt;&gt;"",売分析!AB135,"")</f>
        <v>2028.5633640552994</v>
      </c>
      <c r="K135" s="326">
        <f>IF(売分析!AC135&lt;&gt;"",売分析!AC135,"")</f>
        <v>1903.2061978545878</v>
      </c>
      <c r="L135" s="326">
        <f>IF(売分析!K135&lt;&gt;"",売分析!K135,"")</f>
        <v>2348</v>
      </c>
      <c r="M135" s="325" t="str">
        <f>IF(売分析!P135&lt;&gt;"",売分析!P135,"")</f>
        <v>減少↓</v>
      </c>
      <c r="N135" s="328">
        <f>IF(売分析!O135&lt;&gt;"",売分析!O135,"")</f>
        <v>0.68415051311288488</v>
      </c>
      <c r="O135" s="330">
        <f>IF(売分析!X135&lt;&gt;"",売分析!X135,"")</f>
        <v>-6.2025342403037484</v>
      </c>
      <c r="P135" s="327">
        <f>IF(売分析!L135&lt;&gt;"",売分析!L135,"")</f>
        <v>-12.350936967632027</v>
      </c>
      <c r="Q135" s="326">
        <f>IF(売分析!S135&lt;&gt;"",売分析!S135,"")</f>
        <v>2140</v>
      </c>
      <c r="R135" s="326">
        <f>IF(売分析!R135&lt;&gt;"",売分析!R135,"")</f>
        <v>1893</v>
      </c>
      <c r="S135" s="325" t="str">
        <f>IF(売分析!AA135&lt;&gt;"",売分析!AA135,"")</f>
        <v>上昇▲</v>
      </c>
      <c r="T135" s="331">
        <f>IF(売分析!Z135&lt;&gt;"",売分析!Z135,"")</f>
        <v>0.98135426889106969</v>
      </c>
      <c r="U135" s="325" t="str">
        <f>IF(売分析!V135&lt;&gt;"",売分析!V135,"")</f>
        <v>通常</v>
      </c>
      <c r="V135" s="329">
        <f>IF(売分析!W135&lt;&gt;"",売分析!W135,"")</f>
        <v>50.511782908831229</v>
      </c>
      <c r="W135" s="325" t="str">
        <f>IF(売分析!AD135&lt;&gt;"",売分析!AD135,"")</f>
        <v>パーフェクト▲</v>
      </c>
      <c r="X135" s="325" t="str">
        <f>IF(売分析!AE135&lt;&gt;"",売分析!AE135,"")</f>
        <v>なし</v>
      </c>
      <c r="Y135" s="387">
        <f>IF(売分析!T135&lt;&gt;"",売分析!T135,"")</f>
        <v>2</v>
      </c>
      <c r="Z135" s="325" t="str">
        <f>IF(売分析!Y135&lt;&gt;"",売分析!Y135,"")</f>
        <v>相場上昇・見送り | パーフェクト▲ MACD- RSI:50.5 前日比:+1.0% [2点]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890</v>
      </c>
      <c r="F136" s="333">
        <f>IF(売分析!F136&lt;&gt;"",売分析!F136,"")</f>
        <v>891</v>
      </c>
      <c r="G136" s="333">
        <f>IF(売分析!H136&lt;&gt;"",売分析!H136,"")</f>
        <v>900</v>
      </c>
      <c r="H136" s="333">
        <f>IF(売分析!I136&lt;&gt;"",売分析!I136,"")</f>
        <v>886</v>
      </c>
      <c r="I136" s="212">
        <f>IF(売分析!J136&lt;&gt;"",売分析!J136,"")</f>
        <v>97600</v>
      </c>
      <c r="J136" s="333">
        <f>IF(売分析!AB136&lt;&gt;"",売分析!AB136,"")</f>
        <v>902.05529953917028</v>
      </c>
      <c r="K136" s="333">
        <f>IF(売分析!AC136&lt;&gt;"",売分析!AC136,"")</f>
        <v>907.46364719904614</v>
      </c>
      <c r="L136" s="333">
        <f>IF(売分析!K136&lt;&gt;"",売分析!K136,"")</f>
        <v>1041</v>
      </c>
      <c r="M136" s="212" t="str">
        <f>IF(売分析!P136&lt;&gt;"",売分析!P136,"")</f>
        <v>減少↓</v>
      </c>
      <c r="N136" s="335">
        <f>IF(売分析!O136&lt;&gt;"",売分析!O136,"")</f>
        <v>0.4073455759599332</v>
      </c>
      <c r="O136" s="337">
        <f>IF(売分析!X136&lt;&gt;"",売分析!X136,"")</f>
        <v>0.25704209935565814</v>
      </c>
      <c r="P136" s="334">
        <f>IF(売分析!L136&lt;&gt;"",売分析!L136,"")</f>
        <v>-14.505283381364073</v>
      </c>
      <c r="Q136" s="333">
        <f>IF(売分析!S136&lt;&gt;"",売分析!S136,"")</f>
        <v>926</v>
      </c>
      <c r="R136" s="333">
        <f>IF(売分析!R136&lt;&gt;"",売分析!R136,"")</f>
        <v>819</v>
      </c>
      <c r="S136" s="212" t="str">
        <f>IF(売分析!AA136&lt;&gt;"",売分析!AA136,"")</f>
        <v>下落▼</v>
      </c>
      <c r="T136" s="338">
        <f>IF(売分析!Z136&lt;&gt;"",売分析!Z136,"")</f>
        <v>-0.89086859688195985</v>
      </c>
      <c r="U136" s="212" t="str">
        <f>IF(売分析!V136&lt;&gt;"",売分析!V136,"")</f>
        <v>通常</v>
      </c>
      <c r="V136" s="336">
        <f>IF(売分析!W136&lt;&gt;"",売分析!W136,"")</f>
        <v>49.21875</v>
      </c>
      <c r="W136" s="212" t="str">
        <f>IF(売分析!AD136&lt;&gt;"",売分析!AD136,"")</f>
        <v>下降トレンド▼</v>
      </c>
      <c r="X136" s="212" t="str">
        <f>IF(売分析!AE136&lt;&gt;"",売分析!AE136,"")</f>
        <v>25日戻り売り★</v>
      </c>
      <c r="Y136" s="388">
        <f>IF(売分析!T136&lt;&gt;"",売分析!T136,"")</f>
        <v>5</v>
      </c>
      <c r="Z136" s="212" t="str">
        <f>IF(売分析!Y136&lt;&gt;"",売分析!Y136,"")</f>
        <v>★逆張り売り | 下降トレンド▼ 25日戻り売り★ MACD+ RSI:49.2 前日比:-0.9% [5点]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1523</v>
      </c>
      <c r="F137" s="326">
        <f>IF(売分析!F137&lt;&gt;"",売分析!F137,"")</f>
        <v>1465</v>
      </c>
      <c r="G137" s="326">
        <f>IF(売分析!H137&lt;&gt;"",売分析!H137,"")</f>
        <v>1535</v>
      </c>
      <c r="H137" s="326">
        <f>IF(売分析!I137&lt;&gt;"",売分析!I137,"")</f>
        <v>1465</v>
      </c>
      <c r="I137" s="325">
        <f>IF(売分析!J137&lt;&gt;"",売分析!J137,"")</f>
        <v>514800</v>
      </c>
      <c r="J137" s="326" t="str">
        <f>IF(売分析!AB137&lt;&gt;"",売分析!AB137,"")</f>
        <v/>
      </c>
      <c r="K137" s="326" t="str">
        <f>IF(売分析!AC137&lt;&gt;"",売分析!AC137,"")</f>
        <v/>
      </c>
      <c r="L137" s="326">
        <f>IF(売分析!K137&lt;&gt;"",売分析!K137,"")</f>
        <v>1596</v>
      </c>
      <c r="M137" s="325" t="str">
        <f>IF(売分析!P137&lt;&gt;"",売分析!P137,"")</f>
        <v/>
      </c>
      <c r="N137" s="328" t="str">
        <f>IF(売分析!O137&lt;&gt;"",売分析!O137,"")</f>
        <v/>
      </c>
      <c r="O137" s="330">
        <f>IF(売分析!X137&lt;&gt;"",売分析!X137,"")</f>
        <v>0</v>
      </c>
      <c r="P137" s="327">
        <f>IF(売分析!L137&lt;&gt;"",売分析!L137,"")</f>
        <v>-4.5739348370927315</v>
      </c>
      <c r="Q137" s="326">
        <f>IF(売分析!S137&lt;&gt;"",売分析!S137,"")</f>
        <v>1584</v>
      </c>
      <c r="R137" s="326">
        <f>IF(売分析!R137&lt;&gt;"",売分析!R137,"")</f>
        <v>1401</v>
      </c>
      <c r="S137" s="325" t="str">
        <f>IF(売分析!AA137&lt;&gt;"",売分析!AA137,"")</f>
        <v>上昇▲</v>
      </c>
      <c r="T137" s="331" t="str">
        <f>IF(売分析!Z137&lt;&gt;"",売分析!Z137,"")</f>
        <v/>
      </c>
      <c r="U137" s="325" t="str">
        <f>IF(売分析!V137&lt;&gt;"",売分析!V137,"")</f>
        <v>通常</v>
      </c>
      <c r="V137" s="329">
        <f>IF(売分析!W137&lt;&gt;"",売分析!W137,"")</f>
        <v>50</v>
      </c>
      <c r="W137" s="325" t="str">
        <f>IF(売分析!AD137&lt;&gt;"",売分析!AD137,"")</f>
        <v/>
      </c>
      <c r="X137" s="325" t="str">
        <f>IF(売分析!AE137&lt;&gt;"",売分析!AE137,"")</f>
        <v/>
      </c>
      <c r="Y137" s="387">
        <f>IF(売分析!T137&lt;&gt;"",売分析!T137,"")</f>
        <v>1</v>
      </c>
      <c r="Z137" s="325" t="str">
        <f>IF(売分析!Y137&lt;&gt;"",売分析!Y137,"")</f>
        <v>相場上昇・見送り |   MACD+ RSI:50.0 前日比:%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2269</v>
      </c>
      <c r="F138" s="333">
        <f>IF(売分析!F138&lt;&gt;"",売分析!F138,"")</f>
        <v>2182</v>
      </c>
      <c r="G138" s="333">
        <f>IF(売分析!H138&lt;&gt;"",売分析!H138,"")</f>
        <v>2310</v>
      </c>
      <c r="H138" s="333">
        <f>IF(売分析!I138&lt;&gt;"",売分析!I138,"")</f>
        <v>2160</v>
      </c>
      <c r="I138" s="212">
        <f>IF(売分析!J138&lt;&gt;"",売分析!J138,"")</f>
        <v>296700</v>
      </c>
      <c r="J138" s="333">
        <f>IF(売分析!AB138&lt;&gt;"",売分析!AB138,"")</f>
        <v>2087.9089861751149</v>
      </c>
      <c r="K138" s="333">
        <f>IF(売分析!AC138&lt;&gt;"",売分析!AC138,"")</f>
        <v>2071.21811680572</v>
      </c>
      <c r="L138" s="333">
        <f>IF(売分析!K138&lt;&gt;"",売分析!K138,"")</f>
        <v>3405</v>
      </c>
      <c r="M138" s="212" t="str">
        <f>IF(売分析!P138&lt;&gt;"",売分析!P138,"")</f>
        <v>減少↓</v>
      </c>
      <c r="N138" s="335">
        <f>IF(売分析!O138&lt;&gt;"",売分析!O138,"")</f>
        <v>0.90396685150204137</v>
      </c>
      <c r="O138" s="337">
        <f>IF(売分析!X138&lt;&gt;"",売分析!X138,"")</f>
        <v>-6.6071808118949775</v>
      </c>
      <c r="P138" s="334">
        <f>IF(売分析!L138&lt;&gt;"",売分析!L138,"")</f>
        <v>-33.362701908957412</v>
      </c>
      <c r="Q138" s="333">
        <f>IF(売分析!S138&lt;&gt;"",売分析!S138,"")</f>
        <v>2360</v>
      </c>
      <c r="R138" s="333">
        <f>IF(売分析!R138&lt;&gt;"",売分析!R138,"")</f>
        <v>2087</v>
      </c>
      <c r="S138" s="212" t="str">
        <f>IF(売分析!AA138&lt;&gt;"",売分析!AA138,"")</f>
        <v>上昇▲</v>
      </c>
      <c r="T138" s="338">
        <f>IF(売分析!Z138&lt;&gt;"",売分析!Z138,"")</f>
        <v>14.36491935483871</v>
      </c>
      <c r="U138" s="212" t="str">
        <f>IF(売分析!V138&lt;&gt;"",売分析!V138,"")</f>
        <v>安値圏</v>
      </c>
      <c r="V138" s="336">
        <f>IF(売分析!W138&lt;&gt;"",売分析!W138,"")</f>
        <v>43.0045871559633</v>
      </c>
      <c r="W138" s="212" t="str">
        <f>IF(売分析!AD138&lt;&gt;"",売分析!AD138,"")</f>
        <v>パーフェクト▲</v>
      </c>
      <c r="X138" s="212" t="str">
        <f>IF(売分析!AE138&lt;&gt;"",売分析!AE138,"")</f>
        <v>なし</v>
      </c>
      <c r="Y138" s="388">
        <f>IF(売分析!T138&lt;&gt;"",売分析!T138,"")</f>
        <v>6</v>
      </c>
      <c r="Z138" s="212" t="str">
        <f>IF(売分析!Y138&lt;&gt;"",売分析!Y138,"")</f>
        <v>相場上昇・見送り | パーフェクト▲ MACD- RSI:43.0 前日比:+14.4% [安値圏]前日[大陰線▼] [6点]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4664</v>
      </c>
      <c r="F139" s="326">
        <f>IF(売分析!F139&lt;&gt;"",売分析!F139,"")</f>
        <v>4677</v>
      </c>
      <c r="G139" s="326">
        <f>IF(売分析!H139&lt;&gt;"",売分析!H139,"")</f>
        <v>4753</v>
      </c>
      <c r="H139" s="326">
        <f>IF(売分析!I139&lt;&gt;"",売分析!I139,"")</f>
        <v>4635</v>
      </c>
      <c r="I139" s="325">
        <f>IF(売分析!J139&lt;&gt;"",売分析!J139,"")</f>
        <v>2879200</v>
      </c>
      <c r="J139" s="326">
        <f>IF(売分析!AB139&lt;&gt;"",売分析!AB139,"")</f>
        <v>4703.9585253456216</v>
      </c>
      <c r="K139" s="326">
        <f>IF(売分析!AC139&lt;&gt;"",売分析!AC139,"")</f>
        <v>4486.2598331346826</v>
      </c>
      <c r="L139" s="326">
        <f>IF(売分析!K139&lt;&gt;"",売分析!K139,"")</f>
        <v>6036</v>
      </c>
      <c r="M139" s="325" t="str">
        <f>IF(売分析!P139&lt;&gt;"",売分析!P139,"")</f>
        <v>減少↓</v>
      </c>
      <c r="N139" s="328">
        <f>IF(売分析!O139&lt;&gt;"",売分析!O139,"")</f>
        <v>0.26441897072031945</v>
      </c>
      <c r="O139" s="330">
        <f>IF(売分析!X139&lt;&gt;"",売分析!X139,"")</f>
        <v>54.269347115693563</v>
      </c>
      <c r="P139" s="327">
        <f>IF(売分析!L139&lt;&gt;"",売分析!L139,"")</f>
        <v>-22.730284956925114</v>
      </c>
      <c r="Q139" s="326">
        <f>IF(売分析!S139&lt;&gt;"",売分析!S139,"")</f>
        <v>4851</v>
      </c>
      <c r="R139" s="326">
        <f>IF(売分析!R139&lt;&gt;"",売分析!R139,"")</f>
        <v>4291</v>
      </c>
      <c r="S139" s="325" t="str">
        <f>IF(売分析!AA139&lt;&gt;"",売分析!AA139,"")</f>
        <v>下落▼</v>
      </c>
      <c r="T139" s="331">
        <f>IF(売分析!Z139&lt;&gt;"",売分析!Z139,"")</f>
        <v>-1.4578491443059372</v>
      </c>
      <c r="U139" s="325" t="str">
        <f>IF(売分析!V139&lt;&gt;"",売分析!V139,"")</f>
        <v>通常</v>
      </c>
      <c r="V139" s="329">
        <f>IF(売分析!W139&lt;&gt;"",売分析!W139,"")</f>
        <v>61.924939467312342</v>
      </c>
      <c r="W139" s="325" t="str">
        <f>IF(売分析!AD139&lt;&gt;"",売分析!AD139,"")</f>
        <v>上昇トレンド▲</v>
      </c>
      <c r="X139" s="325" t="str">
        <f>IF(売分析!AE139&lt;&gt;"",売分析!AE139,"")</f>
        <v>5日戻り売り○</v>
      </c>
      <c r="Y139" s="387">
        <f>IF(売分析!T139&lt;&gt;"",売分析!T139,"")</f>
        <v>3</v>
      </c>
      <c r="Z139" s="325" t="str">
        <f>IF(売分析!Y139&lt;&gt;"",売分析!Y139,"")</f>
        <v>相場上昇・見送り | 上昇トレンド▲ 5日戻り売り○ MACD+ RSI:61.9 前日比:-1.5% [3点]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1239.5</v>
      </c>
      <c r="F140" s="333">
        <f>IF(売分析!F140&lt;&gt;"",売分析!F140,"")</f>
        <v>1244.5</v>
      </c>
      <c r="G140" s="333">
        <f>IF(売分析!H140&lt;&gt;"",売分析!H140,"")</f>
        <v>1255</v>
      </c>
      <c r="H140" s="333">
        <f>IF(売分析!I140&lt;&gt;"",売分析!I140,"")</f>
        <v>1231</v>
      </c>
      <c r="I140" s="212">
        <f>IF(売分析!J140&lt;&gt;"",売分析!J140,"")</f>
        <v>2064000</v>
      </c>
      <c r="J140" s="333">
        <f>IF(売分析!AB140&lt;&gt;"",売分析!AB140,"")</f>
        <v>1276.6278801843316</v>
      </c>
      <c r="K140" s="333">
        <f>IF(売分析!AC140&lt;&gt;"",売分析!AC140,"")</f>
        <v>1280.8974970202621</v>
      </c>
      <c r="L140" s="333">
        <f>IF(売分析!K140&lt;&gt;"",売分析!K140,"")</f>
        <v>1671</v>
      </c>
      <c r="M140" s="212" t="str">
        <f>IF(売分析!P140&lt;&gt;"",売分析!P140,"")</f>
        <v>減少↓</v>
      </c>
      <c r="N140" s="335">
        <f>IF(売分析!O140&lt;&gt;"",売分析!O140,"")</f>
        <v>0.61465523916163889</v>
      </c>
      <c r="O140" s="337">
        <f>IF(売分析!X140&lt;&gt;"",売分析!X140,"")</f>
        <v>7.5642545544289987</v>
      </c>
      <c r="P140" s="334">
        <f>IF(売分析!L140&lt;&gt;"",売分析!L140,"")</f>
        <v>-25.822860562537404</v>
      </c>
      <c r="Q140" s="333">
        <f>IF(売分析!S140&lt;&gt;"",売分析!S140,"")</f>
        <v>1289</v>
      </c>
      <c r="R140" s="333">
        <f>IF(売分析!R140&lt;&gt;"",売分析!R140,"")</f>
        <v>1140</v>
      </c>
      <c r="S140" s="212" t="str">
        <f>IF(売分析!AA140&lt;&gt;"",売分析!AA140,"")</f>
        <v>下落▼</v>
      </c>
      <c r="T140" s="338">
        <f>IF(売分析!Z140&lt;&gt;"",売分析!Z140,"")</f>
        <v>-2.1704814522494082</v>
      </c>
      <c r="U140" s="212" t="str">
        <f>IF(売分析!V140&lt;&gt;"",売分析!V140,"")</f>
        <v>安値圏</v>
      </c>
      <c r="V140" s="336">
        <f>IF(売分析!W140&lt;&gt;"",売分析!W140,"")</f>
        <v>53.889943074003796</v>
      </c>
      <c r="W140" s="212" t="str">
        <f>IF(売分析!AD140&lt;&gt;"",売分析!AD140,"")</f>
        <v>下降トレンド▼</v>
      </c>
      <c r="X140" s="212" t="str">
        <f>IF(売分析!AE140&lt;&gt;"",売分析!AE140,"")</f>
        <v>なし</v>
      </c>
      <c r="Y140" s="388">
        <f>IF(売分析!T140&lt;&gt;"",売分析!T140,"")</f>
        <v>6</v>
      </c>
      <c r="Z140" s="212" t="str">
        <f>IF(売分析!Y140&lt;&gt;"",売分析!Y140,"")</f>
        <v>相場上昇・見送り | 下降トレンド▼ MACD+ RSI:53.9 前日比:-2.2% [安値圏] [6点]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1283.5</v>
      </c>
      <c r="F141" s="326">
        <f>IF(売分析!F141&lt;&gt;"",売分析!F141,"")</f>
        <v>1279</v>
      </c>
      <c r="G141" s="326">
        <f>IF(売分析!H141&lt;&gt;"",売分析!H141,"")</f>
        <v>1301</v>
      </c>
      <c r="H141" s="326">
        <f>IF(売分析!I141&lt;&gt;"",売分析!I141,"")</f>
        <v>1273.5</v>
      </c>
      <c r="I141" s="325">
        <f>IF(売分析!J141&lt;&gt;"",売分析!J141,"")</f>
        <v>3076900</v>
      </c>
      <c r="J141" s="326">
        <f>IF(売分析!AB141&lt;&gt;"",売分析!AB141,"")</f>
        <v>1297.3116359447001</v>
      </c>
      <c r="K141" s="326">
        <f>IF(売分析!AC141&lt;&gt;"",売分析!AC141,"")</f>
        <v>1288.7532777115605</v>
      </c>
      <c r="L141" s="326">
        <f>IF(売分析!K141&lt;&gt;"",売分析!K141,"")</f>
        <v>1552.5</v>
      </c>
      <c r="M141" s="325" t="str">
        <f>IF(売分析!P141&lt;&gt;"",売分析!P141,"")</f>
        <v>減少↓</v>
      </c>
      <c r="N141" s="328">
        <f>IF(売分析!O141&lt;&gt;"",売分析!O141,"")</f>
        <v>0.42037254114374556</v>
      </c>
      <c r="O141" s="330">
        <f>IF(売分析!X141&lt;&gt;"",売分析!X141,"")</f>
        <v>8.4842749334304699</v>
      </c>
      <c r="P141" s="327">
        <f>IF(売分析!L141&lt;&gt;"",売分析!L141,"")</f>
        <v>-17.326892109500804</v>
      </c>
      <c r="Q141" s="326">
        <f>IF(売分析!S141&lt;&gt;"",売分析!S141,"")</f>
        <v>1335</v>
      </c>
      <c r="R141" s="326">
        <f>IF(売分析!R141&lt;&gt;"",売分析!R141,"")</f>
        <v>1181</v>
      </c>
      <c r="S141" s="325" t="str">
        <f>IF(売分析!AA141&lt;&gt;"",売分析!AA141,"")</f>
        <v>下落▼</v>
      </c>
      <c r="T141" s="331">
        <f>IF(売分析!Z141&lt;&gt;"",売分析!Z141,"")</f>
        <v>-0.81143740340030912</v>
      </c>
      <c r="U141" s="325" t="str">
        <f>IF(売分析!V141&lt;&gt;"",売分析!V141,"")</f>
        <v>通常</v>
      </c>
      <c r="V141" s="329">
        <f>IF(売分析!W141&lt;&gt;"",売分析!W141,"")</f>
        <v>56.869565217391305</v>
      </c>
      <c r="W141" s="325" t="str">
        <f>IF(売分析!AD141&lt;&gt;"",売分析!AD141,"")</f>
        <v>もみ合い→</v>
      </c>
      <c r="X141" s="325" t="str">
        <f>IF(売分析!AE141&lt;&gt;"",売分析!AE141,"")</f>
        <v>25日戻り売り★</v>
      </c>
      <c r="Y141" s="387">
        <f>IF(売分析!T141&lt;&gt;"",売分析!T141,"")</f>
        <v>2</v>
      </c>
      <c r="Z141" s="325" t="str">
        <f>IF(売分析!Y141&lt;&gt;"",売分析!Y141,"")</f>
        <v>○逆張り売り | もみ合い→ 25日戻り売り★ MACD+ RSI:56.9 前日比:-0.8%前日[長い下ヒゲ(反発)] [2点]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1592.5</v>
      </c>
      <c r="F142" s="333">
        <f>IF(売分析!F142&lt;&gt;"",売分析!F142,"")</f>
        <v>1507</v>
      </c>
      <c r="G142" s="333">
        <f>IF(売分析!H142&lt;&gt;"",売分析!H142,"")</f>
        <v>1614.5</v>
      </c>
      <c r="H142" s="333">
        <f>IF(売分析!I142&lt;&gt;"",売分析!I142,"")</f>
        <v>1492</v>
      </c>
      <c r="I142" s="212">
        <f>IF(売分析!J142&lt;&gt;"",売分析!J142,"")</f>
        <v>1443500</v>
      </c>
      <c r="J142" s="333">
        <f>IF(売分析!AB142&lt;&gt;"",売分析!AB142,"")</f>
        <v>1498.4320276497695</v>
      </c>
      <c r="K142" s="333">
        <f>IF(売分析!AC142&lt;&gt;"",売分析!AC142,"")</f>
        <v>1474.0458879618591</v>
      </c>
      <c r="L142" s="333">
        <f>IF(売分析!K142&lt;&gt;"",売分析!K142,"")</f>
        <v>1565</v>
      </c>
      <c r="M142" s="212" t="str">
        <f>IF(売分析!P142&lt;&gt;"",売分析!P142,"")</f>
        <v>普通→</v>
      </c>
      <c r="N142" s="335">
        <f>IF(売分析!O142&lt;&gt;"",売分析!O142,"")</f>
        <v>1.2830654910047643</v>
      </c>
      <c r="O142" s="337">
        <f>IF(売分析!X142&lt;&gt;"",売分析!X142,"")</f>
        <v>12.498327289951703</v>
      </c>
      <c r="P142" s="334">
        <f>IF(売分析!L142&lt;&gt;"",売分析!L142,"")</f>
        <v>1.7571884984025559</v>
      </c>
      <c r="Q142" s="333">
        <f>IF(売分析!S142&lt;&gt;"",売分析!S142,"")</f>
        <v>1656</v>
      </c>
      <c r="R142" s="333">
        <f>IF(売分析!R142&lt;&gt;"",売分析!R142,"")</f>
        <v>1465</v>
      </c>
      <c r="S142" s="212" t="str">
        <f>IF(売分析!AA142&lt;&gt;"",売分析!AA142,"")</f>
        <v>上昇▲</v>
      </c>
      <c r="T142" s="338">
        <f>IF(売分析!Z142&lt;&gt;"",売分析!Z142,"")</f>
        <v>6.8791946308724832</v>
      </c>
      <c r="U142" s="212" t="str">
        <f>IF(売分析!V142&lt;&gt;"",売分析!V142,"")</f>
        <v>通常</v>
      </c>
      <c r="V142" s="336">
        <f>IF(売分析!W142&lt;&gt;"",売分析!W142,"")</f>
        <v>67.857142857142861</v>
      </c>
      <c r="W142" s="212" t="str">
        <f>IF(売分析!AD142&lt;&gt;"",売分析!AD142,"")</f>
        <v>パーフェクト▲</v>
      </c>
      <c r="X142" s="212" t="str">
        <f>IF(売分析!AE142&lt;&gt;"",売分析!AE142,"")</f>
        <v>なし</v>
      </c>
      <c r="Y142" s="388">
        <f>IF(売分析!T142&lt;&gt;"",売分析!T142,"")</f>
        <v>-2</v>
      </c>
      <c r="Z142" s="212" t="str">
        <f>IF(売分析!Y142&lt;&gt;"",売分析!Y142,"")</f>
        <v>相場上昇・見送り | パーフェクト▲ MACD+ RSI:67.9 前日比:+6.9%前日[長い下ヒゲ(反発)]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1707.5</v>
      </c>
      <c r="F143" s="326">
        <f>IF(売分析!F143&lt;&gt;"",売分析!F143,"")</f>
        <v>1719</v>
      </c>
      <c r="G143" s="326">
        <f>IF(売分析!H143&lt;&gt;"",売分析!H143,"")</f>
        <v>1728</v>
      </c>
      <c r="H143" s="326">
        <f>IF(売分析!I143&lt;&gt;"",売分析!I143,"")</f>
        <v>1699</v>
      </c>
      <c r="I143" s="325">
        <f>IF(売分析!J143&lt;&gt;"",売分析!J143,"")</f>
        <v>1578300</v>
      </c>
      <c r="J143" s="326">
        <f>IF(売分析!AB143&lt;&gt;"",売分析!AB143,"")</f>
        <v>1748.7966589861749</v>
      </c>
      <c r="K143" s="326">
        <f>IF(売分析!AC143&lt;&gt;"",売分析!AC143,"")</f>
        <v>1779.0589988081042</v>
      </c>
      <c r="L143" s="326">
        <f>IF(売分析!K143&lt;&gt;"",売分析!K143,"")</f>
        <v>2094</v>
      </c>
      <c r="M143" s="325" t="str">
        <f>IF(売分析!P143&lt;&gt;"",売分析!P143,"")</f>
        <v>減少↓</v>
      </c>
      <c r="N143" s="328">
        <f>IF(売分析!O143&lt;&gt;"",売分析!O143,"")</f>
        <v>0.41413240271837526</v>
      </c>
      <c r="O143" s="330">
        <f>IF(売分析!X143&lt;&gt;"",売分析!X143,"")</f>
        <v>2.1459377325979858</v>
      </c>
      <c r="P143" s="327">
        <f>IF(売分析!L143&lt;&gt;"",売分析!L143,"")</f>
        <v>-18.457497612225406</v>
      </c>
      <c r="Q143" s="326">
        <f>IF(売分析!S143&lt;&gt;"",売分析!S143,"")</f>
        <v>1776</v>
      </c>
      <c r="R143" s="326">
        <f>IF(売分析!R143&lt;&gt;"",売分析!R143,"")</f>
        <v>1571</v>
      </c>
      <c r="S143" s="325" t="str">
        <f>IF(売分析!AA143&lt;&gt;"",売分析!AA143,"")</f>
        <v>下落▼</v>
      </c>
      <c r="T143" s="331">
        <f>IF(売分析!Z143&lt;&gt;"",売分析!Z143,"")</f>
        <v>-0.14619883040935672</v>
      </c>
      <c r="U143" s="325" t="str">
        <f>IF(売分析!V143&lt;&gt;"",売分析!V143,"")</f>
        <v>通常</v>
      </c>
      <c r="V143" s="329">
        <f>IF(売分析!W143&lt;&gt;"",売分析!W143,"")</f>
        <v>44.553483807654565</v>
      </c>
      <c r="W143" s="325" t="str">
        <f>IF(売分析!AD143&lt;&gt;"",売分析!AD143,"")</f>
        <v>下降トレンド▼</v>
      </c>
      <c r="X143" s="325" t="str">
        <f>IF(売分析!AE143&lt;&gt;"",売分析!AE143,"")</f>
        <v>なし</v>
      </c>
      <c r="Y143" s="387">
        <f>IF(売分析!T143&lt;&gt;"",売分析!T143,"")</f>
        <v>6</v>
      </c>
      <c r="Z143" s="325" t="str">
        <f>IF(売分析!Y143&lt;&gt;"",売分析!Y143,"")</f>
        <v>相場上昇・見送り | 下降トレンド▼ MACD+ RSI:44.6 前日比:-0.1%前日[大陰線▼] [6点]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747</v>
      </c>
      <c r="F144" s="333">
        <f>IF(売分析!F144&lt;&gt;"",売分析!F144,"")</f>
        <v>733</v>
      </c>
      <c r="G144" s="333">
        <f>IF(売分析!H144&lt;&gt;"",売分析!H144,"")</f>
        <v>755</v>
      </c>
      <c r="H144" s="333">
        <f>IF(売分析!I144&lt;&gt;"",売分析!I144,"")</f>
        <v>733</v>
      </c>
      <c r="I144" s="212">
        <f>IF(売分析!J144&lt;&gt;"",売分析!J144,"")</f>
        <v>288900</v>
      </c>
      <c r="J144" s="333">
        <f>IF(売分析!AB144&lt;&gt;"",売分析!AB144,"")</f>
        <v>726.03917050691234</v>
      </c>
      <c r="K144" s="333">
        <f>IF(売分析!AC144&lt;&gt;"",売分析!AC144,"")</f>
        <v>761.89272943980893</v>
      </c>
      <c r="L144" s="333">
        <f>IF(売分析!K144&lt;&gt;"",売分析!K144,"")</f>
        <v>1638</v>
      </c>
      <c r="M144" s="212" t="str">
        <f>IF(売分析!P144&lt;&gt;"",売分析!P144,"")</f>
        <v>減少↓</v>
      </c>
      <c r="N144" s="335">
        <f>IF(売分析!O144&lt;&gt;"",売分析!O144,"")</f>
        <v>0.9668674698795181</v>
      </c>
      <c r="O144" s="337">
        <f>IF(売分析!X144&lt;&gt;"",売分析!X144,"")</f>
        <v>-12.866153344027111</v>
      </c>
      <c r="P144" s="334">
        <f>IF(売分析!L144&lt;&gt;"",売分析!L144,"")</f>
        <v>-54.395604395604394</v>
      </c>
      <c r="Q144" s="333">
        <f>IF(売分析!S144&lt;&gt;"",売分析!S144,"")</f>
        <v>777</v>
      </c>
      <c r="R144" s="333">
        <f>IF(売分析!R144&lt;&gt;"",売分析!R144,"")</f>
        <v>687</v>
      </c>
      <c r="S144" s="212" t="str">
        <f>IF(売分析!AA144&lt;&gt;"",売分析!AA144,"")</f>
        <v>上昇▲</v>
      </c>
      <c r="T144" s="338">
        <f>IF(売分析!Z144&lt;&gt;"",売分析!Z144,"")</f>
        <v>3.4626038781163437</v>
      </c>
      <c r="U144" s="212" t="str">
        <f>IF(売分析!V144&lt;&gt;"",売分析!V144,"")</f>
        <v>年初来安値圏●</v>
      </c>
      <c r="V144" s="336">
        <f>IF(売分析!W144&lt;&gt;"",売分析!W144,"")</f>
        <v>31.979695431472081</v>
      </c>
      <c r="W144" s="212" t="str">
        <f>IF(売分析!AD144&lt;&gt;"",売分析!AD144,"")</f>
        <v>もみ合い→</v>
      </c>
      <c r="X144" s="212" t="str">
        <f>IF(売分析!AE144&lt;&gt;"",売分析!AE144,"")</f>
        <v>25日戻り売り★</v>
      </c>
      <c r="Y144" s="388">
        <f>IF(売分析!T144&lt;&gt;"",売分析!T144,"")</f>
        <v>13</v>
      </c>
      <c r="Z144" s="212" t="str">
        <f>IF(売分析!Y144&lt;&gt;"",売分析!Y144,"")</f>
        <v>○逆張り売り | もみ合い→ 25日戻り売り★ MACD- RSI:32.0 前日比:+3.5% [年初来安値圏] [13点]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1158</v>
      </c>
      <c r="F145" s="326">
        <f>IF(売分析!F145&lt;&gt;"",売分析!F145,"")</f>
        <v>1130</v>
      </c>
      <c r="G145" s="326">
        <f>IF(売分析!H145&lt;&gt;"",売分析!H145,"")</f>
        <v>1164</v>
      </c>
      <c r="H145" s="326">
        <f>IF(売分析!I145&lt;&gt;"",売分析!I145,"")</f>
        <v>1123</v>
      </c>
      <c r="I145" s="325">
        <f>IF(売分析!J145&lt;&gt;"",売分析!J145,"")</f>
        <v>2985400</v>
      </c>
      <c r="J145" s="326">
        <f>IF(売分析!AB145&lt;&gt;"",売分析!AB145,"")</f>
        <v>1139.294930875576</v>
      </c>
      <c r="K145" s="326">
        <f>IF(売分析!AC145&lt;&gt;"",売分析!AC145,"")</f>
        <v>1108.2586412395706</v>
      </c>
      <c r="L145" s="326">
        <f>IF(売分析!K145&lt;&gt;"",売分析!K145,"")</f>
        <v>1232.5</v>
      </c>
      <c r="M145" s="325" t="str">
        <f>IF(売分析!P145&lt;&gt;"",売分析!P145,"")</f>
        <v>減少↓</v>
      </c>
      <c r="N145" s="328">
        <f>IF(売分析!O145&lt;&gt;"",売分析!O145,"")</f>
        <v>0.32815680825899041</v>
      </c>
      <c r="O145" s="330">
        <f>IF(売分析!X145&lt;&gt;"",売分析!X145,"")</f>
        <v>-11.282621328694631</v>
      </c>
      <c r="P145" s="327">
        <f>IF(売分析!L145&lt;&gt;"",売分析!L145,"")</f>
        <v>-6.044624746450304</v>
      </c>
      <c r="Q145" s="326">
        <f>IF(売分析!S145&lt;&gt;"",売分析!S145,"")</f>
        <v>1204</v>
      </c>
      <c r="R145" s="326">
        <f>IF(売分析!R145&lt;&gt;"",売分析!R145,"")</f>
        <v>1065</v>
      </c>
      <c r="S145" s="325" t="str">
        <f>IF(売分析!AA145&lt;&gt;"",売分析!AA145,"")</f>
        <v>上昇▲</v>
      </c>
      <c r="T145" s="331">
        <f>IF(売分析!Z145&lt;&gt;"",売分析!Z145,"")</f>
        <v>1.9815059445178336</v>
      </c>
      <c r="U145" s="325" t="str">
        <f>IF(売分析!V145&lt;&gt;"",売分析!V145,"")</f>
        <v>通常</v>
      </c>
      <c r="V145" s="329">
        <f>IF(売分析!W145&lt;&gt;"",売分析!W145,"")</f>
        <v>49.534717251252687</v>
      </c>
      <c r="W145" s="325" t="str">
        <f>IF(売分析!AD145&lt;&gt;"",売分析!AD145,"")</f>
        <v>パーフェクト▲</v>
      </c>
      <c r="X145" s="325" t="str">
        <f>IF(売分析!AE145&lt;&gt;"",売分析!AE145,"")</f>
        <v>なし</v>
      </c>
      <c r="Y145" s="387">
        <f>IF(売分析!T145&lt;&gt;"",売分析!T145,"")</f>
        <v>1</v>
      </c>
      <c r="Z145" s="325" t="str">
        <f>IF(売分析!Y145&lt;&gt;"",売分析!Y145,"")</f>
        <v>相場上昇・見送り | パーフェクト▲ MACD- RSI:49.5 前日比:+2.0%前日[長い下ヒゲ(反発)] [1点]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889</v>
      </c>
      <c r="F146" s="333">
        <f>IF(売分析!F146&lt;&gt;"",売分析!F146,"")</f>
        <v>866</v>
      </c>
      <c r="G146" s="333">
        <f>IF(売分析!H146&lt;&gt;"",売分析!H146,"")</f>
        <v>898</v>
      </c>
      <c r="H146" s="333">
        <f>IF(売分析!I146&lt;&gt;"",売分析!I146,"")</f>
        <v>865</v>
      </c>
      <c r="I146" s="212">
        <f>IF(売分析!J146&lt;&gt;"",売分析!J146,"")</f>
        <v>136200</v>
      </c>
      <c r="J146" s="333">
        <f>IF(売分析!AB146&lt;&gt;"",売分析!AB146,"")</f>
        <v>872.3974654377879</v>
      </c>
      <c r="K146" s="333">
        <f>IF(売分析!AC146&lt;&gt;"",売分析!AC146,"")</f>
        <v>816.15613825983269</v>
      </c>
      <c r="L146" s="333">
        <f>IF(売分析!K146&lt;&gt;"",売分析!K146,"")</f>
        <v>1620</v>
      </c>
      <c r="M146" s="212" t="str">
        <f>IF(売分析!P146&lt;&gt;"",売分析!P146,"")</f>
        <v>減少↓</v>
      </c>
      <c r="N146" s="335">
        <f>IF(売分析!O146&lt;&gt;"",売分析!O146,"")</f>
        <v>0.10276763347719796</v>
      </c>
      <c r="O146" s="337">
        <f>IF(売分析!X146&lt;&gt;"",売分析!X146,"")</f>
        <v>-9.3561688272915262</v>
      </c>
      <c r="P146" s="334">
        <f>IF(売分析!L146&lt;&gt;"",売分析!L146,"")</f>
        <v>-45.123456790123456</v>
      </c>
      <c r="Q146" s="333">
        <f>IF(売分析!S146&lt;&gt;"",売分析!S146,"")</f>
        <v>925</v>
      </c>
      <c r="R146" s="333">
        <f>IF(売分析!R146&lt;&gt;"",売分析!R146,"")</f>
        <v>818</v>
      </c>
      <c r="S146" s="212" t="str">
        <f>IF(売分析!AA146&lt;&gt;"",売分析!AA146,"")</f>
        <v>上昇▲</v>
      </c>
      <c r="T146" s="338">
        <f>IF(売分析!Z146&lt;&gt;"",売分析!Z146,"")</f>
        <v>4.5882352941176467</v>
      </c>
      <c r="U146" s="212" t="str">
        <f>IF(売分析!V146&lt;&gt;"",売分析!V146,"")</f>
        <v>年初来安値圏●</v>
      </c>
      <c r="V146" s="336">
        <f>IF(売分析!W146&lt;&gt;"",売分析!W146,"")</f>
        <v>50.386001029336079</v>
      </c>
      <c r="W146" s="212" t="str">
        <f>IF(売分析!AD146&lt;&gt;"",売分析!AD146,"")</f>
        <v>パーフェクト▲</v>
      </c>
      <c r="X146" s="212" t="str">
        <f>IF(売分析!AE146&lt;&gt;"",売分析!AE146,"")</f>
        <v>なし</v>
      </c>
      <c r="Y146" s="388">
        <f>IF(売分析!T146&lt;&gt;"",売分析!T146,"")</f>
        <v>7</v>
      </c>
      <c r="Z146" s="212" t="str">
        <f>IF(売分析!Y146&lt;&gt;"",売分析!Y146,"")</f>
        <v>相場上昇・見送り | パーフェクト▲ MACD- RSI:50.4 前日比:+4.6% [年初来安値圏] [7点]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5561</v>
      </c>
      <c r="F147" s="326">
        <f>IF(売分析!F147&lt;&gt;"",売分析!F147,"")</f>
        <v>5355</v>
      </c>
      <c r="G147" s="326">
        <f>IF(売分析!H147&lt;&gt;"",売分析!H147,"")</f>
        <v>5602</v>
      </c>
      <c r="H147" s="326">
        <f>IF(売分析!I147&lt;&gt;"",売分析!I147,"")</f>
        <v>5291</v>
      </c>
      <c r="I147" s="325">
        <f>IF(売分析!J147&lt;&gt;"",売分析!J147,"")</f>
        <v>699800</v>
      </c>
      <c r="J147" s="326">
        <f>IF(売分析!AB147&lt;&gt;"",売分析!AB147,"")</f>
        <v>5383.7327188940098</v>
      </c>
      <c r="K147" s="326">
        <f>IF(売分析!AC147&lt;&gt;"",売分析!AC147,"")</f>
        <v>5488.3980929678173</v>
      </c>
      <c r="L147" s="326">
        <f>IF(売分析!K147&lt;&gt;"",売分析!K147,"")</f>
        <v>9317</v>
      </c>
      <c r="M147" s="325" t="str">
        <f>IF(売分析!P147&lt;&gt;"",売分析!P147,"")</f>
        <v>減少↓</v>
      </c>
      <c r="N147" s="328">
        <f>IF(売分析!O147&lt;&gt;"",売分析!O147,"")</f>
        <v>0.67806135302211112</v>
      </c>
      <c r="O147" s="330">
        <f>IF(売分析!X147&lt;&gt;"",売分析!X147,"")</f>
        <v>-29.937786330942799</v>
      </c>
      <c r="P147" s="327">
        <f>IF(売分析!L147&lt;&gt;"",売分析!L147,"")</f>
        <v>-40.313405602661803</v>
      </c>
      <c r="Q147" s="326">
        <f>IF(売分析!S147&lt;&gt;"",売分析!S147,"")</f>
        <v>5783</v>
      </c>
      <c r="R147" s="326">
        <f>IF(売分析!R147&lt;&gt;"",売分析!R147,"")</f>
        <v>5116</v>
      </c>
      <c r="S147" s="325" t="str">
        <f>IF(売分析!AA147&lt;&gt;"",売分析!AA147,"")</f>
        <v>上昇▲</v>
      </c>
      <c r="T147" s="331">
        <f>IF(売分析!Z147&lt;&gt;"",売分析!Z147,"")</f>
        <v>4.8453996983408754</v>
      </c>
      <c r="U147" s="325" t="str">
        <f>IF(売分析!V147&lt;&gt;"",売分析!V147,"")</f>
        <v>年初来安値圏●</v>
      </c>
      <c r="V147" s="329">
        <f>IF(売分析!W147&lt;&gt;"",売分析!W147,"")</f>
        <v>37.097598364844146</v>
      </c>
      <c r="W147" s="325" t="str">
        <f>IF(売分析!AD147&lt;&gt;"",売分析!AD147,"")</f>
        <v>上昇トレンド▲</v>
      </c>
      <c r="X147" s="325" t="str">
        <f>IF(売分析!AE147&lt;&gt;"",売分析!AE147,"")</f>
        <v>なし</v>
      </c>
      <c r="Y147" s="387">
        <f>IF(売分析!T147&lt;&gt;"",売分析!T147,"")</f>
        <v>5</v>
      </c>
      <c r="Z147" s="325" t="str">
        <f>IF(売分析!Y147&lt;&gt;"",売分析!Y147,"")</f>
        <v>相場上昇・見送り | 上昇トレンド▲ MACD- RSI:37.1 前日比:+4.8% [年初来安値圏] [5点]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3130</v>
      </c>
      <c r="F148" s="333">
        <f>IF(売分析!F148&lt;&gt;"",売分析!F148,"")</f>
        <v>2980</v>
      </c>
      <c r="G148" s="333">
        <f>IF(売分析!H148&lt;&gt;"",売分析!H148,"")</f>
        <v>3130</v>
      </c>
      <c r="H148" s="333">
        <f>IF(売分析!I148&lt;&gt;"",売分析!I148,"")</f>
        <v>2972</v>
      </c>
      <c r="I148" s="212">
        <f>IF(売分析!J148&lt;&gt;"",売分析!J148,"")</f>
        <v>130400</v>
      </c>
      <c r="J148" s="333">
        <f>IF(売分析!AB148&lt;&gt;"",売分析!AB148,"")</f>
        <v>2970.4481566820273</v>
      </c>
      <c r="K148" s="333">
        <f>IF(売分析!AC148&lt;&gt;"",売分析!AC148,"")</f>
        <v>3028.321811680571</v>
      </c>
      <c r="L148" s="333">
        <f>IF(売分析!K148&lt;&gt;"",売分析!K148,"")</f>
        <v>4155</v>
      </c>
      <c r="M148" s="212" t="str">
        <f>IF(売分析!P148&lt;&gt;"",売分析!P148,"")</f>
        <v>減少↓</v>
      </c>
      <c r="N148" s="335">
        <f>IF(売分析!O148&lt;&gt;"",売分析!O148,"")</f>
        <v>0.40823993488197358</v>
      </c>
      <c r="O148" s="337">
        <f>IF(売分析!X148&lt;&gt;"",売分析!X148,"")</f>
        <v>-102.04879218592623</v>
      </c>
      <c r="P148" s="334">
        <f>IF(売分析!L148&lt;&gt;"",売分析!L148,"")</f>
        <v>-24.669073405535499</v>
      </c>
      <c r="Q148" s="333">
        <f>IF(売分析!S148&lt;&gt;"",売分析!S148,"")</f>
        <v>3255</v>
      </c>
      <c r="R148" s="333">
        <f>IF(売分析!R148&lt;&gt;"",売分析!R148,"")</f>
        <v>2880</v>
      </c>
      <c r="S148" s="212" t="str">
        <f>IF(売分析!AA148&lt;&gt;"",売分析!AA148,"")</f>
        <v>上昇▲</v>
      </c>
      <c r="T148" s="338">
        <f>IF(売分析!Z148&lt;&gt;"",売分析!Z148,"")</f>
        <v>6.0298102981029809</v>
      </c>
      <c r="U148" s="212" t="str">
        <f>IF(売分析!V148&lt;&gt;"",売分析!V148,"")</f>
        <v>安値圏</v>
      </c>
      <c r="V148" s="336">
        <f>IF(売分析!W148&lt;&gt;"",売分析!W148,"")</f>
        <v>45.534050179211469</v>
      </c>
      <c r="W148" s="212" t="str">
        <f>IF(売分析!AD148&lt;&gt;"",売分析!AD148,"")</f>
        <v>上昇トレンド▲</v>
      </c>
      <c r="X148" s="212" t="str">
        <f>IF(売分析!AE148&lt;&gt;"",売分析!AE148,"")</f>
        <v>なし</v>
      </c>
      <c r="Y148" s="388">
        <f>IF(売分析!T148&lt;&gt;"",売分析!T148,"")</f>
        <v>8</v>
      </c>
      <c r="Z148" s="212" t="str">
        <f>IF(売分析!Y148&lt;&gt;"",売分析!Y148,"")</f>
        <v>相場上昇・見送り | 上昇トレンド▲ MACD- RSI:45.5 前日比:+6.0% [安値圏] [8点]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2434</v>
      </c>
      <c r="F149" s="326">
        <f>IF(売分析!F149&lt;&gt;"",売分析!F149,"")</f>
        <v>2425</v>
      </c>
      <c r="G149" s="326">
        <f>IF(売分析!H149&lt;&gt;"",売分析!H149,"")</f>
        <v>2435</v>
      </c>
      <c r="H149" s="326">
        <f>IF(売分析!I149&lt;&gt;"",売分析!I149,"")</f>
        <v>2414</v>
      </c>
      <c r="I149" s="325">
        <f>IF(売分析!J149&lt;&gt;"",売分析!J149,"")</f>
        <v>42500</v>
      </c>
      <c r="J149" s="326">
        <f>IF(売分析!AB149&lt;&gt;"",売分析!AB149,"")</f>
        <v>2462.1912442396306</v>
      </c>
      <c r="K149" s="326">
        <f>IF(売分析!AC149&lt;&gt;"",売分析!AC149,"")</f>
        <v>2501.5876042908226</v>
      </c>
      <c r="L149" s="326">
        <f>IF(売分析!K149&lt;&gt;"",売分析!K149,"")</f>
        <v>2885</v>
      </c>
      <c r="M149" s="325" t="str">
        <f>IF(売分析!P149&lt;&gt;"",売分析!P149,"")</f>
        <v>減少↓</v>
      </c>
      <c r="N149" s="328">
        <f>IF(売分析!O149&lt;&gt;"",売分析!O149,"")</f>
        <v>0.33151326053042124</v>
      </c>
      <c r="O149" s="330">
        <f>IF(売分析!X149&lt;&gt;"",売分析!X149,"")</f>
        <v>0.13912847925757887</v>
      </c>
      <c r="P149" s="327">
        <f>IF(売分析!L149&lt;&gt;"",売分析!L149,"")</f>
        <v>-15.632582322357019</v>
      </c>
      <c r="Q149" s="326">
        <f>IF(売分析!S149&lt;&gt;"",売分析!S149,"")</f>
        <v>2531</v>
      </c>
      <c r="R149" s="326">
        <f>IF(売分析!R149&lt;&gt;"",売分析!R149,"")</f>
        <v>2239</v>
      </c>
      <c r="S149" s="325" t="str">
        <f>IF(売分析!AA149&lt;&gt;"",売分析!AA149,"")</f>
        <v>下落▼</v>
      </c>
      <c r="T149" s="331">
        <f>IF(売分析!Z149&lt;&gt;"",売分析!Z149,"")</f>
        <v>-4.1067761806981518E-2</v>
      </c>
      <c r="U149" s="325" t="str">
        <f>IF(売分析!V149&lt;&gt;"",売分析!V149,"")</f>
        <v>通常</v>
      </c>
      <c r="V149" s="329">
        <f>IF(売分析!W149&lt;&gt;"",売分析!W149,"")</f>
        <v>46.351931330472098</v>
      </c>
      <c r="W149" s="325" t="str">
        <f>IF(売分析!AD149&lt;&gt;"",売分析!AD149,"")</f>
        <v>下降トレンド▼</v>
      </c>
      <c r="X149" s="325" t="str">
        <f>IF(売分析!AE149&lt;&gt;"",売分析!AE149,"")</f>
        <v>なし</v>
      </c>
      <c r="Y149" s="387">
        <f>IF(売分析!T149&lt;&gt;"",売分析!T149,"")</f>
        <v>6</v>
      </c>
      <c r="Z149" s="325" t="str">
        <f>IF(売分析!Y149&lt;&gt;"",売分析!Y149,"")</f>
        <v>相場上昇・見送り | 下降トレンド▼ MACD+ RSI:46.4 前日比:-0.0% [長い下ヒゲ(反発警戒)]前日[大陰線▼] [6点]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77</v>
      </c>
      <c r="F150" s="333">
        <f>IF(売分析!F150&lt;&gt;"",売分析!F150,"")</f>
        <v>78</v>
      </c>
      <c r="G150" s="333">
        <f>IF(売分析!H150&lt;&gt;"",売分析!H150,"")</f>
        <v>81</v>
      </c>
      <c r="H150" s="333">
        <f>IF(売分析!I150&lt;&gt;"",売分析!I150,"")</f>
        <v>74</v>
      </c>
      <c r="I150" s="212">
        <f>IF(売分析!J150&lt;&gt;"",売分析!J150,"")</f>
        <v>1831800</v>
      </c>
      <c r="J150" s="333">
        <f>IF(売分析!AB150&lt;&gt;"",売分析!AB150,"")</f>
        <v>79.176267281105993</v>
      </c>
      <c r="K150" s="333">
        <f>IF(売分析!AC150&lt;&gt;"",売分析!AC150,"")</f>
        <v>130.35399284862928</v>
      </c>
      <c r="L150" s="333">
        <f>IF(売分析!K150&lt;&gt;"",売分析!K150,"")</f>
        <v>720</v>
      </c>
      <c r="M150" s="212" t="str">
        <f>IF(売分析!P150&lt;&gt;"",売分析!P150,"")</f>
        <v>減少↓</v>
      </c>
      <c r="N150" s="335">
        <f>IF(売分析!O150&lt;&gt;"",売分析!O150,"")</f>
        <v>0.35843149532344537</v>
      </c>
      <c r="O150" s="337">
        <f>IF(売分析!X150&lt;&gt;"",売分析!X150,"")</f>
        <v>-22.519085412694665</v>
      </c>
      <c r="P150" s="334">
        <f>IF(売分析!L150&lt;&gt;"",売分析!L150,"")</f>
        <v>-89.305555555555557</v>
      </c>
      <c r="Q150" s="333">
        <f>IF(売分析!S150&lt;&gt;"",売分析!S150,"")</f>
        <v>80</v>
      </c>
      <c r="R150" s="333">
        <f>IF(売分析!R150&lt;&gt;"",売分析!R150,"")</f>
        <v>71</v>
      </c>
      <c r="S150" s="212" t="str">
        <f>IF(売分析!AA150&lt;&gt;"",売分析!AA150,"")</f>
        <v>上昇▲</v>
      </c>
      <c r="T150" s="338">
        <f>IF(売分析!Z150&lt;&gt;"",売分析!Z150,"")</f>
        <v>10</v>
      </c>
      <c r="U150" s="212" t="str">
        <f>IF(売分析!V150&lt;&gt;"",売分析!V150,"")</f>
        <v>年初来安値圏●</v>
      </c>
      <c r="V150" s="336">
        <f>IF(売分析!W150&lt;&gt;"",売分析!W150,"")</f>
        <v>34.06326034063261</v>
      </c>
      <c r="W150" s="212" t="str">
        <f>IF(売分析!AD150&lt;&gt;"",売分析!AD150,"")</f>
        <v>下降トレンド▼</v>
      </c>
      <c r="X150" s="212" t="str">
        <f>IF(売分析!AE150&lt;&gt;"",売分析!AE150,"")</f>
        <v>なし</v>
      </c>
      <c r="Y150" s="388">
        <f>IF(売分析!T150&lt;&gt;"",売分析!T150,"")</f>
        <v>15</v>
      </c>
      <c r="Z150" s="212" t="str">
        <f>IF(売分析!Y150&lt;&gt;"",売分析!Y150,"")</f>
        <v>相場上昇・見送り | 下降トレンド▼ MACD- RSI:34.1 前日比:+10.0% [年初来安値圏]前日[大陰線▼] [15点]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4500</v>
      </c>
      <c r="F151" s="326">
        <f>IF(売分析!F151&lt;&gt;"",売分析!F151,"")</f>
        <v>4589</v>
      </c>
      <c r="G151" s="326">
        <f>IF(売分析!H151&lt;&gt;"",売分析!H151,"")</f>
        <v>4660</v>
      </c>
      <c r="H151" s="326">
        <f>IF(売分析!I151&lt;&gt;"",売分析!I151,"")</f>
        <v>4486</v>
      </c>
      <c r="I151" s="325">
        <f>IF(売分析!J151&lt;&gt;"",売分析!J151,"")</f>
        <v>2812000</v>
      </c>
      <c r="J151" s="326">
        <f>IF(売分析!AB151&lt;&gt;"",売分析!AB151,"")</f>
        <v>4826.747695852534</v>
      </c>
      <c r="K151" s="326">
        <f>IF(売分析!AC151&lt;&gt;"",売分析!AC151,"")</f>
        <v>5005.3873659117971</v>
      </c>
      <c r="L151" s="326">
        <f>IF(売分析!K151&lt;&gt;"",売分析!K151,"")</f>
        <v>6300</v>
      </c>
      <c r="M151" s="325" t="str">
        <f>IF(売分析!P151&lt;&gt;"",売分析!P151,"")</f>
        <v>減少↓</v>
      </c>
      <c r="N151" s="328">
        <f>IF(売分析!O151&lt;&gt;"",売分析!O151,"")</f>
        <v>0.58453031783316356</v>
      </c>
      <c r="O151" s="330">
        <f>IF(売分析!X151&lt;&gt;"",売分析!X151,"")</f>
        <v>2.618602207463482</v>
      </c>
      <c r="P151" s="327">
        <f>IF(売分析!L151&lt;&gt;"",売分析!L151,"")</f>
        <v>-28.571428571428569</v>
      </c>
      <c r="Q151" s="326">
        <f>IF(売分析!S151&lt;&gt;"",売分析!S151,"")</f>
        <v>4680</v>
      </c>
      <c r="R151" s="326">
        <f>IF(売分析!R151&lt;&gt;"",売分析!R151,"")</f>
        <v>4140</v>
      </c>
      <c r="S151" s="325" t="str">
        <f>IF(売分析!AA151&lt;&gt;"",売分析!AA151,"")</f>
        <v>下落▼</v>
      </c>
      <c r="T151" s="331">
        <f>IF(売分析!Z151&lt;&gt;"",売分析!Z151,"")</f>
        <v>-4.0102389078498293</v>
      </c>
      <c r="U151" s="325" t="str">
        <f>IF(売分析!V151&lt;&gt;"",売分析!V151,"")</f>
        <v>安値圏</v>
      </c>
      <c r="V151" s="329">
        <f>IF(売分析!W151&lt;&gt;"",売分析!W151,"")</f>
        <v>41.646720919100048</v>
      </c>
      <c r="W151" s="325" t="str">
        <f>IF(売分析!AD151&lt;&gt;"",売分析!AD151,"")</f>
        <v>下降トレンド▼</v>
      </c>
      <c r="X151" s="325" t="str">
        <f>IF(売分析!AE151&lt;&gt;"",売分析!AE151,"")</f>
        <v>なし</v>
      </c>
      <c r="Y151" s="387">
        <f>IF(売分析!T151&lt;&gt;"",売分析!T151,"")</f>
        <v>4</v>
      </c>
      <c r="Z151" s="325" t="str">
        <f>IF(売分析!Y151&lt;&gt;"",売分析!Y151,"")</f>
        <v>相場上昇・見送り | 下降トレンド▼ MACD+ RSI:41.6 前日比:-4.0% [安値圏]前日[長い下ヒゲ(反発)]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5948</v>
      </c>
      <c r="F152" s="333">
        <f>IF(売分析!F152&lt;&gt;"",売分析!F152,"")</f>
        <v>5800</v>
      </c>
      <c r="G152" s="333">
        <f>IF(売分析!H152&lt;&gt;"",売分析!H152,"")</f>
        <v>5948</v>
      </c>
      <c r="H152" s="333">
        <f>IF(売分析!I152&lt;&gt;"",売分析!I152,"")</f>
        <v>5800</v>
      </c>
      <c r="I152" s="212">
        <f>IF(売分析!J152&lt;&gt;"",売分析!J152,"")</f>
        <v>214000</v>
      </c>
      <c r="J152" s="333">
        <f>IF(売分析!AB152&lt;&gt;"",売分析!AB152,"")</f>
        <v>5755.3859447004606</v>
      </c>
      <c r="K152" s="333">
        <f>IF(売分析!AC152&lt;&gt;"",売分析!AC152,"")</f>
        <v>5930.0059594755639</v>
      </c>
      <c r="L152" s="333">
        <f>IF(売分析!K152&lt;&gt;"",売分析!K152,"")</f>
        <v>6509</v>
      </c>
      <c r="M152" s="212" t="str">
        <f>IF(売分析!P152&lt;&gt;"",売分析!P152,"")</f>
        <v>減少↓</v>
      </c>
      <c r="N152" s="335">
        <f>IF(売分析!O152&lt;&gt;"",売分析!O152,"")</f>
        <v>0.28500652585035824</v>
      </c>
      <c r="O152" s="337">
        <f>IF(売分析!X152&lt;&gt;"",売分析!X152,"")</f>
        <v>-50.222901301151978</v>
      </c>
      <c r="P152" s="334">
        <f>IF(売分析!L152&lt;&gt;"",売分析!L152,"")</f>
        <v>-8.6188354585957896</v>
      </c>
      <c r="Q152" s="333">
        <f>IF(売分析!S152&lt;&gt;"",売分析!S152,"")</f>
        <v>6186</v>
      </c>
      <c r="R152" s="333">
        <f>IF(売分析!R152&lt;&gt;"",売分析!R152,"")</f>
        <v>5472</v>
      </c>
      <c r="S152" s="212" t="str">
        <f>IF(売分析!AA152&lt;&gt;"",売分析!AA152,"")</f>
        <v>上昇▲</v>
      </c>
      <c r="T152" s="338">
        <f>IF(売分析!Z152&lt;&gt;"",売分析!Z152,"")</f>
        <v>5.1626591230551622</v>
      </c>
      <c r="U152" s="212" t="str">
        <f>IF(売分析!V152&lt;&gt;"",売分析!V152,"")</f>
        <v>通常</v>
      </c>
      <c r="V152" s="336">
        <f>IF(売分析!W152&lt;&gt;"",売分析!W152,"")</f>
        <v>30.77669902912622</v>
      </c>
      <c r="W152" s="212" t="str">
        <f>IF(売分析!AD152&lt;&gt;"",売分析!AD152,"")</f>
        <v>上昇トレンド▲</v>
      </c>
      <c r="X152" s="212" t="str">
        <f>IF(売分析!AE152&lt;&gt;"",売分析!AE152,"")</f>
        <v>なし</v>
      </c>
      <c r="Y152" s="388">
        <f>IF(売分析!T152&lt;&gt;"",売分析!T152,"")</f>
        <v>1</v>
      </c>
      <c r="Z152" s="212" t="str">
        <f>IF(売分析!Y152&lt;&gt;"",売分析!Y152,"")</f>
        <v>相場上昇・見送り | 上昇トレンド▲ MACD- RSI:30.8 前日比:+5.2%前日[長い下ヒゲ(反発)] [1点]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2289</v>
      </c>
      <c r="F153" s="326">
        <f>IF(売分析!F153&lt;&gt;"",売分析!F153,"")</f>
        <v>2312</v>
      </c>
      <c r="G153" s="326">
        <f>IF(売分析!H153&lt;&gt;"",売分析!H153,"")</f>
        <v>2312</v>
      </c>
      <c r="H153" s="326">
        <f>IF(売分析!I153&lt;&gt;"",売分析!I153,"")</f>
        <v>2289</v>
      </c>
      <c r="I153" s="325">
        <f>IF(売分析!J153&lt;&gt;"",売分析!J153,"")</f>
        <v>7000</v>
      </c>
      <c r="J153" s="326">
        <f>IF(売分析!AB153&lt;&gt;"",売分析!AB153,"")</f>
        <v>2316.5034562211981</v>
      </c>
      <c r="K153" s="326">
        <f>IF(売分析!AC153&lt;&gt;"",売分析!AC153,"")</f>
        <v>2334.0190703218109</v>
      </c>
      <c r="L153" s="326">
        <f>IF(売分析!K153&lt;&gt;"",売分析!K153,"")</f>
        <v>2877</v>
      </c>
      <c r="M153" s="325" t="str">
        <f>IF(売分析!P153&lt;&gt;"",売分析!P153,"")</f>
        <v>減少↓</v>
      </c>
      <c r="N153" s="328">
        <f>IF(売分析!O153&lt;&gt;"",売分析!O153,"")</f>
        <v>0.27407987470634299</v>
      </c>
      <c r="O153" s="330">
        <f>IF(売分析!X153&lt;&gt;"",売分析!X153,"")</f>
        <v>-6.4093671762739177</v>
      </c>
      <c r="P153" s="327">
        <f>IF(売分析!L153&lt;&gt;"",売分析!L153,"")</f>
        <v>-20.437956204379564</v>
      </c>
      <c r="Q153" s="326">
        <f>IF(売分析!S153&lt;&gt;"",売分析!S153,"")</f>
        <v>2381</v>
      </c>
      <c r="R153" s="326">
        <f>IF(売分析!R153&lt;&gt;"",売分析!R153,"")</f>
        <v>2106</v>
      </c>
      <c r="S153" s="325" t="str">
        <f>IF(売分析!AA153&lt;&gt;"",売分析!AA153,"")</f>
        <v>下落▼</v>
      </c>
      <c r="T153" s="331">
        <f>IF(売分析!Z153&lt;&gt;"",売分析!Z153,"")</f>
        <v>-1.421188630490956</v>
      </c>
      <c r="U153" s="325" t="str">
        <f>IF(売分析!V153&lt;&gt;"",売分析!V153,"")</f>
        <v>通常</v>
      </c>
      <c r="V153" s="329">
        <f>IF(売分析!W153&lt;&gt;"",売分析!W153,"")</f>
        <v>42.168674698795179</v>
      </c>
      <c r="W153" s="325" t="str">
        <f>IF(売分析!AD153&lt;&gt;"",売分析!AD153,"")</f>
        <v>下降トレンド▼</v>
      </c>
      <c r="X153" s="325" t="str">
        <f>IF(売分析!AE153&lt;&gt;"",売分析!AE153,"")</f>
        <v>25日戻り売り★</v>
      </c>
      <c r="Y153" s="387">
        <f>IF(売分析!T153&lt;&gt;"",売分析!T153,"")</f>
        <v>12</v>
      </c>
      <c r="Z153" s="325" t="str">
        <f>IF(売分析!Y153&lt;&gt;"",売分析!Y153,"")</f>
        <v>★逆張り売り | 下降トレンド▼ 25日戻り売り★ MACD- RSI:42.2 前日比:-1.4% [大陰線▼] [12点]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3657</v>
      </c>
      <c r="F154" s="333">
        <f>IF(売分析!F154&lt;&gt;"",売分析!F154,"")</f>
        <v>3710</v>
      </c>
      <c r="G154" s="333">
        <f>IF(売分析!H154&lt;&gt;"",売分析!H154,"")</f>
        <v>3713</v>
      </c>
      <c r="H154" s="333">
        <f>IF(売分析!I154&lt;&gt;"",売分析!I154,"")</f>
        <v>3617</v>
      </c>
      <c r="I154" s="212">
        <f>IF(売分析!J154&lt;&gt;"",売分析!J154,"")</f>
        <v>110600</v>
      </c>
      <c r="J154" s="333">
        <f>IF(売分析!AB154&lt;&gt;"",売分析!AB154,"")</f>
        <v>3789.791474654377</v>
      </c>
      <c r="K154" s="333">
        <f>IF(売分析!AC154&lt;&gt;"",売分析!AC154,"")</f>
        <v>3796.3957091775919</v>
      </c>
      <c r="L154" s="333">
        <f>IF(売分析!K154&lt;&gt;"",売分析!K154,"")</f>
        <v>4655</v>
      </c>
      <c r="M154" s="212" t="str">
        <f>IF(売分析!P154&lt;&gt;"",売分析!P154,"")</f>
        <v>減少↓</v>
      </c>
      <c r="N154" s="335">
        <f>IF(売分析!O154&lt;&gt;"",売分析!O154,"")</f>
        <v>0.26586538461538461</v>
      </c>
      <c r="O154" s="337">
        <f>IF(売分析!X154&lt;&gt;"",売分析!X154,"")</f>
        <v>18.753760363640595</v>
      </c>
      <c r="P154" s="334">
        <f>IF(売分析!L154&lt;&gt;"",売分析!L154,"")</f>
        <v>-21.439312567132117</v>
      </c>
      <c r="Q154" s="333">
        <f>IF(売分析!S154&lt;&gt;"",売分析!S154,"")</f>
        <v>3803</v>
      </c>
      <c r="R154" s="333">
        <f>IF(売分析!R154&lt;&gt;"",売分析!R154,"")</f>
        <v>3364</v>
      </c>
      <c r="S154" s="212" t="str">
        <f>IF(売分析!AA154&lt;&gt;"",売分析!AA154,"")</f>
        <v>下落▼</v>
      </c>
      <c r="T154" s="338">
        <f>IF(売分析!Z154&lt;&gt;"",売分析!Z154,"")</f>
        <v>-1.8518518518518516</v>
      </c>
      <c r="U154" s="212" t="str">
        <f>IF(売分析!V154&lt;&gt;"",売分析!V154,"")</f>
        <v>通常</v>
      </c>
      <c r="V154" s="336">
        <f>IF(売分析!W154&lt;&gt;"",売分析!W154,"")</f>
        <v>46.796338672768876</v>
      </c>
      <c r="W154" s="212" t="str">
        <f>IF(売分析!AD154&lt;&gt;"",売分析!AD154,"")</f>
        <v>下降トレンド▼</v>
      </c>
      <c r="X154" s="212" t="str">
        <f>IF(売分析!AE154&lt;&gt;"",売分析!AE154,"")</f>
        <v>なし</v>
      </c>
      <c r="Y154" s="388">
        <f>IF(売分析!T154&lt;&gt;"",売分析!T154,"")</f>
        <v>5</v>
      </c>
      <c r="Z154" s="212" t="str">
        <f>IF(売分析!Y154&lt;&gt;"",売分析!Y154,"")</f>
        <v>相場上昇・見送り | 下降トレンド▼ MACD+ RSI:46.8 前日比:-1.9%前日[大陰線▼] [5点]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3860</v>
      </c>
      <c r="F155" s="326">
        <f>IF(売分析!F155&lt;&gt;"",売分析!F155,"")</f>
        <v>3868</v>
      </c>
      <c r="G155" s="326">
        <f>IF(売分析!H155&lt;&gt;"",売分析!H155,"")</f>
        <v>3884</v>
      </c>
      <c r="H155" s="326">
        <f>IF(売分析!I155&lt;&gt;"",売分析!I155,"")</f>
        <v>3829</v>
      </c>
      <c r="I155" s="325">
        <f>IF(売分析!J155&lt;&gt;"",売分析!J155,"")</f>
        <v>154400</v>
      </c>
      <c r="J155" s="326">
        <f>IF(売分析!AB155&lt;&gt;"",売分析!AB155,"")</f>
        <v>3896.9389400921655</v>
      </c>
      <c r="K155" s="326">
        <f>IF(売分析!AC155&lt;&gt;"",売分析!AC155,"")</f>
        <v>3640.1704410011907</v>
      </c>
      <c r="L155" s="326">
        <f>IF(売分析!K155&lt;&gt;"",売分析!K155,"")</f>
        <v>4310</v>
      </c>
      <c r="M155" s="325" t="str">
        <f>IF(売分析!P155&lt;&gt;"",売分析!P155,"")</f>
        <v>減少↓</v>
      </c>
      <c r="N155" s="328">
        <f>IF(売分析!O155&lt;&gt;"",売分析!O155,"")</f>
        <v>0.29516344867138217</v>
      </c>
      <c r="O155" s="330">
        <f>IF(売分析!X155&lt;&gt;"",売分析!X155,"")</f>
        <v>-0.68984114727345514</v>
      </c>
      <c r="P155" s="327">
        <f>IF(売分析!L155&lt;&gt;"",売分析!L155,"")</f>
        <v>-10.440835266821345</v>
      </c>
      <c r="Q155" s="326">
        <f>IF(売分析!S155&lt;&gt;"",売分析!S155,"")</f>
        <v>4014</v>
      </c>
      <c r="R155" s="326">
        <f>IF(売分析!R155&lt;&gt;"",売分析!R155,"")</f>
        <v>3551</v>
      </c>
      <c r="S155" s="325" t="str">
        <f>IF(売分析!AA155&lt;&gt;"",売分析!AA155,"")</f>
        <v>下落▼</v>
      </c>
      <c r="T155" s="331">
        <f>IF(売分析!Z155&lt;&gt;"",売分析!Z155,"")</f>
        <v>-1.8560894991100942</v>
      </c>
      <c r="U155" s="325" t="str">
        <f>IF(売分析!V155&lt;&gt;"",売分析!V155,"")</f>
        <v>通常</v>
      </c>
      <c r="V155" s="329">
        <f>IF(売分析!W155&lt;&gt;"",売分析!W155,"")</f>
        <v>51.222636236609226</v>
      </c>
      <c r="W155" s="325" t="str">
        <f>IF(売分析!AD155&lt;&gt;"",売分析!AD155,"")</f>
        <v>上昇トレンド▲</v>
      </c>
      <c r="X155" s="325" t="str">
        <f>IF(売分析!AE155&lt;&gt;"",売分析!AE155,"")</f>
        <v>5日戻り売り○</v>
      </c>
      <c r="Y155" s="387">
        <f>IF(売分析!T155&lt;&gt;"",売分析!T155,"")</f>
        <v>3</v>
      </c>
      <c r="Z155" s="325" t="str">
        <f>IF(売分析!Y155&lt;&gt;"",売分析!Y155,"")</f>
        <v>相場上昇・見送り | 上昇トレンド▲ 5日戻り売り○ MACD- RSI:51.2 前日比:-1.9%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1860</v>
      </c>
      <c r="F156" s="333">
        <f>IF(売分析!F156&lt;&gt;"",売分析!F156,"")</f>
        <v>1866</v>
      </c>
      <c r="G156" s="333">
        <f>IF(売分析!H156&lt;&gt;"",売分析!H156,"")</f>
        <v>1873</v>
      </c>
      <c r="H156" s="333">
        <f>IF(売分析!I156&lt;&gt;"",売分析!I156,"")</f>
        <v>1852</v>
      </c>
      <c r="I156" s="212">
        <f>IF(売分析!J156&lt;&gt;"",売分析!J156,"")</f>
        <v>65900</v>
      </c>
      <c r="J156" s="333">
        <f>IF(売分析!AB156&lt;&gt;"",売分析!AB156,"")</f>
        <v>1908.0495391705065</v>
      </c>
      <c r="K156" s="333">
        <f>IF(売分析!AC156&lt;&gt;"",売分析!AC156,"")</f>
        <v>1786.4970202622167</v>
      </c>
      <c r="L156" s="333">
        <f>IF(売分析!K156&lt;&gt;"",売分析!K156,"")</f>
        <v>2696</v>
      </c>
      <c r="M156" s="212" t="str">
        <f>IF(売分析!P156&lt;&gt;"",売分析!P156,"")</f>
        <v>減少↓</v>
      </c>
      <c r="N156" s="335">
        <f>IF(売分析!O156&lt;&gt;"",売分析!O156,"")</f>
        <v>0.35064382249654147</v>
      </c>
      <c r="O156" s="337">
        <f>IF(売分析!X156&lt;&gt;"",売分析!X156,"")</f>
        <v>5.7361098396347643</v>
      </c>
      <c r="P156" s="334">
        <f>IF(売分析!L156&lt;&gt;"",売分析!L156,"")</f>
        <v>-31.008902077151333</v>
      </c>
      <c r="Q156" s="333">
        <f>IF(売分析!S156&lt;&gt;"",売分析!S156,"")</f>
        <v>1934</v>
      </c>
      <c r="R156" s="333">
        <f>IF(売分析!R156&lt;&gt;"",売分析!R156,"")</f>
        <v>1711</v>
      </c>
      <c r="S156" s="212" t="str">
        <f>IF(売分析!AA156&lt;&gt;"",売分析!AA156,"")</f>
        <v>下落▼</v>
      </c>
      <c r="T156" s="338">
        <f>IF(売分析!Z156&lt;&gt;"",売分析!Z156,"")</f>
        <v>-0.85287846481876328</v>
      </c>
      <c r="U156" s="212" t="str">
        <f>IF(売分析!V156&lt;&gt;"",売分析!V156,"")</f>
        <v>安値圏</v>
      </c>
      <c r="V156" s="336">
        <f>IF(売分析!W156&lt;&gt;"",売分析!W156,"")</f>
        <v>50.924813836175829</v>
      </c>
      <c r="W156" s="212" t="str">
        <f>IF(売分析!AD156&lt;&gt;"",売分析!AD156,"")</f>
        <v>上昇トレンド▲</v>
      </c>
      <c r="X156" s="212" t="str">
        <f>IF(売分析!AE156&lt;&gt;"",売分析!AE156,"")</f>
        <v>なし</v>
      </c>
      <c r="Y156" s="388">
        <f>IF(売分析!T156&lt;&gt;"",売分析!T156,"")</f>
        <v>4</v>
      </c>
      <c r="Z156" s="212" t="str">
        <f>IF(売分析!Y156&lt;&gt;"",売分析!Y156,"")</f>
        <v>相場上昇・見送り | 上昇トレンド▲ MACD+ RSI:50.9 前日比:-0.9% [安値圏] [4点]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916.6</v>
      </c>
      <c r="F157" s="326">
        <f>IF(売分析!F157&lt;&gt;"",売分析!F157,"")</f>
        <v>924.7</v>
      </c>
      <c r="G157" s="326">
        <f>IF(売分析!H157&lt;&gt;"",売分析!H157,"")</f>
        <v>939.6</v>
      </c>
      <c r="H157" s="326">
        <f>IF(売分析!I157&lt;&gt;"",売分析!I157,"")</f>
        <v>915.6</v>
      </c>
      <c r="I157" s="325">
        <f>IF(売分析!J157&lt;&gt;"",売分析!J157,"")</f>
        <v>446700</v>
      </c>
      <c r="J157" s="326">
        <f>IF(売分析!AB157&lt;&gt;"",売分析!AB157,"")</f>
        <v>949.40529953917041</v>
      </c>
      <c r="K157" s="326">
        <f>IF(売分析!AC157&lt;&gt;"",売分析!AC157,"")</f>
        <v>937.43611442193082</v>
      </c>
      <c r="L157" s="326">
        <f>IF(売分析!K157&lt;&gt;"",売分析!K157,"")</f>
        <v>1142</v>
      </c>
      <c r="M157" s="325" t="str">
        <f>IF(売分析!P157&lt;&gt;"",売分析!P157,"")</f>
        <v>減少↓</v>
      </c>
      <c r="N157" s="328">
        <f>IF(売分析!O157&lt;&gt;"",売分析!O157,"")</f>
        <v>0.33586971232650115</v>
      </c>
      <c r="O157" s="330">
        <f>IF(売分析!X157&lt;&gt;"",売分析!X157,"")</f>
        <v>8.5646742742968627</v>
      </c>
      <c r="P157" s="327">
        <f>IF(売分析!L157&lt;&gt;"",売分析!L157,"")</f>
        <v>-19.737302977232922</v>
      </c>
      <c r="Q157" s="326">
        <f>IF(売分析!S157&lt;&gt;"",売分析!S157,"")</f>
        <v>953</v>
      </c>
      <c r="R157" s="326">
        <f>IF(売分析!R157&lt;&gt;"",売分析!R157,"")</f>
        <v>843</v>
      </c>
      <c r="S157" s="325" t="str">
        <f>IF(売分析!AA157&lt;&gt;"",売分析!AA157,"")</f>
        <v>下落▼</v>
      </c>
      <c r="T157" s="331">
        <f>IF(売分析!Z157&lt;&gt;"",売分析!Z157,"")</f>
        <v>-2.4893617021276571</v>
      </c>
      <c r="U157" s="325" t="str">
        <f>IF(売分析!V157&lt;&gt;"",売分析!V157,"")</f>
        <v>通常</v>
      </c>
      <c r="V157" s="329">
        <f>IF(売分析!W157&lt;&gt;"",売分析!W157,"")</f>
        <v>63.209302325581397</v>
      </c>
      <c r="W157" s="325" t="str">
        <f>IF(売分析!AD157&lt;&gt;"",売分析!AD157,"")</f>
        <v>もみ合い→</v>
      </c>
      <c r="X157" s="325" t="str">
        <f>IF(売分析!AE157&lt;&gt;"",売分析!AE157,"")</f>
        <v>なし</v>
      </c>
      <c r="Y157" s="387">
        <f>IF(売分析!T157&lt;&gt;"",売分析!T157,"")</f>
        <v>3</v>
      </c>
      <c r="Z157" s="325" t="str">
        <f>IF(売分析!Y157&lt;&gt;"",売分析!Y157,"")</f>
        <v>相場上昇・見送り | もみ合い→ MACD+ RSI:63.2 前日比:-2.5% [3点]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2339</v>
      </c>
      <c r="F158" s="333">
        <f>IF(売分析!F158&lt;&gt;"",売分析!F158,"")</f>
        <v>2357</v>
      </c>
      <c r="G158" s="333">
        <f>IF(売分析!H158&lt;&gt;"",売分析!H158,"")</f>
        <v>2358</v>
      </c>
      <c r="H158" s="333">
        <f>IF(売分析!I158&lt;&gt;"",売分析!I158,"")</f>
        <v>2339</v>
      </c>
      <c r="I158" s="212">
        <f>IF(売分析!J158&lt;&gt;"",売分析!J158,"")</f>
        <v>4600</v>
      </c>
      <c r="J158" s="333">
        <f>IF(売分析!AB158&lt;&gt;"",売分析!AB158,"")</f>
        <v>2377.014976958525</v>
      </c>
      <c r="K158" s="333">
        <f>IF(売分析!AC158&lt;&gt;"",売分析!AC158,"")</f>
        <v>2341.7687723480331</v>
      </c>
      <c r="L158" s="333">
        <f>IF(売分析!K158&lt;&gt;"",売分析!K158,"")</f>
        <v>2730</v>
      </c>
      <c r="M158" s="212" t="str">
        <f>IF(売分析!P158&lt;&gt;"",売分析!P158,"")</f>
        <v>減少↓</v>
      </c>
      <c r="N158" s="335">
        <f>IF(売分析!O158&lt;&gt;"",売分析!O158,"")</f>
        <v>0.26558891454965355</v>
      </c>
      <c r="O158" s="337">
        <f>IF(売分析!X158&lt;&gt;"",売分析!X158,"")</f>
        <v>11.533947754927794</v>
      </c>
      <c r="P158" s="334">
        <f>IF(売分析!L158&lt;&gt;"",売分析!L158,"")</f>
        <v>-14.322344322344321</v>
      </c>
      <c r="Q158" s="333">
        <f>IF(売分析!S158&lt;&gt;"",売分析!S158,"")</f>
        <v>2433</v>
      </c>
      <c r="R158" s="333">
        <f>IF(売分析!R158&lt;&gt;"",売分析!R158,"")</f>
        <v>2152</v>
      </c>
      <c r="S158" s="212" t="str">
        <f>IF(売分析!AA158&lt;&gt;"",売分析!AA158,"")</f>
        <v>下落▼</v>
      </c>
      <c r="T158" s="338">
        <f>IF(売分析!Z158&lt;&gt;"",売分析!Z158,"")</f>
        <v>-1.8052057094878253</v>
      </c>
      <c r="U158" s="212" t="str">
        <f>IF(売分析!V158&lt;&gt;"",売分析!V158,"")</f>
        <v>通常</v>
      </c>
      <c r="V158" s="336">
        <f>IF(売分析!W158&lt;&gt;"",売分析!W158,"")</f>
        <v>77.832512315270932</v>
      </c>
      <c r="W158" s="212" t="str">
        <f>IF(売分析!AD158&lt;&gt;"",売分析!AD158,"")</f>
        <v>もみ合い→</v>
      </c>
      <c r="X158" s="212" t="str">
        <f>IF(売分析!AE158&lt;&gt;"",売分析!AE158,"")</f>
        <v>25日戻り売り★</v>
      </c>
      <c r="Y158" s="388">
        <f>IF(売分析!T158&lt;&gt;"",売分析!T158,"")</f>
        <v>7</v>
      </c>
      <c r="Z158" s="212" t="str">
        <f>IF(売分析!Y158&lt;&gt;"",売分析!Y158,"")</f>
        <v>○逆張り売り | もみ合い→ 25日戻り売り★ MACD+ RSI:77.8 [過熱] 前日比:-1.8% [大陰線▼] [7点]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3779</v>
      </c>
      <c r="F159" s="326">
        <f>IF(売分析!F159&lt;&gt;"",売分析!F159,"")</f>
        <v>3840</v>
      </c>
      <c r="G159" s="326">
        <f>IF(売分析!H159&lt;&gt;"",売分析!H159,"")</f>
        <v>3844</v>
      </c>
      <c r="H159" s="326">
        <f>IF(売分析!I159&lt;&gt;"",売分析!I159,"")</f>
        <v>3764</v>
      </c>
      <c r="I159" s="325">
        <f>IF(売分析!J159&lt;&gt;"",売分析!J159,"")</f>
        <v>1150800</v>
      </c>
      <c r="J159" s="326">
        <f>IF(売分析!AB159&lt;&gt;"",売分析!AB159,"")</f>
        <v>3942.1566820276498</v>
      </c>
      <c r="K159" s="326">
        <f>IF(売分析!AC159&lt;&gt;"",売分析!AC159,"")</f>
        <v>3864.8796185935626</v>
      </c>
      <c r="L159" s="326">
        <f>IF(売分析!K159&lt;&gt;"",売分析!K159,"")</f>
        <v>4830</v>
      </c>
      <c r="M159" s="325" t="str">
        <f>IF(売分析!P159&lt;&gt;"",売分析!P159,"")</f>
        <v>減少↓</v>
      </c>
      <c r="N159" s="328">
        <f>IF(売分析!O159&lt;&gt;"",売分析!O159,"")</f>
        <v>0.28470913058322322</v>
      </c>
      <c r="O159" s="330">
        <f>IF(売分析!X159&lt;&gt;"",売分析!X159,"")</f>
        <v>55.321486711855869</v>
      </c>
      <c r="P159" s="327">
        <f>IF(売分析!L159&lt;&gt;"",売分析!L159,"")</f>
        <v>-21.759834368530022</v>
      </c>
      <c r="Q159" s="326">
        <f>IF(売分析!S159&lt;&gt;"",売分析!S159,"")</f>
        <v>3930</v>
      </c>
      <c r="R159" s="326">
        <f>IF(売分析!R159&lt;&gt;"",売分析!R159,"")</f>
        <v>3477</v>
      </c>
      <c r="S159" s="325" t="str">
        <f>IF(売分析!AA159&lt;&gt;"",売分析!AA159,"")</f>
        <v>下落▼</v>
      </c>
      <c r="T159" s="331">
        <f>IF(売分析!Z159&lt;&gt;"",売分析!Z159,"")</f>
        <v>-3.1522296258329066</v>
      </c>
      <c r="U159" s="325" t="str">
        <f>IF(売分析!V159&lt;&gt;"",売分析!V159,"")</f>
        <v>通常</v>
      </c>
      <c r="V159" s="329">
        <f>IF(売分析!W159&lt;&gt;"",売分析!W159,"")</f>
        <v>61.767531219980782</v>
      </c>
      <c r="W159" s="325" t="str">
        <f>IF(売分析!AD159&lt;&gt;"",売分析!AD159,"")</f>
        <v>もみ合い→</v>
      </c>
      <c r="X159" s="325" t="str">
        <f>IF(売分析!AE159&lt;&gt;"",売分析!AE159,"")</f>
        <v>なし</v>
      </c>
      <c r="Y159" s="387">
        <f>IF(売分析!T159&lt;&gt;"",売分析!T159,"")</f>
        <v>5</v>
      </c>
      <c r="Z159" s="325" t="str">
        <f>IF(売分析!Y159&lt;&gt;"",売分析!Y159,"")</f>
        <v>相場上昇・見送り | もみ合い→ MACD+ RSI:61.8 前日比:-3.2% [大陰線▼] [5点]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2352</v>
      </c>
      <c r="F160" s="333">
        <f>IF(売分析!F160&lt;&gt;"",売分析!F160,"")</f>
        <v>2381</v>
      </c>
      <c r="G160" s="333">
        <f>IF(売分析!H160&lt;&gt;"",売分析!H160,"")</f>
        <v>2397</v>
      </c>
      <c r="H160" s="333">
        <f>IF(売分析!I160&lt;&gt;"",売分析!I160,"")</f>
        <v>2347</v>
      </c>
      <c r="I160" s="212">
        <f>IF(売分析!J160&lt;&gt;"",売分析!J160,"")</f>
        <v>45000</v>
      </c>
      <c r="J160" s="333">
        <f>IF(売分析!AB160&lt;&gt;"",売分析!AB160,"")</f>
        <v>2386.5103686635944</v>
      </c>
      <c r="K160" s="333">
        <f>IF(売分析!AC160&lt;&gt;"",売分析!AC160,"")</f>
        <v>2352.6162097735387</v>
      </c>
      <c r="L160" s="333">
        <f>IF(売分析!K160&lt;&gt;"",売分析!K160,"")</f>
        <v>2634</v>
      </c>
      <c r="M160" s="212" t="str">
        <f>IF(売分析!P160&lt;&gt;"",売分析!P160,"")</f>
        <v>減少↓</v>
      </c>
      <c r="N160" s="335">
        <f>IF(売分析!O160&lt;&gt;"",売分析!O160,"")</f>
        <v>0.4622971029381549</v>
      </c>
      <c r="O160" s="337">
        <f>IF(売分析!X160&lt;&gt;"",売分析!X160,"")</f>
        <v>11.583693216420215</v>
      </c>
      <c r="P160" s="334">
        <f>IF(売分析!L160&lt;&gt;"",売分析!L160,"")</f>
        <v>-10.70615034168565</v>
      </c>
      <c r="Q160" s="333">
        <f>IF(売分析!S160&lt;&gt;"",売分析!S160,"")</f>
        <v>2446</v>
      </c>
      <c r="R160" s="333">
        <f>IF(売分析!R160&lt;&gt;"",売分析!R160,"")</f>
        <v>2164</v>
      </c>
      <c r="S160" s="212" t="str">
        <f>IF(売分析!AA160&lt;&gt;"",売分析!AA160,"")</f>
        <v>下落▼</v>
      </c>
      <c r="T160" s="338">
        <f>IF(売分析!Z160&lt;&gt;"",売分析!Z160,"")</f>
        <v>-2.7697395618023974</v>
      </c>
      <c r="U160" s="212" t="str">
        <f>IF(売分析!V160&lt;&gt;"",売分析!V160,"")</f>
        <v>通常</v>
      </c>
      <c r="V160" s="336">
        <f>IF(売分析!W160&lt;&gt;"",売分析!W160,"")</f>
        <v>70.39473684210526</v>
      </c>
      <c r="W160" s="212" t="str">
        <f>IF(売分析!AD160&lt;&gt;"",売分析!AD160,"")</f>
        <v>もみ合い→</v>
      </c>
      <c r="X160" s="212" t="str">
        <f>IF(売分析!AE160&lt;&gt;"",売分析!AE160,"")</f>
        <v>25日戻り売り★</v>
      </c>
      <c r="Y160" s="388">
        <f>IF(売分析!T160&lt;&gt;"",売分析!T160,"")</f>
        <v>3</v>
      </c>
      <c r="Z160" s="212" t="str">
        <f>IF(売分析!Y160&lt;&gt;"",売分析!Y160,"")</f>
        <v>○逆張り売り | もみ合い→ 25日戻り売り★ MACD+ RSI:70.4 [過熱] 前日比:-2.8%前日[長い下ヒゲ(反発)] [3点]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636.29999999999995</v>
      </c>
      <c r="F161" s="326">
        <f>IF(売分析!F161&lt;&gt;"",売分析!F161,"")</f>
        <v>637</v>
      </c>
      <c r="G161" s="326">
        <f>IF(売分析!H161&lt;&gt;"",売分析!H161,"")</f>
        <v>637</v>
      </c>
      <c r="H161" s="326">
        <f>IF(売分析!I161&lt;&gt;"",売分析!I161,"")</f>
        <v>629.29999999999995</v>
      </c>
      <c r="I161" s="325">
        <f>IF(売分析!J161&lt;&gt;"",売分析!J161,"")</f>
        <v>1137200</v>
      </c>
      <c r="J161" s="326">
        <f>IF(売分析!AB161&lt;&gt;"",売分析!AB161,"")</f>
        <v>648.91497695852536</v>
      </c>
      <c r="K161" s="326">
        <f>IF(売分析!AC161&lt;&gt;"",売分析!AC161,"")</f>
        <v>666.16364719904652</v>
      </c>
      <c r="L161" s="326">
        <f>IF(売分析!K161&lt;&gt;"",売分析!K161,"")</f>
        <v>763.7</v>
      </c>
      <c r="M161" s="325" t="str">
        <f>IF(売分析!P161&lt;&gt;"",売分析!P161,"")</f>
        <v>減少↓</v>
      </c>
      <c r="N161" s="328">
        <f>IF(売分析!O161&lt;&gt;"",売分析!O161,"")</f>
        <v>0.25025196843462683</v>
      </c>
      <c r="O161" s="330">
        <f>IF(売分析!X161&lt;&gt;"",売分析!X161,"")</f>
        <v>-1.8648734869983628</v>
      </c>
      <c r="P161" s="327">
        <f>IF(売分析!L161&lt;&gt;"",売分析!L161,"")</f>
        <v>-16.681943171402395</v>
      </c>
      <c r="Q161" s="326">
        <f>IF(売分析!S161&lt;&gt;"",売分析!S161,"")</f>
        <v>662</v>
      </c>
      <c r="R161" s="326">
        <f>IF(売分析!R161&lt;&gt;"",売分析!R161,"")</f>
        <v>585</v>
      </c>
      <c r="S161" s="325" t="str">
        <f>IF(売分析!AA161&lt;&gt;"",売分析!AA161,"")</f>
        <v>下落▼</v>
      </c>
      <c r="T161" s="331">
        <f>IF(売分析!Z161&lt;&gt;"",売分析!Z161,"")</f>
        <v>-0.46926325668700142</v>
      </c>
      <c r="U161" s="325" t="str">
        <f>IF(売分析!V161&lt;&gt;"",売分析!V161,"")</f>
        <v>通常</v>
      </c>
      <c r="V161" s="329">
        <f>IF(売分析!W161&lt;&gt;"",売分析!W161,"")</f>
        <v>38.953888506538178</v>
      </c>
      <c r="W161" s="325" t="str">
        <f>IF(売分析!AD161&lt;&gt;"",売分析!AD161,"")</f>
        <v>下降トレンド▼</v>
      </c>
      <c r="X161" s="325" t="str">
        <f>IF(売分析!AE161&lt;&gt;"",売分析!AE161,"")</f>
        <v>なし</v>
      </c>
      <c r="Y161" s="387">
        <f>IF(売分析!T161&lt;&gt;"",売分析!T161,"")</f>
        <v>2</v>
      </c>
      <c r="Z161" s="325" t="str">
        <f>IF(売分析!Y161&lt;&gt;"",売分析!Y161,"")</f>
        <v>相場上昇・見送り | 下降トレンド▼ MACD- RSI:39.0 前日比:-0.5% [長い下ヒゲ(反発警戒)]前日[長い下ヒゲ(反発)] [2点]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622.29999999999995</v>
      </c>
      <c r="F162" s="333">
        <f>IF(売分析!F162&lt;&gt;"",売分析!F162,"")</f>
        <v>617</v>
      </c>
      <c r="G162" s="333">
        <f>IF(売分析!H162&lt;&gt;"",売分析!H162,"")</f>
        <v>632.9</v>
      </c>
      <c r="H162" s="333">
        <f>IF(売分析!I162&lt;&gt;"",売分析!I162,"")</f>
        <v>612.5</v>
      </c>
      <c r="I162" s="212">
        <f>IF(売分析!J162&lt;&gt;"",売分析!J162,"")</f>
        <v>1832600</v>
      </c>
      <c r="J162" s="333">
        <f>IF(売分析!AB162&lt;&gt;"",売分析!AB162,"")</f>
        <v>622.29516129032254</v>
      </c>
      <c r="K162" s="333">
        <f>IF(売分析!AC162&lt;&gt;"",売分析!AC162,"")</f>
        <v>625.33277711561368</v>
      </c>
      <c r="L162" s="333">
        <f>IF(売分析!K162&lt;&gt;"",売分析!K162,"")</f>
        <v>830.5</v>
      </c>
      <c r="M162" s="212" t="str">
        <f>IF(売分析!P162&lt;&gt;"",売分析!P162,"")</f>
        <v>減少↓</v>
      </c>
      <c r="N162" s="335">
        <f>IF(売分析!O162&lt;&gt;"",売分析!O162,"")</f>
        <v>0.49046423620218066</v>
      </c>
      <c r="O162" s="337">
        <f>IF(売分析!X162&lt;&gt;"",売分析!X162,"")</f>
        <v>-3.606133402855221</v>
      </c>
      <c r="P162" s="334">
        <f>IF(売分析!L162&lt;&gt;"",売分析!L162,"")</f>
        <v>-25.069235400361233</v>
      </c>
      <c r="Q162" s="333">
        <f>IF(売分析!S162&lt;&gt;"",売分析!S162,"")</f>
        <v>647</v>
      </c>
      <c r="R162" s="333">
        <f>IF(売分析!R162&lt;&gt;"",売分析!R162,"")</f>
        <v>573</v>
      </c>
      <c r="S162" s="212" t="str">
        <f>IF(売分析!AA162&lt;&gt;"",売分析!AA162,"")</f>
        <v>下落▼</v>
      </c>
      <c r="T162" s="338">
        <f>IF(売分析!Z162&lt;&gt;"",売分析!Z162,"")</f>
        <v>-0.12839030653186778</v>
      </c>
      <c r="U162" s="212" t="str">
        <f>IF(売分析!V162&lt;&gt;"",売分析!V162,"")</f>
        <v>安値圏</v>
      </c>
      <c r="V162" s="336">
        <f>IF(売分析!W162&lt;&gt;"",売分析!W162,"")</f>
        <v>44.761904761904788</v>
      </c>
      <c r="W162" s="212" t="str">
        <f>IF(売分析!AD162&lt;&gt;"",売分析!AD162,"")</f>
        <v>もみ合い→</v>
      </c>
      <c r="X162" s="212" t="str">
        <f>IF(売分析!AE162&lt;&gt;"",売分析!AE162,"")</f>
        <v>25日戻り売り★</v>
      </c>
      <c r="Y162" s="388">
        <f>IF(売分析!T162&lt;&gt;"",売分析!T162,"")</f>
        <v>10</v>
      </c>
      <c r="Z162" s="212" t="str">
        <f>IF(売分析!Y162&lt;&gt;"",売分析!Y162,"")</f>
        <v>○逆張り売り | もみ合い→ 25日戻り売り★ MACD- RSI:44.8 前日比:-0.1% [安値圏] [10点]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1891.5</v>
      </c>
      <c r="F163" s="326">
        <f>IF(売分析!F163&lt;&gt;"",売分析!F163,"")</f>
        <v>1910</v>
      </c>
      <c r="G163" s="326">
        <f>IF(売分析!H163&lt;&gt;"",売分析!H163,"")</f>
        <v>1961.5</v>
      </c>
      <c r="H163" s="326">
        <f>IF(売分析!I163&lt;&gt;"",売分析!I163,"")</f>
        <v>1884.5</v>
      </c>
      <c r="I163" s="325">
        <f>IF(売分析!J163&lt;&gt;"",売分析!J163,"")</f>
        <v>859400</v>
      </c>
      <c r="J163" s="326">
        <f>IF(売分析!AB163&lt;&gt;"",売分析!AB163,"")</f>
        <v>2019.4591013824881</v>
      </c>
      <c r="K163" s="326">
        <f>IF(売分析!AC163&lt;&gt;"",売分析!AC163,"")</f>
        <v>2023.1495828367104</v>
      </c>
      <c r="L163" s="326">
        <f>IF(売分析!K163&lt;&gt;"",売分析!K163,"")</f>
        <v>2275</v>
      </c>
      <c r="M163" s="325" t="str">
        <f>IF(売分析!P163&lt;&gt;"",売分析!P163,"")</f>
        <v>減少↓</v>
      </c>
      <c r="N163" s="328">
        <f>IF(売分析!O163&lt;&gt;"",売分析!O163,"")</f>
        <v>0.44318615468712935</v>
      </c>
      <c r="O163" s="330">
        <f>IF(売分析!X163&lt;&gt;"",売分析!X163,"")</f>
        <v>16.478482640036873</v>
      </c>
      <c r="P163" s="327">
        <f>IF(売分析!L163&lt;&gt;"",売分析!L163,"")</f>
        <v>-16.857142857142858</v>
      </c>
      <c r="Q163" s="326">
        <f>IF(売分析!S163&lt;&gt;"",売分析!S163,"")</f>
        <v>1967</v>
      </c>
      <c r="R163" s="326">
        <f>IF(売分析!R163&lt;&gt;"",売分析!R163,"")</f>
        <v>1740</v>
      </c>
      <c r="S163" s="325" t="str">
        <f>IF(売分析!AA163&lt;&gt;"",売分析!AA163,"")</f>
        <v>下落▼</v>
      </c>
      <c r="T163" s="331">
        <f>IF(売分析!Z163&lt;&gt;"",売分析!Z163,"")</f>
        <v>-7.3248407643312099</v>
      </c>
      <c r="U163" s="325" t="str">
        <f>IF(売分析!V163&lt;&gt;"",売分析!V163,"")</f>
        <v>通常</v>
      </c>
      <c r="V163" s="329">
        <f>IF(売分析!W163&lt;&gt;"",売分析!W163,"")</f>
        <v>63.218390804597703</v>
      </c>
      <c r="W163" s="325" t="str">
        <f>IF(売分析!AD163&lt;&gt;"",売分析!AD163,"")</f>
        <v>下降トレンド▼</v>
      </c>
      <c r="X163" s="325" t="str">
        <f>IF(売分析!AE163&lt;&gt;"",売分析!AE163,"")</f>
        <v>なし</v>
      </c>
      <c r="Y163" s="387">
        <f>IF(売分析!T163&lt;&gt;"",売分析!T163,"")</f>
        <v>7</v>
      </c>
      <c r="Z163" s="325" t="str">
        <f>IF(売分析!Y163&lt;&gt;"",売分析!Y163,"")</f>
        <v>相場上昇・見送り | 下降トレンド▼ MACD+ RSI:63.2 前日比:-7.3% [上ヒゲ陰線▼] [7点]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5760</v>
      </c>
      <c r="F164" s="333">
        <f>IF(売分析!F164&lt;&gt;"",売分析!F164,"")</f>
        <v>5994</v>
      </c>
      <c r="G164" s="333">
        <f>IF(売分析!H164&lt;&gt;"",売分析!H164,"")</f>
        <v>6005</v>
      </c>
      <c r="H164" s="333">
        <f>IF(売分析!I164&lt;&gt;"",売分析!I164,"")</f>
        <v>5758</v>
      </c>
      <c r="I164" s="212">
        <f>IF(売分析!J164&lt;&gt;"",売分析!J164,"")</f>
        <v>3758600</v>
      </c>
      <c r="J164" s="333">
        <f>IF(売分析!AB164&lt;&gt;"",売分析!AB164,"")</f>
        <v>6059.0276497695831</v>
      </c>
      <c r="K164" s="333">
        <f>IF(売分析!AC164&lt;&gt;"",売分析!AC164,"")</f>
        <v>5815.8390941597117</v>
      </c>
      <c r="L164" s="333">
        <f>IF(売分析!K164&lt;&gt;"",売分析!K164,"")</f>
        <v>6394</v>
      </c>
      <c r="M164" s="212" t="str">
        <f>IF(売分析!P164&lt;&gt;"",売分析!P164,"")</f>
        <v>普通→</v>
      </c>
      <c r="N164" s="335">
        <f>IF(売分析!O164&lt;&gt;"",売分析!O164,"")</f>
        <v>1.200592853811705</v>
      </c>
      <c r="O164" s="337">
        <f>IF(売分析!X164&lt;&gt;"",売分析!X164,"")</f>
        <v>106.17834611664784</v>
      </c>
      <c r="P164" s="334">
        <f>IF(売分析!L164&lt;&gt;"",売分析!L164,"")</f>
        <v>-9.9155458242101968</v>
      </c>
      <c r="Q164" s="333">
        <f>IF(売分析!S164&lt;&gt;"",売分析!S164,"")</f>
        <v>5990</v>
      </c>
      <c r="R164" s="333">
        <f>IF(売分析!R164&lt;&gt;"",売分析!R164,"")</f>
        <v>5299</v>
      </c>
      <c r="S164" s="212" t="str">
        <f>IF(売分析!AA164&lt;&gt;"",売分析!AA164,"")</f>
        <v>下落▼</v>
      </c>
      <c r="T164" s="338">
        <f>IF(売分析!Z164&lt;&gt;"",売分析!Z164,"")</f>
        <v>-4.6673286991062559</v>
      </c>
      <c r="U164" s="212" t="str">
        <f>IF(売分析!V164&lt;&gt;"",売分析!V164,"")</f>
        <v>通常</v>
      </c>
      <c r="V164" s="336">
        <f>IF(売分析!W164&lt;&gt;"",売分析!W164,"")</f>
        <v>84.330484330484325</v>
      </c>
      <c r="W164" s="212" t="str">
        <f>IF(売分析!AD164&lt;&gt;"",売分析!AD164,"")</f>
        <v>もみ合い→</v>
      </c>
      <c r="X164" s="212" t="str">
        <f>IF(売分析!AE164&lt;&gt;"",売分析!AE164,"")</f>
        <v>25日戻り売り★</v>
      </c>
      <c r="Y164" s="388">
        <f>IF(売分析!T164&lt;&gt;"",売分析!T164,"")</f>
        <v>7</v>
      </c>
      <c r="Z164" s="212" t="str">
        <f>IF(売分析!Y164&lt;&gt;"",売分析!Y164,"")</f>
        <v>○逆張り売り | もみ合い→ 25日戻り売り★ MACD+ RSI:84.3 [過熱] 前日比:-4.7% [大陰線▼] [7点]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1706</v>
      </c>
      <c r="F165" s="326">
        <f>IF(売分析!F165&lt;&gt;"",売分析!F165,"")</f>
        <v>1697</v>
      </c>
      <c r="G165" s="326">
        <f>IF(売分析!H165&lt;&gt;"",売分析!H165,"")</f>
        <v>1722</v>
      </c>
      <c r="H165" s="326">
        <f>IF(売分析!I165&lt;&gt;"",売分析!I165,"")</f>
        <v>1689</v>
      </c>
      <c r="I165" s="325">
        <f>IF(売分析!J165&lt;&gt;"",売分析!J165,"")</f>
        <v>137200</v>
      </c>
      <c r="J165" s="326">
        <f>IF(売分析!AB165&lt;&gt;"",売分析!AB165,"")</f>
        <v>1719.9700460829492</v>
      </c>
      <c r="K165" s="326">
        <f>IF(売分析!AC165&lt;&gt;"",売分析!AC165,"")</f>
        <v>1733.9284862932057</v>
      </c>
      <c r="L165" s="326">
        <f>IF(売分析!K165&lt;&gt;"",売分析!K165,"")</f>
        <v>1973</v>
      </c>
      <c r="M165" s="325" t="str">
        <f>IF(売分析!P165&lt;&gt;"",売分析!P165,"")</f>
        <v>減少↓</v>
      </c>
      <c r="N165" s="328">
        <f>IF(売分析!O165&lt;&gt;"",売分析!O165,"")</f>
        <v>0.33425912390975976</v>
      </c>
      <c r="O165" s="330">
        <f>IF(売分析!X165&lt;&gt;"",売分析!X165,"")</f>
        <v>-1.0704886582088875</v>
      </c>
      <c r="P165" s="327">
        <f>IF(売分析!L165&lt;&gt;"",売分析!L165,"")</f>
        <v>-13.532691332995439</v>
      </c>
      <c r="Q165" s="326">
        <f>IF(売分析!S165&lt;&gt;"",売分析!S165,"")</f>
        <v>1774</v>
      </c>
      <c r="R165" s="326">
        <f>IF(売分析!R165&lt;&gt;"",売分析!R165,"")</f>
        <v>1570</v>
      </c>
      <c r="S165" s="325" t="str">
        <f>IF(売分析!AA165&lt;&gt;"",売分析!AA165,"")</f>
        <v>上昇▲</v>
      </c>
      <c r="T165" s="331">
        <f>IF(売分析!Z165&lt;&gt;"",売分析!Z165,"")</f>
        <v>0.64896755162241893</v>
      </c>
      <c r="U165" s="325" t="str">
        <f>IF(売分析!V165&lt;&gt;"",売分析!V165,"")</f>
        <v>通常</v>
      </c>
      <c r="V165" s="329">
        <f>IF(売分析!W165&lt;&gt;"",売分析!W165,"")</f>
        <v>45.481049562682216</v>
      </c>
      <c r="W165" s="325" t="str">
        <f>IF(売分析!AD165&lt;&gt;"",売分析!AD165,"")</f>
        <v>下降トレンド▼</v>
      </c>
      <c r="X165" s="325" t="str">
        <f>IF(売分析!AE165&lt;&gt;"",売分析!AE165,"")</f>
        <v>25日戻り売り★</v>
      </c>
      <c r="Y165" s="387">
        <f>IF(売分析!T165&lt;&gt;"",売分析!T165,"")</f>
        <v>8</v>
      </c>
      <c r="Z165" s="325" t="str">
        <f>IF(売分析!Y165&lt;&gt;"",売分析!Y165,"")</f>
        <v>★逆張り売り | 下降トレンド▼ 25日戻り売り★ MACD- RSI:45.5 前日比:+0.6%前日[大陰線▼] [8点]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3406</v>
      </c>
      <c r="F166" s="333">
        <f>IF(売分析!F166&lt;&gt;"",売分析!F166,"")</f>
        <v>3451</v>
      </c>
      <c r="G166" s="333">
        <f>IF(売分析!H166&lt;&gt;"",売分析!H166,"")</f>
        <v>3472</v>
      </c>
      <c r="H166" s="333">
        <f>IF(売分析!I166&lt;&gt;"",売分析!I166,"")</f>
        <v>3385</v>
      </c>
      <c r="I166" s="212">
        <f>IF(売分析!J166&lt;&gt;"",売分析!J166,"")</f>
        <v>2896500</v>
      </c>
      <c r="J166" s="333">
        <f>IF(売分析!AB166&lt;&gt;"",売分析!AB166,"")</f>
        <v>3546.8640552995384</v>
      </c>
      <c r="K166" s="333">
        <f>IF(売分析!AC166&lt;&gt;"",売分析!AC166,"")</f>
        <v>3528.2061978545871</v>
      </c>
      <c r="L166" s="333">
        <f>IF(売分析!K166&lt;&gt;"",売分析!K166,"")</f>
        <v>4955</v>
      </c>
      <c r="M166" s="212" t="str">
        <f>IF(売分析!P166&lt;&gt;"",売分析!P166,"")</f>
        <v>減少↓</v>
      </c>
      <c r="N166" s="335">
        <f>IF(売分析!O166&lt;&gt;"",売分析!O166,"")</f>
        <v>0.78380806511844392</v>
      </c>
      <c r="O166" s="337">
        <f>IF(売分析!X166&lt;&gt;"",売分析!X166,"")</f>
        <v>32.526106615613116</v>
      </c>
      <c r="P166" s="334">
        <f>IF(売分析!L166&lt;&gt;"",売分析!L166,"")</f>
        <v>-31.261352169525729</v>
      </c>
      <c r="Q166" s="333">
        <f>IF(売分析!S166&lt;&gt;"",売分析!S166,"")</f>
        <v>3542</v>
      </c>
      <c r="R166" s="333">
        <f>IF(売分析!R166&lt;&gt;"",売分析!R166,"")</f>
        <v>3134</v>
      </c>
      <c r="S166" s="212" t="str">
        <f>IF(売分析!AA166&lt;&gt;"",売分析!AA166,"")</f>
        <v>下落▼</v>
      </c>
      <c r="T166" s="338">
        <f>IF(売分析!Z166&lt;&gt;"",売分析!Z166,"")</f>
        <v>-3.2111395282750781</v>
      </c>
      <c r="U166" s="212" t="str">
        <f>IF(売分析!V166&lt;&gt;"",売分析!V166,"")</f>
        <v>安値圏</v>
      </c>
      <c r="V166" s="336">
        <f>IF(売分析!W166&lt;&gt;"",売分析!W166,"")</f>
        <v>56.517311608961307</v>
      </c>
      <c r="W166" s="212" t="str">
        <f>IF(売分析!AD166&lt;&gt;"",売分析!AD166,"")</f>
        <v>もみ合い→</v>
      </c>
      <c r="X166" s="212" t="str">
        <f>IF(売分析!AE166&lt;&gt;"",売分析!AE166,"")</f>
        <v>なし</v>
      </c>
      <c r="Y166" s="388">
        <f>IF(売分析!T166&lt;&gt;"",売分析!T166,"")</f>
        <v>3</v>
      </c>
      <c r="Z166" s="212" t="str">
        <f>IF(売分析!Y166&lt;&gt;"",売分析!Y166,"")</f>
        <v>相場上昇・見送り | もみ合い→ MACD+ RSI:56.5 前日比:-3.2% [安値圏]前日[長い下ヒゲ(反発)] [3点]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4820</v>
      </c>
      <c r="F167" s="326">
        <f>IF(売分析!F167&lt;&gt;"",売分析!F167,"")</f>
        <v>4901</v>
      </c>
      <c r="G167" s="326">
        <f>IF(売分析!H167&lt;&gt;"",売分析!H167,"")</f>
        <v>4922</v>
      </c>
      <c r="H167" s="326">
        <f>IF(売分析!I167&lt;&gt;"",売分析!I167,"")</f>
        <v>4788</v>
      </c>
      <c r="I167" s="325">
        <f>IF(売分析!J167&lt;&gt;"",売分析!J167,"")</f>
        <v>5208400</v>
      </c>
      <c r="J167" s="326">
        <f>IF(売分析!AB167&lt;&gt;"",売分析!AB167,"")</f>
        <v>5081.8052995391708</v>
      </c>
      <c r="K167" s="326">
        <f>IF(売分析!AC167&lt;&gt;"",売分析!AC167,"")</f>
        <v>5122.3492252681745</v>
      </c>
      <c r="L167" s="326">
        <f>IF(売分析!K167&lt;&gt;"",売分析!K167,"")</f>
        <v>6328</v>
      </c>
      <c r="M167" s="325" t="str">
        <f>IF(売分析!P167&lt;&gt;"",売分析!P167,"")</f>
        <v>減少↓</v>
      </c>
      <c r="N167" s="328">
        <f>IF(売分析!O167&lt;&gt;"",売分析!O167,"")</f>
        <v>0.7194300253328213</v>
      </c>
      <c r="O167" s="330">
        <f>IF(売分析!X167&lt;&gt;"",売分析!X167,"")</f>
        <v>38.023927415728394</v>
      </c>
      <c r="P167" s="327">
        <f>IF(売分析!L167&lt;&gt;"",売分析!L167,"")</f>
        <v>-23.830594184576487</v>
      </c>
      <c r="Q167" s="326">
        <f>IF(売分析!S167&lt;&gt;"",売分析!S167,"")</f>
        <v>5013</v>
      </c>
      <c r="R167" s="326">
        <f>IF(売分析!R167&lt;&gt;"",売分析!R167,"")</f>
        <v>4434</v>
      </c>
      <c r="S167" s="325" t="str">
        <f>IF(売分析!AA167&lt;&gt;"",売分析!AA167,"")</f>
        <v>下落▼</v>
      </c>
      <c r="T167" s="331">
        <f>IF(売分析!Z167&lt;&gt;"",売分析!Z167,"")</f>
        <v>-6.0795011691348408</v>
      </c>
      <c r="U167" s="325" t="str">
        <f>IF(売分析!V167&lt;&gt;"",売分析!V167,"")</f>
        <v>通常</v>
      </c>
      <c r="V167" s="329">
        <f>IF(売分析!W167&lt;&gt;"",売分析!W167,"")</f>
        <v>61.36363636363636</v>
      </c>
      <c r="W167" s="325" t="str">
        <f>IF(売分析!AD167&lt;&gt;"",売分析!AD167,"")</f>
        <v>下降トレンド▼</v>
      </c>
      <c r="X167" s="325" t="str">
        <f>IF(売分析!AE167&lt;&gt;"",売分析!AE167,"")</f>
        <v>なし</v>
      </c>
      <c r="Y167" s="387">
        <f>IF(売分析!T167&lt;&gt;"",売分析!T167,"")</f>
        <v>5</v>
      </c>
      <c r="Z167" s="325" t="str">
        <f>IF(売分析!Y167&lt;&gt;"",売分析!Y167,"")</f>
        <v>相場上昇・見送り | 下降トレンド▼ MACD+ RSI:61.4 前日比:-6.1% [5点]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4749</v>
      </c>
      <c r="F168" s="333">
        <f>IF(売分析!F168&lt;&gt;"",売分析!F168,"")</f>
        <v>4809</v>
      </c>
      <c r="G168" s="333">
        <f>IF(売分析!H168&lt;&gt;"",売分析!H168,"")</f>
        <v>4822</v>
      </c>
      <c r="H168" s="333">
        <f>IF(売分析!I168&lt;&gt;"",売分析!I168,"")</f>
        <v>4737</v>
      </c>
      <c r="I168" s="212">
        <f>IF(売分析!J168&lt;&gt;"",売分析!J168,"")</f>
        <v>1896000</v>
      </c>
      <c r="J168" s="333">
        <f>IF(売分析!AB168&lt;&gt;"",売分析!AB168,"")</f>
        <v>4844.4585253456216</v>
      </c>
      <c r="K168" s="333">
        <f>IF(売分析!AC168&lt;&gt;"",売分析!AC168,"")</f>
        <v>4764.3969010727042</v>
      </c>
      <c r="L168" s="333">
        <f>IF(売分析!K168&lt;&gt;"",売分析!K168,"")</f>
        <v>5073</v>
      </c>
      <c r="M168" s="212" t="str">
        <f>IF(売分析!P168&lt;&gt;"",売分析!P168,"")</f>
        <v>減少↓</v>
      </c>
      <c r="N168" s="335">
        <f>IF(売分析!O168&lt;&gt;"",売分析!O168,"")</f>
        <v>0.40188223324430877</v>
      </c>
      <c r="O168" s="337">
        <f>IF(売分析!X168&lt;&gt;"",売分析!X168,"")</f>
        <v>66.176535092086851</v>
      </c>
      <c r="P168" s="334">
        <f>IF(売分析!L168&lt;&gt;"",売分析!L168,"")</f>
        <v>-6.3867534003548192</v>
      </c>
      <c r="Q168" s="333">
        <f>IF(売分析!S168&lt;&gt;"",売分析!S168,"")</f>
        <v>4939</v>
      </c>
      <c r="R168" s="333">
        <f>IF(売分析!R168&lt;&gt;"",売分析!R168,"")</f>
        <v>4369</v>
      </c>
      <c r="S168" s="212" t="str">
        <f>IF(売分析!AA168&lt;&gt;"",売分析!AA168,"")</f>
        <v>下落▼</v>
      </c>
      <c r="T168" s="338">
        <f>IF(売分析!Z168&lt;&gt;"",売分析!Z168,"")</f>
        <v>-1.4730290456431534</v>
      </c>
      <c r="U168" s="212" t="str">
        <f>IF(売分析!V168&lt;&gt;"",売分析!V168,"")</f>
        <v>通常</v>
      </c>
      <c r="V168" s="336">
        <f>IF(売分析!W168&lt;&gt;"",売分析!W168,"")</f>
        <v>68.86517943743938</v>
      </c>
      <c r="W168" s="212" t="str">
        <f>IF(売分析!AD168&lt;&gt;"",売分析!AD168,"")</f>
        <v>もみ合い→</v>
      </c>
      <c r="X168" s="212" t="str">
        <f>IF(売分析!AE168&lt;&gt;"",売分析!AE168,"")</f>
        <v>25日戻り売り★</v>
      </c>
      <c r="Y168" s="388">
        <f>IF(売分析!T168&lt;&gt;"",売分析!T168,"")</f>
        <v>4</v>
      </c>
      <c r="Z168" s="212" t="str">
        <f>IF(売分析!Y168&lt;&gt;"",売分析!Y168,"")</f>
        <v>○逆張り売り | もみ合い→ 25日戻り売り★ MACD+ RSI:68.9 前日比:-1.5% [大陰線▼]前日[長い下ヒゲ(反発)] [4点]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1627.5</v>
      </c>
      <c r="F169" s="326">
        <f>IF(売分析!F169&lt;&gt;"",売分析!F169,"")</f>
        <v>1628.5</v>
      </c>
      <c r="G169" s="326">
        <f>IF(売分析!H169&lt;&gt;"",売分析!H169,"")</f>
        <v>1659</v>
      </c>
      <c r="H169" s="326">
        <f>IF(売分析!I169&lt;&gt;"",売分析!I169,"")</f>
        <v>1612</v>
      </c>
      <c r="I169" s="325">
        <f>IF(売分析!J169&lt;&gt;"",売分析!J169,"")</f>
        <v>523700</v>
      </c>
      <c r="J169" s="326" t="str">
        <f>IF(売分析!AB169&lt;&gt;"",売分析!AB169,"")</f>
        <v/>
      </c>
      <c r="K169" s="326" t="str">
        <f>IF(売分析!AC169&lt;&gt;"",売分析!AC169,"")</f>
        <v/>
      </c>
      <c r="L169" s="326">
        <f>IF(売分析!K169&lt;&gt;"",売分析!K169,"")</f>
        <v>1773</v>
      </c>
      <c r="M169" s="325" t="str">
        <f>IF(売分析!P169&lt;&gt;"",売分析!P169,"")</f>
        <v/>
      </c>
      <c r="N169" s="328" t="str">
        <f>IF(売分析!O169&lt;&gt;"",売分析!O169,"")</f>
        <v/>
      </c>
      <c r="O169" s="330">
        <f>IF(売分析!X169&lt;&gt;"",売分析!X169,"")</f>
        <v>0</v>
      </c>
      <c r="P169" s="327">
        <f>IF(売分析!L169&lt;&gt;"",売分析!L169,"")</f>
        <v>-8.2064297800338419</v>
      </c>
      <c r="Q169" s="326">
        <f>IF(売分析!S169&lt;&gt;"",売分析!S169,"")</f>
        <v>1693</v>
      </c>
      <c r="R169" s="326">
        <f>IF(売分析!R169&lt;&gt;"",売分析!R169,"")</f>
        <v>1497</v>
      </c>
      <c r="S169" s="325" t="str">
        <f>IF(売分析!AA169&lt;&gt;"",売分析!AA169,"")</f>
        <v>上昇▲</v>
      </c>
      <c r="T169" s="331" t="str">
        <f>IF(売分析!Z169&lt;&gt;"",売分析!Z169,"")</f>
        <v/>
      </c>
      <c r="U169" s="325" t="str">
        <f>IF(売分析!V169&lt;&gt;"",売分析!V169,"")</f>
        <v>通常</v>
      </c>
      <c r="V169" s="329">
        <f>IF(売分析!W169&lt;&gt;"",売分析!W169,"")</f>
        <v>50</v>
      </c>
      <c r="W169" s="325" t="str">
        <f>IF(売分析!AD169&lt;&gt;"",売分析!AD169,"")</f>
        <v/>
      </c>
      <c r="X169" s="325" t="str">
        <f>IF(売分析!AE169&lt;&gt;"",売分析!AE169,"")</f>
        <v/>
      </c>
      <c r="Y169" s="387">
        <f>IF(売分析!T169&lt;&gt;"",売分析!T169,"")</f>
        <v>1</v>
      </c>
      <c r="Z169" s="325" t="str">
        <f>IF(売分析!Y169&lt;&gt;"",売分析!Y169,"")</f>
        <v>相場上昇・見送り |   MACD+ RSI:50.0 前日比:%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4076</v>
      </c>
      <c r="F170" s="333">
        <f>IF(売分析!F170&lt;&gt;"",売分析!F170,"")</f>
        <v>4058</v>
      </c>
      <c r="G170" s="333">
        <f>IF(売分析!H170&lt;&gt;"",売分析!H170,"")</f>
        <v>4126</v>
      </c>
      <c r="H170" s="333">
        <f>IF(売分析!I170&lt;&gt;"",売分析!I170,"")</f>
        <v>4026</v>
      </c>
      <c r="I170" s="212">
        <f>IF(売分析!J170&lt;&gt;"",売分析!J170,"")</f>
        <v>206100</v>
      </c>
      <c r="J170" s="333">
        <f>IF(売分析!AB170&lt;&gt;"",売分析!AB170,"")</f>
        <v>4039.0092165898618</v>
      </c>
      <c r="K170" s="333">
        <f>IF(売分析!AC170&lt;&gt;"",売分析!AC170,"")</f>
        <v>4072.7091775923714</v>
      </c>
      <c r="L170" s="333">
        <f>IF(売分析!K170&lt;&gt;"",売分析!K170,"")</f>
        <v>4968</v>
      </c>
      <c r="M170" s="212" t="str">
        <f>IF(売分析!P170&lt;&gt;"",売分析!P170,"")</f>
        <v>減少↓</v>
      </c>
      <c r="N170" s="335">
        <f>IF(売分析!O170&lt;&gt;"",売分析!O170,"")</f>
        <v>0.30741922973658303</v>
      </c>
      <c r="O170" s="337">
        <f>IF(売分析!X170&lt;&gt;"",売分析!X170,"")</f>
        <v>17.598877960828304</v>
      </c>
      <c r="P170" s="334">
        <f>IF(売分析!L170&lt;&gt;"",売分析!L170,"")</f>
        <v>-17.954911433172303</v>
      </c>
      <c r="Q170" s="333">
        <f>IF(売分析!S170&lt;&gt;"",売分析!S170,"")</f>
        <v>4239</v>
      </c>
      <c r="R170" s="333">
        <f>IF(売分析!R170&lt;&gt;"",売分析!R170,"")</f>
        <v>3750</v>
      </c>
      <c r="S170" s="212" t="str">
        <f>IF(売分析!AA170&lt;&gt;"",売分析!AA170,"")</f>
        <v>上昇▲</v>
      </c>
      <c r="T170" s="338">
        <f>IF(売分析!Z170&lt;&gt;"",売分析!Z170,"")</f>
        <v>2.9552917403384691</v>
      </c>
      <c r="U170" s="212" t="str">
        <f>IF(売分析!V170&lt;&gt;"",売分析!V170,"")</f>
        <v>通常</v>
      </c>
      <c r="V170" s="336">
        <f>IF(売分析!W170&lt;&gt;"",売分析!W170,"")</f>
        <v>54.945054945054949</v>
      </c>
      <c r="W170" s="212" t="str">
        <f>IF(売分析!AD170&lt;&gt;"",売分析!AD170,"")</f>
        <v>上昇トレンド▲</v>
      </c>
      <c r="X170" s="212" t="str">
        <f>IF(売分析!AE170&lt;&gt;"",売分析!AE170,"")</f>
        <v>なし</v>
      </c>
      <c r="Y170" s="388">
        <f>IF(売分析!T170&lt;&gt;"",売分析!T170,"")</f>
        <v>3</v>
      </c>
      <c r="Z170" s="212" t="str">
        <f>IF(売分析!Y170&lt;&gt;"",売分析!Y170,"")</f>
        <v>相場上昇・見送り | 上昇トレンド▲ MACD+ RSI:54.9 前日比:+3.0% [3点]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1413</v>
      </c>
      <c r="F171" s="326">
        <f>IF(売分析!F171&lt;&gt;"",売分析!F171,"")</f>
        <v>1414.5</v>
      </c>
      <c r="G171" s="326">
        <f>IF(売分析!H171&lt;&gt;"",売分析!H171,"")</f>
        <v>1422</v>
      </c>
      <c r="H171" s="326">
        <f>IF(売分析!I171&lt;&gt;"",売分析!I171,"")</f>
        <v>1405</v>
      </c>
      <c r="I171" s="325">
        <f>IF(売分析!J171&lt;&gt;"",売分析!J171,"")</f>
        <v>2117800</v>
      </c>
      <c r="J171" s="326">
        <f>IF(売分析!AB171&lt;&gt;"",売分析!AB171,"")</f>
        <v>1443.1866359447004</v>
      </c>
      <c r="K171" s="326">
        <f>IF(売分析!AC171&lt;&gt;"",売分析!AC171,"")</f>
        <v>1429.619189511322</v>
      </c>
      <c r="L171" s="326">
        <f>IF(売分析!K171&lt;&gt;"",売分析!K171,"")</f>
        <v>1541.5</v>
      </c>
      <c r="M171" s="325" t="str">
        <f>IF(売分析!P171&lt;&gt;"",売分析!P171,"")</f>
        <v>減少↓</v>
      </c>
      <c r="N171" s="328">
        <f>IF(売分析!O171&lt;&gt;"",売分析!O171,"")</f>
        <v>0.35500915265829402</v>
      </c>
      <c r="O171" s="330">
        <f>IF(売分析!X171&lt;&gt;"",売分析!X171,"")</f>
        <v>12.441501916501693</v>
      </c>
      <c r="P171" s="327">
        <f>IF(売分析!L171&lt;&gt;"",売分析!L171,"")</f>
        <v>-8.3360363282517032</v>
      </c>
      <c r="Q171" s="326">
        <f>IF(売分析!S171&lt;&gt;"",売分析!S171,"")</f>
        <v>1470</v>
      </c>
      <c r="R171" s="326">
        <f>IF(売分析!R171&lt;&gt;"",売分析!R171,"")</f>
        <v>1300</v>
      </c>
      <c r="S171" s="325" t="str">
        <f>IF(売分析!AA171&lt;&gt;"",売分析!AA171,"")</f>
        <v>下落▼</v>
      </c>
      <c r="T171" s="331">
        <f>IF(売分析!Z171&lt;&gt;"",売分析!Z171,"")</f>
        <v>-1.223348479552604</v>
      </c>
      <c r="U171" s="325" t="str">
        <f>IF(売分析!V171&lt;&gt;"",売分析!V171,"")</f>
        <v>通常</v>
      </c>
      <c r="V171" s="329">
        <f>IF(売分析!W171&lt;&gt;"",売分析!W171,"")</f>
        <v>59.098786828422874</v>
      </c>
      <c r="W171" s="325" t="str">
        <f>IF(売分析!AD171&lt;&gt;"",売分析!AD171,"")</f>
        <v>もみ合い→</v>
      </c>
      <c r="X171" s="325" t="str">
        <f>IF(売分析!AE171&lt;&gt;"",売分析!AE171,"")</f>
        <v>25日戻り売り★</v>
      </c>
      <c r="Y171" s="387">
        <f>IF(売分析!T171&lt;&gt;"",売分析!T171,"")</f>
        <v>1</v>
      </c>
      <c r="Z171" s="325" t="str">
        <f>IF(売分析!Y171&lt;&gt;"",売分析!Y171,"")</f>
        <v>○逆張り売り | もみ合い→ 25日戻り売り★ MACD+ RSI:59.1 前日比:-1.2%前日[長い下ヒゲ(反発)] [1点]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1177</v>
      </c>
      <c r="F172" s="333">
        <f>IF(売分析!F172&lt;&gt;"",売分析!F172,"")</f>
        <v>1151</v>
      </c>
      <c r="G172" s="333">
        <f>IF(売分析!H172&lt;&gt;"",売分析!H172,"")</f>
        <v>1182.5</v>
      </c>
      <c r="H172" s="333">
        <f>IF(売分析!I172&lt;&gt;"",売分析!I172,"")</f>
        <v>1150.5</v>
      </c>
      <c r="I172" s="212">
        <f>IF(売分析!J172&lt;&gt;"",売分析!J172,"")</f>
        <v>2992400</v>
      </c>
      <c r="J172" s="333">
        <f>IF(売分析!AB172&lt;&gt;"",売分析!AB172,"")</f>
        <v>1146.3940092165899</v>
      </c>
      <c r="K172" s="333">
        <f>IF(売分析!AC172&lt;&gt;"",売分析!AC172,"")</f>
        <v>1155.1662693682952</v>
      </c>
      <c r="L172" s="333">
        <f>IF(売分析!K172&lt;&gt;"",売分析!K172,"")</f>
        <v>1353.5</v>
      </c>
      <c r="M172" s="212" t="str">
        <f>IF(売分析!P172&lt;&gt;"",売分析!P172,"")</f>
        <v>減少↓</v>
      </c>
      <c r="N172" s="335">
        <f>IF(売分析!O172&lt;&gt;"",売分析!O172,"")</f>
        <v>0.65623958315058162</v>
      </c>
      <c r="O172" s="337">
        <f>IF(売分析!X172&lt;&gt;"",売分析!X172,"")</f>
        <v>-0.23988313916242987</v>
      </c>
      <c r="P172" s="334">
        <f>IF(売分析!L172&lt;&gt;"",売分析!L172,"")</f>
        <v>-13.040265977096416</v>
      </c>
      <c r="Q172" s="333">
        <f>IF(売分析!S172&lt;&gt;"",売分析!S172,"")</f>
        <v>1224</v>
      </c>
      <c r="R172" s="333">
        <f>IF(売分析!R172&lt;&gt;"",売分析!R172,"")</f>
        <v>1083</v>
      </c>
      <c r="S172" s="212" t="str">
        <f>IF(売分析!AA172&lt;&gt;"",売分析!AA172,"")</f>
        <v>上昇▲</v>
      </c>
      <c r="T172" s="338">
        <f>IF(売分析!Z172&lt;&gt;"",売分析!Z172,"")</f>
        <v>4.2054006197432496</v>
      </c>
      <c r="U172" s="212" t="str">
        <f>IF(売分析!V172&lt;&gt;"",売分析!V172,"")</f>
        <v>通常</v>
      </c>
      <c r="V172" s="336">
        <f>IF(売分析!W172&lt;&gt;"",売分析!W172,"")</f>
        <v>48.054919908466822</v>
      </c>
      <c r="W172" s="212" t="str">
        <f>IF(売分析!AD172&lt;&gt;"",売分析!AD172,"")</f>
        <v>上昇トレンド▲</v>
      </c>
      <c r="X172" s="212" t="str">
        <f>IF(売分析!AE172&lt;&gt;"",売分析!AE172,"")</f>
        <v>なし</v>
      </c>
      <c r="Y172" s="388">
        <f>IF(売分析!T172&lt;&gt;"",売分析!T172,"")</f>
        <v>-1</v>
      </c>
      <c r="Z172" s="212" t="str">
        <f>IF(売分析!Y172&lt;&gt;"",売分析!Y172,"")</f>
        <v>相場上昇・見送り | 上昇トレンド▲ MACD- RSI:48.1 前日比:+4.2%前日[長い下ヒゲ(反発)]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660</v>
      </c>
      <c r="F173" s="326">
        <f>IF(売分析!F173&lt;&gt;"",売分析!F173,"")</f>
        <v>658</v>
      </c>
      <c r="G173" s="326">
        <f>IF(売分析!H173&lt;&gt;"",売分析!H173,"")</f>
        <v>675.7</v>
      </c>
      <c r="H173" s="326">
        <f>IF(売分析!I173&lt;&gt;"",売分析!I173,"")</f>
        <v>655.9</v>
      </c>
      <c r="I173" s="325">
        <f>IF(売分析!J173&lt;&gt;"",売分析!J173,"")</f>
        <v>58725600</v>
      </c>
      <c r="J173" s="326">
        <f>IF(売分析!AB173&lt;&gt;"",売分析!AB173,"")</f>
        <v>650.50414746543788</v>
      </c>
      <c r="K173" s="326">
        <f>IF(売分析!AC173&lt;&gt;"",売分析!AC173,"")</f>
        <v>583.3150178784266</v>
      </c>
      <c r="L173" s="326">
        <f>IF(売分析!K173&lt;&gt;"",売分析!K173,"")</f>
        <v>699.8</v>
      </c>
      <c r="M173" s="325" t="str">
        <f>IF(売分析!P173&lt;&gt;"",売分析!P173,"")</f>
        <v>普通→</v>
      </c>
      <c r="N173" s="328">
        <f>IF(売分析!O173&lt;&gt;"",売分析!O173,"")</f>
        <v>1.0632339362337733</v>
      </c>
      <c r="O173" s="330">
        <f>IF(売分析!X173&lt;&gt;"",売分析!X173,"")</f>
        <v>9.7992538976832293</v>
      </c>
      <c r="P173" s="327">
        <f>IF(売分析!L173&lt;&gt;"",売分析!L173,"")</f>
        <v>-5.6873392397827889</v>
      </c>
      <c r="Q173" s="326">
        <f>IF(売分析!S173&lt;&gt;"",売分析!S173,"")</f>
        <v>686</v>
      </c>
      <c r="R173" s="326">
        <f>IF(売分析!R173&lt;&gt;"",売分析!R173,"")</f>
        <v>607</v>
      </c>
      <c r="S173" s="325" t="str">
        <f>IF(売分析!AA173&lt;&gt;"",売分析!AA173,"")</f>
        <v>上昇▲</v>
      </c>
      <c r="T173" s="331">
        <f>IF(売分析!Z173&lt;&gt;"",売分析!Z173,"")</f>
        <v>2.009273570324575</v>
      </c>
      <c r="U173" s="325" t="str">
        <f>IF(売分析!V173&lt;&gt;"",売分析!V173,"")</f>
        <v>通常</v>
      </c>
      <c r="V173" s="329">
        <f>IF(売分析!W173&lt;&gt;"",売分析!W173,"")</f>
        <v>53.212228622064693</v>
      </c>
      <c r="W173" s="325" t="str">
        <f>IF(売分析!AD173&lt;&gt;"",売分析!AD173,"")</f>
        <v>パーフェクト▲</v>
      </c>
      <c r="X173" s="325" t="str">
        <f>IF(売分析!AE173&lt;&gt;"",売分析!AE173,"")</f>
        <v>なし</v>
      </c>
      <c r="Y173" s="387">
        <f>IF(売分析!T173&lt;&gt;"",売分析!T173,"")</f>
        <v>-3</v>
      </c>
      <c r="Z173" s="325" t="str">
        <f>IF(売分析!Y173&lt;&gt;"",売分析!Y173,"")</f>
        <v>相場上昇・見送り | パーフェクト▲ MACD+ RSI:53.2 前日比:+2.0%前日[長い下ヒゲ(反発)] [-3点]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7712</v>
      </c>
      <c r="F174" s="333">
        <f>IF(売分析!F174&lt;&gt;"",売分析!F174,"")</f>
        <v>7717</v>
      </c>
      <c r="G174" s="333">
        <f>IF(売分析!H174&lt;&gt;"",売分析!H174,"")</f>
        <v>7819</v>
      </c>
      <c r="H174" s="333">
        <f>IF(売分析!I174&lt;&gt;"",売分析!I174,"")</f>
        <v>7696</v>
      </c>
      <c r="I174" s="212">
        <f>IF(売分析!J174&lt;&gt;"",売分析!J174,"")</f>
        <v>1818500</v>
      </c>
      <c r="J174" s="333">
        <f>IF(売分析!AB174&lt;&gt;"",売分析!AB174,"")</f>
        <v>7931.307603686635</v>
      </c>
      <c r="K174" s="333">
        <f>IF(売分析!AC174&lt;&gt;"",売分析!AC174,"")</f>
        <v>7917.550655542308</v>
      </c>
      <c r="L174" s="333">
        <f>IF(売分析!K174&lt;&gt;"",売分析!K174,"")</f>
        <v>8468</v>
      </c>
      <c r="M174" s="212" t="str">
        <f>IF(売分析!P174&lt;&gt;"",売分析!P174,"")</f>
        <v>減少↓</v>
      </c>
      <c r="N174" s="335">
        <f>IF(売分析!O174&lt;&gt;"",売分析!O174,"")</f>
        <v>0.35542985806259941</v>
      </c>
      <c r="O174" s="337">
        <f>IF(売分析!X174&lt;&gt;"",売分析!X174,"")</f>
        <v>60.344956396102134</v>
      </c>
      <c r="P174" s="334">
        <f>IF(売分析!L174&lt;&gt;"",売分析!L174,"")</f>
        <v>-8.9277279168634855</v>
      </c>
      <c r="Q174" s="333">
        <f>IF(売分析!S174&lt;&gt;"",売分析!S174,"")</f>
        <v>8020</v>
      </c>
      <c r="R174" s="333">
        <f>IF(売分析!R174&lt;&gt;"",売分析!R174,"")</f>
        <v>7095</v>
      </c>
      <c r="S174" s="212" t="str">
        <f>IF(売分析!AA174&lt;&gt;"",売分析!AA174,"")</f>
        <v>下落▼</v>
      </c>
      <c r="T174" s="338">
        <f>IF(売分析!Z174&lt;&gt;"",売分析!Z174,"")</f>
        <v>-2.1940393151553583</v>
      </c>
      <c r="U174" s="212" t="str">
        <f>IF(売分析!V174&lt;&gt;"",売分析!V174,"")</f>
        <v>通常</v>
      </c>
      <c r="V174" s="336">
        <f>IF(売分析!W174&lt;&gt;"",売分析!W174,"")</f>
        <v>57.456140350877192</v>
      </c>
      <c r="W174" s="212" t="str">
        <f>IF(売分析!AD174&lt;&gt;"",売分析!AD174,"")</f>
        <v>もみ合い→</v>
      </c>
      <c r="X174" s="212" t="str">
        <f>IF(売分析!AE174&lt;&gt;"",売分析!AE174,"")</f>
        <v>なし</v>
      </c>
      <c r="Y174" s="388">
        <f>IF(売分析!T174&lt;&gt;"",売分析!T174,"")</f>
        <v>-1</v>
      </c>
      <c r="Z174" s="212" t="str">
        <f>IF(売分析!Y174&lt;&gt;"",売分析!Y174,"")</f>
        <v>相場上昇・見送り | もみ合い→ MACD+ RSI:57.5 前日比:-2.2%前日[長い下ヒゲ(反発)]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5781</v>
      </c>
      <c r="F175" s="326">
        <f>IF(売分析!F175&lt;&gt;"",売分析!F175,"")</f>
        <v>5634</v>
      </c>
      <c r="G175" s="326">
        <f>IF(売分析!H175&lt;&gt;"",売分析!H175,"")</f>
        <v>5821</v>
      </c>
      <c r="H175" s="326">
        <f>IF(売分析!I175&lt;&gt;"",売分析!I175,"")</f>
        <v>5611</v>
      </c>
      <c r="I175" s="325">
        <f>IF(売分析!J175&lt;&gt;"",売分析!J175,"")</f>
        <v>2097000</v>
      </c>
      <c r="J175" s="326">
        <f>IF(売分析!AB175&lt;&gt;"",売分析!AB175,"")</f>
        <v>5872.0829493087549</v>
      </c>
      <c r="K175" s="326">
        <f>IF(売分析!AC175&lt;&gt;"",売分析!AC175,"")</f>
        <v>6215.7759237187138</v>
      </c>
      <c r="L175" s="326">
        <f>IF(売分析!K175&lt;&gt;"",売分析!K175,"")</f>
        <v>8315</v>
      </c>
      <c r="M175" s="325" t="str">
        <f>IF(売分析!P175&lt;&gt;"",売分析!P175,"")</f>
        <v>減少↓</v>
      </c>
      <c r="N175" s="328">
        <f>IF(売分析!O175&lt;&gt;"",売分析!O175,"")</f>
        <v>0.77198330130541382</v>
      </c>
      <c r="O175" s="330">
        <f>IF(売分析!X175&lt;&gt;"",売分析!X175,"")</f>
        <v>-90.322443967692379</v>
      </c>
      <c r="P175" s="327">
        <f>IF(売分析!L175&lt;&gt;"",売分析!L175,"")</f>
        <v>-30.475045099218278</v>
      </c>
      <c r="Q175" s="326">
        <f>IF(売分析!S175&lt;&gt;"",売分析!S175,"")</f>
        <v>6012</v>
      </c>
      <c r="R175" s="326">
        <f>IF(売分析!R175&lt;&gt;"",売分析!R175,"")</f>
        <v>5319</v>
      </c>
      <c r="S175" s="325" t="str">
        <f>IF(売分析!AA175&lt;&gt;"",売分析!AA175,"")</f>
        <v>下落▼</v>
      </c>
      <c r="T175" s="331">
        <f>IF(売分析!Z175&lt;&gt;"",売分析!Z175,"")</f>
        <v>-4.6511627906976747</v>
      </c>
      <c r="U175" s="325" t="str">
        <f>IF(売分析!V175&lt;&gt;"",売分析!V175,"")</f>
        <v>安値圏</v>
      </c>
      <c r="V175" s="329">
        <f>IF(売分析!W175&lt;&gt;"",売分析!W175,"")</f>
        <v>40.156918687589162</v>
      </c>
      <c r="W175" s="325" t="str">
        <f>IF(売分析!AD175&lt;&gt;"",売分析!AD175,"")</f>
        <v>下降トレンド▼</v>
      </c>
      <c r="X175" s="325" t="str">
        <f>IF(売分析!AE175&lt;&gt;"",売分析!AE175,"")</f>
        <v>なし</v>
      </c>
      <c r="Y175" s="387">
        <f>IF(売分析!T175&lt;&gt;"",売分析!T175,"")</f>
        <v>11</v>
      </c>
      <c r="Z175" s="325" t="str">
        <f>IF(売分析!Y175&lt;&gt;"",売分析!Y175,"")</f>
        <v>相場上昇・見送り | 下降トレンド▼ MACD- RSI:40.2 前日比:-4.7% [安値圏]前日[長い下ヒゲ(反発)] [11点]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6938</v>
      </c>
      <c r="F176" s="333">
        <f>IF(売分析!F176&lt;&gt;"",売分析!F176,"")</f>
        <v>6863</v>
      </c>
      <c r="G176" s="333">
        <f>IF(売分析!H176&lt;&gt;"",売分析!H176,"")</f>
        <v>6944</v>
      </c>
      <c r="H176" s="333">
        <f>IF(売分析!I176&lt;&gt;"",売分析!I176,"")</f>
        <v>6852</v>
      </c>
      <c r="I176" s="212">
        <f>IF(売分析!J176&lt;&gt;"",売分析!J176,"")</f>
        <v>752800</v>
      </c>
      <c r="J176" s="333">
        <f>IF(売分析!AB176&lt;&gt;"",売分析!AB176,"")</f>
        <v>6966.4493087557594</v>
      </c>
      <c r="K176" s="333">
        <f>IF(売分析!AC176&lt;&gt;"",売分析!AC176,"")</f>
        <v>6907.7604290822383</v>
      </c>
      <c r="L176" s="333">
        <f>IF(売分析!K176&lt;&gt;"",売分析!K176,"")</f>
        <v>7413</v>
      </c>
      <c r="M176" s="212" t="str">
        <f>IF(売分析!P176&lt;&gt;"",売分析!P176,"")</f>
        <v>減少↓</v>
      </c>
      <c r="N176" s="335">
        <f>IF(売分析!O176&lt;&gt;"",売分析!O176,"")</f>
        <v>0.25772878222465678</v>
      </c>
      <c r="O176" s="337">
        <f>IF(売分析!X176&lt;&gt;"",売分析!X176,"")</f>
        <v>76.339272565170177</v>
      </c>
      <c r="P176" s="334">
        <f>IF(売分析!L176&lt;&gt;"",売分析!L176,"")</f>
        <v>-6.4076622150276545</v>
      </c>
      <c r="Q176" s="333">
        <f>IF(売分析!S176&lt;&gt;"",売分析!S176,"")</f>
        <v>7216</v>
      </c>
      <c r="R176" s="333">
        <f>IF(売分析!R176&lt;&gt;"",売分析!R176,"")</f>
        <v>6383</v>
      </c>
      <c r="S176" s="212" t="str">
        <f>IF(売分析!AA176&lt;&gt;"",売分析!AA176,"")</f>
        <v>上昇▲</v>
      </c>
      <c r="T176" s="338">
        <f>IF(売分析!Z176&lt;&gt;"",売分析!Z176,"")</f>
        <v>0.96041909196740405</v>
      </c>
      <c r="U176" s="212" t="str">
        <f>IF(売分析!V176&lt;&gt;"",売分析!V176,"")</f>
        <v>通常</v>
      </c>
      <c r="V176" s="336">
        <f>IF(売分析!W176&lt;&gt;"",売分析!W176,"")</f>
        <v>63.437926330150063</v>
      </c>
      <c r="W176" s="212" t="str">
        <f>IF(売分析!AD176&lt;&gt;"",売分析!AD176,"")</f>
        <v>上昇トレンド▲</v>
      </c>
      <c r="X176" s="212" t="str">
        <f>IF(売分析!AE176&lt;&gt;"",売分析!AE176,"")</f>
        <v>5日戻り売り○</v>
      </c>
      <c r="Y176" s="388">
        <f>IF(売分析!T176&lt;&gt;"",売分析!T176,"")</f>
        <v>1</v>
      </c>
      <c r="Z176" s="212" t="str">
        <f>IF(売分析!Y176&lt;&gt;"",売分析!Y176,"")</f>
        <v>相場上昇・見送り | 上昇トレンド▲ 5日戻り売り○ MACD+ RSI:63.4 前日比:+1.0% [1点]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4075</v>
      </c>
      <c r="F177" s="326">
        <f>IF(売分析!F177&lt;&gt;"",売分析!F177,"")</f>
        <v>4004</v>
      </c>
      <c r="G177" s="326">
        <f>IF(売分析!H177&lt;&gt;"",売分析!H177,"")</f>
        <v>4103</v>
      </c>
      <c r="H177" s="326">
        <f>IF(売分析!I177&lt;&gt;"",売分析!I177,"")</f>
        <v>3934</v>
      </c>
      <c r="I177" s="325">
        <f>IF(売分析!J177&lt;&gt;"",売分析!J177,"")</f>
        <v>588800</v>
      </c>
      <c r="J177" s="326">
        <f>IF(売分析!AB177&lt;&gt;"",売分析!AB177,"")</f>
        <v>3965.2741935483868</v>
      </c>
      <c r="K177" s="326">
        <f>IF(売分析!AC177&lt;&gt;"",売分析!AC177,"")</f>
        <v>4064.444576877233</v>
      </c>
      <c r="L177" s="326">
        <f>IF(売分析!K177&lt;&gt;"",売分析!K177,"")</f>
        <v>4466</v>
      </c>
      <c r="M177" s="325" t="str">
        <f>IF(売分析!P177&lt;&gt;"",売分析!P177,"")</f>
        <v>減少↓</v>
      </c>
      <c r="N177" s="328">
        <f>IF(売分析!O177&lt;&gt;"",売分析!O177,"")</f>
        <v>0.86828289978174955</v>
      </c>
      <c r="O177" s="330">
        <f>IF(売分析!X177&lt;&gt;"",売分析!X177,"")</f>
        <v>-9.960690816312308</v>
      </c>
      <c r="P177" s="327">
        <f>IF(売分析!L177&lt;&gt;"",売分析!L177,"")</f>
        <v>-8.7550380653828928</v>
      </c>
      <c r="Q177" s="326">
        <f>IF(売分析!S177&lt;&gt;"",売分析!S177,"")</f>
        <v>4238</v>
      </c>
      <c r="R177" s="326">
        <f>IF(売分析!R177&lt;&gt;"",売分析!R177,"")</f>
        <v>3749</v>
      </c>
      <c r="S177" s="325" t="str">
        <f>IF(売分析!AA177&lt;&gt;"",売分析!AA177,"")</f>
        <v>上昇▲</v>
      </c>
      <c r="T177" s="331">
        <f>IF(売分析!Z177&lt;&gt;"",売分析!Z177,"")</f>
        <v>3.9806072977800455</v>
      </c>
      <c r="U177" s="325" t="str">
        <f>IF(売分析!V177&lt;&gt;"",売分析!V177,"")</f>
        <v>通常</v>
      </c>
      <c r="V177" s="329">
        <f>IF(売分析!W177&lt;&gt;"",売分析!W177,"")</f>
        <v>37.32767762460233</v>
      </c>
      <c r="W177" s="325" t="str">
        <f>IF(売分析!AD177&lt;&gt;"",売分析!AD177,"")</f>
        <v>上昇トレンド▲</v>
      </c>
      <c r="X177" s="325" t="str">
        <f>IF(売分析!AE177&lt;&gt;"",売分析!AE177,"")</f>
        <v>なし</v>
      </c>
      <c r="Y177" s="387">
        <f>IF(売分析!T177&lt;&gt;"",売分析!T177,"")</f>
        <v>-1</v>
      </c>
      <c r="Z177" s="325" t="str">
        <f>IF(売分析!Y177&lt;&gt;"",売分析!Y177,"")</f>
        <v>相場上昇・見送り | 上昇トレンド▲ MACD- RSI:37.3 前日比:+4.0%前日[長い下ヒゲ(反発)] [-1点]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1834.5</v>
      </c>
      <c r="F178" s="333">
        <f>IF(売分析!F178&lt;&gt;"",売分析!F178,"")</f>
        <v>1829</v>
      </c>
      <c r="G178" s="333">
        <f>IF(売分析!H178&lt;&gt;"",売分析!H178,"")</f>
        <v>1845</v>
      </c>
      <c r="H178" s="333">
        <f>IF(売分析!I178&lt;&gt;"",売分析!I178,"")</f>
        <v>1826.5</v>
      </c>
      <c r="I178" s="212">
        <f>IF(売分析!J178&lt;&gt;"",売分析!J178,"")</f>
        <v>125800</v>
      </c>
      <c r="J178" s="333">
        <f>IF(売分析!AB178&lt;&gt;"",売分析!AB178,"")</f>
        <v>1815.9302995391702</v>
      </c>
      <c r="K178" s="333">
        <f>IF(売分析!AC178&lt;&gt;"",売分析!AC178,"")</f>
        <v>1777.8337306317044</v>
      </c>
      <c r="L178" s="333">
        <f>IF(売分析!K178&lt;&gt;"",売分析!K178,"")</f>
        <v>1922.5</v>
      </c>
      <c r="M178" s="212" t="str">
        <f>IF(売分析!P178&lt;&gt;"",売分析!P178,"")</f>
        <v>減少↓</v>
      </c>
      <c r="N178" s="335">
        <f>IF(売分析!O178&lt;&gt;"",売分析!O178,"")</f>
        <v>0.25732286041564389</v>
      </c>
      <c r="O178" s="337">
        <f>IF(売分析!X178&lt;&gt;"",売分析!X178,"")</f>
        <v>9.9421228392100147</v>
      </c>
      <c r="P178" s="334">
        <f>IF(売分析!L178&lt;&gt;"",売分析!L178,"")</f>
        <v>-4.5773732119635886</v>
      </c>
      <c r="Q178" s="333">
        <f>IF(売分析!S178&lt;&gt;"",売分析!S178,"")</f>
        <v>1908</v>
      </c>
      <c r="R178" s="333">
        <f>IF(売分析!R178&lt;&gt;"",売分析!R178,"")</f>
        <v>1688</v>
      </c>
      <c r="S178" s="212" t="str">
        <f>IF(売分析!AA178&lt;&gt;"",売分析!AA178,"")</f>
        <v>上昇▲</v>
      </c>
      <c r="T178" s="338">
        <f>IF(売分析!Z178&lt;&gt;"",売分析!Z178,"")</f>
        <v>0.10914051841746249</v>
      </c>
      <c r="U178" s="212" t="str">
        <f>IF(売分析!V178&lt;&gt;"",売分析!V178,"")</f>
        <v>通常</v>
      </c>
      <c r="V178" s="336">
        <f>IF(売分析!W178&lt;&gt;"",売分析!W178,"")</f>
        <v>79.625292740046831</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RSI:79.6 [過熱] 前日比:+0.1%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1077</v>
      </c>
      <c r="F179" s="326">
        <f>IF(売分析!F179&lt;&gt;"",売分析!F179,"")</f>
        <v>1074</v>
      </c>
      <c r="G179" s="326">
        <f>IF(売分析!H179&lt;&gt;"",売分析!H179,"")</f>
        <v>1079</v>
      </c>
      <c r="H179" s="326">
        <f>IF(売分析!I179&lt;&gt;"",売分析!I179,"")</f>
        <v>1067</v>
      </c>
      <c r="I179" s="325">
        <f>IF(売分析!J179&lt;&gt;"",売分析!J179,"")</f>
        <v>39800</v>
      </c>
      <c r="J179" s="326">
        <f>IF(売分析!AB179&lt;&gt;"",売分析!AB179,"")</f>
        <v>1091.814516129032</v>
      </c>
      <c r="K179" s="326">
        <f>IF(売分析!AC179&lt;&gt;"",売分析!AC179,"")</f>
        <v>1043.5589988081044</v>
      </c>
      <c r="L179" s="326">
        <f>IF(売分析!K179&lt;&gt;"",売分析!K179,"")</f>
        <v>1168</v>
      </c>
      <c r="M179" s="325" t="str">
        <f>IF(売分析!P179&lt;&gt;"",売分析!P179,"")</f>
        <v>減少↓</v>
      </c>
      <c r="N179" s="328">
        <f>IF(売分析!O179&lt;&gt;"",売分析!O179,"")</f>
        <v>0.38491295938104447</v>
      </c>
      <c r="O179" s="330">
        <f>IF(売分析!X179&lt;&gt;"",売分析!X179,"")</f>
        <v>-5.842629926086147</v>
      </c>
      <c r="P179" s="327">
        <f>IF(売分析!L179&lt;&gt;"",売分析!L179,"")</f>
        <v>-7.7910958904109595</v>
      </c>
      <c r="Q179" s="326">
        <f>IF(売分析!S179&lt;&gt;"",売分析!S179,"")</f>
        <v>1120</v>
      </c>
      <c r="R179" s="326">
        <f>IF(売分析!R179&lt;&gt;"",売分析!R179,"")</f>
        <v>991</v>
      </c>
      <c r="S179" s="325" t="str">
        <f>IF(売分析!AA179&lt;&gt;"",売分析!AA179,"")</f>
        <v>下落▼</v>
      </c>
      <c r="T179" s="331">
        <f>IF(売分析!Z179&lt;&gt;"",売分析!Z179,"")</f>
        <v>-1.1019283746556474</v>
      </c>
      <c r="U179" s="325" t="str">
        <f>IF(売分析!V179&lt;&gt;"",売分析!V179,"")</f>
        <v>通常</v>
      </c>
      <c r="V179" s="329">
        <f>IF(売分析!W179&lt;&gt;"",売分析!W179,"")</f>
        <v>50.127768313458255</v>
      </c>
      <c r="W179" s="325" t="str">
        <f>IF(売分析!AD179&lt;&gt;"",売分析!AD179,"")</f>
        <v>上昇トレンド▲</v>
      </c>
      <c r="X179" s="325" t="str">
        <f>IF(売分析!AE179&lt;&gt;"",売分析!AE179,"")</f>
        <v>なし</v>
      </c>
      <c r="Y179" s="387">
        <f>IF(売分析!T179&lt;&gt;"",売分析!T179,"")</f>
        <v>-1</v>
      </c>
      <c r="Z179" s="325" t="str">
        <f>IF(売分析!Y179&lt;&gt;"",売分析!Y179,"")</f>
        <v>相場上昇・見送り | 上昇トレンド▲ MACD- RSI:50.1 前日比:-1.1% [長い下ヒゲ(反発警戒)]前日[長い下ヒゲ(反発)]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5740</v>
      </c>
      <c r="F180" s="333">
        <f>IF(売分析!F180&lt;&gt;"",売分析!F180,"")</f>
        <v>5750</v>
      </c>
      <c r="G180" s="333">
        <f>IF(売分析!H180&lt;&gt;"",売分析!H180,"")</f>
        <v>5770</v>
      </c>
      <c r="H180" s="333">
        <f>IF(売分析!I180&lt;&gt;"",売分析!I180,"")</f>
        <v>5710</v>
      </c>
      <c r="I180" s="212">
        <f>IF(売分析!J180&lt;&gt;"",売分析!J180,"")</f>
        <v>44800</v>
      </c>
      <c r="J180" s="333">
        <f>IF(売分析!AB180&lt;&gt;"",売分析!AB180,"")</f>
        <v>5765.9447004608292</v>
      </c>
      <c r="K180" s="333">
        <f>IF(売分析!AC180&lt;&gt;"",売分析!AC180,"")</f>
        <v>5441.9427890345632</v>
      </c>
      <c r="L180" s="333">
        <f>IF(売分析!K180&lt;&gt;"",売分析!K180,"")</f>
        <v>7490</v>
      </c>
      <c r="M180" s="212" t="str">
        <f>IF(売分析!P180&lt;&gt;"",売分析!P180,"")</f>
        <v>減少↓</v>
      </c>
      <c r="N180" s="335">
        <f>IF(売分析!O180&lt;&gt;"",売分析!O180,"")</f>
        <v>0.37159920371599203</v>
      </c>
      <c r="O180" s="337">
        <f>IF(売分析!X180&lt;&gt;"",売分析!X180,"")</f>
        <v>-21.646977579117447</v>
      </c>
      <c r="P180" s="334">
        <f>IF(売分析!L180&lt;&gt;"",売分析!L180,"")</f>
        <v>-23.364485981308412</v>
      </c>
      <c r="Q180" s="333">
        <f>IF(売分析!S180&lt;&gt;"",売分析!S180,"")</f>
        <v>5970</v>
      </c>
      <c r="R180" s="333">
        <f>IF(売分析!R180&lt;&gt;"",売分析!R180,"")</f>
        <v>5281</v>
      </c>
      <c r="S180" s="212" t="str">
        <f>IF(売分析!AA180&lt;&gt;"",売分析!AA180,"")</f>
        <v>下落▼</v>
      </c>
      <c r="T180" s="338">
        <f>IF(売分析!Z180&lt;&gt;"",売分析!Z180,"")</f>
        <v>-0.69204152249134954</v>
      </c>
      <c r="U180" s="212" t="str">
        <f>IF(売分析!V180&lt;&gt;"",売分析!V180,"")</f>
        <v>通常</v>
      </c>
      <c r="V180" s="336">
        <f>IF(売分析!W180&lt;&gt;"",売分析!W180,"")</f>
        <v>50.918196994991654</v>
      </c>
      <c r="W180" s="212" t="str">
        <f>IF(売分析!AD180&lt;&gt;"",売分析!AD180,"")</f>
        <v>上昇トレンド▲</v>
      </c>
      <c r="X180" s="212" t="str">
        <f>IF(売分析!AE180&lt;&gt;"",売分析!AE180,"")</f>
        <v>5日戻り売り○</v>
      </c>
      <c r="Y180" s="388">
        <f>IF(売分析!T180&lt;&gt;"",売分析!T180,"")</f>
        <v>3</v>
      </c>
      <c r="Z180" s="212" t="str">
        <f>IF(売分析!Y180&lt;&gt;"",売分析!Y180,"")</f>
        <v>相場上昇・見送り | 上昇トレンド▲ 5日戻り売り○ MACD- RSI:50.9 前日比:-0.7%前日[長い下ヒゲ(反発)]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4505</v>
      </c>
      <c r="F181" s="326">
        <f>IF(売分析!F181&lt;&gt;"",売分析!F181,"")</f>
        <v>4560</v>
      </c>
      <c r="G181" s="326">
        <f>IF(売分析!H181&lt;&gt;"",売分析!H181,"")</f>
        <v>4573</v>
      </c>
      <c r="H181" s="326">
        <f>IF(売分析!I181&lt;&gt;"",売分析!I181,"")</f>
        <v>4484</v>
      </c>
      <c r="I181" s="325">
        <f>IF(売分析!J181&lt;&gt;"",売分析!J181,"")</f>
        <v>1092700</v>
      </c>
      <c r="J181" s="326">
        <f>IF(売分析!AB181&lt;&gt;"",売分析!AB181,"")</f>
        <v>4637.6797235023041</v>
      </c>
      <c r="K181" s="326">
        <f>IF(売分析!AC181&lt;&gt;"",売分析!AC181,"")</f>
        <v>4633.1072705601891</v>
      </c>
      <c r="L181" s="326">
        <f>IF(売分析!K181&lt;&gt;"",売分析!K181,"")</f>
        <v>5805</v>
      </c>
      <c r="M181" s="325" t="str">
        <f>IF(売分析!P181&lt;&gt;"",売分析!P181,"")</f>
        <v>減少↓</v>
      </c>
      <c r="N181" s="328">
        <f>IF(売分析!O181&lt;&gt;"",売分析!O181,"")</f>
        <v>0.44827246695493073</v>
      </c>
      <c r="O181" s="330">
        <f>IF(売分析!X181&lt;&gt;"",売分析!X181,"")</f>
        <v>21.087603835392656</v>
      </c>
      <c r="P181" s="327">
        <f>IF(売分析!L181&lt;&gt;"",売分析!L181,"")</f>
        <v>-22.394487510766581</v>
      </c>
      <c r="Q181" s="326">
        <f>IF(売分析!S181&lt;&gt;"",売分析!S181,"")</f>
        <v>4685</v>
      </c>
      <c r="R181" s="326">
        <f>IF(売分析!R181&lt;&gt;"",売分析!R181,"")</f>
        <v>4145</v>
      </c>
      <c r="S181" s="325" t="str">
        <f>IF(売分析!AA181&lt;&gt;"",売分析!AA181,"")</f>
        <v>下落▼</v>
      </c>
      <c r="T181" s="331">
        <f>IF(売分析!Z181&lt;&gt;"",売分析!Z181,"")</f>
        <v>-1.7233856893542756</v>
      </c>
      <c r="U181" s="325" t="str">
        <f>IF(売分析!V181&lt;&gt;"",売分析!V181,"")</f>
        <v>通常</v>
      </c>
      <c r="V181" s="329">
        <f>IF(売分析!W181&lt;&gt;"",売分析!W181,"")</f>
        <v>52.457142857142856</v>
      </c>
      <c r="W181" s="325" t="str">
        <f>IF(売分析!AD181&lt;&gt;"",売分析!AD181,"")</f>
        <v>もみ合い→</v>
      </c>
      <c r="X181" s="325" t="str">
        <f>IF(売分析!AE181&lt;&gt;"",売分析!AE181,"")</f>
        <v>なし</v>
      </c>
      <c r="Y181" s="387">
        <f>IF(売分析!T181&lt;&gt;"",売分析!T181,"")</f>
        <v>3</v>
      </c>
      <c r="Z181" s="325" t="str">
        <f>IF(売分析!Y181&lt;&gt;"",売分析!Y181,"")</f>
        <v>相場上昇・見送り | もみ合い→ MACD+ RSI:52.5 前日比:-1.7% [3点]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6831</v>
      </c>
      <c r="F182" s="333">
        <f>IF(売分析!F182&lt;&gt;"",売分析!F182,"")</f>
        <v>6758</v>
      </c>
      <c r="G182" s="333">
        <f>IF(売分析!H182&lt;&gt;"",売分析!H182,"")</f>
        <v>6835</v>
      </c>
      <c r="H182" s="333">
        <f>IF(売分析!I182&lt;&gt;"",売分析!I182,"")</f>
        <v>6671</v>
      </c>
      <c r="I182" s="212">
        <f>IF(売分析!J182&lt;&gt;"",売分析!J182,"")</f>
        <v>2973600</v>
      </c>
      <c r="J182" s="333">
        <f>IF(売分析!AB182&lt;&gt;"",売分析!AB182,"")</f>
        <v>6896.9285714285716</v>
      </c>
      <c r="K182" s="333">
        <f>IF(売分析!AC182&lt;&gt;"",売分析!AC182,"")</f>
        <v>6537.460071513703</v>
      </c>
      <c r="L182" s="333">
        <f>IF(売分析!K182&lt;&gt;"",売分析!K182,"")</f>
        <v>7218</v>
      </c>
      <c r="M182" s="212" t="str">
        <f>IF(売分析!P182&lt;&gt;"",売分析!P182,"")</f>
        <v>減少↓</v>
      </c>
      <c r="N182" s="335">
        <f>IF(売分析!O182&lt;&gt;"",売分析!O182,"")</f>
        <v>0.42509999914225183</v>
      </c>
      <c r="O182" s="337">
        <f>IF(売分析!X182&lt;&gt;"",売分析!X182,"")</f>
        <v>106.41490771735153</v>
      </c>
      <c r="P182" s="334">
        <f>IF(売分析!L182&lt;&gt;"",売分析!L182,"")</f>
        <v>-5.3615960099750621</v>
      </c>
      <c r="Q182" s="333">
        <f>IF(売分析!S182&lt;&gt;"",売分析!S182,"")</f>
        <v>7104</v>
      </c>
      <c r="R182" s="333">
        <f>IF(売分析!R182&lt;&gt;"",売分析!R182,"")</f>
        <v>6285</v>
      </c>
      <c r="S182" s="212" t="str">
        <f>IF(売分析!AA182&lt;&gt;"",売分析!AA182,"")</f>
        <v>下落▼</v>
      </c>
      <c r="T182" s="338">
        <f>IF(売分析!Z182&lt;&gt;"",売分析!Z182,"")</f>
        <v>-2.3166023166023164</v>
      </c>
      <c r="U182" s="212" t="str">
        <f>IF(売分析!V182&lt;&gt;"",売分析!V182,"")</f>
        <v>通常</v>
      </c>
      <c r="V182" s="336">
        <f>IF(売分析!W182&lt;&gt;"",売分析!W182,"")</f>
        <v>77.90988735919899</v>
      </c>
      <c r="W182" s="212" t="str">
        <f>IF(売分析!AD182&lt;&gt;"",売分析!AD182,"")</f>
        <v>上昇トレンド▲</v>
      </c>
      <c r="X182" s="212" t="str">
        <f>IF(売分析!AE182&lt;&gt;"",売分析!AE182,"")</f>
        <v>5日戻り売り○</v>
      </c>
      <c r="Y182" s="388">
        <f>IF(売分析!T182&lt;&gt;"",売分析!T182,"")</f>
        <v>1</v>
      </c>
      <c r="Z182" s="212" t="str">
        <f>IF(売分析!Y182&lt;&gt;"",売分析!Y182,"")</f>
        <v>◎反落確認 | 上昇トレンド▲ 5日戻り売り○ MACD+ RSI:77.9 [過熱] 前日比:-2.3% [長い下ヒゲ(反発警戒)]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1629</v>
      </c>
      <c r="F183" s="326">
        <f>IF(売分析!F183&lt;&gt;"",売分析!F183,"")</f>
        <v>1610</v>
      </c>
      <c r="G183" s="326">
        <f>IF(売分析!H183&lt;&gt;"",売分析!H183,"")</f>
        <v>1639.5</v>
      </c>
      <c r="H183" s="326">
        <f>IF(売分析!I183&lt;&gt;"",売分析!I183,"")</f>
        <v>1605</v>
      </c>
      <c r="I183" s="325">
        <f>IF(売分析!J183&lt;&gt;"",売分析!J183,"")</f>
        <v>5390900</v>
      </c>
      <c r="J183" s="326">
        <f>IF(売分析!AB183&lt;&gt;"",売分析!AB183,"")</f>
        <v>1666.6491935483871</v>
      </c>
      <c r="K183" s="326">
        <f>IF(売分析!AC183&lt;&gt;"",売分析!AC183,"")</f>
        <v>1793.0679380214533</v>
      </c>
      <c r="L183" s="326">
        <f>IF(売分析!K183&lt;&gt;"",売分析!K183,"")</f>
        <v>1906</v>
      </c>
      <c r="M183" s="325" t="str">
        <f>IF(売分析!P183&lt;&gt;"",売分析!P183,"")</f>
        <v>減少↓</v>
      </c>
      <c r="N183" s="328">
        <f>IF(売分析!O183&lt;&gt;"",売分析!O183,"")</f>
        <v>0.53694650953394052</v>
      </c>
      <c r="O183" s="330">
        <f>IF(売分析!X183&lt;&gt;"",売分析!X183,"")</f>
        <v>-18.90746162020946</v>
      </c>
      <c r="P183" s="327">
        <f>IF(売分析!L183&lt;&gt;"",売分析!L183,"")</f>
        <v>-14.53305351521511</v>
      </c>
      <c r="Q183" s="326">
        <f>IF(売分析!S183&lt;&gt;"",売分析!S183,"")</f>
        <v>1694</v>
      </c>
      <c r="R183" s="326">
        <f>IF(売分析!R183&lt;&gt;"",売分析!R183,"")</f>
        <v>1499</v>
      </c>
      <c r="S183" s="325" t="str">
        <f>IF(売分析!AA183&lt;&gt;"",売分析!AA183,"")</f>
        <v>下落▼</v>
      </c>
      <c r="T183" s="331">
        <f>IF(売分析!Z183&lt;&gt;"",売分析!Z183,"")</f>
        <v>-1.1229135053110775</v>
      </c>
      <c r="U183" s="325" t="str">
        <f>IF(売分析!V183&lt;&gt;"",売分析!V183,"")</f>
        <v>通常</v>
      </c>
      <c r="V183" s="329">
        <f>IF(売分析!W183&lt;&gt;"",売分析!W183,"")</f>
        <v>32.389937106918239</v>
      </c>
      <c r="W183" s="325" t="str">
        <f>IF(売分析!AD183&lt;&gt;"",売分析!AD183,"")</f>
        <v>下降トレンド▼</v>
      </c>
      <c r="X183" s="325" t="str">
        <f>IF(売分析!AE183&lt;&gt;"",売分析!AE183,"")</f>
        <v>なし</v>
      </c>
      <c r="Y183" s="387">
        <f>IF(売分析!T183&lt;&gt;"",売分析!T183,"")</f>
        <v>9</v>
      </c>
      <c r="Z183" s="325" t="str">
        <f>IF(売分析!Y183&lt;&gt;"",売分析!Y183,"")</f>
        <v>相場上昇・見送り | 下降トレンド▼ MACD- RSI:32.4 前日比:-1.1% [9点]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4507</v>
      </c>
      <c r="F184" s="333">
        <f>IF(売分析!F184&lt;&gt;"",売分析!F184,"")</f>
        <v>4590</v>
      </c>
      <c r="G184" s="333">
        <f>IF(売分析!H184&lt;&gt;"",売分析!H184,"")</f>
        <v>4607</v>
      </c>
      <c r="H184" s="333">
        <f>IF(売分析!I184&lt;&gt;"",売分析!I184,"")</f>
        <v>4476</v>
      </c>
      <c r="I184" s="212">
        <f>IF(売分析!J184&lt;&gt;"",売分析!J184,"")</f>
        <v>971300</v>
      </c>
      <c r="J184" s="333">
        <f>IF(売分析!AB184&lt;&gt;"",売分析!AB184,"")</f>
        <v>4749.9585253456216</v>
      </c>
      <c r="K184" s="333">
        <f>IF(売分析!AC184&lt;&gt;"",売分析!AC184,"")</f>
        <v>4606.6853396901051</v>
      </c>
      <c r="L184" s="333">
        <f>IF(売分析!K184&lt;&gt;"",売分析!K184,"")</f>
        <v>5243</v>
      </c>
      <c r="M184" s="212" t="str">
        <f>IF(売分析!P184&lt;&gt;"",売分析!P184,"")</f>
        <v>減少↓</v>
      </c>
      <c r="N184" s="335">
        <f>IF(売分析!O184&lt;&gt;"",売分析!O184,"")</f>
        <v>0.39050375909620871</v>
      </c>
      <c r="O184" s="337">
        <f>IF(売分析!X184&lt;&gt;"",売分析!X184,"")</f>
        <v>78.470936040983361</v>
      </c>
      <c r="P184" s="334">
        <f>IF(売分析!L184&lt;&gt;"",売分析!L184,"")</f>
        <v>-14.037764638565706</v>
      </c>
      <c r="Q184" s="333">
        <f>IF(売分析!S184&lt;&gt;"",売分析!S184,"")</f>
        <v>4687</v>
      </c>
      <c r="R184" s="333">
        <f>IF(売分析!R184&lt;&gt;"",売分析!R184,"")</f>
        <v>4146</v>
      </c>
      <c r="S184" s="212" t="str">
        <f>IF(売分析!AA184&lt;&gt;"",売分析!AA184,"")</f>
        <v>下落▼</v>
      </c>
      <c r="T184" s="338">
        <f>IF(売分析!Z184&lt;&gt;"",売分析!Z184,"")</f>
        <v>-3.2001718213058417</v>
      </c>
      <c r="U184" s="212" t="str">
        <f>IF(売分析!V184&lt;&gt;"",売分析!V184,"")</f>
        <v>通常</v>
      </c>
      <c r="V184" s="336">
        <f>IF(売分析!W184&lt;&gt;"",売分析!W184,"")</f>
        <v>63.228699551569512</v>
      </c>
      <c r="W184" s="212" t="str">
        <f>IF(売分析!AD184&lt;&gt;"",売分析!AD184,"")</f>
        <v>もみ合い→</v>
      </c>
      <c r="X184" s="212" t="str">
        <f>IF(売分析!AE184&lt;&gt;"",売分析!AE184,"")</f>
        <v>なし</v>
      </c>
      <c r="Y184" s="388">
        <f>IF(売分析!T184&lt;&gt;"",売分析!T184,"")</f>
        <v>2</v>
      </c>
      <c r="Z184" s="212" t="str">
        <f>IF(売分析!Y184&lt;&gt;"",売分析!Y184,"")</f>
        <v>相場上昇・見送り | もみ合い→ MACD+ RSI:63.2 前日比:-3.2% [2点]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4360</v>
      </c>
      <c r="F185" s="326">
        <f>IF(売分析!F185&lt;&gt;"",売分析!F185,"")</f>
        <v>4389</v>
      </c>
      <c r="G185" s="326">
        <f>IF(売分析!H185&lt;&gt;"",売分析!H185,"")</f>
        <v>4409</v>
      </c>
      <c r="H185" s="326">
        <f>IF(売分析!I185&lt;&gt;"",売分析!I185,"")</f>
        <v>4356</v>
      </c>
      <c r="I185" s="325">
        <f>IF(売分析!J185&lt;&gt;"",売分析!J185,"")</f>
        <v>62000</v>
      </c>
      <c r="J185" s="326">
        <f>IF(売分析!AB185&lt;&gt;"",売分析!AB185,"")</f>
        <v>4459.0276497695841</v>
      </c>
      <c r="K185" s="326">
        <f>IF(売分析!AC185&lt;&gt;"",売分析!AC185,"")</f>
        <v>4412.9499404052431</v>
      </c>
      <c r="L185" s="326">
        <f>IF(売分析!K185&lt;&gt;"",売分析!K185,"")</f>
        <v>4664</v>
      </c>
      <c r="M185" s="325" t="str">
        <f>IF(売分析!P185&lt;&gt;"",売分析!P185,"")</f>
        <v>減少↓</v>
      </c>
      <c r="N185" s="328">
        <f>IF(売分析!O185&lt;&gt;"",売分析!O185,"")</f>
        <v>0.22134951802927527</v>
      </c>
      <c r="O185" s="330">
        <f>IF(売分析!X185&lt;&gt;"",売分析!X185,"")</f>
        <v>31.29400093138338</v>
      </c>
      <c r="P185" s="327">
        <f>IF(売分析!L185&lt;&gt;"",売分析!L185,"")</f>
        <v>-6.5180102915951972</v>
      </c>
      <c r="Q185" s="326">
        <f>IF(売分析!S185&lt;&gt;"",売分析!S185,"")</f>
        <v>4534</v>
      </c>
      <c r="R185" s="326">
        <f>IF(売分析!R185&lt;&gt;"",売分析!R185,"")</f>
        <v>4011</v>
      </c>
      <c r="S185" s="325" t="str">
        <f>IF(売分析!AA185&lt;&gt;"",売分析!AA185,"")</f>
        <v>下落▼</v>
      </c>
      <c r="T185" s="331">
        <f>IF(売分析!Z185&lt;&gt;"",売分析!Z185,"")</f>
        <v>-2.3297491039426523</v>
      </c>
      <c r="U185" s="325" t="str">
        <f>IF(売分析!V185&lt;&gt;"",売分析!V185,"")</f>
        <v>通常</v>
      </c>
      <c r="V185" s="329">
        <f>IF(売分析!W185&lt;&gt;"",売分析!W185,"")</f>
        <v>65.390749601275914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RSI:65.4 前日比:-2.3%前日[長い下ヒゲ(反発)]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2105</v>
      </c>
      <c r="F186" s="333">
        <f>IF(売分析!F186&lt;&gt;"",売分析!F186,"")</f>
        <v>2025</v>
      </c>
      <c r="G186" s="333">
        <f>IF(売分析!H186&lt;&gt;"",売分析!H186,"")</f>
        <v>2110</v>
      </c>
      <c r="H186" s="333">
        <f>IF(売分析!I186&lt;&gt;"",売分析!I186,"")</f>
        <v>2011</v>
      </c>
      <c r="I186" s="212">
        <f>IF(売分析!J186&lt;&gt;"",売分析!J186,"")</f>
        <v>1282600</v>
      </c>
      <c r="J186" s="333">
        <f>IF(売分析!AB186&lt;&gt;"",売分析!AB186,"")</f>
        <v>1942.2799539170505</v>
      </c>
      <c r="K186" s="333">
        <f>IF(売分析!AC186&lt;&gt;"",売分析!AC186,"")</f>
        <v>1851.8295589988074</v>
      </c>
      <c r="L186" s="333">
        <f>IF(売分析!K186&lt;&gt;"",売分析!K186,"")</f>
        <v>8760</v>
      </c>
      <c r="M186" s="212" t="str">
        <f>IF(売分析!P186&lt;&gt;"",売分析!P186,"")</f>
        <v>減少↓</v>
      </c>
      <c r="N186" s="335">
        <f>IF(売分析!O186&lt;&gt;"",売分析!O186,"")</f>
        <v>0.68253900679026802</v>
      </c>
      <c r="O186" s="337">
        <f>IF(売分析!X186&lt;&gt;"",売分析!X186,"")</f>
        <v>-20.490357786807635</v>
      </c>
      <c r="P186" s="334">
        <f>IF(売分析!L186&lt;&gt;"",売分析!L186,"")</f>
        <v>-75.970319634703202</v>
      </c>
      <c r="Q186" s="333">
        <f>IF(売分析!S186&lt;&gt;"",売分析!S186,"")</f>
        <v>2189</v>
      </c>
      <c r="R186" s="333">
        <f>IF(売分析!R186&lt;&gt;"",売分析!R186,"")</f>
        <v>1937</v>
      </c>
      <c r="S186" s="212" t="str">
        <f>IF(売分析!AA186&lt;&gt;"",売分析!AA186,"")</f>
        <v>上昇▲</v>
      </c>
      <c r="T186" s="338">
        <f>IF(売分析!Z186&lt;&gt;"",売分析!Z186,"")</f>
        <v>10.964681075382183</v>
      </c>
      <c r="U186" s="212" t="str">
        <f>IF(売分析!V186&lt;&gt;"",売分析!V186,"")</f>
        <v>年初来安値圏●</v>
      </c>
      <c r="V186" s="336">
        <f>IF(売分析!W186&lt;&gt;"",売分析!W186,"")</f>
        <v>49.596260093497662</v>
      </c>
      <c r="W186" s="212" t="str">
        <f>IF(売分析!AD186&lt;&gt;"",売分析!AD186,"")</f>
        <v>パーフェクト▲</v>
      </c>
      <c r="X186" s="212" t="str">
        <f>IF(売分析!AE186&lt;&gt;"",売分析!AE186,"")</f>
        <v>なし</v>
      </c>
      <c r="Y186" s="388">
        <f>IF(売分析!T186&lt;&gt;"",売分析!T186,"")</f>
        <v>12</v>
      </c>
      <c r="Z186" s="212" t="str">
        <f>IF(売分析!Y186&lt;&gt;"",売分析!Y186,"")</f>
        <v>相場上昇・見送り | パーフェクト▲ MACD- RSI:49.6 前日比:+11.0% [年初来安値圏]前日[大陰線▼] [12点]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2638</v>
      </c>
      <c r="F187" s="326">
        <f>IF(売分析!F187&lt;&gt;"",売分析!F187,"")</f>
        <v>2532</v>
      </c>
      <c r="G187" s="326">
        <f>IF(売分析!H187&lt;&gt;"",売分析!H187,"")</f>
        <v>2665</v>
      </c>
      <c r="H187" s="326">
        <f>IF(売分析!I187&lt;&gt;"",売分析!I187,"")</f>
        <v>2526</v>
      </c>
      <c r="I187" s="325">
        <f>IF(売分析!J187&lt;&gt;"",売分析!J187,"")</f>
        <v>619200</v>
      </c>
      <c r="J187" s="326">
        <f>IF(売分析!AB187&lt;&gt;"",売分析!AB187,"")</f>
        <v>2471.3744239631337</v>
      </c>
      <c r="K187" s="326">
        <f>IF(売分析!AC187&lt;&gt;"",売分析!AC187,"")</f>
        <v>2537.1537544696057</v>
      </c>
      <c r="L187" s="326">
        <f>IF(売分析!K187&lt;&gt;"",売分析!K187,"")</f>
        <v>3740</v>
      </c>
      <c r="M187" s="325" t="str">
        <f>IF(売分析!P187&lt;&gt;"",売分析!P187,"")</f>
        <v>減少↓</v>
      </c>
      <c r="N187" s="328">
        <f>IF(売分析!O187&lt;&gt;"",売分析!O187,"")</f>
        <v>0.57778441325768881</v>
      </c>
      <c r="O187" s="330">
        <f>IF(売分析!X187&lt;&gt;"",売分析!X187,"")</f>
        <v>-30.779252026953145</v>
      </c>
      <c r="P187" s="327">
        <f>IF(売分析!L187&lt;&gt;"",売分析!L187,"")</f>
        <v>-29.465240641711233</v>
      </c>
      <c r="Q187" s="326">
        <f>IF(売分析!S187&lt;&gt;"",売分析!S187,"")</f>
        <v>2744</v>
      </c>
      <c r="R187" s="326">
        <f>IF(売分析!R187&lt;&gt;"",売分析!R187,"")</f>
        <v>2427</v>
      </c>
      <c r="S187" s="325" t="str">
        <f>IF(売分析!AA187&lt;&gt;"",売分析!AA187,"")</f>
        <v>上昇▲</v>
      </c>
      <c r="T187" s="331">
        <f>IF(売分析!Z187&lt;&gt;"",売分析!Z187,"")</f>
        <v>6.028938906752412</v>
      </c>
      <c r="U187" s="325" t="str">
        <f>IF(売分析!V187&lt;&gt;"",売分析!V187,"")</f>
        <v>安値圏</v>
      </c>
      <c r="V187" s="329">
        <f>IF(売分析!W187&lt;&gt;"",売分析!W187,"")</f>
        <v>45.187793427230048</v>
      </c>
      <c r="W187" s="325" t="str">
        <f>IF(売分析!AD187&lt;&gt;"",売分析!AD187,"")</f>
        <v>上昇トレンド▲</v>
      </c>
      <c r="X187" s="325" t="str">
        <f>IF(売分析!AE187&lt;&gt;"",売分析!AE187,"")</f>
        <v>なし</v>
      </c>
      <c r="Y187" s="387">
        <f>IF(売分析!T187&lt;&gt;"",売分析!T187,"")</f>
        <v>8</v>
      </c>
      <c r="Z187" s="325" t="str">
        <f>IF(売分析!Y187&lt;&gt;"",売分析!Y187,"")</f>
        <v>相場上昇・見送り | 上昇トレンド▲ MACD- RSI:45.2 前日比:+6.0% [安値圏] [8点]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561</v>
      </c>
      <c r="F188" s="333">
        <f>IF(売分析!F188&lt;&gt;"",売分析!F188,"")</f>
        <v>552</v>
      </c>
      <c r="G188" s="333">
        <f>IF(売分析!H188&lt;&gt;"",売分析!H188,"")</f>
        <v>572</v>
      </c>
      <c r="H188" s="333">
        <f>IF(売分析!I188&lt;&gt;"",売分析!I188,"")</f>
        <v>542</v>
      </c>
      <c r="I188" s="212">
        <f>IF(売分析!J188&lt;&gt;"",売分析!J188,"")</f>
        <v>46100</v>
      </c>
      <c r="J188" s="333">
        <f>IF(売分析!AB188&lt;&gt;"",売分析!AB188,"")</f>
        <v>528.5460829493087</v>
      </c>
      <c r="K188" s="333">
        <f>IF(売分析!AC188&lt;&gt;"",売分析!AC188,"")</f>
        <v>534.26102502979711</v>
      </c>
      <c r="L188" s="333">
        <f>IF(売分析!K188&lt;&gt;"",売分析!K188,"")</f>
        <v>1630</v>
      </c>
      <c r="M188" s="212" t="str">
        <f>IF(売分析!P188&lt;&gt;"",売分析!P188,"")</f>
        <v>減少↓</v>
      </c>
      <c r="N188" s="335">
        <f>IF(売分析!O188&lt;&gt;"",売分析!O188,"")</f>
        <v>0.55770626663440603</v>
      </c>
      <c r="O188" s="337">
        <f>IF(売分析!X188&lt;&gt;"",売分析!X188,"")</f>
        <v>-6.1315002845893787</v>
      </c>
      <c r="P188" s="334">
        <f>IF(売分析!L188&lt;&gt;"",売分析!L188,"")</f>
        <v>-65.582822085889575</v>
      </c>
      <c r="Q188" s="333">
        <f>IF(売分析!S188&lt;&gt;"",売分析!S188,"")</f>
        <v>583</v>
      </c>
      <c r="R188" s="333">
        <f>IF(売分析!R188&lt;&gt;"",売分析!R188,"")</f>
        <v>516</v>
      </c>
      <c r="S188" s="212" t="str">
        <f>IF(売分析!AA188&lt;&gt;"",売分析!AA188,"")</f>
        <v>上昇▲</v>
      </c>
      <c r="T188" s="338">
        <f>IF(売分析!Z188&lt;&gt;"",売分析!Z188,"")</f>
        <v>6.4516129032258061</v>
      </c>
      <c r="U188" s="212" t="str">
        <f>IF(売分析!V188&lt;&gt;"",売分析!V188,"")</f>
        <v>年初来安値圏●</v>
      </c>
      <c r="V188" s="336">
        <f>IF(売分析!W188&lt;&gt;"",売分析!W188,"")</f>
        <v>44.71153846153846</v>
      </c>
      <c r="W188" s="212" t="str">
        <f>IF(売分析!AD188&lt;&gt;"",売分析!AD188,"")</f>
        <v>上昇トレンド▲</v>
      </c>
      <c r="X188" s="212" t="str">
        <f>IF(売分析!AE188&lt;&gt;"",売分析!AE188,"")</f>
        <v>なし</v>
      </c>
      <c r="Y188" s="388">
        <f>IF(売分析!T188&lt;&gt;"",売分析!T188,"")</f>
        <v>8</v>
      </c>
      <c r="Z188" s="212" t="str">
        <f>IF(売分析!Y188&lt;&gt;"",売分析!Y188,"")</f>
        <v>相場上昇・見送り | 上昇トレンド▲ MACD- RSI:44.7 前日比:+6.5% [年初来安値圏] [8点]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47</v>
      </c>
      <c r="F189" s="326">
        <f>IF(売分析!F189&lt;&gt;"",売分析!F189,"")</f>
        <v>46</v>
      </c>
      <c r="G189" s="326">
        <f>IF(売分析!H189&lt;&gt;"",売分析!H189,"")</f>
        <v>48</v>
      </c>
      <c r="H189" s="326">
        <f>IF(売分析!I189&lt;&gt;"",売分析!I189,"")</f>
        <v>46</v>
      </c>
      <c r="I189" s="325">
        <f>IF(売分析!J189&lt;&gt;"",売分析!J189,"")</f>
        <v>6248600</v>
      </c>
      <c r="J189" s="326">
        <f>IF(売分析!AB189&lt;&gt;"",売分析!AB189,"")</f>
        <v>46.672811059907829</v>
      </c>
      <c r="K189" s="326">
        <f>IF(売分析!AC189&lt;&gt;"",売分析!AC189,"")</f>
        <v>45.970202622169225</v>
      </c>
      <c r="L189" s="326">
        <f>IF(売分析!K189&lt;&gt;"",売分析!K189,"")</f>
        <v>164</v>
      </c>
      <c r="M189" s="325" t="str">
        <f>IF(売分析!P189&lt;&gt;"",売分析!P189,"")</f>
        <v>減少↓</v>
      </c>
      <c r="N189" s="328">
        <f>IF(売分析!O189&lt;&gt;"",売分析!O189,"")</f>
        <v>0.39705162827640983</v>
      </c>
      <c r="O189" s="330">
        <f>IF(売分析!X189&lt;&gt;"",売分析!X189,"")</f>
        <v>-1.2017083334991696</v>
      </c>
      <c r="P189" s="327">
        <f>IF(売分析!L189&lt;&gt;"",売分析!L189,"")</f>
        <v>-71.341463414634148</v>
      </c>
      <c r="Q189" s="326">
        <f>IF(売分析!S189&lt;&gt;"",売分析!S189,"")</f>
        <v>49</v>
      </c>
      <c r="R189" s="326">
        <f>IF(売分析!R189&lt;&gt;"",売分析!R189,"")</f>
        <v>43</v>
      </c>
      <c r="S189" s="325" t="str">
        <f>IF(売分析!AA189&lt;&gt;"",売分析!AA189,"")</f>
        <v>横ばい→</v>
      </c>
      <c r="T189" s="331">
        <f>IF(売分析!Z189&lt;&gt;"",売分析!Z189,"")</f>
        <v>0</v>
      </c>
      <c r="U189" s="325" t="str">
        <f>IF(売分析!V189&lt;&gt;"",売分析!V189,"")</f>
        <v>年初来安値圏●</v>
      </c>
      <c r="V189" s="329">
        <f>IF(売分析!W189&lt;&gt;"",売分析!W189,"")</f>
        <v>47.787610619469028</v>
      </c>
      <c r="W189" s="325" t="str">
        <f>IF(売分析!AD189&lt;&gt;"",売分析!AD189,"")</f>
        <v>パーフェクト▲</v>
      </c>
      <c r="X189" s="325" t="str">
        <f>IF(売分析!AE189&lt;&gt;"",売分析!AE189,"")</f>
        <v>なし</v>
      </c>
      <c r="Y189" s="387">
        <f>IF(売分析!T189&lt;&gt;"",売分析!T189,"")</f>
        <v>8</v>
      </c>
      <c r="Z189" s="325" t="str">
        <f>IF(売分析!Y189&lt;&gt;"",売分析!Y189,"")</f>
        <v>相場上昇・見送り | パーフェクト▲ MACD- RSI:47.8 前日比:0.0% [年初来安値圏]前日[長い下ヒゲ(反発)] [8点]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1161</v>
      </c>
      <c r="F190" s="333">
        <f>IF(売分析!F190&lt;&gt;"",売分析!F190,"")</f>
        <v>1138</v>
      </c>
      <c r="G190" s="333">
        <f>IF(売分析!H190&lt;&gt;"",売分析!H190,"")</f>
        <v>1170</v>
      </c>
      <c r="H190" s="333">
        <f>IF(売分析!I190&lt;&gt;"",売分析!I190,"")</f>
        <v>1134</v>
      </c>
      <c r="I190" s="212">
        <f>IF(売分析!J190&lt;&gt;"",売分析!J190,"")</f>
        <v>11100</v>
      </c>
      <c r="J190" s="333" t="str">
        <f>IF(売分析!AB190&lt;&gt;"",売分析!AB190,"")</f>
        <v/>
      </c>
      <c r="K190" s="333" t="str">
        <f>IF(売分析!AC190&lt;&gt;"",売分析!AC190,"")</f>
        <v/>
      </c>
      <c r="L190" s="333">
        <f>IF(売分析!K190&lt;&gt;"",売分析!K190,"")</f>
        <v>2660</v>
      </c>
      <c r="M190" s="212" t="str">
        <f>IF(売分析!P190&lt;&gt;"",売分析!P190,"")</f>
        <v/>
      </c>
      <c r="N190" s="335" t="str">
        <f>IF(売分析!O190&lt;&gt;"",売分析!O190,"")</f>
        <v/>
      </c>
      <c r="O190" s="337">
        <f>IF(売分析!X190&lt;&gt;"",売分析!X190,"")</f>
        <v>0</v>
      </c>
      <c r="P190" s="334">
        <f>IF(売分析!L190&lt;&gt;"",売分析!L190,"")</f>
        <v>-56.353383458646618</v>
      </c>
      <c r="Q190" s="333">
        <f>IF(売分析!S190&lt;&gt;"",売分析!S190,"")</f>
        <v>1207</v>
      </c>
      <c r="R190" s="333">
        <f>IF(売分析!R190&lt;&gt;"",売分析!R190,"")</f>
        <v>1068</v>
      </c>
      <c r="S190" s="212" t="str">
        <f>IF(売分析!AA190&lt;&gt;"",売分析!AA190,"")</f>
        <v>上昇▲</v>
      </c>
      <c r="T190" s="338" t="str">
        <f>IF(売分析!Z190&lt;&gt;"",売分析!Z190,"")</f>
        <v/>
      </c>
      <c r="U190" s="212" t="str">
        <f>IF(売分析!V190&lt;&gt;"",売分析!V190,"")</f>
        <v>年初来安値圏●</v>
      </c>
      <c r="V190" s="336">
        <f>IF(売分析!W190&lt;&gt;"",売分析!W190,"")</f>
        <v>50</v>
      </c>
      <c r="W190" s="212" t="str">
        <f>IF(売分析!AD190&lt;&gt;"",売分析!AD190,"")</f>
        <v/>
      </c>
      <c r="X190" s="212" t="str">
        <f>IF(売分析!AE190&lt;&gt;"",売分析!AE190,"")</f>
        <v/>
      </c>
      <c r="Y190" s="388">
        <f>IF(売分析!T190&lt;&gt;"",売分析!T190,"")</f>
        <v>6</v>
      </c>
      <c r="Z190" s="212" t="str">
        <f>IF(売分析!Y190&lt;&gt;"",売分析!Y190,"")</f>
        <v>相場上昇・見送り |   MACD+ RSI:50.0 前日比:% [年初来安値圏] [6点]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1486</v>
      </c>
      <c r="F191" s="326">
        <f>IF(売分析!F191&lt;&gt;"",売分析!F191,"")</f>
        <v>1449.5</v>
      </c>
      <c r="G191" s="326">
        <f>IF(売分析!H191&lt;&gt;"",売分析!H191,"")</f>
        <v>1501</v>
      </c>
      <c r="H191" s="326">
        <f>IF(売分析!I191&lt;&gt;"",売分析!I191,"")</f>
        <v>1443</v>
      </c>
      <c r="I191" s="325">
        <f>IF(売分析!J191&lt;&gt;"",売分析!J191,"")</f>
        <v>4793300</v>
      </c>
      <c r="J191" s="326">
        <f>IF(売分析!AB191&lt;&gt;"",売分析!AB191,"")</f>
        <v>1447.6417050691243</v>
      </c>
      <c r="K191" s="326">
        <f>IF(売分析!AC191&lt;&gt;"",売分析!AC191,"")</f>
        <v>1443.8092967818827</v>
      </c>
      <c r="L191" s="326">
        <f>IF(売分析!K191&lt;&gt;"",売分析!K191,"")</f>
        <v>2200</v>
      </c>
      <c r="M191" s="325" t="str">
        <f>IF(売分析!P191&lt;&gt;"",売分析!P191,"")</f>
        <v>減少↓</v>
      </c>
      <c r="N191" s="328">
        <f>IF(売分析!O191&lt;&gt;"",売分析!O191,"")</f>
        <v>0.80108899837552727</v>
      </c>
      <c r="O191" s="330">
        <f>IF(売分析!X191&lt;&gt;"",売分析!X191,"")</f>
        <v>-0.44804747670536926</v>
      </c>
      <c r="P191" s="327">
        <f>IF(売分析!L191&lt;&gt;"",売分析!L191,"")</f>
        <v>-32.454545454545453</v>
      </c>
      <c r="Q191" s="326">
        <f>IF(売分析!S191&lt;&gt;"",売分析!S191,"")</f>
        <v>1545</v>
      </c>
      <c r="R191" s="326">
        <f>IF(売分析!R191&lt;&gt;"",売分析!R191,"")</f>
        <v>1367</v>
      </c>
      <c r="S191" s="325" t="str">
        <f>IF(売分析!AA191&lt;&gt;"",売分析!AA191,"")</f>
        <v>上昇▲</v>
      </c>
      <c r="T191" s="331">
        <f>IF(売分析!Z191&lt;&gt;"",売分析!Z191,"")</f>
        <v>2.2711631108052308</v>
      </c>
      <c r="U191" s="325" t="str">
        <f>IF(売分析!V191&lt;&gt;"",売分析!V191,"")</f>
        <v>安値圏</v>
      </c>
      <c r="V191" s="329">
        <f>IF(売分析!W191&lt;&gt;"",売分析!W191,"")</f>
        <v>51.293103448275865</v>
      </c>
      <c r="W191" s="325" t="str">
        <f>IF(売分析!AD191&lt;&gt;"",売分析!AD191,"")</f>
        <v>パーフェクト▲</v>
      </c>
      <c r="X191" s="325" t="str">
        <f>IF(売分析!AE191&lt;&gt;"",売分析!AE191,"")</f>
        <v>なし</v>
      </c>
      <c r="Y191" s="387">
        <f>IF(売分析!T191&lt;&gt;"",売分析!T191,"")</f>
        <v>8</v>
      </c>
      <c r="Z191" s="325" t="str">
        <f>IF(売分析!Y191&lt;&gt;"",売分析!Y191,"")</f>
        <v>相場上昇・見送り | パーフェクト▲ MACD- RSI:51.3 前日比:+2.3% [安値圏]前日[大陰線▼] [8点]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714</v>
      </c>
      <c r="F192" s="333">
        <f>IF(売分析!F192&lt;&gt;"",売分析!F192,"")</f>
        <v>706</v>
      </c>
      <c r="G192" s="333">
        <f>IF(売分析!H192&lt;&gt;"",売分析!H192,"")</f>
        <v>716</v>
      </c>
      <c r="H192" s="333">
        <f>IF(売分析!I192&lt;&gt;"",売分析!I192,"")</f>
        <v>706</v>
      </c>
      <c r="I192" s="212">
        <f>IF(売分析!J192&lt;&gt;"",売分析!J192,"")</f>
        <v>31600</v>
      </c>
      <c r="J192" s="333">
        <f>IF(売分析!AB192&lt;&gt;"",売分析!AB192,"")</f>
        <v>702.98732718893996</v>
      </c>
      <c r="K192" s="333">
        <f>IF(売分析!AC192&lt;&gt;"",売分析!AC192,"")</f>
        <v>668.7306317044098</v>
      </c>
      <c r="L192" s="333">
        <f>IF(売分析!K192&lt;&gt;"",売分析!K192,"")</f>
        <v>995</v>
      </c>
      <c r="M192" s="212" t="str">
        <f>IF(売分析!P192&lt;&gt;"",売分析!P192,"")</f>
        <v>減少↓</v>
      </c>
      <c r="N192" s="335">
        <f>IF(売分析!O192&lt;&gt;"",売分析!O192,"")</f>
        <v>0.84946236559139787</v>
      </c>
      <c r="O192" s="337">
        <f>IF(売分析!X192&lt;&gt;"",売分析!X192,"")</f>
        <v>-6.0150155827715253</v>
      </c>
      <c r="P192" s="334">
        <f>IF(売分析!L192&lt;&gt;"",売分析!L192,"")</f>
        <v>-28.241206030150757</v>
      </c>
      <c r="Q192" s="333">
        <f>IF(売分析!S192&lt;&gt;"",売分析!S192,"")</f>
        <v>743</v>
      </c>
      <c r="R192" s="333">
        <f>IF(売分析!R192&lt;&gt;"",売分析!R192,"")</f>
        <v>657</v>
      </c>
      <c r="S192" s="212" t="str">
        <f>IF(売分析!AA192&lt;&gt;"",売分析!AA192,"")</f>
        <v>上昇▲</v>
      </c>
      <c r="T192" s="338">
        <f>IF(売分析!Z192&lt;&gt;"",売分析!Z192,"")</f>
        <v>1.2765957446808509</v>
      </c>
      <c r="U192" s="212" t="str">
        <f>IF(売分析!V192&lt;&gt;"",売分析!V192,"")</f>
        <v>安値圏</v>
      </c>
      <c r="V192" s="336">
        <f>IF(売分析!W192&lt;&gt;"",売分析!W192,"")</f>
        <v>50.436534586971128</v>
      </c>
      <c r="W192" s="212" t="str">
        <f>IF(売分析!AD192&lt;&gt;"",売分析!AD192,"")</f>
        <v>パーフェクト▲</v>
      </c>
      <c r="X192" s="212" t="str">
        <f>IF(売分析!AE192&lt;&gt;"",売分析!AE192,"")</f>
        <v>なし</v>
      </c>
      <c r="Y192" s="388">
        <f>IF(売分析!T192&lt;&gt;"",売分析!T192,"")</f>
        <v>7</v>
      </c>
      <c r="Z192" s="212" t="str">
        <f>IF(売分析!Y192&lt;&gt;"",売分析!Y192,"")</f>
        <v>相場上昇・見送り | パーフェクト▲ MACD- RSI:50.4 前日比:+1.3% [安値圏]前日[長い下ヒゲ(反発)] [7点]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1192.5</v>
      </c>
      <c r="F193" s="326">
        <f>IF(売分析!F193&lt;&gt;"",売分析!F193,"")</f>
        <v>1192</v>
      </c>
      <c r="G193" s="326">
        <f>IF(売分析!H193&lt;&gt;"",売分析!H193,"")</f>
        <v>1208</v>
      </c>
      <c r="H193" s="326">
        <f>IF(売分析!I193&lt;&gt;"",売分析!I193,"")</f>
        <v>1188.5</v>
      </c>
      <c r="I193" s="325">
        <f>IF(売分析!J193&lt;&gt;"",売分析!J193,"")</f>
        <v>1241700</v>
      </c>
      <c r="J193" s="326">
        <f>IF(売分析!AB193&lt;&gt;"",売分析!AB193,"")</f>
        <v>1186.1008064516127</v>
      </c>
      <c r="K193" s="326">
        <f>IF(売分析!AC193&lt;&gt;"",売分析!AC193,"")</f>
        <v>1147.7312276519663</v>
      </c>
      <c r="L193" s="326">
        <f>IF(売分析!K193&lt;&gt;"",売分析!K193,"")</f>
        <v>1323</v>
      </c>
      <c r="M193" s="325" t="str">
        <f>IF(売分析!P193&lt;&gt;"",売分析!P193,"")</f>
        <v>減少↓</v>
      </c>
      <c r="N193" s="328">
        <f>IF(売分析!O193&lt;&gt;"",売分析!O193,"")</f>
        <v>0.31179064301641191</v>
      </c>
      <c r="O193" s="330">
        <f>IF(売分析!X193&lt;&gt;"",売分析!X193,"")</f>
        <v>13.686721607713025</v>
      </c>
      <c r="P193" s="327">
        <f>IF(売分析!L193&lt;&gt;"",売分析!L193,"")</f>
        <v>-9.8639455782312915</v>
      </c>
      <c r="Q193" s="326">
        <f>IF(売分析!S193&lt;&gt;"",売分析!S193,"")</f>
        <v>1240</v>
      </c>
      <c r="R193" s="326">
        <f>IF(売分析!R193&lt;&gt;"",売分析!R193,"")</f>
        <v>1097</v>
      </c>
      <c r="S193" s="325" t="str">
        <f>IF(売分析!AA193&lt;&gt;"",売分析!AA193,"")</f>
        <v>上昇▲</v>
      </c>
      <c r="T193" s="331">
        <f>IF(売分析!Z193&lt;&gt;"",売分析!Z193,"")</f>
        <v>0.16799664006719867</v>
      </c>
      <c r="U193" s="325" t="str">
        <f>IF(売分析!V193&lt;&gt;"",売分析!V193,"")</f>
        <v>通常</v>
      </c>
      <c r="V193" s="329">
        <f>IF(売分析!W193&lt;&gt;"",売分析!W193,"")</f>
        <v>78.71148459383754</v>
      </c>
      <c r="W193" s="325" t="str">
        <f>IF(売分析!AD193&lt;&gt;"",売分析!AD193,"")</f>
        <v>パーフェクト▲</v>
      </c>
      <c r="X193" s="325" t="str">
        <f>IF(売分析!AE193&lt;&gt;"",売分析!AE193,"")</f>
        <v>なし</v>
      </c>
      <c r="Y193" s="387">
        <f>IF(売分析!T193&lt;&gt;"",売分析!T193,"")</f>
        <v>-1</v>
      </c>
      <c r="Z193" s="325" t="str">
        <f>IF(売分析!Y193&lt;&gt;"",売分析!Y193,"")</f>
        <v>△過熱・様子見 | パーフェクト▲ MACD+ RSI:78.7 [過熱] 前日比:+0.2%前日[長い下ヒゲ(反発)] [-1点]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1576</v>
      </c>
      <c r="F194" s="333">
        <f>IF(売分析!F194&lt;&gt;"",売分析!F194,"")</f>
        <v>1580</v>
      </c>
      <c r="G194" s="333">
        <f>IF(売分析!H194&lt;&gt;"",売分析!H194,"")</f>
        <v>1592</v>
      </c>
      <c r="H194" s="333">
        <f>IF(売分析!I194&lt;&gt;"",売分析!I194,"")</f>
        <v>1571</v>
      </c>
      <c r="I194" s="212">
        <f>IF(売分析!J194&lt;&gt;"",売分析!J194,"")</f>
        <v>9700</v>
      </c>
      <c r="J194" s="333">
        <f>IF(売分析!AB194&lt;&gt;"",売分析!AB194,"")</f>
        <v>1575.1900921658985</v>
      </c>
      <c r="K194" s="333">
        <f>IF(売分析!AC194&lt;&gt;"",売分析!AC194,"")</f>
        <v>1557.99284862932</v>
      </c>
      <c r="L194" s="333">
        <f>IF(売分析!K194&lt;&gt;"",売分析!K194,"")</f>
        <v>1787</v>
      </c>
      <c r="M194" s="212" t="str">
        <f>IF(売分析!P194&lt;&gt;"",売分析!P194,"")</f>
        <v>減少↓</v>
      </c>
      <c r="N194" s="335">
        <f>IF(売分析!O194&lt;&gt;"",売分析!O194,"")</f>
        <v>0.37307692307692308</v>
      </c>
      <c r="O194" s="337">
        <f>IF(売分析!X194&lt;&gt;"",売分析!X194,"")</f>
        <v>5.1979031917819611</v>
      </c>
      <c r="P194" s="334">
        <f>IF(売分析!L194&lt;&gt;"",売分析!L194,"")</f>
        <v>-11.807498601007275</v>
      </c>
      <c r="Q194" s="333">
        <f>IF(売分析!S194&lt;&gt;"",売分析!S194,"")</f>
        <v>1639</v>
      </c>
      <c r="R194" s="333">
        <f>IF(売分析!R194&lt;&gt;"",売分析!R194,"")</f>
        <v>1450</v>
      </c>
      <c r="S194" s="212" t="str">
        <f>IF(売分析!AA194&lt;&gt;"",売分析!AA194,"")</f>
        <v>上昇▲</v>
      </c>
      <c r="T194" s="338">
        <f>IF(売分析!Z194&lt;&gt;"",売分析!Z194,"")</f>
        <v>0.44614404079031234</v>
      </c>
      <c r="U194" s="212" t="str">
        <f>IF(売分析!V194&lt;&gt;"",売分析!V194,"")</f>
        <v>通常</v>
      </c>
      <c r="V194" s="336">
        <f>IF(売分析!W194&lt;&gt;"",売分析!W194,"")</f>
        <v>58.720930232558146</v>
      </c>
      <c r="W194" s="212" t="str">
        <f>IF(売分析!AD194&lt;&gt;"",売分析!AD194,"")</f>
        <v>パーフェクト▲</v>
      </c>
      <c r="X194" s="212" t="str">
        <f>IF(売分析!AE194&lt;&gt;"",売分析!AE194,"")</f>
        <v>なし</v>
      </c>
      <c r="Y194" s="388">
        <f>IF(売分析!T194&lt;&gt;"",売分析!T194,"")</f>
        <v>-3</v>
      </c>
      <c r="Z194" s="212" t="str">
        <f>IF(売分析!Y194&lt;&gt;"",売分析!Y194,"")</f>
        <v>相場上昇・見送り | パーフェクト▲ MACD+ RSI:58.7 前日比:+0.4%前日[長い下ヒゲ(反発)] [-3点]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1604</v>
      </c>
      <c r="F195" s="326">
        <f>IF(売分析!F195&lt;&gt;"",売分析!F195,"")</f>
        <v>1605</v>
      </c>
      <c r="G195" s="326">
        <f>IF(売分析!H195&lt;&gt;"",売分析!H195,"")</f>
        <v>1619</v>
      </c>
      <c r="H195" s="326">
        <f>IF(売分析!I195&lt;&gt;"",売分析!I195,"")</f>
        <v>1601.5</v>
      </c>
      <c r="I195" s="325">
        <f>IF(売分析!J195&lt;&gt;"",売分析!J195,"")</f>
        <v>252700</v>
      </c>
      <c r="J195" s="326">
        <f>IF(売分析!AB195&lt;&gt;"",売分析!AB195,"")</f>
        <v>1632.9285714285716</v>
      </c>
      <c r="K195" s="326">
        <f>IF(売分析!AC195&lt;&gt;"",売分析!AC195,"")</f>
        <v>1670.1257449344448</v>
      </c>
      <c r="L195" s="326">
        <f>IF(売分析!K195&lt;&gt;"",売分析!K195,"")</f>
        <v>2447</v>
      </c>
      <c r="M195" s="325" t="str">
        <f>IF(売分析!P195&lt;&gt;"",売分析!P195,"")</f>
        <v>減少↓</v>
      </c>
      <c r="N195" s="328">
        <f>IF(売分析!O195&lt;&gt;"",売分析!O195,"")</f>
        <v>0.47048966672872833</v>
      </c>
      <c r="O195" s="330">
        <f>IF(売分析!X195&lt;&gt;"",売分析!X195,"")</f>
        <v>-6.5120353527902353</v>
      </c>
      <c r="P195" s="327">
        <f>IF(売分析!L195&lt;&gt;"",売分析!L195,"")</f>
        <v>-34.450347364119331</v>
      </c>
      <c r="Q195" s="326">
        <f>IF(売分析!S195&lt;&gt;"",売分析!S195,"")</f>
        <v>1668</v>
      </c>
      <c r="R195" s="326">
        <f>IF(売分析!R195&lt;&gt;"",売分析!R195,"")</f>
        <v>1476</v>
      </c>
      <c r="S195" s="325" t="str">
        <f>IF(売分析!AA195&lt;&gt;"",売分析!AA195,"")</f>
        <v>下落▼</v>
      </c>
      <c r="T195" s="331">
        <f>IF(売分析!Z195&lt;&gt;"",売分析!Z195,"")</f>
        <v>-0.77327559542220847</v>
      </c>
      <c r="U195" s="325" t="str">
        <f>IF(売分析!V195&lt;&gt;"",売分析!V195,"")</f>
        <v>安値圏</v>
      </c>
      <c r="V195" s="329">
        <f>IF(売分析!W195&lt;&gt;"",売分析!W195,"")</f>
        <v>39.863325740318906</v>
      </c>
      <c r="W195" s="325" t="str">
        <f>IF(売分析!AD195&lt;&gt;"",売分析!AD195,"")</f>
        <v>下降トレンド▼</v>
      </c>
      <c r="X195" s="325" t="str">
        <f>IF(売分析!AE195&lt;&gt;"",売分析!AE195,"")</f>
        <v>なし</v>
      </c>
      <c r="Y195" s="387">
        <f>IF(売分析!T195&lt;&gt;"",売分析!T195,"")</f>
        <v>11</v>
      </c>
      <c r="Z195" s="325" t="str">
        <f>IF(売分析!Y195&lt;&gt;"",売分析!Y195,"")</f>
        <v>相場上昇・見送り | 下降トレンド▼ MACD- RSI:39.9 前日比:-0.8% [安値圏] [11点]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8020</v>
      </c>
      <c r="F196" s="333">
        <f>IF(売分析!F196&lt;&gt;"",売分析!F196,"")</f>
        <v>8140</v>
      </c>
      <c r="G196" s="333">
        <f>IF(売分析!H196&lt;&gt;"",売分析!H196,"")</f>
        <v>8150</v>
      </c>
      <c r="H196" s="333">
        <f>IF(売分析!I196&lt;&gt;"",売分析!I196,"")</f>
        <v>8000</v>
      </c>
      <c r="I196" s="212">
        <f>IF(売分析!J196&lt;&gt;"",売分析!J196,"")</f>
        <v>247000</v>
      </c>
      <c r="J196" s="333">
        <f>IF(売分析!AB196&lt;&gt;"",売分析!AB196,"")</f>
        <v>8153.6866359447004</v>
      </c>
      <c r="K196" s="333">
        <f>IF(売分析!AC196&lt;&gt;"",売分析!AC196,"")</f>
        <v>7461.7401668653129</v>
      </c>
      <c r="L196" s="333">
        <f>IF(売分析!K196&lt;&gt;"",売分析!K196,"")</f>
        <v>8780</v>
      </c>
      <c r="M196" s="212" t="str">
        <f>IF(売分析!P196&lt;&gt;"",売分析!P196,"")</f>
        <v>減少↓</v>
      </c>
      <c r="N196" s="335">
        <f>IF(売分析!O196&lt;&gt;"",売分析!O196,"")</f>
        <v>0.31931947460957699</v>
      </c>
      <c r="O196" s="337">
        <f>IF(売分析!X196&lt;&gt;"",売分析!X196,"")</f>
        <v>5.759575543608662</v>
      </c>
      <c r="P196" s="334">
        <f>IF(売分析!L196&lt;&gt;"",売分析!L196,"")</f>
        <v>-8.6560364464692476</v>
      </c>
      <c r="Q196" s="333">
        <f>IF(売分析!S196&lt;&gt;"",売分析!S196,"")</f>
        <v>8341</v>
      </c>
      <c r="R196" s="333">
        <f>IF(売分析!R196&lt;&gt;"",売分析!R196,"")</f>
        <v>7378</v>
      </c>
      <c r="S196" s="212" t="str">
        <f>IF(売分析!AA196&lt;&gt;"",売分析!AA196,"")</f>
        <v>下落▼</v>
      </c>
      <c r="T196" s="338">
        <f>IF(売分析!Z196&lt;&gt;"",売分析!Z196,"")</f>
        <v>-2.4330900243309004</v>
      </c>
      <c r="U196" s="212" t="str">
        <f>IF(売分析!V196&lt;&gt;"",売分析!V196,"")</f>
        <v>通常</v>
      </c>
      <c r="V196" s="336">
        <f>IF(売分析!W196&lt;&gt;"",売分析!W196,"")</f>
        <v>51.503990178023336</v>
      </c>
      <c r="W196" s="212" t="str">
        <f>IF(売分析!AD196&lt;&gt;"",売分析!AD196,"")</f>
        <v>上昇トレンド▲</v>
      </c>
      <c r="X196" s="212" t="str">
        <f>IF(売分析!AE196&lt;&gt;"",売分析!AE196,"")</f>
        <v>なし</v>
      </c>
      <c r="Y196" s="388">
        <f>IF(売分析!T196&lt;&gt;"",売分析!T196,"")</f>
        <v>2</v>
      </c>
      <c r="Z196" s="212" t="str">
        <f>IF(売分析!Y196&lt;&gt;"",売分析!Y196,"")</f>
        <v>相場上昇・見送り | 上昇トレンド▲ MACD+ RSI:51.5 前日比:-2.4% [大陰線▼]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3979</v>
      </c>
      <c r="F197" s="326">
        <f>IF(売分析!F197&lt;&gt;"",売分析!F197,"")</f>
        <v>4040</v>
      </c>
      <c r="G197" s="326">
        <f>IF(売分析!H197&lt;&gt;"",売分析!H197,"")</f>
        <v>4072</v>
      </c>
      <c r="H197" s="326">
        <f>IF(売分析!I197&lt;&gt;"",売分析!I197,"")</f>
        <v>3887</v>
      </c>
      <c r="I197" s="325">
        <f>IF(売分析!J197&lt;&gt;"",売分析!J197,"")</f>
        <v>23415700</v>
      </c>
      <c r="J197" s="326">
        <f>IF(売分析!AB197&lt;&gt;"",売分析!AB197,"")</f>
        <v>3893.3836405529955</v>
      </c>
      <c r="K197" s="326">
        <f>IF(売分析!AC197&lt;&gt;"",売分析!AC197,"")</f>
        <v>3840.2753277711554</v>
      </c>
      <c r="L197" s="326">
        <f>IF(売分析!K197&lt;&gt;"",売分析!K197,"")</f>
        <v>5208</v>
      </c>
      <c r="M197" s="325" t="str">
        <f>IF(売分析!P197&lt;&gt;"",売分析!P197,"")</f>
        <v>減少↓</v>
      </c>
      <c r="N197" s="328">
        <f>IF(売分析!O197&lt;&gt;"",売分析!O197,"")</f>
        <v>0.88653655685022581</v>
      </c>
      <c r="O197" s="330">
        <f>IF(売分析!X197&lt;&gt;"",売分析!X197,"")</f>
        <v>8.3681355203611929</v>
      </c>
      <c r="P197" s="327">
        <f>IF(売分析!L197&lt;&gt;"",売分析!L197,"")</f>
        <v>-23.598310291858677</v>
      </c>
      <c r="Q197" s="326">
        <f>IF(売分析!S197&lt;&gt;"",売分析!S197,"")</f>
        <v>4138</v>
      </c>
      <c r="R197" s="326">
        <f>IF(売分析!R197&lt;&gt;"",売分析!R197,"")</f>
        <v>3661</v>
      </c>
      <c r="S197" s="325" t="str">
        <f>IF(売分析!AA197&lt;&gt;"",売分析!AA197,"")</f>
        <v>上昇▲</v>
      </c>
      <c r="T197" s="331">
        <f>IF(売分析!Z197&lt;&gt;"",売分析!Z197,"")</f>
        <v>4.738088970781785</v>
      </c>
      <c r="U197" s="325" t="str">
        <f>IF(売分析!V197&lt;&gt;"",売分析!V197,"")</f>
        <v>安値圏</v>
      </c>
      <c r="V197" s="329">
        <f>IF(売分析!W197&lt;&gt;"",売分析!W197,"")</f>
        <v>52.638352638352636</v>
      </c>
      <c r="W197" s="325" t="str">
        <f>IF(売分析!AD197&lt;&gt;"",売分析!AD197,"")</f>
        <v>パーフェクト▲</v>
      </c>
      <c r="X197" s="325" t="str">
        <f>IF(売分析!AE197&lt;&gt;"",売分析!AE197,"")</f>
        <v>なし</v>
      </c>
      <c r="Y197" s="387">
        <f>IF(売分析!T197&lt;&gt;"",売分析!T197,"")</f>
        <v>0</v>
      </c>
      <c r="Z197" s="325" t="str">
        <f>IF(売分析!Y197&lt;&gt;"",売分析!Y197,"")</f>
        <v>相場上昇・見送り | パーフェクト▲ MACD+ RSI:52.6 前日比:+4.7% [安値圏]前日[長い下ヒゲ(反発)] [0点]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1808.5</v>
      </c>
      <c r="F198" s="333">
        <f>IF(売分析!F198&lt;&gt;"",売分析!F198,"")</f>
        <v>1787</v>
      </c>
      <c r="G198" s="333">
        <f>IF(売分析!H198&lt;&gt;"",売分析!H198,"")</f>
        <v>1830</v>
      </c>
      <c r="H198" s="333">
        <f>IF(売分析!I198&lt;&gt;"",売分析!I198,"")</f>
        <v>1782</v>
      </c>
      <c r="I198" s="212">
        <f>IF(売分析!J198&lt;&gt;"",売分析!J198,"")</f>
        <v>2585900</v>
      </c>
      <c r="J198" s="333">
        <f>IF(売分析!AB198&lt;&gt;"",売分析!AB198,"")</f>
        <v>1793.0990783410134</v>
      </c>
      <c r="K198" s="333">
        <f>IF(売分析!AC198&lt;&gt;"",売分析!AC198,"")</f>
        <v>1800.937425506555</v>
      </c>
      <c r="L198" s="333">
        <f>IF(売分析!K198&lt;&gt;"",売分析!K198,"")</f>
        <v>1886.5</v>
      </c>
      <c r="M198" s="212" t="str">
        <f>IF(売分析!P198&lt;&gt;"",売分析!P198,"")</f>
        <v>減少↓</v>
      </c>
      <c r="N198" s="335">
        <f>IF(売分析!O198&lt;&gt;"",売分析!O198,"")</f>
        <v>0.38837007422270414</v>
      </c>
      <c r="O198" s="337">
        <f>IF(売分析!X198&lt;&gt;"",売分析!X198,"")</f>
        <v>8.6475119308704507</v>
      </c>
      <c r="P198" s="334">
        <f>IF(売分析!L198&lt;&gt;"",売分析!L198,"")</f>
        <v>-4.1346408693347474</v>
      </c>
      <c r="Q198" s="333">
        <f>IF(売分析!S198&lt;&gt;"",売分析!S198,"")</f>
        <v>1881</v>
      </c>
      <c r="R198" s="333">
        <f>IF(売分析!R198&lt;&gt;"",売分析!R198,"")</f>
        <v>1664</v>
      </c>
      <c r="S198" s="212" t="str">
        <f>IF(売分析!AA198&lt;&gt;"",売分析!AA198,"")</f>
        <v>下落▼</v>
      </c>
      <c r="T198" s="338">
        <f>IF(売分析!Z198&lt;&gt;"",売分析!Z198,"")</f>
        <v>-0.19315673289183224</v>
      </c>
      <c r="U198" s="212" t="str">
        <f>IF(売分析!V198&lt;&gt;"",売分析!V198,"")</f>
        <v>通常</v>
      </c>
      <c r="V198" s="336">
        <f>IF(売分析!W198&lt;&gt;"",売分析!W198,"")</f>
        <v>54.186602870813395</v>
      </c>
      <c r="W198" s="212" t="str">
        <f>IF(売分析!AD198&lt;&gt;"",売分析!AD198,"")</f>
        <v>上昇トレンド▲</v>
      </c>
      <c r="X198" s="212" t="str">
        <f>IF(売分析!AE198&lt;&gt;"",売分析!AE198,"")</f>
        <v>なし</v>
      </c>
      <c r="Y198" s="388">
        <f>IF(売分析!T198&lt;&gt;"",売分析!T198,"")</f>
        <v>-2</v>
      </c>
      <c r="Z198" s="212" t="str">
        <f>IF(売分析!Y198&lt;&gt;"",売分析!Y198,"")</f>
        <v>相場上昇・見送り | 上昇トレンド▲ MACD+ RSI:54.2 前日比:-0.2%前日[長い下ヒゲ(反発)]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1560.5</v>
      </c>
      <c r="F199" s="326">
        <f>IF(売分析!F199&lt;&gt;"",売分析!F199,"")</f>
        <v>1548</v>
      </c>
      <c r="G199" s="326">
        <f>IF(売分析!H199&lt;&gt;"",売分析!H199,"")</f>
        <v>1564</v>
      </c>
      <c r="H199" s="326">
        <f>IF(売分析!I199&lt;&gt;"",売分析!I199,"")</f>
        <v>1531.5</v>
      </c>
      <c r="I199" s="325">
        <f>IF(売分析!J199&lt;&gt;"",売分析!J199,"")</f>
        <v>4918000</v>
      </c>
      <c r="J199" s="326">
        <f>IF(売分析!AB199&lt;&gt;"",売分析!AB199,"")</f>
        <v>1512.6624423963131</v>
      </c>
      <c r="K199" s="326">
        <f>IF(売分析!AC199&lt;&gt;"",売分析!AC199,"")</f>
        <v>1541.8104886769959</v>
      </c>
      <c r="L199" s="326">
        <f>IF(売分析!K199&lt;&gt;"",売分析!K199,"")</f>
        <v>1636</v>
      </c>
      <c r="M199" s="325" t="str">
        <f>IF(売分析!P199&lt;&gt;"",売分析!P199,"")</f>
        <v>減少↓</v>
      </c>
      <c r="N199" s="328">
        <f>IF(売分析!O199&lt;&gt;"",売分析!O199,"")</f>
        <v>0.32248461345779833</v>
      </c>
      <c r="O199" s="330">
        <f>IF(売分析!X199&lt;&gt;"",売分析!X199,"")</f>
        <v>0.50776750424938655</v>
      </c>
      <c r="P199" s="327">
        <f>IF(売分析!L199&lt;&gt;"",売分析!L199,"")</f>
        <v>-4.6149144254278722</v>
      </c>
      <c r="Q199" s="326">
        <f>IF(売分析!S199&lt;&gt;"",売分析!S199,"")</f>
        <v>1623</v>
      </c>
      <c r="R199" s="326">
        <f>IF(売分析!R199&lt;&gt;"",売分析!R199,"")</f>
        <v>1436</v>
      </c>
      <c r="S199" s="325" t="str">
        <f>IF(売分析!AA199&lt;&gt;"",売分析!AA199,"")</f>
        <v>上昇▲</v>
      </c>
      <c r="T199" s="331">
        <f>IF(売分析!Z199&lt;&gt;"",売分析!Z199,"")</f>
        <v>3.6532713384257725</v>
      </c>
      <c r="U199" s="325" t="str">
        <f>IF(売分析!V199&lt;&gt;"",売分析!V199,"")</f>
        <v>通常</v>
      </c>
      <c r="V199" s="329">
        <f>IF(売分析!W199&lt;&gt;"",売分析!W199,"")</f>
        <v>46.489563567362431</v>
      </c>
      <c r="W199" s="325" t="str">
        <f>IF(売分析!AD199&lt;&gt;"",売分析!AD199,"")</f>
        <v>上昇トレンド▲</v>
      </c>
      <c r="X199" s="325" t="str">
        <f>IF(売分析!AE199&lt;&gt;"",売分析!AE199,"")</f>
        <v>なし</v>
      </c>
      <c r="Y199" s="387">
        <f>IF(売分析!T199&lt;&gt;"",売分析!T199,"")</f>
        <v>-6</v>
      </c>
      <c r="Z199" s="325" t="str">
        <f>IF(売分析!Y199&lt;&gt;"",売分析!Y199,"")</f>
        <v>相場上昇・見送り | 上昇トレンド▲ MACD+ RSI:46.5 前日比:+3.7% [長い下ヒゲ(反発警戒)]前日[長い下ヒゲ(反発)] [-6点]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1903</v>
      </c>
      <c r="F200" s="333">
        <f>IF(売分析!F200&lt;&gt;"",売分析!F200,"")</f>
        <v>1891.5</v>
      </c>
      <c r="G200" s="333">
        <f>IF(売分析!H200&lt;&gt;"",売分析!H200,"")</f>
        <v>1903</v>
      </c>
      <c r="H200" s="333">
        <f>IF(売分析!I200&lt;&gt;"",売分析!I200,"")</f>
        <v>1880</v>
      </c>
      <c r="I200" s="212">
        <f>IF(売分析!J200&lt;&gt;"",売分析!J200,"")</f>
        <v>3884100</v>
      </c>
      <c r="J200" s="333">
        <f>IF(売分析!AB200&lt;&gt;"",売分析!AB200,"")</f>
        <v>1895.4331797235022</v>
      </c>
      <c r="K200" s="333">
        <f>IF(売分析!AC200&lt;&gt;"",売分析!AC200,"")</f>
        <v>1787.7425506555414</v>
      </c>
      <c r="L200" s="333">
        <f>IF(売分析!K200&lt;&gt;"",売分析!K200,"")</f>
        <v>1959</v>
      </c>
      <c r="M200" s="212" t="str">
        <f>IF(売分析!P200&lt;&gt;"",売分析!P200,"")</f>
        <v>減少↓</v>
      </c>
      <c r="N200" s="335">
        <f>IF(売分析!O200&lt;&gt;"",売分析!O200,"")</f>
        <v>0.38977264516750559</v>
      </c>
      <c r="O200" s="337">
        <f>IF(売分析!X200&lt;&gt;"",売分析!X200,"")</f>
        <v>-4.542583953923895</v>
      </c>
      <c r="P200" s="334">
        <f>IF(売分析!L200&lt;&gt;"",売分析!L200,"")</f>
        <v>-2.8586013272077588</v>
      </c>
      <c r="Q200" s="333">
        <f>IF(売分析!S200&lt;&gt;"",売分析!S200,"")</f>
        <v>1979</v>
      </c>
      <c r="R200" s="333">
        <f>IF(売分析!R200&lt;&gt;"",売分析!R200,"")</f>
        <v>1751</v>
      </c>
      <c r="S200" s="212" t="str">
        <f>IF(売分析!AA200&lt;&gt;"",売分析!AA200,"")</f>
        <v>上昇▲</v>
      </c>
      <c r="T200" s="338">
        <f>IF(売分析!Z200&lt;&gt;"",売分析!Z200,"")</f>
        <v>0.76780513635160175</v>
      </c>
      <c r="U200" s="212" t="str">
        <f>IF(売分析!V200&lt;&gt;"",売分析!V200,"")</f>
        <v>通常</v>
      </c>
      <c r="V200" s="336">
        <f>IF(売分析!W200&lt;&gt;"",売分析!W200,"")</f>
        <v>50.705046031931012</v>
      </c>
      <c r="W200" s="212" t="str">
        <f>IF(売分析!AD200&lt;&gt;"",売分析!AD200,"")</f>
        <v>パーフェクト▲</v>
      </c>
      <c r="X200" s="212" t="str">
        <f>IF(売分析!AE200&lt;&gt;"",売分析!AE200,"")</f>
        <v>なし</v>
      </c>
      <c r="Y200" s="388">
        <f>IF(売分析!T200&lt;&gt;"",売分析!T200,"")</f>
        <v>-3</v>
      </c>
      <c r="Z200" s="212" t="str">
        <f>IF(売分析!Y200&lt;&gt;"",売分析!Y200,"")</f>
        <v>相場上昇・見送り | パーフェクト▲ MACD- RSI:50.7 前日比:+0.8% [長い下ヒゲ(反発警戒)]前日[長い下ヒゲ(反発)] [-3点]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3541</v>
      </c>
      <c r="F201" s="326">
        <f>IF(売分析!F201&lt;&gt;"",売分析!F201,"")</f>
        <v>3480</v>
      </c>
      <c r="G201" s="326">
        <f>IF(売分析!H201&lt;&gt;"",売分析!H201,"")</f>
        <v>3550</v>
      </c>
      <c r="H201" s="326">
        <f>IF(売分析!I201&lt;&gt;"",売分析!I201,"")</f>
        <v>3449</v>
      </c>
      <c r="I201" s="325">
        <f>IF(売分析!J201&lt;&gt;"",売分析!J201,"")</f>
        <v>29938900</v>
      </c>
      <c r="J201" s="326">
        <f>IF(売分析!AB201&lt;&gt;"",売分析!AB201,"")</f>
        <v>3531.761520737326</v>
      </c>
      <c r="K201" s="326">
        <f>IF(売分析!AC201&lt;&gt;"",売分析!AC201,"")</f>
        <v>3566.3230035756842</v>
      </c>
      <c r="L201" s="326">
        <f>IF(売分析!K201&lt;&gt;"",売分析!K201,"")</f>
        <v>3813</v>
      </c>
      <c r="M201" s="325" t="str">
        <f>IF(売分析!P201&lt;&gt;"",売分析!P201,"")</f>
        <v>減少↓</v>
      </c>
      <c r="N201" s="328">
        <f>IF(売分析!O201&lt;&gt;"",売分析!O201,"")</f>
        <v>0.60765782533315849</v>
      </c>
      <c r="O201" s="330">
        <f>IF(売分析!X201&lt;&gt;"",売分析!X201,"")</f>
        <v>17.990863281576821</v>
      </c>
      <c r="P201" s="327">
        <f>IF(売分析!L201&lt;&gt;"",売分析!L201,"")</f>
        <v>-7.1334906897456074</v>
      </c>
      <c r="Q201" s="326">
        <f>IF(売分析!S201&lt;&gt;"",売分析!S201,"")</f>
        <v>3683</v>
      </c>
      <c r="R201" s="326">
        <f>IF(売分析!R201&lt;&gt;"",売分析!R201,"")</f>
        <v>3258</v>
      </c>
      <c r="S201" s="325" t="str">
        <f>IF(売分析!AA201&lt;&gt;"",売分析!AA201,"")</f>
        <v>下落▼</v>
      </c>
      <c r="T201" s="331">
        <f>IF(売分析!Z201&lt;&gt;"",売分析!Z201,"")</f>
        <v>-0.72890384076254555</v>
      </c>
      <c r="U201" s="325" t="str">
        <f>IF(売分析!V201&lt;&gt;"",売分析!V201,"")</f>
        <v>通常</v>
      </c>
      <c r="V201" s="329">
        <f>IF(売分析!W201&lt;&gt;"",売分析!W201,"")</f>
        <v>51.262135922330096</v>
      </c>
      <c r="W201" s="325" t="str">
        <f>IF(売分析!AD201&lt;&gt;"",売分析!AD201,"")</f>
        <v>もみ合い→</v>
      </c>
      <c r="X201" s="325" t="str">
        <f>IF(売分析!AE201&lt;&gt;"",売分析!AE201,"")</f>
        <v>25日戻り売り★</v>
      </c>
      <c r="Y201" s="387">
        <f>IF(売分析!T201&lt;&gt;"",売分析!T201,"")</f>
        <v>1</v>
      </c>
      <c r="Z201" s="325" t="str">
        <f>IF(売分析!Y201&lt;&gt;"",売分析!Y201,"")</f>
        <v>○逆張り売り | もみ合い→ 25日戻り売り★ MACD+ RSI:51.3 前日比:-0.7%前日[長い下ヒゲ(反発)] [1点]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1770.5</v>
      </c>
      <c r="F202" s="333">
        <f>IF(売分析!F202&lt;&gt;"",売分析!F202,"")</f>
        <v>1789.5</v>
      </c>
      <c r="G202" s="333">
        <f>IF(売分析!H202&lt;&gt;"",売分析!H202,"")</f>
        <v>1789.5</v>
      </c>
      <c r="H202" s="333">
        <f>IF(売分析!I202&lt;&gt;"",売分析!I202,"")</f>
        <v>1758.5</v>
      </c>
      <c r="I202" s="212">
        <f>IF(売分析!J202&lt;&gt;"",売分析!J202,"")</f>
        <v>101800</v>
      </c>
      <c r="J202" s="333" t="str">
        <f>IF(売分析!AB202&lt;&gt;"",売分析!AB202,"")</f>
        <v/>
      </c>
      <c r="K202" s="333" t="str">
        <f>IF(売分析!AC202&lt;&gt;"",売分析!AC202,"")</f>
        <v/>
      </c>
      <c r="L202" s="333">
        <f>IF(売分析!K202&lt;&gt;"",売分析!K202,"")</f>
        <v>1862.5</v>
      </c>
      <c r="M202" s="212" t="str">
        <f>IF(売分析!P202&lt;&gt;"",売分析!P202,"")</f>
        <v/>
      </c>
      <c r="N202" s="335" t="str">
        <f>IF(売分析!O202&lt;&gt;"",売分析!O202,"")</f>
        <v/>
      </c>
      <c r="O202" s="337">
        <f>IF(売分析!X202&lt;&gt;"",売分析!X202,"")</f>
        <v>0</v>
      </c>
      <c r="P202" s="334">
        <f>IF(売分析!L202&lt;&gt;"",売分析!L202,"")</f>
        <v>-4.9395973154362416</v>
      </c>
      <c r="Q202" s="333">
        <f>IF(売分析!S202&lt;&gt;"",売分析!S202,"")</f>
        <v>1841</v>
      </c>
      <c r="R202" s="333">
        <f>IF(売分析!R202&lt;&gt;"",売分析!R202,"")</f>
        <v>1629</v>
      </c>
      <c r="S202" s="212" t="str">
        <f>IF(売分析!AA202&lt;&gt;"",売分析!AA202,"")</f>
        <v>上昇▲</v>
      </c>
      <c r="T202" s="338" t="str">
        <f>IF(売分析!Z202&lt;&gt;"",売分析!Z202,"")</f>
        <v/>
      </c>
      <c r="U202" s="212" t="str">
        <f>IF(売分析!V202&lt;&gt;"",売分析!V202,"")</f>
        <v>通常</v>
      </c>
      <c r="V202" s="336">
        <f>IF(売分析!W202&lt;&gt;"",売分析!W202,"")</f>
        <v>50</v>
      </c>
      <c r="W202" s="212" t="str">
        <f>IF(売分析!AD202&lt;&gt;"",売分析!AD202,"")</f>
        <v/>
      </c>
      <c r="X202" s="212" t="str">
        <f>IF(売分析!AE202&lt;&gt;"",売分析!AE202,"")</f>
        <v/>
      </c>
      <c r="Y202" s="388">
        <f>IF(売分析!T202&lt;&gt;"",売分析!T202,"")</f>
        <v>1</v>
      </c>
      <c r="Z202" s="212" t="str">
        <f>IF(売分析!Y202&lt;&gt;"",売分析!Y202,"")</f>
        <v>相場上昇・見送り |   MACD+ RSI:50.0 前日比:% [1点]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5956</v>
      </c>
      <c r="F203" s="326">
        <f>IF(売分析!F203&lt;&gt;"",売分析!F203,"")</f>
        <v>6059</v>
      </c>
      <c r="G203" s="326">
        <f>IF(売分析!H203&lt;&gt;"",売分析!H203,"")</f>
        <v>6079</v>
      </c>
      <c r="H203" s="326">
        <f>IF(売分析!I203&lt;&gt;"",売分析!I203,"")</f>
        <v>5901</v>
      </c>
      <c r="I203" s="325">
        <f>IF(売分析!J203&lt;&gt;"",売分析!J203,"")</f>
        <v>481100</v>
      </c>
      <c r="J203" s="326">
        <f>IF(売分析!AB203&lt;&gt;"",売分析!AB203,"")</f>
        <v>6150.2592165898623</v>
      </c>
      <c r="K203" s="326">
        <f>IF(売分析!AC203&lt;&gt;"",売分析!AC203,"")</f>
        <v>6151.2502979737765</v>
      </c>
      <c r="L203" s="326">
        <f>IF(売分析!K203&lt;&gt;"",売分析!K203,"")</f>
        <v>7967</v>
      </c>
      <c r="M203" s="325" t="str">
        <f>IF(売分析!P203&lt;&gt;"",売分析!P203,"")</f>
        <v>減少↓</v>
      </c>
      <c r="N203" s="328">
        <f>IF(売分析!O203&lt;&gt;"",売分析!O203,"")</f>
        <v>0.38270014000254549</v>
      </c>
      <c r="O203" s="330">
        <f>IF(売分析!X203&lt;&gt;"",売分析!X203,"")</f>
        <v>21.276660868736144</v>
      </c>
      <c r="P203" s="327">
        <f>IF(売分析!L203&lt;&gt;"",売分析!L203,"")</f>
        <v>-25.241621689469063</v>
      </c>
      <c r="Q203" s="326">
        <f>IF(売分析!S203&lt;&gt;"",売分析!S203,"")</f>
        <v>6194</v>
      </c>
      <c r="R203" s="326">
        <f>IF(売分析!R203&lt;&gt;"",売分析!R203,"")</f>
        <v>5480</v>
      </c>
      <c r="S203" s="325" t="str">
        <f>IF(売分析!AA203&lt;&gt;"",売分析!AA203,"")</f>
        <v>下落▼</v>
      </c>
      <c r="T203" s="331">
        <f>IF(売分析!Z203&lt;&gt;"",売分析!Z203,"")</f>
        <v>-3.6401876718977508</v>
      </c>
      <c r="U203" s="325" t="str">
        <f>IF(売分析!V203&lt;&gt;"",売分析!V203,"")</f>
        <v>安値圏</v>
      </c>
      <c r="V203" s="329">
        <f>IF(売分析!W203&lt;&gt;"",売分析!W203,"")</f>
        <v>74.21052631578948</v>
      </c>
      <c r="W203" s="325" t="str">
        <f>IF(売分析!AD203&lt;&gt;"",売分析!AD203,"")</f>
        <v>下降トレンド▼</v>
      </c>
      <c r="X203" s="325" t="str">
        <f>IF(売分析!AE203&lt;&gt;"",売分析!AE203,"")</f>
        <v>なし</v>
      </c>
      <c r="Y203" s="387">
        <f>IF(売分析!T203&lt;&gt;"",売分析!T203,"")</f>
        <v>9</v>
      </c>
      <c r="Z203" s="325" t="str">
        <f>IF(売分析!Y203&lt;&gt;"",売分析!Y203,"")</f>
        <v>◎反落確認 | 下降トレンド▼ MACD+ RSI:74.2 [過熱] 前日比:-3.6% [安値圏]前日[長い下ヒゲ(反発)] [9点]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2560.5</v>
      </c>
      <c r="F204" s="333">
        <f>IF(売分析!F204&lt;&gt;"",売分析!F204,"")</f>
        <v>2496.5</v>
      </c>
      <c r="G204" s="333">
        <f>IF(売分析!H204&lt;&gt;"",売分析!H204,"")</f>
        <v>2570</v>
      </c>
      <c r="H204" s="333">
        <f>IF(売分析!I204&lt;&gt;"",売分析!I204,"")</f>
        <v>2496.5</v>
      </c>
      <c r="I204" s="212">
        <f>IF(売分析!J204&lt;&gt;"",売分析!J204,"")</f>
        <v>548400</v>
      </c>
      <c r="J204" s="333">
        <f>IF(売分析!AB204&lt;&gt;"",売分析!AB204,"")</f>
        <v>2509.7805299539168</v>
      </c>
      <c r="K204" s="333">
        <f>IF(売分析!AC204&lt;&gt;"",売分析!AC204,"")</f>
        <v>2525.3939213349208</v>
      </c>
      <c r="L204" s="333">
        <f>IF(売分析!K204&lt;&gt;"",売分析!K204,"")</f>
        <v>2661</v>
      </c>
      <c r="M204" s="212" t="str">
        <f>IF(売分析!P204&lt;&gt;"",売分析!P204,"")</f>
        <v>減少↓</v>
      </c>
      <c r="N204" s="335">
        <f>IF(売分析!O204&lt;&gt;"",売分析!O204,"")</f>
        <v>0.4968381380347533</v>
      </c>
      <c r="O204" s="337">
        <f>IF(売分析!X204&lt;&gt;"",売分析!X204,"")</f>
        <v>5.4566468581720073</v>
      </c>
      <c r="P204" s="334">
        <f>IF(売分析!L204&lt;&gt;"",売分析!L204,"")</f>
        <v>-3.7767756482525368</v>
      </c>
      <c r="Q204" s="333">
        <f>IF(売分析!S204&lt;&gt;"",売分析!S204,"")</f>
        <v>2663</v>
      </c>
      <c r="R204" s="333">
        <f>IF(売分析!R204&lt;&gt;"",売分析!R204,"")</f>
        <v>2356</v>
      </c>
      <c r="S204" s="212" t="str">
        <f>IF(売分析!AA204&lt;&gt;"",売分析!AA204,"")</f>
        <v>上昇▲</v>
      </c>
      <c r="T204" s="338">
        <f>IF(売分析!Z204&lt;&gt;"",売分析!Z204,"")</f>
        <v>1.3056379821958457</v>
      </c>
      <c r="U204" s="212" t="str">
        <f>IF(売分析!V204&lt;&gt;"",売分析!V204,"")</f>
        <v>通常</v>
      </c>
      <c r="V204" s="336">
        <f>IF(売分析!W204&lt;&gt;"",売分析!W204,"")</f>
        <v>50.906735751295336</v>
      </c>
      <c r="W204" s="212" t="str">
        <f>IF(売分析!AD204&lt;&gt;"",売分析!AD204,"")</f>
        <v>上昇トレンド▲</v>
      </c>
      <c r="X204" s="212" t="str">
        <f>IF(売分析!AE204&lt;&gt;"",売分析!AE204,"")</f>
        <v>なし</v>
      </c>
      <c r="Y204" s="388">
        <f>IF(売分析!T204&lt;&gt;"",売分析!T204,"")</f>
        <v>-3</v>
      </c>
      <c r="Z204" s="212" t="str">
        <f>IF(売分析!Y204&lt;&gt;"",売分析!Y204,"")</f>
        <v>相場上昇・見送り | 上昇トレンド▲ MACD+ RSI:50.9 前日比:+1.3%前日[長い下ヒゲ(反発)] [-3点]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6683</v>
      </c>
      <c r="F205" s="326">
        <f>IF(売分析!F205&lt;&gt;"",売分析!F205,"")</f>
        <v>6601</v>
      </c>
      <c r="G205" s="326">
        <f>IF(売分析!H205&lt;&gt;"",売分析!H205,"")</f>
        <v>6686</v>
      </c>
      <c r="H205" s="326">
        <f>IF(売分析!I205&lt;&gt;"",売分析!I205,"")</f>
        <v>6601</v>
      </c>
      <c r="I205" s="325">
        <f>IF(売分析!J205&lt;&gt;"",売分析!J205,"")</f>
        <v>1376300</v>
      </c>
      <c r="J205" s="326">
        <f>IF(売分析!AB205&lt;&gt;"",売分析!AB205,"")</f>
        <v>6798.9320276497683</v>
      </c>
      <c r="K205" s="326">
        <f>IF(売分析!AC205&lt;&gt;"",売分析!AC205,"")</f>
        <v>6734.1895113230021</v>
      </c>
      <c r="L205" s="326">
        <f>IF(売分析!K205&lt;&gt;"",売分析!K205,"")</f>
        <v>10700</v>
      </c>
      <c r="M205" s="325" t="str">
        <f>IF(売分析!P205&lt;&gt;"",売分析!P205,"")</f>
        <v>減少↓</v>
      </c>
      <c r="N205" s="328">
        <f>IF(売分析!O205&lt;&gt;"",売分析!O205,"")</f>
        <v>0.459238151168533</v>
      </c>
      <c r="O205" s="330">
        <f>IF(売分析!X205&lt;&gt;"",売分析!X205,"")</f>
        <v>-119.07026775301438</v>
      </c>
      <c r="P205" s="327">
        <f>IF(売分析!L205&lt;&gt;"",売分析!L205,"")</f>
        <v>-37.542056074766357</v>
      </c>
      <c r="Q205" s="326">
        <f>IF(売分析!S205&lt;&gt;"",売分析!S205,"")</f>
        <v>6950</v>
      </c>
      <c r="R205" s="326">
        <f>IF(売分析!R205&lt;&gt;"",売分析!R205,"")</f>
        <v>6148</v>
      </c>
      <c r="S205" s="325" t="str">
        <f>IF(売分析!AA205&lt;&gt;"",売分析!AA205,"")</f>
        <v>下落▼</v>
      </c>
      <c r="T205" s="331">
        <f>IF(売分析!Z205&lt;&gt;"",売分析!Z205,"")</f>
        <v>-5.9817556452818901E-2</v>
      </c>
      <c r="U205" s="325" t="str">
        <f>IF(売分析!V205&lt;&gt;"",売分析!V205,"")</f>
        <v>安値圏</v>
      </c>
      <c r="V205" s="329">
        <f>IF(売分析!W205&lt;&gt;"",売分析!W205,"")</f>
        <v>48.219088225647752</v>
      </c>
      <c r="W205" s="325" t="str">
        <f>IF(売分析!AD205&lt;&gt;"",売分析!AD205,"")</f>
        <v>もみ合い→</v>
      </c>
      <c r="X205" s="325" t="str">
        <f>IF(売分析!AE205&lt;&gt;"",売分析!AE205,"")</f>
        <v>25日戻り売り★</v>
      </c>
      <c r="Y205" s="387">
        <f>IF(売分析!T205&lt;&gt;"",売分析!T205,"")</f>
        <v>13</v>
      </c>
      <c r="Z205" s="325" t="str">
        <f>IF(売分析!Y205&lt;&gt;"",売分析!Y205,"")</f>
        <v>○逆張り売り | もみ合い→ 25日戻り売り★ MACD- RSI:48.2 前日比:-0.1% [安値圏] [13点]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5372</v>
      </c>
      <c r="F206" s="333">
        <f>IF(売分析!F206&lt;&gt;"",売分析!F206,"")</f>
        <v>5255</v>
      </c>
      <c r="G206" s="333">
        <f>IF(売分析!H206&lt;&gt;"",売分析!H206,"")</f>
        <v>5380</v>
      </c>
      <c r="H206" s="333">
        <f>IF(売分析!I206&lt;&gt;"",売分析!I206,"")</f>
        <v>5217</v>
      </c>
      <c r="I206" s="212">
        <f>IF(売分析!J206&lt;&gt;"",売分析!J206,"")</f>
        <v>621100</v>
      </c>
      <c r="J206" s="333">
        <f>IF(売分析!AB206&lt;&gt;"",売分析!AB206,"")</f>
        <v>5268.3790322580635</v>
      </c>
      <c r="K206" s="333">
        <f>IF(売分析!AC206&lt;&gt;"",売分析!AC206,"")</f>
        <v>5281.1191895113207</v>
      </c>
      <c r="L206" s="333">
        <f>IF(売分析!K206&lt;&gt;"",売分析!K206,"")</f>
        <v>7257</v>
      </c>
      <c r="M206" s="212" t="str">
        <f>IF(売分析!P206&lt;&gt;"",売分析!P206,"")</f>
        <v>減少↓</v>
      </c>
      <c r="N206" s="335">
        <f>IF(売分析!O206&lt;&gt;"",売分析!O206,"")</f>
        <v>0.36634854722834997</v>
      </c>
      <c r="O206" s="337">
        <f>IF(売分析!X206&lt;&gt;"",売分析!X206,"")</f>
        <v>21.827542698389152</v>
      </c>
      <c r="P206" s="334">
        <f>IF(売分析!L206&lt;&gt;"",売分析!L206,"")</f>
        <v>-25.97492076615681</v>
      </c>
      <c r="Q206" s="333">
        <f>IF(売分析!S206&lt;&gt;"",売分析!S206,"")</f>
        <v>5587</v>
      </c>
      <c r="R206" s="333">
        <f>IF(売分析!R206&lt;&gt;"",売分析!R206,"")</f>
        <v>4942</v>
      </c>
      <c r="S206" s="212" t="str">
        <f>IF(売分析!AA206&lt;&gt;"",売分析!AA206,"")</f>
        <v>上昇▲</v>
      </c>
      <c r="T206" s="338">
        <f>IF(売分析!Z206&lt;&gt;"",売分析!Z206,"")</f>
        <v>3.4469478143654921</v>
      </c>
      <c r="U206" s="212" t="str">
        <f>IF(売分析!V206&lt;&gt;"",売分析!V206,"")</f>
        <v>安値圏</v>
      </c>
      <c r="V206" s="336">
        <f>IF(売分析!W206&lt;&gt;"",売分析!W206,"")</f>
        <v>55.85509688289806</v>
      </c>
      <c r="W206" s="212" t="str">
        <f>IF(売分析!AD206&lt;&gt;"",売分析!AD206,"")</f>
        <v>上昇トレンド▲</v>
      </c>
      <c r="X206" s="212" t="str">
        <f>IF(売分析!AE206&lt;&gt;"",売分析!AE206,"")</f>
        <v>なし</v>
      </c>
      <c r="Y206" s="388">
        <f>IF(売分析!T206&lt;&gt;"",売分析!T206,"")</f>
        <v>3</v>
      </c>
      <c r="Z206" s="212" t="str">
        <f>IF(売分析!Y206&lt;&gt;"",売分析!Y206,"")</f>
        <v>相場上昇・見送り | 上昇トレンド▲ MACD+ RSI:55.9 前日比:+3.4% [安値圏] [3点]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1174</v>
      </c>
    </row>
    <row r="266" spans="2:4">
      <c r="B266" t="s">
        <v>1175</v>
      </c>
      <c r="C266" t="s">
        <v>1176</v>
      </c>
      <c r="D266" t="s">
        <v>1177</v>
      </c>
    </row>
    <row r="267" spans="2:4">
      <c r="B267" t="s">
        <v>1163</v>
      </c>
      <c r="C267">
        <v>3</v>
      </c>
      <c r="D267" t="s">
        <v>1178</v>
      </c>
    </row>
    <row r="268" spans="2:4">
      <c r="B268" t="s">
        <v>1</v>
      </c>
      <c r="C268">
        <v>8002</v>
      </c>
      <c r="D268" t="s">
        <v>1179</v>
      </c>
    </row>
    <row r="269" spans="2:4">
      <c r="B269" t="s">
        <v>610</v>
      </c>
      <c r="C269" t="s">
        <v>24</v>
      </c>
      <c r="D269" t="s">
        <v>1180</v>
      </c>
    </row>
    <row r="270" spans="2:4">
      <c r="B270" t="s">
        <v>525</v>
      </c>
      <c r="C270" s="519">
        <v>4988</v>
      </c>
      <c r="D270" t="s">
        <v>1181</v>
      </c>
    </row>
    <row r="271" spans="2:4">
      <c r="B271" t="s">
        <v>1144</v>
      </c>
      <c r="C271" t="s">
        <v>1182</v>
      </c>
      <c r="D271" t="s">
        <v>1183</v>
      </c>
    </row>
    <row r="272" spans="2:4">
      <c r="B272" t="s">
        <v>1146</v>
      </c>
      <c r="C272" t="s">
        <v>1184</v>
      </c>
      <c r="D272" t="s">
        <v>1185</v>
      </c>
    </row>
    <row r="273" spans="2:4">
      <c r="B273" t="s">
        <v>1164</v>
      </c>
      <c r="C273">
        <v>68.3</v>
      </c>
      <c r="D273" t="s">
        <v>1186</v>
      </c>
    </row>
    <row r="274" spans="2:4">
      <c r="B274" t="s">
        <v>1165</v>
      </c>
      <c r="C274">
        <v>59.4</v>
      </c>
      <c r="D274" t="s">
        <v>1187</v>
      </c>
    </row>
    <row r="275" spans="2:4">
      <c r="B275" t="s">
        <v>1166</v>
      </c>
      <c r="C275" t="e" cm="1">
        <f t="array" ref="C275">-(なし)</f>
        <v>#NAME?</v>
      </c>
      <c r="D275" t="s">
        <v>1188</v>
      </c>
    </row>
    <row r="276" spans="2:4">
      <c r="B276" t="s">
        <v>1153</v>
      </c>
      <c r="C276" t="s">
        <v>1123</v>
      </c>
      <c r="D276" t="s">
        <v>1189</v>
      </c>
    </row>
    <row r="277" spans="2:4">
      <c r="B277" t="s">
        <v>537</v>
      </c>
      <c r="C277">
        <v>62</v>
      </c>
      <c r="D277" t="s">
        <v>1190</v>
      </c>
    </row>
    <row r="278" spans="2:4">
      <c r="B278" t="s">
        <v>1167</v>
      </c>
      <c r="C278" s="519">
        <v>4987</v>
      </c>
      <c r="D278" t="s">
        <v>1191</v>
      </c>
    </row>
    <row r="279" spans="2:4">
      <c r="B279" t="s">
        <v>1058</v>
      </c>
      <c r="C279" s="519">
        <v>4852</v>
      </c>
      <c r="D279" t="s">
        <v>1192</v>
      </c>
    </row>
    <row r="280" spans="2:4">
      <c r="B280" t="s">
        <v>1158</v>
      </c>
      <c r="C280" t="s">
        <v>1193</v>
      </c>
      <c r="D280" t="s">
        <v>1194</v>
      </c>
    </row>
    <row r="281" spans="2:4">
      <c r="B281" t="s">
        <v>1195</v>
      </c>
    </row>
    <row r="282" spans="2:4">
      <c r="B282" t="s">
        <v>1196</v>
      </c>
      <c r="C282" t="s">
        <v>1197</v>
      </c>
    </row>
    <row r="283" spans="2:4">
      <c r="B283" t="s">
        <v>1117</v>
      </c>
      <c r="C283" t="s">
        <v>1198</v>
      </c>
    </row>
    <row r="284" spans="2:4">
      <c r="B284" t="s">
        <v>1118</v>
      </c>
      <c r="C284" t="s">
        <v>1199</v>
      </c>
    </row>
    <row r="285" spans="2:4">
      <c r="B285" t="s">
        <v>1120</v>
      </c>
      <c r="C285" t="s">
        <v>1200</v>
      </c>
    </row>
    <row r="286" spans="2:4">
      <c r="B286" t="s">
        <v>1121</v>
      </c>
      <c r="C286" t="s">
        <v>1201</v>
      </c>
    </row>
    <row r="287" spans="2:4">
      <c r="B287" t="s">
        <v>1123</v>
      </c>
      <c r="C287" t="s">
        <v>1202</v>
      </c>
    </row>
    <row r="288" spans="2:4">
      <c r="B288" t="s">
        <v>1125</v>
      </c>
      <c r="C288" t="s">
        <v>1203</v>
      </c>
    </row>
    <row r="289" spans="2:3">
      <c r="B289" t="s">
        <v>1127</v>
      </c>
      <c r="C289" t="s">
        <v>1204</v>
      </c>
    </row>
    <row r="290" spans="2:3">
      <c r="B290" t="s">
        <v>1205</v>
      </c>
      <c r="C290" t="s">
        <v>1206</v>
      </c>
    </row>
    <row r="291" spans="2:3">
      <c r="B291" t="s">
        <v>1207</v>
      </c>
    </row>
    <row r="292" spans="2:3">
      <c r="B292" t="s">
        <v>1208</v>
      </c>
    </row>
    <row r="293" spans="2:3">
      <c r="B293" t="s">
        <v>1209</v>
      </c>
    </row>
    <row r="294" spans="2:3">
      <c r="B294" t="s">
        <v>1210</v>
      </c>
    </row>
    <row r="295" spans="2:3">
      <c r="B295" t="s">
        <v>1211</v>
      </c>
    </row>
    <row r="296" spans="2:3">
      <c r="B296" t="s">
        <v>1212</v>
      </c>
    </row>
    <row r="298" spans="2:3">
      <c r="B298" t="s">
        <v>1213</v>
      </c>
    </row>
    <row r="300" spans="2:3">
      <c r="B300" s="448">
        <v>46229</v>
      </c>
    </row>
    <row r="301" spans="2:3" ht="16.2">
      <c r="B301" s="459" t="s">
        <v>1292</v>
      </c>
    </row>
    <row r="302" spans="2:3">
      <c r="B302" s="458"/>
    </row>
    <row r="303" spans="2:3">
      <c r="B303" s="458" t="s">
        <v>1293</v>
      </c>
    </row>
    <row r="304" spans="2:3">
      <c r="B304" s="458"/>
    </row>
    <row r="305" spans="2:2">
      <c r="B305" s="458" t="s">
        <v>1294</v>
      </c>
    </row>
    <row r="306" spans="2:2">
      <c r="B306" s="458"/>
    </row>
    <row r="307" spans="2:2">
      <c r="B307" s="458" t="s">
        <v>1295</v>
      </c>
    </row>
    <row r="308" spans="2:2">
      <c r="B308" s="458"/>
    </row>
    <row r="309" spans="2:2">
      <c r="B309" s="458" t="s">
        <v>1296</v>
      </c>
    </row>
    <row r="311" spans="2:2" ht="21">
      <c r="B311" s="456" t="s">
        <v>1297</v>
      </c>
    </row>
    <row r="313" spans="2:2">
      <c r="B313" t="s">
        <v>1298</v>
      </c>
    </row>
    <row r="315" spans="2:2">
      <c r="B315" t="s">
        <v>1299</v>
      </c>
    </row>
    <row r="317" spans="2:2">
      <c r="B317" t="s">
        <v>1300</v>
      </c>
    </row>
    <row r="319" spans="2:2" ht="16.2">
      <c r="B319" s="459" t="s">
        <v>1301</v>
      </c>
    </row>
    <row r="320" spans="2:2">
      <c r="B320" s="458"/>
    </row>
    <row r="321" spans="2:2">
      <c r="B321" s="560" t="s">
        <v>1303</v>
      </c>
    </row>
    <row r="322" spans="2:2">
      <c r="B322" s="458"/>
    </row>
    <row r="323" spans="2:2">
      <c r="B323" s="560" t="s">
        <v>1304</v>
      </c>
    </row>
    <row r="324" spans="2:2">
      <c r="B324" s="458"/>
    </row>
    <row r="325" spans="2:2">
      <c r="B325" s="560" t="s">
        <v>1305</v>
      </c>
    </row>
    <row r="326" spans="2:2">
      <c r="B326" s="458"/>
    </row>
    <row r="327" spans="2:2">
      <c r="B327" s="560" t="s">
        <v>1306</v>
      </c>
    </row>
    <row r="328" spans="2:2">
      <c r="B328" s="458"/>
    </row>
    <row r="329" spans="2:2">
      <c r="B329" s="560" t="s">
        <v>1307</v>
      </c>
    </row>
    <row r="331" spans="2:2" ht="16.2">
      <c r="B331" s="459" t="s">
        <v>1302</v>
      </c>
    </row>
    <row r="332" spans="2:2" ht="16.2">
      <c r="B332" s="459" t="s">
        <v>1308</v>
      </c>
    </row>
    <row r="333" spans="2:2">
      <c r="B333" s="458"/>
    </row>
    <row r="334" spans="2:2">
      <c r="B334" s="458" t="s">
        <v>1309</v>
      </c>
    </row>
    <row r="335" spans="2:2">
      <c r="B335" s="458"/>
    </row>
    <row r="336" spans="2:2">
      <c r="B336" s="458" t="s">
        <v>1310</v>
      </c>
    </row>
    <row r="337" spans="2:2">
      <c r="B337" s="458"/>
    </row>
    <row r="338" spans="2:2">
      <c r="B338" s="458" t="s">
        <v>1311</v>
      </c>
    </row>
    <row r="340" spans="2:2" ht="16.2">
      <c r="B340" s="459" t="s">
        <v>1312</v>
      </c>
    </row>
    <row r="341" spans="2:2">
      <c r="B341" s="458"/>
    </row>
    <row r="342" spans="2:2">
      <c r="B342" s="458" t="s">
        <v>1313</v>
      </c>
    </row>
    <row r="343" spans="2:2">
      <c r="B343" s="458"/>
    </row>
    <row r="344" spans="2:2">
      <c r="B344" s="458" t="s">
        <v>1314</v>
      </c>
    </row>
    <row r="345" spans="2:2">
      <c r="B345" s="458"/>
    </row>
    <row r="346" spans="2:2">
      <c r="B346" s="458" t="s">
        <v>1315</v>
      </c>
    </row>
    <row r="349" spans="2:2" ht="19.2" customHeight="1">
      <c r="B349" s="594" t="s">
        <v>1346</v>
      </c>
    </row>
    <row r="350" spans="2:2" ht="16.2" customHeight="1">
      <c r="B350" s="595" t="s">
        <v>1347</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CZ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V42" sqref="V42"/>
    </sheetView>
  </sheetViews>
  <sheetFormatPr defaultColWidth="9" defaultRowHeight="16.2"/>
  <cols>
    <col min="1" max="1" width="9" style="76" customWidth="1"/>
    <col min="2" max="2" width="18" style="1" customWidth="1"/>
    <col min="3" max="3" width="13" style="544" customWidth="1"/>
    <col min="4" max="4" width="10" style="1" customWidth="1"/>
    <col min="5" max="5" width="10.44140625" style="550"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s>
  <sheetData>
    <row r="1" spans="1:104" ht="30" customHeight="1">
      <c r="A1" s="864" t="s">
        <v>543</v>
      </c>
      <c r="B1" s="848"/>
      <c r="C1" s="848"/>
      <c r="D1" s="848"/>
      <c r="E1" s="848"/>
      <c r="F1" s="848"/>
      <c r="G1" s="848"/>
      <c r="H1" s="848"/>
      <c r="I1" s="848"/>
      <c r="J1" s="848"/>
      <c r="K1" s="848"/>
      <c r="L1" s="848"/>
      <c r="M1" s="848"/>
      <c r="N1" s="848"/>
      <c r="O1" s="848"/>
      <c r="P1" s="848"/>
      <c r="Q1" s="848"/>
      <c r="R1" s="848"/>
      <c r="S1" s="848"/>
      <c r="T1" s="848"/>
      <c r="U1" s="848"/>
      <c r="V1" s="848"/>
      <c r="W1" s="848"/>
      <c r="X1" s="848"/>
      <c r="Y1" s="848"/>
      <c r="Z1" s="848"/>
      <c r="AA1" s="848"/>
      <c r="AB1" s="848"/>
      <c r="AC1" s="848"/>
      <c r="AD1" s="848"/>
      <c r="AE1" s="848"/>
      <c r="AF1" s="848"/>
      <c r="AG1" s="848"/>
      <c r="AH1" s="848"/>
      <c r="AI1" s="848"/>
      <c r="AJ1" s="848"/>
      <c r="AK1" s="848"/>
      <c r="AL1" s="848"/>
      <c r="AM1" s="848"/>
      <c r="AN1" s="848"/>
      <c r="AO1" s="848"/>
      <c r="AP1" s="848"/>
      <c r="AQ1" s="848"/>
      <c r="AR1" s="848"/>
      <c r="AS1" s="848"/>
      <c r="AT1" s="848"/>
      <c r="AU1" s="848"/>
      <c r="AV1" s="848"/>
      <c r="AW1" s="848"/>
      <c r="AX1" s="848"/>
      <c r="AY1" s="848"/>
      <c r="AZ1" s="848"/>
      <c r="BA1" s="848"/>
      <c r="BB1" s="848"/>
      <c r="BC1" s="848"/>
      <c r="BD1" s="848"/>
      <c r="BE1" s="848"/>
      <c r="BF1" s="848"/>
      <c r="BG1" s="848"/>
      <c r="BH1" s="848"/>
      <c r="BI1" s="848"/>
      <c r="BJ1" s="848"/>
      <c r="BK1" s="848"/>
      <c r="BL1" s="848"/>
    </row>
    <row r="2" spans="1:104" ht="18" customHeight="1">
      <c r="A2" s="175" t="s">
        <v>1</v>
      </c>
      <c r="B2" s="175" t="s">
        <v>2</v>
      </c>
      <c r="C2" s="542"/>
      <c r="D2" s="175" t="s">
        <v>4</v>
      </c>
      <c r="E2" s="548"/>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104" s="541" customFormat="1" ht="21.6" customHeight="1">
      <c r="A3" s="539" t="s">
        <v>5</v>
      </c>
      <c r="B3" s="539"/>
      <c r="C3" s="543" t="s">
        <v>6</v>
      </c>
      <c r="D3" s="539"/>
      <c r="E3" s="549">
        <v>46238</v>
      </c>
      <c r="F3" s="540">
        <v>46237</v>
      </c>
      <c r="G3" s="540">
        <v>46234</v>
      </c>
      <c r="H3" s="540">
        <v>46233</v>
      </c>
      <c r="I3" s="540">
        <v>46232</v>
      </c>
      <c r="J3" s="540">
        <v>46231</v>
      </c>
      <c r="K3" s="540">
        <v>46230</v>
      </c>
      <c r="L3" s="540">
        <v>46229</v>
      </c>
      <c r="M3" s="540">
        <v>46226</v>
      </c>
      <c r="N3" s="540">
        <v>46225</v>
      </c>
      <c r="O3" s="540">
        <v>46224</v>
      </c>
      <c r="P3" s="540">
        <v>46220</v>
      </c>
      <c r="Q3" s="540">
        <v>46218</v>
      </c>
      <c r="R3" s="540">
        <v>46217</v>
      </c>
      <c r="S3" s="540">
        <v>46216</v>
      </c>
      <c r="T3" s="540">
        <v>46213</v>
      </c>
      <c r="U3" s="540">
        <v>46212</v>
      </c>
      <c r="V3" s="540">
        <v>46211</v>
      </c>
      <c r="W3" s="540">
        <v>46210</v>
      </c>
      <c r="X3" s="540">
        <v>46209</v>
      </c>
      <c r="Y3" s="540">
        <v>46206</v>
      </c>
      <c r="Z3" s="540">
        <v>46205</v>
      </c>
      <c r="AA3" s="540">
        <v>46204</v>
      </c>
      <c r="AB3" s="540">
        <v>46203</v>
      </c>
      <c r="AC3" s="540">
        <v>46202</v>
      </c>
      <c r="AD3" s="540">
        <v>46199</v>
      </c>
      <c r="AE3" s="540">
        <v>46198</v>
      </c>
      <c r="AF3" s="540">
        <v>46197</v>
      </c>
      <c r="AG3" s="540">
        <v>46196</v>
      </c>
      <c r="AH3" s="540">
        <v>46195</v>
      </c>
      <c r="AI3" s="540">
        <v>46192</v>
      </c>
      <c r="AJ3" s="540">
        <v>46191</v>
      </c>
      <c r="AK3" s="540">
        <v>46190</v>
      </c>
      <c r="AL3" s="540">
        <v>46189</v>
      </c>
      <c r="AM3" s="540">
        <v>46188</v>
      </c>
      <c r="AN3" s="540">
        <v>46185</v>
      </c>
      <c r="AO3" s="540">
        <v>46184</v>
      </c>
      <c r="AP3" s="540">
        <v>46183</v>
      </c>
      <c r="AQ3" s="540">
        <v>46181</v>
      </c>
      <c r="AR3" s="540">
        <v>46178</v>
      </c>
      <c r="AS3" s="540">
        <v>46177</v>
      </c>
      <c r="AT3" s="540">
        <v>46176</v>
      </c>
      <c r="AU3" s="540">
        <v>46175</v>
      </c>
      <c r="AV3" s="540">
        <v>46171</v>
      </c>
      <c r="AW3" s="540">
        <v>46170</v>
      </c>
      <c r="AX3" s="540">
        <v>46169</v>
      </c>
      <c r="AY3" s="540">
        <v>46167</v>
      </c>
      <c r="AZ3" s="540">
        <v>46164</v>
      </c>
      <c r="BA3" s="540">
        <v>46163</v>
      </c>
      <c r="BB3" s="540">
        <v>46162</v>
      </c>
      <c r="BC3" s="540">
        <v>46161</v>
      </c>
      <c r="BD3" s="540">
        <v>46160</v>
      </c>
      <c r="BE3" s="540">
        <v>46157</v>
      </c>
      <c r="BF3" s="540">
        <v>46156</v>
      </c>
      <c r="BG3" s="540">
        <v>46155</v>
      </c>
      <c r="BH3" s="540">
        <v>46154</v>
      </c>
      <c r="BI3" s="540">
        <v>46153</v>
      </c>
      <c r="BJ3" s="540">
        <v>46150</v>
      </c>
      <c r="BK3" s="540">
        <v>46149</v>
      </c>
      <c r="BL3" s="540">
        <v>46143</v>
      </c>
      <c r="BM3" s="894">
        <v>46142</v>
      </c>
      <c r="BN3" s="894">
        <v>46140</v>
      </c>
      <c r="BO3" s="894">
        <v>46139</v>
      </c>
      <c r="BP3" s="894">
        <v>46136</v>
      </c>
      <c r="BQ3" s="894">
        <v>46135</v>
      </c>
      <c r="BR3" s="894">
        <v>46134</v>
      </c>
      <c r="BS3" s="894">
        <v>46133</v>
      </c>
      <c r="BT3" s="894">
        <v>46132</v>
      </c>
      <c r="BU3" s="894">
        <v>46129</v>
      </c>
      <c r="BV3" s="894">
        <v>46128</v>
      </c>
      <c r="BW3" s="894">
        <v>46127</v>
      </c>
      <c r="BX3" s="894">
        <v>46126</v>
      </c>
      <c r="BY3" s="894">
        <v>46125</v>
      </c>
      <c r="BZ3" s="894">
        <v>46122</v>
      </c>
      <c r="CA3" s="894"/>
      <c r="CB3" s="894"/>
      <c r="CC3" s="894"/>
      <c r="CD3" s="894"/>
      <c r="CE3" s="894"/>
      <c r="CF3" s="894"/>
      <c r="CG3" s="894"/>
      <c r="CH3" s="894"/>
      <c r="CI3" s="894"/>
      <c r="CJ3" s="894"/>
      <c r="CK3" s="894"/>
      <c r="CL3" s="894"/>
      <c r="CM3" s="894"/>
      <c r="CN3" s="894"/>
      <c r="CO3" s="894"/>
      <c r="CP3" s="894"/>
      <c r="CQ3" s="894"/>
      <c r="CR3" s="894"/>
      <c r="CS3" s="894"/>
      <c r="CT3" s="894"/>
      <c r="CU3" s="894"/>
      <c r="CV3" s="894"/>
      <c r="CW3" s="894"/>
      <c r="CX3" s="894"/>
      <c r="CY3" s="894"/>
      <c r="CZ3" s="894"/>
    </row>
    <row r="4" spans="1:10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104" ht="15.9" customHeight="1">
      <c r="A5" s="77" t="str">
        <f>IF(銘柄管理!B5="","",銘柄管理!B5)</f>
        <v>TOPX</v>
      </c>
      <c r="B5" s="17">
        <f>IF(銘柄管理!C5="","",銘柄管理!C5)</f>
        <v>4037.09</v>
      </c>
      <c r="C5" s="545">
        <f t="array" ref="C5">_xll.RssIndexMarket("TOPX", "始値")</f>
        <v>3985.63</v>
      </c>
      <c r="D5" s="18">
        <f>IF(OR(C5=0,E5=0),"",C5-E5)</f>
        <v>25.349999999999909</v>
      </c>
      <c r="E5" s="551">
        <v>3960.28</v>
      </c>
      <c r="F5" s="9">
        <v>3965.39</v>
      </c>
      <c r="G5" s="9">
        <v>3954.12</v>
      </c>
      <c r="H5" s="9">
        <v>3950.21</v>
      </c>
      <c r="I5" s="9">
        <v>3976.44</v>
      </c>
      <c r="J5" s="9">
        <v>4040.49</v>
      </c>
      <c r="K5" s="9">
        <v>4039.73</v>
      </c>
      <c r="L5" s="9">
        <v>4015.03</v>
      </c>
      <c r="M5" s="9">
        <v>4035.57</v>
      </c>
      <c r="N5" s="9">
        <v>4019.06</v>
      </c>
      <c r="O5" s="9">
        <v>3944.79</v>
      </c>
      <c r="P5" s="9">
        <v>4010.01</v>
      </c>
      <c r="Q5" s="9">
        <v>4064.96</v>
      </c>
      <c r="R5" s="9">
        <v>4012.78</v>
      </c>
      <c r="S5" s="9">
        <v>4050.36</v>
      </c>
      <c r="T5" s="9">
        <v>4042.65</v>
      </c>
      <c r="U5" s="9">
        <v>3998.07</v>
      </c>
      <c r="V5" s="9">
        <v>4041.75</v>
      </c>
      <c r="W5" s="9">
        <v>4107.6499999999996</v>
      </c>
      <c r="X5" s="9">
        <v>4075.11</v>
      </c>
      <c r="Y5" s="9">
        <v>4034.86</v>
      </c>
      <c r="Z5" s="9">
        <v>4025.32</v>
      </c>
      <c r="AA5" s="9">
        <v>4019.65</v>
      </c>
      <c r="AB5" s="9">
        <v>3999.16</v>
      </c>
      <c r="AC5" s="9">
        <v>3976.82</v>
      </c>
      <c r="AD5" s="9">
        <v>4001.48</v>
      </c>
      <c r="AE5" s="9">
        <v>4001.59</v>
      </c>
      <c r="AF5" s="9">
        <v>3987.88</v>
      </c>
      <c r="AG5" s="9">
        <v>4097.01</v>
      </c>
      <c r="AH5" s="9">
        <v>4030.01</v>
      </c>
      <c r="AI5" s="9">
        <v>4067.98</v>
      </c>
      <c r="AJ5" s="9">
        <v>4031.1</v>
      </c>
      <c r="AK5" s="9">
        <v>3997.71</v>
      </c>
      <c r="AL5" s="9">
        <v>3984.4</v>
      </c>
      <c r="AM5" s="9">
        <v>3928.06</v>
      </c>
      <c r="AN5" s="9">
        <v>3872.43</v>
      </c>
      <c r="AO5" s="9">
        <v>3807.07</v>
      </c>
      <c r="AP5" s="19">
        <v>3891.31</v>
      </c>
      <c r="AQ5" s="19">
        <v>3910.54</v>
      </c>
      <c r="AR5" s="19">
        <v>3961.8</v>
      </c>
      <c r="AS5" s="19">
        <v>3968.05</v>
      </c>
      <c r="AT5" s="19">
        <v>3944.96</v>
      </c>
      <c r="AU5" s="19">
        <v>3913.4</v>
      </c>
      <c r="AV5" s="19">
        <v>3917.83</v>
      </c>
      <c r="AW5" s="19">
        <v>3905.04</v>
      </c>
      <c r="AX5" s="19">
        <v>3951.71</v>
      </c>
      <c r="AY5" s="19">
        <v>3903.54</v>
      </c>
      <c r="AZ5" s="19">
        <v>3866.61</v>
      </c>
      <c r="BA5" s="19">
        <v>3825.33</v>
      </c>
      <c r="BB5" s="19">
        <v>3851.76</v>
      </c>
      <c r="BC5" s="19">
        <v>3856.77</v>
      </c>
      <c r="BD5" s="19">
        <v>3859.85</v>
      </c>
      <c r="BE5" s="19">
        <v>3891.81</v>
      </c>
      <c r="BF5" s="19">
        <v>3913.9</v>
      </c>
      <c r="BG5" s="19"/>
      <c r="BH5" s="19"/>
      <c r="BI5" s="19"/>
      <c r="BJ5" s="19"/>
      <c r="BK5" s="19"/>
      <c r="BL5" s="19"/>
    </row>
    <row r="6" spans="1:104" ht="15.9" customHeight="1">
      <c r="A6" s="78" t="s">
        <v>7</v>
      </c>
      <c r="B6" s="17" t="s">
        <v>8</v>
      </c>
      <c r="C6" s="546">
        <f>_xll.RssMarket("5706","始値")</f>
        <v>33900</v>
      </c>
      <c r="D6" s="23">
        <f t="shared" ref="D6:D37" si="0">C6-E6</f>
        <v>3400</v>
      </c>
      <c r="E6" s="551">
        <v>30500</v>
      </c>
      <c r="F6" s="20">
        <v>30470</v>
      </c>
      <c r="G6" s="20">
        <v>30800</v>
      </c>
      <c r="H6" s="20">
        <v>25670</v>
      </c>
      <c r="I6" s="20">
        <v>28010</v>
      </c>
      <c r="J6" s="20">
        <v>29975</v>
      </c>
      <c r="K6" s="20">
        <v>31910</v>
      </c>
      <c r="L6" s="20">
        <v>33330</v>
      </c>
      <c r="M6" s="20">
        <v>34800</v>
      </c>
      <c r="N6" s="20">
        <v>34280</v>
      </c>
      <c r="O6" s="20">
        <v>30480</v>
      </c>
      <c r="P6" s="20">
        <v>30590</v>
      </c>
      <c r="Q6" s="20">
        <v>35490</v>
      </c>
      <c r="R6" s="20">
        <v>35000</v>
      </c>
      <c r="S6" s="20">
        <v>35880</v>
      </c>
      <c r="T6" s="20">
        <v>36490</v>
      </c>
      <c r="U6" s="20">
        <v>34430</v>
      </c>
      <c r="V6" s="20">
        <v>34920</v>
      </c>
      <c r="W6" s="20">
        <v>37150</v>
      </c>
      <c r="X6" s="20">
        <v>38910</v>
      </c>
      <c r="Y6" s="20">
        <v>37670</v>
      </c>
      <c r="Z6" s="20">
        <v>41500</v>
      </c>
      <c r="AA6" s="20">
        <v>43650</v>
      </c>
      <c r="AB6" s="20">
        <v>42640</v>
      </c>
      <c r="AC6" s="20">
        <v>42390</v>
      </c>
      <c r="AD6" s="20">
        <v>44990</v>
      </c>
      <c r="AE6" s="20">
        <v>47550</v>
      </c>
      <c r="AF6" s="20">
        <v>46290</v>
      </c>
      <c r="AG6" s="20">
        <v>54190</v>
      </c>
      <c r="AH6" s="20">
        <v>50220</v>
      </c>
      <c r="AI6" s="20">
        <v>49850</v>
      </c>
      <c r="AJ6" s="20">
        <v>47180</v>
      </c>
      <c r="AK6" s="20">
        <v>47100</v>
      </c>
      <c r="AL6" s="20">
        <v>45000</v>
      </c>
      <c r="AM6" s="20">
        <v>45590</v>
      </c>
      <c r="AN6" s="20">
        <v>41000</v>
      </c>
      <c r="AO6" s="20">
        <v>35660</v>
      </c>
      <c r="AP6" s="21">
        <v>38700</v>
      </c>
      <c r="AQ6" s="21">
        <v>40290</v>
      </c>
      <c r="AR6" s="21">
        <v>44010</v>
      </c>
      <c r="AS6" s="21">
        <v>46530</v>
      </c>
      <c r="AT6" s="21">
        <v>49920</v>
      </c>
      <c r="AU6" s="21">
        <v>53270</v>
      </c>
      <c r="AV6" s="21">
        <v>50150</v>
      </c>
      <c r="AW6" s="21">
        <v>50150</v>
      </c>
      <c r="AX6" s="21">
        <v>55650</v>
      </c>
      <c r="AY6" s="21">
        <v>50790</v>
      </c>
      <c r="AZ6" s="21">
        <v>47460</v>
      </c>
      <c r="BA6" s="21">
        <v>45760</v>
      </c>
      <c r="BB6" s="21">
        <v>43710</v>
      </c>
      <c r="BC6" s="21">
        <v>47490</v>
      </c>
      <c r="BD6" s="21">
        <v>46100</v>
      </c>
      <c r="BE6" s="21">
        <v>50490</v>
      </c>
      <c r="BF6" s="21">
        <v>49900</v>
      </c>
      <c r="BG6" s="21">
        <v>49840</v>
      </c>
      <c r="BH6" s="21">
        <v>51500</v>
      </c>
      <c r="BI6" s="21">
        <v>52000</v>
      </c>
      <c r="BJ6" s="21">
        <v>48000</v>
      </c>
      <c r="BK6" s="21">
        <v>45960</v>
      </c>
      <c r="BL6" s="21">
        <v>42340</v>
      </c>
      <c r="BM6" s="1">
        <v>41030</v>
      </c>
      <c r="BN6" s="1">
        <v>39890</v>
      </c>
      <c r="BO6" s="1">
        <v>38700</v>
      </c>
      <c r="BP6" s="1">
        <v>38000</v>
      </c>
      <c r="BQ6" s="1">
        <v>39000</v>
      </c>
      <c r="BR6" s="1">
        <v>37200</v>
      </c>
      <c r="BS6" s="1">
        <v>35840</v>
      </c>
      <c r="BT6" s="1">
        <v>36210</v>
      </c>
      <c r="BU6" s="1">
        <v>37490</v>
      </c>
      <c r="BV6" s="1">
        <v>36000</v>
      </c>
      <c r="BW6" s="1">
        <v>39660</v>
      </c>
      <c r="BX6" s="1">
        <v>38450</v>
      </c>
      <c r="BY6" s="1">
        <v>36500</v>
      </c>
      <c r="BZ6" s="1">
        <v>35390</v>
      </c>
    </row>
    <row r="7" spans="1:104" ht="15.9" customHeight="1">
      <c r="A7" s="78" t="s">
        <v>9</v>
      </c>
      <c r="B7" s="17" t="s">
        <v>10</v>
      </c>
      <c r="C7" s="546">
        <f>_xll.RssMarket("5423","始値")</f>
        <v>1697</v>
      </c>
      <c r="D7" s="23">
        <f t="shared" si="0"/>
        <v>12</v>
      </c>
      <c r="E7" s="551">
        <v>1685</v>
      </c>
      <c r="F7" s="20">
        <v>1760</v>
      </c>
      <c r="G7" s="20">
        <v>1750</v>
      </c>
      <c r="H7" s="20">
        <v>1769</v>
      </c>
      <c r="I7" s="20">
        <v>1789</v>
      </c>
      <c r="J7" s="20">
        <v>1745</v>
      </c>
      <c r="K7" s="20">
        <v>1710</v>
      </c>
      <c r="L7" s="20">
        <v>1712</v>
      </c>
      <c r="M7" s="20">
        <v>1715</v>
      </c>
      <c r="N7" s="20">
        <v>1725</v>
      </c>
      <c r="O7" s="20">
        <v>1749</v>
      </c>
      <c r="P7" s="20">
        <v>1737</v>
      </c>
      <c r="Q7" s="20">
        <v>1761</v>
      </c>
      <c r="R7" s="20">
        <v>1704</v>
      </c>
      <c r="S7" s="20">
        <v>1727</v>
      </c>
      <c r="T7" s="20">
        <v>1725</v>
      </c>
      <c r="U7" s="20">
        <v>1745</v>
      </c>
      <c r="V7" s="20">
        <v>1759</v>
      </c>
      <c r="W7" s="20">
        <v>1756</v>
      </c>
      <c r="X7" s="20">
        <v>1757</v>
      </c>
      <c r="Y7" s="20">
        <v>1724</v>
      </c>
      <c r="Z7" s="20">
        <v>1701</v>
      </c>
      <c r="AA7" s="20">
        <v>1685</v>
      </c>
      <c r="AB7" s="20">
        <v>1691</v>
      </c>
      <c r="AC7" s="20">
        <v>1689</v>
      </c>
      <c r="AD7" s="20">
        <v>1680</v>
      </c>
      <c r="AE7" s="20">
        <v>1712</v>
      </c>
      <c r="AF7" s="20">
        <v>1724</v>
      </c>
      <c r="AG7" s="20">
        <v>1792</v>
      </c>
      <c r="AH7" s="20">
        <v>1763</v>
      </c>
      <c r="AI7" s="20">
        <v>1759</v>
      </c>
      <c r="AJ7" s="20">
        <v>1761</v>
      </c>
      <c r="AK7" s="20">
        <v>1755</v>
      </c>
      <c r="AL7" s="20">
        <v>1741</v>
      </c>
      <c r="AM7" s="20">
        <v>1716</v>
      </c>
      <c r="AN7" s="20">
        <v>1723</v>
      </c>
      <c r="AO7" s="20">
        <v>1663</v>
      </c>
      <c r="AP7" s="21">
        <v>1671</v>
      </c>
      <c r="AQ7" s="21">
        <v>1701</v>
      </c>
      <c r="AR7" s="21">
        <v>1695</v>
      </c>
      <c r="AS7" s="21">
        <v>1705</v>
      </c>
      <c r="AT7" s="21">
        <v>1695</v>
      </c>
      <c r="AU7" s="21">
        <v>1685</v>
      </c>
      <c r="AV7" s="21">
        <v>1712</v>
      </c>
      <c r="AW7" s="21">
        <v>1694</v>
      </c>
      <c r="AX7" s="21">
        <v>1720</v>
      </c>
      <c r="AY7" s="21">
        <v>1720</v>
      </c>
      <c r="AZ7" s="21">
        <v>1747</v>
      </c>
      <c r="BA7" s="21">
        <v>1728</v>
      </c>
      <c r="BB7" s="21">
        <v>1758</v>
      </c>
      <c r="BC7" s="21">
        <v>1795</v>
      </c>
      <c r="BD7" s="21">
        <v>1821</v>
      </c>
      <c r="BE7" s="21">
        <v>1862</v>
      </c>
      <c r="BF7" s="21">
        <v>1723</v>
      </c>
      <c r="BG7" s="21">
        <v>1680</v>
      </c>
      <c r="BH7" s="21">
        <v>1694</v>
      </c>
      <c r="BI7" s="21">
        <v>1658</v>
      </c>
      <c r="BJ7" s="21">
        <v>1703</v>
      </c>
      <c r="BK7" s="21">
        <v>1665</v>
      </c>
      <c r="BL7" s="21">
        <v>1695</v>
      </c>
      <c r="BM7" s="1">
        <v>1679</v>
      </c>
      <c r="BN7" s="1">
        <v>1679</v>
      </c>
      <c r="BO7" s="1">
        <v>1730</v>
      </c>
      <c r="BP7" s="1">
        <v>1716</v>
      </c>
      <c r="BQ7" s="1">
        <v>1786</v>
      </c>
      <c r="BR7" s="1">
        <v>1837</v>
      </c>
      <c r="BS7" s="1">
        <v>1804</v>
      </c>
      <c r="BT7" s="1">
        <v>1795</v>
      </c>
      <c r="BU7" s="1">
        <v>1764</v>
      </c>
      <c r="BV7" s="1">
        <v>1764</v>
      </c>
      <c r="BW7" s="1">
        <v>1728</v>
      </c>
      <c r="BX7" s="1">
        <v>1720</v>
      </c>
      <c r="BY7" s="1">
        <v>1745</v>
      </c>
      <c r="BZ7" s="1">
        <v>1778</v>
      </c>
    </row>
    <row r="8" spans="1:104" ht="15.9" customHeight="1">
      <c r="A8" s="78" t="s">
        <v>11</v>
      </c>
      <c r="B8" s="17" t="s">
        <v>12</v>
      </c>
      <c r="C8" s="546">
        <f>_xll.RssMarket("5713","始値")</f>
        <v>8358</v>
      </c>
      <c r="D8" s="23">
        <f t="shared" si="0"/>
        <v>547</v>
      </c>
      <c r="E8" s="552">
        <v>7811</v>
      </c>
      <c r="F8" s="22">
        <v>7885</v>
      </c>
      <c r="G8" s="22">
        <v>7854</v>
      </c>
      <c r="H8" s="22">
        <v>7224</v>
      </c>
      <c r="I8" s="22">
        <v>7309</v>
      </c>
      <c r="J8" s="22">
        <v>7500</v>
      </c>
      <c r="K8" s="22">
        <v>7610</v>
      </c>
      <c r="L8" s="22">
        <v>7697</v>
      </c>
      <c r="M8" s="22">
        <v>7800</v>
      </c>
      <c r="N8" s="22">
        <v>7509</v>
      </c>
      <c r="O8" s="22">
        <v>6982</v>
      </c>
      <c r="P8" s="22">
        <v>6984</v>
      </c>
      <c r="Q8" s="22">
        <v>7433</v>
      </c>
      <c r="R8" s="22">
        <v>7142</v>
      </c>
      <c r="S8" s="22">
        <v>7242</v>
      </c>
      <c r="T8" s="22">
        <v>7340</v>
      </c>
      <c r="U8" s="22">
        <v>7234</v>
      </c>
      <c r="V8" s="22">
        <v>7300</v>
      </c>
      <c r="W8" s="22">
        <v>7849</v>
      </c>
      <c r="X8" s="22">
        <v>8000</v>
      </c>
      <c r="Y8" s="22">
        <v>7658</v>
      </c>
      <c r="Z8" s="22">
        <v>7486</v>
      </c>
      <c r="AA8" s="22">
        <v>7470</v>
      </c>
      <c r="AB8" s="22">
        <v>7575</v>
      </c>
      <c r="AC8" s="22">
        <v>7615</v>
      </c>
      <c r="AD8" s="22">
        <v>7697</v>
      </c>
      <c r="AE8" s="22">
        <v>7875</v>
      </c>
      <c r="AF8" s="22">
        <v>8199</v>
      </c>
      <c r="AG8" s="22">
        <v>8922</v>
      </c>
      <c r="AH8" s="22">
        <v>8504</v>
      </c>
      <c r="AI8" s="22">
        <v>8990</v>
      </c>
      <c r="AJ8" s="22">
        <v>9090</v>
      </c>
      <c r="AK8" s="22">
        <v>8899</v>
      </c>
      <c r="AL8" s="22">
        <v>9340</v>
      </c>
      <c r="AM8" s="22">
        <v>8938</v>
      </c>
      <c r="AN8" s="22">
        <v>8230</v>
      </c>
      <c r="AO8" s="22">
        <v>7625</v>
      </c>
      <c r="AP8" s="21">
        <v>7597</v>
      </c>
      <c r="AQ8" s="21">
        <v>8100</v>
      </c>
      <c r="AR8" s="21">
        <v>8690</v>
      </c>
      <c r="AS8" s="21">
        <v>8837</v>
      </c>
      <c r="AT8" s="21">
        <v>9010</v>
      </c>
      <c r="AU8" s="21">
        <v>8843</v>
      </c>
      <c r="AV8" s="21">
        <v>9145</v>
      </c>
      <c r="AW8" s="21">
        <v>9398</v>
      </c>
      <c r="AX8" s="21">
        <v>10155</v>
      </c>
      <c r="AY8" s="21">
        <v>9789</v>
      </c>
      <c r="AZ8" s="21">
        <v>9393</v>
      </c>
      <c r="BA8" s="21">
        <v>9280</v>
      </c>
      <c r="BB8" s="21">
        <v>9130</v>
      </c>
      <c r="BC8" s="21">
        <v>9520</v>
      </c>
      <c r="BD8" s="21">
        <v>9917</v>
      </c>
      <c r="BE8" s="21">
        <v>10560</v>
      </c>
      <c r="BF8" s="21">
        <v>10860</v>
      </c>
      <c r="BG8" s="21">
        <v>10660</v>
      </c>
      <c r="BH8" s="21">
        <v>10590</v>
      </c>
      <c r="BI8" s="21">
        <v>10750</v>
      </c>
      <c r="BJ8" s="21">
        <v>10290</v>
      </c>
      <c r="BK8" s="21">
        <v>10135</v>
      </c>
      <c r="BL8" s="21">
        <v>9489</v>
      </c>
      <c r="BM8" s="1">
        <v>9431</v>
      </c>
      <c r="BN8" s="1">
        <v>9699</v>
      </c>
      <c r="BO8" s="1">
        <v>9563</v>
      </c>
      <c r="BP8" s="1">
        <v>9699</v>
      </c>
      <c r="BQ8" s="1">
        <v>10300</v>
      </c>
      <c r="BR8" s="1">
        <v>9996</v>
      </c>
      <c r="BS8" s="1">
        <v>10170</v>
      </c>
      <c r="BT8" s="1">
        <v>10170</v>
      </c>
      <c r="BU8" s="1">
        <v>10780</v>
      </c>
      <c r="BV8" s="1">
        <v>10735</v>
      </c>
      <c r="BW8" s="1">
        <v>10700</v>
      </c>
      <c r="BX8" s="1">
        <v>10150</v>
      </c>
      <c r="BY8" s="1">
        <v>9894</v>
      </c>
      <c r="BZ8" s="1">
        <v>9950</v>
      </c>
    </row>
    <row r="9" spans="1:104" ht="15.9" customHeight="1">
      <c r="A9" s="78" t="s">
        <v>13</v>
      </c>
      <c r="B9" s="17" t="s">
        <v>14</v>
      </c>
      <c r="C9" s="546">
        <f>_xll.RssMarket("5711","始値")</f>
        <v>4236</v>
      </c>
      <c r="D9" s="23">
        <f t="shared" si="0"/>
        <v>131</v>
      </c>
      <c r="E9" s="553">
        <v>4105</v>
      </c>
      <c r="F9" s="21">
        <v>4053</v>
      </c>
      <c r="G9" s="21">
        <v>4096</v>
      </c>
      <c r="H9" s="21">
        <v>3906</v>
      </c>
      <c r="I9" s="21">
        <v>4035</v>
      </c>
      <c r="J9" s="21">
        <v>4154</v>
      </c>
      <c r="K9" s="21">
        <v>4236</v>
      </c>
      <c r="L9" s="21">
        <v>4224</v>
      </c>
      <c r="M9" s="21">
        <v>4296</v>
      </c>
      <c r="N9" s="21">
        <v>4239</v>
      </c>
      <c r="O9" s="21">
        <v>4040</v>
      </c>
      <c r="P9" s="21">
        <v>4088</v>
      </c>
      <c r="Q9" s="21">
        <v>4300</v>
      </c>
      <c r="R9" s="21">
        <v>4033</v>
      </c>
      <c r="S9" s="21">
        <v>4137</v>
      </c>
      <c r="T9" s="21">
        <v>4005</v>
      </c>
      <c r="U9" s="21">
        <v>4044</v>
      </c>
      <c r="V9" s="21">
        <v>4300</v>
      </c>
      <c r="W9" s="21">
        <v>4583</v>
      </c>
      <c r="X9" s="21">
        <v>4564</v>
      </c>
      <c r="Y9" s="21">
        <v>4495</v>
      </c>
      <c r="Z9" s="21">
        <v>4435</v>
      </c>
      <c r="AA9" s="21">
        <v>4385</v>
      </c>
      <c r="AB9" s="21">
        <v>4366</v>
      </c>
      <c r="AC9" s="21">
        <v>4318</v>
      </c>
      <c r="AD9" s="21">
        <v>4447</v>
      </c>
      <c r="AE9" s="21">
        <v>4616</v>
      </c>
      <c r="AF9" s="21">
        <v>4606</v>
      </c>
      <c r="AG9" s="21">
        <v>4950</v>
      </c>
      <c r="AH9" s="21">
        <v>4836</v>
      </c>
      <c r="AI9" s="21">
        <v>4903</v>
      </c>
      <c r="AJ9" s="21">
        <v>4839</v>
      </c>
      <c r="AK9" s="21">
        <v>4870</v>
      </c>
      <c r="AL9" s="21">
        <v>5050</v>
      </c>
      <c r="AM9" s="21">
        <v>4902</v>
      </c>
      <c r="AN9" s="21">
        <v>4583</v>
      </c>
      <c r="AO9" s="21">
        <v>4400</v>
      </c>
      <c r="AP9" s="21">
        <v>4466</v>
      </c>
      <c r="AQ9" s="21">
        <v>4750</v>
      </c>
      <c r="AR9" s="21">
        <v>4931</v>
      </c>
      <c r="AS9" s="21">
        <v>5065</v>
      </c>
      <c r="AT9" s="21">
        <v>5150</v>
      </c>
      <c r="AU9" s="21">
        <v>5027</v>
      </c>
      <c r="AV9" s="21">
        <v>5228</v>
      </c>
      <c r="AW9" s="21">
        <v>5171</v>
      </c>
      <c r="AX9" s="21">
        <v>5448</v>
      </c>
      <c r="AY9" s="21">
        <v>5157</v>
      </c>
      <c r="AZ9" s="21">
        <v>5050</v>
      </c>
      <c r="BA9" s="21">
        <v>4829</v>
      </c>
      <c r="BB9" s="21">
        <v>4848</v>
      </c>
      <c r="BC9" s="21">
        <v>5000</v>
      </c>
      <c r="BD9" s="21">
        <v>5250</v>
      </c>
      <c r="BE9" s="21">
        <v>5363</v>
      </c>
      <c r="BF9" s="21">
        <v>5646</v>
      </c>
      <c r="BG9" s="21">
        <v>5850</v>
      </c>
      <c r="BH9" s="21">
        <v>5657</v>
      </c>
      <c r="BI9" s="21">
        <v>5628</v>
      </c>
      <c r="BJ9" s="21">
        <v>5325</v>
      </c>
      <c r="BK9" s="21">
        <v>5320</v>
      </c>
      <c r="BL9" s="21">
        <v>5143</v>
      </c>
      <c r="BM9" s="1">
        <v>5082</v>
      </c>
      <c r="BN9" s="1">
        <v>5183</v>
      </c>
      <c r="BO9" s="1">
        <v>5210</v>
      </c>
      <c r="BP9" s="1">
        <v>5284</v>
      </c>
      <c r="BQ9" s="1">
        <v>5393</v>
      </c>
      <c r="BR9" s="1">
        <v>5450</v>
      </c>
      <c r="BS9" s="1">
        <v>5550</v>
      </c>
      <c r="BT9" s="1">
        <v>5588</v>
      </c>
      <c r="BU9" s="1">
        <v>5701</v>
      </c>
      <c r="BV9" s="1">
        <v>5728</v>
      </c>
      <c r="BW9" s="1">
        <v>5788</v>
      </c>
      <c r="BX9" s="1">
        <v>5590</v>
      </c>
      <c r="BY9" s="1">
        <v>5500</v>
      </c>
      <c r="BZ9" s="1">
        <v>5577</v>
      </c>
    </row>
    <row r="10" spans="1:104" ht="15.9" customHeight="1">
      <c r="A10" s="78" t="s">
        <v>15</v>
      </c>
      <c r="B10" s="17" t="s">
        <v>16</v>
      </c>
      <c r="C10" s="546">
        <f>_xll.RssMarket("5714","始値")</f>
        <v>8347</v>
      </c>
      <c r="D10" s="23">
        <f t="shared" si="0"/>
        <v>252</v>
      </c>
      <c r="E10" s="553">
        <v>8095</v>
      </c>
      <c r="F10" s="21">
        <v>8026</v>
      </c>
      <c r="G10" s="21">
        <v>8034</v>
      </c>
      <c r="H10" s="21">
        <v>7907</v>
      </c>
      <c r="I10" s="21">
        <v>8092</v>
      </c>
      <c r="J10" s="21">
        <v>8227</v>
      </c>
      <c r="K10" s="21">
        <v>8399</v>
      </c>
      <c r="L10" s="21">
        <v>8356</v>
      </c>
      <c r="M10" s="21">
        <v>8486</v>
      </c>
      <c r="N10" s="21">
        <v>8449</v>
      </c>
      <c r="O10" s="21">
        <v>8061</v>
      </c>
      <c r="P10" s="21">
        <v>8165</v>
      </c>
      <c r="Q10" s="21">
        <v>8472</v>
      </c>
      <c r="R10" s="21">
        <v>8268</v>
      </c>
      <c r="S10" s="21">
        <v>8450</v>
      </c>
      <c r="T10" s="21">
        <v>8425</v>
      </c>
      <c r="U10" s="21">
        <v>8313</v>
      </c>
      <c r="V10" s="21">
        <v>8473</v>
      </c>
      <c r="W10" s="21">
        <v>8824</v>
      </c>
      <c r="X10" s="21">
        <v>8900</v>
      </c>
      <c r="Y10" s="21">
        <v>8828</v>
      </c>
      <c r="Z10" s="21">
        <v>8649</v>
      </c>
      <c r="AA10" s="21">
        <v>8603</v>
      </c>
      <c r="AB10" s="21">
        <v>8825</v>
      </c>
      <c r="AC10" s="21">
        <v>8824</v>
      </c>
      <c r="AD10" s="21">
        <v>8700</v>
      </c>
      <c r="AE10" s="21">
        <v>8971</v>
      </c>
      <c r="AF10" s="21">
        <v>9059</v>
      </c>
      <c r="AG10" s="21">
        <v>9730</v>
      </c>
      <c r="AH10" s="21">
        <v>9480</v>
      </c>
      <c r="AI10" s="21">
        <v>9566</v>
      </c>
      <c r="AJ10" s="21">
        <v>9799</v>
      </c>
      <c r="AK10" s="21">
        <v>9770</v>
      </c>
      <c r="AL10" s="21">
        <v>9904</v>
      </c>
      <c r="AM10" s="21">
        <v>9677</v>
      </c>
      <c r="AN10" s="21">
        <v>9225</v>
      </c>
      <c r="AO10" s="21">
        <v>8847</v>
      </c>
      <c r="AP10" s="21">
        <v>8954</v>
      </c>
      <c r="AQ10" s="21">
        <v>9650</v>
      </c>
      <c r="AR10" s="21">
        <v>10105</v>
      </c>
      <c r="AS10" s="21">
        <v>10090</v>
      </c>
      <c r="AT10" s="21">
        <v>10490</v>
      </c>
      <c r="AU10" s="21">
        <v>10275</v>
      </c>
      <c r="AV10" s="21">
        <v>10635</v>
      </c>
      <c r="AW10" s="21">
        <v>10600</v>
      </c>
      <c r="AX10" s="21">
        <v>11000</v>
      </c>
      <c r="AY10" s="21">
        <v>10775</v>
      </c>
      <c r="AZ10" s="21">
        <v>10400</v>
      </c>
      <c r="BA10" s="21">
        <v>10305</v>
      </c>
      <c r="BB10" s="21">
        <v>10220</v>
      </c>
      <c r="BC10" s="21">
        <v>11110</v>
      </c>
      <c r="BD10" s="21">
        <v>11515</v>
      </c>
      <c r="BE10" s="21">
        <v>11885</v>
      </c>
      <c r="BF10" s="21">
        <v>10550</v>
      </c>
      <c r="BG10" s="21">
        <v>10205</v>
      </c>
      <c r="BH10" s="21">
        <v>10465</v>
      </c>
      <c r="BI10" s="21">
        <v>10365</v>
      </c>
      <c r="BJ10" s="21">
        <v>9965</v>
      </c>
      <c r="BK10" s="21">
        <v>9620</v>
      </c>
      <c r="BL10" s="21">
        <v>9538</v>
      </c>
      <c r="BM10" s="1">
        <v>9504</v>
      </c>
      <c r="BN10" s="1">
        <v>9546</v>
      </c>
      <c r="BO10" s="1">
        <v>9525</v>
      </c>
      <c r="BP10" s="1">
        <v>9651</v>
      </c>
      <c r="BQ10" s="1">
        <v>9849</v>
      </c>
      <c r="BR10" s="1">
        <v>9822</v>
      </c>
      <c r="BS10" s="1">
        <v>9914</v>
      </c>
      <c r="BT10" s="1">
        <v>10005</v>
      </c>
      <c r="BU10" s="1">
        <v>10190</v>
      </c>
      <c r="BV10" s="1">
        <v>10115</v>
      </c>
      <c r="BW10" s="1">
        <v>10285</v>
      </c>
      <c r="BX10" s="1">
        <v>9827</v>
      </c>
      <c r="BY10" s="1">
        <v>9688</v>
      </c>
      <c r="BZ10" s="1">
        <v>9832</v>
      </c>
    </row>
    <row r="11" spans="1:104" ht="15.9" customHeight="1">
      <c r="A11" s="78" t="s">
        <v>17</v>
      </c>
      <c r="B11" s="17" t="s">
        <v>18</v>
      </c>
      <c r="C11" s="546">
        <f>_xll.RssMarket("6701","始値")</f>
        <v>4677</v>
      </c>
      <c r="D11" s="23">
        <f t="shared" si="0"/>
        <v>-123</v>
      </c>
      <c r="E11" s="553">
        <v>4800</v>
      </c>
      <c r="F11" s="21">
        <v>4750</v>
      </c>
      <c r="G11" s="21">
        <v>4692</v>
      </c>
      <c r="H11" s="21">
        <v>4963</v>
      </c>
      <c r="I11" s="21">
        <v>4420</v>
      </c>
      <c r="J11" s="21">
        <v>4445</v>
      </c>
      <c r="K11" s="21">
        <v>4312</v>
      </c>
      <c r="L11" s="21">
        <v>4230</v>
      </c>
      <c r="M11" s="21">
        <v>4271</v>
      </c>
      <c r="N11" s="21">
        <v>4280</v>
      </c>
      <c r="O11" s="21">
        <v>4424</v>
      </c>
      <c r="P11" s="21">
        <v>4371</v>
      </c>
      <c r="Q11" s="21">
        <v>4267</v>
      </c>
      <c r="R11" s="21">
        <v>4365</v>
      </c>
      <c r="S11" s="21">
        <v>4300</v>
      </c>
      <c r="T11" s="21">
        <v>4334</v>
      </c>
      <c r="U11" s="21">
        <v>4269</v>
      </c>
      <c r="V11" s="21">
        <v>4397</v>
      </c>
      <c r="W11" s="21">
        <v>4302</v>
      </c>
      <c r="X11" s="21">
        <v>4238</v>
      </c>
      <c r="Y11" s="21">
        <v>4293</v>
      </c>
      <c r="Z11" s="21">
        <v>4217</v>
      </c>
      <c r="AA11" s="21">
        <v>3950</v>
      </c>
      <c r="AB11" s="21">
        <v>4045</v>
      </c>
      <c r="AC11" s="21">
        <v>3919</v>
      </c>
      <c r="AD11" s="21">
        <v>3700</v>
      </c>
      <c r="AE11" s="21">
        <v>3804</v>
      </c>
      <c r="AF11" s="21">
        <v>3753</v>
      </c>
      <c r="AG11" s="21">
        <v>3706</v>
      </c>
      <c r="AH11" s="21">
        <v>3750</v>
      </c>
      <c r="AI11" s="21">
        <v>3775</v>
      </c>
      <c r="AJ11" s="21">
        <v>3874</v>
      </c>
      <c r="AK11" s="21">
        <v>3877</v>
      </c>
      <c r="AL11" s="21">
        <v>3803</v>
      </c>
      <c r="AM11" s="21">
        <v>3912</v>
      </c>
      <c r="AN11" s="21">
        <v>3994</v>
      </c>
      <c r="AO11" s="21">
        <v>3979</v>
      </c>
      <c r="AP11" s="21">
        <v>4079</v>
      </c>
      <c r="AQ11" s="21">
        <v>4152</v>
      </c>
      <c r="AR11" s="21">
        <v>4265</v>
      </c>
      <c r="AS11" s="21">
        <v>4203</v>
      </c>
      <c r="AT11" s="21">
        <v>4306</v>
      </c>
      <c r="AU11" s="21">
        <v>4469</v>
      </c>
      <c r="AV11" s="21">
        <v>4145</v>
      </c>
      <c r="AW11" s="21">
        <v>4148</v>
      </c>
      <c r="AX11" s="21">
        <v>4002</v>
      </c>
      <c r="AY11" s="21">
        <v>4100</v>
      </c>
      <c r="AZ11" s="21">
        <v>4121</v>
      </c>
      <c r="BA11" s="21">
        <v>4151</v>
      </c>
      <c r="BB11" s="21">
        <v>4308</v>
      </c>
      <c r="BC11" s="21">
        <v>4280</v>
      </c>
      <c r="BD11" s="21">
        <v>4110</v>
      </c>
      <c r="BE11" s="21">
        <v>4109</v>
      </c>
      <c r="BF11" s="21">
        <v>4103</v>
      </c>
      <c r="BG11" s="21">
        <v>4330</v>
      </c>
      <c r="BH11" s="21">
        <v>4106</v>
      </c>
      <c r="BI11" s="21">
        <v>4137</v>
      </c>
      <c r="BJ11" s="21">
        <v>4131</v>
      </c>
      <c r="BK11" s="21">
        <v>4010</v>
      </c>
      <c r="BL11" s="21">
        <v>4069</v>
      </c>
      <c r="BM11" s="1">
        <v>4196</v>
      </c>
      <c r="BN11" s="1">
        <v>4600</v>
      </c>
      <c r="BO11" s="1">
        <v>4680</v>
      </c>
      <c r="BP11" s="1">
        <v>4476</v>
      </c>
      <c r="BQ11" s="1">
        <v>4416</v>
      </c>
      <c r="BR11" s="1">
        <v>4467</v>
      </c>
      <c r="BS11" s="1">
        <v>4390</v>
      </c>
      <c r="BT11" s="1">
        <v>4331</v>
      </c>
      <c r="BU11" s="1">
        <v>4375</v>
      </c>
      <c r="BV11" s="1">
        <v>4410</v>
      </c>
      <c r="BW11" s="1">
        <v>4185</v>
      </c>
      <c r="BX11" s="1">
        <v>4048</v>
      </c>
      <c r="BY11" s="1">
        <v>3800</v>
      </c>
      <c r="BZ11" s="1">
        <v>3978</v>
      </c>
    </row>
    <row r="12" spans="1:104" ht="15.9" customHeight="1">
      <c r="A12" s="78" t="s">
        <v>19</v>
      </c>
      <c r="B12" s="17" t="s">
        <v>20</v>
      </c>
      <c r="C12" s="546">
        <f>_xll.RssMarket("1605","始値")</f>
        <v>3451</v>
      </c>
      <c r="D12" s="23">
        <f t="shared" si="0"/>
        <v>-56</v>
      </c>
      <c r="E12" s="553">
        <v>3507</v>
      </c>
      <c r="F12" s="21">
        <v>3600</v>
      </c>
      <c r="G12" s="21">
        <v>3590</v>
      </c>
      <c r="H12" s="21">
        <v>3652</v>
      </c>
      <c r="I12" s="21">
        <v>3555</v>
      </c>
      <c r="J12" s="21">
        <v>3593</v>
      </c>
      <c r="K12" s="21">
        <v>3688</v>
      </c>
      <c r="L12" s="21">
        <v>3760</v>
      </c>
      <c r="M12" s="21">
        <v>3620</v>
      </c>
      <c r="N12" s="21">
        <v>3598</v>
      </c>
      <c r="O12" s="21">
        <v>3525</v>
      </c>
      <c r="P12" s="21">
        <v>3440</v>
      </c>
      <c r="Q12" s="21">
        <v>3491</v>
      </c>
      <c r="R12" s="21">
        <v>3455</v>
      </c>
      <c r="S12" s="21">
        <v>3384</v>
      </c>
      <c r="T12" s="21">
        <v>3400</v>
      </c>
      <c r="U12" s="21">
        <v>3457</v>
      </c>
      <c r="V12" s="21">
        <v>3350</v>
      </c>
      <c r="W12" s="21">
        <v>3327</v>
      </c>
      <c r="X12" s="21">
        <v>3242</v>
      </c>
      <c r="Y12" s="21">
        <v>3235</v>
      </c>
      <c r="Z12" s="21">
        <v>3206</v>
      </c>
      <c r="AA12" s="21">
        <v>3293</v>
      </c>
      <c r="AB12" s="21">
        <v>3284</v>
      </c>
      <c r="AC12" s="21">
        <v>3317</v>
      </c>
      <c r="AD12" s="21">
        <v>3333</v>
      </c>
      <c r="AE12" s="21">
        <v>3410</v>
      </c>
      <c r="AF12" s="21">
        <v>3455</v>
      </c>
      <c r="AG12" s="21">
        <v>3454</v>
      </c>
      <c r="AH12" s="21">
        <v>3500</v>
      </c>
      <c r="AI12" s="21">
        <v>3407</v>
      </c>
      <c r="AJ12" s="21">
        <v>3442</v>
      </c>
      <c r="AK12" s="21">
        <v>3328</v>
      </c>
      <c r="AL12" s="21">
        <v>3467</v>
      </c>
      <c r="AM12" s="21">
        <v>3559</v>
      </c>
      <c r="AN12" s="21">
        <v>3554</v>
      </c>
      <c r="AO12" s="21">
        <v>3587</v>
      </c>
      <c r="AP12" s="21">
        <v>3537</v>
      </c>
      <c r="AQ12" s="21">
        <v>3657</v>
      </c>
      <c r="AR12" s="21">
        <v>3650</v>
      </c>
      <c r="AS12" s="21">
        <v>3646</v>
      </c>
      <c r="AT12" s="21">
        <v>3684</v>
      </c>
      <c r="AU12" s="21">
        <v>3470</v>
      </c>
      <c r="AV12" s="21">
        <v>3605</v>
      </c>
      <c r="AW12" s="21">
        <v>3600</v>
      </c>
      <c r="AX12" s="21">
        <v>3650</v>
      </c>
      <c r="AY12" s="21">
        <v>3757</v>
      </c>
      <c r="AZ12" s="21">
        <v>3821</v>
      </c>
      <c r="BA12" s="21">
        <v>3868</v>
      </c>
      <c r="BB12" s="21">
        <v>3970</v>
      </c>
      <c r="BC12" s="21">
        <v>3972</v>
      </c>
      <c r="BD12" s="21">
        <v>3967</v>
      </c>
      <c r="BE12" s="21">
        <v>3864</v>
      </c>
      <c r="BF12" s="21">
        <v>4000</v>
      </c>
      <c r="BG12" s="21">
        <v>3973</v>
      </c>
      <c r="BH12" s="21">
        <v>3915</v>
      </c>
      <c r="BI12" s="21">
        <v>3788</v>
      </c>
      <c r="BJ12" s="21">
        <v>3803</v>
      </c>
      <c r="BK12" s="21">
        <v>3856</v>
      </c>
      <c r="BL12" s="21">
        <v>4131</v>
      </c>
      <c r="BM12" s="1">
        <v>4173</v>
      </c>
      <c r="BN12" s="1">
        <v>3994</v>
      </c>
      <c r="BO12" s="1">
        <v>3984</v>
      </c>
      <c r="BP12" s="1">
        <v>4000</v>
      </c>
      <c r="BQ12" s="1">
        <v>3856</v>
      </c>
      <c r="BR12" s="1">
        <v>3900</v>
      </c>
      <c r="BS12" s="1">
        <v>3881</v>
      </c>
      <c r="BT12" s="1">
        <v>3915</v>
      </c>
      <c r="BU12" s="1">
        <v>3997</v>
      </c>
      <c r="BV12" s="1">
        <v>4035</v>
      </c>
      <c r="BW12" s="1">
        <v>4125</v>
      </c>
      <c r="BX12" s="1">
        <v>4209</v>
      </c>
      <c r="BY12" s="1">
        <v>4354</v>
      </c>
      <c r="BZ12" s="1">
        <v>4247</v>
      </c>
    </row>
    <row r="13" spans="1:104" ht="15.9" customHeight="1">
      <c r="A13" s="78" t="s">
        <v>21</v>
      </c>
      <c r="B13" s="17" t="s">
        <v>22</v>
      </c>
      <c r="C13" s="546">
        <f>_xll.RssMarket("5703","始値")</f>
        <v>2841</v>
      </c>
      <c r="D13" s="23">
        <f t="shared" si="0"/>
        <v>-39</v>
      </c>
      <c r="E13" s="553">
        <v>2880</v>
      </c>
      <c r="F13" s="21">
        <v>2665</v>
      </c>
      <c r="G13" s="21">
        <v>2650</v>
      </c>
      <c r="H13" s="21">
        <v>2579</v>
      </c>
      <c r="I13" s="21">
        <v>2628</v>
      </c>
      <c r="J13" s="21">
        <v>2656</v>
      </c>
      <c r="K13" s="21">
        <v>2685</v>
      </c>
      <c r="L13" s="21">
        <v>2680</v>
      </c>
      <c r="M13" s="21">
        <v>2729</v>
      </c>
      <c r="N13" s="21">
        <v>2729</v>
      </c>
      <c r="O13" s="21">
        <v>2707</v>
      </c>
      <c r="P13" s="21">
        <v>2690</v>
      </c>
      <c r="Q13" s="21">
        <v>2798</v>
      </c>
      <c r="R13" s="21">
        <v>2675</v>
      </c>
      <c r="S13" s="21">
        <v>2711</v>
      </c>
      <c r="T13" s="21">
        <v>2662</v>
      </c>
      <c r="U13" s="21">
        <v>2636</v>
      </c>
      <c r="V13" s="21">
        <v>2680</v>
      </c>
      <c r="W13" s="21">
        <v>2752</v>
      </c>
      <c r="X13" s="21">
        <v>2779</v>
      </c>
      <c r="Y13" s="21">
        <v>2726</v>
      </c>
      <c r="Z13" s="21">
        <v>2735</v>
      </c>
      <c r="AA13" s="21">
        <v>2745</v>
      </c>
      <c r="AB13" s="21">
        <v>2825</v>
      </c>
      <c r="AC13" s="21">
        <v>2843</v>
      </c>
      <c r="AD13" s="21">
        <v>2835</v>
      </c>
      <c r="AE13" s="21">
        <v>2870</v>
      </c>
      <c r="AF13" s="21">
        <v>2923</v>
      </c>
      <c r="AG13" s="21">
        <v>3015</v>
      </c>
      <c r="AH13" s="21">
        <v>2997</v>
      </c>
      <c r="AI13" s="21">
        <v>2971</v>
      </c>
      <c r="AJ13" s="21">
        <v>2960</v>
      </c>
      <c r="AK13" s="21">
        <v>3035</v>
      </c>
      <c r="AL13" s="21">
        <v>3060</v>
      </c>
      <c r="AM13" s="21">
        <v>3110</v>
      </c>
      <c r="AN13" s="21">
        <v>3080</v>
      </c>
      <c r="AO13" s="21">
        <v>2927</v>
      </c>
      <c r="AP13" s="21">
        <v>3090</v>
      </c>
      <c r="AQ13" s="21">
        <v>3160</v>
      </c>
      <c r="AR13" s="21">
        <v>3195</v>
      </c>
      <c r="AS13" s="21">
        <v>3230</v>
      </c>
      <c r="AT13" s="21">
        <v>3235</v>
      </c>
      <c r="AU13" s="21">
        <v>3105</v>
      </c>
      <c r="AV13" s="21">
        <v>3230</v>
      </c>
      <c r="AW13" s="21">
        <v>3155</v>
      </c>
      <c r="AX13" s="21">
        <v>3290</v>
      </c>
      <c r="AY13" s="21">
        <v>3190</v>
      </c>
      <c r="AZ13" s="21">
        <v>3100</v>
      </c>
      <c r="BA13" s="21">
        <v>3120</v>
      </c>
      <c r="BB13" s="21">
        <v>3045</v>
      </c>
      <c r="BC13" s="21">
        <v>3140</v>
      </c>
      <c r="BD13" s="21">
        <v>3065</v>
      </c>
      <c r="BE13" s="21">
        <v>3050</v>
      </c>
      <c r="BF13" s="21">
        <v>2969</v>
      </c>
      <c r="BG13" s="21">
        <v>2939</v>
      </c>
      <c r="BH13" s="21">
        <v>2928</v>
      </c>
      <c r="BI13" s="21">
        <v>2956</v>
      </c>
      <c r="BJ13" s="21">
        <v>2854</v>
      </c>
      <c r="BK13" s="21">
        <v>2899</v>
      </c>
      <c r="BL13" s="21">
        <v>2703</v>
      </c>
      <c r="BM13" s="1">
        <v>2834</v>
      </c>
      <c r="BN13" s="1">
        <v>2876</v>
      </c>
      <c r="BO13" s="1">
        <v>2876</v>
      </c>
      <c r="BP13" s="1">
        <v>2847</v>
      </c>
      <c r="BQ13" s="1">
        <v>2915</v>
      </c>
      <c r="BR13" s="1">
        <v>2939</v>
      </c>
      <c r="BS13" s="1">
        <v>3025</v>
      </c>
      <c r="BT13" s="1">
        <v>2999</v>
      </c>
      <c r="BU13" s="1">
        <v>3020</v>
      </c>
      <c r="BV13" s="1">
        <v>3030</v>
      </c>
      <c r="BW13" s="1">
        <v>3070</v>
      </c>
      <c r="BX13" s="1">
        <v>3030</v>
      </c>
      <c r="BY13" s="1">
        <v>2981</v>
      </c>
      <c r="BZ13" s="1">
        <v>2998</v>
      </c>
    </row>
    <row r="14" spans="1:104" ht="15.9" customHeight="1">
      <c r="A14" s="78" t="s">
        <v>23</v>
      </c>
      <c r="B14" s="17" t="s">
        <v>24</v>
      </c>
      <c r="C14" s="546">
        <f>_xll.RssMarket("8002","始値")</f>
        <v>4901</v>
      </c>
      <c r="D14" s="23">
        <f t="shared" si="0"/>
        <v>-131</v>
      </c>
      <c r="E14" s="553">
        <v>5032</v>
      </c>
      <c r="F14" s="21">
        <v>5111</v>
      </c>
      <c r="G14" s="21">
        <v>5223</v>
      </c>
      <c r="H14" s="21">
        <v>5126</v>
      </c>
      <c r="I14" s="21">
        <v>5284</v>
      </c>
      <c r="J14" s="21">
        <v>5393</v>
      </c>
      <c r="K14" s="21">
        <v>5435</v>
      </c>
      <c r="L14" s="21">
        <v>5362</v>
      </c>
      <c r="M14" s="21">
        <v>5280</v>
      </c>
      <c r="N14" s="21">
        <v>5214</v>
      </c>
      <c r="O14" s="21">
        <v>5022</v>
      </c>
      <c r="P14" s="21">
        <v>5080</v>
      </c>
      <c r="Q14" s="21">
        <v>5000</v>
      </c>
      <c r="R14" s="21">
        <v>4890</v>
      </c>
      <c r="S14" s="21">
        <v>4949</v>
      </c>
      <c r="T14" s="21">
        <v>4904</v>
      </c>
      <c r="U14" s="21">
        <v>4900</v>
      </c>
      <c r="V14" s="21">
        <v>5033</v>
      </c>
      <c r="W14" s="21">
        <v>5096</v>
      </c>
      <c r="X14" s="21">
        <v>4997</v>
      </c>
      <c r="Y14" s="21">
        <v>4866</v>
      </c>
      <c r="Z14" s="21">
        <v>4789</v>
      </c>
      <c r="AA14" s="21">
        <v>4695</v>
      </c>
      <c r="AB14" s="21">
        <v>4710</v>
      </c>
      <c r="AC14" s="21">
        <v>4792</v>
      </c>
      <c r="AD14" s="21">
        <v>4630</v>
      </c>
      <c r="AE14" s="21">
        <v>4757</v>
      </c>
      <c r="AF14" s="21">
        <v>4790</v>
      </c>
      <c r="AG14" s="21">
        <v>4947</v>
      </c>
      <c r="AH14" s="21">
        <v>4868</v>
      </c>
      <c r="AI14" s="21">
        <v>4850</v>
      </c>
      <c r="AJ14" s="21">
        <v>4949</v>
      </c>
      <c r="AK14" s="21">
        <v>4981</v>
      </c>
      <c r="AL14" s="21">
        <v>5023</v>
      </c>
      <c r="AM14" s="21">
        <v>5009</v>
      </c>
      <c r="AN14" s="21">
        <v>4869</v>
      </c>
      <c r="AO14" s="21">
        <v>4780</v>
      </c>
      <c r="AP14" s="21">
        <v>4850</v>
      </c>
      <c r="AQ14" s="21">
        <v>4960</v>
      </c>
      <c r="AR14" s="21">
        <v>5018</v>
      </c>
      <c r="AS14" s="21">
        <v>4997</v>
      </c>
      <c r="AT14" s="21">
        <v>4899</v>
      </c>
      <c r="AU14" s="21">
        <v>4848</v>
      </c>
      <c r="AV14" s="21">
        <v>5180</v>
      </c>
      <c r="AW14" s="21">
        <v>5170</v>
      </c>
      <c r="AX14" s="21">
        <v>5348</v>
      </c>
      <c r="AY14" s="21">
        <v>5271</v>
      </c>
      <c r="AZ14" s="21">
        <v>5331</v>
      </c>
      <c r="BA14" s="21">
        <v>5467</v>
      </c>
      <c r="BB14" s="21">
        <v>5451</v>
      </c>
      <c r="BC14" s="21">
        <v>5706</v>
      </c>
      <c r="BD14" s="21">
        <v>5806</v>
      </c>
      <c r="BE14" s="21">
        <v>5922</v>
      </c>
      <c r="BF14" s="21">
        <v>5884</v>
      </c>
      <c r="BG14" s="21">
        <v>5555</v>
      </c>
      <c r="BH14" s="21">
        <v>5433</v>
      </c>
      <c r="BI14" s="21">
        <v>5356</v>
      </c>
      <c r="BJ14" s="21">
        <v>5493</v>
      </c>
      <c r="BK14" s="21">
        <v>5655</v>
      </c>
      <c r="BL14" s="21">
        <v>6146</v>
      </c>
      <c r="BM14" s="1">
        <v>6080</v>
      </c>
      <c r="BN14" s="1">
        <v>6010</v>
      </c>
      <c r="BO14" s="1">
        <v>5903</v>
      </c>
      <c r="BP14" s="1">
        <v>6003</v>
      </c>
      <c r="BQ14" s="1">
        <v>5867</v>
      </c>
      <c r="BR14" s="1">
        <v>5956</v>
      </c>
      <c r="BS14" s="1">
        <v>5874</v>
      </c>
      <c r="BT14" s="1">
        <v>5950</v>
      </c>
      <c r="BU14" s="1">
        <v>6040</v>
      </c>
      <c r="BV14" s="1">
        <v>5903</v>
      </c>
      <c r="BW14" s="1">
        <v>6000</v>
      </c>
      <c r="BX14" s="1">
        <v>6000</v>
      </c>
      <c r="BY14" s="1">
        <v>5946</v>
      </c>
      <c r="BZ14" s="1">
        <v>6047</v>
      </c>
    </row>
    <row r="15" spans="1:104" ht="15.9" customHeight="1">
      <c r="A15" s="78" t="s">
        <v>25</v>
      </c>
      <c r="B15" s="17" t="s">
        <v>26</v>
      </c>
      <c r="C15" s="546">
        <f>_xll.RssMarket("5021","始値")</f>
        <v>3790</v>
      </c>
      <c r="D15" s="23">
        <f t="shared" si="0"/>
        <v>-81</v>
      </c>
      <c r="E15" s="553">
        <v>3871</v>
      </c>
      <c r="F15" s="21">
        <v>3964</v>
      </c>
      <c r="G15" s="21">
        <v>3982</v>
      </c>
      <c r="H15" s="21">
        <v>4007</v>
      </c>
      <c r="I15" s="21">
        <v>3950</v>
      </c>
      <c r="J15" s="21">
        <v>3995</v>
      </c>
      <c r="K15" s="21">
        <v>3954</v>
      </c>
      <c r="L15" s="21">
        <v>3999</v>
      </c>
      <c r="M15" s="21">
        <v>3906</v>
      </c>
      <c r="N15" s="21">
        <v>3902</v>
      </c>
      <c r="O15" s="21">
        <v>3880</v>
      </c>
      <c r="P15" s="21">
        <v>3804</v>
      </c>
      <c r="Q15" s="21">
        <v>3877</v>
      </c>
      <c r="R15" s="21">
        <v>3875</v>
      </c>
      <c r="S15" s="21">
        <v>3892</v>
      </c>
      <c r="T15" s="21">
        <v>3876</v>
      </c>
      <c r="U15" s="21">
        <v>3895</v>
      </c>
      <c r="V15" s="21">
        <v>3880</v>
      </c>
      <c r="W15" s="21">
        <v>3997</v>
      </c>
      <c r="X15" s="21">
        <v>3920</v>
      </c>
      <c r="Y15" s="21">
        <v>3856</v>
      </c>
      <c r="Z15" s="21">
        <v>3850</v>
      </c>
      <c r="AA15" s="21">
        <v>3828</v>
      </c>
      <c r="AB15" s="21">
        <v>3842</v>
      </c>
      <c r="AC15" s="21">
        <v>3736</v>
      </c>
      <c r="AD15" s="21">
        <v>3715</v>
      </c>
      <c r="AE15" s="21">
        <v>3800</v>
      </c>
      <c r="AF15" s="21">
        <v>3683</v>
      </c>
      <c r="AG15" s="21">
        <v>3738</v>
      </c>
      <c r="AH15" s="21">
        <v>3775</v>
      </c>
      <c r="AI15" s="21">
        <v>3750</v>
      </c>
      <c r="AJ15" s="21">
        <v>3680</v>
      </c>
      <c r="AK15" s="21">
        <v>3690</v>
      </c>
      <c r="AL15" s="21">
        <v>3690</v>
      </c>
      <c r="AM15" s="21">
        <v>3630</v>
      </c>
      <c r="AN15" s="21">
        <v>3530</v>
      </c>
      <c r="AO15" s="21">
        <v>3511</v>
      </c>
      <c r="AP15" s="21">
        <v>3500</v>
      </c>
      <c r="AQ15" s="21">
        <v>3545</v>
      </c>
      <c r="AR15" s="21">
        <v>3655</v>
      </c>
      <c r="AS15" s="21">
        <v>3778</v>
      </c>
      <c r="AT15" s="21">
        <v>3720</v>
      </c>
      <c r="AU15" s="21">
        <v>3666</v>
      </c>
      <c r="AV15" s="21">
        <v>3700</v>
      </c>
      <c r="AW15" s="21">
        <v>3676</v>
      </c>
      <c r="AX15" s="21">
        <v>3640</v>
      </c>
      <c r="AY15" s="21">
        <v>3728</v>
      </c>
      <c r="AZ15" s="21">
        <v>3698</v>
      </c>
      <c r="BA15" s="21">
        <v>3740</v>
      </c>
      <c r="BB15" s="21">
        <v>3774</v>
      </c>
      <c r="BC15" s="21">
        <v>3799</v>
      </c>
      <c r="BD15" s="21">
        <v>3842</v>
      </c>
      <c r="BE15" s="21">
        <v>3872</v>
      </c>
      <c r="BF15" s="21">
        <v>3763</v>
      </c>
      <c r="BG15" s="21">
        <v>3899</v>
      </c>
      <c r="BH15" s="21">
        <v>3958</v>
      </c>
      <c r="BI15" s="21">
        <v>3936</v>
      </c>
      <c r="BJ15" s="21">
        <v>3909</v>
      </c>
      <c r="BK15" s="21">
        <v>3865</v>
      </c>
      <c r="BL15" s="21">
        <v>3980</v>
      </c>
      <c r="BM15" s="1">
        <v>3987</v>
      </c>
      <c r="BN15" s="1">
        <v>3949</v>
      </c>
      <c r="BO15" s="1">
        <v>3936</v>
      </c>
      <c r="BP15" s="1">
        <v>4023</v>
      </c>
      <c r="BQ15" s="1">
        <v>3932</v>
      </c>
      <c r="BR15" s="1">
        <v>4229</v>
      </c>
      <c r="BS15" s="1">
        <v>4288</v>
      </c>
      <c r="BT15" s="1">
        <v>4316</v>
      </c>
      <c r="BU15" s="1">
        <v>4398</v>
      </c>
      <c r="BV15" s="1">
        <v>4393</v>
      </c>
      <c r="BW15" s="1">
        <v>4360</v>
      </c>
      <c r="BX15" s="1">
        <v>4352</v>
      </c>
      <c r="BY15" s="1">
        <v>4461</v>
      </c>
      <c r="BZ15" s="1">
        <v>4501</v>
      </c>
    </row>
    <row r="16" spans="1:104" ht="15.9" customHeight="1">
      <c r="A16" s="78" t="s">
        <v>27</v>
      </c>
      <c r="B16" s="17" t="s">
        <v>28</v>
      </c>
      <c r="C16" s="546">
        <f>_xll.RssMarket("8058","始値")</f>
        <v>4694</v>
      </c>
      <c r="D16" s="23">
        <f t="shared" si="0"/>
        <v>78</v>
      </c>
      <c r="E16" s="553">
        <v>4616</v>
      </c>
      <c r="F16" s="21">
        <v>4791</v>
      </c>
      <c r="G16" s="21">
        <v>4781</v>
      </c>
      <c r="H16" s="21">
        <v>4772</v>
      </c>
      <c r="I16" s="21">
        <v>4800</v>
      </c>
      <c r="J16" s="21">
        <v>4815</v>
      </c>
      <c r="K16" s="21">
        <v>4901</v>
      </c>
      <c r="L16" s="21">
        <v>4925</v>
      </c>
      <c r="M16" s="21">
        <v>4863</v>
      </c>
      <c r="N16" s="21">
        <v>4795</v>
      </c>
      <c r="O16" s="21">
        <v>4543</v>
      </c>
      <c r="P16" s="21">
        <v>4524</v>
      </c>
      <c r="Q16" s="21">
        <v>4548</v>
      </c>
      <c r="R16" s="21">
        <v>4480</v>
      </c>
      <c r="S16" s="21">
        <v>4479</v>
      </c>
      <c r="T16" s="21">
        <v>4441</v>
      </c>
      <c r="U16" s="21">
        <v>4459</v>
      </c>
      <c r="V16" s="21">
        <v>4538</v>
      </c>
      <c r="W16" s="21">
        <v>4585</v>
      </c>
      <c r="X16" s="21">
        <v>4493</v>
      </c>
      <c r="Y16" s="21">
        <v>4492</v>
      </c>
      <c r="Z16" s="21">
        <v>4454</v>
      </c>
      <c r="AA16" s="21">
        <v>4370</v>
      </c>
      <c r="AB16" s="21">
        <v>4388</v>
      </c>
      <c r="AC16" s="21">
        <v>4440</v>
      </c>
      <c r="AD16" s="21">
        <v>4424</v>
      </c>
      <c r="AE16" s="21">
        <v>4584</v>
      </c>
      <c r="AF16" s="21">
        <v>4585</v>
      </c>
      <c r="AG16" s="21">
        <v>4636</v>
      </c>
      <c r="AH16" s="21">
        <v>4540</v>
      </c>
      <c r="AI16" s="21">
        <v>4510</v>
      </c>
      <c r="AJ16" s="21">
        <v>4651</v>
      </c>
      <c r="AK16" s="21">
        <v>4628</v>
      </c>
      <c r="AL16" s="21">
        <v>4731</v>
      </c>
      <c r="AM16" s="21">
        <v>4765</v>
      </c>
      <c r="AN16" s="21">
        <v>4627</v>
      </c>
      <c r="AO16" s="21">
        <v>4583</v>
      </c>
      <c r="AP16" s="21">
        <v>4750</v>
      </c>
      <c r="AQ16" s="21">
        <v>4824</v>
      </c>
      <c r="AR16" s="21">
        <v>4919</v>
      </c>
      <c r="AS16" s="21">
        <v>4984</v>
      </c>
      <c r="AT16" s="21">
        <v>4974</v>
      </c>
      <c r="AU16" s="21">
        <v>4865</v>
      </c>
      <c r="AV16" s="21">
        <v>5000</v>
      </c>
      <c r="AW16" s="21">
        <v>5067</v>
      </c>
      <c r="AX16" s="21">
        <v>5182</v>
      </c>
      <c r="AY16" s="21">
        <v>5400</v>
      </c>
      <c r="AZ16" s="21">
        <v>5411</v>
      </c>
      <c r="BA16" s="21">
        <v>5501</v>
      </c>
      <c r="BB16" s="21">
        <v>5527</v>
      </c>
      <c r="BC16" s="21">
        <v>5508</v>
      </c>
      <c r="BD16" s="21">
        <v>5799</v>
      </c>
      <c r="BE16" s="21">
        <v>5879</v>
      </c>
      <c r="BF16" s="21">
        <v>5935</v>
      </c>
      <c r="BG16" s="21">
        <v>5684</v>
      </c>
      <c r="BH16" s="21">
        <v>5320</v>
      </c>
      <c r="BI16" s="21">
        <v>5293</v>
      </c>
      <c r="BJ16" s="21">
        <v>5348</v>
      </c>
      <c r="BK16" s="21">
        <v>5119</v>
      </c>
      <c r="BL16" s="21">
        <v>4991</v>
      </c>
      <c r="BM16" s="1">
        <v>4916</v>
      </c>
      <c r="BN16" s="1">
        <v>4850</v>
      </c>
      <c r="BO16" s="1">
        <v>4802</v>
      </c>
      <c r="BP16" s="1">
        <v>4893</v>
      </c>
      <c r="BQ16" s="1">
        <v>4760</v>
      </c>
      <c r="BR16" s="1">
        <v>4820</v>
      </c>
      <c r="BS16" s="1">
        <v>4902</v>
      </c>
      <c r="BT16" s="1">
        <v>5002</v>
      </c>
      <c r="BU16" s="1">
        <v>5079</v>
      </c>
      <c r="BV16" s="1">
        <v>5015</v>
      </c>
      <c r="BW16" s="1">
        <v>5238</v>
      </c>
      <c r="BX16" s="1">
        <v>5330</v>
      </c>
      <c r="BY16" s="1">
        <v>5360</v>
      </c>
      <c r="BZ16" s="1">
        <v>5438</v>
      </c>
    </row>
    <row r="17" spans="1:78" ht="15.9" customHeight="1">
      <c r="A17" s="78" t="s">
        <v>29</v>
      </c>
      <c r="B17" s="17" t="s">
        <v>30</v>
      </c>
      <c r="C17" s="546">
        <f>_xll.RssMarket("5333","始値")</f>
        <v>5796</v>
      </c>
      <c r="D17" s="23">
        <f t="shared" si="0"/>
        <v>255</v>
      </c>
      <c r="E17" s="553">
        <v>5541</v>
      </c>
      <c r="F17" s="21">
        <v>5578</v>
      </c>
      <c r="G17" s="21">
        <v>6045</v>
      </c>
      <c r="H17" s="21">
        <v>5150</v>
      </c>
      <c r="I17" s="21">
        <v>5532</v>
      </c>
      <c r="J17" s="21">
        <v>5963</v>
      </c>
      <c r="K17" s="21">
        <v>6150</v>
      </c>
      <c r="L17" s="21">
        <v>6130</v>
      </c>
      <c r="M17" s="21">
        <v>6350</v>
      </c>
      <c r="N17" s="21">
        <v>6209</v>
      </c>
      <c r="O17" s="21">
        <v>6078</v>
      </c>
      <c r="P17" s="21">
        <v>6313</v>
      </c>
      <c r="Q17" s="21">
        <v>6767</v>
      </c>
      <c r="R17" s="21">
        <v>6627</v>
      </c>
      <c r="S17" s="21">
        <v>7042</v>
      </c>
      <c r="T17" s="21">
        <v>7201</v>
      </c>
      <c r="U17" s="21">
        <v>7042</v>
      </c>
      <c r="V17" s="21">
        <v>6775</v>
      </c>
      <c r="W17" s="21">
        <v>7448</v>
      </c>
      <c r="X17" s="21">
        <v>7500</v>
      </c>
      <c r="Y17" s="21">
        <v>7242</v>
      </c>
      <c r="Z17" s="21">
        <v>7448</v>
      </c>
      <c r="AA17" s="21">
        <v>7660</v>
      </c>
      <c r="AB17" s="21">
        <v>7550</v>
      </c>
      <c r="AC17" s="21">
        <v>7520</v>
      </c>
      <c r="AD17" s="21">
        <v>7806</v>
      </c>
      <c r="AE17" s="21">
        <v>7628</v>
      </c>
      <c r="AF17" s="21">
        <v>7331</v>
      </c>
      <c r="AG17" s="21">
        <v>7770</v>
      </c>
      <c r="AH17" s="21">
        <v>7467</v>
      </c>
      <c r="AI17" s="21">
        <v>7507</v>
      </c>
      <c r="AJ17" s="21">
        <v>7026</v>
      </c>
      <c r="AK17" s="21">
        <v>6735</v>
      </c>
      <c r="AL17" s="21">
        <v>6669</v>
      </c>
      <c r="AM17" s="21">
        <v>6517</v>
      </c>
      <c r="AN17" s="21">
        <v>6215</v>
      </c>
      <c r="AO17" s="21">
        <v>5563</v>
      </c>
      <c r="AP17" s="21">
        <v>6028</v>
      </c>
      <c r="AQ17" s="21">
        <v>6075</v>
      </c>
      <c r="AR17" s="21">
        <v>6556</v>
      </c>
      <c r="AS17" s="21">
        <v>6383</v>
      </c>
      <c r="AT17" s="21">
        <v>6270</v>
      </c>
      <c r="AU17" s="21">
        <v>6322</v>
      </c>
      <c r="AV17" s="21">
        <v>6137</v>
      </c>
      <c r="AW17" s="21">
        <v>6032</v>
      </c>
      <c r="AX17" s="21">
        <v>6444</v>
      </c>
      <c r="AY17" s="21">
        <v>5959</v>
      </c>
      <c r="AZ17" s="21">
        <v>5765</v>
      </c>
      <c r="BA17" s="21">
        <v>5568</v>
      </c>
      <c r="BB17" s="21">
        <v>5421</v>
      </c>
      <c r="BC17" s="21">
        <v>5651</v>
      </c>
      <c r="BD17" s="21">
        <v>5739</v>
      </c>
      <c r="BE17" s="21">
        <v>5800</v>
      </c>
      <c r="BF17" s="21">
        <v>5750</v>
      </c>
      <c r="BG17" s="21">
        <v>5537</v>
      </c>
      <c r="BH17" s="21">
        <v>5600</v>
      </c>
      <c r="BI17" s="21">
        <v>5550</v>
      </c>
      <c r="BJ17" s="21">
        <v>5300</v>
      </c>
      <c r="BK17" s="21">
        <v>5377</v>
      </c>
      <c r="BL17" s="21">
        <v>4953</v>
      </c>
      <c r="BM17" s="1">
        <v>4621</v>
      </c>
      <c r="BN17" s="1">
        <v>4670</v>
      </c>
      <c r="BO17" s="1">
        <v>4429</v>
      </c>
      <c r="BP17" s="1">
        <v>4445</v>
      </c>
      <c r="BQ17" s="1">
        <v>4450</v>
      </c>
      <c r="BR17" s="1">
        <v>4520</v>
      </c>
      <c r="BS17" s="1">
        <v>4538</v>
      </c>
      <c r="BT17" s="1">
        <v>4543</v>
      </c>
      <c r="BU17" s="1">
        <v>4528</v>
      </c>
      <c r="BV17" s="1">
        <v>4430</v>
      </c>
      <c r="BW17" s="1">
        <v>4477</v>
      </c>
      <c r="BX17" s="1">
        <v>4450</v>
      </c>
      <c r="BY17" s="1">
        <v>4401</v>
      </c>
      <c r="BZ17" s="1">
        <v>4434</v>
      </c>
    </row>
    <row r="18" spans="1:78" ht="15.9" customHeight="1">
      <c r="A18" s="78" t="s">
        <v>31</v>
      </c>
      <c r="B18" s="17" t="s">
        <v>32</v>
      </c>
      <c r="C18" s="546">
        <f>_xll.RssMarket("1662","始値")</f>
        <v>1701</v>
      </c>
      <c r="D18" s="23">
        <f t="shared" si="0"/>
        <v>-21</v>
      </c>
      <c r="E18" s="553">
        <v>1722</v>
      </c>
      <c r="F18" s="21">
        <v>1745</v>
      </c>
      <c r="G18" s="21">
        <v>1773</v>
      </c>
      <c r="H18" s="21">
        <v>1773</v>
      </c>
      <c r="I18" s="21">
        <v>1728</v>
      </c>
      <c r="J18" s="21">
        <v>1740</v>
      </c>
      <c r="K18" s="21">
        <v>1740</v>
      </c>
      <c r="L18" s="21"/>
      <c r="M18" s="21">
        <v>1735</v>
      </c>
      <c r="N18" s="21">
        <v>1725</v>
      </c>
      <c r="O18" s="21">
        <v>1724</v>
      </c>
      <c r="P18" s="21">
        <v>1680</v>
      </c>
      <c r="Q18" s="21">
        <v>1728</v>
      </c>
      <c r="R18" s="21">
        <v>1728</v>
      </c>
      <c r="S18" s="21">
        <v>1681</v>
      </c>
      <c r="T18" s="21">
        <v>1668</v>
      </c>
      <c r="U18" s="21">
        <v>1705</v>
      </c>
      <c r="V18" s="21">
        <v>1680</v>
      </c>
      <c r="W18" s="21">
        <v>1687</v>
      </c>
      <c r="X18" s="21">
        <v>1612</v>
      </c>
      <c r="Y18" s="21">
        <v>1610</v>
      </c>
      <c r="Z18" s="21">
        <v>1600</v>
      </c>
      <c r="AA18" s="21">
        <v>1600</v>
      </c>
      <c r="AB18" s="21">
        <v>1613</v>
      </c>
      <c r="AC18" s="21">
        <v>1604</v>
      </c>
      <c r="AD18" s="21">
        <v>1590</v>
      </c>
      <c r="AE18" s="21">
        <v>1620</v>
      </c>
      <c r="AF18" s="21">
        <v>1612</v>
      </c>
      <c r="AG18" s="21">
        <v>1636</v>
      </c>
      <c r="AH18" s="21">
        <v>1635</v>
      </c>
      <c r="AI18" s="21">
        <v>1630</v>
      </c>
      <c r="AJ18" s="21">
        <v>1651</v>
      </c>
      <c r="AK18" s="21">
        <v>1636</v>
      </c>
      <c r="AL18" s="21">
        <v>1650</v>
      </c>
      <c r="AM18" s="21">
        <v>1658</v>
      </c>
      <c r="AN18" s="21">
        <v>1640</v>
      </c>
      <c r="AO18" s="21">
        <v>1679</v>
      </c>
      <c r="AP18" s="21">
        <v>1729</v>
      </c>
      <c r="AQ18" s="21">
        <v>1708</v>
      </c>
      <c r="AR18" s="21">
        <v>1755</v>
      </c>
      <c r="AS18" s="21">
        <v>1730</v>
      </c>
      <c r="AT18" s="21">
        <v>1780</v>
      </c>
      <c r="AU18" s="21">
        <v>1760</v>
      </c>
      <c r="AV18" s="21">
        <v>1837</v>
      </c>
      <c r="AW18" s="21">
        <v>1875</v>
      </c>
      <c r="AX18" s="21">
        <v>1842</v>
      </c>
      <c r="AY18" s="21">
        <v>1886</v>
      </c>
      <c r="AZ18" s="21">
        <v>1896</v>
      </c>
      <c r="BA18" s="21">
        <v>1910</v>
      </c>
      <c r="BB18" s="21">
        <v>1995</v>
      </c>
      <c r="BC18" s="21">
        <v>1970</v>
      </c>
      <c r="BD18" s="21">
        <v>1965</v>
      </c>
      <c r="BE18" s="21">
        <v>2001</v>
      </c>
      <c r="BF18" s="21">
        <v>2001</v>
      </c>
      <c r="BG18" s="21">
        <v>2158</v>
      </c>
      <c r="BH18" s="21">
        <v>2180</v>
      </c>
      <c r="BI18" s="21">
        <v>2130</v>
      </c>
      <c r="BJ18" s="21">
        <v>2135</v>
      </c>
      <c r="BK18" s="21">
        <v>2058</v>
      </c>
      <c r="BL18" s="21">
        <v>2247</v>
      </c>
      <c r="BM18" s="1">
        <v>2314</v>
      </c>
      <c r="BN18" s="1">
        <v>2192</v>
      </c>
      <c r="BO18" s="1">
        <v>2230</v>
      </c>
      <c r="BP18" s="1">
        <v>2265</v>
      </c>
      <c r="BQ18" s="1">
        <v>2182</v>
      </c>
      <c r="BR18" s="1">
        <v>2197</v>
      </c>
      <c r="BS18" s="1">
        <v>2146</v>
      </c>
      <c r="BT18" s="1">
        <v>2248</v>
      </c>
      <c r="BU18" s="1">
        <v>2421</v>
      </c>
      <c r="BV18" s="1">
        <v>2386</v>
      </c>
      <c r="BW18" s="1">
        <v>2441</v>
      </c>
      <c r="BX18" s="1">
        <v>2435</v>
      </c>
      <c r="BY18" s="1">
        <v>2487</v>
      </c>
      <c r="BZ18" s="1">
        <v>2461</v>
      </c>
    </row>
    <row r="19" spans="1:78" ht="15.9" customHeight="1">
      <c r="A19" s="78" t="s">
        <v>33</v>
      </c>
      <c r="B19" s="17" t="s">
        <v>34</v>
      </c>
      <c r="C19" s="546">
        <f>_xll.RssMarket("8411","始値")</f>
        <v>8188</v>
      </c>
      <c r="D19" s="23">
        <f t="shared" si="0"/>
        <v>192</v>
      </c>
      <c r="E19" s="553">
        <v>7996</v>
      </c>
      <c r="F19" s="21">
        <v>8138</v>
      </c>
      <c r="G19" s="21">
        <v>8264</v>
      </c>
      <c r="H19" s="21">
        <v>7800</v>
      </c>
      <c r="I19" s="21">
        <v>8099</v>
      </c>
      <c r="J19" s="21">
        <v>8481</v>
      </c>
      <c r="K19" s="21">
        <v>8618</v>
      </c>
      <c r="L19" s="21">
        <v>8663</v>
      </c>
      <c r="M19" s="21">
        <v>8560</v>
      </c>
      <c r="N19" s="21">
        <v>8400</v>
      </c>
      <c r="O19" s="21">
        <v>8038</v>
      </c>
      <c r="P19" s="21">
        <v>8342</v>
      </c>
      <c r="Q19" s="21">
        <v>8580</v>
      </c>
      <c r="R19" s="21">
        <v>8374</v>
      </c>
      <c r="S19" s="21">
        <v>8370</v>
      </c>
      <c r="T19" s="21">
        <v>8364</v>
      </c>
      <c r="U19" s="21">
        <v>8150</v>
      </c>
      <c r="V19" s="21">
        <v>8214</v>
      </c>
      <c r="W19" s="21">
        <v>8333</v>
      </c>
      <c r="X19" s="21">
        <v>8082</v>
      </c>
      <c r="Y19" s="21">
        <v>8028</v>
      </c>
      <c r="Z19" s="21">
        <v>7966</v>
      </c>
      <c r="AA19" s="21">
        <v>7750</v>
      </c>
      <c r="AB19" s="21">
        <v>7692</v>
      </c>
      <c r="AC19" s="21">
        <v>7839</v>
      </c>
      <c r="AD19" s="21">
        <v>7720</v>
      </c>
      <c r="AE19" s="21">
        <v>7814</v>
      </c>
      <c r="AF19" s="21">
        <v>7929</v>
      </c>
      <c r="AG19" s="21">
        <v>8091</v>
      </c>
      <c r="AH19" s="21">
        <v>7823</v>
      </c>
      <c r="AI19" s="21">
        <v>8252</v>
      </c>
      <c r="AJ19" s="21">
        <v>8100</v>
      </c>
      <c r="AK19" s="21">
        <v>7907</v>
      </c>
      <c r="AL19" s="21">
        <v>7820</v>
      </c>
      <c r="AM19" s="21">
        <v>7750</v>
      </c>
      <c r="AN19" s="21">
        <v>7605</v>
      </c>
      <c r="AO19" s="21">
        <v>7411</v>
      </c>
      <c r="AP19" s="21">
        <v>7760</v>
      </c>
      <c r="AQ19" s="21">
        <v>7620</v>
      </c>
      <c r="AR19" s="21">
        <v>7822</v>
      </c>
      <c r="AS19" s="21">
        <v>7621</v>
      </c>
      <c r="AT19" s="21">
        <v>7500</v>
      </c>
      <c r="AU19" s="21">
        <v>7253</v>
      </c>
      <c r="AV19" s="21">
        <v>7065</v>
      </c>
      <c r="AW19" s="21">
        <v>7130</v>
      </c>
      <c r="AX19" s="21">
        <v>7283</v>
      </c>
      <c r="AY19" s="21">
        <v>7308</v>
      </c>
      <c r="AZ19" s="21">
        <v>7378</v>
      </c>
      <c r="BA19" s="21">
        <v>7150</v>
      </c>
      <c r="BB19" s="21">
        <v>7090</v>
      </c>
      <c r="BC19" s="21">
        <v>6690</v>
      </c>
      <c r="BD19" s="21">
        <v>6512</v>
      </c>
      <c r="BE19" s="21">
        <v>7021</v>
      </c>
      <c r="BF19" s="21">
        <v>7100</v>
      </c>
      <c r="BG19" s="21">
        <v>6954</v>
      </c>
      <c r="BH19" s="21">
        <v>6941</v>
      </c>
      <c r="BI19" s="21">
        <v>6871</v>
      </c>
      <c r="BJ19" s="21">
        <v>6790</v>
      </c>
      <c r="BK19" s="21">
        <v>6904</v>
      </c>
      <c r="BL19" s="21">
        <v>6677</v>
      </c>
      <c r="BM19" s="1">
        <v>6918</v>
      </c>
      <c r="BN19" s="1">
        <v>6659</v>
      </c>
      <c r="BO19" s="1">
        <v>6430</v>
      </c>
      <c r="BP19" s="1">
        <v>6556</v>
      </c>
      <c r="BQ19" s="1">
        <v>6593</v>
      </c>
      <c r="BR19" s="1">
        <v>6601</v>
      </c>
      <c r="BS19" s="1">
        <v>6752</v>
      </c>
      <c r="BT19" s="1">
        <v>6868</v>
      </c>
      <c r="BU19" s="1">
        <v>6853</v>
      </c>
      <c r="BV19" s="1">
        <v>6980</v>
      </c>
      <c r="BW19" s="1">
        <v>6990</v>
      </c>
      <c r="BX19" s="1">
        <v>6835</v>
      </c>
      <c r="BY19" s="1">
        <v>6770</v>
      </c>
      <c r="BZ19" s="1">
        <v>6791</v>
      </c>
    </row>
    <row r="20" spans="1:78" ht="15.9" customHeight="1">
      <c r="A20" s="78" t="s">
        <v>35</v>
      </c>
      <c r="B20" s="17" t="s">
        <v>36</v>
      </c>
      <c r="C20" s="546">
        <f>_xll.RssMarket("5541","始値")</f>
        <v>2495</v>
      </c>
      <c r="D20" s="23">
        <f t="shared" si="0"/>
        <v>60</v>
      </c>
      <c r="E20" s="553">
        <v>2435</v>
      </c>
      <c r="F20" s="21">
        <v>2481</v>
      </c>
      <c r="G20" s="21">
        <v>2410</v>
      </c>
      <c r="H20" s="21">
        <v>2356</v>
      </c>
      <c r="I20" s="21">
        <v>2385</v>
      </c>
      <c r="J20" s="21">
        <v>2377</v>
      </c>
      <c r="K20" s="21">
        <v>2356</v>
      </c>
      <c r="L20" s="21"/>
      <c r="M20" s="21">
        <v>2307</v>
      </c>
      <c r="N20" s="21">
        <v>2320</v>
      </c>
      <c r="O20" s="21">
        <v>2274</v>
      </c>
      <c r="P20" s="21">
        <v>2283</v>
      </c>
      <c r="Q20" s="21">
        <v>2300</v>
      </c>
      <c r="R20" s="21">
        <v>2240</v>
      </c>
      <c r="S20" s="21">
        <v>2277</v>
      </c>
      <c r="T20" s="21">
        <v>2250</v>
      </c>
      <c r="U20" s="21">
        <v>2225</v>
      </c>
      <c r="V20" s="21">
        <v>2245</v>
      </c>
      <c r="W20" s="21">
        <v>2350</v>
      </c>
      <c r="X20" s="21">
        <v>2331</v>
      </c>
      <c r="Y20" s="21">
        <v>2258</v>
      </c>
      <c r="Z20" s="21">
        <v>2236</v>
      </c>
      <c r="AA20" s="21">
        <v>2183</v>
      </c>
      <c r="AB20" s="21">
        <v>2197</v>
      </c>
      <c r="AC20" s="21">
        <v>2190</v>
      </c>
      <c r="AD20" s="21">
        <v>2171</v>
      </c>
      <c r="AE20" s="21">
        <v>2200</v>
      </c>
      <c r="AF20" s="21">
        <v>2204</v>
      </c>
      <c r="AG20" s="21">
        <v>2321</v>
      </c>
      <c r="AH20" s="21">
        <v>2251</v>
      </c>
      <c r="AI20" s="21">
        <v>2275</v>
      </c>
      <c r="AJ20" s="21">
        <v>2300</v>
      </c>
      <c r="AK20" s="21">
        <v>2260</v>
      </c>
      <c r="AL20" s="21">
        <v>2325</v>
      </c>
      <c r="AM20" s="21">
        <v>2250</v>
      </c>
      <c r="AN20" s="21">
        <v>2150</v>
      </c>
      <c r="AO20" s="21">
        <v>2097</v>
      </c>
      <c r="AP20" s="21">
        <v>2147</v>
      </c>
      <c r="AQ20" s="21">
        <v>2189</v>
      </c>
      <c r="AR20" s="21">
        <v>2254</v>
      </c>
      <c r="AS20" s="21">
        <v>2302</v>
      </c>
      <c r="AT20" s="21">
        <v>2250</v>
      </c>
      <c r="AU20" s="21">
        <v>2210</v>
      </c>
      <c r="AV20" s="21">
        <v>2298</v>
      </c>
      <c r="AW20" s="21">
        <v>2264</v>
      </c>
      <c r="AX20" s="21">
        <v>2320</v>
      </c>
      <c r="AY20" s="21">
        <v>2227</v>
      </c>
      <c r="AZ20" s="21">
        <v>2176</v>
      </c>
      <c r="BA20" s="21">
        <v>2142</v>
      </c>
      <c r="BB20" s="21">
        <v>2199</v>
      </c>
      <c r="BC20" s="21">
        <v>2254</v>
      </c>
      <c r="BD20" s="21">
        <v>2392</v>
      </c>
      <c r="BE20" s="21">
        <v>2400</v>
      </c>
      <c r="BF20" s="21">
        <v>2422</v>
      </c>
      <c r="BG20" s="21">
        <v>2443</v>
      </c>
      <c r="BH20" s="21">
        <v>2665</v>
      </c>
      <c r="BI20" s="21">
        <v>2675</v>
      </c>
      <c r="BJ20" s="21">
        <v>2612</v>
      </c>
      <c r="BK20" s="21">
        <v>2650</v>
      </c>
      <c r="BL20" s="21">
        <v>2540</v>
      </c>
      <c r="BM20" s="1">
        <v>2549</v>
      </c>
      <c r="BN20" s="1">
        <v>2434</v>
      </c>
      <c r="BO20" s="1">
        <v>2409</v>
      </c>
      <c r="BP20" s="1">
        <v>2482</v>
      </c>
      <c r="BQ20" s="1">
        <v>2501</v>
      </c>
      <c r="BR20" s="1">
        <v>2519</v>
      </c>
      <c r="BS20" s="1">
        <v>2564</v>
      </c>
      <c r="BT20" s="1">
        <v>2590</v>
      </c>
      <c r="BU20" s="1">
        <v>2650</v>
      </c>
      <c r="BV20" s="1">
        <v>2687</v>
      </c>
      <c r="BW20" s="1">
        <v>2699</v>
      </c>
      <c r="BX20" s="1">
        <v>2646</v>
      </c>
      <c r="BY20" s="1">
        <v>2641</v>
      </c>
      <c r="BZ20" s="1">
        <v>2711</v>
      </c>
    </row>
    <row r="21" spans="1:78" ht="15.9" customHeight="1">
      <c r="A21" s="78" t="s">
        <v>37</v>
      </c>
      <c r="B21" s="17" t="s">
        <v>38</v>
      </c>
      <c r="C21" s="546">
        <f>_xll.RssMarket("5332","始値")</f>
        <v>6352</v>
      </c>
      <c r="D21" s="23">
        <f t="shared" si="0"/>
        <v>52</v>
      </c>
      <c r="E21" s="553">
        <v>6300</v>
      </c>
      <c r="F21" s="21">
        <v>6300</v>
      </c>
      <c r="G21" s="21">
        <v>7084</v>
      </c>
      <c r="H21" s="21">
        <v>6607</v>
      </c>
      <c r="I21" s="21">
        <v>6868</v>
      </c>
      <c r="J21" s="21">
        <v>7233</v>
      </c>
      <c r="K21" s="21">
        <v>7430</v>
      </c>
      <c r="L21" s="21"/>
      <c r="M21" s="21">
        <v>7590</v>
      </c>
      <c r="N21" s="21">
        <v>7620</v>
      </c>
      <c r="O21" s="21">
        <v>7451</v>
      </c>
      <c r="P21" s="21">
        <v>7686</v>
      </c>
      <c r="Q21" s="21">
        <v>8080</v>
      </c>
      <c r="R21" s="21">
        <v>7827</v>
      </c>
      <c r="S21" s="21">
        <v>8123</v>
      </c>
      <c r="T21" s="21">
        <v>8205</v>
      </c>
      <c r="U21" s="21">
        <v>8050</v>
      </c>
      <c r="V21" s="21">
        <v>8200</v>
      </c>
      <c r="W21" s="21">
        <v>8604</v>
      </c>
      <c r="X21" s="21">
        <v>8650</v>
      </c>
      <c r="Y21" s="21">
        <v>8380</v>
      </c>
      <c r="Z21" s="21">
        <v>8410</v>
      </c>
      <c r="AA21" s="21">
        <v>8746</v>
      </c>
      <c r="AB21" s="21">
        <v>8640</v>
      </c>
      <c r="AC21" s="21">
        <v>8520</v>
      </c>
      <c r="AD21" s="21">
        <v>8718</v>
      </c>
      <c r="AE21" s="21">
        <v>8997</v>
      </c>
      <c r="AF21" s="21">
        <v>8793</v>
      </c>
      <c r="AG21" s="21">
        <v>9458</v>
      </c>
      <c r="AH21" s="21">
        <v>8700</v>
      </c>
      <c r="AI21" s="21">
        <v>8550</v>
      </c>
      <c r="AJ21" s="21">
        <v>8268</v>
      </c>
      <c r="AK21" s="21">
        <v>8102</v>
      </c>
      <c r="AL21" s="21">
        <v>8280</v>
      </c>
      <c r="AM21" s="21">
        <v>7981</v>
      </c>
      <c r="AN21" s="21">
        <v>7730</v>
      </c>
      <c r="AO21" s="21">
        <v>7210</v>
      </c>
      <c r="AP21" s="21">
        <v>7400</v>
      </c>
      <c r="AQ21" s="21">
        <v>7570</v>
      </c>
      <c r="AR21" s="21">
        <v>8050</v>
      </c>
      <c r="AS21" s="21">
        <v>8076</v>
      </c>
      <c r="AT21" s="21">
        <v>7457</v>
      </c>
      <c r="AU21" s="21">
        <v>7427</v>
      </c>
      <c r="AV21" s="21">
        <v>7443</v>
      </c>
      <c r="AW21" s="21">
        <v>7264</v>
      </c>
      <c r="AX21" s="21">
        <v>7200</v>
      </c>
      <c r="AY21" s="21">
        <v>6899</v>
      </c>
      <c r="AZ21" s="21">
        <v>6654</v>
      </c>
      <c r="BA21" s="21">
        <v>6539</v>
      </c>
      <c r="BB21" s="21">
        <v>6589</v>
      </c>
      <c r="BC21" s="21">
        <v>6892</v>
      </c>
      <c r="BD21" s="21">
        <v>7171</v>
      </c>
      <c r="BE21" s="21">
        <v>7233</v>
      </c>
      <c r="BF21" s="21">
        <v>7000</v>
      </c>
      <c r="BG21" s="21">
        <v>6888</v>
      </c>
      <c r="BH21" s="21">
        <v>7200</v>
      </c>
      <c r="BI21" s="21">
        <v>7240</v>
      </c>
      <c r="BJ21" s="21">
        <v>6752</v>
      </c>
      <c r="BK21" s="21">
        <v>6713</v>
      </c>
      <c r="BL21" s="21">
        <v>6025</v>
      </c>
      <c r="BM21" s="1">
        <v>5470</v>
      </c>
      <c r="BN21" s="1">
        <v>5400</v>
      </c>
      <c r="BO21" s="1">
        <v>5373</v>
      </c>
      <c r="BP21" s="1">
        <v>5294</v>
      </c>
      <c r="BQ21" s="1">
        <v>5185</v>
      </c>
      <c r="BR21" s="1">
        <v>5327</v>
      </c>
      <c r="BS21" s="1">
        <v>5522</v>
      </c>
      <c r="BT21" s="1">
        <v>5622</v>
      </c>
      <c r="BU21" s="1">
        <v>5580</v>
      </c>
      <c r="BV21" s="1">
        <v>5448</v>
      </c>
      <c r="BW21" s="1">
        <v>5516</v>
      </c>
      <c r="BX21" s="1">
        <v>5481</v>
      </c>
      <c r="BY21" s="1">
        <v>5685</v>
      </c>
      <c r="BZ21" s="1">
        <v>5760</v>
      </c>
    </row>
    <row r="22" spans="1:78" ht="15.9" customHeight="1">
      <c r="A22" s="78" t="s">
        <v>39</v>
      </c>
      <c r="B22" s="17" t="s">
        <v>40</v>
      </c>
      <c r="C22" s="546">
        <f>_xll.RssMarket("8725","始値")</f>
        <v>4809</v>
      </c>
      <c r="D22" s="23">
        <f t="shared" si="0"/>
        <v>21</v>
      </c>
      <c r="E22" s="553">
        <v>4788</v>
      </c>
      <c r="F22" s="21">
        <v>4854</v>
      </c>
      <c r="G22" s="21">
        <v>4935</v>
      </c>
      <c r="H22" s="21">
        <v>4950</v>
      </c>
      <c r="I22" s="21">
        <v>5041</v>
      </c>
      <c r="J22" s="21">
        <v>5022</v>
      </c>
      <c r="K22" s="21">
        <v>4927</v>
      </c>
      <c r="L22" s="21">
        <v>4814</v>
      </c>
      <c r="M22" s="21">
        <v>4799</v>
      </c>
      <c r="N22" s="21">
        <v>4733</v>
      </c>
      <c r="O22" s="21">
        <v>4610</v>
      </c>
      <c r="P22" s="21">
        <v>4570</v>
      </c>
      <c r="Q22" s="21">
        <v>4550</v>
      </c>
      <c r="R22" s="21">
        <v>4454</v>
      </c>
      <c r="S22" s="21">
        <v>4424</v>
      </c>
      <c r="T22" s="21">
        <v>4505</v>
      </c>
      <c r="U22" s="21">
        <v>4450</v>
      </c>
      <c r="V22" s="21">
        <v>4503</v>
      </c>
      <c r="W22" s="21">
        <v>4554</v>
      </c>
      <c r="X22" s="21">
        <v>4465</v>
      </c>
      <c r="Y22" s="21">
        <v>4420</v>
      </c>
      <c r="Z22" s="21">
        <v>4285</v>
      </c>
      <c r="AA22" s="21">
        <v>4230</v>
      </c>
      <c r="AB22" s="21">
        <v>4250</v>
      </c>
      <c r="AC22" s="21">
        <v>4258</v>
      </c>
      <c r="AD22" s="21">
        <v>4246</v>
      </c>
      <c r="AE22" s="21">
        <v>4310</v>
      </c>
      <c r="AF22" s="21">
        <v>4583</v>
      </c>
      <c r="AG22" s="21">
        <v>4653</v>
      </c>
      <c r="AH22" s="21">
        <v>4521</v>
      </c>
      <c r="AI22" s="21">
        <v>4521</v>
      </c>
      <c r="AJ22" s="21">
        <v>4577</v>
      </c>
      <c r="AK22" s="21">
        <v>4656</v>
      </c>
      <c r="AL22" s="21">
        <v>4603</v>
      </c>
      <c r="AM22" s="21">
        <v>4616</v>
      </c>
      <c r="AN22" s="21">
        <v>4622</v>
      </c>
      <c r="AO22" s="21">
        <v>4578</v>
      </c>
      <c r="AP22" s="21">
        <v>4657</v>
      </c>
      <c r="AQ22" s="21">
        <v>4370</v>
      </c>
      <c r="AR22" s="21">
        <v>4350</v>
      </c>
      <c r="AS22" s="21">
        <v>4273</v>
      </c>
      <c r="AT22" s="21">
        <v>4311</v>
      </c>
      <c r="AU22" s="21">
        <v>4228</v>
      </c>
      <c r="AV22" s="21">
        <v>4212</v>
      </c>
      <c r="AW22" s="21">
        <v>4222</v>
      </c>
      <c r="AX22" s="21">
        <v>4210</v>
      </c>
      <c r="AY22" s="21">
        <v>4245</v>
      </c>
      <c r="AZ22" s="21">
        <v>4299</v>
      </c>
      <c r="BA22" s="21">
        <v>4350</v>
      </c>
      <c r="BB22" s="21">
        <v>4507</v>
      </c>
      <c r="BC22" s="21">
        <v>4439</v>
      </c>
      <c r="BD22" s="21">
        <v>4449</v>
      </c>
      <c r="BE22" s="21">
        <v>4410</v>
      </c>
      <c r="BF22" s="21">
        <v>4375</v>
      </c>
      <c r="BG22" s="21">
        <v>4300</v>
      </c>
      <c r="BH22" s="21">
        <v>4159</v>
      </c>
      <c r="BI22" s="21">
        <v>3970</v>
      </c>
      <c r="BJ22" s="21">
        <v>4009</v>
      </c>
      <c r="BK22" s="21">
        <v>4039</v>
      </c>
      <c r="BL22" s="21">
        <v>3985</v>
      </c>
      <c r="BM22" s="1">
        <v>4019</v>
      </c>
      <c r="BN22" s="1">
        <v>3970</v>
      </c>
      <c r="BO22" s="1">
        <v>3910</v>
      </c>
      <c r="BP22" s="1">
        <v>3997</v>
      </c>
      <c r="BQ22" s="1">
        <v>3950</v>
      </c>
      <c r="BR22" s="1">
        <v>4029</v>
      </c>
      <c r="BS22" s="1">
        <v>4057</v>
      </c>
      <c r="BT22" s="1">
        <v>4088</v>
      </c>
      <c r="BU22" s="1">
        <v>4130</v>
      </c>
      <c r="BV22" s="1">
        <v>4090</v>
      </c>
      <c r="BW22" s="1">
        <v>4074</v>
      </c>
      <c r="BX22" s="1">
        <v>4112</v>
      </c>
      <c r="BY22" s="1">
        <v>4040</v>
      </c>
      <c r="BZ22" s="1">
        <v>4112</v>
      </c>
    </row>
    <row r="23" spans="1:78" ht="15.9" customHeight="1">
      <c r="A23" s="78" t="s">
        <v>41</v>
      </c>
      <c r="B23" s="17" t="s">
        <v>42</v>
      </c>
      <c r="C23" s="546">
        <f>_xll.RssMarket("8795","始値")</f>
        <v>5020</v>
      </c>
      <c r="D23" s="23">
        <f t="shared" si="0"/>
        <v>41</v>
      </c>
      <c r="E23" s="553">
        <v>4979</v>
      </c>
      <c r="F23" s="21">
        <v>5020</v>
      </c>
      <c r="G23" s="21">
        <v>5083</v>
      </c>
      <c r="H23" s="21">
        <v>4980</v>
      </c>
      <c r="I23" s="21">
        <v>4971</v>
      </c>
      <c r="J23" s="21">
        <v>5083</v>
      </c>
      <c r="K23" s="21">
        <v>5141</v>
      </c>
      <c r="L23" s="21"/>
      <c r="M23" s="21">
        <v>5039</v>
      </c>
      <c r="N23" s="21">
        <v>4967</v>
      </c>
      <c r="O23" s="21">
        <v>4861</v>
      </c>
      <c r="P23" s="21">
        <v>4918</v>
      </c>
      <c r="Q23" s="21">
        <v>5007</v>
      </c>
      <c r="R23" s="21">
        <v>4970</v>
      </c>
      <c r="S23" s="21">
        <v>4885</v>
      </c>
      <c r="T23" s="21">
        <v>5017</v>
      </c>
      <c r="U23" s="21">
        <v>4898</v>
      </c>
      <c r="V23" s="21">
        <v>4953</v>
      </c>
      <c r="W23" s="21">
        <v>5083</v>
      </c>
      <c r="X23" s="21">
        <v>4929</v>
      </c>
      <c r="Y23" s="21">
        <v>4974</v>
      </c>
      <c r="Z23" s="21">
        <v>4858</v>
      </c>
      <c r="AA23" s="21">
        <v>4820</v>
      </c>
      <c r="AB23" s="21">
        <v>4732</v>
      </c>
      <c r="AC23" s="21">
        <v>4704</v>
      </c>
      <c r="AD23" s="21">
        <v>4685</v>
      </c>
      <c r="AE23" s="21">
        <v>4741</v>
      </c>
      <c r="AF23" s="21">
        <v>4861</v>
      </c>
      <c r="AG23" s="21">
        <v>5000</v>
      </c>
      <c r="AH23" s="21">
        <v>4849</v>
      </c>
      <c r="AI23" s="21">
        <v>4910</v>
      </c>
      <c r="AJ23" s="21">
        <v>4816</v>
      </c>
      <c r="AK23" s="21">
        <v>4945</v>
      </c>
      <c r="AL23" s="21">
        <v>4782</v>
      </c>
      <c r="AM23" s="21">
        <v>4846</v>
      </c>
      <c r="AN23" s="21">
        <v>4703</v>
      </c>
      <c r="AO23" s="21">
        <v>4731</v>
      </c>
      <c r="AP23" s="21">
        <v>4705</v>
      </c>
      <c r="AQ23" s="21">
        <v>4435</v>
      </c>
      <c r="AR23" s="21">
        <v>4380</v>
      </c>
      <c r="AS23" s="21">
        <v>4217</v>
      </c>
      <c r="AT23" s="21">
        <v>4211</v>
      </c>
      <c r="AU23" s="21">
        <v>4170</v>
      </c>
      <c r="AV23" s="21">
        <v>4025</v>
      </c>
      <c r="AW23" s="21">
        <v>4111</v>
      </c>
      <c r="AX23" s="21">
        <v>4125</v>
      </c>
      <c r="AY23" s="21">
        <v>4137</v>
      </c>
      <c r="AZ23" s="21">
        <v>4113</v>
      </c>
      <c r="BA23" s="21">
        <v>4100</v>
      </c>
      <c r="BB23" s="21">
        <v>4208</v>
      </c>
      <c r="BC23" s="21">
        <v>4116</v>
      </c>
      <c r="BD23" s="21">
        <v>3940</v>
      </c>
      <c r="BE23" s="21">
        <v>4004</v>
      </c>
      <c r="BF23" s="21">
        <v>3982</v>
      </c>
      <c r="BG23" s="21">
        <v>3943</v>
      </c>
      <c r="BH23" s="21">
        <v>4024</v>
      </c>
      <c r="BI23" s="21">
        <v>3878</v>
      </c>
      <c r="BJ23" s="21">
        <v>3930</v>
      </c>
      <c r="BK23" s="21">
        <v>3850</v>
      </c>
      <c r="BL23" s="21">
        <v>3738</v>
      </c>
      <c r="BM23" s="1">
        <v>3759</v>
      </c>
      <c r="BN23" s="1">
        <v>3709</v>
      </c>
      <c r="BO23" s="1">
        <v>3650</v>
      </c>
      <c r="BP23" s="1">
        <v>3727</v>
      </c>
      <c r="BQ23" s="1">
        <v>3706</v>
      </c>
      <c r="BR23" s="1">
        <v>3805</v>
      </c>
      <c r="BS23" s="1">
        <v>3922</v>
      </c>
      <c r="BT23" s="1">
        <v>4034</v>
      </c>
      <c r="BU23" s="1">
        <v>4078</v>
      </c>
      <c r="BV23" s="1">
        <v>4070</v>
      </c>
      <c r="BW23" s="1">
        <v>4113</v>
      </c>
      <c r="BX23" s="1">
        <v>4075</v>
      </c>
      <c r="BY23" s="1">
        <v>4000</v>
      </c>
      <c r="BZ23" s="1">
        <v>4026</v>
      </c>
    </row>
    <row r="24" spans="1:78" ht="15.9" customHeight="1">
      <c r="A24" s="78" t="s">
        <v>43</v>
      </c>
      <c r="B24" s="17" t="s">
        <v>44</v>
      </c>
      <c r="C24" s="546">
        <f>_xll.RssMarket("5019","始値")</f>
        <v>1244.5</v>
      </c>
      <c r="D24" s="23">
        <f t="shared" si="0"/>
        <v>-20.5</v>
      </c>
      <c r="E24" s="553">
        <v>1265</v>
      </c>
      <c r="F24" s="21">
        <v>1300</v>
      </c>
      <c r="G24" s="21">
        <v>1303.5</v>
      </c>
      <c r="H24" s="21">
        <v>1326</v>
      </c>
      <c r="I24" s="21">
        <v>1313</v>
      </c>
      <c r="J24" s="21">
        <v>1322</v>
      </c>
      <c r="K24" s="21">
        <v>1326</v>
      </c>
      <c r="L24" s="21">
        <v>1338.5</v>
      </c>
      <c r="M24" s="21">
        <v>1316</v>
      </c>
      <c r="N24" s="21">
        <v>1285</v>
      </c>
      <c r="O24" s="21">
        <v>1276</v>
      </c>
      <c r="P24" s="21">
        <v>1255</v>
      </c>
      <c r="Q24" s="21">
        <v>1278.5</v>
      </c>
      <c r="R24" s="21">
        <v>1256.5</v>
      </c>
      <c r="S24" s="21">
        <v>1250.5</v>
      </c>
      <c r="T24" s="21">
        <v>1254.5</v>
      </c>
      <c r="U24" s="21">
        <v>1248</v>
      </c>
      <c r="V24" s="21">
        <v>1252</v>
      </c>
      <c r="W24" s="21">
        <v>1250</v>
      </c>
      <c r="X24" s="21">
        <v>1220</v>
      </c>
      <c r="Y24" s="21">
        <v>1215.5</v>
      </c>
      <c r="Z24" s="21">
        <v>1194.5</v>
      </c>
      <c r="AA24" s="21">
        <v>1198.5</v>
      </c>
      <c r="AB24" s="21">
        <v>1224.5</v>
      </c>
      <c r="AC24" s="21">
        <v>1218.5</v>
      </c>
      <c r="AD24" s="21">
        <v>1224</v>
      </c>
      <c r="AE24" s="21">
        <v>1278.5</v>
      </c>
      <c r="AF24" s="21">
        <v>1249</v>
      </c>
      <c r="AG24" s="21">
        <v>1268</v>
      </c>
      <c r="AH24" s="21">
        <v>1256</v>
      </c>
      <c r="AI24" s="21">
        <v>1237</v>
      </c>
      <c r="AJ24" s="21">
        <v>1294</v>
      </c>
      <c r="AK24" s="21">
        <v>1284.5</v>
      </c>
      <c r="AL24" s="21">
        <v>1308.5</v>
      </c>
      <c r="AM24" s="21">
        <v>1329</v>
      </c>
      <c r="AN24" s="21">
        <v>1359</v>
      </c>
      <c r="AO24" s="21">
        <v>1346</v>
      </c>
      <c r="AP24" s="21">
        <v>1327.5</v>
      </c>
      <c r="AQ24" s="21">
        <v>1364.5</v>
      </c>
      <c r="AR24" s="21">
        <v>1407</v>
      </c>
      <c r="AS24" s="21">
        <v>1407.5</v>
      </c>
      <c r="AT24" s="21">
        <v>1382</v>
      </c>
      <c r="AU24" s="21">
        <v>1330</v>
      </c>
      <c r="AV24" s="21">
        <v>1298</v>
      </c>
      <c r="AW24" s="21">
        <v>1300.5</v>
      </c>
      <c r="AX24" s="21">
        <v>1306</v>
      </c>
      <c r="AY24" s="21">
        <v>1332</v>
      </c>
      <c r="AZ24" s="21">
        <v>1330.5</v>
      </c>
      <c r="BA24" s="21">
        <v>1356.5</v>
      </c>
      <c r="BB24" s="21">
        <v>1376.5</v>
      </c>
      <c r="BC24" s="21">
        <v>1388</v>
      </c>
      <c r="BD24" s="21">
        <v>1434</v>
      </c>
      <c r="BE24" s="21">
        <v>1417.5</v>
      </c>
      <c r="BF24" s="21">
        <v>1387.5</v>
      </c>
      <c r="BG24" s="21">
        <v>1320</v>
      </c>
      <c r="BH24" s="21">
        <v>1372</v>
      </c>
      <c r="BI24" s="21">
        <v>1328.5</v>
      </c>
      <c r="BJ24" s="21">
        <v>1370</v>
      </c>
      <c r="BK24" s="21">
        <v>1349</v>
      </c>
      <c r="BL24" s="21">
        <v>1348.5</v>
      </c>
      <c r="BM24" s="1">
        <v>1374</v>
      </c>
      <c r="BN24" s="1">
        <v>1332.5</v>
      </c>
      <c r="BO24" s="1">
        <v>1322</v>
      </c>
      <c r="BP24" s="1">
        <v>1348</v>
      </c>
      <c r="BQ24" s="1">
        <v>1325</v>
      </c>
      <c r="BR24" s="1">
        <v>1415</v>
      </c>
      <c r="BS24" s="1">
        <v>1447</v>
      </c>
      <c r="BT24" s="1">
        <v>1487</v>
      </c>
      <c r="BU24" s="1">
        <v>1511</v>
      </c>
      <c r="BV24" s="1">
        <v>1509</v>
      </c>
      <c r="BW24" s="1">
        <v>1524</v>
      </c>
      <c r="BX24" s="1">
        <v>1525</v>
      </c>
      <c r="BY24" s="1">
        <v>1562</v>
      </c>
      <c r="BZ24" s="1">
        <v>1558.5</v>
      </c>
    </row>
    <row r="25" spans="1:78" ht="15.9" customHeight="1">
      <c r="A25" s="78" t="s">
        <v>45</v>
      </c>
      <c r="B25" s="17" t="s">
        <v>46</v>
      </c>
      <c r="C25" s="546">
        <f>_xll.RssMarket("8053","始値")</f>
        <v>1660</v>
      </c>
      <c r="D25" s="23">
        <f t="shared" si="0"/>
        <v>1660</v>
      </c>
      <c r="E25" s="553"/>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row>
    <row r="26" spans="1:78" ht="15.9" customHeight="1">
      <c r="A26" s="78" t="s">
        <v>47</v>
      </c>
      <c r="B26" s="17" t="s">
        <v>48</v>
      </c>
      <c r="C26" s="546">
        <f>_xll.RssMarket("8591","始値")</f>
        <v>6384</v>
      </c>
      <c r="D26" s="23">
        <f t="shared" si="0"/>
        <v>51</v>
      </c>
      <c r="E26" s="553">
        <v>6333</v>
      </c>
      <c r="F26" s="21">
        <v>6350</v>
      </c>
      <c r="G26" s="21">
        <v>6300</v>
      </c>
      <c r="H26" s="21">
        <v>6381</v>
      </c>
      <c r="I26" s="21">
        <v>6398</v>
      </c>
      <c r="J26" s="21">
        <v>6674</v>
      </c>
      <c r="K26" s="21">
        <v>6590</v>
      </c>
      <c r="L26" s="21">
        <v>6529</v>
      </c>
      <c r="M26" s="21">
        <v>6590</v>
      </c>
      <c r="N26" s="21">
        <v>6529</v>
      </c>
      <c r="O26" s="21">
        <v>6241</v>
      </c>
      <c r="P26" s="21">
        <v>6423</v>
      </c>
      <c r="Q26" s="21">
        <v>6555</v>
      </c>
      <c r="R26" s="21">
        <v>6387</v>
      </c>
      <c r="S26" s="21">
        <v>6509</v>
      </c>
      <c r="T26" s="21">
        <v>6500</v>
      </c>
      <c r="U26" s="21">
        <v>6346</v>
      </c>
      <c r="V26" s="21">
        <v>6365</v>
      </c>
      <c r="W26" s="21">
        <v>6460</v>
      </c>
      <c r="X26" s="21">
        <v>6358</v>
      </c>
      <c r="Y26" s="21">
        <v>6300</v>
      </c>
      <c r="Z26" s="21">
        <v>6229</v>
      </c>
      <c r="AA26" s="21">
        <v>6211</v>
      </c>
      <c r="AB26" s="21">
        <v>6163</v>
      </c>
      <c r="AC26" s="21">
        <v>6194</v>
      </c>
      <c r="AD26" s="21">
        <v>6202</v>
      </c>
      <c r="AE26" s="21">
        <v>6307</v>
      </c>
      <c r="AF26" s="21">
        <v>6306</v>
      </c>
      <c r="AG26" s="21">
        <v>6485</v>
      </c>
      <c r="AH26" s="21">
        <v>6341</v>
      </c>
      <c r="AI26" s="21">
        <v>6420</v>
      </c>
      <c r="AJ26" s="21">
        <v>6412</v>
      </c>
      <c r="AK26" s="21">
        <v>6403</v>
      </c>
      <c r="AL26" s="21">
        <v>6204</v>
      </c>
      <c r="AM26" s="21">
        <v>6236</v>
      </c>
      <c r="AN26" s="21">
        <v>6150</v>
      </c>
      <c r="AO26" s="21">
        <v>5971</v>
      </c>
      <c r="AP26" s="21">
        <v>6300</v>
      </c>
      <c r="AQ26" s="21">
        <v>6032</v>
      </c>
      <c r="AR26" s="21">
        <v>6282</v>
      </c>
      <c r="AS26" s="21">
        <v>6290</v>
      </c>
      <c r="AT26" s="21">
        <v>6242</v>
      </c>
      <c r="AU26" s="21">
        <v>6110</v>
      </c>
      <c r="AV26" s="21">
        <v>6088</v>
      </c>
      <c r="AW26" s="21">
        <v>6140</v>
      </c>
      <c r="AX26" s="21">
        <v>6335</v>
      </c>
      <c r="AY26" s="21">
        <v>6220</v>
      </c>
      <c r="AZ26" s="21">
        <v>6227</v>
      </c>
      <c r="BA26" s="21">
        <v>6220</v>
      </c>
      <c r="BB26" s="21">
        <v>6010</v>
      </c>
      <c r="BC26" s="21">
        <v>5818</v>
      </c>
      <c r="BD26" s="21">
        <v>5831</v>
      </c>
      <c r="BE26" s="21">
        <v>5750</v>
      </c>
      <c r="BF26" s="21">
        <v>5951</v>
      </c>
      <c r="BG26" s="21">
        <v>5886</v>
      </c>
      <c r="BH26" s="21">
        <v>5927</v>
      </c>
      <c r="BI26" s="21">
        <v>5350</v>
      </c>
      <c r="BJ26" s="21">
        <v>5275</v>
      </c>
      <c r="BK26" s="21">
        <v>5252</v>
      </c>
      <c r="BL26" s="21">
        <v>5205</v>
      </c>
      <c r="BM26" s="1">
        <v>5190</v>
      </c>
      <c r="BN26" s="1">
        <v>5358</v>
      </c>
      <c r="BO26" s="1">
        <v>4810</v>
      </c>
      <c r="BP26" s="1">
        <v>4878</v>
      </c>
      <c r="BQ26" s="1">
        <v>4881</v>
      </c>
      <c r="BR26" s="1">
        <v>4969</v>
      </c>
      <c r="BS26" s="1">
        <v>5048</v>
      </c>
      <c r="BT26" s="1">
        <v>5022</v>
      </c>
      <c r="BU26" s="1">
        <v>5040</v>
      </c>
      <c r="BV26" s="1">
        <v>5090</v>
      </c>
      <c r="BW26" s="1">
        <v>5046</v>
      </c>
      <c r="BX26" s="1">
        <v>4919</v>
      </c>
      <c r="BY26" s="1">
        <v>4844</v>
      </c>
      <c r="BZ26" s="1">
        <v>4899</v>
      </c>
    </row>
    <row r="27" spans="1:78" ht="15.9" customHeight="1">
      <c r="A27" s="78" t="s">
        <v>49</v>
      </c>
      <c r="B27" s="17" t="s">
        <v>50</v>
      </c>
      <c r="C27" s="546">
        <f>_xll.RssMarket("3401","始値")</f>
        <v>1628.5</v>
      </c>
      <c r="D27" s="23">
        <f t="shared" si="0"/>
        <v>1628.5</v>
      </c>
      <c r="E27" s="553"/>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row>
    <row r="28" spans="1:78" ht="15.9" customHeight="1">
      <c r="A28" s="78" t="s">
        <v>51</v>
      </c>
      <c r="B28" s="17" t="s">
        <v>52</v>
      </c>
      <c r="C28" s="546">
        <f>_xll.RssMarket("3436","始値")</f>
        <v>3777</v>
      </c>
      <c r="D28" s="23">
        <f t="shared" si="0"/>
        <v>-2556</v>
      </c>
      <c r="E28" s="553">
        <v>6333</v>
      </c>
      <c r="F28" s="21">
        <v>6350</v>
      </c>
      <c r="G28" s="21">
        <v>6300</v>
      </c>
      <c r="H28" s="21">
        <v>6381</v>
      </c>
      <c r="I28" s="21">
        <v>6398</v>
      </c>
      <c r="J28" s="21">
        <v>6674</v>
      </c>
      <c r="K28" s="21">
        <v>6590</v>
      </c>
      <c r="L28" s="21">
        <v>3674</v>
      </c>
      <c r="M28" s="21">
        <v>6590</v>
      </c>
      <c r="N28" s="21">
        <v>6529</v>
      </c>
      <c r="O28" s="21">
        <v>6241</v>
      </c>
      <c r="P28" s="21">
        <v>6423</v>
      </c>
      <c r="Q28" s="21">
        <v>6555</v>
      </c>
      <c r="R28" s="21">
        <v>6387</v>
      </c>
      <c r="S28" s="21">
        <v>6509</v>
      </c>
      <c r="T28" s="21">
        <v>6500</v>
      </c>
      <c r="U28" s="21">
        <v>6346</v>
      </c>
      <c r="V28" s="21">
        <v>6365</v>
      </c>
      <c r="W28" s="21">
        <v>6460</v>
      </c>
      <c r="X28" s="21">
        <v>6358</v>
      </c>
      <c r="Y28" s="21">
        <v>6300</v>
      </c>
      <c r="Z28" s="21">
        <v>6229</v>
      </c>
      <c r="AA28" s="21">
        <v>6211</v>
      </c>
      <c r="AB28" s="21">
        <v>6163</v>
      </c>
      <c r="AC28" s="21">
        <v>6194</v>
      </c>
      <c r="AD28" s="21">
        <v>6202</v>
      </c>
      <c r="AE28" s="21">
        <v>6307</v>
      </c>
      <c r="AF28" s="21">
        <v>6306</v>
      </c>
      <c r="AG28" s="21">
        <v>6485</v>
      </c>
      <c r="AH28" s="21">
        <v>6341</v>
      </c>
      <c r="AI28" s="21">
        <v>6420</v>
      </c>
      <c r="AJ28" s="21">
        <v>6412</v>
      </c>
      <c r="AK28" s="21">
        <v>6403</v>
      </c>
      <c r="AL28" s="21">
        <v>6204</v>
      </c>
      <c r="AM28" s="21">
        <v>6236</v>
      </c>
      <c r="AN28" s="21">
        <v>6150</v>
      </c>
      <c r="AO28" s="21">
        <v>5971</v>
      </c>
      <c r="AP28" s="21">
        <v>6300</v>
      </c>
      <c r="AQ28" s="21">
        <v>6032</v>
      </c>
      <c r="AR28" s="21">
        <v>6282</v>
      </c>
      <c r="AS28" s="21">
        <v>6290</v>
      </c>
      <c r="AT28" s="21">
        <v>6242</v>
      </c>
      <c r="AU28" s="21">
        <v>6110</v>
      </c>
      <c r="AV28" s="21">
        <v>6088</v>
      </c>
      <c r="AW28" s="21">
        <v>6140</v>
      </c>
      <c r="AX28" s="21">
        <v>6335</v>
      </c>
      <c r="AY28" s="21">
        <v>6220</v>
      </c>
      <c r="AZ28" s="21">
        <v>6227</v>
      </c>
      <c r="BA28" s="21">
        <v>6220</v>
      </c>
      <c r="BB28" s="21">
        <v>6010</v>
      </c>
      <c r="BC28" s="21">
        <v>5818</v>
      </c>
      <c r="BD28" s="21">
        <v>5831</v>
      </c>
      <c r="BE28" s="21">
        <v>5750</v>
      </c>
      <c r="BF28" s="21">
        <v>5951</v>
      </c>
      <c r="BG28" s="21">
        <v>5886</v>
      </c>
      <c r="BH28" s="21">
        <v>5927</v>
      </c>
      <c r="BI28" s="21">
        <v>5350</v>
      </c>
      <c r="BJ28" s="21">
        <v>5275</v>
      </c>
      <c r="BK28" s="21">
        <v>5252</v>
      </c>
      <c r="BL28" s="21">
        <v>5205</v>
      </c>
      <c r="BM28" s="1">
        <v>5190</v>
      </c>
      <c r="BN28" s="1">
        <v>5358</v>
      </c>
      <c r="BO28" s="1">
        <v>4810</v>
      </c>
      <c r="BP28" s="1">
        <v>4878</v>
      </c>
      <c r="BQ28" s="1">
        <v>4881</v>
      </c>
      <c r="BR28" s="1">
        <v>4969</v>
      </c>
      <c r="BS28" s="1">
        <v>5048</v>
      </c>
      <c r="BT28" s="1">
        <v>5022</v>
      </c>
      <c r="BU28" s="1">
        <v>5040</v>
      </c>
      <c r="BV28" s="1">
        <v>5090</v>
      </c>
      <c r="BW28" s="1">
        <v>5046</v>
      </c>
      <c r="BX28" s="1">
        <v>4919</v>
      </c>
      <c r="BY28" s="1">
        <v>4844</v>
      </c>
      <c r="BZ28" s="1">
        <v>4899</v>
      </c>
    </row>
    <row r="29" spans="1:78" ht="15.9" customHeight="1">
      <c r="A29" s="78" t="s">
        <v>53</v>
      </c>
      <c r="B29" s="17" t="s">
        <v>54</v>
      </c>
      <c r="C29" s="546">
        <f>_xll.RssMarket("5020","始値")</f>
        <v>1279</v>
      </c>
      <c r="D29" s="23">
        <f t="shared" si="0"/>
        <v>-15</v>
      </c>
      <c r="E29" s="553">
        <v>1294</v>
      </c>
      <c r="F29" s="21">
        <v>1311</v>
      </c>
      <c r="G29" s="21">
        <v>1307.5</v>
      </c>
      <c r="H29" s="21">
        <v>1310</v>
      </c>
      <c r="I29" s="21">
        <v>1296.5</v>
      </c>
      <c r="J29" s="21">
        <v>1325.5</v>
      </c>
      <c r="K29" s="21">
        <v>1314</v>
      </c>
      <c r="L29" s="21">
        <v>1330</v>
      </c>
      <c r="M29" s="21">
        <v>1316.5</v>
      </c>
      <c r="N29" s="21">
        <v>1293.5</v>
      </c>
      <c r="O29" s="21">
        <v>1291</v>
      </c>
      <c r="P29" s="21">
        <v>1264</v>
      </c>
      <c r="Q29" s="21">
        <v>1294.5</v>
      </c>
      <c r="R29" s="21">
        <v>1258</v>
      </c>
      <c r="S29" s="21">
        <v>1260</v>
      </c>
      <c r="T29" s="21">
        <v>1256</v>
      </c>
      <c r="U29" s="21">
        <v>1258</v>
      </c>
      <c r="V29" s="21">
        <v>1248</v>
      </c>
      <c r="W29" s="21">
        <v>1277</v>
      </c>
      <c r="X29" s="21">
        <v>1231.5</v>
      </c>
      <c r="Y29" s="21">
        <v>1230</v>
      </c>
      <c r="Z29" s="21">
        <v>1203</v>
      </c>
      <c r="AA29" s="21">
        <v>1206</v>
      </c>
      <c r="AB29" s="21">
        <v>1208</v>
      </c>
      <c r="AC29" s="21">
        <v>1211</v>
      </c>
      <c r="AD29" s="21">
        <v>1192.5</v>
      </c>
      <c r="AE29" s="21">
        <v>1253</v>
      </c>
      <c r="AF29" s="21">
        <v>1223</v>
      </c>
      <c r="AG29" s="21">
        <v>1260</v>
      </c>
      <c r="AH29" s="21">
        <v>1253</v>
      </c>
      <c r="AI29" s="21">
        <v>1204</v>
      </c>
      <c r="AJ29" s="21">
        <v>1246.5</v>
      </c>
      <c r="AK29" s="21">
        <v>1240</v>
      </c>
      <c r="AL29" s="21">
        <v>1225</v>
      </c>
      <c r="AM29" s="21">
        <v>1244</v>
      </c>
      <c r="AN29" s="21">
        <v>1229.5</v>
      </c>
      <c r="AO29" s="21">
        <v>1208.5</v>
      </c>
      <c r="AP29" s="21">
        <v>1214.5</v>
      </c>
      <c r="AQ29" s="21">
        <v>1254.5</v>
      </c>
      <c r="AR29" s="21">
        <v>1299</v>
      </c>
      <c r="AS29" s="21">
        <v>1314.5</v>
      </c>
      <c r="AT29" s="21">
        <v>1315</v>
      </c>
      <c r="AU29" s="21">
        <v>1252</v>
      </c>
      <c r="AV29" s="21">
        <v>1288.5</v>
      </c>
      <c r="AW29" s="21">
        <v>1281</v>
      </c>
      <c r="AX29" s="21">
        <v>1292</v>
      </c>
      <c r="AY29" s="21">
        <v>1296.5</v>
      </c>
      <c r="AZ29" s="21">
        <v>1303</v>
      </c>
      <c r="BA29" s="21">
        <v>1313</v>
      </c>
      <c r="BB29" s="21">
        <v>1361</v>
      </c>
      <c r="BC29" s="21">
        <v>1370</v>
      </c>
      <c r="BD29" s="21">
        <v>1381</v>
      </c>
      <c r="BE29" s="21">
        <v>1369</v>
      </c>
      <c r="BF29" s="21">
        <v>1341</v>
      </c>
      <c r="BG29" s="21">
        <v>1343</v>
      </c>
      <c r="BH29" s="21">
        <v>1357</v>
      </c>
      <c r="BI29" s="21">
        <v>1281</v>
      </c>
      <c r="BJ29" s="21">
        <v>1293.5</v>
      </c>
      <c r="BK29" s="21">
        <v>1333</v>
      </c>
      <c r="BL29" s="21">
        <v>1306.5</v>
      </c>
      <c r="BM29" s="1">
        <v>1320</v>
      </c>
      <c r="BN29" s="1">
        <v>1302</v>
      </c>
      <c r="BO29" s="1">
        <v>1286</v>
      </c>
      <c r="BP29" s="1">
        <v>1317</v>
      </c>
      <c r="BQ29" s="1">
        <v>1310</v>
      </c>
      <c r="BR29" s="1">
        <v>1320</v>
      </c>
      <c r="BS29" s="1">
        <v>1344</v>
      </c>
      <c r="BT29" s="1">
        <v>1372</v>
      </c>
      <c r="BU29" s="1">
        <v>1410.5</v>
      </c>
      <c r="BV29" s="1">
        <v>1414</v>
      </c>
      <c r="BW29" s="1">
        <v>1429.5</v>
      </c>
      <c r="BX29" s="1">
        <v>1419.5</v>
      </c>
      <c r="BY29" s="1">
        <v>1430.5</v>
      </c>
      <c r="BZ29" s="1">
        <v>1450</v>
      </c>
    </row>
    <row r="30" spans="1:78" ht="15.9" customHeight="1">
      <c r="A30" s="78" t="s">
        <v>55</v>
      </c>
      <c r="B30" s="17" t="s">
        <v>56</v>
      </c>
      <c r="C30" s="546">
        <f>_xll.RssMarket("6254","始値")</f>
        <v>4280</v>
      </c>
      <c r="D30" s="23">
        <f t="shared" si="0"/>
        <v>325</v>
      </c>
      <c r="E30" s="553">
        <v>3955</v>
      </c>
      <c r="F30" s="21">
        <v>3975</v>
      </c>
      <c r="G30" s="21">
        <v>3900</v>
      </c>
      <c r="H30" s="21">
        <v>3420</v>
      </c>
      <c r="I30" s="21">
        <v>3685</v>
      </c>
      <c r="J30" s="21">
        <v>4075</v>
      </c>
      <c r="K30" s="21">
        <v>4245</v>
      </c>
      <c r="L30" s="21">
        <v>4275</v>
      </c>
      <c r="M30" s="21">
        <v>4240</v>
      </c>
      <c r="N30" s="21">
        <v>4250</v>
      </c>
      <c r="O30" s="21">
        <v>3885</v>
      </c>
      <c r="P30" s="21">
        <v>4110</v>
      </c>
      <c r="Q30" s="21">
        <v>4400</v>
      </c>
      <c r="R30" s="21">
        <v>4255</v>
      </c>
      <c r="S30" s="21">
        <v>4565</v>
      </c>
      <c r="T30" s="21">
        <v>4515</v>
      </c>
      <c r="U30" s="21">
        <v>4290</v>
      </c>
      <c r="V30" s="21">
        <v>4320</v>
      </c>
      <c r="W30" s="21">
        <v>4560</v>
      </c>
      <c r="X30" s="21">
        <v>4980</v>
      </c>
      <c r="Y30" s="21">
        <v>4680</v>
      </c>
      <c r="Z30" s="21">
        <v>4920</v>
      </c>
      <c r="AA30" s="21">
        <v>5060</v>
      </c>
      <c r="AB30" s="21">
        <v>5010</v>
      </c>
      <c r="AC30" s="21">
        <v>4715</v>
      </c>
      <c r="AD30" s="21">
        <v>4810</v>
      </c>
      <c r="AE30" s="21">
        <v>4950</v>
      </c>
      <c r="AF30" s="21">
        <v>5000</v>
      </c>
      <c r="AG30" s="21">
        <v>5450</v>
      </c>
      <c r="AH30" s="21">
        <v>4840</v>
      </c>
      <c r="AI30" s="21">
        <v>5200</v>
      </c>
      <c r="AJ30" s="21">
        <v>4970</v>
      </c>
      <c r="AK30" s="21">
        <v>4500</v>
      </c>
      <c r="AL30" s="21">
        <v>4615</v>
      </c>
      <c r="AM30" s="21">
        <v>4590</v>
      </c>
      <c r="AN30" s="21">
        <v>4090</v>
      </c>
      <c r="AO30" s="21">
        <v>3800</v>
      </c>
      <c r="AP30" s="21">
        <v>4065</v>
      </c>
      <c r="AQ30" s="21">
        <v>3980</v>
      </c>
      <c r="AR30" s="21">
        <v>4385</v>
      </c>
      <c r="AS30" s="21">
        <v>4315</v>
      </c>
      <c r="AT30" s="21">
        <v>4400</v>
      </c>
      <c r="AU30" s="21">
        <v>4545</v>
      </c>
      <c r="AV30" s="21">
        <v>4850</v>
      </c>
      <c r="AW30" s="21">
        <v>4585</v>
      </c>
      <c r="AX30" s="21">
        <v>5150</v>
      </c>
      <c r="AY30" s="21">
        <v>5200</v>
      </c>
      <c r="AZ30" s="21">
        <v>4725</v>
      </c>
      <c r="BA30" s="21">
        <v>4600</v>
      </c>
      <c r="BB30" s="21">
        <v>4605</v>
      </c>
      <c r="BC30" s="21">
        <v>4845</v>
      </c>
      <c r="BD30" s="21">
        <v>5110</v>
      </c>
      <c r="BE30" s="21">
        <v>4845</v>
      </c>
      <c r="BF30" s="21">
        <v>4400</v>
      </c>
      <c r="BG30" s="21">
        <v>4420</v>
      </c>
      <c r="BH30" s="21">
        <v>4650</v>
      </c>
      <c r="BI30" s="21">
        <v>4550</v>
      </c>
      <c r="BJ30" s="21">
        <v>4010</v>
      </c>
      <c r="BK30" s="21">
        <v>3900</v>
      </c>
      <c r="BL30" s="21">
        <v>3665</v>
      </c>
      <c r="BM30" s="1">
        <v>3715</v>
      </c>
      <c r="BN30" s="1">
        <v>3705</v>
      </c>
      <c r="BO30" s="1">
        <v>3660</v>
      </c>
      <c r="BP30" s="1">
        <v>3720</v>
      </c>
      <c r="BQ30" s="1">
        <v>3750</v>
      </c>
      <c r="BR30" s="1">
        <v>3820</v>
      </c>
      <c r="BS30" s="1">
        <v>3810</v>
      </c>
      <c r="BT30" s="1">
        <v>3785</v>
      </c>
      <c r="BU30" s="1">
        <v>3735</v>
      </c>
      <c r="BV30" s="1">
        <v>3660</v>
      </c>
      <c r="BW30" s="1">
        <v>3670</v>
      </c>
      <c r="BX30" s="1">
        <v>3630</v>
      </c>
      <c r="BY30" s="1">
        <v>3565</v>
      </c>
      <c r="BZ30" s="1">
        <v>3465</v>
      </c>
    </row>
    <row r="31" spans="1:78" ht="15.9" customHeight="1">
      <c r="A31" s="78" t="s">
        <v>57</v>
      </c>
      <c r="B31" s="17" t="s">
        <v>58</v>
      </c>
      <c r="C31" s="546">
        <f>_xll.RssMarket("8309","始値")</f>
        <v>1642</v>
      </c>
      <c r="D31" s="23">
        <f t="shared" si="0"/>
        <v>1642</v>
      </c>
      <c r="E31" s="553"/>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row>
    <row r="32" spans="1:78" ht="15.9" customHeight="1">
      <c r="A32" s="78" t="s">
        <v>59</v>
      </c>
      <c r="B32" s="17" t="s">
        <v>60</v>
      </c>
      <c r="C32" s="546">
        <f>_xll.RssMarket("3863","始値")</f>
        <v>1325</v>
      </c>
      <c r="D32" s="23">
        <f t="shared" si="0"/>
        <v>-20</v>
      </c>
      <c r="E32" s="553">
        <v>1345</v>
      </c>
      <c r="F32" s="21">
        <v>1346</v>
      </c>
      <c r="G32" s="21">
        <v>1446</v>
      </c>
      <c r="H32" s="21">
        <v>1470</v>
      </c>
      <c r="I32" s="21">
        <v>1490</v>
      </c>
      <c r="J32" s="21">
        <v>1513</v>
      </c>
      <c r="K32" s="21">
        <v>1520</v>
      </c>
      <c r="L32" s="21">
        <v>1575</v>
      </c>
      <c r="M32" s="21">
        <v>1513</v>
      </c>
      <c r="N32" s="21">
        <v>1518</v>
      </c>
      <c r="O32" s="21">
        <v>1470</v>
      </c>
      <c r="P32" s="21">
        <v>1454</v>
      </c>
      <c r="Q32" s="21">
        <v>1378</v>
      </c>
      <c r="R32" s="21">
        <v>1356</v>
      </c>
      <c r="S32" s="21">
        <v>1324</v>
      </c>
      <c r="T32" s="21">
        <v>1314</v>
      </c>
      <c r="U32" s="21">
        <v>1344</v>
      </c>
      <c r="V32" s="21">
        <v>1340</v>
      </c>
      <c r="W32" s="21">
        <v>1335</v>
      </c>
      <c r="X32" s="21">
        <v>1314</v>
      </c>
      <c r="Y32" s="21">
        <v>1336</v>
      </c>
      <c r="Z32" s="21">
        <v>1309</v>
      </c>
      <c r="AA32" s="21">
        <v>1299</v>
      </c>
      <c r="AB32" s="21">
        <v>1267</v>
      </c>
      <c r="AC32" s="21">
        <v>1270</v>
      </c>
      <c r="AD32" s="21">
        <v>1256</v>
      </c>
      <c r="AE32" s="21">
        <v>1210</v>
      </c>
      <c r="AF32" s="21">
        <v>1192</v>
      </c>
      <c r="AG32" s="21">
        <v>1190</v>
      </c>
      <c r="AH32" s="21">
        <v>1193</v>
      </c>
      <c r="AI32" s="21">
        <v>1175</v>
      </c>
      <c r="AJ32" s="21">
        <v>1225</v>
      </c>
      <c r="AK32" s="21">
        <v>1245</v>
      </c>
      <c r="AL32" s="21">
        <v>1246</v>
      </c>
      <c r="AM32" s="21">
        <v>1230</v>
      </c>
      <c r="AN32" s="21">
        <v>1214</v>
      </c>
      <c r="AO32" s="21">
        <v>1200</v>
      </c>
      <c r="AP32" s="21">
        <v>1230</v>
      </c>
      <c r="AQ32" s="21">
        <v>1214</v>
      </c>
      <c r="AR32" s="21">
        <v>1176</v>
      </c>
      <c r="AS32" s="21">
        <v>1198</v>
      </c>
      <c r="AT32" s="21">
        <v>1200</v>
      </c>
      <c r="AU32" s="21">
        <v>1219</v>
      </c>
      <c r="AV32" s="21">
        <v>1360</v>
      </c>
      <c r="AW32" s="21">
        <v>1351</v>
      </c>
      <c r="AX32" s="21">
        <v>1325</v>
      </c>
      <c r="AY32" s="21">
        <v>1379</v>
      </c>
      <c r="AZ32" s="21">
        <v>1375</v>
      </c>
      <c r="BA32" s="21">
        <v>1407</v>
      </c>
      <c r="BB32" s="21">
        <v>1420</v>
      </c>
      <c r="BC32" s="21">
        <v>1498</v>
      </c>
      <c r="BD32" s="21">
        <v>1442</v>
      </c>
      <c r="BE32" s="21">
        <v>1497</v>
      </c>
      <c r="BF32" s="21">
        <v>1466</v>
      </c>
      <c r="BG32" s="21">
        <v>1567</v>
      </c>
      <c r="BH32" s="21">
        <v>1448</v>
      </c>
      <c r="BI32" s="21">
        <v>1460</v>
      </c>
      <c r="BJ32" s="21">
        <v>1424</v>
      </c>
      <c r="BK32" s="21">
        <v>1374</v>
      </c>
      <c r="BL32" s="21">
        <v>1302</v>
      </c>
      <c r="BM32" s="1">
        <v>1255</v>
      </c>
      <c r="BN32" s="1">
        <v>1301</v>
      </c>
      <c r="BO32" s="1">
        <v>1432</v>
      </c>
      <c r="BP32" s="1">
        <v>1419</v>
      </c>
      <c r="BQ32" s="1">
        <v>1455</v>
      </c>
      <c r="BR32" s="1">
        <v>1495</v>
      </c>
      <c r="BS32" s="1">
        <v>1468</v>
      </c>
      <c r="BT32" s="1">
        <v>1440</v>
      </c>
      <c r="BU32" s="1">
        <v>1416</v>
      </c>
      <c r="BV32" s="1">
        <v>1374</v>
      </c>
      <c r="BW32" s="1">
        <v>1332</v>
      </c>
      <c r="BX32" s="1">
        <v>1317</v>
      </c>
      <c r="BY32" s="1">
        <v>1323</v>
      </c>
      <c r="BZ32" s="1">
        <v>1308</v>
      </c>
    </row>
    <row r="33" spans="1:78" ht="15.9" customHeight="1">
      <c r="A33" s="78" t="s">
        <v>61</v>
      </c>
      <c r="B33" s="17" t="s">
        <v>62</v>
      </c>
      <c r="C33" s="546">
        <f>_xll.RssMarket("8601","始値")</f>
        <v>1787</v>
      </c>
      <c r="D33" s="23">
        <f t="shared" si="0"/>
        <v>-13</v>
      </c>
      <c r="E33" s="553">
        <v>1800</v>
      </c>
      <c r="F33" s="21">
        <v>1796</v>
      </c>
      <c r="G33" s="21">
        <v>1793</v>
      </c>
      <c r="H33" s="21">
        <v>1803.5</v>
      </c>
      <c r="I33" s="21">
        <v>1849</v>
      </c>
      <c r="J33" s="21">
        <v>1846.5</v>
      </c>
      <c r="K33" s="21">
        <v>1865</v>
      </c>
      <c r="L33" s="21">
        <v>1851</v>
      </c>
      <c r="M33" s="21">
        <v>1852.5</v>
      </c>
      <c r="N33" s="21">
        <v>1841</v>
      </c>
      <c r="O33" s="21">
        <v>1818</v>
      </c>
      <c r="P33" s="21">
        <v>1850</v>
      </c>
      <c r="Q33" s="21">
        <v>1838</v>
      </c>
      <c r="R33" s="21">
        <v>1780</v>
      </c>
      <c r="S33" s="21">
        <v>1780</v>
      </c>
      <c r="T33" s="21">
        <v>1771.5</v>
      </c>
      <c r="U33" s="21">
        <v>1737.5</v>
      </c>
      <c r="V33" s="21">
        <v>1772.5</v>
      </c>
      <c r="W33" s="21">
        <v>1733.5</v>
      </c>
      <c r="X33" s="21">
        <v>1691</v>
      </c>
      <c r="Y33" s="21">
        <v>1673</v>
      </c>
      <c r="Z33" s="21">
        <v>1631.5</v>
      </c>
      <c r="AA33" s="21">
        <v>1614.5</v>
      </c>
      <c r="AB33" s="21">
        <v>1595</v>
      </c>
      <c r="AC33" s="21">
        <v>1606.5</v>
      </c>
      <c r="AD33" s="21">
        <v>1596</v>
      </c>
      <c r="AE33" s="21">
        <v>1604</v>
      </c>
      <c r="AF33" s="21">
        <v>1599</v>
      </c>
      <c r="AG33" s="21">
        <v>1626</v>
      </c>
      <c r="AH33" s="21">
        <v>1586</v>
      </c>
      <c r="AI33" s="21">
        <v>1616</v>
      </c>
      <c r="AJ33" s="21">
        <v>1620</v>
      </c>
      <c r="AK33" s="21">
        <v>1614</v>
      </c>
      <c r="AL33" s="21">
        <v>1587.5</v>
      </c>
      <c r="AM33" s="21">
        <v>1603.5</v>
      </c>
      <c r="AN33" s="21">
        <v>1565</v>
      </c>
      <c r="AO33" s="21">
        <v>1546</v>
      </c>
      <c r="AP33" s="21">
        <v>1588</v>
      </c>
      <c r="AQ33" s="21">
        <v>1540</v>
      </c>
      <c r="AR33" s="21">
        <v>1545</v>
      </c>
      <c r="AS33" s="21">
        <v>1560</v>
      </c>
      <c r="AT33" s="21">
        <v>1496</v>
      </c>
      <c r="AU33" s="21">
        <v>1496</v>
      </c>
      <c r="AV33" s="21">
        <v>1485</v>
      </c>
      <c r="AW33" s="21">
        <v>1456</v>
      </c>
      <c r="AX33" s="21">
        <v>1462</v>
      </c>
      <c r="AY33" s="21">
        <v>1488.5</v>
      </c>
      <c r="AZ33" s="21">
        <v>1511</v>
      </c>
      <c r="BA33" s="21">
        <v>1499.5</v>
      </c>
      <c r="BB33" s="21">
        <v>1504</v>
      </c>
      <c r="BC33" s="21">
        <v>1484.5</v>
      </c>
      <c r="BD33" s="21">
        <v>1478.5</v>
      </c>
      <c r="BE33" s="21">
        <v>1474</v>
      </c>
      <c r="BF33" s="21">
        <v>1500</v>
      </c>
      <c r="BG33" s="21">
        <v>1468.5</v>
      </c>
      <c r="BH33" s="21">
        <v>1468</v>
      </c>
      <c r="BI33" s="21">
        <v>1441.5</v>
      </c>
      <c r="BJ33" s="21">
        <v>1479.5</v>
      </c>
      <c r="BK33" s="21">
        <v>1491</v>
      </c>
      <c r="BL33" s="21">
        <v>1455</v>
      </c>
      <c r="BM33" s="1">
        <v>1450</v>
      </c>
      <c r="BN33" s="1">
        <v>1416.5</v>
      </c>
      <c r="BO33" s="1">
        <v>1485</v>
      </c>
      <c r="BP33" s="1">
        <v>1512</v>
      </c>
      <c r="BQ33" s="1">
        <v>1509</v>
      </c>
      <c r="BR33" s="1">
        <v>1524</v>
      </c>
      <c r="BS33" s="1">
        <v>1532</v>
      </c>
      <c r="BT33" s="1">
        <v>1536</v>
      </c>
      <c r="BU33" s="1">
        <v>1548</v>
      </c>
      <c r="BV33" s="1">
        <v>1589</v>
      </c>
      <c r="BW33" s="1">
        <v>1573</v>
      </c>
      <c r="BX33" s="1">
        <v>1565</v>
      </c>
      <c r="BY33" s="1">
        <v>1531</v>
      </c>
      <c r="BZ33" s="1">
        <v>1546.5</v>
      </c>
    </row>
    <row r="34" spans="1:78" ht="15.9" customHeight="1">
      <c r="A34" s="78" t="s">
        <v>63</v>
      </c>
      <c r="B34" s="17" t="s">
        <v>64</v>
      </c>
      <c r="C34" s="546">
        <f>_xll.RssMarket("5233","始値")</f>
        <v>4058</v>
      </c>
      <c r="D34" s="23">
        <f t="shared" si="0"/>
        <v>60</v>
      </c>
      <c r="E34" s="553">
        <v>3998</v>
      </c>
      <c r="F34" s="21">
        <v>4036</v>
      </c>
      <c r="G34" s="21">
        <v>4162</v>
      </c>
      <c r="H34" s="21">
        <v>4189</v>
      </c>
      <c r="I34" s="21">
        <v>4299</v>
      </c>
      <c r="J34" s="21">
        <v>4189</v>
      </c>
      <c r="K34" s="21">
        <v>4170</v>
      </c>
      <c r="L34" s="21">
        <v>4133</v>
      </c>
      <c r="M34" s="21">
        <v>4150</v>
      </c>
      <c r="N34" s="21">
        <v>4162</v>
      </c>
      <c r="O34" s="21">
        <v>3960</v>
      </c>
      <c r="P34" s="21">
        <v>3957</v>
      </c>
      <c r="Q34" s="21">
        <v>3998</v>
      </c>
      <c r="R34" s="21">
        <v>3919</v>
      </c>
      <c r="S34" s="21">
        <v>3974</v>
      </c>
      <c r="T34" s="21">
        <v>3949</v>
      </c>
      <c r="U34" s="21">
        <v>3970</v>
      </c>
      <c r="V34" s="21">
        <v>4051</v>
      </c>
      <c r="W34" s="21">
        <v>4160</v>
      </c>
      <c r="X34" s="21">
        <v>4092</v>
      </c>
      <c r="Y34" s="21">
        <v>4005</v>
      </c>
      <c r="Z34" s="21">
        <v>3936</v>
      </c>
      <c r="AA34" s="21">
        <v>3981</v>
      </c>
      <c r="AB34" s="21">
        <v>4025</v>
      </c>
      <c r="AC34" s="21">
        <v>4077</v>
      </c>
      <c r="AD34" s="21">
        <v>4092</v>
      </c>
      <c r="AE34" s="21">
        <v>4143</v>
      </c>
      <c r="AF34" s="21">
        <v>4092</v>
      </c>
      <c r="AG34" s="21">
        <v>4206</v>
      </c>
      <c r="AH34" s="21">
        <v>4251</v>
      </c>
      <c r="AI34" s="21">
        <v>4400</v>
      </c>
      <c r="AJ34" s="21">
        <v>4403</v>
      </c>
      <c r="AK34" s="21">
        <v>4367</v>
      </c>
      <c r="AL34" s="21">
        <v>4383</v>
      </c>
      <c r="AM34" s="21">
        <v>4303</v>
      </c>
      <c r="AN34" s="21">
        <v>4145</v>
      </c>
      <c r="AO34" s="21">
        <v>4016</v>
      </c>
      <c r="AP34" s="21">
        <v>4169</v>
      </c>
      <c r="AQ34" s="21">
        <v>4264</v>
      </c>
      <c r="AR34" s="21">
        <v>4403</v>
      </c>
      <c r="AS34" s="21">
        <v>4448</v>
      </c>
      <c r="AT34" s="21">
        <v>4403</v>
      </c>
      <c r="AU34" s="21">
        <v>4402</v>
      </c>
      <c r="AV34" s="21">
        <v>4475</v>
      </c>
      <c r="AW34" s="21">
        <v>4260</v>
      </c>
      <c r="AX34" s="21">
        <v>4177</v>
      </c>
      <c r="AY34" s="21">
        <v>4130</v>
      </c>
      <c r="AZ34" s="21">
        <v>4117</v>
      </c>
      <c r="BA34" s="21">
        <v>4040</v>
      </c>
      <c r="BB34" s="21">
        <v>3947</v>
      </c>
      <c r="BC34" s="21">
        <v>3929</v>
      </c>
      <c r="BD34" s="21">
        <v>3959</v>
      </c>
      <c r="BE34" s="21">
        <v>4064</v>
      </c>
      <c r="BF34" s="21">
        <v>4220</v>
      </c>
      <c r="BG34" s="21">
        <v>4201</v>
      </c>
      <c r="BH34" s="21">
        <v>3704</v>
      </c>
      <c r="BI34" s="21">
        <v>3554</v>
      </c>
      <c r="BJ34" s="21">
        <v>3653</v>
      </c>
      <c r="BK34" s="21">
        <v>3624</v>
      </c>
      <c r="BL34" s="21">
        <v>3558</v>
      </c>
      <c r="BM34" s="1">
        <v>3533</v>
      </c>
      <c r="BN34" s="1">
        <v>3658</v>
      </c>
      <c r="BO34" s="1">
        <v>3562</v>
      </c>
      <c r="BP34" s="1">
        <v>3539</v>
      </c>
      <c r="BQ34" s="1">
        <v>3584</v>
      </c>
      <c r="BR34" s="1">
        <v>3672</v>
      </c>
      <c r="BS34" s="1">
        <v>3705</v>
      </c>
      <c r="BT34" s="1">
        <v>3715</v>
      </c>
      <c r="BU34" s="1">
        <v>3707</v>
      </c>
      <c r="BV34" s="1">
        <v>3673</v>
      </c>
      <c r="BW34" s="1">
        <v>3688</v>
      </c>
      <c r="BX34" s="1">
        <v>3760</v>
      </c>
      <c r="BY34" s="1">
        <v>3694</v>
      </c>
      <c r="BZ34" s="1">
        <v>3705</v>
      </c>
    </row>
    <row r="35" spans="1:78" ht="15.9" customHeight="1">
      <c r="A35" s="78" t="s">
        <v>65</v>
      </c>
      <c r="B35" s="17" t="s">
        <v>66</v>
      </c>
      <c r="C35" s="546">
        <f>_xll.RssMarket("8308","始値")</f>
        <v>2208</v>
      </c>
      <c r="D35" s="23">
        <f t="shared" si="0"/>
        <v>-22</v>
      </c>
      <c r="E35" s="553">
        <v>2230</v>
      </c>
      <c r="F35" s="21">
        <v>2180</v>
      </c>
      <c r="G35" s="21">
        <v>2218</v>
      </c>
      <c r="H35" s="21">
        <v>2167.5</v>
      </c>
      <c r="I35" s="21">
        <v>2226</v>
      </c>
      <c r="J35" s="21">
        <v>2350</v>
      </c>
      <c r="K35" s="21">
        <v>2364</v>
      </c>
      <c r="L35" s="21">
        <v>2330</v>
      </c>
      <c r="M35" s="21">
        <v>2306</v>
      </c>
      <c r="N35" s="21">
        <v>2296</v>
      </c>
      <c r="O35" s="21">
        <v>2261</v>
      </c>
      <c r="P35" s="21">
        <v>2350</v>
      </c>
      <c r="Q35" s="21">
        <v>2384</v>
      </c>
      <c r="R35" s="21">
        <v>2362.5</v>
      </c>
      <c r="S35" s="21">
        <v>2340</v>
      </c>
      <c r="T35" s="21">
        <v>2376.5</v>
      </c>
      <c r="U35" s="21">
        <v>2341</v>
      </c>
      <c r="V35" s="21">
        <v>2341</v>
      </c>
      <c r="W35" s="21">
        <v>2383</v>
      </c>
      <c r="X35" s="21">
        <v>2252</v>
      </c>
      <c r="Y35" s="21">
        <v>2225</v>
      </c>
      <c r="Z35" s="21">
        <v>2154</v>
      </c>
      <c r="AA35" s="21">
        <v>2085</v>
      </c>
      <c r="AB35" s="21">
        <v>2123</v>
      </c>
      <c r="AC35" s="21">
        <v>2114</v>
      </c>
      <c r="AD35" s="21">
        <v>2116</v>
      </c>
      <c r="AE35" s="21">
        <v>2155</v>
      </c>
      <c r="AF35" s="21">
        <v>2170.5</v>
      </c>
      <c r="AG35" s="21">
        <v>2260</v>
      </c>
      <c r="AH35" s="21">
        <v>2150</v>
      </c>
      <c r="AI35" s="21">
        <v>2255</v>
      </c>
      <c r="AJ35" s="21">
        <v>2230</v>
      </c>
      <c r="AK35" s="21">
        <v>2222.5</v>
      </c>
      <c r="AL35" s="21">
        <v>2170.5</v>
      </c>
      <c r="AM35" s="21">
        <v>2210.5</v>
      </c>
      <c r="AN35" s="21">
        <v>2168</v>
      </c>
      <c r="AO35" s="21">
        <v>2111</v>
      </c>
      <c r="AP35" s="21">
        <v>2150</v>
      </c>
      <c r="AQ35" s="21">
        <v>2080.5</v>
      </c>
      <c r="AR35" s="21">
        <v>2123.5</v>
      </c>
      <c r="AS35" s="21">
        <v>2085.5</v>
      </c>
      <c r="AT35" s="21">
        <v>2035</v>
      </c>
      <c r="AU35" s="21">
        <v>1998.5</v>
      </c>
      <c r="AV35" s="21">
        <v>2045</v>
      </c>
      <c r="AW35" s="21">
        <v>2031.5</v>
      </c>
      <c r="AX35" s="21">
        <v>2061</v>
      </c>
      <c r="AY35" s="21">
        <v>2121.5</v>
      </c>
      <c r="AZ35" s="21">
        <v>2131.5</v>
      </c>
      <c r="BA35" s="21">
        <v>2072</v>
      </c>
      <c r="BB35" s="21">
        <v>2128</v>
      </c>
      <c r="BC35" s="21">
        <v>2039.5</v>
      </c>
      <c r="BD35" s="21">
        <v>2051.5</v>
      </c>
      <c r="BE35" s="21">
        <v>2065</v>
      </c>
      <c r="BF35" s="21">
        <v>2041.5</v>
      </c>
      <c r="BG35" s="21">
        <v>2043</v>
      </c>
      <c r="BH35" s="21">
        <v>2026.5</v>
      </c>
      <c r="BI35" s="21">
        <v>1952.5</v>
      </c>
      <c r="BJ35" s="21">
        <v>1962</v>
      </c>
      <c r="BK35" s="21">
        <v>2000</v>
      </c>
      <c r="BL35" s="21">
        <v>1916</v>
      </c>
      <c r="BM35" s="1">
        <v>1900</v>
      </c>
      <c r="BN35" s="1">
        <v>1868</v>
      </c>
      <c r="BO35" s="1">
        <v>1808</v>
      </c>
      <c r="BP35" s="1">
        <v>1834.5</v>
      </c>
      <c r="BQ35" s="1">
        <v>1830</v>
      </c>
      <c r="BR35" s="1">
        <v>1891</v>
      </c>
      <c r="BS35" s="1">
        <v>1950</v>
      </c>
      <c r="BT35" s="1">
        <v>2006</v>
      </c>
      <c r="BU35" s="1">
        <v>1949.5</v>
      </c>
      <c r="BV35" s="1">
        <v>1959.5</v>
      </c>
      <c r="BW35" s="1">
        <v>1943</v>
      </c>
      <c r="BX35" s="1">
        <v>1906</v>
      </c>
      <c r="BY35" s="1">
        <v>1880</v>
      </c>
      <c r="BZ35" s="1">
        <v>1897</v>
      </c>
    </row>
    <row r="36" spans="1:78" ht="15.9" customHeight="1">
      <c r="A36" s="78" t="s">
        <v>67</v>
      </c>
      <c r="B36" s="17" t="s">
        <v>68</v>
      </c>
      <c r="C36" s="546">
        <f>_xll.RssMarket("5938","始値")</f>
        <v>1720</v>
      </c>
      <c r="D36" s="23">
        <f t="shared" si="0"/>
        <v>3</v>
      </c>
      <c r="E36" s="553">
        <v>1717</v>
      </c>
      <c r="F36" s="21">
        <v>1714.5</v>
      </c>
      <c r="G36" s="21">
        <v>1850.5</v>
      </c>
      <c r="H36" s="21">
        <v>1925</v>
      </c>
      <c r="I36" s="21">
        <v>1910</v>
      </c>
      <c r="J36" s="21">
        <v>1900</v>
      </c>
      <c r="K36" s="21">
        <v>1848</v>
      </c>
      <c r="L36" s="21">
        <v>1820</v>
      </c>
      <c r="M36" s="21">
        <v>1848</v>
      </c>
      <c r="N36" s="21">
        <v>1860</v>
      </c>
      <c r="O36" s="21">
        <v>1858</v>
      </c>
      <c r="P36" s="21">
        <v>1897</v>
      </c>
      <c r="Q36" s="21">
        <v>1886.5</v>
      </c>
      <c r="R36" s="21">
        <v>1843.5</v>
      </c>
      <c r="S36" s="21">
        <v>1855</v>
      </c>
      <c r="T36" s="21">
        <v>1855</v>
      </c>
      <c r="U36" s="21">
        <v>1883</v>
      </c>
      <c r="V36" s="21">
        <v>1894.5</v>
      </c>
      <c r="W36" s="21">
        <v>1890</v>
      </c>
      <c r="X36" s="21">
        <v>1866.5</v>
      </c>
      <c r="Y36" s="21">
        <v>1835</v>
      </c>
      <c r="Z36" s="21">
        <v>1800</v>
      </c>
      <c r="AA36" s="21">
        <v>1813</v>
      </c>
      <c r="AB36" s="21">
        <v>1801</v>
      </c>
      <c r="AC36" s="21">
        <v>1774</v>
      </c>
      <c r="AD36" s="21">
        <v>1763.5</v>
      </c>
      <c r="AE36" s="21">
        <v>1750</v>
      </c>
      <c r="AF36" s="21">
        <v>1712</v>
      </c>
      <c r="AG36" s="21">
        <v>1740.5</v>
      </c>
      <c r="AH36" s="21">
        <v>1732</v>
      </c>
      <c r="AI36" s="21">
        <v>1725</v>
      </c>
      <c r="AJ36" s="21">
        <v>1714</v>
      </c>
      <c r="AK36" s="21">
        <v>1728</v>
      </c>
      <c r="AL36" s="21">
        <v>1734</v>
      </c>
      <c r="AM36" s="21">
        <v>1730</v>
      </c>
      <c r="AN36" s="21">
        <v>1738</v>
      </c>
      <c r="AO36" s="21">
        <v>1720</v>
      </c>
      <c r="AP36" s="21">
        <v>1721.5</v>
      </c>
      <c r="AQ36" s="21">
        <v>1705</v>
      </c>
      <c r="AR36" s="21">
        <v>1708</v>
      </c>
      <c r="AS36" s="21">
        <v>1707</v>
      </c>
      <c r="AT36" s="21">
        <v>1688</v>
      </c>
      <c r="AU36" s="21">
        <v>1686</v>
      </c>
      <c r="AV36" s="21">
        <v>1696</v>
      </c>
      <c r="AW36" s="21">
        <v>1682</v>
      </c>
      <c r="AX36" s="21">
        <v>1654</v>
      </c>
      <c r="AY36" s="21">
        <v>1645</v>
      </c>
      <c r="AZ36" s="21">
        <v>1645</v>
      </c>
      <c r="BA36" s="21">
        <v>1639.5</v>
      </c>
      <c r="BB36" s="21">
        <v>1645</v>
      </c>
      <c r="BC36" s="21">
        <v>1649</v>
      </c>
      <c r="BD36" s="21">
        <v>1675</v>
      </c>
      <c r="BE36" s="21">
        <v>1660</v>
      </c>
      <c r="BF36" s="21">
        <v>1670</v>
      </c>
      <c r="BG36" s="21">
        <v>1678</v>
      </c>
      <c r="BH36" s="21">
        <v>1670.5</v>
      </c>
      <c r="BI36" s="21">
        <v>1702</v>
      </c>
      <c r="BJ36" s="21">
        <v>1696</v>
      </c>
      <c r="BK36" s="21">
        <v>1664</v>
      </c>
      <c r="BL36" s="21">
        <v>1621</v>
      </c>
      <c r="BM36" s="1">
        <v>1603.5</v>
      </c>
      <c r="BN36" s="1">
        <v>1610</v>
      </c>
      <c r="BO36" s="1">
        <v>1606</v>
      </c>
      <c r="BP36" s="1">
        <v>1620.5</v>
      </c>
      <c r="BQ36" s="1">
        <v>1615</v>
      </c>
      <c r="BR36" s="1">
        <v>1636</v>
      </c>
      <c r="BS36" s="1">
        <v>1654.5</v>
      </c>
      <c r="BT36" s="1">
        <v>1635.5</v>
      </c>
      <c r="BU36" s="1">
        <v>1624.5</v>
      </c>
      <c r="BV36" s="1">
        <v>1620</v>
      </c>
      <c r="BW36" s="1">
        <v>1611</v>
      </c>
      <c r="BX36" s="1">
        <v>1614.5</v>
      </c>
      <c r="BY36" s="1">
        <v>1663</v>
      </c>
      <c r="BZ36" s="1">
        <v>1661.5</v>
      </c>
    </row>
    <row r="37" spans="1:78" ht="15.9" customHeight="1">
      <c r="A37" s="78" t="s">
        <v>69</v>
      </c>
      <c r="B37" s="17" t="s">
        <v>70</v>
      </c>
      <c r="C37" s="546">
        <f>_xll.RssMarket("8570","始値")</f>
        <v>1541.5</v>
      </c>
      <c r="D37" s="23">
        <f t="shared" si="0"/>
        <v>-8.5</v>
      </c>
      <c r="E37" s="553">
        <v>1550</v>
      </c>
      <c r="F37" s="21">
        <v>1571</v>
      </c>
      <c r="G37" s="21">
        <v>1563</v>
      </c>
      <c r="H37" s="21">
        <v>1579</v>
      </c>
      <c r="I37" s="21">
        <v>1567.5</v>
      </c>
      <c r="J37" s="21">
        <v>1589</v>
      </c>
      <c r="K37" s="21">
        <v>1575</v>
      </c>
      <c r="L37" s="21">
        <v>1552</v>
      </c>
      <c r="M37" s="21">
        <v>1566</v>
      </c>
      <c r="N37" s="21">
        <v>1559.5</v>
      </c>
      <c r="O37" s="21">
        <v>1542</v>
      </c>
      <c r="P37" s="21">
        <v>1530</v>
      </c>
      <c r="Q37" s="21">
        <v>1572.5</v>
      </c>
      <c r="R37" s="21">
        <v>1529</v>
      </c>
      <c r="S37" s="21">
        <v>1558</v>
      </c>
      <c r="T37" s="21">
        <v>1527</v>
      </c>
      <c r="U37" s="21">
        <v>1517</v>
      </c>
      <c r="V37" s="21">
        <v>1521.5</v>
      </c>
      <c r="W37" s="21">
        <v>1533</v>
      </c>
      <c r="X37" s="21">
        <v>1506</v>
      </c>
      <c r="Y37" s="21">
        <v>1498</v>
      </c>
      <c r="Z37" s="21">
        <v>1495</v>
      </c>
      <c r="AA37" s="21">
        <v>1466.5</v>
      </c>
      <c r="AB37" s="21">
        <v>1470</v>
      </c>
      <c r="AC37" s="21">
        <v>1475</v>
      </c>
      <c r="AD37" s="21">
        <v>1465.5</v>
      </c>
      <c r="AE37" s="21">
        <v>1461</v>
      </c>
      <c r="AF37" s="21">
        <v>1447</v>
      </c>
      <c r="AG37" s="21">
        <v>1460</v>
      </c>
      <c r="AH37" s="21">
        <v>1452.5</v>
      </c>
      <c r="AI37" s="21">
        <v>1471</v>
      </c>
      <c r="AJ37" s="21">
        <v>1499</v>
      </c>
      <c r="AK37" s="21">
        <v>1514</v>
      </c>
      <c r="AL37" s="21">
        <v>1498</v>
      </c>
      <c r="AM37" s="21">
        <v>1520</v>
      </c>
      <c r="AN37" s="21">
        <v>1506</v>
      </c>
      <c r="AO37" s="21">
        <v>1506.5</v>
      </c>
      <c r="AP37" s="21">
        <v>1487</v>
      </c>
      <c r="AQ37" s="21">
        <v>1458</v>
      </c>
      <c r="AR37" s="21">
        <v>1451.5</v>
      </c>
      <c r="AS37" s="21">
        <v>1452</v>
      </c>
      <c r="AT37" s="21">
        <v>1463</v>
      </c>
      <c r="AU37" s="21">
        <v>1438</v>
      </c>
      <c r="AV37" s="21">
        <v>1520</v>
      </c>
      <c r="AW37" s="21">
        <v>1536</v>
      </c>
      <c r="AX37" s="21">
        <v>1530.5</v>
      </c>
      <c r="AY37" s="21">
        <v>1550</v>
      </c>
      <c r="AZ37" s="21">
        <v>1592.5</v>
      </c>
      <c r="BA37" s="21">
        <v>1593</v>
      </c>
      <c r="BB37" s="21">
        <v>1590</v>
      </c>
      <c r="BC37" s="21">
        <v>1584</v>
      </c>
      <c r="BD37" s="21">
        <v>1570</v>
      </c>
      <c r="BE37" s="21">
        <v>1568</v>
      </c>
      <c r="BF37" s="21">
        <v>1560</v>
      </c>
      <c r="BG37" s="21">
        <v>1560</v>
      </c>
      <c r="BH37" s="21">
        <v>1548.5</v>
      </c>
      <c r="BI37" s="21">
        <v>1515</v>
      </c>
      <c r="BJ37" s="21">
        <v>1531</v>
      </c>
      <c r="BK37" s="21">
        <v>1560</v>
      </c>
      <c r="BL37" s="21">
        <v>1560</v>
      </c>
      <c r="BM37" s="1">
        <v>1548</v>
      </c>
      <c r="BN37" s="1">
        <v>1540</v>
      </c>
      <c r="BO37" s="1">
        <v>1535.5</v>
      </c>
      <c r="BP37" s="1">
        <v>1561</v>
      </c>
      <c r="BQ37" s="1">
        <v>1549.5</v>
      </c>
      <c r="BR37" s="1">
        <v>1544</v>
      </c>
      <c r="BS37" s="1">
        <v>1569</v>
      </c>
      <c r="BT37" s="1">
        <v>1573</v>
      </c>
      <c r="BU37" s="1">
        <v>1606</v>
      </c>
      <c r="BV37" s="1">
        <v>1633</v>
      </c>
      <c r="BW37" s="1">
        <v>1617</v>
      </c>
      <c r="BX37" s="1">
        <v>1612</v>
      </c>
      <c r="BY37" s="1">
        <v>1520</v>
      </c>
      <c r="BZ37" s="1">
        <v>1534</v>
      </c>
    </row>
    <row r="38" spans="1:78" ht="15.9" customHeight="1">
      <c r="A38" s="78" t="s">
        <v>71</v>
      </c>
      <c r="B38" s="17" t="s">
        <v>72</v>
      </c>
      <c r="C38" s="546">
        <f>_xll.RssMarket("5406","始値")</f>
        <v>2080</v>
      </c>
      <c r="D38" s="23">
        <f t="shared" ref="D38:D69" si="1">C38-E38</f>
        <v>14</v>
      </c>
      <c r="E38" s="553">
        <v>2066</v>
      </c>
      <c r="F38" s="21">
        <v>2059</v>
      </c>
      <c r="G38" s="21">
        <v>2061</v>
      </c>
      <c r="H38" s="21">
        <v>2060</v>
      </c>
      <c r="I38" s="21">
        <v>2035</v>
      </c>
      <c r="J38" s="21">
        <v>2024.5</v>
      </c>
      <c r="K38" s="21">
        <v>2013.5</v>
      </c>
      <c r="L38" s="21">
        <v>1982</v>
      </c>
      <c r="M38" s="21">
        <v>1980</v>
      </c>
      <c r="N38" s="21">
        <v>1975</v>
      </c>
      <c r="O38" s="21">
        <v>1949</v>
      </c>
      <c r="P38" s="21">
        <v>1940</v>
      </c>
      <c r="Q38" s="21">
        <v>1925.5</v>
      </c>
      <c r="R38" s="21">
        <v>1890.5</v>
      </c>
      <c r="S38" s="21">
        <v>1880</v>
      </c>
      <c r="T38" s="21">
        <v>1880</v>
      </c>
      <c r="U38" s="21">
        <v>1878.5</v>
      </c>
      <c r="V38" s="21">
        <v>1900</v>
      </c>
      <c r="W38" s="21">
        <v>1929</v>
      </c>
      <c r="X38" s="21">
        <v>1915</v>
      </c>
      <c r="Y38" s="21">
        <v>1881</v>
      </c>
      <c r="Z38" s="21">
        <v>1851</v>
      </c>
      <c r="AA38" s="21">
        <v>1870.5</v>
      </c>
      <c r="AB38" s="21">
        <v>1870</v>
      </c>
      <c r="AC38" s="21">
        <v>1876.5</v>
      </c>
      <c r="AD38" s="21">
        <v>1876</v>
      </c>
      <c r="AE38" s="21">
        <v>1910.5</v>
      </c>
      <c r="AF38" s="21">
        <v>1887.5</v>
      </c>
      <c r="AG38" s="21">
        <v>1968.5</v>
      </c>
      <c r="AH38" s="21">
        <v>1951</v>
      </c>
      <c r="AI38" s="21">
        <v>2002</v>
      </c>
      <c r="AJ38" s="21">
        <v>1961</v>
      </c>
      <c r="AK38" s="21">
        <v>1989.5</v>
      </c>
      <c r="AL38" s="21">
        <v>2000</v>
      </c>
      <c r="AM38" s="21">
        <v>1970</v>
      </c>
      <c r="AN38" s="21">
        <v>1930</v>
      </c>
      <c r="AO38" s="21">
        <v>1900</v>
      </c>
      <c r="AP38" s="21">
        <v>1922</v>
      </c>
      <c r="AQ38" s="21">
        <v>1909.5</v>
      </c>
      <c r="AR38" s="21">
        <v>1950</v>
      </c>
      <c r="AS38" s="21">
        <v>1951.5</v>
      </c>
      <c r="AT38" s="21">
        <v>1960.5</v>
      </c>
      <c r="AU38" s="21">
        <v>1941.5</v>
      </c>
      <c r="AV38" s="21">
        <v>1960</v>
      </c>
      <c r="AW38" s="21">
        <v>1985</v>
      </c>
      <c r="AX38" s="21">
        <v>1986</v>
      </c>
      <c r="AY38" s="21">
        <v>1969</v>
      </c>
      <c r="AZ38" s="21">
        <v>1948</v>
      </c>
      <c r="BA38" s="21">
        <v>1907</v>
      </c>
      <c r="BB38" s="21">
        <v>1917.5</v>
      </c>
      <c r="BC38" s="21">
        <v>1904</v>
      </c>
      <c r="BD38" s="21">
        <v>1951</v>
      </c>
      <c r="BE38" s="21">
        <v>1960</v>
      </c>
      <c r="BF38" s="21">
        <v>1967</v>
      </c>
      <c r="BG38" s="21">
        <v>1996.5</v>
      </c>
      <c r="BH38" s="21">
        <v>2002.5</v>
      </c>
      <c r="BI38" s="21">
        <v>1935</v>
      </c>
      <c r="BJ38" s="21">
        <v>1967</v>
      </c>
      <c r="BK38" s="21">
        <v>1975</v>
      </c>
      <c r="BL38" s="21">
        <v>1910</v>
      </c>
      <c r="BM38" s="1">
        <v>1878</v>
      </c>
      <c r="BN38" s="1">
        <v>1876</v>
      </c>
      <c r="BO38" s="1">
        <v>1850</v>
      </c>
      <c r="BP38" s="1">
        <v>1848</v>
      </c>
      <c r="BQ38" s="1">
        <v>1866</v>
      </c>
      <c r="BR38" s="1">
        <v>1900</v>
      </c>
      <c r="BS38" s="1">
        <v>1937</v>
      </c>
      <c r="BT38" s="1">
        <v>1944</v>
      </c>
      <c r="BU38" s="1">
        <v>1938</v>
      </c>
      <c r="BV38" s="1">
        <v>1945</v>
      </c>
      <c r="BW38" s="1">
        <v>1939</v>
      </c>
      <c r="BX38" s="1">
        <v>1969</v>
      </c>
      <c r="BY38" s="1">
        <v>1943</v>
      </c>
      <c r="BZ38" s="1">
        <v>1963</v>
      </c>
    </row>
    <row r="39" spans="1:78" ht="15.9" customHeight="1">
      <c r="A39" s="78" t="s">
        <v>73</v>
      </c>
      <c r="B39" s="17" t="s">
        <v>74</v>
      </c>
      <c r="C39" s="546">
        <f>_xll.RssMarket("8593","始値")</f>
        <v>1414.5</v>
      </c>
      <c r="D39" s="23">
        <f t="shared" si="1"/>
        <v>-20.5</v>
      </c>
      <c r="E39" s="553">
        <v>1435</v>
      </c>
      <c r="F39" s="21">
        <v>1451</v>
      </c>
      <c r="G39" s="21">
        <v>1464</v>
      </c>
      <c r="H39" s="21">
        <v>1507</v>
      </c>
      <c r="I39" s="21">
        <v>1490</v>
      </c>
      <c r="J39" s="21">
        <v>1470</v>
      </c>
      <c r="K39" s="21">
        <v>1444</v>
      </c>
      <c r="L39" s="21">
        <v>1428</v>
      </c>
      <c r="M39" s="21">
        <v>1435</v>
      </c>
      <c r="N39" s="21">
        <v>1440</v>
      </c>
      <c r="O39" s="21">
        <v>1407.5</v>
      </c>
      <c r="P39" s="21">
        <v>1412.5</v>
      </c>
      <c r="Q39" s="21">
        <v>1415</v>
      </c>
      <c r="R39" s="21">
        <v>1394</v>
      </c>
      <c r="S39" s="21">
        <v>1374.5</v>
      </c>
      <c r="T39" s="21">
        <v>1374.5</v>
      </c>
      <c r="U39" s="21">
        <v>1370</v>
      </c>
      <c r="V39" s="21">
        <v>1382.5</v>
      </c>
      <c r="W39" s="21">
        <v>1383</v>
      </c>
      <c r="X39" s="21">
        <v>1355</v>
      </c>
      <c r="Y39" s="21">
        <v>1350</v>
      </c>
      <c r="Z39" s="21">
        <v>1320</v>
      </c>
      <c r="AA39" s="21">
        <v>1316.5</v>
      </c>
      <c r="AB39" s="21">
        <v>1325</v>
      </c>
      <c r="AC39" s="21">
        <v>1321</v>
      </c>
      <c r="AD39" s="21">
        <v>1308.5</v>
      </c>
      <c r="AE39" s="21">
        <v>1305</v>
      </c>
      <c r="AF39" s="21">
        <v>1292.5</v>
      </c>
      <c r="AG39" s="21">
        <v>1301.5</v>
      </c>
      <c r="AH39" s="21">
        <v>1301</v>
      </c>
      <c r="AI39" s="21">
        <v>1305</v>
      </c>
      <c r="AJ39" s="21">
        <v>1324</v>
      </c>
      <c r="AK39" s="21">
        <v>1330</v>
      </c>
      <c r="AL39" s="21">
        <v>1332.5</v>
      </c>
      <c r="AM39" s="21">
        <v>1330</v>
      </c>
      <c r="AN39" s="21">
        <v>1318</v>
      </c>
      <c r="AO39" s="21">
        <v>1325.5</v>
      </c>
      <c r="AP39" s="21">
        <v>1321</v>
      </c>
      <c r="AQ39" s="21">
        <v>1272.5</v>
      </c>
      <c r="AR39" s="21">
        <v>1274</v>
      </c>
      <c r="AS39" s="21">
        <v>1267</v>
      </c>
      <c r="AT39" s="21">
        <v>1266</v>
      </c>
      <c r="AU39" s="21">
        <v>1250.5</v>
      </c>
      <c r="AV39" s="21">
        <v>1309</v>
      </c>
      <c r="AW39" s="21">
        <v>1312.5</v>
      </c>
      <c r="AX39" s="21">
        <v>1339</v>
      </c>
      <c r="AY39" s="21">
        <v>1319</v>
      </c>
      <c r="AZ39" s="21">
        <v>1330</v>
      </c>
      <c r="BA39" s="21">
        <v>1350</v>
      </c>
      <c r="BB39" s="21">
        <v>1354.5</v>
      </c>
      <c r="BC39" s="21">
        <v>1349</v>
      </c>
      <c r="BD39" s="21">
        <v>1379</v>
      </c>
      <c r="BE39" s="21">
        <v>1432</v>
      </c>
      <c r="BF39" s="21">
        <v>1435</v>
      </c>
      <c r="BG39" s="21">
        <v>1440</v>
      </c>
      <c r="BH39" s="21">
        <v>1430</v>
      </c>
      <c r="BI39" s="21">
        <v>1403</v>
      </c>
      <c r="BJ39" s="21">
        <v>1405</v>
      </c>
      <c r="BK39" s="21">
        <v>1413.5</v>
      </c>
      <c r="BL39" s="21">
        <v>1407</v>
      </c>
      <c r="BM39" s="1">
        <v>1434</v>
      </c>
      <c r="BN39" s="1">
        <v>1435</v>
      </c>
      <c r="BO39" s="1">
        <v>1405</v>
      </c>
      <c r="BP39" s="1">
        <v>1415.5</v>
      </c>
      <c r="BQ39" s="1">
        <v>1405</v>
      </c>
      <c r="BR39" s="1">
        <v>1435.5</v>
      </c>
      <c r="BS39" s="1">
        <v>1460</v>
      </c>
      <c r="BT39" s="1">
        <v>1461.5</v>
      </c>
      <c r="BU39" s="1">
        <v>1473.5</v>
      </c>
      <c r="BV39" s="1">
        <v>1474</v>
      </c>
      <c r="BW39" s="1">
        <v>1468</v>
      </c>
      <c r="BX39" s="1">
        <v>1477</v>
      </c>
      <c r="BY39" s="1">
        <v>1468</v>
      </c>
      <c r="BZ39" s="1">
        <v>1480.5</v>
      </c>
    </row>
    <row r="40" spans="1:78" ht="15.9" customHeight="1">
      <c r="A40" s="78" t="s">
        <v>75</v>
      </c>
      <c r="B40" s="17" t="s">
        <v>76</v>
      </c>
      <c r="C40" s="546">
        <f>_xll.RssMarket("8604","始値")</f>
        <v>1548</v>
      </c>
      <c r="D40" s="23">
        <f t="shared" si="1"/>
        <v>40</v>
      </c>
      <c r="E40" s="553">
        <v>1508</v>
      </c>
      <c r="F40" s="21">
        <v>1510</v>
      </c>
      <c r="G40" s="21">
        <v>1490</v>
      </c>
      <c r="H40" s="21">
        <v>1473</v>
      </c>
      <c r="I40" s="21">
        <v>1567</v>
      </c>
      <c r="J40" s="21">
        <v>1594.5</v>
      </c>
      <c r="K40" s="21">
        <v>1617</v>
      </c>
      <c r="L40" s="21">
        <v>1595</v>
      </c>
      <c r="M40" s="21">
        <v>1597</v>
      </c>
      <c r="N40" s="21">
        <v>1596</v>
      </c>
      <c r="O40" s="21">
        <v>1530</v>
      </c>
      <c r="P40" s="21">
        <v>1580</v>
      </c>
      <c r="Q40" s="21">
        <v>1582</v>
      </c>
      <c r="R40" s="21">
        <v>1546.5</v>
      </c>
      <c r="S40" s="21">
        <v>1551</v>
      </c>
      <c r="T40" s="21">
        <v>1535.5</v>
      </c>
      <c r="U40" s="21">
        <v>1503</v>
      </c>
      <c r="V40" s="21">
        <v>1522.5</v>
      </c>
      <c r="W40" s="21">
        <v>1509</v>
      </c>
      <c r="X40" s="21">
        <v>1472</v>
      </c>
      <c r="Y40" s="21">
        <v>1467.5</v>
      </c>
      <c r="Z40" s="21">
        <v>1457</v>
      </c>
      <c r="AA40" s="21">
        <v>1428</v>
      </c>
      <c r="AB40" s="21">
        <v>1419</v>
      </c>
      <c r="AC40" s="21">
        <v>1430</v>
      </c>
      <c r="AD40" s="21">
        <v>1434</v>
      </c>
      <c r="AE40" s="21">
        <v>1418</v>
      </c>
      <c r="AF40" s="21">
        <v>1410</v>
      </c>
      <c r="AG40" s="21">
        <v>1430</v>
      </c>
      <c r="AH40" s="21">
        <v>1408</v>
      </c>
      <c r="AI40" s="21">
        <v>1431</v>
      </c>
      <c r="AJ40" s="21">
        <v>1430</v>
      </c>
      <c r="AK40" s="21">
        <v>1430</v>
      </c>
      <c r="AL40" s="21">
        <v>1374.5</v>
      </c>
      <c r="AM40" s="21">
        <v>1408</v>
      </c>
      <c r="AN40" s="21">
        <v>1375</v>
      </c>
      <c r="AO40" s="21">
        <v>1357</v>
      </c>
      <c r="AP40" s="21">
        <v>1414</v>
      </c>
      <c r="AQ40" s="21">
        <v>1331</v>
      </c>
      <c r="AR40" s="21">
        <v>1375.5</v>
      </c>
      <c r="AS40" s="21">
        <v>1355.5</v>
      </c>
      <c r="AT40" s="21">
        <v>1324</v>
      </c>
      <c r="AU40" s="21">
        <v>1296.5</v>
      </c>
      <c r="AV40" s="21">
        <v>1265</v>
      </c>
      <c r="AW40" s="21">
        <v>1250</v>
      </c>
      <c r="AX40" s="21">
        <v>1251.5</v>
      </c>
      <c r="AY40" s="21">
        <v>1293.5</v>
      </c>
      <c r="AZ40" s="21">
        <v>1309.5</v>
      </c>
      <c r="BA40" s="21">
        <v>1270</v>
      </c>
      <c r="BB40" s="21">
        <v>1276</v>
      </c>
      <c r="BC40" s="21">
        <v>1267</v>
      </c>
      <c r="BD40" s="21">
        <v>1265</v>
      </c>
      <c r="BE40" s="21">
        <v>1270.5</v>
      </c>
      <c r="BF40" s="21">
        <v>1287</v>
      </c>
      <c r="BG40" s="21">
        <v>1245</v>
      </c>
      <c r="BH40" s="21">
        <v>1233</v>
      </c>
      <c r="BI40" s="21">
        <v>1220</v>
      </c>
      <c r="BJ40" s="21">
        <v>1243.5</v>
      </c>
      <c r="BK40" s="21">
        <v>1230</v>
      </c>
      <c r="BL40" s="21">
        <v>1244.5</v>
      </c>
      <c r="BM40" s="1">
        <v>1249</v>
      </c>
      <c r="BN40" s="1">
        <v>1255</v>
      </c>
      <c r="BO40" s="1">
        <v>1246</v>
      </c>
      <c r="BP40" s="1">
        <v>1330</v>
      </c>
      <c r="BQ40" s="1">
        <v>1332.5</v>
      </c>
      <c r="BR40" s="1">
        <v>1348</v>
      </c>
      <c r="BS40" s="1">
        <v>1345</v>
      </c>
      <c r="BT40" s="1">
        <v>1340.5</v>
      </c>
      <c r="BU40" s="1">
        <v>1357.5</v>
      </c>
      <c r="BV40" s="1">
        <v>1431</v>
      </c>
      <c r="BW40" s="1">
        <v>1356.5</v>
      </c>
      <c r="BX40" s="1">
        <v>1330.5</v>
      </c>
      <c r="BY40" s="1">
        <v>1307</v>
      </c>
      <c r="BZ40" s="1">
        <v>1322</v>
      </c>
    </row>
    <row r="41" spans="1:78" ht="15.9" customHeight="1">
      <c r="A41" s="78" t="s">
        <v>77</v>
      </c>
      <c r="B41" s="17" t="s">
        <v>78</v>
      </c>
      <c r="C41" s="546">
        <f>_xll.RssMarket("3861","始値")</f>
        <v>864.3</v>
      </c>
      <c r="D41" s="23">
        <f t="shared" si="1"/>
        <v>-16.200000000000045</v>
      </c>
      <c r="E41" s="553">
        <v>880.5</v>
      </c>
      <c r="F41" s="21">
        <v>877.9</v>
      </c>
      <c r="G41" s="21">
        <v>878</v>
      </c>
      <c r="H41" s="21">
        <v>890.2</v>
      </c>
      <c r="I41" s="21">
        <v>885.3</v>
      </c>
      <c r="J41" s="21">
        <v>882</v>
      </c>
      <c r="K41" s="21">
        <v>873</v>
      </c>
      <c r="L41" s="21">
        <v>860</v>
      </c>
      <c r="M41" s="21">
        <v>863.7</v>
      </c>
      <c r="N41" s="21">
        <v>850</v>
      </c>
      <c r="O41" s="21">
        <v>845</v>
      </c>
      <c r="P41" s="21">
        <v>842.3</v>
      </c>
      <c r="Q41" s="21">
        <v>830</v>
      </c>
      <c r="R41" s="21">
        <v>820.7</v>
      </c>
      <c r="S41" s="21">
        <v>823.5</v>
      </c>
      <c r="T41" s="21">
        <v>822</v>
      </c>
      <c r="U41" s="21">
        <v>822.2</v>
      </c>
      <c r="V41" s="21">
        <v>828.3</v>
      </c>
      <c r="W41" s="21">
        <v>830.2</v>
      </c>
      <c r="X41" s="21">
        <v>822.5</v>
      </c>
      <c r="Y41" s="21">
        <v>820.7</v>
      </c>
      <c r="Z41" s="21">
        <v>809.6</v>
      </c>
      <c r="AA41" s="21">
        <v>794</v>
      </c>
      <c r="AB41" s="21">
        <v>805</v>
      </c>
      <c r="AC41" s="21">
        <v>791.7</v>
      </c>
      <c r="AD41" s="21">
        <v>785</v>
      </c>
      <c r="AE41" s="21">
        <v>790.2</v>
      </c>
      <c r="AF41" s="21">
        <v>775.6</v>
      </c>
      <c r="AG41" s="21">
        <v>799.6</v>
      </c>
      <c r="AH41" s="21">
        <v>800</v>
      </c>
      <c r="AI41" s="21">
        <v>792.1</v>
      </c>
      <c r="AJ41" s="21">
        <v>802</v>
      </c>
      <c r="AK41" s="21">
        <v>800.6</v>
      </c>
      <c r="AL41" s="21">
        <v>797.3</v>
      </c>
      <c r="AM41" s="21">
        <v>805</v>
      </c>
      <c r="AN41" s="21">
        <v>793.4</v>
      </c>
      <c r="AO41" s="21">
        <v>782.7</v>
      </c>
      <c r="AP41" s="21">
        <v>778</v>
      </c>
      <c r="AQ41" s="21">
        <v>772.8</v>
      </c>
      <c r="AR41" s="21">
        <v>770.5</v>
      </c>
      <c r="AS41" s="21">
        <v>779.5</v>
      </c>
      <c r="AT41" s="21">
        <v>767.9</v>
      </c>
      <c r="AU41" s="21">
        <v>761.8</v>
      </c>
      <c r="AV41" s="21">
        <v>789.2</v>
      </c>
      <c r="AW41" s="21">
        <v>788.7</v>
      </c>
      <c r="AX41" s="21">
        <v>769.3</v>
      </c>
      <c r="AY41" s="21">
        <v>782</v>
      </c>
      <c r="AZ41" s="21">
        <v>795</v>
      </c>
      <c r="BA41" s="21">
        <v>820</v>
      </c>
      <c r="BB41" s="21">
        <v>820</v>
      </c>
      <c r="BC41" s="21">
        <v>825</v>
      </c>
      <c r="BD41" s="21">
        <v>851.2</v>
      </c>
      <c r="BE41" s="21">
        <v>838.8</v>
      </c>
      <c r="BF41" s="21">
        <v>838.8</v>
      </c>
      <c r="BG41" s="21">
        <v>831.8</v>
      </c>
      <c r="BH41" s="21">
        <v>822</v>
      </c>
      <c r="BI41" s="21">
        <v>826.1</v>
      </c>
      <c r="BJ41" s="21">
        <v>838</v>
      </c>
      <c r="BK41" s="21">
        <v>822.5</v>
      </c>
      <c r="BL41" s="21">
        <v>822.8</v>
      </c>
      <c r="BM41" s="1">
        <v>815.6</v>
      </c>
      <c r="BN41" s="1">
        <v>815.2</v>
      </c>
      <c r="BO41" s="1">
        <v>822.2</v>
      </c>
      <c r="BP41" s="1">
        <v>825</v>
      </c>
      <c r="BQ41" s="1">
        <v>826.5</v>
      </c>
      <c r="BR41" s="1">
        <v>837.3</v>
      </c>
      <c r="BS41" s="1">
        <v>839.8</v>
      </c>
      <c r="BT41" s="1">
        <v>848</v>
      </c>
      <c r="BU41" s="1">
        <v>850.6</v>
      </c>
      <c r="BV41" s="1">
        <v>849</v>
      </c>
      <c r="BW41" s="1">
        <v>845.7</v>
      </c>
      <c r="BX41" s="1">
        <v>852.8</v>
      </c>
      <c r="BY41" s="1">
        <v>849</v>
      </c>
      <c r="BZ41" s="1">
        <v>850.7</v>
      </c>
    </row>
    <row r="42" spans="1:78" ht="15.9" customHeight="1">
      <c r="A42" s="78" t="s">
        <v>79</v>
      </c>
      <c r="B42" s="17" t="s">
        <v>80</v>
      </c>
      <c r="C42" s="546">
        <f>_xll.RssMarket("5947","始値")</f>
        <v>3481</v>
      </c>
      <c r="D42" s="23">
        <f t="shared" si="1"/>
        <v>-49</v>
      </c>
      <c r="E42" s="553">
        <v>3530</v>
      </c>
      <c r="F42" s="21">
        <v>3566</v>
      </c>
      <c r="G42" s="21">
        <v>3607</v>
      </c>
      <c r="H42" s="21">
        <v>3781</v>
      </c>
      <c r="I42" s="21">
        <v>3715</v>
      </c>
      <c r="J42" s="21">
        <v>3660</v>
      </c>
      <c r="K42" s="21">
        <v>3615</v>
      </c>
      <c r="L42" s="21">
        <v>3542</v>
      </c>
      <c r="M42" s="21">
        <v>3559</v>
      </c>
      <c r="N42" s="21">
        <v>3602</v>
      </c>
      <c r="O42" s="21">
        <v>3639</v>
      </c>
      <c r="P42" s="21">
        <v>3647</v>
      </c>
      <c r="Q42" s="21">
        <v>3615</v>
      </c>
      <c r="R42" s="21">
        <v>3600</v>
      </c>
      <c r="S42" s="21">
        <v>3600</v>
      </c>
      <c r="T42" s="21">
        <v>3592</v>
      </c>
      <c r="U42" s="21">
        <v>3612</v>
      </c>
      <c r="V42" s="21">
        <v>3659</v>
      </c>
      <c r="W42" s="21">
        <v>3644</v>
      </c>
      <c r="X42" s="21">
        <v>3623</v>
      </c>
      <c r="Y42" s="21">
        <v>3603</v>
      </c>
      <c r="Z42" s="21">
        <v>3597</v>
      </c>
      <c r="AA42" s="21">
        <v>3581</v>
      </c>
      <c r="AB42" s="21">
        <v>3600</v>
      </c>
      <c r="AC42" s="21">
        <v>3611</v>
      </c>
      <c r="AD42" s="21">
        <v>3581</v>
      </c>
      <c r="AE42" s="21">
        <v>3574</v>
      </c>
      <c r="AF42" s="21">
        <v>3464</v>
      </c>
      <c r="AG42" s="21">
        <v>3474</v>
      </c>
      <c r="AH42" s="21">
        <v>3427</v>
      </c>
      <c r="AI42" s="21">
        <v>3477</v>
      </c>
      <c r="AJ42" s="21">
        <v>3463</v>
      </c>
      <c r="AK42" s="21">
        <v>3428</v>
      </c>
      <c r="AL42" s="21">
        <v>3435</v>
      </c>
      <c r="AM42" s="21">
        <v>3526</v>
      </c>
      <c r="AN42" s="21">
        <v>3529</v>
      </c>
      <c r="AO42" s="21">
        <v>3537</v>
      </c>
      <c r="AP42" s="21">
        <v>3587</v>
      </c>
      <c r="AQ42" s="21">
        <v>3472</v>
      </c>
      <c r="AR42" s="21">
        <v>3455</v>
      </c>
      <c r="AS42" s="21">
        <v>3387</v>
      </c>
      <c r="AT42" s="21">
        <v>3342</v>
      </c>
      <c r="AU42" s="21">
        <v>3301</v>
      </c>
      <c r="AV42" s="21">
        <v>3423</v>
      </c>
      <c r="AW42" s="21">
        <v>3435</v>
      </c>
      <c r="AX42" s="21">
        <v>3413</v>
      </c>
      <c r="AY42" s="21">
        <v>3495</v>
      </c>
      <c r="AZ42" s="21">
        <v>3544</v>
      </c>
      <c r="BA42" s="21">
        <v>3592</v>
      </c>
      <c r="BB42" s="21">
        <v>3548</v>
      </c>
      <c r="BC42" s="21">
        <v>3517</v>
      </c>
      <c r="BD42" s="21">
        <v>3460</v>
      </c>
      <c r="BE42" s="21">
        <v>3410</v>
      </c>
      <c r="BF42" s="21">
        <v>3380</v>
      </c>
      <c r="BG42" s="21">
        <v>3434</v>
      </c>
      <c r="BH42" s="21">
        <v>3526</v>
      </c>
      <c r="BI42" s="21">
        <v>3590</v>
      </c>
      <c r="BJ42" s="21">
        <v>3690</v>
      </c>
      <c r="BK42" s="21">
        <v>3680</v>
      </c>
      <c r="BL42" s="21">
        <v>3567</v>
      </c>
      <c r="BM42" s="1">
        <v>3556</v>
      </c>
      <c r="BN42" s="1">
        <v>3549</v>
      </c>
      <c r="BO42" s="1">
        <v>3502</v>
      </c>
      <c r="BP42" s="1">
        <v>3524</v>
      </c>
      <c r="BQ42" s="1">
        <v>3508</v>
      </c>
      <c r="BR42" s="1">
        <v>3482</v>
      </c>
      <c r="BS42" s="1">
        <v>3516</v>
      </c>
      <c r="BT42" s="1">
        <v>3572</v>
      </c>
      <c r="BU42" s="1">
        <v>3529</v>
      </c>
      <c r="BV42" s="1">
        <v>3602</v>
      </c>
      <c r="BW42" s="1">
        <v>3572</v>
      </c>
      <c r="BX42" s="1">
        <v>3667</v>
      </c>
      <c r="BY42" s="1">
        <v>3740</v>
      </c>
      <c r="BZ42" s="1">
        <v>3732</v>
      </c>
    </row>
    <row r="43" spans="1:78" ht="15.9" customHeight="1">
      <c r="A43" s="78" t="s">
        <v>81</v>
      </c>
      <c r="B43" s="17" t="s">
        <v>82</v>
      </c>
      <c r="C43" s="546">
        <f>_xll.RssMarket("8750","始値")</f>
        <v>1891.5</v>
      </c>
      <c r="D43" s="23">
        <f t="shared" si="1"/>
        <v>16.5</v>
      </c>
      <c r="E43" s="553">
        <v>1875</v>
      </c>
      <c r="F43" s="21">
        <v>1898</v>
      </c>
      <c r="G43" s="21">
        <v>1919</v>
      </c>
      <c r="H43" s="21">
        <v>1878</v>
      </c>
      <c r="I43" s="21">
        <v>1903.5</v>
      </c>
      <c r="J43" s="21">
        <v>1934.5</v>
      </c>
      <c r="K43" s="21">
        <v>1940</v>
      </c>
      <c r="L43" s="21"/>
      <c r="M43" s="21">
        <v>1883.5</v>
      </c>
      <c r="N43" s="21">
        <v>1875.5</v>
      </c>
      <c r="O43" s="21">
        <v>1810.5</v>
      </c>
      <c r="P43" s="21">
        <v>1836</v>
      </c>
      <c r="Q43" s="21">
        <v>1911</v>
      </c>
      <c r="R43" s="21">
        <v>1830</v>
      </c>
      <c r="S43" s="21">
        <v>1840.5</v>
      </c>
      <c r="T43" s="21">
        <v>1883.5</v>
      </c>
      <c r="U43" s="21">
        <v>1843.5</v>
      </c>
      <c r="V43" s="21">
        <v>1858.5</v>
      </c>
      <c r="W43" s="21">
        <v>1885</v>
      </c>
      <c r="X43" s="21">
        <v>1849</v>
      </c>
      <c r="Y43" s="21">
        <v>1863.5</v>
      </c>
      <c r="Z43" s="21">
        <v>1819.5</v>
      </c>
      <c r="AA43" s="21">
        <v>1781</v>
      </c>
      <c r="AB43" s="21">
        <v>1759</v>
      </c>
      <c r="AC43" s="21">
        <v>1732.5</v>
      </c>
      <c r="AD43" s="21">
        <v>1713</v>
      </c>
      <c r="AE43" s="21">
        <v>1744.5</v>
      </c>
      <c r="AF43" s="21">
        <v>1794</v>
      </c>
      <c r="AG43" s="21">
        <v>1845</v>
      </c>
      <c r="AH43" s="21">
        <v>1800</v>
      </c>
      <c r="AI43" s="21">
        <v>1812.5</v>
      </c>
      <c r="AJ43" s="21">
        <v>1800</v>
      </c>
      <c r="AK43" s="21">
        <v>1820</v>
      </c>
      <c r="AL43" s="21">
        <v>1770</v>
      </c>
      <c r="AM43" s="21">
        <v>1768</v>
      </c>
      <c r="AN43" s="21">
        <v>1756.5</v>
      </c>
      <c r="AO43" s="21">
        <v>1727.5</v>
      </c>
      <c r="AP43" s="21">
        <v>1757</v>
      </c>
      <c r="AQ43" s="21">
        <v>1628</v>
      </c>
      <c r="AR43" s="21">
        <v>1687.5</v>
      </c>
      <c r="AS43" s="21">
        <v>1610</v>
      </c>
      <c r="AT43" s="21">
        <v>1628.5</v>
      </c>
      <c r="AU43" s="21">
        <v>1616.5</v>
      </c>
      <c r="AV43" s="21">
        <v>1615</v>
      </c>
      <c r="AW43" s="21">
        <v>1650</v>
      </c>
      <c r="AX43" s="21">
        <v>1659.5</v>
      </c>
      <c r="AY43" s="21">
        <v>1645.5</v>
      </c>
      <c r="AZ43" s="21">
        <v>1669</v>
      </c>
      <c r="BA43" s="21">
        <v>1656</v>
      </c>
      <c r="BB43" s="21">
        <v>1669</v>
      </c>
      <c r="BC43" s="21">
        <v>1655</v>
      </c>
      <c r="BD43" s="21">
        <v>1658</v>
      </c>
      <c r="BE43" s="21">
        <v>1500</v>
      </c>
      <c r="BF43" s="21">
        <v>1492</v>
      </c>
      <c r="BG43" s="21">
        <v>1479</v>
      </c>
      <c r="BH43" s="21">
        <v>1488</v>
      </c>
      <c r="BI43" s="21">
        <v>1421.5</v>
      </c>
      <c r="BJ43" s="21">
        <v>1457</v>
      </c>
      <c r="BK43" s="21">
        <v>1438</v>
      </c>
      <c r="BL43" s="21">
        <v>1419.5</v>
      </c>
      <c r="BM43" s="1">
        <v>1440.5</v>
      </c>
      <c r="BN43" s="1">
        <v>1409</v>
      </c>
      <c r="BO43" s="1">
        <v>1386</v>
      </c>
      <c r="BP43" s="1">
        <v>1423</v>
      </c>
      <c r="BQ43" s="1">
        <v>1414</v>
      </c>
      <c r="BR43" s="1">
        <v>1437</v>
      </c>
      <c r="BS43" s="1">
        <v>1465</v>
      </c>
      <c r="BT43" s="1">
        <v>1478.5</v>
      </c>
      <c r="BU43" s="1">
        <v>1492.5</v>
      </c>
      <c r="BV43" s="1">
        <v>1499</v>
      </c>
      <c r="BW43" s="1">
        <v>1494.5</v>
      </c>
      <c r="BX43" s="1">
        <v>1499</v>
      </c>
      <c r="BY43" s="1">
        <v>1464</v>
      </c>
      <c r="BZ43" s="1">
        <v>1492</v>
      </c>
    </row>
    <row r="44" spans="1:78" ht="15.9" customHeight="1">
      <c r="A44" s="78" t="s">
        <v>83</v>
      </c>
      <c r="B44" s="17" t="s">
        <v>84</v>
      </c>
      <c r="C44" s="546">
        <f>_xll.RssMarket("3402","始値")</f>
        <v>1151</v>
      </c>
      <c r="D44" s="23">
        <f t="shared" si="1"/>
        <v>9.5</v>
      </c>
      <c r="E44" s="553">
        <v>1141.5</v>
      </c>
      <c r="F44" s="21">
        <v>1140</v>
      </c>
      <c r="G44" s="21">
        <v>1157.5</v>
      </c>
      <c r="H44" s="21">
        <v>1151</v>
      </c>
      <c r="I44" s="21">
        <v>1171</v>
      </c>
      <c r="J44" s="21">
        <v>1167.5</v>
      </c>
      <c r="K44" s="21">
        <v>1163.5</v>
      </c>
      <c r="L44" s="21">
        <v>1164.5</v>
      </c>
      <c r="M44" s="21">
        <v>1171.5</v>
      </c>
      <c r="N44" s="21">
        <v>1170</v>
      </c>
      <c r="O44" s="21">
        <v>1161</v>
      </c>
      <c r="P44" s="21">
        <v>1160</v>
      </c>
      <c r="Q44" s="21">
        <v>1181</v>
      </c>
      <c r="R44" s="21">
        <v>1140.5</v>
      </c>
      <c r="S44" s="21">
        <v>1155</v>
      </c>
      <c r="T44" s="21">
        <v>1153.5</v>
      </c>
      <c r="U44" s="21">
        <v>1145</v>
      </c>
      <c r="V44" s="21">
        <v>1150.5</v>
      </c>
      <c r="W44" s="21">
        <v>1150</v>
      </c>
      <c r="X44" s="21">
        <v>1180</v>
      </c>
      <c r="Y44" s="21">
        <v>1142</v>
      </c>
      <c r="Z44" s="21">
        <v>1129</v>
      </c>
      <c r="AA44" s="21">
        <v>1132</v>
      </c>
      <c r="AB44" s="21">
        <v>1142</v>
      </c>
      <c r="AC44" s="21">
        <v>1141</v>
      </c>
      <c r="AD44" s="21">
        <v>1152</v>
      </c>
      <c r="AE44" s="21">
        <v>1168</v>
      </c>
      <c r="AF44" s="21">
        <v>1135</v>
      </c>
      <c r="AG44" s="21">
        <v>1168.5</v>
      </c>
      <c r="AH44" s="21">
        <v>1146.5</v>
      </c>
      <c r="AI44" s="21">
        <v>1170</v>
      </c>
      <c r="AJ44" s="21">
        <v>1183</v>
      </c>
      <c r="AK44" s="21">
        <v>1170.5</v>
      </c>
      <c r="AL44" s="21">
        <v>1198</v>
      </c>
      <c r="AM44" s="21">
        <v>1195</v>
      </c>
      <c r="AN44" s="21">
        <v>1142</v>
      </c>
      <c r="AO44" s="21">
        <v>1103</v>
      </c>
      <c r="AP44" s="21">
        <v>1106</v>
      </c>
      <c r="AQ44" s="21">
        <v>1103</v>
      </c>
      <c r="AR44" s="21">
        <v>1100</v>
      </c>
      <c r="AS44" s="21">
        <v>1140.5</v>
      </c>
      <c r="AT44" s="21">
        <v>1177.5</v>
      </c>
      <c r="AU44" s="21">
        <v>1125.5</v>
      </c>
      <c r="AV44" s="21">
        <v>1141</v>
      </c>
      <c r="AW44" s="21">
        <v>1150</v>
      </c>
      <c r="AX44" s="21">
        <v>1152</v>
      </c>
      <c r="AY44" s="21">
        <v>1103.5</v>
      </c>
      <c r="AZ44" s="21">
        <v>1093</v>
      </c>
      <c r="BA44" s="21">
        <v>1093.5</v>
      </c>
      <c r="BB44" s="21">
        <v>1071</v>
      </c>
      <c r="BC44" s="21">
        <v>1095</v>
      </c>
      <c r="BD44" s="21">
        <v>1125</v>
      </c>
      <c r="BE44" s="21">
        <v>1165</v>
      </c>
      <c r="BF44" s="21">
        <v>1169</v>
      </c>
      <c r="BG44" s="21">
        <v>1145</v>
      </c>
      <c r="BH44" s="21">
        <v>1135</v>
      </c>
      <c r="BI44" s="21">
        <v>1122</v>
      </c>
      <c r="BJ44" s="21">
        <v>1138</v>
      </c>
      <c r="BK44" s="21">
        <v>1131</v>
      </c>
      <c r="BL44" s="21">
        <v>1118.5</v>
      </c>
      <c r="BM44" s="1">
        <v>1122</v>
      </c>
      <c r="BN44" s="1">
        <v>1130</v>
      </c>
      <c r="BO44" s="1">
        <v>1101</v>
      </c>
      <c r="BP44" s="1">
        <v>1120</v>
      </c>
      <c r="BQ44" s="1">
        <v>1113.5</v>
      </c>
      <c r="BR44" s="1">
        <v>1137</v>
      </c>
      <c r="BS44" s="1">
        <v>1150</v>
      </c>
      <c r="BT44" s="1">
        <v>1157</v>
      </c>
      <c r="BU44" s="1">
        <v>1161.5</v>
      </c>
      <c r="BV44" s="1">
        <v>1143.5</v>
      </c>
      <c r="BW44" s="1">
        <v>1152.5</v>
      </c>
      <c r="BX44" s="1">
        <v>1154.5</v>
      </c>
      <c r="BY44" s="1">
        <v>1168</v>
      </c>
      <c r="BZ44" s="1">
        <v>1167.5</v>
      </c>
    </row>
    <row r="45" spans="1:78" ht="15.9" customHeight="1">
      <c r="A45" s="78" t="s">
        <v>85</v>
      </c>
      <c r="B45" s="17" t="s">
        <v>86</v>
      </c>
      <c r="C45" s="546">
        <f>_xll.RssMarket("8306","始値")</f>
        <v>3480</v>
      </c>
      <c r="D45" s="23">
        <f t="shared" si="1"/>
        <v>15</v>
      </c>
      <c r="E45" s="553">
        <v>3465</v>
      </c>
      <c r="F45" s="21">
        <v>3530</v>
      </c>
      <c r="G45" s="21">
        <v>3595</v>
      </c>
      <c r="H45" s="21">
        <v>3560</v>
      </c>
      <c r="I45" s="21">
        <v>3645</v>
      </c>
      <c r="J45" s="21">
        <v>3760</v>
      </c>
      <c r="K45" s="21">
        <v>3770</v>
      </c>
      <c r="L45" s="21">
        <v>3680</v>
      </c>
      <c r="M45" s="21">
        <v>3626</v>
      </c>
      <c r="N45" s="21">
        <v>3599</v>
      </c>
      <c r="O45" s="21">
        <v>3519</v>
      </c>
      <c r="P45" s="21">
        <v>3614</v>
      </c>
      <c r="Q45" s="21">
        <v>3656</v>
      </c>
      <c r="R45" s="21">
        <v>3511</v>
      </c>
      <c r="S45" s="21">
        <v>3487</v>
      </c>
      <c r="T45" s="21">
        <v>3468</v>
      </c>
      <c r="U45" s="21">
        <v>3399</v>
      </c>
      <c r="V45" s="21">
        <v>3455</v>
      </c>
      <c r="W45" s="21">
        <v>3430</v>
      </c>
      <c r="X45" s="21">
        <v>3314</v>
      </c>
      <c r="Y45" s="21">
        <v>3325</v>
      </c>
      <c r="Z45" s="21">
        <v>3282</v>
      </c>
      <c r="AA45" s="21">
        <v>3215</v>
      </c>
      <c r="AB45" s="21">
        <v>3238</v>
      </c>
      <c r="AC45" s="21">
        <v>3245</v>
      </c>
      <c r="AD45" s="21">
        <v>3240</v>
      </c>
      <c r="AE45" s="21">
        <v>3275</v>
      </c>
      <c r="AF45" s="21">
        <v>3291</v>
      </c>
      <c r="AG45" s="21">
        <v>3336</v>
      </c>
      <c r="AH45" s="21">
        <v>3242</v>
      </c>
      <c r="AI45" s="21">
        <v>3370</v>
      </c>
      <c r="AJ45" s="21">
        <v>3324</v>
      </c>
      <c r="AK45" s="21">
        <v>3266</v>
      </c>
      <c r="AL45" s="21">
        <v>3225</v>
      </c>
      <c r="AM45" s="21">
        <v>3231</v>
      </c>
      <c r="AN45" s="21">
        <v>3141</v>
      </c>
      <c r="AO45" s="21">
        <v>3113</v>
      </c>
      <c r="AP45" s="21">
        <v>3230</v>
      </c>
      <c r="AQ45" s="21">
        <v>3200</v>
      </c>
      <c r="AR45" s="21">
        <v>3210</v>
      </c>
      <c r="AS45" s="21">
        <v>3137</v>
      </c>
      <c r="AT45" s="21">
        <v>3062</v>
      </c>
      <c r="AU45" s="21">
        <v>3013</v>
      </c>
      <c r="AV45" s="21">
        <v>2995</v>
      </c>
      <c r="AW45" s="21">
        <v>3010</v>
      </c>
      <c r="AX45" s="21">
        <v>3061</v>
      </c>
      <c r="AY45" s="21">
        <v>3090</v>
      </c>
      <c r="AZ45" s="21">
        <v>3098</v>
      </c>
      <c r="BA45" s="21">
        <v>3090</v>
      </c>
      <c r="BB45" s="21">
        <v>3162</v>
      </c>
      <c r="BC45" s="21">
        <v>3030</v>
      </c>
      <c r="BD45" s="21">
        <v>2979</v>
      </c>
      <c r="BE45" s="21">
        <v>2910.5</v>
      </c>
      <c r="BF45" s="21">
        <v>2920.5</v>
      </c>
      <c r="BG45" s="21">
        <v>2875.5</v>
      </c>
      <c r="BH45" s="21">
        <v>2885.5</v>
      </c>
      <c r="BI45" s="21">
        <v>2810</v>
      </c>
      <c r="BJ45" s="21">
        <v>2816.5</v>
      </c>
      <c r="BK45" s="21">
        <v>2850</v>
      </c>
      <c r="BL45" s="21">
        <v>2800</v>
      </c>
      <c r="BM45" s="1">
        <v>2868</v>
      </c>
      <c r="BN45" s="1">
        <v>2821</v>
      </c>
      <c r="BO45" s="1">
        <v>2745</v>
      </c>
      <c r="BP45" s="1">
        <v>2782.5</v>
      </c>
      <c r="BQ45" s="1">
        <v>2794</v>
      </c>
      <c r="BR45" s="1">
        <v>2820</v>
      </c>
      <c r="BS45" s="1">
        <v>2879.5</v>
      </c>
      <c r="BT45" s="1">
        <v>2885</v>
      </c>
      <c r="BU45" s="1">
        <v>2920</v>
      </c>
      <c r="BV45" s="1">
        <v>2935</v>
      </c>
      <c r="BW45" s="1">
        <v>2866</v>
      </c>
      <c r="BX45" s="1">
        <v>2889.5</v>
      </c>
      <c r="BY45" s="1">
        <v>2847.5</v>
      </c>
      <c r="BZ45" s="1">
        <v>2851</v>
      </c>
    </row>
    <row r="46" spans="1:78" ht="15.9" customHeight="1">
      <c r="A46" s="78" t="s">
        <v>87</v>
      </c>
      <c r="B46" s="17" t="s">
        <v>88</v>
      </c>
      <c r="C46" s="546">
        <f>_xll.RssMarket("5401","始値")</f>
        <v>658</v>
      </c>
      <c r="D46" s="23">
        <f t="shared" si="1"/>
        <v>10.399999999999977</v>
      </c>
      <c r="E46" s="553">
        <v>647.6</v>
      </c>
      <c r="F46" s="21">
        <v>645</v>
      </c>
      <c r="G46" s="21">
        <v>645</v>
      </c>
      <c r="H46" s="21">
        <v>657.1</v>
      </c>
      <c r="I46" s="21">
        <v>650</v>
      </c>
      <c r="J46" s="21">
        <v>646</v>
      </c>
      <c r="K46" s="21">
        <v>624</v>
      </c>
      <c r="L46" s="21"/>
      <c r="M46" s="21">
        <v>603.79999999999995</v>
      </c>
      <c r="N46" s="21">
        <v>593.9</v>
      </c>
      <c r="O46" s="21">
        <v>587.4</v>
      </c>
      <c r="P46" s="21">
        <v>580.20000000000005</v>
      </c>
      <c r="Q46" s="21">
        <v>572.9</v>
      </c>
      <c r="R46" s="21">
        <v>559.70000000000005</v>
      </c>
      <c r="S46" s="21">
        <v>560</v>
      </c>
      <c r="T46" s="21">
        <v>555.5</v>
      </c>
      <c r="U46" s="21">
        <v>555</v>
      </c>
      <c r="V46" s="21">
        <v>559.6</v>
      </c>
      <c r="W46" s="21">
        <v>562.79999999999995</v>
      </c>
      <c r="X46" s="21">
        <v>554</v>
      </c>
      <c r="Y46" s="21">
        <v>551.79999999999995</v>
      </c>
      <c r="Z46" s="21">
        <v>531</v>
      </c>
      <c r="AA46" s="21">
        <v>540</v>
      </c>
      <c r="AB46" s="21">
        <v>545.70000000000005</v>
      </c>
      <c r="AC46" s="21">
        <v>545</v>
      </c>
      <c r="AD46" s="21">
        <v>545</v>
      </c>
      <c r="AE46" s="21">
        <v>549.70000000000005</v>
      </c>
      <c r="AF46" s="21">
        <v>550</v>
      </c>
      <c r="AG46" s="21">
        <v>561.6</v>
      </c>
      <c r="AH46" s="21">
        <v>566.20000000000005</v>
      </c>
      <c r="AI46" s="21">
        <v>567.1</v>
      </c>
      <c r="AJ46" s="21">
        <v>561.6</v>
      </c>
      <c r="AK46" s="21">
        <v>566</v>
      </c>
      <c r="AL46" s="21">
        <v>571.9</v>
      </c>
      <c r="AM46" s="21">
        <v>560</v>
      </c>
      <c r="AN46" s="21">
        <v>543.29999999999995</v>
      </c>
      <c r="AO46" s="21">
        <v>537.4</v>
      </c>
      <c r="AP46" s="21">
        <v>543.4</v>
      </c>
      <c r="AQ46" s="21">
        <v>540.4</v>
      </c>
      <c r="AR46" s="21">
        <v>547.5</v>
      </c>
      <c r="AS46" s="21">
        <v>544.70000000000005</v>
      </c>
      <c r="AT46" s="21">
        <v>539.5</v>
      </c>
      <c r="AU46" s="21">
        <v>540</v>
      </c>
      <c r="AV46" s="21">
        <v>567.4</v>
      </c>
      <c r="AW46" s="21">
        <v>567</v>
      </c>
      <c r="AX46" s="21">
        <v>557.9</v>
      </c>
      <c r="AY46" s="21">
        <v>555.79999999999995</v>
      </c>
      <c r="AZ46" s="21">
        <v>549</v>
      </c>
      <c r="BA46" s="21">
        <v>545.79999999999995</v>
      </c>
      <c r="BB46" s="21">
        <v>550</v>
      </c>
      <c r="BC46" s="21">
        <v>553</v>
      </c>
      <c r="BD46" s="21">
        <v>560</v>
      </c>
      <c r="BE46" s="21">
        <v>552.5</v>
      </c>
      <c r="BF46" s="21">
        <v>569.20000000000005</v>
      </c>
      <c r="BG46" s="21">
        <v>560</v>
      </c>
      <c r="BH46" s="21">
        <v>560</v>
      </c>
      <c r="BI46" s="21">
        <v>568</v>
      </c>
      <c r="BJ46" s="21">
        <v>579.70000000000005</v>
      </c>
      <c r="BK46" s="21">
        <v>577.79999999999995</v>
      </c>
      <c r="BL46" s="21">
        <v>569</v>
      </c>
      <c r="BM46" s="1">
        <v>573.5</v>
      </c>
      <c r="BN46" s="1">
        <v>575.20000000000005</v>
      </c>
      <c r="BO46" s="1">
        <v>575</v>
      </c>
      <c r="BP46" s="1">
        <v>578.6</v>
      </c>
      <c r="BQ46" s="1">
        <v>589</v>
      </c>
      <c r="BR46" s="1">
        <v>593.20000000000005</v>
      </c>
      <c r="BS46" s="1">
        <v>597.5</v>
      </c>
      <c r="BT46" s="1">
        <v>597.5</v>
      </c>
      <c r="BU46" s="1">
        <v>595.29999999999995</v>
      </c>
      <c r="BV46" s="1">
        <v>597.79999999999995</v>
      </c>
      <c r="BW46" s="1">
        <v>595.9</v>
      </c>
      <c r="BX46" s="1">
        <v>599</v>
      </c>
      <c r="BY46" s="1">
        <v>599</v>
      </c>
      <c r="BZ46" s="1">
        <v>603.4</v>
      </c>
    </row>
    <row r="47" spans="1:78" ht="15.9" customHeight="1">
      <c r="A47" s="78" t="s">
        <v>89</v>
      </c>
      <c r="B47" s="17" t="s">
        <v>90</v>
      </c>
      <c r="C47" s="546">
        <f>_xll.RssMarket("8572","始値")</f>
        <v>476</v>
      </c>
      <c r="D47" s="23">
        <f t="shared" si="1"/>
        <v>0.19999999999998863</v>
      </c>
      <c r="E47" s="553">
        <v>475.8</v>
      </c>
      <c r="F47" s="21">
        <v>481.9</v>
      </c>
      <c r="G47" s="21">
        <v>485</v>
      </c>
      <c r="H47" s="21">
        <v>486</v>
      </c>
      <c r="I47" s="21">
        <v>493.8</v>
      </c>
      <c r="J47" s="21">
        <v>495.5</v>
      </c>
      <c r="K47" s="21">
        <v>488.8</v>
      </c>
      <c r="L47" s="21">
        <v>485</v>
      </c>
      <c r="M47" s="21">
        <v>492</v>
      </c>
      <c r="N47" s="21">
        <v>488.1</v>
      </c>
      <c r="O47" s="21">
        <v>485.1</v>
      </c>
      <c r="P47" s="21">
        <v>488</v>
      </c>
      <c r="Q47" s="21">
        <v>488.9</v>
      </c>
      <c r="R47" s="21">
        <v>480.9</v>
      </c>
      <c r="S47" s="21">
        <v>483.5</v>
      </c>
      <c r="T47" s="21">
        <v>483.8</v>
      </c>
      <c r="U47" s="21">
        <v>482</v>
      </c>
      <c r="V47" s="21">
        <v>485</v>
      </c>
      <c r="W47" s="21">
        <v>485.9</v>
      </c>
      <c r="X47" s="21">
        <v>473.8</v>
      </c>
      <c r="Y47" s="21">
        <v>468</v>
      </c>
      <c r="Z47" s="21">
        <v>458</v>
      </c>
      <c r="AA47" s="21">
        <v>453</v>
      </c>
      <c r="AB47" s="21">
        <v>454.6</v>
      </c>
      <c r="AC47" s="21">
        <v>453.7</v>
      </c>
      <c r="AD47" s="21">
        <v>445.5</v>
      </c>
      <c r="AE47" s="21">
        <v>451.4</v>
      </c>
      <c r="AF47" s="21">
        <v>448</v>
      </c>
      <c r="AG47" s="21">
        <v>450.1</v>
      </c>
      <c r="AH47" s="21">
        <v>447</v>
      </c>
      <c r="AI47" s="21">
        <v>446</v>
      </c>
      <c r="AJ47" s="21">
        <v>450.6</v>
      </c>
      <c r="AK47" s="21">
        <v>453.3</v>
      </c>
      <c r="AL47" s="21">
        <v>451.1</v>
      </c>
      <c r="AM47" s="21">
        <v>456</v>
      </c>
      <c r="AN47" s="21">
        <v>449.5</v>
      </c>
      <c r="AO47" s="21">
        <v>450</v>
      </c>
      <c r="AP47" s="21">
        <v>451.9</v>
      </c>
      <c r="AQ47" s="21">
        <v>442.1</v>
      </c>
      <c r="AR47" s="21">
        <v>445</v>
      </c>
      <c r="AS47" s="21">
        <v>445.1</v>
      </c>
      <c r="AT47" s="21">
        <v>447.2</v>
      </c>
      <c r="AU47" s="21">
        <v>453.3</v>
      </c>
      <c r="AV47" s="21">
        <v>466.4</v>
      </c>
      <c r="AW47" s="21">
        <v>468.3</v>
      </c>
      <c r="AX47" s="21">
        <v>466.5</v>
      </c>
      <c r="AY47" s="21">
        <v>462.4</v>
      </c>
      <c r="AZ47" s="21">
        <v>469</v>
      </c>
      <c r="BA47" s="21">
        <v>466.7</v>
      </c>
      <c r="BB47" s="21">
        <v>464</v>
      </c>
      <c r="BC47" s="21">
        <v>462.9</v>
      </c>
      <c r="BD47" s="21">
        <v>468</v>
      </c>
      <c r="BE47" s="21">
        <v>457.1</v>
      </c>
      <c r="BF47" s="21">
        <v>459.9</v>
      </c>
      <c r="BG47" s="21">
        <v>467.1</v>
      </c>
      <c r="BH47" s="21">
        <v>491</v>
      </c>
      <c r="BI47" s="21">
        <v>492.5</v>
      </c>
      <c r="BJ47" s="21">
        <v>491.6</v>
      </c>
      <c r="BK47" s="21">
        <v>499</v>
      </c>
      <c r="BL47" s="21">
        <v>497.7</v>
      </c>
      <c r="BM47" s="1">
        <v>501</v>
      </c>
      <c r="BN47" s="1">
        <v>498.5</v>
      </c>
      <c r="BO47" s="1">
        <v>499.6</v>
      </c>
      <c r="BP47" s="1">
        <v>497.9</v>
      </c>
      <c r="BQ47" s="1">
        <v>511</v>
      </c>
      <c r="BR47" s="1">
        <v>514.9</v>
      </c>
      <c r="BS47" s="1">
        <v>501.5</v>
      </c>
      <c r="BT47" s="1">
        <v>489</v>
      </c>
      <c r="BU47" s="1">
        <v>484.7</v>
      </c>
      <c r="BV47" s="1">
        <v>481.8</v>
      </c>
      <c r="BW47" s="1">
        <v>482</v>
      </c>
      <c r="BX47" s="1">
        <v>478</v>
      </c>
      <c r="BY47" s="1">
        <v>469.1</v>
      </c>
      <c r="BZ47" s="1">
        <v>471.4</v>
      </c>
    </row>
    <row r="48" spans="1:78" ht="15.9" customHeight="1">
      <c r="A48" s="78" t="s">
        <v>91</v>
      </c>
      <c r="B48" s="17" t="s">
        <v>92</v>
      </c>
      <c r="C48" s="546">
        <f>_xll.RssMarket("3941","始値")</f>
        <v>1507</v>
      </c>
      <c r="D48" s="23">
        <f t="shared" si="1"/>
        <v>8.5</v>
      </c>
      <c r="E48" s="553">
        <v>1498.5</v>
      </c>
      <c r="F48" s="21">
        <v>1504</v>
      </c>
      <c r="G48" s="21">
        <v>1501</v>
      </c>
      <c r="H48" s="21">
        <v>1519.5</v>
      </c>
      <c r="I48" s="21">
        <v>1479.5</v>
      </c>
      <c r="J48" s="21">
        <v>1529.5</v>
      </c>
      <c r="K48" s="21">
        <v>1479.5</v>
      </c>
      <c r="L48" s="21">
        <v>1453</v>
      </c>
      <c r="M48" s="21">
        <v>1465</v>
      </c>
      <c r="N48" s="21">
        <v>1463.5</v>
      </c>
      <c r="O48" s="21">
        <v>1436.5</v>
      </c>
      <c r="P48" s="21">
        <v>1451.5</v>
      </c>
      <c r="Q48" s="21">
        <v>1430</v>
      </c>
      <c r="R48" s="21">
        <v>1407.5</v>
      </c>
      <c r="S48" s="21">
        <v>1429</v>
      </c>
      <c r="T48" s="21">
        <v>1409</v>
      </c>
      <c r="U48" s="21">
        <v>1444</v>
      </c>
      <c r="V48" s="21">
        <v>1411.5</v>
      </c>
      <c r="W48" s="21">
        <v>1428.5</v>
      </c>
      <c r="X48" s="21">
        <v>1417</v>
      </c>
      <c r="Y48" s="21">
        <v>1406.5</v>
      </c>
      <c r="Z48" s="21">
        <v>1421</v>
      </c>
      <c r="AA48" s="21">
        <v>1421.5</v>
      </c>
      <c r="AB48" s="21">
        <v>1411.5</v>
      </c>
      <c r="AC48" s="21">
        <v>1444</v>
      </c>
      <c r="AD48" s="21">
        <v>1420</v>
      </c>
      <c r="AE48" s="21">
        <v>1412.5</v>
      </c>
      <c r="AF48" s="21">
        <v>1410</v>
      </c>
      <c r="AG48" s="21">
        <v>1402.5</v>
      </c>
      <c r="AH48" s="21">
        <v>1430</v>
      </c>
      <c r="AI48" s="21">
        <v>1424</v>
      </c>
      <c r="AJ48" s="21">
        <v>1420</v>
      </c>
      <c r="AK48" s="21">
        <v>1416.5</v>
      </c>
      <c r="AL48" s="21">
        <v>1420.5</v>
      </c>
      <c r="AM48" s="21">
        <v>1393</v>
      </c>
      <c r="AN48" s="21">
        <v>1382</v>
      </c>
      <c r="AO48" s="21">
        <v>1369</v>
      </c>
      <c r="AP48" s="21">
        <v>1404</v>
      </c>
      <c r="AQ48" s="21">
        <v>1359</v>
      </c>
      <c r="AR48" s="21">
        <v>1388.5</v>
      </c>
      <c r="AS48" s="21">
        <v>1392.5</v>
      </c>
      <c r="AT48" s="21">
        <v>1400</v>
      </c>
      <c r="AU48" s="21">
        <v>1385</v>
      </c>
      <c r="AV48" s="21">
        <v>1422.5</v>
      </c>
      <c r="AW48" s="21">
        <v>1422.5</v>
      </c>
      <c r="AX48" s="21">
        <v>1418</v>
      </c>
      <c r="AY48" s="21">
        <v>1399.5</v>
      </c>
      <c r="AZ48" s="21">
        <v>1412.5</v>
      </c>
      <c r="BA48" s="21">
        <v>1403.5</v>
      </c>
      <c r="BB48" s="21">
        <v>1398</v>
      </c>
      <c r="BC48" s="21">
        <v>1408.5</v>
      </c>
      <c r="BD48" s="21">
        <v>1399.5</v>
      </c>
      <c r="BE48" s="21">
        <v>1392</v>
      </c>
      <c r="BF48" s="21">
        <v>1260</v>
      </c>
      <c r="BG48" s="21">
        <v>1229.5</v>
      </c>
      <c r="BH48" s="21">
        <v>1230</v>
      </c>
      <c r="BI48" s="21">
        <v>1239</v>
      </c>
      <c r="BJ48" s="21">
        <v>1233.5</v>
      </c>
      <c r="BK48" s="21">
        <v>1222.5</v>
      </c>
      <c r="BL48" s="21">
        <v>1231</v>
      </c>
      <c r="BM48" s="1">
        <v>1231</v>
      </c>
      <c r="BN48" s="1">
        <v>1265</v>
      </c>
      <c r="BO48" s="1">
        <v>1351</v>
      </c>
      <c r="BP48" s="1">
        <v>1286</v>
      </c>
      <c r="BQ48" s="1">
        <v>1290.5</v>
      </c>
      <c r="BR48" s="1">
        <v>1311.5</v>
      </c>
      <c r="BS48" s="1">
        <v>1286.5</v>
      </c>
      <c r="BT48" s="1">
        <v>1260</v>
      </c>
      <c r="BU48" s="1">
        <v>1274</v>
      </c>
      <c r="BV48" s="1">
        <v>1257</v>
      </c>
      <c r="BW48" s="1">
        <v>1265</v>
      </c>
      <c r="BX48" s="1">
        <v>1264.5</v>
      </c>
      <c r="BY48" s="1">
        <v>1268</v>
      </c>
      <c r="BZ48" s="1">
        <v>1288</v>
      </c>
    </row>
    <row r="49" spans="1:78" ht="15.9" customHeight="1">
      <c r="A49" s="78" t="s">
        <v>93</v>
      </c>
      <c r="B49" s="17" t="s">
        <v>94</v>
      </c>
      <c r="C49" s="546">
        <f>_xll.RssMarket("5929","始値")</f>
        <v>3516</v>
      </c>
      <c r="D49" s="23">
        <f t="shared" si="1"/>
        <v>-14</v>
      </c>
      <c r="E49" s="553">
        <v>3530</v>
      </c>
      <c r="F49" s="21">
        <v>3480</v>
      </c>
      <c r="G49" s="21">
        <v>3875</v>
      </c>
      <c r="H49" s="21">
        <v>3942</v>
      </c>
      <c r="I49" s="21">
        <v>3987</v>
      </c>
      <c r="J49" s="21">
        <v>3878</v>
      </c>
      <c r="K49" s="21">
        <v>3829</v>
      </c>
      <c r="L49" s="21"/>
      <c r="M49" s="21">
        <v>3764</v>
      </c>
      <c r="N49" s="21">
        <v>3753</v>
      </c>
      <c r="O49" s="21">
        <v>3809</v>
      </c>
      <c r="P49" s="21">
        <v>3712</v>
      </c>
      <c r="Q49" s="21">
        <v>3689</v>
      </c>
      <c r="R49" s="21">
        <v>3693</v>
      </c>
      <c r="S49" s="21">
        <v>3696</v>
      </c>
      <c r="T49" s="21">
        <v>3697</v>
      </c>
      <c r="U49" s="21">
        <v>3707</v>
      </c>
      <c r="V49" s="21">
        <v>3838</v>
      </c>
      <c r="W49" s="21">
        <v>3867</v>
      </c>
      <c r="X49" s="21">
        <v>3846</v>
      </c>
      <c r="Y49" s="21">
        <v>3820</v>
      </c>
      <c r="Z49" s="21">
        <v>3745</v>
      </c>
      <c r="AA49" s="21">
        <v>3781</v>
      </c>
      <c r="AB49" s="21">
        <v>3853</v>
      </c>
      <c r="AC49" s="21">
        <v>3799</v>
      </c>
      <c r="AD49" s="21">
        <v>3749</v>
      </c>
      <c r="AE49" s="21">
        <v>3766</v>
      </c>
      <c r="AF49" s="21">
        <v>3661</v>
      </c>
      <c r="AG49" s="21">
        <v>3675</v>
      </c>
      <c r="AH49" s="21">
        <v>3672</v>
      </c>
      <c r="AI49" s="21">
        <v>3703</v>
      </c>
      <c r="AJ49" s="21">
        <v>3733</v>
      </c>
      <c r="AK49" s="21">
        <v>3750</v>
      </c>
      <c r="AL49" s="21">
        <v>3747</v>
      </c>
      <c r="AM49" s="21">
        <v>3673</v>
      </c>
      <c r="AN49" s="21">
        <v>3642</v>
      </c>
      <c r="AO49" s="21">
        <v>3644</v>
      </c>
      <c r="AP49" s="21">
        <v>3615</v>
      </c>
      <c r="AQ49" s="21">
        <v>3709</v>
      </c>
      <c r="AR49" s="21">
        <v>3549</v>
      </c>
      <c r="AS49" s="21">
        <v>3437</v>
      </c>
      <c r="AT49" s="21">
        <v>3384</v>
      </c>
      <c r="AU49" s="21">
        <v>3529</v>
      </c>
      <c r="AV49" s="21">
        <v>3525</v>
      </c>
      <c r="AW49" s="21">
        <v>3408</v>
      </c>
      <c r="AX49" s="21">
        <v>3378</v>
      </c>
      <c r="AY49" s="21">
        <v>3306</v>
      </c>
      <c r="AZ49" s="21">
        <v>3339</v>
      </c>
      <c r="BA49" s="21">
        <v>3297</v>
      </c>
      <c r="BB49" s="21">
        <v>3389</v>
      </c>
      <c r="BC49" s="21">
        <v>3315</v>
      </c>
      <c r="BD49" s="21">
        <v>3562</v>
      </c>
      <c r="BE49" s="21">
        <v>3664</v>
      </c>
      <c r="BF49" s="21">
        <v>3496</v>
      </c>
      <c r="BG49" s="21">
        <v>3538</v>
      </c>
      <c r="BH49" s="21">
        <v>3612</v>
      </c>
      <c r="BI49" s="21">
        <v>3618</v>
      </c>
      <c r="BJ49" s="21">
        <v>3625</v>
      </c>
      <c r="BK49" s="21">
        <v>3580</v>
      </c>
      <c r="BL49" s="21">
        <v>3609</v>
      </c>
      <c r="BM49" s="1">
        <v>3555</v>
      </c>
      <c r="BN49" s="1">
        <v>3637</v>
      </c>
      <c r="BO49" s="1">
        <v>3580</v>
      </c>
      <c r="BP49" s="1">
        <v>3645</v>
      </c>
      <c r="BQ49" s="1">
        <v>3611</v>
      </c>
      <c r="BR49" s="1">
        <v>3664</v>
      </c>
      <c r="BS49" s="1">
        <v>3626</v>
      </c>
      <c r="BT49" s="1">
        <v>3659</v>
      </c>
      <c r="BU49" s="1">
        <v>3636</v>
      </c>
      <c r="BV49" s="1">
        <v>3724</v>
      </c>
      <c r="BW49" s="1">
        <v>3763</v>
      </c>
      <c r="BX49" s="1">
        <v>3751</v>
      </c>
      <c r="BY49" s="1">
        <v>3675</v>
      </c>
      <c r="BZ49" s="1">
        <v>3740</v>
      </c>
    </row>
    <row r="50" spans="1:78" ht="15.9" customHeight="1">
      <c r="A50" s="78" t="s">
        <v>95</v>
      </c>
      <c r="B50" s="17" t="s">
        <v>96</v>
      </c>
      <c r="C50" s="546">
        <f>_xll.RssMarket("8316","始値")</f>
        <v>6560</v>
      </c>
      <c r="D50" s="23">
        <f t="shared" si="1"/>
        <v>-5</v>
      </c>
      <c r="E50" s="553">
        <v>6565</v>
      </c>
      <c r="F50" s="21">
        <v>6700</v>
      </c>
      <c r="G50" s="21">
        <v>6790</v>
      </c>
      <c r="H50" s="21">
        <v>6730</v>
      </c>
      <c r="I50" s="21">
        <v>6857</v>
      </c>
      <c r="J50" s="21">
        <v>7100</v>
      </c>
      <c r="K50" s="21">
        <v>7200</v>
      </c>
      <c r="L50" s="21">
        <v>7065</v>
      </c>
      <c r="M50" s="21">
        <v>7000</v>
      </c>
      <c r="N50" s="21">
        <v>7020</v>
      </c>
      <c r="O50" s="21">
        <v>6770</v>
      </c>
      <c r="P50" s="21">
        <v>7030</v>
      </c>
      <c r="Q50" s="21">
        <v>7100</v>
      </c>
      <c r="R50" s="21">
        <v>6902</v>
      </c>
      <c r="S50" s="21">
        <v>6890</v>
      </c>
      <c r="T50" s="21">
        <v>6900</v>
      </c>
      <c r="U50" s="21">
        <v>6737</v>
      </c>
      <c r="V50" s="21">
        <v>6883</v>
      </c>
      <c r="W50" s="21">
        <v>6880</v>
      </c>
      <c r="X50" s="21">
        <v>6668</v>
      </c>
      <c r="Y50" s="21">
        <v>6649</v>
      </c>
      <c r="Z50" s="21">
        <v>6500</v>
      </c>
      <c r="AA50" s="21">
        <v>6346</v>
      </c>
      <c r="AB50" s="21">
        <v>6373</v>
      </c>
      <c r="AC50" s="21">
        <v>6415</v>
      </c>
      <c r="AD50" s="21">
        <v>6340</v>
      </c>
      <c r="AE50" s="21">
        <v>6430</v>
      </c>
      <c r="AF50" s="21">
        <v>6516</v>
      </c>
      <c r="AG50" s="21">
        <v>6581</v>
      </c>
      <c r="AH50" s="21">
        <v>6471</v>
      </c>
      <c r="AI50" s="21">
        <v>6702</v>
      </c>
      <c r="AJ50" s="21">
        <v>6600</v>
      </c>
      <c r="AK50" s="21">
        <v>6544</v>
      </c>
      <c r="AL50" s="21">
        <v>6455</v>
      </c>
      <c r="AM50" s="21">
        <v>6506</v>
      </c>
      <c r="AN50" s="21">
        <v>6350</v>
      </c>
      <c r="AO50" s="21">
        <v>6127</v>
      </c>
      <c r="AP50" s="21">
        <v>6258</v>
      </c>
      <c r="AQ50" s="21">
        <v>6136</v>
      </c>
      <c r="AR50" s="21">
        <v>6284</v>
      </c>
      <c r="AS50" s="21">
        <v>6116</v>
      </c>
      <c r="AT50" s="21">
        <v>6040</v>
      </c>
      <c r="AU50" s="21">
        <v>5880</v>
      </c>
      <c r="AV50" s="21">
        <v>5850</v>
      </c>
      <c r="AW50" s="21">
        <v>5914</v>
      </c>
      <c r="AX50" s="21">
        <v>6017</v>
      </c>
      <c r="AY50" s="21">
        <v>6010</v>
      </c>
      <c r="AZ50" s="21">
        <v>6045</v>
      </c>
      <c r="BA50" s="21">
        <v>6050</v>
      </c>
      <c r="BB50" s="21">
        <v>6088</v>
      </c>
      <c r="BC50" s="21">
        <v>5895</v>
      </c>
      <c r="BD50" s="21">
        <v>5758</v>
      </c>
      <c r="BE50" s="21">
        <v>5748</v>
      </c>
      <c r="BF50" s="21">
        <v>5735</v>
      </c>
      <c r="BG50" s="21">
        <v>5835</v>
      </c>
      <c r="BH50" s="21">
        <v>5750</v>
      </c>
      <c r="BI50" s="21">
        <v>5600</v>
      </c>
      <c r="BJ50" s="21">
        <v>5589</v>
      </c>
      <c r="BK50" s="21">
        <v>5650</v>
      </c>
      <c r="BL50" s="21">
        <v>5512</v>
      </c>
      <c r="BM50" s="1">
        <v>5609</v>
      </c>
      <c r="BN50" s="1">
        <v>5470</v>
      </c>
      <c r="BO50" s="1">
        <v>5313</v>
      </c>
      <c r="BP50" s="1">
        <v>5383</v>
      </c>
      <c r="BQ50" s="1">
        <v>5404</v>
      </c>
      <c r="BR50" s="1">
        <v>5468</v>
      </c>
      <c r="BS50" s="1">
        <v>5590</v>
      </c>
      <c r="BT50" s="1">
        <v>5623</v>
      </c>
      <c r="BU50" s="1">
        <v>5660</v>
      </c>
      <c r="BV50" s="1">
        <v>5690</v>
      </c>
      <c r="BW50" s="1">
        <v>5615</v>
      </c>
      <c r="BX50" s="1">
        <v>5625</v>
      </c>
      <c r="BY50" s="1">
        <v>5550</v>
      </c>
      <c r="BZ50" s="1">
        <v>5552</v>
      </c>
    </row>
    <row r="51" spans="1:78" ht="15.9" customHeight="1">
      <c r="A51" s="78" t="s">
        <v>97</v>
      </c>
      <c r="B51" s="17" t="s">
        <v>98</v>
      </c>
      <c r="C51" s="546">
        <f>_xll.RssMarket("5449","始値")</f>
        <v>2498</v>
      </c>
      <c r="D51" s="23">
        <f t="shared" si="1"/>
        <v>148</v>
      </c>
      <c r="E51" s="553">
        <v>2350</v>
      </c>
      <c r="F51" s="21">
        <v>2481</v>
      </c>
      <c r="G51" s="21">
        <v>2614</v>
      </c>
      <c r="H51" s="21">
        <v>2874</v>
      </c>
      <c r="I51" s="21">
        <v>2762</v>
      </c>
      <c r="J51" s="21">
        <v>2710</v>
      </c>
      <c r="K51" s="21">
        <v>2671</v>
      </c>
      <c r="L51" s="21">
        <v>2620</v>
      </c>
      <c r="M51" s="21">
        <v>2618</v>
      </c>
      <c r="N51" s="21">
        <v>2600</v>
      </c>
      <c r="O51" s="21">
        <v>2575</v>
      </c>
      <c r="P51" s="21">
        <v>2550</v>
      </c>
      <c r="Q51" s="21">
        <v>2486</v>
      </c>
      <c r="R51" s="21">
        <v>2494</v>
      </c>
      <c r="S51" s="21">
        <v>2527</v>
      </c>
      <c r="T51" s="21">
        <v>2500</v>
      </c>
      <c r="U51" s="21">
        <v>2538</v>
      </c>
      <c r="V51" s="21">
        <v>2476</v>
      </c>
      <c r="W51" s="21">
        <v>2390</v>
      </c>
      <c r="X51" s="21">
        <v>2409</v>
      </c>
      <c r="Y51" s="21">
        <v>2366</v>
      </c>
      <c r="Z51" s="21">
        <v>2285</v>
      </c>
      <c r="AA51" s="21">
        <v>2278</v>
      </c>
      <c r="AB51" s="21">
        <v>2423</v>
      </c>
      <c r="AC51" s="21">
        <v>2391</v>
      </c>
      <c r="AD51" s="21">
        <v>2284</v>
      </c>
      <c r="AE51" s="21">
        <v>2301</v>
      </c>
      <c r="AF51" s="21">
        <v>2365</v>
      </c>
      <c r="AG51" s="21">
        <v>2379</v>
      </c>
      <c r="AH51" s="21">
        <v>2308</v>
      </c>
      <c r="AI51" s="21">
        <v>2314</v>
      </c>
      <c r="AJ51" s="21">
        <v>2254</v>
      </c>
      <c r="AK51" s="21">
        <v>2380</v>
      </c>
      <c r="AL51" s="21">
        <v>2399</v>
      </c>
      <c r="AM51" s="21">
        <v>2369</v>
      </c>
      <c r="AN51" s="21">
        <v>2330</v>
      </c>
      <c r="AO51" s="21">
        <v>2300</v>
      </c>
      <c r="AP51" s="21">
        <v>2325</v>
      </c>
      <c r="AQ51" s="21">
        <v>2260</v>
      </c>
      <c r="AR51" s="21">
        <v>2336</v>
      </c>
      <c r="AS51" s="21">
        <v>2355</v>
      </c>
      <c r="AT51" s="21">
        <v>2321</v>
      </c>
      <c r="AU51" s="21">
        <v>2334</v>
      </c>
      <c r="AV51" s="21">
        <v>2585</v>
      </c>
      <c r="AW51" s="21">
        <v>2643</v>
      </c>
      <c r="AX51" s="21">
        <v>2579</v>
      </c>
      <c r="AY51" s="21">
        <v>2381</v>
      </c>
      <c r="AZ51" s="21">
        <v>2352</v>
      </c>
      <c r="BA51" s="21">
        <v>2322</v>
      </c>
      <c r="BB51" s="21">
        <v>2245</v>
      </c>
      <c r="BC51" s="21">
        <v>2250</v>
      </c>
      <c r="BD51" s="21">
        <v>2325</v>
      </c>
      <c r="BE51" s="21">
        <v>2393</v>
      </c>
      <c r="BF51" s="21">
        <v>2321</v>
      </c>
      <c r="BG51" s="21">
        <v>2379</v>
      </c>
      <c r="BH51" s="21">
        <v>2597</v>
      </c>
      <c r="BI51" s="21">
        <v>2521</v>
      </c>
      <c r="BJ51" s="21">
        <v>2607</v>
      </c>
      <c r="BK51" s="21">
        <v>2518</v>
      </c>
      <c r="BL51" s="21">
        <v>2464</v>
      </c>
      <c r="BM51" s="1">
        <v>2469</v>
      </c>
      <c r="BN51" s="1">
        <v>2368</v>
      </c>
      <c r="BO51" s="1">
        <v>2345</v>
      </c>
      <c r="BP51" s="1">
        <v>2300</v>
      </c>
      <c r="BQ51" s="1">
        <v>2355</v>
      </c>
      <c r="BR51" s="1">
        <v>2410</v>
      </c>
      <c r="BS51" s="1">
        <v>2453</v>
      </c>
      <c r="BT51" s="1">
        <v>2435</v>
      </c>
      <c r="BU51" s="1">
        <v>2411</v>
      </c>
      <c r="BV51" s="1">
        <v>2440</v>
      </c>
      <c r="BW51" s="1">
        <v>2474</v>
      </c>
      <c r="BX51" s="1">
        <v>2390</v>
      </c>
      <c r="BY51" s="1">
        <v>2459</v>
      </c>
      <c r="BZ51" s="1">
        <v>2648</v>
      </c>
    </row>
    <row r="52" spans="1:78" ht="15.9" customHeight="1">
      <c r="A52" s="78" t="s">
        <v>99</v>
      </c>
      <c r="B52" s="17" t="s">
        <v>100</v>
      </c>
      <c r="C52" s="546">
        <f>_xll.RssMarket("8766","始値")</f>
        <v>7717</v>
      </c>
      <c r="D52" s="23">
        <f t="shared" si="1"/>
        <v>-92</v>
      </c>
      <c r="E52" s="553">
        <v>7809</v>
      </c>
      <c r="F52" s="21">
        <v>8000</v>
      </c>
      <c r="G52" s="21">
        <v>8109</v>
      </c>
      <c r="H52" s="21">
        <v>8158</v>
      </c>
      <c r="I52" s="21">
        <v>8260</v>
      </c>
      <c r="J52" s="21">
        <v>8243</v>
      </c>
      <c r="K52" s="21">
        <v>8076</v>
      </c>
      <c r="L52" s="21">
        <v>7958</v>
      </c>
      <c r="M52" s="21">
        <v>7932</v>
      </c>
      <c r="N52" s="21">
        <v>7874</v>
      </c>
      <c r="O52" s="21">
        <v>7693</v>
      </c>
      <c r="P52" s="21">
        <v>7614</v>
      </c>
      <c r="Q52" s="21">
        <v>7816</v>
      </c>
      <c r="R52" s="21">
        <v>7689</v>
      </c>
      <c r="S52" s="21">
        <v>7459</v>
      </c>
      <c r="T52" s="21">
        <v>7849</v>
      </c>
      <c r="U52" s="21">
        <v>7682</v>
      </c>
      <c r="V52" s="21">
        <v>7725</v>
      </c>
      <c r="W52" s="21">
        <v>7820</v>
      </c>
      <c r="X52" s="21">
        <v>7584</v>
      </c>
      <c r="Y52" s="21">
        <v>7675</v>
      </c>
      <c r="Z52" s="21">
        <v>7235</v>
      </c>
      <c r="AA52" s="21">
        <v>7202</v>
      </c>
      <c r="AB52" s="21">
        <v>7310</v>
      </c>
      <c r="AC52" s="21">
        <v>7100</v>
      </c>
      <c r="AD52" s="21">
        <v>6885</v>
      </c>
      <c r="AE52" s="21">
        <v>6912</v>
      </c>
      <c r="AF52" s="21">
        <v>7271</v>
      </c>
      <c r="AG52" s="21">
        <v>7356</v>
      </c>
      <c r="AH52" s="21">
        <v>7140</v>
      </c>
      <c r="AI52" s="21">
        <v>7234</v>
      </c>
      <c r="AJ52" s="21">
        <v>7320</v>
      </c>
      <c r="AK52" s="21">
        <v>7408</v>
      </c>
      <c r="AL52" s="21">
        <v>7217</v>
      </c>
      <c r="AM52" s="21">
        <v>7256</v>
      </c>
      <c r="AN52" s="21">
        <v>7348</v>
      </c>
      <c r="AO52" s="21">
        <v>7450</v>
      </c>
      <c r="AP52" s="21">
        <v>7493</v>
      </c>
      <c r="AQ52" s="21">
        <v>6955</v>
      </c>
      <c r="AR52" s="21">
        <v>6996</v>
      </c>
      <c r="AS52" s="21">
        <v>6961</v>
      </c>
      <c r="AT52" s="21">
        <v>7114</v>
      </c>
      <c r="AU52" s="21">
        <v>7059</v>
      </c>
      <c r="AV52" s="21">
        <v>7116</v>
      </c>
      <c r="AW52" s="21">
        <v>7217</v>
      </c>
      <c r="AX52" s="21">
        <v>7367</v>
      </c>
      <c r="AY52" s="21">
        <v>7465</v>
      </c>
      <c r="AZ52" s="21">
        <v>7568</v>
      </c>
      <c r="BA52" s="21">
        <v>7800</v>
      </c>
      <c r="BB52" s="21">
        <v>8010</v>
      </c>
      <c r="BC52" s="21">
        <v>7800</v>
      </c>
      <c r="BD52" s="21">
        <v>7706</v>
      </c>
      <c r="BE52" s="21">
        <v>7593</v>
      </c>
      <c r="BF52" s="21">
        <v>7369</v>
      </c>
      <c r="BG52" s="21">
        <v>7151</v>
      </c>
      <c r="BH52" s="21">
        <v>7200</v>
      </c>
      <c r="BI52" s="21">
        <v>6980</v>
      </c>
      <c r="BJ52" s="21">
        <v>7163</v>
      </c>
      <c r="BK52" s="21">
        <v>7219</v>
      </c>
      <c r="BL52" s="21">
        <v>7123</v>
      </c>
      <c r="BM52" s="1">
        <v>7300</v>
      </c>
      <c r="BN52" s="1">
        <v>7282</v>
      </c>
      <c r="BO52" s="1">
        <v>7180</v>
      </c>
      <c r="BP52" s="1">
        <v>7139</v>
      </c>
      <c r="BQ52" s="1">
        <v>6988</v>
      </c>
      <c r="BR52" s="1">
        <v>7244</v>
      </c>
      <c r="BS52" s="1">
        <v>7264</v>
      </c>
      <c r="BT52" s="1">
        <v>7033</v>
      </c>
      <c r="BU52" s="1">
        <v>6988</v>
      </c>
      <c r="BV52" s="1">
        <v>6901</v>
      </c>
      <c r="BW52" s="1">
        <v>6950</v>
      </c>
      <c r="BX52" s="1">
        <v>7055</v>
      </c>
      <c r="BY52" s="1">
        <v>7071</v>
      </c>
      <c r="BZ52" s="1">
        <v>7200</v>
      </c>
    </row>
    <row r="53" spans="1:78" ht="15.9" customHeight="1">
      <c r="A53" s="78" t="s">
        <v>101</v>
      </c>
      <c r="B53" s="17" t="s">
        <v>102</v>
      </c>
      <c r="C53" s="546">
        <f>_xll.RssMarket("5201","始値")</f>
        <v>5634</v>
      </c>
      <c r="D53" s="23">
        <f t="shared" si="1"/>
        <v>-429</v>
      </c>
      <c r="E53" s="553">
        <v>6063</v>
      </c>
      <c r="F53" s="21">
        <v>6100</v>
      </c>
      <c r="G53" s="21">
        <v>6104</v>
      </c>
      <c r="H53" s="21">
        <v>6000</v>
      </c>
      <c r="I53" s="21">
        <v>6175</v>
      </c>
      <c r="J53" s="21">
        <v>6169</v>
      </c>
      <c r="K53" s="21">
        <v>6237</v>
      </c>
      <c r="L53" s="21">
        <v>6251</v>
      </c>
      <c r="M53" s="21">
        <v>6388</v>
      </c>
      <c r="N53" s="21">
        <v>6350</v>
      </c>
      <c r="O53" s="21">
        <v>6165</v>
      </c>
      <c r="P53" s="21">
        <v>6388</v>
      </c>
      <c r="Q53" s="21">
        <v>6434</v>
      </c>
      <c r="R53" s="21">
        <v>6310</v>
      </c>
      <c r="S53" s="21">
        <v>6476</v>
      </c>
      <c r="T53" s="21">
        <v>6529</v>
      </c>
      <c r="U53" s="21">
        <v>6490</v>
      </c>
      <c r="V53" s="21">
        <v>6478</v>
      </c>
      <c r="W53" s="21">
        <v>6737</v>
      </c>
      <c r="X53" s="21">
        <v>6888</v>
      </c>
      <c r="Y53" s="21">
        <v>6770</v>
      </c>
      <c r="Z53" s="21">
        <v>6838</v>
      </c>
      <c r="AA53" s="21">
        <v>7029</v>
      </c>
      <c r="AB53" s="21">
        <v>7050</v>
      </c>
      <c r="AC53" s="21">
        <v>7104</v>
      </c>
      <c r="AD53" s="21">
        <v>7247</v>
      </c>
      <c r="AE53" s="21">
        <v>7328</v>
      </c>
      <c r="AF53" s="21">
        <v>7242</v>
      </c>
      <c r="AG53" s="21">
        <v>7630</v>
      </c>
      <c r="AH53" s="21">
        <v>7549</v>
      </c>
      <c r="AI53" s="21">
        <v>7670</v>
      </c>
      <c r="AJ53" s="21">
        <v>7422</v>
      </c>
      <c r="AK53" s="21">
        <v>7224</v>
      </c>
      <c r="AL53" s="21">
        <v>7500</v>
      </c>
      <c r="AM53" s="21">
        <v>7210</v>
      </c>
      <c r="AN53" s="21">
        <v>7102</v>
      </c>
      <c r="AO53" s="21">
        <v>6641</v>
      </c>
      <c r="AP53" s="21">
        <v>7121</v>
      </c>
      <c r="AQ53" s="21">
        <v>7285</v>
      </c>
      <c r="AR53" s="21">
        <v>8000</v>
      </c>
      <c r="AS53" s="21">
        <v>8087</v>
      </c>
      <c r="AT53" s="21">
        <v>7720</v>
      </c>
      <c r="AU53" s="21">
        <v>7098</v>
      </c>
      <c r="AV53" s="21">
        <v>6893</v>
      </c>
      <c r="AW53" s="21">
        <v>6968</v>
      </c>
      <c r="AX53" s="21">
        <v>7218</v>
      </c>
      <c r="AY53" s="21">
        <v>6504</v>
      </c>
      <c r="AZ53" s="21">
        <v>6227</v>
      </c>
      <c r="BA53" s="21">
        <v>6149</v>
      </c>
      <c r="BB53" s="21">
        <v>6215</v>
      </c>
      <c r="BC53" s="21">
        <v>6279</v>
      </c>
      <c r="BD53" s="21">
        <v>6000</v>
      </c>
      <c r="BE53" s="21">
        <v>6000</v>
      </c>
      <c r="BF53" s="21">
        <v>6061</v>
      </c>
      <c r="BG53" s="21">
        <v>5964</v>
      </c>
      <c r="BH53" s="21">
        <v>5661</v>
      </c>
      <c r="BI53" s="21">
        <v>5600</v>
      </c>
      <c r="BJ53" s="21">
        <v>5652</v>
      </c>
      <c r="BK53" s="21">
        <v>5628</v>
      </c>
      <c r="BL53" s="21">
        <v>5561</v>
      </c>
      <c r="BM53" s="1">
        <v>5654</v>
      </c>
      <c r="BN53" s="1">
        <v>5747</v>
      </c>
      <c r="BO53" s="1">
        <v>5629</v>
      </c>
      <c r="BP53" s="1">
        <v>5697</v>
      </c>
      <c r="BQ53" s="1">
        <v>5632</v>
      </c>
      <c r="BR53" s="1">
        <v>5769</v>
      </c>
      <c r="BS53" s="1">
        <v>5768</v>
      </c>
      <c r="BT53" s="1">
        <v>5796</v>
      </c>
      <c r="BU53" s="1">
        <v>5703</v>
      </c>
      <c r="BV53" s="1">
        <v>5676</v>
      </c>
      <c r="BW53" s="1">
        <v>5645</v>
      </c>
      <c r="BX53" s="1">
        <v>5782</v>
      </c>
      <c r="BY53" s="1">
        <v>5750</v>
      </c>
      <c r="BZ53" s="1">
        <v>5872</v>
      </c>
    </row>
    <row r="54" spans="1:78" ht="15.9" customHeight="1">
      <c r="A54" s="78" t="s">
        <v>103</v>
      </c>
      <c r="B54" s="17" t="s">
        <v>104</v>
      </c>
      <c r="C54" s="546">
        <f>_xll.RssMarket("8630","始値")</f>
        <v>6863</v>
      </c>
      <c r="D54" s="23">
        <f t="shared" si="1"/>
        <v>42</v>
      </c>
      <c r="E54" s="553">
        <v>6821</v>
      </c>
      <c r="F54" s="21">
        <v>6963</v>
      </c>
      <c r="G54" s="21">
        <v>7130</v>
      </c>
      <c r="H54" s="21">
        <v>7265</v>
      </c>
      <c r="I54" s="21">
        <v>7296</v>
      </c>
      <c r="J54" s="21">
        <v>7246</v>
      </c>
      <c r="K54" s="21">
        <v>7098</v>
      </c>
      <c r="L54" s="21">
        <v>6970</v>
      </c>
      <c r="M54" s="21">
        <v>6869</v>
      </c>
      <c r="N54" s="21">
        <v>6846</v>
      </c>
      <c r="O54" s="21">
        <v>6730</v>
      </c>
      <c r="P54" s="21">
        <v>6624</v>
      </c>
      <c r="Q54" s="21">
        <v>6640</v>
      </c>
      <c r="R54" s="21">
        <v>6498</v>
      </c>
      <c r="S54" s="21">
        <v>6513</v>
      </c>
      <c r="T54" s="21">
        <v>6645</v>
      </c>
      <c r="U54" s="21">
        <v>6648</v>
      </c>
      <c r="V54" s="21">
        <v>6709</v>
      </c>
      <c r="W54" s="21">
        <v>6776</v>
      </c>
      <c r="X54" s="21">
        <v>6631</v>
      </c>
      <c r="Y54" s="21">
        <v>6685</v>
      </c>
      <c r="Z54" s="21">
        <v>6335</v>
      </c>
      <c r="AA54" s="21">
        <v>6313</v>
      </c>
      <c r="AB54" s="21">
        <v>6243</v>
      </c>
      <c r="AC54" s="21">
        <v>6117</v>
      </c>
      <c r="AD54" s="21">
        <v>6139</v>
      </c>
      <c r="AE54" s="21">
        <v>6180</v>
      </c>
      <c r="AF54" s="21">
        <v>6334</v>
      </c>
      <c r="AG54" s="21">
        <v>6492</v>
      </c>
      <c r="AH54" s="21">
        <v>6242</v>
      </c>
      <c r="AI54" s="21">
        <v>6329</v>
      </c>
      <c r="AJ54" s="21">
        <v>6270</v>
      </c>
      <c r="AK54" s="21">
        <v>6330</v>
      </c>
      <c r="AL54" s="21">
        <v>6268</v>
      </c>
      <c r="AM54" s="21">
        <v>6172</v>
      </c>
      <c r="AN54" s="21">
        <v>6074</v>
      </c>
      <c r="AO54" s="21">
        <v>6183</v>
      </c>
      <c r="AP54" s="21">
        <v>6300</v>
      </c>
      <c r="AQ54" s="21">
        <v>5925</v>
      </c>
      <c r="AR54" s="21">
        <v>5874</v>
      </c>
      <c r="AS54" s="21">
        <v>5829</v>
      </c>
      <c r="AT54" s="21">
        <v>5870</v>
      </c>
      <c r="AU54" s="21">
        <v>5959</v>
      </c>
      <c r="AV54" s="21">
        <v>5810</v>
      </c>
      <c r="AW54" s="21">
        <v>5930</v>
      </c>
      <c r="AX54" s="21">
        <v>5893</v>
      </c>
      <c r="AY54" s="21">
        <v>5600</v>
      </c>
      <c r="AZ54" s="21">
        <v>5569</v>
      </c>
      <c r="BA54" s="21">
        <v>5838</v>
      </c>
      <c r="BB54" s="21">
        <v>6400</v>
      </c>
      <c r="BC54" s="21">
        <v>6298</v>
      </c>
      <c r="BD54" s="21">
        <v>6146</v>
      </c>
      <c r="BE54" s="21">
        <v>6073</v>
      </c>
      <c r="BF54" s="21">
        <v>6041</v>
      </c>
      <c r="BG54" s="21">
        <v>5982</v>
      </c>
      <c r="BH54" s="21">
        <v>5854</v>
      </c>
      <c r="BI54" s="21">
        <v>5706</v>
      </c>
      <c r="BJ54" s="21">
        <v>5882</v>
      </c>
      <c r="BK54" s="21">
        <v>5905</v>
      </c>
      <c r="BL54" s="21">
        <v>5710</v>
      </c>
      <c r="BM54" s="1">
        <v>5791</v>
      </c>
      <c r="BN54" s="1">
        <v>5772</v>
      </c>
      <c r="BO54" s="1">
        <v>5737</v>
      </c>
      <c r="BP54" s="1">
        <v>5890</v>
      </c>
      <c r="BQ54" s="1">
        <v>5792</v>
      </c>
      <c r="BR54" s="1">
        <v>5909</v>
      </c>
      <c r="BS54" s="1">
        <v>5936</v>
      </c>
      <c r="BT54" s="1">
        <v>5937</v>
      </c>
      <c r="BU54" s="1">
        <v>5981</v>
      </c>
      <c r="BV54" s="1">
        <v>5969</v>
      </c>
      <c r="BW54" s="1">
        <v>5988</v>
      </c>
      <c r="BX54" s="1">
        <v>6015</v>
      </c>
      <c r="BY54" s="1">
        <v>5922</v>
      </c>
      <c r="BZ54" s="1">
        <v>6037</v>
      </c>
    </row>
    <row r="55" spans="1:78" ht="15.9" customHeight="1">
      <c r="A55" s="78" t="s">
        <v>105</v>
      </c>
      <c r="B55" s="17" t="s">
        <v>106</v>
      </c>
      <c r="C55" s="546">
        <f>_xll.RssMarket("5901","始値")</f>
        <v>4000</v>
      </c>
      <c r="D55" s="23">
        <f t="shared" si="1"/>
        <v>2</v>
      </c>
      <c r="E55" s="553">
        <v>3998</v>
      </c>
      <c r="F55" s="21">
        <v>4072</v>
      </c>
      <c r="G55" s="21">
        <v>4076</v>
      </c>
      <c r="H55" s="21">
        <v>4150</v>
      </c>
      <c r="I55" s="21">
        <v>4180</v>
      </c>
      <c r="J55" s="21">
        <v>4120</v>
      </c>
      <c r="K55" s="21">
        <v>4107</v>
      </c>
      <c r="L55" s="21">
        <v>4033</v>
      </c>
      <c r="M55" s="21">
        <v>4102</v>
      </c>
      <c r="N55" s="21">
        <v>4097</v>
      </c>
      <c r="O55" s="21">
        <v>4070</v>
      </c>
      <c r="P55" s="21">
        <v>4069</v>
      </c>
      <c r="Q55" s="21">
        <v>4052</v>
      </c>
      <c r="R55" s="21">
        <v>4014</v>
      </c>
      <c r="S55" s="21">
        <v>4080</v>
      </c>
      <c r="T55" s="21">
        <v>4041</v>
      </c>
      <c r="U55" s="21">
        <v>4100</v>
      </c>
      <c r="V55" s="21">
        <v>4127</v>
      </c>
      <c r="W55" s="21">
        <v>4160</v>
      </c>
      <c r="X55" s="21">
        <v>4132</v>
      </c>
      <c r="Y55" s="21">
        <v>4144</v>
      </c>
      <c r="Z55" s="21">
        <v>4122</v>
      </c>
      <c r="AA55" s="21">
        <v>4067</v>
      </c>
      <c r="AB55" s="21">
        <v>4122</v>
      </c>
      <c r="AC55" s="21">
        <v>4134</v>
      </c>
      <c r="AD55" s="21">
        <v>4114</v>
      </c>
      <c r="AE55" s="21">
        <v>4136</v>
      </c>
      <c r="AF55" s="21">
        <v>4100</v>
      </c>
      <c r="AG55" s="21">
        <v>4163</v>
      </c>
      <c r="AH55" s="21">
        <v>4090</v>
      </c>
      <c r="AI55" s="21">
        <v>4000</v>
      </c>
      <c r="AJ55" s="21">
        <v>4076</v>
      </c>
      <c r="AK55" s="21">
        <v>4004</v>
      </c>
      <c r="AL55" s="21">
        <v>3979</v>
      </c>
      <c r="AM55" s="21">
        <v>3990</v>
      </c>
      <c r="AN55" s="21">
        <v>3883</v>
      </c>
      <c r="AO55" s="21">
        <v>3815</v>
      </c>
      <c r="AP55" s="21">
        <v>3820</v>
      </c>
      <c r="AQ55" s="21">
        <v>3912</v>
      </c>
      <c r="AR55" s="21">
        <v>3777</v>
      </c>
      <c r="AS55" s="21">
        <v>3850</v>
      </c>
      <c r="AT55" s="21">
        <v>3778</v>
      </c>
      <c r="AU55" s="21">
        <v>3867</v>
      </c>
      <c r="AV55" s="21">
        <v>3910</v>
      </c>
      <c r="AW55" s="21">
        <v>3938</v>
      </c>
      <c r="AX55" s="21">
        <v>3931</v>
      </c>
      <c r="AY55" s="21">
        <v>4001</v>
      </c>
      <c r="AZ55" s="21">
        <v>4369</v>
      </c>
      <c r="BA55" s="21">
        <v>4128</v>
      </c>
      <c r="BB55" s="21">
        <v>4073</v>
      </c>
      <c r="BC55" s="21">
        <v>3889</v>
      </c>
      <c r="BD55" s="21">
        <v>3776</v>
      </c>
      <c r="BE55" s="21">
        <v>3542</v>
      </c>
      <c r="BF55" s="21">
        <v>3448</v>
      </c>
      <c r="BG55" s="21">
        <v>3371</v>
      </c>
      <c r="BH55" s="21">
        <v>3418</v>
      </c>
      <c r="BI55" s="21">
        <v>3531</v>
      </c>
      <c r="BJ55" s="21">
        <v>3563</v>
      </c>
      <c r="BK55" s="21">
        <v>3438</v>
      </c>
      <c r="BL55" s="21">
        <v>3335</v>
      </c>
      <c r="BM55" s="1">
        <v>3137</v>
      </c>
      <c r="BN55" s="1">
        <v>3186</v>
      </c>
      <c r="BO55" s="1">
        <v>3196</v>
      </c>
      <c r="BP55" s="1">
        <v>3230</v>
      </c>
      <c r="BQ55" s="1">
        <v>3244</v>
      </c>
      <c r="BR55" s="1">
        <v>3373</v>
      </c>
      <c r="BS55" s="1">
        <v>3372</v>
      </c>
      <c r="BT55" s="1">
        <v>3386</v>
      </c>
      <c r="BU55" s="1">
        <v>3380</v>
      </c>
      <c r="BV55" s="1">
        <v>3426</v>
      </c>
      <c r="BW55" s="1">
        <v>3370</v>
      </c>
      <c r="BX55" s="1">
        <v>3431</v>
      </c>
      <c r="BY55" s="1">
        <v>3446</v>
      </c>
      <c r="BZ55" s="1">
        <v>3474</v>
      </c>
    </row>
    <row r="56" spans="1:78" ht="15.9" customHeight="1">
      <c r="A56" s="78" t="s">
        <v>107</v>
      </c>
      <c r="B56" s="17" t="s">
        <v>108</v>
      </c>
      <c r="C56" s="546">
        <f>_xll.RssMarket("9412","始値")</f>
        <v>2260</v>
      </c>
      <c r="D56" s="23">
        <f t="shared" si="1"/>
        <v>58</v>
      </c>
      <c r="E56" s="553">
        <v>2202</v>
      </c>
      <c r="F56" s="21">
        <v>2088</v>
      </c>
      <c r="G56" s="21">
        <v>2098</v>
      </c>
      <c r="H56" s="21">
        <v>2031</v>
      </c>
      <c r="I56" s="21">
        <v>2151</v>
      </c>
      <c r="J56" s="21">
        <v>2198</v>
      </c>
      <c r="K56" s="21">
        <v>2205</v>
      </c>
      <c r="L56" s="21">
        <v>2242</v>
      </c>
      <c r="M56" s="21">
        <v>2275</v>
      </c>
      <c r="N56" s="21">
        <v>2335</v>
      </c>
      <c r="O56" s="21">
        <v>2297</v>
      </c>
      <c r="P56" s="21">
        <v>2298</v>
      </c>
      <c r="Q56" s="21">
        <v>2468</v>
      </c>
      <c r="R56" s="21">
        <v>2490</v>
      </c>
      <c r="S56" s="21">
        <v>2527</v>
      </c>
      <c r="T56" s="21">
        <v>2562</v>
      </c>
      <c r="U56" s="21">
        <v>2582</v>
      </c>
      <c r="V56" s="21">
        <v>2699</v>
      </c>
      <c r="W56" s="21">
        <v>2592</v>
      </c>
      <c r="X56" s="21">
        <v>2740</v>
      </c>
      <c r="Y56" s="21">
        <v>2655</v>
      </c>
      <c r="Z56" s="21">
        <v>2600</v>
      </c>
      <c r="AA56" s="21">
        <v>2682</v>
      </c>
      <c r="AB56" s="21">
        <v>2643</v>
      </c>
      <c r="AC56" s="21">
        <v>2535</v>
      </c>
      <c r="AD56" s="21">
        <v>2488</v>
      </c>
      <c r="AE56" s="21">
        <v>2710</v>
      </c>
      <c r="AF56" s="21">
        <v>2864</v>
      </c>
      <c r="AG56" s="21">
        <v>3235</v>
      </c>
      <c r="AH56" s="21">
        <v>3130</v>
      </c>
      <c r="AI56" s="21">
        <v>3215</v>
      </c>
      <c r="AJ56" s="21">
        <v>3350</v>
      </c>
      <c r="AK56" s="21">
        <v>3300</v>
      </c>
      <c r="AL56" s="21">
        <v>3315</v>
      </c>
      <c r="AM56" s="21">
        <v>3415</v>
      </c>
      <c r="AN56" s="21">
        <v>3450</v>
      </c>
      <c r="AO56" s="21">
        <v>3100</v>
      </c>
      <c r="AP56" s="21">
        <v>3200</v>
      </c>
      <c r="AQ56" s="21">
        <v>3350</v>
      </c>
      <c r="AR56" s="21">
        <v>3555</v>
      </c>
      <c r="AS56" s="21">
        <v>3350</v>
      </c>
      <c r="AT56" s="21">
        <v>3710</v>
      </c>
      <c r="AU56" s="21">
        <v>3890</v>
      </c>
      <c r="AV56" s="21">
        <v>4600</v>
      </c>
      <c r="AW56" s="21">
        <v>4285</v>
      </c>
      <c r="AX56" s="21">
        <v>4625</v>
      </c>
      <c r="AY56" s="21">
        <v>4400</v>
      </c>
      <c r="AZ56" s="21">
        <v>4100</v>
      </c>
      <c r="BA56" s="21">
        <v>4235</v>
      </c>
      <c r="BB56" s="21">
        <v>3975</v>
      </c>
      <c r="BC56" s="21">
        <v>4100</v>
      </c>
      <c r="BD56" s="21">
        <v>4230</v>
      </c>
      <c r="BE56" s="21">
        <v>4305</v>
      </c>
      <c r="BF56" s="21">
        <v>4205</v>
      </c>
      <c r="BG56" s="21">
        <v>3895</v>
      </c>
      <c r="BH56" s="21">
        <v>3805</v>
      </c>
      <c r="BI56" s="21">
        <v>3800</v>
      </c>
      <c r="BJ56" s="21">
        <v>3530</v>
      </c>
      <c r="BK56" s="21">
        <v>3605</v>
      </c>
      <c r="BL56" s="21">
        <v>3500</v>
      </c>
      <c r="BM56" s="1">
        <v>3420</v>
      </c>
      <c r="BN56" s="1">
        <v>3160</v>
      </c>
      <c r="BO56" s="1">
        <v>3215</v>
      </c>
      <c r="BP56" s="1">
        <v>3170</v>
      </c>
      <c r="BQ56" s="1">
        <v>3125</v>
      </c>
      <c r="BR56" s="1">
        <v>3335</v>
      </c>
      <c r="BS56" s="1">
        <v>3350</v>
      </c>
      <c r="BT56" s="1">
        <v>3300</v>
      </c>
      <c r="BU56" s="1">
        <v>3250</v>
      </c>
      <c r="BV56" s="1">
        <v>3190</v>
      </c>
      <c r="BW56" s="1">
        <v>3205</v>
      </c>
      <c r="BX56" s="1">
        <v>3055</v>
      </c>
      <c r="BY56" s="1">
        <v>2990</v>
      </c>
      <c r="BZ56" s="1">
        <v>3150</v>
      </c>
    </row>
    <row r="57" spans="1:78" ht="15.9" customHeight="1">
      <c r="A57" s="78" t="s">
        <v>109</v>
      </c>
      <c r="B57" s="17" t="s">
        <v>110</v>
      </c>
      <c r="C57" s="546">
        <f>_xll.RssMarket("6203","始値")</f>
        <v>1405</v>
      </c>
      <c r="D57" s="23">
        <f t="shared" si="1"/>
        <v>34</v>
      </c>
      <c r="E57" s="553">
        <v>1371</v>
      </c>
      <c r="F57" s="21">
        <v>1398</v>
      </c>
      <c r="G57" s="21">
        <v>1360</v>
      </c>
      <c r="H57" s="21">
        <v>1309</v>
      </c>
      <c r="I57" s="21">
        <v>1370</v>
      </c>
      <c r="J57" s="21">
        <v>1425</v>
      </c>
      <c r="K57" s="21">
        <v>1458</v>
      </c>
      <c r="L57" s="21">
        <v>1431</v>
      </c>
      <c r="M57" s="21">
        <v>1430</v>
      </c>
      <c r="N57" s="21">
        <v>1477</v>
      </c>
      <c r="O57" s="21">
        <v>1431</v>
      </c>
      <c r="P57" s="21">
        <v>1449</v>
      </c>
      <c r="Q57" s="21">
        <v>1595</v>
      </c>
      <c r="R57" s="21">
        <v>1573</v>
      </c>
      <c r="S57" s="21">
        <v>1636</v>
      </c>
      <c r="T57" s="21">
        <v>1601</v>
      </c>
      <c r="U57" s="21">
        <v>1607</v>
      </c>
      <c r="V57" s="21">
        <v>1650</v>
      </c>
      <c r="W57" s="21">
        <v>1838</v>
      </c>
      <c r="X57" s="21">
        <v>1670</v>
      </c>
      <c r="Y57" s="21">
        <v>1584</v>
      </c>
      <c r="Z57" s="21">
        <v>1500</v>
      </c>
      <c r="AA57" s="21">
        <v>1524</v>
      </c>
      <c r="AB57" s="21">
        <v>1550</v>
      </c>
      <c r="AC57" s="21">
        <v>1610</v>
      </c>
      <c r="AD57" s="21">
        <v>1620</v>
      </c>
      <c r="AE57" s="21">
        <v>1600</v>
      </c>
      <c r="AF57" s="21">
        <v>1615</v>
      </c>
      <c r="AG57" s="21">
        <v>1711</v>
      </c>
      <c r="AH57" s="21">
        <v>1615</v>
      </c>
      <c r="AI57" s="21">
        <v>1700</v>
      </c>
      <c r="AJ57" s="21">
        <v>1641</v>
      </c>
      <c r="AK57" s="21">
        <v>1573</v>
      </c>
      <c r="AL57" s="21">
        <v>1586</v>
      </c>
      <c r="AM57" s="21">
        <v>1612</v>
      </c>
      <c r="AN57" s="21">
        <v>1645</v>
      </c>
      <c r="AO57" s="21">
        <v>1642</v>
      </c>
      <c r="AP57" s="21">
        <v>1793</v>
      </c>
      <c r="AQ57" s="21">
        <v>1700</v>
      </c>
      <c r="AR57" s="21">
        <v>1710</v>
      </c>
      <c r="AS57" s="21">
        <v>1728</v>
      </c>
      <c r="AT57" s="21">
        <v>1887</v>
      </c>
      <c r="AU57" s="21">
        <v>1916</v>
      </c>
      <c r="AV57" s="21">
        <v>1950</v>
      </c>
      <c r="AW57" s="21">
        <v>1490</v>
      </c>
      <c r="AX57" s="21">
        <v>1386</v>
      </c>
      <c r="AY57" s="21">
        <v>1367</v>
      </c>
      <c r="AZ57" s="21">
        <v>1327</v>
      </c>
      <c r="BA57" s="21">
        <v>1306</v>
      </c>
      <c r="BB57" s="21">
        <v>1299</v>
      </c>
      <c r="BC57" s="21">
        <v>1331</v>
      </c>
      <c r="BD57" s="21">
        <v>1392</v>
      </c>
      <c r="BE57" s="21">
        <v>1378</v>
      </c>
      <c r="BF57" s="21">
        <v>1431</v>
      </c>
      <c r="BG57" s="21">
        <v>1428</v>
      </c>
      <c r="BH57" s="21">
        <v>1539</v>
      </c>
      <c r="BI57" s="21">
        <v>1510</v>
      </c>
      <c r="BJ57" s="21">
        <v>1503</v>
      </c>
      <c r="BK57" s="21">
        <v>1559</v>
      </c>
      <c r="BL57" s="21">
        <v>1524</v>
      </c>
      <c r="BM57" s="1">
        <v>1560</v>
      </c>
      <c r="BN57" s="1">
        <v>1500</v>
      </c>
      <c r="BO57" s="1">
        <v>1483</v>
      </c>
      <c r="BP57" s="1">
        <v>1505</v>
      </c>
      <c r="BQ57" s="1">
        <v>1575</v>
      </c>
      <c r="BR57" s="1">
        <v>1444</v>
      </c>
      <c r="BS57" s="1">
        <v>1382</v>
      </c>
      <c r="BT57" s="1">
        <v>1374</v>
      </c>
      <c r="BU57" s="1">
        <v>1376</v>
      </c>
      <c r="BV57" s="1">
        <v>1380</v>
      </c>
      <c r="BW57" s="1">
        <v>1451</v>
      </c>
      <c r="BX57" s="1">
        <v>1482</v>
      </c>
      <c r="BY57" s="1">
        <v>1460</v>
      </c>
      <c r="BZ57" s="1">
        <v>1499</v>
      </c>
    </row>
    <row r="58" spans="1:78" ht="15.9" customHeight="1">
      <c r="A58" s="78" t="s">
        <v>111</v>
      </c>
      <c r="B58" s="17" t="s">
        <v>112</v>
      </c>
      <c r="C58" s="546">
        <f>_xll.RssMarket("4676","始値")</f>
        <v>4004</v>
      </c>
      <c r="D58" s="23">
        <f t="shared" si="1"/>
        <v>70</v>
      </c>
      <c r="E58" s="553">
        <v>3934</v>
      </c>
      <c r="F58" s="21">
        <v>3959</v>
      </c>
      <c r="G58" s="21">
        <v>4132</v>
      </c>
      <c r="H58" s="21">
        <v>4199</v>
      </c>
      <c r="I58" s="21">
        <v>4210</v>
      </c>
      <c r="J58" s="21">
        <v>4176</v>
      </c>
      <c r="K58" s="21">
        <v>4072</v>
      </c>
      <c r="L58" s="21">
        <v>3978</v>
      </c>
      <c r="M58" s="21">
        <v>4044</v>
      </c>
      <c r="N58" s="21">
        <v>4085</v>
      </c>
      <c r="O58" s="21">
        <v>4078</v>
      </c>
      <c r="P58" s="21">
        <v>4135</v>
      </c>
      <c r="Q58" s="21">
        <v>4200</v>
      </c>
      <c r="R58" s="21">
        <v>4197</v>
      </c>
      <c r="S58" s="21">
        <v>4114</v>
      </c>
      <c r="T58" s="21">
        <v>4090</v>
      </c>
      <c r="U58" s="21">
        <v>4100</v>
      </c>
      <c r="V58" s="21">
        <v>4105</v>
      </c>
      <c r="W58" s="21">
        <v>4100</v>
      </c>
      <c r="X58" s="21">
        <v>3998</v>
      </c>
      <c r="Y58" s="21">
        <v>4018</v>
      </c>
      <c r="Z58" s="21">
        <v>4003</v>
      </c>
      <c r="AA58" s="21">
        <v>3870</v>
      </c>
      <c r="AB58" s="21">
        <v>3859</v>
      </c>
      <c r="AC58" s="21">
        <v>3879</v>
      </c>
      <c r="AD58" s="21">
        <v>3976</v>
      </c>
      <c r="AE58" s="21">
        <v>3843</v>
      </c>
      <c r="AF58" s="21">
        <v>3934</v>
      </c>
      <c r="AG58" s="21">
        <v>4105</v>
      </c>
      <c r="AH58" s="21">
        <v>3996</v>
      </c>
      <c r="AI58" s="21">
        <v>4014</v>
      </c>
      <c r="AJ58" s="21">
        <v>4020</v>
      </c>
      <c r="AK58" s="21">
        <v>4050</v>
      </c>
      <c r="AL58" s="21">
        <v>4056</v>
      </c>
      <c r="AM58" s="21">
        <v>4054</v>
      </c>
      <c r="AN58" s="21">
        <v>4072</v>
      </c>
      <c r="AO58" s="21">
        <v>4100</v>
      </c>
      <c r="AP58" s="21">
        <v>4150</v>
      </c>
      <c r="AQ58" s="21">
        <v>4106</v>
      </c>
      <c r="AR58" s="21">
        <v>4033</v>
      </c>
      <c r="AS58" s="21">
        <v>3801</v>
      </c>
      <c r="AT58" s="21">
        <v>3801</v>
      </c>
      <c r="AU58" s="21">
        <v>3844</v>
      </c>
      <c r="AV58" s="21">
        <v>3725</v>
      </c>
      <c r="AW58" s="21">
        <v>3777</v>
      </c>
      <c r="AX58" s="21">
        <v>3678</v>
      </c>
      <c r="AY58" s="21">
        <v>3771</v>
      </c>
      <c r="AZ58" s="21">
        <v>3805</v>
      </c>
      <c r="BA58" s="21">
        <v>3828</v>
      </c>
      <c r="BB58" s="21">
        <v>3774</v>
      </c>
      <c r="BC58" s="21">
        <v>3745</v>
      </c>
      <c r="BD58" s="21">
        <v>3805</v>
      </c>
      <c r="BE58" s="21">
        <v>3789</v>
      </c>
      <c r="BF58" s="21">
        <v>3852</v>
      </c>
      <c r="BG58" s="21">
        <v>3791</v>
      </c>
      <c r="BH58" s="21">
        <v>3983</v>
      </c>
      <c r="BI58" s="21">
        <v>3901</v>
      </c>
      <c r="BJ58" s="21">
        <v>3963</v>
      </c>
      <c r="BK58" s="21">
        <v>3851</v>
      </c>
      <c r="BL58" s="21">
        <v>3828</v>
      </c>
      <c r="BM58" s="1">
        <v>3830</v>
      </c>
      <c r="BN58" s="1">
        <v>3895</v>
      </c>
      <c r="BO58" s="1">
        <v>3966</v>
      </c>
      <c r="BP58" s="1">
        <v>3951</v>
      </c>
      <c r="BQ58" s="1">
        <v>4012</v>
      </c>
      <c r="BR58" s="1">
        <v>3900</v>
      </c>
      <c r="BS58" s="1">
        <v>4065</v>
      </c>
      <c r="BT58" s="1">
        <v>3835</v>
      </c>
      <c r="BU58" s="1">
        <v>3949</v>
      </c>
      <c r="BV58" s="1">
        <v>4214</v>
      </c>
      <c r="BW58" s="1">
        <v>4250</v>
      </c>
      <c r="BX58" s="1">
        <v>4225</v>
      </c>
      <c r="BY58" s="1">
        <v>4210</v>
      </c>
      <c r="BZ58" s="1">
        <v>4260</v>
      </c>
    </row>
    <row r="59" spans="1:78" ht="15.9" customHeight="1">
      <c r="A59" s="78" t="s">
        <v>113</v>
      </c>
      <c r="B59" s="17" t="s">
        <v>114</v>
      </c>
      <c r="C59" s="546">
        <f>_xll.RssMarket("1961","始値")</f>
        <v>2291</v>
      </c>
      <c r="D59" s="23">
        <f t="shared" si="1"/>
        <v>51</v>
      </c>
      <c r="E59" s="553">
        <v>2240</v>
      </c>
      <c r="F59" s="21">
        <v>2269</v>
      </c>
      <c r="G59" s="21">
        <v>2300</v>
      </c>
      <c r="H59" s="21">
        <v>2170</v>
      </c>
      <c r="I59" s="21">
        <v>2338</v>
      </c>
      <c r="J59" s="21">
        <v>2377</v>
      </c>
      <c r="K59" s="21">
        <v>2449</v>
      </c>
      <c r="L59" s="21">
        <v>2399</v>
      </c>
      <c r="M59" s="21">
        <v>2476</v>
      </c>
      <c r="N59" s="21">
        <v>2502</v>
      </c>
      <c r="O59" s="21">
        <v>2470</v>
      </c>
      <c r="P59" s="21">
        <v>2545</v>
      </c>
      <c r="Q59" s="21">
        <v>2600</v>
      </c>
      <c r="R59" s="21">
        <v>2509</v>
      </c>
      <c r="S59" s="21">
        <v>2669</v>
      </c>
      <c r="T59" s="21">
        <v>2690</v>
      </c>
      <c r="U59" s="21">
        <v>2618</v>
      </c>
      <c r="V59" s="21">
        <v>2702</v>
      </c>
      <c r="W59" s="21">
        <v>2901</v>
      </c>
      <c r="X59" s="21">
        <v>2796</v>
      </c>
      <c r="Y59" s="21">
        <v>2713</v>
      </c>
      <c r="Z59" s="21">
        <v>2846</v>
      </c>
      <c r="AA59" s="21">
        <v>2981</v>
      </c>
      <c r="AB59" s="21">
        <v>3035</v>
      </c>
      <c r="AC59" s="21">
        <v>3120</v>
      </c>
      <c r="AD59" s="21">
        <v>3125</v>
      </c>
      <c r="AE59" s="21">
        <v>3180</v>
      </c>
      <c r="AF59" s="21">
        <v>3040</v>
      </c>
      <c r="AG59" s="21">
        <v>3250</v>
      </c>
      <c r="AH59" s="21">
        <v>3065</v>
      </c>
      <c r="AI59" s="21">
        <v>3075</v>
      </c>
      <c r="AJ59" s="21">
        <v>2720</v>
      </c>
      <c r="AK59" s="21">
        <v>2650</v>
      </c>
      <c r="AL59" s="21">
        <v>2606</v>
      </c>
      <c r="AM59" s="21">
        <v>2607</v>
      </c>
      <c r="AN59" s="21">
        <v>2503</v>
      </c>
      <c r="AO59" s="21">
        <v>2433</v>
      </c>
      <c r="AP59" s="21">
        <v>2456</v>
      </c>
      <c r="AQ59" s="21">
        <v>2317</v>
      </c>
      <c r="AR59" s="21">
        <v>2300</v>
      </c>
      <c r="AS59" s="21">
        <v>2180</v>
      </c>
      <c r="AT59" s="21">
        <v>2160</v>
      </c>
      <c r="AU59" s="21">
        <v>2161</v>
      </c>
      <c r="AV59" s="21">
        <v>2253</v>
      </c>
      <c r="AW59" s="21">
        <v>2228</v>
      </c>
      <c r="AX59" s="21">
        <v>2311</v>
      </c>
      <c r="AY59" s="21">
        <v>2210</v>
      </c>
      <c r="AZ59" s="21">
        <v>2200</v>
      </c>
      <c r="BA59" s="21">
        <v>2217</v>
      </c>
      <c r="BB59" s="21">
        <v>2365</v>
      </c>
      <c r="BC59" s="21">
        <v>2414</v>
      </c>
      <c r="BD59" s="21">
        <v>2539</v>
      </c>
      <c r="BE59" s="21">
        <v>2689</v>
      </c>
      <c r="BF59" s="21">
        <v>2604</v>
      </c>
      <c r="BG59" s="21">
        <v>2646</v>
      </c>
      <c r="BH59" s="21">
        <v>2658</v>
      </c>
      <c r="BI59" s="21">
        <v>2580</v>
      </c>
      <c r="BJ59" s="21">
        <v>2513</v>
      </c>
      <c r="BK59" s="21">
        <v>2498</v>
      </c>
      <c r="BL59" s="21">
        <v>2393</v>
      </c>
      <c r="BM59" s="1">
        <v>2375</v>
      </c>
      <c r="BN59" s="1">
        <v>2272</v>
      </c>
      <c r="BO59" s="1">
        <v>2330</v>
      </c>
      <c r="BP59" s="1">
        <v>2270</v>
      </c>
      <c r="BQ59" s="1">
        <v>2280</v>
      </c>
      <c r="BR59" s="1">
        <v>2360</v>
      </c>
      <c r="BS59" s="1">
        <v>2366.6666</v>
      </c>
      <c r="BT59" s="1">
        <v>2420</v>
      </c>
      <c r="BU59" s="1">
        <v>2426.6666</v>
      </c>
      <c r="BV59" s="1">
        <v>2450</v>
      </c>
      <c r="BW59" s="1">
        <v>2666.6666</v>
      </c>
      <c r="BX59" s="1">
        <v>2756.6666</v>
      </c>
      <c r="BY59" s="1">
        <v>2723.3332999999998</v>
      </c>
      <c r="BZ59" s="1">
        <v>2683.3332999999998</v>
      </c>
    </row>
    <row r="60" spans="1:78" ht="15.9" customHeight="1">
      <c r="A60" s="78" t="s">
        <v>115</v>
      </c>
      <c r="B60" s="17" t="s">
        <v>116</v>
      </c>
      <c r="C60" s="546">
        <f>_xll.RssMarket("3107","始値")</f>
        <v>3618</v>
      </c>
      <c r="D60" s="23">
        <f t="shared" si="1"/>
        <v>63</v>
      </c>
      <c r="E60" s="553">
        <v>3555</v>
      </c>
      <c r="F60" s="21">
        <v>3561</v>
      </c>
      <c r="G60" s="21">
        <v>3585</v>
      </c>
      <c r="H60" s="21">
        <v>3663</v>
      </c>
      <c r="I60" s="21">
        <v>3656</v>
      </c>
      <c r="J60" s="21">
        <v>3599</v>
      </c>
      <c r="K60" s="21">
        <v>3537</v>
      </c>
      <c r="L60" s="21">
        <v>3453</v>
      </c>
      <c r="M60" s="21">
        <v>3480</v>
      </c>
      <c r="N60" s="21">
        <v>3470</v>
      </c>
      <c r="O60" s="21">
        <v>3450</v>
      </c>
      <c r="P60" s="21">
        <v>3430</v>
      </c>
      <c r="Q60" s="21">
        <v>3422</v>
      </c>
      <c r="R60" s="21">
        <v>3369</v>
      </c>
      <c r="S60" s="21">
        <v>3446</v>
      </c>
      <c r="T60" s="21">
        <v>3402</v>
      </c>
      <c r="U60" s="21">
        <v>3424</v>
      </c>
      <c r="V60" s="21">
        <v>3446</v>
      </c>
      <c r="W60" s="21">
        <v>3500</v>
      </c>
      <c r="X60" s="21">
        <v>3505</v>
      </c>
      <c r="Y60" s="21">
        <v>3469</v>
      </c>
      <c r="Z60" s="21">
        <v>3486</v>
      </c>
      <c r="AA60" s="21">
        <v>3449</v>
      </c>
      <c r="AB60" s="21">
        <v>3500</v>
      </c>
      <c r="AC60" s="21">
        <v>3420</v>
      </c>
      <c r="AD60" s="21">
        <v>3409</v>
      </c>
      <c r="AE60" s="21">
        <v>3380</v>
      </c>
      <c r="AF60" s="21">
        <v>3332</v>
      </c>
      <c r="AG60" s="21">
        <v>3354</v>
      </c>
      <c r="AH60" s="21">
        <v>3332</v>
      </c>
      <c r="AI60" s="21">
        <v>3334</v>
      </c>
      <c r="AJ60" s="21">
        <v>3330</v>
      </c>
      <c r="AK60" s="21">
        <v>3419</v>
      </c>
      <c r="AL60" s="21">
        <v>3449</v>
      </c>
      <c r="AM60" s="21">
        <v>3438</v>
      </c>
      <c r="AN60" s="21">
        <v>3471</v>
      </c>
      <c r="AO60" s="21">
        <v>3449</v>
      </c>
      <c r="AP60" s="21">
        <v>3442</v>
      </c>
      <c r="AQ60" s="21">
        <v>3500</v>
      </c>
      <c r="AR60" s="21">
        <v>3510</v>
      </c>
      <c r="AS60" s="21">
        <v>3562</v>
      </c>
      <c r="AT60" s="21">
        <v>3536</v>
      </c>
      <c r="AU60" s="21">
        <v>3500</v>
      </c>
      <c r="AV60" s="21">
        <v>3400</v>
      </c>
      <c r="AW60" s="21">
        <v>3346</v>
      </c>
      <c r="AX60" s="21">
        <v>3367</v>
      </c>
      <c r="AY60" s="21">
        <v>3500</v>
      </c>
      <c r="AZ60" s="21">
        <v>3535</v>
      </c>
      <c r="BA60" s="21">
        <v>3543</v>
      </c>
      <c r="BB60" s="21">
        <v>3580</v>
      </c>
      <c r="BC60" s="21">
        <v>3514</v>
      </c>
      <c r="BD60" s="21">
        <v>3461</v>
      </c>
      <c r="BE60" s="21">
        <v>3437</v>
      </c>
      <c r="BF60" s="21">
        <v>3485</v>
      </c>
      <c r="BG60" s="21">
        <v>3417</v>
      </c>
      <c r="BH60" s="21">
        <v>3424</v>
      </c>
      <c r="BI60" s="21">
        <v>3419</v>
      </c>
      <c r="BJ60" s="21">
        <v>3345</v>
      </c>
      <c r="BK60" s="21">
        <v>3217</v>
      </c>
      <c r="BL60" s="21">
        <v>3200</v>
      </c>
      <c r="BM60" s="1">
        <v>3190</v>
      </c>
      <c r="BN60" s="1">
        <v>3212</v>
      </c>
      <c r="BO60" s="1">
        <v>3127</v>
      </c>
      <c r="BP60" s="1">
        <v>3097</v>
      </c>
      <c r="BQ60" s="1">
        <v>3084</v>
      </c>
      <c r="BR60" s="1">
        <v>3100</v>
      </c>
      <c r="BS60" s="1">
        <v>3113</v>
      </c>
      <c r="BT60" s="1">
        <v>3155</v>
      </c>
      <c r="BU60" s="1">
        <v>3165</v>
      </c>
      <c r="BV60" s="1">
        <v>3183</v>
      </c>
      <c r="BW60" s="1">
        <v>3150</v>
      </c>
      <c r="BX60" s="1">
        <v>3145</v>
      </c>
      <c r="BY60" s="1">
        <v>3085</v>
      </c>
      <c r="BZ60" s="1">
        <v>3201</v>
      </c>
    </row>
    <row r="61" spans="1:78" ht="15.9" customHeight="1">
      <c r="A61" s="78" t="s">
        <v>117</v>
      </c>
      <c r="B61" s="17" t="s">
        <v>118</v>
      </c>
      <c r="C61" s="546">
        <f>_xll.RssMarket("4045","始値")</f>
        <v>1829</v>
      </c>
      <c r="D61" s="23">
        <f t="shared" si="1"/>
        <v>4.5</v>
      </c>
      <c r="E61" s="553">
        <v>1824.5</v>
      </c>
      <c r="F61" s="21">
        <v>1814</v>
      </c>
      <c r="G61" s="21">
        <v>1800</v>
      </c>
      <c r="H61" s="21">
        <v>1785.5</v>
      </c>
      <c r="I61" s="21">
        <v>1791.5</v>
      </c>
      <c r="J61" s="21">
        <v>1806.5</v>
      </c>
      <c r="K61" s="21">
        <v>1777.5</v>
      </c>
      <c r="L61" s="21">
        <v>1750</v>
      </c>
      <c r="M61" s="21">
        <v>1770</v>
      </c>
      <c r="N61" s="21">
        <v>1760.5</v>
      </c>
      <c r="O61" s="21">
        <v>1736</v>
      </c>
      <c r="P61" s="21">
        <v>1733</v>
      </c>
      <c r="Q61" s="21">
        <v>1753</v>
      </c>
      <c r="R61" s="21">
        <v>1717</v>
      </c>
      <c r="S61" s="21">
        <v>1739.5</v>
      </c>
      <c r="T61" s="21">
        <v>1750</v>
      </c>
      <c r="U61" s="21">
        <v>1737</v>
      </c>
      <c r="V61" s="21">
        <v>1750</v>
      </c>
      <c r="W61" s="21">
        <v>1792</v>
      </c>
      <c r="X61" s="21">
        <v>1783</v>
      </c>
      <c r="Y61" s="21">
        <v>1749</v>
      </c>
      <c r="Z61" s="21">
        <v>1745</v>
      </c>
      <c r="AA61" s="21">
        <v>1760</v>
      </c>
      <c r="AB61" s="21">
        <v>1758</v>
      </c>
      <c r="AC61" s="21">
        <v>1744.5</v>
      </c>
      <c r="AD61" s="21">
        <v>1776</v>
      </c>
      <c r="AE61" s="21">
        <v>1783</v>
      </c>
      <c r="AF61" s="21">
        <v>1735</v>
      </c>
      <c r="AG61" s="21">
        <v>1762</v>
      </c>
      <c r="AH61" s="21">
        <v>1761</v>
      </c>
      <c r="AI61" s="21">
        <v>1775</v>
      </c>
      <c r="AJ61" s="21">
        <v>1765</v>
      </c>
      <c r="AK61" s="21">
        <v>1758.5</v>
      </c>
      <c r="AL61" s="21">
        <v>1762</v>
      </c>
      <c r="AM61" s="21">
        <v>1755.5</v>
      </c>
      <c r="AN61" s="21">
        <v>1725</v>
      </c>
      <c r="AO61" s="21">
        <v>1699</v>
      </c>
      <c r="AP61" s="21">
        <v>1705</v>
      </c>
      <c r="AQ61" s="21">
        <v>1700</v>
      </c>
      <c r="AR61" s="21">
        <v>1742</v>
      </c>
      <c r="AS61" s="21">
        <v>1744</v>
      </c>
      <c r="AT61" s="21">
        <v>1750</v>
      </c>
      <c r="AU61" s="21">
        <v>1731</v>
      </c>
      <c r="AV61" s="21">
        <v>1751</v>
      </c>
      <c r="AW61" s="21">
        <v>1734.5</v>
      </c>
      <c r="AX61" s="21">
        <v>1737.5</v>
      </c>
      <c r="AY61" s="21">
        <v>1725.5</v>
      </c>
      <c r="AZ61" s="21">
        <v>1710.5</v>
      </c>
      <c r="BA61" s="21">
        <v>1703.5</v>
      </c>
      <c r="BB61" s="21">
        <v>1710</v>
      </c>
      <c r="BC61" s="21">
        <v>1758.5</v>
      </c>
      <c r="BD61" s="21">
        <v>1747</v>
      </c>
      <c r="BE61" s="21">
        <v>1759.5</v>
      </c>
      <c r="BF61" s="21">
        <v>1750</v>
      </c>
      <c r="BG61" s="21">
        <v>1724</v>
      </c>
      <c r="BH61" s="21">
        <v>1736.5</v>
      </c>
      <c r="BI61" s="21">
        <v>1715</v>
      </c>
      <c r="BJ61" s="21">
        <v>1734.5</v>
      </c>
      <c r="BK61" s="21">
        <v>1737</v>
      </c>
      <c r="BL61" s="21">
        <v>1698</v>
      </c>
      <c r="BM61" s="1">
        <v>1693.5</v>
      </c>
      <c r="BN61" s="1">
        <v>1729.5</v>
      </c>
      <c r="BO61" s="1">
        <v>1730</v>
      </c>
      <c r="BP61" s="1">
        <v>1798.5</v>
      </c>
      <c r="BQ61" s="1">
        <v>1800</v>
      </c>
      <c r="BR61" s="1">
        <v>1798.5</v>
      </c>
      <c r="BS61" s="1">
        <v>1795</v>
      </c>
      <c r="BT61" s="1">
        <v>1804</v>
      </c>
      <c r="BU61" s="1">
        <v>1803</v>
      </c>
      <c r="BV61" s="1">
        <v>1785</v>
      </c>
      <c r="BW61" s="1">
        <v>1784.5</v>
      </c>
      <c r="BX61" s="1">
        <v>1784</v>
      </c>
      <c r="BY61" s="1">
        <v>1788</v>
      </c>
      <c r="BZ61" s="1">
        <v>1782.5</v>
      </c>
    </row>
    <row r="62" spans="1:78" ht="15.9" customHeight="1">
      <c r="A62" s="78" t="s">
        <v>119</v>
      </c>
      <c r="B62" s="17" t="s">
        <v>120</v>
      </c>
      <c r="C62" s="546">
        <f>_xll.RssMarket("5857","始値")</f>
        <v>3160</v>
      </c>
      <c r="D62" s="23">
        <f t="shared" si="1"/>
        <v>100</v>
      </c>
      <c r="E62" s="553">
        <v>3060</v>
      </c>
      <c r="F62" s="21">
        <v>3040</v>
      </c>
      <c r="G62" s="21">
        <v>3050</v>
      </c>
      <c r="H62" s="21">
        <v>2992</v>
      </c>
      <c r="I62" s="21">
        <v>3085</v>
      </c>
      <c r="J62" s="21">
        <v>3125</v>
      </c>
      <c r="K62" s="21">
        <v>3150</v>
      </c>
      <c r="L62" s="21">
        <v>3095</v>
      </c>
      <c r="M62" s="21">
        <v>3110</v>
      </c>
      <c r="N62" s="21">
        <v>3080</v>
      </c>
      <c r="O62" s="21">
        <v>2971</v>
      </c>
      <c r="P62" s="21">
        <v>3000</v>
      </c>
      <c r="Q62" s="21">
        <v>3085</v>
      </c>
      <c r="R62" s="21">
        <v>2970</v>
      </c>
      <c r="S62" s="21">
        <v>2978</v>
      </c>
      <c r="T62" s="21">
        <v>2982</v>
      </c>
      <c r="U62" s="21">
        <v>2950</v>
      </c>
      <c r="V62" s="21">
        <v>2980</v>
      </c>
      <c r="W62" s="21">
        <v>3060</v>
      </c>
      <c r="X62" s="21">
        <v>3070</v>
      </c>
      <c r="Y62" s="21">
        <v>2984</v>
      </c>
      <c r="Z62" s="21">
        <v>2950</v>
      </c>
      <c r="AA62" s="21">
        <v>2930</v>
      </c>
      <c r="AB62" s="21">
        <v>2933</v>
      </c>
      <c r="AC62" s="21">
        <v>2947</v>
      </c>
      <c r="AD62" s="21">
        <v>2860</v>
      </c>
      <c r="AE62" s="21">
        <v>3115</v>
      </c>
      <c r="AF62" s="21">
        <v>3140</v>
      </c>
      <c r="AG62" s="21">
        <v>3240</v>
      </c>
      <c r="AH62" s="21">
        <v>3205</v>
      </c>
      <c r="AI62" s="21">
        <v>3160</v>
      </c>
      <c r="AJ62" s="21">
        <v>3240</v>
      </c>
      <c r="AK62" s="21">
        <v>3205</v>
      </c>
      <c r="AL62" s="21">
        <v>3220</v>
      </c>
      <c r="AM62" s="21">
        <v>3150</v>
      </c>
      <c r="AN62" s="21">
        <v>2972</v>
      </c>
      <c r="AO62" s="21">
        <v>2940</v>
      </c>
      <c r="AP62" s="21">
        <v>3015</v>
      </c>
      <c r="AQ62" s="21">
        <v>3055</v>
      </c>
      <c r="AR62" s="21">
        <v>3160</v>
      </c>
      <c r="AS62" s="21">
        <v>3210</v>
      </c>
      <c r="AT62" s="21">
        <v>3255</v>
      </c>
      <c r="AU62" s="21">
        <v>3190</v>
      </c>
      <c r="AV62" s="21">
        <v>3270</v>
      </c>
      <c r="AW62" s="21">
        <v>3300</v>
      </c>
      <c r="AX62" s="21">
        <v>3450</v>
      </c>
      <c r="AY62" s="21">
        <v>3600</v>
      </c>
      <c r="AZ62" s="21">
        <v>3480</v>
      </c>
      <c r="BA62" s="21">
        <v>3485</v>
      </c>
      <c r="BB62" s="21">
        <v>3575</v>
      </c>
      <c r="BC62" s="21">
        <v>3760</v>
      </c>
      <c r="BD62" s="21">
        <v>3855</v>
      </c>
      <c r="BE62" s="21">
        <v>4045</v>
      </c>
      <c r="BF62" s="21">
        <v>4060</v>
      </c>
      <c r="BG62" s="21">
        <v>3880</v>
      </c>
      <c r="BH62" s="21">
        <v>3910</v>
      </c>
      <c r="BI62" s="21">
        <v>4115</v>
      </c>
      <c r="BJ62" s="21">
        <v>3980</v>
      </c>
      <c r="BK62" s="21">
        <v>3855</v>
      </c>
      <c r="BL62" s="21">
        <v>3575</v>
      </c>
      <c r="BM62" s="1">
        <v>3580</v>
      </c>
      <c r="BN62" s="1">
        <v>3675</v>
      </c>
      <c r="BO62" s="1">
        <v>3615</v>
      </c>
      <c r="BP62" s="1">
        <v>3670</v>
      </c>
      <c r="BQ62" s="1">
        <v>3780</v>
      </c>
      <c r="BR62" s="1">
        <v>3925</v>
      </c>
      <c r="BS62" s="1">
        <v>3930</v>
      </c>
      <c r="BT62" s="1">
        <v>3835</v>
      </c>
      <c r="BU62" s="1">
        <v>3845</v>
      </c>
      <c r="BV62" s="1">
        <v>3775</v>
      </c>
      <c r="BW62" s="1">
        <v>3850</v>
      </c>
      <c r="BX62" s="1">
        <v>3750</v>
      </c>
      <c r="BY62" s="1">
        <v>3655</v>
      </c>
      <c r="BZ62" s="1">
        <v>3795</v>
      </c>
    </row>
    <row r="63" spans="1:78" ht="15.9" customHeight="1">
      <c r="A63" s="78" t="s">
        <v>121</v>
      </c>
      <c r="B63" s="17" t="s">
        <v>122</v>
      </c>
      <c r="C63" s="546">
        <f>_xll.RssMarket("8281","始値")</f>
        <v>1074</v>
      </c>
      <c r="D63" s="23">
        <f t="shared" si="1"/>
        <v>-15</v>
      </c>
      <c r="E63" s="553">
        <v>1089</v>
      </c>
      <c r="F63" s="21">
        <v>1096</v>
      </c>
      <c r="G63" s="21">
        <v>1119</v>
      </c>
      <c r="H63" s="21">
        <v>1126</v>
      </c>
      <c r="I63" s="21">
        <v>1116</v>
      </c>
      <c r="J63" s="21">
        <v>1113</v>
      </c>
      <c r="K63" s="21">
        <v>1103</v>
      </c>
      <c r="L63" s="21"/>
      <c r="M63" s="21">
        <v>1109</v>
      </c>
      <c r="N63" s="21">
        <v>1103</v>
      </c>
      <c r="O63" s="21">
        <v>1120</v>
      </c>
      <c r="P63" s="21">
        <v>1104</v>
      </c>
      <c r="Q63" s="21">
        <v>1100</v>
      </c>
      <c r="R63" s="21">
        <v>1085</v>
      </c>
      <c r="S63" s="21">
        <v>1100</v>
      </c>
      <c r="T63" s="21">
        <v>1096</v>
      </c>
      <c r="U63" s="21">
        <v>1103</v>
      </c>
      <c r="V63" s="21">
        <v>1122</v>
      </c>
      <c r="W63" s="21">
        <v>1111</v>
      </c>
      <c r="X63" s="21">
        <v>1080</v>
      </c>
      <c r="Y63" s="21">
        <v>1068</v>
      </c>
      <c r="Z63" s="21">
        <v>1064</v>
      </c>
      <c r="AA63" s="21">
        <v>1050</v>
      </c>
      <c r="AB63" s="21">
        <v>1059</v>
      </c>
      <c r="AC63" s="21">
        <v>1073</v>
      </c>
      <c r="AD63" s="21">
        <v>1060</v>
      </c>
      <c r="AE63" s="21">
        <v>1035</v>
      </c>
      <c r="AF63" s="21">
        <v>1044</v>
      </c>
      <c r="AG63" s="21">
        <v>1024</v>
      </c>
      <c r="AH63" s="21">
        <v>1040</v>
      </c>
      <c r="AI63" s="21">
        <v>1040</v>
      </c>
      <c r="AJ63" s="21">
        <v>1046</v>
      </c>
      <c r="AK63" s="21">
        <v>1056</v>
      </c>
      <c r="AL63" s="21">
        <v>1063</v>
      </c>
      <c r="AM63" s="21">
        <v>1070</v>
      </c>
      <c r="AN63" s="21">
        <v>1055</v>
      </c>
      <c r="AO63" s="21">
        <v>1068</v>
      </c>
      <c r="AP63" s="21">
        <v>1036</v>
      </c>
      <c r="AQ63" s="21">
        <v>1021</v>
      </c>
      <c r="AR63" s="21">
        <v>1018</v>
      </c>
      <c r="AS63" s="21">
        <v>1015</v>
      </c>
      <c r="AT63" s="21">
        <v>1032</v>
      </c>
      <c r="AU63" s="21">
        <v>1029</v>
      </c>
      <c r="AV63" s="21">
        <v>1059</v>
      </c>
      <c r="AW63" s="21">
        <v>1048</v>
      </c>
      <c r="AX63" s="21">
        <v>1040</v>
      </c>
      <c r="AY63" s="21">
        <v>1055</v>
      </c>
      <c r="AZ63" s="21">
        <v>1053</v>
      </c>
      <c r="BA63" s="21">
        <v>1044</v>
      </c>
      <c r="BB63" s="21">
        <v>1043</v>
      </c>
      <c r="BC63" s="21">
        <v>1025</v>
      </c>
      <c r="BD63" s="21">
        <v>1000</v>
      </c>
      <c r="BE63" s="21">
        <v>966</v>
      </c>
      <c r="BF63" s="21">
        <v>966</v>
      </c>
      <c r="BG63" s="21">
        <v>961</v>
      </c>
      <c r="BH63" s="21">
        <v>961</v>
      </c>
      <c r="BI63" s="21">
        <v>970</v>
      </c>
      <c r="BJ63" s="21">
        <v>971</v>
      </c>
      <c r="BK63" s="21">
        <v>988</v>
      </c>
      <c r="BL63" s="21">
        <v>996</v>
      </c>
      <c r="BM63" s="1">
        <v>995</v>
      </c>
      <c r="BN63" s="1">
        <v>991</v>
      </c>
      <c r="BO63" s="1">
        <v>991</v>
      </c>
      <c r="BP63" s="1">
        <v>999</v>
      </c>
      <c r="BQ63" s="1">
        <v>1005</v>
      </c>
      <c r="BR63" s="1">
        <v>1022</v>
      </c>
      <c r="BS63" s="1">
        <v>1034</v>
      </c>
      <c r="BT63" s="1">
        <v>1025</v>
      </c>
      <c r="BU63" s="1">
        <v>1015</v>
      </c>
      <c r="BV63" s="1">
        <v>1026</v>
      </c>
      <c r="BW63" s="1">
        <v>1015</v>
      </c>
      <c r="BX63" s="1">
        <v>1009</v>
      </c>
      <c r="BY63" s="1">
        <v>1009</v>
      </c>
      <c r="BZ63" s="1">
        <v>1022</v>
      </c>
    </row>
    <row r="64" spans="1:78" ht="15.9" customHeight="1">
      <c r="A64" s="78" t="s">
        <v>123</v>
      </c>
      <c r="B64" s="17" t="s">
        <v>124</v>
      </c>
      <c r="C64" s="546">
        <f>_xll.RssMarket("4540","始値")</f>
        <v>3754</v>
      </c>
      <c r="D64" s="23">
        <f t="shared" si="1"/>
        <v>-36</v>
      </c>
      <c r="E64" s="553">
        <v>3790</v>
      </c>
      <c r="F64" s="21">
        <v>3800</v>
      </c>
      <c r="G64" s="21">
        <v>3900</v>
      </c>
      <c r="H64" s="21">
        <v>4044</v>
      </c>
      <c r="I64" s="21">
        <v>3971</v>
      </c>
      <c r="J64" s="21">
        <v>3950</v>
      </c>
      <c r="K64" s="21">
        <v>3815</v>
      </c>
      <c r="L64" s="21">
        <v>3785</v>
      </c>
      <c r="M64" s="21">
        <v>3840</v>
      </c>
      <c r="N64" s="21">
        <v>3872</v>
      </c>
      <c r="O64" s="21">
        <v>3875</v>
      </c>
      <c r="P64" s="21">
        <v>3861</v>
      </c>
      <c r="Q64" s="21">
        <v>3879</v>
      </c>
      <c r="R64" s="21">
        <v>3847</v>
      </c>
      <c r="S64" s="21">
        <v>3839</v>
      </c>
      <c r="T64" s="21">
        <v>3780</v>
      </c>
      <c r="U64" s="21">
        <v>3786</v>
      </c>
      <c r="V64" s="21">
        <v>3795</v>
      </c>
      <c r="W64" s="21">
        <v>3794</v>
      </c>
      <c r="X64" s="21">
        <v>3772</v>
      </c>
      <c r="Y64" s="21">
        <v>3791</v>
      </c>
      <c r="Z64" s="21">
        <v>3746</v>
      </c>
      <c r="AA64" s="21">
        <v>3719</v>
      </c>
      <c r="AB64" s="21">
        <v>3725</v>
      </c>
      <c r="AC64" s="21">
        <v>3700</v>
      </c>
      <c r="AD64" s="21">
        <v>3727</v>
      </c>
      <c r="AE64" s="21">
        <v>3810</v>
      </c>
      <c r="AF64" s="21">
        <v>3723</v>
      </c>
      <c r="AG64" s="21">
        <v>3726</v>
      </c>
      <c r="AH64" s="21">
        <v>3747</v>
      </c>
      <c r="AI64" s="21">
        <v>3722</v>
      </c>
      <c r="AJ64" s="21">
        <v>3743</v>
      </c>
      <c r="AK64" s="21">
        <v>3776</v>
      </c>
      <c r="AL64" s="21">
        <v>3720</v>
      </c>
      <c r="AM64" s="21">
        <v>3730</v>
      </c>
      <c r="AN64" s="21">
        <v>3744</v>
      </c>
      <c r="AO64" s="21">
        <v>3770</v>
      </c>
      <c r="AP64" s="21">
        <v>3718</v>
      </c>
      <c r="AQ64" s="21">
        <v>3688</v>
      </c>
      <c r="AR64" s="21">
        <v>3755</v>
      </c>
      <c r="AS64" s="21">
        <v>3750</v>
      </c>
      <c r="AT64" s="21">
        <v>3698</v>
      </c>
      <c r="AU64" s="21">
        <v>3715</v>
      </c>
      <c r="AV64" s="21">
        <v>3798</v>
      </c>
      <c r="AW64" s="21">
        <v>3860</v>
      </c>
      <c r="AX64" s="21">
        <v>3735</v>
      </c>
      <c r="AY64" s="21">
        <v>3780</v>
      </c>
      <c r="AZ64" s="21">
        <v>3888</v>
      </c>
      <c r="BA64" s="21">
        <v>3967</v>
      </c>
      <c r="BB64" s="21">
        <v>3950</v>
      </c>
      <c r="BC64" s="21">
        <v>3825</v>
      </c>
      <c r="BD64" s="21">
        <v>3799</v>
      </c>
      <c r="BE64" s="21">
        <v>3776</v>
      </c>
      <c r="BF64" s="21">
        <v>3702</v>
      </c>
      <c r="BG64" s="21">
        <v>3559</v>
      </c>
      <c r="BH64" s="21">
        <v>3555</v>
      </c>
      <c r="BI64" s="21">
        <v>3568</v>
      </c>
      <c r="BJ64" s="21">
        <v>3631</v>
      </c>
      <c r="BK64" s="21">
        <v>3621</v>
      </c>
      <c r="BL64" s="21">
        <v>3651</v>
      </c>
      <c r="BM64" s="1">
        <v>3670</v>
      </c>
      <c r="BN64" s="1">
        <v>3722</v>
      </c>
      <c r="BO64" s="1">
        <v>3685</v>
      </c>
      <c r="BP64" s="1">
        <v>3688</v>
      </c>
      <c r="BQ64" s="1">
        <v>3680</v>
      </c>
      <c r="BR64" s="1">
        <v>3712</v>
      </c>
      <c r="BS64" s="1">
        <v>3746</v>
      </c>
      <c r="BT64" s="1">
        <v>3791</v>
      </c>
      <c r="BU64" s="1">
        <v>3753</v>
      </c>
      <c r="BV64" s="1">
        <v>3800</v>
      </c>
      <c r="BW64" s="1">
        <v>3750</v>
      </c>
      <c r="BX64" s="1">
        <v>3765</v>
      </c>
      <c r="BY64" s="1">
        <v>3778</v>
      </c>
      <c r="BZ64" s="1">
        <v>3830</v>
      </c>
    </row>
    <row r="65" spans="1:78" ht="15.9" customHeight="1">
      <c r="A65" s="78" t="s">
        <v>125</v>
      </c>
      <c r="B65" s="17" t="s">
        <v>126</v>
      </c>
      <c r="C65" s="546">
        <f>_xll.RssMarket("9984","始値")</f>
        <v>5628</v>
      </c>
      <c r="D65" s="23">
        <f t="shared" si="1"/>
        <v>210</v>
      </c>
      <c r="E65" s="553">
        <v>5418</v>
      </c>
      <c r="F65" s="21">
        <v>5255</v>
      </c>
      <c r="G65" s="21">
        <v>5303</v>
      </c>
      <c r="H65" s="21">
        <v>4526</v>
      </c>
      <c r="I65" s="21">
        <v>5083</v>
      </c>
      <c r="J65" s="21">
        <v>5202</v>
      </c>
      <c r="K65" s="21">
        <v>5584</v>
      </c>
      <c r="L65" s="21">
        <v>5800</v>
      </c>
      <c r="M65" s="21">
        <v>5846</v>
      </c>
      <c r="N65" s="21">
        <v>5929</v>
      </c>
      <c r="O65" s="21">
        <v>5524</v>
      </c>
      <c r="P65" s="21">
        <v>5663</v>
      </c>
      <c r="Q65" s="21">
        <v>6450</v>
      </c>
      <c r="R65" s="21">
        <v>6181</v>
      </c>
      <c r="S65" s="21">
        <v>6370</v>
      </c>
      <c r="T65" s="21">
        <v>6021</v>
      </c>
      <c r="U65" s="21">
        <v>5796</v>
      </c>
      <c r="V65" s="21">
        <v>5571</v>
      </c>
      <c r="W65" s="21">
        <v>5962</v>
      </c>
      <c r="X65" s="21">
        <v>6130</v>
      </c>
      <c r="Y65" s="21">
        <v>6000</v>
      </c>
      <c r="Z65" s="21">
        <v>5757</v>
      </c>
      <c r="AA65" s="21">
        <v>6089</v>
      </c>
      <c r="AB65" s="21">
        <v>5968</v>
      </c>
      <c r="AC65" s="21">
        <v>6320</v>
      </c>
      <c r="AD65" s="21">
        <v>6412</v>
      </c>
      <c r="AE65" s="21">
        <v>6797</v>
      </c>
      <c r="AF65" s="21">
        <v>6521</v>
      </c>
      <c r="AG65" s="21">
        <v>6944</v>
      </c>
      <c r="AH65" s="21">
        <v>7300</v>
      </c>
      <c r="AI65" s="21">
        <v>7339</v>
      </c>
      <c r="AJ65" s="21">
        <v>7128</v>
      </c>
      <c r="AK65" s="21">
        <v>6920</v>
      </c>
      <c r="AL65" s="21">
        <v>7150</v>
      </c>
      <c r="AM65" s="21">
        <v>7108</v>
      </c>
      <c r="AN65" s="21">
        <v>6650</v>
      </c>
      <c r="AO65" s="21">
        <v>6066</v>
      </c>
      <c r="AP65" s="21">
        <v>6714</v>
      </c>
      <c r="AQ65" s="21">
        <v>6676</v>
      </c>
      <c r="AR65" s="21">
        <v>7140</v>
      </c>
      <c r="AS65" s="21">
        <v>8001</v>
      </c>
      <c r="AT65" s="21">
        <v>8800</v>
      </c>
      <c r="AU65" s="21">
        <v>9000</v>
      </c>
      <c r="AV65" s="21">
        <v>7548</v>
      </c>
      <c r="AW65" s="21">
        <v>7100</v>
      </c>
      <c r="AX65" s="21">
        <v>8020</v>
      </c>
      <c r="AY65" s="21">
        <v>6750</v>
      </c>
      <c r="AZ65" s="21">
        <v>6700</v>
      </c>
      <c r="BA65" s="21">
        <v>5810</v>
      </c>
      <c r="BB65" s="21">
        <v>5313</v>
      </c>
      <c r="BC65" s="21">
        <v>5660</v>
      </c>
      <c r="BD65" s="21">
        <v>5445</v>
      </c>
      <c r="BE65" s="21">
        <v>5801</v>
      </c>
      <c r="BF65" s="21">
        <v>6100</v>
      </c>
      <c r="BG65" s="21">
        <v>5943</v>
      </c>
      <c r="BH65" s="21">
        <v>5935</v>
      </c>
      <c r="BI65" s="21">
        <v>6219</v>
      </c>
      <c r="BJ65" s="21">
        <v>6124</v>
      </c>
      <c r="BK65" s="21">
        <v>6100</v>
      </c>
      <c r="BL65" s="21">
        <v>5278</v>
      </c>
      <c r="BM65" s="1">
        <v>4968</v>
      </c>
      <c r="BN65" s="1">
        <v>5660</v>
      </c>
      <c r="BO65" s="1">
        <v>6016</v>
      </c>
      <c r="BP65" s="1">
        <v>6000</v>
      </c>
      <c r="BQ65" s="1">
        <v>6097</v>
      </c>
      <c r="BR65" s="1">
        <v>5130</v>
      </c>
      <c r="BS65" s="1">
        <v>4945</v>
      </c>
      <c r="BT65" s="1">
        <v>4575</v>
      </c>
      <c r="BU65" s="1">
        <v>4640</v>
      </c>
      <c r="BV65" s="1">
        <v>4542</v>
      </c>
      <c r="BW65" s="1">
        <v>4405</v>
      </c>
      <c r="BX65" s="1">
        <v>3904</v>
      </c>
      <c r="BY65" s="1">
        <v>3700</v>
      </c>
      <c r="BZ65" s="1">
        <v>3779</v>
      </c>
    </row>
    <row r="66" spans="1:78" ht="15.9" customHeight="1">
      <c r="A66" s="78" t="s">
        <v>127</v>
      </c>
      <c r="B66" s="17" t="s">
        <v>128</v>
      </c>
      <c r="C66" s="546">
        <f>_xll.RssMarket("4063","始値")</f>
        <v>6004</v>
      </c>
      <c r="D66" s="23">
        <f t="shared" si="1"/>
        <v>145</v>
      </c>
      <c r="E66" s="553">
        <v>5859</v>
      </c>
      <c r="F66" s="21">
        <v>5900</v>
      </c>
      <c r="G66" s="21">
        <v>5917</v>
      </c>
      <c r="H66" s="21">
        <v>5712</v>
      </c>
      <c r="I66" s="21">
        <v>5835</v>
      </c>
      <c r="J66" s="21">
        <v>6000</v>
      </c>
      <c r="K66" s="21">
        <v>6473</v>
      </c>
      <c r="L66" s="21">
        <v>6833</v>
      </c>
      <c r="M66" s="21">
        <v>7180</v>
      </c>
      <c r="N66" s="21">
        <v>7233</v>
      </c>
      <c r="O66" s="21">
        <v>7205</v>
      </c>
      <c r="P66" s="21">
        <v>7210</v>
      </c>
      <c r="Q66" s="21">
        <v>7582</v>
      </c>
      <c r="R66" s="21">
        <v>7295</v>
      </c>
      <c r="S66" s="21">
        <v>7390</v>
      </c>
      <c r="T66" s="21">
        <v>7255</v>
      </c>
      <c r="U66" s="21">
        <v>6900</v>
      </c>
      <c r="V66" s="21">
        <v>7111</v>
      </c>
      <c r="W66" s="21">
        <v>7377</v>
      </c>
      <c r="X66" s="21">
        <v>7058</v>
      </c>
      <c r="Y66" s="21">
        <v>6874</v>
      </c>
      <c r="Z66" s="21">
        <v>7180</v>
      </c>
      <c r="AA66" s="21">
        <v>7081</v>
      </c>
      <c r="AB66" s="21">
        <v>7058</v>
      </c>
      <c r="AC66" s="21">
        <v>6893</v>
      </c>
      <c r="AD66" s="21">
        <v>7000</v>
      </c>
      <c r="AE66" s="21">
        <v>7234</v>
      </c>
      <c r="AF66" s="21">
        <v>7001</v>
      </c>
      <c r="AG66" s="21">
        <v>7277</v>
      </c>
      <c r="AH66" s="21">
        <v>7160</v>
      </c>
      <c r="AI66" s="21">
        <v>7500</v>
      </c>
      <c r="AJ66" s="21">
        <v>7665</v>
      </c>
      <c r="AK66" s="21">
        <v>7447</v>
      </c>
      <c r="AL66" s="21">
        <v>7510</v>
      </c>
      <c r="AM66" s="21">
        <v>7484</v>
      </c>
      <c r="AN66" s="21">
        <v>7056</v>
      </c>
      <c r="AO66" s="21">
        <v>6500</v>
      </c>
      <c r="AP66" s="21">
        <v>6790</v>
      </c>
      <c r="AQ66" s="21">
        <v>6980</v>
      </c>
      <c r="AR66" s="21">
        <v>7491</v>
      </c>
      <c r="AS66" s="21">
        <v>7542</v>
      </c>
      <c r="AT66" s="21">
        <v>7623</v>
      </c>
      <c r="AU66" s="21">
        <v>7600</v>
      </c>
      <c r="AV66" s="21">
        <v>7494</v>
      </c>
      <c r="AW66" s="21">
        <v>7385</v>
      </c>
      <c r="AX66" s="21">
        <v>7250</v>
      </c>
      <c r="AY66" s="21">
        <v>7034</v>
      </c>
      <c r="AZ66" s="21">
        <v>6900</v>
      </c>
      <c r="BA66" s="21">
        <v>6988</v>
      </c>
      <c r="BB66" s="21">
        <v>6942</v>
      </c>
      <c r="BC66" s="21">
        <v>7045</v>
      </c>
      <c r="BD66" s="21">
        <v>7074</v>
      </c>
      <c r="BE66" s="21">
        <v>7385</v>
      </c>
      <c r="BF66" s="21">
        <v>7382</v>
      </c>
      <c r="BG66" s="21">
        <v>7418</v>
      </c>
      <c r="BH66" s="21">
        <v>7584</v>
      </c>
      <c r="BI66" s="21">
        <v>7557</v>
      </c>
      <c r="BJ66" s="21">
        <v>7651</v>
      </c>
      <c r="BK66" s="21">
        <v>7601</v>
      </c>
      <c r="BL66" s="21">
        <v>7115</v>
      </c>
      <c r="BM66" s="1">
        <v>7251</v>
      </c>
      <c r="BN66" s="1">
        <v>7049</v>
      </c>
      <c r="BO66" s="1">
        <v>6850</v>
      </c>
      <c r="BP66" s="1">
        <v>6804</v>
      </c>
      <c r="BQ66" s="1">
        <v>6650</v>
      </c>
      <c r="BR66" s="1">
        <v>6710</v>
      </c>
      <c r="BS66" s="1">
        <v>6783</v>
      </c>
      <c r="BT66" s="1">
        <v>6847</v>
      </c>
      <c r="BU66" s="1">
        <v>6830</v>
      </c>
      <c r="BV66" s="1">
        <v>6750</v>
      </c>
      <c r="BW66" s="1">
        <v>6750</v>
      </c>
      <c r="BX66" s="1">
        <v>6696</v>
      </c>
      <c r="BY66" s="1">
        <v>6600</v>
      </c>
      <c r="BZ66" s="1">
        <v>6558</v>
      </c>
    </row>
    <row r="67" spans="1:78" ht="15.9" customHeight="1">
      <c r="A67" s="78" t="s">
        <v>129</v>
      </c>
      <c r="B67" s="17" t="s">
        <v>130</v>
      </c>
      <c r="C67" s="546">
        <f>_xll.RssMarket("4536","始値")</f>
        <v>1860</v>
      </c>
      <c r="D67" s="23">
        <f t="shared" si="1"/>
        <v>20</v>
      </c>
      <c r="E67" s="553">
        <v>1840</v>
      </c>
      <c r="F67" s="21">
        <v>1884</v>
      </c>
      <c r="G67" s="21">
        <v>1900</v>
      </c>
      <c r="H67" s="21">
        <v>1997</v>
      </c>
      <c r="I67" s="21">
        <v>1980</v>
      </c>
      <c r="J67" s="21">
        <v>1968</v>
      </c>
      <c r="K67" s="21">
        <v>1968</v>
      </c>
      <c r="L67" s="21"/>
      <c r="M67" s="21">
        <v>1978</v>
      </c>
      <c r="N67" s="21">
        <v>2025</v>
      </c>
      <c r="O67" s="21">
        <v>2072.5</v>
      </c>
      <c r="P67" s="21">
        <v>2043</v>
      </c>
      <c r="Q67" s="21">
        <v>2131</v>
      </c>
      <c r="R67" s="21">
        <v>2161</v>
      </c>
      <c r="S67" s="21">
        <v>2159</v>
      </c>
      <c r="T67" s="21">
        <v>2150</v>
      </c>
      <c r="U67" s="21">
        <v>2197</v>
      </c>
      <c r="V67" s="21">
        <v>2222.5</v>
      </c>
      <c r="W67" s="21">
        <v>2227</v>
      </c>
      <c r="X67" s="21">
        <v>2243.5</v>
      </c>
      <c r="Y67" s="21">
        <v>2222.5</v>
      </c>
      <c r="Z67" s="21">
        <v>2165</v>
      </c>
      <c r="AA67" s="21">
        <v>2102.5</v>
      </c>
      <c r="AB67" s="21">
        <v>2166.5</v>
      </c>
      <c r="AC67" s="21">
        <v>2160</v>
      </c>
      <c r="AD67" s="21">
        <v>2133</v>
      </c>
      <c r="AE67" s="21">
        <v>2066</v>
      </c>
      <c r="AF67" s="21">
        <v>1954</v>
      </c>
      <c r="AG67" s="21">
        <v>1905.5</v>
      </c>
      <c r="AH67" s="21">
        <v>1857.5</v>
      </c>
      <c r="AI67" s="21">
        <v>1851</v>
      </c>
      <c r="AJ67" s="21">
        <v>1893</v>
      </c>
      <c r="AK67" s="21">
        <v>1935.5</v>
      </c>
      <c r="AL67" s="21">
        <v>1899.5</v>
      </c>
      <c r="AM67" s="21">
        <v>1949</v>
      </c>
      <c r="AN67" s="21">
        <v>1937.5</v>
      </c>
      <c r="AO67" s="21">
        <v>1920</v>
      </c>
      <c r="AP67" s="21">
        <v>1962.5</v>
      </c>
      <c r="AQ67" s="21">
        <v>2007</v>
      </c>
      <c r="AR67" s="21">
        <v>1925</v>
      </c>
      <c r="AS67" s="21">
        <v>1856</v>
      </c>
      <c r="AT67" s="21">
        <v>1870</v>
      </c>
      <c r="AU67" s="21">
        <v>1851</v>
      </c>
      <c r="AV67" s="21">
        <v>1928.5</v>
      </c>
      <c r="AW67" s="21">
        <v>1897</v>
      </c>
      <c r="AX67" s="21">
        <v>1921</v>
      </c>
      <c r="AY67" s="21">
        <v>1949.5</v>
      </c>
      <c r="AZ67" s="21">
        <v>1880</v>
      </c>
      <c r="BA67" s="21">
        <v>1929.5</v>
      </c>
      <c r="BB67" s="21">
        <v>1925</v>
      </c>
      <c r="BC67" s="21">
        <v>1850.5</v>
      </c>
      <c r="BD67" s="21">
        <v>1854</v>
      </c>
      <c r="BE67" s="21">
        <v>1876</v>
      </c>
      <c r="BF67" s="21">
        <v>1818</v>
      </c>
      <c r="BG67" s="21">
        <v>1679.5</v>
      </c>
      <c r="BH67" s="21">
        <v>1612</v>
      </c>
      <c r="BI67" s="21">
        <v>1602.5</v>
      </c>
      <c r="BJ67" s="21">
        <v>1625</v>
      </c>
      <c r="BK67" s="21">
        <v>1627</v>
      </c>
      <c r="BL67" s="21">
        <v>1627</v>
      </c>
      <c r="BM67" s="1">
        <v>1634</v>
      </c>
      <c r="BN67" s="1">
        <v>1651</v>
      </c>
      <c r="BO67" s="1">
        <v>1659</v>
      </c>
      <c r="BP67" s="1">
        <v>1674.5</v>
      </c>
      <c r="BQ67" s="1">
        <v>1666.5</v>
      </c>
      <c r="BR67" s="1">
        <v>1717.5</v>
      </c>
      <c r="BS67" s="1">
        <v>1731.5</v>
      </c>
      <c r="BT67" s="1">
        <v>1797</v>
      </c>
      <c r="BU67" s="1">
        <v>1786.5</v>
      </c>
      <c r="BV67" s="1">
        <v>1807.5</v>
      </c>
      <c r="BW67" s="1">
        <v>1794.5</v>
      </c>
      <c r="BX67" s="1">
        <v>1799</v>
      </c>
      <c r="BY67" s="1">
        <v>1814.5</v>
      </c>
      <c r="BZ67" s="1">
        <v>1882</v>
      </c>
    </row>
    <row r="68" spans="1:78" ht="15.9" customHeight="1">
      <c r="A68" s="78" t="s">
        <v>131</v>
      </c>
      <c r="B68" s="17" t="s">
        <v>132</v>
      </c>
      <c r="C68" s="546">
        <f>_xll.RssMarket("6503","始値")</f>
        <v>5748</v>
      </c>
      <c r="D68" s="23">
        <f t="shared" si="1"/>
        <v>112</v>
      </c>
      <c r="E68" s="553">
        <v>5636</v>
      </c>
      <c r="F68" s="21">
        <v>5712</v>
      </c>
      <c r="G68" s="21">
        <v>5550</v>
      </c>
      <c r="H68" s="21">
        <v>5072</v>
      </c>
      <c r="I68" s="21">
        <v>5238</v>
      </c>
      <c r="J68" s="21">
        <v>5480</v>
      </c>
      <c r="K68" s="21">
        <v>5632</v>
      </c>
      <c r="L68" s="21">
        <v>5679</v>
      </c>
      <c r="M68" s="21">
        <v>5700</v>
      </c>
      <c r="N68" s="21">
        <v>5669</v>
      </c>
      <c r="O68" s="21">
        <v>5413</v>
      </c>
      <c r="P68" s="21">
        <v>5566</v>
      </c>
      <c r="Q68" s="21">
        <v>5747</v>
      </c>
      <c r="R68" s="21">
        <v>5676</v>
      </c>
      <c r="S68" s="21">
        <v>5836</v>
      </c>
      <c r="T68" s="21">
        <v>5867</v>
      </c>
      <c r="U68" s="21">
        <v>5730</v>
      </c>
      <c r="V68" s="21">
        <v>5847</v>
      </c>
      <c r="W68" s="21">
        <v>6074</v>
      </c>
      <c r="X68" s="21">
        <v>5970</v>
      </c>
      <c r="Y68" s="21">
        <v>5868</v>
      </c>
      <c r="Z68" s="21">
        <v>5934</v>
      </c>
      <c r="AA68" s="21">
        <v>5966</v>
      </c>
      <c r="AB68" s="21">
        <v>5980</v>
      </c>
      <c r="AC68" s="21">
        <v>5925</v>
      </c>
      <c r="AD68" s="21">
        <v>5927</v>
      </c>
      <c r="AE68" s="21">
        <v>6082</v>
      </c>
      <c r="AF68" s="21">
        <v>6004</v>
      </c>
      <c r="AG68" s="21">
        <v>6283</v>
      </c>
      <c r="AH68" s="21">
        <v>6121</v>
      </c>
      <c r="AI68" s="21">
        <v>6148</v>
      </c>
      <c r="AJ68" s="21">
        <v>6163</v>
      </c>
      <c r="AK68" s="21">
        <v>5853</v>
      </c>
      <c r="AL68" s="21">
        <v>5958</v>
      </c>
      <c r="AM68" s="21">
        <v>5700</v>
      </c>
      <c r="AN68" s="21">
        <v>5621</v>
      </c>
      <c r="AO68" s="21">
        <v>5372</v>
      </c>
      <c r="AP68" s="21">
        <v>5750</v>
      </c>
      <c r="AQ68" s="21">
        <v>5514</v>
      </c>
      <c r="AR68" s="21">
        <v>5899</v>
      </c>
      <c r="AS68" s="21">
        <v>6051</v>
      </c>
      <c r="AT68" s="21">
        <v>6101</v>
      </c>
      <c r="AU68" s="21">
        <v>6060</v>
      </c>
      <c r="AV68" s="21">
        <v>6500</v>
      </c>
      <c r="AW68" s="21">
        <v>6321</v>
      </c>
      <c r="AX68" s="21">
        <v>6650</v>
      </c>
      <c r="AY68" s="21">
        <v>6414</v>
      </c>
      <c r="AZ68" s="21">
        <v>6080</v>
      </c>
      <c r="BA68" s="21">
        <v>6008</v>
      </c>
      <c r="BB68" s="21">
        <v>5823</v>
      </c>
      <c r="BC68" s="21">
        <v>6312</v>
      </c>
      <c r="BD68" s="21">
        <v>6380</v>
      </c>
      <c r="BE68" s="21">
        <v>6500</v>
      </c>
      <c r="BF68" s="21">
        <v>6463</v>
      </c>
      <c r="BG68" s="21">
        <v>6333</v>
      </c>
      <c r="BH68" s="21">
        <v>6623</v>
      </c>
      <c r="BI68" s="21">
        <v>6467</v>
      </c>
      <c r="BJ68" s="21">
        <v>6448</v>
      </c>
      <c r="BK68" s="21">
        <v>6377</v>
      </c>
      <c r="BL68" s="21">
        <v>6269</v>
      </c>
      <c r="BM68" s="1">
        <v>6398</v>
      </c>
      <c r="BN68" s="1">
        <v>6048</v>
      </c>
      <c r="BO68" s="1">
        <v>6039</v>
      </c>
      <c r="BP68" s="1">
        <v>5959</v>
      </c>
      <c r="BQ68" s="1">
        <v>5869</v>
      </c>
      <c r="BR68" s="1">
        <v>5901</v>
      </c>
      <c r="BS68" s="1">
        <v>6100</v>
      </c>
      <c r="BT68" s="1">
        <v>5883</v>
      </c>
      <c r="BU68" s="1">
        <v>5904</v>
      </c>
      <c r="BV68" s="1">
        <v>5878</v>
      </c>
      <c r="BW68" s="1">
        <v>5990</v>
      </c>
      <c r="BX68" s="1">
        <v>5914</v>
      </c>
      <c r="BY68" s="1">
        <v>5742</v>
      </c>
      <c r="BZ68" s="1">
        <v>5700</v>
      </c>
    </row>
    <row r="69" spans="1:78" ht="15.9" customHeight="1">
      <c r="A69" s="78" t="s">
        <v>133</v>
      </c>
      <c r="B69" s="17" t="s">
        <v>134</v>
      </c>
      <c r="C69" s="546">
        <f>_xll.RssMarket("4980","始値")</f>
        <v>3271</v>
      </c>
      <c r="D69" s="23">
        <f t="shared" si="1"/>
        <v>-169</v>
      </c>
      <c r="E69" s="553">
        <v>3440</v>
      </c>
      <c r="F69" s="21">
        <v>3319</v>
      </c>
      <c r="G69" s="21">
        <v>3377</v>
      </c>
      <c r="H69" s="21">
        <v>3123</v>
      </c>
      <c r="I69" s="21">
        <v>3351</v>
      </c>
      <c r="J69" s="21">
        <v>3480</v>
      </c>
      <c r="K69" s="21">
        <v>3587</v>
      </c>
      <c r="L69" s="21">
        <v>3634</v>
      </c>
      <c r="M69" s="21">
        <v>3751</v>
      </c>
      <c r="N69" s="21">
        <v>3716</v>
      </c>
      <c r="O69" s="21">
        <v>3512</v>
      </c>
      <c r="P69" s="21">
        <v>3700</v>
      </c>
      <c r="Q69" s="21">
        <v>3950</v>
      </c>
      <c r="R69" s="21">
        <v>3914</v>
      </c>
      <c r="S69" s="21">
        <v>4085</v>
      </c>
      <c r="T69" s="21">
        <v>4162</v>
      </c>
      <c r="U69" s="21">
        <v>4085</v>
      </c>
      <c r="V69" s="21">
        <v>3896</v>
      </c>
      <c r="W69" s="21">
        <v>4150</v>
      </c>
      <c r="X69" s="21">
        <v>4323</v>
      </c>
      <c r="Y69" s="21">
        <v>4000</v>
      </c>
      <c r="Z69" s="21">
        <v>4136</v>
      </c>
      <c r="AA69" s="21">
        <v>4353</v>
      </c>
      <c r="AB69" s="21">
        <v>4310</v>
      </c>
      <c r="AC69" s="21">
        <v>4434</v>
      </c>
      <c r="AD69" s="21">
        <v>4845</v>
      </c>
      <c r="AE69" s="21">
        <v>5115</v>
      </c>
      <c r="AF69" s="21">
        <v>4880</v>
      </c>
      <c r="AG69" s="21">
        <v>4930</v>
      </c>
      <c r="AH69" s="21">
        <v>4905</v>
      </c>
      <c r="AI69" s="21">
        <v>4838</v>
      </c>
      <c r="AJ69" s="21">
        <v>4610</v>
      </c>
      <c r="AK69" s="21">
        <v>4428</v>
      </c>
      <c r="AL69" s="21">
        <v>4310</v>
      </c>
      <c r="AM69" s="21">
        <v>4200</v>
      </c>
      <c r="AN69" s="21">
        <v>3974</v>
      </c>
      <c r="AO69" s="21">
        <v>3568</v>
      </c>
      <c r="AP69" s="21">
        <v>3850</v>
      </c>
      <c r="AQ69" s="21">
        <v>3949</v>
      </c>
      <c r="AR69" s="21">
        <v>4245</v>
      </c>
      <c r="AS69" s="21">
        <v>4495</v>
      </c>
      <c r="AT69" s="21">
        <v>4758</v>
      </c>
      <c r="AU69" s="21">
        <v>4472</v>
      </c>
      <c r="AV69" s="21">
        <v>4116</v>
      </c>
      <c r="AW69" s="21">
        <v>4000</v>
      </c>
      <c r="AX69" s="21">
        <v>4288</v>
      </c>
      <c r="AY69" s="21">
        <v>4233</v>
      </c>
      <c r="AZ69" s="21">
        <v>4282</v>
      </c>
      <c r="BA69" s="21">
        <v>3948</v>
      </c>
      <c r="BB69" s="21">
        <v>3750</v>
      </c>
      <c r="BC69" s="21">
        <v>4195</v>
      </c>
      <c r="BD69" s="21">
        <v>4100</v>
      </c>
      <c r="BE69" s="21">
        <v>3849</v>
      </c>
      <c r="BF69" s="21">
        <v>3149</v>
      </c>
      <c r="BG69" s="21">
        <v>2649.5</v>
      </c>
      <c r="BH69" s="21">
        <v>2739</v>
      </c>
      <c r="BI69" s="21">
        <v>2800</v>
      </c>
      <c r="BJ69" s="21">
        <v>2639</v>
      </c>
      <c r="BK69" s="21">
        <v>2573.5</v>
      </c>
      <c r="BL69" s="21">
        <v>2441</v>
      </c>
      <c r="BM69" s="1">
        <v>2448.5</v>
      </c>
      <c r="BN69" s="1">
        <v>2510</v>
      </c>
      <c r="BO69" s="1">
        <v>2487</v>
      </c>
      <c r="BP69" s="1">
        <v>2421.5</v>
      </c>
      <c r="BQ69" s="1">
        <v>2469</v>
      </c>
      <c r="BR69" s="1">
        <v>2468</v>
      </c>
      <c r="BS69" s="1">
        <v>2457.5</v>
      </c>
      <c r="BT69" s="1">
        <v>2466</v>
      </c>
      <c r="BU69" s="1">
        <v>2400</v>
      </c>
      <c r="BV69" s="1">
        <v>2385</v>
      </c>
      <c r="BW69" s="1">
        <v>2437</v>
      </c>
      <c r="BX69" s="1">
        <v>2400</v>
      </c>
      <c r="BY69" s="1">
        <v>2350</v>
      </c>
      <c r="BZ69" s="1">
        <v>2356</v>
      </c>
    </row>
    <row r="70" spans="1:78" ht="15.9" customHeight="1">
      <c r="A70" s="78" t="s">
        <v>135</v>
      </c>
      <c r="B70" s="17" t="s">
        <v>136</v>
      </c>
      <c r="C70" s="546">
        <f>_xll.RssMarket("9424","始値")</f>
        <v>114</v>
      </c>
      <c r="D70" s="23">
        <f t="shared" ref="D70:D101" si="2">C70-E70</f>
        <v>-2</v>
      </c>
      <c r="E70" s="553">
        <v>116</v>
      </c>
      <c r="F70" s="21">
        <v>114</v>
      </c>
      <c r="G70" s="21">
        <v>113</v>
      </c>
      <c r="H70" s="21">
        <v>114</v>
      </c>
      <c r="I70" s="21">
        <v>112</v>
      </c>
      <c r="J70" s="21">
        <v>114</v>
      </c>
      <c r="K70" s="21">
        <v>110</v>
      </c>
      <c r="L70" s="21"/>
      <c r="M70" s="21">
        <v>112</v>
      </c>
      <c r="N70" s="21">
        <v>114</v>
      </c>
      <c r="O70" s="21">
        <v>114</v>
      </c>
      <c r="P70" s="21">
        <v>117</v>
      </c>
      <c r="Q70" s="21">
        <v>115</v>
      </c>
      <c r="R70" s="21">
        <v>115</v>
      </c>
      <c r="S70" s="21">
        <v>113</v>
      </c>
      <c r="T70" s="21">
        <v>110</v>
      </c>
      <c r="U70" s="21">
        <v>111</v>
      </c>
      <c r="V70" s="21">
        <v>112</v>
      </c>
      <c r="W70" s="21">
        <v>111</v>
      </c>
      <c r="X70" s="21">
        <v>109</v>
      </c>
      <c r="Y70" s="21">
        <v>108</v>
      </c>
      <c r="Z70" s="21">
        <v>105</v>
      </c>
      <c r="AA70" s="21">
        <v>107</v>
      </c>
      <c r="AB70" s="21">
        <v>108</v>
      </c>
      <c r="AC70" s="21">
        <v>108</v>
      </c>
      <c r="AD70" s="21">
        <v>106</v>
      </c>
      <c r="AE70" s="21">
        <v>108</v>
      </c>
      <c r="AF70" s="21">
        <v>108</v>
      </c>
      <c r="AG70" s="21">
        <v>112</v>
      </c>
      <c r="AH70" s="21">
        <v>113</v>
      </c>
      <c r="AI70" s="21">
        <v>115</v>
      </c>
      <c r="AJ70" s="21">
        <v>115</v>
      </c>
      <c r="AK70" s="21">
        <v>113</v>
      </c>
      <c r="AL70" s="21">
        <v>115</v>
      </c>
      <c r="AM70" s="21">
        <v>114</v>
      </c>
      <c r="AN70" s="21">
        <v>115</v>
      </c>
      <c r="AO70" s="21">
        <v>114</v>
      </c>
      <c r="AP70" s="21">
        <v>113</v>
      </c>
      <c r="AQ70" s="21">
        <v>113</v>
      </c>
      <c r="AR70" s="21">
        <v>114</v>
      </c>
      <c r="AS70" s="21">
        <v>114</v>
      </c>
      <c r="AT70" s="21">
        <v>114</v>
      </c>
      <c r="AU70" s="21">
        <v>113</v>
      </c>
      <c r="AV70" s="21">
        <v>116</v>
      </c>
      <c r="AW70" s="21">
        <v>115</v>
      </c>
      <c r="AX70" s="21">
        <v>116</v>
      </c>
      <c r="AY70" s="21">
        <v>124</v>
      </c>
      <c r="AZ70" s="21">
        <v>122</v>
      </c>
      <c r="BA70" s="21">
        <v>124</v>
      </c>
      <c r="BB70" s="21">
        <v>125</v>
      </c>
      <c r="BC70" s="21">
        <v>124</v>
      </c>
      <c r="BD70" s="21">
        <v>126</v>
      </c>
      <c r="BE70" s="21">
        <v>125</v>
      </c>
      <c r="BF70" s="21">
        <v>126</v>
      </c>
      <c r="BG70" s="21">
        <v>127</v>
      </c>
      <c r="BH70" s="21">
        <v>129</v>
      </c>
      <c r="BI70" s="21">
        <v>129</v>
      </c>
      <c r="BJ70" s="21">
        <v>130</v>
      </c>
      <c r="BK70" s="21">
        <v>127</v>
      </c>
      <c r="BL70" s="21">
        <v>125</v>
      </c>
      <c r="BM70" s="1">
        <v>124</v>
      </c>
      <c r="BN70" s="1">
        <v>124</v>
      </c>
      <c r="BO70" s="1">
        <v>125</v>
      </c>
      <c r="BP70" s="1">
        <v>125</v>
      </c>
      <c r="BQ70" s="1">
        <v>128</v>
      </c>
      <c r="BR70" s="1">
        <v>129</v>
      </c>
      <c r="BS70" s="1">
        <v>131</v>
      </c>
      <c r="BT70" s="1">
        <v>131</v>
      </c>
      <c r="BU70" s="1">
        <v>132</v>
      </c>
      <c r="BV70" s="1">
        <v>131</v>
      </c>
      <c r="BW70" s="1">
        <v>126</v>
      </c>
      <c r="BX70" s="1">
        <v>125</v>
      </c>
      <c r="BY70" s="1">
        <v>126</v>
      </c>
      <c r="BZ70" s="1">
        <v>129</v>
      </c>
    </row>
    <row r="71" spans="1:78" ht="15.9" customHeight="1">
      <c r="A71" s="78" t="s">
        <v>137</v>
      </c>
      <c r="B71" s="17" t="s">
        <v>138</v>
      </c>
      <c r="C71" s="546">
        <f>_xll.RssMarket("3854","始値")</f>
        <v>2225</v>
      </c>
      <c r="D71" s="23">
        <f t="shared" si="2"/>
        <v>-21</v>
      </c>
      <c r="E71" s="553">
        <v>2246</v>
      </c>
      <c r="F71" s="21">
        <v>2274</v>
      </c>
      <c r="G71" s="21">
        <v>2294</v>
      </c>
      <c r="H71" s="21">
        <v>2345</v>
      </c>
      <c r="I71" s="21">
        <v>2327</v>
      </c>
      <c r="J71" s="21">
        <v>2313</v>
      </c>
      <c r="K71" s="21">
        <v>2255</v>
      </c>
      <c r="L71" s="21">
        <v>2235</v>
      </c>
      <c r="M71" s="21">
        <v>2286</v>
      </c>
      <c r="N71" s="21">
        <v>2310</v>
      </c>
      <c r="O71" s="21">
        <v>2351</v>
      </c>
      <c r="P71" s="21">
        <v>2404</v>
      </c>
      <c r="Q71" s="21">
        <v>2377</v>
      </c>
      <c r="R71" s="21">
        <v>2429</v>
      </c>
      <c r="S71" s="21">
        <v>2430</v>
      </c>
      <c r="T71" s="21">
        <v>2455</v>
      </c>
      <c r="U71" s="21">
        <v>2460</v>
      </c>
      <c r="V71" s="21">
        <v>2465</v>
      </c>
      <c r="W71" s="21">
        <v>2348</v>
      </c>
      <c r="X71" s="21">
        <v>2320</v>
      </c>
      <c r="Y71" s="21">
        <v>2256</v>
      </c>
      <c r="Z71" s="21">
        <v>2208</v>
      </c>
      <c r="AA71" s="21">
        <v>2200</v>
      </c>
      <c r="AB71" s="21">
        <v>2228</v>
      </c>
      <c r="AC71" s="21">
        <v>2154</v>
      </c>
      <c r="AD71" s="21">
        <v>2121</v>
      </c>
      <c r="AE71" s="21">
        <v>2198</v>
      </c>
      <c r="AF71" s="21">
        <v>2200</v>
      </c>
      <c r="AG71" s="21">
        <v>2172</v>
      </c>
      <c r="AH71" s="21">
        <v>2175</v>
      </c>
      <c r="AI71" s="21">
        <v>2195</v>
      </c>
      <c r="AJ71" s="21">
        <v>2172</v>
      </c>
      <c r="AK71" s="21">
        <v>2170</v>
      </c>
      <c r="AL71" s="21">
        <v>2200</v>
      </c>
      <c r="AM71" s="21">
        <v>2225</v>
      </c>
      <c r="AN71" s="21">
        <v>2302</v>
      </c>
      <c r="AO71" s="21">
        <v>2387</v>
      </c>
      <c r="AP71" s="21">
        <v>2398</v>
      </c>
      <c r="AQ71" s="21">
        <v>2425</v>
      </c>
      <c r="AR71" s="21">
        <v>2521</v>
      </c>
      <c r="AS71" s="21">
        <v>2588</v>
      </c>
      <c r="AT71" s="21">
        <v>2606</v>
      </c>
      <c r="AU71" s="21">
        <v>2600</v>
      </c>
      <c r="AV71" s="21">
        <v>2589</v>
      </c>
      <c r="AW71" s="21">
        <v>2521</v>
      </c>
      <c r="AX71" s="21">
        <v>2496</v>
      </c>
      <c r="AY71" s="21">
        <v>2606</v>
      </c>
      <c r="AZ71" s="21">
        <v>2479</v>
      </c>
      <c r="BA71" s="21">
        <v>2471</v>
      </c>
      <c r="BB71" s="21">
        <v>2447</v>
      </c>
      <c r="BC71" s="21">
        <v>2438</v>
      </c>
      <c r="BD71" s="21">
        <v>2394</v>
      </c>
      <c r="BE71" s="21">
        <v>2353</v>
      </c>
      <c r="BF71" s="21">
        <v>2376</v>
      </c>
      <c r="BG71" s="21">
        <v>2369</v>
      </c>
      <c r="BH71" s="21">
        <v>2381</v>
      </c>
      <c r="BI71" s="21">
        <v>2420</v>
      </c>
      <c r="BJ71" s="21">
        <v>2373</v>
      </c>
      <c r="BK71" s="21">
        <v>2360</v>
      </c>
      <c r="BL71" s="21">
        <v>2365</v>
      </c>
      <c r="BM71" s="1">
        <v>2396</v>
      </c>
      <c r="BN71" s="1">
        <v>2397</v>
      </c>
      <c r="BO71" s="1">
        <v>2390</v>
      </c>
      <c r="BP71" s="1">
        <v>2412</v>
      </c>
      <c r="BQ71" s="1">
        <v>2463</v>
      </c>
      <c r="BR71" s="1">
        <v>2465</v>
      </c>
      <c r="BS71" s="1">
        <v>2480</v>
      </c>
      <c r="BT71" s="1">
        <v>2460</v>
      </c>
      <c r="BU71" s="1">
        <v>2405</v>
      </c>
      <c r="BV71" s="1">
        <v>2450</v>
      </c>
      <c r="BW71" s="1">
        <v>2410</v>
      </c>
      <c r="BX71" s="1">
        <v>2395</v>
      </c>
      <c r="BY71" s="1">
        <v>2321</v>
      </c>
      <c r="BZ71" s="1">
        <v>2407</v>
      </c>
    </row>
    <row r="72" spans="1:78" ht="15.9" customHeight="1">
      <c r="A72" s="78" t="s">
        <v>139</v>
      </c>
      <c r="B72" s="17" t="s">
        <v>140</v>
      </c>
      <c r="C72" s="546">
        <f>_xll.RssMarket("6027","始値")</f>
        <v>2318</v>
      </c>
      <c r="D72" s="23">
        <f t="shared" si="2"/>
        <v>47</v>
      </c>
      <c r="E72" s="553">
        <v>2271</v>
      </c>
      <c r="F72" s="21">
        <v>2362</v>
      </c>
      <c r="G72" s="21">
        <v>2291</v>
      </c>
      <c r="H72" s="21">
        <v>2267</v>
      </c>
      <c r="I72" s="21">
        <v>2295</v>
      </c>
      <c r="J72" s="21">
        <v>2349</v>
      </c>
      <c r="K72" s="21">
        <v>2217</v>
      </c>
      <c r="L72" s="21">
        <v>2220</v>
      </c>
      <c r="M72" s="21">
        <v>2285</v>
      </c>
      <c r="N72" s="21">
        <v>2313</v>
      </c>
      <c r="O72" s="21">
        <v>2393</v>
      </c>
      <c r="P72" s="21">
        <v>2360</v>
      </c>
      <c r="Q72" s="21">
        <v>2366</v>
      </c>
      <c r="R72" s="21">
        <v>2361</v>
      </c>
      <c r="S72" s="21">
        <v>2424</v>
      </c>
      <c r="T72" s="21">
        <v>2390</v>
      </c>
      <c r="U72" s="21">
        <v>2380</v>
      </c>
      <c r="V72" s="21">
        <v>2430</v>
      </c>
      <c r="W72" s="21">
        <v>2409</v>
      </c>
      <c r="X72" s="21">
        <v>2394</v>
      </c>
      <c r="Y72" s="21">
        <v>2482</v>
      </c>
      <c r="Z72" s="21">
        <v>2400</v>
      </c>
      <c r="AA72" s="21">
        <v>2314</v>
      </c>
      <c r="AB72" s="21">
        <v>2230</v>
      </c>
      <c r="AC72" s="21">
        <v>2059</v>
      </c>
      <c r="AD72" s="21">
        <v>2002</v>
      </c>
      <c r="AE72" s="21">
        <v>2094</v>
      </c>
      <c r="AF72" s="21">
        <v>2090</v>
      </c>
      <c r="AG72" s="21">
        <v>2220</v>
      </c>
      <c r="AH72" s="21">
        <v>2200</v>
      </c>
      <c r="AI72" s="21">
        <v>2130</v>
      </c>
      <c r="AJ72" s="21">
        <v>2125</v>
      </c>
      <c r="AK72" s="21">
        <v>2110</v>
      </c>
      <c r="AL72" s="21">
        <v>2083</v>
      </c>
      <c r="AM72" s="21">
        <v>2139</v>
      </c>
      <c r="AN72" s="21">
        <v>2192</v>
      </c>
      <c r="AO72" s="21">
        <v>2145</v>
      </c>
      <c r="AP72" s="21">
        <v>2190</v>
      </c>
      <c r="AQ72" s="21">
        <v>2224</v>
      </c>
      <c r="AR72" s="21">
        <v>2276</v>
      </c>
      <c r="AS72" s="21">
        <v>2250</v>
      </c>
      <c r="AT72" s="21">
        <v>2285</v>
      </c>
      <c r="AU72" s="21">
        <v>2352</v>
      </c>
      <c r="AV72" s="21">
        <v>2436</v>
      </c>
      <c r="AW72" s="21">
        <v>2460</v>
      </c>
      <c r="AX72" s="21">
        <v>2497</v>
      </c>
      <c r="AY72" s="21">
        <v>2550</v>
      </c>
      <c r="AZ72" s="21">
        <v>2555</v>
      </c>
      <c r="BA72" s="21">
        <v>2580</v>
      </c>
      <c r="BB72" s="21">
        <v>2766</v>
      </c>
      <c r="BC72" s="21">
        <v>2769</v>
      </c>
      <c r="BD72" s="21">
        <v>2715</v>
      </c>
      <c r="BE72" s="21">
        <v>2745</v>
      </c>
      <c r="BF72" s="21">
        <v>2700</v>
      </c>
      <c r="BG72" s="21">
        <v>2643</v>
      </c>
      <c r="BH72" s="21">
        <v>2726</v>
      </c>
      <c r="BI72" s="21">
        <v>2762</v>
      </c>
      <c r="BJ72" s="21">
        <v>2676</v>
      </c>
      <c r="BK72" s="21">
        <v>2550</v>
      </c>
      <c r="BL72" s="21">
        <v>2494</v>
      </c>
      <c r="BM72" s="1">
        <v>2500</v>
      </c>
      <c r="BN72" s="1">
        <v>2420</v>
      </c>
      <c r="BO72" s="1">
        <v>2493</v>
      </c>
      <c r="BP72" s="1">
        <v>2541</v>
      </c>
      <c r="BQ72" s="1">
        <v>2611</v>
      </c>
      <c r="BR72" s="1">
        <v>2595</v>
      </c>
      <c r="BS72" s="1">
        <v>2609</v>
      </c>
      <c r="BT72" s="1">
        <v>2570</v>
      </c>
      <c r="BU72" s="1">
        <v>2610</v>
      </c>
      <c r="BV72" s="1">
        <v>2745</v>
      </c>
      <c r="BW72" s="1">
        <v>2609</v>
      </c>
      <c r="BX72" s="1">
        <v>2599</v>
      </c>
      <c r="BY72" s="1">
        <v>2495</v>
      </c>
      <c r="BZ72" s="1">
        <v>2777</v>
      </c>
    </row>
    <row r="73" spans="1:78" ht="15.9" customHeight="1">
      <c r="A73" s="78" t="s">
        <v>141</v>
      </c>
      <c r="B73" s="17" t="s">
        <v>142</v>
      </c>
      <c r="C73" s="546">
        <f>_xll.RssMarket("7806","始値")</f>
        <v>7850</v>
      </c>
      <c r="D73" s="23">
        <f t="shared" si="2"/>
        <v>0</v>
      </c>
      <c r="E73" s="553">
        <v>7850</v>
      </c>
      <c r="F73" s="21">
        <v>7610</v>
      </c>
      <c r="G73" s="21">
        <v>7290</v>
      </c>
      <c r="H73" s="21">
        <v>7300</v>
      </c>
      <c r="I73" s="21">
        <v>7630</v>
      </c>
      <c r="J73" s="21">
        <v>7590</v>
      </c>
      <c r="K73" s="21">
        <v>7680</v>
      </c>
      <c r="L73" s="21">
        <v>7690</v>
      </c>
      <c r="M73" s="21">
        <v>7670</v>
      </c>
      <c r="N73" s="21">
        <v>7990</v>
      </c>
      <c r="O73" s="21">
        <v>7590</v>
      </c>
      <c r="P73" s="21">
        <v>7980</v>
      </c>
      <c r="Q73" s="21">
        <v>7400</v>
      </c>
      <c r="R73" s="21">
        <v>7230</v>
      </c>
      <c r="S73" s="21">
        <v>7480</v>
      </c>
      <c r="T73" s="21">
        <v>7550</v>
      </c>
      <c r="U73" s="21">
        <v>8000</v>
      </c>
      <c r="V73" s="21">
        <v>8000</v>
      </c>
      <c r="W73" s="21">
        <v>8100</v>
      </c>
      <c r="X73" s="21">
        <v>8140</v>
      </c>
      <c r="Y73" s="21">
        <v>8230</v>
      </c>
      <c r="Z73" s="21">
        <v>7530</v>
      </c>
      <c r="AA73" s="21">
        <v>7410</v>
      </c>
      <c r="AB73" s="21">
        <v>7540</v>
      </c>
      <c r="AC73" s="21">
        <v>7300</v>
      </c>
      <c r="AD73" s="21">
        <v>7420</v>
      </c>
      <c r="AE73" s="21">
        <v>7540</v>
      </c>
      <c r="AF73" s="21">
        <v>7480</v>
      </c>
      <c r="AG73" s="21">
        <v>7700</v>
      </c>
      <c r="AH73" s="21">
        <v>7650</v>
      </c>
      <c r="AI73" s="21">
        <v>7680</v>
      </c>
      <c r="AJ73" s="21">
        <v>7400</v>
      </c>
      <c r="AK73" s="21">
        <v>7260</v>
      </c>
      <c r="AL73" s="21">
        <v>7110</v>
      </c>
      <c r="AM73" s="21">
        <v>7020</v>
      </c>
      <c r="AN73" s="21">
        <v>7250</v>
      </c>
      <c r="AO73" s="21">
        <v>6870</v>
      </c>
      <c r="AP73" s="21">
        <v>7070</v>
      </c>
      <c r="AQ73" s="21">
        <v>6760</v>
      </c>
      <c r="AR73" s="21">
        <v>6850</v>
      </c>
      <c r="AS73" s="21">
        <v>7080</v>
      </c>
      <c r="AT73" s="21">
        <v>7110</v>
      </c>
      <c r="AU73" s="21">
        <v>7500</v>
      </c>
      <c r="AV73" s="21">
        <v>7430</v>
      </c>
      <c r="AW73" s="21">
        <v>7000</v>
      </c>
      <c r="AX73" s="21">
        <v>7050</v>
      </c>
      <c r="AY73" s="21">
        <v>6320</v>
      </c>
      <c r="AZ73" s="21">
        <v>6390</v>
      </c>
      <c r="BA73" s="21">
        <v>6560</v>
      </c>
      <c r="BB73" s="21">
        <v>6630</v>
      </c>
      <c r="BC73" s="21">
        <v>6390</v>
      </c>
      <c r="BD73" s="21">
        <v>6710</v>
      </c>
      <c r="BE73" s="21">
        <v>7050</v>
      </c>
      <c r="BF73" s="21">
        <v>6780</v>
      </c>
      <c r="BG73" s="21">
        <v>6600</v>
      </c>
      <c r="BH73" s="21">
        <v>6490</v>
      </c>
      <c r="BI73" s="21">
        <v>6390</v>
      </c>
      <c r="BJ73" s="21">
        <v>6250</v>
      </c>
      <c r="BK73" s="21">
        <v>6250</v>
      </c>
      <c r="BL73" s="21">
        <v>5810</v>
      </c>
      <c r="BM73" s="1">
        <v>5890</v>
      </c>
      <c r="BN73" s="1">
        <v>5940</v>
      </c>
      <c r="BO73" s="1">
        <v>6210</v>
      </c>
      <c r="BP73" s="1">
        <v>6380</v>
      </c>
      <c r="BQ73" s="1">
        <v>6550</v>
      </c>
      <c r="BR73" s="1">
        <v>6550</v>
      </c>
      <c r="BS73" s="1">
        <v>6630</v>
      </c>
      <c r="BT73" s="1">
        <v>6670</v>
      </c>
      <c r="BU73" s="1">
        <v>6490</v>
      </c>
      <c r="BV73" s="1">
        <v>6450</v>
      </c>
      <c r="BW73" s="1">
        <v>6400</v>
      </c>
      <c r="BX73" s="1">
        <v>6190</v>
      </c>
      <c r="BY73" s="1">
        <v>5970</v>
      </c>
      <c r="BZ73" s="1">
        <v>6060</v>
      </c>
    </row>
    <row r="74" spans="1:78" ht="15.9" customHeight="1">
      <c r="A74" s="78" t="s">
        <v>143</v>
      </c>
      <c r="B74" s="17" t="s">
        <v>144</v>
      </c>
      <c r="C74" s="546">
        <f>_xll.RssMarket("9202","始値")</f>
        <v>3115</v>
      </c>
      <c r="D74" s="23">
        <f t="shared" si="2"/>
        <v>11</v>
      </c>
      <c r="E74" s="553">
        <v>3104</v>
      </c>
      <c r="F74" s="21">
        <v>3148</v>
      </c>
      <c r="G74" s="21">
        <v>3155</v>
      </c>
      <c r="H74" s="21">
        <v>3142</v>
      </c>
      <c r="I74" s="21">
        <v>3125</v>
      </c>
      <c r="J74" s="21">
        <v>3100</v>
      </c>
      <c r="K74" s="21">
        <v>2996</v>
      </c>
      <c r="L74" s="21">
        <v>2913</v>
      </c>
      <c r="M74" s="21">
        <v>3007</v>
      </c>
      <c r="N74" s="21">
        <v>3030</v>
      </c>
      <c r="O74" s="21">
        <v>3045</v>
      </c>
      <c r="P74" s="21">
        <v>2997</v>
      </c>
      <c r="Q74" s="21">
        <v>3029</v>
      </c>
      <c r="R74" s="21">
        <v>3013</v>
      </c>
      <c r="S74" s="21">
        <v>3014</v>
      </c>
      <c r="T74" s="21">
        <v>3048</v>
      </c>
      <c r="U74" s="21">
        <v>3059</v>
      </c>
      <c r="V74" s="21">
        <v>3094</v>
      </c>
      <c r="W74" s="21">
        <v>3185</v>
      </c>
      <c r="X74" s="21">
        <v>3122</v>
      </c>
      <c r="Y74" s="21">
        <v>3143</v>
      </c>
      <c r="Z74" s="21">
        <v>3035</v>
      </c>
      <c r="AA74" s="21">
        <v>2945</v>
      </c>
      <c r="AB74" s="21">
        <v>2994.5</v>
      </c>
      <c r="AC74" s="21">
        <v>3006</v>
      </c>
      <c r="AD74" s="21">
        <v>3007</v>
      </c>
      <c r="AE74" s="21">
        <v>3012</v>
      </c>
      <c r="AF74" s="21">
        <v>2910</v>
      </c>
      <c r="AG74" s="21">
        <v>2934</v>
      </c>
      <c r="AH74" s="21">
        <v>2941</v>
      </c>
      <c r="AI74" s="21">
        <v>2980</v>
      </c>
      <c r="AJ74" s="21">
        <v>3022</v>
      </c>
      <c r="AK74" s="21">
        <v>3050</v>
      </c>
      <c r="AL74" s="21">
        <v>3019</v>
      </c>
      <c r="AM74" s="21">
        <v>2931.5</v>
      </c>
      <c r="AN74" s="21">
        <v>2826.5</v>
      </c>
      <c r="AO74" s="21">
        <v>2782</v>
      </c>
      <c r="AP74" s="21">
        <v>2799</v>
      </c>
      <c r="AQ74" s="21">
        <v>2839</v>
      </c>
      <c r="AR74" s="21">
        <v>2824.5</v>
      </c>
      <c r="AS74" s="21">
        <v>2796.5</v>
      </c>
      <c r="AT74" s="21">
        <v>2801</v>
      </c>
      <c r="AU74" s="21">
        <v>2881.5</v>
      </c>
      <c r="AV74" s="21">
        <v>2930</v>
      </c>
      <c r="AW74" s="21">
        <v>2919.5</v>
      </c>
      <c r="AX74" s="21">
        <v>2880.5</v>
      </c>
      <c r="AY74" s="21">
        <v>2831</v>
      </c>
      <c r="AZ74" s="21">
        <v>2785</v>
      </c>
      <c r="BA74" s="21">
        <v>2783.5</v>
      </c>
      <c r="BB74" s="21">
        <v>2746</v>
      </c>
      <c r="BC74" s="21">
        <v>2732.5</v>
      </c>
      <c r="BD74" s="21">
        <v>2770</v>
      </c>
      <c r="BE74" s="21">
        <v>2768</v>
      </c>
      <c r="BF74" s="21">
        <v>2785</v>
      </c>
      <c r="BG74" s="21">
        <v>2791</v>
      </c>
      <c r="BH74" s="21">
        <v>2793.5</v>
      </c>
      <c r="BI74" s="21">
        <v>2810</v>
      </c>
      <c r="BJ74" s="21">
        <v>2860.5</v>
      </c>
      <c r="BK74" s="21">
        <v>2759.5</v>
      </c>
      <c r="BL74" s="21">
        <v>2639.5</v>
      </c>
      <c r="BM74" s="1">
        <v>2629</v>
      </c>
      <c r="BN74" s="1">
        <v>2646.5</v>
      </c>
      <c r="BO74" s="1">
        <v>2680</v>
      </c>
      <c r="BP74" s="1">
        <v>2725</v>
      </c>
      <c r="BQ74" s="1">
        <v>2800</v>
      </c>
      <c r="BR74" s="1">
        <v>2821</v>
      </c>
      <c r="BS74" s="1">
        <v>2880</v>
      </c>
      <c r="BT74" s="1">
        <v>2850</v>
      </c>
      <c r="BU74" s="1">
        <v>2829.5</v>
      </c>
      <c r="BV74" s="1">
        <v>2870</v>
      </c>
      <c r="BW74" s="1">
        <v>2856</v>
      </c>
      <c r="BX74" s="1">
        <v>2880</v>
      </c>
      <c r="BY74" s="1">
        <v>2890</v>
      </c>
      <c r="BZ74" s="1">
        <v>2890</v>
      </c>
    </row>
    <row r="75" spans="1:78" ht="15.9" customHeight="1">
      <c r="A75" s="78" t="s">
        <v>145</v>
      </c>
      <c r="B75" s="17" t="s">
        <v>146</v>
      </c>
      <c r="C75" s="546">
        <f>_xll.RssMarket("7846","始値")</f>
        <v>1789.5</v>
      </c>
      <c r="D75" s="23">
        <f t="shared" si="2"/>
        <v>1789.5</v>
      </c>
      <c r="E75" s="553"/>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row>
    <row r="76" spans="1:78" ht="15.9" customHeight="1">
      <c r="A76" s="78" t="s">
        <v>147</v>
      </c>
      <c r="B76" s="17" t="s">
        <v>148</v>
      </c>
      <c r="C76" s="546">
        <f>_xll.RssMarket("2802","始値")</f>
        <v>5198</v>
      </c>
      <c r="D76" s="23">
        <f t="shared" si="2"/>
        <v>305</v>
      </c>
      <c r="E76" s="553">
        <v>4893</v>
      </c>
      <c r="F76" s="21">
        <v>4920</v>
      </c>
      <c r="G76" s="21">
        <v>5025</v>
      </c>
      <c r="H76" s="21">
        <v>4747</v>
      </c>
      <c r="I76" s="21">
        <v>4874</v>
      </c>
      <c r="J76" s="21">
        <v>4969</v>
      </c>
      <c r="K76" s="21">
        <v>5139</v>
      </c>
      <c r="L76" s="21">
        <v>5051</v>
      </c>
      <c r="M76" s="21">
        <v>5258</v>
      </c>
      <c r="N76" s="21">
        <v>5430</v>
      </c>
      <c r="O76" s="21">
        <v>5262</v>
      </c>
      <c r="P76" s="21">
        <v>5215</v>
      </c>
      <c r="Q76" s="21">
        <v>5698</v>
      </c>
      <c r="R76" s="21">
        <v>5597</v>
      </c>
      <c r="S76" s="21">
        <v>5735</v>
      </c>
      <c r="T76" s="21">
        <v>5773</v>
      </c>
      <c r="U76" s="21">
        <v>5777</v>
      </c>
      <c r="V76" s="21">
        <v>5741</v>
      </c>
      <c r="W76" s="21">
        <v>6048</v>
      </c>
      <c r="X76" s="21">
        <v>6200</v>
      </c>
      <c r="Y76" s="21">
        <v>6110</v>
      </c>
      <c r="Z76" s="21">
        <v>6075</v>
      </c>
      <c r="AA76" s="21">
        <v>6048</v>
      </c>
      <c r="AB76" s="21">
        <v>5860</v>
      </c>
      <c r="AC76" s="21">
        <v>5706</v>
      </c>
      <c r="AD76" s="21">
        <v>5771</v>
      </c>
      <c r="AE76" s="21">
        <v>5672</v>
      </c>
      <c r="AF76" s="21">
        <v>5529</v>
      </c>
      <c r="AG76" s="21">
        <v>6000</v>
      </c>
      <c r="AH76" s="21">
        <v>5747</v>
      </c>
      <c r="AI76" s="21">
        <v>5840</v>
      </c>
      <c r="AJ76" s="21">
        <v>5385</v>
      </c>
      <c r="AK76" s="21">
        <v>5187</v>
      </c>
      <c r="AL76" s="21">
        <v>4996</v>
      </c>
      <c r="AM76" s="21">
        <v>5500</v>
      </c>
      <c r="AN76" s="21">
        <v>5200</v>
      </c>
      <c r="AO76" s="21">
        <v>4848</v>
      </c>
      <c r="AP76" s="21">
        <v>4772</v>
      </c>
      <c r="AQ76" s="21">
        <v>4802</v>
      </c>
      <c r="AR76" s="21">
        <v>5050</v>
      </c>
      <c r="AS76" s="21">
        <v>5130</v>
      </c>
      <c r="AT76" s="21">
        <v>5269</v>
      </c>
      <c r="AU76" s="21">
        <v>5302</v>
      </c>
      <c r="AV76" s="21">
        <v>5140</v>
      </c>
      <c r="AW76" s="21">
        <v>5189</v>
      </c>
      <c r="AX76" s="21">
        <v>5345</v>
      </c>
      <c r="AY76" s="21">
        <v>5270</v>
      </c>
      <c r="AZ76" s="21">
        <v>5243</v>
      </c>
      <c r="BA76" s="21">
        <v>5099</v>
      </c>
      <c r="BB76" s="21">
        <v>5278</v>
      </c>
      <c r="BC76" s="21">
        <v>5200</v>
      </c>
      <c r="BD76" s="21">
        <v>5280</v>
      </c>
      <c r="BE76" s="21">
        <v>5542</v>
      </c>
      <c r="BF76" s="21">
        <v>5587</v>
      </c>
      <c r="BG76" s="21">
        <v>5371</v>
      </c>
      <c r="BH76" s="21">
        <v>5502</v>
      </c>
      <c r="BI76" s="21">
        <v>5179</v>
      </c>
      <c r="BJ76" s="21">
        <v>4818</v>
      </c>
      <c r="BK76" s="21">
        <v>4952</v>
      </c>
      <c r="BL76" s="21">
        <v>4904</v>
      </c>
      <c r="BM76" s="1">
        <v>4913</v>
      </c>
      <c r="BN76" s="1">
        <v>4794</v>
      </c>
      <c r="BO76" s="1">
        <v>4755</v>
      </c>
      <c r="BP76" s="1">
        <v>4727</v>
      </c>
      <c r="BQ76" s="1">
        <v>4607</v>
      </c>
      <c r="BR76" s="1">
        <v>4652</v>
      </c>
      <c r="BS76" s="1">
        <v>4607</v>
      </c>
      <c r="BT76" s="1">
        <v>4599</v>
      </c>
      <c r="BU76" s="1">
        <v>4651</v>
      </c>
      <c r="BV76" s="1">
        <v>4637</v>
      </c>
      <c r="BW76" s="1">
        <v>4651</v>
      </c>
      <c r="BX76" s="1">
        <v>4600</v>
      </c>
      <c r="BY76" s="1">
        <v>4601</v>
      </c>
      <c r="BZ76" s="1">
        <v>4722</v>
      </c>
    </row>
    <row r="77" spans="1:78" ht="15.9" customHeight="1">
      <c r="A77" s="78" t="s">
        <v>149</v>
      </c>
      <c r="B77" s="17" t="s">
        <v>150</v>
      </c>
      <c r="C77" s="546">
        <f>_xll.RssMarket("7203","始値")</f>
        <v>2903</v>
      </c>
      <c r="D77" s="23">
        <f t="shared" si="2"/>
        <v>-45</v>
      </c>
      <c r="E77" s="553">
        <v>2948</v>
      </c>
      <c r="F77" s="21">
        <v>2999</v>
      </c>
      <c r="G77" s="21">
        <v>3032</v>
      </c>
      <c r="H77" s="21">
        <v>3181</v>
      </c>
      <c r="I77" s="21">
        <v>3085</v>
      </c>
      <c r="J77" s="21">
        <v>2972.5</v>
      </c>
      <c r="K77" s="21">
        <v>2921</v>
      </c>
      <c r="L77" s="21">
        <v>2920</v>
      </c>
      <c r="M77" s="21">
        <v>2938</v>
      </c>
      <c r="N77" s="21">
        <v>2921.5</v>
      </c>
      <c r="O77" s="21">
        <v>2900</v>
      </c>
      <c r="P77" s="21">
        <v>2865.5</v>
      </c>
      <c r="Q77" s="21">
        <v>2857</v>
      </c>
      <c r="R77" s="21">
        <v>2832</v>
      </c>
      <c r="S77" s="21">
        <v>2844</v>
      </c>
      <c r="T77" s="21">
        <v>2863.5</v>
      </c>
      <c r="U77" s="21">
        <v>2854</v>
      </c>
      <c r="V77" s="21">
        <v>2926</v>
      </c>
      <c r="W77" s="21">
        <v>2950</v>
      </c>
      <c r="X77" s="21">
        <v>2855</v>
      </c>
      <c r="Y77" s="21">
        <v>2839</v>
      </c>
      <c r="Z77" s="21">
        <v>2759</v>
      </c>
      <c r="AA77" s="21">
        <v>2765</v>
      </c>
      <c r="AB77" s="21">
        <v>2775</v>
      </c>
      <c r="AC77" s="21">
        <v>2805</v>
      </c>
      <c r="AD77" s="21">
        <v>2714</v>
      </c>
      <c r="AE77" s="21">
        <v>2700</v>
      </c>
      <c r="AF77" s="21">
        <v>2731</v>
      </c>
      <c r="AG77" s="21">
        <v>2745</v>
      </c>
      <c r="AH77" s="21">
        <v>2770</v>
      </c>
      <c r="AI77" s="21">
        <v>2785</v>
      </c>
      <c r="AJ77" s="21">
        <v>2800</v>
      </c>
      <c r="AK77" s="21">
        <v>2862.5</v>
      </c>
      <c r="AL77" s="21">
        <v>2867</v>
      </c>
      <c r="AM77" s="21">
        <v>2836.5</v>
      </c>
      <c r="AN77" s="21">
        <v>2792</v>
      </c>
      <c r="AO77" s="21">
        <v>2768</v>
      </c>
      <c r="AP77" s="21">
        <v>2837</v>
      </c>
      <c r="AQ77" s="21">
        <v>2817</v>
      </c>
      <c r="AR77" s="21">
        <v>2872</v>
      </c>
      <c r="AS77" s="21">
        <v>2875</v>
      </c>
      <c r="AT77" s="21">
        <v>2840</v>
      </c>
      <c r="AU77" s="21">
        <v>2849.5</v>
      </c>
      <c r="AV77" s="21">
        <v>3022</v>
      </c>
      <c r="AW77" s="21">
        <v>3039</v>
      </c>
      <c r="AX77" s="21">
        <v>3016</v>
      </c>
      <c r="AY77" s="21">
        <v>3051</v>
      </c>
      <c r="AZ77" s="21">
        <v>3020</v>
      </c>
      <c r="BA77" s="21">
        <v>2964.5</v>
      </c>
      <c r="BB77" s="21">
        <v>3003</v>
      </c>
      <c r="BC77" s="21">
        <v>2955</v>
      </c>
      <c r="BD77" s="21">
        <v>2990</v>
      </c>
      <c r="BE77" s="21">
        <v>3017</v>
      </c>
      <c r="BF77" s="21">
        <v>2944</v>
      </c>
      <c r="BG77" s="21">
        <v>2884.5</v>
      </c>
      <c r="BH77" s="21">
        <v>2831</v>
      </c>
      <c r="BI77" s="21">
        <v>2800</v>
      </c>
      <c r="BJ77" s="21">
        <v>3020</v>
      </c>
      <c r="BK77" s="21">
        <v>3017</v>
      </c>
      <c r="BL77" s="21">
        <v>3000</v>
      </c>
      <c r="BM77" s="1">
        <v>3062</v>
      </c>
      <c r="BN77" s="1">
        <v>3131</v>
      </c>
      <c r="BO77" s="1">
        <v>3065</v>
      </c>
      <c r="BP77" s="1">
        <v>3122</v>
      </c>
      <c r="BQ77" s="1">
        <v>3191</v>
      </c>
      <c r="BR77" s="1">
        <v>3220</v>
      </c>
      <c r="BS77" s="1">
        <v>3345</v>
      </c>
      <c r="BT77" s="1">
        <v>3413</v>
      </c>
      <c r="BU77" s="1">
        <v>3400</v>
      </c>
      <c r="BV77" s="1">
        <v>3416</v>
      </c>
      <c r="BW77" s="1">
        <v>3355</v>
      </c>
      <c r="BX77" s="1">
        <v>3355</v>
      </c>
      <c r="BY77" s="1">
        <v>3295</v>
      </c>
      <c r="BZ77" s="1">
        <v>3345</v>
      </c>
    </row>
    <row r="78" spans="1:78" ht="15.9" customHeight="1">
      <c r="A78" s="78" t="s">
        <v>151</v>
      </c>
      <c r="B78" s="17" t="s">
        <v>152</v>
      </c>
      <c r="C78" s="546">
        <f>_xll.RssMarket("6954","始値")</f>
        <v>6487</v>
      </c>
      <c r="D78" s="23">
        <f t="shared" si="2"/>
        <v>372</v>
      </c>
      <c r="E78" s="553">
        <v>6115</v>
      </c>
      <c r="F78" s="21">
        <v>6385</v>
      </c>
      <c r="G78" s="21">
        <v>7080</v>
      </c>
      <c r="H78" s="21">
        <v>6383</v>
      </c>
      <c r="I78" s="21">
        <v>6473</v>
      </c>
      <c r="J78" s="21">
        <v>6585</v>
      </c>
      <c r="K78" s="21">
        <v>6724</v>
      </c>
      <c r="L78" s="21">
        <v>6838</v>
      </c>
      <c r="M78" s="21">
        <v>6897</v>
      </c>
      <c r="N78" s="21">
        <v>6897</v>
      </c>
      <c r="O78" s="21">
        <v>6621</v>
      </c>
      <c r="P78" s="21">
        <v>6690</v>
      </c>
      <c r="Q78" s="21">
        <v>6939</v>
      </c>
      <c r="R78" s="21">
        <v>6857</v>
      </c>
      <c r="S78" s="21">
        <v>7050</v>
      </c>
      <c r="T78" s="21">
        <v>7051</v>
      </c>
      <c r="U78" s="21">
        <v>6789</v>
      </c>
      <c r="V78" s="21">
        <v>6922</v>
      </c>
      <c r="W78" s="21">
        <v>7335</v>
      </c>
      <c r="X78" s="21">
        <v>7436</v>
      </c>
      <c r="Y78" s="21">
        <v>7209</v>
      </c>
      <c r="Z78" s="21">
        <v>7227</v>
      </c>
      <c r="AA78" s="21">
        <v>7505</v>
      </c>
      <c r="AB78" s="21">
        <v>7200</v>
      </c>
      <c r="AC78" s="21">
        <v>7083</v>
      </c>
      <c r="AD78" s="21">
        <v>7253</v>
      </c>
      <c r="AE78" s="21">
        <v>7512</v>
      </c>
      <c r="AF78" s="21">
        <v>7450</v>
      </c>
      <c r="AG78" s="21">
        <v>7935</v>
      </c>
      <c r="AH78" s="21">
        <v>7720</v>
      </c>
      <c r="AI78" s="21">
        <v>7599</v>
      </c>
      <c r="AJ78" s="21">
        <v>7615</v>
      </c>
      <c r="AK78" s="21">
        <v>7270</v>
      </c>
      <c r="AL78" s="21">
        <v>7487</v>
      </c>
      <c r="AM78" s="21">
        <v>7200</v>
      </c>
      <c r="AN78" s="21">
        <v>7035</v>
      </c>
      <c r="AO78" s="21">
        <v>6385</v>
      </c>
      <c r="AP78" s="21">
        <v>6877</v>
      </c>
      <c r="AQ78" s="21">
        <v>7000</v>
      </c>
      <c r="AR78" s="21">
        <v>7608</v>
      </c>
      <c r="AS78" s="21">
        <v>7872</v>
      </c>
      <c r="AT78" s="21">
        <v>7708</v>
      </c>
      <c r="AU78" s="21">
        <v>8000</v>
      </c>
      <c r="AV78" s="21">
        <v>8100</v>
      </c>
      <c r="AW78" s="21">
        <v>8096</v>
      </c>
      <c r="AX78" s="21">
        <v>8695</v>
      </c>
      <c r="AY78" s="21">
        <v>8348</v>
      </c>
      <c r="AZ78" s="21">
        <v>8145</v>
      </c>
      <c r="BA78" s="21">
        <v>7547</v>
      </c>
      <c r="BB78" s="21">
        <v>7524</v>
      </c>
      <c r="BC78" s="21">
        <v>7980</v>
      </c>
      <c r="BD78" s="21">
        <v>8439</v>
      </c>
      <c r="BE78" s="21">
        <v>8255</v>
      </c>
      <c r="BF78" s="21">
        <v>8540</v>
      </c>
      <c r="BG78" s="21">
        <v>7570</v>
      </c>
      <c r="BH78" s="21">
        <v>7632</v>
      </c>
      <c r="BI78" s="21">
        <v>7555</v>
      </c>
      <c r="BJ78" s="21">
        <v>7114</v>
      </c>
      <c r="BK78" s="21">
        <v>7198</v>
      </c>
      <c r="BL78" s="21">
        <v>6775</v>
      </c>
      <c r="BM78" s="1">
        <v>6761</v>
      </c>
      <c r="BN78" s="1">
        <v>7256</v>
      </c>
      <c r="BO78" s="1">
        <v>6750</v>
      </c>
      <c r="BP78" s="1">
        <v>6323</v>
      </c>
      <c r="BQ78" s="1">
        <v>6433</v>
      </c>
      <c r="BR78" s="1">
        <v>6450</v>
      </c>
      <c r="BS78" s="1">
        <v>6500</v>
      </c>
      <c r="BT78" s="1">
        <v>6250</v>
      </c>
      <c r="BU78" s="1">
        <v>6272</v>
      </c>
      <c r="BV78" s="1">
        <v>6143</v>
      </c>
      <c r="BW78" s="1">
        <v>6280</v>
      </c>
      <c r="BX78" s="1">
        <v>6282</v>
      </c>
      <c r="BY78" s="1">
        <v>6250</v>
      </c>
      <c r="BZ78" s="1">
        <v>5993</v>
      </c>
    </row>
    <row r="79" spans="1:78" ht="15.9" customHeight="1">
      <c r="A79" s="78" t="s">
        <v>153</v>
      </c>
      <c r="B79" s="17" t="s">
        <v>154</v>
      </c>
      <c r="C79" s="546">
        <f>_xll.RssMarket("6479","始値")</f>
        <v>3927</v>
      </c>
      <c r="D79" s="23">
        <f t="shared" si="2"/>
        <v>116</v>
      </c>
      <c r="E79" s="553">
        <v>3811</v>
      </c>
      <c r="F79" s="21">
        <v>3715</v>
      </c>
      <c r="G79" s="21">
        <v>3792</v>
      </c>
      <c r="H79" s="21">
        <v>3480</v>
      </c>
      <c r="I79" s="21">
        <v>3662</v>
      </c>
      <c r="J79" s="21">
        <v>3800</v>
      </c>
      <c r="K79" s="21">
        <v>3879</v>
      </c>
      <c r="L79" s="21">
        <v>3946</v>
      </c>
      <c r="M79" s="21">
        <v>3998</v>
      </c>
      <c r="N79" s="21">
        <v>4000</v>
      </c>
      <c r="O79" s="21">
        <v>3855</v>
      </c>
      <c r="P79" s="21">
        <v>3970</v>
      </c>
      <c r="Q79" s="21">
        <v>4177</v>
      </c>
      <c r="R79" s="21">
        <v>4125</v>
      </c>
      <c r="S79" s="21">
        <v>4350</v>
      </c>
      <c r="T79" s="21">
        <v>4440</v>
      </c>
      <c r="U79" s="21">
        <v>4422</v>
      </c>
      <c r="V79" s="21">
        <v>4274</v>
      </c>
      <c r="W79" s="21">
        <v>4473</v>
      </c>
      <c r="X79" s="21">
        <v>4918</v>
      </c>
      <c r="Y79" s="21">
        <v>4695</v>
      </c>
      <c r="Z79" s="21">
        <v>4800</v>
      </c>
      <c r="AA79" s="21">
        <v>4826</v>
      </c>
      <c r="AB79" s="21">
        <v>4841</v>
      </c>
      <c r="AC79" s="21">
        <v>4820</v>
      </c>
      <c r="AD79" s="21">
        <v>5241</v>
      </c>
      <c r="AE79" s="21">
        <v>5096</v>
      </c>
      <c r="AF79" s="21">
        <v>4885</v>
      </c>
      <c r="AG79" s="21">
        <v>5154</v>
      </c>
      <c r="AH79" s="21">
        <v>4757</v>
      </c>
      <c r="AI79" s="21">
        <v>4680</v>
      </c>
      <c r="AJ79" s="21">
        <v>4648</v>
      </c>
      <c r="AK79" s="21">
        <v>4618</v>
      </c>
      <c r="AL79" s="21">
        <v>4570</v>
      </c>
      <c r="AM79" s="21">
        <v>4443</v>
      </c>
      <c r="AN79" s="21">
        <v>4408</v>
      </c>
      <c r="AO79" s="21">
        <v>4162</v>
      </c>
      <c r="AP79" s="21">
        <v>4511</v>
      </c>
      <c r="AQ79" s="21">
        <v>4714</v>
      </c>
      <c r="AR79" s="21">
        <v>4828</v>
      </c>
      <c r="AS79" s="21">
        <v>4849</v>
      </c>
      <c r="AT79" s="21">
        <v>4809</v>
      </c>
      <c r="AU79" s="21">
        <v>4651</v>
      </c>
      <c r="AV79" s="21">
        <v>4433</v>
      </c>
      <c r="AW79" s="21">
        <v>4166</v>
      </c>
      <c r="AX79" s="21">
        <v>4247</v>
      </c>
      <c r="AY79" s="21">
        <v>4060</v>
      </c>
      <c r="AZ79" s="21">
        <v>3940</v>
      </c>
      <c r="BA79" s="21">
        <v>3799</v>
      </c>
      <c r="BB79" s="21">
        <v>3869</v>
      </c>
      <c r="BC79" s="21">
        <v>3800</v>
      </c>
      <c r="BD79" s="21">
        <v>3955</v>
      </c>
      <c r="BE79" s="21">
        <v>4005</v>
      </c>
      <c r="BF79" s="21">
        <v>3950</v>
      </c>
      <c r="BG79" s="21">
        <v>3636</v>
      </c>
      <c r="BH79" s="21">
        <v>3527</v>
      </c>
      <c r="BI79" s="21">
        <v>3436</v>
      </c>
      <c r="BJ79" s="21">
        <v>3300</v>
      </c>
      <c r="BK79" s="21">
        <v>3178</v>
      </c>
      <c r="BL79" s="21">
        <v>3138</v>
      </c>
      <c r="BM79" s="1">
        <v>3079</v>
      </c>
      <c r="BN79" s="1">
        <v>3123</v>
      </c>
      <c r="BO79" s="1">
        <v>3120</v>
      </c>
      <c r="BP79" s="1">
        <v>3060</v>
      </c>
      <c r="BQ79" s="1">
        <v>3110</v>
      </c>
      <c r="BR79" s="1">
        <v>3106</v>
      </c>
      <c r="BS79" s="1">
        <v>3112</v>
      </c>
      <c r="BT79" s="1">
        <v>3034</v>
      </c>
      <c r="BU79" s="1">
        <v>3000</v>
      </c>
      <c r="BV79" s="1">
        <v>2908</v>
      </c>
      <c r="BW79" s="1">
        <v>2878.5</v>
      </c>
      <c r="BX79" s="1">
        <v>2910</v>
      </c>
      <c r="BY79" s="1">
        <v>2830.5</v>
      </c>
      <c r="BZ79" s="1">
        <v>2735</v>
      </c>
    </row>
    <row r="80" spans="1:78" ht="15.9" customHeight="1">
      <c r="A80" s="78" t="s">
        <v>155</v>
      </c>
      <c r="B80" s="17" t="s">
        <v>156</v>
      </c>
      <c r="C80" s="546">
        <f>_xll.RssMarket("1833","始値")</f>
        <v>5750</v>
      </c>
      <c r="D80" s="23">
        <f t="shared" si="2"/>
        <v>40</v>
      </c>
      <c r="E80" s="553">
        <v>5710</v>
      </c>
      <c r="F80" s="21">
        <v>5880</v>
      </c>
      <c r="G80" s="21">
        <v>5800</v>
      </c>
      <c r="H80" s="21">
        <v>5770</v>
      </c>
      <c r="I80" s="21">
        <v>5900</v>
      </c>
      <c r="J80" s="21">
        <v>5850</v>
      </c>
      <c r="K80" s="21">
        <v>5800</v>
      </c>
      <c r="L80" s="21"/>
      <c r="M80" s="21">
        <v>5680</v>
      </c>
      <c r="N80" s="21">
        <v>5670</v>
      </c>
      <c r="O80" s="21">
        <v>5600</v>
      </c>
      <c r="P80" s="21">
        <v>5630</v>
      </c>
      <c r="Q80" s="21">
        <v>5670</v>
      </c>
      <c r="R80" s="21">
        <v>5600</v>
      </c>
      <c r="S80" s="21">
        <v>5640</v>
      </c>
      <c r="T80" s="21">
        <v>5720</v>
      </c>
      <c r="U80" s="21">
        <v>5680</v>
      </c>
      <c r="V80" s="21">
        <v>5750</v>
      </c>
      <c r="W80" s="21">
        <v>5800</v>
      </c>
      <c r="X80" s="21">
        <v>5740</v>
      </c>
      <c r="Y80" s="21">
        <v>5720</v>
      </c>
      <c r="Z80" s="21">
        <v>5680</v>
      </c>
      <c r="AA80" s="21">
        <v>5660</v>
      </c>
      <c r="AB80" s="21">
        <v>5720</v>
      </c>
      <c r="AC80" s="21">
        <v>5700</v>
      </c>
      <c r="AD80" s="21">
        <v>5580</v>
      </c>
      <c r="AE80" s="21">
        <v>5700</v>
      </c>
      <c r="AF80" s="21">
        <v>5650</v>
      </c>
      <c r="AG80" s="21">
        <v>5700</v>
      </c>
      <c r="AH80" s="21">
        <v>5640</v>
      </c>
      <c r="AI80" s="21">
        <v>5800</v>
      </c>
      <c r="AJ80" s="21">
        <v>5740</v>
      </c>
      <c r="AK80" s="21">
        <v>5760</v>
      </c>
      <c r="AL80" s="21">
        <v>5790</v>
      </c>
      <c r="AM80" s="21">
        <v>5730</v>
      </c>
      <c r="AN80" s="21">
        <v>5610</v>
      </c>
      <c r="AO80" s="21">
        <v>5540</v>
      </c>
      <c r="AP80" s="21">
        <v>5540</v>
      </c>
      <c r="AQ80" s="21">
        <v>5520</v>
      </c>
      <c r="AR80" s="21">
        <v>5540</v>
      </c>
      <c r="AS80" s="21">
        <v>5550</v>
      </c>
      <c r="AT80" s="21">
        <v>5540</v>
      </c>
      <c r="AU80" s="21">
        <v>5550</v>
      </c>
      <c r="AV80" s="21">
        <v>5600</v>
      </c>
      <c r="AW80" s="21">
        <v>5520</v>
      </c>
      <c r="AX80" s="21">
        <v>5630</v>
      </c>
      <c r="AY80" s="21">
        <v>5520</v>
      </c>
      <c r="AZ80" s="21">
        <v>5610</v>
      </c>
      <c r="BA80" s="21">
        <v>5700</v>
      </c>
      <c r="BB80" s="21">
        <v>5730</v>
      </c>
      <c r="BC80" s="21">
        <v>5680</v>
      </c>
      <c r="BD80" s="21">
        <v>5790</v>
      </c>
      <c r="BE80" s="21">
        <v>5980</v>
      </c>
      <c r="BF80" s="21">
        <v>6160</v>
      </c>
      <c r="BG80" s="21">
        <v>6320</v>
      </c>
      <c r="BH80" s="21">
        <v>6210</v>
      </c>
      <c r="BI80" s="21">
        <v>6050</v>
      </c>
      <c r="BJ80" s="21">
        <v>6130</v>
      </c>
      <c r="BK80" s="21">
        <v>6250</v>
      </c>
      <c r="BL80" s="21">
        <v>6150</v>
      </c>
      <c r="BM80" s="1">
        <v>6080</v>
      </c>
      <c r="BN80" s="1">
        <v>6000</v>
      </c>
      <c r="BO80" s="1">
        <v>5950</v>
      </c>
      <c r="BP80" s="1">
        <v>6150</v>
      </c>
      <c r="BQ80" s="1">
        <v>5980</v>
      </c>
      <c r="BR80" s="1">
        <v>6080</v>
      </c>
      <c r="BS80" s="1">
        <v>6120</v>
      </c>
      <c r="BT80" s="1">
        <v>6150</v>
      </c>
      <c r="BU80" s="1">
        <v>6200</v>
      </c>
      <c r="BV80" s="1">
        <v>6230</v>
      </c>
      <c r="BW80" s="1">
        <v>6280</v>
      </c>
      <c r="BX80" s="1">
        <v>6250</v>
      </c>
      <c r="BY80" s="1">
        <v>6270</v>
      </c>
      <c r="BZ80" s="1">
        <v>6430</v>
      </c>
    </row>
    <row r="81" spans="1:78" ht="15.9" customHeight="1">
      <c r="A81" s="78" t="s">
        <v>157</v>
      </c>
      <c r="B81" s="17" t="s">
        <v>158</v>
      </c>
      <c r="C81" s="546">
        <f>_xll.RssMarket("6841","始値")</f>
        <v>5460</v>
      </c>
      <c r="D81" s="23">
        <f t="shared" si="2"/>
        <v>-208</v>
      </c>
      <c r="E81" s="553">
        <v>5668</v>
      </c>
      <c r="F81" s="21">
        <v>5729</v>
      </c>
      <c r="G81" s="21">
        <v>5757</v>
      </c>
      <c r="H81" s="21">
        <v>5487</v>
      </c>
      <c r="I81" s="21">
        <v>5668</v>
      </c>
      <c r="J81" s="21">
        <v>5900</v>
      </c>
      <c r="K81" s="21">
        <v>5973</v>
      </c>
      <c r="L81" s="21">
        <v>5700</v>
      </c>
      <c r="M81" s="21">
        <v>5761</v>
      </c>
      <c r="N81" s="21">
        <v>5719</v>
      </c>
      <c r="O81" s="21">
        <v>5648</v>
      </c>
      <c r="P81" s="21">
        <v>5331</v>
      </c>
      <c r="Q81" s="21">
        <v>5528</v>
      </c>
      <c r="R81" s="21">
        <v>5497</v>
      </c>
      <c r="S81" s="21">
        <v>5586</v>
      </c>
      <c r="T81" s="21">
        <v>5475</v>
      </c>
      <c r="U81" s="21">
        <v>5404</v>
      </c>
      <c r="V81" s="21">
        <v>5590</v>
      </c>
      <c r="W81" s="21">
        <v>5816</v>
      </c>
      <c r="X81" s="21">
        <v>5900</v>
      </c>
      <c r="Y81" s="21">
        <v>5530</v>
      </c>
      <c r="Z81" s="21">
        <v>5514</v>
      </c>
      <c r="AA81" s="21">
        <v>5700</v>
      </c>
      <c r="AB81" s="21">
        <v>5694</v>
      </c>
      <c r="AC81" s="21">
        <v>5574</v>
      </c>
      <c r="AD81" s="21">
        <v>5500</v>
      </c>
      <c r="AE81" s="21">
        <v>5620</v>
      </c>
      <c r="AF81" s="21">
        <v>5620</v>
      </c>
      <c r="AG81" s="21">
        <v>5835</v>
      </c>
      <c r="AH81" s="21">
        <v>5432</v>
      </c>
      <c r="AI81" s="21">
        <v>5425</v>
      </c>
      <c r="AJ81" s="21">
        <v>5398</v>
      </c>
      <c r="AK81" s="21">
        <v>5151</v>
      </c>
      <c r="AL81" s="21">
        <v>5214</v>
      </c>
      <c r="AM81" s="21">
        <v>5110</v>
      </c>
      <c r="AN81" s="21">
        <v>5046</v>
      </c>
      <c r="AO81" s="21">
        <v>4707</v>
      </c>
      <c r="AP81" s="21">
        <v>4893</v>
      </c>
      <c r="AQ81" s="21">
        <v>5057</v>
      </c>
      <c r="AR81" s="21">
        <v>5339</v>
      </c>
      <c r="AS81" s="21">
        <v>5380</v>
      </c>
      <c r="AT81" s="21">
        <v>5220</v>
      </c>
      <c r="AU81" s="21">
        <v>5097</v>
      </c>
      <c r="AV81" s="21">
        <v>4877</v>
      </c>
      <c r="AW81" s="21">
        <v>4920</v>
      </c>
      <c r="AX81" s="21">
        <v>4928</v>
      </c>
      <c r="AY81" s="21">
        <v>4913</v>
      </c>
      <c r="AZ81" s="21">
        <v>4841</v>
      </c>
      <c r="BA81" s="21">
        <v>4750</v>
      </c>
      <c r="BB81" s="21">
        <v>4704</v>
      </c>
      <c r="BC81" s="21">
        <v>4905</v>
      </c>
      <c r="BD81" s="21">
        <v>4970</v>
      </c>
      <c r="BE81" s="21">
        <v>5141</v>
      </c>
      <c r="BF81" s="21">
        <v>5318</v>
      </c>
      <c r="BG81" s="21">
        <v>5180</v>
      </c>
      <c r="BH81" s="21">
        <v>5312</v>
      </c>
      <c r="BI81" s="21">
        <v>5250</v>
      </c>
      <c r="BJ81" s="21">
        <v>5434</v>
      </c>
      <c r="BK81" s="21">
        <v>5554</v>
      </c>
      <c r="BL81" s="21">
        <v>5432</v>
      </c>
      <c r="BM81" s="1">
        <v>5419</v>
      </c>
      <c r="BN81" s="1">
        <v>5390</v>
      </c>
      <c r="BO81" s="1">
        <v>5294</v>
      </c>
      <c r="BP81" s="1">
        <v>5269</v>
      </c>
      <c r="BQ81" s="1">
        <v>5412</v>
      </c>
      <c r="BR81" s="1">
        <v>5578</v>
      </c>
      <c r="BS81" s="1">
        <v>5516</v>
      </c>
      <c r="BT81" s="1">
        <v>5474</v>
      </c>
      <c r="BU81" s="1">
        <v>5463</v>
      </c>
      <c r="BV81" s="1">
        <v>5416</v>
      </c>
      <c r="BW81" s="1">
        <v>5612</v>
      </c>
      <c r="BX81" s="1">
        <v>5702</v>
      </c>
      <c r="BY81" s="1">
        <v>5553</v>
      </c>
      <c r="BZ81" s="1">
        <v>5660</v>
      </c>
    </row>
    <row r="82" spans="1:78" ht="15.9" customHeight="1">
      <c r="A82" s="78" t="s">
        <v>159</v>
      </c>
      <c r="B82" s="17" t="s">
        <v>160</v>
      </c>
      <c r="C82" s="546">
        <f>_xll.RssMarket("7167","始値")</f>
        <v>1490</v>
      </c>
      <c r="D82" s="23">
        <f t="shared" si="2"/>
        <v>6.5</v>
      </c>
      <c r="E82" s="553">
        <v>1483.5</v>
      </c>
      <c r="F82" s="21">
        <v>1489.5</v>
      </c>
      <c r="G82" s="21">
        <v>1514.5</v>
      </c>
      <c r="H82" s="21">
        <v>1468.5</v>
      </c>
      <c r="I82" s="21">
        <v>1502.5</v>
      </c>
      <c r="J82" s="21">
        <v>1534</v>
      </c>
      <c r="K82" s="21">
        <v>1550</v>
      </c>
      <c r="L82" s="21">
        <v>1490.5</v>
      </c>
      <c r="M82" s="21">
        <v>1487.5</v>
      </c>
      <c r="N82" s="21">
        <v>1480</v>
      </c>
      <c r="O82" s="21">
        <v>1444.5</v>
      </c>
      <c r="P82" s="21">
        <v>1500</v>
      </c>
      <c r="Q82" s="21">
        <v>1515</v>
      </c>
      <c r="R82" s="21">
        <v>1501</v>
      </c>
      <c r="S82" s="21">
        <v>1537</v>
      </c>
      <c r="T82" s="21">
        <v>1575</v>
      </c>
      <c r="U82" s="21">
        <v>1540</v>
      </c>
      <c r="V82" s="21">
        <v>1531</v>
      </c>
      <c r="W82" s="21">
        <v>1568.5</v>
      </c>
      <c r="X82" s="21">
        <v>1513.5</v>
      </c>
      <c r="Y82" s="21">
        <v>1498</v>
      </c>
      <c r="Z82" s="21">
        <v>1469</v>
      </c>
      <c r="AA82" s="21">
        <v>1425</v>
      </c>
      <c r="AB82" s="21">
        <v>1420</v>
      </c>
      <c r="AC82" s="21">
        <v>1417.5</v>
      </c>
      <c r="AD82" s="21">
        <v>1390</v>
      </c>
      <c r="AE82" s="21">
        <v>1411</v>
      </c>
      <c r="AF82" s="21">
        <v>1410.5</v>
      </c>
      <c r="AG82" s="21">
        <v>1443.5</v>
      </c>
      <c r="AH82" s="21">
        <v>1392.5</v>
      </c>
      <c r="AI82" s="21">
        <v>1439</v>
      </c>
      <c r="AJ82" s="21">
        <v>1418.5</v>
      </c>
      <c r="AK82" s="21">
        <v>1429</v>
      </c>
      <c r="AL82" s="21">
        <v>1410</v>
      </c>
      <c r="AM82" s="21">
        <v>1432</v>
      </c>
      <c r="AN82" s="21">
        <v>1399.5</v>
      </c>
      <c r="AO82" s="21">
        <v>1362</v>
      </c>
      <c r="AP82" s="21">
        <v>1400</v>
      </c>
      <c r="AQ82" s="21">
        <v>1327.5</v>
      </c>
      <c r="AR82" s="21">
        <v>1361</v>
      </c>
      <c r="AS82" s="21">
        <v>1293.5</v>
      </c>
      <c r="AT82" s="21">
        <v>1325</v>
      </c>
      <c r="AU82" s="21">
        <v>1277.5</v>
      </c>
      <c r="AV82" s="21">
        <v>1350</v>
      </c>
      <c r="AW82" s="21">
        <v>1371.5</v>
      </c>
      <c r="AX82" s="21">
        <v>1377.5</v>
      </c>
      <c r="AY82" s="21">
        <v>1396</v>
      </c>
      <c r="AZ82" s="21">
        <v>1422</v>
      </c>
      <c r="BA82" s="21">
        <v>1407</v>
      </c>
      <c r="BB82" s="21">
        <v>1395.5</v>
      </c>
      <c r="BC82" s="21">
        <v>1387</v>
      </c>
      <c r="BD82" s="21">
        <v>1378.5</v>
      </c>
      <c r="BE82" s="21">
        <v>1385</v>
      </c>
      <c r="BF82" s="21">
        <v>1364.5</v>
      </c>
      <c r="BG82" s="21">
        <v>1363</v>
      </c>
      <c r="BH82" s="21">
        <v>1350</v>
      </c>
      <c r="BI82" s="21">
        <v>1303</v>
      </c>
      <c r="BJ82" s="21">
        <v>1316</v>
      </c>
      <c r="BK82" s="21">
        <v>1345</v>
      </c>
      <c r="BL82" s="21">
        <v>1295.5</v>
      </c>
      <c r="BM82" s="1">
        <v>1296</v>
      </c>
      <c r="BN82" s="1">
        <v>1249.5</v>
      </c>
      <c r="BO82" s="1">
        <v>1206</v>
      </c>
      <c r="BP82" s="1">
        <v>1235.5</v>
      </c>
      <c r="BQ82" s="1">
        <v>1232</v>
      </c>
      <c r="BR82" s="1">
        <v>1281.5</v>
      </c>
      <c r="BS82" s="1">
        <v>1317.5</v>
      </c>
      <c r="BT82" s="1">
        <v>1353</v>
      </c>
      <c r="BU82" s="1">
        <v>1354</v>
      </c>
      <c r="BV82" s="1">
        <v>1363.5</v>
      </c>
      <c r="BW82" s="1">
        <v>1360</v>
      </c>
      <c r="BX82" s="1">
        <v>1349</v>
      </c>
      <c r="BY82" s="1">
        <v>1345</v>
      </c>
      <c r="BZ82" s="1">
        <v>1356</v>
      </c>
    </row>
    <row r="83" spans="1:78" ht="15.9" customHeight="1">
      <c r="A83" s="78" t="s">
        <v>161</v>
      </c>
      <c r="B83" s="17" t="s">
        <v>162</v>
      </c>
      <c r="C83" s="546">
        <f>_xll.RssMarket("1925","始値")</f>
        <v>4560</v>
      </c>
      <c r="D83" s="23">
        <f t="shared" si="2"/>
        <v>-24</v>
      </c>
      <c r="E83" s="553">
        <v>4584</v>
      </c>
      <c r="F83" s="21">
        <v>4664</v>
      </c>
      <c r="G83" s="21">
        <v>4694</v>
      </c>
      <c r="H83" s="21">
        <v>4876</v>
      </c>
      <c r="I83" s="21">
        <v>4820</v>
      </c>
      <c r="J83" s="21">
        <v>4740</v>
      </c>
      <c r="K83" s="21">
        <v>4693</v>
      </c>
      <c r="L83" s="21">
        <v>4546</v>
      </c>
      <c r="M83" s="21">
        <v>4548</v>
      </c>
      <c r="N83" s="21">
        <v>4580</v>
      </c>
      <c r="O83" s="21">
        <v>4599</v>
      </c>
      <c r="P83" s="21">
        <v>4637</v>
      </c>
      <c r="Q83" s="21">
        <v>4610</v>
      </c>
      <c r="R83" s="21">
        <v>4555</v>
      </c>
      <c r="S83" s="21">
        <v>4523</v>
      </c>
      <c r="T83" s="21">
        <v>4568</v>
      </c>
      <c r="U83" s="21">
        <v>4490</v>
      </c>
      <c r="V83" s="21">
        <v>4594</v>
      </c>
      <c r="W83" s="21">
        <v>4555</v>
      </c>
      <c r="X83" s="21">
        <v>4505</v>
      </c>
      <c r="Y83" s="21">
        <v>4530</v>
      </c>
      <c r="Z83" s="21">
        <v>4425</v>
      </c>
      <c r="AA83" s="21">
        <v>4400</v>
      </c>
      <c r="AB83" s="21">
        <v>4488</v>
      </c>
      <c r="AC83" s="21">
        <v>4428</v>
      </c>
      <c r="AD83" s="21">
        <v>4363</v>
      </c>
      <c r="AE83" s="21">
        <v>4386</v>
      </c>
      <c r="AF83" s="21">
        <v>4318</v>
      </c>
      <c r="AG83" s="21">
        <v>4308</v>
      </c>
      <c r="AH83" s="21">
        <v>4257</v>
      </c>
      <c r="AI83" s="21">
        <v>4320</v>
      </c>
      <c r="AJ83" s="21">
        <v>4366</v>
      </c>
      <c r="AK83" s="21">
        <v>4400</v>
      </c>
      <c r="AL83" s="21">
        <v>4336</v>
      </c>
      <c r="AM83" s="21">
        <v>4351</v>
      </c>
      <c r="AN83" s="21">
        <v>4324</v>
      </c>
      <c r="AO83" s="21">
        <v>4349</v>
      </c>
      <c r="AP83" s="21">
        <v>4317</v>
      </c>
      <c r="AQ83" s="21">
        <v>4188</v>
      </c>
      <c r="AR83" s="21">
        <v>4241</v>
      </c>
      <c r="AS83" s="21">
        <v>4218</v>
      </c>
      <c r="AT83" s="21">
        <v>4179</v>
      </c>
      <c r="AU83" s="21">
        <v>4168</v>
      </c>
      <c r="AV83" s="21">
        <v>4402</v>
      </c>
      <c r="AW83" s="21">
        <v>4396</v>
      </c>
      <c r="AX83" s="21">
        <v>4400</v>
      </c>
      <c r="AY83" s="21">
        <v>4445</v>
      </c>
      <c r="AZ83" s="21">
        <v>4463</v>
      </c>
      <c r="BA83" s="21">
        <v>4504</v>
      </c>
      <c r="BB83" s="21">
        <v>4544</v>
      </c>
      <c r="BC83" s="21">
        <v>4510</v>
      </c>
      <c r="BD83" s="21">
        <v>4543</v>
      </c>
      <c r="BE83" s="21">
        <v>4532</v>
      </c>
      <c r="BF83" s="21">
        <v>4649</v>
      </c>
      <c r="BG83" s="21">
        <v>4770</v>
      </c>
      <c r="BH83" s="21">
        <v>4760</v>
      </c>
      <c r="BI83" s="21">
        <v>4746</v>
      </c>
      <c r="BJ83" s="21">
        <v>4834</v>
      </c>
      <c r="BK83" s="21">
        <v>4750</v>
      </c>
      <c r="BL83" s="21">
        <v>4766</v>
      </c>
      <c r="BM83" s="1">
        <v>4813</v>
      </c>
      <c r="BN83" s="1">
        <v>4821</v>
      </c>
      <c r="BO83" s="1">
        <v>4765</v>
      </c>
      <c r="BP83" s="1">
        <v>4810</v>
      </c>
      <c r="BQ83" s="1">
        <v>4849</v>
      </c>
      <c r="BR83" s="1">
        <v>4890</v>
      </c>
      <c r="BS83" s="1">
        <v>4912</v>
      </c>
      <c r="BT83" s="1">
        <v>4901</v>
      </c>
      <c r="BU83" s="1">
        <v>4900</v>
      </c>
      <c r="BV83" s="1">
        <v>4925</v>
      </c>
      <c r="BW83" s="1">
        <v>4880</v>
      </c>
      <c r="BX83" s="1">
        <v>4919</v>
      </c>
      <c r="BY83" s="1">
        <v>4949</v>
      </c>
      <c r="BZ83" s="1">
        <v>4988</v>
      </c>
    </row>
    <row r="84" spans="1:78" ht="15.9" customHeight="1">
      <c r="A84" s="78" t="s">
        <v>163</v>
      </c>
      <c r="B84" s="17" t="s">
        <v>164</v>
      </c>
      <c r="C84" s="546">
        <f>_xll.RssMarket("5411","始値")</f>
        <v>1777</v>
      </c>
      <c r="D84" s="23">
        <f t="shared" si="2"/>
        <v>-12</v>
      </c>
      <c r="E84" s="553">
        <v>1789</v>
      </c>
      <c r="F84" s="21">
        <v>1799</v>
      </c>
      <c r="G84" s="21">
        <v>1825</v>
      </c>
      <c r="H84" s="21">
        <v>1850</v>
      </c>
      <c r="I84" s="21">
        <v>1800</v>
      </c>
      <c r="J84" s="21">
        <v>1765</v>
      </c>
      <c r="K84" s="21">
        <v>1750</v>
      </c>
      <c r="L84" s="21">
        <v>1706</v>
      </c>
      <c r="M84" s="21">
        <v>1700</v>
      </c>
      <c r="N84" s="21">
        <v>1736.5</v>
      </c>
      <c r="O84" s="21">
        <v>1716</v>
      </c>
      <c r="P84" s="21">
        <v>1689</v>
      </c>
      <c r="Q84" s="21">
        <v>1678</v>
      </c>
      <c r="R84" s="21">
        <v>1635</v>
      </c>
      <c r="S84" s="21">
        <v>1640.5</v>
      </c>
      <c r="T84" s="21">
        <v>1623</v>
      </c>
      <c r="U84" s="21">
        <v>1638</v>
      </c>
      <c r="V84" s="21">
        <v>1650.5</v>
      </c>
      <c r="W84" s="21">
        <v>1662.5</v>
      </c>
      <c r="X84" s="21">
        <v>1619</v>
      </c>
      <c r="Y84" s="21">
        <v>1595.5</v>
      </c>
      <c r="Z84" s="21">
        <v>1559</v>
      </c>
      <c r="AA84" s="21">
        <v>1567</v>
      </c>
      <c r="AB84" s="21">
        <v>1570</v>
      </c>
      <c r="AC84" s="21">
        <v>1552</v>
      </c>
      <c r="AD84" s="21">
        <v>1556</v>
      </c>
      <c r="AE84" s="21">
        <v>1573</v>
      </c>
      <c r="AF84" s="21">
        <v>1565.5</v>
      </c>
      <c r="AG84" s="21">
        <v>1600.5</v>
      </c>
      <c r="AH84" s="21">
        <v>1610</v>
      </c>
      <c r="AI84" s="21">
        <v>1635</v>
      </c>
      <c r="AJ84" s="21">
        <v>1631.5</v>
      </c>
      <c r="AK84" s="21">
        <v>1652</v>
      </c>
      <c r="AL84" s="21">
        <v>1656.5</v>
      </c>
      <c r="AM84" s="21">
        <v>1633</v>
      </c>
      <c r="AN84" s="21">
        <v>1600</v>
      </c>
      <c r="AO84" s="21">
        <v>1577</v>
      </c>
      <c r="AP84" s="21">
        <v>1570</v>
      </c>
      <c r="AQ84" s="21">
        <v>1603.5</v>
      </c>
      <c r="AR84" s="21">
        <v>1611</v>
      </c>
      <c r="AS84" s="21">
        <v>1594.5</v>
      </c>
      <c r="AT84" s="21">
        <v>1608</v>
      </c>
      <c r="AU84" s="21">
        <v>1613</v>
      </c>
      <c r="AV84" s="21">
        <v>1694</v>
      </c>
      <c r="AW84" s="21">
        <v>1685</v>
      </c>
      <c r="AX84" s="21">
        <v>1650.5</v>
      </c>
      <c r="AY84" s="21">
        <v>1651</v>
      </c>
      <c r="AZ84" s="21">
        <v>1651</v>
      </c>
      <c r="BA84" s="21">
        <v>1657</v>
      </c>
      <c r="BB84" s="21">
        <v>1668.5</v>
      </c>
      <c r="BC84" s="21">
        <v>1663</v>
      </c>
      <c r="BD84" s="21">
        <v>1670</v>
      </c>
      <c r="BE84" s="21">
        <v>1683</v>
      </c>
      <c r="BF84" s="21">
        <v>1724</v>
      </c>
      <c r="BG84" s="21">
        <v>1700</v>
      </c>
      <c r="BH84" s="21">
        <v>1675.5</v>
      </c>
      <c r="BI84" s="21">
        <v>1747</v>
      </c>
      <c r="BJ84" s="21">
        <v>1723.5</v>
      </c>
      <c r="BK84" s="21">
        <v>1740.5</v>
      </c>
      <c r="BL84" s="21">
        <v>1714</v>
      </c>
      <c r="BM84" s="1">
        <v>1690</v>
      </c>
      <c r="BN84" s="1">
        <v>1681</v>
      </c>
      <c r="BO84" s="1">
        <v>1690</v>
      </c>
      <c r="BP84" s="1">
        <v>1703.5</v>
      </c>
      <c r="BQ84" s="1">
        <v>1724</v>
      </c>
      <c r="BR84" s="1">
        <v>1745</v>
      </c>
      <c r="BS84" s="1">
        <v>1765</v>
      </c>
      <c r="BT84" s="1">
        <v>1803.5</v>
      </c>
      <c r="BU84" s="1">
        <v>1820</v>
      </c>
      <c r="BV84" s="1">
        <v>1821</v>
      </c>
      <c r="BW84" s="1">
        <v>1825</v>
      </c>
      <c r="BX84" s="1">
        <v>1859.5</v>
      </c>
      <c r="BY84" s="1">
        <v>1854.5</v>
      </c>
      <c r="BZ84" s="1">
        <v>1866.5</v>
      </c>
    </row>
    <row r="85" spans="1:78" ht="15.9" customHeight="1">
      <c r="A85" s="78" t="s">
        <v>165</v>
      </c>
      <c r="B85" s="17" t="s">
        <v>166</v>
      </c>
      <c r="C85" s="546">
        <f>_xll.RssMarket("7182","始値")</f>
        <v>3127</v>
      </c>
      <c r="D85" s="23">
        <f t="shared" si="2"/>
        <v>39</v>
      </c>
      <c r="E85" s="553">
        <v>3088</v>
      </c>
      <c r="F85" s="21">
        <v>3072</v>
      </c>
      <c r="G85" s="21">
        <v>3154</v>
      </c>
      <c r="H85" s="21">
        <v>3122</v>
      </c>
      <c r="I85" s="21">
        <v>3200</v>
      </c>
      <c r="J85" s="21">
        <v>3361</v>
      </c>
      <c r="K85" s="21">
        <v>3400</v>
      </c>
      <c r="L85" s="21">
        <v>3392</v>
      </c>
      <c r="M85" s="21">
        <v>3392</v>
      </c>
      <c r="N85" s="21">
        <v>3404</v>
      </c>
      <c r="O85" s="21">
        <v>3184</v>
      </c>
      <c r="P85" s="21">
        <v>3230</v>
      </c>
      <c r="Q85" s="21">
        <v>3335</v>
      </c>
      <c r="R85" s="21">
        <v>3254</v>
      </c>
      <c r="S85" s="21">
        <v>3290</v>
      </c>
      <c r="T85" s="21">
        <v>3306</v>
      </c>
      <c r="U85" s="21">
        <v>3287</v>
      </c>
      <c r="V85" s="21">
        <v>3307</v>
      </c>
      <c r="W85" s="21">
        <v>3340</v>
      </c>
      <c r="X85" s="21">
        <v>3220</v>
      </c>
      <c r="Y85" s="21">
        <v>3200</v>
      </c>
      <c r="Z85" s="21">
        <v>3116</v>
      </c>
      <c r="AA85" s="21">
        <v>3090</v>
      </c>
      <c r="AB85" s="21">
        <v>3114</v>
      </c>
      <c r="AC85" s="21">
        <v>3069</v>
      </c>
      <c r="AD85" s="21">
        <v>3060</v>
      </c>
      <c r="AE85" s="21">
        <v>3084</v>
      </c>
      <c r="AF85" s="21">
        <v>3239</v>
      </c>
      <c r="AG85" s="21">
        <v>3291</v>
      </c>
      <c r="AH85" s="21">
        <v>3194</v>
      </c>
      <c r="AI85" s="21">
        <v>3263</v>
      </c>
      <c r="AJ85" s="21">
        <v>3234</v>
      </c>
      <c r="AK85" s="21">
        <v>3188</v>
      </c>
      <c r="AL85" s="21">
        <v>3165</v>
      </c>
      <c r="AM85" s="21">
        <v>3250</v>
      </c>
      <c r="AN85" s="21">
        <v>3164</v>
      </c>
      <c r="AO85" s="21">
        <v>3085</v>
      </c>
      <c r="AP85" s="21">
        <v>3188</v>
      </c>
      <c r="AQ85" s="21">
        <v>3106</v>
      </c>
      <c r="AR85" s="21">
        <v>3238</v>
      </c>
      <c r="AS85" s="21">
        <v>3180</v>
      </c>
      <c r="AT85" s="21">
        <v>3136</v>
      </c>
      <c r="AU85" s="21">
        <v>2985</v>
      </c>
      <c r="AV85" s="21">
        <v>3000</v>
      </c>
      <c r="AW85" s="21">
        <v>2951</v>
      </c>
      <c r="AX85" s="21">
        <v>3020</v>
      </c>
      <c r="AY85" s="21">
        <v>3087</v>
      </c>
      <c r="AZ85" s="21">
        <v>3200</v>
      </c>
      <c r="BA85" s="21">
        <v>3150</v>
      </c>
      <c r="BB85" s="21">
        <v>3165</v>
      </c>
      <c r="BC85" s="21">
        <v>2995</v>
      </c>
      <c r="BD85" s="21">
        <v>2860</v>
      </c>
      <c r="BE85" s="21">
        <v>2823.5</v>
      </c>
      <c r="BF85" s="21">
        <v>2849.5</v>
      </c>
      <c r="BG85" s="21">
        <v>2821.5</v>
      </c>
      <c r="BH85" s="21">
        <v>2846.5</v>
      </c>
      <c r="BI85" s="21">
        <v>2739.5</v>
      </c>
      <c r="BJ85" s="21">
        <v>2767</v>
      </c>
      <c r="BK85" s="21">
        <v>2760</v>
      </c>
      <c r="BL85" s="21">
        <v>2700</v>
      </c>
      <c r="BM85" s="1">
        <v>2697.5</v>
      </c>
      <c r="BN85" s="1">
        <v>2562.5</v>
      </c>
      <c r="BO85" s="1">
        <v>2475</v>
      </c>
      <c r="BP85" s="1">
        <v>2529.5</v>
      </c>
      <c r="BQ85" s="1">
        <v>2530</v>
      </c>
      <c r="BR85" s="1">
        <v>2600</v>
      </c>
      <c r="BS85" s="1">
        <v>2709</v>
      </c>
      <c r="BT85" s="1">
        <v>2752.5</v>
      </c>
      <c r="BU85" s="1">
        <v>2795</v>
      </c>
      <c r="BV85" s="1">
        <v>2788</v>
      </c>
      <c r="BW85" s="1">
        <v>2774.5</v>
      </c>
      <c r="BX85" s="1">
        <v>2745</v>
      </c>
      <c r="BY85" s="1">
        <v>2695</v>
      </c>
      <c r="BZ85" s="1">
        <v>2719</v>
      </c>
    </row>
    <row r="86" spans="1:78" ht="15.9" customHeight="1">
      <c r="A86" s="78" t="s">
        <v>167</v>
      </c>
      <c r="B86" s="17" t="s">
        <v>168</v>
      </c>
      <c r="C86" s="546">
        <f>_xll.RssMarket("1963","始値")</f>
        <v>2310</v>
      </c>
      <c r="D86" s="23">
        <f t="shared" si="2"/>
        <v>65</v>
      </c>
      <c r="E86" s="553">
        <v>2245</v>
      </c>
      <c r="F86" s="21">
        <v>2240.5</v>
      </c>
      <c r="G86" s="21">
        <v>2268</v>
      </c>
      <c r="H86" s="21">
        <v>2200</v>
      </c>
      <c r="I86" s="21">
        <v>2329</v>
      </c>
      <c r="J86" s="21">
        <v>2321</v>
      </c>
      <c r="K86" s="21">
        <v>2287.5</v>
      </c>
      <c r="L86" s="21"/>
      <c r="M86" s="21">
        <v>2295</v>
      </c>
      <c r="N86" s="21">
        <v>2299</v>
      </c>
      <c r="O86" s="21">
        <v>2227</v>
      </c>
      <c r="P86" s="21">
        <v>2220</v>
      </c>
      <c r="Q86" s="21">
        <v>2310</v>
      </c>
      <c r="R86" s="21">
        <v>2305</v>
      </c>
      <c r="S86" s="21">
        <v>2368</v>
      </c>
      <c r="T86" s="21">
        <v>2356</v>
      </c>
      <c r="U86" s="21">
        <v>2343</v>
      </c>
      <c r="V86" s="21">
        <v>2450</v>
      </c>
      <c r="W86" s="21">
        <v>2558</v>
      </c>
      <c r="X86" s="21">
        <v>2540</v>
      </c>
      <c r="Y86" s="21">
        <v>2520</v>
      </c>
      <c r="Z86" s="21">
        <v>2486.5</v>
      </c>
      <c r="AA86" s="21">
        <v>2508.5</v>
      </c>
      <c r="AB86" s="21">
        <v>2589.5</v>
      </c>
      <c r="AC86" s="21">
        <v>2563</v>
      </c>
      <c r="AD86" s="21">
        <v>2530.5</v>
      </c>
      <c r="AE86" s="21">
        <v>2603</v>
      </c>
      <c r="AF86" s="21">
        <v>2574</v>
      </c>
      <c r="AG86" s="21">
        <v>2651</v>
      </c>
      <c r="AH86" s="21">
        <v>2608</v>
      </c>
      <c r="AI86" s="21">
        <v>2780</v>
      </c>
      <c r="AJ86" s="21">
        <v>2783.5</v>
      </c>
      <c r="AK86" s="21">
        <v>2680</v>
      </c>
      <c r="AL86" s="21">
        <v>2698</v>
      </c>
      <c r="AM86" s="21">
        <v>2700</v>
      </c>
      <c r="AN86" s="21">
        <v>2555.5</v>
      </c>
      <c r="AO86" s="21">
        <v>2470</v>
      </c>
      <c r="AP86" s="21">
        <v>2539.5</v>
      </c>
      <c r="AQ86" s="21">
        <v>2595.5</v>
      </c>
      <c r="AR86" s="21">
        <v>2605.5</v>
      </c>
      <c r="AS86" s="21">
        <v>2641.5</v>
      </c>
      <c r="AT86" s="21">
        <v>2627</v>
      </c>
      <c r="AU86" s="21">
        <v>2635.5</v>
      </c>
      <c r="AV86" s="21">
        <v>2669.5</v>
      </c>
      <c r="AW86" s="21">
        <v>2853</v>
      </c>
      <c r="AX86" s="21">
        <v>2843.5</v>
      </c>
      <c r="AY86" s="21">
        <v>2781.5</v>
      </c>
      <c r="AZ86" s="21">
        <v>2683</v>
      </c>
      <c r="BA86" s="21">
        <v>2685</v>
      </c>
      <c r="BB86" s="21">
        <v>2646</v>
      </c>
      <c r="BC86" s="21">
        <v>2600</v>
      </c>
      <c r="BD86" s="21">
        <v>2699</v>
      </c>
      <c r="BE86" s="21">
        <v>2680</v>
      </c>
      <c r="BF86" s="21">
        <v>2451.5</v>
      </c>
      <c r="BG86" s="21">
        <v>2409.5</v>
      </c>
      <c r="BH86" s="21">
        <v>2418</v>
      </c>
      <c r="BI86" s="21">
        <v>2521</v>
      </c>
      <c r="BJ86" s="21">
        <v>2508.5</v>
      </c>
      <c r="BK86" s="21">
        <v>2409.5</v>
      </c>
      <c r="BL86" s="21">
        <v>2398</v>
      </c>
      <c r="BM86" s="1">
        <v>2412</v>
      </c>
      <c r="BN86" s="1">
        <v>2389</v>
      </c>
      <c r="BO86" s="1">
        <v>2325</v>
      </c>
      <c r="BP86" s="1">
        <v>2396.5</v>
      </c>
      <c r="BQ86" s="1">
        <v>2300.5</v>
      </c>
      <c r="BR86" s="1">
        <v>2355.5</v>
      </c>
      <c r="BS86" s="1">
        <v>2430</v>
      </c>
      <c r="BT86" s="1">
        <v>2527</v>
      </c>
      <c r="BU86" s="1">
        <v>2544.5</v>
      </c>
      <c r="BV86" s="1">
        <v>2538</v>
      </c>
      <c r="BW86" s="1">
        <v>2680</v>
      </c>
      <c r="BX86" s="1">
        <v>2709</v>
      </c>
      <c r="BY86" s="1">
        <v>2746.5</v>
      </c>
      <c r="BZ86" s="1">
        <v>2840</v>
      </c>
    </row>
    <row r="87" spans="1:78" ht="15.9" customHeight="1">
      <c r="A87" s="78" t="s">
        <v>169</v>
      </c>
      <c r="B87" s="17" t="s">
        <v>170</v>
      </c>
      <c r="C87" s="546">
        <f>_xll.RssMarket("2914","始値")</f>
        <v>6758</v>
      </c>
      <c r="D87" s="23">
        <f t="shared" si="2"/>
        <v>-142</v>
      </c>
      <c r="E87" s="553">
        <v>6900</v>
      </c>
      <c r="F87" s="21">
        <v>7002</v>
      </c>
      <c r="G87" s="21">
        <v>7000</v>
      </c>
      <c r="H87" s="21">
        <v>6800</v>
      </c>
      <c r="I87" s="21">
        <v>6677</v>
      </c>
      <c r="J87" s="21">
        <v>6573</v>
      </c>
      <c r="K87" s="21">
        <v>6479</v>
      </c>
      <c r="L87" s="21">
        <v>6390</v>
      </c>
      <c r="M87" s="21">
        <v>6489</v>
      </c>
      <c r="N87" s="21">
        <v>6360</v>
      </c>
      <c r="O87" s="21">
        <v>6320</v>
      </c>
      <c r="P87" s="21">
        <v>6249</v>
      </c>
      <c r="Q87" s="21">
        <v>6140</v>
      </c>
      <c r="R87" s="21">
        <v>6175</v>
      </c>
      <c r="S87" s="21">
        <v>6120</v>
      </c>
      <c r="T87" s="21">
        <v>6206</v>
      </c>
      <c r="U87" s="21">
        <v>6190</v>
      </c>
      <c r="V87" s="21">
        <v>6203</v>
      </c>
      <c r="W87" s="21">
        <v>6146</v>
      </c>
      <c r="X87" s="21">
        <v>6093</v>
      </c>
      <c r="Y87" s="21">
        <v>6100</v>
      </c>
      <c r="Z87" s="21">
        <v>6012</v>
      </c>
      <c r="AA87" s="21">
        <v>6012</v>
      </c>
      <c r="AB87" s="21">
        <v>5998</v>
      </c>
      <c r="AC87" s="21">
        <v>5985</v>
      </c>
      <c r="AD87" s="21">
        <v>5950</v>
      </c>
      <c r="AE87" s="21">
        <v>5950</v>
      </c>
      <c r="AF87" s="21">
        <v>5967</v>
      </c>
      <c r="AG87" s="21">
        <v>5974</v>
      </c>
      <c r="AH87" s="21">
        <v>6028</v>
      </c>
      <c r="AI87" s="21">
        <v>6066</v>
      </c>
      <c r="AJ87" s="21">
        <v>6064</v>
      </c>
      <c r="AK87" s="21">
        <v>6133</v>
      </c>
      <c r="AL87" s="21">
        <v>6074</v>
      </c>
      <c r="AM87" s="21">
        <v>6200</v>
      </c>
      <c r="AN87" s="21">
        <v>6350</v>
      </c>
      <c r="AO87" s="21">
        <v>6230</v>
      </c>
      <c r="AP87" s="21">
        <v>6128</v>
      </c>
      <c r="AQ87" s="21">
        <v>6032</v>
      </c>
      <c r="AR87" s="21">
        <v>6025</v>
      </c>
      <c r="AS87" s="21">
        <v>6103</v>
      </c>
      <c r="AT87" s="21">
        <v>6100</v>
      </c>
      <c r="AU87" s="21">
        <v>6048</v>
      </c>
      <c r="AV87" s="21">
        <v>6100</v>
      </c>
      <c r="AW87" s="21">
        <v>6144</v>
      </c>
      <c r="AX87" s="21">
        <v>6080</v>
      </c>
      <c r="AY87" s="21">
        <v>6100</v>
      </c>
      <c r="AZ87" s="21">
        <v>6218</v>
      </c>
      <c r="BA87" s="21">
        <v>6320</v>
      </c>
      <c r="BB87" s="21">
        <v>6420</v>
      </c>
      <c r="BC87" s="21">
        <v>6343</v>
      </c>
      <c r="BD87" s="21">
        <v>6330</v>
      </c>
      <c r="BE87" s="21">
        <v>6250</v>
      </c>
      <c r="BF87" s="21">
        <v>6204</v>
      </c>
      <c r="BG87" s="21">
        <v>6090</v>
      </c>
      <c r="BH87" s="21">
        <v>6120</v>
      </c>
      <c r="BI87" s="21">
        <v>6000</v>
      </c>
      <c r="BJ87" s="21">
        <v>5852</v>
      </c>
      <c r="BK87" s="21">
        <v>5896</v>
      </c>
      <c r="BL87" s="21">
        <v>5818</v>
      </c>
      <c r="BM87" s="1">
        <v>5780</v>
      </c>
      <c r="BN87" s="1">
        <v>5750</v>
      </c>
      <c r="BO87" s="1">
        <v>5760</v>
      </c>
      <c r="BP87" s="1">
        <v>5885</v>
      </c>
      <c r="BQ87" s="1">
        <v>5728</v>
      </c>
      <c r="BR87" s="1">
        <v>5707</v>
      </c>
      <c r="BS87" s="1">
        <v>5800</v>
      </c>
      <c r="BT87" s="1">
        <v>5830</v>
      </c>
      <c r="BU87" s="1">
        <v>5847</v>
      </c>
      <c r="BV87" s="1">
        <v>5870</v>
      </c>
      <c r="BW87" s="1">
        <v>5912</v>
      </c>
      <c r="BX87" s="1">
        <v>5950</v>
      </c>
      <c r="BY87" s="1">
        <v>5993</v>
      </c>
      <c r="BZ87" s="1">
        <v>6034</v>
      </c>
    </row>
    <row r="88" spans="1:78" ht="15.9" customHeight="1">
      <c r="A88" s="78" t="s">
        <v>171</v>
      </c>
      <c r="B88" s="17" t="s">
        <v>172</v>
      </c>
      <c r="C88" s="546">
        <f>_xll.RssMarket("3003","始値")</f>
        <v>1719</v>
      </c>
      <c r="D88" s="23">
        <f t="shared" si="2"/>
        <v>-0.5</v>
      </c>
      <c r="E88" s="553">
        <v>1719.5</v>
      </c>
      <c r="F88" s="21">
        <v>1756.5</v>
      </c>
      <c r="G88" s="21">
        <v>1789.5</v>
      </c>
      <c r="H88" s="21">
        <v>1904.5</v>
      </c>
      <c r="I88" s="21">
        <v>1849</v>
      </c>
      <c r="J88" s="21">
        <v>1810</v>
      </c>
      <c r="K88" s="21">
        <v>1787.5</v>
      </c>
      <c r="L88" s="21">
        <v>1765</v>
      </c>
      <c r="M88" s="21">
        <v>1790</v>
      </c>
      <c r="N88" s="21">
        <v>1800</v>
      </c>
      <c r="O88" s="21">
        <v>1826</v>
      </c>
      <c r="P88" s="21">
        <v>1808</v>
      </c>
      <c r="Q88" s="21">
        <v>1795</v>
      </c>
      <c r="R88" s="21">
        <v>1754</v>
      </c>
      <c r="S88" s="21">
        <v>1774.5</v>
      </c>
      <c r="T88" s="21">
        <v>1746</v>
      </c>
      <c r="U88" s="21">
        <v>1762</v>
      </c>
      <c r="V88" s="21">
        <v>1781.5</v>
      </c>
      <c r="W88" s="21">
        <v>1768</v>
      </c>
      <c r="X88" s="21">
        <v>1749.5</v>
      </c>
      <c r="Y88" s="21">
        <v>1744</v>
      </c>
      <c r="Z88" s="21">
        <v>1704.5</v>
      </c>
      <c r="AA88" s="21">
        <v>1692</v>
      </c>
      <c r="AB88" s="21">
        <v>1715</v>
      </c>
      <c r="AC88" s="21">
        <v>1699</v>
      </c>
      <c r="AD88" s="21">
        <v>1700.5</v>
      </c>
      <c r="AE88" s="21">
        <v>1714.5</v>
      </c>
      <c r="AF88" s="21">
        <v>1695</v>
      </c>
      <c r="AG88" s="21">
        <v>1675</v>
      </c>
      <c r="AH88" s="21">
        <v>1689</v>
      </c>
      <c r="AI88" s="21">
        <v>1693</v>
      </c>
      <c r="AJ88" s="21">
        <v>1707</v>
      </c>
      <c r="AK88" s="21">
        <v>1733</v>
      </c>
      <c r="AL88" s="21">
        <v>1725</v>
      </c>
      <c r="AM88" s="21">
        <v>1748</v>
      </c>
      <c r="AN88" s="21">
        <v>1725.5</v>
      </c>
      <c r="AO88" s="21">
        <v>1740</v>
      </c>
      <c r="AP88" s="21">
        <v>1716</v>
      </c>
      <c r="AQ88" s="21">
        <v>1656</v>
      </c>
      <c r="AR88" s="21">
        <v>1650</v>
      </c>
      <c r="AS88" s="21">
        <v>1645</v>
      </c>
      <c r="AT88" s="21">
        <v>1661.5</v>
      </c>
      <c r="AU88" s="21">
        <v>1640</v>
      </c>
      <c r="AV88" s="21">
        <v>1677.5</v>
      </c>
      <c r="AW88" s="21">
        <v>1660</v>
      </c>
      <c r="AX88" s="21">
        <v>1675</v>
      </c>
      <c r="AY88" s="21">
        <v>1669.5</v>
      </c>
      <c r="AZ88" s="21">
        <v>1660</v>
      </c>
      <c r="BA88" s="21">
        <v>1740</v>
      </c>
      <c r="BB88" s="21">
        <v>1741.5</v>
      </c>
      <c r="BC88" s="21">
        <v>1730</v>
      </c>
      <c r="BD88" s="21">
        <v>1763</v>
      </c>
      <c r="BE88" s="21">
        <v>1743</v>
      </c>
      <c r="BF88" s="21">
        <v>1789.5</v>
      </c>
      <c r="BG88" s="21">
        <v>1797</v>
      </c>
      <c r="BH88" s="21">
        <v>1792</v>
      </c>
      <c r="BI88" s="21">
        <v>1801</v>
      </c>
      <c r="BJ88" s="21">
        <v>1811.5</v>
      </c>
      <c r="BK88" s="21">
        <v>1789</v>
      </c>
      <c r="BL88" s="21">
        <v>1765.5</v>
      </c>
      <c r="BM88" s="1">
        <v>1782</v>
      </c>
      <c r="BN88" s="1">
        <v>1783.5</v>
      </c>
      <c r="BO88" s="1">
        <v>1830</v>
      </c>
      <c r="BP88" s="1">
        <v>1819</v>
      </c>
      <c r="BQ88" s="1">
        <v>1820</v>
      </c>
      <c r="BR88" s="1">
        <v>1850</v>
      </c>
      <c r="BS88" s="1">
        <v>1893</v>
      </c>
      <c r="BT88" s="1">
        <v>1900</v>
      </c>
      <c r="BU88" s="1">
        <v>1898</v>
      </c>
      <c r="BV88" s="1">
        <v>1900</v>
      </c>
      <c r="BW88" s="1">
        <v>1906.5</v>
      </c>
      <c r="BX88" s="1">
        <v>1890</v>
      </c>
      <c r="BY88" s="1">
        <v>1875</v>
      </c>
      <c r="BZ88" s="1">
        <v>1881</v>
      </c>
    </row>
    <row r="89" spans="1:78" ht="15.9" customHeight="1">
      <c r="A89" s="78" t="s">
        <v>173</v>
      </c>
      <c r="B89" s="17" t="s">
        <v>174</v>
      </c>
      <c r="C89" s="546">
        <f>_xll.RssMarket("5892","始値")</f>
        <v>2124</v>
      </c>
      <c r="D89" s="23">
        <f t="shared" si="2"/>
        <v>12</v>
      </c>
      <c r="E89" s="553">
        <v>2112</v>
      </c>
      <c r="F89" s="21">
        <v>2128</v>
      </c>
      <c r="G89" s="21">
        <v>2070</v>
      </c>
      <c r="H89" s="21">
        <v>2041</v>
      </c>
      <c r="I89" s="21">
        <v>2020</v>
      </c>
      <c r="J89" s="21">
        <v>2055</v>
      </c>
      <c r="K89" s="21">
        <v>1974</v>
      </c>
      <c r="L89" s="21">
        <v>1980</v>
      </c>
      <c r="M89" s="21">
        <v>2000</v>
      </c>
      <c r="N89" s="21">
        <v>2030</v>
      </c>
      <c r="O89" s="21">
        <v>2060</v>
      </c>
      <c r="P89" s="21">
        <v>2060</v>
      </c>
      <c r="Q89" s="21">
        <v>2100</v>
      </c>
      <c r="R89" s="21">
        <v>2030</v>
      </c>
      <c r="S89" s="21">
        <v>2075</v>
      </c>
      <c r="T89" s="21">
        <v>2062</v>
      </c>
      <c r="U89" s="21">
        <v>2067</v>
      </c>
      <c r="V89" s="21">
        <v>2100</v>
      </c>
      <c r="W89" s="21">
        <v>2097</v>
      </c>
      <c r="X89" s="21">
        <v>2144</v>
      </c>
      <c r="Y89" s="21">
        <v>2097</v>
      </c>
      <c r="Z89" s="21">
        <v>2055</v>
      </c>
      <c r="AA89" s="21">
        <v>2066</v>
      </c>
      <c r="AB89" s="21">
        <v>2052</v>
      </c>
      <c r="AC89" s="21">
        <v>2010</v>
      </c>
      <c r="AD89" s="21">
        <v>2000</v>
      </c>
      <c r="AE89" s="21">
        <v>2000</v>
      </c>
      <c r="AF89" s="21">
        <v>2010</v>
      </c>
      <c r="AG89" s="21">
        <v>2065</v>
      </c>
      <c r="AH89" s="21">
        <v>2031</v>
      </c>
      <c r="AI89" s="21">
        <v>2122</v>
      </c>
      <c r="AJ89" s="21">
        <v>2142</v>
      </c>
      <c r="AK89" s="21">
        <v>2046</v>
      </c>
      <c r="AL89" s="21">
        <v>1977</v>
      </c>
      <c r="AM89" s="21">
        <v>2003</v>
      </c>
      <c r="AN89" s="21">
        <v>2121</v>
      </c>
      <c r="AO89" s="21">
        <v>2160</v>
      </c>
      <c r="AP89" s="21">
        <v>2166</v>
      </c>
      <c r="AQ89" s="21">
        <v>2320</v>
      </c>
      <c r="AR89" s="21">
        <v>2231</v>
      </c>
      <c r="AS89" s="21">
        <v>2106</v>
      </c>
      <c r="AT89" s="21">
        <v>2108</v>
      </c>
      <c r="AU89" s="21">
        <v>2152</v>
      </c>
      <c r="AV89" s="21">
        <v>2268</v>
      </c>
      <c r="AW89" s="21">
        <v>2340</v>
      </c>
      <c r="AX89" s="21">
        <v>2506</v>
      </c>
      <c r="AY89" s="21">
        <v>2476</v>
      </c>
      <c r="AZ89" s="21">
        <v>2467</v>
      </c>
      <c r="BA89" s="21">
        <v>2530</v>
      </c>
      <c r="BB89" s="21">
        <v>2649</v>
      </c>
      <c r="BC89" s="21">
        <v>2590</v>
      </c>
      <c r="BD89" s="21">
        <v>2599</v>
      </c>
      <c r="BE89" s="21">
        <v>2384</v>
      </c>
      <c r="BF89" s="21">
        <v>2060</v>
      </c>
      <c r="BG89" s="21">
        <v>1936</v>
      </c>
      <c r="BH89" s="21">
        <v>1948</v>
      </c>
      <c r="BI89" s="21">
        <v>1970</v>
      </c>
      <c r="BJ89" s="21">
        <v>1973</v>
      </c>
      <c r="BK89" s="21">
        <v>1982</v>
      </c>
      <c r="BL89" s="21">
        <v>1950</v>
      </c>
      <c r="BM89" s="1">
        <v>1989</v>
      </c>
      <c r="BN89" s="1">
        <v>2036</v>
      </c>
      <c r="BO89" s="1">
        <v>2056</v>
      </c>
      <c r="BP89" s="1">
        <v>2100</v>
      </c>
      <c r="BQ89" s="1">
        <v>2187</v>
      </c>
      <c r="BR89" s="1">
        <v>2175</v>
      </c>
      <c r="BS89" s="1">
        <v>2225</v>
      </c>
      <c r="BT89" s="1">
        <v>2200</v>
      </c>
      <c r="BU89" s="1">
        <v>2188</v>
      </c>
      <c r="BV89" s="1">
        <v>2235</v>
      </c>
      <c r="BW89" s="1">
        <v>2348</v>
      </c>
      <c r="BX89" s="1">
        <v>2382</v>
      </c>
      <c r="BY89" s="1">
        <v>2176</v>
      </c>
      <c r="BZ89" s="1">
        <v>2183</v>
      </c>
    </row>
    <row r="90" spans="1:78" ht="15.9" customHeight="1">
      <c r="A90" s="78" t="s">
        <v>175</v>
      </c>
      <c r="B90" s="17" t="s">
        <v>176</v>
      </c>
      <c r="C90" s="546">
        <f>_xll.RssMarket("6323","始値")</f>
        <v>4400</v>
      </c>
      <c r="D90" s="23">
        <f t="shared" si="2"/>
        <v>355</v>
      </c>
      <c r="E90" s="553">
        <v>4045</v>
      </c>
      <c r="F90" s="21">
        <v>3881</v>
      </c>
      <c r="G90" s="21">
        <v>3826</v>
      </c>
      <c r="H90" s="21">
        <v>3435</v>
      </c>
      <c r="I90" s="21">
        <v>3758</v>
      </c>
      <c r="J90" s="21">
        <v>4092</v>
      </c>
      <c r="K90" s="21">
        <v>4449</v>
      </c>
      <c r="L90" s="21">
        <v>4591</v>
      </c>
      <c r="M90" s="21">
        <v>4706</v>
      </c>
      <c r="N90" s="21">
        <v>4600</v>
      </c>
      <c r="O90" s="21">
        <v>4430</v>
      </c>
      <c r="P90" s="21">
        <v>4340</v>
      </c>
      <c r="Q90" s="21">
        <v>4515</v>
      </c>
      <c r="R90" s="21">
        <v>4547</v>
      </c>
      <c r="S90" s="21">
        <v>4585</v>
      </c>
      <c r="T90" s="21">
        <v>4936</v>
      </c>
      <c r="U90" s="21">
        <v>4624</v>
      </c>
      <c r="V90" s="21">
        <v>4270</v>
      </c>
      <c r="W90" s="21">
        <v>4622</v>
      </c>
      <c r="X90" s="21">
        <v>4943</v>
      </c>
      <c r="Y90" s="21">
        <v>4398</v>
      </c>
      <c r="Z90" s="21">
        <v>4826</v>
      </c>
      <c r="AA90" s="21">
        <v>4967</v>
      </c>
      <c r="AB90" s="21">
        <v>4650</v>
      </c>
      <c r="AC90" s="21">
        <v>4577</v>
      </c>
      <c r="AD90" s="21">
        <v>4741</v>
      </c>
      <c r="AE90" s="21">
        <v>4663</v>
      </c>
      <c r="AF90" s="21">
        <v>4650</v>
      </c>
      <c r="AG90" s="21">
        <v>5010</v>
      </c>
      <c r="AH90" s="21">
        <v>4900</v>
      </c>
      <c r="AI90" s="21">
        <v>5030</v>
      </c>
      <c r="AJ90" s="21">
        <v>4540</v>
      </c>
      <c r="AK90" s="21">
        <v>4309</v>
      </c>
      <c r="AL90" s="21">
        <v>4482</v>
      </c>
      <c r="AM90" s="21">
        <v>4340</v>
      </c>
      <c r="AN90" s="21">
        <v>4066</v>
      </c>
      <c r="AO90" s="21">
        <v>3727</v>
      </c>
      <c r="AP90" s="21">
        <v>3812</v>
      </c>
      <c r="AQ90" s="21">
        <v>3809</v>
      </c>
      <c r="AR90" s="21">
        <v>4114</v>
      </c>
      <c r="AS90" s="21">
        <v>4216</v>
      </c>
      <c r="AT90" s="21">
        <v>4039</v>
      </c>
      <c r="AU90" s="21">
        <v>3780</v>
      </c>
      <c r="AV90" s="21">
        <v>4050</v>
      </c>
      <c r="AW90" s="21">
        <v>3840</v>
      </c>
      <c r="AX90" s="21">
        <v>4033</v>
      </c>
      <c r="AY90" s="21">
        <v>4020</v>
      </c>
      <c r="AZ90" s="21">
        <v>3822</v>
      </c>
      <c r="BA90" s="21">
        <v>3634</v>
      </c>
      <c r="BB90" s="21">
        <v>3606</v>
      </c>
      <c r="BC90" s="21">
        <v>3668</v>
      </c>
      <c r="BD90" s="21">
        <v>3800</v>
      </c>
      <c r="BE90" s="21">
        <v>4031</v>
      </c>
      <c r="BF90" s="21">
        <v>4080</v>
      </c>
      <c r="BG90" s="21">
        <v>3926</v>
      </c>
      <c r="BH90" s="21">
        <v>4180</v>
      </c>
      <c r="BI90" s="21">
        <v>3968</v>
      </c>
      <c r="BJ90" s="21">
        <v>3860</v>
      </c>
      <c r="BK90" s="21">
        <v>3945</v>
      </c>
      <c r="BL90" s="21">
        <v>3790</v>
      </c>
      <c r="BM90" s="1">
        <v>3790</v>
      </c>
      <c r="BN90" s="1">
        <v>3884</v>
      </c>
      <c r="BO90" s="1">
        <v>3949</v>
      </c>
      <c r="BP90" s="1">
        <v>3592</v>
      </c>
      <c r="BQ90" s="1">
        <v>3700</v>
      </c>
      <c r="BR90" s="1">
        <v>3645</v>
      </c>
      <c r="BS90" s="1">
        <v>3637</v>
      </c>
      <c r="BT90" s="1">
        <v>3720</v>
      </c>
      <c r="BU90" s="1">
        <v>3768</v>
      </c>
      <c r="BV90" s="1">
        <v>3878</v>
      </c>
      <c r="BW90" s="1">
        <v>4005</v>
      </c>
      <c r="BX90" s="1">
        <v>4088</v>
      </c>
      <c r="BY90" s="1">
        <v>3976</v>
      </c>
      <c r="BZ90" s="1">
        <v>3750</v>
      </c>
    </row>
    <row r="91" spans="1:78" ht="15.9" customHeight="1">
      <c r="A91" s="78" t="s">
        <v>177</v>
      </c>
      <c r="B91" s="17" t="s">
        <v>178</v>
      </c>
      <c r="C91" s="546">
        <f>_xll.RssMarket("6501","始値")</f>
        <v>5425</v>
      </c>
      <c r="D91" s="23">
        <f t="shared" si="2"/>
        <v>35</v>
      </c>
      <c r="E91" s="553">
        <v>5390</v>
      </c>
      <c r="F91" s="21">
        <v>5181</v>
      </c>
      <c r="G91" s="21">
        <v>5299</v>
      </c>
      <c r="H91" s="21">
        <v>5200</v>
      </c>
      <c r="I91" s="21">
        <v>4911</v>
      </c>
      <c r="J91" s="21">
        <v>4923</v>
      </c>
      <c r="K91" s="21">
        <v>4920</v>
      </c>
      <c r="L91" s="21">
        <v>4840</v>
      </c>
      <c r="M91" s="21">
        <v>4827</v>
      </c>
      <c r="N91" s="21">
        <v>4789</v>
      </c>
      <c r="O91" s="21">
        <v>4696</v>
      </c>
      <c r="P91" s="21">
        <v>4688</v>
      </c>
      <c r="Q91" s="21">
        <v>4795</v>
      </c>
      <c r="R91" s="21">
        <v>4724</v>
      </c>
      <c r="S91" s="21">
        <v>4700</v>
      </c>
      <c r="T91" s="21">
        <v>4725</v>
      </c>
      <c r="U91" s="21">
        <v>4750</v>
      </c>
      <c r="V91" s="21">
        <v>4872</v>
      </c>
      <c r="W91" s="21">
        <v>4822</v>
      </c>
      <c r="X91" s="21">
        <v>4699</v>
      </c>
      <c r="Y91" s="21">
        <v>4711</v>
      </c>
      <c r="Z91" s="21">
        <v>4595</v>
      </c>
      <c r="AA91" s="21">
        <v>4550</v>
      </c>
      <c r="AB91" s="21">
        <v>4494</v>
      </c>
      <c r="AC91" s="21">
        <v>4530</v>
      </c>
      <c r="AD91" s="21">
        <v>4484</v>
      </c>
      <c r="AE91" s="21">
        <v>4714</v>
      </c>
      <c r="AF91" s="21">
        <v>4719</v>
      </c>
      <c r="AG91" s="21">
        <v>4930</v>
      </c>
      <c r="AH91" s="21">
        <v>4702</v>
      </c>
      <c r="AI91" s="21">
        <v>4805</v>
      </c>
      <c r="AJ91" s="21">
        <v>4680</v>
      </c>
      <c r="AK91" s="21">
        <v>4692</v>
      </c>
      <c r="AL91" s="21">
        <v>4741</v>
      </c>
      <c r="AM91" s="21">
        <v>4704</v>
      </c>
      <c r="AN91" s="21">
        <v>4682</v>
      </c>
      <c r="AO91" s="21">
        <v>4641</v>
      </c>
      <c r="AP91" s="21">
        <v>4906</v>
      </c>
      <c r="AQ91" s="21">
        <v>5095</v>
      </c>
      <c r="AR91" s="21">
        <v>5146</v>
      </c>
      <c r="AS91" s="21">
        <v>5180</v>
      </c>
      <c r="AT91" s="21">
        <v>5139</v>
      </c>
      <c r="AU91" s="21">
        <v>5126</v>
      </c>
      <c r="AV91" s="21">
        <v>5374</v>
      </c>
      <c r="AW91" s="21">
        <v>4963</v>
      </c>
      <c r="AX91" s="21">
        <v>5100</v>
      </c>
      <c r="AY91" s="21">
        <v>5050</v>
      </c>
      <c r="AZ91" s="21">
        <v>5105</v>
      </c>
      <c r="BA91" s="21">
        <v>4907</v>
      </c>
      <c r="BB91" s="21">
        <v>4883</v>
      </c>
      <c r="BC91" s="21">
        <v>4900</v>
      </c>
      <c r="BD91" s="21">
        <v>4755</v>
      </c>
      <c r="BE91" s="21">
        <v>4690</v>
      </c>
      <c r="BF91" s="21">
        <v>4700</v>
      </c>
      <c r="BG91" s="21">
        <v>4775</v>
      </c>
      <c r="BH91" s="21">
        <v>4892</v>
      </c>
      <c r="BI91" s="21">
        <v>4920</v>
      </c>
      <c r="BJ91" s="21">
        <v>4844</v>
      </c>
      <c r="BK91" s="21">
        <v>4900</v>
      </c>
      <c r="BL91" s="21">
        <v>4800</v>
      </c>
      <c r="BM91" s="1">
        <v>4947</v>
      </c>
      <c r="BN91" s="1">
        <v>5200</v>
      </c>
      <c r="BO91" s="1">
        <v>5333</v>
      </c>
      <c r="BP91" s="1">
        <v>5230</v>
      </c>
      <c r="BQ91" s="1">
        <v>5185</v>
      </c>
      <c r="BR91" s="1">
        <v>5129</v>
      </c>
      <c r="BS91" s="1">
        <v>5110</v>
      </c>
      <c r="BT91" s="1">
        <v>5193</v>
      </c>
      <c r="BU91" s="1">
        <v>5167</v>
      </c>
      <c r="BV91" s="1">
        <v>5210</v>
      </c>
      <c r="BW91" s="1">
        <v>5060</v>
      </c>
      <c r="BX91" s="1">
        <v>4930</v>
      </c>
      <c r="BY91" s="1">
        <v>4880</v>
      </c>
      <c r="BZ91" s="1">
        <v>4830</v>
      </c>
    </row>
    <row r="92" spans="1:78" ht="15.9" customHeight="1">
      <c r="A92" s="78" t="s">
        <v>179</v>
      </c>
      <c r="B92" s="17" t="s">
        <v>180</v>
      </c>
      <c r="C92" s="546">
        <f>_xll.RssMarket("6134","始値")</f>
        <v>8131</v>
      </c>
      <c r="D92" s="23">
        <f t="shared" si="2"/>
        <v>-359</v>
      </c>
      <c r="E92" s="553">
        <v>8490</v>
      </c>
      <c r="F92" s="21">
        <v>7184</v>
      </c>
      <c r="G92" s="21">
        <v>7247</v>
      </c>
      <c r="H92" s="70">
        <v>6437</v>
      </c>
      <c r="I92" s="21">
        <v>6890</v>
      </c>
      <c r="J92" s="21">
        <v>7255</v>
      </c>
      <c r="K92" s="21">
        <v>7476</v>
      </c>
      <c r="L92" s="21">
        <v>7461</v>
      </c>
      <c r="M92" s="21">
        <v>7560</v>
      </c>
      <c r="N92" s="21">
        <v>7662</v>
      </c>
      <c r="O92" s="21">
        <v>7363</v>
      </c>
      <c r="P92" s="21">
        <v>7400</v>
      </c>
      <c r="Q92" s="21">
        <v>7809</v>
      </c>
      <c r="R92" s="21">
        <v>7650</v>
      </c>
      <c r="S92" s="21">
        <v>8190</v>
      </c>
      <c r="T92" s="21">
        <v>8070</v>
      </c>
      <c r="U92" s="21">
        <v>7740</v>
      </c>
      <c r="V92" s="21">
        <v>7623</v>
      </c>
      <c r="W92" s="21">
        <v>8500</v>
      </c>
      <c r="X92" s="21">
        <v>8885</v>
      </c>
      <c r="Y92" s="21">
        <v>8150</v>
      </c>
      <c r="Z92" s="21">
        <v>8482</v>
      </c>
      <c r="AA92" s="21">
        <v>8681</v>
      </c>
      <c r="AB92" s="21">
        <v>8119</v>
      </c>
      <c r="AC92" s="21">
        <v>7960</v>
      </c>
      <c r="AD92" s="21">
        <v>8410</v>
      </c>
      <c r="AE92" s="21">
        <v>8441</v>
      </c>
      <c r="AF92" s="21">
        <v>8141</v>
      </c>
      <c r="AG92" s="21">
        <v>8468</v>
      </c>
      <c r="AH92" s="21">
        <v>8510</v>
      </c>
      <c r="AI92" s="21">
        <v>8737</v>
      </c>
      <c r="AJ92" s="21">
        <v>8560</v>
      </c>
      <c r="AK92" s="21">
        <v>8217</v>
      </c>
      <c r="AL92" s="21">
        <v>8300</v>
      </c>
      <c r="AM92" s="21">
        <v>7942</v>
      </c>
      <c r="AN92" s="21">
        <v>7564</v>
      </c>
      <c r="AO92" s="21">
        <v>6905</v>
      </c>
      <c r="AP92" s="21">
        <v>7255</v>
      </c>
      <c r="AQ92" s="21">
        <v>6886</v>
      </c>
      <c r="AR92" s="21">
        <v>7644</v>
      </c>
      <c r="AS92" s="21">
        <v>7690</v>
      </c>
      <c r="AT92" s="21">
        <v>8065</v>
      </c>
      <c r="AU92" s="21">
        <v>8046</v>
      </c>
      <c r="AV92" s="21">
        <v>8007</v>
      </c>
      <c r="AW92" s="21">
        <v>7813</v>
      </c>
      <c r="AX92" s="21">
        <v>8386</v>
      </c>
      <c r="AY92" s="21">
        <v>8068</v>
      </c>
      <c r="AZ92" s="21">
        <v>7735</v>
      </c>
      <c r="BA92" s="21">
        <v>7820</v>
      </c>
      <c r="BB92" s="21">
        <v>7441</v>
      </c>
      <c r="BC92" s="21">
        <v>7808</v>
      </c>
      <c r="BD92" s="21">
        <v>8143</v>
      </c>
      <c r="BE92" s="21">
        <v>8701</v>
      </c>
      <c r="BF92" s="21">
        <v>7088</v>
      </c>
      <c r="BG92" s="21">
        <v>6800</v>
      </c>
      <c r="BH92" s="21">
        <v>6776</v>
      </c>
      <c r="BI92" s="21">
        <v>6715</v>
      </c>
      <c r="BJ92" s="21">
        <v>6232</v>
      </c>
      <c r="BK92" s="21">
        <v>6200</v>
      </c>
      <c r="BL92" s="21">
        <v>6068</v>
      </c>
      <c r="BM92" s="1">
        <v>5881</v>
      </c>
      <c r="BN92" s="1">
        <v>5986</v>
      </c>
      <c r="BO92" s="1">
        <v>5960</v>
      </c>
      <c r="BP92" s="1">
        <v>5772</v>
      </c>
      <c r="BQ92" s="1">
        <v>5902</v>
      </c>
      <c r="BR92" s="1">
        <v>5961</v>
      </c>
      <c r="BS92" s="1">
        <v>5880</v>
      </c>
      <c r="BT92" s="1">
        <v>5744</v>
      </c>
      <c r="BU92" s="1">
        <v>5802</v>
      </c>
      <c r="BV92" s="1">
        <v>5798</v>
      </c>
      <c r="BW92" s="1">
        <v>5819</v>
      </c>
      <c r="BX92" s="1">
        <v>5667</v>
      </c>
      <c r="BY92" s="1">
        <v>5463</v>
      </c>
      <c r="BZ92" s="1">
        <v>5410</v>
      </c>
    </row>
    <row r="93" spans="1:78" ht="15.9" customHeight="1">
      <c r="A93" s="78" t="s">
        <v>181</v>
      </c>
      <c r="B93" s="17" t="s">
        <v>182</v>
      </c>
      <c r="C93" s="546">
        <f>_xll.RssMarket("7746","始値")</f>
        <v>733</v>
      </c>
      <c r="D93" s="23">
        <f t="shared" si="2"/>
        <v>12</v>
      </c>
      <c r="E93" s="553">
        <v>721</v>
      </c>
      <c r="F93" s="21">
        <v>715</v>
      </c>
      <c r="G93" s="21">
        <v>714</v>
      </c>
      <c r="H93" s="70">
        <v>720</v>
      </c>
      <c r="I93" s="21">
        <v>732</v>
      </c>
      <c r="J93" s="21">
        <v>761</v>
      </c>
      <c r="K93" s="21">
        <v>781</v>
      </c>
      <c r="L93" s="21">
        <v>760</v>
      </c>
      <c r="M93" s="21">
        <v>759</v>
      </c>
      <c r="N93" s="21">
        <v>778</v>
      </c>
      <c r="O93" s="21">
        <v>740</v>
      </c>
      <c r="P93" s="21">
        <v>772</v>
      </c>
      <c r="Q93" s="21">
        <v>792</v>
      </c>
      <c r="R93" s="21">
        <v>790</v>
      </c>
      <c r="S93" s="21">
        <v>780</v>
      </c>
      <c r="T93" s="21">
        <v>774</v>
      </c>
      <c r="U93" s="21">
        <v>786</v>
      </c>
      <c r="V93" s="21">
        <v>808</v>
      </c>
      <c r="W93" s="21">
        <v>849</v>
      </c>
      <c r="X93" s="21">
        <v>854</v>
      </c>
      <c r="Y93" s="21">
        <v>854</v>
      </c>
      <c r="Z93" s="21">
        <v>891</v>
      </c>
      <c r="AA93" s="21">
        <v>912</v>
      </c>
      <c r="AB93" s="21">
        <v>930</v>
      </c>
      <c r="AC93" s="21">
        <v>856</v>
      </c>
      <c r="AD93" s="21">
        <v>779</v>
      </c>
      <c r="AE93" s="21">
        <v>764</v>
      </c>
      <c r="AF93" s="21">
        <v>753</v>
      </c>
      <c r="AG93" s="21">
        <v>798</v>
      </c>
      <c r="AH93" s="21">
        <v>796</v>
      </c>
      <c r="AI93" s="21">
        <v>815</v>
      </c>
      <c r="AJ93" s="21">
        <v>826</v>
      </c>
      <c r="AK93" s="21">
        <v>852</v>
      </c>
      <c r="AL93" s="21">
        <v>738</v>
      </c>
      <c r="AM93" s="21">
        <v>737</v>
      </c>
      <c r="AN93" s="21">
        <v>725</v>
      </c>
      <c r="AO93" s="21">
        <v>673</v>
      </c>
      <c r="AP93" s="21">
        <v>725</v>
      </c>
      <c r="AQ93" s="21">
        <v>754</v>
      </c>
      <c r="AR93" s="21">
        <v>751</v>
      </c>
      <c r="AS93" s="21">
        <v>782</v>
      </c>
      <c r="AT93" s="21">
        <v>763</v>
      </c>
      <c r="AU93" s="21">
        <v>795</v>
      </c>
      <c r="AV93" s="21">
        <v>843</v>
      </c>
      <c r="AW93" s="21">
        <v>844</v>
      </c>
      <c r="AX93" s="21">
        <v>862</v>
      </c>
      <c r="AY93" s="21">
        <v>920</v>
      </c>
      <c r="AZ93" s="21">
        <v>884</v>
      </c>
      <c r="BA93" s="21">
        <v>1034</v>
      </c>
      <c r="BB93" s="21">
        <v>1000</v>
      </c>
      <c r="BC93" s="21">
        <v>1000</v>
      </c>
      <c r="BD93" s="21">
        <v>859</v>
      </c>
      <c r="BE93" s="21">
        <v>758</v>
      </c>
      <c r="BF93" s="21">
        <v>808</v>
      </c>
      <c r="BG93" s="21">
        <v>761</v>
      </c>
      <c r="BH93" s="21">
        <v>816</v>
      </c>
      <c r="BI93" s="21">
        <v>877</v>
      </c>
      <c r="BJ93" s="21">
        <v>840</v>
      </c>
      <c r="BK93" s="21">
        <v>845</v>
      </c>
      <c r="BL93" s="21">
        <v>840</v>
      </c>
      <c r="BM93" s="1">
        <v>921</v>
      </c>
      <c r="BN93" s="1">
        <v>938</v>
      </c>
      <c r="BO93" s="1">
        <v>951</v>
      </c>
      <c r="BP93" s="1">
        <v>972</v>
      </c>
      <c r="BQ93" s="1">
        <v>1018</v>
      </c>
      <c r="BR93" s="1">
        <v>996</v>
      </c>
      <c r="BS93" s="1">
        <v>1038</v>
      </c>
      <c r="BT93" s="1">
        <v>955</v>
      </c>
      <c r="BU93" s="1">
        <v>961</v>
      </c>
      <c r="BV93" s="1">
        <v>1000</v>
      </c>
      <c r="BW93" s="1">
        <v>983</v>
      </c>
      <c r="BX93" s="1">
        <v>990</v>
      </c>
      <c r="BY93" s="1">
        <v>1009</v>
      </c>
      <c r="BZ93" s="1">
        <v>1033</v>
      </c>
    </row>
    <row r="94" spans="1:78" ht="15.9" customHeight="1">
      <c r="A94" s="78" t="s">
        <v>183</v>
      </c>
      <c r="B94" s="17" t="s">
        <v>184</v>
      </c>
      <c r="C94" s="546">
        <f>_xll.RssMarket("3407","始値")</f>
        <v>1610</v>
      </c>
      <c r="D94" s="23">
        <f t="shared" si="2"/>
        <v>-15</v>
      </c>
      <c r="E94" s="553">
        <v>1625</v>
      </c>
      <c r="F94" s="21">
        <v>1686</v>
      </c>
      <c r="G94" s="21">
        <v>1810</v>
      </c>
      <c r="H94" s="70">
        <v>1801</v>
      </c>
      <c r="I94" s="21">
        <v>1820</v>
      </c>
      <c r="J94" s="21">
        <v>1835</v>
      </c>
      <c r="K94" s="21">
        <v>1852.5</v>
      </c>
      <c r="L94" s="21">
        <v>1839.5</v>
      </c>
      <c r="M94" s="21">
        <v>1846</v>
      </c>
      <c r="N94" s="21">
        <v>1872</v>
      </c>
      <c r="O94" s="21">
        <v>1846</v>
      </c>
      <c r="P94" s="21">
        <v>1855.5</v>
      </c>
      <c r="Q94" s="21">
        <v>1900</v>
      </c>
      <c r="R94" s="21">
        <v>1834</v>
      </c>
      <c r="S94" s="21">
        <v>1859</v>
      </c>
      <c r="T94" s="21">
        <v>1859</v>
      </c>
      <c r="U94" s="21">
        <v>1840</v>
      </c>
      <c r="V94" s="21">
        <v>1853.5</v>
      </c>
      <c r="W94" s="21">
        <v>1899</v>
      </c>
      <c r="X94" s="21">
        <v>1855</v>
      </c>
      <c r="Y94" s="21">
        <v>1798</v>
      </c>
      <c r="Z94" s="21">
        <v>1781.5</v>
      </c>
      <c r="AA94" s="21">
        <v>1795</v>
      </c>
      <c r="AB94" s="21">
        <v>1796</v>
      </c>
      <c r="AC94" s="21">
        <v>1807</v>
      </c>
      <c r="AD94" s="21">
        <v>1804.5</v>
      </c>
      <c r="AE94" s="21">
        <v>1826</v>
      </c>
      <c r="AF94" s="21">
        <v>1768</v>
      </c>
      <c r="AG94" s="21">
        <v>1821</v>
      </c>
      <c r="AH94" s="21">
        <v>1834.5</v>
      </c>
      <c r="AI94" s="21">
        <v>1794</v>
      </c>
      <c r="AJ94" s="21">
        <v>1800</v>
      </c>
      <c r="AK94" s="21">
        <v>1765</v>
      </c>
      <c r="AL94" s="21">
        <v>1744</v>
      </c>
      <c r="AM94" s="21">
        <v>1818</v>
      </c>
      <c r="AN94" s="21">
        <v>1800</v>
      </c>
      <c r="AO94" s="21">
        <v>1721</v>
      </c>
      <c r="AP94" s="21">
        <v>1735</v>
      </c>
      <c r="AQ94" s="21">
        <v>1781</v>
      </c>
      <c r="AR94" s="21">
        <v>1777</v>
      </c>
      <c r="AS94" s="21">
        <v>1750</v>
      </c>
      <c r="AT94" s="21">
        <v>1757.5</v>
      </c>
      <c r="AU94" s="21">
        <v>1770.5</v>
      </c>
      <c r="AV94" s="21">
        <v>1767.5</v>
      </c>
      <c r="AW94" s="21">
        <v>1718</v>
      </c>
      <c r="AX94" s="21">
        <v>1750</v>
      </c>
      <c r="AY94" s="21">
        <v>1766</v>
      </c>
      <c r="AZ94" s="21">
        <v>1710</v>
      </c>
      <c r="BA94" s="21">
        <v>1694.5</v>
      </c>
      <c r="BB94" s="21">
        <v>1696</v>
      </c>
      <c r="BC94" s="21">
        <v>1700</v>
      </c>
      <c r="BD94" s="21">
        <v>1706</v>
      </c>
      <c r="BE94" s="21">
        <v>1732</v>
      </c>
      <c r="BF94" s="21">
        <v>1750</v>
      </c>
      <c r="BG94" s="21">
        <v>1655</v>
      </c>
      <c r="BH94" s="21">
        <v>1548</v>
      </c>
      <c r="BI94" s="21">
        <v>1522</v>
      </c>
      <c r="BJ94" s="21">
        <v>1539</v>
      </c>
      <c r="BK94" s="21">
        <v>1564.5</v>
      </c>
      <c r="BL94" s="21">
        <v>1516</v>
      </c>
      <c r="BM94" s="1">
        <v>1533.5</v>
      </c>
      <c r="BN94" s="1">
        <v>1535</v>
      </c>
      <c r="BO94" s="1">
        <v>1520</v>
      </c>
      <c r="BP94" s="1">
        <v>1535</v>
      </c>
      <c r="BQ94" s="1">
        <v>1513.5</v>
      </c>
      <c r="BR94" s="1">
        <v>1551</v>
      </c>
      <c r="BS94" s="1">
        <v>1564</v>
      </c>
      <c r="BT94" s="1">
        <v>1598</v>
      </c>
      <c r="BU94" s="1">
        <v>1611.5</v>
      </c>
      <c r="BV94" s="1">
        <v>1561</v>
      </c>
      <c r="BW94" s="1">
        <v>1607.5</v>
      </c>
      <c r="BX94" s="1">
        <v>1629</v>
      </c>
      <c r="BY94" s="1">
        <v>1629.5</v>
      </c>
      <c r="BZ94" s="1">
        <v>1651.5</v>
      </c>
    </row>
    <row r="95" spans="1:78" ht="15.9" customHeight="1">
      <c r="A95" s="78" t="s">
        <v>185</v>
      </c>
      <c r="B95" s="17" t="s">
        <v>186</v>
      </c>
      <c r="C95" s="546">
        <f>_xll.RssMarket("4008","始値")</f>
        <v>1248</v>
      </c>
      <c r="D95" s="23">
        <f t="shared" si="2"/>
        <v>30</v>
      </c>
      <c r="E95" s="553">
        <v>1218</v>
      </c>
      <c r="F95" s="21">
        <v>1224</v>
      </c>
      <c r="G95" s="21">
        <v>1246</v>
      </c>
      <c r="H95" s="70">
        <v>1216</v>
      </c>
      <c r="I95" s="21">
        <v>1247</v>
      </c>
      <c r="J95" s="21">
        <v>1278</v>
      </c>
      <c r="K95" s="21">
        <v>1294</v>
      </c>
      <c r="L95" s="21"/>
      <c r="M95" s="21">
        <v>1297</v>
      </c>
      <c r="N95" s="21">
        <v>1300</v>
      </c>
      <c r="O95" s="21">
        <v>1275</v>
      </c>
      <c r="P95" s="21">
        <v>1265</v>
      </c>
      <c r="Q95" s="21">
        <v>1293</v>
      </c>
      <c r="R95" s="21">
        <v>1265</v>
      </c>
      <c r="S95" s="21">
        <v>1281</v>
      </c>
      <c r="T95" s="21">
        <v>1295</v>
      </c>
      <c r="U95" s="21">
        <v>1300</v>
      </c>
      <c r="V95" s="21">
        <v>1313</v>
      </c>
      <c r="W95" s="21">
        <v>1350</v>
      </c>
      <c r="X95" s="21">
        <v>1384</v>
      </c>
      <c r="Y95" s="21">
        <v>1307</v>
      </c>
      <c r="Z95" s="21">
        <v>1295</v>
      </c>
      <c r="AA95" s="21">
        <v>1275</v>
      </c>
      <c r="AB95" s="21">
        <v>1296</v>
      </c>
      <c r="AC95" s="21">
        <v>1287</v>
      </c>
      <c r="AD95" s="21">
        <v>1293</v>
      </c>
      <c r="AE95" s="21">
        <v>1297</v>
      </c>
      <c r="AF95" s="21">
        <v>1280</v>
      </c>
      <c r="AG95" s="21">
        <v>1326</v>
      </c>
      <c r="AH95" s="21">
        <v>1327</v>
      </c>
      <c r="AI95" s="21">
        <v>1335</v>
      </c>
      <c r="AJ95" s="21">
        <v>1318</v>
      </c>
      <c r="AK95" s="21">
        <v>1322</v>
      </c>
      <c r="AL95" s="21">
        <v>1321</v>
      </c>
      <c r="AM95" s="21">
        <v>1305</v>
      </c>
      <c r="AN95" s="21">
        <v>1284</v>
      </c>
      <c r="AO95" s="21">
        <v>1250</v>
      </c>
      <c r="AP95" s="21">
        <v>1279</v>
      </c>
      <c r="AQ95" s="21">
        <v>1249</v>
      </c>
      <c r="AR95" s="21">
        <v>1282</v>
      </c>
      <c r="AS95" s="21">
        <v>1300</v>
      </c>
      <c r="AT95" s="21">
        <v>1310</v>
      </c>
      <c r="AU95" s="21">
        <v>1261</v>
      </c>
      <c r="AV95" s="21">
        <v>1333</v>
      </c>
      <c r="AW95" s="21">
        <v>1319</v>
      </c>
      <c r="AX95" s="21">
        <v>1284</v>
      </c>
      <c r="AY95" s="21">
        <v>1277</v>
      </c>
      <c r="AZ95" s="21">
        <v>1240</v>
      </c>
      <c r="BA95" s="21">
        <v>1231</v>
      </c>
      <c r="BB95" s="21">
        <v>1223</v>
      </c>
      <c r="BC95" s="21">
        <v>1250</v>
      </c>
      <c r="BD95" s="21">
        <v>1268</v>
      </c>
      <c r="BE95" s="21">
        <v>1238</v>
      </c>
      <c r="BF95" s="21">
        <v>1247</v>
      </c>
      <c r="BG95" s="21">
        <v>1218</v>
      </c>
      <c r="BH95" s="21">
        <v>1195</v>
      </c>
      <c r="BI95" s="21">
        <v>1217</v>
      </c>
      <c r="BJ95" s="21">
        <v>1210</v>
      </c>
      <c r="BK95" s="21">
        <v>1208</v>
      </c>
      <c r="BL95" s="21">
        <v>1190</v>
      </c>
      <c r="BM95" s="1">
        <v>1185</v>
      </c>
      <c r="BN95" s="1">
        <v>1194</v>
      </c>
      <c r="BO95" s="1">
        <v>1191</v>
      </c>
      <c r="BP95" s="1">
        <v>1208</v>
      </c>
      <c r="BQ95" s="1">
        <v>1195</v>
      </c>
      <c r="BR95" s="1">
        <v>1236</v>
      </c>
      <c r="BS95" s="1">
        <v>1267</v>
      </c>
      <c r="BT95" s="1">
        <v>1275</v>
      </c>
      <c r="BU95" s="1">
        <v>1279</v>
      </c>
      <c r="BV95" s="1">
        <v>1280</v>
      </c>
      <c r="BW95" s="1">
        <v>1280</v>
      </c>
      <c r="BX95" s="1">
        <v>1257</v>
      </c>
      <c r="BY95" s="1">
        <v>1254</v>
      </c>
      <c r="BZ95" s="1">
        <v>1254</v>
      </c>
    </row>
    <row r="96" spans="1:78" ht="15.9" customHeight="1">
      <c r="A96" s="78" t="s">
        <v>187</v>
      </c>
      <c r="B96" s="17" t="s">
        <v>188</v>
      </c>
      <c r="C96" s="546">
        <f>_xll.RssMarket("4062","始値")</f>
        <v>19930</v>
      </c>
      <c r="D96" s="23">
        <f t="shared" si="2"/>
        <v>3930</v>
      </c>
      <c r="E96" s="553">
        <v>16000</v>
      </c>
      <c r="F96" s="21">
        <v>15850</v>
      </c>
      <c r="G96" s="21">
        <v>16650</v>
      </c>
      <c r="H96" s="70">
        <v>13475</v>
      </c>
      <c r="I96" s="21">
        <v>15155</v>
      </c>
      <c r="J96" s="21">
        <v>15400</v>
      </c>
      <c r="K96" s="21">
        <v>17320</v>
      </c>
      <c r="L96" s="21">
        <v>18000</v>
      </c>
      <c r="M96" s="21">
        <v>18650</v>
      </c>
      <c r="N96" s="21">
        <v>19815</v>
      </c>
      <c r="O96" s="21">
        <v>16470</v>
      </c>
      <c r="P96" s="21">
        <v>16605</v>
      </c>
      <c r="Q96" s="21">
        <v>18070</v>
      </c>
      <c r="R96" s="21">
        <v>18290</v>
      </c>
      <c r="S96" s="21">
        <v>19885</v>
      </c>
      <c r="T96" s="21">
        <v>20205</v>
      </c>
      <c r="U96" s="21">
        <v>19900</v>
      </c>
      <c r="V96" s="21">
        <v>19095</v>
      </c>
      <c r="W96" s="21">
        <v>21180</v>
      </c>
      <c r="X96" s="21">
        <v>23350</v>
      </c>
      <c r="Y96" s="21">
        <v>21920</v>
      </c>
      <c r="Z96" s="21">
        <v>24055</v>
      </c>
      <c r="AA96" s="21">
        <v>26000</v>
      </c>
      <c r="AB96" s="21">
        <v>24200</v>
      </c>
      <c r="AC96" s="21">
        <v>24000</v>
      </c>
      <c r="AD96" s="21">
        <v>25370</v>
      </c>
      <c r="AE96" s="21">
        <v>25805</v>
      </c>
      <c r="AF96" s="21">
        <v>24100</v>
      </c>
      <c r="AG96" s="21">
        <v>26500</v>
      </c>
      <c r="AH96" s="21">
        <v>24335</v>
      </c>
      <c r="AI96" s="21">
        <v>27005</v>
      </c>
      <c r="AJ96" s="21">
        <v>24480</v>
      </c>
      <c r="AK96" s="21">
        <v>21945</v>
      </c>
      <c r="AL96" s="21">
        <v>22600</v>
      </c>
      <c r="AM96" s="21">
        <v>20805</v>
      </c>
      <c r="AN96" s="21">
        <v>19770</v>
      </c>
      <c r="AO96" s="21">
        <v>16520</v>
      </c>
      <c r="AP96" s="21">
        <v>17795</v>
      </c>
      <c r="AQ96" s="21">
        <v>16800</v>
      </c>
      <c r="AR96" s="21">
        <v>18510</v>
      </c>
      <c r="AS96" s="21">
        <v>21440</v>
      </c>
      <c r="AT96" s="21">
        <v>21450</v>
      </c>
      <c r="AU96" s="21">
        <v>21795</v>
      </c>
      <c r="AV96" s="21">
        <v>20000</v>
      </c>
      <c r="AW96" s="21">
        <v>19925</v>
      </c>
      <c r="AX96" s="21">
        <v>21255</v>
      </c>
      <c r="AY96" s="21">
        <v>19650</v>
      </c>
      <c r="AZ96" s="21">
        <v>18005</v>
      </c>
      <c r="BA96" s="21">
        <v>17200</v>
      </c>
      <c r="BB96" s="21">
        <v>15030</v>
      </c>
      <c r="BC96" s="21">
        <v>15300</v>
      </c>
      <c r="BD96" s="21">
        <v>15550</v>
      </c>
      <c r="BE96" s="21">
        <v>17280</v>
      </c>
      <c r="BF96" s="21">
        <v>16890</v>
      </c>
      <c r="BG96" s="21">
        <v>15880</v>
      </c>
      <c r="BH96" s="21">
        <v>15700</v>
      </c>
      <c r="BI96" s="21">
        <v>16000</v>
      </c>
      <c r="BJ96" s="21">
        <v>15575</v>
      </c>
      <c r="BK96" s="21">
        <v>15160</v>
      </c>
      <c r="BL96" s="21">
        <v>13245</v>
      </c>
      <c r="BM96" s="1">
        <v>13205</v>
      </c>
      <c r="BN96" s="1">
        <v>12700</v>
      </c>
      <c r="BO96" s="1">
        <v>12840</v>
      </c>
      <c r="BP96" s="1">
        <v>12335</v>
      </c>
      <c r="BQ96" s="1">
        <v>11310</v>
      </c>
      <c r="BR96" s="1">
        <v>10500</v>
      </c>
      <c r="BS96" s="1">
        <v>9800</v>
      </c>
      <c r="BT96" s="1">
        <v>9147</v>
      </c>
      <c r="BU96" s="1">
        <v>9468</v>
      </c>
      <c r="BV96" s="1">
        <v>9490</v>
      </c>
      <c r="BW96" s="1">
        <v>10080</v>
      </c>
      <c r="BX96" s="1">
        <v>9707</v>
      </c>
      <c r="BY96" s="1">
        <v>9738</v>
      </c>
      <c r="BZ96" s="1">
        <v>9822</v>
      </c>
    </row>
    <row r="97" spans="1:78" ht="15.9" customHeight="1">
      <c r="A97" s="78" t="s">
        <v>189</v>
      </c>
      <c r="B97" s="17" t="s">
        <v>190</v>
      </c>
      <c r="C97" s="546">
        <f>_xll.RssMarket("4182","始値")</f>
        <v>4590</v>
      </c>
      <c r="D97" s="23">
        <f t="shared" si="2"/>
        <v>389</v>
      </c>
      <c r="E97" s="553">
        <v>4201</v>
      </c>
      <c r="F97" s="21">
        <v>4131</v>
      </c>
      <c r="G97" s="21">
        <v>4426</v>
      </c>
      <c r="H97" s="70">
        <v>3751</v>
      </c>
      <c r="I97" s="21">
        <v>3988</v>
      </c>
      <c r="J97" s="21">
        <v>4200</v>
      </c>
      <c r="K97" s="21">
        <v>4422</v>
      </c>
      <c r="L97" s="21">
        <v>4501</v>
      </c>
      <c r="M97" s="21">
        <v>4564</v>
      </c>
      <c r="N97" s="21">
        <v>4640</v>
      </c>
      <c r="O97" s="21">
        <v>4374</v>
      </c>
      <c r="P97" s="21">
        <v>4460</v>
      </c>
      <c r="Q97" s="21">
        <v>4703</v>
      </c>
      <c r="R97" s="21">
        <v>4500</v>
      </c>
      <c r="S97" s="21">
        <v>4745</v>
      </c>
      <c r="T97" s="21">
        <v>4787</v>
      </c>
      <c r="U97" s="21">
        <v>4636</v>
      </c>
      <c r="V97" s="21">
        <v>4564</v>
      </c>
      <c r="W97" s="21">
        <v>4840</v>
      </c>
      <c r="X97" s="21">
        <v>4983</v>
      </c>
      <c r="Y97" s="21">
        <v>4675</v>
      </c>
      <c r="Z97" s="21">
        <v>4990</v>
      </c>
      <c r="AA97" s="21">
        <v>5200</v>
      </c>
      <c r="AB97" s="21">
        <v>5140</v>
      </c>
      <c r="AC97" s="21">
        <v>5095</v>
      </c>
      <c r="AD97" s="21">
        <v>5286</v>
      </c>
      <c r="AE97" s="21">
        <v>5365</v>
      </c>
      <c r="AF97" s="21">
        <v>5244</v>
      </c>
      <c r="AG97" s="21">
        <v>5699</v>
      </c>
      <c r="AH97" s="21">
        <v>5420</v>
      </c>
      <c r="AI97" s="21">
        <v>5450</v>
      </c>
      <c r="AJ97" s="21">
        <v>5300</v>
      </c>
      <c r="AK97" s="21">
        <v>5000</v>
      </c>
      <c r="AL97" s="21">
        <v>5020</v>
      </c>
      <c r="AM97" s="21">
        <v>4973</v>
      </c>
      <c r="AN97" s="21">
        <v>4750</v>
      </c>
      <c r="AO97" s="21">
        <v>4216</v>
      </c>
      <c r="AP97" s="21">
        <v>4580</v>
      </c>
      <c r="AQ97" s="21">
        <v>4700</v>
      </c>
      <c r="AR97" s="21">
        <v>4999</v>
      </c>
      <c r="AS97" s="21">
        <v>5282</v>
      </c>
      <c r="AT97" s="21">
        <v>5450</v>
      </c>
      <c r="AU97" s="21">
        <v>5371</v>
      </c>
      <c r="AV97" s="21">
        <v>5520</v>
      </c>
      <c r="AW97" s="21">
        <v>5337</v>
      </c>
      <c r="AX97" s="21">
        <v>5500</v>
      </c>
      <c r="AY97" s="21">
        <v>5250</v>
      </c>
      <c r="AZ97" s="21">
        <v>4966</v>
      </c>
      <c r="BA97" s="21">
        <v>4823</v>
      </c>
      <c r="BB97" s="21">
        <v>4535</v>
      </c>
      <c r="BC97" s="21">
        <v>4630</v>
      </c>
      <c r="BD97" s="21">
        <v>4571</v>
      </c>
      <c r="BE97" s="21">
        <v>4902</v>
      </c>
      <c r="BF97" s="21">
        <v>4800</v>
      </c>
      <c r="BG97" s="21">
        <v>4740</v>
      </c>
      <c r="BH97" s="21">
        <v>4877</v>
      </c>
      <c r="BI97" s="21">
        <v>4650</v>
      </c>
      <c r="BJ97" s="21">
        <v>4600</v>
      </c>
      <c r="BK97" s="21">
        <v>4480</v>
      </c>
      <c r="BL97" s="21">
        <v>4335</v>
      </c>
      <c r="BM97" s="1">
        <v>4352</v>
      </c>
      <c r="BN97" s="1">
        <v>4387</v>
      </c>
      <c r="BO97" s="1">
        <v>4364</v>
      </c>
      <c r="BP97" s="1">
        <v>4377</v>
      </c>
      <c r="BQ97" s="1">
        <v>4329</v>
      </c>
      <c r="BR97" s="1">
        <v>4323</v>
      </c>
      <c r="BS97" s="1">
        <v>4303</v>
      </c>
      <c r="BT97" s="1">
        <v>4243</v>
      </c>
      <c r="BU97" s="1">
        <v>4242</v>
      </c>
      <c r="BV97" s="1">
        <v>4184</v>
      </c>
      <c r="BW97" s="1">
        <v>4287</v>
      </c>
      <c r="BX97" s="1">
        <v>4235</v>
      </c>
      <c r="BY97" s="1">
        <v>4110</v>
      </c>
      <c r="BZ97" s="1">
        <v>4200</v>
      </c>
    </row>
    <row r="98" spans="1:78" ht="15.9" customHeight="1">
      <c r="A98" s="78" t="s">
        <v>191</v>
      </c>
      <c r="B98" s="17" t="s">
        <v>192</v>
      </c>
      <c r="C98" s="546">
        <f>_xll.RssMarket("4188","始値")</f>
        <v>1130</v>
      </c>
      <c r="D98" s="23">
        <f t="shared" si="2"/>
        <v>-1.5</v>
      </c>
      <c r="E98" s="553">
        <v>1131.5</v>
      </c>
      <c r="F98" s="21">
        <v>1167</v>
      </c>
      <c r="G98" s="21">
        <v>1150</v>
      </c>
      <c r="H98" s="70">
        <v>1143.5</v>
      </c>
      <c r="I98" s="21">
        <v>1178</v>
      </c>
      <c r="J98" s="21">
        <v>1200</v>
      </c>
      <c r="K98" s="21">
        <v>1204.5</v>
      </c>
      <c r="L98" s="21"/>
      <c r="M98" s="21">
        <v>1208</v>
      </c>
      <c r="N98" s="21">
        <v>1197</v>
      </c>
      <c r="O98" s="21">
        <v>1181.5</v>
      </c>
      <c r="P98" s="21">
        <v>1189.5</v>
      </c>
      <c r="Q98" s="21">
        <v>1209.5</v>
      </c>
      <c r="R98" s="21">
        <v>1170</v>
      </c>
      <c r="S98" s="21">
        <v>1175</v>
      </c>
      <c r="T98" s="21">
        <v>1182</v>
      </c>
      <c r="U98" s="21">
        <v>1165</v>
      </c>
      <c r="V98" s="21">
        <v>1173</v>
      </c>
      <c r="W98" s="21">
        <v>1199.5</v>
      </c>
      <c r="X98" s="21">
        <v>1180</v>
      </c>
      <c r="Y98" s="21">
        <v>1142</v>
      </c>
      <c r="Z98" s="21">
        <v>1113.5</v>
      </c>
      <c r="AA98" s="21">
        <v>1132</v>
      </c>
      <c r="AB98" s="21">
        <v>1134</v>
      </c>
      <c r="AC98" s="21">
        <v>1111</v>
      </c>
      <c r="AD98" s="21">
        <v>1099</v>
      </c>
      <c r="AE98" s="21">
        <v>1113.5</v>
      </c>
      <c r="AF98" s="21">
        <v>1071.5</v>
      </c>
      <c r="AG98" s="21">
        <v>1099</v>
      </c>
      <c r="AH98" s="21">
        <v>1094</v>
      </c>
      <c r="AI98" s="21">
        <v>1112.5</v>
      </c>
      <c r="AJ98" s="21">
        <v>1158</v>
      </c>
      <c r="AK98" s="21">
        <v>1098</v>
      </c>
      <c r="AL98" s="21">
        <v>1112.5</v>
      </c>
      <c r="AM98" s="21">
        <v>1130</v>
      </c>
      <c r="AN98" s="21">
        <v>1068</v>
      </c>
      <c r="AO98" s="21">
        <v>1000</v>
      </c>
      <c r="AP98" s="21">
        <v>1025</v>
      </c>
      <c r="AQ98" s="21">
        <v>1036.5</v>
      </c>
      <c r="AR98" s="21">
        <v>1058</v>
      </c>
      <c r="AS98" s="21">
        <v>1110</v>
      </c>
      <c r="AT98" s="21">
        <v>1100</v>
      </c>
      <c r="AU98" s="21">
        <v>1078</v>
      </c>
      <c r="AV98" s="21">
        <v>1135</v>
      </c>
      <c r="AW98" s="21">
        <v>1106</v>
      </c>
      <c r="AX98" s="21">
        <v>1130</v>
      </c>
      <c r="AY98" s="21">
        <v>1048.5</v>
      </c>
      <c r="AZ98" s="21">
        <v>1008</v>
      </c>
      <c r="BA98" s="21">
        <v>1024</v>
      </c>
      <c r="BB98" s="21">
        <v>1017</v>
      </c>
      <c r="BC98" s="21">
        <v>1026</v>
      </c>
      <c r="BD98" s="21">
        <v>1016</v>
      </c>
      <c r="BE98" s="21">
        <v>994</v>
      </c>
      <c r="BF98" s="21">
        <v>1007</v>
      </c>
      <c r="BG98" s="21">
        <v>930.1</v>
      </c>
      <c r="BH98" s="21">
        <v>928</v>
      </c>
      <c r="BI98" s="21">
        <v>916.7</v>
      </c>
      <c r="BJ98" s="21">
        <v>923.9</v>
      </c>
      <c r="BK98" s="21">
        <v>928</v>
      </c>
      <c r="BL98" s="21">
        <v>912.1</v>
      </c>
      <c r="BM98" s="1">
        <v>912.4</v>
      </c>
      <c r="BN98" s="1">
        <v>920.4</v>
      </c>
      <c r="BO98" s="1">
        <v>911.1</v>
      </c>
      <c r="BP98" s="1">
        <v>926.8</v>
      </c>
      <c r="BQ98" s="1">
        <v>930</v>
      </c>
      <c r="BR98" s="1">
        <v>960.2</v>
      </c>
      <c r="BS98" s="1">
        <v>965</v>
      </c>
      <c r="BT98" s="1">
        <v>988.9</v>
      </c>
      <c r="BU98" s="1">
        <v>988</v>
      </c>
      <c r="BV98" s="1">
        <v>993.4</v>
      </c>
      <c r="BW98" s="1">
        <v>992.2</v>
      </c>
      <c r="BX98" s="1">
        <v>988</v>
      </c>
      <c r="BY98" s="1">
        <v>973</v>
      </c>
      <c r="BZ98" s="1">
        <v>991</v>
      </c>
    </row>
    <row r="99" spans="1:78" ht="15.9" customHeight="1">
      <c r="A99" s="78" t="s">
        <v>193</v>
      </c>
      <c r="B99" s="17" t="s">
        <v>194</v>
      </c>
      <c r="C99" s="546">
        <f>_xll.RssMarket("4523","始値")</f>
        <v>4590</v>
      </c>
      <c r="D99" s="23">
        <f t="shared" si="2"/>
        <v>-10</v>
      </c>
      <c r="E99" s="553">
        <v>4600</v>
      </c>
      <c r="F99" s="21">
        <v>4807</v>
      </c>
      <c r="G99" s="21">
        <v>4900</v>
      </c>
      <c r="H99" s="70">
        <v>5057</v>
      </c>
      <c r="I99" s="21">
        <v>4861</v>
      </c>
      <c r="J99" s="21">
        <v>4766</v>
      </c>
      <c r="K99" s="21">
        <v>4649</v>
      </c>
      <c r="L99" s="21">
        <v>4597</v>
      </c>
      <c r="M99" s="21">
        <v>4550</v>
      </c>
      <c r="N99" s="21">
        <v>4450</v>
      </c>
      <c r="O99" s="21">
        <v>4455</v>
      </c>
      <c r="P99" s="21">
        <v>4400</v>
      </c>
      <c r="Q99" s="21">
        <v>4270</v>
      </c>
      <c r="R99" s="21">
        <v>4313</v>
      </c>
      <c r="S99" s="21">
        <v>4300</v>
      </c>
      <c r="T99" s="21">
        <v>4267</v>
      </c>
      <c r="U99" s="21">
        <v>4292</v>
      </c>
      <c r="V99" s="21">
        <v>4340</v>
      </c>
      <c r="W99" s="21">
        <v>4330</v>
      </c>
      <c r="X99" s="21">
        <v>4305</v>
      </c>
      <c r="Y99" s="21">
        <v>4301</v>
      </c>
      <c r="Z99" s="21">
        <v>4175</v>
      </c>
      <c r="AA99" s="21">
        <v>4065</v>
      </c>
      <c r="AB99" s="21">
        <v>4167</v>
      </c>
      <c r="AC99" s="21">
        <v>4010</v>
      </c>
      <c r="AD99" s="21">
        <v>3952</v>
      </c>
      <c r="AE99" s="21">
        <v>3920</v>
      </c>
      <c r="AF99" s="21">
        <v>3905</v>
      </c>
      <c r="AG99" s="21">
        <v>3903</v>
      </c>
      <c r="AH99" s="21">
        <v>3861</v>
      </c>
      <c r="AI99" s="21">
        <v>3900</v>
      </c>
      <c r="AJ99" s="21">
        <v>3888</v>
      </c>
      <c r="AK99" s="21">
        <v>3857</v>
      </c>
      <c r="AL99" s="21">
        <v>3796</v>
      </c>
      <c r="AM99" s="21">
        <v>3794</v>
      </c>
      <c r="AN99" s="21">
        <v>3754</v>
      </c>
      <c r="AO99" s="21">
        <v>3709</v>
      </c>
      <c r="AP99" s="21">
        <v>3736</v>
      </c>
      <c r="AQ99" s="21">
        <v>3800</v>
      </c>
      <c r="AR99" s="21">
        <v>3850</v>
      </c>
      <c r="AS99" s="21">
        <v>3829</v>
      </c>
      <c r="AT99" s="21">
        <v>3800</v>
      </c>
      <c r="AU99" s="21">
        <v>3793</v>
      </c>
      <c r="AV99" s="21">
        <v>3901</v>
      </c>
      <c r="AW99" s="21">
        <v>4032</v>
      </c>
      <c r="AX99" s="21">
        <v>3980</v>
      </c>
      <c r="AY99" s="21">
        <v>4158</v>
      </c>
      <c r="AZ99" s="21">
        <v>4220</v>
      </c>
      <c r="BA99" s="21">
        <v>4298</v>
      </c>
      <c r="BB99" s="21">
        <v>4466</v>
      </c>
      <c r="BC99" s="21">
        <v>4429</v>
      </c>
      <c r="BD99" s="21">
        <v>4513</v>
      </c>
      <c r="BE99" s="21">
        <v>4710</v>
      </c>
      <c r="BF99" s="21">
        <v>4726</v>
      </c>
      <c r="BG99" s="21">
        <v>4719</v>
      </c>
      <c r="BH99" s="21">
        <v>4690</v>
      </c>
      <c r="BI99" s="21">
        <v>4607</v>
      </c>
      <c r="BJ99" s="21">
        <v>4761</v>
      </c>
      <c r="BK99" s="21">
        <v>4671</v>
      </c>
      <c r="BL99" s="21">
        <v>4653</v>
      </c>
      <c r="BM99" s="1">
        <v>4625</v>
      </c>
      <c r="BN99" s="1">
        <v>4634</v>
      </c>
      <c r="BO99" s="1">
        <v>4630</v>
      </c>
      <c r="BP99" s="1">
        <v>4733</v>
      </c>
      <c r="BQ99" s="1">
        <v>4821</v>
      </c>
      <c r="BR99" s="1">
        <v>4874</v>
      </c>
      <c r="BS99" s="1">
        <v>4893</v>
      </c>
      <c r="BT99" s="1">
        <v>4920</v>
      </c>
      <c r="BU99" s="1">
        <v>5030</v>
      </c>
      <c r="BV99" s="1">
        <v>5060</v>
      </c>
      <c r="BW99" s="1">
        <v>4909</v>
      </c>
      <c r="BX99" s="1">
        <v>4934</v>
      </c>
      <c r="BY99" s="1">
        <v>4971</v>
      </c>
      <c r="BZ99" s="1">
        <v>5115</v>
      </c>
    </row>
    <row r="100" spans="1:78" ht="15.9" customHeight="1">
      <c r="A100" s="78" t="s">
        <v>195</v>
      </c>
      <c r="B100" s="17" t="s">
        <v>196</v>
      </c>
      <c r="C100" s="546">
        <f>_xll.RssMarket("4528","始値")</f>
        <v>2320</v>
      </c>
      <c r="D100" s="23">
        <f t="shared" si="2"/>
        <v>2</v>
      </c>
      <c r="E100" s="553">
        <v>2318</v>
      </c>
      <c r="F100" s="21">
        <v>2307</v>
      </c>
      <c r="G100" s="21">
        <v>2381</v>
      </c>
      <c r="H100" s="70">
        <v>2479.5</v>
      </c>
      <c r="I100" s="21">
        <v>2450</v>
      </c>
      <c r="J100" s="21">
        <v>2450</v>
      </c>
      <c r="K100" s="21">
        <v>2410</v>
      </c>
      <c r="L100" s="21"/>
      <c r="M100" s="21">
        <v>2396</v>
      </c>
      <c r="N100" s="21">
        <v>2389</v>
      </c>
      <c r="O100" s="21">
        <v>2432</v>
      </c>
      <c r="P100" s="21">
        <v>2375.5</v>
      </c>
      <c r="Q100" s="21">
        <v>2382.5</v>
      </c>
      <c r="R100" s="21">
        <v>2412</v>
      </c>
      <c r="S100" s="21">
        <v>2449</v>
      </c>
      <c r="T100" s="21">
        <v>2449.5</v>
      </c>
      <c r="U100" s="21">
        <v>2499</v>
      </c>
      <c r="V100" s="21">
        <v>2465</v>
      </c>
      <c r="W100" s="21">
        <v>2440</v>
      </c>
      <c r="X100" s="21">
        <v>2435</v>
      </c>
      <c r="Y100" s="21">
        <v>2460</v>
      </c>
      <c r="Z100" s="21">
        <v>2400</v>
      </c>
      <c r="AA100" s="21">
        <v>2379</v>
      </c>
      <c r="AB100" s="21">
        <v>2397.5</v>
      </c>
      <c r="AC100" s="21">
        <v>2387</v>
      </c>
      <c r="AD100" s="21">
        <v>2360</v>
      </c>
      <c r="AE100" s="21">
        <v>2384.5</v>
      </c>
      <c r="AF100" s="21">
        <v>2326</v>
      </c>
      <c r="AG100" s="21">
        <v>2340</v>
      </c>
      <c r="AH100" s="21">
        <v>2335</v>
      </c>
      <c r="AI100" s="21">
        <v>2210</v>
      </c>
      <c r="AJ100" s="21">
        <v>2268.5</v>
      </c>
      <c r="AK100" s="21">
        <v>2259</v>
      </c>
      <c r="AL100" s="21">
        <v>2266.5</v>
      </c>
      <c r="AM100" s="21">
        <v>2296.5</v>
      </c>
      <c r="AN100" s="21">
        <v>2236</v>
      </c>
      <c r="AO100" s="21">
        <v>2186.5</v>
      </c>
      <c r="AP100" s="21">
        <v>2195.5</v>
      </c>
      <c r="AQ100" s="21">
        <v>2243</v>
      </c>
      <c r="AR100" s="21">
        <v>2207</v>
      </c>
      <c r="AS100" s="21">
        <v>2172</v>
      </c>
      <c r="AT100" s="21">
        <v>2200</v>
      </c>
      <c r="AU100" s="21">
        <v>2280</v>
      </c>
      <c r="AV100" s="21">
        <v>2406</v>
      </c>
      <c r="AW100" s="21">
        <v>2368</v>
      </c>
      <c r="AX100" s="21">
        <v>2344</v>
      </c>
      <c r="AY100" s="21">
        <v>2508</v>
      </c>
      <c r="AZ100" s="21">
        <v>2484</v>
      </c>
      <c r="BA100" s="21">
        <v>2458</v>
      </c>
      <c r="BB100" s="21">
        <v>2466.5</v>
      </c>
      <c r="BC100" s="21">
        <v>2400.5</v>
      </c>
      <c r="BD100" s="21">
        <v>2507</v>
      </c>
      <c r="BE100" s="21">
        <v>2563</v>
      </c>
      <c r="BF100" s="21">
        <v>2535</v>
      </c>
      <c r="BG100" s="21">
        <v>2500</v>
      </c>
      <c r="BH100" s="21">
        <v>2466.5</v>
      </c>
      <c r="BI100" s="21">
        <v>2480</v>
      </c>
      <c r="BJ100" s="21">
        <v>2359</v>
      </c>
      <c r="BK100" s="21">
        <v>2319</v>
      </c>
      <c r="BL100" s="21">
        <v>2287</v>
      </c>
      <c r="BM100" s="1">
        <v>2298</v>
      </c>
      <c r="BN100" s="1">
        <v>2316</v>
      </c>
      <c r="BO100" s="1">
        <v>2321</v>
      </c>
      <c r="BP100" s="1">
        <v>2321.5</v>
      </c>
      <c r="BQ100" s="1">
        <v>2300</v>
      </c>
      <c r="BR100" s="1">
        <v>2342</v>
      </c>
      <c r="BS100" s="1">
        <v>2411</v>
      </c>
      <c r="BT100" s="1">
        <v>2412.5</v>
      </c>
      <c r="BU100" s="1">
        <v>2465.5</v>
      </c>
      <c r="BV100" s="1">
        <v>2452</v>
      </c>
      <c r="BW100" s="1">
        <v>2485</v>
      </c>
      <c r="BX100" s="1">
        <v>2504.5</v>
      </c>
      <c r="BY100" s="1">
        <v>2500</v>
      </c>
      <c r="BZ100" s="1">
        <v>2534</v>
      </c>
    </row>
    <row r="101" spans="1:78" ht="15.9" customHeight="1">
      <c r="A101" s="78" t="s">
        <v>197</v>
      </c>
      <c r="B101" s="17" t="s">
        <v>198</v>
      </c>
      <c r="C101" s="546">
        <f>_xll.RssMarket("4661","始値")</f>
        <v>2915</v>
      </c>
      <c r="D101" s="23">
        <f t="shared" si="2"/>
        <v>-143</v>
      </c>
      <c r="E101" s="553">
        <v>3058</v>
      </c>
      <c r="F101" s="21">
        <v>3058</v>
      </c>
      <c r="G101" s="21">
        <v>3024</v>
      </c>
      <c r="H101" s="70">
        <v>3033</v>
      </c>
      <c r="I101" s="21">
        <v>2932</v>
      </c>
      <c r="J101" s="21">
        <v>2855</v>
      </c>
      <c r="K101" s="21">
        <v>2708</v>
      </c>
      <c r="L101" s="21"/>
      <c r="M101" s="21">
        <v>2623.5</v>
      </c>
      <c r="N101" s="21">
        <v>2674.5</v>
      </c>
      <c r="O101" s="21">
        <v>2740</v>
      </c>
      <c r="P101" s="21">
        <v>2730</v>
      </c>
      <c r="Q101" s="21">
        <v>2710</v>
      </c>
      <c r="R101" s="21">
        <v>2684</v>
      </c>
      <c r="S101" s="21">
        <v>2624</v>
      </c>
      <c r="T101" s="21">
        <v>2626</v>
      </c>
      <c r="U101" s="21">
        <v>2554</v>
      </c>
      <c r="V101" s="21">
        <v>2600</v>
      </c>
      <c r="W101" s="21">
        <v>2559</v>
      </c>
      <c r="X101" s="21">
        <v>2564.5</v>
      </c>
      <c r="Y101" s="21">
        <v>2554.5</v>
      </c>
      <c r="Z101" s="21">
        <v>2462</v>
      </c>
      <c r="AA101" s="21">
        <v>2465</v>
      </c>
      <c r="AB101" s="21">
        <v>2518</v>
      </c>
      <c r="AC101" s="21">
        <v>2410</v>
      </c>
      <c r="AD101" s="21">
        <v>2395</v>
      </c>
      <c r="AE101" s="21">
        <v>2374</v>
      </c>
      <c r="AF101" s="21">
        <v>2380</v>
      </c>
      <c r="AG101" s="21">
        <v>2310.5</v>
      </c>
      <c r="AH101" s="21">
        <v>2328</v>
      </c>
      <c r="AI101" s="21">
        <v>2292.5</v>
      </c>
      <c r="AJ101" s="21">
        <v>2275.5</v>
      </c>
      <c r="AK101" s="21">
        <v>2290</v>
      </c>
      <c r="AL101" s="21">
        <v>2272</v>
      </c>
      <c r="AM101" s="21">
        <v>2236.5</v>
      </c>
      <c r="AN101" s="21">
        <v>2278.5</v>
      </c>
      <c r="AO101" s="21">
        <v>2292.5</v>
      </c>
      <c r="AP101" s="21">
        <v>2244</v>
      </c>
      <c r="AQ101" s="21">
        <v>2222</v>
      </c>
      <c r="AR101" s="21">
        <v>2205</v>
      </c>
      <c r="AS101" s="21">
        <v>2215</v>
      </c>
      <c r="AT101" s="21">
        <v>2154</v>
      </c>
      <c r="AU101" s="21">
        <v>2221</v>
      </c>
      <c r="AV101" s="21">
        <v>2260</v>
      </c>
      <c r="AW101" s="21">
        <v>2220</v>
      </c>
      <c r="AX101" s="21">
        <v>2125</v>
      </c>
      <c r="AY101" s="21">
        <v>2140</v>
      </c>
      <c r="AZ101" s="21">
        <v>2135</v>
      </c>
      <c r="BA101" s="21">
        <v>2200</v>
      </c>
      <c r="BB101" s="21">
        <v>2244</v>
      </c>
      <c r="BC101" s="21">
        <v>2165</v>
      </c>
      <c r="BD101" s="21">
        <v>2186</v>
      </c>
      <c r="BE101" s="21">
        <v>2141</v>
      </c>
      <c r="BF101" s="21">
        <v>2160</v>
      </c>
      <c r="BG101" s="21">
        <v>2195</v>
      </c>
      <c r="BH101" s="21">
        <v>2180</v>
      </c>
      <c r="BI101" s="21">
        <v>2220</v>
      </c>
      <c r="BJ101" s="21">
        <v>2245</v>
      </c>
      <c r="BK101" s="21">
        <v>2223</v>
      </c>
      <c r="BL101" s="21">
        <v>2230</v>
      </c>
      <c r="BM101" s="1">
        <v>2250</v>
      </c>
      <c r="BN101" s="1">
        <v>2415</v>
      </c>
      <c r="BO101" s="1">
        <v>2397</v>
      </c>
      <c r="BP101" s="1">
        <v>2448</v>
      </c>
      <c r="BQ101" s="1">
        <v>2553.5</v>
      </c>
      <c r="BR101" s="1">
        <v>2607.5</v>
      </c>
      <c r="BS101" s="1">
        <v>2644</v>
      </c>
      <c r="BT101" s="1">
        <v>2649</v>
      </c>
      <c r="BU101" s="1">
        <v>2618</v>
      </c>
      <c r="BV101" s="1">
        <v>2666</v>
      </c>
      <c r="BW101" s="1">
        <v>2556.5</v>
      </c>
      <c r="BX101" s="1">
        <v>2601</v>
      </c>
      <c r="BY101" s="1">
        <v>2608.5</v>
      </c>
      <c r="BZ101" s="1">
        <v>2600</v>
      </c>
    </row>
    <row r="102" spans="1:78" ht="15.9" customHeight="1">
      <c r="A102" s="78" t="s">
        <v>199</v>
      </c>
      <c r="B102" s="17" t="s">
        <v>200</v>
      </c>
      <c r="C102" s="546">
        <f>_xll.RssMarket("5802","始値")</f>
        <v>2352</v>
      </c>
      <c r="D102" s="23">
        <f t="shared" ref="D102:D133" si="3">C102-E102</f>
        <v>2352</v>
      </c>
      <c r="E102" s="553"/>
      <c r="F102" s="21"/>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78" ht="15.9" customHeight="1">
      <c r="A103" s="78" t="s">
        <v>201</v>
      </c>
      <c r="B103" s="17" t="s">
        <v>202</v>
      </c>
      <c r="C103" s="546">
        <f>_xll.RssMarket("5803","始値")</f>
        <v>4830</v>
      </c>
      <c r="D103" s="23">
        <f t="shared" si="3"/>
        <v>506</v>
      </c>
      <c r="E103" s="553">
        <v>4324</v>
      </c>
      <c r="F103" s="21">
        <v>4079</v>
      </c>
      <c r="G103" s="21">
        <v>4210</v>
      </c>
      <c r="H103" s="70">
        <v>3750</v>
      </c>
      <c r="I103" s="21">
        <v>4003</v>
      </c>
      <c r="J103" s="21">
        <v>4199</v>
      </c>
      <c r="K103" s="21">
        <v>4532</v>
      </c>
      <c r="L103" s="21">
        <v>4659</v>
      </c>
      <c r="M103" s="21">
        <v>4888</v>
      </c>
      <c r="N103" s="21">
        <v>4954</v>
      </c>
      <c r="O103" s="21">
        <v>4542</v>
      </c>
      <c r="P103" s="21">
        <v>4561</v>
      </c>
      <c r="Q103" s="21">
        <v>4948</v>
      </c>
      <c r="R103" s="21">
        <v>4800</v>
      </c>
      <c r="S103" s="21">
        <v>5134</v>
      </c>
      <c r="T103" s="21">
        <v>5125</v>
      </c>
      <c r="U103" s="21">
        <v>4961</v>
      </c>
      <c r="V103" s="21">
        <v>4910</v>
      </c>
      <c r="W103" s="21">
        <v>5254</v>
      </c>
      <c r="X103" s="21">
        <v>5299</v>
      </c>
      <c r="Y103" s="21">
        <v>5100</v>
      </c>
      <c r="Z103" s="21">
        <v>5500</v>
      </c>
      <c r="AA103" s="21">
        <v>6350</v>
      </c>
      <c r="AB103" s="21">
        <v>6085</v>
      </c>
      <c r="AC103" s="21">
        <v>6127</v>
      </c>
      <c r="AD103" s="21">
        <v>6360</v>
      </c>
      <c r="AE103" s="21">
        <v>6613</v>
      </c>
      <c r="AF103" s="21">
        <v>6400</v>
      </c>
      <c r="AG103" s="21">
        <v>7023</v>
      </c>
      <c r="AH103" s="21">
        <v>6161</v>
      </c>
      <c r="AI103" s="21">
        <v>5161</v>
      </c>
      <c r="AJ103" s="21">
        <v>4791</v>
      </c>
      <c r="AK103" s="21">
        <v>4600</v>
      </c>
      <c r="AL103" s="21">
        <v>4400</v>
      </c>
      <c r="AM103" s="21">
        <v>4450</v>
      </c>
      <c r="AN103" s="21">
        <v>4352</v>
      </c>
      <c r="AO103" s="21">
        <v>4006</v>
      </c>
      <c r="AP103" s="21">
        <v>4320</v>
      </c>
      <c r="AQ103" s="21">
        <v>4386</v>
      </c>
      <c r="AR103" s="21">
        <v>4654</v>
      </c>
      <c r="AS103" s="21">
        <v>4831</v>
      </c>
      <c r="AT103" s="21">
        <v>4854</v>
      </c>
      <c r="AU103" s="21">
        <v>4607</v>
      </c>
      <c r="AV103" s="21">
        <v>5044</v>
      </c>
      <c r="AW103" s="21">
        <v>4998</v>
      </c>
      <c r="AX103" s="21">
        <v>5500</v>
      </c>
      <c r="AY103" s="21">
        <v>5360</v>
      </c>
      <c r="AZ103" s="21">
        <v>4650</v>
      </c>
      <c r="BA103" s="21">
        <v>4550</v>
      </c>
      <c r="BB103" s="21">
        <v>4275</v>
      </c>
      <c r="BC103" s="21">
        <v>5600</v>
      </c>
      <c r="BD103" s="21">
        <v>5842</v>
      </c>
      <c r="BE103" s="21">
        <v>6418</v>
      </c>
      <c r="BF103" s="21">
        <v>7662</v>
      </c>
      <c r="BG103" s="21">
        <v>7324</v>
      </c>
      <c r="BH103" s="21">
        <v>7250</v>
      </c>
      <c r="BI103" s="21">
        <v>6780</v>
      </c>
      <c r="BJ103" s="21">
        <v>6428</v>
      </c>
      <c r="BK103" s="21">
        <v>6300</v>
      </c>
      <c r="BL103" s="21">
        <v>5983</v>
      </c>
      <c r="BM103" s="1">
        <v>5981</v>
      </c>
      <c r="BN103" s="1">
        <v>6231</v>
      </c>
      <c r="BO103" s="1">
        <v>6037</v>
      </c>
      <c r="BP103" s="1">
        <v>5987</v>
      </c>
      <c r="BQ103" s="1">
        <v>6119</v>
      </c>
      <c r="BR103" s="1">
        <v>5833</v>
      </c>
      <c r="BS103" s="1">
        <v>5577</v>
      </c>
      <c r="BT103" s="1">
        <v>5692</v>
      </c>
      <c r="BU103" s="1">
        <v>5903</v>
      </c>
      <c r="BV103" s="1">
        <v>5600</v>
      </c>
      <c r="BW103" s="1">
        <v>5960</v>
      </c>
      <c r="BX103" s="1">
        <v>5947</v>
      </c>
      <c r="BY103" s="1">
        <v>5914</v>
      </c>
      <c r="BZ103" s="1">
        <v>5176</v>
      </c>
    </row>
    <row r="104" spans="1:78" ht="15.9" customHeight="1">
      <c r="A104" s="78" t="s">
        <v>203</v>
      </c>
      <c r="B104" s="17" t="s">
        <v>204</v>
      </c>
      <c r="C104" s="546">
        <f>_xll.RssMarket("6178","始値")</f>
        <v>2340</v>
      </c>
      <c r="D104" s="23">
        <f t="shared" si="3"/>
        <v>12</v>
      </c>
      <c r="E104" s="553">
        <v>2328</v>
      </c>
      <c r="F104" s="21">
        <v>2353.5</v>
      </c>
      <c r="G104" s="21">
        <v>2410</v>
      </c>
      <c r="H104" s="70">
        <v>2436.5</v>
      </c>
      <c r="I104" s="21">
        <v>2496.5</v>
      </c>
      <c r="J104" s="21">
        <v>2498.5</v>
      </c>
      <c r="K104" s="21">
        <v>2499.5</v>
      </c>
      <c r="L104" s="21">
        <v>2430.5</v>
      </c>
      <c r="M104" s="21">
        <v>2440</v>
      </c>
      <c r="N104" s="21">
        <v>2418.5</v>
      </c>
      <c r="O104" s="21">
        <v>2359</v>
      </c>
      <c r="P104" s="21">
        <v>2379</v>
      </c>
      <c r="Q104" s="21">
        <v>2389</v>
      </c>
      <c r="R104" s="21">
        <v>2340</v>
      </c>
      <c r="S104" s="21">
        <v>2340</v>
      </c>
      <c r="T104" s="21">
        <v>2371</v>
      </c>
      <c r="U104" s="21">
        <v>2360</v>
      </c>
      <c r="V104" s="21">
        <v>2360</v>
      </c>
      <c r="W104" s="21">
        <v>2344.5</v>
      </c>
      <c r="X104" s="21">
        <v>2288.5</v>
      </c>
      <c r="Y104" s="21">
        <v>2287.5</v>
      </c>
      <c r="Z104" s="21">
        <v>2200.5</v>
      </c>
      <c r="AA104" s="21">
        <v>2184.5</v>
      </c>
      <c r="AB104" s="21">
        <v>2173</v>
      </c>
      <c r="AC104" s="21">
        <v>2173</v>
      </c>
      <c r="AD104" s="21">
        <v>2176</v>
      </c>
      <c r="AE104" s="21">
        <v>2231</v>
      </c>
      <c r="AF104" s="21">
        <v>2225.5</v>
      </c>
      <c r="AG104" s="21">
        <v>2238</v>
      </c>
      <c r="AH104" s="21">
        <v>2210.5</v>
      </c>
      <c r="AI104" s="21">
        <v>2212.5</v>
      </c>
      <c r="AJ104" s="21">
        <v>2212</v>
      </c>
      <c r="AK104" s="21">
        <v>2272</v>
      </c>
      <c r="AL104" s="21">
        <v>2250</v>
      </c>
      <c r="AM104" s="21">
        <v>2325</v>
      </c>
      <c r="AN104" s="21">
        <v>2280.5</v>
      </c>
      <c r="AO104" s="21">
        <v>2230.5</v>
      </c>
      <c r="AP104" s="21">
        <v>2204</v>
      </c>
      <c r="AQ104" s="21">
        <v>2108.5</v>
      </c>
      <c r="AR104" s="21">
        <v>2155</v>
      </c>
      <c r="AS104" s="21">
        <v>2108.5</v>
      </c>
      <c r="AT104" s="21">
        <v>2090</v>
      </c>
      <c r="AU104" s="21">
        <v>2005</v>
      </c>
      <c r="AV104" s="21">
        <v>2052</v>
      </c>
      <c r="AW104" s="21">
        <v>2024.5</v>
      </c>
      <c r="AX104" s="21">
        <v>2070</v>
      </c>
      <c r="AY104" s="21">
        <v>2093</v>
      </c>
      <c r="AZ104" s="21">
        <v>2115.5</v>
      </c>
      <c r="BA104" s="21">
        <v>2110</v>
      </c>
      <c r="BB104" s="21">
        <v>2126.5</v>
      </c>
      <c r="BC104" s="21">
        <v>2065</v>
      </c>
      <c r="BD104" s="21">
        <v>1997</v>
      </c>
      <c r="BE104" s="21">
        <v>1951</v>
      </c>
      <c r="BF104" s="21">
        <v>1951.5</v>
      </c>
      <c r="BG104" s="21">
        <v>1900</v>
      </c>
      <c r="BH104" s="21">
        <v>1876.5</v>
      </c>
      <c r="BI104" s="21">
        <v>1863</v>
      </c>
      <c r="BJ104" s="21">
        <v>1857</v>
      </c>
      <c r="BK104" s="21">
        <v>1845.5</v>
      </c>
      <c r="BL104" s="21">
        <v>1812.5</v>
      </c>
      <c r="BM104" s="1">
        <v>1810</v>
      </c>
      <c r="BN104" s="1">
        <v>1775</v>
      </c>
      <c r="BO104" s="1">
        <v>1762</v>
      </c>
      <c r="BP104" s="1">
        <v>1784.5</v>
      </c>
      <c r="BQ104" s="1">
        <v>1789</v>
      </c>
      <c r="BR104" s="1">
        <v>1820.5</v>
      </c>
      <c r="BS104" s="1">
        <v>1856.5</v>
      </c>
      <c r="BT104" s="1">
        <v>1880.5</v>
      </c>
      <c r="BU104" s="1">
        <v>1887.5</v>
      </c>
      <c r="BV104" s="1">
        <v>1900</v>
      </c>
      <c r="BW104" s="1">
        <v>1858.5</v>
      </c>
      <c r="BX104" s="1">
        <v>1881.5</v>
      </c>
      <c r="BY104" s="1">
        <v>1831</v>
      </c>
      <c r="BZ104" s="1">
        <v>1891.5</v>
      </c>
    </row>
    <row r="105" spans="1:78" ht="15.9" customHeight="1">
      <c r="A105" s="78" t="s">
        <v>205</v>
      </c>
      <c r="B105" s="17" t="s">
        <v>206</v>
      </c>
      <c r="C105" s="546">
        <f>_xll.RssMarket("6925","始値")</f>
        <v>4363</v>
      </c>
      <c r="D105" s="23">
        <f t="shared" si="3"/>
        <v>458</v>
      </c>
      <c r="E105" s="553">
        <v>3905</v>
      </c>
      <c r="F105" s="21">
        <v>3725</v>
      </c>
      <c r="G105" s="21">
        <v>3847</v>
      </c>
      <c r="H105" s="73">
        <v>3538</v>
      </c>
      <c r="I105" s="21">
        <v>3753</v>
      </c>
      <c r="J105" s="21">
        <v>4002</v>
      </c>
      <c r="K105" s="21">
        <v>4164</v>
      </c>
      <c r="L105" s="21">
        <v>4174</v>
      </c>
      <c r="M105" s="21">
        <v>4228</v>
      </c>
      <c r="N105" s="21">
        <v>4160</v>
      </c>
      <c r="O105" s="21">
        <v>3908</v>
      </c>
      <c r="P105" s="21">
        <v>3931</v>
      </c>
      <c r="Q105" s="21">
        <v>4156</v>
      </c>
      <c r="R105" s="21">
        <v>4089</v>
      </c>
      <c r="S105" s="21">
        <v>4302</v>
      </c>
      <c r="T105" s="21">
        <v>4478</v>
      </c>
      <c r="U105" s="21">
        <v>4221</v>
      </c>
      <c r="V105" s="21">
        <v>4230</v>
      </c>
      <c r="W105" s="21">
        <v>4470</v>
      </c>
      <c r="X105" s="21">
        <v>4682</v>
      </c>
      <c r="Y105" s="21">
        <v>4484</v>
      </c>
      <c r="Z105" s="21">
        <v>4688</v>
      </c>
      <c r="AA105" s="21">
        <v>5048</v>
      </c>
      <c r="AB105" s="21">
        <v>4333</v>
      </c>
      <c r="AC105" s="21">
        <v>4396</v>
      </c>
      <c r="AD105" s="21">
        <v>4497</v>
      </c>
      <c r="AE105" s="21">
        <v>4539</v>
      </c>
      <c r="AF105" s="21">
        <v>4470</v>
      </c>
      <c r="AG105" s="21">
        <v>4810</v>
      </c>
      <c r="AH105" s="21">
        <v>4693</v>
      </c>
      <c r="AI105" s="21">
        <v>4749</v>
      </c>
      <c r="AJ105" s="21">
        <v>4630</v>
      </c>
      <c r="AK105" s="21">
        <v>4478</v>
      </c>
      <c r="AL105" s="21">
        <v>4274</v>
      </c>
      <c r="AM105" s="21">
        <v>4200</v>
      </c>
      <c r="AN105" s="21">
        <v>4025</v>
      </c>
      <c r="AO105" s="21">
        <v>3794</v>
      </c>
      <c r="AP105" s="21">
        <v>4027</v>
      </c>
      <c r="AQ105" s="21">
        <v>3980</v>
      </c>
      <c r="AR105" s="21">
        <v>4269</v>
      </c>
      <c r="AS105" s="21">
        <v>4077</v>
      </c>
      <c r="AT105" s="21">
        <v>4067</v>
      </c>
      <c r="AU105" s="21">
        <v>4059</v>
      </c>
      <c r="AV105" s="21">
        <v>4229</v>
      </c>
      <c r="AW105" s="21">
        <v>4192</v>
      </c>
      <c r="AX105" s="21">
        <v>4226</v>
      </c>
      <c r="AY105" s="21">
        <v>4100</v>
      </c>
      <c r="AZ105" s="21">
        <v>4050</v>
      </c>
      <c r="BA105" s="21">
        <v>3833</v>
      </c>
      <c r="BB105" s="21">
        <v>3858</v>
      </c>
      <c r="BC105" s="21">
        <v>4138</v>
      </c>
      <c r="BD105" s="21">
        <v>4250</v>
      </c>
      <c r="BE105" s="21">
        <v>4239</v>
      </c>
      <c r="BF105" s="21">
        <v>3419</v>
      </c>
      <c r="BG105" s="21">
        <v>3439</v>
      </c>
      <c r="BH105" s="21">
        <v>3468</v>
      </c>
      <c r="BI105" s="21">
        <v>3405</v>
      </c>
      <c r="BJ105" s="21">
        <v>3343</v>
      </c>
      <c r="BK105" s="21">
        <v>3235</v>
      </c>
      <c r="BL105" s="21">
        <v>3126</v>
      </c>
      <c r="BM105" s="1">
        <v>3090</v>
      </c>
      <c r="BN105" s="1">
        <v>3135</v>
      </c>
      <c r="BO105" s="1">
        <v>3200</v>
      </c>
      <c r="BP105" s="1">
        <v>3224</v>
      </c>
      <c r="BQ105" s="1">
        <v>3150</v>
      </c>
      <c r="BR105" s="1">
        <v>3180</v>
      </c>
      <c r="BS105" s="1">
        <v>3207</v>
      </c>
      <c r="BT105" s="1">
        <v>3156</v>
      </c>
      <c r="BU105" s="1">
        <v>3320</v>
      </c>
      <c r="BV105" s="1">
        <v>3299</v>
      </c>
      <c r="BW105" s="1">
        <v>3282</v>
      </c>
      <c r="BX105" s="1">
        <v>3251</v>
      </c>
      <c r="BY105" s="1">
        <v>3231</v>
      </c>
      <c r="BZ105" s="1">
        <v>3232</v>
      </c>
    </row>
    <row r="106" spans="1:78" ht="15.9" customHeight="1">
      <c r="A106" s="78" t="s">
        <v>207</v>
      </c>
      <c r="B106" s="17" t="s">
        <v>208</v>
      </c>
      <c r="C106" s="546">
        <f>_xll.RssMarket("7021","始値")</f>
        <v>2101</v>
      </c>
      <c r="D106" s="23">
        <f t="shared" si="3"/>
        <v>71</v>
      </c>
      <c r="E106" s="553">
        <v>2030</v>
      </c>
      <c r="F106" s="21">
        <v>1991</v>
      </c>
      <c r="G106" s="21">
        <v>1967</v>
      </c>
      <c r="H106" s="73">
        <v>1984</v>
      </c>
      <c r="I106" s="21">
        <v>1977</v>
      </c>
      <c r="J106" s="21">
        <v>1955</v>
      </c>
      <c r="K106" s="21">
        <v>1936</v>
      </c>
      <c r="L106" s="21">
        <v>1938</v>
      </c>
      <c r="M106" s="21">
        <v>1890</v>
      </c>
      <c r="N106" s="21">
        <v>1878</v>
      </c>
      <c r="O106" s="21">
        <v>1868</v>
      </c>
      <c r="P106" s="21">
        <v>1876</v>
      </c>
      <c r="Q106" s="21">
        <v>1859</v>
      </c>
      <c r="R106" s="21">
        <v>1849</v>
      </c>
      <c r="S106" s="21">
        <v>1859</v>
      </c>
      <c r="T106" s="21">
        <v>1825</v>
      </c>
      <c r="U106" s="21">
        <v>1825</v>
      </c>
      <c r="V106" s="21">
        <v>1813</v>
      </c>
      <c r="W106" s="21">
        <v>1821</v>
      </c>
      <c r="X106" s="21">
        <v>1808</v>
      </c>
      <c r="Y106" s="21">
        <v>1790</v>
      </c>
      <c r="Z106" s="21">
        <v>1799</v>
      </c>
      <c r="AA106" s="21">
        <v>1785</v>
      </c>
      <c r="AB106" s="21">
        <v>1785</v>
      </c>
      <c r="AC106" s="21">
        <v>1775</v>
      </c>
      <c r="AD106" s="21">
        <v>1791</v>
      </c>
      <c r="AE106" s="21">
        <v>1771</v>
      </c>
      <c r="AF106" s="21">
        <v>1770</v>
      </c>
      <c r="AG106" s="21">
        <v>1761</v>
      </c>
      <c r="AH106" s="21">
        <v>1787</v>
      </c>
      <c r="AI106" s="21">
        <v>1753</v>
      </c>
      <c r="AJ106" s="21">
        <v>1793</v>
      </c>
      <c r="AK106" s="21">
        <v>1809</v>
      </c>
      <c r="AL106" s="21">
        <v>1780</v>
      </c>
      <c r="AM106" s="21">
        <v>1826</v>
      </c>
      <c r="AN106" s="21">
        <v>1804</v>
      </c>
      <c r="AO106" s="21">
        <v>1812</v>
      </c>
      <c r="AP106" s="21">
        <v>1800</v>
      </c>
      <c r="AQ106" s="21">
        <v>1770</v>
      </c>
      <c r="AR106" s="21">
        <v>1759</v>
      </c>
      <c r="AS106" s="21">
        <v>1749</v>
      </c>
      <c r="AT106" s="21">
        <v>1800</v>
      </c>
      <c r="AU106" s="21">
        <v>1803</v>
      </c>
      <c r="AV106" s="21">
        <v>1854</v>
      </c>
      <c r="AW106" s="21">
        <v>1854</v>
      </c>
      <c r="AX106" s="21">
        <v>1854</v>
      </c>
      <c r="AY106" s="21">
        <v>1819</v>
      </c>
      <c r="AZ106" s="21">
        <v>1823</v>
      </c>
      <c r="BA106" s="21">
        <v>1868</v>
      </c>
      <c r="BB106" s="21">
        <v>1881</v>
      </c>
      <c r="BC106" s="21">
        <v>1915</v>
      </c>
      <c r="BD106" s="21">
        <v>1980</v>
      </c>
      <c r="BE106" s="21">
        <v>2088</v>
      </c>
      <c r="BF106" s="21">
        <v>2189</v>
      </c>
      <c r="BG106" s="21">
        <v>2118</v>
      </c>
      <c r="BH106" s="21">
        <v>2151</v>
      </c>
      <c r="BI106" s="21">
        <v>2141</v>
      </c>
      <c r="BJ106" s="21">
        <v>2170</v>
      </c>
      <c r="BK106" s="21">
        <v>2150</v>
      </c>
      <c r="BL106" s="21">
        <v>2175</v>
      </c>
      <c r="BM106" s="1">
        <v>2225</v>
      </c>
      <c r="BN106" s="1">
        <v>2176</v>
      </c>
      <c r="BO106" s="1">
        <v>2259</v>
      </c>
      <c r="BP106" s="1">
        <v>2258</v>
      </c>
      <c r="BQ106" s="1">
        <v>2295</v>
      </c>
      <c r="BR106" s="1">
        <v>2289</v>
      </c>
      <c r="BS106" s="1">
        <v>2364</v>
      </c>
      <c r="BT106" s="1">
        <v>2341</v>
      </c>
      <c r="BU106" s="1">
        <v>2337</v>
      </c>
      <c r="BV106" s="1">
        <v>2360</v>
      </c>
      <c r="BW106" s="1">
        <v>2343</v>
      </c>
      <c r="BX106" s="1">
        <v>2339</v>
      </c>
      <c r="BY106" s="1">
        <v>2329</v>
      </c>
      <c r="BZ106" s="1">
        <v>2301</v>
      </c>
    </row>
    <row r="107" spans="1:78" ht="15.9" customHeight="1">
      <c r="A107" s="78" t="s">
        <v>209</v>
      </c>
      <c r="B107" s="17" t="s">
        <v>210</v>
      </c>
      <c r="C107" s="546">
        <f>_xll.RssMarket("7729","始値")</f>
        <v>18100</v>
      </c>
      <c r="D107" s="23">
        <f t="shared" si="3"/>
        <v>980</v>
      </c>
      <c r="E107" s="553">
        <v>17120</v>
      </c>
      <c r="F107" s="21">
        <v>16855</v>
      </c>
      <c r="G107" s="21">
        <v>17045</v>
      </c>
      <c r="H107" s="73">
        <v>15000</v>
      </c>
      <c r="I107" s="21">
        <v>15905</v>
      </c>
      <c r="J107" s="21">
        <v>17465</v>
      </c>
      <c r="K107" s="21">
        <v>17770</v>
      </c>
      <c r="L107" s="21">
        <v>18045</v>
      </c>
      <c r="M107" s="21">
        <v>18655</v>
      </c>
      <c r="N107" s="21">
        <v>18585</v>
      </c>
      <c r="O107" s="21">
        <v>17295</v>
      </c>
      <c r="P107" s="21">
        <v>17910</v>
      </c>
      <c r="Q107" s="21">
        <v>18470</v>
      </c>
      <c r="R107" s="21">
        <v>18415</v>
      </c>
      <c r="S107" s="21">
        <v>18910</v>
      </c>
      <c r="T107" s="21">
        <v>18400</v>
      </c>
      <c r="U107" s="21">
        <v>17815</v>
      </c>
      <c r="V107" s="21">
        <v>17200</v>
      </c>
      <c r="W107" s="21">
        <v>18510</v>
      </c>
      <c r="X107" s="21">
        <v>19405</v>
      </c>
      <c r="Y107" s="21">
        <v>18235</v>
      </c>
      <c r="Z107" s="21">
        <v>20015</v>
      </c>
      <c r="AA107" s="21">
        <v>21000</v>
      </c>
      <c r="AB107" s="21">
        <v>19675</v>
      </c>
      <c r="AC107" s="21">
        <v>19320</v>
      </c>
      <c r="AD107" s="21">
        <v>19560</v>
      </c>
      <c r="AE107" s="21">
        <v>19850</v>
      </c>
      <c r="AF107" s="21">
        <v>18865</v>
      </c>
      <c r="AG107" s="21">
        <v>20495</v>
      </c>
      <c r="AH107" s="21">
        <v>20075</v>
      </c>
      <c r="AI107" s="21">
        <v>20645</v>
      </c>
      <c r="AJ107" s="21">
        <v>19850</v>
      </c>
      <c r="AK107" s="21">
        <v>18490</v>
      </c>
      <c r="AL107" s="21">
        <v>19775</v>
      </c>
      <c r="AM107" s="21">
        <v>19455</v>
      </c>
      <c r="AN107" s="21">
        <v>18430</v>
      </c>
      <c r="AO107" s="21">
        <v>16355</v>
      </c>
      <c r="AP107" s="21">
        <v>17270</v>
      </c>
      <c r="AQ107" s="21">
        <v>15910</v>
      </c>
      <c r="AR107" s="21">
        <v>17925</v>
      </c>
      <c r="AS107" s="21">
        <v>17360</v>
      </c>
      <c r="AT107" s="21">
        <v>17250</v>
      </c>
      <c r="AU107" s="21">
        <v>16975</v>
      </c>
      <c r="AV107" s="21">
        <v>17970</v>
      </c>
      <c r="AW107" s="21">
        <v>17420</v>
      </c>
      <c r="AX107" s="21">
        <v>17795</v>
      </c>
      <c r="AY107" s="21">
        <v>17770</v>
      </c>
      <c r="AZ107" s="21">
        <v>16650</v>
      </c>
      <c r="BA107" s="21">
        <v>16390</v>
      </c>
      <c r="BB107" s="21">
        <v>15700</v>
      </c>
      <c r="BC107" s="21">
        <v>16200</v>
      </c>
      <c r="BD107" s="21">
        <v>16515</v>
      </c>
      <c r="BE107" s="21">
        <v>18155</v>
      </c>
      <c r="BF107" s="21">
        <v>19285</v>
      </c>
      <c r="BG107" s="21">
        <v>18585</v>
      </c>
      <c r="BH107" s="21">
        <v>19365</v>
      </c>
      <c r="BI107" s="21">
        <v>19400</v>
      </c>
      <c r="BJ107" s="21">
        <v>18000</v>
      </c>
      <c r="BK107" s="21">
        <v>18375</v>
      </c>
      <c r="BL107" s="21">
        <v>17240</v>
      </c>
      <c r="BM107" s="1">
        <v>17355</v>
      </c>
      <c r="BN107" s="1">
        <v>17325</v>
      </c>
      <c r="BO107" s="1">
        <v>17640</v>
      </c>
      <c r="BP107" s="1">
        <v>16950</v>
      </c>
      <c r="BQ107" s="1">
        <v>17220</v>
      </c>
      <c r="BR107" s="1">
        <v>16715</v>
      </c>
      <c r="BS107" s="1">
        <v>16440</v>
      </c>
      <c r="BT107" s="1">
        <v>16665</v>
      </c>
      <c r="BU107" s="1">
        <v>16810</v>
      </c>
      <c r="BV107" s="1">
        <v>16595</v>
      </c>
      <c r="BW107" s="1">
        <v>16435</v>
      </c>
      <c r="BX107" s="1">
        <v>16100</v>
      </c>
      <c r="BY107" s="1">
        <v>15605</v>
      </c>
      <c r="BZ107" s="1">
        <v>15680</v>
      </c>
    </row>
    <row r="108" spans="1:78" ht="15.9" customHeight="1">
      <c r="A108" s="78" t="s">
        <v>211</v>
      </c>
      <c r="B108" s="17" t="s">
        <v>212</v>
      </c>
      <c r="C108" s="546">
        <f>_xll.RssMarket("8424","始値")</f>
        <v>4389</v>
      </c>
      <c r="D108" s="23">
        <f t="shared" si="3"/>
        <v>-73</v>
      </c>
      <c r="E108" s="553">
        <v>4462</v>
      </c>
      <c r="F108" s="21">
        <v>4500</v>
      </c>
      <c r="G108" s="21">
        <v>4447</v>
      </c>
      <c r="H108" s="73">
        <v>4563</v>
      </c>
      <c r="I108" s="21">
        <v>4523</v>
      </c>
      <c r="J108" s="21">
        <v>4549</v>
      </c>
      <c r="K108" s="21">
        <v>4475</v>
      </c>
      <c r="L108" s="21">
        <v>4400</v>
      </c>
      <c r="M108" s="21">
        <v>4412</v>
      </c>
      <c r="N108" s="21">
        <v>4430</v>
      </c>
      <c r="O108" s="21">
        <v>4376</v>
      </c>
      <c r="P108" s="21">
        <v>4352</v>
      </c>
      <c r="Q108" s="21">
        <v>4368</v>
      </c>
      <c r="R108" s="21">
        <v>4307</v>
      </c>
      <c r="S108" s="21">
        <v>4310</v>
      </c>
      <c r="T108" s="21">
        <v>4278</v>
      </c>
      <c r="U108" s="21">
        <v>4260</v>
      </c>
      <c r="V108" s="21">
        <v>4273</v>
      </c>
      <c r="W108" s="21">
        <v>4280</v>
      </c>
      <c r="X108" s="21">
        <v>4200</v>
      </c>
      <c r="Y108" s="21">
        <v>4222</v>
      </c>
      <c r="Z108" s="21">
        <v>4230</v>
      </c>
      <c r="AA108" s="21">
        <v>4230</v>
      </c>
      <c r="AB108" s="21">
        <v>4230</v>
      </c>
      <c r="AC108" s="21">
        <v>4240</v>
      </c>
      <c r="AD108" s="21">
        <v>4246</v>
      </c>
      <c r="AE108" s="21">
        <v>4250</v>
      </c>
      <c r="AF108" s="21">
        <v>4176</v>
      </c>
      <c r="AG108" s="21">
        <v>4210</v>
      </c>
      <c r="AH108" s="21">
        <v>4226</v>
      </c>
      <c r="AI108" s="21">
        <v>4213</v>
      </c>
      <c r="AJ108" s="21">
        <v>4250</v>
      </c>
      <c r="AK108" s="21">
        <v>4302</v>
      </c>
      <c r="AL108" s="21">
        <v>4300</v>
      </c>
      <c r="AM108" s="21">
        <v>4306</v>
      </c>
      <c r="AN108" s="21">
        <v>4264</v>
      </c>
      <c r="AO108" s="21">
        <v>4309</v>
      </c>
      <c r="AP108" s="21">
        <v>4272</v>
      </c>
      <c r="AQ108" s="21">
        <v>4118</v>
      </c>
      <c r="AR108" s="21">
        <v>4100</v>
      </c>
      <c r="AS108" s="21">
        <v>4077</v>
      </c>
      <c r="AT108" s="21">
        <v>4054</v>
      </c>
      <c r="AU108" s="21">
        <v>4075</v>
      </c>
      <c r="AV108" s="21">
        <v>4170</v>
      </c>
      <c r="AW108" s="21">
        <v>4185</v>
      </c>
      <c r="AX108" s="21">
        <v>4190</v>
      </c>
      <c r="AY108" s="21">
        <v>4280</v>
      </c>
      <c r="AZ108" s="21">
        <v>4371</v>
      </c>
      <c r="BA108" s="21">
        <v>4403</v>
      </c>
      <c r="BB108" s="21">
        <v>4387</v>
      </c>
      <c r="BC108" s="21">
        <v>4342</v>
      </c>
      <c r="BD108" s="21">
        <v>4378</v>
      </c>
      <c r="BE108" s="21">
        <v>4396</v>
      </c>
      <c r="BF108" s="21">
        <v>4350</v>
      </c>
      <c r="BG108" s="21">
        <v>4363</v>
      </c>
      <c r="BH108" s="21">
        <v>4300</v>
      </c>
      <c r="BI108" s="21">
        <v>4290</v>
      </c>
      <c r="BJ108" s="21">
        <v>4322</v>
      </c>
      <c r="BK108" s="21">
        <v>4313</v>
      </c>
      <c r="BL108" s="21">
        <v>4312</v>
      </c>
      <c r="BM108" s="1">
        <v>4337</v>
      </c>
      <c r="BN108" s="1">
        <v>4267</v>
      </c>
      <c r="BO108" s="1">
        <v>4243</v>
      </c>
      <c r="BP108" s="1">
        <v>4260</v>
      </c>
      <c r="BQ108" s="1">
        <v>4230</v>
      </c>
      <c r="BR108" s="1">
        <v>4273</v>
      </c>
      <c r="BS108" s="1">
        <v>4315</v>
      </c>
      <c r="BT108" s="1">
        <v>4353</v>
      </c>
      <c r="BU108" s="1">
        <v>4330</v>
      </c>
      <c r="BV108" s="1">
        <v>4355</v>
      </c>
      <c r="BW108" s="1">
        <v>4328</v>
      </c>
      <c r="BX108" s="1">
        <v>4338</v>
      </c>
      <c r="BY108" s="1">
        <v>4338</v>
      </c>
      <c r="BZ108" s="1">
        <v>4410</v>
      </c>
    </row>
    <row r="109" spans="1:78" ht="15.9" customHeight="1">
      <c r="A109" s="78" t="s">
        <v>213</v>
      </c>
      <c r="B109" s="17" t="s">
        <v>214</v>
      </c>
      <c r="C109" s="546">
        <f>_xll.RssMarket("9020","始値")</f>
        <v>3412</v>
      </c>
      <c r="D109" s="23">
        <f t="shared" si="3"/>
        <v>-49</v>
      </c>
      <c r="E109" s="553">
        <v>3461</v>
      </c>
      <c r="F109" s="21">
        <v>3536</v>
      </c>
      <c r="G109" s="21">
        <v>3680</v>
      </c>
      <c r="H109" s="73">
        <v>3910</v>
      </c>
      <c r="I109" s="21">
        <v>3812</v>
      </c>
      <c r="J109" s="21">
        <v>3784</v>
      </c>
      <c r="K109" s="21">
        <v>3640</v>
      </c>
      <c r="L109" s="21">
        <v>3572</v>
      </c>
      <c r="M109" s="21">
        <v>3577</v>
      </c>
      <c r="N109" s="21">
        <v>3590</v>
      </c>
      <c r="O109" s="21">
        <v>3660</v>
      </c>
      <c r="P109" s="21">
        <v>3638</v>
      </c>
      <c r="Q109" s="21">
        <v>3602</v>
      </c>
      <c r="R109" s="21">
        <v>3570</v>
      </c>
      <c r="S109" s="21">
        <v>3502</v>
      </c>
      <c r="T109" s="21">
        <v>3528</v>
      </c>
      <c r="U109" s="21">
        <v>3479</v>
      </c>
      <c r="V109" s="21">
        <v>3550</v>
      </c>
      <c r="W109" s="21">
        <v>3501</v>
      </c>
      <c r="X109" s="21">
        <v>3472</v>
      </c>
      <c r="Y109" s="21">
        <v>3536</v>
      </c>
      <c r="Z109" s="21">
        <v>3360</v>
      </c>
      <c r="AA109" s="21">
        <v>3380</v>
      </c>
      <c r="AB109" s="21">
        <v>3434</v>
      </c>
      <c r="AC109" s="21">
        <v>3414</v>
      </c>
      <c r="AD109" s="21">
        <v>3381</v>
      </c>
      <c r="AE109" s="21">
        <v>3371</v>
      </c>
      <c r="AF109" s="21">
        <v>3395</v>
      </c>
      <c r="AG109" s="21">
        <v>3322</v>
      </c>
      <c r="AH109" s="21">
        <v>3347</v>
      </c>
      <c r="AI109" s="21">
        <v>3368</v>
      </c>
      <c r="AJ109" s="21">
        <v>3363</v>
      </c>
      <c r="AK109" s="21">
        <v>3445</v>
      </c>
      <c r="AL109" s="21">
        <v>3385</v>
      </c>
      <c r="AM109" s="21">
        <v>3410</v>
      </c>
      <c r="AN109" s="21">
        <v>3450</v>
      </c>
      <c r="AO109" s="21">
        <v>3500</v>
      </c>
      <c r="AP109" s="21">
        <v>3413</v>
      </c>
      <c r="AQ109" s="21">
        <v>3400</v>
      </c>
      <c r="AR109" s="21">
        <v>3292</v>
      </c>
      <c r="AS109" s="21">
        <v>3317</v>
      </c>
      <c r="AT109" s="21">
        <v>3295</v>
      </c>
      <c r="AU109" s="21">
        <v>3335</v>
      </c>
      <c r="AV109" s="21">
        <v>3438</v>
      </c>
      <c r="AW109" s="21">
        <v>3516</v>
      </c>
      <c r="AX109" s="21">
        <v>3532</v>
      </c>
      <c r="AY109" s="21">
        <v>3591</v>
      </c>
      <c r="AZ109" s="21">
        <v>3645</v>
      </c>
      <c r="BA109" s="21">
        <v>3800</v>
      </c>
      <c r="BB109" s="21">
        <v>3840</v>
      </c>
      <c r="BC109" s="21">
        <v>3746</v>
      </c>
      <c r="BD109" s="21">
        <v>3792</v>
      </c>
      <c r="BE109" s="21">
        <v>3675</v>
      </c>
      <c r="BF109" s="21">
        <v>3716</v>
      </c>
      <c r="BG109" s="21">
        <v>3752</v>
      </c>
      <c r="BH109" s="21">
        <v>3641</v>
      </c>
      <c r="BI109" s="21">
        <v>3626</v>
      </c>
      <c r="BJ109" s="21">
        <v>3648</v>
      </c>
      <c r="BK109" s="21">
        <v>3573</v>
      </c>
      <c r="BL109" s="21">
        <v>3668</v>
      </c>
      <c r="BM109" s="1">
        <v>3381</v>
      </c>
      <c r="BN109" s="1">
        <v>3460</v>
      </c>
      <c r="BO109" s="1">
        <v>3402</v>
      </c>
      <c r="BP109" s="1">
        <v>3474</v>
      </c>
      <c r="BQ109" s="1">
        <v>3500</v>
      </c>
      <c r="BR109" s="1">
        <v>3528</v>
      </c>
      <c r="BS109" s="1">
        <v>3517</v>
      </c>
      <c r="BT109" s="1">
        <v>3500</v>
      </c>
      <c r="BU109" s="1">
        <v>3520</v>
      </c>
      <c r="BV109" s="1">
        <v>3559</v>
      </c>
      <c r="BW109" s="1">
        <v>3533</v>
      </c>
      <c r="BX109" s="1">
        <v>3580</v>
      </c>
      <c r="BY109" s="1">
        <v>3560</v>
      </c>
      <c r="BZ109" s="1">
        <v>3607</v>
      </c>
    </row>
    <row r="110" spans="1:78" ht="15.9" customHeight="1">
      <c r="A110" s="78" t="s">
        <v>215</v>
      </c>
      <c r="B110" s="17" t="s">
        <v>216</v>
      </c>
      <c r="C110" s="546">
        <f>_xll.RssMarket("9069","始値")</f>
        <v>2202.5</v>
      </c>
      <c r="D110" s="23">
        <f t="shared" si="3"/>
        <v>5.5</v>
      </c>
      <c r="E110" s="553">
        <v>2197</v>
      </c>
      <c r="F110" s="21">
        <v>2205</v>
      </c>
      <c r="G110" s="21">
        <v>2216</v>
      </c>
      <c r="H110" s="73">
        <v>2244</v>
      </c>
      <c r="I110" s="21">
        <v>2208</v>
      </c>
      <c r="J110" s="21">
        <v>2211</v>
      </c>
      <c r="K110" s="21">
        <v>2198</v>
      </c>
      <c r="L110" s="21">
        <v>2160</v>
      </c>
      <c r="M110" s="21">
        <v>2167</v>
      </c>
      <c r="N110" s="21">
        <v>2210</v>
      </c>
      <c r="O110" s="21">
        <v>2211.5</v>
      </c>
      <c r="P110" s="21">
        <v>2146</v>
      </c>
      <c r="Q110" s="21">
        <v>2141.5</v>
      </c>
      <c r="R110" s="21">
        <v>2128</v>
      </c>
      <c r="S110" s="21">
        <v>2073</v>
      </c>
      <c r="T110" s="21">
        <v>2050</v>
      </c>
      <c r="U110" s="21">
        <v>2018</v>
      </c>
      <c r="V110" s="21">
        <v>2021</v>
      </c>
      <c r="W110" s="21">
        <v>1999</v>
      </c>
      <c r="X110" s="21">
        <v>1979</v>
      </c>
      <c r="Y110" s="21">
        <v>1952.5</v>
      </c>
      <c r="Z110" s="21">
        <v>1918</v>
      </c>
      <c r="AA110" s="21">
        <v>1940</v>
      </c>
      <c r="AB110" s="21">
        <v>1935</v>
      </c>
      <c r="AC110" s="21">
        <v>1930</v>
      </c>
      <c r="AD110" s="21">
        <v>1912</v>
      </c>
      <c r="AE110" s="21">
        <v>1917.5</v>
      </c>
      <c r="AF110" s="21">
        <v>1895.5</v>
      </c>
      <c r="AG110" s="21">
        <v>1900</v>
      </c>
      <c r="AH110" s="21">
        <v>1880</v>
      </c>
      <c r="AI110" s="21">
        <v>1893.5</v>
      </c>
      <c r="AJ110" s="21">
        <v>1899</v>
      </c>
      <c r="AK110" s="21">
        <v>1940</v>
      </c>
      <c r="AL110" s="21">
        <v>1952</v>
      </c>
      <c r="AM110" s="21">
        <v>1948.5</v>
      </c>
      <c r="AN110" s="21">
        <v>1935</v>
      </c>
      <c r="AO110" s="21">
        <v>1950</v>
      </c>
      <c r="AP110" s="21">
        <v>1948</v>
      </c>
      <c r="AQ110" s="21">
        <v>1908</v>
      </c>
      <c r="AR110" s="21">
        <v>1909</v>
      </c>
      <c r="AS110" s="21">
        <v>1900</v>
      </c>
      <c r="AT110" s="21">
        <v>1886</v>
      </c>
      <c r="AU110" s="21">
        <v>1873</v>
      </c>
      <c r="AV110" s="21">
        <v>1908</v>
      </c>
      <c r="AW110" s="21">
        <v>1932</v>
      </c>
      <c r="AX110" s="21">
        <v>1932</v>
      </c>
      <c r="AY110" s="21">
        <v>1964</v>
      </c>
      <c r="AZ110" s="21">
        <v>2022</v>
      </c>
      <c r="BA110" s="21">
        <v>2029</v>
      </c>
      <c r="BB110" s="21">
        <v>1988.5</v>
      </c>
      <c r="BC110" s="21">
        <v>2020</v>
      </c>
      <c r="BD110" s="21">
        <v>2022.5</v>
      </c>
      <c r="BE110" s="21">
        <v>2006</v>
      </c>
      <c r="BF110" s="21">
        <v>1949</v>
      </c>
      <c r="BG110" s="21">
        <v>1834</v>
      </c>
      <c r="BH110" s="21">
        <v>1858</v>
      </c>
      <c r="BI110" s="21">
        <v>1848</v>
      </c>
      <c r="BJ110" s="21">
        <v>1854.5</v>
      </c>
      <c r="BK110" s="21">
        <v>1821</v>
      </c>
      <c r="BL110" s="21">
        <v>1839.5</v>
      </c>
      <c r="BM110" s="1">
        <v>1834</v>
      </c>
      <c r="BN110" s="1">
        <v>1838</v>
      </c>
      <c r="BO110" s="1">
        <v>1832.5</v>
      </c>
      <c r="BP110" s="1">
        <v>1879.5</v>
      </c>
      <c r="BQ110" s="1">
        <v>1871</v>
      </c>
      <c r="BR110" s="1">
        <v>1901</v>
      </c>
      <c r="BS110" s="1">
        <v>1910</v>
      </c>
      <c r="BT110" s="1">
        <v>1896.5</v>
      </c>
      <c r="BU110" s="1">
        <v>1908.5</v>
      </c>
      <c r="BV110" s="1">
        <v>1888.5</v>
      </c>
      <c r="BW110" s="1">
        <v>1900</v>
      </c>
      <c r="BX110" s="1">
        <v>1870.5</v>
      </c>
      <c r="BY110" s="1">
        <v>1866.5</v>
      </c>
      <c r="BZ110" s="1">
        <v>1918</v>
      </c>
    </row>
    <row r="111" spans="1:78" ht="15.9" customHeight="1">
      <c r="A111" s="78" t="s">
        <v>217</v>
      </c>
      <c r="B111" s="17" t="s">
        <v>218</v>
      </c>
      <c r="C111" s="546">
        <f>_xll.RssMarket("9227","始値")</f>
        <v>866</v>
      </c>
      <c r="D111" s="23">
        <f t="shared" si="3"/>
        <v>16</v>
      </c>
      <c r="E111" s="553">
        <v>850</v>
      </c>
      <c r="F111" s="21">
        <v>835</v>
      </c>
      <c r="G111" s="21">
        <v>866</v>
      </c>
      <c r="H111" s="73">
        <v>900</v>
      </c>
      <c r="I111" s="21">
        <v>846</v>
      </c>
      <c r="J111" s="21">
        <v>814</v>
      </c>
      <c r="K111" s="21">
        <v>798</v>
      </c>
      <c r="L111" s="21"/>
      <c r="M111" s="21">
        <v>814</v>
      </c>
      <c r="N111" s="21">
        <v>812</v>
      </c>
      <c r="O111" s="21">
        <v>784</v>
      </c>
      <c r="P111" s="21">
        <v>805</v>
      </c>
      <c r="Q111" s="21">
        <v>830</v>
      </c>
      <c r="R111" s="21">
        <v>834</v>
      </c>
      <c r="S111" s="21">
        <v>888</v>
      </c>
      <c r="T111" s="21">
        <v>873</v>
      </c>
      <c r="U111" s="21">
        <v>902</v>
      </c>
      <c r="V111" s="21">
        <v>943</v>
      </c>
      <c r="W111" s="21">
        <v>948</v>
      </c>
      <c r="X111" s="21">
        <v>939</v>
      </c>
      <c r="Y111" s="21">
        <v>932</v>
      </c>
      <c r="Z111" s="21">
        <v>955</v>
      </c>
      <c r="AA111" s="21">
        <v>952</v>
      </c>
      <c r="AB111" s="21">
        <v>888</v>
      </c>
      <c r="AC111" s="21">
        <v>891</v>
      </c>
      <c r="AD111" s="21">
        <v>886</v>
      </c>
      <c r="AE111" s="21">
        <v>897</v>
      </c>
      <c r="AF111" s="21">
        <v>885</v>
      </c>
      <c r="AG111" s="21">
        <v>957</v>
      </c>
      <c r="AH111" s="21">
        <v>890</v>
      </c>
      <c r="AI111" s="21">
        <v>915</v>
      </c>
      <c r="AJ111" s="21">
        <v>891</v>
      </c>
      <c r="AK111" s="21">
        <v>877</v>
      </c>
      <c r="AL111" s="21">
        <v>904</v>
      </c>
      <c r="AM111" s="21">
        <v>917</v>
      </c>
      <c r="AN111" s="21">
        <v>879</v>
      </c>
      <c r="AO111" s="21">
        <v>854</v>
      </c>
      <c r="AP111" s="21">
        <v>920</v>
      </c>
      <c r="AQ111" s="21">
        <v>902</v>
      </c>
      <c r="AR111" s="21">
        <v>885</v>
      </c>
      <c r="AS111" s="21">
        <v>894</v>
      </c>
      <c r="AT111" s="21">
        <v>924</v>
      </c>
      <c r="AU111" s="21">
        <v>939</v>
      </c>
      <c r="AV111" s="21">
        <v>1103</v>
      </c>
      <c r="AW111" s="21">
        <v>1149</v>
      </c>
      <c r="AX111" s="21">
        <v>1179</v>
      </c>
      <c r="AY111" s="21">
        <v>1093</v>
      </c>
      <c r="AZ111" s="21">
        <v>943</v>
      </c>
      <c r="BA111" s="21">
        <v>776</v>
      </c>
      <c r="BB111" s="21">
        <v>800</v>
      </c>
      <c r="BC111" s="21">
        <v>828</v>
      </c>
      <c r="BD111" s="21">
        <v>833</v>
      </c>
      <c r="BE111" s="21">
        <v>836</v>
      </c>
      <c r="BF111" s="21">
        <v>845</v>
      </c>
      <c r="BG111" s="21">
        <v>842</v>
      </c>
      <c r="BH111" s="21">
        <v>982</v>
      </c>
      <c r="BI111" s="21">
        <v>1012</v>
      </c>
      <c r="BJ111" s="21">
        <v>1003</v>
      </c>
      <c r="BK111" s="21">
        <v>1042</v>
      </c>
      <c r="BL111" s="21">
        <v>1025</v>
      </c>
      <c r="BM111" s="1">
        <v>1042</v>
      </c>
      <c r="BN111" s="1">
        <v>1094</v>
      </c>
      <c r="BO111" s="1">
        <v>1070</v>
      </c>
      <c r="BP111" s="1">
        <v>1100</v>
      </c>
      <c r="BQ111" s="1">
        <v>1163</v>
      </c>
      <c r="BR111" s="1">
        <v>1138</v>
      </c>
      <c r="BS111" s="1">
        <v>1300</v>
      </c>
      <c r="BT111" s="1">
        <v>1108</v>
      </c>
      <c r="BU111" s="1">
        <v>1033</v>
      </c>
      <c r="BV111" s="1">
        <v>1040</v>
      </c>
      <c r="BW111" s="1">
        <v>1022</v>
      </c>
      <c r="BX111" s="1">
        <v>1023</v>
      </c>
      <c r="BY111" s="1">
        <v>945</v>
      </c>
      <c r="BZ111" s="1">
        <v>975</v>
      </c>
    </row>
    <row r="112" spans="1:78" ht="15.9" customHeight="1">
      <c r="A112" s="78" t="s">
        <v>219</v>
      </c>
      <c r="B112" s="17" t="s">
        <v>220</v>
      </c>
      <c r="C112" s="546">
        <f>_xll.RssMarket("9348","始値")</f>
        <v>416</v>
      </c>
      <c r="D112" s="23">
        <f t="shared" si="3"/>
        <v>10</v>
      </c>
      <c r="E112" s="553">
        <v>406</v>
      </c>
      <c r="F112" s="21">
        <v>405</v>
      </c>
      <c r="G112" s="21">
        <v>407</v>
      </c>
      <c r="H112" s="73">
        <v>406</v>
      </c>
      <c r="I112" s="21">
        <v>407</v>
      </c>
      <c r="J112" s="21">
        <v>410</v>
      </c>
      <c r="K112" s="21">
        <v>415</v>
      </c>
      <c r="L112" s="21"/>
      <c r="M112" s="21">
        <v>412</v>
      </c>
      <c r="N112" s="21">
        <v>415</v>
      </c>
      <c r="O112" s="21">
        <v>414</v>
      </c>
      <c r="P112" s="21">
        <v>416</v>
      </c>
      <c r="Q112" s="21">
        <v>440</v>
      </c>
      <c r="R112" s="21">
        <v>440</v>
      </c>
      <c r="S112" s="21">
        <v>447</v>
      </c>
      <c r="T112" s="21">
        <v>498</v>
      </c>
      <c r="U112" s="21">
        <v>508</v>
      </c>
      <c r="V112" s="21">
        <v>437</v>
      </c>
      <c r="W112" s="21">
        <v>450</v>
      </c>
      <c r="X112" s="21">
        <v>454</v>
      </c>
      <c r="Y112" s="21">
        <v>440</v>
      </c>
      <c r="Z112" s="21">
        <v>443</v>
      </c>
      <c r="AA112" s="21">
        <v>445</v>
      </c>
      <c r="AB112" s="21">
        <v>445</v>
      </c>
      <c r="AC112" s="21">
        <v>435</v>
      </c>
      <c r="AD112" s="21">
        <v>438</v>
      </c>
      <c r="AE112" s="21">
        <v>444</v>
      </c>
      <c r="AF112" s="21">
        <v>439</v>
      </c>
      <c r="AG112" s="21">
        <v>455</v>
      </c>
      <c r="AH112" s="21">
        <v>465</v>
      </c>
      <c r="AI112" s="21">
        <v>468</v>
      </c>
      <c r="AJ112" s="21">
        <v>479</v>
      </c>
      <c r="AK112" s="21">
        <v>471</v>
      </c>
      <c r="AL112" s="21">
        <v>510</v>
      </c>
      <c r="AM112" s="21">
        <v>550</v>
      </c>
      <c r="AN112" s="21">
        <v>602</v>
      </c>
      <c r="AO112" s="21">
        <v>572</v>
      </c>
      <c r="AP112" s="21">
        <v>583</v>
      </c>
      <c r="AQ112" s="21">
        <v>588</v>
      </c>
      <c r="AR112" s="21">
        <v>607</v>
      </c>
      <c r="AS112" s="21">
        <v>584</v>
      </c>
      <c r="AT112" s="21">
        <v>603</v>
      </c>
      <c r="AU112" s="21">
        <v>578</v>
      </c>
      <c r="AV112" s="21">
        <v>709</v>
      </c>
      <c r="AW112" s="21">
        <v>610</v>
      </c>
      <c r="AX112" s="21">
        <v>637</v>
      </c>
      <c r="AY112" s="21">
        <v>598</v>
      </c>
      <c r="AZ112" s="21">
        <v>510</v>
      </c>
      <c r="BA112" s="21">
        <v>506</v>
      </c>
      <c r="BB112" s="21">
        <v>536</v>
      </c>
      <c r="BC112" s="21">
        <v>507</v>
      </c>
      <c r="BD112" s="21">
        <v>505</v>
      </c>
      <c r="BE112" s="21">
        <v>500</v>
      </c>
      <c r="BF112" s="21">
        <v>500</v>
      </c>
      <c r="BG112" s="21">
        <v>492</v>
      </c>
      <c r="BH112" s="21">
        <v>510</v>
      </c>
      <c r="BI112" s="21">
        <v>510</v>
      </c>
      <c r="BJ112" s="21">
        <v>485</v>
      </c>
      <c r="BK112" s="21">
        <v>473</v>
      </c>
      <c r="BL112" s="21">
        <v>468</v>
      </c>
      <c r="BM112" s="1">
        <v>475</v>
      </c>
      <c r="BN112" s="1">
        <v>463</v>
      </c>
      <c r="BO112" s="1">
        <v>480</v>
      </c>
      <c r="BP112" s="1">
        <v>482</v>
      </c>
      <c r="BQ112" s="1">
        <v>491</v>
      </c>
      <c r="BR112" s="1">
        <v>489</v>
      </c>
      <c r="BS112" s="1">
        <v>496</v>
      </c>
      <c r="BT112" s="1">
        <v>496</v>
      </c>
      <c r="BU112" s="1">
        <v>505</v>
      </c>
      <c r="BV112" s="1">
        <v>514</v>
      </c>
      <c r="BW112" s="1">
        <v>513</v>
      </c>
      <c r="BX112" s="1">
        <v>503</v>
      </c>
      <c r="BY112" s="1">
        <v>505</v>
      </c>
      <c r="BZ112" s="1">
        <v>459</v>
      </c>
    </row>
    <row r="113" spans="1:78" ht="15.9" customHeight="1">
      <c r="A113" s="78" t="s">
        <v>221</v>
      </c>
      <c r="B113" s="17" t="s">
        <v>222</v>
      </c>
      <c r="C113" s="546">
        <f>_xll.RssMarket("9449","始値")</f>
        <v>4218</v>
      </c>
      <c r="D113" s="23">
        <f t="shared" si="3"/>
        <v>18</v>
      </c>
      <c r="E113" s="553">
        <v>4200</v>
      </c>
      <c r="F113" s="21">
        <v>4184</v>
      </c>
      <c r="G113" s="21">
        <v>4142</v>
      </c>
      <c r="H113" s="73">
        <v>4260</v>
      </c>
      <c r="I113" s="21">
        <v>4154</v>
      </c>
      <c r="J113" s="21">
        <v>4135</v>
      </c>
      <c r="K113" s="21">
        <v>4000</v>
      </c>
      <c r="L113" s="21">
        <v>3916</v>
      </c>
      <c r="M113" s="21">
        <v>3911</v>
      </c>
      <c r="N113" s="21">
        <v>3990</v>
      </c>
      <c r="O113" s="21">
        <v>4057</v>
      </c>
      <c r="P113" s="21">
        <v>4035</v>
      </c>
      <c r="Q113" s="21">
        <v>4000</v>
      </c>
      <c r="R113" s="21">
        <v>3912</v>
      </c>
      <c r="S113" s="21">
        <v>3897</v>
      </c>
      <c r="T113" s="21">
        <v>3807</v>
      </c>
      <c r="U113" s="21">
        <v>3768</v>
      </c>
      <c r="V113" s="21">
        <v>3810</v>
      </c>
      <c r="W113" s="21">
        <v>3667</v>
      </c>
      <c r="X113" s="21">
        <v>3591</v>
      </c>
      <c r="Y113" s="21">
        <v>3604</v>
      </c>
      <c r="Z113" s="21">
        <v>3461</v>
      </c>
      <c r="AA113" s="21">
        <v>3354</v>
      </c>
      <c r="AB113" s="21">
        <v>3411</v>
      </c>
      <c r="AC113" s="21">
        <v>3336</v>
      </c>
      <c r="AD113" s="21">
        <v>3217</v>
      </c>
      <c r="AE113" s="21">
        <v>3223</v>
      </c>
      <c r="AF113" s="21">
        <v>3244</v>
      </c>
      <c r="AG113" s="21">
        <v>3519</v>
      </c>
      <c r="AH113" s="21">
        <v>3416</v>
      </c>
      <c r="AI113" s="21">
        <v>3112</v>
      </c>
      <c r="AJ113" s="21">
        <v>3072</v>
      </c>
      <c r="AK113" s="21">
        <v>3100</v>
      </c>
      <c r="AL113" s="21">
        <v>3101</v>
      </c>
      <c r="AM113" s="21">
        <v>3120</v>
      </c>
      <c r="AN113" s="21">
        <v>3090</v>
      </c>
      <c r="AO113" s="21">
        <v>3161</v>
      </c>
      <c r="AP113" s="21">
        <v>3198</v>
      </c>
      <c r="AQ113" s="21">
        <v>3160</v>
      </c>
      <c r="AR113" s="21">
        <v>3249</v>
      </c>
      <c r="AS113" s="21">
        <v>3237</v>
      </c>
      <c r="AT113" s="21">
        <v>3243</v>
      </c>
      <c r="AU113" s="21">
        <v>3358</v>
      </c>
      <c r="AV113" s="21">
        <v>3330</v>
      </c>
      <c r="AW113" s="21">
        <v>3300</v>
      </c>
      <c r="AX113" s="21">
        <v>3400</v>
      </c>
      <c r="AY113" s="21">
        <v>3425</v>
      </c>
      <c r="AZ113" s="21">
        <v>3307</v>
      </c>
      <c r="BA113" s="21">
        <v>3300</v>
      </c>
      <c r="BB113" s="21">
        <v>3350</v>
      </c>
      <c r="BC113" s="21">
        <v>3330</v>
      </c>
      <c r="BD113" s="21">
        <v>3345</v>
      </c>
      <c r="BE113" s="21">
        <v>3129</v>
      </c>
      <c r="BF113" s="21">
        <v>3172</v>
      </c>
      <c r="BG113" s="21">
        <v>3144</v>
      </c>
      <c r="BH113" s="21">
        <v>3220</v>
      </c>
      <c r="BI113" s="21">
        <v>3195</v>
      </c>
      <c r="BJ113" s="21">
        <v>3080</v>
      </c>
      <c r="BK113" s="21">
        <v>3096</v>
      </c>
      <c r="BL113" s="21">
        <v>3065</v>
      </c>
      <c r="BM113" s="1">
        <v>3066</v>
      </c>
      <c r="BN113" s="1">
        <v>3117</v>
      </c>
      <c r="BO113" s="1">
        <v>3129</v>
      </c>
      <c r="BP113" s="1">
        <v>3116</v>
      </c>
      <c r="BQ113" s="1">
        <v>3230</v>
      </c>
      <c r="BR113" s="1">
        <v>3323</v>
      </c>
      <c r="BS113" s="1">
        <v>3270</v>
      </c>
      <c r="BT113" s="1">
        <v>3287</v>
      </c>
      <c r="BU113" s="1">
        <v>3232</v>
      </c>
      <c r="BV113" s="1">
        <v>3187</v>
      </c>
      <c r="BW113" s="1">
        <v>3049</v>
      </c>
      <c r="BX113" s="1">
        <v>3043</v>
      </c>
      <c r="BY113" s="1">
        <v>2934.5</v>
      </c>
      <c r="BZ113" s="1">
        <v>3026</v>
      </c>
    </row>
    <row r="114" spans="1:78" ht="15.9" customHeight="1">
      <c r="A114" s="78" t="s">
        <v>223</v>
      </c>
      <c r="B114" s="17" t="s">
        <v>224</v>
      </c>
      <c r="C114" s="546">
        <f>_xll.RssMarket("9501","始値")</f>
        <v>527.79999999999995</v>
      </c>
      <c r="D114" s="23">
        <f t="shared" si="3"/>
        <v>0.39999999999997726</v>
      </c>
      <c r="E114" s="553">
        <v>527.4</v>
      </c>
      <c r="F114" s="21">
        <v>517.20000000000005</v>
      </c>
      <c r="G114" s="21">
        <v>538.4</v>
      </c>
      <c r="H114" s="73">
        <v>517.29999999999995</v>
      </c>
      <c r="I114" s="21">
        <v>521.9</v>
      </c>
      <c r="J114" s="21">
        <v>533.9</v>
      </c>
      <c r="K114" s="21">
        <v>530.1</v>
      </c>
      <c r="L114" s="21">
        <v>515.20000000000005</v>
      </c>
      <c r="M114" s="21">
        <v>506.2</v>
      </c>
      <c r="N114" s="21">
        <v>503.4</v>
      </c>
      <c r="O114" s="21">
        <v>511</v>
      </c>
      <c r="P114" s="21">
        <v>497</v>
      </c>
      <c r="Q114" s="21">
        <v>505.2</v>
      </c>
      <c r="R114" s="21">
        <v>490</v>
      </c>
      <c r="S114" s="21">
        <v>479.1</v>
      </c>
      <c r="T114" s="21">
        <v>478</v>
      </c>
      <c r="U114" s="21">
        <v>477.8</v>
      </c>
      <c r="V114" s="21">
        <v>462</v>
      </c>
      <c r="W114" s="21">
        <v>468.1</v>
      </c>
      <c r="X114" s="21">
        <v>471.4</v>
      </c>
      <c r="Y114" s="21">
        <v>460.7</v>
      </c>
      <c r="Z114" s="21">
        <v>455.1</v>
      </c>
      <c r="AA114" s="21">
        <v>458</v>
      </c>
      <c r="AB114" s="21">
        <v>466</v>
      </c>
      <c r="AC114" s="21">
        <v>463</v>
      </c>
      <c r="AD114" s="21">
        <v>476.9</v>
      </c>
      <c r="AE114" s="21">
        <v>475.7</v>
      </c>
      <c r="AF114" s="21">
        <v>465</v>
      </c>
      <c r="AG114" s="21">
        <v>470.2</v>
      </c>
      <c r="AH114" s="21">
        <v>524</v>
      </c>
      <c r="AI114" s="21">
        <v>510.3</v>
      </c>
      <c r="AJ114" s="21">
        <v>507.8</v>
      </c>
      <c r="AK114" s="21">
        <v>523.20000000000005</v>
      </c>
      <c r="AL114" s="21">
        <v>530</v>
      </c>
      <c r="AM114" s="21">
        <v>529.29999999999995</v>
      </c>
      <c r="AN114" s="21">
        <v>501.9</v>
      </c>
      <c r="AO114" s="21">
        <v>507.8</v>
      </c>
      <c r="AP114" s="21">
        <v>519.9</v>
      </c>
      <c r="AQ114" s="21">
        <v>518.4</v>
      </c>
      <c r="AR114" s="21">
        <v>544.5</v>
      </c>
      <c r="AS114" s="21">
        <v>570.1</v>
      </c>
      <c r="AT114" s="21">
        <v>567.79999999999995</v>
      </c>
      <c r="AU114" s="21">
        <v>550.1</v>
      </c>
      <c r="AV114" s="21">
        <v>558.9</v>
      </c>
      <c r="AW114" s="21">
        <v>568</v>
      </c>
      <c r="AX114" s="21">
        <v>578.4</v>
      </c>
      <c r="AY114" s="21">
        <v>558.5</v>
      </c>
      <c r="AZ114" s="21">
        <v>565</v>
      </c>
      <c r="BA114" s="21">
        <v>557.6</v>
      </c>
      <c r="BB114" s="21">
        <v>572.9</v>
      </c>
      <c r="BC114" s="21">
        <v>574.29999999999995</v>
      </c>
      <c r="BD114" s="21">
        <v>593</v>
      </c>
      <c r="BE114" s="21">
        <v>606.1</v>
      </c>
      <c r="BF114" s="21">
        <v>611</v>
      </c>
      <c r="BG114" s="21">
        <v>638</v>
      </c>
      <c r="BH114" s="21">
        <v>653.20000000000005</v>
      </c>
      <c r="BI114" s="21">
        <v>633.1</v>
      </c>
      <c r="BJ114" s="21">
        <v>627</v>
      </c>
      <c r="BK114" s="21">
        <v>615</v>
      </c>
      <c r="BL114" s="21">
        <v>595</v>
      </c>
      <c r="BM114" s="1">
        <v>597</v>
      </c>
      <c r="BN114" s="1">
        <v>584.5</v>
      </c>
      <c r="BO114" s="1">
        <v>581</v>
      </c>
      <c r="BP114" s="1">
        <v>585</v>
      </c>
      <c r="BQ114" s="1">
        <v>623</v>
      </c>
      <c r="BR114" s="1">
        <v>600</v>
      </c>
      <c r="BS114" s="1">
        <v>612</v>
      </c>
      <c r="BT114" s="1">
        <v>619.70000000000005</v>
      </c>
      <c r="BU114" s="1">
        <v>638.70000000000005</v>
      </c>
      <c r="BV114" s="1">
        <v>630.4</v>
      </c>
      <c r="BW114" s="1">
        <v>652.29999999999995</v>
      </c>
      <c r="BX114" s="1">
        <v>652.9</v>
      </c>
      <c r="BY114" s="1">
        <v>659.8</v>
      </c>
      <c r="BZ114" s="1">
        <v>684.6</v>
      </c>
    </row>
    <row r="115" spans="1:78" ht="15.9" customHeight="1">
      <c r="A115" s="78" t="s">
        <v>225</v>
      </c>
      <c r="B115" s="17" t="s">
        <v>226</v>
      </c>
      <c r="C115" s="546">
        <f>_xll.RssMarket("9531","始値")</f>
        <v>6059</v>
      </c>
      <c r="D115" s="23">
        <f t="shared" si="3"/>
        <v>-122</v>
      </c>
      <c r="E115" s="553">
        <v>6181</v>
      </c>
      <c r="F115" s="21">
        <v>6150</v>
      </c>
      <c r="G115" s="21">
        <v>6063</v>
      </c>
      <c r="H115" s="73">
        <v>6297</v>
      </c>
      <c r="I115" s="21">
        <v>6289</v>
      </c>
      <c r="J115" s="21">
        <v>6243</v>
      </c>
      <c r="K115" s="21">
        <v>6275</v>
      </c>
      <c r="L115" s="21">
        <v>6130</v>
      </c>
      <c r="M115" s="21">
        <v>6151</v>
      </c>
      <c r="N115" s="21">
        <v>6127</v>
      </c>
      <c r="O115" s="21">
        <v>6145</v>
      </c>
      <c r="P115" s="21">
        <v>6105</v>
      </c>
      <c r="Q115" s="21">
        <v>6063</v>
      </c>
      <c r="R115" s="21">
        <v>6005</v>
      </c>
      <c r="S115" s="21">
        <v>6003</v>
      </c>
      <c r="T115" s="21">
        <v>6043</v>
      </c>
      <c r="U115" s="21">
        <v>6130</v>
      </c>
      <c r="V115" s="21">
        <v>6150</v>
      </c>
      <c r="W115" s="21">
        <v>6151</v>
      </c>
      <c r="X115" s="21">
        <v>6039</v>
      </c>
      <c r="Y115" s="21">
        <v>6106</v>
      </c>
      <c r="Z115" s="21">
        <v>6041</v>
      </c>
      <c r="AA115" s="21">
        <v>6080</v>
      </c>
      <c r="AB115" s="21">
        <v>6197</v>
      </c>
      <c r="AC115" s="21">
        <v>6157</v>
      </c>
      <c r="AD115" s="21">
        <v>6089</v>
      </c>
      <c r="AE115" s="21">
        <v>6147</v>
      </c>
      <c r="AF115" s="21">
        <v>6137</v>
      </c>
      <c r="AG115" s="21">
        <v>6193</v>
      </c>
      <c r="AH115" s="21">
        <v>6180</v>
      </c>
      <c r="AI115" s="21">
        <v>6145</v>
      </c>
      <c r="AJ115" s="21">
        <v>6157</v>
      </c>
      <c r="AK115" s="21">
        <v>6300</v>
      </c>
      <c r="AL115" s="21">
        <v>6261</v>
      </c>
      <c r="AM115" s="21">
        <v>6303</v>
      </c>
      <c r="AN115" s="21">
        <v>6452</v>
      </c>
      <c r="AO115" s="21">
        <v>6340</v>
      </c>
      <c r="AP115" s="21">
        <v>6428</v>
      </c>
      <c r="AQ115" s="21">
        <v>6116</v>
      </c>
      <c r="AR115" s="21">
        <v>6219</v>
      </c>
      <c r="AS115" s="21">
        <v>6292</v>
      </c>
      <c r="AT115" s="21">
        <v>6320</v>
      </c>
      <c r="AU115" s="21">
        <v>6098</v>
      </c>
      <c r="AV115" s="21">
        <v>6214</v>
      </c>
      <c r="AW115" s="21">
        <v>6428</v>
      </c>
      <c r="AX115" s="21">
        <v>6500</v>
      </c>
      <c r="AY115" s="21">
        <v>6529</v>
      </c>
      <c r="AZ115" s="21">
        <v>6698</v>
      </c>
      <c r="BA115" s="21">
        <v>6695</v>
      </c>
      <c r="BB115" s="21">
        <v>6799</v>
      </c>
      <c r="BC115" s="21">
        <v>6690</v>
      </c>
      <c r="BD115" s="21">
        <v>6783</v>
      </c>
      <c r="BE115" s="21">
        <v>6624</v>
      </c>
      <c r="BF115" s="21">
        <v>6581</v>
      </c>
      <c r="BG115" s="21">
        <v>6670</v>
      </c>
      <c r="BH115" s="21">
        <v>6725</v>
      </c>
      <c r="BI115" s="21">
        <v>6600</v>
      </c>
      <c r="BJ115" s="21">
        <v>6786</v>
      </c>
      <c r="BK115" s="21">
        <v>6630</v>
      </c>
      <c r="BL115" s="21">
        <v>6747</v>
      </c>
      <c r="BM115" s="1">
        <v>6637</v>
      </c>
      <c r="BN115" s="1">
        <v>6600</v>
      </c>
      <c r="BO115" s="1">
        <v>6410</v>
      </c>
      <c r="BP115" s="1">
        <v>6500</v>
      </c>
      <c r="BQ115" s="1">
        <v>6441</v>
      </c>
      <c r="BR115" s="1">
        <v>6550</v>
      </c>
      <c r="BS115" s="1">
        <v>6635</v>
      </c>
      <c r="BT115" s="1">
        <v>6884</v>
      </c>
      <c r="BU115" s="1">
        <v>7087</v>
      </c>
      <c r="BV115" s="1">
        <v>7000</v>
      </c>
      <c r="BW115" s="1">
        <v>7049</v>
      </c>
      <c r="BX115" s="1">
        <v>7055</v>
      </c>
      <c r="BY115" s="1">
        <v>7176</v>
      </c>
      <c r="BZ115" s="1">
        <v>7375</v>
      </c>
    </row>
    <row r="116" spans="1:78" ht="15.9" customHeight="1">
      <c r="A116" s="78" t="s">
        <v>227</v>
      </c>
      <c r="B116" s="17" t="s">
        <v>228</v>
      </c>
      <c r="C116" s="546">
        <f>_xll.RssMarket("9882","始値")</f>
        <v>1725</v>
      </c>
      <c r="D116" s="23">
        <f t="shared" si="3"/>
        <v>-20</v>
      </c>
      <c r="E116" s="553">
        <v>1745</v>
      </c>
      <c r="F116" s="21">
        <v>1728</v>
      </c>
      <c r="G116" s="21">
        <v>1830</v>
      </c>
      <c r="H116" s="73">
        <v>1871</v>
      </c>
      <c r="I116" s="21">
        <v>1860</v>
      </c>
      <c r="J116" s="21">
        <v>1840</v>
      </c>
      <c r="K116" s="21">
        <v>1800</v>
      </c>
      <c r="L116" s="21">
        <v>1775</v>
      </c>
      <c r="M116" s="21">
        <v>1797</v>
      </c>
      <c r="N116" s="21">
        <v>1806</v>
      </c>
      <c r="O116" s="21">
        <v>1831</v>
      </c>
      <c r="P116" s="21">
        <v>1831</v>
      </c>
      <c r="Q116" s="21">
        <v>1820</v>
      </c>
      <c r="R116" s="21">
        <v>1832</v>
      </c>
      <c r="S116" s="21">
        <v>1830</v>
      </c>
      <c r="T116" s="21">
        <v>1835</v>
      </c>
      <c r="U116" s="21">
        <v>1848</v>
      </c>
      <c r="V116" s="21">
        <v>1820</v>
      </c>
      <c r="W116" s="21">
        <v>1820</v>
      </c>
      <c r="X116" s="21">
        <v>1782</v>
      </c>
      <c r="Y116" s="21">
        <v>1777</v>
      </c>
      <c r="Z116" s="21">
        <v>1758</v>
      </c>
      <c r="AA116" s="21">
        <v>1756</v>
      </c>
      <c r="AB116" s="21">
        <v>1772</v>
      </c>
      <c r="AC116" s="21">
        <v>1775</v>
      </c>
      <c r="AD116" s="21">
        <v>1756</v>
      </c>
      <c r="AE116" s="21">
        <v>1759</v>
      </c>
      <c r="AF116" s="21">
        <v>1745</v>
      </c>
      <c r="AG116" s="21">
        <v>1752</v>
      </c>
      <c r="AH116" s="21">
        <v>1770</v>
      </c>
      <c r="AI116" s="21">
        <v>1745</v>
      </c>
      <c r="AJ116" s="21">
        <v>1741</v>
      </c>
      <c r="AK116" s="21">
        <v>1743</v>
      </c>
      <c r="AL116" s="21">
        <v>1728</v>
      </c>
      <c r="AM116" s="21">
        <v>1745</v>
      </c>
      <c r="AN116" s="21">
        <v>1725</v>
      </c>
      <c r="AO116" s="21">
        <v>1719</v>
      </c>
      <c r="AP116" s="21">
        <v>1700</v>
      </c>
      <c r="AQ116" s="21">
        <v>1663</v>
      </c>
      <c r="AR116" s="21">
        <v>1666</v>
      </c>
      <c r="AS116" s="21">
        <v>1680</v>
      </c>
      <c r="AT116" s="21">
        <v>1630</v>
      </c>
      <c r="AU116" s="21">
        <v>1612</v>
      </c>
      <c r="AV116" s="21">
        <v>1627</v>
      </c>
      <c r="AW116" s="21">
        <v>1628</v>
      </c>
      <c r="AX116" s="21">
        <v>1625</v>
      </c>
      <c r="AY116" s="21">
        <v>1624</v>
      </c>
      <c r="AZ116" s="21">
        <v>1629</v>
      </c>
      <c r="BA116" s="21">
        <v>1622</v>
      </c>
      <c r="BB116" s="21">
        <v>1637</v>
      </c>
      <c r="BC116" s="21">
        <v>1625</v>
      </c>
      <c r="BD116" s="21">
        <v>1640</v>
      </c>
      <c r="BE116" s="21">
        <v>1598</v>
      </c>
      <c r="BF116" s="21">
        <v>1620</v>
      </c>
      <c r="BG116" s="21">
        <v>1630</v>
      </c>
      <c r="BH116" s="21">
        <v>1649</v>
      </c>
      <c r="BI116" s="21">
        <v>1647</v>
      </c>
      <c r="BJ116" s="21">
        <v>1510</v>
      </c>
      <c r="BK116" s="21">
        <v>1511</v>
      </c>
      <c r="BL116" s="21">
        <v>1511</v>
      </c>
      <c r="BM116" s="1">
        <v>1504</v>
      </c>
      <c r="BN116" s="1">
        <v>1511</v>
      </c>
      <c r="BO116" s="1">
        <v>1510</v>
      </c>
      <c r="BP116" s="1">
        <v>1515</v>
      </c>
      <c r="BQ116" s="1">
        <v>1530</v>
      </c>
      <c r="BR116" s="1">
        <v>1565</v>
      </c>
      <c r="BS116" s="1">
        <v>1573</v>
      </c>
      <c r="BT116" s="1">
        <v>1575</v>
      </c>
      <c r="BU116" s="1">
        <v>1554</v>
      </c>
      <c r="BV116" s="1">
        <v>1557</v>
      </c>
      <c r="BW116" s="1">
        <v>1573</v>
      </c>
      <c r="BX116" s="1">
        <v>1573</v>
      </c>
      <c r="BY116" s="1">
        <v>1577</v>
      </c>
      <c r="BZ116" s="1">
        <v>1600</v>
      </c>
    </row>
    <row r="117" spans="1:78" ht="15.9" customHeight="1">
      <c r="A117" s="78" t="s">
        <v>229</v>
      </c>
      <c r="B117" s="17" t="s">
        <v>230</v>
      </c>
      <c r="C117" s="546">
        <f>_xll.RssMarket("5838","始値")</f>
        <v>5355</v>
      </c>
      <c r="D117" s="23">
        <f t="shared" si="3"/>
        <v>35</v>
      </c>
      <c r="E117" s="553">
        <v>5320</v>
      </c>
      <c r="F117" s="21">
        <v>5400</v>
      </c>
      <c r="G117" s="21">
        <v>5611</v>
      </c>
      <c r="H117" s="73">
        <v>5284</v>
      </c>
      <c r="I117" s="21">
        <v>5562</v>
      </c>
      <c r="J117" s="21">
        <v>5600</v>
      </c>
      <c r="K117" s="21">
        <v>5573</v>
      </c>
      <c r="L117" s="21">
        <v>5614</v>
      </c>
      <c r="M117" s="21">
        <v>5650</v>
      </c>
      <c r="N117" s="21">
        <v>5297</v>
      </c>
      <c r="O117" s="21">
        <v>5421</v>
      </c>
      <c r="P117" s="21">
        <v>5400</v>
      </c>
      <c r="Q117" s="21">
        <v>5870</v>
      </c>
      <c r="R117" s="21">
        <v>5868</v>
      </c>
      <c r="S117" s="21">
        <v>5701</v>
      </c>
      <c r="T117" s="21">
        <v>5799</v>
      </c>
      <c r="U117" s="21">
        <v>5769</v>
      </c>
      <c r="V117" s="21">
        <v>5727</v>
      </c>
      <c r="W117" s="21">
        <v>5585</v>
      </c>
      <c r="X117" s="21">
        <v>5401</v>
      </c>
      <c r="Y117" s="21">
        <v>5400</v>
      </c>
      <c r="Z117" s="21">
        <v>5132</v>
      </c>
      <c r="AA117" s="21">
        <v>5170</v>
      </c>
      <c r="AB117" s="21">
        <v>5124</v>
      </c>
      <c r="AC117" s="21">
        <v>5051</v>
      </c>
      <c r="AD117" s="21">
        <v>4980</v>
      </c>
      <c r="AE117" s="21">
        <v>4990</v>
      </c>
      <c r="AF117" s="21">
        <v>5100</v>
      </c>
      <c r="AG117" s="21">
        <v>5137</v>
      </c>
      <c r="AH117" s="21">
        <v>5109</v>
      </c>
      <c r="AI117" s="21">
        <v>5199</v>
      </c>
      <c r="AJ117" s="21">
        <v>5247</v>
      </c>
      <c r="AK117" s="21">
        <v>5250</v>
      </c>
      <c r="AL117" s="21">
        <v>5179</v>
      </c>
      <c r="AM117" s="21">
        <v>5300</v>
      </c>
      <c r="AN117" s="21">
        <v>5104</v>
      </c>
      <c r="AO117" s="21">
        <v>4951</v>
      </c>
      <c r="AP117" s="21">
        <v>5113</v>
      </c>
      <c r="AQ117" s="21">
        <v>4971</v>
      </c>
      <c r="AR117" s="21">
        <v>5078</v>
      </c>
      <c r="AS117" s="21">
        <v>4801</v>
      </c>
      <c r="AT117" s="21">
        <v>4501</v>
      </c>
      <c r="AU117" s="21">
        <v>4508</v>
      </c>
      <c r="AV117" s="21">
        <v>4840</v>
      </c>
      <c r="AW117" s="21">
        <v>4845</v>
      </c>
      <c r="AX117" s="21">
        <v>4926</v>
      </c>
      <c r="AY117" s="21">
        <v>4848</v>
      </c>
      <c r="AZ117" s="21">
        <v>5280</v>
      </c>
      <c r="BA117" s="21">
        <v>5636</v>
      </c>
      <c r="BB117" s="21">
        <v>6730</v>
      </c>
      <c r="BC117" s="21">
        <v>6691</v>
      </c>
      <c r="BD117" s="21">
        <v>6300</v>
      </c>
      <c r="BE117" s="21">
        <v>6034</v>
      </c>
      <c r="BF117" s="21">
        <v>6097</v>
      </c>
      <c r="BG117" s="21">
        <v>6000</v>
      </c>
      <c r="BH117" s="21">
        <v>6268</v>
      </c>
      <c r="BI117" s="21">
        <v>6323</v>
      </c>
      <c r="BJ117" s="21">
        <v>6175</v>
      </c>
      <c r="BK117" s="21">
        <v>6331</v>
      </c>
      <c r="BL117" s="21">
        <v>6220</v>
      </c>
      <c r="BM117" s="1">
        <v>6299</v>
      </c>
      <c r="BN117" s="1">
        <v>6180</v>
      </c>
      <c r="BO117" s="1">
        <v>6070</v>
      </c>
      <c r="BP117" s="1">
        <v>6206</v>
      </c>
      <c r="BQ117" s="1">
        <v>6102</v>
      </c>
      <c r="BR117" s="1">
        <v>6302</v>
      </c>
      <c r="BS117" s="1">
        <v>6451</v>
      </c>
      <c r="BT117" s="1">
        <v>6513</v>
      </c>
      <c r="BU117" s="1">
        <v>6670</v>
      </c>
      <c r="BV117" s="1">
        <v>6760</v>
      </c>
      <c r="BW117" s="1">
        <v>6800</v>
      </c>
      <c r="BX117" s="1">
        <v>6875</v>
      </c>
      <c r="BY117" s="1">
        <v>6714</v>
      </c>
      <c r="BZ117" s="1">
        <v>6755</v>
      </c>
    </row>
    <row r="118" spans="1:78" ht="15.9" customHeight="1">
      <c r="A118" s="78" t="s">
        <v>231</v>
      </c>
      <c r="B118" s="17" t="s">
        <v>232</v>
      </c>
      <c r="C118" s="546">
        <f>_xll.RssMarket("5844","始値")</f>
        <v>4540</v>
      </c>
      <c r="D118" s="23">
        <f t="shared" si="3"/>
        <v>50</v>
      </c>
      <c r="E118" s="553">
        <v>4490</v>
      </c>
      <c r="F118" s="21">
        <v>4403</v>
      </c>
      <c r="G118" s="21">
        <v>4525</v>
      </c>
      <c r="H118" s="73">
        <v>4450</v>
      </c>
      <c r="I118" s="21">
        <v>4580</v>
      </c>
      <c r="J118" s="21">
        <v>4630</v>
      </c>
      <c r="K118" s="21">
        <v>4633</v>
      </c>
      <c r="L118" s="21">
        <v>4595</v>
      </c>
      <c r="M118" s="21">
        <v>4573</v>
      </c>
      <c r="N118" s="21">
        <v>4549</v>
      </c>
      <c r="O118" s="21">
        <v>4454</v>
      </c>
      <c r="P118" s="21">
        <v>4590</v>
      </c>
      <c r="Q118" s="21">
        <v>4704</v>
      </c>
      <c r="R118" s="21">
        <v>4697</v>
      </c>
      <c r="S118" s="21">
        <v>4688</v>
      </c>
      <c r="T118" s="21">
        <v>4730</v>
      </c>
      <c r="U118" s="21">
        <v>4798</v>
      </c>
      <c r="V118" s="21">
        <v>4720</v>
      </c>
      <c r="W118" s="21">
        <v>4875</v>
      </c>
      <c r="X118" s="21">
        <v>4674</v>
      </c>
      <c r="Y118" s="21">
        <v>4668</v>
      </c>
      <c r="Z118" s="21">
        <v>4643</v>
      </c>
      <c r="AA118" s="21">
        <v>4540</v>
      </c>
      <c r="AB118" s="21">
        <v>4541</v>
      </c>
      <c r="AC118" s="21">
        <v>4500</v>
      </c>
      <c r="AD118" s="21">
        <v>4569</v>
      </c>
      <c r="AE118" s="21">
        <v>4582</v>
      </c>
      <c r="AF118" s="21">
        <v>4639</v>
      </c>
      <c r="AG118" s="21">
        <v>4802</v>
      </c>
      <c r="AH118" s="21">
        <v>4866</v>
      </c>
      <c r="AI118" s="21">
        <v>4728</v>
      </c>
      <c r="AJ118" s="21">
        <v>4620</v>
      </c>
      <c r="AK118" s="21">
        <v>4726</v>
      </c>
      <c r="AL118" s="21">
        <v>4468</v>
      </c>
      <c r="AM118" s="21">
        <v>4529</v>
      </c>
      <c r="AN118" s="21">
        <v>4499</v>
      </c>
      <c r="AO118" s="21">
        <v>4480</v>
      </c>
      <c r="AP118" s="21">
        <v>4680</v>
      </c>
      <c r="AQ118" s="21">
        <v>4575</v>
      </c>
      <c r="AR118" s="21">
        <v>4600</v>
      </c>
      <c r="AS118" s="21">
        <v>4277</v>
      </c>
      <c r="AT118" s="21">
        <v>4384</v>
      </c>
      <c r="AU118" s="21">
        <v>4278</v>
      </c>
      <c r="AV118" s="21">
        <v>4403</v>
      </c>
      <c r="AW118" s="21">
        <v>4504</v>
      </c>
      <c r="AX118" s="21">
        <v>4502</v>
      </c>
      <c r="AY118" s="21">
        <v>4549</v>
      </c>
      <c r="AZ118" s="21">
        <v>4498</v>
      </c>
      <c r="BA118" s="21">
        <v>4450</v>
      </c>
      <c r="BB118" s="21">
        <v>4465</v>
      </c>
      <c r="BC118" s="21">
        <v>4406</v>
      </c>
      <c r="BD118" s="21">
        <v>4420</v>
      </c>
      <c r="BE118" s="21">
        <v>4231</v>
      </c>
      <c r="BF118" s="21">
        <v>4483</v>
      </c>
      <c r="BG118" s="21">
        <v>4410</v>
      </c>
      <c r="BH118" s="21">
        <v>4447</v>
      </c>
      <c r="BI118" s="21">
        <v>4403</v>
      </c>
      <c r="BJ118" s="21">
        <v>4391</v>
      </c>
      <c r="BK118" s="21">
        <v>4443</v>
      </c>
      <c r="BL118" s="21">
        <v>4336</v>
      </c>
      <c r="BM118" s="1">
        <v>4319</v>
      </c>
      <c r="BN118" s="1">
        <v>4261</v>
      </c>
      <c r="BO118" s="1">
        <v>4176</v>
      </c>
      <c r="BP118" s="1">
        <v>4230</v>
      </c>
      <c r="BQ118" s="1">
        <v>4188</v>
      </c>
      <c r="BR118" s="1">
        <v>4350</v>
      </c>
      <c r="BS118" s="1">
        <v>4364</v>
      </c>
      <c r="BT118" s="1">
        <v>4450</v>
      </c>
      <c r="BU118" s="1">
        <v>4395</v>
      </c>
      <c r="BV118" s="1">
        <v>4395</v>
      </c>
      <c r="BW118" s="1">
        <v>4350</v>
      </c>
      <c r="BX118" s="1">
        <v>4395</v>
      </c>
      <c r="BY118" s="1">
        <v>4300</v>
      </c>
      <c r="BZ118" s="1">
        <v>4430</v>
      </c>
    </row>
    <row r="119" spans="1:78" ht="15.9" customHeight="1">
      <c r="A119" s="78" t="s">
        <v>233</v>
      </c>
      <c r="B119" s="17" t="s">
        <v>234</v>
      </c>
      <c r="C119" s="546">
        <f>_xll.RssMarket("9404","始値")</f>
        <v>2833.5</v>
      </c>
      <c r="D119" s="23">
        <f t="shared" si="3"/>
        <v>-86.5</v>
      </c>
      <c r="E119" s="553">
        <v>2920</v>
      </c>
      <c r="F119" s="21">
        <v>2816</v>
      </c>
      <c r="G119" s="21">
        <v>2918</v>
      </c>
      <c r="H119" s="73">
        <v>3059</v>
      </c>
      <c r="I119" s="21">
        <v>3000</v>
      </c>
      <c r="J119" s="21">
        <v>2945.5</v>
      </c>
      <c r="K119" s="21">
        <v>2866</v>
      </c>
      <c r="L119" s="21">
        <v>2798</v>
      </c>
      <c r="M119" s="21">
        <v>2807.5</v>
      </c>
      <c r="N119" s="21">
        <v>2859.5</v>
      </c>
      <c r="O119" s="21">
        <v>2933</v>
      </c>
      <c r="P119" s="21">
        <v>2876</v>
      </c>
      <c r="Q119" s="21">
        <v>2891</v>
      </c>
      <c r="R119" s="21">
        <v>2905</v>
      </c>
      <c r="S119" s="21">
        <v>2900.5</v>
      </c>
      <c r="T119" s="21">
        <v>2890.5</v>
      </c>
      <c r="U119" s="21">
        <v>2915.5</v>
      </c>
      <c r="V119" s="21">
        <v>2954</v>
      </c>
      <c r="W119" s="21">
        <v>2904</v>
      </c>
      <c r="X119" s="21">
        <v>2860.5</v>
      </c>
      <c r="Y119" s="21">
        <v>2919.5</v>
      </c>
      <c r="Z119" s="21">
        <v>2870</v>
      </c>
      <c r="AA119" s="21">
        <v>2783</v>
      </c>
      <c r="AB119" s="21">
        <v>2766</v>
      </c>
      <c r="AC119" s="21">
        <v>2715</v>
      </c>
      <c r="AD119" s="21">
        <v>2692.5</v>
      </c>
      <c r="AE119" s="21">
        <v>2735.5</v>
      </c>
      <c r="AF119" s="21">
        <v>2740</v>
      </c>
      <c r="AG119" s="21">
        <v>2735.5</v>
      </c>
      <c r="AH119" s="21">
        <v>2770</v>
      </c>
      <c r="AI119" s="21">
        <v>2847.5</v>
      </c>
      <c r="AJ119" s="21">
        <v>2851</v>
      </c>
      <c r="AK119" s="21">
        <v>2897.5</v>
      </c>
      <c r="AL119" s="21">
        <v>2817.5</v>
      </c>
      <c r="AM119" s="21">
        <v>2846</v>
      </c>
      <c r="AN119" s="21">
        <v>2858</v>
      </c>
      <c r="AO119" s="21">
        <v>2898.5</v>
      </c>
      <c r="AP119" s="21">
        <v>2893</v>
      </c>
      <c r="AQ119" s="21">
        <v>2828.5</v>
      </c>
      <c r="AR119" s="21">
        <v>2840</v>
      </c>
      <c r="AS119" s="21">
        <v>2777</v>
      </c>
      <c r="AT119" s="21">
        <v>2768</v>
      </c>
      <c r="AU119" s="21">
        <v>2820</v>
      </c>
      <c r="AV119" s="21">
        <v>2850</v>
      </c>
      <c r="AW119" s="21">
        <v>2874.5</v>
      </c>
      <c r="AX119" s="21">
        <v>2847</v>
      </c>
      <c r="AY119" s="21">
        <v>2904.5</v>
      </c>
      <c r="AZ119" s="21">
        <v>2933.5</v>
      </c>
      <c r="BA119" s="21">
        <v>2920</v>
      </c>
      <c r="BB119" s="21">
        <v>2931.5</v>
      </c>
      <c r="BC119" s="21">
        <v>2902.5</v>
      </c>
      <c r="BD119" s="21">
        <v>2922</v>
      </c>
      <c r="BE119" s="21">
        <v>2790</v>
      </c>
      <c r="BF119" s="21">
        <v>2900</v>
      </c>
      <c r="BG119" s="21">
        <v>2947.5</v>
      </c>
      <c r="BH119" s="21">
        <v>2935</v>
      </c>
      <c r="BI119" s="21">
        <v>2966</v>
      </c>
      <c r="BJ119" s="21">
        <v>3015</v>
      </c>
      <c r="BK119" s="21">
        <v>2986</v>
      </c>
      <c r="BL119" s="21">
        <v>2950</v>
      </c>
      <c r="BM119" s="1">
        <v>2985.5</v>
      </c>
      <c r="BN119" s="1">
        <v>3041</v>
      </c>
      <c r="BO119" s="1">
        <v>2981</v>
      </c>
      <c r="BP119" s="1">
        <v>2960</v>
      </c>
      <c r="BQ119" s="1">
        <v>3050</v>
      </c>
      <c r="BR119" s="1">
        <v>3145</v>
      </c>
      <c r="BS119" s="1">
        <v>3177</v>
      </c>
      <c r="BT119" s="1">
        <v>3200</v>
      </c>
      <c r="BU119" s="1">
        <v>3171</v>
      </c>
      <c r="BV119" s="1">
        <v>3195</v>
      </c>
      <c r="BW119" s="1">
        <v>3169</v>
      </c>
      <c r="BX119" s="1">
        <v>3173</v>
      </c>
      <c r="BY119" s="1">
        <v>3100</v>
      </c>
      <c r="BZ119" s="1">
        <v>3143</v>
      </c>
    </row>
    <row r="120" spans="1:78" ht="15.9" customHeight="1">
      <c r="A120" s="78" t="s">
        <v>235</v>
      </c>
      <c r="B120" s="17" t="s">
        <v>236</v>
      </c>
      <c r="C120" s="546">
        <f>_xll.RssMarket("6744","始値")</f>
        <v>4550</v>
      </c>
      <c r="D120" s="23">
        <f t="shared" si="3"/>
        <v>55</v>
      </c>
      <c r="E120" s="553">
        <v>4495</v>
      </c>
      <c r="F120" s="21">
        <v>4415</v>
      </c>
      <c r="G120" s="21">
        <v>4430</v>
      </c>
      <c r="H120" s="73">
        <v>4350</v>
      </c>
      <c r="I120" s="21">
        <v>4450</v>
      </c>
      <c r="J120" s="21">
        <v>4405</v>
      </c>
      <c r="K120" s="21">
        <v>4380</v>
      </c>
      <c r="L120" s="21"/>
      <c r="M120" s="21">
        <v>4265</v>
      </c>
      <c r="N120" s="21">
        <v>4310</v>
      </c>
      <c r="O120" s="21">
        <v>4235</v>
      </c>
      <c r="P120" s="21">
        <v>4240</v>
      </c>
      <c r="Q120" s="21">
        <v>4320</v>
      </c>
      <c r="R120" s="21">
        <v>4290</v>
      </c>
      <c r="S120" s="21">
        <v>4330</v>
      </c>
      <c r="T120" s="21">
        <v>4360</v>
      </c>
      <c r="U120" s="21">
        <v>4290</v>
      </c>
      <c r="V120" s="21">
        <v>4410</v>
      </c>
      <c r="W120" s="21">
        <v>4415</v>
      </c>
      <c r="X120" s="21">
        <v>4380</v>
      </c>
      <c r="Y120" s="21">
        <v>4245</v>
      </c>
      <c r="Z120" s="21">
        <v>4140</v>
      </c>
      <c r="AA120" s="21">
        <v>4115</v>
      </c>
      <c r="AB120" s="21">
        <v>4210</v>
      </c>
      <c r="AC120" s="21">
        <v>4140</v>
      </c>
      <c r="AD120" s="21">
        <v>4115</v>
      </c>
      <c r="AE120" s="21">
        <v>4200</v>
      </c>
      <c r="AF120" s="21">
        <v>4165</v>
      </c>
      <c r="AG120" s="21">
        <v>4205</v>
      </c>
      <c r="AH120" s="21">
        <v>4230</v>
      </c>
      <c r="AI120" s="21">
        <v>4220</v>
      </c>
      <c r="AJ120" s="21">
        <v>4200</v>
      </c>
      <c r="AK120" s="21">
        <v>4200</v>
      </c>
      <c r="AL120" s="21">
        <v>4225</v>
      </c>
      <c r="AM120" s="21">
        <v>4300</v>
      </c>
      <c r="AN120" s="21">
        <v>4240</v>
      </c>
      <c r="AO120" s="21">
        <v>4280</v>
      </c>
      <c r="AP120" s="21">
        <v>4340</v>
      </c>
      <c r="AQ120" s="21">
        <v>4360</v>
      </c>
      <c r="AR120" s="21">
        <v>4500</v>
      </c>
      <c r="AS120" s="21">
        <v>4500</v>
      </c>
      <c r="AT120" s="21">
        <v>4705</v>
      </c>
      <c r="AU120" s="21">
        <v>4630</v>
      </c>
      <c r="AV120" s="21">
        <v>4810</v>
      </c>
      <c r="AW120" s="21">
        <v>4710</v>
      </c>
      <c r="AX120" s="21">
        <v>4940</v>
      </c>
      <c r="AY120" s="21">
        <v>4785</v>
      </c>
      <c r="AZ120" s="21">
        <v>4650</v>
      </c>
      <c r="BA120" s="21">
        <v>4595</v>
      </c>
      <c r="BB120" s="21">
        <v>4615</v>
      </c>
      <c r="BC120" s="21">
        <v>4800</v>
      </c>
      <c r="BD120" s="21">
        <v>4660</v>
      </c>
      <c r="BE120" s="21">
        <v>4660</v>
      </c>
      <c r="BF120" s="21">
        <v>4350</v>
      </c>
      <c r="BG120" s="21">
        <v>4385</v>
      </c>
      <c r="BH120" s="21">
        <v>4310</v>
      </c>
      <c r="BI120" s="21">
        <v>4460</v>
      </c>
      <c r="BJ120" s="21">
        <v>4315</v>
      </c>
      <c r="BK120" s="21">
        <v>4345</v>
      </c>
      <c r="BL120" s="21">
        <v>4125</v>
      </c>
      <c r="BM120" s="1">
        <v>4035</v>
      </c>
      <c r="BN120" s="1">
        <v>3975</v>
      </c>
      <c r="BO120" s="1">
        <v>3905</v>
      </c>
      <c r="BP120" s="1">
        <v>3965</v>
      </c>
      <c r="BQ120" s="1">
        <v>4000</v>
      </c>
      <c r="BR120" s="1">
        <v>4040</v>
      </c>
      <c r="BS120" s="1">
        <v>4100</v>
      </c>
      <c r="BT120" s="1">
        <v>4135</v>
      </c>
      <c r="BU120" s="1">
        <v>4205</v>
      </c>
      <c r="BV120" s="1">
        <v>4270</v>
      </c>
      <c r="BW120" s="1">
        <v>4435</v>
      </c>
      <c r="BX120" s="1">
        <v>4410</v>
      </c>
      <c r="BY120" s="1">
        <v>4410</v>
      </c>
      <c r="BZ120" s="1">
        <v>4390</v>
      </c>
    </row>
    <row r="121" spans="1:78" ht="15.9" customHeight="1">
      <c r="A121" s="78" t="s">
        <v>237</v>
      </c>
      <c r="B121" s="17" t="s">
        <v>238</v>
      </c>
      <c r="C121" s="546">
        <f>_xll.RssMarket("7685","始値")</f>
        <v>2980</v>
      </c>
      <c r="D121" s="23">
        <f t="shared" si="3"/>
        <v>5</v>
      </c>
      <c r="E121" s="553">
        <v>2975</v>
      </c>
      <c r="F121" s="21">
        <v>3015</v>
      </c>
      <c r="G121" s="21">
        <v>2950</v>
      </c>
      <c r="H121" s="73">
        <v>2992</v>
      </c>
      <c r="I121" s="21">
        <v>3100</v>
      </c>
      <c r="J121" s="21">
        <v>3130</v>
      </c>
      <c r="K121" s="21">
        <v>3105</v>
      </c>
      <c r="L121" s="21"/>
      <c r="M121" s="21">
        <v>3225</v>
      </c>
      <c r="N121" s="21">
        <v>3250</v>
      </c>
      <c r="O121" s="21">
        <v>3260</v>
      </c>
      <c r="P121" s="21">
        <v>3485</v>
      </c>
      <c r="Q121" s="21">
        <v>3535</v>
      </c>
      <c r="R121" s="21">
        <v>3515</v>
      </c>
      <c r="S121" s="21">
        <v>3505</v>
      </c>
      <c r="T121" s="21">
        <v>3560</v>
      </c>
      <c r="U121" s="21">
        <v>3660</v>
      </c>
      <c r="V121" s="21">
        <v>3550</v>
      </c>
      <c r="W121" s="21">
        <v>3435</v>
      </c>
      <c r="X121" s="21">
        <v>3495</v>
      </c>
      <c r="Y121" s="21">
        <v>3480</v>
      </c>
      <c r="Z121" s="21">
        <v>3425</v>
      </c>
      <c r="AA121" s="21">
        <v>3365</v>
      </c>
      <c r="AB121" s="21">
        <v>3245</v>
      </c>
      <c r="AC121" s="21">
        <v>3450</v>
      </c>
      <c r="AD121" s="21">
        <v>3410</v>
      </c>
      <c r="AE121" s="21">
        <v>3715</v>
      </c>
      <c r="AF121" s="21">
        <v>3665</v>
      </c>
      <c r="AG121" s="21">
        <v>3675</v>
      </c>
      <c r="AH121" s="21">
        <v>3460</v>
      </c>
      <c r="AI121" s="21">
        <v>3510</v>
      </c>
      <c r="AJ121" s="21">
        <v>3600</v>
      </c>
      <c r="AK121" s="21">
        <v>3505</v>
      </c>
      <c r="AL121" s="21">
        <v>3675</v>
      </c>
      <c r="AM121" s="21">
        <v>3760</v>
      </c>
      <c r="AN121" s="21">
        <v>3820</v>
      </c>
      <c r="AO121" s="21">
        <v>3750</v>
      </c>
      <c r="AP121" s="21">
        <v>3720</v>
      </c>
      <c r="AQ121" s="21">
        <v>3600</v>
      </c>
      <c r="AR121" s="21">
        <v>3725</v>
      </c>
      <c r="AS121" s="21">
        <v>3865</v>
      </c>
      <c r="AT121" s="21">
        <v>3945</v>
      </c>
      <c r="AU121" s="21">
        <v>4065</v>
      </c>
      <c r="AV121" s="21">
        <v>4030</v>
      </c>
      <c r="AW121" s="21">
        <v>3920</v>
      </c>
      <c r="AX121" s="21">
        <v>3855</v>
      </c>
      <c r="AY121" s="21">
        <v>3825</v>
      </c>
      <c r="AZ121" s="21">
        <v>3650</v>
      </c>
      <c r="BA121" s="21">
        <v>3700</v>
      </c>
      <c r="BB121" s="21">
        <v>3795</v>
      </c>
      <c r="BC121" s="21">
        <v>3340</v>
      </c>
      <c r="BD121" s="21">
        <v>3450</v>
      </c>
      <c r="BE121" s="21">
        <v>3375</v>
      </c>
      <c r="BF121" s="21">
        <v>3330</v>
      </c>
      <c r="BG121" s="21">
        <v>3000</v>
      </c>
      <c r="BH121" s="21">
        <v>3280</v>
      </c>
      <c r="BI121" s="21">
        <v>3330</v>
      </c>
      <c r="BJ121" s="21">
        <v>3240</v>
      </c>
      <c r="BK121" s="21">
        <v>3090</v>
      </c>
      <c r="BL121" s="21">
        <v>3280</v>
      </c>
      <c r="BM121" s="1">
        <v>3210</v>
      </c>
      <c r="BN121" s="1">
        <v>3100</v>
      </c>
      <c r="BO121" s="1">
        <v>3135</v>
      </c>
      <c r="BP121" s="1">
        <v>3245</v>
      </c>
      <c r="BQ121" s="1">
        <v>3295</v>
      </c>
      <c r="BR121" s="1">
        <v>3420</v>
      </c>
      <c r="BS121" s="1">
        <v>3390</v>
      </c>
      <c r="BT121" s="1">
        <v>3470</v>
      </c>
      <c r="BU121" s="1">
        <v>3625</v>
      </c>
      <c r="BV121" s="1">
        <v>3650</v>
      </c>
      <c r="BW121" s="1">
        <v>3570</v>
      </c>
      <c r="BX121" s="1">
        <v>3560</v>
      </c>
      <c r="BY121" s="1">
        <v>3410</v>
      </c>
      <c r="BZ121" s="1">
        <v>3470</v>
      </c>
    </row>
    <row r="122" spans="1:78" ht="15.9" customHeight="1">
      <c r="A122" s="78" t="s">
        <v>239</v>
      </c>
      <c r="B122" s="17" t="s">
        <v>240</v>
      </c>
      <c r="C122" s="546">
        <f>_xll.RssMarket("8334","始値")</f>
        <v>2496.5</v>
      </c>
      <c r="D122" s="23">
        <f t="shared" si="3"/>
        <v>-21</v>
      </c>
      <c r="E122" s="553">
        <v>2517.5</v>
      </c>
      <c r="F122" s="21">
        <v>2531</v>
      </c>
      <c r="G122" s="21">
        <v>2513.5</v>
      </c>
      <c r="H122" s="73">
        <v>2461.5</v>
      </c>
      <c r="I122" s="21">
        <v>2570</v>
      </c>
      <c r="J122" s="21">
        <v>2646.5</v>
      </c>
      <c r="K122" s="21">
        <v>2647</v>
      </c>
      <c r="L122" s="21">
        <v>2545</v>
      </c>
      <c r="M122" s="21">
        <v>2570</v>
      </c>
      <c r="N122" s="21">
        <v>2581</v>
      </c>
      <c r="O122" s="21">
        <v>2460</v>
      </c>
      <c r="P122" s="21">
        <v>2610</v>
      </c>
      <c r="Q122" s="21">
        <v>2584</v>
      </c>
      <c r="R122" s="21">
        <v>2548.5</v>
      </c>
      <c r="S122" s="21">
        <v>2520</v>
      </c>
      <c r="T122" s="21">
        <v>2510</v>
      </c>
      <c r="U122" s="21">
        <v>2545</v>
      </c>
      <c r="V122" s="21">
        <v>2450.5</v>
      </c>
      <c r="W122" s="21">
        <v>2502</v>
      </c>
      <c r="X122" s="21">
        <v>2420.5</v>
      </c>
      <c r="Y122" s="21">
        <v>2441</v>
      </c>
      <c r="Z122" s="21">
        <v>2400</v>
      </c>
      <c r="AA122" s="21">
        <v>2336.5</v>
      </c>
      <c r="AB122" s="21">
        <v>2333</v>
      </c>
      <c r="AC122" s="21">
        <v>2348</v>
      </c>
      <c r="AD122" s="21">
        <v>2329</v>
      </c>
      <c r="AE122" s="21">
        <v>2322.5</v>
      </c>
      <c r="AF122" s="21">
        <v>2307</v>
      </c>
      <c r="AG122" s="21">
        <v>2332</v>
      </c>
      <c r="AH122" s="21">
        <v>2294</v>
      </c>
      <c r="AI122" s="21">
        <v>2308.5</v>
      </c>
      <c r="AJ122" s="21">
        <v>2340</v>
      </c>
      <c r="AK122" s="21">
        <v>2360</v>
      </c>
      <c r="AL122" s="21">
        <v>2326.5</v>
      </c>
      <c r="AM122" s="21">
        <v>2393.5</v>
      </c>
      <c r="AN122" s="21">
        <v>2352</v>
      </c>
      <c r="AO122" s="21">
        <v>2317</v>
      </c>
      <c r="AP122" s="21">
        <v>2377</v>
      </c>
      <c r="AQ122" s="21">
        <v>2246</v>
      </c>
      <c r="AR122" s="21">
        <v>2300</v>
      </c>
      <c r="AS122" s="21">
        <v>2178</v>
      </c>
      <c r="AT122" s="21">
        <v>2199</v>
      </c>
      <c r="AU122" s="21">
        <v>2147.5</v>
      </c>
      <c r="AV122" s="21">
        <v>2218.5</v>
      </c>
      <c r="AW122" s="21">
        <v>2279.5</v>
      </c>
      <c r="AX122" s="21">
        <v>2261</v>
      </c>
      <c r="AY122" s="21">
        <v>2296</v>
      </c>
      <c r="AZ122" s="21">
        <v>2369.5</v>
      </c>
      <c r="BA122" s="21">
        <v>2340</v>
      </c>
      <c r="BB122" s="21">
        <v>2312</v>
      </c>
      <c r="BC122" s="21">
        <v>2288</v>
      </c>
      <c r="BD122" s="21">
        <v>2259.5</v>
      </c>
      <c r="BE122" s="21">
        <v>2179</v>
      </c>
      <c r="BF122" s="21">
        <v>2182.5</v>
      </c>
      <c r="BG122" s="21">
        <v>2169</v>
      </c>
      <c r="BH122" s="21">
        <v>2224</v>
      </c>
      <c r="BI122" s="21">
        <v>2194</v>
      </c>
      <c r="BJ122" s="21">
        <v>2173</v>
      </c>
      <c r="BK122" s="21">
        <v>2247</v>
      </c>
      <c r="BL122" s="21">
        <v>2132</v>
      </c>
      <c r="BM122" s="1">
        <v>2199</v>
      </c>
      <c r="BN122" s="1">
        <v>2052</v>
      </c>
      <c r="BO122" s="1">
        <v>2002</v>
      </c>
      <c r="BP122" s="1">
        <v>2050</v>
      </c>
      <c r="BQ122" s="1">
        <v>2028</v>
      </c>
      <c r="BR122" s="1">
        <v>2133.5</v>
      </c>
      <c r="BS122" s="1">
        <v>2193</v>
      </c>
      <c r="BT122" s="1">
        <v>2255.5</v>
      </c>
      <c r="BU122" s="1">
        <v>2264.5</v>
      </c>
      <c r="BV122" s="1">
        <v>2295</v>
      </c>
      <c r="BW122" s="1">
        <v>2266</v>
      </c>
      <c r="BX122" s="1">
        <v>2289</v>
      </c>
      <c r="BY122" s="1">
        <v>2250.5</v>
      </c>
      <c r="BZ122" s="1">
        <v>2299</v>
      </c>
    </row>
    <row r="123" spans="1:78" ht="15.9" customHeight="1">
      <c r="A123" s="78" t="s">
        <v>241</v>
      </c>
      <c r="B123" s="17" t="s">
        <v>242</v>
      </c>
      <c r="C123" s="546">
        <f>_xll.RssMarket("8359","始値")</f>
        <v>2497</v>
      </c>
      <c r="D123" s="23">
        <f t="shared" si="3"/>
        <v>15</v>
      </c>
      <c r="E123" s="553">
        <v>2482</v>
      </c>
      <c r="F123" s="21">
        <v>2508</v>
      </c>
      <c r="G123" s="21">
        <v>2568.5</v>
      </c>
      <c r="H123" s="73">
        <v>2482</v>
      </c>
      <c r="I123" s="21">
        <v>2588</v>
      </c>
      <c r="J123" s="21">
        <v>2660</v>
      </c>
      <c r="K123" s="21">
        <v>2673.5</v>
      </c>
      <c r="L123" s="21">
        <v>2610</v>
      </c>
      <c r="M123" s="21">
        <v>2633</v>
      </c>
      <c r="N123" s="21">
        <v>2596</v>
      </c>
      <c r="O123" s="21">
        <v>2504.5</v>
      </c>
      <c r="P123" s="21">
        <v>2607</v>
      </c>
      <c r="Q123" s="21">
        <v>2575</v>
      </c>
      <c r="R123" s="21">
        <v>2561</v>
      </c>
      <c r="S123" s="21">
        <v>2579</v>
      </c>
      <c r="T123" s="21">
        <v>2608</v>
      </c>
      <c r="U123" s="21">
        <v>2564</v>
      </c>
      <c r="V123" s="21">
        <v>2550</v>
      </c>
      <c r="W123" s="21">
        <v>2600</v>
      </c>
      <c r="X123" s="21">
        <v>2528.5</v>
      </c>
      <c r="Y123" s="21">
        <v>2499</v>
      </c>
      <c r="Z123" s="21">
        <v>2462.5</v>
      </c>
      <c r="AA123" s="21">
        <v>2391.5</v>
      </c>
      <c r="AB123" s="21">
        <v>2396</v>
      </c>
      <c r="AC123" s="21">
        <v>2399</v>
      </c>
      <c r="AD123" s="21">
        <v>2376</v>
      </c>
      <c r="AE123" s="21">
        <v>2389.5</v>
      </c>
      <c r="AF123" s="21">
        <v>2390</v>
      </c>
      <c r="AG123" s="21">
        <v>2413.5</v>
      </c>
      <c r="AH123" s="21">
        <v>2331</v>
      </c>
      <c r="AI123" s="21">
        <v>2329</v>
      </c>
      <c r="AJ123" s="21">
        <v>2326</v>
      </c>
      <c r="AK123" s="21">
        <v>2372</v>
      </c>
      <c r="AL123" s="21">
        <v>2356.5</v>
      </c>
      <c r="AM123" s="21">
        <v>2460</v>
      </c>
      <c r="AN123" s="21">
        <v>2354.5</v>
      </c>
      <c r="AO123" s="21">
        <v>2331</v>
      </c>
      <c r="AP123" s="21">
        <v>2452</v>
      </c>
      <c r="AQ123" s="21">
        <v>2350</v>
      </c>
      <c r="AR123" s="21">
        <v>2438</v>
      </c>
      <c r="AS123" s="21">
        <v>2283.5</v>
      </c>
      <c r="AT123" s="21">
        <v>2348</v>
      </c>
      <c r="AU123" s="21">
        <v>2300</v>
      </c>
      <c r="AV123" s="21">
        <v>2295</v>
      </c>
      <c r="AW123" s="21">
        <v>2295.5</v>
      </c>
      <c r="AX123" s="21">
        <v>2300</v>
      </c>
      <c r="AY123" s="21">
        <v>2363</v>
      </c>
      <c r="AZ123" s="21">
        <v>2370</v>
      </c>
      <c r="BA123" s="21">
        <v>2341.5</v>
      </c>
      <c r="BB123" s="21">
        <v>2300</v>
      </c>
      <c r="BC123" s="21">
        <v>2230</v>
      </c>
      <c r="BD123" s="21">
        <v>2358</v>
      </c>
      <c r="BE123" s="21">
        <v>2340</v>
      </c>
      <c r="BF123" s="21">
        <v>2355</v>
      </c>
      <c r="BG123" s="21">
        <v>2327.5</v>
      </c>
      <c r="BH123" s="21">
        <v>2308.5</v>
      </c>
      <c r="BI123" s="21">
        <v>2221</v>
      </c>
      <c r="BJ123" s="21">
        <v>2228</v>
      </c>
      <c r="BK123" s="21">
        <v>2167</v>
      </c>
      <c r="BL123" s="21">
        <v>2104</v>
      </c>
      <c r="BM123" s="1">
        <v>2150.5</v>
      </c>
      <c r="BN123" s="1">
        <v>2059</v>
      </c>
      <c r="BO123" s="1">
        <v>1991</v>
      </c>
      <c r="BP123" s="1">
        <v>2032</v>
      </c>
      <c r="BQ123" s="1">
        <v>1997.5</v>
      </c>
      <c r="BR123" s="1">
        <v>2037.5</v>
      </c>
      <c r="BS123" s="1">
        <v>2094.5</v>
      </c>
      <c r="BT123" s="1">
        <v>2125</v>
      </c>
      <c r="BU123" s="1">
        <v>2111</v>
      </c>
      <c r="BV123" s="1">
        <v>2104</v>
      </c>
      <c r="BW123" s="1">
        <v>2084.5</v>
      </c>
      <c r="BX123" s="1">
        <v>2088</v>
      </c>
      <c r="BY123" s="1">
        <v>2082</v>
      </c>
      <c r="BZ123" s="1">
        <v>2123</v>
      </c>
    </row>
    <row r="124" spans="1:78" ht="15.9" customHeight="1">
      <c r="A124" s="78" t="s">
        <v>243</v>
      </c>
      <c r="B124" s="17" t="s">
        <v>244</v>
      </c>
      <c r="C124" s="546">
        <f>_xll.RssMarket("8801","始値")</f>
        <v>1479.5</v>
      </c>
      <c r="D124" s="23">
        <f t="shared" si="3"/>
        <v>-27.5</v>
      </c>
      <c r="E124" s="553">
        <v>1507</v>
      </c>
      <c r="F124" s="21">
        <v>1530</v>
      </c>
      <c r="G124" s="21">
        <v>1580</v>
      </c>
      <c r="H124" s="73">
        <v>1605.5</v>
      </c>
      <c r="I124" s="21">
        <v>1618</v>
      </c>
      <c r="J124" s="21">
        <v>1590</v>
      </c>
      <c r="K124" s="21">
        <v>1565.5</v>
      </c>
      <c r="L124" s="21">
        <v>1530</v>
      </c>
      <c r="M124" s="21">
        <v>1535</v>
      </c>
      <c r="N124" s="21">
        <v>1540</v>
      </c>
      <c r="O124" s="21">
        <v>1543.5</v>
      </c>
      <c r="P124" s="21">
        <v>1549</v>
      </c>
      <c r="Q124" s="21">
        <v>1553</v>
      </c>
      <c r="R124" s="21">
        <v>1510</v>
      </c>
      <c r="S124" s="21">
        <v>1528</v>
      </c>
      <c r="T124" s="21">
        <v>1518.5</v>
      </c>
      <c r="U124" s="21">
        <v>1504.5</v>
      </c>
      <c r="V124" s="21">
        <v>1578</v>
      </c>
      <c r="W124" s="21">
        <v>1571</v>
      </c>
      <c r="X124" s="21">
        <v>1545</v>
      </c>
      <c r="Y124" s="21">
        <v>1560.5</v>
      </c>
      <c r="Z124" s="21">
        <v>1498</v>
      </c>
      <c r="AA124" s="21">
        <v>1491</v>
      </c>
      <c r="AB124" s="21">
        <v>1525</v>
      </c>
      <c r="AC124" s="21">
        <v>1500</v>
      </c>
      <c r="AD124" s="21">
        <v>1451.5</v>
      </c>
      <c r="AE124" s="21">
        <v>1494</v>
      </c>
      <c r="AF124" s="21">
        <v>1448.5</v>
      </c>
      <c r="AG124" s="21">
        <v>1458</v>
      </c>
      <c r="AH124" s="21">
        <v>1486.5</v>
      </c>
      <c r="AI124" s="21">
        <v>1493.5</v>
      </c>
      <c r="AJ124" s="21">
        <v>1516.5</v>
      </c>
      <c r="AK124" s="21">
        <v>1544.5</v>
      </c>
      <c r="AL124" s="21">
        <v>1564.5</v>
      </c>
      <c r="AM124" s="21">
        <v>1586</v>
      </c>
      <c r="AN124" s="21">
        <v>1564</v>
      </c>
      <c r="AO124" s="21">
        <v>1555</v>
      </c>
      <c r="AP124" s="21">
        <v>1529.5</v>
      </c>
      <c r="AQ124" s="21">
        <v>1470</v>
      </c>
      <c r="AR124" s="21">
        <v>1482</v>
      </c>
      <c r="AS124" s="21">
        <v>1478.5</v>
      </c>
      <c r="AT124" s="21">
        <v>1515</v>
      </c>
      <c r="AU124" s="21">
        <v>1477.5</v>
      </c>
      <c r="AV124" s="21">
        <v>1519</v>
      </c>
      <c r="AW124" s="21">
        <v>1532</v>
      </c>
      <c r="AX124" s="21">
        <v>1537.5</v>
      </c>
      <c r="AY124" s="21">
        <v>1510</v>
      </c>
      <c r="AZ124" s="21">
        <v>1501</v>
      </c>
      <c r="BA124" s="21">
        <v>1539.5</v>
      </c>
      <c r="BB124" s="21">
        <v>1520</v>
      </c>
      <c r="BC124" s="21">
        <v>1520</v>
      </c>
      <c r="BD124" s="21">
        <v>1539.5</v>
      </c>
      <c r="BE124" s="21">
        <v>1490.5</v>
      </c>
      <c r="BF124" s="21">
        <v>1600</v>
      </c>
      <c r="BG124" s="21">
        <v>1672</v>
      </c>
      <c r="BH124" s="21">
        <v>1676.5</v>
      </c>
      <c r="BI124" s="21">
        <v>1656.5</v>
      </c>
      <c r="BJ124" s="21">
        <v>1699</v>
      </c>
      <c r="BK124" s="21">
        <v>1709.5</v>
      </c>
      <c r="BL124" s="21">
        <v>1690</v>
      </c>
      <c r="BM124" s="1">
        <v>1694.5</v>
      </c>
      <c r="BN124" s="1">
        <v>1715</v>
      </c>
      <c r="BO124" s="1">
        <v>1697</v>
      </c>
      <c r="BP124" s="1">
        <v>1709.5</v>
      </c>
      <c r="BQ124" s="1">
        <v>1753.5</v>
      </c>
      <c r="BR124" s="1">
        <v>1741</v>
      </c>
      <c r="BS124" s="1">
        <v>1744.5</v>
      </c>
      <c r="BT124" s="1">
        <v>1766</v>
      </c>
      <c r="BU124" s="1">
        <v>1749.5</v>
      </c>
      <c r="BV124" s="1">
        <v>1777</v>
      </c>
      <c r="BW124" s="1">
        <v>1818</v>
      </c>
      <c r="BX124" s="1">
        <v>1755</v>
      </c>
      <c r="BY124" s="1">
        <v>1700.5</v>
      </c>
      <c r="BZ124" s="1">
        <v>1712</v>
      </c>
    </row>
    <row r="125" spans="1:78" ht="15.9" customHeight="1">
      <c r="A125" s="78" t="s">
        <v>245</v>
      </c>
      <c r="B125" s="17" t="s">
        <v>246</v>
      </c>
      <c r="C125" s="546">
        <f>_xll.RssMarket("8934","始値")</f>
        <v>2425</v>
      </c>
      <c r="D125" s="23">
        <f t="shared" si="3"/>
        <v>-13</v>
      </c>
      <c r="E125" s="553">
        <v>2438</v>
      </c>
      <c r="F125" s="21">
        <v>2500</v>
      </c>
      <c r="G125" s="21">
        <v>2535</v>
      </c>
      <c r="H125" s="73">
        <v>2582</v>
      </c>
      <c r="I125" s="21">
        <v>2568</v>
      </c>
      <c r="J125" s="21">
        <v>2562</v>
      </c>
      <c r="K125" s="21">
        <v>2507</v>
      </c>
      <c r="L125" s="21">
        <v>2500</v>
      </c>
      <c r="M125" s="21">
        <v>2537</v>
      </c>
      <c r="N125" s="21">
        <v>2551</v>
      </c>
      <c r="O125" s="21">
        <v>2520</v>
      </c>
      <c r="P125" s="21">
        <v>2546</v>
      </c>
      <c r="Q125" s="21">
        <v>2545</v>
      </c>
      <c r="R125" s="21">
        <v>2504</v>
      </c>
      <c r="S125" s="21">
        <v>2508</v>
      </c>
      <c r="T125" s="21">
        <v>2508</v>
      </c>
      <c r="U125" s="21">
        <v>2515</v>
      </c>
      <c r="V125" s="21">
        <v>2535</v>
      </c>
      <c r="W125" s="21">
        <v>2522</v>
      </c>
      <c r="X125" s="21">
        <v>2482</v>
      </c>
      <c r="Y125" s="21">
        <v>2435</v>
      </c>
      <c r="Z125" s="21">
        <v>2429</v>
      </c>
      <c r="AA125" s="21">
        <v>2412</v>
      </c>
      <c r="AB125" s="21">
        <v>2452</v>
      </c>
      <c r="AC125" s="21">
        <v>2410</v>
      </c>
      <c r="AD125" s="21">
        <v>2373</v>
      </c>
      <c r="AE125" s="21">
        <v>2352</v>
      </c>
      <c r="AF125" s="21">
        <v>2339</v>
      </c>
      <c r="AG125" s="21">
        <v>2336</v>
      </c>
      <c r="AH125" s="21">
        <v>2350</v>
      </c>
      <c r="AI125" s="21">
        <v>2350</v>
      </c>
      <c r="AJ125" s="21">
        <v>2350</v>
      </c>
      <c r="AK125" s="21">
        <v>2388</v>
      </c>
      <c r="AL125" s="21">
        <v>2380</v>
      </c>
      <c r="AM125" s="21">
        <v>2405</v>
      </c>
      <c r="AN125" s="21">
        <v>2350</v>
      </c>
      <c r="AO125" s="21">
        <v>2381</v>
      </c>
      <c r="AP125" s="21">
        <v>2375</v>
      </c>
      <c r="AQ125" s="21">
        <v>2307</v>
      </c>
      <c r="AR125" s="21">
        <v>2297</v>
      </c>
      <c r="AS125" s="21">
        <v>2268</v>
      </c>
      <c r="AT125" s="21">
        <v>2277</v>
      </c>
      <c r="AU125" s="21">
        <v>2230</v>
      </c>
      <c r="AV125" s="21">
        <v>2363</v>
      </c>
      <c r="AW125" s="21">
        <v>2340</v>
      </c>
      <c r="AX125" s="21">
        <v>2351</v>
      </c>
      <c r="AY125" s="21">
        <v>2348</v>
      </c>
      <c r="AZ125" s="21">
        <v>2385</v>
      </c>
      <c r="BA125" s="21">
        <v>2390</v>
      </c>
      <c r="BB125" s="21">
        <v>2422</v>
      </c>
      <c r="BC125" s="21">
        <v>2412</v>
      </c>
      <c r="BD125" s="21">
        <v>2470</v>
      </c>
      <c r="BE125" s="21">
        <v>2445</v>
      </c>
      <c r="BF125" s="21">
        <v>2443</v>
      </c>
      <c r="BG125" s="21">
        <v>2445</v>
      </c>
      <c r="BH125" s="21">
        <v>2535</v>
      </c>
      <c r="BI125" s="21">
        <v>2580</v>
      </c>
      <c r="BJ125" s="21">
        <v>2624</v>
      </c>
      <c r="BK125" s="21">
        <v>2650</v>
      </c>
      <c r="BL125" s="21">
        <v>2685</v>
      </c>
      <c r="BM125" s="1">
        <v>2701</v>
      </c>
      <c r="BN125" s="1">
        <v>2679</v>
      </c>
      <c r="BO125" s="1">
        <v>2631</v>
      </c>
      <c r="BP125" s="1">
        <v>2683</v>
      </c>
      <c r="BQ125" s="1">
        <v>2702</v>
      </c>
      <c r="BR125" s="1">
        <v>2744</v>
      </c>
      <c r="BS125" s="1">
        <v>2769</v>
      </c>
      <c r="BT125" s="1">
        <v>2799</v>
      </c>
      <c r="BU125" s="1">
        <v>2791</v>
      </c>
      <c r="BV125" s="1">
        <v>2825</v>
      </c>
      <c r="BW125" s="1">
        <v>2840</v>
      </c>
      <c r="BX125" s="1">
        <v>2841</v>
      </c>
      <c r="BY125" s="1">
        <v>2812</v>
      </c>
      <c r="BZ125" s="1">
        <v>2786</v>
      </c>
    </row>
    <row r="126" spans="1:78" ht="15.9" customHeight="1">
      <c r="A126" s="78" t="s">
        <v>247</v>
      </c>
      <c r="B126" s="17" t="s">
        <v>248</v>
      </c>
      <c r="C126" s="546">
        <f>_xll.RssMarket("9416","始値")</f>
        <v>1010</v>
      </c>
      <c r="D126" s="23">
        <f t="shared" si="3"/>
        <v>-15</v>
      </c>
      <c r="E126" s="553">
        <v>1025</v>
      </c>
      <c r="F126" s="21">
        <v>1032</v>
      </c>
      <c r="G126" s="21">
        <v>1035</v>
      </c>
      <c r="H126" s="73">
        <v>1041</v>
      </c>
      <c r="I126" s="21">
        <v>1032</v>
      </c>
      <c r="J126" s="21">
        <v>1023</v>
      </c>
      <c r="K126" s="21">
        <v>996</v>
      </c>
      <c r="L126" s="21">
        <v>985</v>
      </c>
      <c r="M126" s="21">
        <v>997</v>
      </c>
      <c r="N126" s="21">
        <v>1002</v>
      </c>
      <c r="O126" s="21">
        <v>1005</v>
      </c>
      <c r="P126" s="21">
        <v>1008</v>
      </c>
      <c r="Q126" s="21">
        <v>1018</v>
      </c>
      <c r="R126" s="21">
        <v>1022</v>
      </c>
      <c r="S126" s="21">
        <v>1016</v>
      </c>
      <c r="T126" s="21">
        <v>1010</v>
      </c>
      <c r="U126" s="21">
        <v>1001</v>
      </c>
      <c r="V126" s="21">
        <v>1010</v>
      </c>
      <c r="W126" s="21">
        <v>1010</v>
      </c>
      <c r="X126" s="21">
        <v>1001</v>
      </c>
      <c r="Y126" s="21">
        <v>986</v>
      </c>
      <c r="Z126" s="21">
        <v>970</v>
      </c>
      <c r="AA126" s="21">
        <v>967</v>
      </c>
      <c r="AB126" s="21">
        <v>979</v>
      </c>
      <c r="AC126" s="21">
        <v>974</v>
      </c>
      <c r="AD126" s="21">
        <v>966</v>
      </c>
      <c r="AE126" s="21">
        <v>990</v>
      </c>
      <c r="AF126" s="21">
        <v>985</v>
      </c>
      <c r="AG126" s="21">
        <v>1023</v>
      </c>
      <c r="AH126" s="21">
        <v>1020</v>
      </c>
      <c r="AI126" s="21">
        <v>1029</v>
      </c>
      <c r="AJ126" s="21">
        <v>1020</v>
      </c>
      <c r="AK126" s="21">
        <v>1020</v>
      </c>
      <c r="AL126" s="21">
        <v>1017</v>
      </c>
      <c r="AM126" s="21">
        <v>1022</v>
      </c>
      <c r="AN126" s="21">
        <v>1009</v>
      </c>
      <c r="AO126" s="21">
        <v>1012</v>
      </c>
      <c r="AP126" s="21">
        <v>1011</v>
      </c>
      <c r="AQ126" s="21">
        <v>1021</v>
      </c>
      <c r="AR126" s="21">
        <v>1011</v>
      </c>
      <c r="AS126" s="21">
        <v>1009</v>
      </c>
      <c r="AT126" s="21">
        <v>1021</v>
      </c>
      <c r="AU126" s="21">
        <v>1021</v>
      </c>
      <c r="AV126" s="21">
        <v>1058</v>
      </c>
      <c r="AW126" s="21">
        <v>1058</v>
      </c>
      <c r="AX126" s="21">
        <v>1061</v>
      </c>
      <c r="AY126" s="21">
        <v>1063</v>
      </c>
      <c r="AZ126" s="21">
        <v>1020</v>
      </c>
      <c r="BA126" s="21">
        <v>1030</v>
      </c>
      <c r="BB126" s="21">
        <v>1031</v>
      </c>
      <c r="BC126" s="21">
        <v>1008</v>
      </c>
      <c r="BD126" s="21">
        <v>1044</v>
      </c>
      <c r="BE126" s="21">
        <v>1020</v>
      </c>
      <c r="BF126" s="21">
        <v>1140</v>
      </c>
      <c r="BG126" s="21">
        <v>1105</v>
      </c>
      <c r="BH126" s="21">
        <v>1111</v>
      </c>
      <c r="BI126" s="21">
        <v>1111</v>
      </c>
      <c r="BJ126" s="21">
        <v>1108</v>
      </c>
      <c r="BK126" s="21">
        <v>1102</v>
      </c>
      <c r="BL126" s="21">
        <v>1091</v>
      </c>
      <c r="BM126" s="1">
        <v>1099</v>
      </c>
      <c r="BN126" s="1">
        <v>1097</v>
      </c>
      <c r="BO126" s="1">
        <v>1087</v>
      </c>
      <c r="BP126" s="1">
        <v>1106</v>
      </c>
      <c r="BQ126" s="1">
        <v>1109</v>
      </c>
      <c r="BR126" s="1">
        <v>1140</v>
      </c>
      <c r="BS126" s="1">
        <v>1170</v>
      </c>
      <c r="BT126" s="1">
        <v>1186</v>
      </c>
      <c r="BU126" s="1">
        <v>1192</v>
      </c>
      <c r="BV126" s="1">
        <v>1208</v>
      </c>
      <c r="BW126" s="1">
        <v>1202</v>
      </c>
      <c r="BX126" s="1">
        <v>1202</v>
      </c>
      <c r="BY126" s="1">
        <v>1197</v>
      </c>
      <c r="BZ126" s="1">
        <v>1197</v>
      </c>
    </row>
    <row r="127" spans="1:78" ht="15.9" customHeight="1">
      <c r="A127" s="78" t="s">
        <v>249</v>
      </c>
      <c r="B127" s="17" t="s">
        <v>250</v>
      </c>
      <c r="C127" s="546">
        <f>_xll.RssMarket("9532","始値")</f>
        <v>5375</v>
      </c>
      <c r="D127" s="23">
        <f t="shared" si="3"/>
        <v>-25</v>
      </c>
      <c r="E127" s="553">
        <v>5400</v>
      </c>
      <c r="F127" s="21">
        <v>5462</v>
      </c>
      <c r="G127" s="21">
        <v>5550</v>
      </c>
      <c r="H127" s="73">
        <v>5528</v>
      </c>
      <c r="I127" s="21">
        <v>5551</v>
      </c>
      <c r="J127" s="21">
        <v>5531</v>
      </c>
      <c r="K127" s="21">
        <v>5530</v>
      </c>
      <c r="L127" s="21">
        <v>5421</v>
      </c>
      <c r="M127" s="21">
        <v>5409</v>
      </c>
      <c r="N127" s="21">
        <v>5356</v>
      </c>
      <c r="O127" s="21">
        <v>5400</v>
      </c>
      <c r="P127" s="21">
        <v>5376</v>
      </c>
      <c r="Q127" s="21">
        <v>5420</v>
      </c>
      <c r="R127" s="21">
        <v>5330</v>
      </c>
      <c r="S127" s="21">
        <v>5400</v>
      </c>
      <c r="T127" s="21">
        <v>5405</v>
      </c>
      <c r="U127" s="21">
        <v>5494</v>
      </c>
      <c r="V127" s="21">
        <v>5539</v>
      </c>
      <c r="W127" s="21">
        <v>5443</v>
      </c>
      <c r="X127" s="21">
        <v>5396</v>
      </c>
      <c r="Y127" s="21">
        <v>5394</v>
      </c>
      <c r="Z127" s="21">
        <v>5369</v>
      </c>
      <c r="AA127" s="21">
        <v>5456</v>
      </c>
      <c r="AB127" s="21">
        <v>5463</v>
      </c>
      <c r="AC127" s="21">
        <v>5410</v>
      </c>
      <c r="AD127" s="21">
        <v>5370</v>
      </c>
      <c r="AE127" s="21">
        <v>5447</v>
      </c>
      <c r="AF127" s="21">
        <v>5417</v>
      </c>
      <c r="AG127" s="21">
        <v>5464</v>
      </c>
      <c r="AH127" s="21">
        <v>5429</v>
      </c>
      <c r="AI127" s="21">
        <v>5388</v>
      </c>
      <c r="AJ127" s="21">
        <v>5490</v>
      </c>
      <c r="AK127" s="21">
        <v>5527</v>
      </c>
      <c r="AL127" s="21">
        <v>5520</v>
      </c>
      <c r="AM127" s="21">
        <v>5606</v>
      </c>
      <c r="AN127" s="21">
        <v>5698</v>
      </c>
      <c r="AO127" s="21">
        <v>5540</v>
      </c>
      <c r="AP127" s="21">
        <v>5550</v>
      </c>
      <c r="AQ127" s="21">
        <v>5454</v>
      </c>
      <c r="AR127" s="21">
        <v>5457</v>
      </c>
      <c r="AS127" s="21">
        <v>5607</v>
      </c>
      <c r="AT127" s="21">
        <v>5499</v>
      </c>
      <c r="AU127" s="21">
        <v>5260</v>
      </c>
      <c r="AV127" s="21">
        <v>5350</v>
      </c>
      <c r="AW127" s="21">
        <v>5442</v>
      </c>
      <c r="AX127" s="21">
        <v>5553</v>
      </c>
      <c r="AY127" s="21">
        <v>5644</v>
      </c>
      <c r="AZ127" s="21">
        <v>5768</v>
      </c>
      <c r="BA127" s="21">
        <v>5779</v>
      </c>
      <c r="BB127" s="21">
        <v>5862</v>
      </c>
      <c r="BC127" s="21">
        <v>5726</v>
      </c>
      <c r="BD127" s="21">
        <v>5700</v>
      </c>
      <c r="BE127" s="21">
        <v>5717</v>
      </c>
      <c r="BF127" s="21">
        <v>5731</v>
      </c>
      <c r="BG127" s="21">
        <v>5679</v>
      </c>
      <c r="BH127" s="21">
        <v>5629</v>
      </c>
      <c r="BI127" s="21">
        <v>5567</v>
      </c>
      <c r="BJ127" s="21">
        <v>5684</v>
      </c>
      <c r="BK127" s="21">
        <v>5736</v>
      </c>
      <c r="BL127" s="21">
        <v>5720</v>
      </c>
      <c r="BM127" s="1">
        <v>5874</v>
      </c>
      <c r="BN127" s="1">
        <v>5827</v>
      </c>
      <c r="BO127" s="1">
        <v>5779</v>
      </c>
      <c r="BP127" s="1">
        <v>5956</v>
      </c>
      <c r="BQ127" s="1">
        <v>5793</v>
      </c>
      <c r="BR127" s="1">
        <v>5880</v>
      </c>
      <c r="BS127" s="1">
        <v>5983</v>
      </c>
      <c r="BT127" s="1">
        <v>6129</v>
      </c>
      <c r="BU127" s="1">
        <v>6238</v>
      </c>
      <c r="BV127" s="1">
        <v>6174</v>
      </c>
      <c r="BW127" s="1">
        <v>6249</v>
      </c>
      <c r="BX127" s="1">
        <v>6290</v>
      </c>
      <c r="BY127" s="1">
        <v>6374</v>
      </c>
      <c r="BZ127" s="1">
        <v>6587</v>
      </c>
    </row>
    <row r="128" spans="1:78" ht="15.9" customHeight="1">
      <c r="A128" s="78" t="s">
        <v>251</v>
      </c>
      <c r="B128" s="17" t="s">
        <v>252</v>
      </c>
      <c r="C128" s="546">
        <f>_xll.RssMarket("6330","始値")</f>
        <v>2025</v>
      </c>
      <c r="D128" s="23">
        <f t="shared" si="3"/>
        <v>128</v>
      </c>
      <c r="E128" s="553">
        <v>1897</v>
      </c>
      <c r="F128" s="21">
        <v>1982</v>
      </c>
      <c r="G128" s="21">
        <v>1939</v>
      </c>
      <c r="H128" s="21">
        <v>1891</v>
      </c>
      <c r="I128" s="21">
        <v>2010</v>
      </c>
      <c r="J128" s="21">
        <v>2085</v>
      </c>
      <c r="K128" s="21">
        <v>1988</v>
      </c>
      <c r="L128" s="21"/>
      <c r="M128" s="21">
        <v>1892</v>
      </c>
      <c r="N128" s="21">
        <v>1870</v>
      </c>
      <c r="O128" s="21">
        <v>1760</v>
      </c>
      <c r="P128" s="21">
        <v>1845</v>
      </c>
      <c r="Q128" s="21">
        <v>1945</v>
      </c>
      <c r="R128" s="21">
        <v>1915</v>
      </c>
      <c r="S128" s="21">
        <v>1936</v>
      </c>
      <c r="T128" s="21">
        <v>1988</v>
      </c>
      <c r="U128" s="21">
        <v>1965</v>
      </c>
      <c r="V128" s="21">
        <v>2000</v>
      </c>
      <c r="W128" s="21">
        <v>2180</v>
      </c>
      <c r="X128" s="21">
        <v>2080</v>
      </c>
      <c r="Y128" s="21">
        <v>2053</v>
      </c>
      <c r="Z128" s="21">
        <v>1972</v>
      </c>
      <c r="AA128" s="21">
        <v>1996</v>
      </c>
      <c r="AB128" s="21">
        <v>2277</v>
      </c>
      <c r="AC128" s="21">
        <v>2084</v>
      </c>
      <c r="AD128" s="21">
        <v>1957</v>
      </c>
      <c r="AE128" s="21">
        <v>1951</v>
      </c>
      <c r="AF128" s="21">
        <v>1893</v>
      </c>
      <c r="AG128" s="21">
        <v>2000</v>
      </c>
      <c r="AH128" s="21">
        <v>2060</v>
      </c>
      <c r="AI128" s="21">
        <v>2083</v>
      </c>
      <c r="AJ128" s="21">
        <v>2200</v>
      </c>
      <c r="AK128" s="21">
        <v>2091</v>
      </c>
      <c r="AL128" s="21">
        <v>2049</v>
      </c>
      <c r="AM128" s="21">
        <v>1995</v>
      </c>
      <c r="AN128" s="21">
        <v>1870</v>
      </c>
      <c r="AO128" s="21">
        <v>1832</v>
      </c>
      <c r="AP128" s="21">
        <v>1975</v>
      </c>
      <c r="AQ128" s="21">
        <v>1965</v>
      </c>
      <c r="AR128" s="21">
        <v>1942</v>
      </c>
      <c r="AS128" s="21">
        <v>1984</v>
      </c>
      <c r="AT128" s="21">
        <v>1890</v>
      </c>
      <c r="AU128" s="21">
        <v>1897</v>
      </c>
      <c r="AV128" s="21">
        <v>2153</v>
      </c>
      <c r="AW128" s="21">
        <v>2092</v>
      </c>
      <c r="AX128" s="21">
        <v>2169</v>
      </c>
      <c r="AY128" s="21">
        <v>2184</v>
      </c>
      <c r="AZ128" s="21">
        <v>2010</v>
      </c>
      <c r="BA128" s="21">
        <v>2069</v>
      </c>
      <c r="BB128" s="21">
        <v>2082</v>
      </c>
      <c r="BC128" s="21">
        <v>2100</v>
      </c>
      <c r="BD128" s="21">
        <v>2128</v>
      </c>
      <c r="BE128" s="21">
        <v>2148</v>
      </c>
      <c r="BF128" s="21">
        <v>2160</v>
      </c>
      <c r="BG128" s="21">
        <v>2188</v>
      </c>
      <c r="BH128" s="21">
        <v>2226</v>
      </c>
      <c r="BI128" s="21">
        <v>2313</v>
      </c>
      <c r="BJ128" s="21">
        <v>2295</v>
      </c>
      <c r="BK128" s="21">
        <v>2335</v>
      </c>
      <c r="BL128" s="21">
        <v>2286</v>
      </c>
      <c r="BM128" s="1">
        <v>2340</v>
      </c>
      <c r="BN128" s="1">
        <v>2331</v>
      </c>
      <c r="BO128" s="1">
        <v>2282</v>
      </c>
      <c r="BP128" s="1">
        <v>2449</v>
      </c>
      <c r="BQ128" s="1">
        <v>2478</v>
      </c>
      <c r="BR128" s="1">
        <v>2510</v>
      </c>
      <c r="BS128" s="1">
        <v>2662</v>
      </c>
      <c r="BT128" s="1">
        <v>2640</v>
      </c>
      <c r="BU128" s="1">
        <v>2500</v>
      </c>
      <c r="BV128" s="1">
        <v>2350</v>
      </c>
      <c r="BW128" s="1">
        <v>2357</v>
      </c>
      <c r="BX128" s="1">
        <v>2331</v>
      </c>
      <c r="BY128" s="1">
        <v>2281</v>
      </c>
      <c r="BZ128" s="1">
        <v>2340</v>
      </c>
    </row>
    <row r="129" spans="1:78" ht="15.9" customHeight="1">
      <c r="A129" s="78" t="s">
        <v>253</v>
      </c>
      <c r="B129" s="17" t="s">
        <v>254</v>
      </c>
      <c r="C129" s="546">
        <f>_xll.RssMarket("4082","始値")</f>
        <v>1888</v>
      </c>
      <c r="D129" s="23">
        <f t="shared" si="3"/>
        <v>93</v>
      </c>
      <c r="E129" s="553">
        <v>1795</v>
      </c>
      <c r="F129" s="21">
        <v>1715</v>
      </c>
      <c r="G129" s="21">
        <v>1748</v>
      </c>
      <c r="H129" s="21">
        <v>1700</v>
      </c>
      <c r="I129" s="21">
        <v>1795</v>
      </c>
      <c r="J129" s="21">
        <v>1855</v>
      </c>
      <c r="K129" s="21">
        <v>1869</v>
      </c>
      <c r="L129" s="21">
        <v>1816</v>
      </c>
      <c r="M129" s="21">
        <v>1835</v>
      </c>
      <c r="N129" s="21">
        <v>1840</v>
      </c>
      <c r="O129" s="21">
        <v>1770</v>
      </c>
      <c r="P129" s="21">
        <v>1847</v>
      </c>
      <c r="Q129" s="21">
        <v>1947</v>
      </c>
      <c r="R129" s="21">
        <v>1936</v>
      </c>
      <c r="S129" s="21">
        <v>1940</v>
      </c>
      <c r="T129" s="21">
        <v>1980</v>
      </c>
      <c r="U129" s="21">
        <v>2008</v>
      </c>
      <c r="V129" s="21">
        <v>2001</v>
      </c>
      <c r="W129" s="21">
        <v>2071</v>
      </c>
      <c r="X129" s="21">
        <v>2055</v>
      </c>
      <c r="Y129" s="21">
        <v>2031</v>
      </c>
      <c r="Z129" s="21">
        <v>2065</v>
      </c>
      <c r="AA129" s="21">
        <v>2047</v>
      </c>
      <c r="AB129" s="21">
        <v>2091</v>
      </c>
      <c r="AC129" s="21">
        <v>2100</v>
      </c>
      <c r="AD129" s="21">
        <v>2100</v>
      </c>
      <c r="AE129" s="21">
        <v>2090</v>
      </c>
      <c r="AF129" s="21">
        <v>2002</v>
      </c>
      <c r="AG129" s="21">
        <v>2137</v>
      </c>
      <c r="AH129" s="21">
        <v>2067</v>
      </c>
      <c r="AI129" s="21">
        <v>2010</v>
      </c>
      <c r="AJ129" s="21">
        <v>2085</v>
      </c>
      <c r="AK129" s="21">
        <v>1990</v>
      </c>
      <c r="AL129" s="21">
        <v>1948</v>
      </c>
      <c r="AM129" s="21">
        <v>1940</v>
      </c>
      <c r="AN129" s="21">
        <v>1900</v>
      </c>
      <c r="AO129" s="21">
        <v>1800</v>
      </c>
      <c r="AP129" s="21">
        <v>1963</v>
      </c>
      <c r="AQ129" s="21">
        <v>2010</v>
      </c>
      <c r="AR129" s="21">
        <v>2079</v>
      </c>
      <c r="AS129" s="21">
        <v>2172</v>
      </c>
      <c r="AT129" s="21">
        <v>2166</v>
      </c>
      <c r="AU129" s="21">
        <v>2225</v>
      </c>
      <c r="AV129" s="21">
        <v>2295</v>
      </c>
      <c r="AW129" s="21">
        <v>2170</v>
      </c>
      <c r="AX129" s="21">
        <v>2186</v>
      </c>
      <c r="AY129" s="21">
        <v>2093</v>
      </c>
      <c r="AZ129" s="21">
        <v>1980</v>
      </c>
      <c r="BA129" s="21">
        <v>1960</v>
      </c>
      <c r="BB129" s="21">
        <v>2099</v>
      </c>
      <c r="BC129" s="21">
        <v>2195</v>
      </c>
      <c r="BD129" s="21">
        <v>2183</v>
      </c>
      <c r="BE129" s="21">
        <v>2181</v>
      </c>
      <c r="BF129" s="21">
        <v>2651</v>
      </c>
      <c r="BG129" s="21">
        <v>2640</v>
      </c>
      <c r="BH129" s="21">
        <v>2708</v>
      </c>
      <c r="BI129" s="21">
        <v>2487</v>
      </c>
      <c r="BJ129" s="21">
        <v>2388</v>
      </c>
      <c r="BK129" s="21">
        <v>2346</v>
      </c>
      <c r="BL129" s="21">
        <v>2246</v>
      </c>
      <c r="BM129" s="1">
        <v>2307</v>
      </c>
      <c r="BN129" s="1">
        <v>2260</v>
      </c>
      <c r="BO129" s="1">
        <v>2268</v>
      </c>
      <c r="BP129" s="1">
        <v>2470</v>
      </c>
      <c r="BQ129" s="1">
        <v>2303</v>
      </c>
      <c r="BR129" s="1">
        <v>2380</v>
      </c>
      <c r="BS129" s="1">
        <v>2561</v>
      </c>
      <c r="BT129" s="1">
        <v>2329</v>
      </c>
      <c r="BU129" s="1">
        <v>2231</v>
      </c>
      <c r="BV129" s="1">
        <v>2152</v>
      </c>
      <c r="BW129" s="1">
        <v>2100</v>
      </c>
      <c r="BX129" s="1">
        <v>2050</v>
      </c>
      <c r="BY129" s="1">
        <v>2038</v>
      </c>
      <c r="BZ129" s="1">
        <v>2131</v>
      </c>
    </row>
    <row r="130" spans="1:78" ht="15.9" customHeight="1">
      <c r="A130" s="78" t="s">
        <v>255</v>
      </c>
      <c r="B130" s="17" t="s">
        <v>256</v>
      </c>
      <c r="C130" s="546">
        <f>_xll.RssMarket("4519","始値")</f>
        <v>6601</v>
      </c>
      <c r="D130" s="23">
        <f t="shared" si="3"/>
        <v>-29</v>
      </c>
      <c r="E130" s="553">
        <v>6630</v>
      </c>
      <c r="F130" s="21">
        <v>6811</v>
      </c>
      <c r="G130" s="21">
        <v>6950</v>
      </c>
      <c r="H130" s="21">
        <v>6950</v>
      </c>
      <c r="I130" s="21">
        <v>7098</v>
      </c>
      <c r="J130" s="21">
        <v>6958</v>
      </c>
      <c r="K130" s="21">
        <v>7055</v>
      </c>
      <c r="L130" s="21"/>
      <c r="M130" s="21">
        <v>7312</v>
      </c>
      <c r="N130" s="21">
        <v>7355</v>
      </c>
      <c r="O130" s="21">
        <v>7280</v>
      </c>
      <c r="P130" s="21">
        <v>7243</v>
      </c>
      <c r="Q130" s="21">
        <v>7200</v>
      </c>
      <c r="R130" s="21">
        <v>7250</v>
      </c>
      <c r="S130" s="21">
        <v>7345</v>
      </c>
      <c r="T130" s="21">
        <v>7353</v>
      </c>
      <c r="U130" s="21">
        <v>7345</v>
      </c>
      <c r="V130" s="21">
        <v>7733</v>
      </c>
      <c r="W130" s="21">
        <v>7652</v>
      </c>
      <c r="X130" s="21">
        <v>7651</v>
      </c>
      <c r="Y130" s="21">
        <v>7780</v>
      </c>
      <c r="Z130" s="21">
        <v>7370</v>
      </c>
      <c r="AA130" s="21">
        <v>7400</v>
      </c>
      <c r="AB130" s="21">
        <v>7585</v>
      </c>
      <c r="AC130" s="21">
        <v>7453</v>
      </c>
      <c r="AD130" s="21">
        <v>7474</v>
      </c>
      <c r="AE130" s="21">
        <v>7564</v>
      </c>
      <c r="AF130" s="21">
        <v>7530</v>
      </c>
      <c r="AG130" s="21">
        <v>7542</v>
      </c>
      <c r="AH130" s="21">
        <v>7488</v>
      </c>
      <c r="AI130" s="21">
        <v>7514</v>
      </c>
      <c r="AJ130" s="21">
        <v>7674</v>
      </c>
      <c r="AK130" s="21">
        <v>7532</v>
      </c>
      <c r="AL130" s="21">
        <v>7562</v>
      </c>
      <c r="AM130" s="21">
        <v>7388</v>
      </c>
      <c r="AN130" s="21">
        <v>7447</v>
      </c>
      <c r="AO130" s="21">
        <v>7270</v>
      </c>
      <c r="AP130" s="21">
        <v>7341</v>
      </c>
      <c r="AQ130" s="21">
        <v>7500</v>
      </c>
      <c r="AR130" s="21">
        <v>7649</v>
      </c>
      <c r="AS130" s="21">
        <v>7400</v>
      </c>
      <c r="AT130" s="21">
        <v>7500</v>
      </c>
      <c r="AU130" s="21">
        <v>7601</v>
      </c>
      <c r="AV130" s="21">
        <v>7699</v>
      </c>
      <c r="AW130" s="21">
        <v>7880</v>
      </c>
      <c r="AX130" s="21">
        <v>7646</v>
      </c>
      <c r="AY130" s="21">
        <v>8013</v>
      </c>
      <c r="AZ130" s="21">
        <v>7804</v>
      </c>
      <c r="BA130" s="21">
        <v>8049</v>
      </c>
      <c r="BB130" s="21">
        <v>7873</v>
      </c>
      <c r="BC130" s="21">
        <v>7979</v>
      </c>
      <c r="BD130" s="21">
        <v>7892</v>
      </c>
      <c r="BE130" s="21">
        <v>7946</v>
      </c>
      <c r="BF130" s="21">
        <v>7850</v>
      </c>
      <c r="BG130" s="21">
        <v>7753</v>
      </c>
      <c r="BH130" s="21">
        <v>7850</v>
      </c>
      <c r="BI130" s="21">
        <v>7821</v>
      </c>
      <c r="BJ130" s="21">
        <v>8245</v>
      </c>
      <c r="BK130" s="21">
        <v>7765</v>
      </c>
      <c r="BL130" s="21">
        <v>8529</v>
      </c>
      <c r="BM130" s="1">
        <v>8000</v>
      </c>
      <c r="BN130" s="1">
        <v>7580</v>
      </c>
      <c r="BO130" s="1">
        <v>7961</v>
      </c>
      <c r="BP130" s="1">
        <v>8994</v>
      </c>
      <c r="BQ130" s="1">
        <v>8760</v>
      </c>
      <c r="BR130" s="1">
        <v>8747</v>
      </c>
      <c r="BS130" s="1">
        <v>8744</v>
      </c>
      <c r="BT130" s="1">
        <v>8599</v>
      </c>
      <c r="BU130" s="1">
        <v>8435</v>
      </c>
      <c r="BV130" s="1">
        <v>8624</v>
      </c>
      <c r="BW130" s="1">
        <v>8512</v>
      </c>
      <c r="BX130" s="1">
        <v>8639</v>
      </c>
      <c r="BY130" s="1">
        <v>8564</v>
      </c>
      <c r="BZ130" s="1">
        <v>8750</v>
      </c>
    </row>
    <row r="131" spans="1:78" ht="15.9" customHeight="1">
      <c r="A131" s="78" t="s">
        <v>257</v>
      </c>
      <c r="B131" s="17" t="s">
        <v>258</v>
      </c>
      <c r="C131" s="546">
        <f>_xll.RssMarket("2160","始値")</f>
        <v>2532</v>
      </c>
      <c r="D131" s="23">
        <f t="shared" si="3"/>
        <v>32</v>
      </c>
      <c r="E131" s="553">
        <v>2500</v>
      </c>
      <c r="F131" s="21">
        <v>2472</v>
      </c>
      <c r="G131" s="21">
        <v>2439</v>
      </c>
      <c r="H131" s="21">
        <v>2263</v>
      </c>
      <c r="I131" s="21">
        <v>2477</v>
      </c>
      <c r="J131" s="21">
        <v>2575</v>
      </c>
      <c r="K131" s="21">
        <v>2610</v>
      </c>
      <c r="L131" s="21">
        <v>2601</v>
      </c>
      <c r="M131" s="21">
        <v>2496</v>
      </c>
      <c r="N131" s="21">
        <v>2529</v>
      </c>
      <c r="O131" s="21">
        <v>2462</v>
      </c>
      <c r="P131" s="21">
        <v>2500</v>
      </c>
      <c r="Q131" s="21">
        <v>2590</v>
      </c>
      <c r="R131" s="21">
        <v>2607</v>
      </c>
      <c r="S131" s="21">
        <v>2600</v>
      </c>
      <c r="T131" s="21">
        <v>2590</v>
      </c>
      <c r="U131" s="21">
        <v>2611</v>
      </c>
      <c r="V131" s="21">
        <v>2801</v>
      </c>
      <c r="W131" s="21">
        <v>2870</v>
      </c>
      <c r="X131" s="21">
        <v>2875</v>
      </c>
      <c r="Y131" s="21">
        <v>2933</v>
      </c>
      <c r="Z131" s="21">
        <v>2828</v>
      </c>
      <c r="AA131" s="21">
        <v>2825</v>
      </c>
      <c r="AB131" s="21">
        <v>2752</v>
      </c>
      <c r="AC131" s="21">
        <v>2602</v>
      </c>
      <c r="AD131" s="21">
        <v>2536</v>
      </c>
      <c r="AE131" s="21">
        <v>2558</v>
      </c>
      <c r="AF131" s="21">
        <v>2534</v>
      </c>
      <c r="AG131" s="21">
        <v>2472</v>
      </c>
      <c r="AH131" s="21">
        <v>2501</v>
      </c>
      <c r="AI131" s="21">
        <v>2630</v>
      </c>
      <c r="AJ131" s="21">
        <v>2565</v>
      </c>
      <c r="AK131" s="21">
        <v>2500</v>
      </c>
      <c r="AL131" s="21">
        <v>2544</v>
      </c>
      <c r="AM131" s="21">
        <v>2529</v>
      </c>
      <c r="AN131" s="21">
        <v>2735</v>
      </c>
      <c r="AO131" s="21">
        <v>2650</v>
      </c>
      <c r="AP131" s="21">
        <v>2784</v>
      </c>
      <c r="AQ131" s="21">
        <v>2920</v>
      </c>
      <c r="AR131" s="21">
        <v>2800</v>
      </c>
      <c r="AS131" s="21">
        <v>2600</v>
      </c>
      <c r="AT131" s="21">
        <v>2547</v>
      </c>
      <c r="AU131" s="21">
        <v>2564</v>
      </c>
      <c r="AV131" s="21">
        <v>2665</v>
      </c>
      <c r="AW131" s="21">
        <v>2675</v>
      </c>
      <c r="AX131" s="21">
        <v>2700</v>
      </c>
      <c r="AY131" s="21">
        <v>2843</v>
      </c>
      <c r="AZ131" s="21">
        <v>2851</v>
      </c>
      <c r="BA131" s="21">
        <v>2800</v>
      </c>
      <c r="BB131" s="21">
        <v>2800</v>
      </c>
      <c r="BC131" s="21">
        <v>2724</v>
      </c>
      <c r="BD131" s="21">
        <v>2970</v>
      </c>
      <c r="BE131" s="21">
        <v>3035</v>
      </c>
      <c r="BF131" s="21">
        <v>3100</v>
      </c>
      <c r="BG131" s="21">
        <v>3245</v>
      </c>
      <c r="BH131" s="21">
        <v>2973</v>
      </c>
      <c r="BI131" s="21">
        <v>2998</v>
      </c>
      <c r="BJ131" s="21">
        <v>2985</v>
      </c>
      <c r="BK131" s="21">
        <v>3100</v>
      </c>
      <c r="BL131" s="21">
        <v>2970</v>
      </c>
      <c r="BM131" s="1">
        <v>3050</v>
      </c>
      <c r="BN131" s="1">
        <v>3125</v>
      </c>
      <c r="BO131" s="1">
        <v>3130</v>
      </c>
      <c r="BP131" s="1">
        <v>3115</v>
      </c>
      <c r="BQ131" s="1">
        <v>3270</v>
      </c>
      <c r="BR131" s="1">
        <v>3375</v>
      </c>
      <c r="BS131" s="1">
        <v>3415</v>
      </c>
      <c r="BT131" s="1">
        <v>3355</v>
      </c>
      <c r="BU131" s="1">
        <v>3350</v>
      </c>
      <c r="BV131" s="1">
        <v>3395</v>
      </c>
      <c r="BW131" s="1">
        <v>3220</v>
      </c>
      <c r="BX131" s="1">
        <v>3235</v>
      </c>
      <c r="BY131" s="1">
        <v>3100</v>
      </c>
      <c r="BZ131" s="1">
        <v>3165</v>
      </c>
    </row>
    <row r="132" spans="1:78" ht="15.9" customHeight="1">
      <c r="A132" s="78" t="s">
        <v>259</v>
      </c>
      <c r="B132" s="17" t="s">
        <v>260</v>
      </c>
      <c r="C132" s="546">
        <f>_xll.RssMarket("6227","始値")</f>
        <v>7180</v>
      </c>
      <c r="D132" s="23">
        <f t="shared" si="3"/>
        <v>730</v>
      </c>
      <c r="E132" s="553">
        <v>6450</v>
      </c>
      <c r="F132" s="21">
        <v>6310</v>
      </c>
      <c r="G132" s="21">
        <v>6390</v>
      </c>
      <c r="H132" s="21">
        <v>5550</v>
      </c>
      <c r="I132" s="21">
        <v>6020</v>
      </c>
      <c r="J132" s="21">
        <v>6410</v>
      </c>
      <c r="K132" s="21">
        <v>7100</v>
      </c>
      <c r="L132" s="21"/>
      <c r="M132" s="21">
        <v>6830</v>
      </c>
      <c r="N132" s="21">
        <v>7260</v>
      </c>
      <c r="O132" s="21">
        <v>7060</v>
      </c>
      <c r="P132" s="21">
        <v>6880</v>
      </c>
      <c r="Q132" s="21">
        <v>8080</v>
      </c>
      <c r="R132" s="21">
        <v>7390</v>
      </c>
      <c r="S132" s="21">
        <v>7000</v>
      </c>
      <c r="T132" s="21">
        <v>6790</v>
      </c>
      <c r="U132" s="21">
        <v>5880</v>
      </c>
      <c r="V132" s="21">
        <v>5760</v>
      </c>
      <c r="W132" s="21">
        <v>6290</v>
      </c>
      <c r="X132" s="21">
        <v>7040</v>
      </c>
      <c r="Y132" s="21">
        <v>6830</v>
      </c>
      <c r="Z132" s="21">
        <v>6930</v>
      </c>
      <c r="AA132" s="21">
        <v>7080</v>
      </c>
      <c r="AB132" s="21">
        <v>6900</v>
      </c>
      <c r="AC132" s="21">
        <v>6590</v>
      </c>
      <c r="AD132" s="21">
        <v>7090</v>
      </c>
      <c r="AE132" s="21">
        <v>7530</v>
      </c>
      <c r="AF132" s="21">
        <v>7370</v>
      </c>
      <c r="AG132" s="21">
        <v>7770</v>
      </c>
      <c r="AH132" s="21">
        <v>7150</v>
      </c>
      <c r="AI132" s="21">
        <v>7600</v>
      </c>
      <c r="AJ132" s="21">
        <v>8280</v>
      </c>
      <c r="AK132" s="21">
        <v>7930</v>
      </c>
      <c r="AL132" s="21">
        <v>8390</v>
      </c>
      <c r="AM132" s="21">
        <v>8600</v>
      </c>
      <c r="AN132" s="21">
        <v>7100</v>
      </c>
      <c r="AO132" s="21">
        <v>6650</v>
      </c>
      <c r="AP132" s="21">
        <v>7440</v>
      </c>
      <c r="AQ132" s="21">
        <v>6590</v>
      </c>
      <c r="AR132" s="21">
        <v>6410</v>
      </c>
      <c r="AS132" s="21">
        <v>5970</v>
      </c>
      <c r="AT132" s="21">
        <v>6190</v>
      </c>
      <c r="AU132" s="21">
        <v>5780</v>
      </c>
      <c r="AV132" s="21">
        <v>5660</v>
      </c>
      <c r="AW132" s="21">
        <v>5380</v>
      </c>
      <c r="AX132" s="21">
        <v>6230</v>
      </c>
      <c r="AY132" s="21">
        <v>6110</v>
      </c>
      <c r="AZ132" s="21">
        <v>6060</v>
      </c>
      <c r="BA132" s="21">
        <v>6900</v>
      </c>
      <c r="BB132" s="21">
        <v>6710</v>
      </c>
      <c r="BC132" s="21">
        <v>7220</v>
      </c>
      <c r="BD132" s="21">
        <v>6910</v>
      </c>
      <c r="BE132" s="21">
        <v>6790</v>
      </c>
      <c r="BF132" s="21">
        <v>6590</v>
      </c>
      <c r="BG132" s="21">
        <v>6670</v>
      </c>
      <c r="BH132" s="21">
        <v>6520</v>
      </c>
      <c r="BI132" s="21">
        <v>6900</v>
      </c>
      <c r="BJ132" s="21">
        <v>6690</v>
      </c>
      <c r="BK132" s="21">
        <v>6510</v>
      </c>
      <c r="BL132" s="21">
        <v>6280</v>
      </c>
      <c r="BM132" s="1">
        <v>6060</v>
      </c>
      <c r="BN132" s="1">
        <v>6450</v>
      </c>
      <c r="BO132" s="1">
        <v>6680</v>
      </c>
      <c r="BP132" s="1">
        <v>6480</v>
      </c>
      <c r="BQ132" s="1">
        <v>7060</v>
      </c>
      <c r="BR132" s="1">
        <v>7150</v>
      </c>
      <c r="BS132" s="1">
        <v>7450</v>
      </c>
      <c r="BT132" s="1">
        <v>8120</v>
      </c>
      <c r="BU132" s="1">
        <v>8000</v>
      </c>
      <c r="BV132" s="1">
        <v>8420</v>
      </c>
      <c r="BW132" s="1">
        <v>8000</v>
      </c>
      <c r="BX132" s="1">
        <v>7150</v>
      </c>
      <c r="BY132" s="1">
        <v>6020</v>
      </c>
      <c r="BZ132" s="1">
        <v>6100</v>
      </c>
    </row>
    <row r="133" spans="1:78" ht="15.9" customHeight="1">
      <c r="A133" s="78" t="s">
        <v>261</v>
      </c>
      <c r="B133" s="17" t="s">
        <v>262</v>
      </c>
      <c r="C133" s="546">
        <f>_xll.RssMarket("6327","始値")</f>
        <v>3415</v>
      </c>
      <c r="D133" s="23">
        <f t="shared" si="3"/>
        <v>515</v>
      </c>
      <c r="E133" s="553">
        <v>2900</v>
      </c>
      <c r="F133" s="21">
        <v>2800</v>
      </c>
      <c r="G133" s="21">
        <v>3295</v>
      </c>
      <c r="H133" s="21">
        <v>2750</v>
      </c>
      <c r="I133" s="21">
        <v>2991</v>
      </c>
      <c r="J133" s="21">
        <v>3450</v>
      </c>
      <c r="K133" s="21">
        <v>3830</v>
      </c>
      <c r="L133" s="21"/>
      <c r="M133" s="21">
        <v>4105</v>
      </c>
      <c r="N133" s="21">
        <v>4280</v>
      </c>
      <c r="O133" s="21">
        <v>3980</v>
      </c>
      <c r="P133" s="21">
        <v>4080</v>
      </c>
      <c r="Q133" s="21">
        <v>5500</v>
      </c>
      <c r="R133" s="21">
        <v>5190</v>
      </c>
      <c r="S133" s="21">
        <v>5930</v>
      </c>
      <c r="T133" s="21">
        <v>5490</v>
      </c>
      <c r="U133" s="21">
        <v>5500</v>
      </c>
      <c r="V133" s="21">
        <v>5460</v>
      </c>
      <c r="W133" s="21">
        <v>6710</v>
      </c>
      <c r="X133" s="21">
        <v>8070</v>
      </c>
      <c r="Y133" s="21">
        <v>7200</v>
      </c>
      <c r="Z133" s="21">
        <v>7840</v>
      </c>
      <c r="AA133" s="21">
        <v>8920</v>
      </c>
      <c r="AB133" s="21">
        <v>6900</v>
      </c>
      <c r="AC133" s="21">
        <v>6250</v>
      </c>
      <c r="AD133" s="21">
        <v>6580</v>
      </c>
      <c r="AE133" s="21">
        <v>6080</v>
      </c>
      <c r="AF133" s="21">
        <v>5550</v>
      </c>
      <c r="AG133" s="21">
        <v>5700</v>
      </c>
      <c r="AH133" s="21">
        <v>5890</v>
      </c>
      <c r="AI133" s="21">
        <v>6900</v>
      </c>
      <c r="AJ133" s="21">
        <v>5310</v>
      </c>
      <c r="AK133" s="21">
        <v>4720</v>
      </c>
      <c r="AL133" s="21">
        <v>3975</v>
      </c>
      <c r="AM133" s="21">
        <v>3230</v>
      </c>
      <c r="AN133" s="21">
        <v>3330</v>
      </c>
      <c r="AO133" s="21">
        <v>2939</v>
      </c>
      <c r="AP133" s="21">
        <v>3375</v>
      </c>
      <c r="AQ133" s="21">
        <v>3350</v>
      </c>
      <c r="AR133" s="21">
        <v>3655</v>
      </c>
      <c r="AS133" s="21">
        <v>4070</v>
      </c>
      <c r="AT133" s="21">
        <v>4915</v>
      </c>
      <c r="AU133" s="21">
        <v>4660</v>
      </c>
      <c r="AV133" s="21">
        <v>4995</v>
      </c>
      <c r="AW133" s="21">
        <v>3850</v>
      </c>
      <c r="AX133" s="21">
        <v>3555</v>
      </c>
      <c r="AY133" s="21">
        <v>2964</v>
      </c>
      <c r="AZ133" s="21">
        <v>2455</v>
      </c>
      <c r="BA133" s="21">
        <v>2355</v>
      </c>
      <c r="BB133" s="21">
        <v>2340</v>
      </c>
      <c r="BC133" s="21">
        <v>2602</v>
      </c>
      <c r="BD133" s="21">
        <v>2655</v>
      </c>
      <c r="BE133" s="21">
        <v>2673</v>
      </c>
      <c r="BF133" s="21">
        <v>2610</v>
      </c>
      <c r="BG133" s="21">
        <v>2790</v>
      </c>
      <c r="BH133" s="21">
        <v>3460</v>
      </c>
      <c r="BI133" s="21">
        <v>3260</v>
      </c>
      <c r="BJ133" s="21">
        <v>3250</v>
      </c>
      <c r="BK133" s="21">
        <v>2947</v>
      </c>
      <c r="BL133" s="21">
        <v>2771</v>
      </c>
      <c r="BM133" s="1">
        <v>2588</v>
      </c>
      <c r="BN133" s="1">
        <v>2198</v>
      </c>
      <c r="BO133" s="1">
        <v>2118</v>
      </c>
      <c r="BP133" s="1">
        <v>2075</v>
      </c>
      <c r="BQ133" s="1">
        <v>2160</v>
      </c>
      <c r="BR133" s="1">
        <v>2150</v>
      </c>
      <c r="BS133" s="1">
        <v>2000</v>
      </c>
      <c r="BT133" s="1">
        <v>2046</v>
      </c>
      <c r="BU133" s="1">
        <v>2070</v>
      </c>
      <c r="BV133" s="1">
        <v>2045</v>
      </c>
      <c r="BW133" s="1">
        <v>2120</v>
      </c>
      <c r="BX133" s="1">
        <v>2000</v>
      </c>
      <c r="BY133" s="1">
        <v>1928</v>
      </c>
      <c r="BZ133" s="1">
        <v>1850</v>
      </c>
    </row>
    <row r="134" spans="1:78" ht="15.9" customHeight="1">
      <c r="A134" s="78" t="s">
        <v>263</v>
      </c>
      <c r="B134" s="17" t="s">
        <v>264</v>
      </c>
      <c r="C134" s="546">
        <f>_xll.RssMarket("3110","始値")</f>
        <v>3350</v>
      </c>
      <c r="D134" s="23">
        <f t="shared" ref="D134:D141" si="4">C134-E134</f>
        <v>3350</v>
      </c>
      <c r="E134" s="553"/>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78" ht="15.9" customHeight="1">
      <c r="A135" s="78" t="s">
        <v>265</v>
      </c>
      <c r="B135" s="17" t="s">
        <v>266</v>
      </c>
      <c r="C135" s="546">
        <f>_xll.RssMarket("6232","始値")</f>
        <v>1750</v>
      </c>
      <c r="D135" s="23">
        <f t="shared" si="4"/>
        <v>-1150</v>
      </c>
      <c r="E135" s="553">
        <v>2900</v>
      </c>
      <c r="F135" s="21">
        <v>2800</v>
      </c>
      <c r="G135" s="21">
        <v>3295</v>
      </c>
      <c r="H135" s="21">
        <v>2750</v>
      </c>
      <c r="I135" s="21">
        <v>2991</v>
      </c>
      <c r="J135" s="21">
        <v>3450</v>
      </c>
      <c r="K135" s="21">
        <v>3830</v>
      </c>
      <c r="L135" s="21">
        <v>1787</v>
      </c>
      <c r="M135" s="21">
        <v>4105</v>
      </c>
      <c r="N135" s="21">
        <v>4280</v>
      </c>
      <c r="O135" s="21">
        <v>3980</v>
      </c>
      <c r="P135" s="21">
        <v>4080</v>
      </c>
      <c r="Q135" s="21">
        <v>5500</v>
      </c>
      <c r="R135" s="21">
        <v>5190</v>
      </c>
      <c r="S135" s="21">
        <v>5930</v>
      </c>
      <c r="T135" s="21">
        <v>5490</v>
      </c>
      <c r="U135" s="21">
        <v>5500</v>
      </c>
      <c r="V135" s="21">
        <v>5460</v>
      </c>
      <c r="W135" s="21">
        <v>6710</v>
      </c>
      <c r="X135" s="21">
        <v>8070</v>
      </c>
      <c r="Y135" s="21">
        <v>7200</v>
      </c>
      <c r="Z135" s="21">
        <v>7840</v>
      </c>
      <c r="AA135" s="21">
        <v>8920</v>
      </c>
      <c r="AB135" s="21">
        <v>6900</v>
      </c>
      <c r="AC135" s="21">
        <v>6250</v>
      </c>
      <c r="AD135" s="21">
        <v>6580</v>
      </c>
      <c r="AE135" s="21">
        <v>6080</v>
      </c>
      <c r="AF135" s="21">
        <v>5550</v>
      </c>
      <c r="AG135" s="21">
        <v>5700</v>
      </c>
      <c r="AH135" s="21">
        <v>5890</v>
      </c>
      <c r="AI135" s="21">
        <v>6900</v>
      </c>
      <c r="AJ135" s="21">
        <v>5310</v>
      </c>
      <c r="AK135" s="21">
        <v>4720</v>
      </c>
      <c r="AL135" s="21">
        <v>3975</v>
      </c>
      <c r="AM135" s="21">
        <v>3230</v>
      </c>
      <c r="AN135" s="21">
        <v>3330</v>
      </c>
      <c r="AO135" s="21">
        <v>2939</v>
      </c>
      <c r="AP135" s="21">
        <v>3375</v>
      </c>
      <c r="AQ135" s="21">
        <v>3350</v>
      </c>
      <c r="AR135" s="21">
        <v>3655</v>
      </c>
      <c r="AS135" s="21">
        <v>4070</v>
      </c>
      <c r="AT135" s="21">
        <v>4915</v>
      </c>
      <c r="AU135" s="21">
        <v>4660</v>
      </c>
      <c r="AV135" s="21">
        <v>4995</v>
      </c>
      <c r="AW135" s="21">
        <v>3850</v>
      </c>
      <c r="AX135" s="21">
        <v>3555</v>
      </c>
      <c r="AY135" s="21">
        <v>2964</v>
      </c>
      <c r="AZ135" s="21">
        <v>2455</v>
      </c>
      <c r="BA135" s="21">
        <v>2355</v>
      </c>
      <c r="BB135" s="21">
        <v>2340</v>
      </c>
      <c r="BC135" s="21">
        <v>2602</v>
      </c>
      <c r="BD135" s="21">
        <v>2655</v>
      </c>
      <c r="BE135" s="21">
        <v>2673</v>
      </c>
      <c r="BF135" s="21">
        <v>2610</v>
      </c>
      <c r="BG135" s="21">
        <v>2790</v>
      </c>
      <c r="BH135" s="21">
        <v>3460</v>
      </c>
      <c r="BI135" s="21">
        <v>3260</v>
      </c>
      <c r="BJ135" s="21">
        <v>3250</v>
      </c>
      <c r="BK135" s="21">
        <v>2947</v>
      </c>
      <c r="BL135" s="21">
        <v>2771</v>
      </c>
      <c r="BM135" s="1">
        <v>2588</v>
      </c>
      <c r="BN135" s="1">
        <v>2198</v>
      </c>
      <c r="BO135" s="1">
        <v>2118</v>
      </c>
      <c r="BP135" s="1">
        <v>2075</v>
      </c>
      <c r="BQ135" s="1">
        <v>2160</v>
      </c>
      <c r="BR135" s="1">
        <v>2150</v>
      </c>
      <c r="BS135" s="1">
        <v>2000</v>
      </c>
      <c r="BT135" s="1">
        <v>2046</v>
      </c>
      <c r="BU135" s="1">
        <v>2070</v>
      </c>
      <c r="BV135" s="1">
        <v>2045</v>
      </c>
      <c r="BW135" s="1">
        <v>2120</v>
      </c>
      <c r="BX135" s="1">
        <v>2000</v>
      </c>
      <c r="BY135" s="1">
        <v>1928</v>
      </c>
      <c r="BZ135" s="1">
        <v>1850</v>
      </c>
    </row>
    <row r="136" spans="1:78" ht="15.9" customHeight="1">
      <c r="A136" s="78" t="s">
        <v>267</v>
      </c>
      <c r="B136" s="17" t="s">
        <v>268</v>
      </c>
      <c r="C136" s="546">
        <f>_xll.RssMarket("7794","始値")</f>
        <v>886</v>
      </c>
      <c r="D136" s="23">
        <f t="shared" si="4"/>
        <v>15</v>
      </c>
      <c r="E136" s="553">
        <v>871</v>
      </c>
      <c r="F136" s="21">
        <v>855</v>
      </c>
      <c r="G136" s="21">
        <v>835</v>
      </c>
      <c r="H136" s="21">
        <v>844</v>
      </c>
      <c r="I136" s="21">
        <v>880</v>
      </c>
      <c r="J136" s="21">
        <v>920</v>
      </c>
      <c r="K136" s="21">
        <v>934</v>
      </c>
      <c r="L136" s="21"/>
      <c r="M136" s="21">
        <v>939</v>
      </c>
      <c r="N136" s="21">
        <v>940</v>
      </c>
      <c r="O136" s="21">
        <v>925</v>
      </c>
      <c r="P136" s="21">
        <v>930</v>
      </c>
      <c r="Q136" s="21">
        <v>1030</v>
      </c>
      <c r="R136" s="21">
        <v>1047</v>
      </c>
      <c r="S136" s="21">
        <v>1068</v>
      </c>
      <c r="T136" s="21">
        <v>1077</v>
      </c>
      <c r="U136" s="21">
        <v>1103</v>
      </c>
      <c r="V136" s="21">
        <v>1100</v>
      </c>
      <c r="W136" s="21">
        <v>1174</v>
      </c>
      <c r="X136" s="21">
        <v>1244</v>
      </c>
      <c r="Y136" s="21">
        <v>1222</v>
      </c>
      <c r="Z136" s="21">
        <v>1221</v>
      </c>
      <c r="AA136" s="21">
        <v>1240</v>
      </c>
      <c r="AB136" s="21">
        <v>1165</v>
      </c>
      <c r="AC136" s="21">
        <v>1100</v>
      </c>
      <c r="AD136" s="21">
        <v>1049</v>
      </c>
      <c r="AE136" s="21">
        <v>1080</v>
      </c>
      <c r="AF136" s="21">
        <v>1099</v>
      </c>
      <c r="AG136" s="21">
        <v>1208</v>
      </c>
      <c r="AH136" s="21">
        <v>1119</v>
      </c>
      <c r="AI136" s="21">
        <v>1121</v>
      </c>
      <c r="AJ136" s="21">
        <v>1091</v>
      </c>
      <c r="AK136" s="21">
        <v>1074</v>
      </c>
      <c r="AL136" s="21">
        <v>1095</v>
      </c>
      <c r="AM136" s="21">
        <v>1121</v>
      </c>
      <c r="AN136" s="21">
        <v>1100</v>
      </c>
      <c r="AO136" s="21">
        <v>1081</v>
      </c>
      <c r="AP136" s="21">
        <v>1110</v>
      </c>
      <c r="AQ136" s="21">
        <v>1080</v>
      </c>
      <c r="AR136" s="21">
        <v>1005</v>
      </c>
      <c r="AS136" s="21">
        <v>1070</v>
      </c>
      <c r="AT136" s="21">
        <v>1102</v>
      </c>
      <c r="AU136" s="21">
        <v>1160</v>
      </c>
      <c r="AV136" s="21">
        <v>1225</v>
      </c>
      <c r="AW136" s="21">
        <v>1326</v>
      </c>
      <c r="AX136" s="21">
        <v>1125</v>
      </c>
      <c r="AY136" s="21">
        <v>1148</v>
      </c>
      <c r="AZ136" s="21">
        <v>1081</v>
      </c>
      <c r="BA136" s="21">
        <v>1103</v>
      </c>
      <c r="BB136" s="21">
        <v>1122</v>
      </c>
      <c r="BC136" s="21">
        <v>1124</v>
      </c>
      <c r="BD136" s="21">
        <v>1160</v>
      </c>
      <c r="BE136" s="21">
        <v>1120</v>
      </c>
      <c r="BF136" s="21">
        <v>1213</v>
      </c>
      <c r="BG136" s="21">
        <v>1310</v>
      </c>
      <c r="BH136" s="21">
        <v>1398</v>
      </c>
      <c r="BI136" s="21">
        <v>1421</v>
      </c>
      <c r="BJ136" s="21">
        <v>1305</v>
      </c>
      <c r="BK136" s="21">
        <v>1320</v>
      </c>
      <c r="BL136" s="21">
        <v>1333</v>
      </c>
      <c r="BM136" s="1">
        <v>1315</v>
      </c>
      <c r="BN136" s="1">
        <v>1342</v>
      </c>
      <c r="BO136" s="1">
        <v>1414</v>
      </c>
      <c r="BP136" s="1">
        <v>1450</v>
      </c>
      <c r="BQ136" s="1">
        <v>1484</v>
      </c>
      <c r="BR136" s="1">
        <v>1540</v>
      </c>
      <c r="BS136" s="1">
        <v>1620</v>
      </c>
      <c r="BT136" s="1">
        <v>1580</v>
      </c>
      <c r="BU136" s="1">
        <v>1238</v>
      </c>
      <c r="BV136" s="1">
        <v>1189</v>
      </c>
      <c r="BW136" s="1">
        <v>1198</v>
      </c>
      <c r="BX136" s="1">
        <v>1218</v>
      </c>
      <c r="BY136" s="1">
        <v>1169</v>
      </c>
      <c r="BZ136" s="1">
        <v>1216</v>
      </c>
    </row>
    <row r="137" spans="1:78" ht="15.9" customHeight="1">
      <c r="A137" s="78" t="s">
        <v>269</v>
      </c>
      <c r="B137" s="17" t="s">
        <v>270</v>
      </c>
      <c r="C137" s="546">
        <f>_xll.RssMarket("6085","始値")</f>
        <v>78</v>
      </c>
      <c r="D137" s="23">
        <f t="shared" si="4"/>
        <v>9</v>
      </c>
      <c r="E137" s="553">
        <v>69</v>
      </c>
      <c r="F137" s="21">
        <v>86</v>
      </c>
      <c r="G137" s="21">
        <v>95</v>
      </c>
      <c r="H137" s="21">
        <v>85</v>
      </c>
      <c r="I137" s="21">
        <v>97</v>
      </c>
      <c r="J137" s="21">
        <v>109</v>
      </c>
      <c r="K137" s="21">
        <v>120</v>
      </c>
      <c r="L137" s="21"/>
      <c r="M137" s="21">
        <v>128</v>
      </c>
      <c r="N137" s="21">
        <v>174</v>
      </c>
      <c r="O137" s="21">
        <v>171</v>
      </c>
      <c r="P137" s="21">
        <v>167</v>
      </c>
      <c r="Q137" s="21">
        <v>212</v>
      </c>
      <c r="R137" s="21">
        <v>209</v>
      </c>
      <c r="S137" s="21">
        <v>230</v>
      </c>
      <c r="T137" s="21">
        <v>218</v>
      </c>
      <c r="U137" s="21">
        <v>231</v>
      </c>
      <c r="V137" s="21">
        <v>266</v>
      </c>
      <c r="W137" s="21">
        <v>251</v>
      </c>
      <c r="X137" s="21">
        <v>235</v>
      </c>
      <c r="Y137" s="21">
        <v>238</v>
      </c>
      <c r="Z137" s="21">
        <v>251</v>
      </c>
      <c r="AA137" s="21">
        <v>268</v>
      </c>
      <c r="AB137" s="21">
        <v>280</v>
      </c>
      <c r="AC137" s="21">
        <v>309</v>
      </c>
      <c r="AD137" s="21">
        <v>303</v>
      </c>
      <c r="AE137" s="21">
        <v>303</v>
      </c>
      <c r="AF137" s="21">
        <v>311</v>
      </c>
      <c r="AG137" s="21">
        <v>361</v>
      </c>
      <c r="AH137" s="21">
        <v>330</v>
      </c>
      <c r="AI137" s="21">
        <v>331</v>
      </c>
      <c r="AJ137" s="21">
        <v>330</v>
      </c>
      <c r="AK137" s="21">
        <v>321</v>
      </c>
      <c r="AL137" s="21">
        <v>310</v>
      </c>
      <c r="AM137" s="21">
        <v>360</v>
      </c>
      <c r="AN137" s="21">
        <v>400</v>
      </c>
      <c r="AO137" s="21">
        <v>405</v>
      </c>
      <c r="AP137" s="21">
        <v>394</v>
      </c>
      <c r="AQ137" s="21">
        <v>314</v>
      </c>
      <c r="AR137" s="21">
        <v>266</v>
      </c>
      <c r="AS137" s="21">
        <v>250</v>
      </c>
      <c r="AT137" s="21">
        <v>274</v>
      </c>
      <c r="AU137" s="21">
        <v>369</v>
      </c>
      <c r="AV137" s="21">
        <v>335</v>
      </c>
      <c r="AW137" s="21">
        <v>423</v>
      </c>
      <c r="AX137" s="21">
        <v>514</v>
      </c>
      <c r="AY137" s="21">
        <v>520</v>
      </c>
      <c r="AZ137" s="21">
        <v>460</v>
      </c>
      <c r="BA137" s="21">
        <v>440</v>
      </c>
      <c r="BB137" s="21">
        <v>463</v>
      </c>
      <c r="BC137" s="21">
        <v>579</v>
      </c>
      <c r="BD137" s="21">
        <v>520</v>
      </c>
      <c r="BE137" s="21">
        <v>527</v>
      </c>
      <c r="BF137" s="21">
        <v>498</v>
      </c>
      <c r="BG137" s="21">
        <v>540</v>
      </c>
      <c r="BH137" s="21">
        <v>580</v>
      </c>
      <c r="BI137" s="21">
        <v>600</v>
      </c>
      <c r="BJ137" s="21">
        <v>645</v>
      </c>
      <c r="BK137" s="21">
        <v>540</v>
      </c>
      <c r="BL137" s="21">
        <v>645</v>
      </c>
      <c r="BM137" s="1">
        <v>680</v>
      </c>
      <c r="BN137" s="1">
        <v>564</v>
      </c>
      <c r="BO137" s="1">
        <v>589</v>
      </c>
      <c r="BP137" s="1">
        <v>465</v>
      </c>
      <c r="BQ137" s="1">
        <v>451</v>
      </c>
      <c r="BR137" s="1">
        <v>396</v>
      </c>
      <c r="BS137" s="1">
        <v>399</v>
      </c>
      <c r="BT137" s="1">
        <v>364</v>
      </c>
      <c r="BU137" s="1">
        <v>349.5</v>
      </c>
      <c r="BV137" s="1">
        <v>297.89999999999998</v>
      </c>
      <c r="BW137" s="1">
        <v>299.89999999999998</v>
      </c>
      <c r="BX137" s="1">
        <v>315</v>
      </c>
      <c r="BY137" s="1">
        <v>271</v>
      </c>
      <c r="BZ137" s="1">
        <v>259</v>
      </c>
    </row>
    <row r="138" spans="1:78" ht="15.9" customHeight="1">
      <c r="A138" s="78" t="s">
        <v>271</v>
      </c>
      <c r="B138" s="17" t="s">
        <v>272</v>
      </c>
      <c r="C138" s="546">
        <f>_xll.RssMarket("3103","始値")</f>
        <v>914</v>
      </c>
      <c r="D138" s="23">
        <f t="shared" si="4"/>
        <v>52</v>
      </c>
      <c r="E138" s="553">
        <v>862</v>
      </c>
      <c r="F138" s="21">
        <v>815</v>
      </c>
      <c r="G138" s="21">
        <v>830</v>
      </c>
      <c r="H138" s="21">
        <v>760</v>
      </c>
      <c r="I138" s="21">
        <v>826</v>
      </c>
      <c r="J138" s="21">
        <v>849</v>
      </c>
      <c r="K138" s="21">
        <v>846</v>
      </c>
      <c r="L138" s="21">
        <v>845</v>
      </c>
      <c r="M138" s="21">
        <v>896</v>
      </c>
      <c r="N138" s="21">
        <v>914</v>
      </c>
      <c r="O138" s="21">
        <v>851</v>
      </c>
      <c r="P138" s="21">
        <v>930</v>
      </c>
      <c r="Q138" s="21">
        <v>910</v>
      </c>
      <c r="R138" s="21">
        <v>877</v>
      </c>
      <c r="S138" s="21">
        <v>932</v>
      </c>
      <c r="T138" s="21">
        <v>943</v>
      </c>
      <c r="U138" s="21">
        <v>933</v>
      </c>
      <c r="V138" s="21">
        <v>960</v>
      </c>
      <c r="W138" s="21">
        <v>1000</v>
      </c>
      <c r="X138" s="21">
        <v>1037</v>
      </c>
      <c r="Y138" s="21">
        <v>988</v>
      </c>
      <c r="Z138" s="21">
        <v>980</v>
      </c>
      <c r="AA138" s="21">
        <v>1036</v>
      </c>
      <c r="AB138" s="21">
        <v>1029</v>
      </c>
      <c r="AC138" s="21">
        <v>1058</v>
      </c>
      <c r="AD138" s="21">
        <v>1056</v>
      </c>
      <c r="AE138" s="21">
        <v>1070</v>
      </c>
      <c r="AF138" s="21">
        <v>1112</v>
      </c>
      <c r="AG138" s="21">
        <v>1220</v>
      </c>
      <c r="AH138" s="21">
        <v>1152</v>
      </c>
      <c r="AI138" s="21">
        <v>1145</v>
      </c>
      <c r="AJ138" s="21">
        <v>1282</v>
      </c>
      <c r="AK138" s="21">
        <v>1125</v>
      </c>
      <c r="AL138" s="21">
        <v>1115</v>
      </c>
      <c r="AM138" s="21">
        <v>1165</v>
      </c>
      <c r="AN138" s="21">
        <v>1154</v>
      </c>
      <c r="AO138" s="21">
        <v>1182</v>
      </c>
      <c r="AP138" s="21">
        <v>1241</v>
      </c>
      <c r="AQ138" s="21">
        <v>1150</v>
      </c>
      <c r="AR138" s="21">
        <v>1189</v>
      </c>
      <c r="AS138" s="21">
        <v>1256</v>
      </c>
      <c r="AT138" s="21">
        <v>1220</v>
      </c>
      <c r="AU138" s="21">
        <v>1310</v>
      </c>
      <c r="AV138" s="21">
        <v>1391</v>
      </c>
      <c r="AW138" s="21">
        <v>1420</v>
      </c>
      <c r="AX138" s="21">
        <v>1578</v>
      </c>
      <c r="AY138" s="21">
        <v>1850</v>
      </c>
      <c r="AZ138" s="21">
        <v>1268</v>
      </c>
      <c r="BA138" s="21">
        <v>1330</v>
      </c>
      <c r="BB138" s="21">
        <v>1418</v>
      </c>
      <c r="BC138" s="21">
        <v>1370</v>
      </c>
      <c r="BD138" s="21">
        <v>1325</v>
      </c>
      <c r="BE138" s="21">
        <v>1415</v>
      </c>
      <c r="BF138" s="21">
        <v>2304</v>
      </c>
      <c r="BG138" s="21">
        <v>2200</v>
      </c>
      <c r="BH138" s="21">
        <v>2326</v>
      </c>
      <c r="BI138" s="21">
        <v>2570</v>
      </c>
      <c r="BJ138" s="21">
        <v>2410</v>
      </c>
      <c r="BK138" s="21">
        <v>2500</v>
      </c>
      <c r="BL138" s="21">
        <v>2534</v>
      </c>
      <c r="BM138" s="1">
        <v>2234</v>
      </c>
      <c r="BN138" s="1">
        <v>2564</v>
      </c>
      <c r="BO138" s="1">
        <v>2629</v>
      </c>
      <c r="BP138" s="1">
        <v>2901</v>
      </c>
      <c r="BQ138" s="1">
        <v>2968</v>
      </c>
      <c r="BR138" s="1">
        <v>2725</v>
      </c>
      <c r="BS138" s="1">
        <v>4025</v>
      </c>
      <c r="BT138" s="1">
        <v>3155</v>
      </c>
      <c r="BU138" s="1">
        <v>2731</v>
      </c>
      <c r="BV138" s="1">
        <v>2111</v>
      </c>
      <c r="BW138" s="1">
        <v>2115</v>
      </c>
      <c r="BX138" s="1">
        <v>1963</v>
      </c>
      <c r="BY138" s="1">
        <v>1424</v>
      </c>
      <c r="BZ138" s="1">
        <v>1187</v>
      </c>
    </row>
    <row r="139" spans="1:78" ht="15.9" customHeight="1">
      <c r="A139" s="78" t="s">
        <v>273</v>
      </c>
      <c r="B139" s="17" t="s">
        <v>274</v>
      </c>
      <c r="C139" s="546">
        <f>_xll.RssMarket("4422","始値")</f>
        <v>552</v>
      </c>
      <c r="D139" s="23">
        <f t="shared" si="4"/>
        <v>31</v>
      </c>
      <c r="E139" s="553">
        <v>521</v>
      </c>
      <c r="F139" s="21">
        <v>513</v>
      </c>
      <c r="G139" s="21">
        <v>492</v>
      </c>
      <c r="H139" s="21">
        <v>480</v>
      </c>
      <c r="I139" s="21">
        <v>514</v>
      </c>
      <c r="J139" s="21">
        <v>529</v>
      </c>
      <c r="K139" s="21">
        <v>540</v>
      </c>
      <c r="L139" s="21">
        <v>528</v>
      </c>
      <c r="M139" s="21">
        <v>530</v>
      </c>
      <c r="N139" s="21">
        <v>542</v>
      </c>
      <c r="O139" s="21">
        <v>517</v>
      </c>
      <c r="P139" s="21">
        <v>551</v>
      </c>
      <c r="Q139" s="21">
        <v>553</v>
      </c>
      <c r="R139" s="21">
        <v>543</v>
      </c>
      <c r="S139" s="21">
        <v>577</v>
      </c>
      <c r="T139" s="21">
        <v>564</v>
      </c>
      <c r="U139" s="21">
        <v>569</v>
      </c>
      <c r="V139" s="21">
        <v>563</v>
      </c>
      <c r="W139" s="21">
        <v>592</v>
      </c>
      <c r="X139" s="21">
        <v>585</v>
      </c>
      <c r="Y139" s="21">
        <v>557</v>
      </c>
      <c r="Z139" s="21">
        <v>554</v>
      </c>
      <c r="AA139" s="21">
        <v>574</v>
      </c>
      <c r="AB139" s="21">
        <v>569</v>
      </c>
      <c r="AC139" s="21">
        <v>568</v>
      </c>
      <c r="AD139" s="21">
        <v>570</v>
      </c>
      <c r="AE139" s="21">
        <v>574</v>
      </c>
      <c r="AF139" s="21">
        <v>582</v>
      </c>
      <c r="AG139" s="21">
        <v>611</v>
      </c>
      <c r="AH139" s="21">
        <v>592</v>
      </c>
      <c r="AI139" s="21">
        <v>629</v>
      </c>
      <c r="AJ139" s="21">
        <v>630</v>
      </c>
      <c r="AK139" s="21">
        <v>665</v>
      </c>
      <c r="AL139" s="21">
        <v>627</v>
      </c>
      <c r="AM139" s="21">
        <v>634</v>
      </c>
      <c r="AN139" s="21">
        <v>703</v>
      </c>
      <c r="AO139" s="21">
        <v>762</v>
      </c>
      <c r="AP139" s="21">
        <v>770</v>
      </c>
      <c r="AQ139" s="21">
        <v>690</v>
      </c>
      <c r="AR139" s="21">
        <v>665</v>
      </c>
      <c r="AS139" s="21">
        <v>665</v>
      </c>
      <c r="AT139" s="21">
        <v>679</v>
      </c>
      <c r="AU139" s="21">
        <v>695</v>
      </c>
      <c r="AV139" s="21">
        <v>728</v>
      </c>
      <c r="AW139" s="21">
        <v>734</v>
      </c>
      <c r="AX139" s="21">
        <v>778</v>
      </c>
      <c r="AY139" s="21">
        <v>830</v>
      </c>
      <c r="AZ139" s="21">
        <v>771</v>
      </c>
      <c r="BA139" s="21">
        <v>780</v>
      </c>
      <c r="BB139" s="21">
        <v>806</v>
      </c>
      <c r="BC139" s="21">
        <v>840</v>
      </c>
      <c r="BD139" s="21">
        <v>861</v>
      </c>
      <c r="BE139" s="21">
        <v>871</v>
      </c>
      <c r="BF139" s="21">
        <v>952</v>
      </c>
      <c r="BG139" s="21">
        <v>1040</v>
      </c>
      <c r="BH139" s="21">
        <v>990</v>
      </c>
      <c r="BI139" s="21">
        <v>1023</v>
      </c>
      <c r="BJ139" s="21">
        <v>1016</v>
      </c>
      <c r="BK139" s="21">
        <v>1044</v>
      </c>
      <c r="BL139" s="21">
        <v>1026</v>
      </c>
      <c r="BM139" s="1">
        <v>1156</v>
      </c>
      <c r="BN139" s="1">
        <v>1199</v>
      </c>
      <c r="BO139" s="1">
        <v>1258</v>
      </c>
      <c r="BP139" s="1">
        <v>1512</v>
      </c>
      <c r="BQ139" s="1">
        <v>1157</v>
      </c>
      <c r="BR139" s="1">
        <v>1268</v>
      </c>
      <c r="BS139" s="1">
        <v>1400</v>
      </c>
      <c r="BT139" s="1">
        <v>1517</v>
      </c>
      <c r="BU139" s="1">
        <v>1217</v>
      </c>
      <c r="BV139" s="1">
        <v>962</v>
      </c>
      <c r="BW139" s="1">
        <v>1020</v>
      </c>
      <c r="BX139" s="1">
        <v>1170</v>
      </c>
      <c r="BY139" s="1">
        <v>1050</v>
      </c>
      <c r="BZ139" s="1">
        <v>826</v>
      </c>
    </row>
    <row r="140" spans="1:78" ht="15.9" customHeight="1">
      <c r="A140" s="78" t="s">
        <v>275</v>
      </c>
      <c r="B140" s="17" t="s">
        <v>276</v>
      </c>
      <c r="C140" s="546">
        <f>_xll.RssMarket("6740","始値")</f>
        <v>46</v>
      </c>
      <c r="D140" s="23">
        <f t="shared" si="4"/>
        <v>-1</v>
      </c>
      <c r="E140" s="553">
        <v>47</v>
      </c>
      <c r="F140" s="21">
        <v>47</v>
      </c>
      <c r="G140" s="21">
        <v>47</v>
      </c>
      <c r="H140" s="21">
        <v>44</v>
      </c>
      <c r="I140" s="21">
        <v>46</v>
      </c>
      <c r="J140" s="21">
        <v>48</v>
      </c>
      <c r="K140" s="21">
        <v>47</v>
      </c>
      <c r="L140" s="21"/>
      <c r="M140" s="21">
        <v>47</v>
      </c>
      <c r="N140" s="21">
        <v>50</v>
      </c>
      <c r="O140" s="21">
        <v>46</v>
      </c>
      <c r="P140" s="21">
        <v>48</v>
      </c>
      <c r="Q140" s="21">
        <v>51</v>
      </c>
      <c r="R140" s="21">
        <v>52</v>
      </c>
      <c r="S140" s="21">
        <v>53</v>
      </c>
      <c r="T140" s="21">
        <v>51</v>
      </c>
      <c r="U140" s="21">
        <v>53</v>
      </c>
      <c r="V140" s="21">
        <v>53</v>
      </c>
      <c r="W140" s="21">
        <v>56</v>
      </c>
      <c r="X140" s="21">
        <v>54</v>
      </c>
      <c r="Y140" s="21">
        <v>52</v>
      </c>
      <c r="Z140" s="21">
        <v>54</v>
      </c>
      <c r="AA140" s="21">
        <v>56</v>
      </c>
      <c r="AB140" s="21">
        <v>59</v>
      </c>
      <c r="AC140" s="21">
        <v>60</v>
      </c>
      <c r="AD140" s="21">
        <v>56</v>
      </c>
      <c r="AE140" s="21">
        <v>75</v>
      </c>
      <c r="AF140" s="21">
        <v>51</v>
      </c>
      <c r="AG140" s="21">
        <v>53</v>
      </c>
      <c r="AH140" s="21">
        <v>56</v>
      </c>
      <c r="AI140" s="21">
        <v>50</v>
      </c>
      <c r="AJ140" s="21">
        <v>51</v>
      </c>
      <c r="AK140" s="21">
        <v>45</v>
      </c>
      <c r="AL140" s="21">
        <v>47</v>
      </c>
      <c r="AM140" s="21">
        <v>52</v>
      </c>
      <c r="AN140" s="21">
        <v>54</v>
      </c>
      <c r="AO140" s="21">
        <v>53</v>
      </c>
      <c r="AP140" s="21">
        <v>58</v>
      </c>
      <c r="AQ140" s="21">
        <v>54</v>
      </c>
      <c r="AR140" s="21">
        <v>53</v>
      </c>
      <c r="AS140" s="21">
        <v>52</v>
      </c>
      <c r="AT140" s="21">
        <v>52</v>
      </c>
      <c r="AU140" s="21">
        <v>55</v>
      </c>
      <c r="AV140" s="21">
        <v>56</v>
      </c>
      <c r="AW140" s="21">
        <v>51</v>
      </c>
      <c r="AX140" s="21">
        <v>58</v>
      </c>
      <c r="AY140" s="21">
        <v>68</v>
      </c>
      <c r="AZ140" s="21">
        <v>62</v>
      </c>
      <c r="BA140" s="21">
        <v>61</v>
      </c>
      <c r="BB140" s="21">
        <v>67</v>
      </c>
      <c r="BC140" s="21">
        <v>69</v>
      </c>
      <c r="BD140" s="21">
        <v>68</v>
      </c>
      <c r="BE140" s="21">
        <v>80</v>
      </c>
      <c r="BF140" s="21">
        <v>72</v>
      </c>
      <c r="BG140" s="21">
        <v>73</v>
      </c>
      <c r="BH140" s="21">
        <v>79</v>
      </c>
      <c r="BI140" s="21">
        <v>81</v>
      </c>
      <c r="BJ140" s="21">
        <v>85</v>
      </c>
      <c r="BK140" s="21">
        <v>90</v>
      </c>
      <c r="BL140" s="21">
        <v>100</v>
      </c>
      <c r="BM140" s="1">
        <v>112</v>
      </c>
      <c r="BN140" s="1">
        <v>93</v>
      </c>
      <c r="BO140" s="1">
        <v>100</v>
      </c>
      <c r="BP140" s="1">
        <v>95</v>
      </c>
      <c r="BQ140" s="1">
        <v>101</v>
      </c>
      <c r="BR140" s="1">
        <v>107</v>
      </c>
      <c r="BS140" s="1">
        <v>123</v>
      </c>
      <c r="BT140" s="1">
        <v>114</v>
      </c>
      <c r="BU140" s="1">
        <v>107</v>
      </c>
      <c r="BV140" s="1">
        <v>96</v>
      </c>
      <c r="BW140" s="1">
        <v>94</v>
      </c>
      <c r="BX140" s="1">
        <v>83</v>
      </c>
      <c r="BY140" s="1">
        <v>84</v>
      </c>
      <c r="BZ140" s="1">
        <v>88</v>
      </c>
    </row>
    <row r="141" spans="1:78" ht="15.9" customHeight="1">
      <c r="A141" s="78" t="s">
        <v>277</v>
      </c>
      <c r="B141" s="17" t="s">
        <v>278</v>
      </c>
      <c r="C141" s="546">
        <f>_xll.RssMarket("6613","始値")</f>
        <v>1820</v>
      </c>
      <c r="D141" s="23">
        <f t="shared" si="4"/>
        <v>319</v>
      </c>
      <c r="E141" s="553">
        <v>1501</v>
      </c>
      <c r="F141" s="21">
        <v>1477</v>
      </c>
      <c r="G141" s="21">
        <v>1601</v>
      </c>
      <c r="H141" s="21">
        <v>1270</v>
      </c>
      <c r="I141" s="21">
        <v>1361</v>
      </c>
      <c r="J141" s="21">
        <v>1479</v>
      </c>
      <c r="K141" s="21">
        <v>1640</v>
      </c>
      <c r="L141" s="21">
        <v>1713</v>
      </c>
      <c r="M141" s="21">
        <v>1672</v>
      </c>
      <c r="N141" s="21">
        <v>1756</v>
      </c>
      <c r="O141" s="21">
        <v>1726</v>
      </c>
      <c r="P141" s="21">
        <v>1620</v>
      </c>
      <c r="Q141" s="21">
        <v>2402</v>
      </c>
      <c r="R141" s="21">
        <v>2395</v>
      </c>
      <c r="S141" s="21">
        <v>2505</v>
      </c>
      <c r="T141" s="21">
        <v>2588</v>
      </c>
      <c r="U141" s="21">
        <v>2625</v>
      </c>
      <c r="V141" s="21">
        <v>2501</v>
      </c>
      <c r="W141" s="21">
        <v>2664</v>
      </c>
      <c r="X141" s="21">
        <v>2675</v>
      </c>
      <c r="Y141" s="21">
        <v>2548</v>
      </c>
      <c r="Z141" s="21">
        <v>2602</v>
      </c>
      <c r="AA141" s="21">
        <v>2849</v>
      </c>
      <c r="AB141" s="21">
        <v>2815</v>
      </c>
      <c r="AC141" s="21">
        <v>2835</v>
      </c>
      <c r="AD141" s="21">
        <v>3085</v>
      </c>
      <c r="AE141" s="21">
        <v>2952</v>
      </c>
      <c r="AF141" s="21">
        <v>2861</v>
      </c>
      <c r="AG141" s="21">
        <v>3215</v>
      </c>
      <c r="AH141" s="21">
        <v>2920</v>
      </c>
      <c r="AI141" s="21">
        <v>2547</v>
      </c>
      <c r="AJ141" s="21">
        <v>2450</v>
      </c>
      <c r="AK141" s="21">
        <v>2520</v>
      </c>
      <c r="AL141" s="21">
        <v>2798</v>
      </c>
      <c r="AM141" s="21">
        <v>2761</v>
      </c>
      <c r="AN141" s="21">
        <v>2490</v>
      </c>
      <c r="AO141" s="21">
        <v>2252</v>
      </c>
      <c r="AP141" s="21">
        <v>2528</v>
      </c>
      <c r="AQ141" s="21">
        <v>2370</v>
      </c>
      <c r="AR141" s="21">
        <v>2400</v>
      </c>
      <c r="AS141" s="21">
        <v>2500</v>
      </c>
      <c r="AT141" s="21">
        <v>2820</v>
      </c>
      <c r="AU141" s="21">
        <v>2923</v>
      </c>
      <c r="AV141" s="21">
        <v>2769</v>
      </c>
      <c r="AW141" s="21">
        <v>2420</v>
      </c>
      <c r="AX141" s="21">
        <v>3160</v>
      </c>
      <c r="AY141" s="21">
        <v>3500</v>
      </c>
      <c r="AZ141" s="21">
        <v>2580</v>
      </c>
      <c r="BA141" s="21">
        <v>2830</v>
      </c>
      <c r="BB141" s="21">
        <v>2426</v>
      </c>
      <c r="BC141" s="21">
        <v>2100</v>
      </c>
      <c r="BD141" s="21">
        <v>1896</v>
      </c>
      <c r="BE141" s="21">
        <v>1779</v>
      </c>
      <c r="BF141" s="21">
        <v>1613</v>
      </c>
      <c r="BG141" s="21">
        <v>1613</v>
      </c>
      <c r="BH141" s="21">
        <v>1749</v>
      </c>
      <c r="BI141" s="21">
        <v>1966</v>
      </c>
      <c r="BJ141" s="21">
        <v>1500</v>
      </c>
      <c r="BK141" s="21">
        <v>1520</v>
      </c>
      <c r="BL141" s="21">
        <v>1465</v>
      </c>
      <c r="BM141" s="1">
        <v>1449</v>
      </c>
      <c r="BN141" s="1">
        <v>1505</v>
      </c>
      <c r="BO141" s="1">
        <v>1444</v>
      </c>
      <c r="BP141" s="1">
        <v>1521</v>
      </c>
      <c r="BQ141" s="1">
        <v>1531</v>
      </c>
      <c r="BR141" s="1">
        <v>1570</v>
      </c>
      <c r="BS141" s="1">
        <v>1675</v>
      </c>
      <c r="BT141" s="1">
        <v>1290</v>
      </c>
      <c r="BU141" s="1">
        <v>1355</v>
      </c>
      <c r="BV141" s="1">
        <v>1329</v>
      </c>
      <c r="BW141" s="1">
        <v>1485</v>
      </c>
      <c r="BX141" s="1">
        <v>1299</v>
      </c>
      <c r="BY141" s="1">
        <v>1082</v>
      </c>
      <c r="BZ141" s="1">
        <v>1045</v>
      </c>
    </row>
    <row r="142" spans="1:78" ht="15.9" customHeight="1">
      <c r="A142" s="78" t="s">
        <v>279</v>
      </c>
      <c r="B142" s="17" t="str">
        <f>銘柄管理!C142</f>
        <v>第一三共</v>
      </c>
      <c r="C142" s="546">
        <f>_xll.RssMarket("4568","始値")</f>
        <v>2509</v>
      </c>
      <c r="D142" s="23"/>
      <c r="E142" s="553">
        <v>2550</v>
      </c>
      <c r="F142" s="21">
        <v>2574</v>
      </c>
      <c r="G142" s="21">
        <v>2754</v>
      </c>
      <c r="H142" s="71">
        <v>2886</v>
      </c>
      <c r="I142" s="21">
        <v>2876.5</v>
      </c>
      <c r="J142" s="21">
        <v>2870</v>
      </c>
      <c r="K142" s="21">
        <v>2778.5</v>
      </c>
      <c r="L142" s="21">
        <v>2757</v>
      </c>
      <c r="M142" s="21">
        <v>2778</v>
      </c>
      <c r="N142" s="21">
        <v>2780</v>
      </c>
      <c r="O142" s="21">
        <v>2810</v>
      </c>
      <c r="P142" s="21">
        <v>2755</v>
      </c>
      <c r="Q142" s="21">
        <v>2668.5</v>
      </c>
      <c r="R142" s="21">
        <v>2716</v>
      </c>
      <c r="S142" s="21">
        <v>2707.5</v>
      </c>
      <c r="T142" s="21">
        <v>2750</v>
      </c>
      <c r="U142" s="21">
        <v>2700.5</v>
      </c>
      <c r="V142" s="21">
        <v>2760</v>
      </c>
      <c r="W142" s="21">
        <v>2747.5</v>
      </c>
      <c r="X142" s="21">
        <v>2699.5</v>
      </c>
      <c r="Y142" s="21">
        <v>2691</v>
      </c>
      <c r="Z142" s="21">
        <v>2596.5</v>
      </c>
      <c r="AA142" s="21">
        <v>2565</v>
      </c>
      <c r="AB142" s="21">
        <v>2616.5</v>
      </c>
      <c r="AC142" s="21">
        <v>2594.5</v>
      </c>
      <c r="AD142" s="21">
        <v>2576</v>
      </c>
      <c r="AE142" s="21">
        <v>2549</v>
      </c>
      <c r="AF142" s="21">
        <v>2550</v>
      </c>
      <c r="AG142" s="21">
        <v>2515</v>
      </c>
      <c r="AH142" s="21">
        <v>2525</v>
      </c>
      <c r="AI142" s="21">
        <v>2610</v>
      </c>
      <c r="AJ142" s="21">
        <v>2653</v>
      </c>
      <c r="AK142" s="21">
        <v>2550</v>
      </c>
      <c r="AL142" s="21">
        <v>2546</v>
      </c>
      <c r="AM142" s="21">
        <v>2541</v>
      </c>
      <c r="AN142" s="21">
        <v>2507.5</v>
      </c>
      <c r="AO142" s="21">
        <v>2474.5</v>
      </c>
      <c r="AP142" s="21">
        <v>2490</v>
      </c>
      <c r="AQ142" s="21">
        <v>2529.5</v>
      </c>
      <c r="AR142" s="21">
        <v>2390</v>
      </c>
      <c r="AS142" s="21">
        <v>2421</v>
      </c>
      <c r="AT142" s="21">
        <v>2518.5</v>
      </c>
      <c r="AU142" s="21">
        <v>2580.5</v>
      </c>
      <c r="AV142" s="21">
        <v>2720</v>
      </c>
      <c r="AW142" s="21">
        <v>2682</v>
      </c>
      <c r="AX142" s="21">
        <v>2777.5</v>
      </c>
      <c r="AY142" s="21">
        <v>2688</v>
      </c>
      <c r="AZ142" s="21">
        <v>2660.5</v>
      </c>
      <c r="BA142" s="21">
        <v>2634</v>
      </c>
      <c r="BB142" s="21">
        <v>2614.5</v>
      </c>
      <c r="BC142" s="21">
        <v>2628</v>
      </c>
      <c r="BD142" s="21">
        <v>2586</v>
      </c>
      <c r="BE142" s="21">
        <v>2549</v>
      </c>
      <c r="BF142" s="21">
        <v>2656</v>
      </c>
      <c r="BG142" s="21">
        <v>2735.5</v>
      </c>
      <c r="BH142" s="21">
        <v>2728</v>
      </c>
      <c r="BI142" s="21">
        <v>2600</v>
      </c>
      <c r="BJ142" s="21">
        <v>2650</v>
      </c>
      <c r="BK142" s="21">
        <v>2537</v>
      </c>
      <c r="BL142" s="21">
        <v>2597</v>
      </c>
      <c r="BM142" s="1">
        <v>2689</v>
      </c>
      <c r="BN142" s="1">
        <v>2606</v>
      </c>
      <c r="BO142" s="1">
        <v>2499.5</v>
      </c>
      <c r="BP142" s="1">
        <v>2600</v>
      </c>
      <c r="BQ142" s="1">
        <v>2809</v>
      </c>
      <c r="BR142" s="1">
        <v>2883</v>
      </c>
      <c r="BS142" s="1">
        <v>2965</v>
      </c>
      <c r="BT142" s="1">
        <v>2967</v>
      </c>
      <c r="BU142" s="1">
        <v>2900</v>
      </c>
      <c r="BV142" s="1">
        <v>2897.5</v>
      </c>
      <c r="BW142" s="1">
        <v>2739.5</v>
      </c>
      <c r="BX142" s="1">
        <v>2755</v>
      </c>
      <c r="BY142" s="1">
        <v>2750</v>
      </c>
      <c r="BZ142" s="1">
        <v>2776</v>
      </c>
    </row>
    <row r="143" spans="1:78" ht="15.9" customHeight="1">
      <c r="A143" s="78" t="s">
        <v>280</v>
      </c>
      <c r="B143" s="17" t="s">
        <v>281</v>
      </c>
      <c r="C143" s="546">
        <f>_xll.RssMarket("6522","始値")</f>
        <v>1746</v>
      </c>
      <c r="D143" s="23">
        <f t="shared" ref="D143:D188" si="5">C143-E143</f>
        <v>246</v>
      </c>
      <c r="E143" s="553">
        <v>1500</v>
      </c>
      <c r="F143" s="21">
        <v>1553</v>
      </c>
      <c r="G143" s="21">
        <v>1500</v>
      </c>
      <c r="H143" s="21">
        <v>1608</v>
      </c>
      <c r="I143" s="21">
        <v>1429</v>
      </c>
      <c r="J143" s="21">
        <v>1552</v>
      </c>
      <c r="K143" s="21">
        <v>1627</v>
      </c>
      <c r="L143" s="21">
        <v>1518</v>
      </c>
      <c r="M143" s="21">
        <v>1426</v>
      </c>
      <c r="N143" s="21">
        <v>1316</v>
      </c>
      <c r="O143" s="21">
        <v>1334</v>
      </c>
      <c r="P143" s="21">
        <v>1409</v>
      </c>
      <c r="Q143" s="21">
        <v>1770</v>
      </c>
      <c r="R143" s="21">
        <v>2020</v>
      </c>
      <c r="S143" s="21">
        <v>2081</v>
      </c>
      <c r="T143" s="21">
        <v>1903</v>
      </c>
      <c r="U143" s="21">
        <v>2200</v>
      </c>
      <c r="V143" s="21">
        <v>2240</v>
      </c>
      <c r="W143" s="21">
        <v>2096</v>
      </c>
      <c r="X143" s="21">
        <v>1941</v>
      </c>
      <c r="Y143" s="21">
        <v>2100</v>
      </c>
      <c r="Z143" s="21">
        <v>1600</v>
      </c>
      <c r="AA143" s="21">
        <v>1412</v>
      </c>
      <c r="AB143" s="21">
        <v>1020</v>
      </c>
      <c r="AC143" s="21">
        <v>990</v>
      </c>
      <c r="AD143" s="21">
        <v>1017</v>
      </c>
      <c r="AE143" s="21">
        <v>1150</v>
      </c>
      <c r="AF143" s="21">
        <v>1046</v>
      </c>
      <c r="AG143" s="21">
        <v>1213</v>
      </c>
      <c r="AH143" s="21">
        <v>954</v>
      </c>
      <c r="AI143" s="21">
        <v>851</v>
      </c>
      <c r="AJ143" s="21">
        <v>727</v>
      </c>
      <c r="AK143" s="21">
        <v>720</v>
      </c>
      <c r="AL143" s="21">
        <v>720</v>
      </c>
      <c r="AM143" s="21">
        <v>719</v>
      </c>
      <c r="AN143" s="21">
        <v>736</v>
      </c>
      <c r="AO143" s="21">
        <v>745</v>
      </c>
      <c r="AP143" s="21">
        <v>771</v>
      </c>
      <c r="AQ143" s="21">
        <v>742</v>
      </c>
      <c r="AR143" s="21">
        <v>778</v>
      </c>
      <c r="AS143" s="21">
        <v>782</v>
      </c>
      <c r="AT143" s="21">
        <v>799</v>
      </c>
      <c r="AU143" s="21">
        <v>900</v>
      </c>
      <c r="AV143" s="21">
        <v>792</v>
      </c>
      <c r="AW143" s="21">
        <v>840</v>
      </c>
      <c r="AX143" s="21">
        <v>910</v>
      </c>
      <c r="AY143" s="21">
        <v>990</v>
      </c>
      <c r="AZ143" s="21">
        <v>920</v>
      </c>
      <c r="BA143" s="21">
        <v>952</v>
      </c>
      <c r="BB143" s="21">
        <v>996</v>
      </c>
      <c r="BC143" s="21">
        <v>996</v>
      </c>
      <c r="BD143" s="21">
        <v>1000</v>
      </c>
      <c r="BE143" s="21">
        <v>1038</v>
      </c>
      <c r="BF143" s="21">
        <v>1028</v>
      </c>
      <c r="BG143" s="21">
        <v>1037</v>
      </c>
      <c r="BH143" s="21">
        <v>1157</v>
      </c>
      <c r="BI143" s="21">
        <v>1233</v>
      </c>
      <c r="BJ143" s="21">
        <v>1205</v>
      </c>
      <c r="BK143" s="21">
        <v>1194</v>
      </c>
      <c r="BL143" s="21">
        <v>1140</v>
      </c>
      <c r="BM143" s="1">
        <v>1150</v>
      </c>
      <c r="BN143" s="1">
        <v>1192</v>
      </c>
      <c r="BO143" s="1">
        <v>1221</v>
      </c>
      <c r="BP143" s="1">
        <v>1265</v>
      </c>
      <c r="BQ143" s="1">
        <v>1340</v>
      </c>
      <c r="BR143" s="1">
        <v>1516</v>
      </c>
      <c r="BS143" s="1">
        <v>1026</v>
      </c>
      <c r="BT143" s="1">
        <v>1068</v>
      </c>
      <c r="BU143" s="1">
        <v>1097</v>
      </c>
      <c r="BV143" s="1">
        <v>964</v>
      </c>
      <c r="BW143" s="1">
        <v>1050</v>
      </c>
      <c r="BX143" s="1">
        <v>1019</v>
      </c>
      <c r="BY143" s="1">
        <v>995</v>
      </c>
      <c r="BZ143" s="1">
        <v>987</v>
      </c>
    </row>
    <row r="144" spans="1:78" ht="15.9" customHeight="1">
      <c r="A144" s="78" t="s">
        <v>282</v>
      </c>
      <c r="B144" s="17" t="s">
        <v>283</v>
      </c>
      <c r="C144" s="546">
        <f>_xll.RssMarket("6777","始値")</f>
        <v>21000</v>
      </c>
      <c r="D144" s="23">
        <f t="shared" si="5"/>
        <v>2650</v>
      </c>
      <c r="E144" s="553">
        <v>18350</v>
      </c>
      <c r="F144" s="21">
        <v>16880</v>
      </c>
      <c r="G144" s="21">
        <v>18090</v>
      </c>
      <c r="H144" s="21">
        <v>15530</v>
      </c>
      <c r="I144" s="21">
        <v>16500</v>
      </c>
      <c r="J144" s="21">
        <v>17910</v>
      </c>
      <c r="K144" s="21">
        <v>18850</v>
      </c>
      <c r="L144" s="21"/>
      <c r="M144" s="21">
        <v>19890</v>
      </c>
      <c r="N144" s="21">
        <v>20420</v>
      </c>
      <c r="O144" s="21">
        <v>18730</v>
      </c>
      <c r="P144" s="21">
        <v>19620</v>
      </c>
      <c r="Q144" s="21">
        <v>21220</v>
      </c>
      <c r="R144" s="21">
        <v>20500</v>
      </c>
      <c r="S144" s="21">
        <v>20720</v>
      </c>
      <c r="T144" s="21">
        <v>21630</v>
      </c>
      <c r="U144" s="21">
        <v>20330</v>
      </c>
      <c r="V144" s="21">
        <v>19870</v>
      </c>
      <c r="W144" s="21">
        <v>22810</v>
      </c>
      <c r="X144" s="21">
        <v>23850</v>
      </c>
      <c r="Y144" s="21">
        <v>22200</v>
      </c>
      <c r="Z144" s="21">
        <v>25170</v>
      </c>
      <c r="AA144" s="21">
        <v>27700</v>
      </c>
      <c r="AB144" s="21">
        <v>26860</v>
      </c>
      <c r="AC144" s="21">
        <v>26500</v>
      </c>
      <c r="AD144" s="21">
        <v>27930</v>
      </c>
      <c r="AE144" s="21">
        <v>28930</v>
      </c>
      <c r="AF144" s="21">
        <v>28360</v>
      </c>
      <c r="AG144" s="21">
        <v>30850</v>
      </c>
      <c r="AH144" s="21">
        <v>29410</v>
      </c>
      <c r="AI144" s="21">
        <v>28900</v>
      </c>
      <c r="AJ144" s="21">
        <v>27490</v>
      </c>
      <c r="AK144" s="21">
        <v>26230</v>
      </c>
      <c r="AL144" s="21">
        <v>26050</v>
      </c>
      <c r="AM144" s="21">
        <v>25220</v>
      </c>
      <c r="AN144" s="21">
        <v>23800</v>
      </c>
      <c r="AO144" s="21">
        <v>22640</v>
      </c>
      <c r="AP144" s="21">
        <v>25350</v>
      </c>
      <c r="AQ144" s="21">
        <v>22670</v>
      </c>
      <c r="AR144" s="21">
        <v>25470</v>
      </c>
      <c r="AS144" s="21">
        <v>25800</v>
      </c>
      <c r="AT144" s="21">
        <v>28450</v>
      </c>
      <c r="AU144" s="21">
        <v>25560</v>
      </c>
      <c r="AV144" s="21">
        <v>24780</v>
      </c>
      <c r="AW144" s="21">
        <v>24910</v>
      </c>
      <c r="AX144" s="21">
        <v>26650</v>
      </c>
      <c r="AY144" s="21">
        <v>29980</v>
      </c>
      <c r="AZ144" s="21">
        <v>27020</v>
      </c>
      <c r="BA144" s="21">
        <v>27990</v>
      </c>
      <c r="BB144" s="21">
        <v>27290</v>
      </c>
      <c r="BC144" s="21">
        <v>31600</v>
      </c>
      <c r="BD144" s="21">
        <v>32350</v>
      </c>
      <c r="BE144" s="21">
        <v>30800</v>
      </c>
      <c r="BF144" s="21">
        <v>33500</v>
      </c>
      <c r="BG144" s="21">
        <v>29810</v>
      </c>
      <c r="BH144" s="21">
        <v>29230</v>
      </c>
      <c r="BI144" s="21">
        <v>28800</v>
      </c>
      <c r="BJ144" s="21">
        <v>27600</v>
      </c>
      <c r="BK144" s="21">
        <v>29550</v>
      </c>
      <c r="BL144" s="21">
        <v>27940</v>
      </c>
      <c r="BM144" s="1">
        <v>28360</v>
      </c>
      <c r="BN144" s="1">
        <v>28620</v>
      </c>
      <c r="BO144" s="1">
        <v>29000</v>
      </c>
      <c r="BP144" s="1">
        <v>30250</v>
      </c>
      <c r="BQ144" s="1">
        <v>29950</v>
      </c>
      <c r="BR144" s="1">
        <v>29550</v>
      </c>
      <c r="BS144" s="1">
        <v>30300</v>
      </c>
      <c r="BT144" s="1">
        <v>26790</v>
      </c>
      <c r="BU144" s="1">
        <v>24470</v>
      </c>
      <c r="BV144" s="1">
        <v>24850</v>
      </c>
      <c r="BW144" s="1">
        <v>25260</v>
      </c>
      <c r="BX144" s="1">
        <v>25010</v>
      </c>
      <c r="BY144" s="1">
        <v>21700</v>
      </c>
      <c r="BZ144" s="1">
        <v>20870</v>
      </c>
    </row>
    <row r="145" spans="1:78" ht="15.9" customHeight="1">
      <c r="A145" s="78" t="s">
        <v>284</v>
      </c>
      <c r="B145" s="17" t="s">
        <v>285</v>
      </c>
      <c r="C145" s="546">
        <f>_xll.RssMarket("6787","始値")</f>
        <v>23340</v>
      </c>
      <c r="D145" s="23">
        <f t="shared" si="5"/>
        <v>1340</v>
      </c>
      <c r="E145" s="553">
        <v>22000</v>
      </c>
      <c r="F145" s="21">
        <v>20460</v>
      </c>
      <c r="G145" s="21">
        <v>22690</v>
      </c>
      <c r="H145" s="21">
        <v>18460</v>
      </c>
      <c r="I145" s="21">
        <v>21010</v>
      </c>
      <c r="J145" s="21">
        <v>21570</v>
      </c>
      <c r="K145" s="21">
        <v>23000</v>
      </c>
      <c r="L145" s="21">
        <v>23530</v>
      </c>
      <c r="M145" s="21">
        <v>24850</v>
      </c>
      <c r="N145" s="21">
        <v>24500</v>
      </c>
      <c r="O145" s="21">
        <v>23000</v>
      </c>
      <c r="P145" s="21">
        <v>23810</v>
      </c>
      <c r="Q145" s="21">
        <v>26200</v>
      </c>
      <c r="R145" s="21">
        <v>25730</v>
      </c>
      <c r="S145" s="21">
        <v>26650</v>
      </c>
      <c r="T145" s="21">
        <v>26720</v>
      </c>
      <c r="U145" s="21">
        <v>26470</v>
      </c>
      <c r="V145" s="21">
        <v>25140</v>
      </c>
      <c r="W145" s="21">
        <v>27130</v>
      </c>
      <c r="X145" s="21">
        <v>29040</v>
      </c>
      <c r="Y145" s="21">
        <v>27420</v>
      </c>
      <c r="Z145" s="21">
        <v>28170</v>
      </c>
      <c r="AA145" s="21">
        <v>31450</v>
      </c>
      <c r="AB145" s="21">
        <v>32000</v>
      </c>
      <c r="AC145" s="21">
        <v>30950</v>
      </c>
      <c r="AD145" s="21">
        <v>31550</v>
      </c>
      <c r="AE145" s="21">
        <v>34000</v>
      </c>
      <c r="AF145" s="21">
        <v>32450</v>
      </c>
      <c r="AG145" s="21">
        <v>37000</v>
      </c>
      <c r="AH145" s="21">
        <v>39750</v>
      </c>
      <c r="AI145" s="21">
        <v>38400</v>
      </c>
      <c r="AJ145" s="21">
        <v>35300</v>
      </c>
      <c r="AK145" s="21">
        <v>33850</v>
      </c>
      <c r="AL145" s="21">
        <v>30600</v>
      </c>
      <c r="AM145" s="21">
        <v>32400</v>
      </c>
      <c r="AN145" s="21">
        <v>31300</v>
      </c>
      <c r="AO145" s="21">
        <v>30000</v>
      </c>
      <c r="AP145" s="21">
        <v>32200</v>
      </c>
      <c r="AQ145" s="21">
        <v>32800</v>
      </c>
      <c r="AR145" s="21">
        <v>36150</v>
      </c>
      <c r="AS145" s="21">
        <v>36400</v>
      </c>
      <c r="AT145" s="21">
        <v>39850</v>
      </c>
      <c r="AU145" s="21">
        <v>39500</v>
      </c>
      <c r="AV145" s="21">
        <v>38300</v>
      </c>
      <c r="AW145" s="21">
        <v>37900</v>
      </c>
      <c r="AX145" s="21">
        <v>40450</v>
      </c>
      <c r="AY145" s="21">
        <v>44150</v>
      </c>
      <c r="AZ145" s="21">
        <v>40750</v>
      </c>
      <c r="BA145" s="21">
        <v>37250</v>
      </c>
      <c r="BB145" s="21">
        <v>35600</v>
      </c>
      <c r="BC145" s="21">
        <v>40000</v>
      </c>
      <c r="BD145" s="21">
        <v>36900</v>
      </c>
      <c r="BE145" s="21">
        <v>40000</v>
      </c>
      <c r="BF145" s="21">
        <v>38650</v>
      </c>
      <c r="BG145" s="21">
        <v>29490</v>
      </c>
      <c r="BH145" s="21">
        <v>32200</v>
      </c>
      <c r="BI145" s="21">
        <v>33650</v>
      </c>
      <c r="BJ145" s="21">
        <v>30700</v>
      </c>
      <c r="BK145" s="21">
        <v>31500</v>
      </c>
      <c r="BL145" s="21">
        <v>30500</v>
      </c>
      <c r="BM145" s="1">
        <v>31300</v>
      </c>
      <c r="BN145" s="1">
        <v>30900</v>
      </c>
      <c r="BO145" s="1">
        <v>30400</v>
      </c>
      <c r="BP145" s="1">
        <v>28780</v>
      </c>
      <c r="BQ145" s="1">
        <v>29390</v>
      </c>
      <c r="BR145" s="1">
        <v>28070</v>
      </c>
      <c r="BS145" s="1">
        <v>27340</v>
      </c>
      <c r="BT145" s="1">
        <v>28150</v>
      </c>
      <c r="BU145" s="1">
        <v>29440</v>
      </c>
      <c r="BV145" s="1">
        <v>28370</v>
      </c>
      <c r="BW145" s="1">
        <v>29870</v>
      </c>
      <c r="BX145" s="1">
        <v>27650</v>
      </c>
      <c r="BY145" s="1">
        <v>26130</v>
      </c>
      <c r="BZ145" s="1">
        <v>27510</v>
      </c>
    </row>
    <row r="146" spans="1:78" ht="15.9" customHeight="1">
      <c r="A146" s="78" t="s">
        <v>286</v>
      </c>
      <c r="B146" s="17" t="s">
        <v>287</v>
      </c>
      <c r="C146" s="546">
        <f>_xll.RssMarket("4888","始値")</f>
        <v>316</v>
      </c>
      <c r="D146" s="23">
        <f t="shared" si="5"/>
        <v>5</v>
      </c>
      <c r="E146" s="553">
        <v>311</v>
      </c>
      <c r="F146" s="21">
        <v>304</v>
      </c>
      <c r="G146" s="21">
        <v>299</v>
      </c>
      <c r="H146" s="21">
        <v>298</v>
      </c>
      <c r="I146" s="21">
        <v>318</v>
      </c>
      <c r="J146" s="21">
        <v>319</v>
      </c>
      <c r="K146" s="21">
        <v>308</v>
      </c>
      <c r="L146" s="21">
        <v>305</v>
      </c>
      <c r="M146" s="21">
        <v>306</v>
      </c>
      <c r="N146" s="21">
        <v>308</v>
      </c>
      <c r="O146" s="21">
        <v>303</v>
      </c>
      <c r="P146" s="21">
        <v>312</v>
      </c>
      <c r="Q146" s="21">
        <v>321</v>
      </c>
      <c r="R146" s="21">
        <v>322</v>
      </c>
      <c r="S146" s="21">
        <v>326</v>
      </c>
      <c r="T146" s="21">
        <v>303</v>
      </c>
      <c r="U146" s="21">
        <v>305</v>
      </c>
      <c r="V146" s="21">
        <v>305</v>
      </c>
      <c r="W146" s="21">
        <v>314</v>
      </c>
      <c r="X146" s="21">
        <v>314</v>
      </c>
      <c r="Y146" s="21">
        <v>304</v>
      </c>
      <c r="Z146" s="21">
        <v>307</v>
      </c>
      <c r="AA146" s="21">
        <v>311</v>
      </c>
      <c r="AB146" s="21">
        <v>324</v>
      </c>
      <c r="AC146" s="21">
        <v>305</v>
      </c>
      <c r="AD146" s="21">
        <v>310</v>
      </c>
      <c r="AE146" s="21">
        <v>321</v>
      </c>
      <c r="AF146" s="21">
        <v>324</v>
      </c>
      <c r="AG146" s="21">
        <v>335</v>
      </c>
      <c r="AH146" s="21">
        <v>350</v>
      </c>
      <c r="AI146" s="21">
        <v>390</v>
      </c>
      <c r="AJ146" s="21">
        <v>348</v>
      </c>
      <c r="AK146" s="21">
        <v>333</v>
      </c>
      <c r="AL146" s="21">
        <v>335</v>
      </c>
      <c r="AM146" s="21">
        <v>333</v>
      </c>
      <c r="AN146" s="21">
        <v>321</v>
      </c>
      <c r="AO146" s="21">
        <v>299</v>
      </c>
      <c r="AP146" s="21">
        <v>320</v>
      </c>
      <c r="AQ146" s="21">
        <v>288</v>
      </c>
      <c r="AR146" s="21">
        <v>341</v>
      </c>
      <c r="AS146" s="21">
        <v>350</v>
      </c>
      <c r="AT146" s="21">
        <v>332</v>
      </c>
      <c r="AU146" s="21">
        <v>332</v>
      </c>
      <c r="AV146" s="21">
        <v>381</v>
      </c>
      <c r="AW146" s="21">
        <v>388</v>
      </c>
      <c r="AX146" s="21">
        <v>415</v>
      </c>
      <c r="AY146" s="21">
        <v>445</v>
      </c>
      <c r="AZ146" s="21">
        <v>444</v>
      </c>
      <c r="BA146" s="21">
        <v>419</v>
      </c>
      <c r="BB146" s="21">
        <v>426</v>
      </c>
      <c r="BC146" s="21">
        <v>441</v>
      </c>
      <c r="BD146" s="21">
        <v>431</v>
      </c>
      <c r="BE146" s="21">
        <v>419</v>
      </c>
      <c r="BF146" s="21">
        <v>439</v>
      </c>
      <c r="BG146" s="21">
        <v>470</v>
      </c>
      <c r="BH146" s="21">
        <v>495</v>
      </c>
      <c r="BI146" s="21">
        <v>531</v>
      </c>
      <c r="BJ146" s="21">
        <v>522</v>
      </c>
      <c r="BK146" s="21">
        <v>538</v>
      </c>
      <c r="BL146" s="21">
        <v>524</v>
      </c>
      <c r="BM146" s="1">
        <v>516</v>
      </c>
      <c r="BN146" s="1">
        <v>535</v>
      </c>
      <c r="BO146" s="1">
        <v>553</v>
      </c>
      <c r="BP146" s="1">
        <v>558</v>
      </c>
      <c r="BQ146" s="1">
        <v>571</v>
      </c>
      <c r="BR146" s="1">
        <v>616</v>
      </c>
      <c r="BS146" s="1">
        <v>716</v>
      </c>
      <c r="BT146" s="1">
        <v>713</v>
      </c>
      <c r="BU146" s="1">
        <v>740</v>
      </c>
      <c r="BV146" s="1">
        <v>670</v>
      </c>
      <c r="BW146" s="1">
        <v>697</v>
      </c>
      <c r="BX146" s="1">
        <v>720</v>
      </c>
      <c r="BY146" s="1">
        <v>690</v>
      </c>
      <c r="BZ146" s="1">
        <v>708</v>
      </c>
    </row>
    <row r="147" spans="1:78" ht="15.9" customHeight="1">
      <c r="A147" s="78" t="s">
        <v>288</v>
      </c>
      <c r="B147" s="17" t="s">
        <v>289</v>
      </c>
      <c r="C147" s="546">
        <f>_xll.RssMarket("6387","始値")</f>
        <v>9950</v>
      </c>
      <c r="D147" s="23">
        <f t="shared" si="5"/>
        <v>1320</v>
      </c>
      <c r="E147" s="553">
        <v>8630</v>
      </c>
      <c r="F147" s="21">
        <v>8150</v>
      </c>
      <c r="G147" s="21">
        <v>8470</v>
      </c>
      <c r="H147" s="21">
        <v>7410</v>
      </c>
      <c r="I147" s="21">
        <v>8430</v>
      </c>
      <c r="J147" s="21">
        <v>9090</v>
      </c>
      <c r="K147" s="21">
        <v>9870</v>
      </c>
      <c r="L147" s="21"/>
      <c r="M147" s="21">
        <v>10610</v>
      </c>
      <c r="N147" s="21">
        <v>10680</v>
      </c>
      <c r="O147" s="21">
        <v>9970</v>
      </c>
      <c r="P147" s="21">
        <v>10560</v>
      </c>
      <c r="Q147" s="21">
        <v>12380</v>
      </c>
      <c r="R147" s="21">
        <v>12620</v>
      </c>
      <c r="S147" s="21">
        <v>12930</v>
      </c>
      <c r="T147" s="21">
        <v>12410</v>
      </c>
      <c r="U147" s="21">
        <v>11770</v>
      </c>
      <c r="V147" s="21">
        <v>11300</v>
      </c>
      <c r="W147" s="21">
        <v>12450</v>
      </c>
      <c r="X147" s="21">
        <v>13400</v>
      </c>
      <c r="Y147" s="21">
        <v>12800</v>
      </c>
      <c r="Z147" s="21">
        <v>13460</v>
      </c>
      <c r="AA147" s="21">
        <v>14460</v>
      </c>
      <c r="AB147" s="21">
        <v>14170</v>
      </c>
      <c r="AC147" s="21">
        <v>13550</v>
      </c>
      <c r="AD147" s="21">
        <v>13900</v>
      </c>
      <c r="AE147" s="21">
        <v>15240</v>
      </c>
      <c r="AF147" s="21">
        <v>14290</v>
      </c>
      <c r="AG147" s="21">
        <v>15740</v>
      </c>
      <c r="AH147" s="21">
        <v>14610</v>
      </c>
      <c r="AI147" s="21">
        <v>15640</v>
      </c>
      <c r="AJ147" s="21">
        <v>16000</v>
      </c>
      <c r="AK147" s="21">
        <v>15420</v>
      </c>
      <c r="AL147" s="21">
        <v>15600</v>
      </c>
      <c r="AM147" s="21">
        <v>14790</v>
      </c>
      <c r="AN147" s="21">
        <v>12390</v>
      </c>
      <c r="AO147" s="21">
        <v>11160</v>
      </c>
      <c r="AP147" s="21">
        <v>12060</v>
      </c>
      <c r="AQ147" s="21">
        <v>11690</v>
      </c>
      <c r="AR147" s="21">
        <v>12280</v>
      </c>
      <c r="AS147" s="21">
        <v>12200</v>
      </c>
      <c r="AT147" s="21">
        <v>12650</v>
      </c>
      <c r="AU147" s="21">
        <v>11050</v>
      </c>
      <c r="AV147" s="21">
        <v>10590</v>
      </c>
      <c r="AW147" s="21">
        <v>10190</v>
      </c>
      <c r="AX147" s="21">
        <v>11500</v>
      </c>
      <c r="AY147" s="21">
        <v>12240</v>
      </c>
      <c r="AZ147" s="21">
        <v>11060</v>
      </c>
      <c r="BA147" s="21">
        <v>11200</v>
      </c>
      <c r="BB147" s="21">
        <v>10810</v>
      </c>
      <c r="BC147" s="21">
        <v>12120</v>
      </c>
      <c r="BD147" s="21">
        <v>12630</v>
      </c>
      <c r="BE147" s="21">
        <v>13450</v>
      </c>
      <c r="BF147" s="21">
        <v>13470</v>
      </c>
      <c r="BG147" s="21">
        <v>12340</v>
      </c>
      <c r="BH147" s="21">
        <v>13170</v>
      </c>
      <c r="BI147" s="21">
        <v>14000</v>
      </c>
      <c r="BJ147" s="21">
        <v>13770</v>
      </c>
      <c r="BK147" s="21">
        <v>12670</v>
      </c>
      <c r="BL147" s="21">
        <v>11570</v>
      </c>
      <c r="BM147" s="1">
        <v>11150</v>
      </c>
      <c r="BN147" s="1">
        <v>11000</v>
      </c>
      <c r="BO147" s="1">
        <v>10930</v>
      </c>
      <c r="BP147" s="1">
        <v>11040</v>
      </c>
      <c r="BQ147" s="1">
        <v>10490</v>
      </c>
      <c r="BR147" s="1">
        <v>9370</v>
      </c>
      <c r="BS147" s="1">
        <v>9600</v>
      </c>
      <c r="BT147" s="1">
        <v>9560</v>
      </c>
      <c r="BU147" s="1">
        <v>9880</v>
      </c>
      <c r="BV147" s="1">
        <v>9880</v>
      </c>
      <c r="BW147" s="1">
        <v>10360</v>
      </c>
      <c r="BX147" s="1">
        <v>10290</v>
      </c>
      <c r="BY147" s="1">
        <v>9110</v>
      </c>
      <c r="BZ147" s="1">
        <v>9310</v>
      </c>
    </row>
    <row r="148" spans="1:78" ht="15.9" customHeight="1">
      <c r="A148" s="78" t="s">
        <v>290</v>
      </c>
      <c r="B148" s="17" t="s">
        <v>291</v>
      </c>
      <c r="C148" s="546">
        <f>_xll.RssMarket("6838","始値")</f>
        <v>1468</v>
      </c>
      <c r="D148" s="23">
        <f t="shared" si="5"/>
        <v>98</v>
      </c>
      <c r="E148" s="553">
        <v>1370</v>
      </c>
      <c r="F148" s="21">
        <v>1260</v>
      </c>
      <c r="G148" s="21">
        <v>1300</v>
      </c>
      <c r="H148" s="21">
        <v>1197</v>
      </c>
      <c r="I148" s="21">
        <v>1279</v>
      </c>
      <c r="J148" s="21">
        <v>1341</v>
      </c>
      <c r="K148" s="21">
        <v>1385</v>
      </c>
      <c r="L148" s="21">
        <v>1381</v>
      </c>
      <c r="M148" s="21">
        <v>1402</v>
      </c>
      <c r="N148" s="21">
        <v>1385</v>
      </c>
      <c r="O148" s="21">
        <v>1374</v>
      </c>
      <c r="P148" s="21">
        <v>1431</v>
      </c>
      <c r="Q148" s="21">
        <v>1451</v>
      </c>
      <c r="R148" s="21">
        <v>1440</v>
      </c>
      <c r="S148" s="21">
        <v>1518</v>
      </c>
      <c r="T148" s="21">
        <v>1545</v>
      </c>
      <c r="U148" s="21">
        <v>1579</v>
      </c>
      <c r="V148" s="21">
        <v>1598</v>
      </c>
      <c r="W148" s="21">
        <v>1725</v>
      </c>
      <c r="X148" s="21">
        <v>1787</v>
      </c>
      <c r="Y148" s="21">
        <v>1726</v>
      </c>
      <c r="Z148" s="21">
        <v>1714</v>
      </c>
      <c r="AA148" s="21">
        <v>1780</v>
      </c>
      <c r="AB148" s="21">
        <v>1850</v>
      </c>
      <c r="AC148" s="21">
        <v>1941</v>
      </c>
      <c r="AD148" s="21">
        <v>2033</v>
      </c>
      <c r="AE148" s="21">
        <v>1972</v>
      </c>
      <c r="AF148" s="21">
        <v>1980</v>
      </c>
      <c r="AG148" s="21">
        <v>2037</v>
      </c>
      <c r="AH148" s="21">
        <v>2057</v>
      </c>
      <c r="AI148" s="21">
        <v>2165</v>
      </c>
      <c r="AJ148" s="21">
        <v>2131</v>
      </c>
      <c r="AK148" s="21">
        <v>2230</v>
      </c>
      <c r="AL148" s="21">
        <v>2280</v>
      </c>
      <c r="AM148" s="21">
        <v>1850</v>
      </c>
      <c r="AN148" s="21">
        <v>1821</v>
      </c>
      <c r="AO148" s="21">
        <v>1716</v>
      </c>
      <c r="AP148" s="21">
        <v>1933</v>
      </c>
      <c r="AQ148" s="21">
        <v>2239</v>
      </c>
      <c r="AR148" s="21">
        <v>2346</v>
      </c>
      <c r="AS148" s="21">
        <v>2307</v>
      </c>
      <c r="AT148" s="21">
        <v>2300</v>
      </c>
      <c r="AU148" s="21">
        <v>2287</v>
      </c>
      <c r="AV148" s="21">
        <v>2260</v>
      </c>
      <c r="AW148" s="21">
        <v>2175</v>
      </c>
      <c r="AX148" s="21">
        <v>2298</v>
      </c>
      <c r="AY148" s="21">
        <v>2125</v>
      </c>
      <c r="AZ148" s="21">
        <v>1957</v>
      </c>
      <c r="BA148" s="21">
        <v>1960</v>
      </c>
      <c r="BB148" s="21">
        <v>2010</v>
      </c>
      <c r="BC148" s="21">
        <v>2183</v>
      </c>
      <c r="BD148" s="21">
        <v>2050</v>
      </c>
      <c r="BE148" s="21">
        <v>1934</v>
      </c>
      <c r="BF148" s="21">
        <v>1953</v>
      </c>
      <c r="BG148" s="21">
        <v>1970</v>
      </c>
      <c r="BH148" s="21">
        <v>2127</v>
      </c>
      <c r="BI148" s="21">
        <v>1970</v>
      </c>
      <c r="BJ148" s="21">
        <v>1750</v>
      </c>
      <c r="BK148" s="21">
        <v>1702</v>
      </c>
      <c r="BL148" s="21">
        <v>1684</v>
      </c>
      <c r="BM148" s="1">
        <v>1602</v>
      </c>
      <c r="BN148" s="1">
        <v>1647</v>
      </c>
      <c r="BO148" s="1">
        <v>1697</v>
      </c>
      <c r="BP148" s="1">
        <v>1799</v>
      </c>
      <c r="BQ148" s="1">
        <v>1866</v>
      </c>
      <c r="BR148" s="1">
        <v>1790</v>
      </c>
      <c r="BS148" s="1">
        <v>1710</v>
      </c>
      <c r="BT148" s="1">
        <v>1615</v>
      </c>
      <c r="BU148" s="1">
        <v>1408</v>
      </c>
      <c r="BV148" s="1">
        <v>1271</v>
      </c>
      <c r="BW148" s="1">
        <v>1310</v>
      </c>
      <c r="BX148" s="1">
        <v>1317</v>
      </c>
      <c r="BY148" s="1">
        <v>1265</v>
      </c>
      <c r="BZ148" s="1">
        <v>1359</v>
      </c>
    </row>
    <row r="149" spans="1:78" ht="15.9" customHeight="1">
      <c r="A149" s="78" t="s">
        <v>292</v>
      </c>
      <c r="B149" s="17" t="s">
        <v>293</v>
      </c>
      <c r="C149" s="546">
        <f>_xll.RssMarket("7375","始値")</f>
        <v>1138</v>
      </c>
      <c r="D149" s="23">
        <f t="shared" si="5"/>
        <v>1138</v>
      </c>
      <c r="E149" s="553"/>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78" ht="15.9" customHeight="1">
      <c r="A150" s="78" t="s">
        <v>294</v>
      </c>
      <c r="B150" s="17" t="s">
        <v>295</v>
      </c>
      <c r="C150" s="546">
        <f>_xll.RssMarket("4307","始値")</f>
        <v>4589</v>
      </c>
      <c r="D150" s="23">
        <f t="shared" si="5"/>
        <v>-91</v>
      </c>
      <c r="E150" s="553">
        <v>4680</v>
      </c>
      <c r="F150" s="21">
        <v>4743</v>
      </c>
      <c r="G150" s="21">
        <v>4862</v>
      </c>
      <c r="H150" s="21">
        <v>5550</v>
      </c>
      <c r="I150" s="21">
        <v>5478</v>
      </c>
      <c r="J150" s="21">
        <v>5238</v>
      </c>
      <c r="K150" s="21">
        <v>4998</v>
      </c>
      <c r="L150" s="21">
        <v>4893</v>
      </c>
      <c r="M150" s="21">
        <v>4875</v>
      </c>
      <c r="N150" s="21">
        <v>4905</v>
      </c>
      <c r="O150" s="21">
        <v>5076</v>
      </c>
      <c r="P150" s="21">
        <v>5140</v>
      </c>
      <c r="Q150" s="21">
        <v>4981</v>
      </c>
      <c r="R150" s="21">
        <v>5135</v>
      </c>
      <c r="S150" s="21">
        <v>4996</v>
      </c>
      <c r="T150" s="21">
        <v>5070</v>
      </c>
      <c r="U150" s="21">
        <v>4925</v>
      </c>
      <c r="V150" s="21">
        <v>5200</v>
      </c>
      <c r="W150" s="21">
        <v>5050</v>
      </c>
      <c r="X150" s="21">
        <v>4871</v>
      </c>
      <c r="Y150" s="21">
        <v>5046</v>
      </c>
      <c r="Z150" s="21">
        <v>4898</v>
      </c>
      <c r="AA150" s="21">
        <v>4560</v>
      </c>
      <c r="AB150" s="21">
        <v>4607</v>
      </c>
      <c r="AC150" s="21">
        <v>4473</v>
      </c>
      <c r="AD150" s="21">
        <v>4270</v>
      </c>
      <c r="AE150" s="21">
        <v>4307</v>
      </c>
      <c r="AF150" s="21">
        <v>4370</v>
      </c>
      <c r="AG150" s="21">
        <v>4190</v>
      </c>
      <c r="AH150" s="21">
        <v>4311</v>
      </c>
      <c r="AI150" s="21">
        <v>4521</v>
      </c>
      <c r="AJ150" s="21">
        <v>4593</v>
      </c>
      <c r="AK150" s="21">
        <v>4550</v>
      </c>
      <c r="AL150" s="21">
        <v>4500</v>
      </c>
      <c r="AM150" s="21">
        <v>4619</v>
      </c>
      <c r="AN150" s="21">
        <v>4595</v>
      </c>
      <c r="AO150" s="21">
        <v>4625</v>
      </c>
      <c r="AP150" s="21">
        <v>4622</v>
      </c>
      <c r="AQ150" s="21">
        <v>4812</v>
      </c>
      <c r="AR150" s="21">
        <v>4799</v>
      </c>
      <c r="AS150" s="21">
        <v>4696</v>
      </c>
      <c r="AT150" s="21">
        <v>4947</v>
      </c>
      <c r="AU150" s="21">
        <v>5324</v>
      </c>
      <c r="AV150" s="21">
        <v>5000</v>
      </c>
      <c r="AW150" s="21">
        <v>4745</v>
      </c>
      <c r="AX150" s="21">
        <v>4570</v>
      </c>
      <c r="AY150" s="21">
        <v>4685</v>
      </c>
      <c r="AZ150" s="21">
        <v>4640</v>
      </c>
      <c r="BA150" s="21">
        <v>4735</v>
      </c>
      <c r="BB150" s="21">
        <v>4838</v>
      </c>
      <c r="BC150" s="21">
        <v>4684</v>
      </c>
      <c r="BD150" s="21">
        <v>4432</v>
      </c>
      <c r="BE150" s="21">
        <v>4215</v>
      </c>
      <c r="BF150" s="21">
        <v>4270</v>
      </c>
      <c r="BG150" s="21">
        <v>4230</v>
      </c>
      <c r="BH150" s="21">
        <v>4215</v>
      </c>
      <c r="BI150" s="21">
        <v>4281</v>
      </c>
      <c r="BJ150" s="21">
        <v>4347</v>
      </c>
      <c r="BK150" s="21">
        <v>4113</v>
      </c>
      <c r="BL150" s="21">
        <v>4142</v>
      </c>
      <c r="BM150" s="1">
        <v>4215</v>
      </c>
      <c r="BN150" s="1">
        <v>4479</v>
      </c>
      <c r="BO150" s="1">
        <v>4583</v>
      </c>
      <c r="BP150" s="1">
        <v>5000</v>
      </c>
      <c r="BQ150" s="1">
        <v>5123</v>
      </c>
      <c r="BR150" s="1">
        <v>5098</v>
      </c>
      <c r="BS150" s="1">
        <v>5008</v>
      </c>
      <c r="BT150" s="1">
        <v>4997</v>
      </c>
      <c r="BU150" s="1">
        <v>4989</v>
      </c>
      <c r="BV150" s="1">
        <v>4994</v>
      </c>
      <c r="BW150" s="1">
        <v>4765</v>
      </c>
      <c r="BX150" s="1">
        <v>4632</v>
      </c>
      <c r="BY150" s="1">
        <v>4390</v>
      </c>
      <c r="BZ150" s="1">
        <v>4445</v>
      </c>
    </row>
    <row r="151" spans="1:78" ht="15.9" customHeight="1">
      <c r="A151" s="78" t="s">
        <v>296</v>
      </c>
      <c r="B151" s="17" t="s">
        <v>297</v>
      </c>
      <c r="C151" s="546">
        <f>_xll.RssMarket("6516","始値")</f>
        <v>5990</v>
      </c>
      <c r="D151" s="23">
        <f t="shared" si="5"/>
        <v>420</v>
      </c>
      <c r="E151" s="553">
        <v>5570</v>
      </c>
      <c r="F151" s="21">
        <v>5420</v>
      </c>
      <c r="G151" s="21">
        <v>5670</v>
      </c>
      <c r="H151" s="21">
        <v>5290</v>
      </c>
      <c r="I151" s="21">
        <v>5390</v>
      </c>
      <c r="J151" s="21">
        <v>5650</v>
      </c>
      <c r="K151" s="21">
        <v>5710</v>
      </c>
      <c r="L151" s="21"/>
      <c r="M151" s="21">
        <v>5740</v>
      </c>
      <c r="N151" s="21">
        <v>5750</v>
      </c>
      <c r="O151" s="21">
        <v>5540</v>
      </c>
      <c r="P151" s="21">
        <v>5580</v>
      </c>
      <c r="Q151" s="21">
        <v>5870</v>
      </c>
      <c r="R151" s="21">
        <v>5850</v>
      </c>
      <c r="S151" s="21">
        <v>6090</v>
      </c>
      <c r="T151" s="21">
        <v>6100</v>
      </c>
      <c r="U151" s="21">
        <v>6000</v>
      </c>
      <c r="V151" s="21">
        <v>6010</v>
      </c>
      <c r="W151" s="21">
        <v>6420</v>
      </c>
      <c r="X151" s="21">
        <v>6570</v>
      </c>
      <c r="Y151" s="21">
        <v>6430</v>
      </c>
      <c r="Z151" s="21">
        <v>6380</v>
      </c>
      <c r="AA151" s="21">
        <v>6640</v>
      </c>
      <c r="AB151" s="21">
        <v>6610</v>
      </c>
      <c r="AC151" s="21">
        <v>6930</v>
      </c>
      <c r="AD151" s="21">
        <v>6980</v>
      </c>
      <c r="AE151" s="21">
        <v>7160</v>
      </c>
      <c r="AF151" s="21">
        <v>7090</v>
      </c>
      <c r="AG151" s="21">
        <v>7030</v>
      </c>
      <c r="AH151" s="21">
        <v>6870</v>
      </c>
      <c r="AI151" s="21">
        <v>6860</v>
      </c>
      <c r="AJ151" s="21">
        <v>6810</v>
      </c>
      <c r="AK151" s="21">
        <v>6450</v>
      </c>
      <c r="AL151" s="21">
        <v>6600</v>
      </c>
      <c r="AM151" s="21">
        <v>6580</v>
      </c>
      <c r="AN151" s="21">
        <v>6350</v>
      </c>
      <c r="AO151" s="21">
        <v>6080</v>
      </c>
      <c r="AP151" s="21">
        <v>6460</v>
      </c>
      <c r="AQ151" s="21">
        <v>6340</v>
      </c>
      <c r="AR151" s="21">
        <v>6620</v>
      </c>
      <c r="AS151" s="21">
        <v>6600</v>
      </c>
      <c r="AT151" s="21">
        <v>6640</v>
      </c>
      <c r="AU151" s="21">
        <v>6400</v>
      </c>
      <c r="AV151" s="21">
        <v>6830</v>
      </c>
      <c r="AW151" s="21">
        <v>6710</v>
      </c>
      <c r="AX151" s="21">
        <v>7040</v>
      </c>
      <c r="AY151" s="21">
        <v>7150</v>
      </c>
      <c r="AZ151" s="21">
        <v>7150</v>
      </c>
      <c r="BA151" s="21">
        <v>7100</v>
      </c>
      <c r="BB151" s="21">
        <v>6900</v>
      </c>
      <c r="BC151" s="21">
        <v>7300</v>
      </c>
      <c r="BD151" s="21">
        <v>7410</v>
      </c>
      <c r="BE151" s="21">
        <v>7570</v>
      </c>
      <c r="BF151" s="21">
        <v>7700</v>
      </c>
      <c r="BG151" s="21">
        <v>7410</v>
      </c>
      <c r="BH151" s="21">
        <v>7770</v>
      </c>
      <c r="BI151" s="21">
        <v>7590</v>
      </c>
      <c r="BJ151" s="21">
        <v>7190</v>
      </c>
      <c r="BK151" s="21">
        <v>7050</v>
      </c>
      <c r="BL151" s="21">
        <v>6820</v>
      </c>
      <c r="BM151" s="1">
        <v>7020</v>
      </c>
      <c r="BN151" s="1">
        <v>7230</v>
      </c>
      <c r="BO151" s="1">
        <v>5690</v>
      </c>
      <c r="BP151" s="1">
        <v>5190</v>
      </c>
      <c r="BQ151" s="1">
        <v>5270</v>
      </c>
      <c r="BR151" s="1">
        <v>5220</v>
      </c>
      <c r="BS151" s="1">
        <v>5240</v>
      </c>
      <c r="BT151" s="1">
        <v>5190</v>
      </c>
      <c r="BU151" s="1">
        <v>5200</v>
      </c>
      <c r="BV151" s="1">
        <v>5240</v>
      </c>
      <c r="BW151" s="1">
        <v>5400</v>
      </c>
      <c r="BX151" s="1">
        <v>5080</v>
      </c>
      <c r="BY151" s="1">
        <v>5040</v>
      </c>
      <c r="BZ151" s="1">
        <v>4940</v>
      </c>
    </row>
    <row r="152" spans="1:78" ht="15.9" customHeight="1">
      <c r="A152" s="78" t="s">
        <v>298</v>
      </c>
      <c r="B152" s="17" t="s">
        <v>299</v>
      </c>
      <c r="C152" s="546">
        <f>_xll.RssMarket("7381","始値")</f>
        <v>1138</v>
      </c>
      <c r="D152" s="23">
        <f t="shared" si="5"/>
        <v>11</v>
      </c>
      <c r="E152" s="553">
        <v>1127</v>
      </c>
      <c r="F152" s="21">
        <v>1089</v>
      </c>
      <c r="G152" s="21">
        <v>1079</v>
      </c>
      <c r="H152" s="21">
        <v>1088</v>
      </c>
      <c r="I152" s="21">
        <v>1139</v>
      </c>
      <c r="J152" s="21">
        <v>1173</v>
      </c>
      <c r="K152" s="21">
        <v>1171</v>
      </c>
      <c r="L152" s="21">
        <v>1141</v>
      </c>
      <c r="M152" s="21">
        <v>1163</v>
      </c>
      <c r="N152" s="21">
        <v>1149</v>
      </c>
      <c r="O152" s="21">
        <v>1083</v>
      </c>
      <c r="P152" s="21">
        <v>1146</v>
      </c>
      <c r="Q152" s="21">
        <v>1089</v>
      </c>
      <c r="R152" s="21">
        <v>1057</v>
      </c>
      <c r="S152" s="21">
        <v>1038</v>
      </c>
      <c r="T152" s="21">
        <v>1059</v>
      </c>
      <c r="U152" s="21">
        <v>1077</v>
      </c>
      <c r="V152" s="21">
        <v>1065</v>
      </c>
      <c r="W152" s="21">
        <v>1070</v>
      </c>
      <c r="X152" s="21">
        <v>1050</v>
      </c>
      <c r="Y152" s="21">
        <v>1032</v>
      </c>
      <c r="Z152" s="21">
        <v>1050</v>
      </c>
      <c r="AA152" s="21">
        <v>1029</v>
      </c>
      <c r="AB152" s="21">
        <v>1015</v>
      </c>
      <c r="AC152" s="21">
        <v>985</v>
      </c>
      <c r="AD152" s="21">
        <v>983</v>
      </c>
      <c r="AE152" s="21">
        <v>950</v>
      </c>
      <c r="AF152" s="21">
        <v>963</v>
      </c>
      <c r="AG152" s="21">
        <v>975</v>
      </c>
      <c r="AH152" s="21">
        <v>955</v>
      </c>
      <c r="AI152" s="21">
        <v>983</v>
      </c>
      <c r="AJ152" s="21">
        <v>985</v>
      </c>
      <c r="AK152" s="21">
        <v>1004</v>
      </c>
      <c r="AL152" s="21">
        <v>997</v>
      </c>
      <c r="AM152" s="21">
        <v>1014</v>
      </c>
      <c r="AN152" s="21">
        <v>987</v>
      </c>
      <c r="AO152" s="21">
        <v>990</v>
      </c>
      <c r="AP152" s="21">
        <v>996</v>
      </c>
      <c r="AQ152" s="21">
        <v>1004</v>
      </c>
      <c r="AR152" s="21">
        <v>1043</v>
      </c>
      <c r="AS152" s="21">
        <v>1010</v>
      </c>
      <c r="AT152" s="21">
        <v>1029</v>
      </c>
      <c r="AU152" s="21">
        <v>998</v>
      </c>
      <c r="AV152" s="21">
        <v>1050</v>
      </c>
      <c r="AW152" s="21">
        <v>1047</v>
      </c>
      <c r="AX152" s="21">
        <v>1051</v>
      </c>
      <c r="AY152" s="21">
        <v>1050</v>
      </c>
      <c r="AZ152" s="21">
        <v>1089</v>
      </c>
      <c r="BA152" s="21">
        <v>1051</v>
      </c>
      <c r="BB152" s="21">
        <v>1028</v>
      </c>
      <c r="BC152" s="21">
        <v>1045</v>
      </c>
      <c r="BD152" s="21">
        <v>1043</v>
      </c>
      <c r="BE152" s="21">
        <v>1045</v>
      </c>
      <c r="BF152" s="21">
        <v>1027</v>
      </c>
      <c r="BG152" s="21">
        <v>1011</v>
      </c>
      <c r="BH152" s="21">
        <v>1013</v>
      </c>
      <c r="BI152" s="21">
        <v>1000</v>
      </c>
      <c r="BJ152" s="21">
        <v>995</v>
      </c>
      <c r="BK152" s="21">
        <v>982</v>
      </c>
      <c r="BL152" s="21">
        <v>941</v>
      </c>
      <c r="BM152" s="1">
        <v>939</v>
      </c>
      <c r="BN152" s="1">
        <v>916</v>
      </c>
      <c r="BO152" s="1">
        <v>920</v>
      </c>
      <c r="BP152" s="1">
        <v>920</v>
      </c>
      <c r="BQ152" s="1">
        <v>920</v>
      </c>
      <c r="BR152" s="1">
        <v>970</v>
      </c>
      <c r="BS152" s="1">
        <v>1001</v>
      </c>
      <c r="BT152" s="1">
        <v>1020</v>
      </c>
      <c r="BU152" s="1">
        <v>1030</v>
      </c>
      <c r="BV152" s="1">
        <v>1045</v>
      </c>
      <c r="BW152" s="1">
        <v>1031</v>
      </c>
      <c r="BX152" s="1">
        <v>1027</v>
      </c>
      <c r="BY152" s="1">
        <v>1020</v>
      </c>
      <c r="BZ152" s="1">
        <v>1034</v>
      </c>
    </row>
    <row r="153" spans="1:78" ht="15.9" customHeight="1">
      <c r="A153" s="78" t="s">
        <v>300</v>
      </c>
      <c r="B153" s="17" t="s">
        <v>301</v>
      </c>
      <c r="C153" s="546">
        <f>_xll.RssMarket("4417","始値")</f>
        <v>4155</v>
      </c>
      <c r="D153" s="23">
        <f t="shared" si="5"/>
        <v>25</v>
      </c>
      <c r="E153" s="553">
        <v>4130</v>
      </c>
      <c r="F153" s="21">
        <v>4230</v>
      </c>
      <c r="G153" s="21">
        <v>4450</v>
      </c>
      <c r="H153" s="21">
        <v>4545</v>
      </c>
      <c r="I153" s="21">
        <v>4520</v>
      </c>
      <c r="J153" s="21">
        <v>4510</v>
      </c>
      <c r="K153" s="21">
        <v>4300</v>
      </c>
      <c r="L153" s="21">
        <v>4200</v>
      </c>
      <c r="M153" s="21">
        <v>4185</v>
      </c>
      <c r="N153" s="21">
        <v>4495</v>
      </c>
      <c r="O153" s="21">
        <v>4430</v>
      </c>
      <c r="P153" s="21">
        <v>4490</v>
      </c>
      <c r="Q153" s="21">
        <v>4275</v>
      </c>
      <c r="R153" s="21">
        <v>4010</v>
      </c>
      <c r="S153" s="21">
        <v>3980</v>
      </c>
      <c r="T153" s="21">
        <v>3900</v>
      </c>
      <c r="U153" s="21">
        <v>3895</v>
      </c>
      <c r="V153" s="21">
        <v>3920</v>
      </c>
      <c r="W153" s="21">
        <v>4500</v>
      </c>
      <c r="X153" s="21">
        <v>4200</v>
      </c>
      <c r="Y153" s="21">
        <v>4520</v>
      </c>
      <c r="Z153" s="21">
        <v>3890</v>
      </c>
      <c r="AA153" s="21">
        <v>3905</v>
      </c>
      <c r="AB153" s="21">
        <v>3850</v>
      </c>
      <c r="AC153" s="21">
        <v>3500</v>
      </c>
      <c r="AD153" s="21">
        <v>3305</v>
      </c>
      <c r="AE153" s="21">
        <v>3260</v>
      </c>
      <c r="AF153" s="21">
        <v>3145</v>
      </c>
      <c r="AG153" s="21">
        <v>3290</v>
      </c>
      <c r="AH153" s="21">
        <v>3285</v>
      </c>
      <c r="AI153" s="21">
        <v>3280</v>
      </c>
      <c r="AJ153" s="21">
        <v>3240</v>
      </c>
      <c r="AK153" s="21">
        <v>3070</v>
      </c>
      <c r="AL153" s="21">
        <v>3110</v>
      </c>
      <c r="AM153" s="21">
        <v>3070</v>
      </c>
      <c r="AN153" s="21">
        <v>3100</v>
      </c>
      <c r="AO153" s="21">
        <v>3090</v>
      </c>
      <c r="AP153" s="21">
        <v>3200</v>
      </c>
      <c r="AQ153" s="21">
        <v>3030</v>
      </c>
      <c r="AR153" s="21">
        <v>3160</v>
      </c>
      <c r="AS153" s="21">
        <v>3050</v>
      </c>
      <c r="AT153" s="21">
        <v>3300</v>
      </c>
      <c r="AU153" s="21">
        <v>3375</v>
      </c>
      <c r="AV153" s="21">
        <v>3310</v>
      </c>
      <c r="AW153" s="21">
        <v>3245</v>
      </c>
      <c r="AX153" s="21">
        <v>3300</v>
      </c>
      <c r="AY153" s="21">
        <v>3350</v>
      </c>
      <c r="AZ153" s="21">
        <v>3115</v>
      </c>
      <c r="BA153" s="21">
        <v>3000</v>
      </c>
      <c r="BB153" s="21">
        <v>2940</v>
      </c>
      <c r="BC153" s="21">
        <v>2839</v>
      </c>
      <c r="BD153" s="21">
        <v>2808</v>
      </c>
      <c r="BE153" s="21">
        <v>2721</v>
      </c>
      <c r="BF153" s="21">
        <v>2945</v>
      </c>
      <c r="BG153" s="21">
        <v>2942</v>
      </c>
      <c r="BH153" s="21">
        <v>2925</v>
      </c>
      <c r="BI153" s="21">
        <v>2910</v>
      </c>
      <c r="BJ153" s="21">
        <v>2779</v>
      </c>
      <c r="BK153" s="21">
        <v>2732</v>
      </c>
      <c r="BL153" s="21">
        <v>2780</v>
      </c>
      <c r="BM153" s="1">
        <v>2480</v>
      </c>
      <c r="BN153" s="1">
        <v>2511</v>
      </c>
      <c r="BO153" s="1">
        <v>2529</v>
      </c>
      <c r="BP153" s="1">
        <v>2450</v>
      </c>
      <c r="BQ153" s="1">
        <v>2501</v>
      </c>
      <c r="BR153" s="1">
        <v>2449</v>
      </c>
      <c r="BS153" s="1">
        <v>2470</v>
      </c>
      <c r="BT153" s="1">
        <v>2502</v>
      </c>
      <c r="BU153" s="1">
        <v>2490</v>
      </c>
      <c r="BV153" s="1">
        <v>2456</v>
      </c>
      <c r="BW153" s="1">
        <v>2285</v>
      </c>
      <c r="BX153" s="1">
        <v>2321</v>
      </c>
      <c r="BY153" s="1">
        <v>2395</v>
      </c>
      <c r="BZ153" s="1">
        <v>2519</v>
      </c>
    </row>
    <row r="154" spans="1:78" ht="15.9" customHeight="1">
      <c r="A154" s="78" t="s">
        <v>302</v>
      </c>
      <c r="B154" s="17" t="s">
        <v>303</v>
      </c>
      <c r="C154" s="546">
        <f>_xll.RssMarket("6981","始値")</f>
        <v>7351</v>
      </c>
      <c r="D154" s="23">
        <f t="shared" si="5"/>
        <v>66</v>
      </c>
      <c r="E154" s="553">
        <v>7285</v>
      </c>
      <c r="F154" s="21">
        <v>7566</v>
      </c>
      <c r="G154" s="21">
        <v>7416</v>
      </c>
      <c r="H154" s="21">
        <v>6230</v>
      </c>
      <c r="I154" s="21">
        <v>7154</v>
      </c>
      <c r="J154" s="21">
        <v>7292</v>
      </c>
      <c r="K154" s="21">
        <v>8221</v>
      </c>
      <c r="L154" s="21">
        <v>8577</v>
      </c>
      <c r="M154" s="21">
        <v>8617</v>
      </c>
      <c r="N154" s="21">
        <v>8550</v>
      </c>
      <c r="O154" s="21">
        <v>7578</v>
      </c>
      <c r="P154" s="21">
        <v>7812</v>
      </c>
      <c r="Q154" s="21">
        <v>9184</v>
      </c>
      <c r="R154" s="21">
        <v>9001</v>
      </c>
      <c r="S154" s="21">
        <v>9726</v>
      </c>
      <c r="T154" s="21">
        <v>9677</v>
      </c>
      <c r="U154" s="21">
        <v>9327</v>
      </c>
      <c r="V154" s="21">
        <v>8912</v>
      </c>
      <c r="W154" s="21">
        <v>10185</v>
      </c>
      <c r="X154" s="21">
        <v>11085</v>
      </c>
      <c r="Y154" s="21">
        <v>10335</v>
      </c>
      <c r="Z154" s="21">
        <v>10925</v>
      </c>
      <c r="AA154" s="21">
        <v>11670</v>
      </c>
      <c r="AB154" s="21">
        <v>10640</v>
      </c>
      <c r="AC154" s="21">
        <v>10835</v>
      </c>
      <c r="AD154" s="21">
        <v>11300</v>
      </c>
      <c r="AE154" s="21">
        <v>11475</v>
      </c>
      <c r="AF154" s="21">
        <v>10990</v>
      </c>
      <c r="AG154" s="21">
        <v>11950</v>
      </c>
      <c r="AH154" s="21">
        <v>12570</v>
      </c>
      <c r="AI154" s="21">
        <v>12345</v>
      </c>
      <c r="AJ154" s="21">
        <v>12100</v>
      </c>
      <c r="AK154" s="21">
        <v>10230</v>
      </c>
      <c r="AL154" s="21">
        <v>10560</v>
      </c>
      <c r="AM154" s="21">
        <v>9456</v>
      </c>
      <c r="AN154" s="21">
        <v>9567</v>
      </c>
      <c r="AO154" s="21">
        <v>8218</v>
      </c>
      <c r="AP154" s="21">
        <v>9392</v>
      </c>
      <c r="AQ154" s="21">
        <v>8795</v>
      </c>
      <c r="AR154" s="21">
        <v>9500</v>
      </c>
      <c r="AS154" s="21">
        <v>10120</v>
      </c>
      <c r="AT154" s="21">
        <v>10300</v>
      </c>
      <c r="AU154" s="21">
        <v>10410</v>
      </c>
      <c r="AV154" s="21">
        <v>9128</v>
      </c>
      <c r="AW154" s="21">
        <v>7700</v>
      </c>
      <c r="AX154" s="21">
        <v>8227</v>
      </c>
      <c r="AY154" s="21">
        <v>7338</v>
      </c>
      <c r="AZ154" s="21">
        <v>6715</v>
      </c>
      <c r="BA154" s="21">
        <v>6352</v>
      </c>
      <c r="BB154" s="21">
        <v>5990</v>
      </c>
      <c r="BC154" s="21">
        <v>6234</v>
      </c>
      <c r="BD154" s="21">
        <v>6051</v>
      </c>
      <c r="BE154" s="21">
        <v>6429</v>
      </c>
      <c r="BF154" s="21">
        <v>6146</v>
      </c>
      <c r="BG154" s="21">
        <v>5947</v>
      </c>
      <c r="BH154" s="21">
        <v>6078</v>
      </c>
      <c r="BI154" s="21">
        <v>5993</v>
      </c>
      <c r="BJ154" s="21">
        <v>5590</v>
      </c>
      <c r="BK154" s="21">
        <v>5400</v>
      </c>
      <c r="BL154" s="21">
        <v>5000</v>
      </c>
      <c r="BM154" s="1">
        <v>4848</v>
      </c>
      <c r="BN154" s="1">
        <v>4933</v>
      </c>
      <c r="BO154" s="1">
        <v>5001</v>
      </c>
      <c r="BP154" s="1">
        <v>4950</v>
      </c>
      <c r="BQ154" s="1">
        <v>4841</v>
      </c>
      <c r="BR154" s="1">
        <v>4827</v>
      </c>
      <c r="BS154" s="1">
        <v>4740</v>
      </c>
      <c r="BT154" s="1">
        <v>4662</v>
      </c>
      <c r="BU154" s="1">
        <v>4722</v>
      </c>
      <c r="BV154" s="1">
        <v>4570</v>
      </c>
      <c r="BW154" s="1">
        <v>4485</v>
      </c>
      <c r="BX154" s="1">
        <v>4208</v>
      </c>
      <c r="BY154" s="1">
        <v>4077</v>
      </c>
      <c r="BZ154" s="1">
        <v>3988</v>
      </c>
    </row>
    <row r="155" spans="1:78" ht="15.9" customHeight="1">
      <c r="A155" s="78" t="s">
        <v>304</v>
      </c>
      <c r="B155" s="17" t="s">
        <v>305</v>
      </c>
      <c r="C155" s="546">
        <f>_xll.RssMarket("6754","始値")</f>
        <v>3635</v>
      </c>
      <c r="D155" s="23">
        <f t="shared" si="5"/>
        <v>159</v>
      </c>
      <c r="E155" s="553">
        <v>3476</v>
      </c>
      <c r="F155" s="21">
        <v>3531</v>
      </c>
      <c r="G155" s="21">
        <v>3693</v>
      </c>
      <c r="H155" s="21">
        <v>3411</v>
      </c>
      <c r="I155" s="21">
        <v>3643</v>
      </c>
      <c r="J155" s="21">
        <v>3712</v>
      </c>
      <c r="K155" s="21">
        <v>3896</v>
      </c>
      <c r="L155" s="21"/>
      <c r="M155" s="21">
        <v>4004</v>
      </c>
      <c r="N155" s="21">
        <v>3936</v>
      </c>
      <c r="O155" s="21">
        <v>3708</v>
      </c>
      <c r="P155" s="21">
        <v>3798</v>
      </c>
      <c r="Q155" s="21">
        <v>4103</v>
      </c>
      <c r="R155" s="21">
        <v>4028</v>
      </c>
      <c r="S155" s="21">
        <v>4231</v>
      </c>
      <c r="T155" s="21">
        <v>4161</v>
      </c>
      <c r="U155" s="21">
        <v>4081</v>
      </c>
      <c r="V155" s="21">
        <v>3935</v>
      </c>
      <c r="W155" s="21">
        <v>4225</v>
      </c>
      <c r="X155" s="21">
        <v>4527</v>
      </c>
      <c r="Y155" s="21">
        <v>4280</v>
      </c>
      <c r="Z155" s="21">
        <v>4600</v>
      </c>
      <c r="AA155" s="21">
        <v>4746</v>
      </c>
      <c r="AB155" s="21">
        <v>4393</v>
      </c>
      <c r="AC155" s="21">
        <v>4343</v>
      </c>
      <c r="AD155" s="21">
        <v>4500</v>
      </c>
      <c r="AE155" s="21">
        <v>4526</v>
      </c>
      <c r="AF155" s="21">
        <v>4410</v>
      </c>
      <c r="AG155" s="21">
        <v>4700</v>
      </c>
      <c r="AH155" s="21">
        <v>4273</v>
      </c>
      <c r="AI155" s="21">
        <v>4300</v>
      </c>
      <c r="AJ155" s="21">
        <v>4079</v>
      </c>
      <c r="AK155" s="21">
        <v>4001</v>
      </c>
      <c r="AL155" s="21">
        <v>3947</v>
      </c>
      <c r="AM155" s="21">
        <v>4022</v>
      </c>
      <c r="AN155" s="21">
        <v>3975</v>
      </c>
      <c r="AO155" s="21">
        <v>3694</v>
      </c>
      <c r="AP155" s="21">
        <v>4120</v>
      </c>
      <c r="AQ155" s="21">
        <v>4199</v>
      </c>
      <c r="AR155" s="21">
        <v>4515</v>
      </c>
      <c r="AS155" s="21">
        <v>4698</v>
      </c>
      <c r="AT155" s="21">
        <v>4654</v>
      </c>
      <c r="AU155" s="21">
        <v>4700</v>
      </c>
      <c r="AV155" s="21">
        <v>4535</v>
      </c>
      <c r="AW155" s="21">
        <v>4544</v>
      </c>
      <c r="AX155" s="21">
        <v>4680</v>
      </c>
      <c r="AY155" s="21">
        <v>4650</v>
      </c>
      <c r="AZ155" s="21">
        <v>4595</v>
      </c>
      <c r="BA155" s="21">
        <v>4428</v>
      </c>
      <c r="BB155" s="21">
        <v>4284</v>
      </c>
      <c r="BC155" s="21">
        <v>4195</v>
      </c>
      <c r="BD155" s="21">
        <v>4236</v>
      </c>
      <c r="BE155" s="21">
        <v>4322</v>
      </c>
      <c r="BF155" s="21">
        <v>4164</v>
      </c>
      <c r="BG155" s="21">
        <v>3985</v>
      </c>
      <c r="BH155" s="21">
        <v>4151</v>
      </c>
      <c r="BI155" s="21">
        <v>4300</v>
      </c>
      <c r="BJ155" s="21">
        <v>4062</v>
      </c>
      <c r="BK155" s="21">
        <v>3946</v>
      </c>
      <c r="BL155" s="21">
        <v>3899</v>
      </c>
      <c r="BM155" s="1">
        <v>3936</v>
      </c>
      <c r="BN155" s="1">
        <v>3875</v>
      </c>
      <c r="BO155" s="1">
        <v>3694</v>
      </c>
      <c r="BP155" s="1">
        <v>3592</v>
      </c>
      <c r="BQ155" s="1">
        <v>3588</v>
      </c>
      <c r="BR155" s="1">
        <v>3616</v>
      </c>
      <c r="BS155" s="1">
        <v>3590</v>
      </c>
      <c r="BT155" s="1">
        <v>3392</v>
      </c>
      <c r="BU155" s="1">
        <v>3444</v>
      </c>
      <c r="BV155" s="1">
        <v>3419</v>
      </c>
      <c r="BW155" s="1">
        <v>3478</v>
      </c>
      <c r="BX155" s="1">
        <v>3434</v>
      </c>
      <c r="BY155" s="1">
        <v>3400</v>
      </c>
      <c r="BZ155" s="1">
        <v>3280</v>
      </c>
    </row>
    <row r="156" spans="1:78" ht="15.9" customHeight="1">
      <c r="A156" s="78" t="s">
        <v>306</v>
      </c>
      <c r="B156" s="17" t="s">
        <v>307</v>
      </c>
      <c r="C156" s="546">
        <f>_xll.RssMarket("4088","始値")</f>
        <v>2524</v>
      </c>
      <c r="D156" s="23">
        <f t="shared" si="5"/>
        <v>-136</v>
      </c>
      <c r="E156" s="553">
        <v>2660</v>
      </c>
      <c r="F156" s="21">
        <v>2567</v>
      </c>
      <c r="G156" s="21">
        <v>2561</v>
      </c>
      <c r="H156" s="21">
        <v>2577</v>
      </c>
      <c r="I156" s="21">
        <v>2579</v>
      </c>
      <c r="J156" s="21">
        <v>2665</v>
      </c>
      <c r="K156" s="21">
        <v>2597</v>
      </c>
      <c r="L156" s="21">
        <v>2562</v>
      </c>
      <c r="M156" s="21">
        <v>2558</v>
      </c>
      <c r="N156" s="21">
        <v>2553</v>
      </c>
      <c r="O156" s="21">
        <v>2500</v>
      </c>
      <c r="P156" s="21">
        <v>2525</v>
      </c>
      <c r="Q156" s="21">
        <v>2577</v>
      </c>
      <c r="R156" s="21">
        <v>2546</v>
      </c>
      <c r="S156" s="21">
        <v>2554</v>
      </c>
      <c r="T156" s="21">
        <v>2623</v>
      </c>
      <c r="U156" s="21">
        <v>2630</v>
      </c>
      <c r="V156" s="21">
        <v>2695</v>
      </c>
      <c r="W156" s="21">
        <v>2764</v>
      </c>
      <c r="X156" s="21">
        <v>2824</v>
      </c>
      <c r="Y156" s="21">
        <v>2748</v>
      </c>
      <c r="Z156" s="21">
        <v>2761</v>
      </c>
      <c r="AA156" s="21">
        <v>2799</v>
      </c>
      <c r="AB156" s="21">
        <v>2790</v>
      </c>
      <c r="AC156" s="21">
        <v>2750</v>
      </c>
      <c r="AD156" s="21">
        <v>2851</v>
      </c>
      <c r="AE156" s="21">
        <v>2740</v>
      </c>
      <c r="AF156" s="21">
        <v>2631</v>
      </c>
      <c r="AG156" s="21">
        <v>2600</v>
      </c>
      <c r="AH156" s="21">
        <v>2451</v>
      </c>
      <c r="AI156" s="21">
        <v>2520</v>
      </c>
      <c r="AJ156" s="21">
        <v>2500</v>
      </c>
      <c r="AK156" s="21">
        <v>2500</v>
      </c>
      <c r="AL156" s="21">
        <v>2552</v>
      </c>
      <c r="AM156" s="21">
        <v>2441</v>
      </c>
      <c r="AN156" s="21">
        <v>2435</v>
      </c>
      <c r="AO156" s="21">
        <v>2460</v>
      </c>
      <c r="AP156" s="21">
        <v>2444</v>
      </c>
      <c r="AQ156" s="21">
        <v>2423</v>
      </c>
      <c r="AR156" s="21">
        <v>2440</v>
      </c>
      <c r="AS156" s="21">
        <v>2518</v>
      </c>
      <c r="AT156" s="21">
        <v>2470</v>
      </c>
      <c r="AU156" s="21">
        <v>2488</v>
      </c>
      <c r="AV156" s="21">
        <v>2576</v>
      </c>
      <c r="AW156" s="21">
        <v>2599</v>
      </c>
      <c r="AX156" s="21">
        <v>2578</v>
      </c>
      <c r="AY156" s="21">
        <v>2616</v>
      </c>
      <c r="AZ156" s="21">
        <v>2580</v>
      </c>
      <c r="BA156" s="21">
        <v>2500</v>
      </c>
      <c r="BB156" s="21">
        <v>2500</v>
      </c>
      <c r="BC156" s="21">
        <v>2451</v>
      </c>
      <c r="BD156" s="21">
        <v>2290</v>
      </c>
      <c r="BE156" s="21">
        <v>2167</v>
      </c>
      <c r="BF156" s="21">
        <v>2115</v>
      </c>
      <c r="BG156" s="21">
        <v>2052</v>
      </c>
      <c r="BH156" s="21">
        <v>2005</v>
      </c>
      <c r="BI156" s="21">
        <v>1964.5</v>
      </c>
      <c r="BJ156" s="21">
        <v>1915</v>
      </c>
      <c r="BK156" s="21">
        <v>1890</v>
      </c>
      <c r="BL156" s="21">
        <v>2039</v>
      </c>
      <c r="BM156" s="1">
        <v>2239</v>
      </c>
      <c r="BN156" s="1">
        <v>2254</v>
      </c>
      <c r="BO156" s="1">
        <v>2232.5</v>
      </c>
      <c r="BP156" s="1">
        <v>2223.5</v>
      </c>
      <c r="BQ156" s="1">
        <v>2200</v>
      </c>
      <c r="BR156" s="1">
        <v>2255.5</v>
      </c>
      <c r="BS156" s="1">
        <v>2275</v>
      </c>
      <c r="BT156" s="1">
        <v>2287.5</v>
      </c>
      <c r="BU156" s="1">
        <v>2302</v>
      </c>
      <c r="BV156" s="1">
        <v>2293.5</v>
      </c>
      <c r="BW156" s="1">
        <v>2283</v>
      </c>
      <c r="BX156" s="1">
        <v>2250</v>
      </c>
      <c r="BY156" s="1">
        <v>2227</v>
      </c>
      <c r="BZ156" s="1">
        <v>2245.5</v>
      </c>
    </row>
    <row r="157" spans="1:78" ht="15.9" customHeight="1">
      <c r="A157" s="78" t="s">
        <v>308</v>
      </c>
      <c r="B157" s="17" t="s">
        <v>309</v>
      </c>
      <c r="C157" s="546">
        <f>_xll.RssMarket("4091","始値")</f>
        <v>5800</v>
      </c>
      <c r="D157" s="23">
        <f t="shared" si="5"/>
        <v>83</v>
      </c>
      <c r="E157" s="553">
        <v>5717</v>
      </c>
      <c r="F157" s="21">
        <v>5781</v>
      </c>
      <c r="G157" s="21">
        <v>5927</v>
      </c>
      <c r="H157" s="21">
        <v>5800</v>
      </c>
      <c r="I157" s="21">
        <v>5850</v>
      </c>
      <c r="J157" s="21">
        <v>5994</v>
      </c>
      <c r="K157" s="21">
        <v>5906</v>
      </c>
      <c r="L157" s="21">
        <v>5840</v>
      </c>
      <c r="M157" s="21">
        <v>5983</v>
      </c>
      <c r="N157" s="21">
        <v>5987</v>
      </c>
      <c r="O157" s="21">
        <v>6057</v>
      </c>
      <c r="P157" s="21">
        <v>6115</v>
      </c>
      <c r="Q157" s="21">
        <v>6100</v>
      </c>
      <c r="R157" s="21">
        <v>6037</v>
      </c>
      <c r="S157" s="21">
        <v>6074</v>
      </c>
      <c r="T157" s="21">
        <v>6234</v>
      </c>
      <c r="U157" s="21">
        <v>6090</v>
      </c>
      <c r="V157" s="21">
        <v>6169</v>
      </c>
      <c r="W157" s="21">
        <v>6300</v>
      </c>
      <c r="X157" s="21">
        <v>6285</v>
      </c>
      <c r="Y157" s="21">
        <v>6286</v>
      </c>
      <c r="Z157" s="21">
        <v>6100</v>
      </c>
      <c r="AA157" s="21">
        <v>6004</v>
      </c>
      <c r="AB157" s="21">
        <v>5999</v>
      </c>
      <c r="AC157" s="21">
        <v>5961</v>
      </c>
      <c r="AD157" s="21">
        <v>5861</v>
      </c>
      <c r="AE157" s="21">
        <v>5648</v>
      </c>
      <c r="AF157" s="21">
        <v>5610</v>
      </c>
      <c r="AG157" s="21">
        <v>5523</v>
      </c>
      <c r="AH157" s="21">
        <v>5490</v>
      </c>
      <c r="AI157" s="21">
        <v>5552</v>
      </c>
      <c r="AJ157" s="21">
        <v>5584</v>
      </c>
      <c r="AK157" s="21">
        <v>5561</v>
      </c>
      <c r="AL157" s="21">
        <v>5574</v>
      </c>
      <c r="AM157" s="21">
        <v>5487</v>
      </c>
      <c r="AN157" s="21">
        <v>5320</v>
      </c>
      <c r="AO157" s="21">
        <v>5175</v>
      </c>
      <c r="AP157" s="21">
        <v>5331</v>
      </c>
      <c r="AQ157" s="21">
        <v>5527</v>
      </c>
      <c r="AR157" s="21">
        <v>5570</v>
      </c>
      <c r="AS157" s="21">
        <v>5662</v>
      </c>
      <c r="AT157" s="21">
        <v>5700</v>
      </c>
      <c r="AU157" s="21">
        <v>5772</v>
      </c>
      <c r="AV157" s="21">
        <v>6350</v>
      </c>
      <c r="AW157" s="21">
        <v>6298</v>
      </c>
      <c r="AX157" s="21">
        <v>6419</v>
      </c>
      <c r="AY157" s="21">
        <v>6227</v>
      </c>
      <c r="AZ157" s="21">
        <v>6144</v>
      </c>
      <c r="BA157" s="21">
        <v>5917</v>
      </c>
      <c r="BB157" s="21">
        <v>5828</v>
      </c>
      <c r="BC157" s="21">
        <v>6021</v>
      </c>
      <c r="BD157" s="21">
        <v>6061</v>
      </c>
      <c r="BE157" s="21">
        <v>6114</v>
      </c>
      <c r="BF157" s="21">
        <v>6000</v>
      </c>
      <c r="BG157" s="21">
        <v>5739</v>
      </c>
      <c r="BH157" s="21">
        <v>6162</v>
      </c>
      <c r="BI157" s="21">
        <v>5736</v>
      </c>
      <c r="BJ157" s="21">
        <v>5722</v>
      </c>
      <c r="BK157" s="21">
        <v>5468</v>
      </c>
      <c r="BL157" s="21">
        <v>5550</v>
      </c>
      <c r="BM157" s="1">
        <v>5652</v>
      </c>
      <c r="BN157" s="1">
        <v>5651</v>
      </c>
      <c r="BO157" s="1">
        <v>5661</v>
      </c>
      <c r="BP157" s="1">
        <v>5602</v>
      </c>
      <c r="BQ157" s="1">
        <v>5634</v>
      </c>
      <c r="BR157" s="1">
        <v>5710</v>
      </c>
      <c r="BS157" s="1">
        <v>5872</v>
      </c>
      <c r="BT157" s="1">
        <v>5815</v>
      </c>
      <c r="BU157" s="1">
        <v>6040</v>
      </c>
      <c r="BV157" s="1">
        <v>5861</v>
      </c>
      <c r="BW157" s="1">
        <v>5857</v>
      </c>
      <c r="BX157" s="1">
        <v>5971</v>
      </c>
      <c r="BY157" s="1">
        <v>5821</v>
      </c>
      <c r="BZ157" s="1">
        <v>5930</v>
      </c>
    </row>
    <row r="158" spans="1:78" ht="15.9" customHeight="1">
      <c r="A158" s="78" t="s">
        <v>310</v>
      </c>
      <c r="B158" s="17" t="s">
        <v>311</v>
      </c>
      <c r="C158" s="546">
        <f>_xll.RssMarket("6857","始値")</f>
        <v>32500</v>
      </c>
      <c r="D158" s="23">
        <f t="shared" si="5"/>
        <v>680</v>
      </c>
      <c r="E158" s="553">
        <v>31820</v>
      </c>
      <c r="F158" s="21">
        <v>31800</v>
      </c>
      <c r="G158" s="21">
        <v>32540</v>
      </c>
      <c r="H158" s="21">
        <v>28480</v>
      </c>
      <c r="I158" s="21">
        <v>26000</v>
      </c>
      <c r="J158" s="21">
        <v>26480</v>
      </c>
      <c r="K158" s="21">
        <v>29400</v>
      </c>
      <c r="L158" s="21">
        <v>30100</v>
      </c>
      <c r="M158" s="21">
        <v>30630</v>
      </c>
      <c r="N158" s="21">
        <v>30880</v>
      </c>
      <c r="O158" s="21">
        <v>28005</v>
      </c>
      <c r="P158" s="21">
        <v>28140</v>
      </c>
      <c r="Q158" s="21">
        <v>30180</v>
      </c>
      <c r="R158" s="21">
        <v>28320</v>
      </c>
      <c r="S158" s="21">
        <v>29500</v>
      </c>
      <c r="T158" s="21">
        <v>30160</v>
      </c>
      <c r="U158" s="21">
        <v>28900</v>
      </c>
      <c r="V158" s="21">
        <v>28010</v>
      </c>
      <c r="W158" s="21">
        <v>29200</v>
      </c>
      <c r="X158" s="21">
        <v>29845</v>
      </c>
      <c r="Y158" s="21">
        <v>28110</v>
      </c>
      <c r="Z158" s="21">
        <v>30400</v>
      </c>
      <c r="AA158" s="21">
        <v>33930</v>
      </c>
      <c r="AB158" s="21">
        <v>32700</v>
      </c>
      <c r="AC158" s="21">
        <v>32920</v>
      </c>
      <c r="AD158" s="21">
        <v>34500</v>
      </c>
      <c r="AE158" s="21">
        <v>33100</v>
      </c>
      <c r="AF158" s="21">
        <v>31100</v>
      </c>
      <c r="AG158" s="21">
        <v>32430</v>
      </c>
      <c r="AH158" s="21">
        <v>31460</v>
      </c>
      <c r="AI158" s="21">
        <v>31210</v>
      </c>
      <c r="AJ158" s="21">
        <v>29855</v>
      </c>
      <c r="AK158" s="21">
        <v>29640</v>
      </c>
      <c r="AL158" s="21">
        <v>29600</v>
      </c>
      <c r="AM158" s="21">
        <v>28800</v>
      </c>
      <c r="AN158" s="21">
        <v>27205</v>
      </c>
      <c r="AO158" s="21">
        <v>24450</v>
      </c>
      <c r="AP158" s="21">
        <v>25490</v>
      </c>
      <c r="AQ158" s="21">
        <v>25100</v>
      </c>
      <c r="AR158" s="21">
        <v>27560</v>
      </c>
      <c r="AS158" s="21">
        <v>27380</v>
      </c>
      <c r="AT158" s="21">
        <v>27320</v>
      </c>
      <c r="AU158" s="21">
        <v>25810</v>
      </c>
      <c r="AV158" s="21">
        <v>26380</v>
      </c>
      <c r="AW158" s="21">
        <v>26760</v>
      </c>
      <c r="AX158" s="21">
        <v>27200</v>
      </c>
      <c r="AY158" s="21">
        <v>27245</v>
      </c>
      <c r="AZ158" s="21">
        <v>26975</v>
      </c>
      <c r="BA158" s="21">
        <v>26625</v>
      </c>
      <c r="BB158" s="21">
        <v>25790</v>
      </c>
      <c r="BC158" s="21">
        <v>26150</v>
      </c>
      <c r="BD158" s="21">
        <v>26485</v>
      </c>
      <c r="BE158" s="21">
        <v>29015</v>
      </c>
      <c r="BF158" s="21">
        <v>28510</v>
      </c>
      <c r="BG158" s="21">
        <v>28080</v>
      </c>
      <c r="BH158" s="21">
        <v>29280</v>
      </c>
      <c r="BI158" s="21">
        <v>30410</v>
      </c>
      <c r="BJ158" s="21">
        <v>29800</v>
      </c>
      <c r="BK158" s="21">
        <v>30100</v>
      </c>
      <c r="BL158" s="21">
        <v>28990</v>
      </c>
      <c r="BM158" s="1">
        <v>28880</v>
      </c>
      <c r="BN158" s="1">
        <v>30120</v>
      </c>
      <c r="BO158" s="1">
        <v>30500</v>
      </c>
      <c r="BP158" s="1">
        <v>28315</v>
      </c>
      <c r="BQ158" s="1">
        <v>28500</v>
      </c>
      <c r="BR158" s="1">
        <v>27255</v>
      </c>
      <c r="BS158" s="1">
        <v>27430</v>
      </c>
      <c r="BT158" s="1">
        <v>27885</v>
      </c>
      <c r="BU158" s="1">
        <v>28900</v>
      </c>
      <c r="BV158" s="1">
        <v>28085</v>
      </c>
      <c r="BW158" s="1">
        <v>28000</v>
      </c>
      <c r="BX158" s="1">
        <v>25900</v>
      </c>
      <c r="BY158" s="1">
        <v>24650</v>
      </c>
      <c r="BZ158" s="1">
        <v>25300</v>
      </c>
    </row>
    <row r="159" spans="1:78" ht="15.9" customHeight="1">
      <c r="A159" s="78" t="s">
        <v>312</v>
      </c>
      <c r="B159" s="17" t="s">
        <v>313</v>
      </c>
      <c r="C159" s="546">
        <f>_xll.RssMarket("3891","始値")</f>
        <v>7300</v>
      </c>
      <c r="D159" s="23">
        <f t="shared" si="5"/>
        <v>300</v>
      </c>
      <c r="E159" s="553">
        <v>7000</v>
      </c>
      <c r="F159" s="21">
        <v>6800</v>
      </c>
      <c r="G159" s="21">
        <v>6630</v>
      </c>
      <c r="H159" s="21">
        <v>5480</v>
      </c>
      <c r="I159" s="21">
        <v>6150</v>
      </c>
      <c r="J159" s="21">
        <v>6460</v>
      </c>
      <c r="K159" s="21">
        <v>7110</v>
      </c>
      <c r="L159" s="21">
        <v>7230</v>
      </c>
      <c r="M159" s="21">
        <v>7470</v>
      </c>
      <c r="N159" s="21">
        <v>7550</v>
      </c>
      <c r="O159" s="21">
        <v>7050</v>
      </c>
      <c r="P159" s="21">
        <v>7120</v>
      </c>
      <c r="Q159" s="21">
        <v>7670</v>
      </c>
      <c r="R159" s="21">
        <v>7340</v>
      </c>
      <c r="S159" s="21">
        <v>7970</v>
      </c>
      <c r="T159" s="21">
        <v>8120</v>
      </c>
      <c r="U159" s="21">
        <v>8230</v>
      </c>
      <c r="V159" s="21">
        <v>7820</v>
      </c>
      <c r="W159" s="21">
        <v>8690</v>
      </c>
      <c r="X159" s="21">
        <v>9430</v>
      </c>
      <c r="Y159" s="21">
        <v>8700</v>
      </c>
      <c r="Z159" s="21">
        <v>9700</v>
      </c>
      <c r="AA159" s="21">
        <v>10190</v>
      </c>
      <c r="AB159" s="21">
        <v>10290</v>
      </c>
      <c r="AC159" s="21">
        <v>9990</v>
      </c>
      <c r="AD159" s="21">
        <v>10130</v>
      </c>
      <c r="AE159" s="21">
        <v>10010</v>
      </c>
      <c r="AF159" s="21">
        <v>9620</v>
      </c>
      <c r="AG159" s="21">
        <v>10370</v>
      </c>
      <c r="AH159" s="21">
        <v>10750</v>
      </c>
      <c r="AI159" s="21">
        <v>10880</v>
      </c>
      <c r="AJ159" s="21">
        <v>10000</v>
      </c>
      <c r="AK159" s="21">
        <v>8830</v>
      </c>
      <c r="AL159" s="21">
        <v>8770</v>
      </c>
      <c r="AM159" s="21">
        <v>8760</v>
      </c>
      <c r="AN159" s="21">
        <v>9320</v>
      </c>
      <c r="AO159" s="21">
        <v>8190</v>
      </c>
      <c r="AP159" s="21">
        <v>9750</v>
      </c>
      <c r="AQ159" s="21">
        <v>8260</v>
      </c>
      <c r="AR159" s="21">
        <v>8220</v>
      </c>
      <c r="AS159" s="21">
        <v>8330</v>
      </c>
      <c r="AT159" s="21">
        <v>8060</v>
      </c>
      <c r="AU159" s="21">
        <v>8180</v>
      </c>
      <c r="AV159" s="21">
        <v>7390</v>
      </c>
      <c r="AW159" s="21">
        <v>6870</v>
      </c>
      <c r="AX159" s="21">
        <v>7590</v>
      </c>
      <c r="AY159" s="21">
        <v>7750</v>
      </c>
      <c r="AZ159" s="21">
        <v>7020</v>
      </c>
      <c r="BA159" s="21">
        <v>6930</v>
      </c>
      <c r="BB159" s="21">
        <v>6450</v>
      </c>
      <c r="BC159" s="21">
        <v>6500</v>
      </c>
      <c r="BD159" s="21">
        <v>6200</v>
      </c>
      <c r="BE159" s="21">
        <v>6310</v>
      </c>
      <c r="BF159" s="21">
        <v>6500</v>
      </c>
      <c r="BG159" s="21">
        <v>6300</v>
      </c>
      <c r="BH159" s="21">
        <v>6480</v>
      </c>
      <c r="BI159" s="21">
        <v>6680</v>
      </c>
      <c r="BJ159" s="21">
        <v>6520</v>
      </c>
      <c r="BK159" s="21">
        <v>6270</v>
      </c>
      <c r="BL159" s="21">
        <v>6460</v>
      </c>
      <c r="BM159" s="1">
        <v>6340</v>
      </c>
      <c r="BN159" s="1">
        <v>6250</v>
      </c>
      <c r="BO159" s="1">
        <v>6000</v>
      </c>
      <c r="BP159" s="1">
        <v>4420</v>
      </c>
      <c r="BQ159" s="1">
        <v>4515</v>
      </c>
      <c r="BR159" s="1">
        <v>4585</v>
      </c>
      <c r="BS159" s="1">
        <v>4455</v>
      </c>
      <c r="BT159" s="1">
        <v>4280</v>
      </c>
      <c r="BU159" s="1">
        <v>4490</v>
      </c>
      <c r="BV159" s="1">
        <v>4530</v>
      </c>
      <c r="BW159" s="1">
        <v>4505</v>
      </c>
      <c r="BX159" s="1">
        <v>4250</v>
      </c>
      <c r="BY159" s="1">
        <v>4045</v>
      </c>
      <c r="BZ159" s="1">
        <v>4125</v>
      </c>
    </row>
    <row r="160" spans="1:78" ht="15.9" customHeight="1">
      <c r="A160" s="78" t="s">
        <v>314</v>
      </c>
      <c r="B160" s="17" t="s">
        <v>315</v>
      </c>
      <c r="C160" s="546">
        <f>_xll.RssMarket("4373","始値")</f>
        <v>1100</v>
      </c>
      <c r="D160" s="23">
        <f t="shared" si="5"/>
        <v>-6</v>
      </c>
      <c r="E160" s="553">
        <v>1106</v>
      </c>
      <c r="F160" s="21">
        <v>1134</v>
      </c>
      <c r="G160" s="21">
        <v>1132</v>
      </c>
      <c r="H160" s="21">
        <v>1200</v>
      </c>
      <c r="I160" s="21">
        <v>1156</v>
      </c>
      <c r="J160" s="21">
        <v>1149</v>
      </c>
      <c r="K160" s="21">
        <v>1126</v>
      </c>
      <c r="L160" s="21">
        <v>1033</v>
      </c>
      <c r="M160" s="21">
        <v>1025</v>
      </c>
      <c r="N160" s="21">
        <v>1048</v>
      </c>
      <c r="O160" s="21">
        <v>1092</v>
      </c>
      <c r="P160" s="21">
        <v>1058</v>
      </c>
      <c r="Q160" s="21">
        <v>1034</v>
      </c>
      <c r="R160" s="21">
        <v>1061</v>
      </c>
      <c r="S160" s="21">
        <v>1049</v>
      </c>
      <c r="T160" s="21">
        <v>1052</v>
      </c>
      <c r="U160" s="21">
        <v>1042</v>
      </c>
      <c r="V160" s="21">
        <v>1067</v>
      </c>
      <c r="W160" s="21">
        <v>1036</v>
      </c>
      <c r="X160" s="21">
        <v>1015</v>
      </c>
      <c r="Y160" s="21">
        <v>1003</v>
      </c>
      <c r="Z160" s="21">
        <v>970</v>
      </c>
      <c r="AA160" s="21">
        <v>937</v>
      </c>
      <c r="AB160" s="21">
        <v>951</v>
      </c>
      <c r="AC160" s="21">
        <v>926</v>
      </c>
      <c r="AD160" s="21">
        <v>909</v>
      </c>
      <c r="AE160" s="21">
        <v>923</v>
      </c>
      <c r="AF160" s="21">
        <v>921</v>
      </c>
      <c r="AG160" s="21">
        <v>933</v>
      </c>
      <c r="AH160" s="21">
        <v>930</v>
      </c>
      <c r="AI160" s="21">
        <v>927</v>
      </c>
      <c r="AJ160" s="21">
        <v>935</v>
      </c>
      <c r="AK160" s="21">
        <v>966</v>
      </c>
      <c r="AL160" s="21">
        <v>940</v>
      </c>
      <c r="AM160" s="21">
        <v>983</v>
      </c>
      <c r="AN160" s="21">
        <v>991</v>
      </c>
      <c r="AO160" s="21">
        <v>1036</v>
      </c>
      <c r="AP160" s="21">
        <v>1060</v>
      </c>
      <c r="AQ160" s="21">
        <v>1074</v>
      </c>
      <c r="AR160" s="21">
        <v>1084</v>
      </c>
      <c r="AS160" s="21">
        <v>1106</v>
      </c>
      <c r="AT160" s="21">
        <v>1116</v>
      </c>
      <c r="AU160" s="21">
        <v>1158</v>
      </c>
      <c r="AV160" s="21">
        <v>1045</v>
      </c>
      <c r="AW160" s="21">
        <v>1040</v>
      </c>
      <c r="AX160" s="21">
        <v>999</v>
      </c>
      <c r="AY160" s="21">
        <v>1043</v>
      </c>
      <c r="AZ160" s="21">
        <v>1035</v>
      </c>
      <c r="BA160" s="21">
        <v>1005</v>
      </c>
      <c r="BB160" s="21">
        <v>1024</v>
      </c>
      <c r="BC160" s="21">
        <v>1008</v>
      </c>
      <c r="BD160" s="21">
        <v>950</v>
      </c>
      <c r="BE160" s="21">
        <v>945</v>
      </c>
      <c r="BF160" s="21">
        <v>956</v>
      </c>
      <c r="BG160" s="21">
        <v>968</v>
      </c>
      <c r="BH160" s="21">
        <v>960</v>
      </c>
      <c r="BI160" s="21">
        <v>936</v>
      </c>
      <c r="BJ160" s="21">
        <v>925</v>
      </c>
      <c r="BK160" s="21">
        <v>891</v>
      </c>
      <c r="BL160" s="21">
        <v>917</v>
      </c>
      <c r="BM160" s="1">
        <v>881</v>
      </c>
      <c r="BN160" s="1">
        <v>888</v>
      </c>
      <c r="BO160" s="1">
        <v>921</v>
      </c>
      <c r="BP160" s="1">
        <v>905</v>
      </c>
      <c r="BQ160" s="1">
        <v>948</v>
      </c>
      <c r="BR160" s="1">
        <v>945</v>
      </c>
      <c r="BS160" s="1">
        <v>959</v>
      </c>
      <c r="BT160" s="1">
        <v>945</v>
      </c>
      <c r="BU160" s="1">
        <v>899</v>
      </c>
      <c r="BV160" s="1">
        <v>933</v>
      </c>
      <c r="BW160" s="1">
        <v>862</v>
      </c>
      <c r="BX160" s="1">
        <v>849</v>
      </c>
      <c r="BY160" s="1">
        <v>803</v>
      </c>
      <c r="BZ160" s="1">
        <v>823</v>
      </c>
    </row>
    <row r="161" spans="1:78" ht="15.9" customHeight="1">
      <c r="A161" s="78" t="s">
        <v>316</v>
      </c>
      <c r="B161" s="17" t="s">
        <v>317</v>
      </c>
      <c r="C161" s="546">
        <f>_xll.RssMarket("8892","始値")</f>
        <v>1073</v>
      </c>
      <c r="D161" s="23">
        <f t="shared" si="5"/>
        <v>5</v>
      </c>
      <c r="E161" s="553">
        <v>1068</v>
      </c>
      <c r="F161" s="21">
        <v>1072</v>
      </c>
      <c r="G161" s="21">
        <v>1085</v>
      </c>
      <c r="H161" s="21">
        <v>1105</v>
      </c>
      <c r="I161" s="21">
        <v>1065</v>
      </c>
      <c r="J161" s="21">
        <v>1126</v>
      </c>
      <c r="K161" s="21">
        <v>1100</v>
      </c>
      <c r="L161" s="21"/>
      <c r="M161" s="21">
        <v>1120</v>
      </c>
      <c r="N161" s="21">
        <v>1120</v>
      </c>
      <c r="O161" s="21">
        <v>1106</v>
      </c>
      <c r="P161" s="21">
        <v>1114</v>
      </c>
      <c r="Q161" s="21">
        <v>1125</v>
      </c>
      <c r="R161" s="21">
        <v>1125</v>
      </c>
      <c r="S161" s="21">
        <v>1139</v>
      </c>
      <c r="T161" s="21">
        <v>1120</v>
      </c>
      <c r="U161" s="21">
        <v>1104</v>
      </c>
      <c r="V161" s="21">
        <v>1101</v>
      </c>
      <c r="W161" s="21">
        <v>1109</v>
      </c>
      <c r="X161" s="21">
        <v>1099</v>
      </c>
      <c r="Y161" s="21">
        <v>1095</v>
      </c>
      <c r="Z161" s="21">
        <v>1080</v>
      </c>
      <c r="AA161" s="21">
        <v>1080</v>
      </c>
      <c r="AB161" s="21">
        <v>1084</v>
      </c>
      <c r="AC161" s="21">
        <v>1071</v>
      </c>
      <c r="AD161" s="21">
        <v>1061</v>
      </c>
      <c r="AE161" s="21">
        <v>1067</v>
      </c>
      <c r="AF161" s="21">
        <v>1056</v>
      </c>
      <c r="AG161" s="21">
        <v>1058</v>
      </c>
      <c r="AH161" s="21">
        <v>1062</v>
      </c>
      <c r="AI161" s="21">
        <v>1071</v>
      </c>
      <c r="AJ161" s="21">
        <v>1076</v>
      </c>
      <c r="AK161" s="21">
        <v>1105</v>
      </c>
      <c r="AL161" s="21">
        <v>1105</v>
      </c>
      <c r="AM161" s="21">
        <v>1115</v>
      </c>
      <c r="AN161" s="21">
        <v>1091</v>
      </c>
      <c r="AO161" s="21">
        <v>1109</v>
      </c>
      <c r="AP161" s="21">
        <v>1095</v>
      </c>
      <c r="AQ161" s="21">
        <v>1085</v>
      </c>
      <c r="AR161" s="21">
        <v>1069</v>
      </c>
      <c r="AS161" s="21">
        <v>1071</v>
      </c>
      <c r="AT161" s="21">
        <v>1067</v>
      </c>
      <c r="AU161" s="21">
        <v>1067</v>
      </c>
      <c r="AV161" s="21">
        <v>1103</v>
      </c>
      <c r="AW161" s="21">
        <v>1103</v>
      </c>
      <c r="AX161" s="21">
        <v>1109</v>
      </c>
      <c r="AY161" s="21">
        <v>1111</v>
      </c>
      <c r="AZ161" s="21">
        <v>1138</v>
      </c>
      <c r="BA161" s="21">
        <v>1133</v>
      </c>
      <c r="BB161" s="21">
        <v>1145</v>
      </c>
      <c r="BC161" s="21">
        <v>1130</v>
      </c>
      <c r="BD161" s="21">
        <v>1118</v>
      </c>
      <c r="BE161" s="21">
        <v>1152</v>
      </c>
      <c r="BF161" s="21">
        <v>1160</v>
      </c>
      <c r="BG161" s="21">
        <v>1171</v>
      </c>
      <c r="BH161" s="21">
        <v>1174</v>
      </c>
      <c r="BI161" s="21">
        <v>1162</v>
      </c>
      <c r="BJ161" s="21">
        <v>1171</v>
      </c>
      <c r="BK161" s="21">
        <v>1152</v>
      </c>
      <c r="BL161" s="21">
        <v>1171</v>
      </c>
      <c r="BM161" s="1">
        <v>1175</v>
      </c>
      <c r="BN161" s="1">
        <v>1200</v>
      </c>
      <c r="BO161" s="1">
        <v>1170</v>
      </c>
      <c r="BP161" s="1">
        <v>1137</v>
      </c>
      <c r="BQ161" s="1">
        <v>1124</v>
      </c>
      <c r="BR161" s="1">
        <v>1136</v>
      </c>
      <c r="BS161" s="1">
        <v>1146</v>
      </c>
      <c r="BT161" s="1">
        <v>1143</v>
      </c>
      <c r="BU161" s="1">
        <v>1138</v>
      </c>
      <c r="BV161" s="1">
        <v>1142</v>
      </c>
      <c r="BW161" s="1">
        <v>1140</v>
      </c>
      <c r="BX161" s="1">
        <v>1136</v>
      </c>
      <c r="BY161" s="1">
        <v>1126</v>
      </c>
      <c r="BZ161" s="1">
        <v>1128</v>
      </c>
    </row>
    <row r="162" spans="1:78" ht="15.9" customHeight="1">
      <c r="A162" s="78" t="s">
        <v>318</v>
      </c>
      <c r="B162" s="17" t="s">
        <v>319</v>
      </c>
      <c r="C162" s="546">
        <f>_xll.RssMarket("9687","始値")</f>
        <v>4375</v>
      </c>
      <c r="D162" s="23">
        <f t="shared" si="5"/>
        <v>-45</v>
      </c>
      <c r="E162" s="553">
        <v>4420</v>
      </c>
      <c r="F162" s="21">
        <v>4460</v>
      </c>
      <c r="G162" s="21">
        <v>4480</v>
      </c>
      <c r="H162" s="21">
        <v>4470</v>
      </c>
      <c r="I162" s="21">
        <v>4620</v>
      </c>
      <c r="J162" s="21">
        <v>4625</v>
      </c>
      <c r="K162" s="21">
        <v>4680</v>
      </c>
      <c r="L162" s="21"/>
      <c r="M162" s="21">
        <v>4450</v>
      </c>
      <c r="N162" s="21">
        <v>4435</v>
      </c>
      <c r="O162" s="21">
        <v>4420</v>
      </c>
      <c r="P162" s="21">
        <v>4400</v>
      </c>
      <c r="Q162" s="21">
        <v>4400</v>
      </c>
      <c r="R162" s="21">
        <v>4400</v>
      </c>
      <c r="S162" s="21">
        <v>4395</v>
      </c>
      <c r="T162" s="21">
        <v>4375</v>
      </c>
      <c r="U162" s="21">
        <v>4380</v>
      </c>
      <c r="V162" s="21">
        <v>4365</v>
      </c>
      <c r="W162" s="21">
        <v>4315</v>
      </c>
      <c r="X162" s="21">
        <v>4355</v>
      </c>
      <c r="Y162" s="21">
        <v>4355</v>
      </c>
      <c r="Z162" s="21">
        <v>4370</v>
      </c>
      <c r="AA162" s="21">
        <v>4370</v>
      </c>
      <c r="AB162" s="21">
        <v>4300</v>
      </c>
      <c r="AC162" s="21">
        <v>4380</v>
      </c>
      <c r="AD162" s="21">
        <v>4350</v>
      </c>
      <c r="AE162" s="21">
        <v>4425</v>
      </c>
      <c r="AF162" s="21">
        <v>4360</v>
      </c>
      <c r="AG162" s="21">
        <v>4350</v>
      </c>
      <c r="AH162" s="21">
        <v>4335</v>
      </c>
      <c r="AI162" s="21">
        <v>4245</v>
      </c>
      <c r="AJ162" s="21">
        <v>4350</v>
      </c>
      <c r="AK162" s="21">
        <v>4325</v>
      </c>
      <c r="AL162" s="21">
        <v>4335</v>
      </c>
      <c r="AM162" s="21">
        <v>4300</v>
      </c>
      <c r="AN162" s="21">
        <v>4300</v>
      </c>
      <c r="AO162" s="21">
        <v>4260</v>
      </c>
      <c r="AP162" s="21">
        <v>4300</v>
      </c>
      <c r="AQ162" s="21">
        <v>4310</v>
      </c>
      <c r="AR162" s="21">
        <v>4335</v>
      </c>
      <c r="AS162" s="21">
        <v>4335</v>
      </c>
      <c r="AT162" s="21">
        <v>4325</v>
      </c>
      <c r="AU162" s="21">
        <v>4325</v>
      </c>
      <c r="AV162" s="21">
        <v>4325</v>
      </c>
      <c r="AW162" s="21">
        <v>4350</v>
      </c>
      <c r="AX162" s="21">
        <v>4355</v>
      </c>
      <c r="AY162" s="21">
        <v>4375</v>
      </c>
      <c r="AZ162" s="21">
        <v>4380</v>
      </c>
      <c r="BA162" s="21">
        <v>4360</v>
      </c>
      <c r="BB162" s="21">
        <v>4365</v>
      </c>
      <c r="BC162" s="21">
        <v>4330</v>
      </c>
      <c r="BD162" s="21">
        <v>4345</v>
      </c>
      <c r="BE162" s="21">
        <v>4335</v>
      </c>
      <c r="BF162" s="21">
        <v>4350</v>
      </c>
      <c r="BG162" s="21">
        <v>4350</v>
      </c>
      <c r="BH162" s="21">
        <v>4365</v>
      </c>
      <c r="BI162" s="21">
        <v>4400</v>
      </c>
      <c r="BJ162" s="21">
        <v>4390</v>
      </c>
      <c r="BK162" s="21">
        <v>4400</v>
      </c>
      <c r="BL162" s="21">
        <v>4440</v>
      </c>
      <c r="BM162" s="1">
        <v>4395</v>
      </c>
      <c r="BN162" s="1">
        <v>4385</v>
      </c>
      <c r="BO162" s="1">
        <v>4385</v>
      </c>
      <c r="BP162" s="1">
        <v>4345</v>
      </c>
      <c r="BQ162" s="1">
        <v>4375</v>
      </c>
      <c r="BR162" s="1">
        <v>4370</v>
      </c>
      <c r="BS162" s="1">
        <v>4355</v>
      </c>
      <c r="BT162" s="1">
        <v>4385</v>
      </c>
      <c r="BU162" s="1">
        <v>4445</v>
      </c>
      <c r="BV162" s="1">
        <v>4320</v>
      </c>
      <c r="BW162" s="1">
        <v>4320</v>
      </c>
      <c r="BX162" s="1">
        <v>4340</v>
      </c>
      <c r="BY162" s="1">
        <v>4350</v>
      </c>
      <c r="BZ162" s="1">
        <v>4435</v>
      </c>
    </row>
    <row r="163" spans="1:78" ht="15.9" customHeight="1">
      <c r="A163" s="78" t="s">
        <v>320</v>
      </c>
      <c r="B163" s="17" t="s">
        <v>321</v>
      </c>
      <c r="C163" s="546">
        <f>_xll.RssMarket("1930","始値")</f>
        <v>1493</v>
      </c>
      <c r="D163" s="23">
        <f t="shared" si="5"/>
        <v>32</v>
      </c>
      <c r="E163" s="553">
        <v>1461</v>
      </c>
      <c r="F163" s="21">
        <v>1477</v>
      </c>
      <c r="G163" s="21">
        <v>1485</v>
      </c>
      <c r="H163" s="21">
        <v>1450</v>
      </c>
      <c r="I163" s="21">
        <v>1500</v>
      </c>
      <c r="J163" s="21">
        <v>1651</v>
      </c>
      <c r="K163" s="21">
        <v>1640</v>
      </c>
      <c r="L163" s="21">
        <v>1593</v>
      </c>
      <c r="M163" s="21">
        <v>1605</v>
      </c>
      <c r="N163" s="21">
        <v>1594</v>
      </c>
      <c r="O163" s="21">
        <v>1579</v>
      </c>
      <c r="P163" s="21">
        <v>1598</v>
      </c>
      <c r="Q163" s="21">
        <v>1614</v>
      </c>
      <c r="R163" s="21">
        <v>1590</v>
      </c>
      <c r="S163" s="21">
        <v>1624</v>
      </c>
      <c r="T163" s="21">
        <v>1664</v>
      </c>
      <c r="U163" s="21">
        <v>1629</v>
      </c>
      <c r="V163" s="21">
        <v>1621</v>
      </c>
      <c r="W163" s="21">
        <v>1672</v>
      </c>
      <c r="X163" s="21">
        <v>1660</v>
      </c>
      <c r="Y163" s="21">
        <v>1660</v>
      </c>
      <c r="Z163" s="21">
        <v>1690</v>
      </c>
      <c r="AA163" s="21">
        <v>1663</v>
      </c>
      <c r="AB163" s="21">
        <v>1698</v>
      </c>
      <c r="AC163" s="21">
        <v>1715</v>
      </c>
      <c r="AD163" s="21">
        <v>1709</v>
      </c>
      <c r="AE163" s="21">
        <v>1700</v>
      </c>
      <c r="AF163" s="21">
        <v>1681</v>
      </c>
      <c r="AG163" s="21">
        <v>1735</v>
      </c>
      <c r="AH163" s="21">
        <v>1702</v>
      </c>
      <c r="AI163" s="21">
        <v>1752</v>
      </c>
      <c r="AJ163" s="21">
        <v>1700</v>
      </c>
      <c r="AK163" s="21">
        <v>1664</v>
      </c>
      <c r="AL163" s="21">
        <v>1715</v>
      </c>
      <c r="AM163" s="21">
        <v>1655</v>
      </c>
      <c r="AN163" s="21">
        <v>1612</v>
      </c>
      <c r="AO163" s="21">
        <v>1586</v>
      </c>
      <c r="AP163" s="21">
        <v>1588</v>
      </c>
      <c r="AQ163" s="21">
        <v>1589</v>
      </c>
      <c r="AR163" s="21">
        <v>1567</v>
      </c>
      <c r="AS163" s="21">
        <v>1573</v>
      </c>
      <c r="AT163" s="21">
        <v>1582</v>
      </c>
      <c r="AU163" s="21">
        <v>1619</v>
      </c>
      <c r="AV163" s="21">
        <v>1711</v>
      </c>
      <c r="AW163" s="21">
        <v>1664</v>
      </c>
      <c r="AX163" s="21">
        <v>1739</v>
      </c>
      <c r="AY163" s="21">
        <v>1645</v>
      </c>
      <c r="AZ163" s="21">
        <v>1595</v>
      </c>
      <c r="BA163" s="21">
        <v>1612</v>
      </c>
      <c r="BB163" s="21">
        <v>1636</v>
      </c>
      <c r="BC163" s="21">
        <v>1602</v>
      </c>
      <c r="BD163" s="21">
        <v>1647</v>
      </c>
      <c r="BE163" s="21">
        <v>1684</v>
      </c>
      <c r="BF163" s="21">
        <v>1750</v>
      </c>
      <c r="BG163" s="21">
        <v>1766</v>
      </c>
      <c r="BH163" s="21">
        <v>1721</v>
      </c>
      <c r="BI163" s="21">
        <v>1700</v>
      </c>
      <c r="BJ163" s="21">
        <v>1642</v>
      </c>
      <c r="BK163" s="21">
        <v>1740</v>
      </c>
      <c r="BL163" s="21">
        <v>1690</v>
      </c>
      <c r="BM163" s="1">
        <v>1647</v>
      </c>
      <c r="BN163" s="1">
        <v>1472</v>
      </c>
      <c r="BO163" s="1">
        <v>1459</v>
      </c>
      <c r="BP163" s="1">
        <v>1447</v>
      </c>
      <c r="BQ163" s="1">
        <v>1445</v>
      </c>
      <c r="BR163" s="1">
        <v>1472</v>
      </c>
      <c r="BS163" s="1">
        <v>1475</v>
      </c>
      <c r="BT163" s="1">
        <v>1477</v>
      </c>
      <c r="BU163" s="1">
        <v>1469</v>
      </c>
      <c r="BV163" s="1">
        <v>1453</v>
      </c>
      <c r="BW163" s="1">
        <v>1464</v>
      </c>
      <c r="BX163" s="1">
        <v>1444</v>
      </c>
      <c r="BY163" s="1">
        <v>1458</v>
      </c>
      <c r="BZ163" s="1">
        <v>1496</v>
      </c>
    </row>
    <row r="164" spans="1:78" ht="15.9" customHeight="1">
      <c r="A164" s="78" t="s">
        <v>322</v>
      </c>
      <c r="B164" s="17" t="s">
        <v>323</v>
      </c>
      <c r="C164" s="546">
        <f>_xll.RssMarket("8704","始値")</f>
        <v>1304</v>
      </c>
      <c r="D164" s="23">
        <f t="shared" si="5"/>
        <v>-1</v>
      </c>
      <c r="E164" s="553">
        <v>1305</v>
      </c>
      <c r="F164" s="21">
        <v>1285</v>
      </c>
      <c r="G164" s="21">
        <v>1245</v>
      </c>
      <c r="H164" s="21">
        <v>1198</v>
      </c>
      <c r="I164" s="21">
        <v>1250</v>
      </c>
      <c r="J164" s="21">
        <v>1280</v>
      </c>
      <c r="K164" s="21">
        <v>1287</v>
      </c>
      <c r="L164" s="21">
        <v>1281</v>
      </c>
      <c r="M164" s="21">
        <v>1244</v>
      </c>
      <c r="N164" s="21">
        <v>1241</v>
      </c>
      <c r="O164" s="21">
        <v>1251</v>
      </c>
      <c r="P164" s="21">
        <v>1276</v>
      </c>
      <c r="Q164" s="21">
        <v>1279</v>
      </c>
      <c r="R164" s="21">
        <v>1238</v>
      </c>
      <c r="S164" s="21">
        <v>1254</v>
      </c>
      <c r="T164" s="21">
        <v>1226</v>
      </c>
      <c r="U164" s="21">
        <v>1222</v>
      </c>
      <c r="V164" s="21">
        <v>1250</v>
      </c>
      <c r="W164" s="21">
        <v>1270</v>
      </c>
      <c r="X164" s="21">
        <v>1271</v>
      </c>
      <c r="Y164" s="21">
        <v>1224</v>
      </c>
      <c r="Z164" s="21">
        <v>1213</v>
      </c>
      <c r="AA164" s="21">
        <v>1183</v>
      </c>
      <c r="AB164" s="21">
        <v>1145</v>
      </c>
      <c r="AC164" s="21">
        <v>1153</v>
      </c>
      <c r="AD164" s="21">
        <v>1178</v>
      </c>
      <c r="AE164" s="21">
        <v>1180</v>
      </c>
      <c r="AF164" s="21">
        <v>1192</v>
      </c>
      <c r="AG164" s="21">
        <v>1228</v>
      </c>
      <c r="AH164" s="21">
        <v>1164</v>
      </c>
      <c r="AI164" s="21">
        <v>1165</v>
      </c>
      <c r="AJ164" s="21">
        <v>1170</v>
      </c>
      <c r="AK164" s="21">
        <v>1146</v>
      </c>
      <c r="AL164" s="21">
        <v>1166</v>
      </c>
      <c r="AM164" s="21">
        <v>1158</v>
      </c>
      <c r="AN164" s="21">
        <v>1123</v>
      </c>
      <c r="AO164" s="21">
        <v>1084</v>
      </c>
      <c r="AP164" s="21">
        <v>1140</v>
      </c>
      <c r="AQ164" s="21">
        <v>1110</v>
      </c>
      <c r="AR164" s="21">
        <v>1113</v>
      </c>
      <c r="AS164" s="21">
        <v>1162</v>
      </c>
      <c r="AT164" s="21">
        <v>1195</v>
      </c>
      <c r="AU164" s="21">
        <v>1200</v>
      </c>
      <c r="AV164" s="21">
        <v>1153</v>
      </c>
      <c r="AW164" s="21">
        <v>1142</v>
      </c>
      <c r="AX164" s="21">
        <v>1161</v>
      </c>
      <c r="AY164" s="21">
        <v>1135</v>
      </c>
      <c r="AZ164" s="21">
        <v>1134</v>
      </c>
      <c r="BA164" s="21">
        <v>1125</v>
      </c>
      <c r="BB164" s="21">
        <v>1126</v>
      </c>
      <c r="BC164" s="21">
        <v>1152</v>
      </c>
      <c r="BD164" s="21">
        <v>1170</v>
      </c>
      <c r="BE164" s="21">
        <v>1172</v>
      </c>
      <c r="BF164" s="21">
        <v>1210</v>
      </c>
      <c r="BG164" s="21">
        <v>1198</v>
      </c>
      <c r="BH164" s="21">
        <v>1231</v>
      </c>
      <c r="BI164" s="21">
        <v>1215</v>
      </c>
      <c r="BJ164" s="21">
        <v>1180</v>
      </c>
      <c r="BK164" s="21">
        <v>1148</v>
      </c>
      <c r="BL164" s="21">
        <v>1151</v>
      </c>
      <c r="BM164" s="1">
        <v>1078</v>
      </c>
      <c r="BN164" s="1">
        <v>1029</v>
      </c>
      <c r="BO164" s="1">
        <v>1029</v>
      </c>
      <c r="BP164" s="1">
        <v>1036</v>
      </c>
      <c r="BQ164" s="1">
        <v>1042</v>
      </c>
      <c r="BR164" s="1">
        <v>1061</v>
      </c>
      <c r="BS164" s="1">
        <v>1059</v>
      </c>
      <c r="BT164" s="1">
        <v>1050</v>
      </c>
      <c r="BU164" s="1">
        <v>1062</v>
      </c>
      <c r="BV164" s="1">
        <v>1055</v>
      </c>
      <c r="BW164" s="1">
        <v>1049</v>
      </c>
      <c r="BX164" s="1">
        <v>1040</v>
      </c>
      <c r="BY164" s="1">
        <v>1047</v>
      </c>
      <c r="BZ164" s="1">
        <v>1058</v>
      </c>
    </row>
    <row r="165" spans="1:78" ht="15.9" customHeight="1">
      <c r="A165" s="78" t="s">
        <v>324</v>
      </c>
      <c r="B165" s="17" t="s">
        <v>325</v>
      </c>
      <c r="C165" s="546">
        <f>_xll.RssMarket("4733","始値")</f>
        <v>7781</v>
      </c>
      <c r="D165" s="23">
        <f t="shared" si="5"/>
        <v>-153</v>
      </c>
      <c r="E165" s="553">
        <v>7934</v>
      </c>
      <c r="F165" s="21">
        <v>8029</v>
      </c>
      <c r="G165" s="21">
        <v>7889</v>
      </c>
      <c r="H165" s="21">
        <v>8551</v>
      </c>
      <c r="I165" s="21">
        <v>8051</v>
      </c>
      <c r="J165" s="21">
        <v>8020</v>
      </c>
      <c r="K165" s="21">
        <v>7760</v>
      </c>
      <c r="L165" s="21">
        <v>7315</v>
      </c>
      <c r="M165" s="21">
        <v>6760</v>
      </c>
      <c r="N165" s="21">
        <v>6600</v>
      </c>
      <c r="O165" s="21">
        <v>6697</v>
      </c>
      <c r="P165" s="21">
        <v>6570</v>
      </c>
      <c r="Q165" s="21">
        <v>6541</v>
      </c>
      <c r="R165" s="21">
        <v>6666</v>
      </c>
      <c r="S165" s="21">
        <v>6577</v>
      </c>
      <c r="T165" s="21">
        <v>6534</v>
      </c>
      <c r="U165" s="21">
        <v>6418</v>
      </c>
      <c r="V165" s="21">
        <v>6599</v>
      </c>
      <c r="W165" s="21">
        <v>6542</v>
      </c>
      <c r="X165" s="21">
        <v>6455</v>
      </c>
      <c r="Y165" s="21">
        <v>6558</v>
      </c>
      <c r="Z165" s="21">
        <v>6258</v>
      </c>
      <c r="AA165" s="21">
        <v>6015</v>
      </c>
      <c r="AB165" s="21">
        <v>6126</v>
      </c>
      <c r="AC165" s="21">
        <v>6000</v>
      </c>
      <c r="AD165" s="21">
        <v>5723</v>
      </c>
      <c r="AE165" s="21">
        <v>5762</v>
      </c>
      <c r="AF165" s="21">
        <v>5737</v>
      </c>
      <c r="AG165" s="21">
        <v>5620</v>
      </c>
      <c r="AH165" s="21">
        <v>5674</v>
      </c>
      <c r="AI165" s="21">
        <v>5842</v>
      </c>
      <c r="AJ165" s="21">
        <v>5890</v>
      </c>
      <c r="AK165" s="21">
        <v>5844</v>
      </c>
      <c r="AL165" s="21">
        <v>5830</v>
      </c>
      <c r="AM165" s="21">
        <v>5890</v>
      </c>
      <c r="AN165" s="21">
        <v>5880</v>
      </c>
      <c r="AO165" s="21">
        <v>5914</v>
      </c>
      <c r="AP165" s="21">
        <v>5935</v>
      </c>
      <c r="AQ165" s="21">
        <v>6068</v>
      </c>
      <c r="AR165" s="21">
        <v>6070</v>
      </c>
      <c r="AS165" s="21">
        <v>6063</v>
      </c>
      <c r="AT165" s="21">
        <v>6224</v>
      </c>
      <c r="AU165" s="21">
        <v>6500</v>
      </c>
      <c r="AV165" s="21">
        <v>6088</v>
      </c>
      <c r="AW165" s="21">
        <v>6113</v>
      </c>
      <c r="AX165" s="21">
        <v>5970</v>
      </c>
      <c r="AY165" s="21">
        <v>6091</v>
      </c>
      <c r="AZ165" s="21">
        <v>6050</v>
      </c>
      <c r="BA165" s="21">
        <v>6100</v>
      </c>
      <c r="BB165" s="21">
        <v>6227</v>
      </c>
      <c r="BC165" s="21">
        <v>6210</v>
      </c>
      <c r="BD165" s="21">
        <v>6113</v>
      </c>
      <c r="BE165" s="21">
        <v>6052</v>
      </c>
      <c r="BF165" s="21">
        <v>6142</v>
      </c>
      <c r="BG165" s="21">
        <v>6131</v>
      </c>
      <c r="BH165" s="21">
        <v>6070</v>
      </c>
      <c r="BI165" s="21">
        <v>6287</v>
      </c>
      <c r="BJ165" s="21">
        <v>6222</v>
      </c>
      <c r="BK165" s="21">
        <v>6075</v>
      </c>
      <c r="BL165" s="21">
        <v>6107</v>
      </c>
      <c r="BM165" s="1">
        <v>6159</v>
      </c>
      <c r="BN165" s="1">
        <v>6156</v>
      </c>
      <c r="BO165" s="1">
        <v>6296</v>
      </c>
      <c r="BP165" s="1">
        <v>6170</v>
      </c>
      <c r="BQ165" s="1">
        <v>6630</v>
      </c>
      <c r="BR165" s="1">
        <v>6781</v>
      </c>
      <c r="BS165" s="1">
        <v>6745</v>
      </c>
      <c r="BT165" s="1">
        <v>6741</v>
      </c>
      <c r="BU165" s="1">
        <v>6683</v>
      </c>
      <c r="BV165" s="1">
        <v>6913</v>
      </c>
      <c r="BW165" s="1">
        <v>6603</v>
      </c>
      <c r="BX165" s="1">
        <v>6664</v>
      </c>
      <c r="BY165" s="1">
        <v>6087</v>
      </c>
      <c r="BZ165" s="1">
        <v>6261</v>
      </c>
    </row>
    <row r="166" spans="1:78" ht="15.9" customHeight="1">
      <c r="A166" s="78" t="s">
        <v>326</v>
      </c>
      <c r="B166" s="17" t="s">
        <v>327</v>
      </c>
      <c r="C166" s="546">
        <f>_xll.RssMarket("9733","始値")</f>
        <v>2312</v>
      </c>
      <c r="D166" s="23">
        <f t="shared" si="5"/>
        <v>-8</v>
      </c>
      <c r="E166" s="553">
        <v>2320</v>
      </c>
      <c r="F166" s="21">
        <v>2338</v>
      </c>
      <c r="G166" s="21">
        <v>2336</v>
      </c>
      <c r="H166" s="21">
        <v>2347</v>
      </c>
      <c r="I166" s="21">
        <v>2307</v>
      </c>
      <c r="J166" s="21">
        <v>2300</v>
      </c>
      <c r="K166" s="21">
        <v>2272</v>
      </c>
      <c r="L166" s="21">
        <v>2220</v>
      </c>
      <c r="M166" s="21">
        <v>2363</v>
      </c>
      <c r="N166" s="21">
        <v>2353</v>
      </c>
      <c r="O166" s="21">
        <v>2332</v>
      </c>
      <c r="P166" s="21">
        <v>2343</v>
      </c>
      <c r="Q166" s="21">
        <v>2349</v>
      </c>
      <c r="R166" s="21">
        <v>2362</v>
      </c>
      <c r="S166" s="21">
        <v>2372</v>
      </c>
      <c r="T166" s="21">
        <v>2374</v>
      </c>
      <c r="U166" s="21">
        <v>2376</v>
      </c>
      <c r="V166" s="21">
        <v>2386</v>
      </c>
      <c r="W166" s="21">
        <v>2398</v>
      </c>
      <c r="X166" s="21">
        <v>2354</v>
      </c>
      <c r="Y166" s="21">
        <v>2330</v>
      </c>
      <c r="Z166" s="21">
        <v>2320</v>
      </c>
      <c r="AA166" s="21">
        <v>2300</v>
      </c>
      <c r="AB166" s="21">
        <v>2330</v>
      </c>
      <c r="AC166" s="21">
        <v>2278</v>
      </c>
      <c r="AD166" s="21">
        <v>2221</v>
      </c>
      <c r="AE166" s="21">
        <v>2220</v>
      </c>
      <c r="AF166" s="21">
        <v>2220</v>
      </c>
      <c r="AG166" s="21">
        <v>2220</v>
      </c>
      <c r="AH166" s="21">
        <v>2212</v>
      </c>
      <c r="AI166" s="21">
        <v>2200</v>
      </c>
      <c r="AJ166" s="21">
        <v>2201</v>
      </c>
      <c r="AK166" s="21">
        <v>2234</v>
      </c>
      <c r="AL166" s="21">
        <v>2235</v>
      </c>
      <c r="AM166" s="21">
        <v>2250</v>
      </c>
      <c r="AN166" s="21">
        <v>2230</v>
      </c>
      <c r="AO166" s="21">
        <v>2246</v>
      </c>
      <c r="AP166" s="21">
        <v>2251</v>
      </c>
      <c r="AQ166" s="21">
        <v>2190</v>
      </c>
      <c r="AR166" s="21">
        <v>2187</v>
      </c>
      <c r="AS166" s="21">
        <v>2201</v>
      </c>
      <c r="AT166" s="21">
        <v>2201</v>
      </c>
      <c r="AU166" s="21">
        <v>2232</v>
      </c>
      <c r="AV166" s="21">
        <v>2266</v>
      </c>
      <c r="AW166" s="21">
        <v>2241</v>
      </c>
      <c r="AX166" s="21">
        <v>2255</v>
      </c>
      <c r="AY166" s="21">
        <v>2301</v>
      </c>
      <c r="AZ166" s="21">
        <v>2313</v>
      </c>
      <c r="BA166" s="21">
        <v>2315</v>
      </c>
      <c r="BB166" s="21">
        <v>2320</v>
      </c>
      <c r="BC166" s="21">
        <v>2275</v>
      </c>
      <c r="BD166" s="21">
        <v>2280</v>
      </c>
      <c r="BE166" s="21">
        <v>2270</v>
      </c>
      <c r="BF166" s="21">
        <v>2272</v>
      </c>
      <c r="BG166" s="21">
        <v>2260</v>
      </c>
      <c r="BH166" s="21">
        <v>2285</v>
      </c>
      <c r="BI166" s="21">
        <v>2280</v>
      </c>
      <c r="BJ166" s="21">
        <v>2279</v>
      </c>
      <c r="BK166" s="21">
        <v>2340</v>
      </c>
      <c r="BL166" s="21">
        <v>2300</v>
      </c>
      <c r="BM166" s="1">
        <v>2335</v>
      </c>
      <c r="BN166" s="1">
        <v>2300</v>
      </c>
      <c r="BO166" s="1">
        <v>2301</v>
      </c>
      <c r="BP166" s="1">
        <v>2345</v>
      </c>
      <c r="BQ166" s="1">
        <v>2370</v>
      </c>
      <c r="BR166" s="1">
        <v>2352</v>
      </c>
      <c r="BS166" s="1">
        <v>2401</v>
      </c>
      <c r="BT166" s="1">
        <v>2460</v>
      </c>
      <c r="BU166" s="1">
        <v>2479</v>
      </c>
      <c r="BV166" s="1">
        <v>2448</v>
      </c>
      <c r="BW166" s="1">
        <v>2481</v>
      </c>
      <c r="BX166" s="1">
        <v>2510</v>
      </c>
      <c r="BY166" s="1">
        <v>2528</v>
      </c>
      <c r="BZ166" s="1">
        <v>2535</v>
      </c>
    </row>
    <row r="167" spans="1:78" ht="15.9" customHeight="1">
      <c r="A167" s="78" t="s">
        <v>328</v>
      </c>
      <c r="B167" s="17" t="s">
        <v>329</v>
      </c>
      <c r="C167" s="546">
        <f>_xll.RssMarket("9551","始値")</f>
        <v>3235</v>
      </c>
      <c r="D167" s="23">
        <f t="shared" si="5"/>
        <v>95</v>
      </c>
      <c r="E167" s="553">
        <v>3140</v>
      </c>
      <c r="F167" s="21">
        <v>3080</v>
      </c>
      <c r="G167" s="21">
        <v>3150</v>
      </c>
      <c r="H167" s="21">
        <v>2940</v>
      </c>
      <c r="I167" s="21">
        <v>3100</v>
      </c>
      <c r="J167" s="21">
        <v>3175</v>
      </c>
      <c r="K167" s="21">
        <v>3200</v>
      </c>
      <c r="L167" s="21"/>
      <c r="M167" s="21">
        <v>3210</v>
      </c>
      <c r="N167" s="21">
        <v>3230</v>
      </c>
      <c r="O167" s="21">
        <v>3135</v>
      </c>
      <c r="P167" s="21">
        <v>3150</v>
      </c>
      <c r="Q167" s="21">
        <v>3200</v>
      </c>
      <c r="R167" s="21">
        <v>3190</v>
      </c>
      <c r="S167" s="21">
        <v>3275</v>
      </c>
      <c r="T167" s="21">
        <v>3295</v>
      </c>
      <c r="U167" s="21">
        <v>3215</v>
      </c>
      <c r="V167" s="21">
        <v>3250</v>
      </c>
      <c r="W167" s="21">
        <v>3350</v>
      </c>
      <c r="X167" s="21">
        <v>3340</v>
      </c>
      <c r="Y167" s="21">
        <v>3320</v>
      </c>
      <c r="Z167" s="21">
        <v>3350</v>
      </c>
      <c r="AA167" s="21">
        <v>3350</v>
      </c>
      <c r="AB167" s="21">
        <v>3410</v>
      </c>
      <c r="AC167" s="21">
        <v>3575</v>
      </c>
      <c r="AD167" s="21">
        <v>3570</v>
      </c>
      <c r="AE167" s="21">
        <v>3600</v>
      </c>
      <c r="AF167" s="21">
        <v>3465</v>
      </c>
      <c r="AG167" s="21">
        <v>3565</v>
      </c>
      <c r="AH167" s="21">
        <v>3475</v>
      </c>
      <c r="AI167" s="21">
        <v>3490</v>
      </c>
      <c r="AJ167" s="21">
        <v>3435</v>
      </c>
      <c r="AK167" s="21">
        <v>3365</v>
      </c>
      <c r="AL167" s="21">
        <v>3375</v>
      </c>
      <c r="AM167" s="21">
        <v>3205</v>
      </c>
      <c r="AN167" s="21">
        <v>3145</v>
      </c>
      <c r="AO167" s="21">
        <v>3110</v>
      </c>
      <c r="AP167" s="21">
        <v>3205</v>
      </c>
      <c r="AQ167" s="21">
        <v>3200</v>
      </c>
      <c r="AR167" s="21">
        <v>3290</v>
      </c>
      <c r="AS167" s="21">
        <v>3280</v>
      </c>
      <c r="AT167" s="21">
        <v>3275</v>
      </c>
      <c r="AU167" s="21">
        <v>3320</v>
      </c>
      <c r="AV167" s="21">
        <v>3525</v>
      </c>
      <c r="AW167" s="21">
        <v>3245</v>
      </c>
      <c r="AX167" s="21">
        <v>3320</v>
      </c>
      <c r="AY167" s="21">
        <v>3305</v>
      </c>
      <c r="AZ167" s="21">
        <v>3295</v>
      </c>
      <c r="BA167" s="21">
        <v>3300</v>
      </c>
      <c r="BB167" s="21">
        <v>3265</v>
      </c>
      <c r="BC167" s="21">
        <v>3380</v>
      </c>
      <c r="BD167" s="21">
        <v>3490</v>
      </c>
      <c r="BE167" s="21">
        <v>3465</v>
      </c>
      <c r="BF167" s="21">
        <v>3440</v>
      </c>
      <c r="BG167" s="21">
        <v>3395</v>
      </c>
      <c r="BH167" s="21">
        <v>3385</v>
      </c>
      <c r="BI167" s="21">
        <v>3440</v>
      </c>
      <c r="BJ167" s="21">
        <v>3430</v>
      </c>
      <c r="BK167" s="21">
        <v>3435</v>
      </c>
      <c r="BL167" s="21">
        <v>3410</v>
      </c>
      <c r="BM167" s="1">
        <v>3360</v>
      </c>
      <c r="BN167" s="1">
        <v>3325</v>
      </c>
      <c r="BO167" s="1">
        <v>3410</v>
      </c>
      <c r="BP167" s="1">
        <v>3665</v>
      </c>
      <c r="BQ167" s="1">
        <v>3625</v>
      </c>
      <c r="BR167" s="1">
        <v>3690</v>
      </c>
      <c r="BS167" s="1">
        <v>3685</v>
      </c>
      <c r="BT167" s="1">
        <v>3735</v>
      </c>
      <c r="BU167" s="1">
        <v>3720</v>
      </c>
      <c r="BV167" s="1">
        <v>3665</v>
      </c>
      <c r="BW167" s="1">
        <v>3720</v>
      </c>
      <c r="BX167" s="1">
        <v>3700</v>
      </c>
      <c r="BY167" s="1">
        <v>3660</v>
      </c>
      <c r="BZ167" s="1">
        <v>3750</v>
      </c>
    </row>
    <row r="168" spans="1:78" ht="15.9" customHeight="1">
      <c r="A168" s="78" t="s">
        <v>330</v>
      </c>
      <c r="B168" s="17" t="s">
        <v>331</v>
      </c>
      <c r="C168" s="546">
        <f>_xll.RssMarket("2359","始値")</f>
        <v>2016</v>
      </c>
      <c r="D168" s="23">
        <f t="shared" si="5"/>
        <v>-22</v>
      </c>
      <c r="E168" s="553">
        <v>2038</v>
      </c>
      <c r="F168" s="21">
        <v>2011</v>
      </c>
      <c r="G168" s="21">
        <v>2074</v>
      </c>
      <c r="H168" s="21">
        <v>2049</v>
      </c>
      <c r="I168" s="21">
        <v>2020</v>
      </c>
      <c r="J168" s="21">
        <v>2012</v>
      </c>
      <c r="K168" s="21">
        <v>2007</v>
      </c>
      <c r="L168" s="21"/>
      <c r="M168" s="21">
        <v>2005</v>
      </c>
      <c r="N168" s="21">
        <v>1985</v>
      </c>
      <c r="O168" s="21">
        <v>1983</v>
      </c>
      <c r="P168" s="21">
        <v>1996</v>
      </c>
      <c r="Q168" s="21">
        <v>2019</v>
      </c>
      <c r="R168" s="21">
        <v>2000</v>
      </c>
      <c r="S168" s="21">
        <v>2000</v>
      </c>
      <c r="T168" s="21">
        <v>1972</v>
      </c>
      <c r="U168" s="21">
        <v>1950</v>
      </c>
      <c r="V168" s="21">
        <v>1960</v>
      </c>
      <c r="W168" s="21">
        <v>1964</v>
      </c>
      <c r="X168" s="21">
        <v>1951</v>
      </c>
      <c r="Y168" s="21">
        <v>1960</v>
      </c>
      <c r="Z168" s="21">
        <v>1940</v>
      </c>
      <c r="AA168" s="21">
        <v>1952</v>
      </c>
      <c r="AB168" s="21">
        <v>1988</v>
      </c>
      <c r="AC168" s="21">
        <v>2015</v>
      </c>
      <c r="AD168" s="21">
        <v>2002</v>
      </c>
      <c r="AE168" s="21">
        <v>2024</v>
      </c>
      <c r="AF168" s="21">
        <v>2019</v>
      </c>
      <c r="AG168" s="21">
        <v>2016</v>
      </c>
      <c r="AH168" s="21">
        <v>2038</v>
      </c>
      <c r="AI168" s="21">
        <v>2028</v>
      </c>
      <c r="AJ168" s="21">
        <v>2020</v>
      </c>
      <c r="AK168" s="21">
        <v>2010</v>
      </c>
      <c r="AL168" s="21">
        <v>2007</v>
      </c>
      <c r="AM168" s="21">
        <v>2019</v>
      </c>
      <c r="AN168" s="21">
        <v>2006</v>
      </c>
      <c r="AO168" s="21">
        <v>2027</v>
      </c>
      <c r="AP168" s="21">
        <v>2017</v>
      </c>
      <c r="AQ168" s="21">
        <v>2033</v>
      </c>
      <c r="AR168" s="21">
        <v>2061</v>
      </c>
      <c r="AS168" s="21">
        <v>2021</v>
      </c>
      <c r="AT168" s="21">
        <v>2043</v>
      </c>
      <c r="AU168" s="21">
        <v>2034</v>
      </c>
      <c r="AV168" s="21">
        <v>2072</v>
      </c>
      <c r="AW168" s="21">
        <v>2037</v>
      </c>
      <c r="AX168" s="21">
        <v>2095</v>
      </c>
      <c r="AY168" s="21">
        <v>2149</v>
      </c>
      <c r="AZ168" s="21">
        <v>2125</v>
      </c>
      <c r="BA168" s="21">
        <v>2118</v>
      </c>
      <c r="BB168" s="21">
        <v>2086</v>
      </c>
      <c r="BC168" s="21">
        <v>2050</v>
      </c>
      <c r="BD168" s="21">
        <v>2050</v>
      </c>
      <c r="BE168" s="21">
        <v>2064</v>
      </c>
      <c r="BF168" s="21">
        <v>2051</v>
      </c>
      <c r="BG168" s="21">
        <v>2023</v>
      </c>
      <c r="BH168" s="21">
        <v>2010</v>
      </c>
      <c r="BI168" s="21">
        <v>2027</v>
      </c>
      <c r="BJ168" s="21">
        <v>1993</v>
      </c>
      <c r="BK168" s="21">
        <v>2035</v>
      </c>
      <c r="BL168" s="21">
        <v>2050</v>
      </c>
      <c r="BM168" s="1">
        <v>2055</v>
      </c>
      <c r="BN168" s="1">
        <v>2230</v>
      </c>
      <c r="BO168" s="1">
        <v>2147</v>
      </c>
      <c r="BP168" s="1">
        <v>2167</v>
      </c>
      <c r="BQ168" s="1">
        <v>2200</v>
      </c>
      <c r="BR168" s="1">
        <v>2248</v>
      </c>
      <c r="BS168" s="1">
        <v>2249</v>
      </c>
      <c r="BT168" s="1">
        <v>2251</v>
      </c>
      <c r="BU168" s="1">
        <v>2248</v>
      </c>
      <c r="BV168" s="1">
        <v>2243</v>
      </c>
      <c r="BW168" s="1">
        <v>2250</v>
      </c>
      <c r="BX168" s="1">
        <v>2240</v>
      </c>
      <c r="BY168" s="1">
        <v>2241</v>
      </c>
      <c r="BZ168" s="1">
        <v>2274</v>
      </c>
    </row>
    <row r="169" spans="1:78" ht="15.9" customHeight="1">
      <c r="A169" s="78" t="s">
        <v>332</v>
      </c>
      <c r="B169" s="17" t="s">
        <v>333</v>
      </c>
      <c r="C169" s="546">
        <f>_xll.RssMarket("8103","始値")</f>
        <v>891</v>
      </c>
      <c r="D169" s="23">
        <f t="shared" si="5"/>
        <v>0</v>
      </c>
      <c r="E169" s="553">
        <v>891</v>
      </c>
      <c r="F169" s="21">
        <v>896</v>
      </c>
      <c r="G169" s="21">
        <v>920</v>
      </c>
      <c r="H169" s="21">
        <v>923</v>
      </c>
      <c r="I169" s="21">
        <v>920</v>
      </c>
      <c r="J169" s="21">
        <v>920</v>
      </c>
      <c r="K169" s="21">
        <v>910</v>
      </c>
      <c r="L169" s="21">
        <v>908</v>
      </c>
      <c r="M169" s="21">
        <v>908</v>
      </c>
      <c r="N169" s="21">
        <v>911</v>
      </c>
      <c r="O169" s="21">
        <v>895</v>
      </c>
      <c r="P169" s="21">
        <v>904</v>
      </c>
      <c r="Q169" s="21">
        <v>908</v>
      </c>
      <c r="R169" s="21">
        <v>900</v>
      </c>
      <c r="S169" s="21">
        <v>918</v>
      </c>
      <c r="T169" s="21">
        <v>917</v>
      </c>
      <c r="U169" s="21">
        <v>907</v>
      </c>
      <c r="V169" s="21">
        <v>911</v>
      </c>
      <c r="W169" s="21">
        <v>920</v>
      </c>
      <c r="X169" s="21">
        <v>909</v>
      </c>
      <c r="Y169" s="21">
        <v>890</v>
      </c>
      <c r="Z169" s="21">
        <v>883</v>
      </c>
      <c r="AA169" s="21">
        <v>878</v>
      </c>
      <c r="AB169" s="21">
        <v>883</v>
      </c>
      <c r="AC169" s="21">
        <v>868</v>
      </c>
      <c r="AD169" s="21">
        <v>871</v>
      </c>
      <c r="AE169" s="21">
        <v>868</v>
      </c>
      <c r="AF169" s="21">
        <v>869</v>
      </c>
      <c r="AG169" s="21">
        <v>880</v>
      </c>
      <c r="AH169" s="21">
        <v>869</v>
      </c>
      <c r="AI169" s="21">
        <v>868</v>
      </c>
      <c r="AJ169" s="21">
        <v>875</v>
      </c>
      <c r="AK169" s="21">
        <v>876</v>
      </c>
      <c r="AL169" s="21">
        <v>880</v>
      </c>
      <c r="AM169" s="21">
        <v>872</v>
      </c>
      <c r="AN169" s="21">
        <v>862</v>
      </c>
      <c r="AO169" s="21">
        <v>867</v>
      </c>
      <c r="AP169" s="21">
        <v>880</v>
      </c>
      <c r="AQ169" s="21">
        <v>864</v>
      </c>
      <c r="AR169" s="21">
        <v>885</v>
      </c>
      <c r="AS169" s="21">
        <v>884</v>
      </c>
      <c r="AT169" s="21">
        <v>880</v>
      </c>
      <c r="AU169" s="21">
        <v>880</v>
      </c>
      <c r="AV169" s="21">
        <v>892</v>
      </c>
      <c r="AW169" s="21">
        <v>885</v>
      </c>
      <c r="AX169" s="21">
        <v>899</v>
      </c>
      <c r="AY169" s="21">
        <v>903</v>
      </c>
      <c r="AZ169" s="21">
        <v>894</v>
      </c>
      <c r="BA169" s="21">
        <v>898</v>
      </c>
      <c r="BB169" s="21">
        <v>908</v>
      </c>
      <c r="BC169" s="21">
        <v>912</v>
      </c>
      <c r="BD169" s="21">
        <v>900</v>
      </c>
      <c r="BE169" s="21">
        <v>907</v>
      </c>
      <c r="BF169" s="21">
        <v>900</v>
      </c>
      <c r="BG169" s="21">
        <v>881</v>
      </c>
      <c r="BH169" s="21">
        <v>888</v>
      </c>
      <c r="BI169" s="21">
        <v>895</v>
      </c>
      <c r="BJ169" s="21">
        <v>901</v>
      </c>
      <c r="BK169" s="21">
        <v>860</v>
      </c>
      <c r="BL169" s="21">
        <v>837</v>
      </c>
      <c r="BM169" s="1">
        <v>771</v>
      </c>
      <c r="BN169" s="1">
        <v>767</v>
      </c>
      <c r="BO169" s="1">
        <v>770</v>
      </c>
      <c r="BP169" s="1">
        <v>767</v>
      </c>
      <c r="BQ169" s="1">
        <v>770</v>
      </c>
      <c r="BR169" s="1">
        <v>773</v>
      </c>
      <c r="BS169" s="1">
        <v>782</v>
      </c>
      <c r="BT169" s="1">
        <v>783</v>
      </c>
      <c r="BU169" s="1">
        <v>780</v>
      </c>
      <c r="BV169" s="1">
        <v>773</v>
      </c>
      <c r="BW169" s="1">
        <v>782</v>
      </c>
      <c r="BX169" s="1">
        <v>790</v>
      </c>
      <c r="BY169" s="1">
        <v>796</v>
      </c>
      <c r="BZ169" s="1">
        <v>803</v>
      </c>
    </row>
    <row r="170" spans="1:78" ht="15.9" customHeight="1">
      <c r="A170" s="78" t="s">
        <v>334</v>
      </c>
      <c r="B170" s="17" t="s">
        <v>335</v>
      </c>
      <c r="C170" s="546">
        <f>_xll.RssMarket("4709","始値")</f>
        <v>1010</v>
      </c>
      <c r="D170" s="23">
        <f t="shared" si="5"/>
        <v>-19</v>
      </c>
      <c r="E170" s="553">
        <v>1029</v>
      </c>
      <c r="F170" s="21">
        <v>1001</v>
      </c>
      <c r="G170" s="21">
        <v>1159</v>
      </c>
      <c r="H170" s="21">
        <v>1154</v>
      </c>
      <c r="I170" s="21">
        <v>1136</v>
      </c>
      <c r="J170" s="21">
        <v>1134</v>
      </c>
      <c r="K170" s="21">
        <v>1114</v>
      </c>
      <c r="L170" s="21">
        <v>1095</v>
      </c>
      <c r="M170" s="21">
        <v>1104</v>
      </c>
      <c r="N170" s="21">
        <v>1107</v>
      </c>
      <c r="O170" s="21">
        <v>1125</v>
      </c>
      <c r="P170" s="21">
        <v>1115</v>
      </c>
      <c r="Q170" s="21">
        <v>1114</v>
      </c>
      <c r="R170" s="21">
        <v>1111</v>
      </c>
      <c r="S170" s="21">
        <v>1100</v>
      </c>
      <c r="T170" s="21">
        <v>1099</v>
      </c>
      <c r="U170" s="21">
        <v>1093</v>
      </c>
      <c r="V170" s="21">
        <v>1085</v>
      </c>
      <c r="W170" s="21">
        <v>1078</v>
      </c>
      <c r="X170" s="21">
        <v>1072</v>
      </c>
      <c r="Y170" s="21">
        <v>1072</v>
      </c>
      <c r="Z170" s="21">
        <v>1057</v>
      </c>
      <c r="AA170" s="21">
        <v>1072</v>
      </c>
      <c r="AB170" s="21">
        <v>1070</v>
      </c>
      <c r="AC170" s="21">
        <v>1064</v>
      </c>
      <c r="AD170" s="21">
        <v>1050</v>
      </c>
      <c r="AE170" s="21">
        <v>1044</v>
      </c>
      <c r="AF170" s="21">
        <v>1055</v>
      </c>
      <c r="AG170" s="21">
        <v>1047</v>
      </c>
      <c r="AH170" s="21">
        <v>1054</v>
      </c>
      <c r="AI170" s="21">
        <v>1071</v>
      </c>
      <c r="AJ170" s="21">
        <v>1090</v>
      </c>
      <c r="AK170" s="21">
        <v>1112</v>
      </c>
      <c r="AL170" s="21">
        <v>1080</v>
      </c>
      <c r="AM170" s="21">
        <v>1062</v>
      </c>
      <c r="AN170" s="21">
        <v>1045</v>
      </c>
      <c r="AO170" s="21">
        <v>1097</v>
      </c>
      <c r="AP170" s="21">
        <v>1042</v>
      </c>
      <c r="AQ170" s="21">
        <v>995</v>
      </c>
      <c r="AR170" s="21">
        <v>998</v>
      </c>
      <c r="AS170" s="21">
        <v>992</v>
      </c>
      <c r="AT170" s="21">
        <v>1024</v>
      </c>
      <c r="AU170" s="21">
        <v>1028</v>
      </c>
      <c r="AV170" s="21">
        <v>1032</v>
      </c>
      <c r="AW170" s="21">
        <v>1008</v>
      </c>
      <c r="AX170" s="21">
        <v>1015</v>
      </c>
      <c r="AY170" s="21">
        <v>1049</v>
      </c>
      <c r="AZ170" s="21">
        <v>1043</v>
      </c>
      <c r="BA170" s="21">
        <v>1046</v>
      </c>
      <c r="BB170" s="21">
        <v>1047</v>
      </c>
      <c r="BC170" s="21">
        <v>1017</v>
      </c>
      <c r="BD170" s="21">
        <v>1036</v>
      </c>
      <c r="BE170" s="21">
        <v>1018</v>
      </c>
      <c r="BF170" s="21">
        <v>1065</v>
      </c>
      <c r="BG170" s="21">
        <v>1075</v>
      </c>
      <c r="BH170" s="21">
        <v>1074</v>
      </c>
      <c r="BI170" s="21">
        <v>1058</v>
      </c>
      <c r="BJ170" s="21">
        <v>1035</v>
      </c>
      <c r="BK170" s="21">
        <v>1040</v>
      </c>
      <c r="BL170" s="21">
        <v>1024</v>
      </c>
      <c r="BM170" s="1">
        <v>896</v>
      </c>
      <c r="BN170" s="1">
        <v>899</v>
      </c>
      <c r="BO170" s="1">
        <v>890</v>
      </c>
      <c r="BP170" s="1">
        <v>896</v>
      </c>
      <c r="BQ170" s="1">
        <v>905</v>
      </c>
      <c r="BR170" s="1">
        <v>918</v>
      </c>
      <c r="BS170" s="1">
        <v>922</v>
      </c>
      <c r="BT170" s="1">
        <v>946</v>
      </c>
      <c r="BU170" s="1">
        <v>932</v>
      </c>
      <c r="BV170" s="1">
        <v>941</v>
      </c>
      <c r="BW170" s="1">
        <v>918</v>
      </c>
      <c r="BX170" s="1">
        <v>930</v>
      </c>
      <c r="BY170" s="1">
        <v>922</v>
      </c>
      <c r="BZ170" s="1">
        <v>938</v>
      </c>
    </row>
    <row r="171" spans="1:78" ht="15.9" customHeight="1">
      <c r="A171" s="78" t="s">
        <v>336</v>
      </c>
      <c r="B171" s="17" t="s">
        <v>337</v>
      </c>
      <c r="C171" s="546">
        <f>_xll.RssMarket("7981","始値")</f>
        <v>2990</v>
      </c>
      <c r="D171" s="23">
        <f t="shared" si="5"/>
        <v>-55</v>
      </c>
      <c r="E171" s="553">
        <v>3045</v>
      </c>
      <c r="F171" s="21">
        <v>2970</v>
      </c>
      <c r="G171" s="21">
        <v>3025</v>
      </c>
      <c r="H171" s="21">
        <v>3290</v>
      </c>
      <c r="I171" s="21">
        <v>3310</v>
      </c>
      <c r="J171" s="21">
        <v>3250</v>
      </c>
      <c r="K171" s="21">
        <v>3190</v>
      </c>
      <c r="L171" s="21">
        <v>3095</v>
      </c>
      <c r="M171" s="21">
        <v>3085</v>
      </c>
      <c r="N171" s="21">
        <v>3115</v>
      </c>
      <c r="O171" s="21">
        <v>3050</v>
      </c>
      <c r="P171" s="21">
        <v>3090</v>
      </c>
      <c r="Q171" s="21">
        <v>3105</v>
      </c>
      <c r="R171" s="21">
        <v>3060</v>
      </c>
      <c r="S171" s="21">
        <v>3060</v>
      </c>
      <c r="T171" s="21">
        <v>3095</v>
      </c>
      <c r="U171" s="21">
        <v>3065</v>
      </c>
      <c r="V171" s="21">
        <v>3110</v>
      </c>
      <c r="W171" s="21">
        <v>3145</v>
      </c>
      <c r="X171" s="21">
        <v>3110</v>
      </c>
      <c r="Y171" s="21">
        <v>3100</v>
      </c>
      <c r="Z171" s="21">
        <v>3055</v>
      </c>
      <c r="AA171" s="21">
        <v>3110</v>
      </c>
      <c r="AB171" s="21">
        <v>3095</v>
      </c>
      <c r="AC171" s="21">
        <v>3115</v>
      </c>
      <c r="AD171" s="21">
        <v>3135</v>
      </c>
      <c r="AE171" s="21">
        <v>3140</v>
      </c>
      <c r="AF171" s="21">
        <v>3070</v>
      </c>
      <c r="AG171" s="21">
        <v>3060</v>
      </c>
      <c r="AH171" s="21">
        <v>3005</v>
      </c>
      <c r="AI171" s="21">
        <v>3060</v>
      </c>
      <c r="AJ171" s="21">
        <v>3025</v>
      </c>
      <c r="AK171" s="21">
        <v>3010</v>
      </c>
      <c r="AL171" s="21">
        <v>3015</v>
      </c>
      <c r="AM171" s="21">
        <v>3010</v>
      </c>
      <c r="AN171" s="21">
        <v>2999</v>
      </c>
      <c r="AO171" s="21">
        <v>2951</v>
      </c>
      <c r="AP171" s="21">
        <v>2962</v>
      </c>
      <c r="AQ171" s="21">
        <v>2917</v>
      </c>
      <c r="AR171" s="21">
        <v>2944</v>
      </c>
      <c r="AS171" s="21">
        <v>2924</v>
      </c>
      <c r="AT171" s="21">
        <v>2923</v>
      </c>
      <c r="AU171" s="21">
        <v>2932</v>
      </c>
      <c r="AV171" s="21">
        <v>2935</v>
      </c>
      <c r="AW171" s="21">
        <v>2975</v>
      </c>
      <c r="AX171" s="21">
        <v>2946</v>
      </c>
      <c r="AY171" s="21">
        <v>2973</v>
      </c>
      <c r="AZ171" s="21">
        <v>2900</v>
      </c>
      <c r="BA171" s="21">
        <v>2945</v>
      </c>
      <c r="BB171" s="21">
        <v>2945</v>
      </c>
      <c r="BC171" s="21">
        <v>2925</v>
      </c>
      <c r="BD171" s="21">
        <v>2990</v>
      </c>
      <c r="BE171" s="21">
        <v>3005</v>
      </c>
      <c r="BF171" s="21">
        <v>2988</v>
      </c>
      <c r="BG171" s="21">
        <v>3025</v>
      </c>
      <c r="BH171" s="21">
        <v>3095</v>
      </c>
      <c r="BI171" s="21">
        <v>3050</v>
      </c>
      <c r="BJ171" s="21">
        <v>3200</v>
      </c>
      <c r="BK171" s="21">
        <v>3045</v>
      </c>
      <c r="BL171" s="21">
        <v>2992</v>
      </c>
      <c r="BM171" s="1">
        <v>2811</v>
      </c>
      <c r="BN171" s="1">
        <v>2750</v>
      </c>
      <c r="BO171" s="1">
        <v>2675</v>
      </c>
      <c r="BP171" s="1">
        <v>2668</v>
      </c>
      <c r="BQ171" s="1">
        <v>2660</v>
      </c>
      <c r="BR171" s="1">
        <v>2675</v>
      </c>
      <c r="BS171" s="1">
        <v>2714</v>
      </c>
      <c r="BT171" s="1">
        <v>2749</v>
      </c>
      <c r="BU171" s="1">
        <v>2771</v>
      </c>
      <c r="BV171" s="1">
        <v>2755</v>
      </c>
      <c r="BW171" s="1">
        <v>2698</v>
      </c>
      <c r="BX171" s="1">
        <v>2763</v>
      </c>
      <c r="BY171" s="1">
        <v>2906</v>
      </c>
      <c r="BZ171" s="1">
        <v>2980</v>
      </c>
    </row>
    <row r="172" spans="1:78" ht="15.9" customHeight="1">
      <c r="A172" s="78" t="s">
        <v>338</v>
      </c>
      <c r="B172" s="17" t="s">
        <v>339</v>
      </c>
      <c r="C172" s="546">
        <f>_xll.RssMarket("8303","始値")</f>
        <v>1449.5</v>
      </c>
      <c r="D172" s="23">
        <f t="shared" si="5"/>
        <v>-13</v>
      </c>
      <c r="E172" s="553">
        <v>1462.5</v>
      </c>
      <c r="F172" s="21">
        <v>1501</v>
      </c>
      <c r="G172" s="21">
        <v>1421</v>
      </c>
      <c r="H172" s="21">
        <v>1418</v>
      </c>
      <c r="I172" s="21">
        <v>1447.5</v>
      </c>
      <c r="J172" s="21">
        <v>1459</v>
      </c>
      <c r="K172" s="21">
        <v>1433</v>
      </c>
      <c r="L172" s="21">
        <v>1425</v>
      </c>
      <c r="M172" s="21">
        <v>1441.5</v>
      </c>
      <c r="N172" s="21">
        <v>1451</v>
      </c>
      <c r="O172" s="21">
        <v>1419.5</v>
      </c>
      <c r="P172" s="21">
        <v>1451</v>
      </c>
      <c r="Q172" s="21">
        <v>1465</v>
      </c>
      <c r="R172" s="21">
        <v>1455</v>
      </c>
      <c r="S172" s="21">
        <v>1457</v>
      </c>
      <c r="T172" s="21">
        <v>1455</v>
      </c>
      <c r="U172" s="21">
        <v>1460</v>
      </c>
      <c r="V172" s="21">
        <v>1489</v>
      </c>
      <c r="W172" s="21">
        <v>1490</v>
      </c>
      <c r="X172" s="21">
        <v>1456.5</v>
      </c>
      <c r="Y172" s="21">
        <v>1431</v>
      </c>
      <c r="Z172" s="21">
        <v>1392</v>
      </c>
      <c r="AA172" s="21">
        <v>1380</v>
      </c>
      <c r="AB172" s="21">
        <v>1416</v>
      </c>
      <c r="AC172" s="21">
        <v>1402</v>
      </c>
      <c r="AD172" s="21">
        <v>1392.5</v>
      </c>
      <c r="AE172" s="21">
        <v>1435</v>
      </c>
      <c r="AF172" s="21">
        <v>1410</v>
      </c>
      <c r="AG172" s="21">
        <v>1423</v>
      </c>
      <c r="AH172" s="21">
        <v>1440</v>
      </c>
      <c r="AI172" s="21">
        <v>1492.5</v>
      </c>
      <c r="AJ172" s="21">
        <v>1453</v>
      </c>
      <c r="AK172" s="21">
        <v>1470</v>
      </c>
      <c r="AL172" s="21">
        <v>1493</v>
      </c>
      <c r="AM172" s="21">
        <v>1476</v>
      </c>
      <c r="AN172" s="21">
        <v>1420</v>
      </c>
      <c r="AO172" s="21">
        <v>1460</v>
      </c>
      <c r="AP172" s="21">
        <v>1491</v>
      </c>
      <c r="AQ172" s="21">
        <v>1366</v>
      </c>
      <c r="AR172" s="21">
        <v>1448</v>
      </c>
      <c r="AS172" s="21">
        <v>1401.5</v>
      </c>
      <c r="AT172" s="21">
        <v>1364</v>
      </c>
      <c r="AU172" s="21">
        <v>1351</v>
      </c>
      <c r="AV172" s="21">
        <v>1369</v>
      </c>
      <c r="AW172" s="21">
        <v>1392</v>
      </c>
      <c r="AX172" s="21">
        <v>1412.5</v>
      </c>
      <c r="AY172" s="21">
        <v>1480</v>
      </c>
      <c r="AZ172" s="21">
        <v>1501</v>
      </c>
      <c r="BA172" s="21">
        <v>1571</v>
      </c>
      <c r="BB172" s="21">
        <v>1595.5</v>
      </c>
      <c r="BC172" s="21">
        <v>1640</v>
      </c>
      <c r="BD172" s="21">
        <v>1647</v>
      </c>
      <c r="BE172" s="21">
        <v>1618</v>
      </c>
      <c r="BF172" s="21">
        <v>1651</v>
      </c>
      <c r="BG172" s="21">
        <v>1650</v>
      </c>
      <c r="BH172" s="21">
        <v>1640</v>
      </c>
      <c r="BI172" s="21">
        <v>1669</v>
      </c>
      <c r="BJ172" s="21">
        <v>1679</v>
      </c>
      <c r="BK172" s="21">
        <v>1718.5</v>
      </c>
      <c r="BL172" s="21">
        <v>1828.5</v>
      </c>
      <c r="BM172" s="1">
        <v>1826</v>
      </c>
      <c r="BN172" s="1">
        <v>1760</v>
      </c>
      <c r="BO172" s="1">
        <v>1683</v>
      </c>
      <c r="BP172" s="1">
        <v>1690</v>
      </c>
      <c r="BQ172" s="1">
        <v>1620</v>
      </c>
      <c r="BR172" s="1">
        <v>1658.5</v>
      </c>
      <c r="BS172" s="1">
        <v>1677</v>
      </c>
      <c r="BT172" s="1">
        <v>1690</v>
      </c>
      <c r="BU172" s="1">
        <v>1717</v>
      </c>
      <c r="BV172" s="1">
        <v>1703</v>
      </c>
      <c r="BW172" s="1">
        <v>1685</v>
      </c>
      <c r="BX172" s="1">
        <v>1697</v>
      </c>
      <c r="BY172" s="1">
        <v>1698</v>
      </c>
      <c r="BZ172" s="1">
        <v>1731</v>
      </c>
    </row>
    <row r="173" spans="1:78" ht="15.9" customHeight="1">
      <c r="A173" s="78" t="s">
        <v>340</v>
      </c>
      <c r="B173" s="17" t="s">
        <v>341</v>
      </c>
      <c r="C173" s="546">
        <f>_xll.RssMarket("4382","始値")</f>
        <v>706</v>
      </c>
      <c r="D173" s="23">
        <f t="shared" si="5"/>
        <v>5</v>
      </c>
      <c r="E173" s="553">
        <v>701</v>
      </c>
      <c r="F173" s="21">
        <v>701</v>
      </c>
      <c r="G173" s="21">
        <v>705</v>
      </c>
      <c r="H173" s="21">
        <v>696</v>
      </c>
      <c r="I173" s="21">
        <v>697</v>
      </c>
      <c r="J173" s="21">
        <v>703</v>
      </c>
      <c r="K173" s="21">
        <v>699</v>
      </c>
      <c r="L173" s="21"/>
      <c r="M173" s="21">
        <v>706</v>
      </c>
      <c r="N173" s="21">
        <v>704</v>
      </c>
      <c r="O173" s="21">
        <v>705</v>
      </c>
      <c r="P173" s="21">
        <v>726</v>
      </c>
      <c r="Q173" s="21">
        <v>714</v>
      </c>
      <c r="R173" s="21">
        <v>695</v>
      </c>
      <c r="S173" s="21">
        <v>702</v>
      </c>
      <c r="T173" s="21">
        <v>695</v>
      </c>
      <c r="U173" s="21">
        <v>720</v>
      </c>
      <c r="V173" s="21">
        <v>719</v>
      </c>
      <c r="W173" s="21">
        <v>724</v>
      </c>
      <c r="X173" s="21">
        <v>724</v>
      </c>
      <c r="Y173" s="21">
        <v>713</v>
      </c>
      <c r="Z173" s="21">
        <v>718</v>
      </c>
      <c r="AA173" s="21">
        <v>720</v>
      </c>
      <c r="AB173" s="21">
        <v>742</v>
      </c>
      <c r="AC173" s="21">
        <v>720</v>
      </c>
      <c r="AD173" s="21">
        <v>720</v>
      </c>
      <c r="AE173" s="21">
        <v>715</v>
      </c>
      <c r="AF173" s="21">
        <v>712</v>
      </c>
      <c r="AG173" s="21">
        <v>730</v>
      </c>
      <c r="AH173" s="21">
        <v>730</v>
      </c>
      <c r="AI173" s="21">
        <v>770</v>
      </c>
      <c r="AJ173" s="21">
        <v>795</v>
      </c>
      <c r="AK173" s="21">
        <v>792</v>
      </c>
      <c r="AL173" s="21">
        <v>788</v>
      </c>
      <c r="AM173" s="21">
        <v>849</v>
      </c>
      <c r="AN173" s="21">
        <v>782</v>
      </c>
      <c r="AO173" s="21">
        <v>751</v>
      </c>
      <c r="AP173" s="21">
        <v>810</v>
      </c>
      <c r="AQ173" s="21">
        <v>698</v>
      </c>
      <c r="AR173" s="21">
        <v>696</v>
      </c>
      <c r="AS173" s="21">
        <v>698</v>
      </c>
      <c r="AT173" s="21">
        <v>701</v>
      </c>
      <c r="AU173" s="21">
        <v>703</v>
      </c>
      <c r="AV173" s="21">
        <v>720</v>
      </c>
      <c r="AW173" s="21">
        <v>747</v>
      </c>
      <c r="AX173" s="21">
        <v>751</v>
      </c>
      <c r="AY173" s="21">
        <v>771</v>
      </c>
      <c r="AZ173" s="21">
        <v>766</v>
      </c>
      <c r="BA173" s="21">
        <v>765</v>
      </c>
      <c r="BB173" s="21">
        <v>774</v>
      </c>
      <c r="BC173" s="21">
        <v>762</v>
      </c>
      <c r="BD173" s="21">
        <v>762</v>
      </c>
      <c r="BE173" s="21">
        <v>775</v>
      </c>
      <c r="BF173" s="21">
        <v>781</v>
      </c>
      <c r="BG173" s="21">
        <v>786</v>
      </c>
      <c r="BH173" s="21">
        <v>787</v>
      </c>
      <c r="BI173" s="21">
        <v>804</v>
      </c>
      <c r="BJ173" s="21">
        <v>805</v>
      </c>
      <c r="BK173" s="21">
        <v>821</v>
      </c>
      <c r="BL173" s="21">
        <v>812</v>
      </c>
      <c r="BM173" s="1">
        <v>810</v>
      </c>
      <c r="BN173" s="1">
        <v>812</v>
      </c>
      <c r="BO173" s="1">
        <v>831</v>
      </c>
      <c r="BP173" s="1">
        <v>843</v>
      </c>
      <c r="BQ173" s="1">
        <v>851</v>
      </c>
      <c r="BR173" s="1">
        <v>860</v>
      </c>
      <c r="BS173" s="1">
        <v>860</v>
      </c>
      <c r="BT173" s="1">
        <v>881</v>
      </c>
      <c r="BU173" s="1">
        <v>900</v>
      </c>
      <c r="BV173" s="1">
        <v>879</v>
      </c>
      <c r="BW173" s="1">
        <v>872</v>
      </c>
      <c r="BX173" s="1">
        <v>869</v>
      </c>
      <c r="BY173" s="1">
        <v>850</v>
      </c>
      <c r="BZ173" s="1">
        <v>868</v>
      </c>
    </row>
    <row r="174" spans="1:78" ht="15.9" customHeight="1">
      <c r="A174" s="78" t="s">
        <v>342</v>
      </c>
      <c r="B174" s="17" t="s">
        <v>343</v>
      </c>
      <c r="C174" s="546">
        <f>_xll.RssMarket("2327","始値")</f>
        <v>3710</v>
      </c>
      <c r="D174" s="23">
        <f t="shared" si="5"/>
        <v>-16</v>
      </c>
      <c r="E174" s="553">
        <v>3726</v>
      </c>
      <c r="F174" s="21">
        <v>3845</v>
      </c>
      <c r="G174" s="21">
        <v>3890</v>
      </c>
      <c r="H174" s="21">
        <v>3994</v>
      </c>
      <c r="I174" s="21">
        <v>3980</v>
      </c>
      <c r="J174" s="21">
        <v>3930</v>
      </c>
      <c r="K174" s="21">
        <v>3845</v>
      </c>
      <c r="L174" s="21">
        <v>3695</v>
      </c>
      <c r="M174" s="21">
        <v>3707</v>
      </c>
      <c r="N174" s="21">
        <v>3786</v>
      </c>
      <c r="O174" s="21">
        <v>3897</v>
      </c>
      <c r="P174" s="21">
        <v>3834</v>
      </c>
      <c r="Q174" s="21">
        <v>3829</v>
      </c>
      <c r="R174" s="21">
        <v>3800</v>
      </c>
      <c r="S174" s="21">
        <v>3788</v>
      </c>
      <c r="T174" s="21">
        <v>3739</v>
      </c>
      <c r="U174" s="21">
        <v>3738</v>
      </c>
      <c r="V174" s="21">
        <v>3785</v>
      </c>
      <c r="W174" s="21">
        <v>3697</v>
      </c>
      <c r="X174" s="21">
        <v>3590</v>
      </c>
      <c r="Y174" s="21">
        <v>3603</v>
      </c>
      <c r="Z174" s="21">
        <v>3439</v>
      </c>
      <c r="AA174" s="21">
        <v>3390</v>
      </c>
      <c r="AB174" s="21">
        <v>3392</v>
      </c>
      <c r="AC174" s="21">
        <v>3306</v>
      </c>
      <c r="AD174" s="21">
        <v>3214</v>
      </c>
      <c r="AE174" s="21">
        <v>3261</v>
      </c>
      <c r="AF174" s="21">
        <v>3182</v>
      </c>
      <c r="AG174" s="21">
        <v>3228</v>
      </c>
      <c r="AH174" s="21">
        <v>3206</v>
      </c>
      <c r="AI174" s="21">
        <v>3243</v>
      </c>
      <c r="AJ174" s="21">
        <v>3116</v>
      </c>
      <c r="AK174" s="21">
        <v>3133</v>
      </c>
      <c r="AL174" s="21">
        <v>3220</v>
      </c>
      <c r="AM174" s="21">
        <v>3250</v>
      </c>
      <c r="AN174" s="21">
        <v>3234</v>
      </c>
      <c r="AO174" s="21">
        <v>3243</v>
      </c>
      <c r="AP174" s="21">
        <v>3285</v>
      </c>
      <c r="AQ174" s="21">
        <v>3351</v>
      </c>
      <c r="AR174" s="21">
        <v>3480</v>
      </c>
      <c r="AS174" s="21">
        <v>3362</v>
      </c>
      <c r="AT174" s="21">
        <v>3512</v>
      </c>
      <c r="AU174" s="21">
        <v>3570</v>
      </c>
      <c r="AV174" s="21">
        <v>3499</v>
      </c>
      <c r="AW174" s="21">
        <v>3568</v>
      </c>
      <c r="AX174" s="21">
        <v>3607</v>
      </c>
      <c r="AY174" s="21">
        <v>3598</v>
      </c>
      <c r="AZ174" s="21">
        <v>3516</v>
      </c>
      <c r="BA174" s="21">
        <v>3542</v>
      </c>
      <c r="BB174" s="21">
        <v>3600</v>
      </c>
      <c r="BC174" s="21">
        <v>3548</v>
      </c>
      <c r="BD174" s="21">
        <v>3510</v>
      </c>
      <c r="BE174" s="21">
        <v>3500</v>
      </c>
      <c r="BF174" s="21">
        <v>3515</v>
      </c>
      <c r="BG174" s="21">
        <v>3639</v>
      </c>
      <c r="BH174" s="21">
        <v>3630</v>
      </c>
      <c r="BI174" s="21">
        <v>3638</v>
      </c>
      <c r="BJ174" s="21">
        <v>3643</v>
      </c>
      <c r="BK174" s="21">
        <v>3586</v>
      </c>
      <c r="BL174" s="21">
        <v>3536</v>
      </c>
      <c r="BM174" s="1">
        <v>3641</v>
      </c>
      <c r="BN174" s="1">
        <v>3524</v>
      </c>
      <c r="BO174" s="1">
        <v>3680</v>
      </c>
      <c r="BP174" s="1">
        <v>3638</v>
      </c>
      <c r="BQ174" s="1">
        <v>3833</v>
      </c>
      <c r="BR174" s="1">
        <v>3881</v>
      </c>
      <c r="BS174" s="1">
        <v>3879</v>
      </c>
      <c r="BT174" s="1">
        <v>3897</v>
      </c>
      <c r="BU174" s="1">
        <v>3903</v>
      </c>
      <c r="BV174" s="1">
        <v>3933</v>
      </c>
      <c r="BW174" s="1">
        <v>3820</v>
      </c>
      <c r="BX174" s="1">
        <v>3790</v>
      </c>
      <c r="BY174" s="1">
        <v>3754</v>
      </c>
      <c r="BZ174" s="1">
        <v>3771</v>
      </c>
    </row>
    <row r="175" spans="1:78" ht="15.9" customHeight="1">
      <c r="A175" s="78" t="s">
        <v>344</v>
      </c>
      <c r="B175" s="17" t="s">
        <v>345</v>
      </c>
      <c r="C175" s="546">
        <f>_xll.RssMarket("1942","始値")</f>
        <v>5584</v>
      </c>
      <c r="D175" s="23">
        <f t="shared" si="5"/>
        <v>251</v>
      </c>
      <c r="E175" s="553">
        <v>5333</v>
      </c>
      <c r="F175" s="21">
        <v>5268</v>
      </c>
      <c r="G175" s="21">
        <v>5688</v>
      </c>
      <c r="H175" s="21">
        <v>5525</v>
      </c>
      <c r="I175" s="21">
        <v>5950</v>
      </c>
      <c r="J175" s="21">
        <v>5990</v>
      </c>
      <c r="K175" s="21">
        <v>6074</v>
      </c>
      <c r="L175" s="21">
        <v>5971</v>
      </c>
      <c r="M175" s="21">
        <v>5980</v>
      </c>
      <c r="N175" s="21">
        <v>5995</v>
      </c>
      <c r="O175" s="21">
        <v>5900</v>
      </c>
      <c r="P175" s="21">
        <v>6000</v>
      </c>
      <c r="Q175" s="21">
        <v>6244</v>
      </c>
      <c r="R175" s="21">
        <v>6135</v>
      </c>
      <c r="S175" s="21">
        <v>6360</v>
      </c>
      <c r="T175" s="21">
        <v>6282</v>
      </c>
      <c r="U175" s="21">
        <v>6400</v>
      </c>
      <c r="V175" s="21">
        <v>6672</v>
      </c>
      <c r="W175" s="21">
        <v>6773</v>
      </c>
      <c r="X175" s="21">
        <v>6833</v>
      </c>
      <c r="Y175" s="21">
        <v>6675</v>
      </c>
      <c r="Z175" s="21">
        <v>6676</v>
      </c>
      <c r="AA175" s="21">
        <v>6795</v>
      </c>
      <c r="AB175" s="21">
        <v>6850</v>
      </c>
      <c r="AC175" s="21">
        <v>6740</v>
      </c>
      <c r="AD175" s="21">
        <v>6640</v>
      </c>
      <c r="AE175" s="21">
        <v>6832</v>
      </c>
      <c r="AF175" s="21">
        <v>6735</v>
      </c>
      <c r="AG175" s="21">
        <v>6797</v>
      </c>
      <c r="AH175" s="21">
        <v>6720</v>
      </c>
      <c r="AI175" s="21">
        <v>6660</v>
      </c>
      <c r="AJ175" s="21">
        <v>6499</v>
      </c>
      <c r="AK175" s="21">
        <v>6400</v>
      </c>
      <c r="AL175" s="21">
        <v>6320</v>
      </c>
      <c r="AM175" s="21">
        <v>6163</v>
      </c>
      <c r="AN175" s="21">
        <v>5944</v>
      </c>
      <c r="AO175" s="21">
        <v>5862</v>
      </c>
      <c r="AP175" s="21">
        <v>6033</v>
      </c>
      <c r="AQ175" s="21">
        <v>5814</v>
      </c>
      <c r="AR175" s="21">
        <v>5823</v>
      </c>
      <c r="AS175" s="21">
        <v>5820</v>
      </c>
      <c r="AT175" s="21">
        <v>6000</v>
      </c>
      <c r="AU175" s="21">
        <v>6007</v>
      </c>
      <c r="AV175" s="21">
        <v>6579</v>
      </c>
      <c r="AW175" s="21">
        <v>6492</v>
      </c>
      <c r="AX175" s="21">
        <v>6682</v>
      </c>
      <c r="AY175" s="21">
        <v>6060</v>
      </c>
      <c r="AZ175" s="21">
        <v>6105</v>
      </c>
      <c r="BA175" s="21">
        <v>6250</v>
      </c>
      <c r="BB175" s="21">
        <v>6322</v>
      </c>
      <c r="BC175" s="21">
        <v>6500</v>
      </c>
      <c r="BD175" s="21">
        <v>6800</v>
      </c>
      <c r="BE175" s="21">
        <v>6968</v>
      </c>
      <c r="BF175" s="21">
        <v>7250</v>
      </c>
      <c r="BG175" s="21">
        <v>7280</v>
      </c>
      <c r="BH175" s="21">
        <v>7270</v>
      </c>
      <c r="BI175" s="21">
        <v>7050</v>
      </c>
      <c r="BJ175" s="21">
        <v>6912</v>
      </c>
      <c r="BK175" s="21">
        <v>6834</v>
      </c>
      <c r="BL175" s="21">
        <v>6900</v>
      </c>
      <c r="BM175" s="1">
        <v>6697</v>
      </c>
      <c r="BN175" s="1">
        <v>6412</v>
      </c>
      <c r="BO175" s="1">
        <v>6004</v>
      </c>
      <c r="BP175" s="1">
        <v>6096</v>
      </c>
      <c r="BQ175" s="1">
        <v>6002</v>
      </c>
      <c r="BR175" s="1">
        <v>6122</v>
      </c>
      <c r="BS175" s="1">
        <v>6167</v>
      </c>
      <c r="BT175" s="1">
        <v>6190</v>
      </c>
      <c r="BU175" s="1">
        <v>6154</v>
      </c>
      <c r="BV175" s="1">
        <v>6091</v>
      </c>
      <c r="BW175" s="1">
        <v>6375</v>
      </c>
      <c r="BX175" s="1">
        <v>6280</v>
      </c>
      <c r="BY175" s="1">
        <v>6265</v>
      </c>
      <c r="BZ175" s="1">
        <v>6399</v>
      </c>
    </row>
    <row r="176" spans="1:78" ht="15.9" customHeight="1">
      <c r="A176" s="78" t="s">
        <v>346</v>
      </c>
      <c r="B176" s="17" t="s">
        <v>347</v>
      </c>
      <c r="C176" s="546">
        <f>_xll.RssMarket("1938","始値")</f>
        <v>2462</v>
      </c>
      <c r="D176" s="23">
        <f t="shared" si="5"/>
        <v>70</v>
      </c>
      <c r="E176" s="553">
        <v>2392</v>
      </c>
      <c r="F176" s="21">
        <v>2404</v>
      </c>
      <c r="G176" s="21">
        <v>2454</v>
      </c>
      <c r="H176" s="21">
        <v>2372</v>
      </c>
      <c r="I176" s="21">
        <v>2466</v>
      </c>
      <c r="J176" s="21">
        <v>2499</v>
      </c>
      <c r="K176" s="21">
        <v>2514</v>
      </c>
      <c r="L176" s="21">
        <v>2517</v>
      </c>
      <c r="M176" s="21">
        <v>2514</v>
      </c>
      <c r="N176" s="21">
        <v>2537</v>
      </c>
      <c r="O176" s="21">
        <v>2456</v>
      </c>
      <c r="P176" s="21">
        <v>2550</v>
      </c>
      <c r="Q176" s="21">
        <v>2577</v>
      </c>
      <c r="R176" s="21">
        <v>2551</v>
      </c>
      <c r="S176" s="21">
        <v>2579</v>
      </c>
      <c r="T176" s="21">
        <v>2571</v>
      </c>
      <c r="U176" s="21">
        <v>2590</v>
      </c>
      <c r="V176" s="21">
        <v>2652</v>
      </c>
      <c r="W176" s="21">
        <v>2726</v>
      </c>
      <c r="X176" s="21">
        <v>2697</v>
      </c>
      <c r="Y176" s="21">
        <v>2655</v>
      </c>
      <c r="Z176" s="21">
        <v>2660</v>
      </c>
      <c r="AA176" s="21">
        <v>2679</v>
      </c>
      <c r="AB176" s="21">
        <v>2730</v>
      </c>
      <c r="AC176" s="21">
        <v>2736</v>
      </c>
      <c r="AD176" s="21">
        <v>2724</v>
      </c>
      <c r="AE176" s="21">
        <v>2707</v>
      </c>
      <c r="AF176" s="21">
        <v>2719</v>
      </c>
      <c r="AG176" s="21">
        <v>2800</v>
      </c>
      <c r="AH176" s="21">
        <v>2790</v>
      </c>
      <c r="AI176" s="21">
        <v>2800</v>
      </c>
      <c r="AJ176" s="21">
        <v>2775</v>
      </c>
      <c r="AK176" s="21">
        <v>2804</v>
      </c>
      <c r="AL176" s="21">
        <v>2760</v>
      </c>
      <c r="AM176" s="21">
        <v>2740</v>
      </c>
      <c r="AN176" s="21">
        <v>2714</v>
      </c>
      <c r="AO176" s="21">
        <v>2698</v>
      </c>
      <c r="AP176" s="21">
        <v>2728</v>
      </c>
      <c r="AQ176" s="21">
        <v>2722</v>
      </c>
      <c r="AR176" s="21">
        <v>2777</v>
      </c>
      <c r="AS176" s="21">
        <v>2705</v>
      </c>
      <c r="AT176" s="21">
        <v>2748</v>
      </c>
      <c r="AU176" s="21">
        <v>2688</v>
      </c>
      <c r="AV176" s="21">
        <v>2799</v>
      </c>
      <c r="AW176" s="21">
        <v>2761</v>
      </c>
      <c r="AX176" s="21">
        <v>2850</v>
      </c>
      <c r="AY176" s="21">
        <v>2687</v>
      </c>
      <c r="AZ176" s="21">
        <v>2664</v>
      </c>
      <c r="BA176" s="21">
        <v>2735</v>
      </c>
      <c r="BB176" s="21">
        <v>2759</v>
      </c>
      <c r="BC176" s="21">
        <v>2849</v>
      </c>
      <c r="BD176" s="21">
        <v>2879</v>
      </c>
      <c r="BE176" s="21">
        <v>2988</v>
      </c>
      <c r="BF176" s="21">
        <v>3005</v>
      </c>
      <c r="BG176" s="21">
        <v>3150</v>
      </c>
      <c r="BH176" s="21">
        <v>2994</v>
      </c>
      <c r="BI176" s="21">
        <v>2924</v>
      </c>
      <c r="BJ176" s="21">
        <v>2887</v>
      </c>
      <c r="BK176" s="21">
        <v>2879</v>
      </c>
      <c r="BL176" s="21">
        <v>2733</v>
      </c>
      <c r="BM176" s="1">
        <v>2689</v>
      </c>
      <c r="BN176" s="1">
        <v>2585</v>
      </c>
      <c r="BO176" s="1">
        <v>2532</v>
      </c>
      <c r="BP176" s="1">
        <v>2575</v>
      </c>
      <c r="BQ176" s="1">
        <v>2506</v>
      </c>
      <c r="BR176" s="1">
        <v>2570</v>
      </c>
      <c r="BS176" s="1">
        <v>2571</v>
      </c>
      <c r="BT176" s="1">
        <v>2545</v>
      </c>
      <c r="BU176" s="1">
        <v>2585</v>
      </c>
      <c r="BV176" s="1">
        <v>2591</v>
      </c>
      <c r="BW176" s="1">
        <v>2658</v>
      </c>
      <c r="BX176" s="1">
        <v>2701</v>
      </c>
      <c r="BY176" s="1">
        <v>2604</v>
      </c>
      <c r="BZ176" s="1">
        <v>2680</v>
      </c>
    </row>
    <row r="177" spans="1:78" ht="15.9" customHeight="1">
      <c r="A177" s="78" t="s">
        <v>348</v>
      </c>
      <c r="B177" s="17" t="s">
        <v>349</v>
      </c>
      <c r="C177" s="546">
        <f>_xll.RssMarket("7236","始値")</f>
        <v>1465</v>
      </c>
      <c r="D177" s="23">
        <f t="shared" si="5"/>
        <v>1465</v>
      </c>
      <c r="E177" s="553"/>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78" ht="15.9" customHeight="1">
      <c r="A178" s="78" t="s">
        <v>350</v>
      </c>
      <c r="B178" s="17" t="s">
        <v>351</v>
      </c>
      <c r="C178" s="546">
        <f>_xll.RssMarket("6436","始値")</f>
        <v>3868</v>
      </c>
      <c r="D178" s="23">
        <f t="shared" si="5"/>
        <v>-52</v>
      </c>
      <c r="E178" s="553">
        <v>3920</v>
      </c>
      <c r="F178" s="21">
        <v>3891</v>
      </c>
      <c r="G178" s="21">
        <v>3894</v>
      </c>
      <c r="H178" s="21">
        <v>3922</v>
      </c>
      <c r="I178" s="21">
        <v>3836</v>
      </c>
      <c r="J178" s="21">
        <v>4040</v>
      </c>
      <c r="K178" s="21">
        <v>3887</v>
      </c>
      <c r="L178" s="21"/>
      <c r="M178" s="21">
        <v>3802</v>
      </c>
      <c r="N178" s="21">
        <v>3831</v>
      </c>
      <c r="O178" s="21">
        <v>3805</v>
      </c>
      <c r="P178" s="21">
        <v>3803</v>
      </c>
      <c r="Q178" s="21">
        <v>3773</v>
      </c>
      <c r="R178" s="21">
        <v>3737</v>
      </c>
      <c r="S178" s="21">
        <v>3763</v>
      </c>
      <c r="T178" s="21">
        <v>3746</v>
      </c>
      <c r="U178" s="21">
        <v>3734</v>
      </c>
      <c r="V178" s="21">
        <v>3751</v>
      </c>
      <c r="W178" s="21">
        <v>3746</v>
      </c>
      <c r="X178" s="21">
        <v>3704</v>
      </c>
      <c r="Y178" s="21">
        <v>3729</v>
      </c>
      <c r="Z178" s="21">
        <v>3675</v>
      </c>
      <c r="AA178" s="21">
        <v>3659</v>
      </c>
      <c r="AB178" s="21">
        <v>3668</v>
      </c>
      <c r="AC178" s="21">
        <v>3666</v>
      </c>
      <c r="AD178" s="21">
        <v>3608</v>
      </c>
      <c r="AE178" s="21">
        <v>3610</v>
      </c>
      <c r="AF178" s="21">
        <v>3581</v>
      </c>
      <c r="AG178" s="21">
        <v>3600</v>
      </c>
      <c r="AH178" s="21">
        <v>3577</v>
      </c>
      <c r="AI178" s="21">
        <v>3570</v>
      </c>
      <c r="AJ178" s="21">
        <v>3575</v>
      </c>
      <c r="AK178" s="21">
        <v>3595</v>
      </c>
      <c r="AL178" s="21">
        <v>3577</v>
      </c>
      <c r="AM178" s="21">
        <v>3597</v>
      </c>
      <c r="AN178" s="21">
        <v>3601</v>
      </c>
      <c r="AO178" s="21">
        <v>3646</v>
      </c>
      <c r="AP178" s="21">
        <v>3582</v>
      </c>
      <c r="AQ178" s="21">
        <v>3453</v>
      </c>
      <c r="AR178" s="21">
        <v>3534</v>
      </c>
      <c r="AS178" s="21">
        <v>3502</v>
      </c>
      <c r="AT178" s="21">
        <v>3540</v>
      </c>
      <c r="AU178" s="21">
        <v>3534</v>
      </c>
      <c r="AV178" s="21">
        <v>3568</v>
      </c>
      <c r="AW178" s="21">
        <v>3572</v>
      </c>
      <c r="AX178" s="21">
        <v>3550</v>
      </c>
      <c r="AY178" s="21">
        <v>3659</v>
      </c>
      <c r="AZ178" s="21">
        <v>3629</v>
      </c>
      <c r="BA178" s="21">
        <v>3667</v>
      </c>
      <c r="BB178" s="21">
        <v>3690</v>
      </c>
      <c r="BC178" s="21">
        <v>3651</v>
      </c>
      <c r="BD178" s="21">
        <v>3671</v>
      </c>
      <c r="BE178" s="21">
        <v>3683</v>
      </c>
      <c r="BF178" s="21">
        <v>3668</v>
      </c>
      <c r="BG178" s="21">
        <v>3678</v>
      </c>
      <c r="BH178" s="21">
        <v>3699</v>
      </c>
      <c r="BI178" s="21">
        <v>3691</v>
      </c>
      <c r="BJ178" s="21">
        <v>3614</v>
      </c>
      <c r="BK178" s="21">
        <v>3592</v>
      </c>
      <c r="BL178" s="21">
        <v>3582</v>
      </c>
      <c r="BM178" s="1">
        <v>3706</v>
      </c>
      <c r="BN178" s="1">
        <v>3707</v>
      </c>
      <c r="BO178" s="1">
        <v>3800</v>
      </c>
      <c r="BP178" s="1">
        <v>3830</v>
      </c>
      <c r="BQ178" s="1">
        <v>3830</v>
      </c>
      <c r="BR178" s="1">
        <v>3821</v>
      </c>
      <c r="BS178" s="1">
        <v>3870</v>
      </c>
      <c r="BT178" s="1">
        <v>3957</v>
      </c>
      <c r="BU178" s="1">
        <v>3883</v>
      </c>
      <c r="BV178" s="1">
        <v>3872</v>
      </c>
      <c r="BW178" s="1">
        <v>3876</v>
      </c>
      <c r="BX178" s="1">
        <v>3897</v>
      </c>
      <c r="BY178" s="1">
        <v>3880</v>
      </c>
      <c r="BZ178" s="1">
        <v>3945</v>
      </c>
    </row>
    <row r="179" spans="1:78" ht="15.9" customHeight="1">
      <c r="A179" s="78" t="s">
        <v>352</v>
      </c>
      <c r="B179" s="17" t="s">
        <v>353</v>
      </c>
      <c r="C179" s="546">
        <f>_xll.RssMarket("5410","始値")</f>
        <v>2828</v>
      </c>
      <c r="D179" s="23">
        <f t="shared" si="5"/>
        <v>-24</v>
      </c>
      <c r="E179" s="553">
        <v>2852</v>
      </c>
      <c r="F179" s="21">
        <v>2863</v>
      </c>
      <c r="G179" s="21">
        <v>2878</v>
      </c>
      <c r="H179" s="21">
        <v>2899</v>
      </c>
      <c r="I179" s="21">
        <v>2871</v>
      </c>
      <c r="J179" s="21">
        <v>2822</v>
      </c>
      <c r="K179" s="21">
        <v>2799</v>
      </c>
      <c r="L179" s="21">
        <v>2748</v>
      </c>
      <c r="M179" s="21">
        <v>2749</v>
      </c>
      <c r="N179" s="21">
        <v>2723</v>
      </c>
      <c r="O179" s="21">
        <v>2671</v>
      </c>
      <c r="P179" s="21">
        <v>2688</v>
      </c>
      <c r="Q179" s="21">
        <v>2697</v>
      </c>
      <c r="R179" s="21">
        <v>2696</v>
      </c>
      <c r="S179" s="21">
        <v>2696</v>
      </c>
      <c r="T179" s="21">
        <v>2672</v>
      </c>
      <c r="U179" s="21">
        <v>2668</v>
      </c>
      <c r="V179" s="21">
        <v>2705</v>
      </c>
      <c r="W179" s="21">
        <v>2709</v>
      </c>
      <c r="X179" s="21">
        <v>2678</v>
      </c>
      <c r="Y179" s="21">
        <v>2629</v>
      </c>
      <c r="Z179" s="21">
        <v>2567</v>
      </c>
      <c r="AA179" s="21">
        <v>2577</v>
      </c>
      <c r="AB179" s="21">
        <v>2625</v>
      </c>
      <c r="AC179" s="21">
        <v>2608</v>
      </c>
      <c r="AD179" s="21">
        <v>2576</v>
      </c>
      <c r="AE179" s="21">
        <v>2571</v>
      </c>
      <c r="AF179" s="21">
        <v>2575</v>
      </c>
      <c r="AG179" s="21">
        <v>2583</v>
      </c>
      <c r="AH179" s="21">
        <v>2590</v>
      </c>
      <c r="AI179" s="21">
        <v>2615</v>
      </c>
      <c r="AJ179" s="21">
        <v>2604</v>
      </c>
      <c r="AK179" s="21">
        <v>2610</v>
      </c>
      <c r="AL179" s="21">
        <v>2611</v>
      </c>
      <c r="AM179" s="21">
        <v>2612</v>
      </c>
      <c r="AN179" s="21">
        <v>2565</v>
      </c>
      <c r="AO179" s="21">
        <v>2555</v>
      </c>
      <c r="AP179" s="21">
        <v>2531</v>
      </c>
      <c r="AQ179" s="21">
        <v>2566</v>
      </c>
      <c r="AR179" s="21">
        <v>2545</v>
      </c>
      <c r="AS179" s="21">
        <v>2554</v>
      </c>
      <c r="AT179" s="21">
        <v>2600</v>
      </c>
      <c r="AU179" s="21">
        <v>2594</v>
      </c>
      <c r="AV179" s="21">
        <v>2715</v>
      </c>
      <c r="AW179" s="21">
        <v>2697</v>
      </c>
      <c r="AX179" s="21">
        <v>2637</v>
      </c>
      <c r="AY179" s="21">
        <v>2682</v>
      </c>
      <c r="AZ179" s="21">
        <v>2714</v>
      </c>
      <c r="BA179" s="21">
        <v>2710</v>
      </c>
      <c r="BB179" s="21">
        <v>2762</v>
      </c>
      <c r="BC179" s="21">
        <v>2771</v>
      </c>
      <c r="BD179" s="21">
        <v>2838</v>
      </c>
      <c r="BE179" s="21">
        <v>2867</v>
      </c>
      <c r="BF179" s="21">
        <v>2821</v>
      </c>
      <c r="BG179" s="21">
        <v>2867</v>
      </c>
      <c r="BH179" s="21">
        <v>2868</v>
      </c>
      <c r="BI179" s="21">
        <v>2880</v>
      </c>
      <c r="BJ179" s="21">
        <v>2855</v>
      </c>
      <c r="BK179" s="21">
        <v>2893</v>
      </c>
      <c r="BL179" s="21">
        <v>2855</v>
      </c>
      <c r="BM179" s="1">
        <v>2917</v>
      </c>
      <c r="BN179" s="1">
        <v>3010</v>
      </c>
      <c r="BO179" s="1">
        <v>3385</v>
      </c>
      <c r="BP179" s="1">
        <v>3455</v>
      </c>
      <c r="BQ179" s="1">
        <v>3495</v>
      </c>
      <c r="BR179" s="1">
        <v>3535</v>
      </c>
      <c r="BS179" s="1">
        <v>3565</v>
      </c>
      <c r="BT179" s="1">
        <v>3560</v>
      </c>
      <c r="BU179" s="1">
        <v>3570</v>
      </c>
      <c r="BV179" s="1">
        <v>3560</v>
      </c>
      <c r="BW179" s="1">
        <v>3590</v>
      </c>
      <c r="BX179" s="1">
        <v>3575</v>
      </c>
      <c r="BY179" s="1">
        <v>3580</v>
      </c>
      <c r="BZ179" s="1">
        <v>3640</v>
      </c>
    </row>
    <row r="180" spans="1:78" ht="15.9" customHeight="1">
      <c r="A180" s="78" t="s">
        <v>354</v>
      </c>
      <c r="B180" s="17" t="s">
        <v>355</v>
      </c>
      <c r="C180" s="546">
        <f>_xll.RssMarket("5440","始値")</f>
        <v>1866</v>
      </c>
      <c r="D180" s="23">
        <f t="shared" si="5"/>
        <v>-20</v>
      </c>
      <c r="E180" s="553">
        <v>1886</v>
      </c>
      <c r="F180" s="21">
        <v>1868</v>
      </c>
      <c r="G180" s="21">
        <v>1998</v>
      </c>
      <c r="H180" s="21">
        <v>1952</v>
      </c>
      <c r="I180" s="21">
        <v>1944</v>
      </c>
      <c r="J180" s="21">
        <v>1940</v>
      </c>
      <c r="K180" s="21">
        <v>1918</v>
      </c>
      <c r="L180" s="21"/>
      <c r="M180" s="21">
        <v>1893</v>
      </c>
      <c r="N180" s="21">
        <v>1880</v>
      </c>
      <c r="O180" s="21">
        <v>1861</v>
      </c>
      <c r="P180" s="21">
        <v>1837</v>
      </c>
      <c r="Q180" s="21">
        <v>1849</v>
      </c>
      <c r="R180" s="21">
        <v>1812</v>
      </c>
      <c r="S180" s="21">
        <v>1810</v>
      </c>
      <c r="T180" s="21">
        <v>1816</v>
      </c>
      <c r="U180" s="21">
        <v>1800</v>
      </c>
      <c r="V180" s="21">
        <v>1808</v>
      </c>
      <c r="W180" s="21">
        <v>1815</v>
      </c>
      <c r="X180" s="21">
        <v>1788</v>
      </c>
      <c r="Y180" s="21">
        <v>1769</v>
      </c>
      <c r="Z180" s="21">
        <v>1732</v>
      </c>
      <c r="AA180" s="21">
        <v>1751</v>
      </c>
      <c r="AB180" s="21">
        <v>1753</v>
      </c>
      <c r="AC180" s="21">
        <v>1760</v>
      </c>
      <c r="AD180" s="21">
        <v>1703</v>
      </c>
      <c r="AE180" s="21">
        <v>1725</v>
      </c>
      <c r="AF180" s="21">
        <v>1713</v>
      </c>
      <c r="AG180" s="21">
        <v>1750</v>
      </c>
      <c r="AH180" s="21">
        <v>1746</v>
      </c>
      <c r="AI180" s="21">
        <v>1745</v>
      </c>
      <c r="AJ180" s="21">
        <v>1751</v>
      </c>
      <c r="AK180" s="21">
        <v>1744</v>
      </c>
      <c r="AL180" s="21">
        <v>1752</v>
      </c>
      <c r="AM180" s="21">
        <v>1779</v>
      </c>
      <c r="AN180" s="21">
        <v>1740</v>
      </c>
      <c r="AO180" s="21">
        <v>1717</v>
      </c>
      <c r="AP180" s="21">
        <v>1722</v>
      </c>
      <c r="AQ180" s="21">
        <v>1739</v>
      </c>
      <c r="AR180" s="21">
        <v>1740</v>
      </c>
      <c r="AS180" s="21">
        <v>1744</v>
      </c>
      <c r="AT180" s="21">
        <v>1748</v>
      </c>
      <c r="AU180" s="21">
        <v>1739</v>
      </c>
      <c r="AV180" s="21">
        <v>1835</v>
      </c>
      <c r="AW180" s="21">
        <v>1830</v>
      </c>
      <c r="AX180" s="21">
        <v>1820</v>
      </c>
      <c r="AY180" s="21">
        <v>1853</v>
      </c>
      <c r="AZ180" s="21">
        <v>1855</v>
      </c>
      <c r="BA180" s="21">
        <v>1821</v>
      </c>
      <c r="BB180" s="21">
        <v>1830</v>
      </c>
      <c r="BC180" s="21">
        <v>1840</v>
      </c>
      <c r="BD180" s="21">
        <v>1856</v>
      </c>
      <c r="BE180" s="21">
        <v>1877</v>
      </c>
      <c r="BF180" s="21">
        <v>1824</v>
      </c>
      <c r="BG180" s="21">
        <v>1818</v>
      </c>
      <c r="BH180" s="21">
        <v>1827</v>
      </c>
      <c r="BI180" s="21">
        <v>1801</v>
      </c>
      <c r="BJ180" s="21">
        <v>1820</v>
      </c>
      <c r="BK180" s="21">
        <v>1830</v>
      </c>
      <c r="BL180" s="21">
        <v>1907</v>
      </c>
      <c r="BM180" s="1">
        <v>2154</v>
      </c>
      <c r="BN180" s="1">
        <v>2182</v>
      </c>
      <c r="BO180" s="1">
        <v>2236</v>
      </c>
      <c r="BP180" s="1">
        <v>2239</v>
      </c>
      <c r="BQ180" s="1">
        <v>2262</v>
      </c>
      <c r="BR180" s="1">
        <v>2272</v>
      </c>
      <c r="BS180" s="1">
        <v>2333</v>
      </c>
      <c r="BT180" s="1">
        <v>2290</v>
      </c>
      <c r="BU180" s="1">
        <v>2304</v>
      </c>
      <c r="BV180" s="1">
        <v>2341</v>
      </c>
      <c r="BW180" s="1">
        <v>2357</v>
      </c>
      <c r="BX180" s="1">
        <v>2350</v>
      </c>
      <c r="BY180" s="1">
        <v>2355</v>
      </c>
      <c r="BZ180" s="1">
        <v>2400</v>
      </c>
    </row>
    <row r="181" spans="1:78" ht="15.9" customHeight="1">
      <c r="A181" s="78" t="s">
        <v>356</v>
      </c>
      <c r="B181" s="17" t="s">
        <v>357</v>
      </c>
      <c r="C181" s="546">
        <f>_xll.RssMarket("9505","始値")</f>
        <v>924.7</v>
      </c>
      <c r="D181" s="23">
        <f t="shared" si="5"/>
        <v>-11.299999999999955</v>
      </c>
      <c r="E181" s="553">
        <v>936</v>
      </c>
      <c r="F181" s="21">
        <v>947.6</v>
      </c>
      <c r="G181" s="21">
        <v>982.7</v>
      </c>
      <c r="H181" s="21">
        <v>1006</v>
      </c>
      <c r="I181" s="21">
        <v>985.2</v>
      </c>
      <c r="J181" s="21">
        <v>966.3</v>
      </c>
      <c r="K181" s="21">
        <v>950.2</v>
      </c>
      <c r="L181" s="21">
        <v>940</v>
      </c>
      <c r="M181" s="21">
        <v>940</v>
      </c>
      <c r="N181" s="21">
        <v>935</v>
      </c>
      <c r="O181" s="21">
        <v>921</v>
      </c>
      <c r="P181" s="21">
        <v>906.3</v>
      </c>
      <c r="Q181" s="21">
        <v>913.2</v>
      </c>
      <c r="R181" s="21">
        <v>891</v>
      </c>
      <c r="S181" s="21">
        <v>908.9</v>
      </c>
      <c r="T181" s="21">
        <v>907</v>
      </c>
      <c r="U181" s="21">
        <v>913</v>
      </c>
      <c r="V181" s="21">
        <v>914.9</v>
      </c>
      <c r="W181" s="21">
        <v>920</v>
      </c>
      <c r="X181" s="21">
        <v>899</v>
      </c>
      <c r="Y181" s="21">
        <v>883.1</v>
      </c>
      <c r="Z181" s="21">
        <v>881</v>
      </c>
      <c r="AA181" s="21">
        <v>863.5</v>
      </c>
      <c r="AB181" s="21">
        <v>878</v>
      </c>
      <c r="AC181" s="21">
        <v>879</v>
      </c>
      <c r="AD181" s="21">
        <v>875.2</v>
      </c>
      <c r="AE181" s="21">
        <v>861</v>
      </c>
      <c r="AF181" s="21">
        <v>852.5</v>
      </c>
      <c r="AG181" s="21">
        <v>850</v>
      </c>
      <c r="AH181" s="21">
        <v>844.5</v>
      </c>
      <c r="AI181" s="21">
        <v>842.2</v>
      </c>
      <c r="AJ181" s="21">
        <v>850</v>
      </c>
      <c r="AK181" s="21">
        <v>849</v>
      </c>
      <c r="AL181" s="21">
        <v>872.9</v>
      </c>
      <c r="AM181" s="21">
        <v>876</v>
      </c>
      <c r="AN181" s="21">
        <v>861.8</v>
      </c>
      <c r="AO181" s="21">
        <v>865</v>
      </c>
      <c r="AP181" s="21">
        <v>845</v>
      </c>
      <c r="AQ181" s="21">
        <v>806.7</v>
      </c>
      <c r="AR181" s="21">
        <v>812</v>
      </c>
      <c r="AS181" s="21">
        <v>809.3</v>
      </c>
      <c r="AT181" s="21">
        <v>815</v>
      </c>
      <c r="AU181" s="21">
        <v>796</v>
      </c>
      <c r="AV181" s="21">
        <v>829.1</v>
      </c>
      <c r="AW181" s="21">
        <v>844</v>
      </c>
      <c r="AX181" s="21">
        <v>855</v>
      </c>
      <c r="AY181" s="21">
        <v>861.8</v>
      </c>
      <c r="AZ181" s="21">
        <v>882.5</v>
      </c>
      <c r="BA181" s="21">
        <v>877.5</v>
      </c>
      <c r="BB181" s="21">
        <v>883</v>
      </c>
      <c r="BC181" s="21">
        <v>871.6</v>
      </c>
      <c r="BD181" s="21">
        <v>897</v>
      </c>
      <c r="BE181" s="21">
        <v>913.2</v>
      </c>
      <c r="BF181" s="21">
        <v>910</v>
      </c>
      <c r="BG181" s="21">
        <v>918.3</v>
      </c>
      <c r="BH181" s="21">
        <v>904.8</v>
      </c>
      <c r="BI181" s="21">
        <v>872.4</v>
      </c>
      <c r="BJ181" s="21">
        <v>895.4</v>
      </c>
      <c r="BK181" s="21">
        <v>860.1</v>
      </c>
      <c r="BL181" s="21">
        <v>871.5</v>
      </c>
      <c r="BM181" s="1">
        <v>905.6</v>
      </c>
      <c r="BN181" s="1">
        <v>985</v>
      </c>
      <c r="BO181" s="1">
        <v>986.1</v>
      </c>
      <c r="BP181" s="1">
        <v>999.1</v>
      </c>
      <c r="BQ181" s="1">
        <v>995</v>
      </c>
      <c r="BR181" s="1">
        <v>1003</v>
      </c>
      <c r="BS181" s="1">
        <v>1028.5</v>
      </c>
      <c r="BT181" s="1">
        <v>1058.5</v>
      </c>
      <c r="BU181" s="1">
        <v>1080</v>
      </c>
      <c r="BV181" s="1">
        <v>1081.5</v>
      </c>
      <c r="BW181" s="1">
        <v>1088</v>
      </c>
      <c r="BX181" s="1">
        <v>1090</v>
      </c>
      <c r="BY181" s="1">
        <v>1104</v>
      </c>
      <c r="BZ181" s="1">
        <v>1128.5</v>
      </c>
    </row>
    <row r="182" spans="1:78" ht="15.9" customHeight="1">
      <c r="A182" s="78" t="s">
        <v>358</v>
      </c>
      <c r="B182" s="17" t="s">
        <v>359</v>
      </c>
      <c r="C182" s="546">
        <f>_xll.RssMarket("8091","始値")</f>
        <v>2357</v>
      </c>
      <c r="D182" s="23">
        <f t="shared" si="5"/>
        <v>1</v>
      </c>
      <c r="E182" s="553">
        <v>2356</v>
      </c>
      <c r="F182" s="21">
        <v>2368</v>
      </c>
      <c r="G182" s="21">
        <v>2372</v>
      </c>
      <c r="H182" s="21">
        <v>2383</v>
      </c>
      <c r="I182" s="21">
        <v>2341</v>
      </c>
      <c r="J182" s="21">
        <v>2355</v>
      </c>
      <c r="K182" s="21">
        <v>2332</v>
      </c>
      <c r="L182" s="21">
        <v>2325</v>
      </c>
      <c r="M182" s="21">
        <v>2340</v>
      </c>
      <c r="N182" s="21">
        <v>2345</v>
      </c>
      <c r="O182" s="21">
        <v>2321</v>
      </c>
      <c r="P182" s="21">
        <v>2308</v>
      </c>
      <c r="Q182" s="21">
        <v>2284</v>
      </c>
      <c r="R182" s="21">
        <v>2272</v>
      </c>
      <c r="S182" s="21">
        <v>2310</v>
      </c>
      <c r="T182" s="21">
        <v>2274</v>
      </c>
      <c r="U182" s="21">
        <v>2264</v>
      </c>
      <c r="V182" s="21">
        <v>2338</v>
      </c>
      <c r="W182" s="21">
        <v>2349</v>
      </c>
      <c r="X182" s="21">
        <v>2307</v>
      </c>
      <c r="Y182" s="21">
        <v>2297</v>
      </c>
      <c r="Z182" s="21">
        <v>2284</v>
      </c>
      <c r="AA182" s="21">
        <v>2283</v>
      </c>
      <c r="AB182" s="21">
        <v>2300</v>
      </c>
      <c r="AC182" s="21">
        <v>2265</v>
      </c>
      <c r="AD182" s="21">
        <v>2275</v>
      </c>
      <c r="AE182" s="21">
        <v>2299</v>
      </c>
      <c r="AF182" s="21">
        <v>2266</v>
      </c>
      <c r="AG182" s="21">
        <v>2261</v>
      </c>
      <c r="AH182" s="21">
        <v>2290</v>
      </c>
      <c r="AI182" s="21">
        <v>2261</v>
      </c>
      <c r="AJ182" s="21">
        <v>2235</v>
      </c>
      <c r="AK182" s="21">
        <v>2219</v>
      </c>
      <c r="AL182" s="21">
        <v>2202</v>
      </c>
      <c r="AM182" s="21">
        <v>2186</v>
      </c>
      <c r="AN182" s="21">
        <v>2176</v>
      </c>
      <c r="AO182" s="21">
        <v>2211</v>
      </c>
      <c r="AP182" s="21">
        <v>2180</v>
      </c>
      <c r="AQ182" s="21">
        <v>2185</v>
      </c>
      <c r="AR182" s="21">
        <v>2188</v>
      </c>
      <c r="AS182" s="21">
        <v>2141</v>
      </c>
      <c r="AT182" s="21">
        <v>2131</v>
      </c>
      <c r="AU182" s="21">
        <v>2134</v>
      </c>
      <c r="AV182" s="21">
        <v>2173</v>
      </c>
      <c r="AW182" s="21">
        <v>2133</v>
      </c>
      <c r="AX182" s="21">
        <v>2140</v>
      </c>
      <c r="AY182" s="21">
        <v>2146</v>
      </c>
      <c r="AZ182" s="21">
        <v>2169</v>
      </c>
      <c r="BA182" s="21">
        <v>2168</v>
      </c>
      <c r="BB182" s="21">
        <v>2190</v>
      </c>
      <c r="BC182" s="21">
        <v>2161</v>
      </c>
      <c r="BD182" s="21">
        <v>2204</v>
      </c>
      <c r="BE182" s="21">
        <v>2280</v>
      </c>
      <c r="BF182" s="21">
        <v>2278</v>
      </c>
      <c r="BG182" s="21">
        <v>2248</v>
      </c>
      <c r="BH182" s="21">
        <v>2273</v>
      </c>
      <c r="BI182" s="21">
        <v>2256</v>
      </c>
      <c r="BJ182" s="21">
        <v>2256</v>
      </c>
      <c r="BK182" s="21">
        <v>2227</v>
      </c>
      <c r="BL182" s="21">
        <v>2253</v>
      </c>
      <c r="BM182" s="1">
        <v>2270</v>
      </c>
      <c r="BN182" s="1">
        <v>2280</v>
      </c>
      <c r="BO182" s="1">
        <v>2390</v>
      </c>
      <c r="BP182" s="1">
        <v>2445</v>
      </c>
      <c r="BQ182" s="1">
        <v>2458</v>
      </c>
      <c r="BR182" s="1">
        <v>2490</v>
      </c>
      <c r="BS182" s="1">
        <v>2507</v>
      </c>
      <c r="BT182" s="1">
        <v>2522</v>
      </c>
      <c r="BU182" s="1">
        <v>2519</v>
      </c>
      <c r="BV182" s="1">
        <v>2525</v>
      </c>
      <c r="BW182" s="1">
        <v>2525</v>
      </c>
      <c r="BX182" s="1">
        <v>2540</v>
      </c>
      <c r="BY182" s="1">
        <v>2533</v>
      </c>
      <c r="BZ182" s="1">
        <v>2577</v>
      </c>
    </row>
    <row r="183" spans="1:78" ht="15.9" customHeight="1">
      <c r="A183" s="78" t="s">
        <v>360</v>
      </c>
      <c r="B183" s="17" t="s">
        <v>361</v>
      </c>
      <c r="C183" s="546">
        <f>_xll.RssMarket("6507","始値")</f>
        <v>14450</v>
      </c>
      <c r="D183" s="23">
        <f t="shared" si="5"/>
        <v>920</v>
      </c>
      <c r="E183" s="553">
        <v>13530</v>
      </c>
      <c r="F183" s="21">
        <v>13030</v>
      </c>
      <c r="G183" s="21">
        <v>13040</v>
      </c>
      <c r="H183" s="21">
        <v>11780</v>
      </c>
      <c r="I183" s="21">
        <v>12390</v>
      </c>
      <c r="J183" s="21">
        <v>13420</v>
      </c>
      <c r="K183" s="21">
        <v>14300</v>
      </c>
      <c r="L183" s="21">
        <v>14210</v>
      </c>
      <c r="M183" s="21">
        <v>14230</v>
      </c>
      <c r="N183" s="21">
        <v>14160</v>
      </c>
      <c r="O183" s="21">
        <v>13540</v>
      </c>
      <c r="P183" s="21">
        <v>14000</v>
      </c>
      <c r="Q183" s="21">
        <v>14450</v>
      </c>
      <c r="R183" s="21">
        <v>14200</v>
      </c>
      <c r="S183" s="21">
        <v>14930</v>
      </c>
      <c r="T183" s="21">
        <v>15400</v>
      </c>
      <c r="U183" s="21">
        <v>14740</v>
      </c>
      <c r="V183" s="21">
        <v>14800</v>
      </c>
      <c r="W183" s="21">
        <v>16580</v>
      </c>
      <c r="X183" s="21">
        <v>15950</v>
      </c>
      <c r="Y183" s="21">
        <v>14920</v>
      </c>
      <c r="Z183" s="21">
        <v>15850</v>
      </c>
      <c r="AA183" s="21">
        <v>16330</v>
      </c>
      <c r="AB183" s="21">
        <v>15650</v>
      </c>
      <c r="AC183" s="21">
        <v>15230</v>
      </c>
      <c r="AD183" s="21">
        <v>15520</v>
      </c>
      <c r="AE183" s="21">
        <v>16500</v>
      </c>
      <c r="AF183" s="21">
        <v>15390</v>
      </c>
      <c r="AG183" s="21">
        <v>16850</v>
      </c>
      <c r="AH183" s="21">
        <v>16850</v>
      </c>
      <c r="AI183" s="21">
        <v>16480</v>
      </c>
      <c r="AJ183" s="21">
        <v>16030</v>
      </c>
      <c r="AK183" s="21">
        <v>14720</v>
      </c>
      <c r="AL183" s="21">
        <v>13760</v>
      </c>
      <c r="AM183" s="21">
        <v>13990</v>
      </c>
      <c r="AN183" s="21">
        <v>13600</v>
      </c>
      <c r="AO183" s="21">
        <v>12730</v>
      </c>
      <c r="AP183" s="21">
        <v>13770</v>
      </c>
      <c r="AQ183" s="21">
        <v>14000</v>
      </c>
      <c r="AR183" s="21">
        <v>15190</v>
      </c>
      <c r="AS183" s="21">
        <v>14090</v>
      </c>
      <c r="AT183" s="21">
        <v>14400</v>
      </c>
      <c r="AU183" s="21">
        <v>13960</v>
      </c>
      <c r="AV183" s="21">
        <v>14100</v>
      </c>
      <c r="AW183" s="21">
        <v>14150</v>
      </c>
      <c r="AX183" s="21">
        <v>15180</v>
      </c>
      <c r="AY183" s="21">
        <v>14280</v>
      </c>
      <c r="AZ183" s="21">
        <v>14000</v>
      </c>
      <c r="BA183" s="21">
        <v>13480</v>
      </c>
      <c r="BB183" s="21">
        <v>13200</v>
      </c>
      <c r="BC183" s="21">
        <v>15370</v>
      </c>
      <c r="BD183" s="21">
        <v>15320</v>
      </c>
      <c r="BE183" s="21">
        <v>16470</v>
      </c>
      <c r="BF183" s="21">
        <v>15240</v>
      </c>
      <c r="BG183" s="21">
        <v>14530</v>
      </c>
      <c r="BH183" s="21">
        <v>15190</v>
      </c>
      <c r="BI183" s="21">
        <v>15150</v>
      </c>
      <c r="BJ183" s="21">
        <v>14660</v>
      </c>
      <c r="BK183" s="21">
        <v>15210</v>
      </c>
      <c r="BL183" s="21">
        <v>14260</v>
      </c>
      <c r="BM183" s="1">
        <v>13660</v>
      </c>
      <c r="BN183" s="1">
        <v>13680</v>
      </c>
      <c r="BO183" s="1">
        <v>13340</v>
      </c>
      <c r="BP183" s="1">
        <v>13330</v>
      </c>
      <c r="BQ183" s="1">
        <v>13570</v>
      </c>
      <c r="BR183" s="1">
        <v>13440</v>
      </c>
      <c r="BS183" s="1">
        <v>13560</v>
      </c>
      <c r="BT183" s="1">
        <v>13490</v>
      </c>
      <c r="BU183" s="1">
        <v>13890</v>
      </c>
      <c r="BV183" s="1">
        <v>13780</v>
      </c>
      <c r="BW183" s="1">
        <v>13550</v>
      </c>
      <c r="BX183" s="1">
        <v>13680</v>
      </c>
      <c r="BY183" s="1">
        <v>13400</v>
      </c>
      <c r="BZ183" s="1">
        <v>13050</v>
      </c>
    </row>
    <row r="184" spans="1:78" ht="15.9" customHeight="1">
      <c r="A184" s="78" t="s">
        <v>362</v>
      </c>
      <c r="B184" s="17" t="s">
        <v>363</v>
      </c>
      <c r="C184" s="546">
        <f>_xll.RssMarket("9022","始値")</f>
        <v>3840</v>
      </c>
      <c r="D184" s="23">
        <f t="shared" si="5"/>
        <v>-75</v>
      </c>
      <c r="E184" s="553">
        <v>3915</v>
      </c>
      <c r="F184" s="21">
        <v>3801</v>
      </c>
      <c r="G184" s="21">
        <v>4034</v>
      </c>
      <c r="H184" s="21">
        <v>4233</v>
      </c>
      <c r="I184" s="21">
        <v>4100</v>
      </c>
      <c r="J184" s="21">
        <v>4035</v>
      </c>
      <c r="K184" s="21">
        <v>3938</v>
      </c>
      <c r="L184" s="21">
        <v>3800</v>
      </c>
      <c r="M184" s="21">
        <v>3795</v>
      </c>
      <c r="N184" s="21">
        <v>3785</v>
      </c>
      <c r="O184" s="21">
        <v>3820</v>
      </c>
      <c r="P184" s="21">
        <v>3746</v>
      </c>
      <c r="Q184" s="21">
        <v>3749</v>
      </c>
      <c r="R184" s="21">
        <v>3684</v>
      </c>
      <c r="S184" s="21">
        <v>3648</v>
      </c>
      <c r="T184" s="21">
        <v>3671</v>
      </c>
      <c r="U184" s="21">
        <v>3594</v>
      </c>
      <c r="V184" s="21">
        <v>3700</v>
      </c>
      <c r="W184" s="21">
        <v>3560</v>
      </c>
      <c r="X184" s="21">
        <v>3523</v>
      </c>
      <c r="Y184" s="21">
        <v>3515</v>
      </c>
      <c r="Z184" s="21">
        <v>3405</v>
      </c>
      <c r="AA184" s="21">
        <v>3428</v>
      </c>
      <c r="AB184" s="21">
        <v>3463</v>
      </c>
      <c r="AC184" s="21">
        <v>3442</v>
      </c>
      <c r="AD184" s="21">
        <v>3360</v>
      </c>
      <c r="AE184" s="21">
        <v>3383</v>
      </c>
      <c r="AF184" s="21">
        <v>3347</v>
      </c>
      <c r="AG184" s="21">
        <v>3274</v>
      </c>
      <c r="AH184" s="21">
        <v>3222</v>
      </c>
      <c r="AI184" s="21">
        <v>3250</v>
      </c>
      <c r="AJ184" s="21">
        <v>3293</v>
      </c>
      <c r="AK184" s="21">
        <v>3364</v>
      </c>
      <c r="AL184" s="21">
        <v>3303</v>
      </c>
      <c r="AM184" s="21">
        <v>3383</v>
      </c>
      <c r="AN184" s="21">
        <v>3392</v>
      </c>
      <c r="AO184" s="21">
        <v>3473</v>
      </c>
      <c r="AP184" s="21">
        <v>3493</v>
      </c>
      <c r="AQ184" s="21">
        <v>3345</v>
      </c>
      <c r="AR184" s="21">
        <v>3352</v>
      </c>
      <c r="AS184" s="21">
        <v>3303</v>
      </c>
      <c r="AT184" s="21">
        <v>3323</v>
      </c>
      <c r="AU184" s="21">
        <v>3398</v>
      </c>
      <c r="AV184" s="21">
        <v>3465</v>
      </c>
      <c r="AW184" s="21">
        <v>3524</v>
      </c>
      <c r="AX184" s="21">
        <v>3540</v>
      </c>
      <c r="AY184" s="21">
        <v>3553</v>
      </c>
      <c r="AZ184" s="21">
        <v>3567</v>
      </c>
      <c r="BA184" s="21">
        <v>3591</v>
      </c>
      <c r="BB184" s="21">
        <v>3608</v>
      </c>
      <c r="BC184" s="21">
        <v>3555</v>
      </c>
      <c r="BD184" s="21">
        <v>3615</v>
      </c>
      <c r="BE184" s="21">
        <v>3616</v>
      </c>
      <c r="BF184" s="21">
        <v>3595</v>
      </c>
      <c r="BG184" s="21">
        <v>3615</v>
      </c>
      <c r="BH184" s="21">
        <v>3588</v>
      </c>
      <c r="BI184" s="21">
        <v>3571</v>
      </c>
      <c r="BJ184" s="21">
        <v>3700</v>
      </c>
      <c r="BK184" s="21">
        <v>3555</v>
      </c>
      <c r="BL184" s="21">
        <v>3705</v>
      </c>
      <c r="BM184" s="1">
        <v>3723</v>
      </c>
      <c r="BN184" s="1">
        <v>4109</v>
      </c>
      <c r="BO184" s="1">
        <v>4055</v>
      </c>
      <c r="BP184" s="1">
        <v>4109</v>
      </c>
      <c r="BQ184" s="1">
        <v>4092</v>
      </c>
      <c r="BR184" s="1">
        <v>4176</v>
      </c>
      <c r="BS184" s="1">
        <v>4276</v>
      </c>
      <c r="BT184" s="1">
        <v>4188</v>
      </c>
      <c r="BU184" s="1">
        <v>4280</v>
      </c>
      <c r="BV184" s="1">
        <v>4287</v>
      </c>
      <c r="BW184" s="1">
        <v>4333</v>
      </c>
      <c r="BX184" s="1">
        <v>4240</v>
      </c>
      <c r="BY184" s="1">
        <v>4168</v>
      </c>
      <c r="BZ184" s="1">
        <v>4266</v>
      </c>
    </row>
    <row r="185" spans="1:78" ht="15.9" customHeight="1">
      <c r="A185" s="78" t="s">
        <v>364</v>
      </c>
      <c r="B185" s="17" t="s">
        <v>365</v>
      </c>
      <c r="C185" s="546">
        <f>_xll.RssMarket("9536","始値")</f>
        <v>2381</v>
      </c>
      <c r="D185" s="23">
        <f t="shared" si="5"/>
        <v>-46</v>
      </c>
      <c r="E185" s="553">
        <v>2427</v>
      </c>
      <c r="F185" s="21">
        <v>2434</v>
      </c>
      <c r="G185" s="21">
        <v>2385</v>
      </c>
      <c r="H185" s="21">
        <v>2369</v>
      </c>
      <c r="I185" s="21">
        <v>2354</v>
      </c>
      <c r="J185" s="21">
        <v>2371</v>
      </c>
      <c r="K185" s="21">
        <v>2385</v>
      </c>
      <c r="L185" s="21">
        <v>2353</v>
      </c>
      <c r="M185" s="21">
        <v>2365</v>
      </c>
      <c r="N185" s="21">
        <v>2345</v>
      </c>
      <c r="O185" s="21">
        <v>2339</v>
      </c>
      <c r="P185" s="21">
        <v>2329</v>
      </c>
      <c r="Q185" s="21">
        <v>2328</v>
      </c>
      <c r="R185" s="21">
        <v>2303</v>
      </c>
      <c r="S185" s="21">
        <v>2346</v>
      </c>
      <c r="T185" s="21">
        <v>2327</v>
      </c>
      <c r="U185" s="21">
        <v>2345</v>
      </c>
      <c r="V185" s="21">
        <v>2340</v>
      </c>
      <c r="W185" s="21">
        <v>2306</v>
      </c>
      <c r="X185" s="21">
        <v>2275</v>
      </c>
      <c r="Y185" s="21">
        <v>2248</v>
      </c>
      <c r="Z185" s="21">
        <v>2229</v>
      </c>
      <c r="AA185" s="21">
        <v>2248</v>
      </c>
      <c r="AB185" s="21">
        <v>2270</v>
      </c>
      <c r="AC185" s="21">
        <v>2254</v>
      </c>
      <c r="AD185" s="21">
        <v>2224</v>
      </c>
      <c r="AE185" s="21">
        <v>2239</v>
      </c>
      <c r="AF185" s="21">
        <v>2224</v>
      </c>
      <c r="AG185" s="21">
        <v>2213</v>
      </c>
      <c r="AH185" s="21">
        <v>2230</v>
      </c>
      <c r="AI185" s="21">
        <v>2234</v>
      </c>
      <c r="AJ185" s="21">
        <v>2250</v>
      </c>
      <c r="AK185" s="21">
        <v>2242</v>
      </c>
      <c r="AL185" s="21">
        <v>2262</v>
      </c>
      <c r="AM185" s="21">
        <v>2250</v>
      </c>
      <c r="AN185" s="21">
        <v>2236</v>
      </c>
      <c r="AO185" s="21">
        <v>2244</v>
      </c>
      <c r="AP185" s="21">
        <v>2227</v>
      </c>
      <c r="AQ185" s="21">
        <v>2180</v>
      </c>
      <c r="AR185" s="21">
        <v>2190</v>
      </c>
      <c r="AS185" s="21">
        <v>2187</v>
      </c>
      <c r="AT185" s="21">
        <v>2174</v>
      </c>
      <c r="AU185" s="21">
        <v>2181</v>
      </c>
      <c r="AV185" s="21">
        <v>2192</v>
      </c>
      <c r="AW185" s="21">
        <v>2210</v>
      </c>
      <c r="AX185" s="21">
        <v>2216</v>
      </c>
      <c r="AY185" s="21">
        <v>2222</v>
      </c>
      <c r="AZ185" s="21">
        <v>2225</v>
      </c>
      <c r="BA185" s="21">
        <v>2216</v>
      </c>
      <c r="BB185" s="21">
        <v>2228</v>
      </c>
      <c r="BC185" s="21">
        <v>2219</v>
      </c>
      <c r="BD185" s="21">
        <v>2250</v>
      </c>
      <c r="BE185" s="21">
        <v>2264</v>
      </c>
      <c r="BF185" s="21">
        <v>2227</v>
      </c>
      <c r="BG185" s="21">
        <v>2225</v>
      </c>
      <c r="BH185" s="21">
        <v>2266</v>
      </c>
      <c r="BI185" s="21">
        <v>2223</v>
      </c>
      <c r="BJ185" s="21">
        <v>2253</v>
      </c>
      <c r="BK185" s="21">
        <v>2218</v>
      </c>
      <c r="BL185" s="21">
        <v>2246</v>
      </c>
      <c r="BM185" s="1">
        <v>2358</v>
      </c>
      <c r="BN185" s="1">
        <v>2430</v>
      </c>
      <c r="BO185" s="1">
        <v>2470</v>
      </c>
      <c r="BP185" s="1">
        <v>2457</v>
      </c>
      <c r="BQ185" s="1">
        <v>2460</v>
      </c>
      <c r="BR185" s="1">
        <v>2510</v>
      </c>
      <c r="BS185" s="1">
        <v>2535</v>
      </c>
      <c r="BT185" s="1">
        <v>2580</v>
      </c>
      <c r="BU185" s="1">
        <v>2615</v>
      </c>
      <c r="BV185" s="1">
        <v>2600</v>
      </c>
      <c r="BW185" s="1">
        <v>2590</v>
      </c>
      <c r="BX185" s="1">
        <v>2582</v>
      </c>
      <c r="BY185" s="1">
        <v>2553</v>
      </c>
      <c r="BZ185" s="1">
        <v>2584</v>
      </c>
    </row>
    <row r="186" spans="1:78" ht="15.9" customHeight="1">
      <c r="A186" s="78" t="s">
        <v>366</v>
      </c>
      <c r="B186" s="17" t="s">
        <v>367</v>
      </c>
      <c r="C186" s="546">
        <f>_xll.RssMarket("9506","始値")</f>
        <v>1192</v>
      </c>
      <c r="D186" s="23">
        <f t="shared" si="5"/>
        <v>-7</v>
      </c>
      <c r="E186" s="553">
        <v>1199</v>
      </c>
      <c r="F186" s="21">
        <v>1175.5</v>
      </c>
      <c r="G186" s="21">
        <v>1180.5</v>
      </c>
      <c r="H186" s="21">
        <v>1168</v>
      </c>
      <c r="I186" s="21">
        <v>1162.5</v>
      </c>
      <c r="J186" s="21">
        <v>1164.5</v>
      </c>
      <c r="K186" s="21">
        <v>1158</v>
      </c>
      <c r="L186" s="21">
        <v>1142.5</v>
      </c>
      <c r="M186" s="21">
        <v>1143</v>
      </c>
      <c r="N186" s="21">
        <v>1138</v>
      </c>
      <c r="O186" s="21">
        <v>1135</v>
      </c>
      <c r="P186" s="21">
        <v>1134.5</v>
      </c>
      <c r="Q186" s="21">
        <v>1111.5</v>
      </c>
      <c r="R186" s="21">
        <v>1094</v>
      </c>
      <c r="S186" s="21">
        <v>1095</v>
      </c>
      <c r="T186" s="21">
        <v>1092.5</v>
      </c>
      <c r="U186" s="21">
        <v>1095.5</v>
      </c>
      <c r="V186" s="21">
        <v>1087</v>
      </c>
      <c r="W186" s="21">
        <v>1095</v>
      </c>
      <c r="X186" s="21">
        <v>1080.5</v>
      </c>
      <c r="Y186" s="21">
        <v>1061</v>
      </c>
      <c r="Z186" s="21">
        <v>1067</v>
      </c>
      <c r="AA186" s="21">
        <v>1052</v>
      </c>
      <c r="AB186" s="21">
        <v>1052.5</v>
      </c>
      <c r="AC186" s="21">
        <v>1047.5</v>
      </c>
      <c r="AD186" s="21">
        <v>1055</v>
      </c>
      <c r="AE186" s="21">
        <v>1040</v>
      </c>
      <c r="AF186" s="21">
        <v>1030</v>
      </c>
      <c r="AG186" s="21">
        <v>1041</v>
      </c>
      <c r="AH186" s="21">
        <v>1048.5</v>
      </c>
      <c r="AI186" s="21">
        <v>1053.5</v>
      </c>
      <c r="AJ186" s="21">
        <v>1047</v>
      </c>
      <c r="AK186" s="21">
        <v>1043.5</v>
      </c>
      <c r="AL186" s="21">
        <v>1058.5</v>
      </c>
      <c r="AM186" s="21">
        <v>1033</v>
      </c>
      <c r="AN186" s="21">
        <v>1030</v>
      </c>
      <c r="AO186" s="21">
        <v>1027.5</v>
      </c>
      <c r="AP186" s="21">
        <v>1020</v>
      </c>
      <c r="AQ186" s="21">
        <v>992</v>
      </c>
      <c r="AR186" s="21">
        <v>997.9</v>
      </c>
      <c r="AS186" s="21">
        <v>1000.5</v>
      </c>
      <c r="AT186" s="21">
        <v>992.2</v>
      </c>
      <c r="AU186" s="21">
        <v>983.7</v>
      </c>
      <c r="AV186" s="21">
        <v>994.3</v>
      </c>
      <c r="AW186" s="21">
        <v>998.6</v>
      </c>
      <c r="AX186" s="21">
        <v>1010</v>
      </c>
      <c r="AY186" s="21">
        <v>1015</v>
      </c>
      <c r="AZ186" s="21">
        <v>1033.5</v>
      </c>
      <c r="BA186" s="21">
        <v>1014</v>
      </c>
      <c r="BB186" s="21">
        <v>1021</v>
      </c>
      <c r="BC186" s="21">
        <v>1013</v>
      </c>
      <c r="BD186" s="21">
        <v>1040</v>
      </c>
      <c r="BE186" s="21">
        <v>1053</v>
      </c>
      <c r="BF186" s="21">
        <v>1061.5</v>
      </c>
      <c r="BG186" s="21">
        <v>1065.5</v>
      </c>
      <c r="BH186" s="21">
        <v>1065.5</v>
      </c>
      <c r="BI186" s="21">
        <v>1052.5</v>
      </c>
      <c r="BJ186" s="21">
        <v>1094</v>
      </c>
      <c r="BK186" s="21">
        <v>1061</v>
      </c>
      <c r="BL186" s="21">
        <v>1079</v>
      </c>
      <c r="BM186" s="1">
        <v>1139</v>
      </c>
      <c r="BN186" s="1">
        <v>1131</v>
      </c>
      <c r="BO186" s="1">
        <v>1123</v>
      </c>
      <c r="BP186" s="1">
        <v>1132.5</v>
      </c>
      <c r="BQ186" s="1">
        <v>1125</v>
      </c>
      <c r="BR186" s="1">
        <v>1146</v>
      </c>
      <c r="BS186" s="1">
        <v>1162</v>
      </c>
      <c r="BT186" s="1">
        <v>1190</v>
      </c>
      <c r="BU186" s="1">
        <v>1182</v>
      </c>
      <c r="BV186" s="1">
        <v>1173</v>
      </c>
      <c r="BW186" s="1">
        <v>1176</v>
      </c>
      <c r="BX186" s="1">
        <v>1164</v>
      </c>
      <c r="BY186" s="1">
        <v>1159.5</v>
      </c>
      <c r="BZ186" s="1">
        <v>1185</v>
      </c>
    </row>
    <row r="187" spans="1:78" ht="15.9" customHeight="1">
      <c r="A187" s="78" t="s">
        <v>368</v>
      </c>
      <c r="B187" s="17" t="s">
        <v>369</v>
      </c>
      <c r="C187" s="546">
        <f>_xll.RssMarket("2127","始値")</f>
        <v>637</v>
      </c>
      <c r="D187" s="23">
        <f t="shared" si="5"/>
        <v>-10</v>
      </c>
      <c r="E187" s="553">
        <v>647</v>
      </c>
      <c r="F187" s="21">
        <v>637.70000000000005</v>
      </c>
      <c r="G187" s="21">
        <v>626.79999999999995</v>
      </c>
      <c r="H187" s="21">
        <v>704</v>
      </c>
      <c r="I187" s="21">
        <v>688.9</v>
      </c>
      <c r="J187" s="21">
        <v>687</v>
      </c>
      <c r="K187" s="21">
        <v>671.2</v>
      </c>
      <c r="L187" s="21">
        <v>657</v>
      </c>
      <c r="M187" s="21">
        <v>661.8</v>
      </c>
      <c r="N187" s="21">
        <v>669.2</v>
      </c>
      <c r="O187" s="21">
        <v>679</v>
      </c>
      <c r="P187" s="21">
        <v>678</v>
      </c>
      <c r="Q187" s="21">
        <v>681.3</v>
      </c>
      <c r="R187" s="21">
        <v>677</v>
      </c>
      <c r="S187" s="21">
        <v>681.6</v>
      </c>
      <c r="T187" s="21">
        <v>674.2</v>
      </c>
      <c r="U187" s="21">
        <v>681.4</v>
      </c>
      <c r="V187" s="21">
        <v>694</v>
      </c>
      <c r="W187" s="21">
        <v>682.3</v>
      </c>
      <c r="X187" s="21">
        <v>660</v>
      </c>
      <c r="Y187" s="21">
        <v>655.5</v>
      </c>
      <c r="Z187" s="21">
        <v>646</v>
      </c>
      <c r="AA187" s="21">
        <v>633.29999999999995</v>
      </c>
      <c r="AB187" s="21">
        <v>637.5</v>
      </c>
      <c r="AC187" s="21">
        <v>627</v>
      </c>
      <c r="AD187" s="21">
        <v>621.1</v>
      </c>
      <c r="AE187" s="21">
        <v>632.20000000000005</v>
      </c>
      <c r="AF187" s="21">
        <v>629.4</v>
      </c>
      <c r="AG187" s="21">
        <v>630.1</v>
      </c>
      <c r="AH187" s="21">
        <v>634.1</v>
      </c>
      <c r="AI187" s="21">
        <v>656</v>
      </c>
      <c r="AJ187" s="21">
        <v>654.20000000000005</v>
      </c>
      <c r="AK187" s="21">
        <v>645</v>
      </c>
      <c r="AL187" s="21">
        <v>636.29999999999995</v>
      </c>
      <c r="AM187" s="21">
        <v>636</v>
      </c>
      <c r="AN187" s="21">
        <v>652</v>
      </c>
      <c r="AO187" s="21">
        <v>639.9</v>
      </c>
      <c r="AP187" s="21">
        <v>642.9</v>
      </c>
      <c r="AQ187" s="21">
        <v>631.70000000000005</v>
      </c>
      <c r="AR187" s="21">
        <v>638.1</v>
      </c>
      <c r="AS187" s="21">
        <v>626</v>
      </c>
      <c r="AT187" s="21">
        <v>639.9</v>
      </c>
      <c r="AU187" s="21">
        <v>658</v>
      </c>
      <c r="AV187" s="21">
        <v>655</v>
      </c>
      <c r="AW187" s="21">
        <v>656.6</v>
      </c>
      <c r="AX187" s="21">
        <v>665.8</v>
      </c>
      <c r="AY187" s="21">
        <v>666</v>
      </c>
      <c r="AZ187" s="21">
        <v>657.2</v>
      </c>
      <c r="BA187" s="21">
        <v>652</v>
      </c>
      <c r="BB187" s="21">
        <v>650.20000000000005</v>
      </c>
      <c r="BC187" s="21">
        <v>641</v>
      </c>
      <c r="BD187" s="21">
        <v>640.4</v>
      </c>
      <c r="BE187" s="21">
        <v>637</v>
      </c>
      <c r="BF187" s="21">
        <v>644.5</v>
      </c>
      <c r="BG187" s="21">
        <v>634.5</v>
      </c>
      <c r="BH187" s="21">
        <v>652</v>
      </c>
      <c r="BI187" s="21">
        <v>653</v>
      </c>
      <c r="BJ187" s="21">
        <v>649.9</v>
      </c>
      <c r="BK187" s="21">
        <v>619.9</v>
      </c>
      <c r="BL187" s="21">
        <v>620</v>
      </c>
      <c r="BM187" s="1">
        <v>682.3</v>
      </c>
      <c r="BN187" s="1">
        <v>695</v>
      </c>
      <c r="BO187" s="1">
        <v>674.9</v>
      </c>
      <c r="BP187" s="1">
        <v>676.1</v>
      </c>
      <c r="BQ187" s="1">
        <v>688</v>
      </c>
      <c r="BR187" s="1">
        <v>691.6</v>
      </c>
      <c r="BS187" s="1">
        <v>695</v>
      </c>
      <c r="BT187" s="1">
        <v>690.1</v>
      </c>
      <c r="BU187" s="1">
        <v>689.1</v>
      </c>
      <c r="BV187" s="1">
        <v>683</v>
      </c>
      <c r="BW187" s="1">
        <v>672</v>
      </c>
      <c r="BX187" s="1">
        <v>667.2</v>
      </c>
      <c r="BY187" s="1">
        <v>655.1</v>
      </c>
      <c r="BZ187" s="1">
        <v>661.8</v>
      </c>
    </row>
    <row r="188" spans="1:78" ht="15.9" customHeight="1">
      <c r="A188" s="78" t="s">
        <v>370</v>
      </c>
      <c r="B188" s="17" t="s">
        <v>371</v>
      </c>
      <c r="C188" s="546">
        <f>_xll.RssMarket("6753","始値")</f>
        <v>617</v>
      </c>
      <c r="D188" s="23">
        <f t="shared" si="5"/>
        <v>-5.6000000000000227</v>
      </c>
      <c r="E188" s="553">
        <v>622.6</v>
      </c>
      <c r="F188" s="21">
        <v>613</v>
      </c>
      <c r="G188" s="21">
        <v>622.9</v>
      </c>
      <c r="H188" s="21">
        <v>638.9</v>
      </c>
      <c r="I188" s="21">
        <v>619.4</v>
      </c>
      <c r="J188" s="21">
        <v>611.6</v>
      </c>
      <c r="K188" s="21">
        <v>596.79999999999995</v>
      </c>
      <c r="L188" s="21">
        <v>601</v>
      </c>
      <c r="M188" s="21">
        <v>621</v>
      </c>
      <c r="N188" s="21">
        <v>624.1</v>
      </c>
      <c r="O188" s="21">
        <v>637.29999999999995</v>
      </c>
      <c r="P188" s="21">
        <v>640</v>
      </c>
      <c r="Q188" s="21">
        <v>653.1</v>
      </c>
      <c r="R188" s="21">
        <v>641</v>
      </c>
      <c r="S188" s="21">
        <v>645.4</v>
      </c>
      <c r="T188" s="21">
        <v>647.1</v>
      </c>
      <c r="U188" s="21">
        <v>641</v>
      </c>
      <c r="V188" s="21">
        <v>655</v>
      </c>
      <c r="W188" s="21">
        <v>645</v>
      </c>
      <c r="X188" s="21">
        <v>647</v>
      </c>
      <c r="Y188" s="21">
        <v>652</v>
      </c>
      <c r="Z188" s="21">
        <v>643.79999999999995</v>
      </c>
      <c r="AA188" s="21">
        <v>655</v>
      </c>
      <c r="AB188" s="21">
        <v>643.20000000000005</v>
      </c>
      <c r="AC188" s="21">
        <v>610.79999999999995</v>
      </c>
      <c r="AD188" s="21">
        <v>600.70000000000005</v>
      </c>
      <c r="AE188" s="21">
        <v>659</v>
      </c>
      <c r="AF188" s="21">
        <v>583.9</v>
      </c>
      <c r="AG188" s="21">
        <v>577.4</v>
      </c>
      <c r="AH188" s="21">
        <v>570.1</v>
      </c>
      <c r="AI188" s="21">
        <v>594</v>
      </c>
      <c r="AJ188" s="21">
        <v>590</v>
      </c>
      <c r="AK188" s="21">
        <v>594</v>
      </c>
      <c r="AL188" s="21">
        <v>610</v>
      </c>
      <c r="AM188" s="21">
        <v>611.20000000000005</v>
      </c>
      <c r="AN188" s="21">
        <v>630.5</v>
      </c>
      <c r="AO188" s="21">
        <v>626.20000000000005</v>
      </c>
      <c r="AP188" s="21">
        <v>649.79999999999995</v>
      </c>
      <c r="AQ188" s="21">
        <v>650</v>
      </c>
      <c r="AR188" s="21">
        <v>675</v>
      </c>
      <c r="AS188" s="21">
        <v>663.2</v>
      </c>
      <c r="AT188" s="21">
        <v>651.6</v>
      </c>
      <c r="AU188" s="21">
        <v>624</v>
      </c>
      <c r="AV188" s="21">
        <v>622</v>
      </c>
      <c r="AW188" s="21">
        <v>613</v>
      </c>
      <c r="AX188" s="21">
        <v>626.6</v>
      </c>
      <c r="AY188" s="21">
        <v>640.9</v>
      </c>
      <c r="AZ188" s="21">
        <v>616.29999999999995</v>
      </c>
      <c r="BA188" s="21">
        <v>604.4</v>
      </c>
      <c r="BB188" s="21">
        <v>635.4</v>
      </c>
      <c r="BC188" s="21">
        <v>615.79999999999995</v>
      </c>
      <c r="BD188" s="21">
        <v>609.9</v>
      </c>
      <c r="BE188" s="21">
        <v>574.9</v>
      </c>
      <c r="BF188" s="21">
        <v>581.1</v>
      </c>
      <c r="BG188" s="21">
        <v>550</v>
      </c>
      <c r="BH188" s="21">
        <v>555</v>
      </c>
      <c r="BI188" s="21">
        <v>554.29999999999995</v>
      </c>
      <c r="BJ188" s="21">
        <v>563.79999999999995</v>
      </c>
      <c r="BK188" s="21">
        <v>590.70000000000005</v>
      </c>
      <c r="BL188" s="21">
        <v>558.20000000000005</v>
      </c>
      <c r="BM188" s="1">
        <v>566.1</v>
      </c>
      <c r="BN188" s="1">
        <v>555</v>
      </c>
      <c r="BO188" s="1">
        <v>551</v>
      </c>
      <c r="BP188" s="1">
        <v>582</v>
      </c>
      <c r="BQ188" s="1">
        <v>604.6</v>
      </c>
      <c r="BR188" s="1">
        <v>605.1</v>
      </c>
      <c r="BS188" s="1">
        <v>617</v>
      </c>
      <c r="BT188" s="1">
        <v>617</v>
      </c>
      <c r="BU188" s="1">
        <v>604</v>
      </c>
      <c r="BV188" s="1">
        <v>600</v>
      </c>
      <c r="BW188" s="1">
        <v>596</v>
      </c>
      <c r="BX188" s="1">
        <v>595.70000000000005</v>
      </c>
      <c r="BY188" s="1">
        <v>594.4</v>
      </c>
      <c r="BZ188" s="1">
        <v>608.79999999999995</v>
      </c>
    </row>
    <row r="189" spans="1:78" ht="15.9" customHeight="1">
      <c r="A189" s="78" t="s">
        <v>372</v>
      </c>
      <c r="B189" s="17" t="str">
        <f>銘柄管理!C189</f>
        <v>ヤマトホールディングス</v>
      </c>
      <c r="C189" s="546">
        <f>_xll.RssMarket("9064","始値")</f>
        <v>1910</v>
      </c>
      <c r="D189" s="23"/>
      <c r="E189" s="553">
        <v>1991</v>
      </c>
      <c r="F189" s="21">
        <v>2055</v>
      </c>
      <c r="G189" s="21">
        <v>2080</v>
      </c>
      <c r="H189" s="21">
        <v>2181.5</v>
      </c>
      <c r="I189" s="21">
        <v>2135</v>
      </c>
      <c r="J189" s="21">
        <v>2072</v>
      </c>
      <c r="K189" s="21">
        <v>2049.5</v>
      </c>
      <c r="L189" s="21">
        <v>2021</v>
      </c>
      <c r="M189" s="21">
        <v>2024</v>
      </c>
      <c r="N189" s="21">
        <v>1991</v>
      </c>
      <c r="O189" s="21">
        <v>2025</v>
      </c>
      <c r="P189" s="21">
        <v>1990</v>
      </c>
      <c r="Q189" s="21">
        <v>1979.5</v>
      </c>
      <c r="R189" s="21">
        <v>1965</v>
      </c>
      <c r="S189" s="21">
        <v>1959.5</v>
      </c>
      <c r="T189" s="21">
        <v>1979.5</v>
      </c>
      <c r="U189" s="21">
        <v>1958.5</v>
      </c>
      <c r="V189" s="21">
        <v>1982</v>
      </c>
      <c r="W189" s="21">
        <v>1980</v>
      </c>
      <c r="X189" s="21">
        <v>1945.5</v>
      </c>
      <c r="Y189" s="21">
        <v>1943</v>
      </c>
      <c r="Z189" s="21">
        <v>1854</v>
      </c>
      <c r="AA189" s="21">
        <v>1826.5</v>
      </c>
      <c r="AB189" s="21">
        <v>1855</v>
      </c>
      <c r="AC189" s="21">
        <v>1825</v>
      </c>
      <c r="AD189" s="21">
        <v>1823</v>
      </c>
      <c r="AE189" s="21">
        <v>1775.5</v>
      </c>
      <c r="AF189" s="21">
        <v>1763.5</v>
      </c>
      <c r="AG189" s="21">
        <v>1764.5</v>
      </c>
      <c r="AH189" s="21">
        <v>1770.5</v>
      </c>
      <c r="AI189" s="21">
        <v>1750</v>
      </c>
      <c r="AJ189" s="21">
        <v>1744</v>
      </c>
      <c r="AK189" s="21">
        <v>1770</v>
      </c>
      <c r="AL189" s="21">
        <v>1773.5</v>
      </c>
      <c r="AM189" s="21">
        <v>1784</v>
      </c>
      <c r="AN189" s="21">
        <v>1834.5</v>
      </c>
      <c r="AO189" s="21">
        <v>1795.5</v>
      </c>
      <c r="AP189" s="21">
        <v>1792.5</v>
      </c>
      <c r="AQ189" s="21">
        <v>1785</v>
      </c>
      <c r="AR189" s="21">
        <v>1820</v>
      </c>
      <c r="AS189" s="21">
        <v>1823.5</v>
      </c>
      <c r="AT189" s="21">
        <v>1814</v>
      </c>
      <c r="AU189" s="21">
        <v>1794.5</v>
      </c>
      <c r="AV189" s="21">
        <v>1818.5</v>
      </c>
      <c r="AW189" s="21">
        <v>1779.5</v>
      </c>
      <c r="AX189" s="21">
        <v>1787</v>
      </c>
      <c r="AY189" s="21">
        <v>1768.5</v>
      </c>
      <c r="AZ189" s="21">
        <v>1775</v>
      </c>
      <c r="BA189" s="21">
        <v>1770</v>
      </c>
      <c r="BB189" s="21">
        <v>1763</v>
      </c>
      <c r="BC189" s="21">
        <v>1760.5</v>
      </c>
      <c r="BD189" s="21">
        <v>1739.5</v>
      </c>
      <c r="BE189" s="21">
        <v>1740</v>
      </c>
      <c r="BF189" s="21">
        <v>1747</v>
      </c>
      <c r="BG189" s="21">
        <v>1745</v>
      </c>
      <c r="BH189" s="21">
        <v>1734.5</v>
      </c>
      <c r="BI189" s="21">
        <v>1775</v>
      </c>
      <c r="BJ189" s="21">
        <v>1830</v>
      </c>
      <c r="BK189" s="21">
        <v>1748.5</v>
      </c>
      <c r="BL189" s="21">
        <v>1724.5</v>
      </c>
      <c r="BM189" s="1">
        <v>1780.5</v>
      </c>
      <c r="BN189" s="1">
        <v>1791</v>
      </c>
      <c r="BO189" s="1">
        <v>1750</v>
      </c>
      <c r="BP189" s="1">
        <v>1764</v>
      </c>
      <c r="BQ189" s="1">
        <v>1790</v>
      </c>
      <c r="BR189" s="1">
        <v>1815</v>
      </c>
      <c r="BS189" s="1">
        <v>1843.5</v>
      </c>
      <c r="BT189" s="1">
        <v>1855</v>
      </c>
      <c r="BU189" s="1">
        <v>1860</v>
      </c>
      <c r="BV189" s="1">
        <v>1856.5</v>
      </c>
      <c r="BW189" s="1">
        <v>1866</v>
      </c>
      <c r="BX189" s="1">
        <v>1850.5</v>
      </c>
      <c r="BY189" s="1">
        <v>1834</v>
      </c>
      <c r="BZ189" s="1">
        <v>1873</v>
      </c>
    </row>
    <row r="190" spans="1:78" ht="15.9" customHeight="1">
      <c r="A190" s="78" t="s">
        <v>373</v>
      </c>
      <c r="B190" s="17" t="s">
        <v>374</v>
      </c>
      <c r="C190" s="546">
        <f>_xll.RssMarket("7181","始値")</f>
        <v>1698.5</v>
      </c>
      <c r="D190" s="23">
        <f>C190-E190</f>
        <v>-14.5</v>
      </c>
      <c r="E190" s="553">
        <v>1713</v>
      </c>
      <c r="F190" s="21">
        <v>1739.5</v>
      </c>
      <c r="G190" s="21">
        <v>1766</v>
      </c>
      <c r="H190" s="21">
        <v>1750</v>
      </c>
      <c r="I190" s="21">
        <v>1742</v>
      </c>
      <c r="J190" s="21">
        <v>1778</v>
      </c>
      <c r="K190" s="21">
        <v>1780.5</v>
      </c>
      <c r="L190" s="21">
        <v>1728.5</v>
      </c>
      <c r="M190" s="21">
        <v>1728</v>
      </c>
      <c r="N190" s="21">
        <v>1676</v>
      </c>
      <c r="O190" s="21">
        <v>1631</v>
      </c>
      <c r="P190" s="21">
        <v>1645</v>
      </c>
      <c r="Q190" s="21">
        <v>1671</v>
      </c>
      <c r="R190" s="21">
        <v>1634</v>
      </c>
      <c r="S190" s="21">
        <v>1620</v>
      </c>
      <c r="T190" s="21">
        <v>1633.5</v>
      </c>
      <c r="U190" s="21">
        <v>1641</v>
      </c>
      <c r="V190" s="21">
        <v>1625</v>
      </c>
      <c r="W190" s="21">
        <v>1670</v>
      </c>
      <c r="X190" s="21">
        <v>1611.5</v>
      </c>
      <c r="Y190" s="21">
        <v>1610</v>
      </c>
      <c r="Z190" s="21">
        <v>1553</v>
      </c>
      <c r="AA190" s="21">
        <v>1521.5</v>
      </c>
      <c r="AB190" s="21">
        <v>1511</v>
      </c>
      <c r="AC190" s="21">
        <v>1502.5</v>
      </c>
      <c r="AD190" s="21">
        <v>1484</v>
      </c>
      <c r="AE190" s="21">
        <v>1498.5</v>
      </c>
      <c r="AF190" s="21">
        <v>1558.5</v>
      </c>
      <c r="AG190" s="21">
        <v>1530</v>
      </c>
      <c r="AH190" s="21">
        <v>1500</v>
      </c>
      <c r="AI190" s="21">
        <v>1529</v>
      </c>
      <c r="AJ190" s="21">
        <v>1539</v>
      </c>
      <c r="AK190" s="21">
        <v>1580</v>
      </c>
      <c r="AL190" s="21">
        <v>1548.5</v>
      </c>
      <c r="AM190" s="21">
        <v>1535.5</v>
      </c>
      <c r="AN190" s="21">
        <v>1540</v>
      </c>
      <c r="AO190" s="21">
        <v>1570</v>
      </c>
      <c r="AP190" s="21">
        <v>1556.5</v>
      </c>
      <c r="AQ190" s="21">
        <v>1423.5</v>
      </c>
      <c r="AR190" s="21">
        <v>1434.5</v>
      </c>
      <c r="AS190" s="21">
        <v>1391</v>
      </c>
      <c r="AT190" s="21">
        <v>1437</v>
      </c>
      <c r="AU190" s="21">
        <v>1382.5</v>
      </c>
      <c r="AV190" s="21">
        <v>1400</v>
      </c>
      <c r="AW190" s="21">
        <v>1462</v>
      </c>
      <c r="AX190" s="21">
        <v>1470.5</v>
      </c>
      <c r="AY190" s="21">
        <v>1505.5</v>
      </c>
      <c r="AZ190" s="21">
        <v>1551</v>
      </c>
      <c r="BA190" s="21">
        <v>1530</v>
      </c>
      <c r="BB190" s="21">
        <v>1535</v>
      </c>
      <c r="BC190" s="21">
        <v>1474.5</v>
      </c>
      <c r="BD190" s="21">
        <v>1530</v>
      </c>
      <c r="BE190" s="21">
        <v>1616</v>
      </c>
      <c r="BF190" s="21">
        <v>1611</v>
      </c>
      <c r="BG190" s="21">
        <v>1568</v>
      </c>
      <c r="BH190" s="21">
        <v>1564</v>
      </c>
      <c r="BI190" s="21">
        <v>1553.5</v>
      </c>
      <c r="BJ190" s="21">
        <v>1567</v>
      </c>
      <c r="BK190" s="21">
        <v>1577.5</v>
      </c>
      <c r="BL190" s="21">
        <v>1518.5</v>
      </c>
      <c r="BM190" s="1">
        <v>1524.5</v>
      </c>
      <c r="BN190" s="1">
        <v>1511</v>
      </c>
      <c r="BO190" s="1">
        <v>1481</v>
      </c>
      <c r="BP190" s="1">
        <v>1506</v>
      </c>
      <c r="BQ190" s="1">
        <v>1476</v>
      </c>
      <c r="BR190" s="1">
        <v>1542</v>
      </c>
      <c r="BS190" s="1">
        <v>1577.5</v>
      </c>
      <c r="BT190" s="1">
        <v>1614</v>
      </c>
      <c r="BU190" s="1">
        <v>1644</v>
      </c>
      <c r="BV190" s="1">
        <v>1667</v>
      </c>
      <c r="BW190" s="1">
        <v>1649.5</v>
      </c>
      <c r="BX190" s="1">
        <v>1613</v>
      </c>
      <c r="BY190" s="1">
        <v>1583</v>
      </c>
      <c r="BZ190" s="1">
        <v>1595.5</v>
      </c>
    </row>
    <row r="191" spans="1:78" ht="15.9" customHeight="1">
      <c r="A191" s="78" t="s">
        <v>375</v>
      </c>
      <c r="B191" s="17" t="str">
        <f>銘柄管理!C191</f>
        <v>前澤給装工業</v>
      </c>
      <c r="C191" s="546">
        <f>_xll.RssMarket("6485","始値")</f>
        <v>1580</v>
      </c>
      <c r="D191" s="23"/>
      <c r="E191" s="553">
        <v>1560</v>
      </c>
      <c r="F191" s="21">
        <v>1571</v>
      </c>
      <c r="G191" s="21">
        <v>1584</v>
      </c>
      <c r="H191" s="21">
        <v>1595</v>
      </c>
      <c r="I191" s="21">
        <v>1580</v>
      </c>
      <c r="J191" s="21">
        <v>1592</v>
      </c>
      <c r="K191" s="21">
        <v>1554</v>
      </c>
      <c r="L191" s="21">
        <v>1535</v>
      </c>
      <c r="M191" s="21">
        <v>1544</v>
      </c>
      <c r="N191" s="21">
        <v>1532</v>
      </c>
      <c r="O191" s="21">
        <v>1533</v>
      </c>
      <c r="P191" s="21">
        <v>1550</v>
      </c>
      <c r="Q191" s="21">
        <v>1541</v>
      </c>
      <c r="R191" s="21">
        <v>1549</v>
      </c>
      <c r="S191" s="21">
        <v>1575</v>
      </c>
      <c r="T191" s="21">
        <v>1552</v>
      </c>
      <c r="U191" s="21">
        <v>1551</v>
      </c>
      <c r="V191" s="21">
        <v>1540</v>
      </c>
      <c r="W191" s="21">
        <v>1524</v>
      </c>
      <c r="X191" s="21">
        <v>1520</v>
      </c>
      <c r="Y191" s="21">
        <v>1538</v>
      </c>
      <c r="Z191" s="21">
        <v>1524</v>
      </c>
      <c r="AA191" s="21">
        <v>1496</v>
      </c>
      <c r="AB191" s="21">
        <v>1503</v>
      </c>
      <c r="AC191" s="21">
        <v>1502</v>
      </c>
      <c r="AD191" s="21">
        <v>1489</v>
      </c>
      <c r="AE191" s="21">
        <v>1477</v>
      </c>
      <c r="AF191" s="21">
        <v>1463</v>
      </c>
      <c r="AG191" s="21">
        <v>1470</v>
      </c>
      <c r="AH191" s="21">
        <v>1483</v>
      </c>
      <c r="AI191" s="21">
        <v>1474</v>
      </c>
      <c r="AJ191" s="21">
        <v>1454</v>
      </c>
      <c r="AK191" s="21">
        <v>1458</v>
      </c>
      <c r="AL191" s="21">
        <v>1440</v>
      </c>
      <c r="AM191" s="21">
        <v>1430</v>
      </c>
      <c r="AN191" s="21">
        <v>1419</v>
      </c>
      <c r="AO191" s="21">
        <v>1435</v>
      </c>
      <c r="AP191" s="21">
        <v>1435</v>
      </c>
      <c r="AQ191" s="21">
        <v>1433</v>
      </c>
      <c r="AR191" s="21">
        <v>1420</v>
      </c>
      <c r="AS191" s="21">
        <v>1393</v>
      </c>
      <c r="AT191" s="21">
        <v>1381</v>
      </c>
      <c r="AU191" s="21">
        <v>1380</v>
      </c>
      <c r="AV191" s="21">
        <v>1425</v>
      </c>
      <c r="AW191" s="21">
        <v>1420</v>
      </c>
      <c r="AX191" s="21">
        <v>1415</v>
      </c>
      <c r="AY191" s="21">
        <v>1419</v>
      </c>
      <c r="AZ191" s="21">
        <v>1420</v>
      </c>
      <c r="BA191" s="21">
        <v>1430</v>
      </c>
      <c r="BB191" s="21">
        <v>1449</v>
      </c>
      <c r="BC191" s="21">
        <v>1456</v>
      </c>
      <c r="BD191" s="21">
        <v>1475</v>
      </c>
      <c r="BE191" s="21">
        <v>1491</v>
      </c>
      <c r="BF191" s="21">
        <v>1490</v>
      </c>
      <c r="BG191" s="21">
        <v>1510</v>
      </c>
      <c r="BH191" s="21">
        <v>1510</v>
      </c>
      <c r="BI191" s="21">
        <v>1515</v>
      </c>
      <c r="BJ191" s="21">
        <v>1512</v>
      </c>
      <c r="BK191" s="21">
        <v>1510</v>
      </c>
      <c r="BL191" s="21">
        <v>1505</v>
      </c>
      <c r="BM191" s="1">
        <v>1515</v>
      </c>
      <c r="BN191" s="1">
        <v>1484</v>
      </c>
      <c r="BO191" s="1">
        <v>1519</v>
      </c>
      <c r="BP191" s="1">
        <v>1504</v>
      </c>
      <c r="BQ191" s="1">
        <v>1522</v>
      </c>
      <c r="BR191" s="1">
        <v>1550</v>
      </c>
      <c r="BS191" s="1">
        <v>1565</v>
      </c>
      <c r="BT191" s="1">
        <v>1562</v>
      </c>
      <c r="BU191" s="1">
        <v>1564</v>
      </c>
      <c r="BV191" s="1">
        <v>1586</v>
      </c>
      <c r="BW191" s="1">
        <v>1591</v>
      </c>
      <c r="BX191" s="1">
        <v>1600</v>
      </c>
      <c r="BY191" s="1">
        <v>1606</v>
      </c>
      <c r="BZ191" s="1">
        <v>1626</v>
      </c>
    </row>
    <row r="192" spans="1:78" ht="15.9" customHeight="1">
      <c r="A192" s="78" t="s">
        <v>376</v>
      </c>
      <c r="B192" s="17" t="s">
        <v>377</v>
      </c>
      <c r="C192" s="546">
        <f>_xll.RssMarket("4887","始値")</f>
        <v>1605</v>
      </c>
      <c r="D192" s="23">
        <f t="shared" ref="D192:D208" si="6">C192-E192</f>
        <v>-1.5</v>
      </c>
      <c r="E192" s="553">
        <v>1606.5</v>
      </c>
      <c r="F192" s="21">
        <v>1637</v>
      </c>
      <c r="G192" s="21">
        <v>1676</v>
      </c>
      <c r="H192" s="21">
        <v>1710</v>
      </c>
      <c r="I192" s="21">
        <v>1686</v>
      </c>
      <c r="J192" s="21">
        <v>1679</v>
      </c>
      <c r="K192" s="21">
        <v>1664</v>
      </c>
      <c r="L192" s="21">
        <v>1655</v>
      </c>
      <c r="M192" s="21">
        <v>1672</v>
      </c>
      <c r="N192" s="21">
        <v>1685</v>
      </c>
      <c r="O192" s="21">
        <v>1683</v>
      </c>
      <c r="P192" s="21">
        <v>1675</v>
      </c>
      <c r="Q192" s="21">
        <v>1675</v>
      </c>
      <c r="R192" s="21">
        <v>1675</v>
      </c>
      <c r="S192" s="21">
        <v>1685</v>
      </c>
      <c r="T192" s="21">
        <v>1680</v>
      </c>
      <c r="U192" s="21">
        <v>1701.5</v>
      </c>
      <c r="V192" s="21">
        <v>1745</v>
      </c>
      <c r="W192" s="21">
        <v>1750</v>
      </c>
      <c r="X192" s="21">
        <v>1718</v>
      </c>
      <c r="Y192" s="21">
        <v>1725</v>
      </c>
      <c r="Z192" s="21">
        <v>1697</v>
      </c>
      <c r="AA192" s="21">
        <v>1685</v>
      </c>
      <c r="AB192" s="21">
        <v>1670</v>
      </c>
      <c r="AC192" s="21">
        <v>1644.5</v>
      </c>
      <c r="AD192" s="21">
        <v>1625</v>
      </c>
      <c r="AE192" s="21">
        <v>1668</v>
      </c>
      <c r="AF192" s="21">
        <v>1646.5</v>
      </c>
      <c r="AG192" s="21">
        <v>1621</v>
      </c>
      <c r="AH192" s="21">
        <v>1630</v>
      </c>
      <c r="AI192" s="21">
        <v>1633.5</v>
      </c>
      <c r="AJ192" s="21">
        <v>1669.5</v>
      </c>
      <c r="AK192" s="21">
        <v>1662.5</v>
      </c>
      <c r="AL192" s="21">
        <v>1664</v>
      </c>
      <c r="AM192" s="21">
        <v>1683</v>
      </c>
      <c r="AN192" s="21">
        <v>1692</v>
      </c>
      <c r="AO192" s="21">
        <v>1710</v>
      </c>
      <c r="AP192" s="21">
        <v>1718</v>
      </c>
      <c r="AQ192" s="21">
        <v>1691</v>
      </c>
      <c r="AR192" s="21">
        <v>1733</v>
      </c>
      <c r="AS192" s="21">
        <v>1725</v>
      </c>
      <c r="AT192" s="21">
        <v>1685</v>
      </c>
      <c r="AU192" s="21">
        <v>1718</v>
      </c>
      <c r="AV192" s="21">
        <v>1731</v>
      </c>
      <c r="AW192" s="21">
        <v>1776</v>
      </c>
      <c r="AX192" s="21">
        <v>1759</v>
      </c>
      <c r="AY192" s="21">
        <v>1771</v>
      </c>
      <c r="AZ192" s="21">
        <v>1750</v>
      </c>
      <c r="BA192" s="21">
        <v>1824</v>
      </c>
      <c r="BB192" s="21">
        <v>1815</v>
      </c>
      <c r="BC192" s="21">
        <v>1741</v>
      </c>
      <c r="BD192" s="21">
        <v>1782.5</v>
      </c>
      <c r="BE192" s="21">
        <v>2070</v>
      </c>
      <c r="BF192" s="21">
        <v>2090</v>
      </c>
      <c r="BG192" s="21">
        <v>2071</v>
      </c>
      <c r="BH192" s="21">
        <v>2099.5</v>
      </c>
      <c r="BI192" s="21">
        <v>2101.5</v>
      </c>
      <c r="BJ192" s="21">
        <v>2131</v>
      </c>
      <c r="BK192" s="21">
        <v>2088</v>
      </c>
      <c r="BL192" s="21">
        <v>2104.5</v>
      </c>
      <c r="BM192" s="1">
        <v>2105.5</v>
      </c>
      <c r="BN192" s="1">
        <v>2073</v>
      </c>
      <c r="BO192" s="1">
        <v>2100</v>
      </c>
      <c r="BP192" s="1">
        <v>2093.5</v>
      </c>
      <c r="BQ192" s="1">
        <v>2094.5</v>
      </c>
      <c r="BR192" s="1">
        <v>2162</v>
      </c>
      <c r="BS192" s="1">
        <v>2175</v>
      </c>
      <c r="BT192" s="1">
        <v>2225</v>
      </c>
      <c r="BU192" s="1">
        <v>2239.5</v>
      </c>
      <c r="BV192" s="1">
        <v>2240</v>
      </c>
      <c r="BW192" s="1">
        <v>2177</v>
      </c>
      <c r="BX192" s="1">
        <v>2226.5</v>
      </c>
      <c r="BY192" s="1">
        <v>2251.5</v>
      </c>
      <c r="BZ192" s="1">
        <v>2252</v>
      </c>
    </row>
    <row r="193" spans="1:78" ht="15.9" customHeight="1">
      <c r="A193" s="78" t="s">
        <v>378</v>
      </c>
      <c r="B193" s="17" t="s">
        <v>379</v>
      </c>
      <c r="C193" s="546">
        <f>_xll.RssMarket("5243","始値")</f>
        <v>2182</v>
      </c>
      <c r="D193" s="23">
        <f t="shared" si="6"/>
        <v>185</v>
      </c>
      <c r="E193" s="553">
        <v>1997</v>
      </c>
      <c r="F193" s="21">
        <v>2149</v>
      </c>
      <c r="G193" s="21">
        <v>2030</v>
      </c>
      <c r="H193" s="21">
        <v>2050</v>
      </c>
      <c r="I193" s="21">
        <v>2041</v>
      </c>
      <c r="J193" s="21">
        <v>2139</v>
      </c>
      <c r="K193" s="21">
        <v>2029</v>
      </c>
      <c r="L193" s="21">
        <v>2013</v>
      </c>
      <c r="M193" s="21">
        <v>1900</v>
      </c>
      <c r="N193" s="21">
        <v>2042</v>
      </c>
      <c r="O193" s="21">
        <v>2020</v>
      </c>
      <c r="P193" s="21">
        <v>2123</v>
      </c>
      <c r="Q193" s="21">
        <v>2052</v>
      </c>
      <c r="R193" s="21">
        <v>2091</v>
      </c>
      <c r="S193" s="21">
        <v>2254</v>
      </c>
      <c r="T193" s="21">
        <v>1990</v>
      </c>
      <c r="U193" s="21">
        <v>2189</v>
      </c>
      <c r="V193" s="21">
        <v>2319</v>
      </c>
      <c r="W193" s="21">
        <v>2260</v>
      </c>
      <c r="X193" s="21">
        <v>2130</v>
      </c>
      <c r="Y193" s="21">
        <v>2058</v>
      </c>
      <c r="Z193" s="21">
        <v>1931</v>
      </c>
      <c r="AA193" s="21">
        <v>1905</v>
      </c>
      <c r="AB193" s="21">
        <v>1860</v>
      </c>
      <c r="AC193" s="21">
        <v>1764</v>
      </c>
      <c r="AD193" s="21">
        <v>1730</v>
      </c>
      <c r="AE193" s="21">
        <v>1760</v>
      </c>
      <c r="AF193" s="21">
        <v>1781</v>
      </c>
      <c r="AG193" s="21">
        <v>1823</v>
      </c>
      <c r="AH193" s="21">
        <v>1758</v>
      </c>
      <c r="AI193" s="21">
        <v>1889</v>
      </c>
      <c r="AJ193" s="21">
        <v>1824</v>
      </c>
      <c r="AK193" s="21">
        <v>1749</v>
      </c>
      <c r="AL193" s="21">
        <v>1692</v>
      </c>
      <c r="AM193" s="21">
        <v>1678</v>
      </c>
      <c r="AN193" s="21">
        <v>1712</v>
      </c>
      <c r="AO193" s="21">
        <v>1636</v>
      </c>
      <c r="AP193" s="21">
        <v>1725</v>
      </c>
      <c r="AQ193" s="21">
        <v>1795</v>
      </c>
      <c r="AR193" s="21">
        <v>1815</v>
      </c>
      <c r="AS193" s="21">
        <v>1866</v>
      </c>
      <c r="AT193" s="21">
        <v>1900</v>
      </c>
      <c r="AU193" s="21">
        <v>1975</v>
      </c>
      <c r="AV193" s="21">
        <v>2090</v>
      </c>
      <c r="AW193" s="21">
        <v>2092</v>
      </c>
      <c r="AX193" s="21">
        <v>2200</v>
      </c>
      <c r="AY193" s="21">
        <v>2250</v>
      </c>
      <c r="AZ193" s="21">
        <v>2197</v>
      </c>
      <c r="BA193" s="21">
        <v>2150</v>
      </c>
      <c r="BB193" s="21">
        <v>2208</v>
      </c>
      <c r="BC193" s="21">
        <v>2300</v>
      </c>
      <c r="BD193" s="21">
        <v>2220</v>
      </c>
      <c r="BE193" s="21">
        <v>2299</v>
      </c>
      <c r="BF193" s="21">
        <v>2407</v>
      </c>
      <c r="BG193" s="21">
        <v>2273</v>
      </c>
      <c r="BH193" s="21">
        <v>2135</v>
      </c>
      <c r="BI193" s="21">
        <v>2160</v>
      </c>
      <c r="BJ193" s="21">
        <v>2288</v>
      </c>
      <c r="BK193" s="21">
        <v>2359</v>
      </c>
      <c r="BL193" s="21">
        <v>2405</v>
      </c>
      <c r="BM193" s="1">
        <v>2457</v>
      </c>
      <c r="BN193" s="1">
        <v>2330</v>
      </c>
      <c r="BO193" s="1">
        <v>2385</v>
      </c>
      <c r="BP193" s="1">
        <v>2476</v>
      </c>
      <c r="BQ193" s="1">
        <v>2556</v>
      </c>
      <c r="BR193" s="1">
        <v>2536</v>
      </c>
      <c r="BS193" s="1">
        <v>2615</v>
      </c>
      <c r="BT193" s="1">
        <v>2570</v>
      </c>
      <c r="BU193" s="1">
        <v>2706</v>
      </c>
      <c r="BV193" s="1">
        <v>2631</v>
      </c>
      <c r="BW193" s="1">
        <v>3400</v>
      </c>
      <c r="BX193" s="1">
        <v>2900</v>
      </c>
      <c r="BY193" s="1">
        <v>2681</v>
      </c>
      <c r="BZ193" s="1">
        <v>2695</v>
      </c>
    </row>
    <row r="194" spans="1:78" ht="15.9" customHeight="1">
      <c r="A194" s="78" t="s">
        <v>380</v>
      </c>
      <c r="B194" s="17" t="s">
        <v>381</v>
      </c>
      <c r="C194" s="546">
        <f>_xll.RssMarket("2702","始値")</f>
        <v>8140</v>
      </c>
      <c r="D194" s="23">
        <f t="shared" si="6"/>
        <v>-80</v>
      </c>
      <c r="E194" s="553">
        <v>8220</v>
      </c>
      <c r="F194" s="21">
        <v>8150</v>
      </c>
      <c r="G194" s="21">
        <v>8060</v>
      </c>
      <c r="H194" s="21">
        <v>8090</v>
      </c>
      <c r="I194" s="21">
        <v>7940</v>
      </c>
      <c r="J194" s="21">
        <v>7750</v>
      </c>
      <c r="K194" s="21">
        <v>7610</v>
      </c>
      <c r="L194" s="21"/>
      <c r="M194" s="21">
        <v>7500</v>
      </c>
      <c r="N194" s="21">
        <v>7500</v>
      </c>
      <c r="O194" s="21">
        <v>7680</v>
      </c>
      <c r="P194" s="21">
        <v>7530</v>
      </c>
      <c r="Q194" s="21">
        <v>7700</v>
      </c>
      <c r="R194" s="21">
        <v>7780</v>
      </c>
      <c r="S194" s="21">
        <v>7680</v>
      </c>
      <c r="T194" s="21">
        <v>7850</v>
      </c>
      <c r="U194" s="21">
        <v>7730</v>
      </c>
      <c r="V194" s="21">
        <v>7730</v>
      </c>
      <c r="W194" s="21">
        <v>7640</v>
      </c>
      <c r="X194" s="21">
        <v>7680</v>
      </c>
      <c r="Y194" s="21">
        <v>7690</v>
      </c>
      <c r="Z194" s="21">
        <v>7450</v>
      </c>
      <c r="AA194" s="21">
        <v>7430</v>
      </c>
      <c r="AB194" s="21">
        <v>7670</v>
      </c>
      <c r="AC194" s="21">
        <v>7470</v>
      </c>
      <c r="AD194" s="21">
        <v>7420</v>
      </c>
      <c r="AE194" s="21">
        <v>7240</v>
      </c>
      <c r="AF194" s="21">
        <v>7140</v>
      </c>
      <c r="AG194" s="21">
        <v>7130</v>
      </c>
      <c r="AH194" s="21">
        <v>7250</v>
      </c>
      <c r="AI194" s="21">
        <v>7290</v>
      </c>
      <c r="AJ194" s="21">
        <v>7410</v>
      </c>
      <c r="AK194" s="21">
        <v>7380</v>
      </c>
      <c r="AL194" s="21">
        <v>7480</v>
      </c>
      <c r="AM194" s="21">
        <v>7500</v>
      </c>
      <c r="AN194" s="21">
        <v>7410</v>
      </c>
      <c r="AO194" s="21">
        <v>7330</v>
      </c>
      <c r="AP194" s="21">
        <v>7350</v>
      </c>
      <c r="AQ194" s="21">
        <v>7360</v>
      </c>
      <c r="AR194" s="21">
        <v>7460</v>
      </c>
      <c r="AS194" s="21">
        <v>7500</v>
      </c>
      <c r="AT194" s="21">
        <v>7520</v>
      </c>
      <c r="AU194" s="21">
        <v>7640</v>
      </c>
      <c r="AV194" s="21">
        <v>7830</v>
      </c>
      <c r="AW194" s="21">
        <v>7820</v>
      </c>
      <c r="AX194" s="21">
        <v>8050</v>
      </c>
      <c r="AY194" s="21">
        <v>8180</v>
      </c>
      <c r="AZ194" s="21">
        <v>8040</v>
      </c>
      <c r="BA194" s="21">
        <v>8180</v>
      </c>
      <c r="BB194" s="21">
        <v>8000</v>
      </c>
      <c r="BC194" s="21">
        <v>7810</v>
      </c>
      <c r="BD194" s="21">
        <v>8190</v>
      </c>
      <c r="BE194" s="21">
        <v>8300</v>
      </c>
      <c r="BF194" s="21">
        <v>8580</v>
      </c>
      <c r="BG194" s="21">
        <v>8420</v>
      </c>
      <c r="BH194" s="21">
        <v>7750</v>
      </c>
      <c r="BI194" s="21">
        <v>7810</v>
      </c>
      <c r="BJ194" s="21">
        <v>7970</v>
      </c>
      <c r="BK194" s="21">
        <v>8120</v>
      </c>
      <c r="BL194" s="21">
        <v>8120</v>
      </c>
      <c r="BM194" s="1">
        <v>8190</v>
      </c>
      <c r="BN194" s="1">
        <v>8240</v>
      </c>
      <c r="BO194" s="1">
        <v>8080</v>
      </c>
      <c r="BP194" s="1">
        <v>8140</v>
      </c>
      <c r="BQ194" s="1">
        <v>8180</v>
      </c>
      <c r="BR194" s="1">
        <v>8250</v>
      </c>
      <c r="BS194" s="1">
        <v>8280</v>
      </c>
      <c r="BT194" s="1">
        <v>8200</v>
      </c>
      <c r="BU194" s="1">
        <v>8200</v>
      </c>
      <c r="BV194" s="1">
        <v>8280</v>
      </c>
      <c r="BW194" s="1">
        <v>8050</v>
      </c>
      <c r="BX194" s="1">
        <v>8040</v>
      </c>
      <c r="BY194" s="1">
        <v>8220</v>
      </c>
      <c r="BZ194" s="1">
        <v>8470</v>
      </c>
    </row>
    <row r="195" spans="1:78" ht="15.9" customHeight="1">
      <c r="A195" s="78" t="s">
        <v>382</v>
      </c>
      <c r="B195" s="17" t="s">
        <v>383</v>
      </c>
      <c r="C195" s="546">
        <f>_xll.RssMarket("6890","始値")</f>
        <v>8980</v>
      </c>
      <c r="D195" s="23">
        <f t="shared" si="6"/>
        <v>680</v>
      </c>
      <c r="E195" s="553">
        <v>8300</v>
      </c>
      <c r="F195" s="21">
        <v>7900</v>
      </c>
      <c r="G195" s="21">
        <v>8510</v>
      </c>
      <c r="H195" s="21">
        <v>7330</v>
      </c>
      <c r="I195" s="21">
        <v>7670</v>
      </c>
      <c r="J195" s="21">
        <v>8130</v>
      </c>
      <c r="K195" s="21">
        <v>9080</v>
      </c>
      <c r="L195" s="21">
        <v>9090</v>
      </c>
      <c r="M195" s="21">
        <v>8940</v>
      </c>
      <c r="N195" s="21">
        <v>7750</v>
      </c>
      <c r="O195" s="21">
        <v>7100</v>
      </c>
      <c r="P195" s="21">
        <v>7350</v>
      </c>
      <c r="Q195" s="21">
        <v>8160</v>
      </c>
      <c r="R195" s="21">
        <v>8280</v>
      </c>
      <c r="S195" s="21">
        <v>9000</v>
      </c>
      <c r="T195" s="21">
        <v>8740</v>
      </c>
      <c r="U195" s="21">
        <v>8600</v>
      </c>
      <c r="V195" s="21">
        <v>8140</v>
      </c>
      <c r="W195" s="21">
        <v>8840</v>
      </c>
      <c r="X195" s="21">
        <v>9240</v>
      </c>
      <c r="Y195" s="21">
        <v>8650</v>
      </c>
      <c r="Z195" s="21">
        <v>9250</v>
      </c>
      <c r="AA195" s="21">
        <v>9800</v>
      </c>
      <c r="AB195" s="21">
        <v>9330</v>
      </c>
      <c r="AC195" s="21">
        <v>9240</v>
      </c>
      <c r="AD195" s="21">
        <v>9790</v>
      </c>
      <c r="AE195" s="21">
        <v>10400</v>
      </c>
      <c r="AF195" s="21">
        <v>10500</v>
      </c>
      <c r="AG195" s="21">
        <v>11610</v>
      </c>
      <c r="AH195" s="21">
        <v>10590</v>
      </c>
      <c r="AI195" s="21">
        <v>10580</v>
      </c>
      <c r="AJ195" s="21">
        <v>9580</v>
      </c>
      <c r="AK195" s="21">
        <v>9020</v>
      </c>
      <c r="AL195" s="21">
        <v>9210</v>
      </c>
      <c r="AM195" s="21">
        <v>9390</v>
      </c>
      <c r="AN195" s="21">
        <v>8780</v>
      </c>
      <c r="AO195" s="21">
        <v>7580</v>
      </c>
      <c r="AP195" s="21">
        <v>8120</v>
      </c>
      <c r="AQ195" s="21">
        <v>8500</v>
      </c>
      <c r="AR195" s="21">
        <v>8900</v>
      </c>
      <c r="AS195" s="21">
        <v>7950</v>
      </c>
      <c r="AT195" s="21">
        <v>8210</v>
      </c>
      <c r="AU195" s="21">
        <v>8000</v>
      </c>
      <c r="AV195" s="21">
        <v>8570</v>
      </c>
      <c r="AW195" s="21">
        <v>8470</v>
      </c>
      <c r="AX195" s="21">
        <v>9200</v>
      </c>
      <c r="AY195" s="21">
        <v>9200</v>
      </c>
      <c r="AZ195" s="21">
        <v>9000</v>
      </c>
      <c r="BA195" s="21">
        <v>9200</v>
      </c>
      <c r="BB195" s="21">
        <v>8780</v>
      </c>
      <c r="BC195" s="21">
        <v>9300</v>
      </c>
      <c r="BD195" s="21">
        <v>9610</v>
      </c>
      <c r="BE195" s="21">
        <v>9780</v>
      </c>
      <c r="BF195" s="21">
        <v>9650</v>
      </c>
      <c r="BG195" s="21">
        <v>9170</v>
      </c>
      <c r="BH195" s="21">
        <v>9760</v>
      </c>
      <c r="BI195" s="21">
        <v>9810</v>
      </c>
      <c r="BJ195" s="21">
        <v>9090</v>
      </c>
      <c r="BK195" s="21">
        <v>8370</v>
      </c>
      <c r="BL195" s="21">
        <v>7650</v>
      </c>
      <c r="BM195" s="1">
        <v>7740</v>
      </c>
      <c r="BN195" s="1">
        <v>7220</v>
      </c>
      <c r="BO195" s="1">
        <v>7510</v>
      </c>
      <c r="BP195" s="1">
        <v>7200</v>
      </c>
      <c r="BQ195" s="1">
        <v>7100</v>
      </c>
      <c r="BR195" s="1">
        <v>6720</v>
      </c>
      <c r="BS195" s="1">
        <v>6800</v>
      </c>
      <c r="BT195" s="1">
        <v>6800</v>
      </c>
      <c r="BU195" s="1">
        <v>6780</v>
      </c>
      <c r="BV195" s="1">
        <v>6780</v>
      </c>
      <c r="BW195" s="1">
        <v>6930</v>
      </c>
      <c r="BX195" s="1">
        <v>7130</v>
      </c>
      <c r="BY195" s="1">
        <v>7000</v>
      </c>
      <c r="BZ195" s="1">
        <v>7000</v>
      </c>
    </row>
    <row r="196" spans="1:78" ht="15.9" customHeight="1">
      <c r="A196" s="78" t="s">
        <v>384</v>
      </c>
      <c r="B196" s="17" t="s">
        <v>385</v>
      </c>
      <c r="C196" s="546">
        <f>_xll.RssMarket("4966","始値")</f>
        <v>24790</v>
      </c>
      <c r="D196" s="23">
        <f t="shared" si="6"/>
        <v>2290</v>
      </c>
      <c r="E196" s="553">
        <v>22500</v>
      </c>
      <c r="F196" s="21">
        <v>22380</v>
      </c>
      <c r="G196" s="21">
        <v>21950</v>
      </c>
      <c r="H196" s="21">
        <v>19770</v>
      </c>
      <c r="I196" s="21">
        <v>21630</v>
      </c>
      <c r="J196" s="21">
        <v>22220</v>
      </c>
      <c r="K196" s="21">
        <v>23430</v>
      </c>
      <c r="L196" s="21">
        <v>24480</v>
      </c>
      <c r="M196" s="21">
        <v>23890</v>
      </c>
      <c r="N196" s="21">
        <v>23530</v>
      </c>
      <c r="O196" s="21">
        <v>23420</v>
      </c>
      <c r="P196" s="21">
        <v>23800</v>
      </c>
      <c r="Q196" s="21">
        <v>24520</v>
      </c>
      <c r="R196" s="21">
        <v>23260</v>
      </c>
      <c r="S196" s="21">
        <v>24400</v>
      </c>
      <c r="T196" s="21">
        <v>25250</v>
      </c>
      <c r="U196" s="21">
        <v>24750</v>
      </c>
      <c r="V196" s="21">
        <v>23150</v>
      </c>
      <c r="W196" s="21">
        <v>25300</v>
      </c>
      <c r="X196" s="21">
        <v>27130</v>
      </c>
      <c r="Y196" s="21">
        <v>25000</v>
      </c>
      <c r="Z196" s="21">
        <v>26610</v>
      </c>
      <c r="AA196" s="21">
        <v>27870</v>
      </c>
      <c r="AB196" s="21">
        <v>26850</v>
      </c>
      <c r="AC196" s="21">
        <v>26670</v>
      </c>
      <c r="AD196" s="21">
        <v>27500</v>
      </c>
      <c r="AE196" s="21">
        <v>27690</v>
      </c>
      <c r="AF196" s="21">
        <v>26930</v>
      </c>
      <c r="AG196" s="21">
        <v>28200</v>
      </c>
      <c r="AH196" s="21">
        <v>27540</v>
      </c>
      <c r="AI196" s="21">
        <v>27140</v>
      </c>
      <c r="AJ196" s="21">
        <v>26520</v>
      </c>
      <c r="AK196" s="21">
        <v>26000</v>
      </c>
      <c r="AL196" s="21">
        <v>26190</v>
      </c>
      <c r="AM196" s="21">
        <v>24840</v>
      </c>
      <c r="AN196" s="21">
        <v>24050</v>
      </c>
      <c r="AO196" s="21">
        <v>22230</v>
      </c>
      <c r="AP196" s="21">
        <v>22450</v>
      </c>
      <c r="AQ196" s="21">
        <v>21240</v>
      </c>
      <c r="AR196" s="21">
        <v>23020</v>
      </c>
      <c r="AS196" s="21">
        <v>23500</v>
      </c>
      <c r="AT196" s="21">
        <v>23250</v>
      </c>
      <c r="AU196" s="21">
        <v>23080</v>
      </c>
      <c r="AV196" s="21">
        <v>23560</v>
      </c>
      <c r="AW196" s="21">
        <v>23570</v>
      </c>
      <c r="AX196" s="21">
        <v>24110</v>
      </c>
      <c r="AY196" s="21">
        <v>24450</v>
      </c>
      <c r="AZ196" s="21">
        <v>23440</v>
      </c>
      <c r="BA196" s="21">
        <v>23250</v>
      </c>
      <c r="BB196" s="21">
        <v>22310</v>
      </c>
      <c r="BC196" s="21">
        <v>24240</v>
      </c>
      <c r="BD196" s="21">
        <v>23990</v>
      </c>
      <c r="BE196" s="21">
        <v>26180</v>
      </c>
      <c r="BF196" s="21">
        <v>25010</v>
      </c>
      <c r="BG196" s="21">
        <v>24370</v>
      </c>
      <c r="BH196" s="21">
        <v>24580</v>
      </c>
      <c r="BI196" s="21">
        <v>24000</v>
      </c>
      <c r="BJ196" s="21">
        <v>23300</v>
      </c>
      <c r="BK196" s="21">
        <v>23440</v>
      </c>
      <c r="BL196" s="21">
        <v>23440</v>
      </c>
      <c r="BM196" s="1">
        <v>23500</v>
      </c>
      <c r="BN196" s="1">
        <v>23150</v>
      </c>
      <c r="BO196" s="1">
        <v>23500</v>
      </c>
      <c r="BP196" s="1">
        <v>23160</v>
      </c>
      <c r="BQ196" s="1">
        <v>23700</v>
      </c>
      <c r="BR196" s="1">
        <v>23020</v>
      </c>
      <c r="BS196" s="1">
        <v>23050</v>
      </c>
      <c r="BT196" s="1">
        <v>23000</v>
      </c>
      <c r="BU196" s="1">
        <v>24130</v>
      </c>
      <c r="BV196" s="1">
        <v>24390</v>
      </c>
      <c r="BW196" s="1">
        <v>24500</v>
      </c>
      <c r="BX196" s="1">
        <v>24200</v>
      </c>
      <c r="BY196" s="1">
        <v>22890</v>
      </c>
      <c r="BZ196" s="1">
        <v>22670</v>
      </c>
    </row>
    <row r="197" spans="1:78" ht="15.9" customHeight="1">
      <c r="A197" s="78" t="s">
        <v>386</v>
      </c>
      <c r="B197" s="17" t="s">
        <v>387</v>
      </c>
      <c r="C197" s="546">
        <f>_xll.RssMarket("6146","始値")</f>
        <v>63890</v>
      </c>
      <c r="D197" s="23">
        <f t="shared" si="6"/>
        <v>3310</v>
      </c>
      <c r="E197" s="553">
        <v>60580</v>
      </c>
      <c r="F197" s="21">
        <v>58000</v>
      </c>
      <c r="G197" s="21">
        <v>59870</v>
      </c>
      <c r="H197" s="21">
        <v>50590</v>
      </c>
      <c r="I197" s="21">
        <v>54030</v>
      </c>
      <c r="J197" s="21">
        <v>57000</v>
      </c>
      <c r="K197" s="21">
        <v>61640</v>
      </c>
      <c r="L197" s="21">
        <v>62800</v>
      </c>
      <c r="M197" s="21">
        <v>70250</v>
      </c>
      <c r="N197" s="21">
        <v>68840</v>
      </c>
      <c r="O197" s="21">
        <v>64790</v>
      </c>
      <c r="P197" s="21">
        <v>65680</v>
      </c>
      <c r="Q197" s="21">
        <v>72150</v>
      </c>
      <c r="R197" s="21">
        <v>70030</v>
      </c>
      <c r="S197" s="21">
        <v>71710</v>
      </c>
      <c r="T197" s="21">
        <v>72890</v>
      </c>
      <c r="U197" s="21">
        <v>70140</v>
      </c>
      <c r="V197" s="21">
        <v>68900</v>
      </c>
      <c r="W197" s="21">
        <v>75600</v>
      </c>
      <c r="X197" s="21">
        <v>78000</v>
      </c>
      <c r="Y197" s="21">
        <v>74000</v>
      </c>
      <c r="Z197" s="21">
        <v>78800</v>
      </c>
      <c r="AA197" s="21">
        <v>85340</v>
      </c>
      <c r="AB197" s="21">
        <v>81820</v>
      </c>
      <c r="AC197" s="21">
        <v>79590</v>
      </c>
      <c r="AD197" s="21">
        <v>82970</v>
      </c>
      <c r="AE197" s="21">
        <v>83940</v>
      </c>
      <c r="AF197" s="21">
        <v>82120</v>
      </c>
      <c r="AG197" s="21">
        <v>90970</v>
      </c>
      <c r="AH197" s="21">
        <v>86030</v>
      </c>
      <c r="AI197" s="21">
        <v>87540</v>
      </c>
      <c r="AJ197" s="21">
        <v>83500</v>
      </c>
      <c r="AK197" s="21">
        <v>80050</v>
      </c>
      <c r="AL197" s="21">
        <v>84610</v>
      </c>
      <c r="AM197" s="21">
        <v>82650</v>
      </c>
      <c r="AN197" s="21">
        <v>73750</v>
      </c>
      <c r="AO197" s="21">
        <v>68560</v>
      </c>
      <c r="AP197" s="21">
        <v>70020</v>
      </c>
      <c r="AQ197" s="21">
        <v>66580</v>
      </c>
      <c r="AR197" s="21">
        <v>73160</v>
      </c>
      <c r="AS197" s="21">
        <v>68160</v>
      </c>
      <c r="AT197" s="21">
        <v>65910</v>
      </c>
      <c r="AU197" s="21">
        <v>63070</v>
      </c>
      <c r="AV197" s="21">
        <v>65690</v>
      </c>
      <c r="AW197" s="21">
        <v>66630</v>
      </c>
      <c r="AX197" s="21">
        <v>68740</v>
      </c>
      <c r="AY197" s="21">
        <v>67240</v>
      </c>
      <c r="AZ197" s="21">
        <v>66700</v>
      </c>
      <c r="BA197" s="21">
        <v>63600</v>
      </c>
      <c r="BB197" s="21">
        <v>61200</v>
      </c>
      <c r="BC197" s="21">
        <v>63500</v>
      </c>
      <c r="BD197" s="21">
        <v>65400</v>
      </c>
      <c r="BE197" s="21">
        <v>71500</v>
      </c>
      <c r="BF197" s="21">
        <v>73500</v>
      </c>
      <c r="BG197" s="21">
        <v>71370</v>
      </c>
      <c r="BH197" s="21">
        <v>73650</v>
      </c>
      <c r="BI197" s="21">
        <v>74770</v>
      </c>
      <c r="BJ197" s="21">
        <v>75840</v>
      </c>
      <c r="BK197" s="21">
        <v>76060</v>
      </c>
      <c r="BL197" s="21">
        <v>73860</v>
      </c>
      <c r="BM197" s="1">
        <v>74540</v>
      </c>
      <c r="BN197" s="1">
        <v>75100</v>
      </c>
      <c r="BO197" s="1">
        <v>73000</v>
      </c>
      <c r="BP197" s="1">
        <v>73030</v>
      </c>
      <c r="BQ197" s="1">
        <v>76330</v>
      </c>
      <c r="BR197" s="1">
        <v>74500</v>
      </c>
      <c r="BS197" s="1">
        <v>72000</v>
      </c>
      <c r="BT197" s="1">
        <v>73400</v>
      </c>
      <c r="BU197" s="1">
        <v>72550</v>
      </c>
      <c r="BV197" s="1">
        <v>71750</v>
      </c>
      <c r="BW197" s="1">
        <v>72950</v>
      </c>
      <c r="BX197" s="1">
        <v>70540</v>
      </c>
      <c r="BY197" s="1">
        <v>66200</v>
      </c>
      <c r="BZ197" s="1">
        <v>65760</v>
      </c>
    </row>
    <row r="198" spans="1:78" ht="15.9" customHeight="1">
      <c r="A198" s="78" t="s">
        <v>388</v>
      </c>
      <c r="B198" s="17" t="s">
        <v>389</v>
      </c>
      <c r="C198" s="546">
        <f>_xll.RssMarket("8035","始値")</f>
        <v>59000</v>
      </c>
      <c r="D198" s="23">
        <f t="shared" si="6"/>
        <v>3120</v>
      </c>
      <c r="E198" s="553">
        <v>55880</v>
      </c>
      <c r="F198" s="21">
        <v>53900</v>
      </c>
      <c r="G198" s="21">
        <v>59240</v>
      </c>
      <c r="H198" s="21">
        <v>49000</v>
      </c>
      <c r="I198" s="21">
        <v>53920</v>
      </c>
      <c r="J198" s="21">
        <v>56530</v>
      </c>
      <c r="K198" s="21">
        <v>63660</v>
      </c>
      <c r="L198" s="21">
        <v>64950</v>
      </c>
      <c r="M198" s="21">
        <v>66470</v>
      </c>
      <c r="N198" s="21">
        <v>69570</v>
      </c>
      <c r="O198" s="21">
        <v>64350</v>
      </c>
      <c r="P198" s="21">
        <v>67000</v>
      </c>
      <c r="Q198" s="21">
        <v>71900</v>
      </c>
      <c r="R198" s="21">
        <v>69800</v>
      </c>
      <c r="S198" s="21">
        <v>71900</v>
      </c>
      <c r="T198" s="21">
        <v>72900</v>
      </c>
      <c r="U198" s="21">
        <v>69900</v>
      </c>
      <c r="V198" s="21">
        <v>67470</v>
      </c>
      <c r="W198" s="21">
        <v>71710</v>
      </c>
      <c r="X198" s="21">
        <v>74090</v>
      </c>
      <c r="Y198" s="21">
        <v>69940</v>
      </c>
      <c r="Z198" s="21">
        <v>74300</v>
      </c>
      <c r="AA198" s="21">
        <v>78650</v>
      </c>
      <c r="AB198" s="21">
        <v>76980</v>
      </c>
      <c r="AC198" s="21">
        <v>73500</v>
      </c>
      <c r="AD198" s="21">
        <v>72560</v>
      </c>
      <c r="AE198" s="21">
        <v>72400</v>
      </c>
      <c r="AF198" s="21">
        <v>71760</v>
      </c>
      <c r="AG198" s="21">
        <v>77500</v>
      </c>
      <c r="AH198" s="21">
        <v>73990</v>
      </c>
      <c r="AI198" s="21">
        <v>77580</v>
      </c>
      <c r="AJ198" s="21">
        <v>73870</v>
      </c>
      <c r="AK198" s="21">
        <v>69970</v>
      </c>
      <c r="AL198" s="21">
        <v>71510</v>
      </c>
      <c r="AM198" s="21">
        <v>74800</v>
      </c>
      <c r="AN198" s="21">
        <v>68400</v>
      </c>
      <c r="AO198" s="21">
        <v>61000</v>
      </c>
      <c r="AP198" s="21">
        <v>61110</v>
      </c>
      <c r="AQ198" s="21">
        <v>55650</v>
      </c>
      <c r="AR198" s="21">
        <v>62000</v>
      </c>
      <c r="AS198" s="21">
        <v>59900</v>
      </c>
      <c r="AT198" s="21">
        <v>56710</v>
      </c>
      <c r="AU198" s="21">
        <v>53060</v>
      </c>
      <c r="AV198" s="21">
        <v>52780</v>
      </c>
      <c r="AW198" s="21">
        <v>52000</v>
      </c>
      <c r="AX198" s="21">
        <v>52870</v>
      </c>
      <c r="AY198" s="21">
        <v>50530</v>
      </c>
      <c r="AZ198" s="21">
        <v>49050</v>
      </c>
      <c r="BA198" s="21">
        <v>47650</v>
      </c>
      <c r="BB198" s="21">
        <v>46700</v>
      </c>
      <c r="BC198" s="21">
        <v>49960</v>
      </c>
      <c r="BD198" s="21">
        <v>50600</v>
      </c>
      <c r="BE198" s="21">
        <v>52150</v>
      </c>
      <c r="BF198" s="21">
        <v>51590</v>
      </c>
      <c r="BG198" s="21">
        <v>51510</v>
      </c>
      <c r="BH198" s="21">
        <v>53000</v>
      </c>
      <c r="BI198" s="21">
        <v>53500</v>
      </c>
      <c r="BJ198" s="21">
        <v>51720</v>
      </c>
      <c r="BK198" s="21">
        <v>51180</v>
      </c>
      <c r="BL198" s="21">
        <v>47000</v>
      </c>
      <c r="BM198" s="1">
        <v>45000</v>
      </c>
      <c r="BN198" s="1">
        <v>46880</v>
      </c>
      <c r="BO198" s="1">
        <v>46460</v>
      </c>
      <c r="BP198" s="1">
        <v>45450</v>
      </c>
      <c r="BQ198" s="1">
        <v>46150</v>
      </c>
      <c r="BR198" s="1">
        <v>45170</v>
      </c>
      <c r="BS198" s="1">
        <v>44740</v>
      </c>
      <c r="BT198" s="1">
        <v>43870</v>
      </c>
      <c r="BU198" s="1">
        <v>45120</v>
      </c>
      <c r="BV198" s="1">
        <v>44200</v>
      </c>
      <c r="BW198" s="1">
        <v>43870</v>
      </c>
      <c r="BX198" s="1">
        <v>43160</v>
      </c>
      <c r="BY198" s="1">
        <v>43370</v>
      </c>
      <c r="BZ198" s="1">
        <v>42840</v>
      </c>
    </row>
    <row r="199" spans="1:78" ht="15.9" customHeight="1">
      <c r="A199" s="78" t="s">
        <v>390</v>
      </c>
      <c r="B199" s="17" t="s">
        <v>391</v>
      </c>
      <c r="C199" s="546">
        <f>_xll.RssMarket("6920","始値")</f>
        <v>45140</v>
      </c>
      <c r="D199" s="23">
        <f t="shared" si="6"/>
        <v>3620</v>
      </c>
      <c r="E199" s="553">
        <v>41520</v>
      </c>
      <c r="F199" s="21">
        <v>37210</v>
      </c>
      <c r="G199" s="21">
        <v>38520</v>
      </c>
      <c r="H199" s="21">
        <v>34350</v>
      </c>
      <c r="I199" s="21">
        <v>37450</v>
      </c>
      <c r="J199" s="21">
        <v>40000</v>
      </c>
      <c r="K199" s="21">
        <v>43870</v>
      </c>
      <c r="L199" s="21">
        <v>44810</v>
      </c>
      <c r="M199" s="21">
        <v>45000</v>
      </c>
      <c r="N199" s="21">
        <v>44770</v>
      </c>
      <c r="O199" s="21">
        <v>41900</v>
      </c>
      <c r="P199" s="21">
        <v>43000</v>
      </c>
      <c r="Q199" s="21">
        <v>47060</v>
      </c>
      <c r="R199" s="21">
        <v>44560</v>
      </c>
      <c r="S199" s="21">
        <v>44130</v>
      </c>
      <c r="T199" s="21">
        <v>44080</v>
      </c>
      <c r="U199" s="21">
        <v>43030</v>
      </c>
      <c r="V199" s="21">
        <v>42650</v>
      </c>
      <c r="W199" s="21">
        <v>45990</v>
      </c>
      <c r="X199" s="21">
        <v>47740</v>
      </c>
      <c r="Y199" s="21">
        <v>46000</v>
      </c>
      <c r="Z199" s="21">
        <v>47690</v>
      </c>
      <c r="AA199" s="21">
        <v>52180</v>
      </c>
      <c r="AB199" s="21">
        <v>50600</v>
      </c>
      <c r="AC199" s="21">
        <v>50400</v>
      </c>
      <c r="AD199" s="21">
        <v>51590</v>
      </c>
      <c r="AE199" s="21">
        <v>52610</v>
      </c>
      <c r="AF199" s="21">
        <v>52540</v>
      </c>
      <c r="AG199" s="21">
        <v>57270</v>
      </c>
      <c r="AH199" s="21">
        <v>54800</v>
      </c>
      <c r="AI199" s="21">
        <v>57500</v>
      </c>
      <c r="AJ199" s="21">
        <v>53700</v>
      </c>
      <c r="AK199" s="21">
        <v>45870</v>
      </c>
      <c r="AL199" s="21">
        <v>47600</v>
      </c>
      <c r="AM199" s="21">
        <v>46000</v>
      </c>
      <c r="AN199" s="21">
        <v>42000</v>
      </c>
      <c r="AO199" s="21">
        <v>38550</v>
      </c>
      <c r="AP199" s="21">
        <v>39970</v>
      </c>
      <c r="AQ199" s="21">
        <v>39380</v>
      </c>
      <c r="AR199" s="21">
        <v>42050</v>
      </c>
      <c r="AS199" s="21">
        <v>41500</v>
      </c>
      <c r="AT199" s="21">
        <v>40420</v>
      </c>
      <c r="AU199" s="21">
        <v>38360</v>
      </c>
      <c r="AV199" s="21">
        <v>40810</v>
      </c>
      <c r="AW199" s="21">
        <v>40830</v>
      </c>
      <c r="AX199" s="21">
        <v>42990</v>
      </c>
      <c r="AY199" s="21">
        <v>40300</v>
      </c>
      <c r="AZ199" s="21">
        <v>38590</v>
      </c>
      <c r="BA199" s="21">
        <v>37050</v>
      </c>
      <c r="BB199" s="21">
        <v>36200</v>
      </c>
      <c r="BC199" s="21">
        <v>38090</v>
      </c>
      <c r="BD199" s="21">
        <v>38800</v>
      </c>
      <c r="BE199" s="21">
        <v>41190</v>
      </c>
      <c r="BF199" s="21">
        <v>42910</v>
      </c>
      <c r="BG199" s="21">
        <v>42790</v>
      </c>
      <c r="BH199" s="21">
        <v>45220</v>
      </c>
      <c r="BI199" s="21">
        <v>45300</v>
      </c>
      <c r="BJ199" s="21">
        <v>44220</v>
      </c>
      <c r="BK199" s="21">
        <v>46190</v>
      </c>
      <c r="BL199" s="21">
        <v>43540</v>
      </c>
      <c r="BM199" s="1">
        <v>43370</v>
      </c>
      <c r="BN199" s="1">
        <v>45100</v>
      </c>
      <c r="BO199" s="1">
        <v>45600</v>
      </c>
      <c r="BP199" s="1">
        <v>44530</v>
      </c>
      <c r="BQ199" s="1">
        <v>45490</v>
      </c>
      <c r="BR199" s="1">
        <v>44700</v>
      </c>
      <c r="BS199" s="1">
        <v>42450</v>
      </c>
      <c r="BT199" s="1">
        <v>40640</v>
      </c>
      <c r="BU199" s="1">
        <v>41510</v>
      </c>
      <c r="BV199" s="1">
        <v>41510</v>
      </c>
      <c r="BW199" s="1">
        <v>43500</v>
      </c>
      <c r="BX199" s="1">
        <v>42000</v>
      </c>
      <c r="BY199" s="1">
        <v>41100</v>
      </c>
      <c r="BZ199" s="1">
        <v>39100</v>
      </c>
    </row>
    <row r="200" spans="1:78" ht="15.9" customHeight="1">
      <c r="A200" s="78" t="s">
        <v>392</v>
      </c>
      <c r="B200" s="17" t="s">
        <v>393</v>
      </c>
      <c r="C200" s="546">
        <f>_xll.RssMarket("5801","始値")</f>
        <v>3846</v>
      </c>
      <c r="D200" s="23">
        <f t="shared" si="6"/>
        <v>596</v>
      </c>
      <c r="E200" s="553">
        <v>3250</v>
      </c>
      <c r="F200" s="21">
        <v>2935</v>
      </c>
      <c r="G200" s="21">
        <v>3168</v>
      </c>
      <c r="H200" s="21">
        <v>2762</v>
      </c>
      <c r="I200" s="21">
        <v>3009</v>
      </c>
      <c r="J200" s="21">
        <v>3100</v>
      </c>
      <c r="K200" s="21">
        <v>3350</v>
      </c>
      <c r="L200" s="21">
        <v>3450</v>
      </c>
      <c r="M200" s="21">
        <v>3621</v>
      </c>
      <c r="N200" s="21">
        <v>3699</v>
      </c>
      <c r="O200" s="21">
        <v>3332</v>
      </c>
      <c r="P200" s="21">
        <v>3301</v>
      </c>
      <c r="Q200" s="21">
        <v>3679</v>
      </c>
      <c r="R200" s="21">
        <v>3500</v>
      </c>
      <c r="S200" s="21">
        <v>3697</v>
      </c>
      <c r="T200" s="21">
        <v>3730</v>
      </c>
      <c r="U200" s="21">
        <v>3611</v>
      </c>
      <c r="V200" s="21">
        <v>3534</v>
      </c>
      <c r="W200" s="21">
        <v>3860</v>
      </c>
      <c r="X200" s="21">
        <v>3880</v>
      </c>
      <c r="Y200" s="21">
        <v>3880</v>
      </c>
      <c r="Z200" s="21">
        <v>4225</v>
      </c>
      <c r="AA200" s="21">
        <v>4870</v>
      </c>
      <c r="AB200" s="21">
        <v>4750</v>
      </c>
      <c r="AC200" s="21">
        <v>4532</v>
      </c>
      <c r="AD200" s="21">
        <v>4905</v>
      </c>
      <c r="AE200" s="21">
        <v>5000</v>
      </c>
      <c r="AF200" s="21">
        <v>4900</v>
      </c>
      <c r="AG200" s="21">
        <v>5800</v>
      </c>
      <c r="AH200" s="21">
        <v>5450</v>
      </c>
      <c r="AI200" s="21">
        <v>5336</v>
      </c>
      <c r="AJ200" s="21">
        <v>4812</v>
      </c>
      <c r="AK200" s="21">
        <v>4490</v>
      </c>
      <c r="AL200" s="21">
        <v>4500</v>
      </c>
      <c r="AM200" s="21">
        <v>4480</v>
      </c>
      <c r="AN200" s="21">
        <v>4325</v>
      </c>
      <c r="AO200" s="21">
        <v>3835</v>
      </c>
      <c r="AP200" s="21">
        <v>4440</v>
      </c>
      <c r="AQ200" s="21">
        <v>4485</v>
      </c>
      <c r="AR200" s="21">
        <v>4960</v>
      </c>
      <c r="AS200" s="21">
        <v>5299</v>
      </c>
      <c r="AT200" s="21">
        <v>5500</v>
      </c>
      <c r="AU200" s="21">
        <v>5114</v>
      </c>
      <c r="AV200" s="21">
        <v>5240</v>
      </c>
      <c r="AW200" s="21">
        <v>5411</v>
      </c>
      <c r="AX200" s="21">
        <v>6103</v>
      </c>
      <c r="AY200" s="21">
        <v>5648</v>
      </c>
      <c r="AZ200" s="21">
        <v>5102</v>
      </c>
      <c r="BA200" s="21">
        <v>5201</v>
      </c>
      <c r="BB200" s="21">
        <v>4870</v>
      </c>
      <c r="BC200" s="21">
        <v>5320</v>
      </c>
      <c r="BD200" s="21">
        <v>5548</v>
      </c>
      <c r="BE200" s="21">
        <v>5950</v>
      </c>
      <c r="BF200" s="21">
        <v>5762</v>
      </c>
      <c r="BG200" s="21">
        <v>5118</v>
      </c>
      <c r="BH200" s="21">
        <v>4570</v>
      </c>
      <c r="BI200" s="21">
        <v>4557</v>
      </c>
      <c r="BJ200" s="21">
        <v>4483</v>
      </c>
      <c r="BK200" s="21">
        <v>4469</v>
      </c>
      <c r="BL200" s="21">
        <v>4252</v>
      </c>
      <c r="BM200" s="1">
        <v>4272</v>
      </c>
      <c r="BN200" s="1">
        <v>4150</v>
      </c>
      <c r="BO200" s="1">
        <v>4275</v>
      </c>
      <c r="BP200" s="1">
        <v>4301</v>
      </c>
      <c r="BQ200" s="1">
        <v>4503</v>
      </c>
      <c r="BR200" s="1">
        <v>4436</v>
      </c>
      <c r="BS200" s="1">
        <v>4370</v>
      </c>
      <c r="BT200" s="1">
        <v>4426</v>
      </c>
      <c r="BU200" s="1">
        <v>4591</v>
      </c>
      <c r="BV200" s="1">
        <v>4354</v>
      </c>
      <c r="BW200" s="1">
        <v>4723</v>
      </c>
      <c r="BX200" s="1">
        <v>4722</v>
      </c>
      <c r="BY200" s="1">
        <v>4600</v>
      </c>
      <c r="BZ200" s="1">
        <v>4501</v>
      </c>
    </row>
    <row r="201" spans="1:78" ht="15.9" customHeight="1">
      <c r="A201" s="78" t="s">
        <v>394</v>
      </c>
      <c r="B201" s="17" t="s">
        <v>395</v>
      </c>
      <c r="C201" s="546">
        <f>_xll.RssMarket("6506","始値")</f>
        <v>5231</v>
      </c>
      <c r="D201" s="23">
        <f t="shared" si="6"/>
        <v>244</v>
      </c>
      <c r="E201" s="553">
        <v>4987</v>
      </c>
      <c r="F201" s="21">
        <v>4798</v>
      </c>
      <c r="G201" s="21">
        <v>4850</v>
      </c>
      <c r="H201" s="21">
        <v>4559</v>
      </c>
      <c r="I201" s="21">
        <v>4826</v>
      </c>
      <c r="J201" s="21">
        <v>5140</v>
      </c>
      <c r="K201" s="21">
        <v>5222</v>
      </c>
      <c r="L201" s="21">
        <v>5263</v>
      </c>
      <c r="M201" s="21">
        <v>5355</v>
      </c>
      <c r="N201" s="21">
        <v>5294</v>
      </c>
      <c r="O201" s="21">
        <v>5097</v>
      </c>
      <c r="P201" s="21">
        <v>5273</v>
      </c>
      <c r="Q201" s="21">
        <v>5500</v>
      </c>
      <c r="R201" s="21">
        <v>5860</v>
      </c>
      <c r="S201" s="21">
        <v>6210</v>
      </c>
      <c r="T201" s="21">
        <v>7074</v>
      </c>
      <c r="U201" s="21">
        <v>6898</v>
      </c>
      <c r="V201" s="21">
        <v>6700</v>
      </c>
      <c r="W201" s="21">
        <v>7349</v>
      </c>
      <c r="X201" s="21">
        <v>7520</v>
      </c>
      <c r="Y201" s="21">
        <v>6842</v>
      </c>
      <c r="Z201" s="21">
        <v>7007</v>
      </c>
      <c r="AA201" s="21">
        <v>7234</v>
      </c>
      <c r="AB201" s="21">
        <v>7001</v>
      </c>
      <c r="AC201" s="21">
        <v>6864</v>
      </c>
      <c r="AD201" s="21">
        <v>7201</v>
      </c>
      <c r="AE201" s="21">
        <v>7303</v>
      </c>
      <c r="AF201" s="21">
        <v>7142</v>
      </c>
      <c r="AG201" s="21">
        <v>7654</v>
      </c>
      <c r="AH201" s="21">
        <v>7335</v>
      </c>
      <c r="AI201" s="21">
        <v>7304</v>
      </c>
      <c r="AJ201" s="21">
        <v>7150</v>
      </c>
      <c r="AK201" s="21">
        <v>6745</v>
      </c>
      <c r="AL201" s="21">
        <v>6770</v>
      </c>
      <c r="AM201" s="21">
        <v>6594</v>
      </c>
      <c r="AN201" s="21">
        <v>6321</v>
      </c>
      <c r="AO201" s="21">
        <v>5688</v>
      </c>
      <c r="AP201" s="21">
        <v>6195</v>
      </c>
      <c r="AQ201" s="21">
        <v>6262</v>
      </c>
      <c r="AR201" s="21">
        <v>6742</v>
      </c>
      <c r="AS201" s="21">
        <v>7002</v>
      </c>
      <c r="AT201" s="21">
        <v>6930</v>
      </c>
      <c r="AU201" s="21">
        <v>7018</v>
      </c>
      <c r="AV201" s="21">
        <v>7286</v>
      </c>
      <c r="AW201" s="21">
        <v>6980</v>
      </c>
      <c r="AX201" s="21">
        <v>7593</v>
      </c>
      <c r="AY201" s="21">
        <v>7700</v>
      </c>
      <c r="AZ201" s="21">
        <v>6851</v>
      </c>
      <c r="BA201" s="21">
        <v>6276</v>
      </c>
      <c r="BB201" s="21">
        <v>6238</v>
      </c>
      <c r="BC201" s="21">
        <v>6639</v>
      </c>
      <c r="BD201" s="21">
        <v>7009</v>
      </c>
      <c r="BE201" s="21">
        <v>7133</v>
      </c>
      <c r="BF201" s="21">
        <v>7261</v>
      </c>
      <c r="BG201" s="21">
        <v>6812</v>
      </c>
      <c r="BH201" s="21">
        <v>6854</v>
      </c>
      <c r="BI201" s="21">
        <v>6390</v>
      </c>
      <c r="BJ201" s="21">
        <v>5997</v>
      </c>
      <c r="BK201" s="21">
        <v>5889</v>
      </c>
      <c r="BL201" s="21">
        <v>5527</v>
      </c>
      <c r="BM201" s="1">
        <v>5481</v>
      </c>
      <c r="BN201" s="1">
        <v>5470</v>
      </c>
      <c r="BO201" s="1">
        <v>5250</v>
      </c>
      <c r="BP201" s="1">
        <v>5247</v>
      </c>
      <c r="BQ201" s="1">
        <v>5347</v>
      </c>
      <c r="BR201" s="1">
        <v>5401</v>
      </c>
      <c r="BS201" s="1">
        <v>5469</v>
      </c>
      <c r="BT201" s="1">
        <v>5367</v>
      </c>
      <c r="BU201" s="1">
        <v>5211</v>
      </c>
      <c r="BV201" s="1">
        <v>5230</v>
      </c>
      <c r="BW201" s="1">
        <v>5340</v>
      </c>
      <c r="BX201" s="1">
        <v>5270</v>
      </c>
      <c r="BY201" s="1">
        <v>5034</v>
      </c>
      <c r="BZ201" s="1">
        <v>4828</v>
      </c>
    </row>
    <row r="202" spans="1:78" ht="15.9" customHeight="1">
      <c r="A202" s="78" t="s">
        <v>396</v>
      </c>
      <c r="B202" s="17" t="s">
        <v>397</v>
      </c>
      <c r="C202" s="546">
        <f>_xll.RssMarket("2768","始値")</f>
        <v>5255</v>
      </c>
      <c r="D202" s="23">
        <f t="shared" si="6"/>
        <v>56</v>
      </c>
      <c r="E202" s="553">
        <v>5199</v>
      </c>
      <c r="F202" s="21">
        <v>5181</v>
      </c>
      <c r="G202" s="21">
        <v>5365</v>
      </c>
      <c r="H202" s="21">
        <v>5340</v>
      </c>
      <c r="I202" s="21">
        <v>5400</v>
      </c>
      <c r="J202" s="21">
        <v>5409</v>
      </c>
      <c r="K202" s="21">
        <v>5452</v>
      </c>
      <c r="L202" s="21">
        <v>5449</v>
      </c>
      <c r="M202" s="21">
        <v>5390</v>
      </c>
      <c r="N202" s="21">
        <v>5318</v>
      </c>
      <c r="O202" s="21">
        <v>5165</v>
      </c>
      <c r="P202" s="21">
        <v>5194</v>
      </c>
      <c r="Q202" s="21">
        <v>5154</v>
      </c>
      <c r="R202" s="21">
        <v>5102</v>
      </c>
      <c r="S202" s="21">
        <v>5194</v>
      </c>
      <c r="T202" s="21">
        <v>5118</v>
      </c>
      <c r="U202" s="21">
        <v>5160</v>
      </c>
      <c r="V202" s="21">
        <v>5236</v>
      </c>
      <c r="W202" s="21">
        <v>5373</v>
      </c>
      <c r="X202" s="21">
        <v>5262</v>
      </c>
      <c r="Y202" s="21">
        <v>5280</v>
      </c>
      <c r="Z202" s="21">
        <v>5220</v>
      </c>
      <c r="AA202" s="21">
        <v>5198</v>
      </c>
      <c r="AB202" s="21">
        <v>5225</v>
      </c>
      <c r="AC202" s="21">
        <v>5340</v>
      </c>
      <c r="AD202" s="21">
        <v>5299</v>
      </c>
      <c r="AE202" s="21">
        <v>5287</v>
      </c>
      <c r="AF202" s="21">
        <v>5200</v>
      </c>
      <c r="AG202" s="21">
        <v>5350</v>
      </c>
      <c r="AH202" s="21">
        <v>5256</v>
      </c>
      <c r="AI202" s="21">
        <v>5345</v>
      </c>
      <c r="AJ202" s="21">
        <v>5325</v>
      </c>
      <c r="AK202" s="21">
        <v>5366</v>
      </c>
      <c r="AL202" s="21">
        <v>5380</v>
      </c>
      <c r="AM202" s="21">
        <v>5240</v>
      </c>
      <c r="AN202" s="21">
        <v>5052</v>
      </c>
      <c r="AO202" s="21">
        <v>5021</v>
      </c>
      <c r="AP202" s="21">
        <v>5131</v>
      </c>
      <c r="AQ202" s="21">
        <v>5091</v>
      </c>
      <c r="AR202" s="21">
        <v>5180</v>
      </c>
      <c r="AS202" s="21">
        <v>5151</v>
      </c>
      <c r="AT202" s="21">
        <v>5130</v>
      </c>
      <c r="AU202" s="21">
        <v>5052</v>
      </c>
      <c r="AV202" s="21">
        <v>5422</v>
      </c>
      <c r="AW202" s="21">
        <v>5450</v>
      </c>
      <c r="AX202" s="21">
        <v>5601</v>
      </c>
      <c r="AY202" s="21">
        <v>5543</v>
      </c>
      <c r="AZ202" s="21">
        <v>5540</v>
      </c>
      <c r="BA202" s="21">
        <v>5597</v>
      </c>
      <c r="BB202" s="21">
        <v>5680</v>
      </c>
      <c r="BC202" s="21">
        <v>5740</v>
      </c>
      <c r="BD202" s="21">
        <v>5900</v>
      </c>
      <c r="BE202" s="21">
        <v>5867</v>
      </c>
      <c r="BF202" s="21">
        <v>5910</v>
      </c>
      <c r="BG202" s="21">
        <v>5850</v>
      </c>
      <c r="BH202" s="21">
        <v>5754</v>
      </c>
      <c r="BI202" s="21">
        <v>5636</v>
      </c>
      <c r="BJ202" s="21">
        <v>5809</v>
      </c>
      <c r="BK202" s="21">
        <v>6200</v>
      </c>
      <c r="BL202" s="21">
        <v>5920</v>
      </c>
      <c r="BM202" s="1">
        <v>5900</v>
      </c>
      <c r="BN202" s="1">
        <v>5885</v>
      </c>
      <c r="BO202" s="1">
        <v>5830</v>
      </c>
      <c r="BP202" s="1">
        <v>5912</v>
      </c>
      <c r="BQ202" s="1">
        <v>5840</v>
      </c>
      <c r="BR202" s="1">
        <v>5998</v>
      </c>
      <c r="BS202" s="1">
        <v>6080</v>
      </c>
      <c r="BT202" s="1">
        <v>6135</v>
      </c>
      <c r="BU202" s="1">
        <v>6221</v>
      </c>
      <c r="BV202" s="1">
        <v>6190</v>
      </c>
      <c r="BW202" s="1">
        <v>6260</v>
      </c>
      <c r="BX202" s="1">
        <v>6400</v>
      </c>
      <c r="BY202" s="1">
        <v>6383</v>
      </c>
      <c r="BZ202" s="1">
        <v>6497</v>
      </c>
    </row>
    <row r="203" spans="1:78" ht="15.9" customHeight="1">
      <c r="A203" s="78" t="s">
        <v>398</v>
      </c>
      <c r="B203" s="17" t="s">
        <v>399</v>
      </c>
      <c r="C203" s="546">
        <f>_xll.RssMarket("6305","始値")</f>
        <v>5318</v>
      </c>
      <c r="D203" s="23">
        <f t="shared" si="6"/>
        <v>66</v>
      </c>
      <c r="E203" s="553">
        <v>5252</v>
      </c>
      <c r="F203" s="21">
        <v>5449</v>
      </c>
      <c r="G203" s="21">
        <v>5361</v>
      </c>
      <c r="H203" s="21">
        <v>5624</v>
      </c>
      <c r="I203" s="21">
        <v>5450</v>
      </c>
      <c r="J203" s="21">
        <v>5652</v>
      </c>
      <c r="K203" s="21">
        <v>5415</v>
      </c>
      <c r="L203" s="21">
        <v>5356</v>
      </c>
      <c r="M203" s="21">
        <v>5281</v>
      </c>
      <c r="N203" s="21">
        <v>5324</v>
      </c>
      <c r="O203" s="21">
        <v>5102</v>
      </c>
      <c r="P203" s="21">
        <v>5250</v>
      </c>
      <c r="Q203" s="21">
        <v>5307</v>
      </c>
      <c r="R203" s="21">
        <v>5238</v>
      </c>
      <c r="S203" s="21">
        <v>5329</v>
      </c>
      <c r="T203" s="21">
        <v>5267</v>
      </c>
      <c r="U203" s="21">
        <v>5251</v>
      </c>
      <c r="V203" s="21">
        <v>5368</v>
      </c>
      <c r="W203" s="21">
        <v>5469</v>
      </c>
      <c r="X203" s="21">
        <v>5407</v>
      </c>
      <c r="Y203" s="21">
        <v>5268</v>
      </c>
      <c r="Z203" s="21">
        <v>5164</v>
      </c>
      <c r="AA203" s="21">
        <v>5296</v>
      </c>
      <c r="AB203" s="21">
        <v>5333</v>
      </c>
      <c r="AC203" s="21">
        <v>5314</v>
      </c>
      <c r="AD203" s="21">
        <v>5282</v>
      </c>
      <c r="AE203" s="21">
        <v>5387</v>
      </c>
      <c r="AF203" s="21">
        <v>5301</v>
      </c>
      <c r="AG203" s="21">
        <v>5491</v>
      </c>
      <c r="AH203" s="21">
        <v>5308</v>
      </c>
      <c r="AI203" s="21">
        <v>5461</v>
      </c>
      <c r="AJ203" s="21">
        <v>5423</v>
      </c>
      <c r="AK203" s="21">
        <v>5350</v>
      </c>
      <c r="AL203" s="21">
        <v>5574</v>
      </c>
      <c r="AM203" s="21">
        <v>5430</v>
      </c>
      <c r="AN203" s="21">
        <v>5317</v>
      </c>
      <c r="AO203" s="21">
        <v>5108</v>
      </c>
      <c r="AP203" s="21">
        <v>5250</v>
      </c>
      <c r="AQ203" s="21">
        <v>5315</v>
      </c>
      <c r="AR203" s="21">
        <v>5431</v>
      </c>
      <c r="AS203" s="21">
        <v>5343</v>
      </c>
      <c r="AT203" s="21">
        <v>5165</v>
      </c>
      <c r="AU203" s="21">
        <v>4975</v>
      </c>
      <c r="AV203" s="21">
        <v>5151</v>
      </c>
      <c r="AW203" s="21">
        <v>5236</v>
      </c>
      <c r="AX203" s="21">
        <v>5199</v>
      </c>
      <c r="AY203" s="21">
        <v>5052</v>
      </c>
      <c r="AZ203" s="21">
        <v>4986</v>
      </c>
      <c r="BA203" s="21">
        <v>4982</v>
      </c>
      <c r="BB203" s="21">
        <v>5003</v>
      </c>
      <c r="BC203" s="21">
        <v>5170</v>
      </c>
      <c r="BD203" s="21">
        <v>5247</v>
      </c>
      <c r="BE203" s="21">
        <v>5300</v>
      </c>
      <c r="BF203" s="21">
        <v>5359</v>
      </c>
      <c r="BG203" s="21">
        <v>5143</v>
      </c>
      <c r="BH203" s="21">
        <v>5674</v>
      </c>
      <c r="BI203" s="21">
        <v>5676</v>
      </c>
      <c r="BJ203" s="21">
        <v>5538</v>
      </c>
      <c r="BK203" s="21">
        <v>5720</v>
      </c>
      <c r="BL203" s="21">
        <v>5450</v>
      </c>
      <c r="BM203" s="1">
        <v>5619</v>
      </c>
      <c r="BN203" s="1">
        <v>5532</v>
      </c>
      <c r="BO203" s="1">
        <v>5243</v>
      </c>
      <c r="BP203" s="1">
        <v>5567</v>
      </c>
      <c r="BQ203" s="1">
        <v>5465</v>
      </c>
      <c r="BR203" s="1">
        <v>5485</v>
      </c>
      <c r="BS203" s="1">
        <v>5484</v>
      </c>
      <c r="BT203" s="1">
        <v>5460</v>
      </c>
      <c r="BU203" s="1">
        <v>5500</v>
      </c>
      <c r="BV203" s="1">
        <v>5627</v>
      </c>
      <c r="BW203" s="1">
        <v>5643</v>
      </c>
      <c r="BX203" s="1">
        <v>5719</v>
      </c>
      <c r="BY203" s="1">
        <v>5642</v>
      </c>
      <c r="BZ203" s="1">
        <v>5740</v>
      </c>
    </row>
    <row r="204" spans="1:78" ht="15.9" customHeight="1">
      <c r="A204" s="78" t="s">
        <v>400</v>
      </c>
      <c r="B204" s="17" t="s">
        <v>401</v>
      </c>
      <c r="C204" s="546">
        <f>_xll.RssMarket("8015","始値")</f>
        <v>6990</v>
      </c>
      <c r="D204" s="23">
        <f t="shared" si="6"/>
        <v>324</v>
      </c>
      <c r="E204" s="553">
        <v>6666</v>
      </c>
      <c r="F204" s="21">
        <v>6622</v>
      </c>
      <c r="G204" s="21">
        <v>6690</v>
      </c>
      <c r="H204" s="21">
        <v>6550</v>
      </c>
      <c r="I204" s="21">
        <v>6495</v>
      </c>
      <c r="J204" s="21">
        <v>6458</v>
      </c>
      <c r="K204" s="21">
        <v>6525</v>
      </c>
      <c r="L204" s="21">
        <v>6530</v>
      </c>
      <c r="M204" s="21">
        <v>6482</v>
      </c>
      <c r="N204" s="21">
        <v>6488</v>
      </c>
      <c r="O204" s="21">
        <v>6165</v>
      </c>
      <c r="P204" s="21">
        <v>6109</v>
      </c>
      <c r="Q204" s="21">
        <v>6102</v>
      </c>
      <c r="R204" s="21">
        <v>6026</v>
      </c>
      <c r="S204" s="21">
        <v>6129</v>
      </c>
      <c r="T204" s="21">
        <v>6244</v>
      </c>
      <c r="U204" s="21">
        <v>6129</v>
      </c>
      <c r="V204" s="21">
        <v>6249</v>
      </c>
      <c r="W204" s="21">
        <v>6374</v>
      </c>
      <c r="X204" s="21">
        <v>6212</v>
      </c>
      <c r="Y204" s="21">
        <v>6426</v>
      </c>
      <c r="Z204" s="21">
        <v>6020</v>
      </c>
      <c r="AA204" s="21">
        <v>6001</v>
      </c>
      <c r="AB204" s="21">
        <v>6020</v>
      </c>
      <c r="AC204" s="21">
        <v>6012</v>
      </c>
      <c r="AD204" s="21">
        <v>6020</v>
      </c>
      <c r="AE204" s="21">
        <v>6172</v>
      </c>
      <c r="AF204" s="21">
        <v>6187</v>
      </c>
      <c r="AG204" s="21">
        <v>6271</v>
      </c>
      <c r="AH204" s="21">
        <v>6110</v>
      </c>
      <c r="AI204" s="21">
        <v>6053</v>
      </c>
      <c r="AJ204" s="21">
        <v>6378</v>
      </c>
      <c r="AK204" s="21">
        <v>6426</v>
      </c>
      <c r="AL204" s="21">
        <v>6490</v>
      </c>
      <c r="AM204" s="21">
        <v>6438</v>
      </c>
      <c r="AN204" s="21">
        <v>6169</v>
      </c>
      <c r="AO204" s="21">
        <v>5910</v>
      </c>
      <c r="AP204" s="21">
        <v>6081</v>
      </c>
      <c r="AQ204" s="21">
        <v>6439</v>
      </c>
      <c r="AR204" s="21">
        <v>6430</v>
      </c>
      <c r="AS204" s="21">
        <v>6486</v>
      </c>
      <c r="AT204" s="21">
        <v>6445</v>
      </c>
      <c r="AU204" s="21">
        <v>6409</v>
      </c>
      <c r="AV204" s="21">
        <v>6692</v>
      </c>
      <c r="AW204" s="21">
        <v>6798</v>
      </c>
      <c r="AX204" s="21">
        <v>7019</v>
      </c>
      <c r="AY204" s="21">
        <v>6965</v>
      </c>
      <c r="AZ204" s="21">
        <v>6887</v>
      </c>
      <c r="BA204" s="21">
        <v>6842</v>
      </c>
      <c r="BB204" s="21">
        <v>6991</v>
      </c>
      <c r="BC204" s="21">
        <v>7040</v>
      </c>
      <c r="BD204" s="21">
        <v>7237</v>
      </c>
      <c r="BE204" s="21">
        <v>7374</v>
      </c>
      <c r="BF204" s="21">
        <v>7357</v>
      </c>
      <c r="BG204" s="21">
        <v>7130</v>
      </c>
      <c r="BH204" s="21">
        <v>7091</v>
      </c>
      <c r="BI204" s="21">
        <v>6732</v>
      </c>
      <c r="BJ204" s="21">
        <v>6809</v>
      </c>
      <c r="BK204" s="21">
        <v>7049</v>
      </c>
      <c r="BL204" s="21">
        <v>6359</v>
      </c>
      <c r="BM204" s="1">
        <v>5979</v>
      </c>
      <c r="BN204" s="1">
        <v>6360</v>
      </c>
      <c r="BO204" s="1">
        <v>6053</v>
      </c>
      <c r="BP204" s="1">
        <v>6225</v>
      </c>
      <c r="BQ204" s="1">
        <v>6160</v>
      </c>
      <c r="BR204" s="1">
        <v>6258</v>
      </c>
      <c r="BS204" s="1">
        <v>6292</v>
      </c>
      <c r="BT204" s="1">
        <v>6339</v>
      </c>
      <c r="BU204" s="1">
        <v>6352</v>
      </c>
      <c r="BV204" s="1">
        <v>6288</v>
      </c>
      <c r="BW204" s="1">
        <v>6446</v>
      </c>
      <c r="BX204" s="1">
        <v>6486</v>
      </c>
      <c r="BY204" s="1">
        <v>6544</v>
      </c>
      <c r="BZ204" s="1">
        <v>6699</v>
      </c>
    </row>
    <row r="205" spans="1:78" ht="18.75" customHeight="1">
      <c r="A205" s="78" t="s">
        <v>402</v>
      </c>
      <c r="B205" s="17" t="s">
        <v>403</v>
      </c>
      <c r="C205" s="546">
        <f>_xll.RssMarket("6758","始値")</f>
        <v>3522</v>
      </c>
      <c r="D205" s="23">
        <f t="shared" si="6"/>
        <v>3522</v>
      </c>
      <c r="E205" s="554"/>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ht="18.75" customHeight="1">
      <c r="A206" s="78" t="s">
        <v>404</v>
      </c>
      <c r="B206" s="17" t="s">
        <v>405</v>
      </c>
      <c r="C206" s="546">
        <f>_xll.RssMarket("9101","始値")</f>
        <v>5994</v>
      </c>
      <c r="D206" s="23">
        <f t="shared" si="6"/>
        <v>-1</v>
      </c>
      <c r="E206" s="554">
        <v>5995</v>
      </c>
      <c r="F206" s="2">
        <v>6021</v>
      </c>
      <c r="G206" s="2">
        <v>6030</v>
      </c>
      <c r="H206" s="2">
        <v>6140</v>
      </c>
      <c r="I206" s="2">
        <v>6050</v>
      </c>
      <c r="J206" s="2">
        <v>5976</v>
      </c>
      <c r="K206" s="2">
        <v>6063</v>
      </c>
      <c r="L206" s="2">
        <v>5788</v>
      </c>
      <c r="M206" s="2">
        <v>5827</v>
      </c>
      <c r="N206" s="2">
        <v>5746</v>
      </c>
      <c r="O206" s="2">
        <v>5701</v>
      </c>
      <c r="P206" s="2">
        <v>5610</v>
      </c>
      <c r="Q206" s="2">
        <v>5520</v>
      </c>
      <c r="R206" s="2">
        <v>5386</v>
      </c>
      <c r="S206" s="2">
        <v>5338</v>
      </c>
      <c r="T206" s="2">
        <v>5405</v>
      </c>
      <c r="U206" s="2">
        <v>5399</v>
      </c>
      <c r="V206" s="2">
        <v>5325</v>
      </c>
      <c r="W206" s="2">
        <v>5070</v>
      </c>
      <c r="X206" s="2">
        <v>5232</v>
      </c>
      <c r="Y206" s="2">
        <v>5230</v>
      </c>
      <c r="Z206" s="2">
        <v>5115</v>
      </c>
      <c r="AA206" s="2">
        <v>5201</v>
      </c>
      <c r="AB206" s="2">
        <v>5245</v>
      </c>
      <c r="AC206" s="2">
        <v>5259</v>
      </c>
      <c r="AD206" s="2">
        <v>5233</v>
      </c>
      <c r="AE206" s="2">
        <v>5369</v>
      </c>
      <c r="AF206" s="2">
        <v>5314</v>
      </c>
      <c r="AG206" s="2">
        <v>5231</v>
      </c>
      <c r="AH206" s="2">
        <v>5134</v>
      </c>
      <c r="AI206" s="2">
        <v>5230</v>
      </c>
      <c r="AJ206" s="2">
        <v>5290</v>
      </c>
      <c r="AK206" s="2">
        <v>5409</v>
      </c>
      <c r="AL206" s="2">
        <v>5484</v>
      </c>
      <c r="AM206" s="2">
        <v>5594</v>
      </c>
      <c r="AN206" s="2">
        <v>5669</v>
      </c>
      <c r="AO206" s="2">
        <v>5582</v>
      </c>
      <c r="AP206" s="2">
        <v>5713</v>
      </c>
      <c r="AQ206" s="2">
        <v>5568</v>
      </c>
      <c r="AR206" s="2">
        <v>5606</v>
      </c>
      <c r="AS206" s="2">
        <v>5391</v>
      </c>
      <c r="AT206" s="2">
        <v>5316</v>
      </c>
      <c r="AU206" s="2">
        <v>5220</v>
      </c>
      <c r="AV206" s="2">
        <v>5302</v>
      </c>
      <c r="AW206" s="2">
        <v>5270</v>
      </c>
      <c r="AX206" s="2">
        <v>5231</v>
      </c>
      <c r="AY206" s="2">
        <v>5406</v>
      </c>
      <c r="AZ206" s="2">
        <v>5441</v>
      </c>
      <c r="BA206" s="2">
        <v>5620</v>
      </c>
      <c r="BB206" s="2">
        <v>5605</v>
      </c>
      <c r="BC206" s="2">
        <v>5505</v>
      </c>
      <c r="BD206" s="2">
        <v>5505</v>
      </c>
      <c r="BE206" s="2">
        <v>5398</v>
      </c>
      <c r="BF206" s="2">
        <v>5350</v>
      </c>
      <c r="BG206" s="2">
        <v>5286</v>
      </c>
      <c r="BH206" s="2">
        <v>5400</v>
      </c>
      <c r="BI206" s="2">
        <v>5554</v>
      </c>
      <c r="BJ206" s="2">
        <v>5700</v>
      </c>
      <c r="BK206" s="2">
        <v>5529</v>
      </c>
      <c r="BL206" s="2">
        <v>5570</v>
      </c>
      <c r="BM206" s="1">
        <v>5602</v>
      </c>
      <c r="BN206" s="1">
        <v>5611</v>
      </c>
      <c r="BO206" s="1">
        <v>5804</v>
      </c>
      <c r="BP206" s="1">
        <v>5835</v>
      </c>
      <c r="BQ206" s="1">
        <v>5770</v>
      </c>
      <c r="BR206" s="1">
        <v>5884</v>
      </c>
      <c r="BS206" s="1">
        <v>5898</v>
      </c>
      <c r="BT206" s="1">
        <v>6051</v>
      </c>
      <c r="BU206" s="1">
        <v>6130</v>
      </c>
      <c r="BV206" s="1">
        <v>6043</v>
      </c>
      <c r="BW206" s="1">
        <v>6130</v>
      </c>
      <c r="BX206" s="1">
        <v>6079</v>
      </c>
      <c r="BY206" s="1">
        <v>6240</v>
      </c>
      <c r="BZ206" s="1">
        <v>6219</v>
      </c>
    </row>
    <row r="207" spans="1:78" ht="17.25" customHeight="1">
      <c r="A207" s="79" t="s">
        <v>406</v>
      </c>
      <c r="B207" s="1" t="s">
        <v>407</v>
      </c>
      <c r="C207" s="547">
        <f>_xll.RssMarket("7011","始値")</f>
        <v>4040</v>
      </c>
      <c r="D207" s="16">
        <f t="shared" si="6"/>
        <v>260</v>
      </c>
      <c r="E207" s="554">
        <v>3780</v>
      </c>
      <c r="F207" s="2">
        <v>3747</v>
      </c>
      <c r="G207" s="2">
        <v>3855</v>
      </c>
      <c r="H207" s="2">
        <v>3710</v>
      </c>
      <c r="I207" s="2">
        <v>3751</v>
      </c>
      <c r="J207" s="2">
        <v>3811</v>
      </c>
      <c r="K207" s="2">
        <v>3962</v>
      </c>
      <c r="L207" s="2">
        <v>3976</v>
      </c>
      <c r="M207" s="2">
        <v>3854</v>
      </c>
      <c r="N207" s="2">
        <v>3809</v>
      </c>
      <c r="O207" s="2">
        <v>3730</v>
      </c>
      <c r="P207" s="2">
        <v>3750</v>
      </c>
      <c r="Q207" s="2">
        <v>3855</v>
      </c>
      <c r="R207" s="2">
        <v>3797</v>
      </c>
      <c r="S207" s="2">
        <v>3810</v>
      </c>
      <c r="T207" s="2">
        <v>3810</v>
      </c>
      <c r="U207" s="2">
        <v>3807</v>
      </c>
      <c r="V207" s="2">
        <v>3939</v>
      </c>
      <c r="W207" s="2">
        <v>4051</v>
      </c>
      <c r="X207" s="2">
        <v>3848</v>
      </c>
      <c r="Y207" s="2">
        <v>3858</v>
      </c>
      <c r="Z207" s="2">
        <v>3783</v>
      </c>
      <c r="AA207" s="2">
        <v>3760</v>
      </c>
      <c r="AB207" s="2">
        <v>3716</v>
      </c>
      <c r="AC207" s="2">
        <v>3679</v>
      </c>
      <c r="AD207" s="2">
        <v>3629</v>
      </c>
      <c r="AE207" s="2">
        <v>3755</v>
      </c>
      <c r="AF207" s="2">
        <v>3725</v>
      </c>
      <c r="AG207" s="2">
        <v>3909</v>
      </c>
      <c r="AH207" s="2">
        <v>3867</v>
      </c>
      <c r="AI207" s="2">
        <v>4029</v>
      </c>
      <c r="AJ207" s="2">
        <v>4053</v>
      </c>
      <c r="AK207" s="2">
        <v>3810</v>
      </c>
      <c r="AL207" s="2">
        <v>3700</v>
      </c>
      <c r="AM207" s="2">
        <v>3647</v>
      </c>
      <c r="AN207" s="2">
        <v>3545</v>
      </c>
      <c r="AO207" s="2">
        <v>3450</v>
      </c>
      <c r="AP207" s="2">
        <v>3669</v>
      </c>
      <c r="AQ207" s="2">
        <v>3713</v>
      </c>
      <c r="AR207" s="2">
        <v>3713</v>
      </c>
      <c r="AS207" s="2">
        <v>3560</v>
      </c>
      <c r="AT207" s="2">
        <v>3556</v>
      </c>
      <c r="AU207" s="2">
        <v>3496</v>
      </c>
      <c r="AV207" s="2">
        <v>3768</v>
      </c>
      <c r="AW207" s="2">
        <v>3950</v>
      </c>
      <c r="AX207" s="2">
        <v>4025</v>
      </c>
      <c r="AY207" s="2">
        <v>3931</v>
      </c>
      <c r="AZ207" s="2">
        <v>3998</v>
      </c>
      <c r="BA207" s="2">
        <v>3985</v>
      </c>
      <c r="BB207" s="2">
        <v>4083</v>
      </c>
      <c r="BC207" s="2">
        <v>4205</v>
      </c>
      <c r="BD207" s="2">
        <v>4084</v>
      </c>
      <c r="BE207" s="2">
        <v>4120</v>
      </c>
      <c r="BF207" s="2">
        <v>4405</v>
      </c>
      <c r="BG207" s="2">
        <v>4370</v>
      </c>
      <c r="BH207" s="2">
        <v>4350</v>
      </c>
      <c r="BI207" s="2">
        <v>4500</v>
      </c>
      <c r="BJ207" s="2">
        <v>4488</v>
      </c>
      <c r="BK207" s="2">
        <v>4552</v>
      </c>
      <c r="BL207" s="2">
        <v>4562</v>
      </c>
      <c r="BM207" s="1">
        <v>4600</v>
      </c>
      <c r="BN207" s="1">
        <v>4680</v>
      </c>
      <c r="BO207" s="1">
        <v>4724</v>
      </c>
      <c r="BP207" s="1">
        <v>4749</v>
      </c>
      <c r="BQ207" s="1">
        <v>4589</v>
      </c>
      <c r="BR207" s="1">
        <v>4400</v>
      </c>
      <c r="BS207" s="1">
        <v>4499</v>
      </c>
      <c r="BT207" s="1">
        <v>4511</v>
      </c>
      <c r="BU207" s="1">
        <v>4509</v>
      </c>
      <c r="BV207" s="1">
        <v>4558</v>
      </c>
      <c r="BW207" s="1">
        <v>4723</v>
      </c>
      <c r="BX207" s="1">
        <v>4815</v>
      </c>
      <c r="BY207" s="1">
        <v>4725</v>
      </c>
      <c r="BZ207" s="1">
        <v>4782</v>
      </c>
    </row>
    <row r="208" spans="1:78" ht="17.25" customHeight="1">
      <c r="A208" s="79" t="s">
        <v>408</v>
      </c>
      <c r="B208" s="1" t="s">
        <v>409</v>
      </c>
      <c r="C208" s="547">
        <f>_xll.RssMarket("1812","始値")</f>
        <v>5356</v>
      </c>
      <c r="D208" s="16">
        <f t="shared" si="6"/>
        <v>101</v>
      </c>
      <c r="E208" s="554">
        <v>5255</v>
      </c>
      <c r="F208" s="2">
        <v>5333</v>
      </c>
      <c r="G208" s="2">
        <v>5455</v>
      </c>
      <c r="H208" s="2">
        <v>5333</v>
      </c>
      <c r="I208" s="2">
        <v>5561</v>
      </c>
      <c r="J208" s="2">
        <v>5565</v>
      </c>
      <c r="K208" s="2">
        <v>5670</v>
      </c>
      <c r="L208" s="2">
        <v>5592</v>
      </c>
      <c r="M208" s="2">
        <v>5632</v>
      </c>
      <c r="N208" s="2">
        <v>5600</v>
      </c>
      <c r="O208" s="2">
        <v>5532</v>
      </c>
      <c r="P208" s="2">
        <v>5594</v>
      </c>
      <c r="Q208" s="2">
        <v>5618</v>
      </c>
      <c r="R208" s="2">
        <v>5637</v>
      </c>
      <c r="S208" s="2">
        <v>5775</v>
      </c>
      <c r="T208" s="2">
        <v>5850</v>
      </c>
      <c r="U208" s="2">
        <v>5769</v>
      </c>
      <c r="V208" s="2">
        <v>6010</v>
      </c>
      <c r="W208" s="2">
        <v>6262</v>
      </c>
      <c r="X208" s="2">
        <v>6191</v>
      </c>
      <c r="Y208" s="2">
        <v>6192</v>
      </c>
      <c r="Z208" s="2">
        <v>5862</v>
      </c>
      <c r="AA208" s="2">
        <v>5972</v>
      </c>
      <c r="AB208" s="2">
        <v>5892</v>
      </c>
      <c r="AC208" s="2">
        <v>5769</v>
      </c>
      <c r="AD208" s="2">
        <v>5730</v>
      </c>
      <c r="AE208" s="2">
        <v>5801</v>
      </c>
      <c r="AF208" s="2">
        <v>5730</v>
      </c>
      <c r="AG208" s="2">
        <v>6070</v>
      </c>
      <c r="AH208" s="2">
        <v>5925</v>
      </c>
      <c r="AI208" s="2">
        <v>5904</v>
      </c>
      <c r="AJ208" s="2">
        <v>5910</v>
      </c>
      <c r="AK208" s="2">
        <v>5968</v>
      </c>
      <c r="AL208" s="2">
        <v>6128</v>
      </c>
      <c r="AM208" s="2">
        <v>5778</v>
      </c>
      <c r="AN208" s="2">
        <v>5575</v>
      </c>
      <c r="AO208" s="2">
        <v>5476</v>
      </c>
      <c r="AP208" s="2">
        <v>5550</v>
      </c>
      <c r="AQ208" s="2">
        <v>5520</v>
      </c>
      <c r="AR208" s="2">
        <v>5440</v>
      </c>
      <c r="AS208" s="2">
        <v>5489</v>
      </c>
      <c r="AT208" s="2">
        <v>5500</v>
      </c>
      <c r="AU208" s="2">
        <v>5541</v>
      </c>
      <c r="AV208" s="2">
        <v>5771</v>
      </c>
      <c r="AW208" s="2">
        <v>5802</v>
      </c>
      <c r="AX208" s="2">
        <v>6013</v>
      </c>
      <c r="AY208" s="2">
        <v>5569</v>
      </c>
      <c r="AZ208" s="2">
        <v>5589</v>
      </c>
      <c r="BA208" s="2">
        <v>5639</v>
      </c>
      <c r="BB208" s="2">
        <v>5748</v>
      </c>
      <c r="BC208" s="2">
        <v>5686</v>
      </c>
      <c r="BD208" s="2">
        <v>5818</v>
      </c>
      <c r="BE208" s="2">
        <v>6183</v>
      </c>
      <c r="BF208" s="2">
        <v>6536</v>
      </c>
      <c r="BG208" s="2">
        <v>6748</v>
      </c>
      <c r="BH208" s="2">
        <v>6257</v>
      </c>
      <c r="BI208" s="2">
        <v>6019</v>
      </c>
      <c r="BJ208" s="2">
        <v>6177</v>
      </c>
      <c r="BK208" s="2">
        <v>6177</v>
      </c>
      <c r="BL208" s="2">
        <v>6193</v>
      </c>
      <c r="BM208" s="1">
        <v>6420</v>
      </c>
      <c r="BN208" s="1">
        <v>6054</v>
      </c>
      <c r="BO208" s="1">
        <v>5850</v>
      </c>
      <c r="BP208" s="1">
        <v>5980</v>
      </c>
      <c r="BQ208" s="1">
        <v>5884</v>
      </c>
      <c r="BR208" s="1">
        <v>5973</v>
      </c>
      <c r="BS208" s="1">
        <v>6072</v>
      </c>
      <c r="BT208" s="1">
        <v>6032</v>
      </c>
      <c r="BU208" s="1">
        <v>6120</v>
      </c>
      <c r="BV208" s="1">
        <v>6094</v>
      </c>
      <c r="BW208" s="1">
        <v>6310</v>
      </c>
      <c r="BX208" s="1">
        <v>6230</v>
      </c>
      <c r="BY208" s="1">
        <v>6127</v>
      </c>
      <c r="BZ208" s="1">
        <v>6310</v>
      </c>
    </row>
    <row r="209" spans="1:78" ht="17.25" customHeight="1">
      <c r="A209" s="79" t="s">
        <v>410</v>
      </c>
      <c r="B209" s="1" t="str">
        <f>銘柄管理!C209</f>
        <v>キーエンス</v>
      </c>
      <c r="C209" s="547">
        <f>_xll.RssMarket("6861","始値")</f>
        <v>83670</v>
      </c>
      <c r="D209" s="16"/>
      <c r="E209" s="554">
        <v>82110</v>
      </c>
      <c r="F209" s="2">
        <v>80000</v>
      </c>
      <c r="G209" s="2">
        <v>80050</v>
      </c>
      <c r="H209" s="2">
        <v>78390</v>
      </c>
      <c r="I209" s="2">
        <v>80800</v>
      </c>
      <c r="J209" s="2">
        <v>72370</v>
      </c>
      <c r="K209" s="2">
        <v>71830</v>
      </c>
      <c r="L209" s="2">
        <v>71430</v>
      </c>
      <c r="M209" s="2">
        <v>72000</v>
      </c>
      <c r="N209" s="2">
        <v>72370</v>
      </c>
      <c r="O209" s="2">
        <v>70830</v>
      </c>
      <c r="P209" s="2">
        <v>71850</v>
      </c>
      <c r="Q209" s="2">
        <v>76700</v>
      </c>
      <c r="R209" s="2">
        <v>76500</v>
      </c>
      <c r="S209" s="2">
        <v>77240</v>
      </c>
      <c r="T209" s="2">
        <v>77000</v>
      </c>
      <c r="U209" s="2">
        <v>75100</v>
      </c>
      <c r="V209" s="2">
        <v>76680</v>
      </c>
      <c r="W209" s="2">
        <v>80470</v>
      </c>
      <c r="X209" s="2">
        <v>81030</v>
      </c>
      <c r="Y209" s="2">
        <v>79000</v>
      </c>
      <c r="Z209" s="2">
        <v>79920</v>
      </c>
      <c r="AA209" s="2">
        <v>81540</v>
      </c>
      <c r="AB209" s="2">
        <v>80200</v>
      </c>
      <c r="AC209" s="2">
        <v>77160</v>
      </c>
      <c r="AD209" s="2">
        <v>76570</v>
      </c>
      <c r="AE209" s="2">
        <v>77560</v>
      </c>
      <c r="AF209" s="2">
        <v>75500</v>
      </c>
      <c r="AG209" s="2">
        <v>78130</v>
      </c>
      <c r="AH209" s="2">
        <v>77110</v>
      </c>
      <c r="AI209" s="2">
        <v>77450</v>
      </c>
      <c r="AJ209" s="2">
        <v>76870</v>
      </c>
      <c r="AK209" s="2">
        <v>73710</v>
      </c>
      <c r="AL209" s="2">
        <v>75420</v>
      </c>
      <c r="AM209" s="2">
        <v>74980</v>
      </c>
      <c r="AN209" s="2">
        <v>72040</v>
      </c>
      <c r="AO209" s="2">
        <v>69670</v>
      </c>
      <c r="AP209" s="2">
        <v>73600</v>
      </c>
      <c r="AQ209" s="2">
        <v>74010</v>
      </c>
      <c r="AR209" s="2">
        <v>78540</v>
      </c>
      <c r="AS209" s="2">
        <v>80840</v>
      </c>
      <c r="AT209" s="2">
        <v>79060</v>
      </c>
      <c r="AU209" s="2">
        <v>79020</v>
      </c>
      <c r="AV209" s="2">
        <v>79900</v>
      </c>
      <c r="AW209" s="2">
        <v>76600</v>
      </c>
      <c r="AX209" s="2">
        <v>75620</v>
      </c>
      <c r="AY209" s="2">
        <v>78070</v>
      </c>
      <c r="AZ209" s="2">
        <v>78460</v>
      </c>
      <c r="BA209" s="2">
        <v>76170</v>
      </c>
      <c r="BB209" s="2">
        <v>75000</v>
      </c>
      <c r="BC209" s="2">
        <v>75710</v>
      </c>
      <c r="BD209" s="2">
        <v>76430</v>
      </c>
      <c r="BE209" s="2">
        <v>78340</v>
      </c>
      <c r="BF209" s="2">
        <v>79200</v>
      </c>
      <c r="BG209" s="2">
        <v>78980</v>
      </c>
      <c r="BH209" s="2">
        <v>83000</v>
      </c>
      <c r="BI209" s="2">
        <v>83460</v>
      </c>
      <c r="BJ209" s="2">
        <v>81330</v>
      </c>
      <c r="BK209" s="2">
        <v>80280</v>
      </c>
      <c r="BL209" s="2">
        <v>72470</v>
      </c>
      <c r="BM209" s="1">
        <v>73920</v>
      </c>
      <c r="BN209" s="1">
        <v>73180</v>
      </c>
      <c r="BO209" s="1">
        <v>73180</v>
      </c>
      <c r="BP209" s="1">
        <v>64150</v>
      </c>
      <c r="BQ209" s="1">
        <v>64330</v>
      </c>
      <c r="BR209" s="1">
        <v>63170</v>
      </c>
      <c r="BS209" s="1">
        <v>63320</v>
      </c>
      <c r="BT209" s="1">
        <v>63060</v>
      </c>
      <c r="BU209" s="1">
        <v>63050</v>
      </c>
      <c r="BV209" s="1">
        <v>62710</v>
      </c>
      <c r="BW209" s="1">
        <v>62900</v>
      </c>
      <c r="BX209" s="1">
        <v>63650</v>
      </c>
      <c r="BY209" s="1">
        <v>62440</v>
      </c>
      <c r="BZ209" s="1">
        <v>61580</v>
      </c>
    </row>
    <row r="210" spans="1:78" ht="17.25" customHeight="1">
      <c r="A210" s="79" t="s">
        <v>411</v>
      </c>
      <c r="B210" s="1" t="s">
        <v>412</v>
      </c>
      <c r="C210" s="547">
        <f>_xll.RssMarket("6324","始値")</f>
        <v>7000</v>
      </c>
      <c r="D210" s="16">
        <f t="shared" ref="D210:D221" si="7">C210-E210</f>
        <v>500</v>
      </c>
      <c r="E210" s="554">
        <v>6500</v>
      </c>
      <c r="F210" s="2">
        <v>5960</v>
      </c>
      <c r="G210" s="2">
        <v>6100</v>
      </c>
      <c r="H210" s="2">
        <v>5350</v>
      </c>
      <c r="I210" s="2">
        <v>5790</v>
      </c>
      <c r="J210" s="2">
        <v>6240</v>
      </c>
      <c r="K210" s="2">
        <v>6660</v>
      </c>
      <c r="L210" s="2">
        <v>6770</v>
      </c>
      <c r="M210" s="2">
        <v>6900</v>
      </c>
      <c r="N210" s="2">
        <v>6750</v>
      </c>
      <c r="O210" s="2">
        <v>6480</v>
      </c>
      <c r="P210" s="2">
        <v>6900</v>
      </c>
      <c r="Q210" s="2">
        <v>7660</v>
      </c>
      <c r="R210" s="2">
        <v>7220</v>
      </c>
      <c r="S210" s="2">
        <v>7950</v>
      </c>
      <c r="T210" s="2">
        <v>7700</v>
      </c>
      <c r="U210" s="2">
        <v>7650</v>
      </c>
      <c r="V210" s="2">
        <v>7820</v>
      </c>
      <c r="W210" s="2">
        <v>8590</v>
      </c>
      <c r="X210" s="2">
        <v>8800</v>
      </c>
      <c r="Y210" s="2">
        <v>7840</v>
      </c>
      <c r="Z210" s="2">
        <v>7800</v>
      </c>
      <c r="AA210" s="2">
        <v>7800</v>
      </c>
      <c r="AB210" s="2">
        <v>7520</v>
      </c>
      <c r="AC210" s="2">
        <v>7070</v>
      </c>
      <c r="AD210" s="2">
        <v>7690</v>
      </c>
      <c r="AE210" s="2">
        <v>8050</v>
      </c>
      <c r="AF210" s="2">
        <v>7750</v>
      </c>
      <c r="AG210" s="2">
        <v>8640</v>
      </c>
      <c r="AH210" s="2">
        <v>8220</v>
      </c>
      <c r="AI210" s="2">
        <v>7920</v>
      </c>
      <c r="AJ210" s="2">
        <v>7950</v>
      </c>
      <c r="AK210" s="2">
        <v>7280</v>
      </c>
      <c r="AL210" s="2">
        <v>6970</v>
      </c>
      <c r="AM210" s="2">
        <v>6920</v>
      </c>
      <c r="AN210" s="2">
        <v>6580</v>
      </c>
      <c r="AO210" s="2">
        <v>5960</v>
      </c>
      <c r="AP210" s="2">
        <v>6710</v>
      </c>
      <c r="AQ210" s="2">
        <v>6540</v>
      </c>
      <c r="AR210" s="2">
        <v>6790</v>
      </c>
      <c r="AS210" s="2">
        <v>7300</v>
      </c>
      <c r="AT210" s="2">
        <v>7400</v>
      </c>
      <c r="AU210" s="2">
        <v>7560</v>
      </c>
      <c r="AV210" s="2">
        <v>7880</v>
      </c>
      <c r="AW210" s="2">
        <v>7420</v>
      </c>
      <c r="AX210" s="2">
        <v>8300</v>
      </c>
      <c r="AY210" s="2">
        <v>7500</v>
      </c>
      <c r="AZ210" s="2">
        <v>6700</v>
      </c>
      <c r="BA210" s="2">
        <v>6180</v>
      </c>
      <c r="BB210" s="2">
        <v>5950</v>
      </c>
      <c r="BC210" s="2">
        <v>6700</v>
      </c>
      <c r="BD210" s="2">
        <v>6980</v>
      </c>
      <c r="BE210" s="2">
        <v>6930</v>
      </c>
      <c r="BF210" s="2">
        <v>6970</v>
      </c>
      <c r="BG210" s="2">
        <v>6440</v>
      </c>
      <c r="BH210" s="2">
        <v>6540</v>
      </c>
      <c r="BI210" s="2">
        <v>6430</v>
      </c>
      <c r="BJ210" s="2">
        <v>5610</v>
      </c>
      <c r="BK210" s="2">
        <v>5480</v>
      </c>
      <c r="BL210" s="2">
        <v>5120</v>
      </c>
      <c r="BM210" s="1">
        <v>4745</v>
      </c>
      <c r="BN210" s="1">
        <v>4880</v>
      </c>
      <c r="BO210" s="1">
        <v>4475</v>
      </c>
      <c r="BP210" s="1">
        <v>4285</v>
      </c>
      <c r="BQ210" s="1">
        <v>4385</v>
      </c>
      <c r="BR210" s="1">
        <v>4355</v>
      </c>
      <c r="BS210" s="1">
        <v>4685</v>
      </c>
      <c r="BT210" s="1">
        <v>4500</v>
      </c>
      <c r="BU210" s="1">
        <v>4585</v>
      </c>
      <c r="BV210" s="1">
        <v>4540</v>
      </c>
      <c r="BW210" s="1">
        <v>4220</v>
      </c>
      <c r="BX210" s="1">
        <v>4250</v>
      </c>
      <c r="BY210" s="1">
        <v>4005</v>
      </c>
      <c r="BZ210" s="1">
        <v>3990</v>
      </c>
    </row>
    <row r="211" spans="1:78" ht="17.25" customHeight="1">
      <c r="A211" s="79" t="s">
        <v>413</v>
      </c>
      <c r="B211" s="1" t="s">
        <v>414</v>
      </c>
      <c r="C211" s="547">
        <f>_xll.RssMarket("6273","始値")</f>
        <v>75160</v>
      </c>
      <c r="D211" s="16">
        <f t="shared" si="7"/>
        <v>3420</v>
      </c>
      <c r="E211" s="554">
        <v>71740</v>
      </c>
      <c r="F211" s="2">
        <v>69420</v>
      </c>
      <c r="G211" s="2">
        <v>69520</v>
      </c>
      <c r="H211" s="2">
        <v>63930</v>
      </c>
      <c r="I211" s="2">
        <v>66800</v>
      </c>
      <c r="J211" s="2">
        <v>68800</v>
      </c>
      <c r="K211" s="2">
        <v>71010</v>
      </c>
      <c r="L211" s="2">
        <v>71600</v>
      </c>
      <c r="M211" s="2">
        <v>71980</v>
      </c>
      <c r="N211" s="2">
        <v>72140</v>
      </c>
      <c r="O211" s="2">
        <v>69220</v>
      </c>
      <c r="P211" s="2">
        <v>71930</v>
      </c>
      <c r="Q211" s="2">
        <v>74010</v>
      </c>
      <c r="R211" s="2">
        <v>71600</v>
      </c>
      <c r="S211" s="2">
        <v>75580</v>
      </c>
      <c r="T211" s="2">
        <v>73520</v>
      </c>
      <c r="U211" s="2">
        <v>71390</v>
      </c>
      <c r="V211" s="2">
        <v>71270</v>
      </c>
      <c r="W211" s="2">
        <v>75770</v>
      </c>
      <c r="X211" s="2">
        <v>76500</v>
      </c>
      <c r="Y211" s="2">
        <v>72680</v>
      </c>
      <c r="Z211" s="2">
        <v>72960</v>
      </c>
      <c r="AA211" s="2">
        <v>72830</v>
      </c>
      <c r="AB211" s="2">
        <v>71460</v>
      </c>
      <c r="AC211" s="2">
        <v>71780</v>
      </c>
      <c r="AD211" s="2">
        <v>72070</v>
      </c>
      <c r="AE211" s="2">
        <v>71220</v>
      </c>
      <c r="AF211" s="2">
        <v>71230</v>
      </c>
      <c r="AG211" s="2">
        <v>74260</v>
      </c>
      <c r="AH211" s="2">
        <v>72110</v>
      </c>
      <c r="AI211" s="2">
        <v>74100</v>
      </c>
      <c r="AJ211" s="2">
        <v>72850</v>
      </c>
      <c r="AK211" s="2">
        <v>70450</v>
      </c>
      <c r="AL211" s="2">
        <v>69410</v>
      </c>
      <c r="AM211" s="2">
        <v>68170</v>
      </c>
      <c r="AN211" s="2">
        <v>65920</v>
      </c>
      <c r="AO211" s="2">
        <v>59000</v>
      </c>
      <c r="AP211" s="2">
        <v>60490</v>
      </c>
      <c r="AQ211" s="2">
        <v>62040</v>
      </c>
      <c r="AR211" s="2">
        <v>64660</v>
      </c>
      <c r="AS211" s="2">
        <v>65560</v>
      </c>
      <c r="AT211" s="2">
        <v>63890</v>
      </c>
      <c r="AU211" s="2">
        <v>65830</v>
      </c>
      <c r="AV211" s="2">
        <v>68880</v>
      </c>
      <c r="AW211" s="2">
        <v>66650</v>
      </c>
      <c r="AX211" s="2">
        <v>66650</v>
      </c>
      <c r="AY211" s="2">
        <v>66430</v>
      </c>
      <c r="AZ211" s="2">
        <v>65620</v>
      </c>
      <c r="BA211" s="2">
        <v>66140</v>
      </c>
      <c r="BB211" s="2">
        <v>65120</v>
      </c>
      <c r="BC211" s="2">
        <v>67070</v>
      </c>
      <c r="BD211" s="2">
        <v>67000</v>
      </c>
      <c r="BE211" s="2">
        <v>72760</v>
      </c>
      <c r="BF211" s="2">
        <v>84730</v>
      </c>
      <c r="BG211" s="2">
        <v>82580</v>
      </c>
      <c r="BH211" s="2">
        <v>84340</v>
      </c>
      <c r="BI211" s="2">
        <v>84360</v>
      </c>
      <c r="BJ211" s="2">
        <v>79580</v>
      </c>
      <c r="BK211" s="2">
        <v>78230</v>
      </c>
      <c r="BL211" s="2">
        <v>77580</v>
      </c>
      <c r="BM211" s="1">
        <v>76950</v>
      </c>
      <c r="BN211" s="1">
        <v>76980</v>
      </c>
      <c r="BO211" s="1">
        <v>72440</v>
      </c>
      <c r="BP211" s="1">
        <v>70890</v>
      </c>
      <c r="BQ211" s="1">
        <v>71620</v>
      </c>
      <c r="BR211" s="1">
        <v>71000</v>
      </c>
      <c r="BS211" s="1">
        <v>71580</v>
      </c>
      <c r="BT211" s="1">
        <v>70850</v>
      </c>
      <c r="BU211" s="1">
        <v>71940</v>
      </c>
      <c r="BV211" s="1">
        <v>71820</v>
      </c>
      <c r="BW211" s="1">
        <v>72520</v>
      </c>
      <c r="BX211" s="1">
        <v>73150</v>
      </c>
      <c r="BY211" s="1">
        <v>70020</v>
      </c>
      <c r="BZ211" s="1">
        <v>68330</v>
      </c>
    </row>
    <row r="212" spans="1:78" ht="17.25" customHeight="1">
      <c r="A212" s="79" t="s">
        <v>415</v>
      </c>
      <c r="B212" s="1" t="s">
        <v>416</v>
      </c>
      <c r="C212" s="547">
        <f>_xll.RssMarket("4502","始値")</f>
        <v>5234</v>
      </c>
      <c r="D212" s="16">
        <f t="shared" si="7"/>
        <v>-86</v>
      </c>
      <c r="E212" s="554">
        <v>5320</v>
      </c>
      <c r="F212" s="2">
        <v>5400</v>
      </c>
      <c r="G212" s="2">
        <v>5549</v>
      </c>
      <c r="H212" s="2">
        <v>5763</v>
      </c>
      <c r="I212" s="2">
        <v>5800</v>
      </c>
      <c r="J212" s="2">
        <v>5742</v>
      </c>
      <c r="K212" s="2">
        <v>5656</v>
      </c>
      <c r="L212" s="2">
        <v>5579</v>
      </c>
      <c r="M212" s="2">
        <v>5552</v>
      </c>
      <c r="N212" s="2">
        <v>5550</v>
      </c>
      <c r="O212" s="2">
        <v>5480</v>
      </c>
      <c r="P212" s="2">
        <v>5445</v>
      </c>
      <c r="Q212" s="2">
        <v>5287</v>
      </c>
      <c r="R212" s="2">
        <v>5380</v>
      </c>
      <c r="S212" s="2">
        <v>5340</v>
      </c>
      <c r="T212" s="2">
        <v>5385</v>
      </c>
      <c r="U212" s="2">
        <v>5400</v>
      </c>
      <c r="V212" s="2">
        <v>5503</v>
      </c>
      <c r="W212" s="2">
        <v>5480</v>
      </c>
      <c r="X212" s="2">
        <v>5426</v>
      </c>
      <c r="Y212" s="2">
        <v>5420</v>
      </c>
      <c r="Z212" s="2">
        <v>5215</v>
      </c>
      <c r="AA212" s="2">
        <v>5126</v>
      </c>
      <c r="AB212" s="2">
        <v>5176</v>
      </c>
      <c r="AC212" s="2">
        <v>5100</v>
      </c>
      <c r="AD212" s="2">
        <v>5070</v>
      </c>
      <c r="AE212" s="2">
        <v>5100</v>
      </c>
      <c r="AF212" s="2">
        <v>5000</v>
      </c>
      <c r="AG212" s="2">
        <v>4960</v>
      </c>
      <c r="AH212" s="2">
        <v>4910</v>
      </c>
      <c r="AI212" s="2">
        <v>4911</v>
      </c>
      <c r="AJ212" s="2">
        <v>4968</v>
      </c>
      <c r="AK212" s="2">
        <v>5018</v>
      </c>
      <c r="AL212" s="2">
        <v>5040</v>
      </c>
      <c r="AM212" s="2">
        <v>5078</v>
      </c>
      <c r="AN212" s="2">
        <v>5048</v>
      </c>
      <c r="AO212" s="2">
        <v>5018</v>
      </c>
      <c r="AP212" s="2">
        <v>5040</v>
      </c>
      <c r="AQ212" s="2">
        <v>4896</v>
      </c>
      <c r="AR212" s="2">
        <v>4933</v>
      </c>
      <c r="AS212" s="2">
        <v>4800</v>
      </c>
      <c r="AT212" s="2">
        <v>4800</v>
      </c>
      <c r="AU212" s="2">
        <v>4837</v>
      </c>
      <c r="AV212" s="2">
        <v>5079</v>
      </c>
      <c r="AW212" s="2">
        <v>5128</v>
      </c>
      <c r="AX212" s="2">
        <v>5090</v>
      </c>
      <c r="AY212" s="2">
        <v>5141</v>
      </c>
      <c r="AZ212" s="2">
        <v>5190</v>
      </c>
      <c r="BA212" s="2">
        <v>5300</v>
      </c>
      <c r="BB212" s="2">
        <v>5323</v>
      </c>
      <c r="BC212" s="2">
        <v>5325</v>
      </c>
      <c r="BD212" s="2">
        <v>5291</v>
      </c>
      <c r="BE212" s="2">
        <v>5256</v>
      </c>
      <c r="BF212" s="2">
        <v>5124</v>
      </c>
      <c r="BG212" s="2">
        <v>5193</v>
      </c>
      <c r="BH212" s="2">
        <v>5167</v>
      </c>
      <c r="BI212" s="2">
        <v>5207</v>
      </c>
      <c r="BJ212" s="2">
        <v>5339</v>
      </c>
      <c r="BK212" s="2">
        <v>5206</v>
      </c>
      <c r="BL212" s="2">
        <v>5260</v>
      </c>
      <c r="BM212" s="1">
        <v>5214</v>
      </c>
      <c r="BN212" s="1">
        <v>5292</v>
      </c>
      <c r="BO212" s="1">
        <v>5235</v>
      </c>
      <c r="BP212" s="1">
        <v>5352</v>
      </c>
      <c r="BQ212" s="1">
        <v>5318</v>
      </c>
      <c r="BR212" s="1">
        <v>5485</v>
      </c>
      <c r="BS212" s="1">
        <v>5520</v>
      </c>
      <c r="BT212" s="1">
        <v>5622</v>
      </c>
      <c r="BU212" s="1">
        <v>5602</v>
      </c>
      <c r="BV212" s="1">
        <v>5676</v>
      </c>
      <c r="BW212" s="1">
        <v>5612</v>
      </c>
      <c r="BX212" s="1">
        <v>5669</v>
      </c>
      <c r="BY212" s="1">
        <v>5736</v>
      </c>
      <c r="BZ212" s="1">
        <v>5750</v>
      </c>
    </row>
    <row r="213" spans="1:78" ht="17.25" customHeight="1">
      <c r="A213" s="79" t="s">
        <v>417</v>
      </c>
      <c r="B213" s="1" t="s">
        <v>418</v>
      </c>
      <c r="C213" s="547">
        <f>_xll.RssMarket("4004","始値")</f>
        <v>15415</v>
      </c>
      <c r="D213" s="16">
        <f t="shared" si="7"/>
        <v>1355</v>
      </c>
      <c r="E213" s="554">
        <v>14060</v>
      </c>
      <c r="F213" s="2">
        <v>13675</v>
      </c>
      <c r="G213" s="2">
        <v>14525</v>
      </c>
      <c r="H213" s="2">
        <v>12165</v>
      </c>
      <c r="I213" s="2">
        <v>12510</v>
      </c>
      <c r="J213" s="2">
        <v>13155</v>
      </c>
      <c r="K213" s="2">
        <v>14380</v>
      </c>
      <c r="L213" s="2">
        <v>14995</v>
      </c>
      <c r="M213" s="2">
        <v>15845</v>
      </c>
      <c r="N213" s="2">
        <v>15340</v>
      </c>
      <c r="O213" s="2">
        <v>14250</v>
      </c>
      <c r="P213" s="2">
        <v>14310</v>
      </c>
      <c r="Q213" s="2">
        <v>15620</v>
      </c>
      <c r="R213" s="2">
        <v>15100</v>
      </c>
      <c r="S213" s="2">
        <v>16550</v>
      </c>
      <c r="T213" s="2">
        <v>16270</v>
      </c>
      <c r="U213" s="2">
        <v>15850</v>
      </c>
      <c r="V213" s="2">
        <v>14875</v>
      </c>
      <c r="W213" s="2">
        <v>16500</v>
      </c>
      <c r="X213" s="2">
        <v>17520</v>
      </c>
      <c r="Y213" s="2">
        <v>16700</v>
      </c>
      <c r="Z213" s="2">
        <v>18075</v>
      </c>
      <c r="AA213" s="2">
        <v>18400</v>
      </c>
      <c r="AB213" s="2">
        <v>17865</v>
      </c>
      <c r="AC213" s="2">
        <v>17315</v>
      </c>
      <c r="AD213" s="2">
        <v>17465</v>
      </c>
      <c r="AE213" s="2">
        <v>18550</v>
      </c>
      <c r="AF213" s="2">
        <v>18025</v>
      </c>
      <c r="AG213" s="2">
        <v>19500</v>
      </c>
      <c r="AH213" s="2">
        <v>18375</v>
      </c>
      <c r="AI213" s="2">
        <v>19705</v>
      </c>
      <c r="AJ213" s="2">
        <v>18695</v>
      </c>
      <c r="AK213" s="2">
        <v>17735</v>
      </c>
      <c r="AL213" s="2">
        <v>18500</v>
      </c>
      <c r="AM213" s="2">
        <v>18100</v>
      </c>
      <c r="AN213" s="2">
        <v>17120</v>
      </c>
      <c r="AO213" s="2">
        <v>14635</v>
      </c>
      <c r="AP213" s="2">
        <v>16350</v>
      </c>
      <c r="AQ213" s="2">
        <v>15585</v>
      </c>
      <c r="AR213" s="2">
        <v>17295</v>
      </c>
      <c r="AS213" s="2">
        <v>18595</v>
      </c>
      <c r="AT213" s="2">
        <v>19400</v>
      </c>
      <c r="AU213" s="2">
        <v>18560</v>
      </c>
      <c r="AV213" s="2">
        <v>18980</v>
      </c>
      <c r="AW213" s="2">
        <v>18875</v>
      </c>
      <c r="AX213" s="2">
        <v>19870</v>
      </c>
      <c r="AY213" s="2">
        <v>18890</v>
      </c>
      <c r="AZ213" s="2">
        <v>17370</v>
      </c>
      <c r="BA213" s="2">
        <v>16660</v>
      </c>
      <c r="BB213" s="2">
        <v>16290</v>
      </c>
      <c r="BC213" s="2">
        <v>16540</v>
      </c>
      <c r="BD213" s="2">
        <v>17200</v>
      </c>
      <c r="BE213" s="2">
        <v>18980</v>
      </c>
      <c r="BF213" s="2">
        <v>20005</v>
      </c>
      <c r="BG213" s="2">
        <v>17110</v>
      </c>
      <c r="BH213" s="2">
        <v>17510</v>
      </c>
      <c r="BI213" s="2">
        <v>16480</v>
      </c>
      <c r="BJ213" s="2">
        <v>15190</v>
      </c>
      <c r="BK213" s="2">
        <v>15035</v>
      </c>
      <c r="BL213" s="2">
        <v>14290</v>
      </c>
      <c r="BM213" s="1">
        <v>13870</v>
      </c>
      <c r="BN213" s="1">
        <v>13700</v>
      </c>
      <c r="BO213" s="1">
        <v>13850</v>
      </c>
      <c r="BP213" s="1">
        <v>13930</v>
      </c>
      <c r="BQ213" s="1">
        <v>14520</v>
      </c>
      <c r="BR213" s="1">
        <v>13860</v>
      </c>
      <c r="BS213" s="1">
        <v>12730</v>
      </c>
      <c r="BT213" s="1">
        <v>12600</v>
      </c>
      <c r="BU213" s="1">
        <v>13000</v>
      </c>
      <c r="BV213" s="1">
        <v>13000</v>
      </c>
      <c r="BW213" s="1">
        <v>13580</v>
      </c>
      <c r="BX213" s="1">
        <v>13660</v>
      </c>
      <c r="BY213" s="1">
        <v>13000</v>
      </c>
      <c r="BZ213" s="1">
        <v>13500</v>
      </c>
    </row>
    <row r="214" spans="1:78" ht="17.25" customHeight="1">
      <c r="A214" s="79" t="s">
        <v>419</v>
      </c>
      <c r="B214" s="1" t="s">
        <v>420</v>
      </c>
      <c r="C214" s="547">
        <f>_xll.RssMarket("9519","始値")</f>
        <v>934</v>
      </c>
      <c r="D214" s="16">
        <f t="shared" si="7"/>
        <v>25</v>
      </c>
      <c r="E214" s="554">
        <v>909</v>
      </c>
      <c r="F214" s="2">
        <v>920</v>
      </c>
      <c r="G214" s="2">
        <v>943</v>
      </c>
      <c r="H214" s="2">
        <v>935</v>
      </c>
      <c r="I214" s="2">
        <v>991</v>
      </c>
      <c r="J214" s="2">
        <v>1030</v>
      </c>
      <c r="K214" s="2">
        <v>1012</v>
      </c>
      <c r="L214" s="2">
        <v>981</v>
      </c>
      <c r="M214" s="2">
        <v>995</v>
      </c>
      <c r="N214" s="2">
        <v>1000</v>
      </c>
      <c r="O214" s="2">
        <v>981</v>
      </c>
      <c r="P214" s="2">
        <v>1021</v>
      </c>
      <c r="Q214" s="2">
        <v>974</v>
      </c>
      <c r="R214" s="2">
        <v>951</v>
      </c>
      <c r="S214" s="2">
        <v>943</v>
      </c>
      <c r="T214" s="2">
        <v>939</v>
      </c>
      <c r="U214" s="2">
        <v>934</v>
      </c>
      <c r="V214" s="2">
        <v>963</v>
      </c>
      <c r="W214" s="2">
        <v>966</v>
      </c>
      <c r="X214" s="2">
        <v>997</v>
      </c>
      <c r="Y214" s="2">
        <v>988</v>
      </c>
      <c r="Z214" s="2">
        <v>981</v>
      </c>
      <c r="AA214" s="2">
        <v>985</v>
      </c>
      <c r="AB214" s="2">
        <v>984</v>
      </c>
      <c r="AC214" s="2">
        <v>950</v>
      </c>
      <c r="AD214" s="2">
        <v>884</v>
      </c>
      <c r="AE214" s="2">
        <v>922</v>
      </c>
      <c r="AF214" s="2">
        <v>890</v>
      </c>
      <c r="AG214" s="2">
        <v>893</v>
      </c>
      <c r="AH214" s="2">
        <v>836</v>
      </c>
      <c r="AI214" s="2">
        <v>830</v>
      </c>
      <c r="AJ214" s="2">
        <v>875</v>
      </c>
      <c r="AK214" s="2">
        <v>875</v>
      </c>
      <c r="AL214" s="2">
        <v>881</v>
      </c>
      <c r="AM214" s="2">
        <v>902</v>
      </c>
      <c r="AN214" s="2">
        <v>895</v>
      </c>
      <c r="AO214" s="2">
        <v>896</v>
      </c>
      <c r="AP214" s="2">
        <v>927</v>
      </c>
      <c r="AQ214" s="2">
        <v>1001</v>
      </c>
      <c r="AR214" s="2">
        <v>954</v>
      </c>
      <c r="AS214" s="2">
        <v>1003</v>
      </c>
      <c r="AT214" s="2">
        <v>1087</v>
      </c>
      <c r="AU214" s="2">
        <v>1173</v>
      </c>
      <c r="AV214" s="2">
        <v>1323</v>
      </c>
      <c r="AW214" s="2">
        <v>1288</v>
      </c>
      <c r="AX214" s="2">
        <v>1270</v>
      </c>
      <c r="AY214" s="2">
        <v>1370</v>
      </c>
      <c r="AZ214" s="2">
        <v>1335</v>
      </c>
      <c r="BA214" s="2">
        <v>1292</v>
      </c>
      <c r="BB214" s="2">
        <v>1361</v>
      </c>
      <c r="BC214" s="2">
        <v>1310</v>
      </c>
      <c r="BD214" s="2">
        <v>1360</v>
      </c>
      <c r="BE214" s="2">
        <v>1320</v>
      </c>
      <c r="BF214" s="2">
        <v>1268</v>
      </c>
      <c r="BG214" s="2">
        <v>1215</v>
      </c>
      <c r="BH214" s="2">
        <v>1221</v>
      </c>
      <c r="BI214" s="2">
        <v>1160</v>
      </c>
      <c r="BJ214" s="2">
        <v>1138</v>
      </c>
      <c r="BK214" s="2">
        <v>1111</v>
      </c>
      <c r="BL214" s="2">
        <v>1130</v>
      </c>
      <c r="BM214" s="1">
        <v>1111</v>
      </c>
      <c r="BN214" s="1">
        <v>1088</v>
      </c>
      <c r="BO214" s="1">
        <v>1042</v>
      </c>
      <c r="BP214" s="1">
        <v>991</v>
      </c>
      <c r="BQ214" s="1">
        <v>964</v>
      </c>
      <c r="BR214" s="1">
        <v>971</v>
      </c>
      <c r="BS214" s="1">
        <v>1036</v>
      </c>
      <c r="BT214" s="1">
        <v>1041</v>
      </c>
      <c r="BU214" s="1">
        <v>1068</v>
      </c>
      <c r="BV214" s="1">
        <v>1060</v>
      </c>
      <c r="BW214" s="1">
        <v>1020</v>
      </c>
      <c r="BX214" s="1">
        <v>996</v>
      </c>
      <c r="BY214" s="1">
        <v>960</v>
      </c>
      <c r="BZ214" s="1">
        <v>998</v>
      </c>
    </row>
    <row r="215" spans="1:78" ht="17.25" customHeight="1">
      <c r="A215" s="79" t="s">
        <v>421</v>
      </c>
      <c r="B215" s="1" t="s">
        <v>422</v>
      </c>
      <c r="C215" s="547">
        <f>_xll.RssMarket("6752","始値")</f>
        <v>4416</v>
      </c>
      <c r="D215" s="16">
        <f t="shared" si="7"/>
        <v>116</v>
      </c>
      <c r="E215" s="554">
        <v>4300</v>
      </c>
      <c r="F215" s="2">
        <v>4400</v>
      </c>
      <c r="G215" s="2">
        <v>4284</v>
      </c>
      <c r="H215" s="2">
        <v>3380</v>
      </c>
      <c r="I215" s="2">
        <v>3573</v>
      </c>
      <c r="J215" s="2">
        <v>3769</v>
      </c>
      <c r="K215" s="2">
        <v>3836</v>
      </c>
      <c r="L215" s="2">
        <v>3910</v>
      </c>
      <c r="M215" s="2">
        <v>4076</v>
      </c>
      <c r="N215" s="2">
        <v>4213</v>
      </c>
      <c r="O215" s="2">
        <v>3959</v>
      </c>
      <c r="P215" s="2">
        <v>3993</v>
      </c>
      <c r="Q215" s="2">
        <v>4239</v>
      </c>
      <c r="R215" s="2">
        <v>4300</v>
      </c>
      <c r="S215" s="2">
        <v>4658</v>
      </c>
      <c r="T215" s="2">
        <v>4516</v>
      </c>
      <c r="U215" s="2">
        <v>4387</v>
      </c>
      <c r="V215" s="2">
        <v>4260</v>
      </c>
      <c r="W215" s="2">
        <v>4560</v>
      </c>
      <c r="X215" s="2">
        <v>4592</v>
      </c>
      <c r="Y215" s="2">
        <v>4400</v>
      </c>
      <c r="Z215" s="2">
        <v>4490</v>
      </c>
      <c r="AA215" s="2">
        <v>4642</v>
      </c>
      <c r="AB215" s="2">
        <v>4401</v>
      </c>
      <c r="AC215" s="2">
        <v>4487</v>
      </c>
      <c r="AD215" s="2">
        <v>4570</v>
      </c>
      <c r="AE215" s="2">
        <v>4469</v>
      </c>
      <c r="AF215" s="2">
        <v>4220</v>
      </c>
      <c r="AG215" s="2">
        <v>4380</v>
      </c>
      <c r="AH215" s="2">
        <v>4415</v>
      </c>
      <c r="AI215" s="2">
        <v>4445</v>
      </c>
      <c r="AJ215" s="2">
        <v>4237</v>
      </c>
      <c r="AK215" s="2">
        <v>4184</v>
      </c>
      <c r="AL215" s="2">
        <v>4100</v>
      </c>
      <c r="AM215" s="2">
        <v>3930</v>
      </c>
      <c r="AN215" s="2">
        <v>3837</v>
      </c>
      <c r="AO215" s="2">
        <v>3613</v>
      </c>
      <c r="AP215" s="2">
        <v>3780</v>
      </c>
      <c r="AQ215" s="2">
        <v>3450</v>
      </c>
      <c r="AR215" s="2">
        <v>3744</v>
      </c>
      <c r="AS215" s="2">
        <v>3642</v>
      </c>
      <c r="AT215" s="2">
        <v>3690</v>
      </c>
      <c r="AU215" s="2">
        <v>3567</v>
      </c>
      <c r="AV215" s="2">
        <v>3591</v>
      </c>
      <c r="AW215" s="2">
        <v>3499</v>
      </c>
      <c r="AX215" s="2">
        <v>3619</v>
      </c>
      <c r="AY215" s="2">
        <v>3540</v>
      </c>
      <c r="AZ215" s="2">
        <v>3472</v>
      </c>
      <c r="BA215" s="2">
        <v>3230</v>
      </c>
      <c r="BB215" s="2">
        <v>3283</v>
      </c>
      <c r="BC215" s="2">
        <v>3350</v>
      </c>
      <c r="BD215" s="2">
        <v>3231</v>
      </c>
      <c r="BE215" s="2">
        <v>3400</v>
      </c>
      <c r="BF215" s="2">
        <v>3322</v>
      </c>
      <c r="BG215" s="2">
        <v>3165</v>
      </c>
      <c r="BH215" s="2">
        <v>3341</v>
      </c>
      <c r="BI215" s="2">
        <v>3231</v>
      </c>
      <c r="BJ215" s="2">
        <v>3224</v>
      </c>
      <c r="BK215" s="2">
        <v>3423</v>
      </c>
      <c r="BL215" s="2">
        <v>3273</v>
      </c>
      <c r="BM215" s="1">
        <v>3091</v>
      </c>
      <c r="BN215" s="1">
        <v>3103</v>
      </c>
      <c r="BO215" s="1">
        <v>2950</v>
      </c>
      <c r="BP215" s="1">
        <v>2900</v>
      </c>
      <c r="BQ215" s="1">
        <v>2914.5</v>
      </c>
      <c r="BR215" s="1">
        <v>2977</v>
      </c>
      <c r="BS215" s="1">
        <v>3000</v>
      </c>
      <c r="BT215" s="1">
        <v>2893.5</v>
      </c>
      <c r="BU215" s="1">
        <v>2953</v>
      </c>
      <c r="BV215" s="1">
        <v>2939</v>
      </c>
      <c r="BW215" s="1">
        <v>2936.5</v>
      </c>
      <c r="BX215" s="1">
        <v>2911</v>
      </c>
      <c r="BY215" s="1">
        <v>2812</v>
      </c>
      <c r="BZ215" s="1">
        <v>2923</v>
      </c>
    </row>
    <row r="216" spans="1:78" ht="17.25" customHeight="1">
      <c r="A216" s="79" t="s">
        <v>423</v>
      </c>
      <c r="B216" s="1" t="s">
        <v>424</v>
      </c>
      <c r="C216" s="547">
        <f>_xll.RssMarket("6622","始値")</f>
        <v>14480</v>
      </c>
      <c r="D216" s="16">
        <f t="shared" si="7"/>
        <v>240</v>
      </c>
      <c r="E216" s="554">
        <v>14240</v>
      </c>
      <c r="F216" s="2">
        <v>13740</v>
      </c>
      <c r="G216" s="2">
        <v>13500</v>
      </c>
      <c r="H216" s="2">
        <v>11620</v>
      </c>
      <c r="I216" s="2">
        <v>13070</v>
      </c>
      <c r="J216" s="2">
        <v>13880</v>
      </c>
      <c r="K216" s="2">
        <v>14680</v>
      </c>
      <c r="L216" s="2">
        <v>14750</v>
      </c>
      <c r="M216" s="2">
        <v>15070</v>
      </c>
      <c r="N216" s="2">
        <v>14990</v>
      </c>
      <c r="O216" s="2">
        <v>14300</v>
      </c>
      <c r="P216" s="2">
        <v>14450</v>
      </c>
      <c r="Q216" s="2">
        <v>15300</v>
      </c>
      <c r="R216" s="2">
        <v>14980</v>
      </c>
      <c r="S216" s="2">
        <v>15570</v>
      </c>
      <c r="T216" s="2">
        <v>15540</v>
      </c>
      <c r="U216" s="2">
        <v>15200</v>
      </c>
      <c r="V216" s="2">
        <v>15010</v>
      </c>
      <c r="W216" s="2">
        <v>17010</v>
      </c>
      <c r="X216" s="2">
        <v>17340</v>
      </c>
      <c r="Y216" s="2">
        <v>15960</v>
      </c>
      <c r="Z216" s="2">
        <v>17650</v>
      </c>
      <c r="AA216" s="2">
        <v>18550</v>
      </c>
      <c r="AB216" s="2">
        <v>18110</v>
      </c>
      <c r="AC216" s="2">
        <v>18190</v>
      </c>
      <c r="AD216" s="2">
        <v>18530</v>
      </c>
      <c r="AE216" s="2">
        <v>18950</v>
      </c>
      <c r="AF216" s="2">
        <v>18450</v>
      </c>
      <c r="AG216" s="2">
        <v>19500</v>
      </c>
      <c r="AH216" s="2">
        <v>17870</v>
      </c>
      <c r="AI216" s="2">
        <v>18900</v>
      </c>
      <c r="AJ216" s="2">
        <v>17360</v>
      </c>
      <c r="AK216" s="2">
        <v>16170</v>
      </c>
      <c r="AL216" s="2">
        <v>16290</v>
      </c>
      <c r="AM216" s="2">
        <v>16000</v>
      </c>
      <c r="AN216" s="2">
        <v>15200</v>
      </c>
      <c r="AO216" s="2">
        <v>14050</v>
      </c>
      <c r="AP216" s="2">
        <v>15100</v>
      </c>
      <c r="AQ216" s="2">
        <v>14600</v>
      </c>
      <c r="AR216" s="2">
        <v>15520</v>
      </c>
      <c r="AS216" s="2">
        <v>15320</v>
      </c>
      <c r="AT216" s="2">
        <v>15480</v>
      </c>
      <c r="AU216" s="2">
        <v>15610</v>
      </c>
      <c r="AV216" s="2">
        <v>16530</v>
      </c>
      <c r="AW216" s="2">
        <v>16420</v>
      </c>
      <c r="AX216" s="2">
        <v>17360</v>
      </c>
      <c r="AY216" s="2">
        <v>16910</v>
      </c>
      <c r="AZ216" s="2">
        <v>16400</v>
      </c>
      <c r="BA216" s="2">
        <v>15610</v>
      </c>
      <c r="BB216" s="2">
        <v>15400</v>
      </c>
      <c r="BC216" s="2">
        <v>16620</v>
      </c>
      <c r="BD216" s="2">
        <v>17300</v>
      </c>
      <c r="BE216" s="2">
        <v>17600</v>
      </c>
      <c r="BF216" s="2">
        <v>18150</v>
      </c>
      <c r="BG216" s="2">
        <v>17500</v>
      </c>
      <c r="BH216" s="2">
        <v>19790</v>
      </c>
      <c r="BI216" s="2">
        <v>17880</v>
      </c>
      <c r="BJ216" s="2">
        <v>16700</v>
      </c>
      <c r="BK216" s="2">
        <v>16830</v>
      </c>
      <c r="BL216" s="2">
        <v>15460</v>
      </c>
      <c r="BM216" s="1">
        <v>15190</v>
      </c>
      <c r="BN216" s="1">
        <v>14700</v>
      </c>
      <c r="BO216" s="1">
        <v>14080</v>
      </c>
      <c r="BP216" s="1">
        <v>13790</v>
      </c>
      <c r="BQ216" s="1">
        <v>13940</v>
      </c>
      <c r="BR216" s="1">
        <v>14080</v>
      </c>
      <c r="BS216" s="1">
        <v>14050</v>
      </c>
      <c r="BT216" s="1">
        <v>13820</v>
      </c>
      <c r="BU216" s="1">
        <v>14320</v>
      </c>
      <c r="BV216" s="1">
        <v>14340</v>
      </c>
      <c r="BW216" s="1">
        <v>14740</v>
      </c>
      <c r="BX216" s="1">
        <v>14550</v>
      </c>
      <c r="BY216" s="1">
        <v>13880</v>
      </c>
      <c r="BZ216" s="1">
        <v>13800</v>
      </c>
    </row>
    <row r="217" spans="1:78" ht="17.25" customHeight="1">
      <c r="A217" s="79" t="s">
        <v>425</v>
      </c>
      <c r="B217" s="1" t="s">
        <v>426</v>
      </c>
      <c r="C217" s="547">
        <f>_xll.RssMarket("1407","始値")</f>
        <v>2733</v>
      </c>
      <c r="D217" s="16">
        <f t="shared" si="7"/>
        <v>99</v>
      </c>
      <c r="E217" s="554">
        <v>2634</v>
      </c>
      <c r="F217" s="2">
        <v>2502</v>
      </c>
      <c r="G217" s="2">
        <v>2575</v>
      </c>
      <c r="H217" s="2">
        <v>2626</v>
      </c>
      <c r="I217" s="2">
        <v>2634</v>
      </c>
      <c r="J217" s="2">
        <v>2751</v>
      </c>
      <c r="K217" s="2">
        <v>2894</v>
      </c>
      <c r="L217" s="2">
        <v>2700</v>
      </c>
      <c r="M217" s="2">
        <v>2676</v>
      </c>
      <c r="N217" s="2">
        <v>2733</v>
      </c>
      <c r="O217" s="2">
        <v>2901</v>
      </c>
      <c r="P217" s="2">
        <v>2683</v>
      </c>
      <c r="Q217" s="2">
        <v>2352</v>
      </c>
      <c r="R217" s="2">
        <v>2258</v>
      </c>
      <c r="S217" s="2">
        <v>2182</v>
      </c>
      <c r="T217" s="2">
        <v>2294</v>
      </c>
      <c r="U217" s="2">
        <v>2280</v>
      </c>
      <c r="V217" s="2">
        <v>2256</v>
      </c>
      <c r="W217" s="2">
        <v>2330</v>
      </c>
      <c r="X217" s="2">
        <v>2413</v>
      </c>
      <c r="Y217" s="2">
        <v>2321</v>
      </c>
      <c r="Z217" s="2">
        <v>2356</v>
      </c>
      <c r="AA217" s="2">
        <v>2390</v>
      </c>
      <c r="AB217" s="2">
        <v>2428</v>
      </c>
      <c r="AC217" s="2">
        <v>2395</v>
      </c>
      <c r="AD217" s="2">
        <v>2293</v>
      </c>
      <c r="AE217" s="2">
        <v>2299</v>
      </c>
      <c r="AF217" s="2">
        <v>2375</v>
      </c>
      <c r="AG217" s="2">
        <v>2300</v>
      </c>
      <c r="AH217" s="2">
        <v>2212</v>
      </c>
      <c r="AI217" s="2">
        <v>2280</v>
      </c>
      <c r="AJ217" s="2">
        <v>2334</v>
      </c>
      <c r="AK217" s="2">
        <v>2220</v>
      </c>
      <c r="AL217" s="2">
        <v>2234</v>
      </c>
      <c r="AM217" s="2">
        <v>2332</v>
      </c>
      <c r="AN217" s="2">
        <v>2305</v>
      </c>
      <c r="AO217" s="2">
        <v>2238</v>
      </c>
      <c r="AP217" s="2">
        <v>2335</v>
      </c>
      <c r="AQ217" s="2">
        <v>2355</v>
      </c>
      <c r="AR217" s="2">
        <v>2386</v>
      </c>
      <c r="AS217" s="2">
        <v>2564</v>
      </c>
      <c r="AT217" s="2">
        <v>2524</v>
      </c>
      <c r="AU217" s="2">
        <v>2600</v>
      </c>
      <c r="AV217" s="2">
        <v>2863</v>
      </c>
      <c r="AW217" s="2">
        <v>3045</v>
      </c>
      <c r="AX217" s="2">
        <v>3165</v>
      </c>
      <c r="AY217" s="2">
        <v>2900</v>
      </c>
      <c r="AZ217" s="2">
        <v>2918</v>
      </c>
      <c r="BA217" s="2">
        <v>3100</v>
      </c>
      <c r="BB217" s="2">
        <v>3040</v>
      </c>
      <c r="BC217" s="2">
        <v>3015</v>
      </c>
      <c r="BD217" s="2">
        <v>3030</v>
      </c>
      <c r="BE217" s="2">
        <v>3140</v>
      </c>
      <c r="BF217" s="2">
        <v>3040</v>
      </c>
      <c r="BG217" s="2">
        <v>2850</v>
      </c>
      <c r="BH217" s="2">
        <v>3180</v>
      </c>
      <c r="BI217" s="2">
        <v>3110</v>
      </c>
      <c r="BJ217" s="2">
        <v>2862</v>
      </c>
      <c r="BK217" s="2">
        <v>2880</v>
      </c>
      <c r="BL217" s="2">
        <v>2927</v>
      </c>
      <c r="BM217" s="1">
        <v>2731</v>
      </c>
      <c r="BN217" s="1">
        <v>2683</v>
      </c>
      <c r="BO217" s="1">
        <v>2541</v>
      </c>
      <c r="BP217" s="1">
        <v>2383</v>
      </c>
      <c r="BQ217" s="1">
        <v>2320</v>
      </c>
      <c r="BR217" s="1">
        <v>2288</v>
      </c>
      <c r="BS217" s="1">
        <v>2305</v>
      </c>
      <c r="BT217" s="1">
        <v>2205</v>
      </c>
      <c r="BU217" s="1">
        <v>2320</v>
      </c>
      <c r="BV217" s="1">
        <v>2096</v>
      </c>
      <c r="BW217" s="1">
        <v>1944</v>
      </c>
      <c r="BX217" s="1">
        <v>1815</v>
      </c>
      <c r="BY217" s="1">
        <v>1843</v>
      </c>
      <c r="BZ217" s="1">
        <v>1890</v>
      </c>
    </row>
    <row r="218" spans="1:78" ht="17.25" customHeight="1">
      <c r="A218" s="79" t="s">
        <v>427</v>
      </c>
      <c r="B218" s="1" t="s">
        <v>428</v>
      </c>
      <c r="C218" s="547">
        <f>_xll.RssMarket("285A","始値")</f>
        <v>56000</v>
      </c>
      <c r="D218" s="16">
        <f t="shared" si="7"/>
        <v>5010</v>
      </c>
      <c r="E218" s="554">
        <v>50990</v>
      </c>
      <c r="F218" s="2">
        <v>47500</v>
      </c>
      <c r="G218" s="2">
        <v>46500</v>
      </c>
      <c r="H218" s="72">
        <v>39000</v>
      </c>
      <c r="I218" s="2">
        <v>44660</v>
      </c>
      <c r="J218" s="2">
        <v>44650</v>
      </c>
      <c r="K218" s="2">
        <v>56800</v>
      </c>
      <c r="L218" s="2">
        <v>60880</v>
      </c>
      <c r="M218" s="2">
        <v>67000</v>
      </c>
      <c r="N218" s="2">
        <v>66500</v>
      </c>
      <c r="O218" s="2">
        <v>53110</v>
      </c>
      <c r="P218" s="2">
        <v>55900</v>
      </c>
      <c r="Q218" s="2">
        <v>72740</v>
      </c>
      <c r="R218" s="2">
        <v>65300</v>
      </c>
      <c r="S218" s="2">
        <v>75500</v>
      </c>
      <c r="T218" s="2">
        <v>82080</v>
      </c>
      <c r="U218" s="2">
        <v>77220</v>
      </c>
      <c r="V218" s="2">
        <v>69400</v>
      </c>
      <c r="W218" s="2">
        <v>78000</v>
      </c>
      <c r="X218" s="2">
        <v>84800</v>
      </c>
      <c r="Y218" s="2">
        <v>68000</v>
      </c>
      <c r="Z218" s="2">
        <v>79130</v>
      </c>
      <c r="AA218" s="2">
        <v>91180</v>
      </c>
      <c r="AB218" s="2">
        <v>88450</v>
      </c>
      <c r="AC218" s="2">
        <v>92730</v>
      </c>
      <c r="AD218" s="2">
        <v>100000</v>
      </c>
      <c r="AE218" s="2">
        <v>106000</v>
      </c>
      <c r="AF218" s="2">
        <v>95290</v>
      </c>
      <c r="AG218" s="2">
        <v>110750</v>
      </c>
      <c r="AH218" s="2">
        <v>105600</v>
      </c>
      <c r="AI218" s="2">
        <v>100300</v>
      </c>
      <c r="AJ218" s="2">
        <v>97500</v>
      </c>
      <c r="AK218" s="2">
        <v>93500</v>
      </c>
      <c r="AL218" s="2">
        <v>93910</v>
      </c>
      <c r="AM218" s="2">
        <v>85700</v>
      </c>
      <c r="AN218" s="2">
        <v>80500</v>
      </c>
      <c r="AO218" s="2">
        <v>67750</v>
      </c>
      <c r="AP218" s="2">
        <v>74950</v>
      </c>
      <c r="AQ218" s="2">
        <v>69140</v>
      </c>
      <c r="AR218" s="2">
        <v>74010</v>
      </c>
      <c r="AS218" s="2">
        <v>77000</v>
      </c>
      <c r="AT218" s="2">
        <v>79660</v>
      </c>
      <c r="AU218" s="2">
        <v>74000</v>
      </c>
      <c r="AV218" s="2">
        <v>62500</v>
      </c>
      <c r="AW218" s="2">
        <v>59000</v>
      </c>
      <c r="AX218" s="2">
        <v>65890</v>
      </c>
      <c r="AY218" s="2">
        <v>58380</v>
      </c>
      <c r="AZ218" s="2">
        <v>57500</v>
      </c>
      <c r="BA218" s="2">
        <v>53290</v>
      </c>
      <c r="BB218" s="2">
        <v>51000</v>
      </c>
      <c r="BC218" s="2">
        <v>52010</v>
      </c>
      <c r="BD218" s="2">
        <v>51450</v>
      </c>
      <c r="BE218" s="2">
        <v>48460</v>
      </c>
      <c r="BF218" s="2">
        <v>50070</v>
      </c>
      <c r="BG218" s="2">
        <v>44800</v>
      </c>
      <c r="BH218" s="2">
        <v>46900</v>
      </c>
      <c r="BI218" s="2">
        <v>49200</v>
      </c>
      <c r="BJ218" s="2">
        <v>43350</v>
      </c>
      <c r="BK218" s="2">
        <v>43410</v>
      </c>
      <c r="BL218" s="2">
        <v>36500</v>
      </c>
      <c r="BM218" s="1">
        <v>37460</v>
      </c>
      <c r="BN218" s="1">
        <v>36400</v>
      </c>
      <c r="BO218" s="1">
        <v>35410</v>
      </c>
      <c r="BP218" s="1">
        <v>35250</v>
      </c>
      <c r="BQ218" s="1">
        <v>36500</v>
      </c>
      <c r="BR218" s="1">
        <v>33000</v>
      </c>
      <c r="BS218" s="1">
        <v>30780</v>
      </c>
      <c r="BT218" s="1">
        <v>31180</v>
      </c>
      <c r="BU218" s="1">
        <v>33440</v>
      </c>
      <c r="BV218" s="1">
        <v>33000</v>
      </c>
      <c r="BW218" s="1">
        <v>35000</v>
      </c>
      <c r="BX218" s="1">
        <v>36170</v>
      </c>
      <c r="BY218" s="1">
        <v>29550</v>
      </c>
      <c r="BZ218" s="1">
        <v>29000</v>
      </c>
    </row>
    <row r="219" spans="1:78" ht="17.25" customHeight="1">
      <c r="A219" s="79" t="s">
        <v>429</v>
      </c>
      <c r="B219" s="1" t="s">
        <v>430</v>
      </c>
      <c r="C219" s="547">
        <f>_xll.RssMarket("141A","始値")</f>
        <v>3260</v>
      </c>
      <c r="D219" s="16">
        <f t="shared" si="7"/>
        <v>-25</v>
      </c>
      <c r="E219" s="554">
        <v>3285</v>
      </c>
      <c r="F219" s="2">
        <v>3180</v>
      </c>
      <c r="G219" s="2">
        <v>3055</v>
      </c>
      <c r="H219" s="2">
        <v>3045</v>
      </c>
      <c r="I219" s="2">
        <v>3070</v>
      </c>
      <c r="J219" s="2">
        <v>3070</v>
      </c>
      <c r="K219" s="2">
        <v>3000</v>
      </c>
      <c r="L219" s="2"/>
      <c r="M219" s="2">
        <v>3010</v>
      </c>
      <c r="N219" s="2">
        <v>3000</v>
      </c>
      <c r="O219" s="2">
        <v>3000</v>
      </c>
      <c r="P219" s="2">
        <v>3055</v>
      </c>
      <c r="Q219" s="2">
        <v>3045</v>
      </c>
      <c r="R219" s="2">
        <v>3050</v>
      </c>
      <c r="S219" s="2">
        <v>3040</v>
      </c>
      <c r="T219" s="2">
        <v>3095</v>
      </c>
      <c r="U219" s="2">
        <v>3000</v>
      </c>
      <c r="V219" s="2">
        <v>3110</v>
      </c>
      <c r="W219" s="2">
        <v>3105</v>
      </c>
      <c r="X219" s="2">
        <v>3060</v>
      </c>
      <c r="Y219" s="2">
        <v>3090</v>
      </c>
      <c r="Z219" s="2">
        <v>2939</v>
      </c>
      <c r="AA219" s="2">
        <v>2992</v>
      </c>
      <c r="AB219" s="2">
        <v>3170</v>
      </c>
      <c r="AC219" s="2">
        <v>3040</v>
      </c>
      <c r="AD219" s="2">
        <v>3025</v>
      </c>
      <c r="AE219" s="2">
        <v>3030</v>
      </c>
      <c r="AF219" s="2">
        <v>2793</v>
      </c>
      <c r="AG219" s="2">
        <v>2747</v>
      </c>
      <c r="AH219" s="2">
        <v>2731</v>
      </c>
      <c r="AI219" s="2">
        <v>2757</v>
      </c>
      <c r="AJ219" s="2">
        <v>2802</v>
      </c>
      <c r="AK219" s="2">
        <v>2791</v>
      </c>
      <c r="AL219" s="2">
        <v>2833</v>
      </c>
      <c r="AM219" s="2">
        <v>2837</v>
      </c>
      <c r="AN219" s="2">
        <v>2889</v>
      </c>
      <c r="AO219" s="2">
        <v>2876</v>
      </c>
      <c r="AP219" s="2">
        <v>2830</v>
      </c>
      <c r="AQ219" s="2">
        <v>2750</v>
      </c>
      <c r="AR219" s="2">
        <v>2669</v>
      </c>
      <c r="AS219" s="2">
        <v>2702</v>
      </c>
      <c r="AT219" s="2">
        <v>2538</v>
      </c>
      <c r="AU219" s="2">
        <v>2620</v>
      </c>
      <c r="AV219" s="2">
        <v>2929</v>
      </c>
      <c r="AW219" s="2">
        <v>2846</v>
      </c>
      <c r="AX219" s="2">
        <v>2718</v>
      </c>
      <c r="AY219" s="2">
        <v>3000</v>
      </c>
      <c r="AZ219" s="2">
        <v>3055</v>
      </c>
      <c r="BA219" s="2">
        <v>3110</v>
      </c>
      <c r="BB219" s="2">
        <v>3180</v>
      </c>
      <c r="BC219" s="2">
        <v>2948</v>
      </c>
      <c r="BD219" s="2">
        <v>3505</v>
      </c>
      <c r="BE219" s="2">
        <v>3710</v>
      </c>
      <c r="BF219" s="2">
        <v>4440</v>
      </c>
      <c r="BG219" s="2">
        <v>4305</v>
      </c>
      <c r="BH219" s="2">
        <v>4300</v>
      </c>
      <c r="BI219" s="2">
        <v>4120</v>
      </c>
      <c r="BJ219" s="2">
        <v>4215</v>
      </c>
      <c r="BK219" s="2">
        <v>3900</v>
      </c>
      <c r="BL219" s="2">
        <v>3960</v>
      </c>
      <c r="BM219" s="1">
        <v>4000</v>
      </c>
      <c r="BN219" s="1">
        <v>3870</v>
      </c>
      <c r="BO219" s="1">
        <v>3970</v>
      </c>
      <c r="BP219" s="1">
        <v>4215</v>
      </c>
      <c r="BQ219" s="1">
        <v>4400</v>
      </c>
      <c r="BR219" s="1">
        <v>4760</v>
      </c>
      <c r="BS219" s="1">
        <v>4695</v>
      </c>
      <c r="BT219" s="1">
        <v>4455</v>
      </c>
      <c r="BU219" s="1">
        <v>4475</v>
      </c>
      <c r="BV219" s="1">
        <v>4420</v>
      </c>
      <c r="BW219" s="1">
        <v>4320</v>
      </c>
      <c r="BX219" s="1">
        <v>4190</v>
      </c>
      <c r="BY219" s="1">
        <v>4375</v>
      </c>
      <c r="BZ219" s="1">
        <v>4535</v>
      </c>
    </row>
    <row r="220" spans="1:78" ht="17.25" customHeight="1">
      <c r="A220" s="79" t="s">
        <v>431</v>
      </c>
      <c r="B220" s="1" t="s">
        <v>432</v>
      </c>
      <c r="C220" s="547">
        <f>_xll.RssMarket("464A","始値")</f>
        <v>1601</v>
      </c>
      <c r="D220" s="16">
        <f t="shared" si="7"/>
        <v>41</v>
      </c>
      <c r="E220" s="554">
        <v>1560</v>
      </c>
      <c r="F220" s="2">
        <v>1500</v>
      </c>
      <c r="G220" s="2">
        <v>1468</v>
      </c>
      <c r="H220" s="2">
        <v>1380</v>
      </c>
      <c r="I220" s="2">
        <v>1487</v>
      </c>
      <c r="J220" s="2">
        <v>1541</v>
      </c>
      <c r="K220" s="2">
        <v>1478</v>
      </c>
      <c r="L220" s="2">
        <v>1590</v>
      </c>
      <c r="M220" s="2">
        <v>1605</v>
      </c>
      <c r="N220" s="2">
        <v>1685</v>
      </c>
      <c r="O220" s="2">
        <v>1612</v>
      </c>
      <c r="P220" s="2">
        <v>1664</v>
      </c>
      <c r="Q220" s="2">
        <v>1845</v>
      </c>
      <c r="R220" s="2">
        <v>1800</v>
      </c>
      <c r="S220" s="2">
        <v>1840</v>
      </c>
      <c r="T220" s="2">
        <v>1843</v>
      </c>
      <c r="U220" s="2">
        <v>1801</v>
      </c>
      <c r="V220" s="2">
        <v>1890</v>
      </c>
      <c r="W220" s="2">
        <v>2020</v>
      </c>
      <c r="X220" s="2">
        <v>2098</v>
      </c>
      <c r="Y220" s="2">
        <v>1984</v>
      </c>
      <c r="Z220" s="2">
        <v>2070</v>
      </c>
      <c r="AA220" s="2">
        <v>1938</v>
      </c>
      <c r="AB220" s="2">
        <v>1954</v>
      </c>
      <c r="AC220" s="2">
        <v>1906</v>
      </c>
      <c r="AD220" s="2">
        <v>1975</v>
      </c>
      <c r="AE220" s="2">
        <v>1950</v>
      </c>
      <c r="AF220" s="2">
        <v>2050</v>
      </c>
      <c r="AG220" s="2">
        <v>2232</v>
      </c>
      <c r="AH220" s="2">
        <v>2180</v>
      </c>
      <c r="AI220" s="2">
        <v>2227</v>
      </c>
      <c r="AJ220" s="2">
        <v>2252</v>
      </c>
      <c r="AK220" s="2">
        <v>2380</v>
      </c>
      <c r="AL220" s="2">
        <v>2424</v>
      </c>
      <c r="AM220" s="2">
        <v>2746</v>
      </c>
      <c r="AN220" s="2">
        <v>2807</v>
      </c>
      <c r="AO220" s="2">
        <v>2483</v>
      </c>
      <c r="AP220" s="2">
        <v>2611</v>
      </c>
      <c r="AQ220" s="2">
        <v>2772</v>
      </c>
      <c r="AR220" s="2">
        <v>2995</v>
      </c>
      <c r="AS220" s="2">
        <v>2748</v>
      </c>
      <c r="AT220" s="2">
        <v>3150</v>
      </c>
      <c r="AU220" s="2">
        <v>3145</v>
      </c>
      <c r="AV220" s="2">
        <v>4335</v>
      </c>
      <c r="AW220" s="2">
        <v>4135</v>
      </c>
      <c r="AX220" s="2">
        <v>4410</v>
      </c>
      <c r="AY220" s="2">
        <v>3935</v>
      </c>
      <c r="AZ220" s="2">
        <v>3435</v>
      </c>
      <c r="BA220" s="2">
        <v>3380</v>
      </c>
      <c r="BB220" s="2">
        <v>3495</v>
      </c>
      <c r="BC220" s="2">
        <v>3370</v>
      </c>
      <c r="BD220" s="2">
        <v>3350</v>
      </c>
      <c r="BE220" s="2">
        <v>3320</v>
      </c>
      <c r="BF220" s="2">
        <v>3235</v>
      </c>
      <c r="BG220" s="2">
        <v>2907</v>
      </c>
      <c r="BH220" s="2">
        <v>3040</v>
      </c>
      <c r="BI220" s="2">
        <v>2950</v>
      </c>
      <c r="BJ220" s="2">
        <v>2647</v>
      </c>
      <c r="BK220" s="2">
        <v>2650</v>
      </c>
      <c r="BL220" s="2">
        <v>2520</v>
      </c>
      <c r="BM220" s="1">
        <v>2500</v>
      </c>
      <c r="BN220" s="1">
        <v>2440</v>
      </c>
      <c r="BO220" s="1">
        <v>2595</v>
      </c>
      <c r="BP220" s="1">
        <v>2570</v>
      </c>
      <c r="BQ220" s="1">
        <v>2686</v>
      </c>
      <c r="BR220" s="1">
        <v>2783</v>
      </c>
      <c r="BS220" s="1">
        <v>2690</v>
      </c>
      <c r="BT220" s="1">
        <v>2675</v>
      </c>
      <c r="BU220" s="1">
        <v>2677</v>
      </c>
      <c r="BV220" s="1">
        <v>2564</v>
      </c>
      <c r="BW220" s="1">
        <v>2645</v>
      </c>
      <c r="BX220" s="1">
        <v>2768</v>
      </c>
      <c r="BY220" s="1">
        <v>2782</v>
      </c>
      <c r="BZ220" s="1">
        <v>2665</v>
      </c>
    </row>
    <row r="221" spans="1:78" ht="17.25" customHeight="1">
      <c r="A221" s="79" t="s">
        <v>433</v>
      </c>
      <c r="B221" s="1" t="s">
        <v>434</v>
      </c>
      <c r="C221" s="547">
        <f>_xll.RssMarket("485A","始値")</f>
        <v>1887</v>
      </c>
      <c r="D221" s="16">
        <f t="shared" si="7"/>
        <v>1887</v>
      </c>
      <c r="E221" s="554"/>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ht="17.25" customHeight="1">
      <c r="A222" s="79" t="s">
        <v>435</v>
      </c>
      <c r="B222" s="1" t="str">
        <f>銘柄管理!C222</f>
        <v>ＮＦ日経レバ</v>
      </c>
      <c r="C222" s="547">
        <f>_xll.RssMarket("1570","始値")</f>
        <v>68680</v>
      </c>
      <c r="D222" s="16"/>
      <c r="E222" s="554">
        <v>65610</v>
      </c>
      <c r="F222" s="2">
        <v>64430</v>
      </c>
      <c r="G222" s="2">
        <v>66700</v>
      </c>
      <c r="H222" s="2">
        <v>60280</v>
      </c>
      <c r="I222" s="2">
        <v>62720</v>
      </c>
      <c r="J222" s="2">
        <v>63680</v>
      </c>
      <c r="K222" s="2">
        <v>67770</v>
      </c>
      <c r="L222" s="2">
        <v>68790</v>
      </c>
      <c r="M222" s="2">
        <v>71310</v>
      </c>
      <c r="N222" s="2">
        <v>72540</v>
      </c>
      <c r="O222" s="2">
        <v>67090</v>
      </c>
      <c r="P222" s="2">
        <v>69190</v>
      </c>
      <c r="Q222" s="2">
        <v>74990</v>
      </c>
      <c r="R222" s="2">
        <v>71840</v>
      </c>
      <c r="S222" s="2">
        <v>75420</v>
      </c>
      <c r="T222" s="2">
        <v>76580</v>
      </c>
      <c r="U222" s="2">
        <v>73700</v>
      </c>
      <c r="V222" s="2">
        <v>72600</v>
      </c>
      <c r="W222" s="2">
        <v>78000</v>
      </c>
      <c r="X222" s="2">
        <v>79090</v>
      </c>
      <c r="Y222" s="2">
        <v>75410</v>
      </c>
      <c r="Z222" s="2">
        <v>76800</v>
      </c>
      <c r="AA222" s="2">
        <v>82300</v>
      </c>
      <c r="AB222" s="2">
        <v>79850</v>
      </c>
      <c r="AC222" s="2">
        <v>78440</v>
      </c>
      <c r="AD222" s="2">
        <v>81770</v>
      </c>
      <c r="AE222" s="2">
        <v>81670</v>
      </c>
      <c r="AF222" s="2">
        <v>78500</v>
      </c>
      <c r="AG222" s="2">
        <v>85820</v>
      </c>
      <c r="AH222" s="2">
        <v>82380</v>
      </c>
      <c r="AI222" s="2">
        <v>83700</v>
      </c>
      <c r="AJ222" s="2">
        <v>80760</v>
      </c>
      <c r="AK222" s="2">
        <v>76910</v>
      </c>
      <c r="AL222" s="2">
        <v>78320</v>
      </c>
      <c r="AM222" s="2">
        <v>76320</v>
      </c>
      <c r="AN222" s="2">
        <v>71830</v>
      </c>
      <c r="AO222" s="2">
        <v>63960</v>
      </c>
      <c r="AP222" s="2">
        <v>68160</v>
      </c>
      <c r="AQ222" s="2">
        <v>66640</v>
      </c>
      <c r="AR222" s="2">
        <v>73450</v>
      </c>
      <c r="AS222" s="2">
        <v>75220</v>
      </c>
      <c r="AT222" s="2">
        <v>75310</v>
      </c>
      <c r="AU222" s="2">
        <v>73900</v>
      </c>
      <c r="AV222" s="2">
        <v>70670</v>
      </c>
      <c r="AW222" s="2">
        <v>68560</v>
      </c>
      <c r="AX222" s="2">
        <v>72450</v>
      </c>
      <c r="AY222" s="2">
        <v>66880</v>
      </c>
      <c r="AZ222" s="2">
        <v>63980</v>
      </c>
      <c r="BA222" s="2">
        <v>61820</v>
      </c>
      <c r="BB222" s="2">
        <v>60220</v>
      </c>
      <c r="BC222" s="2">
        <v>61890</v>
      </c>
      <c r="BD222" s="2">
        <v>62680</v>
      </c>
      <c r="BE222" s="2">
        <v>65350</v>
      </c>
      <c r="BF222" s="2">
        <v>66780</v>
      </c>
      <c r="BG222" s="2">
        <v>63950</v>
      </c>
      <c r="BH222" s="2">
        <v>65150</v>
      </c>
      <c r="BI222" s="2">
        <v>66270</v>
      </c>
      <c r="BJ222" s="2">
        <v>64560</v>
      </c>
      <c r="BK222" s="2">
        <v>63400</v>
      </c>
      <c r="BL222" s="2">
        <v>58940</v>
      </c>
      <c r="BM222" s="1">
        <v>57960</v>
      </c>
      <c r="BN222" s="1">
        <v>60380</v>
      </c>
      <c r="BO222" s="1">
        <v>59790</v>
      </c>
      <c r="BP222" s="1">
        <v>58500</v>
      </c>
      <c r="BQ222" s="1">
        <v>59540</v>
      </c>
      <c r="BR222" s="1">
        <v>57860</v>
      </c>
      <c r="BS222" s="1">
        <v>57830</v>
      </c>
      <c r="BT222" s="1">
        <v>57570</v>
      </c>
      <c r="BU222" s="1">
        <v>58390</v>
      </c>
      <c r="BV222" s="1">
        <v>56940</v>
      </c>
      <c r="BW222" s="1">
        <v>57000</v>
      </c>
      <c r="BX222" s="1">
        <v>54760</v>
      </c>
      <c r="BY222" s="1">
        <v>52800</v>
      </c>
      <c r="BZ222" s="1">
        <v>53070</v>
      </c>
    </row>
    <row r="223" spans="1:78">
      <c r="A223" s="74" t="s">
        <v>436</v>
      </c>
      <c r="B223" s="1" t="str">
        <f>銘柄管理!C223</f>
        <v>牧野フライス</v>
      </c>
      <c r="C223" s="547">
        <f>_xll.RssMarket("6135","始値")</f>
        <v>14950</v>
      </c>
      <c r="D223" s="16"/>
      <c r="E223" s="554">
        <v>14530</v>
      </c>
      <c r="F223" s="1">
        <v>14060</v>
      </c>
      <c r="G223" s="1">
        <v>14350</v>
      </c>
      <c r="H223" s="1">
        <v>14000</v>
      </c>
      <c r="I223" s="1">
        <v>14200</v>
      </c>
      <c r="J223" s="1">
        <v>14610</v>
      </c>
      <c r="K223" s="1">
        <v>14640</v>
      </c>
      <c r="L223" s="1">
        <v>14930</v>
      </c>
      <c r="M223" s="1">
        <v>14450</v>
      </c>
      <c r="N223" s="1">
        <v>14590</v>
      </c>
      <c r="O223" s="1">
        <v>14490</v>
      </c>
      <c r="P223" s="1">
        <v>14360</v>
      </c>
      <c r="Q223" s="1">
        <v>14850</v>
      </c>
      <c r="R223" s="1">
        <v>14790</v>
      </c>
      <c r="S223" s="1">
        <v>15020</v>
      </c>
      <c r="T223" s="1">
        <v>14930</v>
      </c>
      <c r="U223" s="1">
        <v>14520</v>
      </c>
      <c r="V223" s="1">
        <v>14820</v>
      </c>
      <c r="W223" s="1">
        <v>15000</v>
      </c>
      <c r="X223" s="1">
        <v>15390</v>
      </c>
      <c r="Y223" s="1">
        <v>15010</v>
      </c>
      <c r="Z223" s="1">
        <v>15270</v>
      </c>
      <c r="AA223" s="1">
        <v>15250</v>
      </c>
      <c r="AB223" s="1">
        <v>15150</v>
      </c>
      <c r="AC223" s="1">
        <v>15200</v>
      </c>
      <c r="AD223" s="1">
        <v>15540</v>
      </c>
      <c r="AE223" s="1">
        <v>15540</v>
      </c>
      <c r="AF223" s="1">
        <v>13920</v>
      </c>
      <c r="AG223" s="1">
        <v>14650</v>
      </c>
      <c r="AH223" s="1">
        <v>14680</v>
      </c>
      <c r="AI223" s="1">
        <v>14500</v>
      </c>
      <c r="AJ223" s="1">
        <v>14350</v>
      </c>
      <c r="AK223" s="1">
        <v>14480</v>
      </c>
      <c r="AL223" s="1">
        <v>14100</v>
      </c>
      <c r="AM223" s="1">
        <v>14240</v>
      </c>
      <c r="AN223" s="1">
        <v>14050</v>
      </c>
      <c r="AO223" s="1">
        <v>14000</v>
      </c>
      <c r="AP223" s="1">
        <v>14920</v>
      </c>
      <c r="AQ223" s="1">
        <v>13960</v>
      </c>
      <c r="AR223" s="1">
        <v>14140</v>
      </c>
      <c r="AS223" s="1">
        <v>14100</v>
      </c>
      <c r="AT223" s="1">
        <v>13800</v>
      </c>
      <c r="AU223" s="1">
        <v>14010</v>
      </c>
      <c r="AV223" s="1">
        <v>13210</v>
      </c>
      <c r="AW223" s="1">
        <v>13220</v>
      </c>
      <c r="AX223" s="1">
        <v>13050</v>
      </c>
      <c r="AY223" s="1">
        <v>13290</v>
      </c>
      <c r="AZ223" s="1">
        <v>13210</v>
      </c>
      <c r="BA223" s="1">
        <v>13250</v>
      </c>
      <c r="BB223" s="1">
        <v>13670</v>
      </c>
      <c r="BC223" s="1">
        <v>13690</v>
      </c>
      <c r="BD223" s="1">
        <v>13900</v>
      </c>
      <c r="BE223" s="1">
        <v>14100</v>
      </c>
      <c r="BF223" s="1">
        <v>13610</v>
      </c>
      <c r="BG223" s="1">
        <v>13740</v>
      </c>
      <c r="BH223" s="1">
        <v>13770</v>
      </c>
      <c r="BI223" s="1">
        <v>13390</v>
      </c>
      <c r="BJ223" s="1">
        <v>13770</v>
      </c>
      <c r="BK223" s="1">
        <v>13260</v>
      </c>
      <c r="BL223" s="1">
        <v>11950</v>
      </c>
      <c r="BM223" s="1">
        <v>11730</v>
      </c>
      <c r="BN223" s="1">
        <v>11750</v>
      </c>
      <c r="BO223" s="1">
        <v>11840</v>
      </c>
      <c r="BP223" s="1">
        <v>11760</v>
      </c>
      <c r="BQ223" s="1">
        <v>10720</v>
      </c>
      <c r="BR223" s="1">
        <v>11620</v>
      </c>
      <c r="BS223" s="1">
        <v>11620</v>
      </c>
      <c r="BT223" s="1">
        <v>11620</v>
      </c>
      <c r="BU223" s="1">
        <v>11610</v>
      </c>
      <c r="BV223" s="1">
        <v>11610</v>
      </c>
      <c r="BW223" s="1">
        <v>11610</v>
      </c>
      <c r="BX223" s="1">
        <v>11590</v>
      </c>
      <c r="BY223" s="1">
        <v>11580</v>
      </c>
      <c r="BZ223" s="1">
        <v>11620</v>
      </c>
    </row>
    <row r="224" spans="1:78">
      <c r="A224" s="74" t="s">
        <v>437</v>
      </c>
      <c r="B224" s="1" t="str">
        <f>銘柄管理!C224</f>
        <v>ジャパンマテリアル</v>
      </c>
      <c r="C224" s="547">
        <f>_xll.RssMarket("6055","始値")</f>
        <v>2370</v>
      </c>
      <c r="D224" s="16"/>
      <c r="E224" s="554">
        <v>2288</v>
      </c>
      <c r="F224" s="1">
        <v>2178</v>
      </c>
      <c r="G224" s="1">
        <v>2283</v>
      </c>
      <c r="H224" s="1">
        <v>2004</v>
      </c>
      <c r="I224" s="1">
        <v>2060</v>
      </c>
      <c r="J224" s="1">
        <v>2200</v>
      </c>
      <c r="K224" s="1">
        <v>2266</v>
      </c>
      <c r="L224" s="1">
        <v>2276</v>
      </c>
      <c r="M224" s="1">
        <v>2330</v>
      </c>
      <c r="N224" s="1">
        <v>2400</v>
      </c>
      <c r="O224" s="1">
        <v>2300</v>
      </c>
      <c r="P224" s="1">
        <v>2341</v>
      </c>
      <c r="Q224" s="1">
        <v>2531</v>
      </c>
      <c r="R224" s="1">
        <v>2573</v>
      </c>
      <c r="S224" s="1">
        <v>2630</v>
      </c>
      <c r="T224" s="1">
        <v>2649</v>
      </c>
      <c r="U224" s="1">
        <v>2600</v>
      </c>
      <c r="V224" s="1">
        <v>2490</v>
      </c>
      <c r="W224" s="1">
        <v>2492</v>
      </c>
      <c r="X224" s="1">
        <v>2511</v>
      </c>
      <c r="Y224" s="1">
        <v>2340</v>
      </c>
      <c r="Z224" s="1">
        <v>2573</v>
      </c>
      <c r="AA224" s="1">
        <v>2659</v>
      </c>
      <c r="AB224" s="1">
        <v>2655</v>
      </c>
      <c r="AC224" s="1">
        <v>2636</v>
      </c>
      <c r="AD224" s="1">
        <v>2618</v>
      </c>
      <c r="AE224" s="1">
        <v>2700</v>
      </c>
      <c r="AF224" s="1">
        <v>2552</v>
      </c>
      <c r="AG224" s="1">
        <v>2632</v>
      </c>
      <c r="AH224" s="1">
        <v>2453</v>
      </c>
      <c r="AI224" s="1">
        <v>2491</v>
      </c>
      <c r="AJ224" s="1">
        <v>2388</v>
      </c>
      <c r="AK224" s="1">
        <v>2331</v>
      </c>
      <c r="AL224" s="1">
        <v>2465</v>
      </c>
      <c r="AM224" s="1">
        <v>2456</v>
      </c>
      <c r="AN224" s="1">
        <v>2283</v>
      </c>
      <c r="AO224" s="1">
        <v>2087</v>
      </c>
      <c r="AP224" s="1">
        <v>2165</v>
      </c>
      <c r="AQ224" s="1">
        <v>2090</v>
      </c>
      <c r="AR224" s="1">
        <v>2180</v>
      </c>
      <c r="AS224" s="1">
        <v>2118</v>
      </c>
      <c r="AT224" s="1">
        <v>2118</v>
      </c>
      <c r="AU224" s="1">
        <v>2122</v>
      </c>
      <c r="AV224" s="1">
        <v>2090</v>
      </c>
      <c r="AW224" s="1">
        <v>2033</v>
      </c>
      <c r="AX224" s="1">
        <v>2161</v>
      </c>
      <c r="AY224" s="1">
        <v>2033</v>
      </c>
      <c r="AZ224" s="1">
        <v>2060</v>
      </c>
      <c r="BA224" s="1">
        <v>2013</v>
      </c>
      <c r="BB224" s="1">
        <v>1932</v>
      </c>
      <c r="BC224" s="1">
        <v>2100</v>
      </c>
      <c r="BD224" s="1">
        <v>2230</v>
      </c>
      <c r="BE224" s="1">
        <v>2017</v>
      </c>
      <c r="BF224" s="1">
        <v>2187</v>
      </c>
      <c r="BG224" s="1">
        <v>2080</v>
      </c>
      <c r="BH224" s="1">
        <v>2101</v>
      </c>
      <c r="BI224" s="1">
        <v>2015</v>
      </c>
      <c r="BJ224" s="1">
        <v>1928</v>
      </c>
      <c r="BK224" s="1">
        <v>1929</v>
      </c>
      <c r="BL224" s="1">
        <v>1796</v>
      </c>
      <c r="BM224" s="1">
        <v>1771</v>
      </c>
      <c r="BN224" s="1">
        <v>1850</v>
      </c>
      <c r="BO224" s="1">
        <v>1854</v>
      </c>
      <c r="BP224" s="1">
        <v>1788</v>
      </c>
      <c r="BQ224" s="1">
        <v>1864</v>
      </c>
      <c r="BR224" s="1">
        <v>1844</v>
      </c>
      <c r="BS224" s="1">
        <v>1865</v>
      </c>
      <c r="BT224" s="1">
        <v>1886</v>
      </c>
      <c r="BU224" s="1">
        <v>1900</v>
      </c>
      <c r="BV224" s="1">
        <v>1918</v>
      </c>
      <c r="BW224" s="1">
        <v>1930</v>
      </c>
      <c r="BX224" s="1">
        <v>1847</v>
      </c>
      <c r="BY224" s="1">
        <v>1800</v>
      </c>
      <c r="BZ224" s="1">
        <v>1799</v>
      </c>
    </row>
    <row r="225" spans="1:78">
      <c r="A225" s="74" t="s">
        <v>438</v>
      </c>
      <c r="B225" s="1" t="str">
        <f>銘柄管理!C225</f>
        <v>ミナトホールディングス</v>
      </c>
      <c r="C225" s="544">
        <f>_xll.RssMarket("6862","始値")</f>
        <v>2300</v>
      </c>
      <c r="E225" s="554">
        <v>2139</v>
      </c>
      <c r="F225" s="1">
        <v>1981</v>
      </c>
      <c r="G225" s="1">
        <v>2050</v>
      </c>
      <c r="H225" s="1">
        <v>1623</v>
      </c>
      <c r="I225" s="1">
        <v>1717</v>
      </c>
      <c r="J225" s="1">
        <v>1781</v>
      </c>
      <c r="K225" s="1">
        <v>1871</v>
      </c>
      <c r="L225" s="1">
        <v>1890</v>
      </c>
      <c r="M225" s="1">
        <v>1905</v>
      </c>
      <c r="N225" s="1">
        <v>1919</v>
      </c>
      <c r="O225" s="1">
        <v>1805</v>
      </c>
      <c r="P225" s="1">
        <v>1925</v>
      </c>
      <c r="Q225" s="1">
        <v>2026</v>
      </c>
      <c r="R225" s="1">
        <v>1962</v>
      </c>
      <c r="S225" s="1">
        <v>2031</v>
      </c>
      <c r="T225" s="1">
        <v>2019</v>
      </c>
      <c r="U225" s="1">
        <v>1971</v>
      </c>
      <c r="V225" s="1">
        <v>1974</v>
      </c>
      <c r="W225" s="1">
        <v>2078</v>
      </c>
      <c r="X225" s="1">
        <v>2164</v>
      </c>
      <c r="Y225" s="1">
        <v>2056</v>
      </c>
      <c r="Z225" s="1">
        <v>2098</v>
      </c>
      <c r="AA225" s="1">
        <v>2159</v>
      </c>
      <c r="AB225" s="1">
        <v>2159</v>
      </c>
      <c r="AC225" s="1">
        <v>2220</v>
      </c>
      <c r="AD225" s="1">
        <v>2270</v>
      </c>
      <c r="AE225" s="1">
        <v>2396</v>
      </c>
      <c r="AF225" s="1">
        <v>2197</v>
      </c>
      <c r="AG225" s="1">
        <v>2370</v>
      </c>
      <c r="AH225" s="1">
        <v>2590</v>
      </c>
      <c r="AI225" s="1">
        <v>2315</v>
      </c>
      <c r="AJ225" s="1">
        <v>2223</v>
      </c>
      <c r="AK225" s="1">
        <v>2100</v>
      </c>
      <c r="AL225" s="1">
        <v>2079</v>
      </c>
      <c r="AM225" s="1">
        <v>2000</v>
      </c>
      <c r="AN225" s="1">
        <v>2015</v>
      </c>
      <c r="AO225" s="1">
        <v>1924</v>
      </c>
      <c r="AP225" s="1">
        <v>2054</v>
      </c>
      <c r="AQ225" s="1">
        <v>2105</v>
      </c>
      <c r="AR225" s="1">
        <v>2130</v>
      </c>
      <c r="AS225" s="1">
        <v>2182</v>
      </c>
      <c r="AT225" s="1">
        <v>2240</v>
      </c>
      <c r="AU225" s="1">
        <v>2165</v>
      </c>
      <c r="AV225" s="1">
        <v>2240</v>
      </c>
      <c r="AW225" s="1">
        <v>2298</v>
      </c>
      <c r="AX225" s="1">
        <v>2499</v>
      </c>
      <c r="AY225" s="1">
        <v>2617</v>
      </c>
      <c r="AZ225" s="1">
        <v>2576</v>
      </c>
      <c r="BA225" s="1">
        <v>2505</v>
      </c>
      <c r="BB225" s="1">
        <v>2494</v>
      </c>
      <c r="BC225" s="1">
        <v>2731</v>
      </c>
      <c r="BD225" s="1">
        <v>2867</v>
      </c>
      <c r="BE225" s="1">
        <v>2942</v>
      </c>
      <c r="BF225" s="1">
        <v>2880</v>
      </c>
      <c r="BG225" s="1">
        <v>2930</v>
      </c>
      <c r="BH225" s="1">
        <v>3555</v>
      </c>
      <c r="BI225" s="1">
        <v>4165</v>
      </c>
      <c r="BJ225" s="1">
        <v>3695</v>
      </c>
      <c r="BK225" s="1">
        <v>3715</v>
      </c>
      <c r="BL225" s="1">
        <v>2798</v>
      </c>
      <c r="BM225" s="1">
        <v>2622</v>
      </c>
      <c r="BN225" s="1">
        <v>2651</v>
      </c>
      <c r="BO225" s="1">
        <v>2532</v>
      </c>
      <c r="BP225" s="1">
        <v>2403</v>
      </c>
      <c r="BQ225" s="1">
        <v>2530</v>
      </c>
      <c r="BR225" s="1">
        <v>2555</v>
      </c>
      <c r="BS225" s="1">
        <v>2559</v>
      </c>
      <c r="BT225" s="1">
        <v>2422</v>
      </c>
      <c r="BU225" s="1">
        <v>2473</v>
      </c>
      <c r="BV225" s="1">
        <v>2416</v>
      </c>
      <c r="BW225" s="1">
        <v>2601</v>
      </c>
      <c r="BX225" s="1">
        <v>2446</v>
      </c>
      <c r="BY225" s="1">
        <v>2189</v>
      </c>
      <c r="BZ225" s="1">
        <v>2218</v>
      </c>
    </row>
    <row r="226" spans="1:78">
      <c r="A226" s="74" t="s">
        <v>439</v>
      </c>
      <c r="B226" s="1" t="str">
        <f>銘柄管理!C226</f>
        <v>ヤクルト</v>
      </c>
      <c r="C226" s="544">
        <f>_xll.RssMarket("2267","始値")</f>
        <v>2769.5</v>
      </c>
      <c r="E226" s="554">
        <v>2809</v>
      </c>
      <c r="F226" s="1">
        <v>2721</v>
      </c>
      <c r="G226" s="1">
        <v>2803</v>
      </c>
      <c r="H226" s="1">
        <v>2911.5</v>
      </c>
      <c r="I226" s="1">
        <v>2835</v>
      </c>
      <c r="J226" s="1">
        <v>2823.5</v>
      </c>
      <c r="K226" s="1">
        <v>2746</v>
      </c>
      <c r="L226" s="1">
        <v>2713.5</v>
      </c>
      <c r="M226" s="1">
        <v>2784.5</v>
      </c>
      <c r="N226" s="1">
        <v>2773.5</v>
      </c>
      <c r="O226" s="1">
        <v>2884.5</v>
      </c>
      <c r="P226" s="1">
        <v>2804.5</v>
      </c>
      <c r="Q226" s="1">
        <v>2848</v>
      </c>
      <c r="R226" s="1">
        <v>2843.5</v>
      </c>
      <c r="S226" s="1">
        <v>2850</v>
      </c>
      <c r="T226" s="1">
        <v>2820</v>
      </c>
      <c r="U226" s="1">
        <v>2909</v>
      </c>
      <c r="V226" s="1">
        <v>2903.5</v>
      </c>
      <c r="W226" s="1">
        <v>2884.5</v>
      </c>
      <c r="X226" s="1">
        <v>2854</v>
      </c>
      <c r="Y226" s="1">
        <v>2811.5</v>
      </c>
      <c r="Z226" s="1">
        <v>2749</v>
      </c>
      <c r="AA226" s="1">
        <v>2706.5</v>
      </c>
      <c r="AB226" s="1">
        <v>2745</v>
      </c>
      <c r="AC226" s="1">
        <v>2757</v>
      </c>
      <c r="AD226" s="1">
        <v>2749</v>
      </c>
      <c r="AE226" s="1">
        <v>2727.5</v>
      </c>
      <c r="AF226" s="1">
        <v>2701.5</v>
      </c>
      <c r="AG226" s="1">
        <v>2699</v>
      </c>
      <c r="AH226" s="1">
        <v>2689.5</v>
      </c>
      <c r="AI226" s="1">
        <v>2685</v>
      </c>
      <c r="AJ226" s="1">
        <v>2616.5</v>
      </c>
      <c r="AK226" s="1">
        <v>2647</v>
      </c>
      <c r="AL226" s="1">
        <v>2644.5</v>
      </c>
      <c r="AM226" s="1">
        <v>2679.5</v>
      </c>
      <c r="AN226" s="1">
        <v>2650</v>
      </c>
      <c r="AO226" s="1">
        <v>2715</v>
      </c>
      <c r="AP226" s="1">
        <v>2705</v>
      </c>
      <c r="AQ226" s="1">
        <v>2641</v>
      </c>
      <c r="AR226" s="1">
        <v>2684.5</v>
      </c>
      <c r="AS226" s="1">
        <v>2687.5</v>
      </c>
      <c r="AT226" s="1">
        <v>2699</v>
      </c>
      <c r="AU226" s="1">
        <v>2657.5</v>
      </c>
      <c r="AV226" s="1">
        <v>2693</v>
      </c>
      <c r="AW226" s="1">
        <v>2734</v>
      </c>
      <c r="AX226" s="1">
        <v>2660.5</v>
      </c>
      <c r="AY226" s="1">
        <v>2806.5</v>
      </c>
      <c r="AZ226" s="1">
        <v>2746</v>
      </c>
      <c r="BA226" s="1">
        <v>2768</v>
      </c>
      <c r="BB226" s="1">
        <v>2831.5</v>
      </c>
      <c r="BC226" s="1">
        <v>2749</v>
      </c>
      <c r="BD226" s="1">
        <v>2762</v>
      </c>
      <c r="BE226" s="1">
        <v>2753</v>
      </c>
      <c r="BF226" s="1">
        <v>2800.5</v>
      </c>
      <c r="BG226" s="1">
        <v>2670</v>
      </c>
      <c r="BH226" s="1">
        <v>2900</v>
      </c>
      <c r="BI226" s="1">
        <v>2916.5</v>
      </c>
      <c r="BJ226" s="1">
        <v>2978</v>
      </c>
      <c r="BK226" s="1">
        <v>3056</v>
      </c>
      <c r="BL226" s="1">
        <v>2820</v>
      </c>
      <c r="BM226" s="1">
        <v>2722.5</v>
      </c>
      <c r="BN226" s="1">
        <v>2742</v>
      </c>
      <c r="BO226" s="1">
        <v>2749</v>
      </c>
      <c r="BP226" s="1">
        <v>2653</v>
      </c>
      <c r="BQ226" s="1">
        <v>2596</v>
      </c>
      <c r="BR226" s="1">
        <v>2605</v>
      </c>
      <c r="BS226" s="1">
        <v>2625</v>
      </c>
      <c r="BT226" s="1">
        <v>2672</v>
      </c>
      <c r="BU226" s="1">
        <v>2650</v>
      </c>
      <c r="BV226" s="1">
        <v>2700</v>
      </c>
      <c r="BW226" s="1">
        <v>2628.5</v>
      </c>
      <c r="BX226" s="1">
        <v>2629</v>
      </c>
      <c r="BY226" s="1">
        <v>2640</v>
      </c>
      <c r="BZ226" s="1">
        <v>2701</v>
      </c>
    </row>
    <row r="227" spans="1:78">
      <c r="A227" s="74" t="s">
        <v>440</v>
      </c>
      <c r="B227" s="1" t="str">
        <f>銘柄管理!C227</f>
        <v>ＮＦエネ資源Ｔ１７</v>
      </c>
      <c r="C227" s="544">
        <f>_xll.RssMarket("1618","始値")</f>
        <v>32450</v>
      </c>
      <c r="E227" s="554">
        <v>33100</v>
      </c>
      <c r="F227" s="1">
        <v>33000</v>
      </c>
      <c r="G227" s="1">
        <v>33470</v>
      </c>
      <c r="H227" s="1">
        <v>34040</v>
      </c>
      <c r="I227" s="1">
        <v>32870</v>
      </c>
      <c r="J227" s="1">
        <v>33460</v>
      </c>
      <c r="K227" s="1">
        <v>33730</v>
      </c>
      <c r="L227" s="1">
        <v>34680</v>
      </c>
      <c r="M227" s="1">
        <v>33710</v>
      </c>
      <c r="N227" s="1">
        <v>33400</v>
      </c>
      <c r="O227" s="1">
        <v>32370</v>
      </c>
      <c r="P227" s="1">
        <v>32000</v>
      </c>
      <c r="Q227" s="1">
        <v>32710</v>
      </c>
      <c r="R227" s="1">
        <v>32130</v>
      </c>
      <c r="S227" s="1">
        <v>32780</v>
      </c>
      <c r="T227" s="1">
        <v>32700</v>
      </c>
      <c r="U227" s="1">
        <v>33060</v>
      </c>
      <c r="V227" s="1">
        <v>32340</v>
      </c>
      <c r="W227" s="1">
        <v>32560</v>
      </c>
      <c r="X227" s="1">
        <v>31760</v>
      </c>
      <c r="Y227" s="1">
        <v>31690</v>
      </c>
      <c r="Z227" s="1">
        <v>31060</v>
      </c>
      <c r="AA227" s="1">
        <v>31300</v>
      </c>
      <c r="AB227" s="1">
        <v>31350</v>
      </c>
      <c r="AC227" s="1">
        <v>30630</v>
      </c>
      <c r="AD227" s="1">
        <v>31090</v>
      </c>
      <c r="AE227" s="1">
        <v>32460</v>
      </c>
      <c r="AF227" s="1">
        <v>32120</v>
      </c>
      <c r="AG227" s="1">
        <v>32700</v>
      </c>
      <c r="AH227" s="1">
        <v>32800</v>
      </c>
      <c r="AI227" s="1">
        <v>32000</v>
      </c>
      <c r="AJ227" s="1">
        <v>32330</v>
      </c>
      <c r="AK227" s="1">
        <v>32080</v>
      </c>
      <c r="AL227" s="1">
        <v>32450</v>
      </c>
      <c r="AM227" s="1">
        <v>33120</v>
      </c>
      <c r="AN227" s="1">
        <v>32980</v>
      </c>
      <c r="AO227" s="1">
        <v>32720</v>
      </c>
      <c r="AP227" s="1">
        <v>32660</v>
      </c>
      <c r="AQ227" s="1">
        <v>33310</v>
      </c>
      <c r="AR227" s="1">
        <v>34200</v>
      </c>
      <c r="AS227" s="1">
        <v>34510</v>
      </c>
      <c r="AT227" s="1">
        <v>34250</v>
      </c>
      <c r="AU227" s="1">
        <v>33040</v>
      </c>
      <c r="AV227" s="1">
        <v>33600</v>
      </c>
      <c r="AW227" s="1">
        <v>33490</v>
      </c>
      <c r="AX227" s="1">
        <v>33670</v>
      </c>
      <c r="AY227" s="1">
        <v>34600</v>
      </c>
      <c r="AZ227" s="1">
        <v>34730</v>
      </c>
      <c r="BA227" s="1">
        <v>35740</v>
      </c>
      <c r="BB227" s="1">
        <v>36280</v>
      </c>
      <c r="BC227" s="1">
        <v>36430</v>
      </c>
      <c r="BD227" s="1">
        <v>36910</v>
      </c>
      <c r="BE227" s="1">
        <v>35810</v>
      </c>
      <c r="BF227" s="1">
        <v>35900</v>
      </c>
      <c r="BG227" s="1">
        <v>36470</v>
      </c>
      <c r="BH227" s="1">
        <v>36030</v>
      </c>
      <c r="BI227" s="1">
        <v>34580</v>
      </c>
      <c r="BJ227" s="1">
        <v>35140</v>
      </c>
      <c r="BK227" s="1">
        <v>36060</v>
      </c>
      <c r="BL227" s="1">
        <v>36090</v>
      </c>
      <c r="BM227" s="1">
        <v>36900</v>
      </c>
      <c r="BN227" s="1">
        <v>35220</v>
      </c>
      <c r="BO227" s="1">
        <v>35740</v>
      </c>
      <c r="BP227" s="1">
        <v>35940</v>
      </c>
      <c r="BQ227" s="1">
        <v>35000</v>
      </c>
      <c r="BR227" s="1">
        <v>35790</v>
      </c>
      <c r="BS227" s="1">
        <v>36360</v>
      </c>
      <c r="BT227" s="1">
        <v>36790</v>
      </c>
      <c r="BU227" s="1">
        <v>37830</v>
      </c>
      <c r="BV227" s="1">
        <v>38270</v>
      </c>
      <c r="BW227" s="1">
        <v>38300</v>
      </c>
      <c r="BX227" s="1">
        <v>39000</v>
      </c>
      <c r="BY227" s="1">
        <v>39530</v>
      </c>
      <c r="BZ227" s="1">
        <v>38930</v>
      </c>
    </row>
    <row r="228" spans="1:78">
      <c r="A228" s="74" t="s">
        <v>441</v>
      </c>
      <c r="C228" s="544">
        <f>_xll.RssMarket("3696","始値")</f>
        <v>2070</v>
      </c>
      <c r="E228" s="554"/>
    </row>
    <row r="229" spans="1:78">
      <c r="A229" s="74" t="s">
        <v>442</v>
      </c>
      <c r="B229" s="1" t="str">
        <f>銘柄管理!C229</f>
        <v>児玉化学</v>
      </c>
      <c r="C229" s="544">
        <f>_xll.RssMarket("4222","始値")</f>
        <v>584</v>
      </c>
      <c r="E229" s="554">
        <v>573</v>
      </c>
      <c r="F229" s="1">
        <v>563</v>
      </c>
      <c r="G229" s="1">
        <v>565</v>
      </c>
      <c r="H229" s="1">
        <v>549</v>
      </c>
      <c r="I229" s="1">
        <v>570</v>
      </c>
      <c r="J229" s="1">
        <v>588</v>
      </c>
      <c r="K229" s="1">
        <v>591</v>
      </c>
      <c r="M229" s="1">
        <v>612</v>
      </c>
      <c r="N229" s="1">
        <v>617</v>
      </c>
      <c r="O229" s="1">
        <v>592</v>
      </c>
      <c r="P229" s="1">
        <v>617</v>
      </c>
      <c r="Q229" s="1">
        <v>645</v>
      </c>
      <c r="R229" s="1">
        <v>647</v>
      </c>
      <c r="S229" s="1">
        <v>661</v>
      </c>
      <c r="T229" s="1">
        <v>647</v>
      </c>
      <c r="U229" s="1">
        <v>643</v>
      </c>
      <c r="V229" s="1">
        <v>657</v>
      </c>
      <c r="W229" s="1">
        <v>684</v>
      </c>
      <c r="X229" s="1">
        <v>688</v>
      </c>
      <c r="Y229" s="1">
        <v>655</v>
      </c>
      <c r="Z229" s="1">
        <v>649</v>
      </c>
      <c r="AA229" s="1">
        <v>638</v>
      </c>
      <c r="AB229" s="1">
        <v>655</v>
      </c>
      <c r="AC229" s="1">
        <v>677</v>
      </c>
      <c r="AD229" s="1">
        <v>664</v>
      </c>
      <c r="AE229" s="1">
        <v>681</v>
      </c>
      <c r="AF229" s="1">
        <v>702</v>
      </c>
      <c r="AG229" s="1">
        <v>723</v>
      </c>
      <c r="AH229" s="1">
        <v>721</v>
      </c>
      <c r="AI229" s="1">
        <v>705</v>
      </c>
      <c r="AJ229" s="1">
        <v>729</v>
      </c>
      <c r="AK229" s="1">
        <v>687</v>
      </c>
      <c r="AL229" s="1">
        <v>697</v>
      </c>
      <c r="AM229" s="1">
        <v>664</v>
      </c>
      <c r="AN229" s="1">
        <v>674</v>
      </c>
      <c r="AO229" s="1">
        <v>685</v>
      </c>
      <c r="AP229" s="1">
        <v>691</v>
      </c>
      <c r="AQ229" s="1">
        <v>681</v>
      </c>
      <c r="AR229" s="1">
        <v>700</v>
      </c>
      <c r="AS229" s="1">
        <v>702</v>
      </c>
      <c r="AT229" s="1">
        <v>694</v>
      </c>
      <c r="AU229" s="1">
        <v>701</v>
      </c>
      <c r="AV229" s="1">
        <v>750</v>
      </c>
      <c r="AW229" s="1">
        <v>750</v>
      </c>
      <c r="AX229" s="1">
        <v>785</v>
      </c>
      <c r="AY229" s="1">
        <v>815</v>
      </c>
      <c r="AZ229" s="1">
        <v>802</v>
      </c>
      <c r="BA229" s="1">
        <v>828</v>
      </c>
      <c r="BB229" s="1">
        <v>850</v>
      </c>
      <c r="BC229" s="1">
        <v>878</v>
      </c>
      <c r="BD229" s="1">
        <v>909</v>
      </c>
      <c r="BE229" s="1">
        <v>954</v>
      </c>
      <c r="BF229" s="1">
        <v>1226</v>
      </c>
      <c r="BG229" s="1">
        <v>1249</v>
      </c>
      <c r="BH229" s="1">
        <v>1315</v>
      </c>
      <c r="BI229" s="1">
        <v>1186</v>
      </c>
      <c r="BJ229" s="1">
        <v>1155</v>
      </c>
      <c r="BK229" s="1">
        <v>1125</v>
      </c>
      <c r="BL229" s="1">
        <v>1115</v>
      </c>
      <c r="BM229" s="1">
        <v>1117</v>
      </c>
      <c r="BN229" s="1">
        <v>1150</v>
      </c>
      <c r="BO229" s="1">
        <v>1141</v>
      </c>
      <c r="BP229" s="1">
        <v>1134</v>
      </c>
      <c r="BQ229" s="1">
        <v>1165</v>
      </c>
      <c r="BR229" s="1">
        <v>1172</v>
      </c>
      <c r="BS229" s="1">
        <v>1200</v>
      </c>
      <c r="BT229" s="1">
        <v>1150</v>
      </c>
      <c r="BU229" s="1">
        <v>1166</v>
      </c>
      <c r="BV229" s="1">
        <v>1160</v>
      </c>
      <c r="BW229" s="1">
        <v>1151</v>
      </c>
      <c r="BX229" s="1">
        <v>1140</v>
      </c>
      <c r="BY229" s="1">
        <v>1083</v>
      </c>
      <c r="BZ229" s="1">
        <v>1124</v>
      </c>
    </row>
    <row r="230" spans="1:78">
      <c r="A230" s="74" t="s">
        <v>443</v>
      </c>
      <c r="B230" s="1" t="str">
        <f>銘柄管理!C230</f>
        <v>ＦＯＯＤ＆ＬＩＦＥＣＯＭＰＡＮ</v>
      </c>
      <c r="C230" s="544">
        <f>_xll.RssMarket("3563","始値")</f>
        <v>5724</v>
      </c>
    </row>
    <row r="231" spans="1:78">
      <c r="A231" s="74" t="s">
        <v>444</v>
      </c>
      <c r="B231" s="1" t="str">
        <f>銘柄管理!C231</f>
        <v>ＩＨＩ</v>
      </c>
      <c r="C231" s="544">
        <f>_xll.RssMarket("7013","始値")</f>
        <v>2949</v>
      </c>
      <c r="E231" s="550">
        <v>2798</v>
      </c>
      <c r="F231" s="1">
        <v>2798</v>
      </c>
      <c r="G231" s="1">
        <v>2818</v>
      </c>
      <c r="H231" s="1">
        <v>2706</v>
      </c>
      <c r="I231" s="1">
        <v>2783</v>
      </c>
      <c r="J231" s="1">
        <v>2799.5</v>
      </c>
      <c r="K231" s="1">
        <v>2889</v>
      </c>
      <c r="M231" s="1">
        <v>2800</v>
      </c>
      <c r="N231" s="1">
        <v>2800</v>
      </c>
      <c r="O231" s="1">
        <v>2716.5</v>
      </c>
      <c r="P231" s="1">
        <v>2807</v>
      </c>
      <c r="Q231" s="1">
        <v>2817.5</v>
      </c>
      <c r="R231" s="1">
        <v>2785.5</v>
      </c>
      <c r="S231" s="1">
        <v>2784</v>
      </c>
      <c r="T231" s="1">
        <v>2780</v>
      </c>
      <c r="U231" s="1">
        <v>2845</v>
      </c>
      <c r="V231" s="1">
        <v>2932</v>
      </c>
      <c r="W231" s="1">
        <v>3065</v>
      </c>
      <c r="X231" s="1">
        <v>2898</v>
      </c>
      <c r="Y231" s="1">
        <v>2824</v>
      </c>
      <c r="Z231" s="1">
        <v>2740</v>
      </c>
      <c r="AA231" s="1">
        <v>2690</v>
      </c>
      <c r="AB231" s="1">
        <v>2674</v>
      </c>
      <c r="AC231" s="1">
        <v>2688</v>
      </c>
      <c r="AD231" s="1">
        <v>2700</v>
      </c>
      <c r="AE231" s="1">
        <v>2825</v>
      </c>
      <c r="AF231" s="1">
        <v>2700.5</v>
      </c>
      <c r="AG231" s="1">
        <v>2827</v>
      </c>
      <c r="AH231" s="1">
        <v>2835.5</v>
      </c>
      <c r="AI231" s="1">
        <v>2916</v>
      </c>
      <c r="AJ231" s="1">
        <v>2954</v>
      </c>
      <c r="AK231" s="1">
        <v>2808</v>
      </c>
      <c r="AL231" s="1">
        <v>2855</v>
      </c>
      <c r="AM231" s="1">
        <v>2520</v>
      </c>
      <c r="AN231" s="1">
        <v>2405.5</v>
      </c>
      <c r="AO231" s="1">
        <v>2302.5</v>
      </c>
      <c r="AP231" s="1">
        <v>2470</v>
      </c>
      <c r="AQ231" s="1">
        <v>2486</v>
      </c>
      <c r="AR231" s="1">
        <v>2570</v>
      </c>
      <c r="AS231" s="1">
        <v>2460</v>
      </c>
      <c r="AT231" s="1">
        <v>2558</v>
      </c>
      <c r="AU231" s="1">
        <v>2613.5</v>
      </c>
      <c r="AV231" s="1">
        <v>2750</v>
      </c>
      <c r="AW231" s="1">
        <v>2800</v>
      </c>
      <c r="AX231" s="1">
        <v>2960</v>
      </c>
      <c r="AY231" s="1">
        <v>2830</v>
      </c>
      <c r="AZ231" s="1">
        <v>2775</v>
      </c>
      <c r="BA231" s="1">
        <v>2612.5</v>
      </c>
      <c r="BB231" s="1">
        <v>2545.5</v>
      </c>
      <c r="BC231" s="1">
        <v>2693</v>
      </c>
      <c r="BD231" s="1">
        <v>2727.5</v>
      </c>
      <c r="BE231" s="1">
        <v>2664</v>
      </c>
      <c r="BF231" s="1">
        <v>2750</v>
      </c>
      <c r="BG231" s="1">
        <v>2766</v>
      </c>
      <c r="BH231" s="1">
        <v>2845</v>
      </c>
      <c r="BI231" s="1">
        <v>2950</v>
      </c>
      <c r="BJ231" s="1">
        <v>3098</v>
      </c>
      <c r="BK231" s="1">
        <v>2880</v>
      </c>
      <c r="BL231" s="1">
        <v>2876.5</v>
      </c>
      <c r="BM231" s="1">
        <v>2962</v>
      </c>
      <c r="BN231" s="1">
        <v>2948</v>
      </c>
      <c r="BO231" s="1">
        <v>2924</v>
      </c>
      <c r="BP231" s="1">
        <v>3071</v>
      </c>
      <c r="BQ231" s="1">
        <v>3071</v>
      </c>
      <c r="BR231" s="1">
        <v>2947</v>
      </c>
      <c r="BS231" s="1">
        <v>3131</v>
      </c>
      <c r="BT231" s="1">
        <v>3130</v>
      </c>
      <c r="BU231" s="1">
        <v>3179</v>
      </c>
      <c r="BV231" s="1">
        <v>3185</v>
      </c>
      <c r="BW231" s="1">
        <v>3310</v>
      </c>
      <c r="BX231" s="1">
        <v>3344</v>
      </c>
      <c r="BY231" s="1">
        <v>3299</v>
      </c>
      <c r="BZ231" s="1">
        <v>3352</v>
      </c>
    </row>
    <row r="232" spans="1:78">
      <c r="A232" s="74" t="s">
        <v>445</v>
      </c>
      <c r="B232" s="1" t="str">
        <f>銘柄管理!C232</f>
        <v>ＮＥＣキャピタルソリューション</v>
      </c>
      <c r="C232" s="544">
        <f>_xll.RssMarket("8793","始値")</f>
        <v>4030</v>
      </c>
      <c r="E232" s="550">
        <v>4110</v>
      </c>
      <c r="F232" s="1">
        <v>4030</v>
      </c>
      <c r="G232" s="1">
        <v>4200</v>
      </c>
      <c r="H232" s="1">
        <v>4205</v>
      </c>
      <c r="I232" s="1">
        <v>4115</v>
      </c>
      <c r="J232" s="1">
        <v>4075</v>
      </c>
      <c r="K232" s="1">
        <v>4065</v>
      </c>
      <c r="L232" s="1">
        <v>4075</v>
      </c>
      <c r="M232" s="1">
        <v>4115</v>
      </c>
      <c r="N232" s="1">
        <v>4090</v>
      </c>
      <c r="O232" s="1">
        <v>4050</v>
      </c>
      <c r="P232" s="1">
        <v>4100</v>
      </c>
      <c r="Q232" s="1">
        <v>4140</v>
      </c>
      <c r="R232" s="1">
        <v>4135</v>
      </c>
      <c r="S232" s="1">
        <v>4145</v>
      </c>
      <c r="T232" s="1">
        <v>4120</v>
      </c>
      <c r="U232" s="1">
        <v>4100</v>
      </c>
      <c r="V232" s="1">
        <v>4115</v>
      </c>
      <c r="W232" s="1">
        <v>4100</v>
      </c>
      <c r="X232" s="1">
        <v>4035</v>
      </c>
      <c r="Y232" s="1">
        <v>4020</v>
      </c>
      <c r="Z232" s="1">
        <v>4000</v>
      </c>
      <c r="AA232" s="1">
        <v>4005</v>
      </c>
      <c r="AB232" s="1">
        <v>4010</v>
      </c>
      <c r="AC232" s="1">
        <v>4010</v>
      </c>
      <c r="AD232" s="1">
        <v>4005</v>
      </c>
      <c r="AE232" s="1">
        <v>4015</v>
      </c>
      <c r="AF232" s="1">
        <v>4010</v>
      </c>
      <c r="AG232" s="1">
        <v>4045</v>
      </c>
      <c r="AH232" s="1">
        <v>4085</v>
      </c>
      <c r="AI232" s="1">
        <v>4100</v>
      </c>
      <c r="AJ232" s="1">
        <v>4145</v>
      </c>
      <c r="AK232" s="1">
        <v>4160</v>
      </c>
      <c r="AL232" s="1">
        <v>4130</v>
      </c>
      <c r="AM232" s="1">
        <v>4155</v>
      </c>
      <c r="AN232" s="1">
        <v>4105</v>
      </c>
      <c r="AO232" s="1">
        <v>4160</v>
      </c>
      <c r="AP232" s="1">
        <v>4140</v>
      </c>
      <c r="AQ232" s="1">
        <v>4010</v>
      </c>
      <c r="AR232" s="1">
        <v>3950</v>
      </c>
      <c r="AS232" s="1">
        <v>3920</v>
      </c>
      <c r="AT232" s="1">
        <v>3885</v>
      </c>
      <c r="AU232" s="1">
        <v>3900</v>
      </c>
      <c r="AV232" s="1">
        <v>3960</v>
      </c>
      <c r="AW232" s="1">
        <v>3940</v>
      </c>
      <c r="AX232" s="1">
        <v>3965</v>
      </c>
      <c r="AY232" s="1">
        <v>3980</v>
      </c>
      <c r="AZ232" s="1">
        <v>4025</v>
      </c>
      <c r="BA232" s="1">
        <v>3980</v>
      </c>
      <c r="BB232" s="1">
        <v>3965</v>
      </c>
      <c r="BC232" s="1">
        <v>3935</v>
      </c>
      <c r="BD232" s="1">
        <v>3970</v>
      </c>
      <c r="BE232" s="1">
        <v>4010</v>
      </c>
      <c r="BF232" s="1">
        <v>4010</v>
      </c>
      <c r="BG232" s="1">
        <v>4030</v>
      </c>
      <c r="BH232" s="1">
        <v>4055</v>
      </c>
      <c r="BI232" s="1">
        <v>4055</v>
      </c>
      <c r="BJ232" s="1">
        <v>4030</v>
      </c>
      <c r="BK232" s="1">
        <v>4010</v>
      </c>
      <c r="BL232" s="1">
        <v>4090</v>
      </c>
      <c r="BM232" s="1">
        <v>4195</v>
      </c>
      <c r="BN232" s="1">
        <v>4195</v>
      </c>
      <c r="BO232" s="1">
        <v>4280</v>
      </c>
      <c r="BP232" s="1">
        <v>4210</v>
      </c>
      <c r="BQ232" s="1">
        <v>4215</v>
      </c>
      <c r="BR232" s="1">
        <v>4270</v>
      </c>
      <c r="BS232" s="1">
        <v>4315</v>
      </c>
      <c r="BT232" s="1">
        <v>4260</v>
      </c>
      <c r="BU232" s="1">
        <v>4240</v>
      </c>
      <c r="BV232" s="1">
        <v>4280</v>
      </c>
      <c r="BW232" s="1">
        <v>4245</v>
      </c>
      <c r="BX232" s="1">
        <v>4170</v>
      </c>
      <c r="BY232" s="1">
        <v>4170</v>
      </c>
      <c r="BZ232" s="1">
        <v>4245</v>
      </c>
    </row>
    <row r="233" spans="1:78">
      <c r="A233" s="74" t="s">
        <v>446</v>
      </c>
      <c r="B233" s="1" t="str">
        <f>銘柄管理!C233</f>
        <v>ミスミグループ本社</v>
      </c>
      <c r="C233" s="544">
        <f>_xll.RssMarket("9962","始値")</f>
        <v>4049</v>
      </c>
      <c r="E233" s="550">
        <v>4051</v>
      </c>
      <c r="F233" s="1">
        <v>4001</v>
      </c>
      <c r="G233" s="1">
        <v>3829</v>
      </c>
      <c r="H233" s="1">
        <v>3457</v>
      </c>
      <c r="I233" s="1">
        <v>3461</v>
      </c>
      <c r="J233" s="1">
        <v>3557</v>
      </c>
      <c r="K233" s="1">
        <v>3620</v>
      </c>
      <c r="L233" s="1">
        <v>3694</v>
      </c>
      <c r="M233" s="1">
        <v>3699</v>
      </c>
      <c r="N233" s="1">
        <v>3768</v>
      </c>
      <c r="O233" s="1">
        <v>3772</v>
      </c>
      <c r="P233" s="1">
        <v>3702</v>
      </c>
      <c r="Q233" s="1">
        <v>3853</v>
      </c>
      <c r="R233" s="1">
        <v>3782</v>
      </c>
      <c r="S233" s="1">
        <v>3999</v>
      </c>
      <c r="T233" s="1">
        <v>4075</v>
      </c>
      <c r="U233" s="1">
        <v>3907</v>
      </c>
      <c r="V233" s="1">
        <v>3789</v>
      </c>
      <c r="W233" s="1">
        <v>4128</v>
      </c>
      <c r="X233" s="1">
        <v>4193</v>
      </c>
      <c r="Y233" s="1">
        <v>4023</v>
      </c>
      <c r="Z233" s="1">
        <v>3911</v>
      </c>
      <c r="AA233" s="1">
        <v>3981</v>
      </c>
      <c r="AB233" s="1">
        <v>3938</v>
      </c>
      <c r="AC233" s="1">
        <v>3858</v>
      </c>
      <c r="AD233" s="1">
        <v>3977</v>
      </c>
      <c r="AE233" s="1">
        <v>3843</v>
      </c>
      <c r="AF233" s="1">
        <v>3639</v>
      </c>
      <c r="AG233" s="1">
        <v>3838</v>
      </c>
      <c r="AH233" s="1">
        <v>3857</v>
      </c>
      <c r="AI233" s="1">
        <v>3954</v>
      </c>
      <c r="AJ233" s="1">
        <v>3892</v>
      </c>
      <c r="AK233" s="1">
        <v>3883</v>
      </c>
      <c r="AL233" s="1">
        <v>3812</v>
      </c>
      <c r="AM233" s="1">
        <v>3835</v>
      </c>
      <c r="AN233" s="1">
        <v>3720</v>
      </c>
      <c r="AO233" s="1">
        <v>3568</v>
      </c>
      <c r="AP233" s="1">
        <v>3559</v>
      </c>
      <c r="AQ233" s="1">
        <v>3574</v>
      </c>
      <c r="AR233" s="1">
        <v>3762</v>
      </c>
      <c r="AS233" s="1">
        <v>3761</v>
      </c>
      <c r="AT233" s="1">
        <v>3760</v>
      </c>
      <c r="AU233" s="1">
        <v>3617</v>
      </c>
      <c r="AV233" s="1">
        <v>3705</v>
      </c>
      <c r="AW233" s="1">
        <v>3526</v>
      </c>
      <c r="AX233" s="1">
        <v>3597</v>
      </c>
      <c r="AY233" s="1">
        <v>3446</v>
      </c>
      <c r="AZ233" s="1">
        <v>3454</v>
      </c>
      <c r="BA233" s="1">
        <v>3199</v>
      </c>
      <c r="BB233" s="1">
        <v>3087</v>
      </c>
      <c r="BC233" s="1">
        <v>3166</v>
      </c>
      <c r="BD233" s="1">
        <v>3184</v>
      </c>
      <c r="BE233" s="1">
        <v>3326</v>
      </c>
      <c r="BF233" s="1">
        <v>3359</v>
      </c>
      <c r="BG233" s="1">
        <v>3319</v>
      </c>
      <c r="BH233" s="1">
        <v>3470</v>
      </c>
      <c r="BI233" s="1">
        <v>3466</v>
      </c>
      <c r="BJ233" s="1">
        <v>3406</v>
      </c>
      <c r="BK233" s="1">
        <v>3498</v>
      </c>
      <c r="BL233" s="1">
        <v>3309</v>
      </c>
      <c r="BM233" s="1">
        <v>3393</v>
      </c>
      <c r="BN233" s="1">
        <v>3395</v>
      </c>
      <c r="BO233" s="1">
        <v>3065</v>
      </c>
      <c r="BP233" s="1">
        <v>3025</v>
      </c>
      <c r="BQ233" s="1">
        <v>3060</v>
      </c>
      <c r="BR233" s="1">
        <v>3100</v>
      </c>
      <c r="BS233" s="1">
        <v>3150</v>
      </c>
      <c r="BT233" s="1">
        <v>3086</v>
      </c>
      <c r="BU233" s="1">
        <v>3015</v>
      </c>
      <c r="BV233" s="1">
        <v>3034</v>
      </c>
      <c r="BW233" s="1">
        <v>2992</v>
      </c>
      <c r="BX233" s="1">
        <v>3032</v>
      </c>
      <c r="BY233" s="1">
        <v>2951.5</v>
      </c>
      <c r="BZ233" s="1">
        <v>2998</v>
      </c>
    </row>
    <row r="234" spans="1:78">
      <c r="A234" s="74" t="s">
        <v>447</v>
      </c>
      <c r="B234" s="1" t="str">
        <f>銘柄管理!C234</f>
        <v>ＴＤＫ</v>
      </c>
      <c r="C234" s="544">
        <f>_xll.RssMarket("6762","始値")</f>
        <v>3157</v>
      </c>
      <c r="E234" s="550">
        <v>3157</v>
      </c>
      <c r="F234" s="1">
        <v>3278</v>
      </c>
      <c r="G234" s="1">
        <v>3099</v>
      </c>
      <c r="H234" s="1">
        <v>2758</v>
      </c>
      <c r="I234" s="1">
        <v>2958.5</v>
      </c>
      <c r="J234" s="1">
        <v>2961</v>
      </c>
      <c r="K234" s="1">
        <v>3033</v>
      </c>
      <c r="L234" s="1">
        <v>3065</v>
      </c>
      <c r="M234" s="1">
        <v>3189</v>
      </c>
      <c r="N234" s="1">
        <v>3150</v>
      </c>
      <c r="O234" s="1">
        <v>3018</v>
      </c>
      <c r="P234" s="1">
        <v>3000</v>
      </c>
      <c r="Q234" s="1">
        <v>3270</v>
      </c>
      <c r="R234" s="1">
        <v>3190</v>
      </c>
      <c r="S234" s="1">
        <v>3387</v>
      </c>
      <c r="T234" s="1">
        <v>3452</v>
      </c>
      <c r="U234" s="1">
        <v>3360</v>
      </c>
      <c r="V234" s="1">
        <v>3251</v>
      </c>
      <c r="W234" s="1">
        <v>3501</v>
      </c>
      <c r="X234" s="1">
        <v>3700</v>
      </c>
      <c r="Y234" s="1">
        <v>3642</v>
      </c>
      <c r="Z234" s="1">
        <v>3666</v>
      </c>
      <c r="AA234" s="1">
        <v>3666</v>
      </c>
      <c r="AB234" s="1">
        <v>3663</v>
      </c>
      <c r="AC234" s="1">
        <v>3550</v>
      </c>
      <c r="AD234" s="1">
        <v>3768</v>
      </c>
      <c r="AE234" s="1">
        <v>3900</v>
      </c>
      <c r="AF234" s="1">
        <v>3873</v>
      </c>
      <c r="AG234" s="1">
        <v>4133</v>
      </c>
      <c r="AH234" s="1">
        <v>3979</v>
      </c>
      <c r="AI234" s="1">
        <v>3995</v>
      </c>
      <c r="AJ234" s="1">
        <v>3850</v>
      </c>
      <c r="AK234" s="1">
        <v>3732</v>
      </c>
      <c r="AL234" s="1">
        <v>3848</v>
      </c>
      <c r="AM234" s="1">
        <v>3644</v>
      </c>
      <c r="AN234" s="1">
        <v>3756</v>
      </c>
      <c r="AO234" s="1">
        <v>3450</v>
      </c>
      <c r="AP234" s="1">
        <v>3700</v>
      </c>
      <c r="AQ234" s="1">
        <v>3700</v>
      </c>
      <c r="AR234" s="1">
        <v>3899</v>
      </c>
      <c r="AS234" s="1">
        <v>3950</v>
      </c>
      <c r="AT234" s="1">
        <v>3919</v>
      </c>
      <c r="AU234" s="1">
        <v>4083</v>
      </c>
      <c r="AV234" s="1">
        <v>3999</v>
      </c>
      <c r="AW234" s="1">
        <v>3590</v>
      </c>
      <c r="AX234" s="1">
        <v>3750</v>
      </c>
      <c r="AY234" s="1">
        <v>3580</v>
      </c>
      <c r="AZ234" s="1">
        <v>3137</v>
      </c>
      <c r="BA234" s="1">
        <v>2993</v>
      </c>
      <c r="BB234" s="1">
        <v>2885.5</v>
      </c>
      <c r="BC234" s="1">
        <v>3025</v>
      </c>
      <c r="BD234" s="1">
        <v>2988.5</v>
      </c>
      <c r="BE234" s="1">
        <v>3110</v>
      </c>
      <c r="BF234" s="1">
        <v>2979</v>
      </c>
      <c r="BG234" s="1">
        <v>2911</v>
      </c>
      <c r="BH234" s="1">
        <v>2936</v>
      </c>
      <c r="BI234" s="1">
        <v>2990</v>
      </c>
      <c r="BJ234" s="1">
        <v>2930</v>
      </c>
      <c r="BK234" s="1">
        <v>2920</v>
      </c>
      <c r="BL234" s="1">
        <v>2886</v>
      </c>
      <c r="BM234" s="1">
        <v>2927</v>
      </c>
      <c r="BN234" s="1">
        <v>2740</v>
      </c>
      <c r="BO234" s="1">
        <v>2767.5</v>
      </c>
      <c r="BP234" s="1">
        <v>2700.5</v>
      </c>
      <c r="BQ234" s="1">
        <v>2750</v>
      </c>
      <c r="BR234" s="1">
        <v>2548.5</v>
      </c>
      <c r="BS234" s="1">
        <v>2536</v>
      </c>
      <c r="BT234" s="1">
        <v>2600</v>
      </c>
      <c r="BU234" s="1">
        <v>2527.5</v>
      </c>
      <c r="BV234" s="1">
        <v>2280</v>
      </c>
      <c r="BW234" s="1">
        <v>2300.5</v>
      </c>
      <c r="BX234" s="1">
        <v>2310</v>
      </c>
      <c r="BY234" s="1">
        <v>2266</v>
      </c>
      <c r="BZ234" s="1">
        <v>2249</v>
      </c>
    </row>
    <row r="235" spans="1:78">
      <c r="A235" s="74" t="s">
        <v>448</v>
      </c>
      <c r="B235" s="1" t="str">
        <f>銘柄管理!C235</f>
        <v>ＦＩＧ</v>
      </c>
      <c r="C235" s="544">
        <f>_xll.RssMarket("4392","始値")</f>
        <v>914</v>
      </c>
      <c r="E235" s="550">
        <v>849</v>
      </c>
      <c r="F235" s="1">
        <v>866</v>
      </c>
      <c r="G235" s="1">
        <v>900</v>
      </c>
      <c r="H235" s="1">
        <v>849</v>
      </c>
      <c r="I235" s="1">
        <v>896</v>
      </c>
      <c r="J235" s="1">
        <v>929</v>
      </c>
      <c r="K235" s="1">
        <v>1018</v>
      </c>
      <c r="L235" s="1">
        <v>1038</v>
      </c>
      <c r="M235" s="1">
        <v>1055</v>
      </c>
      <c r="N235" s="1">
        <v>1085</v>
      </c>
      <c r="O235" s="1">
        <v>1058</v>
      </c>
      <c r="P235" s="1">
        <v>1080</v>
      </c>
      <c r="Q235" s="1">
        <v>1052</v>
      </c>
      <c r="R235" s="1">
        <v>1032</v>
      </c>
      <c r="S235" s="1">
        <v>1095</v>
      </c>
      <c r="T235" s="1">
        <v>1063</v>
      </c>
      <c r="U235" s="1">
        <v>1109</v>
      </c>
      <c r="V235" s="1">
        <v>1069</v>
      </c>
      <c r="W235" s="1">
        <v>1133</v>
      </c>
      <c r="X235" s="1">
        <v>1214</v>
      </c>
      <c r="Y235" s="1">
        <v>1101</v>
      </c>
      <c r="Z235" s="1">
        <v>1087</v>
      </c>
      <c r="AA235" s="1">
        <v>1125</v>
      </c>
      <c r="AB235" s="1">
        <v>1099</v>
      </c>
      <c r="AC235" s="1">
        <v>1145</v>
      </c>
      <c r="AD235" s="1">
        <v>1130</v>
      </c>
      <c r="AE235" s="1">
        <v>1225</v>
      </c>
      <c r="AF235" s="1">
        <v>1149</v>
      </c>
      <c r="AG235" s="1">
        <v>1191</v>
      </c>
      <c r="AH235" s="1">
        <v>1173</v>
      </c>
      <c r="AI235" s="1">
        <v>1290</v>
      </c>
      <c r="AJ235" s="1">
        <v>1252</v>
      </c>
      <c r="AK235" s="1">
        <v>1230</v>
      </c>
      <c r="AL235" s="1">
        <v>1299</v>
      </c>
      <c r="AM235" s="1">
        <v>1376</v>
      </c>
      <c r="AN235" s="1">
        <v>1532</v>
      </c>
      <c r="AO235" s="1">
        <v>1588</v>
      </c>
      <c r="AP235" s="1">
        <v>1482</v>
      </c>
      <c r="AQ235" s="1">
        <v>1252</v>
      </c>
      <c r="AR235" s="1">
        <v>1301</v>
      </c>
      <c r="AS235" s="1">
        <v>1555</v>
      </c>
      <c r="AT235" s="1">
        <v>1632</v>
      </c>
      <c r="AU235" s="1">
        <v>1845</v>
      </c>
      <c r="AV235" s="1">
        <v>2189</v>
      </c>
      <c r="AW235" s="1">
        <v>2064</v>
      </c>
      <c r="AX235" s="1">
        <v>2800</v>
      </c>
      <c r="AY235" s="1">
        <v>1985</v>
      </c>
      <c r="AZ235" s="1">
        <v>1969</v>
      </c>
      <c r="BA235" s="1">
        <v>1821</v>
      </c>
      <c r="BB235" s="1">
        <v>1300</v>
      </c>
      <c r="BC235" s="1">
        <v>1360</v>
      </c>
      <c r="BD235" s="1">
        <v>1060</v>
      </c>
      <c r="BE235" s="1">
        <v>910</v>
      </c>
      <c r="BF235" s="1">
        <v>769</v>
      </c>
      <c r="BG235" s="1">
        <v>780</v>
      </c>
      <c r="BH235" s="1">
        <v>859</v>
      </c>
      <c r="BI235" s="1">
        <v>509</v>
      </c>
      <c r="BJ235" s="1">
        <v>429</v>
      </c>
      <c r="BK235" s="1">
        <v>350</v>
      </c>
      <c r="BL235" s="1">
        <v>345</v>
      </c>
      <c r="BM235" s="1">
        <v>350</v>
      </c>
      <c r="BN235" s="1">
        <v>359</v>
      </c>
      <c r="BO235" s="1">
        <v>356</v>
      </c>
      <c r="BP235" s="1">
        <v>348</v>
      </c>
      <c r="BQ235" s="1">
        <v>352</v>
      </c>
      <c r="BR235" s="1">
        <v>347</v>
      </c>
      <c r="BS235" s="1">
        <v>349</v>
      </c>
      <c r="BT235" s="1">
        <v>328</v>
      </c>
      <c r="BU235" s="1">
        <v>327</v>
      </c>
      <c r="BV235" s="1">
        <v>326</v>
      </c>
      <c r="BW235" s="1">
        <v>324</v>
      </c>
      <c r="BX235" s="1">
        <v>323</v>
      </c>
      <c r="BY235" s="1">
        <v>323</v>
      </c>
      <c r="BZ235" s="1">
        <v>326</v>
      </c>
    </row>
    <row r="236" spans="1:78">
      <c r="A236" s="74" t="s">
        <v>449</v>
      </c>
      <c r="B236" s="1" t="str">
        <f>銘柄管理!C236</f>
        <v>スクロール</v>
      </c>
      <c r="C236" s="544">
        <f>_xll.RssMarket("8005","始値")</f>
        <v>1809</v>
      </c>
      <c r="E236" s="550">
        <v>1813</v>
      </c>
      <c r="F236" s="1">
        <v>1843</v>
      </c>
      <c r="G236" s="1">
        <v>1715</v>
      </c>
      <c r="H236" s="1">
        <v>1725</v>
      </c>
      <c r="I236" s="1">
        <v>1723</v>
      </c>
      <c r="J236" s="1">
        <v>1722</v>
      </c>
      <c r="K236" s="1">
        <v>1705</v>
      </c>
      <c r="L236" s="1">
        <v>1707</v>
      </c>
      <c r="M236" s="1">
        <v>1715</v>
      </c>
      <c r="N236" s="1">
        <v>1744</v>
      </c>
      <c r="O236" s="1">
        <v>1710</v>
      </c>
      <c r="P236" s="1">
        <v>1730</v>
      </c>
      <c r="Q236" s="1">
        <v>1728</v>
      </c>
      <c r="R236" s="1">
        <v>1732</v>
      </c>
      <c r="S236" s="1">
        <v>1715</v>
      </c>
      <c r="T236" s="1">
        <v>1706</v>
      </c>
      <c r="U236" s="1">
        <v>1718</v>
      </c>
      <c r="V236" s="1">
        <v>1721</v>
      </c>
      <c r="W236" s="1">
        <v>1701</v>
      </c>
      <c r="X236" s="1">
        <v>1659</v>
      </c>
      <c r="Y236" s="1">
        <v>1645</v>
      </c>
      <c r="Z236" s="1">
        <v>1628</v>
      </c>
      <c r="AA236" s="1">
        <v>1626</v>
      </c>
      <c r="AB236" s="1">
        <v>1637</v>
      </c>
      <c r="AC236" s="1">
        <v>1643</v>
      </c>
      <c r="AD236" s="1">
        <v>1648</v>
      </c>
      <c r="AE236" s="1">
        <v>1641</v>
      </c>
      <c r="AF236" s="1">
        <v>1645</v>
      </c>
      <c r="AG236" s="1">
        <v>1638</v>
      </c>
      <c r="AH236" s="1">
        <v>1626</v>
      </c>
      <c r="AI236" s="1">
        <v>1650</v>
      </c>
      <c r="AJ236" s="1">
        <v>1631</v>
      </c>
      <c r="AK236" s="1">
        <v>1640</v>
      </c>
      <c r="AL236" s="1">
        <v>1624</v>
      </c>
      <c r="AM236" s="1">
        <v>1620</v>
      </c>
      <c r="AN236" s="1">
        <v>1625</v>
      </c>
      <c r="AO236" s="1">
        <v>1628</v>
      </c>
      <c r="AP236" s="1">
        <v>1612</v>
      </c>
      <c r="AQ236" s="1">
        <v>1621</v>
      </c>
      <c r="AR236" s="1">
        <v>1628</v>
      </c>
      <c r="AS236" s="1">
        <v>1634</v>
      </c>
      <c r="AT236" s="1">
        <v>1638</v>
      </c>
      <c r="AU236" s="1">
        <v>1672</v>
      </c>
      <c r="AV236" s="1">
        <v>1630</v>
      </c>
      <c r="AW236" s="1">
        <v>1635</v>
      </c>
      <c r="AX236" s="1">
        <v>1640</v>
      </c>
      <c r="AY236" s="1">
        <v>1638</v>
      </c>
      <c r="AZ236" s="1">
        <v>1651</v>
      </c>
      <c r="BA236" s="1">
        <v>1669</v>
      </c>
      <c r="BB236" s="1">
        <v>1660</v>
      </c>
      <c r="BC236" s="1">
        <v>1655</v>
      </c>
      <c r="BD236" s="1">
        <v>1612</v>
      </c>
      <c r="BE236" s="1">
        <v>1649</v>
      </c>
      <c r="BF236" s="1">
        <v>1633</v>
      </c>
      <c r="BG236" s="1">
        <v>1656</v>
      </c>
      <c r="BH236" s="1">
        <v>1705</v>
      </c>
      <c r="BI236" s="1">
        <v>1757</v>
      </c>
      <c r="BJ236" s="1">
        <v>1597</v>
      </c>
      <c r="BK236" s="1">
        <v>1324</v>
      </c>
      <c r="BL236" s="1">
        <v>1320</v>
      </c>
      <c r="BM236" s="1">
        <v>1323</v>
      </c>
      <c r="BN236" s="1">
        <v>1310</v>
      </c>
      <c r="BO236" s="1">
        <v>1320</v>
      </c>
      <c r="BP236" s="1">
        <v>1320</v>
      </c>
      <c r="BQ236" s="1">
        <v>1320</v>
      </c>
      <c r="BR236" s="1">
        <v>1345</v>
      </c>
      <c r="BS236" s="1">
        <v>1359</v>
      </c>
      <c r="BT236" s="1">
        <v>1352</v>
      </c>
      <c r="BU236" s="1">
        <v>1355</v>
      </c>
      <c r="BV236" s="1">
        <v>1348</v>
      </c>
      <c r="BW236" s="1">
        <v>1331</v>
      </c>
      <c r="BX236" s="1">
        <v>1315</v>
      </c>
      <c r="BY236" s="1">
        <v>1328</v>
      </c>
      <c r="BZ236" s="1">
        <v>1346</v>
      </c>
    </row>
    <row r="237" spans="1:78">
      <c r="A237" s="74" t="s">
        <v>450</v>
      </c>
      <c r="B237" s="1" t="str">
        <f>銘柄管理!C237</f>
        <v>デジタルアーツ</v>
      </c>
      <c r="C237" s="544">
        <f>_xll.RssMarket("2326","始値")</f>
        <v>4370</v>
      </c>
      <c r="E237" s="550">
        <v>4345</v>
      </c>
      <c r="F237" s="1">
        <v>4100</v>
      </c>
      <c r="G237" s="1">
        <v>4035</v>
      </c>
      <c r="H237" s="1">
        <v>4195</v>
      </c>
      <c r="I237" s="1">
        <v>4095</v>
      </c>
      <c r="J237" s="1">
        <v>4080</v>
      </c>
      <c r="K237" s="1">
        <v>3980</v>
      </c>
      <c r="L237" s="1">
        <v>3990</v>
      </c>
      <c r="M237" s="1">
        <v>4000</v>
      </c>
      <c r="N237" s="1">
        <v>4040</v>
      </c>
      <c r="O237" s="1">
        <v>4095</v>
      </c>
      <c r="P237" s="1">
        <v>3980</v>
      </c>
      <c r="Q237" s="1">
        <v>3985</v>
      </c>
      <c r="R237" s="1">
        <v>3990</v>
      </c>
      <c r="S237" s="1">
        <v>3945</v>
      </c>
      <c r="T237" s="1">
        <v>3900</v>
      </c>
      <c r="U237" s="1">
        <v>3860</v>
      </c>
      <c r="V237" s="1">
        <v>3950</v>
      </c>
      <c r="W237" s="1">
        <v>3885</v>
      </c>
      <c r="X237" s="1">
        <v>3875</v>
      </c>
      <c r="Y237" s="1">
        <v>3880</v>
      </c>
      <c r="Z237" s="1">
        <v>3725</v>
      </c>
      <c r="AA237" s="1">
        <v>3700</v>
      </c>
      <c r="AB237" s="1">
        <v>3740</v>
      </c>
      <c r="AC237" s="1">
        <v>3680</v>
      </c>
      <c r="AD237" s="1">
        <v>3595</v>
      </c>
      <c r="AE237" s="1">
        <v>3580</v>
      </c>
      <c r="AF237" s="1">
        <v>3515</v>
      </c>
      <c r="AG237" s="1">
        <v>3600</v>
      </c>
      <c r="AH237" s="1">
        <v>3545</v>
      </c>
      <c r="AI237" s="1">
        <v>3600</v>
      </c>
      <c r="AJ237" s="1">
        <v>3595</v>
      </c>
      <c r="AK237" s="1">
        <v>3615</v>
      </c>
      <c r="AL237" s="1">
        <v>3540</v>
      </c>
      <c r="AM237" s="1">
        <v>3570</v>
      </c>
      <c r="AN237" s="1">
        <v>3610</v>
      </c>
      <c r="AO237" s="1">
        <v>3625</v>
      </c>
      <c r="AP237" s="1">
        <v>3690</v>
      </c>
      <c r="AQ237" s="1">
        <v>3760</v>
      </c>
      <c r="AR237" s="1">
        <v>3740</v>
      </c>
      <c r="AS237" s="1">
        <v>3625</v>
      </c>
      <c r="AT237" s="1">
        <v>3735</v>
      </c>
      <c r="AU237" s="1">
        <v>3800</v>
      </c>
      <c r="AV237" s="1">
        <v>4040</v>
      </c>
      <c r="AW237" s="1">
        <v>4050</v>
      </c>
      <c r="AX237" s="1">
        <v>4110</v>
      </c>
      <c r="AY237" s="1">
        <v>4180</v>
      </c>
      <c r="AZ237" s="1">
        <v>4100</v>
      </c>
      <c r="BA237" s="1">
        <v>4125</v>
      </c>
      <c r="BB237" s="1">
        <v>4280</v>
      </c>
      <c r="BC237" s="1">
        <v>4290</v>
      </c>
      <c r="BD237" s="1">
        <v>4205</v>
      </c>
      <c r="BE237" s="1">
        <v>4055</v>
      </c>
      <c r="BF237" s="1">
        <v>4005</v>
      </c>
      <c r="BG237" s="1">
        <v>3955</v>
      </c>
      <c r="BH237" s="1">
        <v>4100</v>
      </c>
      <c r="BI237" s="1">
        <v>4310</v>
      </c>
      <c r="BJ237" s="1">
        <v>4940</v>
      </c>
      <c r="BK237" s="1">
        <v>5790</v>
      </c>
      <c r="BL237" s="1">
        <v>5510</v>
      </c>
      <c r="BM237" s="1">
        <v>5480</v>
      </c>
      <c r="BN237" s="1">
        <v>5460</v>
      </c>
      <c r="BO237" s="1">
        <v>5500</v>
      </c>
      <c r="BP237" s="1">
        <v>5590</v>
      </c>
      <c r="BQ237" s="1">
        <v>6010</v>
      </c>
      <c r="BR237" s="1">
        <v>5980</v>
      </c>
      <c r="BS237" s="1">
        <v>5900</v>
      </c>
      <c r="BT237" s="1">
        <v>5840</v>
      </c>
      <c r="BU237" s="1">
        <v>5780</v>
      </c>
      <c r="BV237" s="1">
        <v>5740</v>
      </c>
      <c r="BW237" s="1">
        <v>5580</v>
      </c>
      <c r="BX237" s="1">
        <v>5550</v>
      </c>
      <c r="BY237" s="1">
        <v>5360</v>
      </c>
      <c r="BZ237" s="1">
        <v>5340</v>
      </c>
    </row>
    <row r="238" spans="1:78">
      <c r="A238" s="74" t="s">
        <v>451</v>
      </c>
      <c r="B238" s="1" t="str">
        <f>銘柄管理!C238</f>
        <v>ＴＯＡ</v>
      </c>
      <c r="C238" s="544">
        <f>_xll.RssMarket("6809","始値")</f>
        <v>1650</v>
      </c>
      <c r="E238" s="550">
        <v>1610</v>
      </c>
      <c r="F238" s="1">
        <v>1621</v>
      </c>
      <c r="G238" s="1">
        <v>1633</v>
      </c>
      <c r="H238" s="1">
        <v>1632</v>
      </c>
      <c r="I238" s="1">
        <v>1638</v>
      </c>
      <c r="J238" s="1">
        <v>1639</v>
      </c>
      <c r="K238" s="1">
        <v>1629</v>
      </c>
      <c r="M238" s="1">
        <v>1624</v>
      </c>
      <c r="N238" s="1">
        <v>1622</v>
      </c>
      <c r="O238" s="1">
        <v>1586</v>
      </c>
      <c r="P238" s="1">
        <v>1590</v>
      </c>
      <c r="Q238" s="1">
        <v>1615</v>
      </c>
      <c r="R238" s="1">
        <v>1612</v>
      </c>
      <c r="S238" s="1">
        <v>1610</v>
      </c>
      <c r="T238" s="1">
        <v>1628</v>
      </c>
      <c r="U238" s="1">
        <v>1625</v>
      </c>
      <c r="V238" s="1">
        <v>1640</v>
      </c>
      <c r="W238" s="1">
        <v>1633</v>
      </c>
      <c r="X238" s="1">
        <v>1605</v>
      </c>
      <c r="Y238" s="1">
        <v>1580</v>
      </c>
      <c r="Z238" s="1">
        <v>1554</v>
      </c>
      <c r="AA238" s="1">
        <v>1556</v>
      </c>
      <c r="AB238" s="1">
        <v>1576</v>
      </c>
      <c r="AC238" s="1">
        <v>1586</v>
      </c>
      <c r="AD238" s="1">
        <v>1574</v>
      </c>
      <c r="AE238" s="1">
        <v>1575</v>
      </c>
      <c r="AF238" s="1">
        <v>1558</v>
      </c>
      <c r="AG238" s="1">
        <v>1557</v>
      </c>
      <c r="AH238" s="1">
        <v>1555</v>
      </c>
      <c r="AI238" s="1">
        <v>1570</v>
      </c>
      <c r="AJ238" s="1">
        <v>1569</v>
      </c>
      <c r="AK238" s="1">
        <v>1565</v>
      </c>
      <c r="AL238" s="1">
        <v>1560</v>
      </c>
      <c r="AM238" s="1">
        <v>1577</v>
      </c>
      <c r="AN238" s="1">
        <v>1560</v>
      </c>
      <c r="AO238" s="1">
        <v>1562</v>
      </c>
      <c r="AP238" s="1">
        <v>1572</v>
      </c>
      <c r="AQ238" s="1">
        <v>1543</v>
      </c>
      <c r="AR238" s="1">
        <v>1550</v>
      </c>
      <c r="AS238" s="1">
        <v>1536</v>
      </c>
      <c r="AT238" s="1">
        <v>1554</v>
      </c>
      <c r="AU238" s="1">
        <v>1540</v>
      </c>
      <c r="AV238" s="1">
        <v>1542</v>
      </c>
      <c r="AW238" s="1">
        <v>1526</v>
      </c>
      <c r="AX238" s="1">
        <v>1560</v>
      </c>
      <c r="AY238" s="1">
        <v>1582</v>
      </c>
      <c r="AZ238" s="1">
        <v>1547</v>
      </c>
      <c r="BA238" s="1">
        <v>1533</v>
      </c>
      <c r="BB238" s="1">
        <v>1601</v>
      </c>
      <c r="BC238" s="1">
        <v>1580</v>
      </c>
      <c r="BD238" s="1">
        <v>1598</v>
      </c>
      <c r="BE238" s="1">
        <v>1586</v>
      </c>
      <c r="BF238" s="1">
        <v>1569</v>
      </c>
      <c r="BG238" s="1">
        <v>1562</v>
      </c>
      <c r="BH238" s="1">
        <v>1570</v>
      </c>
      <c r="BI238" s="1">
        <v>1580</v>
      </c>
      <c r="BJ238" s="1">
        <v>1604</v>
      </c>
      <c r="BK238" s="1">
        <v>1775</v>
      </c>
      <c r="BL238" s="1">
        <v>1730</v>
      </c>
      <c r="BM238" s="1">
        <v>1726</v>
      </c>
      <c r="BN238" s="1">
        <v>1700</v>
      </c>
      <c r="BO238" s="1">
        <v>1720</v>
      </c>
      <c r="BP238" s="1">
        <v>1757</v>
      </c>
      <c r="BQ238" s="1">
        <v>1750</v>
      </c>
      <c r="BR238" s="1">
        <v>1786</v>
      </c>
      <c r="BS238" s="1">
        <v>1773</v>
      </c>
      <c r="BT238" s="1">
        <v>1800</v>
      </c>
      <c r="BU238" s="1">
        <v>1784</v>
      </c>
      <c r="BV238" s="1">
        <v>1780</v>
      </c>
      <c r="BW238" s="1">
        <v>1792</v>
      </c>
      <c r="BX238" s="1">
        <v>1800</v>
      </c>
      <c r="BY238" s="1">
        <v>1800</v>
      </c>
      <c r="BZ238" s="1">
        <v>1821</v>
      </c>
    </row>
    <row r="239" spans="1:78">
      <c r="A239" s="74" t="s">
        <v>452</v>
      </c>
      <c r="B239" s="1" t="str">
        <f>銘柄管理!C239</f>
        <v>ユーザーローカル</v>
      </c>
      <c r="C239" s="544">
        <f>_xll.RssMarket("3984","始値")</f>
        <v>1811</v>
      </c>
      <c r="E239" s="550">
        <v>1806</v>
      </c>
      <c r="F239" s="1">
        <v>1806</v>
      </c>
      <c r="G239" s="1">
        <v>1774</v>
      </c>
      <c r="H239" s="1">
        <v>1802</v>
      </c>
      <c r="I239" s="1">
        <v>1809</v>
      </c>
      <c r="J239" s="1">
        <v>1807</v>
      </c>
      <c r="K239" s="1">
        <v>1727</v>
      </c>
      <c r="M239" s="1">
        <v>1775</v>
      </c>
      <c r="N239" s="1">
        <v>1810</v>
      </c>
      <c r="O239" s="1">
        <v>1797</v>
      </c>
      <c r="P239" s="1">
        <v>1804</v>
      </c>
      <c r="Q239" s="1">
        <v>1790</v>
      </c>
      <c r="R239" s="1">
        <v>1794</v>
      </c>
      <c r="S239" s="1">
        <v>1790</v>
      </c>
      <c r="T239" s="1">
        <v>1768</v>
      </c>
      <c r="U239" s="1">
        <v>1740</v>
      </c>
      <c r="V239" s="1">
        <v>1775</v>
      </c>
      <c r="W239" s="1">
        <v>1783</v>
      </c>
      <c r="X239" s="1">
        <v>1785</v>
      </c>
      <c r="Y239" s="1">
        <v>1744</v>
      </c>
      <c r="Z239" s="1">
        <v>1707</v>
      </c>
      <c r="AA239" s="1">
        <v>1625</v>
      </c>
      <c r="AB239" s="1">
        <v>1609</v>
      </c>
      <c r="AC239" s="1">
        <v>1608</v>
      </c>
      <c r="AD239" s="1">
        <v>1638</v>
      </c>
      <c r="AE239" s="1">
        <v>1700</v>
      </c>
      <c r="AF239" s="1">
        <v>1703</v>
      </c>
      <c r="AG239" s="1">
        <v>1750</v>
      </c>
      <c r="AH239" s="1">
        <v>1736</v>
      </c>
      <c r="AI239" s="1">
        <v>1810</v>
      </c>
      <c r="AJ239" s="1">
        <v>1815</v>
      </c>
      <c r="AK239" s="1">
        <v>1775</v>
      </c>
      <c r="AL239" s="1">
        <v>1785</v>
      </c>
      <c r="AM239" s="1">
        <v>1793</v>
      </c>
      <c r="AN239" s="1">
        <v>1840</v>
      </c>
      <c r="AO239" s="1">
        <v>1781</v>
      </c>
      <c r="AP239" s="1">
        <v>1815</v>
      </c>
      <c r="AQ239" s="1">
        <v>1850</v>
      </c>
      <c r="AR239" s="1">
        <v>1836</v>
      </c>
      <c r="AS239" s="1">
        <v>1808</v>
      </c>
      <c r="AT239" s="1">
        <v>1793</v>
      </c>
      <c r="AU239" s="1">
        <v>1826</v>
      </c>
      <c r="AV239" s="1">
        <v>1705</v>
      </c>
      <c r="AW239" s="1">
        <v>1706</v>
      </c>
      <c r="AX239" s="1">
        <v>1710</v>
      </c>
      <c r="AY239" s="1">
        <v>1797</v>
      </c>
      <c r="AZ239" s="1">
        <v>1760</v>
      </c>
      <c r="BA239" s="1">
        <v>1773</v>
      </c>
      <c r="BB239" s="1">
        <v>1767</v>
      </c>
      <c r="BC239" s="1">
        <v>1723</v>
      </c>
      <c r="BD239" s="1">
        <v>1717</v>
      </c>
      <c r="BE239" s="1">
        <v>1710</v>
      </c>
      <c r="BF239" s="1">
        <v>1745</v>
      </c>
      <c r="BG239" s="1">
        <v>1726</v>
      </c>
      <c r="BH239" s="1">
        <v>1796</v>
      </c>
      <c r="BI239" s="1">
        <v>1814</v>
      </c>
      <c r="BJ239" s="1">
        <v>1736</v>
      </c>
      <c r="BK239" s="1">
        <v>1600</v>
      </c>
      <c r="BL239" s="1">
        <v>1540</v>
      </c>
      <c r="BM239" s="1">
        <v>1559</v>
      </c>
      <c r="BN239" s="1">
        <v>1550</v>
      </c>
      <c r="BO239" s="1">
        <v>1571</v>
      </c>
      <c r="BP239" s="1">
        <v>1555</v>
      </c>
      <c r="BQ239" s="1">
        <v>1595</v>
      </c>
      <c r="BR239" s="1">
        <v>1593</v>
      </c>
      <c r="BS239" s="1">
        <v>1585</v>
      </c>
      <c r="BT239" s="1">
        <v>1574</v>
      </c>
      <c r="BU239" s="1">
        <v>1577</v>
      </c>
      <c r="BV239" s="1">
        <v>1578</v>
      </c>
      <c r="BW239" s="1">
        <v>1498</v>
      </c>
      <c r="BX239" s="1">
        <v>1452</v>
      </c>
      <c r="BY239" s="1">
        <v>1433</v>
      </c>
      <c r="BZ239" s="1">
        <v>1490</v>
      </c>
    </row>
    <row r="240" spans="1:78">
      <c r="A240" s="74" t="s">
        <v>453</v>
      </c>
      <c r="B240" s="1" t="str">
        <f>銘柄管理!C240</f>
        <v>ダイトロン</v>
      </c>
      <c r="C240" s="544">
        <f>_xll.RssMarket("7609","始値")</f>
        <v>4150</v>
      </c>
      <c r="E240" s="550">
        <v>3820</v>
      </c>
      <c r="F240" s="1">
        <v>3390</v>
      </c>
      <c r="G240" s="1">
        <v>3305</v>
      </c>
      <c r="H240" s="1">
        <v>3100</v>
      </c>
      <c r="I240" s="1">
        <v>3270</v>
      </c>
      <c r="J240" s="1">
        <v>3350</v>
      </c>
      <c r="K240" s="1">
        <v>3500</v>
      </c>
      <c r="M240" s="1">
        <v>3550</v>
      </c>
      <c r="N240" s="1">
        <v>3455</v>
      </c>
      <c r="O240" s="1">
        <v>3350</v>
      </c>
      <c r="P240" s="1">
        <v>3345</v>
      </c>
      <c r="Q240" s="1">
        <v>3395</v>
      </c>
      <c r="R240" s="1">
        <v>3355</v>
      </c>
      <c r="S240" s="1">
        <v>3550</v>
      </c>
      <c r="T240" s="1">
        <v>3520</v>
      </c>
      <c r="U240" s="1">
        <v>3460</v>
      </c>
      <c r="V240" s="1">
        <v>3415</v>
      </c>
      <c r="W240" s="1">
        <v>3610</v>
      </c>
      <c r="X240" s="1">
        <v>3705</v>
      </c>
      <c r="Y240" s="1">
        <v>3515</v>
      </c>
      <c r="Z240" s="1">
        <v>3715</v>
      </c>
      <c r="AA240" s="1">
        <v>3740</v>
      </c>
      <c r="AB240" s="1">
        <v>3700</v>
      </c>
      <c r="AC240" s="1">
        <v>3705</v>
      </c>
      <c r="AD240" s="1">
        <v>3750</v>
      </c>
      <c r="AE240" s="1">
        <v>3765</v>
      </c>
      <c r="AF240" s="1">
        <v>3715</v>
      </c>
      <c r="AG240" s="1">
        <v>3915</v>
      </c>
      <c r="AH240" s="1">
        <v>3925</v>
      </c>
      <c r="AI240" s="1">
        <v>3860</v>
      </c>
      <c r="AJ240" s="1">
        <v>3775</v>
      </c>
      <c r="AK240" s="1">
        <v>3525</v>
      </c>
      <c r="AL240" s="1">
        <v>3630</v>
      </c>
      <c r="AM240" s="1">
        <v>3605</v>
      </c>
      <c r="AN240" s="1">
        <v>3490</v>
      </c>
      <c r="AO240" s="1">
        <v>3350</v>
      </c>
      <c r="AP240" s="1">
        <v>3525</v>
      </c>
      <c r="AQ240" s="1">
        <v>3565</v>
      </c>
      <c r="AR240" s="1">
        <v>3735</v>
      </c>
      <c r="AS240" s="1">
        <v>3635</v>
      </c>
      <c r="AT240" s="1">
        <v>3640</v>
      </c>
      <c r="AU240" s="1">
        <v>3495</v>
      </c>
      <c r="AV240" s="1">
        <v>3610</v>
      </c>
      <c r="AW240" s="1">
        <v>3480</v>
      </c>
      <c r="AX240" s="1">
        <v>3665</v>
      </c>
      <c r="AY240" s="1">
        <v>3620</v>
      </c>
      <c r="AZ240" s="1">
        <v>3600</v>
      </c>
      <c r="BA240" s="1">
        <v>3540</v>
      </c>
      <c r="BB240" s="1">
        <v>3535</v>
      </c>
      <c r="BC240" s="1">
        <v>3875</v>
      </c>
      <c r="BD240" s="1">
        <v>3840</v>
      </c>
      <c r="BE240" s="1">
        <v>4000</v>
      </c>
      <c r="BF240" s="1">
        <v>3920</v>
      </c>
      <c r="BG240" s="1">
        <v>3850</v>
      </c>
      <c r="BH240" s="1">
        <v>3935</v>
      </c>
      <c r="BI240" s="1">
        <v>3905</v>
      </c>
      <c r="BJ240" s="1">
        <v>3850</v>
      </c>
      <c r="BK240" s="1">
        <v>3290</v>
      </c>
      <c r="BL240" s="1">
        <v>2944</v>
      </c>
      <c r="BM240" s="1">
        <v>2870</v>
      </c>
      <c r="BN240" s="1">
        <v>2895</v>
      </c>
      <c r="BO240" s="1">
        <v>2891</v>
      </c>
      <c r="BP240" s="1">
        <v>2906</v>
      </c>
      <c r="BQ240" s="1">
        <v>2827</v>
      </c>
      <c r="BR240" s="1">
        <v>2881</v>
      </c>
      <c r="BS240" s="1">
        <v>2877</v>
      </c>
      <c r="BT240" s="1">
        <v>2861</v>
      </c>
      <c r="BU240" s="1">
        <v>2957</v>
      </c>
      <c r="BV240" s="1">
        <v>2885</v>
      </c>
      <c r="BW240" s="1">
        <v>2969</v>
      </c>
      <c r="BX240" s="1">
        <v>2832</v>
      </c>
      <c r="BY240" s="1">
        <v>2798</v>
      </c>
      <c r="BZ240" s="1">
        <v>2791</v>
      </c>
    </row>
    <row r="241" spans="1:78">
      <c r="A241" s="74" t="s">
        <v>454</v>
      </c>
      <c r="B241" s="1" t="str">
        <f>銘柄管理!C241</f>
        <v>イトーキ</v>
      </c>
      <c r="C241" s="544">
        <f>_xll.RssMarket("7972","始値")</f>
        <v>2897</v>
      </c>
      <c r="E241" s="550">
        <v>2905</v>
      </c>
      <c r="F241" s="1">
        <v>2924</v>
      </c>
      <c r="G241" s="1">
        <v>2916</v>
      </c>
      <c r="H241" s="1">
        <v>2881</v>
      </c>
      <c r="I241" s="1">
        <v>2940</v>
      </c>
      <c r="J241" s="1">
        <v>2954</v>
      </c>
      <c r="K241" s="1">
        <v>2912</v>
      </c>
      <c r="L241" s="1">
        <v>2820</v>
      </c>
      <c r="M241" s="1">
        <v>2823</v>
      </c>
      <c r="N241" s="1">
        <v>2858</v>
      </c>
      <c r="O241" s="1">
        <v>2670</v>
      </c>
      <c r="P241" s="1">
        <v>2810</v>
      </c>
      <c r="Q241" s="1">
        <v>2870</v>
      </c>
      <c r="R241" s="1">
        <v>2778</v>
      </c>
      <c r="S241" s="1">
        <v>2820</v>
      </c>
      <c r="T241" s="1">
        <v>2860</v>
      </c>
      <c r="U241" s="1">
        <v>2830</v>
      </c>
      <c r="V241" s="1">
        <v>2875</v>
      </c>
      <c r="W241" s="1">
        <v>2840</v>
      </c>
      <c r="X241" s="1">
        <v>2772</v>
      </c>
      <c r="Y241" s="1">
        <v>2690</v>
      </c>
      <c r="Z241" s="1">
        <v>2642</v>
      </c>
      <c r="AA241" s="1">
        <v>2643</v>
      </c>
      <c r="AB241" s="1">
        <v>2675</v>
      </c>
      <c r="AC241" s="1">
        <v>2640</v>
      </c>
      <c r="AD241" s="1">
        <v>2621</v>
      </c>
      <c r="AE241" s="1">
        <v>2588</v>
      </c>
      <c r="AF241" s="1">
        <v>2525</v>
      </c>
      <c r="AG241" s="1">
        <v>2584</v>
      </c>
      <c r="AH241" s="1">
        <v>2499</v>
      </c>
      <c r="AI241" s="1">
        <v>2486</v>
      </c>
      <c r="AJ241" s="1">
        <v>2438</v>
      </c>
      <c r="AK241" s="1">
        <v>2455</v>
      </c>
      <c r="AL241" s="1">
        <v>2446</v>
      </c>
      <c r="AM241" s="1">
        <v>2480</v>
      </c>
      <c r="AN241" s="1">
        <v>2416</v>
      </c>
      <c r="AO241" s="1">
        <v>2396</v>
      </c>
      <c r="AP241" s="1">
        <v>2403</v>
      </c>
      <c r="AQ241" s="1">
        <v>2381</v>
      </c>
      <c r="AR241" s="1">
        <v>2411</v>
      </c>
      <c r="AS241" s="1">
        <v>2396</v>
      </c>
      <c r="AT241" s="1">
        <v>2405</v>
      </c>
      <c r="AU241" s="1">
        <v>2480</v>
      </c>
      <c r="AV241" s="1">
        <v>2619</v>
      </c>
      <c r="AW241" s="1">
        <v>2699</v>
      </c>
      <c r="AX241" s="1">
        <v>2700</v>
      </c>
      <c r="AY241" s="1">
        <v>2624</v>
      </c>
      <c r="AZ241" s="1">
        <v>2611</v>
      </c>
      <c r="BA241" s="1">
        <v>2699</v>
      </c>
      <c r="BB241" s="1">
        <v>2718</v>
      </c>
      <c r="BC241" s="1">
        <v>2737</v>
      </c>
      <c r="BD241" s="1">
        <v>2722</v>
      </c>
      <c r="BE241" s="1">
        <v>2789</v>
      </c>
      <c r="BF241" s="1">
        <v>2805</v>
      </c>
      <c r="BG241" s="1">
        <v>2799</v>
      </c>
      <c r="BH241" s="1">
        <v>2799</v>
      </c>
      <c r="BI241" s="1">
        <v>2894</v>
      </c>
      <c r="BJ241" s="1">
        <v>2920</v>
      </c>
      <c r="BK241" s="1">
        <v>3225</v>
      </c>
      <c r="BL241" s="1">
        <v>3145</v>
      </c>
      <c r="BM241" s="1">
        <v>3220</v>
      </c>
      <c r="BN241" s="1">
        <v>3215</v>
      </c>
      <c r="BO241" s="1">
        <v>3175</v>
      </c>
      <c r="BP241" s="1">
        <v>3195</v>
      </c>
      <c r="BQ241" s="1">
        <v>3210</v>
      </c>
      <c r="BR241" s="1">
        <v>3295</v>
      </c>
      <c r="BS241" s="1">
        <v>3325</v>
      </c>
      <c r="BT241" s="1">
        <v>3315</v>
      </c>
      <c r="BU241" s="1">
        <v>3335</v>
      </c>
      <c r="BV241" s="1">
        <v>3365</v>
      </c>
      <c r="BW241" s="1">
        <v>3590</v>
      </c>
      <c r="BX241" s="1">
        <v>3600</v>
      </c>
      <c r="BY241" s="1">
        <v>3505</v>
      </c>
      <c r="BZ241" s="1">
        <v>3500</v>
      </c>
    </row>
    <row r="242" spans="1:78">
      <c r="A242" s="74" t="s">
        <v>455</v>
      </c>
      <c r="B242" s="1" t="str">
        <f>銘柄管理!C242</f>
        <v>オキサイド</v>
      </c>
      <c r="C242" s="544">
        <f>_xll.RssMarket("6521","始値")</f>
        <v>3150</v>
      </c>
      <c r="E242" s="550">
        <v>2932</v>
      </c>
      <c r="F242" s="1">
        <v>2803</v>
      </c>
      <c r="G242" s="1">
        <v>2957</v>
      </c>
      <c r="H242" s="1">
        <v>2697</v>
      </c>
      <c r="I242" s="1">
        <v>2930</v>
      </c>
      <c r="J242" s="1">
        <v>3110</v>
      </c>
      <c r="K242" s="1">
        <v>3240</v>
      </c>
      <c r="L242" s="1">
        <v>3360</v>
      </c>
      <c r="M242" s="1">
        <v>3385</v>
      </c>
      <c r="N242" s="1">
        <v>3490</v>
      </c>
      <c r="O242" s="1">
        <v>3400</v>
      </c>
      <c r="P242" s="1">
        <v>3550</v>
      </c>
      <c r="Q242" s="1">
        <v>3850</v>
      </c>
      <c r="R242" s="1">
        <v>4175</v>
      </c>
      <c r="S242" s="1">
        <v>4300</v>
      </c>
      <c r="T242" s="1">
        <v>4330</v>
      </c>
      <c r="U242" s="1">
        <v>4140</v>
      </c>
      <c r="V242" s="1">
        <v>4080</v>
      </c>
      <c r="W242" s="1">
        <v>4420</v>
      </c>
      <c r="X242" s="1">
        <v>4540</v>
      </c>
      <c r="Y242" s="1">
        <v>4415</v>
      </c>
      <c r="Z242" s="1">
        <v>4530</v>
      </c>
      <c r="AA242" s="1">
        <v>4835</v>
      </c>
      <c r="AB242" s="1">
        <v>4700</v>
      </c>
      <c r="AC242" s="1">
        <v>4790</v>
      </c>
      <c r="AD242" s="1">
        <v>4870</v>
      </c>
      <c r="AE242" s="1">
        <v>5230</v>
      </c>
      <c r="AF242" s="1">
        <v>4840</v>
      </c>
      <c r="AG242" s="1">
        <v>5240</v>
      </c>
      <c r="AH242" s="1">
        <v>5000</v>
      </c>
      <c r="AI242" s="1">
        <v>4845</v>
      </c>
      <c r="AJ242" s="1">
        <v>4790</v>
      </c>
      <c r="AK242" s="1">
        <v>4555</v>
      </c>
      <c r="AL242" s="1">
        <v>4505</v>
      </c>
      <c r="AM242" s="1">
        <v>4600</v>
      </c>
      <c r="AN242" s="1">
        <v>4570</v>
      </c>
      <c r="AO242" s="1">
        <v>4360</v>
      </c>
      <c r="AP242" s="1">
        <v>4695</v>
      </c>
      <c r="AQ242" s="1">
        <v>4720</v>
      </c>
      <c r="AR242" s="1">
        <v>4870</v>
      </c>
      <c r="AS242" s="1">
        <v>5000</v>
      </c>
      <c r="AT242" s="1">
        <v>5260</v>
      </c>
      <c r="AU242" s="1">
        <v>5230</v>
      </c>
      <c r="AV242" s="1">
        <v>5940</v>
      </c>
      <c r="AW242" s="1">
        <v>5620</v>
      </c>
      <c r="AX242" s="1">
        <v>5900</v>
      </c>
      <c r="AY242" s="1">
        <v>6450</v>
      </c>
      <c r="AZ242" s="1">
        <v>5790</v>
      </c>
      <c r="BA242" s="1">
        <v>5940</v>
      </c>
      <c r="BB242" s="1">
        <v>5850</v>
      </c>
      <c r="BC242" s="1">
        <v>6710</v>
      </c>
      <c r="BD242" s="1">
        <v>6330</v>
      </c>
      <c r="BE242" s="1">
        <v>6500</v>
      </c>
      <c r="BF242" s="1">
        <v>6320</v>
      </c>
      <c r="BG242" s="1">
        <v>6050</v>
      </c>
      <c r="BH242" s="1">
        <v>6540</v>
      </c>
      <c r="BI242" s="1">
        <v>6710</v>
      </c>
      <c r="BJ242" s="1">
        <v>5150</v>
      </c>
      <c r="BK242" s="1">
        <v>4800</v>
      </c>
      <c r="BL242" s="1">
        <v>4580</v>
      </c>
      <c r="BM242" s="1">
        <v>4750</v>
      </c>
      <c r="BN242" s="1">
        <v>4600</v>
      </c>
      <c r="BO242" s="1">
        <v>4710</v>
      </c>
      <c r="BP242" s="1">
        <v>4670</v>
      </c>
      <c r="BQ242" s="1">
        <v>4895</v>
      </c>
      <c r="BR242" s="1">
        <v>5140</v>
      </c>
      <c r="BS242" s="1">
        <v>4595</v>
      </c>
      <c r="BT242" s="1">
        <v>4120</v>
      </c>
      <c r="BU242" s="1">
        <v>4485</v>
      </c>
      <c r="BV242" s="1">
        <v>4350</v>
      </c>
      <c r="BW242" s="1">
        <v>4990</v>
      </c>
      <c r="BX242" s="1">
        <v>5150</v>
      </c>
      <c r="BY242" s="1">
        <v>4645</v>
      </c>
      <c r="BZ242" s="1">
        <v>4595</v>
      </c>
    </row>
    <row r="243" spans="1:78">
      <c r="A243" s="74" t="s">
        <v>456</v>
      </c>
      <c r="B243" s="1" t="str">
        <f>銘柄管理!C243</f>
        <v>クオルテック</v>
      </c>
      <c r="C243" s="544">
        <f>_xll.RssMarket("9165","始値")</f>
        <v>1750</v>
      </c>
      <c r="E243" s="550">
        <v>1696</v>
      </c>
      <c r="F243" s="1">
        <v>1715</v>
      </c>
      <c r="G243" s="1">
        <v>1741</v>
      </c>
      <c r="H243" s="1">
        <v>1690</v>
      </c>
      <c r="I243" s="1">
        <v>1688</v>
      </c>
      <c r="J243" s="1">
        <v>1715</v>
      </c>
      <c r="K243" s="1">
        <v>1695</v>
      </c>
      <c r="L243" s="1">
        <v>1710</v>
      </c>
      <c r="M243" s="1">
        <v>1711</v>
      </c>
      <c r="N243" s="1">
        <v>1715</v>
      </c>
      <c r="O243" s="1">
        <v>1695</v>
      </c>
      <c r="P243" s="1">
        <v>1700</v>
      </c>
      <c r="Q243" s="1">
        <v>1745</v>
      </c>
      <c r="R243" s="1">
        <v>1747</v>
      </c>
      <c r="S243" s="1">
        <v>1753</v>
      </c>
      <c r="T243" s="1">
        <v>1775</v>
      </c>
      <c r="U243" s="1">
        <v>1745</v>
      </c>
      <c r="V243" s="1">
        <v>1729</v>
      </c>
      <c r="W243" s="1">
        <v>1753</v>
      </c>
      <c r="X243" s="1">
        <v>1777</v>
      </c>
      <c r="Y243" s="1">
        <v>1734</v>
      </c>
      <c r="Z243" s="1">
        <v>1761</v>
      </c>
      <c r="AA243" s="1">
        <v>1735</v>
      </c>
      <c r="AB243" s="1">
        <v>1706</v>
      </c>
      <c r="AC243" s="1">
        <v>1730</v>
      </c>
      <c r="AD243" s="1">
        <v>1750</v>
      </c>
      <c r="AE243" s="1">
        <v>1742</v>
      </c>
      <c r="AF243" s="1">
        <v>1761</v>
      </c>
      <c r="AG243" s="1">
        <v>1819</v>
      </c>
      <c r="AH243" s="1">
        <v>1724</v>
      </c>
      <c r="AI243" s="1">
        <v>1746</v>
      </c>
      <c r="AJ243" s="1">
        <v>1692</v>
      </c>
      <c r="AK243" s="1">
        <v>1686</v>
      </c>
      <c r="AL243" s="1">
        <v>1711</v>
      </c>
      <c r="AM243" s="1">
        <v>1718</v>
      </c>
      <c r="AN243" s="1">
        <v>1701</v>
      </c>
      <c r="AO243" s="1">
        <v>1667</v>
      </c>
      <c r="AP243" s="1">
        <v>1714</v>
      </c>
      <c r="AQ243" s="1">
        <v>1761</v>
      </c>
      <c r="AR243" s="1">
        <v>1801</v>
      </c>
      <c r="AS243" s="1">
        <v>1808</v>
      </c>
      <c r="AT243" s="1">
        <v>1781</v>
      </c>
      <c r="AU243" s="1">
        <v>1815</v>
      </c>
      <c r="AV243" s="1">
        <v>1872</v>
      </c>
      <c r="AW243" s="1">
        <v>1928</v>
      </c>
      <c r="AX243" s="1">
        <v>2067</v>
      </c>
      <c r="AY243" s="1">
        <v>2350</v>
      </c>
      <c r="AZ243" s="1">
        <v>1790</v>
      </c>
      <c r="BA243" s="1">
        <v>1825</v>
      </c>
      <c r="BB243" s="1">
        <v>1850</v>
      </c>
      <c r="BC243" s="1">
        <v>1850</v>
      </c>
      <c r="BD243" s="1">
        <v>1712</v>
      </c>
      <c r="BE243" s="1">
        <v>1736</v>
      </c>
      <c r="BF243" s="1">
        <v>1784</v>
      </c>
      <c r="BG243" s="1">
        <v>1725</v>
      </c>
      <c r="BH243" s="1">
        <v>1850</v>
      </c>
      <c r="BI243" s="1">
        <v>1840</v>
      </c>
      <c r="BJ243" s="1">
        <v>1680</v>
      </c>
      <c r="BK243" s="1">
        <v>1476</v>
      </c>
      <c r="BL243" s="1">
        <v>1471</v>
      </c>
      <c r="BM243" s="1">
        <v>1479</v>
      </c>
      <c r="BN243" s="1">
        <v>1460</v>
      </c>
      <c r="BO243" s="1">
        <v>1480</v>
      </c>
      <c r="BP243" s="1">
        <v>1468</v>
      </c>
      <c r="BQ243" s="1">
        <v>1467</v>
      </c>
      <c r="BR243" s="1">
        <v>1470</v>
      </c>
      <c r="BS243" s="1">
        <v>1450</v>
      </c>
      <c r="BT243" s="1">
        <v>1447</v>
      </c>
      <c r="BU243" s="1">
        <v>1464</v>
      </c>
      <c r="BV243" s="1">
        <v>1458</v>
      </c>
      <c r="BW243" s="1">
        <v>1456</v>
      </c>
      <c r="BX243" s="1">
        <v>1445</v>
      </c>
      <c r="BY243" s="1">
        <v>1430</v>
      </c>
      <c r="BZ243" s="1">
        <v>1434</v>
      </c>
    </row>
    <row r="244" spans="1:78">
      <c r="A244" s="74" t="s">
        <v>457</v>
      </c>
      <c r="B244" s="1" t="str">
        <f>銘柄管理!C244</f>
        <v>デンソー</v>
      </c>
      <c r="C244" s="544">
        <f>_xll.RssMarket("6902","始値")</f>
        <v>1897.5</v>
      </c>
      <c r="E244" s="550">
        <v>1921</v>
      </c>
      <c r="F244" s="1">
        <v>1968</v>
      </c>
      <c r="G244" s="1">
        <v>2100.5</v>
      </c>
      <c r="H244" s="1">
        <v>2205</v>
      </c>
      <c r="I244" s="1">
        <v>2120</v>
      </c>
      <c r="J244" s="1">
        <v>2060</v>
      </c>
      <c r="K244" s="1">
        <v>2000</v>
      </c>
      <c r="L244" s="1">
        <v>1972</v>
      </c>
      <c r="M244" s="1">
        <v>1985.5</v>
      </c>
      <c r="N244" s="1">
        <v>1992.5</v>
      </c>
      <c r="O244" s="1">
        <v>1980.5</v>
      </c>
      <c r="P244" s="1">
        <v>1971</v>
      </c>
      <c r="Q244" s="1">
        <v>1957</v>
      </c>
      <c r="R244" s="1">
        <v>1941</v>
      </c>
      <c r="S244" s="1">
        <v>1937</v>
      </c>
      <c r="T244" s="1">
        <v>1958.5</v>
      </c>
      <c r="U244" s="1">
        <v>1925</v>
      </c>
      <c r="V244" s="1">
        <v>1970</v>
      </c>
      <c r="W244" s="1">
        <v>2016</v>
      </c>
      <c r="X244" s="1">
        <v>1980</v>
      </c>
      <c r="Y244" s="1">
        <v>1969</v>
      </c>
      <c r="Z244" s="1">
        <v>1898</v>
      </c>
      <c r="AA244" s="1">
        <v>1878</v>
      </c>
      <c r="AB244" s="1">
        <v>1896</v>
      </c>
      <c r="AC244" s="1">
        <v>1892</v>
      </c>
      <c r="AD244" s="1">
        <v>1879.5</v>
      </c>
      <c r="AE244" s="1">
        <v>1890</v>
      </c>
      <c r="AF244" s="1">
        <v>1885</v>
      </c>
      <c r="AG244" s="1">
        <v>1888</v>
      </c>
      <c r="AH244" s="1">
        <v>1888</v>
      </c>
      <c r="AI244" s="1">
        <v>1930</v>
      </c>
      <c r="AJ244" s="1">
        <v>1917</v>
      </c>
      <c r="AK244" s="1">
        <v>1920</v>
      </c>
      <c r="AL244" s="1">
        <v>1886.5</v>
      </c>
      <c r="AM244" s="1">
        <v>1886</v>
      </c>
      <c r="AN244" s="1">
        <v>1851</v>
      </c>
      <c r="AO244" s="1">
        <v>1824</v>
      </c>
      <c r="AP244" s="1">
        <v>1920</v>
      </c>
      <c r="AQ244" s="1">
        <v>1880</v>
      </c>
      <c r="AR244" s="1">
        <v>1907</v>
      </c>
      <c r="AS244" s="1">
        <v>1904.5</v>
      </c>
      <c r="AT244" s="1">
        <v>1874.5</v>
      </c>
      <c r="AU244" s="1">
        <v>1853</v>
      </c>
      <c r="AV244" s="1">
        <v>1870</v>
      </c>
      <c r="AW244" s="1">
        <v>1889</v>
      </c>
      <c r="AX244" s="1">
        <v>1860</v>
      </c>
      <c r="AY244" s="1">
        <v>1850</v>
      </c>
      <c r="AZ244" s="1">
        <v>1850</v>
      </c>
      <c r="BA244" s="1">
        <v>1860</v>
      </c>
      <c r="BB244" s="1">
        <v>1865</v>
      </c>
      <c r="BC244" s="1">
        <v>1866</v>
      </c>
      <c r="BD244" s="1">
        <v>1900</v>
      </c>
      <c r="BE244" s="1">
        <v>1885.5</v>
      </c>
      <c r="BF244" s="1">
        <v>1850</v>
      </c>
      <c r="BG244" s="1">
        <v>1872</v>
      </c>
      <c r="BH244" s="1">
        <v>1871</v>
      </c>
      <c r="BI244" s="1">
        <v>1888</v>
      </c>
      <c r="BJ244" s="1">
        <v>1945</v>
      </c>
      <c r="BK244" s="1">
        <v>1895</v>
      </c>
      <c r="BL244" s="1">
        <v>1850</v>
      </c>
      <c r="BM244" s="1">
        <v>1843</v>
      </c>
      <c r="BN244" s="1">
        <v>1914</v>
      </c>
      <c r="BO244" s="1">
        <v>1895.5</v>
      </c>
      <c r="BP244" s="1">
        <v>1890</v>
      </c>
      <c r="BQ244" s="1">
        <v>1916.5</v>
      </c>
      <c r="BR244" s="1">
        <v>1933</v>
      </c>
      <c r="BS244" s="1">
        <v>1970</v>
      </c>
      <c r="BT244" s="1">
        <v>1953</v>
      </c>
      <c r="BU244" s="1">
        <v>1931</v>
      </c>
      <c r="BV244" s="1">
        <v>1924</v>
      </c>
      <c r="BW244" s="1">
        <v>1938</v>
      </c>
      <c r="BX244" s="1">
        <v>1930</v>
      </c>
      <c r="BY244" s="1">
        <v>1911</v>
      </c>
      <c r="BZ244" s="1">
        <v>1951.5</v>
      </c>
    </row>
    <row r="245" spans="1:78">
      <c r="A245" s="74" t="s">
        <v>458</v>
      </c>
      <c r="B245" s="1" t="str">
        <f>銘柄管理!C245</f>
        <v>グローバルウェイ</v>
      </c>
      <c r="C245" s="544">
        <f>_xll.RssMarket("3936","始値")</f>
        <v>160</v>
      </c>
    </row>
    <row r="246" spans="1:78">
      <c r="A246" s="74" t="s">
        <v>459</v>
      </c>
      <c r="B246" s="1" t="str">
        <f>銘柄管理!C246</f>
        <v>エノモト</v>
      </c>
      <c r="C246" s="544">
        <f>_xll.RssMarket("6928","始値")</f>
        <v>2575</v>
      </c>
      <c r="E246" s="550">
        <v>2435</v>
      </c>
      <c r="F246" s="1">
        <v>2334</v>
      </c>
      <c r="G246" s="1">
        <v>2377</v>
      </c>
      <c r="H246" s="1">
        <v>2179</v>
      </c>
      <c r="I246" s="1">
        <v>2365</v>
      </c>
      <c r="J246" s="1">
        <v>2514</v>
      </c>
      <c r="K246" s="1">
        <v>2571</v>
      </c>
      <c r="L246" s="1">
        <v>2598</v>
      </c>
      <c r="M246" s="1">
        <v>2640</v>
      </c>
      <c r="N246" s="1">
        <v>2625</v>
      </c>
      <c r="O246" s="1">
        <v>2618</v>
      </c>
      <c r="P246" s="1">
        <v>2735</v>
      </c>
      <c r="Q246" s="1">
        <v>2870</v>
      </c>
      <c r="R246" s="1">
        <v>2870</v>
      </c>
      <c r="S246" s="1">
        <v>2891</v>
      </c>
      <c r="T246" s="1">
        <v>2838</v>
      </c>
      <c r="U246" s="1">
        <v>2760</v>
      </c>
      <c r="V246" s="1">
        <v>2780</v>
      </c>
      <c r="W246" s="1">
        <v>2900</v>
      </c>
      <c r="X246" s="1">
        <v>2911</v>
      </c>
      <c r="Y246" s="1">
        <v>2895</v>
      </c>
      <c r="Z246" s="1">
        <v>3000</v>
      </c>
      <c r="AA246" s="1">
        <v>3090</v>
      </c>
      <c r="AB246" s="1">
        <v>3135</v>
      </c>
      <c r="AC246" s="1">
        <v>3165</v>
      </c>
      <c r="AD246" s="1">
        <v>3325</v>
      </c>
      <c r="AE246" s="1">
        <v>3445</v>
      </c>
      <c r="AF246" s="1">
        <v>3355</v>
      </c>
      <c r="AG246" s="1">
        <v>3520</v>
      </c>
      <c r="AH246" s="1">
        <v>3535</v>
      </c>
      <c r="AI246" s="1">
        <v>3550</v>
      </c>
      <c r="AJ246" s="1">
        <v>3365</v>
      </c>
      <c r="AK246" s="1">
        <v>3275</v>
      </c>
      <c r="AL246" s="1">
        <v>3385</v>
      </c>
      <c r="AM246" s="1">
        <v>3230</v>
      </c>
      <c r="AN246" s="1">
        <v>3385</v>
      </c>
      <c r="AO246" s="1">
        <v>3355</v>
      </c>
      <c r="AP246" s="1">
        <v>3500</v>
      </c>
      <c r="AQ246" s="1">
        <v>3495</v>
      </c>
      <c r="AR246" s="1">
        <v>3675</v>
      </c>
      <c r="AS246" s="1">
        <v>3700</v>
      </c>
      <c r="AT246" s="1">
        <v>3715</v>
      </c>
      <c r="AU246" s="1">
        <v>3880</v>
      </c>
      <c r="AV246" s="1">
        <v>3795</v>
      </c>
      <c r="AW246" s="1">
        <v>3510</v>
      </c>
      <c r="AX246" s="1">
        <v>3745</v>
      </c>
      <c r="AY246" s="1">
        <v>3650</v>
      </c>
      <c r="AZ246" s="1">
        <v>3500</v>
      </c>
      <c r="BA246" s="1">
        <v>3570</v>
      </c>
      <c r="BB246" s="1">
        <v>3475</v>
      </c>
      <c r="BC246" s="1">
        <v>3560</v>
      </c>
      <c r="BD246" s="1">
        <v>3470</v>
      </c>
      <c r="BE246" s="1">
        <v>3505</v>
      </c>
      <c r="BF246" s="1">
        <v>3530</v>
      </c>
      <c r="BG246" s="1">
        <v>3415</v>
      </c>
      <c r="BH246" s="1">
        <v>3480</v>
      </c>
      <c r="BI246" s="1">
        <v>3760</v>
      </c>
      <c r="BJ246" s="1">
        <v>3530</v>
      </c>
      <c r="BK246" s="1">
        <v>3580</v>
      </c>
      <c r="BL246" s="1">
        <v>3295</v>
      </c>
      <c r="BM246" s="1">
        <v>3150</v>
      </c>
      <c r="BN246" s="1">
        <v>3165</v>
      </c>
      <c r="BO246" s="1">
        <v>3165</v>
      </c>
      <c r="BP246" s="1">
        <v>3165</v>
      </c>
      <c r="BQ246" s="1">
        <v>3185</v>
      </c>
      <c r="BR246" s="1">
        <v>3185</v>
      </c>
      <c r="BS246" s="1">
        <v>3230</v>
      </c>
      <c r="BT246" s="1">
        <v>3270</v>
      </c>
      <c r="BU246" s="1">
        <v>3335</v>
      </c>
      <c r="BV246" s="1">
        <v>3290</v>
      </c>
      <c r="BW246" s="1">
        <v>3255</v>
      </c>
      <c r="BX246" s="1">
        <v>3220</v>
      </c>
      <c r="BY246" s="1">
        <v>3125</v>
      </c>
      <c r="BZ246" s="1">
        <v>3110</v>
      </c>
    </row>
    <row r="247" spans="1:78">
      <c r="A247" s="74" t="s">
        <v>460</v>
      </c>
      <c r="B247" s="1" t="str">
        <f>銘柄管理!C247</f>
        <v>三菱製鋼</v>
      </c>
      <c r="C247" s="544">
        <f>_xll.RssMarket("5632","始値")</f>
        <v>2206</v>
      </c>
      <c r="E247" s="550">
        <v>2148</v>
      </c>
      <c r="F247" s="1">
        <v>2157</v>
      </c>
      <c r="G247" s="1">
        <v>2157</v>
      </c>
      <c r="H247" s="1">
        <v>2105</v>
      </c>
      <c r="I247" s="1">
        <v>2135</v>
      </c>
      <c r="J247" s="1">
        <v>2198</v>
      </c>
      <c r="K247" s="1">
        <v>2197</v>
      </c>
      <c r="M247" s="1">
        <v>2165</v>
      </c>
      <c r="N247" s="1">
        <v>2157</v>
      </c>
      <c r="O247" s="1">
        <v>2102</v>
      </c>
      <c r="P247" s="1">
        <v>2145</v>
      </c>
      <c r="Q247" s="1">
        <v>2170</v>
      </c>
      <c r="R247" s="1">
        <v>2109</v>
      </c>
      <c r="S247" s="1">
        <v>2137</v>
      </c>
      <c r="T247" s="1">
        <v>2114</v>
      </c>
      <c r="U247" s="1">
        <v>2122</v>
      </c>
      <c r="V247" s="1">
        <v>2158</v>
      </c>
      <c r="W247" s="1">
        <v>2208</v>
      </c>
      <c r="X247" s="1">
        <v>2211</v>
      </c>
      <c r="Y247" s="1">
        <v>2169</v>
      </c>
      <c r="Z247" s="1">
        <v>2117</v>
      </c>
      <c r="AA247" s="1">
        <v>2152</v>
      </c>
      <c r="AB247" s="1">
        <v>2180</v>
      </c>
      <c r="AC247" s="1">
        <v>2200</v>
      </c>
      <c r="AD247" s="1">
        <v>2228</v>
      </c>
      <c r="AE247" s="1">
        <v>2250</v>
      </c>
      <c r="AF247" s="1">
        <v>2258</v>
      </c>
      <c r="AG247" s="1">
        <v>2430</v>
      </c>
      <c r="AH247" s="1">
        <v>2333</v>
      </c>
      <c r="AI247" s="1">
        <v>2301</v>
      </c>
      <c r="AJ247" s="1">
        <v>2169</v>
      </c>
      <c r="AK247" s="1">
        <v>2162</v>
      </c>
      <c r="AL247" s="1">
        <v>2200</v>
      </c>
      <c r="AM247" s="1">
        <v>2175</v>
      </c>
      <c r="AN247" s="1">
        <v>2133</v>
      </c>
      <c r="AO247" s="1">
        <v>2100</v>
      </c>
      <c r="AP247" s="1">
        <v>2089</v>
      </c>
      <c r="AQ247" s="1">
        <v>2100</v>
      </c>
      <c r="AR247" s="1">
        <v>2120</v>
      </c>
      <c r="AS247" s="1">
        <v>2060</v>
      </c>
      <c r="AT247" s="1">
        <v>2099</v>
      </c>
      <c r="AU247" s="1">
        <v>2088</v>
      </c>
      <c r="AV247" s="1">
        <v>2128</v>
      </c>
      <c r="AW247" s="1">
        <v>2122</v>
      </c>
      <c r="AX247" s="1">
        <v>2115</v>
      </c>
      <c r="AY247" s="1">
        <v>2155</v>
      </c>
      <c r="AZ247" s="1">
        <v>2110</v>
      </c>
      <c r="BA247" s="1">
        <v>2048</v>
      </c>
      <c r="BB247" s="1">
        <v>2061</v>
      </c>
      <c r="BC247" s="1">
        <v>2080</v>
      </c>
      <c r="BD247" s="1">
        <v>2145</v>
      </c>
      <c r="BE247" s="1">
        <v>2074</v>
      </c>
      <c r="BF247" s="1">
        <v>2020</v>
      </c>
      <c r="BG247" s="1">
        <v>1865</v>
      </c>
      <c r="BH247" s="1">
        <v>1902</v>
      </c>
      <c r="BI247" s="1">
        <v>1840</v>
      </c>
      <c r="BJ247" s="1">
        <v>1853</v>
      </c>
      <c r="BK247" s="1">
        <v>1838</v>
      </c>
      <c r="BL247" s="1">
        <v>1791</v>
      </c>
      <c r="BM247" s="1">
        <v>1805</v>
      </c>
      <c r="BN247" s="1">
        <v>1780</v>
      </c>
      <c r="BO247" s="1">
        <v>1793</v>
      </c>
      <c r="BP247" s="1">
        <v>1804</v>
      </c>
      <c r="BQ247" s="1">
        <v>1804</v>
      </c>
      <c r="BR247" s="1">
        <v>1833</v>
      </c>
      <c r="BS247" s="1">
        <v>1843</v>
      </c>
      <c r="BT247" s="1">
        <v>1841</v>
      </c>
      <c r="BU247" s="1">
        <v>1826</v>
      </c>
      <c r="BV247" s="1">
        <v>1828</v>
      </c>
      <c r="BW247" s="1">
        <v>1833</v>
      </c>
      <c r="BX247" s="1">
        <v>1802</v>
      </c>
      <c r="BY247" s="1">
        <v>1788</v>
      </c>
      <c r="BZ247" s="1">
        <v>1821</v>
      </c>
    </row>
    <row r="248" spans="1:78">
      <c r="A248" s="74" t="s">
        <v>461</v>
      </c>
      <c r="B248" s="1" t="str">
        <f>銘柄管理!C248</f>
        <v>リクルートホールディングス</v>
      </c>
      <c r="C248" s="544">
        <f>_xll.RssMarket("6098","始値")</f>
        <v>12640</v>
      </c>
      <c r="E248" s="550">
        <v>12535</v>
      </c>
      <c r="F248" s="1">
        <v>12490</v>
      </c>
      <c r="G248" s="1">
        <v>12575</v>
      </c>
      <c r="H248" s="1">
        <v>13140</v>
      </c>
      <c r="I248" s="1">
        <v>12850</v>
      </c>
      <c r="J248" s="1">
        <v>12510</v>
      </c>
      <c r="K248" s="1">
        <v>12335</v>
      </c>
      <c r="L248" s="1">
        <v>12055</v>
      </c>
      <c r="M248" s="1">
        <v>12275</v>
      </c>
      <c r="N248" s="1">
        <v>12500</v>
      </c>
      <c r="O248" s="1">
        <v>12520</v>
      </c>
      <c r="P248" s="1">
        <v>12715</v>
      </c>
      <c r="Q248" s="1">
        <v>12360</v>
      </c>
      <c r="R248" s="1">
        <v>12600</v>
      </c>
      <c r="S248" s="1">
        <v>12005</v>
      </c>
      <c r="T248" s="1">
        <v>12605</v>
      </c>
      <c r="U248" s="1">
        <v>12325</v>
      </c>
      <c r="V248" s="1">
        <v>12320</v>
      </c>
      <c r="W248" s="1">
        <v>12000</v>
      </c>
      <c r="X248" s="1">
        <v>11765</v>
      </c>
      <c r="Y248" s="1">
        <v>11885</v>
      </c>
      <c r="Z248" s="1">
        <v>11985</v>
      </c>
      <c r="AA248" s="1">
        <v>11630</v>
      </c>
      <c r="AB248" s="1">
        <v>11335</v>
      </c>
      <c r="AC248" s="1">
        <v>11310</v>
      </c>
      <c r="AD248" s="1">
        <v>11220</v>
      </c>
      <c r="AE248" s="1">
        <v>11335</v>
      </c>
      <c r="AF248" s="1">
        <v>11045</v>
      </c>
      <c r="AG248" s="1">
        <v>11300</v>
      </c>
      <c r="AH248" s="1">
        <v>10820</v>
      </c>
      <c r="AI248" s="1">
        <v>11030</v>
      </c>
      <c r="AJ248" s="1">
        <v>11300</v>
      </c>
      <c r="AK248" s="1">
        <v>10640</v>
      </c>
      <c r="AL248" s="1">
        <v>10560</v>
      </c>
      <c r="AM248" s="1">
        <v>10800</v>
      </c>
      <c r="AN248" s="1">
        <v>11140</v>
      </c>
      <c r="AO248" s="1">
        <v>11080</v>
      </c>
      <c r="AP248" s="1">
        <v>11400</v>
      </c>
      <c r="AQ248" s="1">
        <v>10775</v>
      </c>
      <c r="AR248" s="1">
        <v>10915</v>
      </c>
      <c r="AS248" s="1">
        <v>10620</v>
      </c>
      <c r="AT248" s="1">
        <v>10930</v>
      </c>
      <c r="AU248" s="1">
        <v>11105</v>
      </c>
      <c r="AV248" s="1">
        <v>10375</v>
      </c>
      <c r="AW248" s="1">
        <v>9951</v>
      </c>
      <c r="AX248" s="1">
        <v>10075</v>
      </c>
      <c r="AY248" s="1">
        <v>9693</v>
      </c>
      <c r="AZ248" s="1">
        <v>9414</v>
      </c>
      <c r="BA248" s="1">
        <v>9648</v>
      </c>
      <c r="BB248" s="1">
        <v>9990</v>
      </c>
      <c r="BC248" s="1">
        <v>9322</v>
      </c>
      <c r="BD248" s="1">
        <v>9025</v>
      </c>
      <c r="BE248" s="1">
        <v>7805</v>
      </c>
      <c r="BF248" s="1">
        <v>7680</v>
      </c>
      <c r="BG248" s="1">
        <v>7688</v>
      </c>
      <c r="BH248" s="1">
        <v>7616</v>
      </c>
      <c r="BI248" s="1">
        <v>7822</v>
      </c>
      <c r="BJ248" s="1">
        <v>7848</v>
      </c>
      <c r="BK248" s="1">
        <v>7570</v>
      </c>
      <c r="BL248" s="1">
        <v>7204</v>
      </c>
      <c r="BM248" s="1">
        <v>7164</v>
      </c>
      <c r="BN248" s="1">
        <v>7452</v>
      </c>
      <c r="BO248" s="1">
        <v>7340</v>
      </c>
      <c r="BP248" s="1">
        <v>7380</v>
      </c>
      <c r="BQ248" s="1">
        <v>7567</v>
      </c>
      <c r="BR248" s="1">
        <v>7853</v>
      </c>
      <c r="BS248" s="1">
        <v>7620</v>
      </c>
      <c r="BT248" s="1">
        <v>7524</v>
      </c>
      <c r="BU248" s="1">
        <v>7300</v>
      </c>
      <c r="BV248" s="1">
        <v>7327</v>
      </c>
      <c r="BW248" s="1">
        <v>6966</v>
      </c>
      <c r="BX248" s="1">
        <v>7096</v>
      </c>
      <c r="BY248" s="1">
        <v>6975</v>
      </c>
      <c r="BZ248" s="1">
        <v>7035</v>
      </c>
    </row>
    <row r="249" spans="1:78">
      <c r="A249" s="74" t="s">
        <v>462</v>
      </c>
      <c r="B249" s="1" t="str">
        <f>銘柄管理!C249</f>
        <v>荏原製作所</v>
      </c>
      <c r="C249" s="544">
        <f>_xll.RssMarket("6361","始値")</f>
        <v>5987</v>
      </c>
      <c r="E249" s="550">
        <v>5586</v>
      </c>
      <c r="F249" s="1">
        <v>5273</v>
      </c>
      <c r="G249" s="1">
        <v>5653</v>
      </c>
      <c r="H249" s="1">
        <v>4856</v>
      </c>
      <c r="I249" s="1">
        <v>5137</v>
      </c>
      <c r="J249" s="1">
        <v>5344</v>
      </c>
      <c r="K249" s="1">
        <v>5752</v>
      </c>
      <c r="L249" s="1">
        <v>5769</v>
      </c>
      <c r="M249" s="1">
        <v>5769</v>
      </c>
      <c r="N249" s="1">
        <v>5800</v>
      </c>
      <c r="O249" s="1">
        <v>5385</v>
      </c>
      <c r="P249" s="1">
        <v>5650</v>
      </c>
      <c r="Q249" s="1">
        <v>6181</v>
      </c>
      <c r="R249" s="1">
        <v>5772</v>
      </c>
      <c r="S249" s="1">
        <v>6080</v>
      </c>
      <c r="T249" s="1">
        <v>5995</v>
      </c>
      <c r="U249" s="1">
        <v>5871</v>
      </c>
      <c r="V249" s="1">
        <v>5741</v>
      </c>
      <c r="W249" s="1">
        <v>6130</v>
      </c>
      <c r="X249" s="1">
        <v>6163</v>
      </c>
      <c r="Y249" s="1">
        <v>5800</v>
      </c>
      <c r="Z249" s="1">
        <v>6100</v>
      </c>
      <c r="AA249" s="1">
        <v>6266</v>
      </c>
      <c r="AB249" s="1">
        <v>6264</v>
      </c>
      <c r="AC249" s="1">
        <v>6155</v>
      </c>
      <c r="AD249" s="1">
        <v>6410</v>
      </c>
      <c r="AE249" s="1">
        <v>6379</v>
      </c>
      <c r="AF249" s="1">
        <v>6302</v>
      </c>
      <c r="AG249" s="1">
        <v>6711</v>
      </c>
      <c r="AH249" s="1">
        <v>6565</v>
      </c>
      <c r="AI249" s="1">
        <v>6825</v>
      </c>
      <c r="AJ249" s="1">
        <v>6578</v>
      </c>
      <c r="AK249" s="1">
        <v>6093</v>
      </c>
      <c r="AL249" s="1">
        <v>6284</v>
      </c>
      <c r="AM249" s="1">
        <v>5765</v>
      </c>
      <c r="AN249" s="1">
        <v>5476</v>
      </c>
      <c r="AO249" s="1">
        <v>5065</v>
      </c>
      <c r="AP249" s="1">
        <v>5283</v>
      </c>
      <c r="AQ249" s="1">
        <v>4982</v>
      </c>
      <c r="AR249" s="1">
        <v>5471</v>
      </c>
      <c r="AS249" s="1">
        <v>5555</v>
      </c>
      <c r="AT249" s="1">
        <v>5279</v>
      </c>
      <c r="AU249" s="1">
        <v>5698</v>
      </c>
      <c r="AV249" s="1">
        <v>5599</v>
      </c>
      <c r="AW249" s="1">
        <v>5572</v>
      </c>
      <c r="AX249" s="1">
        <v>5742</v>
      </c>
      <c r="AY249" s="1">
        <v>5697</v>
      </c>
      <c r="AZ249" s="1">
        <v>5393</v>
      </c>
      <c r="BA249" s="1">
        <v>5100</v>
      </c>
      <c r="BB249" s="1">
        <v>4980</v>
      </c>
      <c r="BC249" s="1">
        <v>5398</v>
      </c>
      <c r="BD249" s="1">
        <v>5533</v>
      </c>
      <c r="BE249" s="1">
        <v>5819</v>
      </c>
      <c r="BF249" s="1">
        <v>5797</v>
      </c>
      <c r="BG249" s="1">
        <v>5666</v>
      </c>
      <c r="BH249" s="1">
        <v>5945</v>
      </c>
      <c r="BI249" s="1">
        <v>5800</v>
      </c>
      <c r="BJ249" s="1">
        <v>5749</v>
      </c>
      <c r="BK249" s="1">
        <v>5742</v>
      </c>
      <c r="BL249" s="1">
        <v>5343</v>
      </c>
      <c r="BM249" s="1">
        <v>5523</v>
      </c>
      <c r="BN249" s="1">
        <v>5515</v>
      </c>
      <c r="BO249" s="1">
        <v>5370</v>
      </c>
      <c r="BP249" s="1">
        <v>5461</v>
      </c>
      <c r="BQ249" s="1">
        <v>5390</v>
      </c>
      <c r="BR249" s="1">
        <v>5187</v>
      </c>
      <c r="BS249" s="1">
        <v>5193</v>
      </c>
      <c r="BT249" s="1">
        <v>5070</v>
      </c>
      <c r="BU249" s="1">
        <v>5090</v>
      </c>
      <c r="BV249" s="1">
        <v>4993</v>
      </c>
      <c r="BW249" s="1">
        <v>5267</v>
      </c>
      <c r="BX249" s="1">
        <v>5254</v>
      </c>
      <c r="BY249" s="1">
        <v>5078</v>
      </c>
      <c r="BZ249" s="1">
        <v>5063</v>
      </c>
    </row>
    <row r="250" spans="1:78">
      <c r="A250" s="74" t="s">
        <v>463</v>
      </c>
      <c r="B250" s="1" t="str">
        <f>銘柄管理!C250</f>
        <v>情報戦略テクノロジー</v>
      </c>
      <c r="C250" s="544">
        <f>_xll.RssMarket("155A","始値")</f>
        <v>840</v>
      </c>
      <c r="E250" s="550">
        <v>825</v>
      </c>
      <c r="F250" s="1">
        <v>824</v>
      </c>
      <c r="G250" s="1">
        <v>834</v>
      </c>
      <c r="H250" s="1">
        <v>815</v>
      </c>
      <c r="I250" s="1">
        <v>831</v>
      </c>
      <c r="J250" s="1">
        <v>846</v>
      </c>
      <c r="K250" s="1">
        <v>845</v>
      </c>
      <c r="M250" s="1">
        <v>858</v>
      </c>
      <c r="N250" s="1">
        <v>874</v>
      </c>
      <c r="O250" s="1">
        <v>844</v>
      </c>
      <c r="P250" s="1">
        <v>879</v>
      </c>
      <c r="Q250" s="1">
        <v>910</v>
      </c>
      <c r="R250" s="1">
        <v>907</v>
      </c>
      <c r="S250" s="1">
        <v>892</v>
      </c>
      <c r="T250" s="1">
        <v>882</v>
      </c>
      <c r="U250" s="1">
        <v>890</v>
      </c>
      <c r="V250" s="1">
        <v>900</v>
      </c>
      <c r="W250" s="1">
        <v>920</v>
      </c>
      <c r="X250" s="1">
        <v>897</v>
      </c>
      <c r="Y250" s="1">
        <v>858</v>
      </c>
      <c r="Z250" s="1">
        <v>866</v>
      </c>
      <c r="AA250" s="1">
        <v>871</v>
      </c>
      <c r="AB250" s="1">
        <v>868</v>
      </c>
      <c r="AC250" s="1">
        <v>840</v>
      </c>
      <c r="AD250" s="1">
        <v>873</v>
      </c>
      <c r="AE250" s="1">
        <v>844</v>
      </c>
      <c r="AF250" s="1">
        <v>852</v>
      </c>
      <c r="AG250" s="1">
        <v>915</v>
      </c>
      <c r="AH250" s="1">
        <v>897</v>
      </c>
      <c r="AI250" s="1">
        <v>888</v>
      </c>
      <c r="AJ250" s="1">
        <v>875</v>
      </c>
      <c r="AK250" s="1">
        <v>830</v>
      </c>
      <c r="AL250" s="1">
        <v>847</v>
      </c>
      <c r="AM250" s="1">
        <v>850</v>
      </c>
      <c r="AN250" s="1">
        <v>860</v>
      </c>
      <c r="AO250" s="1">
        <v>880</v>
      </c>
      <c r="AP250" s="1">
        <v>880</v>
      </c>
      <c r="AQ250" s="1">
        <v>838</v>
      </c>
      <c r="AR250" s="1">
        <v>840</v>
      </c>
      <c r="AS250" s="1">
        <v>834</v>
      </c>
      <c r="AT250" s="1">
        <v>835</v>
      </c>
      <c r="AU250" s="1">
        <v>822</v>
      </c>
      <c r="AV250" s="1">
        <v>868</v>
      </c>
      <c r="AW250" s="1">
        <v>878</v>
      </c>
      <c r="AX250" s="1">
        <v>855</v>
      </c>
      <c r="AY250" s="1">
        <v>867</v>
      </c>
      <c r="AZ250" s="1">
        <v>835</v>
      </c>
      <c r="BA250" s="1">
        <v>839</v>
      </c>
      <c r="BB250" s="1">
        <v>877</v>
      </c>
      <c r="BC250" s="1">
        <v>893</v>
      </c>
      <c r="BD250" s="1">
        <v>904</v>
      </c>
      <c r="BE250" s="1">
        <v>874</v>
      </c>
      <c r="BF250" s="1">
        <v>777</v>
      </c>
      <c r="BG250" s="1">
        <v>788</v>
      </c>
      <c r="BH250" s="1">
        <v>799</v>
      </c>
      <c r="BI250" s="1">
        <v>810</v>
      </c>
      <c r="BJ250" s="1">
        <v>817</v>
      </c>
      <c r="BK250" s="1">
        <v>803</v>
      </c>
      <c r="BL250" s="1">
        <v>801</v>
      </c>
      <c r="BM250" s="1">
        <v>813</v>
      </c>
      <c r="BN250" s="1">
        <v>820</v>
      </c>
      <c r="BO250" s="1">
        <v>813</v>
      </c>
      <c r="BP250" s="1">
        <v>828</v>
      </c>
      <c r="BQ250" s="1">
        <v>860</v>
      </c>
      <c r="BR250" s="1">
        <v>850</v>
      </c>
      <c r="BS250" s="1">
        <v>842</v>
      </c>
      <c r="BT250" s="1">
        <v>833</v>
      </c>
      <c r="BU250" s="1">
        <v>830</v>
      </c>
      <c r="BV250" s="1">
        <v>829</v>
      </c>
      <c r="BW250" s="1">
        <v>813</v>
      </c>
      <c r="BX250" s="1">
        <v>817</v>
      </c>
      <c r="BY250" s="1">
        <v>811</v>
      </c>
      <c r="BZ250" s="1">
        <v>847</v>
      </c>
    </row>
    <row r="251" spans="1:78">
      <c r="A251" s="74" t="s">
        <v>464</v>
      </c>
      <c r="B251" s="1" t="str">
        <f>銘柄管理!C251</f>
        <v>ＴＥＲＲＡＤＲＯＮＥ</v>
      </c>
      <c r="C251" s="544">
        <f>_xll.RssMarket("278A","始値")</f>
        <v>13800</v>
      </c>
      <c r="E251" s="550">
        <v>12240</v>
      </c>
      <c r="F251" s="1">
        <v>10240</v>
      </c>
      <c r="G251" s="1">
        <v>10550</v>
      </c>
      <c r="H251" s="1">
        <v>10010</v>
      </c>
      <c r="I251" s="1">
        <v>10080</v>
      </c>
      <c r="J251" s="1">
        <v>12650</v>
      </c>
      <c r="K251" s="1">
        <v>12250</v>
      </c>
      <c r="L251" s="1">
        <v>12680</v>
      </c>
      <c r="M251" s="1">
        <v>14750</v>
      </c>
      <c r="N251" s="1">
        <v>16150</v>
      </c>
      <c r="O251" s="1">
        <v>14500</v>
      </c>
      <c r="P251" s="1">
        <v>12420</v>
      </c>
      <c r="Q251" s="1">
        <v>10750</v>
      </c>
      <c r="R251" s="1">
        <v>11000</v>
      </c>
      <c r="S251" s="1">
        <v>11760</v>
      </c>
      <c r="T251" s="1">
        <v>9500</v>
      </c>
      <c r="U251" s="1">
        <v>9200</v>
      </c>
      <c r="V251" s="1">
        <v>9090</v>
      </c>
      <c r="W251" s="1">
        <v>9600</v>
      </c>
      <c r="X251" s="1">
        <v>8860</v>
      </c>
      <c r="Y251" s="1">
        <v>8160</v>
      </c>
      <c r="Z251" s="1">
        <v>7910</v>
      </c>
      <c r="AA251" s="1">
        <v>7770</v>
      </c>
      <c r="AB251" s="1">
        <v>7750</v>
      </c>
      <c r="AC251" s="1">
        <v>7800</v>
      </c>
      <c r="AD251" s="1">
        <v>7890</v>
      </c>
      <c r="AE251" s="1">
        <v>8170</v>
      </c>
      <c r="AF251" s="1">
        <v>8000</v>
      </c>
      <c r="AG251" s="1">
        <v>8820</v>
      </c>
      <c r="AH251" s="1">
        <v>7880</v>
      </c>
      <c r="AI251" s="1">
        <v>8450</v>
      </c>
      <c r="AJ251" s="1">
        <v>7980</v>
      </c>
      <c r="AK251" s="1">
        <v>9550</v>
      </c>
      <c r="AL251" s="1">
        <v>8750</v>
      </c>
      <c r="AM251" s="1">
        <v>7800</v>
      </c>
      <c r="AN251" s="1">
        <v>8720</v>
      </c>
      <c r="AO251" s="1">
        <v>8540</v>
      </c>
      <c r="AP251" s="1">
        <v>8900</v>
      </c>
      <c r="AQ251" s="1">
        <v>8340</v>
      </c>
      <c r="AR251" s="1">
        <v>7900</v>
      </c>
      <c r="AS251" s="1">
        <v>8440</v>
      </c>
      <c r="AT251" s="1">
        <v>8410</v>
      </c>
      <c r="AU251" s="1">
        <v>8850</v>
      </c>
      <c r="AV251" s="1">
        <v>10580</v>
      </c>
      <c r="AW251" s="1">
        <v>8900</v>
      </c>
      <c r="AX251" s="1">
        <v>9700</v>
      </c>
      <c r="AY251" s="1">
        <v>11300</v>
      </c>
      <c r="AZ251" s="1">
        <v>10700</v>
      </c>
      <c r="BA251" s="1">
        <v>11510</v>
      </c>
      <c r="BB251" s="1">
        <v>12000</v>
      </c>
      <c r="BC251" s="1">
        <v>13250</v>
      </c>
      <c r="BD251" s="1">
        <v>12700</v>
      </c>
      <c r="BE251" s="1">
        <v>11000</v>
      </c>
      <c r="BF251" s="1">
        <v>12240</v>
      </c>
      <c r="BG251" s="1">
        <v>10000</v>
      </c>
      <c r="BH251" s="1">
        <v>19600</v>
      </c>
      <c r="BI251" s="1">
        <v>15230</v>
      </c>
      <c r="BJ251" s="1">
        <v>12020</v>
      </c>
      <c r="BK251" s="1">
        <v>12570</v>
      </c>
      <c r="BL251" s="1">
        <v>10000</v>
      </c>
      <c r="BM251" s="1">
        <v>8220</v>
      </c>
      <c r="BN251" s="1">
        <v>7380</v>
      </c>
      <c r="BO251" s="1">
        <v>7990</v>
      </c>
      <c r="BP251" s="1">
        <v>8410</v>
      </c>
      <c r="BQ251" s="1">
        <v>7820</v>
      </c>
      <c r="BR251" s="1">
        <v>7000</v>
      </c>
      <c r="BS251" s="1">
        <v>6650</v>
      </c>
      <c r="BT251" s="1">
        <v>6570</v>
      </c>
      <c r="BU251" s="1">
        <v>6500</v>
      </c>
      <c r="BV251" s="1">
        <v>6500</v>
      </c>
      <c r="BW251" s="1">
        <v>5790</v>
      </c>
      <c r="BX251" s="1">
        <v>6000</v>
      </c>
      <c r="BY251" s="1">
        <v>5330</v>
      </c>
      <c r="BZ251" s="1">
        <v>4475</v>
      </c>
    </row>
    <row r="252" spans="1:78">
      <c r="A252" s="74" t="s">
        <v>465</v>
      </c>
      <c r="B252" s="1" t="str">
        <f>銘柄管理!C252</f>
        <v>ＭＩＣ</v>
      </c>
      <c r="C252" s="544">
        <f>_xll.RssMarket("300A","始値")</f>
        <v>2950</v>
      </c>
      <c r="E252" s="550">
        <v>2960</v>
      </c>
      <c r="F252" s="1">
        <v>3000</v>
      </c>
      <c r="G252" s="1">
        <v>3035</v>
      </c>
      <c r="H252" s="1">
        <v>2980</v>
      </c>
      <c r="I252" s="1">
        <v>2988</v>
      </c>
      <c r="J252" s="1">
        <v>2903</v>
      </c>
      <c r="K252" s="1">
        <v>2860</v>
      </c>
      <c r="M252" s="1">
        <v>2958</v>
      </c>
      <c r="N252" s="1">
        <v>2941</v>
      </c>
      <c r="O252" s="1">
        <v>2885</v>
      </c>
      <c r="P252" s="1">
        <v>2870</v>
      </c>
      <c r="Q252" s="1">
        <v>2840</v>
      </c>
      <c r="R252" s="1">
        <v>2871</v>
      </c>
      <c r="S252" s="1">
        <v>2884</v>
      </c>
      <c r="T252" s="1">
        <v>2873</v>
      </c>
      <c r="U252" s="1">
        <v>2875</v>
      </c>
      <c r="V252" s="1">
        <v>2910</v>
      </c>
      <c r="W252" s="1">
        <v>2876</v>
      </c>
      <c r="X252" s="1">
        <v>2917</v>
      </c>
      <c r="Y252" s="1">
        <v>2939</v>
      </c>
      <c r="Z252" s="1">
        <v>2923</v>
      </c>
      <c r="AA252" s="1">
        <v>2887</v>
      </c>
      <c r="AB252" s="1">
        <v>2944</v>
      </c>
      <c r="AC252" s="1">
        <v>2850</v>
      </c>
      <c r="AD252" s="1">
        <v>2790</v>
      </c>
      <c r="AE252" s="1">
        <v>2800</v>
      </c>
      <c r="AF252" s="1">
        <v>2777</v>
      </c>
      <c r="AG252" s="1">
        <v>2800</v>
      </c>
      <c r="AH252" s="1">
        <v>2790</v>
      </c>
      <c r="AI252" s="1">
        <v>2800</v>
      </c>
      <c r="AJ252" s="1">
        <v>2845</v>
      </c>
      <c r="AK252" s="1">
        <v>2810</v>
      </c>
      <c r="AL252" s="1">
        <v>2835</v>
      </c>
      <c r="AM252" s="1">
        <v>2867</v>
      </c>
      <c r="AN252" s="1">
        <v>2800</v>
      </c>
      <c r="AO252" s="1">
        <v>2797</v>
      </c>
      <c r="AP252" s="1">
        <v>2800</v>
      </c>
      <c r="AQ252" s="1">
        <v>2774</v>
      </c>
      <c r="AR252" s="1">
        <v>2755</v>
      </c>
      <c r="AS252" s="1">
        <v>2799</v>
      </c>
      <c r="AT252" s="1">
        <v>2801</v>
      </c>
      <c r="AU252" s="1">
        <v>2847</v>
      </c>
      <c r="AV252" s="1">
        <v>2899</v>
      </c>
      <c r="AW252" s="1">
        <v>2841</v>
      </c>
      <c r="AX252" s="1">
        <v>2871</v>
      </c>
      <c r="AY252" s="1">
        <v>2918</v>
      </c>
      <c r="AZ252" s="1">
        <v>2864</v>
      </c>
      <c r="BA252" s="1">
        <v>2938</v>
      </c>
      <c r="BB252" s="1">
        <v>2920</v>
      </c>
      <c r="BC252" s="1">
        <v>2848</v>
      </c>
      <c r="BD252" s="1">
        <v>2930</v>
      </c>
      <c r="BE252" s="1">
        <v>2904</v>
      </c>
      <c r="BF252" s="1">
        <v>2790</v>
      </c>
      <c r="BG252" s="1">
        <v>2760</v>
      </c>
      <c r="BH252" s="1">
        <v>2789</v>
      </c>
      <c r="BI252" s="1">
        <v>2782</v>
      </c>
      <c r="BJ252" s="1">
        <v>2750</v>
      </c>
      <c r="BK252" s="1">
        <v>2795</v>
      </c>
      <c r="BL252" s="1">
        <v>2769</v>
      </c>
      <c r="BM252" s="1">
        <v>2885</v>
      </c>
      <c r="BN252" s="1">
        <v>2783</v>
      </c>
      <c r="BO252" s="1">
        <v>2851</v>
      </c>
      <c r="BP252" s="1">
        <v>2934</v>
      </c>
      <c r="BQ252" s="1">
        <v>3070</v>
      </c>
      <c r="BR252" s="1">
        <v>3095</v>
      </c>
      <c r="BS252" s="1">
        <v>3050</v>
      </c>
      <c r="BT252" s="1">
        <v>3000</v>
      </c>
      <c r="BU252" s="1">
        <v>3005</v>
      </c>
      <c r="BV252" s="1">
        <v>2964</v>
      </c>
      <c r="BW252" s="1">
        <v>2942</v>
      </c>
      <c r="BX252" s="1">
        <v>2898</v>
      </c>
      <c r="BY252" s="1">
        <v>2878</v>
      </c>
      <c r="BZ252" s="1">
        <v>2853</v>
      </c>
    </row>
    <row r="253" spans="1:78">
      <c r="A253" s="74" t="s">
        <v>466</v>
      </c>
      <c r="B253" s="1" t="str">
        <f>銘柄管理!C253</f>
        <v>サイボウズ</v>
      </c>
      <c r="C253" s="544">
        <f>_xll.RssMarket("4776","始値")</f>
        <v>2690</v>
      </c>
      <c r="E253" s="550">
        <v>2745</v>
      </c>
      <c r="F253" s="1">
        <v>2710</v>
      </c>
      <c r="G253" s="1">
        <v>2695</v>
      </c>
      <c r="H253" s="1">
        <v>2897</v>
      </c>
      <c r="I253" s="1">
        <v>2700</v>
      </c>
      <c r="J253" s="1">
        <v>2655</v>
      </c>
      <c r="K253" s="1">
        <v>2530</v>
      </c>
      <c r="L253" s="1">
        <v>2461</v>
      </c>
      <c r="M253" s="1">
        <v>2496</v>
      </c>
      <c r="N253" s="1">
        <v>2560</v>
      </c>
      <c r="O253" s="1">
        <v>2613</v>
      </c>
      <c r="P253" s="1">
        <v>2610</v>
      </c>
      <c r="Q253" s="1">
        <v>2561</v>
      </c>
      <c r="R253" s="1">
        <v>2600</v>
      </c>
      <c r="S253" s="1">
        <v>2602</v>
      </c>
      <c r="T253" s="1">
        <v>2623</v>
      </c>
      <c r="U253" s="1">
        <v>2590</v>
      </c>
      <c r="V253" s="1">
        <v>2631</v>
      </c>
      <c r="W253" s="1">
        <v>2599</v>
      </c>
      <c r="X253" s="1">
        <v>2498</v>
      </c>
      <c r="Y253" s="1">
        <v>2531</v>
      </c>
      <c r="Z253" s="1">
        <v>2386</v>
      </c>
      <c r="AA253" s="1">
        <v>2238</v>
      </c>
      <c r="AB253" s="1">
        <v>2331</v>
      </c>
      <c r="AC253" s="1">
        <v>2275</v>
      </c>
      <c r="AD253" s="1">
        <v>2141</v>
      </c>
      <c r="AE253" s="1">
        <v>2229</v>
      </c>
      <c r="AF253" s="1">
        <v>2244</v>
      </c>
      <c r="AG253" s="1">
        <v>2277</v>
      </c>
      <c r="AH253" s="1">
        <v>2304</v>
      </c>
      <c r="AI253" s="1">
        <v>2376</v>
      </c>
      <c r="AJ253" s="1">
        <v>2301</v>
      </c>
      <c r="AK253" s="1">
        <v>2321</v>
      </c>
      <c r="AL253" s="1">
        <v>2344</v>
      </c>
      <c r="AM253" s="1">
        <v>2315</v>
      </c>
      <c r="AN253" s="1">
        <v>2297</v>
      </c>
      <c r="AO253" s="1">
        <v>2389</v>
      </c>
      <c r="AP253" s="1">
        <v>2355</v>
      </c>
      <c r="AQ253" s="1">
        <v>2430</v>
      </c>
      <c r="AR253" s="1">
        <v>2436</v>
      </c>
      <c r="AS253" s="1">
        <v>2420</v>
      </c>
      <c r="AT253" s="1">
        <v>2557</v>
      </c>
      <c r="AU253" s="1">
        <v>2650</v>
      </c>
      <c r="AV253" s="1">
        <v>2552</v>
      </c>
      <c r="AW253" s="1">
        <v>2575</v>
      </c>
      <c r="AX253" s="1">
        <v>2570</v>
      </c>
      <c r="AY253" s="1">
        <v>2550</v>
      </c>
      <c r="AZ253" s="1">
        <v>2489</v>
      </c>
      <c r="BA253" s="1">
        <v>2501</v>
      </c>
      <c r="BB253" s="1">
        <v>2490</v>
      </c>
      <c r="BC253" s="1">
        <v>2383</v>
      </c>
      <c r="BD253" s="1">
        <v>2407</v>
      </c>
      <c r="BE253" s="1">
        <v>2274</v>
      </c>
      <c r="BF253" s="1">
        <v>2159</v>
      </c>
      <c r="BG253" s="1">
        <v>2157</v>
      </c>
      <c r="BH253" s="1">
        <v>2160</v>
      </c>
      <c r="BI253" s="1">
        <v>2189</v>
      </c>
      <c r="BJ253" s="1">
        <v>2171</v>
      </c>
      <c r="BK253" s="1">
        <v>2053</v>
      </c>
      <c r="BL253" s="1">
        <v>2082</v>
      </c>
      <c r="BM253" s="1">
        <v>2090</v>
      </c>
      <c r="BN253" s="1">
        <v>2101</v>
      </c>
      <c r="BO253" s="1">
        <v>2119</v>
      </c>
      <c r="BP253" s="1">
        <v>2100</v>
      </c>
      <c r="BQ253" s="1">
        <v>2139</v>
      </c>
      <c r="BR253" s="1">
        <v>2165</v>
      </c>
      <c r="BS253" s="1">
        <v>2204</v>
      </c>
      <c r="BT253" s="1">
        <v>2264</v>
      </c>
      <c r="BU253" s="1">
        <v>2226</v>
      </c>
      <c r="BV253" s="1">
        <v>2240</v>
      </c>
      <c r="BW253" s="1">
        <v>2064</v>
      </c>
      <c r="BX253" s="1">
        <v>2039</v>
      </c>
      <c r="BY253" s="1">
        <v>1963</v>
      </c>
      <c r="BZ253" s="1">
        <v>2000</v>
      </c>
    </row>
    <row r="254" spans="1:78">
      <c r="A254" s="74" t="s">
        <v>467</v>
      </c>
      <c r="B254" s="1" t="str">
        <f>銘柄管理!C254</f>
        <v>トレンドマイクロ</v>
      </c>
      <c r="C254" s="544">
        <f>_xll.RssMarket("4704","始値")</f>
        <v>6450</v>
      </c>
      <c r="E254" s="550">
        <v>6438</v>
      </c>
      <c r="F254" s="1">
        <v>6441</v>
      </c>
      <c r="G254" s="1">
        <v>6475</v>
      </c>
      <c r="H254" s="1">
        <v>6813</v>
      </c>
      <c r="I254" s="1">
        <v>6674</v>
      </c>
      <c r="J254" s="1">
        <v>6544</v>
      </c>
      <c r="K254" s="1">
        <v>6358</v>
      </c>
      <c r="L254" s="1">
        <v>6132</v>
      </c>
      <c r="M254" s="1">
        <v>6180</v>
      </c>
      <c r="N254" s="1">
        <v>6223</v>
      </c>
      <c r="O254" s="1">
        <v>6495</v>
      </c>
      <c r="P254" s="1">
        <v>6429</v>
      </c>
      <c r="Q254" s="1">
        <v>6325</v>
      </c>
      <c r="R254" s="1">
        <v>6299</v>
      </c>
      <c r="S254" s="1">
        <v>6182</v>
      </c>
      <c r="T254" s="1">
        <v>6291</v>
      </c>
      <c r="U254" s="1">
        <v>6185</v>
      </c>
      <c r="V254" s="1">
        <v>6320</v>
      </c>
      <c r="W254" s="1">
        <v>6369</v>
      </c>
      <c r="X254" s="1">
        <v>6294</v>
      </c>
      <c r="Y254" s="1">
        <v>6533</v>
      </c>
      <c r="Z254" s="1">
        <v>6249</v>
      </c>
      <c r="AA254" s="1">
        <v>5965</v>
      </c>
      <c r="AB254" s="1">
        <v>5988</v>
      </c>
      <c r="AC254" s="1">
        <v>5757</v>
      </c>
      <c r="AD254" s="1">
        <v>5605</v>
      </c>
      <c r="AE254" s="1">
        <v>5643</v>
      </c>
      <c r="AF254" s="1">
        <v>5540</v>
      </c>
      <c r="AG254" s="1">
        <v>5620</v>
      </c>
      <c r="AH254" s="1">
        <v>5623</v>
      </c>
      <c r="AI254" s="1">
        <v>5854</v>
      </c>
      <c r="AJ254" s="1">
        <v>5746</v>
      </c>
      <c r="AK254" s="1">
        <v>5771</v>
      </c>
      <c r="AL254" s="1">
        <v>5850</v>
      </c>
      <c r="AM254" s="1">
        <v>5931</v>
      </c>
      <c r="AN254" s="1">
        <v>6136</v>
      </c>
      <c r="AO254" s="1">
        <v>6183</v>
      </c>
      <c r="AP254" s="1">
        <v>6186</v>
      </c>
      <c r="AQ254" s="1">
        <v>6478</v>
      </c>
      <c r="AR254" s="1">
        <v>6725</v>
      </c>
      <c r="AS254" s="1">
        <v>6145</v>
      </c>
      <c r="AT254" s="1">
        <v>6251</v>
      </c>
      <c r="AU254" s="1">
        <v>6453</v>
      </c>
      <c r="AV254" s="1">
        <v>5980</v>
      </c>
      <c r="AW254" s="1">
        <v>6037</v>
      </c>
      <c r="AX254" s="1">
        <v>6066</v>
      </c>
      <c r="AY254" s="1">
        <v>6203</v>
      </c>
      <c r="AZ254" s="1">
        <v>6015</v>
      </c>
      <c r="BA254" s="1">
        <v>5911</v>
      </c>
      <c r="BB254" s="1">
        <v>6060</v>
      </c>
      <c r="BC254" s="1">
        <v>6081</v>
      </c>
      <c r="BD254" s="1">
        <v>5730</v>
      </c>
      <c r="BE254" s="1">
        <v>5400</v>
      </c>
      <c r="BF254" s="1">
        <v>5511</v>
      </c>
      <c r="BG254" s="1">
        <v>5725</v>
      </c>
      <c r="BH254" s="1">
        <v>5592</v>
      </c>
      <c r="BI254" s="1">
        <v>5715</v>
      </c>
      <c r="BJ254" s="1">
        <v>5729</v>
      </c>
      <c r="BK254" s="1">
        <v>5339</v>
      </c>
      <c r="BL254" s="1">
        <v>5376</v>
      </c>
      <c r="BM254" s="1">
        <v>5552</v>
      </c>
      <c r="BN254" s="1">
        <v>5514</v>
      </c>
      <c r="BO254" s="1">
        <v>5632</v>
      </c>
      <c r="BP254" s="1">
        <v>5601</v>
      </c>
      <c r="BQ254" s="1">
        <v>5859</v>
      </c>
      <c r="BR254" s="1">
        <v>6050</v>
      </c>
      <c r="BS254" s="1">
        <v>5907</v>
      </c>
      <c r="BT254" s="1">
        <v>5998</v>
      </c>
      <c r="BU254" s="1">
        <v>6012</v>
      </c>
      <c r="BV254" s="1">
        <v>5859</v>
      </c>
      <c r="BW254" s="1">
        <v>5433</v>
      </c>
      <c r="BX254" s="1">
        <v>5317</v>
      </c>
      <c r="BY254" s="1">
        <v>5073</v>
      </c>
      <c r="BZ254" s="1">
        <v>5260</v>
      </c>
    </row>
    <row r="255" spans="1:78">
      <c r="A255" s="74" t="s">
        <v>468</v>
      </c>
      <c r="B255" s="1" t="str">
        <f>銘柄管理!C255</f>
        <v>栗田工業</v>
      </c>
      <c r="C255" s="544">
        <f>_xll.RssMarket("6370","始値")</f>
        <v>9100</v>
      </c>
      <c r="E255" s="550">
        <v>8703</v>
      </c>
      <c r="F255" s="1">
        <v>8629</v>
      </c>
      <c r="G255" s="1">
        <v>8780</v>
      </c>
      <c r="H255" s="1">
        <v>8060</v>
      </c>
      <c r="I255" s="1">
        <v>8354</v>
      </c>
      <c r="J255" s="1">
        <v>8739</v>
      </c>
      <c r="K255" s="1">
        <v>8938</v>
      </c>
      <c r="L255" s="1">
        <v>8940</v>
      </c>
      <c r="M255" s="1">
        <v>8911</v>
      </c>
      <c r="N255" s="1">
        <v>8956</v>
      </c>
      <c r="O255" s="1">
        <v>8710</v>
      </c>
      <c r="P255" s="1">
        <v>8781</v>
      </c>
      <c r="Q255" s="1">
        <v>9121</v>
      </c>
      <c r="R255" s="1">
        <v>8982</v>
      </c>
      <c r="S255" s="1">
        <v>9170</v>
      </c>
      <c r="T255" s="1">
        <v>9040</v>
      </c>
      <c r="U255" s="1">
        <v>8805</v>
      </c>
      <c r="V255" s="1">
        <v>8705</v>
      </c>
      <c r="W255" s="1">
        <v>9443</v>
      </c>
      <c r="X255" s="1">
        <v>9591</v>
      </c>
      <c r="Y255" s="1">
        <v>8950</v>
      </c>
      <c r="Z255" s="1">
        <v>9305</v>
      </c>
      <c r="AA255" s="1">
        <v>9369</v>
      </c>
      <c r="AB255" s="1">
        <v>9221</v>
      </c>
      <c r="AC255" s="1">
        <v>9110</v>
      </c>
      <c r="AD255" s="1">
        <v>9292</v>
      </c>
      <c r="AE255" s="1">
        <v>9614</v>
      </c>
      <c r="AF255" s="1">
        <v>9231</v>
      </c>
      <c r="AG255" s="1">
        <v>9613</v>
      </c>
      <c r="AH255" s="1">
        <v>9567</v>
      </c>
      <c r="AI255" s="1">
        <v>9779</v>
      </c>
      <c r="AJ255" s="1">
        <v>9340</v>
      </c>
      <c r="AK255" s="1">
        <v>9335</v>
      </c>
      <c r="AL255" s="1">
        <v>8761</v>
      </c>
      <c r="AM255" s="1">
        <v>8639</v>
      </c>
      <c r="AN255" s="1">
        <v>8300</v>
      </c>
      <c r="AO255" s="1">
        <v>7901</v>
      </c>
      <c r="AP255" s="1">
        <v>8286</v>
      </c>
      <c r="AQ255" s="1">
        <v>8212</v>
      </c>
      <c r="AR255" s="1">
        <v>8808</v>
      </c>
      <c r="AS255" s="1">
        <v>8803</v>
      </c>
      <c r="AT255" s="1">
        <v>8714</v>
      </c>
      <c r="AU255" s="1">
        <v>8549</v>
      </c>
      <c r="AV255" s="1">
        <v>8691</v>
      </c>
      <c r="AW255" s="1">
        <v>8728</v>
      </c>
      <c r="AX255" s="1">
        <v>9077</v>
      </c>
      <c r="AY255" s="1">
        <v>8834</v>
      </c>
      <c r="AZ255" s="1">
        <v>8713</v>
      </c>
      <c r="BA255" s="1">
        <v>8538</v>
      </c>
      <c r="BB255" s="1">
        <v>8616</v>
      </c>
      <c r="BC255" s="1">
        <v>8773</v>
      </c>
      <c r="BD255" s="1">
        <v>8918</v>
      </c>
      <c r="BE255" s="1">
        <v>9500</v>
      </c>
      <c r="BF255" s="1">
        <v>9010</v>
      </c>
      <c r="BG255" s="1">
        <v>9000</v>
      </c>
      <c r="BH255" s="1">
        <v>9184</v>
      </c>
      <c r="BI255" s="1">
        <v>8900</v>
      </c>
      <c r="BJ255" s="1">
        <v>8362</v>
      </c>
      <c r="BK255" s="1">
        <v>8296</v>
      </c>
      <c r="BL255" s="1">
        <v>8290</v>
      </c>
      <c r="BM255" s="1">
        <v>8401</v>
      </c>
      <c r="BN255" s="1">
        <v>8297</v>
      </c>
      <c r="BO255" s="1">
        <v>7905</v>
      </c>
      <c r="BP255" s="1">
        <v>7916</v>
      </c>
      <c r="BQ255" s="1">
        <v>7847</v>
      </c>
      <c r="BR255" s="1">
        <v>7990</v>
      </c>
      <c r="BS255" s="1">
        <v>8188</v>
      </c>
      <c r="BT255" s="1">
        <v>8095</v>
      </c>
      <c r="BU255" s="1">
        <v>8010</v>
      </c>
      <c r="BV255" s="1">
        <v>7950</v>
      </c>
      <c r="BW255" s="1">
        <v>7998</v>
      </c>
      <c r="BX255" s="1">
        <v>8201</v>
      </c>
      <c r="BY255" s="1">
        <v>8069</v>
      </c>
      <c r="BZ255" s="1">
        <v>8040</v>
      </c>
    </row>
    <row r="256" spans="1:78">
      <c r="A256" s="74" t="s">
        <v>469</v>
      </c>
      <c r="B256" s="1" t="str">
        <f>銘柄管理!C256</f>
        <v>名村造船所</v>
      </c>
      <c r="C256" s="544">
        <f>_xll.RssMarket("7014","始値")</f>
        <v>4195</v>
      </c>
      <c r="E256" s="550">
        <v>4090</v>
      </c>
      <c r="F256" s="1">
        <v>4200</v>
      </c>
      <c r="G256" s="1">
        <v>4390</v>
      </c>
      <c r="H256" s="1">
        <v>4135</v>
      </c>
      <c r="I256" s="1">
        <v>4435</v>
      </c>
      <c r="J256" s="1">
        <v>4530</v>
      </c>
      <c r="K256" s="1">
        <v>4345</v>
      </c>
      <c r="L256" s="1">
        <v>4235</v>
      </c>
      <c r="M256" s="1">
        <v>4160</v>
      </c>
      <c r="N256" s="1">
        <v>3960</v>
      </c>
      <c r="O256" s="1">
        <v>3800</v>
      </c>
      <c r="P256" s="1">
        <v>3755</v>
      </c>
      <c r="Q256" s="1">
        <v>3950</v>
      </c>
      <c r="R256" s="1">
        <v>3750</v>
      </c>
      <c r="S256" s="1">
        <v>3770</v>
      </c>
      <c r="T256" s="1">
        <v>3760</v>
      </c>
      <c r="U256" s="1">
        <v>3880</v>
      </c>
      <c r="V256" s="1">
        <v>4090</v>
      </c>
      <c r="W256" s="1">
        <v>4250</v>
      </c>
      <c r="X256" s="1">
        <v>3675</v>
      </c>
      <c r="Y256" s="1">
        <v>3640</v>
      </c>
      <c r="Z256" s="1">
        <v>3510</v>
      </c>
      <c r="AA256" s="1">
        <v>3510</v>
      </c>
      <c r="AB256" s="1">
        <v>3620</v>
      </c>
      <c r="AC256" s="1">
        <v>3655</v>
      </c>
      <c r="AD256" s="1">
        <v>3620</v>
      </c>
      <c r="AE256" s="1">
        <v>3730</v>
      </c>
      <c r="AF256" s="1">
        <v>3670</v>
      </c>
      <c r="AG256" s="1">
        <v>3875</v>
      </c>
      <c r="AH256" s="1">
        <v>3800</v>
      </c>
      <c r="AI256" s="1">
        <v>3840</v>
      </c>
      <c r="AJ256" s="1">
        <v>3845</v>
      </c>
      <c r="AK256" s="1">
        <v>3755</v>
      </c>
      <c r="AL256" s="1">
        <v>3765</v>
      </c>
      <c r="AM256" s="1">
        <v>3685</v>
      </c>
      <c r="AN256" s="1">
        <v>3480</v>
      </c>
      <c r="AO256" s="1">
        <v>3345</v>
      </c>
      <c r="AP256" s="1">
        <v>3440</v>
      </c>
      <c r="AQ256" s="1">
        <v>3550</v>
      </c>
      <c r="AR256" s="1">
        <v>3655</v>
      </c>
      <c r="AS256" s="1">
        <v>3485</v>
      </c>
      <c r="AT256" s="1">
        <v>3475</v>
      </c>
      <c r="AU256" s="1">
        <v>3455</v>
      </c>
      <c r="AV256" s="1">
        <v>3790</v>
      </c>
      <c r="AW256" s="1">
        <v>4085</v>
      </c>
      <c r="AX256" s="1">
        <v>4240</v>
      </c>
      <c r="AY256" s="1">
        <v>3945</v>
      </c>
      <c r="AZ256" s="1">
        <v>3800</v>
      </c>
      <c r="BA256" s="1">
        <v>3730</v>
      </c>
      <c r="BB256" s="1">
        <v>3895</v>
      </c>
      <c r="BC256" s="1">
        <v>4080</v>
      </c>
      <c r="BD256" s="1">
        <v>4375</v>
      </c>
      <c r="BE256" s="1">
        <v>4095</v>
      </c>
      <c r="BF256" s="1">
        <v>4005</v>
      </c>
      <c r="BG256" s="1">
        <v>4040</v>
      </c>
      <c r="BH256" s="1">
        <v>4070</v>
      </c>
      <c r="BI256" s="1">
        <v>3975</v>
      </c>
      <c r="BJ256" s="1">
        <v>4050</v>
      </c>
      <c r="BK256" s="1">
        <v>4090</v>
      </c>
      <c r="BL256" s="1">
        <v>4000</v>
      </c>
      <c r="BM256" s="1">
        <v>4025</v>
      </c>
      <c r="BN256" s="1">
        <v>4095</v>
      </c>
      <c r="BO256" s="1">
        <v>4040</v>
      </c>
      <c r="BP256" s="1">
        <v>4100</v>
      </c>
      <c r="BQ256" s="1">
        <v>4320</v>
      </c>
      <c r="BR256" s="1">
        <v>4050</v>
      </c>
      <c r="BS256" s="1">
        <v>4080</v>
      </c>
      <c r="BT256" s="1">
        <v>4060</v>
      </c>
      <c r="BU256" s="1">
        <v>4080</v>
      </c>
      <c r="BV256" s="1">
        <v>4025</v>
      </c>
      <c r="BW256" s="1">
        <v>4180</v>
      </c>
      <c r="BX256" s="1">
        <v>4190</v>
      </c>
      <c r="BY256" s="1">
        <v>4045</v>
      </c>
      <c r="BZ256" s="1">
        <v>4320</v>
      </c>
    </row>
    <row r="257" spans="1:78">
      <c r="A257" s="74" t="s">
        <v>470</v>
      </c>
      <c r="B257" s="1" t="str">
        <f>銘柄管理!C257</f>
        <v>イノテック</v>
      </c>
      <c r="C257" s="544">
        <f>_xll.RssMarket("9880","始値")</f>
        <v>3715</v>
      </c>
      <c r="E257" s="550">
        <v>3470</v>
      </c>
      <c r="F257" s="1">
        <v>3310</v>
      </c>
      <c r="G257" s="1">
        <v>3385</v>
      </c>
      <c r="H257" s="1">
        <v>3020</v>
      </c>
      <c r="I257" s="1">
        <v>3135</v>
      </c>
      <c r="J257" s="1">
        <v>3250</v>
      </c>
      <c r="K257" s="1">
        <v>3315</v>
      </c>
      <c r="L257" s="1">
        <v>3350</v>
      </c>
      <c r="M257" s="1">
        <v>3425</v>
      </c>
      <c r="N257" s="1">
        <v>3390</v>
      </c>
      <c r="O257" s="1">
        <v>3295</v>
      </c>
      <c r="P257" s="1">
        <v>3330</v>
      </c>
      <c r="Q257" s="1">
        <v>3520</v>
      </c>
      <c r="R257" s="1">
        <v>3445</v>
      </c>
      <c r="S257" s="1">
        <v>3580</v>
      </c>
      <c r="T257" s="1">
        <v>3610</v>
      </c>
      <c r="U257" s="1">
        <v>3585</v>
      </c>
      <c r="V257" s="1">
        <v>3425</v>
      </c>
      <c r="W257" s="1">
        <v>3760</v>
      </c>
      <c r="X257" s="1">
        <v>3825</v>
      </c>
      <c r="Y257" s="1">
        <v>3595</v>
      </c>
      <c r="Z257" s="1">
        <v>3840</v>
      </c>
      <c r="AA257" s="1">
        <v>4070</v>
      </c>
      <c r="AB257" s="1">
        <v>4000</v>
      </c>
      <c r="AC257" s="1">
        <v>4060</v>
      </c>
      <c r="AD257" s="1">
        <v>4220</v>
      </c>
      <c r="AE257" s="1">
        <v>4460</v>
      </c>
      <c r="AF257" s="1">
        <v>4240</v>
      </c>
      <c r="AG257" s="1">
        <v>4555</v>
      </c>
      <c r="AH257" s="1">
        <v>4355</v>
      </c>
      <c r="AI257" s="1">
        <v>4250</v>
      </c>
      <c r="AJ257" s="1">
        <v>4185</v>
      </c>
      <c r="AK257" s="1">
        <v>3900</v>
      </c>
      <c r="AL257" s="1">
        <v>4130</v>
      </c>
      <c r="AM257" s="1">
        <v>4200</v>
      </c>
      <c r="AN257" s="1">
        <v>4105</v>
      </c>
      <c r="AO257" s="1">
        <v>3910</v>
      </c>
      <c r="AP257" s="1">
        <v>4140</v>
      </c>
      <c r="AQ257" s="1">
        <v>4200</v>
      </c>
      <c r="AR257" s="1">
        <v>4390</v>
      </c>
      <c r="AS257" s="1">
        <v>4300</v>
      </c>
      <c r="AT257" s="1">
        <v>4300</v>
      </c>
      <c r="AU257" s="1">
        <v>4320</v>
      </c>
      <c r="AV257" s="1">
        <v>4360</v>
      </c>
      <c r="AW257" s="1">
        <v>4220</v>
      </c>
      <c r="AX257" s="1">
        <v>4650</v>
      </c>
      <c r="AY257" s="1">
        <v>4380</v>
      </c>
      <c r="AZ257" s="1">
        <v>4400</v>
      </c>
      <c r="BA257" s="1">
        <v>4380</v>
      </c>
      <c r="BB257" s="1">
        <v>4225</v>
      </c>
      <c r="BC257" s="1">
        <v>4750</v>
      </c>
      <c r="BD257" s="1">
        <v>4505</v>
      </c>
      <c r="BE257" s="1">
        <v>3975</v>
      </c>
      <c r="BF257" s="1">
        <v>3360</v>
      </c>
      <c r="BG257" s="1">
        <v>3270</v>
      </c>
      <c r="BH257" s="1">
        <v>3380</v>
      </c>
      <c r="BI257" s="1">
        <v>3325</v>
      </c>
      <c r="BJ257" s="1">
        <v>3185</v>
      </c>
      <c r="BK257" s="1">
        <v>2950</v>
      </c>
      <c r="BL257" s="1">
        <v>2834</v>
      </c>
      <c r="BM257" s="1">
        <v>2790</v>
      </c>
      <c r="BN257" s="1">
        <v>2760</v>
      </c>
      <c r="BO257" s="1">
        <v>2805</v>
      </c>
      <c r="BP257" s="1">
        <v>2674</v>
      </c>
      <c r="BQ257" s="1">
        <v>2710</v>
      </c>
      <c r="BR257" s="1">
        <v>2728</v>
      </c>
      <c r="BS257" s="1">
        <v>2763</v>
      </c>
      <c r="BT257" s="1">
        <v>2823</v>
      </c>
      <c r="BU257" s="1">
        <v>2896</v>
      </c>
      <c r="BV257" s="1">
        <v>2900</v>
      </c>
      <c r="BW257" s="1">
        <v>2889</v>
      </c>
      <c r="BX257" s="1">
        <v>2640</v>
      </c>
      <c r="BY257" s="1">
        <v>2561</v>
      </c>
      <c r="BZ257" s="1">
        <v>2580</v>
      </c>
    </row>
    <row r="258" spans="1:78">
      <c r="A258" s="74" t="s">
        <v>471</v>
      </c>
      <c r="B258" s="1" t="str">
        <f>銘柄管理!C258</f>
        <v>カバー</v>
      </c>
      <c r="C258" s="544">
        <f>_xll.RssMarket("5253","始値")</f>
        <v>1478</v>
      </c>
      <c r="E258" s="550">
        <v>1453</v>
      </c>
      <c r="F258" s="1">
        <v>1445</v>
      </c>
      <c r="G258" s="1">
        <v>1506</v>
      </c>
      <c r="H258" s="1">
        <v>1525</v>
      </c>
      <c r="I258" s="1">
        <v>1586</v>
      </c>
      <c r="J258" s="1">
        <v>1649</v>
      </c>
      <c r="K258" s="1">
        <v>1475</v>
      </c>
      <c r="M258" s="1">
        <v>1681</v>
      </c>
      <c r="N258" s="1">
        <v>1612</v>
      </c>
      <c r="O258" s="1">
        <v>1700</v>
      </c>
      <c r="P258" s="1">
        <v>1668</v>
      </c>
      <c r="Q258" s="1">
        <v>1672</v>
      </c>
      <c r="R258" s="1">
        <v>1660</v>
      </c>
      <c r="S258" s="1">
        <v>1601</v>
      </c>
      <c r="T258" s="1">
        <v>1625</v>
      </c>
      <c r="U258" s="1">
        <v>1586</v>
      </c>
      <c r="V258" s="1">
        <v>1609</v>
      </c>
      <c r="W258" s="1">
        <v>1608</v>
      </c>
      <c r="X258" s="1">
        <v>1552</v>
      </c>
      <c r="Y258" s="1">
        <v>1488</v>
      </c>
      <c r="Z258" s="1">
        <v>1401</v>
      </c>
      <c r="AA258" s="1">
        <v>1347</v>
      </c>
      <c r="AB258" s="1">
        <v>1350</v>
      </c>
      <c r="AC258" s="1">
        <v>1217</v>
      </c>
      <c r="AD258" s="1">
        <v>1152</v>
      </c>
      <c r="AE258" s="1">
        <v>1189</v>
      </c>
      <c r="AF258" s="1">
        <v>1201</v>
      </c>
      <c r="AG258" s="1">
        <v>1279</v>
      </c>
      <c r="AH258" s="1">
        <v>1301</v>
      </c>
      <c r="AI258" s="1">
        <v>1380</v>
      </c>
      <c r="AJ258" s="1">
        <v>1460</v>
      </c>
      <c r="AK258" s="1">
        <v>1415</v>
      </c>
      <c r="AL258" s="1">
        <v>1418</v>
      </c>
      <c r="AM258" s="1">
        <v>1458</v>
      </c>
      <c r="AN258" s="1">
        <v>1522</v>
      </c>
      <c r="AO258" s="1">
        <v>1444</v>
      </c>
      <c r="AP258" s="1">
        <v>1620</v>
      </c>
      <c r="AQ258" s="1">
        <v>1616</v>
      </c>
      <c r="AR258" s="1">
        <v>1624</v>
      </c>
      <c r="AS258" s="1">
        <v>1636</v>
      </c>
      <c r="AT258" s="1">
        <v>1631</v>
      </c>
      <c r="AU258" s="1">
        <v>1620</v>
      </c>
      <c r="AV258" s="1">
        <v>1600</v>
      </c>
      <c r="AW258" s="1">
        <v>1551</v>
      </c>
      <c r="AX258" s="1">
        <v>1583</v>
      </c>
      <c r="AY258" s="1">
        <v>1760</v>
      </c>
      <c r="AZ258" s="1">
        <v>1758</v>
      </c>
      <c r="BA258" s="1">
        <v>1666</v>
      </c>
      <c r="BB258" s="1">
        <v>1671</v>
      </c>
      <c r="BC258" s="1">
        <v>1600</v>
      </c>
      <c r="BD258" s="1">
        <v>1526</v>
      </c>
      <c r="BE258" s="1">
        <v>1324</v>
      </c>
      <c r="BF258" s="1">
        <v>1435</v>
      </c>
      <c r="BG258" s="1">
        <v>1412</v>
      </c>
      <c r="BH258" s="1">
        <v>1393</v>
      </c>
      <c r="BI258" s="1">
        <v>1420</v>
      </c>
      <c r="BJ258" s="1">
        <v>1445</v>
      </c>
      <c r="BK258" s="1">
        <v>1393</v>
      </c>
      <c r="BL258" s="1">
        <v>1365</v>
      </c>
      <c r="BM258" s="1">
        <v>1365</v>
      </c>
      <c r="BN258" s="1">
        <v>1370</v>
      </c>
      <c r="BO258" s="1">
        <v>1370</v>
      </c>
      <c r="BP258" s="1">
        <v>1400</v>
      </c>
      <c r="BQ258" s="1">
        <v>1420</v>
      </c>
      <c r="BR258" s="1">
        <v>1441</v>
      </c>
      <c r="BS258" s="1">
        <v>1455</v>
      </c>
      <c r="BT258" s="1">
        <v>1474</v>
      </c>
      <c r="BU258" s="1">
        <v>1451</v>
      </c>
      <c r="BV258" s="1">
        <v>1482</v>
      </c>
      <c r="BW258" s="1">
        <v>1480</v>
      </c>
      <c r="BX258" s="1">
        <v>1438</v>
      </c>
      <c r="BY258" s="1">
        <v>1402</v>
      </c>
      <c r="BZ258" s="1">
        <v>1471</v>
      </c>
    </row>
    <row r="259" spans="1:78">
      <c r="A259" s="74" t="s">
        <v>472</v>
      </c>
      <c r="B259" s="1" t="str">
        <f>銘柄管理!C259</f>
        <v>商船三井</v>
      </c>
      <c r="C259" s="544">
        <f>_xll.RssMarket("9104","始値")</f>
        <v>5995</v>
      </c>
      <c r="E259" s="550">
        <v>5901</v>
      </c>
      <c r="F259" s="1">
        <v>5813</v>
      </c>
      <c r="G259" s="1">
        <v>5833</v>
      </c>
      <c r="H259" s="1">
        <v>5914</v>
      </c>
      <c r="I259" s="1">
        <v>5930</v>
      </c>
      <c r="J259" s="1">
        <v>5849</v>
      </c>
      <c r="K259" s="1">
        <v>5917</v>
      </c>
      <c r="L259" s="1">
        <v>5795</v>
      </c>
      <c r="M259" s="1">
        <v>5801</v>
      </c>
      <c r="N259" s="1">
        <v>5699</v>
      </c>
      <c r="O259" s="1">
        <v>5629</v>
      </c>
      <c r="P259" s="1">
        <v>5550</v>
      </c>
      <c r="Q259" s="1">
        <v>5539</v>
      </c>
      <c r="R259" s="1">
        <v>5402</v>
      </c>
      <c r="S259" s="1">
        <v>5380</v>
      </c>
      <c r="T259" s="1">
        <v>5460</v>
      </c>
      <c r="U259" s="1">
        <v>5425</v>
      </c>
      <c r="V259" s="1">
        <v>5391</v>
      </c>
      <c r="W259" s="1">
        <v>5285</v>
      </c>
      <c r="X259" s="1">
        <v>5210</v>
      </c>
      <c r="Y259" s="1">
        <v>5200</v>
      </c>
      <c r="Z259" s="1">
        <v>5050</v>
      </c>
      <c r="AA259" s="1">
        <v>5210</v>
      </c>
      <c r="AB259" s="1">
        <v>5263</v>
      </c>
      <c r="AC259" s="1">
        <v>5230</v>
      </c>
      <c r="AD259" s="1">
        <v>5275</v>
      </c>
      <c r="AE259" s="1">
        <v>5342</v>
      </c>
      <c r="AF259" s="1">
        <v>5388</v>
      </c>
      <c r="AG259" s="1">
        <v>5293</v>
      </c>
      <c r="AH259" s="1">
        <v>5251</v>
      </c>
      <c r="AI259" s="1">
        <v>5343</v>
      </c>
      <c r="AJ259" s="1">
        <v>5420</v>
      </c>
      <c r="AK259" s="1">
        <v>5459</v>
      </c>
      <c r="AL259" s="1">
        <v>5686</v>
      </c>
      <c r="AM259" s="1">
        <v>5742</v>
      </c>
      <c r="AN259" s="1">
        <v>5757</v>
      </c>
      <c r="AO259" s="1">
        <v>5636</v>
      </c>
      <c r="AP259" s="1">
        <v>5878</v>
      </c>
      <c r="AQ259" s="1">
        <v>5784</v>
      </c>
      <c r="AR259" s="1">
        <v>5685</v>
      </c>
      <c r="AS259" s="1">
        <v>5433</v>
      </c>
      <c r="AT259" s="1">
        <v>5484</v>
      </c>
      <c r="AU259" s="1">
        <v>5421</v>
      </c>
      <c r="AV259" s="1">
        <v>5400</v>
      </c>
      <c r="AW259" s="1">
        <v>5420</v>
      </c>
      <c r="AX259" s="1">
        <v>5570</v>
      </c>
      <c r="AY259" s="1">
        <v>5681</v>
      </c>
      <c r="AZ259" s="1">
        <v>5648</v>
      </c>
      <c r="BA259" s="1">
        <v>5827</v>
      </c>
      <c r="BB259" s="1">
        <v>5794</v>
      </c>
      <c r="BC259" s="1">
        <v>5839</v>
      </c>
      <c r="BD259" s="1">
        <v>5861</v>
      </c>
      <c r="BE259" s="1">
        <v>5850</v>
      </c>
      <c r="BF259" s="1">
        <v>5886</v>
      </c>
      <c r="BG259" s="1">
        <v>5804</v>
      </c>
      <c r="BH259" s="1">
        <v>5783</v>
      </c>
      <c r="BI259" s="1">
        <v>5676</v>
      </c>
      <c r="BJ259" s="1">
        <v>5796</v>
      </c>
      <c r="BK259" s="1">
        <v>5817</v>
      </c>
      <c r="BL259" s="1">
        <v>5890</v>
      </c>
      <c r="BM259" s="1">
        <v>6000</v>
      </c>
      <c r="BN259" s="1">
        <v>5812</v>
      </c>
      <c r="BO259" s="1">
        <v>5950</v>
      </c>
      <c r="BP259" s="1">
        <v>6088</v>
      </c>
      <c r="BQ259" s="1">
        <v>6051</v>
      </c>
      <c r="BR259" s="1">
        <v>6100</v>
      </c>
      <c r="BS259" s="1">
        <v>6100</v>
      </c>
      <c r="BT259" s="1">
        <v>6252</v>
      </c>
      <c r="BU259" s="1">
        <v>6394</v>
      </c>
      <c r="BV259" s="1">
        <v>6300</v>
      </c>
      <c r="BW259" s="1">
        <v>6434</v>
      </c>
      <c r="BX259" s="1">
        <v>6300</v>
      </c>
      <c r="BY259" s="1">
        <v>6500</v>
      </c>
      <c r="BZ259" s="1">
        <v>6600</v>
      </c>
    </row>
    <row r="260" spans="1:78">
      <c r="A260" s="74" t="s">
        <v>473</v>
      </c>
      <c r="B260" s="1" t="str">
        <f>銘柄管理!C260</f>
        <v>千代田化工建</v>
      </c>
      <c r="C260" s="544">
        <f>_xll.RssMarket("6366","始値")</f>
        <v>681</v>
      </c>
      <c r="E260" s="550">
        <v>644</v>
      </c>
      <c r="F260" s="1">
        <v>652</v>
      </c>
      <c r="G260" s="1">
        <v>649</v>
      </c>
      <c r="H260" s="1">
        <v>630</v>
      </c>
      <c r="I260" s="1">
        <v>703</v>
      </c>
      <c r="J260" s="1">
        <v>733</v>
      </c>
      <c r="K260" s="1">
        <v>715</v>
      </c>
      <c r="L260" s="1">
        <v>690</v>
      </c>
      <c r="M260" s="1">
        <v>699</v>
      </c>
      <c r="N260" s="1">
        <v>687</v>
      </c>
      <c r="O260" s="1">
        <v>650</v>
      </c>
      <c r="P260" s="1">
        <v>661</v>
      </c>
      <c r="Q260" s="1">
        <v>680</v>
      </c>
      <c r="R260" s="1">
        <v>653</v>
      </c>
      <c r="S260" s="1">
        <v>680</v>
      </c>
      <c r="T260" s="1">
        <v>685</v>
      </c>
      <c r="U260" s="1">
        <v>695</v>
      </c>
      <c r="V260" s="1">
        <v>720</v>
      </c>
      <c r="W260" s="1">
        <v>732</v>
      </c>
      <c r="X260" s="1">
        <v>716</v>
      </c>
      <c r="Y260" s="1">
        <v>688</v>
      </c>
      <c r="Z260" s="1">
        <v>654</v>
      </c>
      <c r="AA260" s="1">
        <v>671</v>
      </c>
      <c r="AB260" s="1">
        <v>687</v>
      </c>
      <c r="AC260" s="1">
        <v>676</v>
      </c>
      <c r="AD260" s="1">
        <v>680</v>
      </c>
      <c r="AE260" s="1">
        <v>731</v>
      </c>
      <c r="AF260" s="1">
        <v>699</v>
      </c>
      <c r="AG260" s="1">
        <v>730</v>
      </c>
      <c r="AH260" s="1">
        <v>745</v>
      </c>
      <c r="AI260" s="1">
        <v>783</v>
      </c>
      <c r="AJ260" s="1">
        <v>800</v>
      </c>
      <c r="AK260" s="1">
        <v>776</v>
      </c>
      <c r="AL260" s="1">
        <v>759</v>
      </c>
      <c r="AM260" s="1">
        <v>837</v>
      </c>
      <c r="AN260" s="1">
        <v>704</v>
      </c>
      <c r="AO260" s="1">
        <v>650</v>
      </c>
      <c r="AP260" s="1">
        <v>698</v>
      </c>
      <c r="AQ260" s="1">
        <v>703</v>
      </c>
      <c r="AR260" s="1">
        <v>723</v>
      </c>
      <c r="AS260" s="1">
        <v>700</v>
      </c>
      <c r="AT260" s="1">
        <v>719</v>
      </c>
      <c r="AU260" s="1">
        <v>701</v>
      </c>
      <c r="AV260" s="1">
        <v>748</v>
      </c>
      <c r="AW260" s="1">
        <v>775</v>
      </c>
      <c r="AX260" s="1">
        <v>832</v>
      </c>
      <c r="AY260" s="1">
        <v>807</v>
      </c>
      <c r="AZ260" s="1">
        <v>700</v>
      </c>
      <c r="BA260" s="1">
        <v>740</v>
      </c>
      <c r="BB260" s="1">
        <v>757</v>
      </c>
      <c r="BC260" s="1">
        <v>771</v>
      </c>
      <c r="BD260" s="1">
        <v>807</v>
      </c>
      <c r="BE260" s="1">
        <v>821</v>
      </c>
      <c r="BF260" s="1">
        <v>810</v>
      </c>
      <c r="BG260" s="1">
        <v>810</v>
      </c>
      <c r="BH260" s="1">
        <v>828</v>
      </c>
      <c r="BI260" s="1">
        <v>986</v>
      </c>
      <c r="BJ260" s="1">
        <v>992</v>
      </c>
      <c r="BK260" s="1">
        <v>1049</v>
      </c>
      <c r="BL260" s="1">
        <v>1010</v>
      </c>
      <c r="BM260" s="1">
        <v>1045</v>
      </c>
      <c r="BN260" s="1">
        <v>1027</v>
      </c>
      <c r="BO260" s="1">
        <v>1000</v>
      </c>
      <c r="BP260" s="1">
        <v>1065</v>
      </c>
      <c r="BQ260" s="1">
        <v>1050</v>
      </c>
      <c r="BR260" s="1">
        <v>1070</v>
      </c>
      <c r="BS260" s="1">
        <v>1101</v>
      </c>
      <c r="BT260" s="1">
        <v>1166</v>
      </c>
      <c r="BU260" s="1">
        <v>1170</v>
      </c>
      <c r="BV260" s="1">
        <v>1120</v>
      </c>
      <c r="BW260" s="1">
        <v>1163</v>
      </c>
      <c r="BX260" s="1">
        <v>1162</v>
      </c>
      <c r="BY260" s="1">
        <v>1135</v>
      </c>
      <c r="BZ260" s="1">
        <v>1213</v>
      </c>
    </row>
    <row r="261" spans="1:78">
      <c r="A261" s="74" t="s">
        <v>474</v>
      </c>
      <c r="B261" s="1" t="str">
        <f>銘柄管理!C261</f>
        <v>旭ダイヤモンド</v>
      </c>
      <c r="C261" s="544">
        <f>_xll.RssMarket("6140","始値")</f>
        <v>1149</v>
      </c>
      <c r="E261" s="550">
        <v>1102</v>
      </c>
      <c r="F261" s="1">
        <v>1095</v>
      </c>
      <c r="G261" s="1">
        <v>1088</v>
      </c>
      <c r="H261" s="1">
        <v>1040</v>
      </c>
      <c r="I261" s="1">
        <v>1080</v>
      </c>
      <c r="J261" s="1">
        <v>1133</v>
      </c>
      <c r="K261" s="1">
        <v>1134</v>
      </c>
      <c r="M261" s="1">
        <v>1145</v>
      </c>
      <c r="N261" s="1">
        <v>1161</v>
      </c>
      <c r="O261" s="1">
        <v>1172</v>
      </c>
      <c r="P261" s="1">
        <v>1173</v>
      </c>
      <c r="Q261" s="1">
        <v>1194</v>
      </c>
      <c r="R261" s="1">
        <v>1153</v>
      </c>
      <c r="S261" s="1">
        <v>1186</v>
      </c>
      <c r="T261" s="1">
        <v>1180</v>
      </c>
      <c r="U261" s="1">
        <v>1185</v>
      </c>
      <c r="V261" s="1">
        <v>1170</v>
      </c>
      <c r="W261" s="1">
        <v>1240</v>
      </c>
      <c r="X261" s="1">
        <v>1263</v>
      </c>
      <c r="Y261" s="1">
        <v>1210</v>
      </c>
      <c r="Z261" s="1">
        <v>1212</v>
      </c>
      <c r="AA261" s="1">
        <v>1228</v>
      </c>
      <c r="AB261" s="1">
        <v>1233</v>
      </c>
      <c r="AC261" s="1">
        <v>1230</v>
      </c>
      <c r="AD261" s="1">
        <v>1219</v>
      </c>
      <c r="AE261" s="1">
        <v>1224</v>
      </c>
      <c r="AF261" s="1">
        <v>1213</v>
      </c>
      <c r="AG261" s="1">
        <v>1345</v>
      </c>
      <c r="AH261" s="1">
        <v>1314</v>
      </c>
      <c r="AI261" s="1">
        <v>1328</v>
      </c>
      <c r="AJ261" s="1">
        <v>1320</v>
      </c>
      <c r="AK261" s="1">
        <v>1284</v>
      </c>
      <c r="AL261" s="1">
        <v>1313</v>
      </c>
      <c r="AM261" s="1">
        <v>1284</v>
      </c>
      <c r="AN261" s="1">
        <v>1238</v>
      </c>
      <c r="AO261" s="1">
        <v>1196</v>
      </c>
      <c r="AP261" s="1">
        <v>1259</v>
      </c>
      <c r="AQ261" s="1">
        <v>1286</v>
      </c>
      <c r="AR261" s="1">
        <v>1300</v>
      </c>
      <c r="AS261" s="1">
        <v>1301</v>
      </c>
      <c r="AT261" s="1">
        <v>1319</v>
      </c>
      <c r="AU261" s="1">
        <v>1350</v>
      </c>
      <c r="AV261" s="1">
        <v>1357</v>
      </c>
      <c r="AW261" s="1">
        <v>1335</v>
      </c>
      <c r="AX261" s="1">
        <v>1399</v>
      </c>
      <c r="AY261" s="1">
        <v>1370</v>
      </c>
      <c r="AZ261" s="1">
        <v>1271</v>
      </c>
      <c r="BA261" s="1">
        <v>1320</v>
      </c>
      <c r="BB261" s="1">
        <v>1272</v>
      </c>
      <c r="BC261" s="1">
        <v>1315</v>
      </c>
      <c r="BD261" s="1">
        <v>1280</v>
      </c>
      <c r="BE261" s="1">
        <v>1375</v>
      </c>
      <c r="BF261" s="1">
        <v>1402</v>
      </c>
      <c r="BG261" s="1">
        <v>1355</v>
      </c>
      <c r="BH261" s="1">
        <v>1333</v>
      </c>
      <c r="BI261" s="1">
        <v>1341</v>
      </c>
      <c r="BJ261" s="1">
        <v>1310</v>
      </c>
      <c r="BK261" s="1">
        <v>1314</v>
      </c>
      <c r="BL261" s="1">
        <v>1285</v>
      </c>
      <c r="BM261" s="1">
        <v>1289</v>
      </c>
      <c r="BN261" s="1">
        <v>1287</v>
      </c>
      <c r="BO261" s="1">
        <v>1310</v>
      </c>
      <c r="BP261" s="1">
        <v>1300</v>
      </c>
      <c r="BQ261" s="1">
        <v>1302</v>
      </c>
      <c r="BR261" s="1">
        <v>1301</v>
      </c>
      <c r="BS261" s="1">
        <v>1321</v>
      </c>
      <c r="BT261" s="1">
        <v>1392</v>
      </c>
      <c r="BU261" s="1">
        <v>1293</v>
      </c>
      <c r="BV261" s="1">
        <v>1163</v>
      </c>
      <c r="BW261" s="1">
        <v>1176</v>
      </c>
      <c r="BX261" s="1">
        <v>1173</v>
      </c>
      <c r="BY261" s="1">
        <v>1147</v>
      </c>
      <c r="BZ261" s="1">
        <v>1165</v>
      </c>
    </row>
    <row r="262" spans="1:78">
      <c r="A262" s="74" t="s">
        <v>475</v>
      </c>
      <c r="B262" s="1" t="str">
        <f>銘柄管理!C262</f>
        <v>住石ホールディングス</v>
      </c>
      <c r="C262" s="544">
        <f>_xll.RssMarket("1514","始値")</f>
        <v>595</v>
      </c>
      <c r="E262" s="550">
        <v>574</v>
      </c>
      <c r="F262" s="1">
        <v>604</v>
      </c>
      <c r="G262" s="1">
        <v>567</v>
      </c>
      <c r="H262" s="1">
        <v>575</v>
      </c>
      <c r="I262" s="1">
        <v>580</v>
      </c>
      <c r="J262" s="1">
        <v>592</v>
      </c>
      <c r="K262" s="1">
        <v>598</v>
      </c>
      <c r="L262" s="1">
        <v>600</v>
      </c>
      <c r="M262" s="1">
        <v>594</v>
      </c>
      <c r="N262" s="1">
        <v>590</v>
      </c>
      <c r="O262" s="1">
        <v>561</v>
      </c>
      <c r="P262" s="1">
        <v>579</v>
      </c>
      <c r="Q262" s="1">
        <v>584</v>
      </c>
      <c r="R262" s="1">
        <v>575</v>
      </c>
      <c r="S262" s="1">
        <v>585</v>
      </c>
      <c r="T262" s="1">
        <v>560</v>
      </c>
      <c r="U262" s="1">
        <v>561</v>
      </c>
      <c r="V262" s="1">
        <v>550</v>
      </c>
      <c r="W262" s="1">
        <v>585</v>
      </c>
      <c r="X262" s="1">
        <v>556</v>
      </c>
      <c r="Y262" s="1">
        <v>549</v>
      </c>
      <c r="Z262" s="1">
        <v>525</v>
      </c>
      <c r="AA262" s="1">
        <v>526</v>
      </c>
      <c r="AB262" s="1">
        <v>525</v>
      </c>
      <c r="AC262" s="1">
        <v>530</v>
      </c>
      <c r="AD262" s="1">
        <v>524</v>
      </c>
      <c r="AE262" s="1">
        <v>528</v>
      </c>
      <c r="AF262" s="1">
        <v>532</v>
      </c>
      <c r="AG262" s="1">
        <v>550</v>
      </c>
      <c r="AH262" s="1">
        <v>531</v>
      </c>
      <c r="AI262" s="1">
        <v>530</v>
      </c>
      <c r="AJ262" s="1">
        <v>550</v>
      </c>
      <c r="AK262" s="1">
        <v>544</v>
      </c>
      <c r="AL262" s="1">
        <v>554</v>
      </c>
      <c r="AM262" s="1">
        <v>551</v>
      </c>
      <c r="AN262" s="1">
        <v>553</v>
      </c>
      <c r="AO262" s="1">
        <v>550</v>
      </c>
      <c r="AP262" s="1">
        <v>561</v>
      </c>
      <c r="AQ262" s="1">
        <v>566</v>
      </c>
      <c r="AR262" s="1">
        <v>564</v>
      </c>
      <c r="AS262" s="1">
        <v>557</v>
      </c>
      <c r="AT262" s="1">
        <v>564</v>
      </c>
      <c r="AU262" s="1">
        <v>563</v>
      </c>
      <c r="AV262" s="1">
        <v>588</v>
      </c>
      <c r="AW262" s="1">
        <v>605</v>
      </c>
      <c r="AX262" s="1">
        <v>620</v>
      </c>
      <c r="AY262" s="1">
        <v>603</v>
      </c>
      <c r="AZ262" s="1">
        <v>599</v>
      </c>
      <c r="BA262" s="1">
        <v>598</v>
      </c>
      <c r="BB262" s="1">
        <v>615</v>
      </c>
      <c r="BC262" s="1">
        <v>631</v>
      </c>
      <c r="BD262" s="1">
        <v>647</v>
      </c>
      <c r="BE262" s="1">
        <v>700</v>
      </c>
      <c r="BF262" s="1">
        <v>720</v>
      </c>
      <c r="BG262" s="1">
        <v>730</v>
      </c>
      <c r="BH262" s="1">
        <v>738</v>
      </c>
      <c r="BI262" s="1">
        <v>744</v>
      </c>
      <c r="BJ262" s="1">
        <v>760</v>
      </c>
      <c r="BK262" s="1">
        <v>745</v>
      </c>
      <c r="BL262" s="1">
        <v>760</v>
      </c>
      <c r="BM262" s="1">
        <v>795</v>
      </c>
      <c r="BN262" s="1">
        <v>771</v>
      </c>
      <c r="BO262" s="1">
        <v>784</v>
      </c>
      <c r="BP262" s="1">
        <v>810</v>
      </c>
      <c r="BQ262" s="1">
        <v>835</v>
      </c>
      <c r="BR262" s="1">
        <v>860</v>
      </c>
      <c r="BS262" s="1">
        <v>869</v>
      </c>
      <c r="BT262" s="1">
        <v>850</v>
      </c>
      <c r="BU262" s="1">
        <v>873</v>
      </c>
      <c r="BV262" s="1">
        <v>890</v>
      </c>
      <c r="BW262" s="1">
        <v>842</v>
      </c>
      <c r="BX262" s="1">
        <v>850</v>
      </c>
      <c r="BY262" s="1">
        <v>867</v>
      </c>
      <c r="BZ262" s="1">
        <v>872</v>
      </c>
    </row>
    <row r="263" spans="1:78">
      <c r="A263" s="74" t="s">
        <v>476</v>
      </c>
      <c r="B263" s="1" t="str">
        <f>銘柄管理!C263</f>
        <v>日本製鋼所</v>
      </c>
      <c r="C263" s="544">
        <f>_xll.RssMarket("5631","始値")</f>
        <v>7672</v>
      </c>
      <c r="E263" s="550">
        <v>7380</v>
      </c>
      <c r="F263" s="1">
        <v>7418</v>
      </c>
      <c r="G263" s="1">
        <v>7495</v>
      </c>
      <c r="H263" s="1">
        <v>7056</v>
      </c>
      <c r="I263" s="1">
        <v>7477</v>
      </c>
      <c r="J263" s="1">
        <v>7685</v>
      </c>
      <c r="K263" s="1">
        <v>7835</v>
      </c>
      <c r="L263" s="1">
        <v>7761</v>
      </c>
      <c r="M263" s="1">
        <v>7507</v>
      </c>
      <c r="N263" s="1">
        <v>7567</v>
      </c>
      <c r="O263" s="1">
        <v>7470</v>
      </c>
      <c r="P263" s="1">
        <v>7759</v>
      </c>
      <c r="Q263" s="1">
        <v>7750</v>
      </c>
      <c r="R263" s="1">
        <v>7723</v>
      </c>
      <c r="S263" s="1">
        <v>7800</v>
      </c>
      <c r="T263" s="1">
        <v>7937</v>
      </c>
      <c r="U263" s="1">
        <v>8100</v>
      </c>
      <c r="V263" s="1">
        <v>8369</v>
      </c>
      <c r="W263" s="1">
        <v>8640</v>
      </c>
      <c r="X263" s="1">
        <v>8039</v>
      </c>
      <c r="Y263" s="1">
        <v>7971</v>
      </c>
      <c r="Z263" s="1">
        <v>7818</v>
      </c>
      <c r="AA263" s="1">
        <v>7827</v>
      </c>
      <c r="AB263" s="1">
        <v>7670</v>
      </c>
      <c r="AC263" s="1">
        <v>7776</v>
      </c>
      <c r="AD263" s="1">
        <v>7860</v>
      </c>
      <c r="AE263" s="1">
        <v>7953</v>
      </c>
      <c r="AF263" s="1">
        <v>7838</v>
      </c>
      <c r="AG263" s="1">
        <v>8280</v>
      </c>
      <c r="AH263" s="1">
        <v>7952</v>
      </c>
      <c r="AI263" s="1">
        <v>8258</v>
      </c>
      <c r="AJ263" s="1">
        <v>8519</v>
      </c>
      <c r="AK263" s="1">
        <v>7850</v>
      </c>
      <c r="AL263" s="1">
        <v>7828</v>
      </c>
      <c r="AM263" s="1">
        <v>7749</v>
      </c>
      <c r="AN263" s="1">
        <v>7414</v>
      </c>
      <c r="AO263" s="1">
        <v>6779</v>
      </c>
      <c r="AP263" s="1">
        <v>7317</v>
      </c>
      <c r="AQ263" s="1">
        <v>7660</v>
      </c>
      <c r="AR263" s="1">
        <v>7486</v>
      </c>
      <c r="AS263" s="1">
        <v>7255</v>
      </c>
      <c r="AT263" s="1">
        <v>7349</v>
      </c>
      <c r="AU263" s="1">
        <v>7418</v>
      </c>
      <c r="AV263" s="1">
        <v>7703</v>
      </c>
      <c r="AW263" s="1">
        <v>8000</v>
      </c>
      <c r="AX263" s="1">
        <v>8393</v>
      </c>
      <c r="AY263" s="1">
        <v>7992</v>
      </c>
      <c r="AZ263" s="1">
        <v>7767</v>
      </c>
      <c r="BA263" s="1">
        <v>8085</v>
      </c>
      <c r="BB263" s="1">
        <v>8086</v>
      </c>
      <c r="BC263" s="1">
        <v>7881</v>
      </c>
      <c r="BD263" s="1">
        <v>7873</v>
      </c>
      <c r="BE263" s="1">
        <v>8100</v>
      </c>
      <c r="BF263" s="1">
        <v>8601</v>
      </c>
      <c r="BG263" s="1">
        <v>8825</v>
      </c>
      <c r="BH263" s="1">
        <v>9067</v>
      </c>
      <c r="BI263" s="1">
        <v>9359</v>
      </c>
      <c r="BJ263" s="1">
        <v>9149</v>
      </c>
      <c r="BK263" s="1">
        <v>9280</v>
      </c>
      <c r="BL263" s="1">
        <v>9450</v>
      </c>
      <c r="BM263" s="1">
        <v>9681</v>
      </c>
      <c r="BN263" s="1">
        <v>9603</v>
      </c>
      <c r="BO263" s="1">
        <v>9780</v>
      </c>
      <c r="BP263" s="1">
        <v>9846</v>
      </c>
      <c r="BQ263" s="1">
        <v>9640</v>
      </c>
      <c r="BR263" s="1">
        <v>9322</v>
      </c>
      <c r="BS263" s="1">
        <v>9197</v>
      </c>
      <c r="BT263" s="1">
        <v>9080</v>
      </c>
      <c r="BU263" s="1">
        <v>9210</v>
      </c>
      <c r="BV263" s="1">
        <v>9100</v>
      </c>
      <c r="BW263" s="1">
        <v>9849</v>
      </c>
      <c r="BX263" s="1">
        <v>9880</v>
      </c>
      <c r="BY263" s="1">
        <v>9735</v>
      </c>
      <c r="BZ263" s="1">
        <v>9990</v>
      </c>
    </row>
    <row r="264" spans="1:78">
      <c r="A264" s="74" t="s">
        <v>477</v>
      </c>
      <c r="B264" s="1" t="str">
        <f>銘柄管理!C264</f>
        <v>ジーエス・ユアサコーポ</v>
      </c>
      <c r="C264" s="544">
        <f>_xll.RssMarket("6674","始値")</f>
        <v>5860</v>
      </c>
      <c r="E264" s="550">
        <v>5477</v>
      </c>
      <c r="F264" s="1">
        <v>5392</v>
      </c>
      <c r="G264" s="1">
        <v>5664</v>
      </c>
      <c r="H264" s="1">
        <v>5095</v>
      </c>
      <c r="I264" s="1">
        <v>5401</v>
      </c>
      <c r="J264" s="1">
        <v>5640</v>
      </c>
      <c r="K264" s="1">
        <v>5836</v>
      </c>
      <c r="L264" s="1">
        <v>5957</v>
      </c>
      <c r="M264" s="1">
        <v>6014</v>
      </c>
      <c r="N264" s="1">
        <v>6024</v>
      </c>
      <c r="O264" s="1">
        <v>5800</v>
      </c>
      <c r="P264" s="1">
        <v>5800</v>
      </c>
      <c r="Q264" s="1">
        <v>5995</v>
      </c>
      <c r="R264" s="1">
        <v>5980</v>
      </c>
      <c r="S264" s="1">
        <v>6258</v>
      </c>
      <c r="T264" s="1">
        <v>6286</v>
      </c>
      <c r="U264" s="1">
        <v>6227</v>
      </c>
      <c r="V264" s="1">
        <v>6300</v>
      </c>
      <c r="W264" s="1">
        <v>6636</v>
      </c>
      <c r="X264" s="1">
        <v>6770</v>
      </c>
      <c r="Y264" s="1">
        <v>6520</v>
      </c>
      <c r="Z264" s="1">
        <v>6640</v>
      </c>
      <c r="AA264" s="1">
        <v>6562</v>
      </c>
      <c r="AB264" s="1">
        <v>6700</v>
      </c>
      <c r="AC264" s="1">
        <v>6736</v>
      </c>
      <c r="AD264" s="1">
        <v>7122</v>
      </c>
      <c r="AE264" s="1">
        <v>7447</v>
      </c>
      <c r="AF264" s="1">
        <v>7088</v>
      </c>
      <c r="AG264" s="1">
        <v>7550</v>
      </c>
      <c r="AH264" s="1">
        <v>7696</v>
      </c>
      <c r="AI264" s="1">
        <v>6786</v>
      </c>
      <c r="AJ264" s="1">
        <v>6660</v>
      </c>
      <c r="AK264" s="1">
        <v>6668</v>
      </c>
      <c r="AL264" s="1">
        <v>6319</v>
      </c>
      <c r="AM264" s="1">
        <v>6380</v>
      </c>
      <c r="AN264" s="1">
        <v>6397</v>
      </c>
      <c r="AO264" s="1">
        <v>6112</v>
      </c>
      <c r="AP264" s="1">
        <v>6769</v>
      </c>
      <c r="AQ264" s="1">
        <v>6933</v>
      </c>
      <c r="AR264" s="1">
        <v>7113</v>
      </c>
      <c r="AS264" s="1">
        <v>7500</v>
      </c>
      <c r="AT264" s="1">
        <v>7202</v>
      </c>
      <c r="AU264" s="1">
        <v>7000</v>
      </c>
      <c r="AV264" s="1">
        <v>6700</v>
      </c>
      <c r="AW264" s="1">
        <v>6284</v>
      </c>
      <c r="AX264" s="1">
        <v>6348</v>
      </c>
      <c r="AY264" s="1">
        <v>6300</v>
      </c>
      <c r="AZ264" s="1">
        <v>6030</v>
      </c>
      <c r="BA264" s="1">
        <v>6160</v>
      </c>
      <c r="BB264" s="1">
        <v>6236</v>
      </c>
      <c r="BC264" s="1">
        <v>6319</v>
      </c>
      <c r="BD264" s="1">
        <v>6365</v>
      </c>
      <c r="BE264" s="1">
        <v>6368</v>
      </c>
      <c r="BF264" s="1">
        <v>6439</v>
      </c>
      <c r="BG264" s="1">
        <v>6604</v>
      </c>
      <c r="BH264" s="1">
        <v>6665</v>
      </c>
      <c r="BI264" s="1">
        <v>6750</v>
      </c>
      <c r="BJ264" s="1">
        <v>6465</v>
      </c>
      <c r="BK264" s="1">
        <v>6533</v>
      </c>
      <c r="BL264" s="1">
        <v>6224</v>
      </c>
      <c r="BM264" s="1">
        <v>6081</v>
      </c>
      <c r="BN264" s="1">
        <v>6190</v>
      </c>
      <c r="BO264" s="1">
        <v>6280</v>
      </c>
      <c r="BP264" s="1">
        <v>6300</v>
      </c>
      <c r="BQ264" s="1">
        <v>6352</v>
      </c>
      <c r="BR264" s="1">
        <v>6521</v>
      </c>
      <c r="BS264" s="1">
        <v>6803</v>
      </c>
      <c r="BT264" s="1">
        <v>6787</v>
      </c>
      <c r="BU264" s="1">
        <v>6757</v>
      </c>
      <c r="BV264" s="1">
        <v>6620</v>
      </c>
      <c r="BW264" s="1">
        <v>6797</v>
      </c>
      <c r="BX264" s="1">
        <v>6464</v>
      </c>
      <c r="BY264" s="1">
        <v>6287</v>
      </c>
      <c r="BZ264" s="1">
        <v>6236</v>
      </c>
    </row>
    <row r="265" spans="1:78">
      <c r="A265" s="74" t="s">
        <v>478</v>
      </c>
      <c r="B265" s="1" t="str">
        <f>銘柄管理!C265</f>
        <v>ＦＤＫ</v>
      </c>
      <c r="C265" s="544">
        <f>_xll.RssMarket("6955","始値")</f>
        <v>391</v>
      </c>
      <c r="E265" s="550">
        <v>386</v>
      </c>
      <c r="F265" s="1">
        <v>384</v>
      </c>
      <c r="G265" s="1">
        <v>392</v>
      </c>
      <c r="H265" s="1">
        <v>379</v>
      </c>
      <c r="I265" s="1">
        <v>392</v>
      </c>
      <c r="J265" s="1">
        <v>410</v>
      </c>
      <c r="K265" s="1">
        <v>405</v>
      </c>
      <c r="M265" s="1">
        <v>413</v>
      </c>
      <c r="N265" s="1">
        <v>411</v>
      </c>
      <c r="O265" s="1">
        <v>406</v>
      </c>
      <c r="P265" s="1">
        <v>409</v>
      </c>
      <c r="Q265" s="1">
        <v>432</v>
      </c>
      <c r="R265" s="1">
        <v>438</v>
      </c>
      <c r="S265" s="1">
        <v>441</v>
      </c>
      <c r="T265" s="1">
        <v>441</v>
      </c>
      <c r="U265" s="1">
        <v>432</v>
      </c>
      <c r="V265" s="1">
        <v>444</v>
      </c>
      <c r="W265" s="1">
        <v>452</v>
      </c>
      <c r="X265" s="1">
        <v>489</v>
      </c>
      <c r="Y265" s="1">
        <v>498</v>
      </c>
      <c r="Z265" s="1">
        <v>481</v>
      </c>
      <c r="AA265" s="1">
        <v>488</v>
      </c>
      <c r="AB265" s="1">
        <v>507</v>
      </c>
      <c r="AC265" s="1">
        <v>503</v>
      </c>
      <c r="AD265" s="1">
        <v>519</v>
      </c>
      <c r="AE265" s="1">
        <v>527</v>
      </c>
      <c r="AF265" s="1">
        <v>502</v>
      </c>
      <c r="AG265" s="1">
        <v>539</v>
      </c>
      <c r="AH265" s="1">
        <v>521</v>
      </c>
      <c r="AI265" s="1">
        <v>510</v>
      </c>
      <c r="AJ265" s="1">
        <v>510</v>
      </c>
      <c r="AK265" s="1">
        <v>502</v>
      </c>
      <c r="AL265" s="1">
        <v>478</v>
      </c>
      <c r="AM265" s="1">
        <v>517</v>
      </c>
      <c r="AN265" s="1">
        <v>515</v>
      </c>
      <c r="AO265" s="1">
        <v>506</v>
      </c>
      <c r="AP265" s="1">
        <v>551</v>
      </c>
      <c r="AQ265" s="1">
        <v>604</v>
      </c>
      <c r="AR265" s="1">
        <v>495</v>
      </c>
      <c r="AS265" s="1">
        <v>489</v>
      </c>
      <c r="AT265" s="1">
        <v>469</v>
      </c>
      <c r="AU265" s="1">
        <v>431</v>
      </c>
      <c r="AV265" s="1">
        <v>451</v>
      </c>
      <c r="AW265" s="1">
        <v>432</v>
      </c>
      <c r="AX265" s="1">
        <v>411</v>
      </c>
      <c r="AY265" s="1">
        <v>413</v>
      </c>
      <c r="AZ265" s="1">
        <v>407</v>
      </c>
      <c r="BA265" s="1">
        <v>414</v>
      </c>
      <c r="BB265" s="1">
        <v>416</v>
      </c>
      <c r="BC265" s="1">
        <v>416</v>
      </c>
      <c r="BD265" s="1">
        <v>418</v>
      </c>
      <c r="BE265" s="1">
        <v>432</v>
      </c>
      <c r="BF265" s="1">
        <v>426</v>
      </c>
      <c r="BG265" s="1">
        <v>435</v>
      </c>
      <c r="BH265" s="1">
        <v>432</v>
      </c>
      <c r="BI265" s="1">
        <v>443</v>
      </c>
      <c r="BJ265" s="1">
        <v>455</v>
      </c>
      <c r="BK265" s="1">
        <v>452</v>
      </c>
      <c r="BL265" s="1">
        <v>432</v>
      </c>
      <c r="BM265" s="1">
        <v>447</v>
      </c>
      <c r="BN265" s="1">
        <v>454</v>
      </c>
      <c r="BO265" s="1">
        <v>450</v>
      </c>
      <c r="BP265" s="1">
        <v>451</v>
      </c>
      <c r="BQ265" s="1">
        <v>448</v>
      </c>
      <c r="BR265" s="1">
        <v>450</v>
      </c>
      <c r="BS265" s="1">
        <v>457</v>
      </c>
      <c r="BT265" s="1">
        <v>453</v>
      </c>
      <c r="BU265" s="1">
        <v>458</v>
      </c>
      <c r="BV265" s="1">
        <v>452</v>
      </c>
      <c r="BW265" s="1">
        <v>456</v>
      </c>
      <c r="BX265" s="1">
        <v>457</v>
      </c>
      <c r="BY265" s="1">
        <v>446</v>
      </c>
      <c r="BZ265" s="1">
        <v>470</v>
      </c>
    </row>
    <row r="266" spans="1:78">
      <c r="A266" s="74" t="s">
        <v>479</v>
      </c>
      <c r="B266" s="1" t="str">
        <f>銘柄管理!C266</f>
        <v>インフォメティス</v>
      </c>
      <c r="C266" s="544">
        <f>_xll.RssMarket("281A","始値")</f>
        <v>470</v>
      </c>
      <c r="E266" s="550">
        <v>450</v>
      </c>
      <c r="F266" s="1">
        <v>426</v>
      </c>
      <c r="G266" s="1">
        <v>424</v>
      </c>
      <c r="H266" s="1">
        <v>414</v>
      </c>
      <c r="I266" s="1">
        <v>428</v>
      </c>
      <c r="J266" s="1">
        <v>443</v>
      </c>
      <c r="K266" s="1">
        <v>450</v>
      </c>
      <c r="L266" s="1">
        <v>527</v>
      </c>
      <c r="M266" s="1">
        <v>460</v>
      </c>
      <c r="N266" s="1">
        <v>470</v>
      </c>
      <c r="O266" s="1">
        <v>463</v>
      </c>
      <c r="P266" s="1">
        <v>463</v>
      </c>
      <c r="Q266" s="1">
        <v>502</v>
      </c>
      <c r="R266" s="1">
        <v>520</v>
      </c>
      <c r="S266" s="1">
        <v>524</v>
      </c>
      <c r="T266" s="1">
        <v>486</v>
      </c>
      <c r="U266" s="1">
        <v>486</v>
      </c>
      <c r="V266" s="1">
        <v>519</v>
      </c>
      <c r="W266" s="1">
        <v>625</v>
      </c>
      <c r="X266" s="1">
        <v>631</v>
      </c>
      <c r="Y266" s="1">
        <v>619</v>
      </c>
      <c r="Z266" s="1">
        <v>624</v>
      </c>
      <c r="AA266" s="1">
        <v>666</v>
      </c>
      <c r="AB266" s="1">
        <v>713</v>
      </c>
      <c r="AC266" s="1">
        <v>680</v>
      </c>
      <c r="AD266" s="1">
        <v>723</v>
      </c>
      <c r="AE266" s="1">
        <v>752</v>
      </c>
      <c r="AF266" s="1">
        <v>685</v>
      </c>
      <c r="AG266" s="1">
        <v>606</v>
      </c>
      <c r="AH266" s="1">
        <v>570</v>
      </c>
      <c r="AI266" s="1">
        <v>620</v>
      </c>
      <c r="AJ266" s="1">
        <v>645</v>
      </c>
      <c r="AK266" s="1">
        <v>605</v>
      </c>
      <c r="AL266" s="1">
        <v>644</v>
      </c>
      <c r="AM266" s="1">
        <v>634</v>
      </c>
      <c r="AN266" s="1">
        <v>547</v>
      </c>
      <c r="AO266" s="1">
        <v>533</v>
      </c>
      <c r="AP266" s="1">
        <v>555</v>
      </c>
      <c r="AQ266" s="1">
        <v>586</v>
      </c>
      <c r="AR266" s="1">
        <v>642</v>
      </c>
      <c r="AS266" s="1">
        <v>705</v>
      </c>
      <c r="AT266" s="1">
        <v>699</v>
      </c>
      <c r="AU266" s="1">
        <v>697</v>
      </c>
      <c r="AV266" s="1">
        <v>834</v>
      </c>
      <c r="AW266" s="1">
        <v>835</v>
      </c>
      <c r="AX266" s="1">
        <v>890</v>
      </c>
      <c r="AY266" s="1">
        <v>848</v>
      </c>
      <c r="AZ266" s="1">
        <v>765</v>
      </c>
      <c r="BA266" s="1">
        <v>783</v>
      </c>
      <c r="BB266" s="1">
        <v>833</v>
      </c>
      <c r="BC266" s="1">
        <v>823</v>
      </c>
      <c r="BD266" s="1">
        <v>735</v>
      </c>
      <c r="BE266" s="1">
        <v>791</v>
      </c>
      <c r="BF266" s="1">
        <v>748</v>
      </c>
      <c r="BG266" s="1">
        <v>754</v>
      </c>
      <c r="BH266" s="1">
        <v>795</v>
      </c>
      <c r="BI266" s="1">
        <v>824</v>
      </c>
      <c r="BJ266" s="1">
        <v>766</v>
      </c>
      <c r="BK266" s="1">
        <v>760</v>
      </c>
      <c r="BL266" s="1">
        <v>717</v>
      </c>
      <c r="BM266" s="1">
        <v>720</v>
      </c>
      <c r="BN266" s="1">
        <v>769</v>
      </c>
      <c r="BO266" s="1">
        <v>808</v>
      </c>
      <c r="BP266" s="1">
        <v>800</v>
      </c>
      <c r="BQ266" s="1">
        <v>792</v>
      </c>
      <c r="BR266" s="1">
        <v>880</v>
      </c>
      <c r="BS266" s="1">
        <v>958</v>
      </c>
      <c r="BT266" s="1">
        <v>803</v>
      </c>
      <c r="BU266" s="1">
        <v>742</v>
      </c>
      <c r="BV266" s="1">
        <v>765</v>
      </c>
      <c r="BW266" s="1">
        <v>675</v>
      </c>
      <c r="BX266" s="1">
        <v>674</v>
      </c>
      <c r="BY266" s="1">
        <v>687</v>
      </c>
      <c r="BZ266" s="1">
        <v>681</v>
      </c>
    </row>
    <row r="267" spans="1:78">
      <c r="A267" s="74" t="s">
        <v>480</v>
      </c>
      <c r="B267" s="1" t="str">
        <f>銘柄管理!C267</f>
        <v>日本ギア工業</v>
      </c>
      <c r="C267" s="544">
        <f>_xll.RssMarket("6356","始値")</f>
        <v>1350</v>
      </c>
      <c r="E267" s="550">
        <v>1295</v>
      </c>
      <c r="F267" s="1">
        <v>1242</v>
      </c>
      <c r="G267" s="1">
        <v>1304</v>
      </c>
      <c r="H267" s="1">
        <v>1222</v>
      </c>
      <c r="I267" s="1">
        <v>1304</v>
      </c>
      <c r="J267" s="1">
        <v>1380</v>
      </c>
      <c r="K267" s="1">
        <v>1367</v>
      </c>
      <c r="L267" s="1">
        <v>1400</v>
      </c>
      <c r="M267" s="1">
        <v>1402</v>
      </c>
      <c r="N267" s="1">
        <v>1395</v>
      </c>
      <c r="O267" s="1">
        <v>1411</v>
      </c>
      <c r="P267" s="1">
        <v>1505</v>
      </c>
      <c r="Q267" s="1">
        <v>1575</v>
      </c>
      <c r="R267" s="1">
        <v>1490</v>
      </c>
      <c r="S267" s="1">
        <v>1480</v>
      </c>
      <c r="T267" s="1">
        <v>1503</v>
      </c>
      <c r="U267" s="1">
        <v>1528</v>
      </c>
      <c r="V267" s="1">
        <v>1541</v>
      </c>
      <c r="W267" s="1">
        <v>1700</v>
      </c>
      <c r="X267" s="1">
        <v>1750</v>
      </c>
      <c r="Y267" s="1">
        <v>1558</v>
      </c>
      <c r="Z267" s="1">
        <v>1480</v>
      </c>
      <c r="AA267" s="1">
        <v>1490</v>
      </c>
      <c r="AB267" s="1">
        <v>1498</v>
      </c>
      <c r="AC267" s="1">
        <v>1510</v>
      </c>
      <c r="AD267" s="1">
        <v>1500</v>
      </c>
      <c r="AE267" s="1">
        <v>1530</v>
      </c>
      <c r="AF267" s="1">
        <v>1478</v>
      </c>
      <c r="AG267" s="1">
        <v>1590</v>
      </c>
      <c r="AH267" s="1">
        <v>1500</v>
      </c>
      <c r="AI267" s="1">
        <v>1542</v>
      </c>
      <c r="AJ267" s="1">
        <v>1556</v>
      </c>
      <c r="AK267" s="1">
        <v>1420</v>
      </c>
      <c r="AL267" s="1">
        <v>1445</v>
      </c>
      <c r="AM267" s="1">
        <v>1437</v>
      </c>
      <c r="AN267" s="1">
        <v>1468</v>
      </c>
      <c r="AO267" s="1">
        <v>1365</v>
      </c>
      <c r="AP267" s="1">
        <v>1526</v>
      </c>
      <c r="AQ267" s="1">
        <v>1506</v>
      </c>
      <c r="AR267" s="1">
        <v>1531</v>
      </c>
      <c r="AS267" s="1">
        <v>1488</v>
      </c>
      <c r="AT267" s="1">
        <v>1477</v>
      </c>
      <c r="AU267" s="1">
        <v>1481</v>
      </c>
      <c r="AV267" s="1">
        <v>1707</v>
      </c>
      <c r="AW267" s="1">
        <v>1661</v>
      </c>
      <c r="AX267" s="1">
        <v>1766</v>
      </c>
      <c r="AY267" s="1">
        <v>1525</v>
      </c>
      <c r="AZ267" s="1">
        <v>1361</v>
      </c>
      <c r="BA267" s="1">
        <v>1361</v>
      </c>
      <c r="BB267" s="1">
        <v>1401</v>
      </c>
      <c r="BC267" s="1">
        <v>1462</v>
      </c>
      <c r="BD267" s="1">
        <v>1398</v>
      </c>
      <c r="BE267" s="1">
        <v>1438</v>
      </c>
      <c r="BF267" s="1">
        <v>1406</v>
      </c>
      <c r="BG267" s="1">
        <v>1475</v>
      </c>
      <c r="BH267" s="1">
        <v>1580</v>
      </c>
      <c r="BI267" s="1">
        <v>1482</v>
      </c>
      <c r="BJ267" s="1">
        <v>1495</v>
      </c>
      <c r="BK267" s="1">
        <v>1507</v>
      </c>
      <c r="BL267" s="1">
        <v>1574</v>
      </c>
      <c r="BM267" s="1">
        <v>1679</v>
      </c>
      <c r="BN267" s="1">
        <v>1628</v>
      </c>
      <c r="BO267" s="1">
        <v>1649</v>
      </c>
      <c r="BP267" s="1">
        <v>1486</v>
      </c>
      <c r="BQ267" s="1">
        <v>1450</v>
      </c>
      <c r="BR267" s="1">
        <v>1265</v>
      </c>
      <c r="BS267" s="1">
        <v>1320</v>
      </c>
      <c r="BT267" s="1">
        <v>1318</v>
      </c>
      <c r="BU267" s="1">
        <v>1328</v>
      </c>
      <c r="BV267" s="1">
        <v>1328</v>
      </c>
      <c r="BW267" s="1">
        <v>1293</v>
      </c>
      <c r="BX267" s="1">
        <v>1318</v>
      </c>
      <c r="BY267" s="1">
        <v>1200</v>
      </c>
      <c r="BZ267" s="1">
        <v>1284</v>
      </c>
    </row>
    <row r="268" spans="1:78">
      <c r="A268" s="74" t="s">
        <v>481</v>
      </c>
      <c r="B268" s="1" t="str">
        <f>銘柄管理!C268</f>
        <v>助川電気工業</v>
      </c>
      <c r="C268" s="544">
        <f>_xll.RssMarket("7711","始値")</f>
        <v>4500</v>
      </c>
      <c r="E268" s="550">
        <v>4280</v>
      </c>
      <c r="F268" s="1">
        <v>4260</v>
      </c>
      <c r="G268" s="1">
        <v>4070</v>
      </c>
      <c r="H268" s="1">
        <v>4090</v>
      </c>
      <c r="I268" s="1">
        <v>4210</v>
      </c>
      <c r="J268" s="1">
        <v>4450</v>
      </c>
      <c r="K268" s="1">
        <v>4480</v>
      </c>
      <c r="M268" s="1">
        <v>4660</v>
      </c>
      <c r="N268" s="1">
        <v>4650</v>
      </c>
      <c r="O268" s="1">
        <v>4470</v>
      </c>
      <c r="P268" s="1">
        <v>4860</v>
      </c>
      <c r="Q268" s="1">
        <v>5100</v>
      </c>
      <c r="R268" s="1">
        <v>4885</v>
      </c>
      <c r="S268" s="1">
        <v>4755</v>
      </c>
      <c r="T268" s="1">
        <v>4675</v>
      </c>
      <c r="U268" s="1">
        <v>4850</v>
      </c>
      <c r="V268" s="1">
        <v>4895</v>
      </c>
      <c r="W268" s="1">
        <v>5180</v>
      </c>
      <c r="X268" s="1">
        <v>5130</v>
      </c>
      <c r="Y268" s="1">
        <v>4815</v>
      </c>
      <c r="Z268" s="1">
        <v>4840</v>
      </c>
      <c r="AA268" s="1">
        <v>4860</v>
      </c>
      <c r="AB268" s="1">
        <v>4975</v>
      </c>
      <c r="AC268" s="1">
        <v>4925</v>
      </c>
      <c r="AD268" s="1">
        <v>5000</v>
      </c>
      <c r="AE268" s="1">
        <v>5180</v>
      </c>
      <c r="AF268" s="1">
        <v>5030</v>
      </c>
      <c r="AG268" s="1">
        <v>5460</v>
      </c>
      <c r="AH268" s="1">
        <v>5600</v>
      </c>
      <c r="AI268" s="1">
        <v>5470</v>
      </c>
      <c r="AJ268" s="1">
        <v>5660</v>
      </c>
      <c r="AK268" s="1">
        <v>5200</v>
      </c>
      <c r="AL268" s="1">
        <v>4835</v>
      </c>
      <c r="AM268" s="1">
        <v>4855</v>
      </c>
      <c r="AN268" s="1">
        <v>4800</v>
      </c>
      <c r="AO268" s="1">
        <v>4515</v>
      </c>
      <c r="AP268" s="1">
        <v>4840</v>
      </c>
      <c r="AQ268" s="1">
        <v>5190</v>
      </c>
      <c r="AR268" s="1">
        <v>5360</v>
      </c>
      <c r="AS268" s="1">
        <v>5050</v>
      </c>
      <c r="AT268" s="1">
        <v>5240</v>
      </c>
      <c r="AU268" s="1">
        <v>5260</v>
      </c>
      <c r="AV268" s="1">
        <v>5450</v>
      </c>
      <c r="AW268" s="1">
        <v>5490</v>
      </c>
      <c r="AX268" s="1">
        <v>5980</v>
      </c>
      <c r="AY268" s="1">
        <v>5350</v>
      </c>
      <c r="AZ268" s="1">
        <v>5080</v>
      </c>
      <c r="BA268" s="1">
        <v>5120</v>
      </c>
      <c r="BB268" s="1">
        <v>5130</v>
      </c>
      <c r="BC268" s="1">
        <v>5380</v>
      </c>
      <c r="BD268" s="1">
        <v>5410</v>
      </c>
      <c r="BE268" s="1">
        <v>5360</v>
      </c>
      <c r="BF268" s="1">
        <v>5650</v>
      </c>
      <c r="BG268" s="1">
        <v>5620</v>
      </c>
      <c r="BH268" s="1">
        <v>5800</v>
      </c>
      <c r="BI268" s="1">
        <v>6000</v>
      </c>
      <c r="BJ268" s="1">
        <v>6040</v>
      </c>
      <c r="BK268" s="1">
        <v>6110</v>
      </c>
      <c r="BL268" s="1">
        <v>5960</v>
      </c>
      <c r="BM268" s="1">
        <v>6100</v>
      </c>
      <c r="BN268" s="1">
        <v>6180</v>
      </c>
      <c r="BO268" s="1">
        <v>6360</v>
      </c>
      <c r="BP268" s="1">
        <v>6620</v>
      </c>
      <c r="BQ268" s="1">
        <v>6480</v>
      </c>
      <c r="BR268" s="1">
        <v>6380</v>
      </c>
      <c r="BS268" s="1">
        <v>6320</v>
      </c>
      <c r="BT268" s="1">
        <v>6280</v>
      </c>
      <c r="BU268" s="1">
        <v>6290</v>
      </c>
      <c r="BV268" s="1">
        <v>6160</v>
      </c>
      <c r="BW268" s="1">
        <v>6300</v>
      </c>
      <c r="BX268" s="1">
        <v>6340</v>
      </c>
      <c r="BY268" s="1">
        <v>6240</v>
      </c>
      <c r="BZ268" s="1">
        <v>6470</v>
      </c>
    </row>
    <row r="269" spans="1:78">
      <c r="A269" s="74" t="s">
        <v>482</v>
      </c>
      <c r="B269" s="1" t="str">
        <f>銘柄管理!C269</f>
        <v>日機装</v>
      </c>
      <c r="C269" s="544">
        <f>_xll.RssMarket("6376","始値")</f>
        <v>3965</v>
      </c>
      <c r="E269" s="550">
        <v>3780</v>
      </c>
      <c r="F269" s="1">
        <v>3685</v>
      </c>
      <c r="G269" s="1">
        <v>3665</v>
      </c>
      <c r="H269" s="1">
        <v>3565</v>
      </c>
      <c r="I269" s="1">
        <v>3700</v>
      </c>
      <c r="J269" s="1">
        <v>3995</v>
      </c>
      <c r="K269" s="1">
        <v>4050</v>
      </c>
      <c r="L269" s="1">
        <v>3975</v>
      </c>
      <c r="M269" s="1">
        <v>4000</v>
      </c>
      <c r="N269" s="1">
        <v>4135</v>
      </c>
      <c r="O269" s="1">
        <v>3930</v>
      </c>
      <c r="P269" s="1">
        <v>3800</v>
      </c>
      <c r="Q269" s="1">
        <v>3825</v>
      </c>
      <c r="R269" s="1">
        <v>3605</v>
      </c>
      <c r="S269" s="1">
        <v>3710</v>
      </c>
      <c r="T269" s="1">
        <v>3780</v>
      </c>
      <c r="U269" s="1">
        <v>3795</v>
      </c>
      <c r="V269" s="1">
        <v>3840</v>
      </c>
      <c r="W269" s="1">
        <v>4070</v>
      </c>
      <c r="X269" s="1">
        <v>4100</v>
      </c>
      <c r="Y269" s="1">
        <v>3840</v>
      </c>
      <c r="Z269" s="1">
        <v>3850</v>
      </c>
      <c r="AA269" s="1">
        <v>4105</v>
      </c>
      <c r="AB269" s="1">
        <v>4225</v>
      </c>
      <c r="AC269" s="1">
        <v>4205</v>
      </c>
      <c r="AD269" s="1">
        <v>4150</v>
      </c>
      <c r="AE269" s="1">
        <v>4180</v>
      </c>
      <c r="AF269" s="1">
        <v>3955</v>
      </c>
      <c r="AG269" s="1">
        <v>4100</v>
      </c>
      <c r="AH269" s="1">
        <v>3935</v>
      </c>
      <c r="AI269" s="1">
        <v>3960</v>
      </c>
      <c r="AJ269" s="1">
        <v>3865</v>
      </c>
      <c r="AK269" s="1">
        <v>3715</v>
      </c>
      <c r="AL269" s="1">
        <v>3700</v>
      </c>
      <c r="AM269" s="1">
        <v>3705</v>
      </c>
      <c r="AN269" s="1">
        <v>3640</v>
      </c>
      <c r="AO269" s="1">
        <v>3500</v>
      </c>
      <c r="AP269" s="1">
        <v>3420</v>
      </c>
      <c r="AQ269" s="1">
        <v>3190</v>
      </c>
      <c r="AR269" s="1">
        <v>3200</v>
      </c>
      <c r="AS269" s="1">
        <v>3100</v>
      </c>
      <c r="AT269" s="1">
        <v>3090</v>
      </c>
      <c r="AU269" s="1">
        <v>3260</v>
      </c>
      <c r="AV269" s="1">
        <v>3285</v>
      </c>
      <c r="AW269" s="1">
        <v>3235</v>
      </c>
      <c r="AX269" s="1">
        <v>3500</v>
      </c>
      <c r="AY269" s="1">
        <v>3275</v>
      </c>
      <c r="AZ269" s="1">
        <v>3070</v>
      </c>
      <c r="BA269" s="1">
        <v>3115</v>
      </c>
      <c r="BB269" s="1">
        <v>2925</v>
      </c>
      <c r="BC269" s="1">
        <v>3100</v>
      </c>
      <c r="BD269" s="1">
        <v>2940</v>
      </c>
      <c r="BE269" s="1">
        <v>2716</v>
      </c>
      <c r="BF269" s="1">
        <v>2662</v>
      </c>
      <c r="BG269" s="1">
        <v>2617</v>
      </c>
      <c r="BH269" s="1">
        <v>2691</v>
      </c>
      <c r="BI269" s="1">
        <v>2670</v>
      </c>
      <c r="BJ269" s="1">
        <v>2617</v>
      </c>
      <c r="BK269" s="1">
        <v>2684</v>
      </c>
      <c r="BL269" s="1">
        <v>2660</v>
      </c>
      <c r="BM269" s="1">
        <v>2608</v>
      </c>
      <c r="BN269" s="1">
        <v>2572</v>
      </c>
      <c r="BO269" s="1">
        <v>2645</v>
      </c>
      <c r="BP269" s="1">
        <v>2595</v>
      </c>
      <c r="BQ269" s="1">
        <v>2548</v>
      </c>
      <c r="BR269" s="1">
        <v>2551</v>
      </c>
      <c r="BS269" s="1">
        <v>2657</v>
      </c>
      <c r="BT269" s="1">
        <v>2648</v>
      </c>
      <c r="BU269" s="1">
        <v>2720</v>
      </c>
      <c r="BV269" s="1">
        <v>2774</v>
      </c>
      <c r="BW269" s="1">
        <v>2866</v>
      </c>
      <c r="BX269" s="1">
        <v>2875</v>
      </c>
      <c r="BY269" s="1">
        <v>2820</v>
      </c>
      <c r="BZ269" s="1">
        <v>2800</v>
      </c>
    </row>
    <row r="270" spans="1:78">
      <c r="A270" s="74" t="s">
        <v>483</v>
      </c>
      <c r="B270" s="1" t="str">
        <f>銘柄管理!C270</f>
        <v>明海グループ</v>
      </c>
      <c r="C270" s="544">
        <f>_xll.RssMarket("9115","始値")</f>
        <v>861</v>
      </c>
      <c r="E270" s="550">
        <v>825</v>
      </c>
      <c r="F270" s="1">
        <v>815</v>
      </c>
      <c r="G270" s="1">
        <v>790</v>
      </c>
      <c r="H270" s="1">
        <v>781</v>
      </c>
      <c r="I270" s="1">
        <v>852</v>
      </c>
      <c r="J270" s="1">
        <v>896</v>
      </c>
      <c r="K270" s="1">
        <v>900</v>
      </c>
      <c r="L270" s="1">
        <v>856</v>
      </c>
      <c r="M270" s="1">
        <v>898</v>
      </c>
      <c r="N270" s="1">
        <v>840</v>
      </c>
      <c r="O270" s="1">
        <v>821</v>
      </c>
      <c r="P270" s="1">
        <v>823</v>
      </c>
      <c r="Q270" s="1">
        <v>834</v>
      </c>
      <c r="R270" s="1">
        <v>823</v>
      </c>
      <c r="S270" s="1">
        <v>816</v>
      </c>
      <c r="T270" s="1">
        <v>844</v>
      </c>
      <c r="U270" s="1">
        <v>816</v>
      </c>
      <c r="V270" s="1">
        <v>823</v>
      </c>
      <c r="W270" s="1">
        <v>845</v>
      </c>
      <c r="X270" s="1">
        <v>840</v>
      </c>
      <c r="Y270" s="1">
        <v>830</v>
      </c>
      <c r="Z270" s="1">
        <v>822</v>
      </c>
      <c r="AA270" s="1">
        <v>803</v>
      </c>
      <c r="AB270" s="1">
        <v>812</v>
      </c>
      <c r="AC270" s="1">
        <v>800</v>
      </c>
      <c r="AD270" s="1">
        <v>790</v>
      </c>
      <c r="AE270" s="1">
        <v>791</v>
      </c>
      <c r="AF270" s="1">
        <v>800</v>
      </c>
      <c r="AG270" s="1">
        <v>769</v>
      </c>
      <c r="AH270" s="1">
        <v>768</v>
      </c>
      <c r="AI270" s="1">
        <v>781</v>
      </c>
      <c r="AJ270" s="1">
        <v>803</v>
      </c>
      <c r="AK270" s="1">
        <v>826</v>
      </c>
      <c r="AL270" s="1">
        <v>824</v>
      </c>
      <c r="AM270" s="1">
        <v>850</v>
      </c>
      <c r="AN270" s="1">
        <v>904</v>
      </c>
      <c r="AO270" s="1">
        <v>919</v>
      </c>
      <c r="AP270" s="1">
        <v>940</v>
      </c>
      <c r="AQ270" s="1">
        <v>985</v>
      </c>
      <c r="AR270" s="1">
        <v>999</v>
      </c>
      <c r="AS270" s="1">
        <v>999</v>
      </c>
      <c r="AT270" s="1">
        <v>1066</v>
      </c>
      <c r="AU270" s="1">
        <v>1039</v>
      </c>
      <c r="AV270" s="1">
        <v>1143</v>
      </c>
      <c r="AW270" s="1">
        <v>1143</v>
      </c>
      <c r="AX270" s="1">
        <v>1161</v>
      </c>
      <c r="AY270" s="1">
        <v>1146</v>
      </c>
      <c r="AZ270" s="1">
        <v>1111</v>
      </c>
      <c r="BA270" s="1">
        <v>1096</v>
      </c>
      <c r="BB270" s="1">
        <v>1146</v>
      </c>
      <c r="BC270" s="1">
        <v>1201</v>
      </c>
      <c r="BD270" s="1">
        <v>1202</v>
      </c>
      <c r="BE270" s="1">
        <v>1191</v>
      </c>
      <c r="BF270" s="1">
        <v>1178</v>
      </c>
      <c r="BG270" s="1">
        <v>1216</v>
      </c>
      <c r="BH270" s="1">
        <v>1272</v>
      </c>
      <c r="BI270" s="1">
        <v>1242</v>
      </c>
      <c r="BJ270" s="1">
        <v>1303</v>
      </c>
      <c r="BK270" s="1">
        <v>1309</v>
      </c>
      <c r="BL270" s="1">
        <v>1250</v>
      </c>
      <c r="BM270" s="1">
        <v>1240</v>
      </c>
      <c r="BN270" s="1">
        <v>1182</v>
      </c>
      <c r="BO270" s="1">
        <v>1175</v>
      </c>
      <c r="BP270" s="1">
        <v>1188</v>
      </c>
      <c r="BQ270" s="1">
        <v>1206</v>
      </c>
      <c r="BR270" s="1">
        <v>1253</v>
      </c>
      <c r="BS270" s="1">
        <v>1282</v>
      </c>
      <c r="BT270" s="1">
        <v>1236</v>
      </c>
      <c r="BU270" s="1">
        <v>1294</v>
      </c>
      <c r="BV270" s="1">
        <v>1289</v>
      </c>
      <c r="BW270" s="1">
        <v>1282</v>
      </c>
      <c r="BX270" s="1">
        <v>1340</v>
      </c>
      <c r="BY270" s="1">
        <v>1345</v>
      </c>
      <c r="BZ270" s="1">
        <v>1299</v>
      </c>
    </row>
    <row r="271" spans="1:78">
      <c r="A271" s="74" t="s">
        <v>484</v>
      </c>
      <c r="B271" s="1" t="str">
        <f>銘柄管理!C271</f>
        <v>三菱製紙</v>
      </c>
      <c r="C271" s="544">
        <f>_xll.RssMarket("3864","始値")</f>
        <v>1150</v>
      </c>
      <c r="E271" s="550">
        <v>1115</v>
      </c>
      <c r="F271" s="1">
        <v>1150</v>
      </c>
      <c r="G271" s="1">
        <v>1125</v>
      </c>
      <c r="H271" s="1">
        <v>1112</v>
      </c>
      <c r="I271" s="1">
        <v>1115</v>
      </c>
      <c r="J271" s="1">
        <v>1140</v>
      </c>
      <c r="K271" s="1">
        <v>1150</v>
      </c>
      <c r="L271" s="1">
        <v>1197</v>
      </c>
      <c r="M271" s="1">
        <v>1160</v>
      </c>
      <c r="N271" s="1">
        <v>1145</v>
      </c>
      <c r="O271" s="1">
        <v>1099</v>
      </c>
      <c r="P271" s="1">
        <v>1095</v>
      </c>
      <c r="Q271" s="1">
        <v>1095</v>
      </c>
      <c r="R271" s="1">
        <v>1059</v>
      </c>
      <c r="S271" s="1">
        <v>1010</v>
      </c>
      <c r="T271" s="1">
        <v>1009</v>
      </c>
      <c r="U271" s="1">
        <v>1007</v>
      </c>
      <c r="V271" s="1">
        <v>998</v>
      </c>
      <c r="W271" s="1">
        <v>1015</v>
      </c>
      <c r="X271" s="1">
        <v>1021</v>
      </c>
      <c r="Y271" s="1">
        <v>1005</v>
      </c>
      <c r="Z271" s="1">
        <v>1005</v>
      </c>
      <c r="AA271" s="1">
        <v>1019</v>
      </c>
      <c r="AB271" s="1">
        <v>1015</v>
      </c>
      <c r="AC271" s="1">
        <v>1040</v>
      </c>
      <c r="AD271" s="1">
        <v>1039</v>
      </c>
      <c r="AE271" s="1">
        <v>1033</v>
      </c>
      <c r="AF271" s="1">
        <v>1024</v>
      </c>
      <c r="AG271" s="1">
        <v>1035</v>
      </c>
      <c r="AH271" s="1">
        <v>1031</v>
      </c>
      <c r="AI271" s="1">
        <v>1045</v>
      </c>
      <c r="AJ271" s="1">
        <v>1077</v>
      </c>
      <c r="AK271" s="1">
        <v>1076</v>
      </c>
      <c r="AL271" s="1">
        <v>1091</v>
      </c>
      <c r="AM271" s="1">
        <v>1074</v>
      </c>
      <c r="AN271" s="1">
        <v>1062</v>
      </c>
      <c r="AO271" s="1">
        <v>1067</v>
      </c>
      <c r="AP271" s="1">
        <v>1063</v>
      </c>
      <c r="AQ271" s="1">
        <v>1047</v>
      </c>
      <c r="AR271" s="1">
        <v>1053</v>
      </c>
      <c r="AS271" s="1">
        <v>1060</v>
      </c>
      <c r="AT271" s="1">
        <v>1048</v>
      </c>
      <c r="AU271" s="1">
        <v>1054</v>
      </c>
      <c r="AV271" s="1">
        <v>1137</v>
      </c>
      <c r="AW271" s="1">
        <v>1102</v>
      </c>
      <c r="AX271" s="1">
        <v>1097</v>
      </c>
      <c r="AY271" s="1">
        <v>1099</v>
      </c>
      <c r="AZ271" s="1">
        <v>1090</v>
      </c>
      <c r="BA271" s="1">
        <v>1060</v>
      </c>
      <c r="BB271" s="1">
        <v>1020</v>
      </c>
      <c r="BC271" s="1">
        <v>1046</v>
      </c>
      <c r="BD271" s="1">
        <v>993</v>
      </c>
      <c r="BE271" s="1">
        <v>958</v>
      </c>
      <c r="BF271" s="1">
        <v>902</v>
      </c>
      <c r="BG271" s="1">
        <v>931</v>
      </c>
      <c r="BH271" s="1">
        <v>937</v>
      </c>
      <c r="BI271" s="1">
        <v>936</v>
      </c>
      <c r="BJ271" s="1">
        <v>937</v>
      </c>
      <c r="BK271" s="1">
        <v>940</v>
      </c>
      <c r="BL271" s="1">
        <v>929</v>
      </c>
      <c r="BM271" s="1">
        <v>940</v>
      </c>
      <c r="BN271" s="1">
        <v>945</v>
      </c>
      <c r="BO271" s="1">
        <v>960</v>
      </c>
      <c r="BP271" s="1">
        <v>951</v>
      </c>
      <c r="BQ271" s="1">
        <v>961</v>
      </c>
      <c r="BR271" s="1">
        <v>985</v>
      </c>
      <c r="BS271" s="1">
        <v>973</v>
      </c>
      <c r="BT271" s="1">
        <v>990</v>
      </c>
      <c r="BU271" s="1">
        <v>974</v>
      </c>
      <c r="BV271" s="1">
        <v>956</v>
      </c>
      <c r="BW271" s="1">
        <v>925</v>
      </c>
      <c r="BX271" s="1">
        <v>923</v>
      </c>
      <c r="BY271" s="1">
        <v>892</v>
      </c>
      <c r="BZ271" s="1">
        <v>910</v>
      </c>
    </row>
    <row r="272" spans="1:78">
      <c r="A272" s="74" t="s">
        <v>485</v>
      </c>
      <c r="B272" s="1" t="str">
        <f>銘柄管理!C272</f>
        <v>日本ケミコン</v>
      </c>
      <c r="C272" s="544">
        <f>_xll.RssMarket("6997","始値")</f>
        <v>3385</v>
      </c>
      <c r="E272" s="550">
        <v>3190</v>
      </c>
      <c r="F272" s="1">
        <v>2988</v>
      </c>
      <c r="G272" s="1">
        <v>2928</v>
      </c>
      <c r="H272" s="1">
        <v>2571</v>
      </c>
      <c r="I272" s="1">
        <v>2860</v>
      </c>
      <c r="J272" s="1">
        <v>3010</v>
      </c>
      <c r="K272" s="1">
        <v>3310</v>
      </c>
      <c r="L272" s="1">
        <v>3255</v>
      </c>
      <c r="M272" s="1">
        <v>3350</v>
      </c>
      <c r="N272" s="1">
        <v>3370</v>
      </c>
      <c r="O272" s="1">
        <v>3220</v>
      </c>
      <c r="P272" s="1">
        <v>3350</v>
      </c>
      <c r="Q272" s="1">
        <v>3640</v>
      </c>
      <c r="R272" s="1">
        <v>3600</v>
      </c>
      <c r="S272" s="1">
        <v>4025</v>
      </c>
      <c r="T272" s="1">
        <v>3960</v>
      </c>
      <c r="U272" s="1">
        <v>3950</v>
      </c>
      <c r="V272" s="1">
        <v>4180</v>
      </c>
      <c r="W272" s="1">
        <v>4905</v>
      </c>
      <c r="X272" s="1">
        <v>5500</v>
      </c>
      <c r="Y272" s="1">
        <v>4980</v>
      </c>
      <c r="Z272" s="1">
        <v>5600</v>
      </c>
      <c r="AA272" s="1">
        <v>5560</v>
      </c>
      <c r="AB272" s="1">
        <v>5600</v>
      </c>
      <c r="AC272" s="1">
        <v>5590</v>
      </c>
      <c r="AD272" s="1">
        <v>5780</v>
      </c>
      <c r="AE272" s="1">
        <v>5680</v>
      </c>
      <c r="AF272" s="1">
        <v>5340</v>
      </c>
      <c r="AG272" s="1">
        <v>5990</v>
      </c>
      <c r="AH272" s="1">
        <v>6000</v>
      </c>
      <c r="AI272" s="1">
        <v>5630</v>
      </c>
      <c r="AJ272" s="1">
        <v>5160</v>
      </c>
      <c r="AK272" s="1">
        <v>4480</v>
      </c>
      <c r="AL272" s="1">
        <v>4720</v>
      </c>
      <c r="AM272" s="1">
        <v>4360</v>
      </c>
      <c r="AN272" s="1">
        <v>4250</v>
      </c>
      <c r="AO272" s="1">
        <v>3995</v>
      </c>
      <c r="AP272" s="1">
        <v>4355</v>
      </c>
      <c r="AQ272" s="1">
        <v>4490</v>
      </c>
      <c r="AR272" s="1">
        <v>4525</v>
      </c>
      <c r="AS272" s="1">
        <v>4570</v>
      </c>
      <c r="AT272" s="1">
        <v>4790</v>
      </c>
      <c r="AU272" s="1">
        <v>5650</v>
      </c>
      <c r="AV272" s="1">
        <v>4800</v>
      </c>
      <c r="AW272" s="1">
        <v>3725</v>
      </c>
      <c r="AX272" s="1">
        <v>4180</v>
      </c>
      <c r="AY272" s="1">
        <v>3600</v>
      </c>
      <c r="AZ272" s="1">
        <v>2973</v>
      </c>
      <c r="BA272" s="1">
        <v>3045</v>
      </c>
      <c r="BB272" s="1">
        <v>3030</v>
      </c>
      <c r="BC272" s="1">
        <v>2894</v>
      </c>
      <c r="BD272" s="1">
        <v>2995</v>
      </c>
      <c r="BE272" s="1">
        <v>3485</v>
      </c>
      <c r="BF272" s="1">
        <v>3250</v>
      </c>
      <c r="BG272" s="1">
        <v>3140</v>
      </c>
      <c r="BH272" s="1">
        <v>3235</v>
      </c>
      <c r="BI272" s="1">
        <v>3230</v>
      </c>
      <c r="BJ272" s="1">
        <v>2919</v>
      </c>
      <c r="BK272" s="1">
        <v>2751</v>
      </c>
      <c r="BL272" s="1">
        <v>2610</v>
      </c>
      <c r="BM272" s="1">
        <v>2412</v>
      </c>
      <c r="BN272" s="1">
        <v>2299</v>
      </c>
      <c r="BO272" s="1">
        <v>2304</v>
      </c>
      <c r="BP272" s="1">
        <v>2256</v>
      </c>
      <c r="BQ272" s="1">
        <v>2451</v>
      </c>
      <c r="BR272" s="1">
        <v>2346</v>
      </c>
      <c r="BS272" s="1">
        <v>2400</v>
      </c>
      <c r="BT272" s="1">
        <v>2215</v>
      </c>
      <c r="BU272" s="1">
        <v>2218</v>
      </c>
      <c r="BV272" s="1">
        <v>2082</v>
      </c>
      <c r="BW272" s="1">
        <v>1974</v>
      </c>
      <c r="BX272" s="1">
        <v>1780</v>
      </c>
      <c r="BY272" s="1">
        <v>1650</v>
      </c>
      <c r="BZ272" s="1">
        <v>1664</v>
      </c>
    </row>
    <row r="273" spans="1:78">
      <c r="A273" s="74" t="s">
        <v>486</v>
      </c>
      <c r="B273" s="1" t="str">
        <f>銘柄管理!C273</f>
        <v>ＨＵグループＨＤ</v>
      </c>
      <c r="C273" s="544">
        <f>_xll.RssMarket("4544","始値")</f>
        <v>3346</v>
      </c>
      <c r="E273" s="550">
        <v>3340</v>
      </c>
      <c r="F273" s="1">
        <v>3398</v>
      </c>
      <c r="G273" s="1">
        <v>3435</v>
      </c>
      <c r="H273" s="1">
        <v>3575</v>
      </c>
      <c r="I273" s="1">
        <v>3499</v>
      </c>
      <c r="J273" s="1">
        <v>3485</v>
      </c>
      <c r="K273" s="1">
        <v>3377</v>
      </c>
      <c r="L273" s="1">
        <v>3280</v>
      </c>
      <c r="M273" s="1">
        <v>3322</v>
      </c>
      <c r="N273" s="1">
        <v>3364</v>
      </c>
      <c r="O273" s="1">
        <v>3367</v>
      </c>
      <c r="P273" s="1">
        <v>3366</v>
      </c>
      <c r="Q273" s="1">
        <v>3352</v>
      </c>
      <c r="R273" s="1">
        <v>3382</v>
      </c>
      <c r="S273" s="1">
        <v>3390</v>
      </c>
      <c r="T273" s="1">
        <v>3345</v>
      </c>
      <c r="U273" s="1">
        <v>3476</v>
      </c>
      <c r="V273" s="1">
        <v>3498</v>
      </c>
      <c r="W273" s="1">
        <v>3430</v>
      </c>
      <c r="X273" s="1">
        <v>3400</v>
      </c>
      <c r="Y273" s="1">
        <v>3419</v>
      </c>
      <c r="Z273" s="1">
        <v>3328</v>
      </c>
      <c r="AA273" s="1">
        <v>3295</v>
      </c>
      <c r="AB273" s="1">
        <v>3288</v>
      </c>
      <c r="AC273" s="1">
        <v>3255</v>
      </c>
      <c r="AD273" s="1">
        <v>3245</v>
      </c>
      <c r="AE273" s="1">
        <v>3145</v>
      </c>
      <c r="AF273" s="1">
        <v>3147</v>
      </c>
      <c r="AG273" s="1">
        <v>3159</v>
      </c>
      <c r="AH273" s="1">
        <v>3093</v>
      </c>
      <c r="AI273" s="1">
        <v>3165</v>
      </c>
      <c r="AJ273" s="1">
        <v>3126</v>
      </c>
      <c r="AK273" s="1">
        <v>3251</v>
      </c>
      <c r="AL273" s="1">
        <v>3238</v>
      </c>
      <c r="AM273" s="1">
        <v>3379</v>
      </c>
      <c r="AN273" s="1">
        <v>3436</v>
      </c>
      <c r="AO273" s="1">
        <v>3465</v>
      </c>
      <c r="AP273" s="1">
        <v>3442</v>
      </c>
      <c r="AQ273" s="1">
        <v>3293</v>
      </c>
      <c r="AR273" s="1">
        <v>3333</v>
      </c>
      <c r="AS273" s="1">
        <v>3283</v>
      </c>
      <c r="AT273" s="1">
        <v>3121</v>
      </c>
      <c r="AU273" s="1">
        <v>3156</v>
      </c>
      <c r="AV273" s="1">
        <v>3146</v>
      </c>
      <c r="AW273" s="1">
        <v>3156</v>
      </c>
      <c r="AX273" s="1">
        <v>3144</v>
      </c>
      <c r="AY273" s="1">
        <v>3171</v>
      </c>
      <c r="AZ273" s="1">
        <v>3168</v>
      </c>
      <c r="BA273" s="1">
        <v>3225</v>
      </c>
      <c r="BB273" s="1">
        <v>3249</v>
      </c>
      <c r="BC273" s="1">
        <v>3198</v>
      </c>
      <c r="BD273" s="1">
        <v>3204</v>
      </c>
      <c r="BE273" s="1">
        <v>3139</v>
      </c>
      <c r="BF273" s="1">
        <v>3136</v>
      </c>
      <c r="BG273" s="1">
        <v>3100</v>
      </c>
      <c r="BH273" s="1">
        <v>3141</v>
      </c>
      <c r="BI273" s="1">
        <v>3074</v>
      </c>
      <c r="BJ273" s="1">
        <v>3178</v>
      </c>
      <c r="BK273" s="1">
        <v>3112</v>
      </c>
      <c r="BL273" s="1">
        <v>3081</v>
      </c>
      <c r="BM273" s="1">
        <v>3100</v>
      </c>
      <c r="BN273" s="1">
        <v>3281</v>
      </c>
      <c r="BO273" s="1">
        <v>3205</v>
      </c>
      <c r="BP273" s="1">
        <v>3160</v>
      </c>
      <c r="BQ273" s="1">
        <v>3140</v>
      </c>
      <c r="BR273" s="1">
        <v>3125</v>
      </c>
      <c r="BS273" s="1">
        <v>3161</v>
      </c>
      <c r="BT273" s="1">
        <v>3146</v>
      </c>
      <c r="BU273" s="1">
        <v>3182</v>
      </c>
      <c r="BV273" s="1">
        <v>3188</v>
      </c>
      <c r="BW273" s="1">
        <v>3165</v>
      </c>
      <c r="BX273" s="1">
        <v>3143</v>
      </c>
      <c r="BY273" s="1">
        <v>3098</v>
      </c>
      <c r="BZ273" s="1">
        <v>3208</v>
      </c>
    </row>
    <row r="274" spans="1:78">
      <c r="A274" s="74" t="s">
        <v>487</v>
      </c>
      <c r="B274" s="1" t="str">
        <f>銘柄管理!C274</f>
        <v>東亜ディーケーケー</v>
      </c>
      <c r="C274" s="544">
        <f>_xll.RssMarket("6848","始値")</f>
        <v>862</v>
      </c>
      <c r="E274" s="550">
        <v>859</v>
      </c>
      <c r="F274" s="1">
        <v>853</v>
      </c>
      <c r="G274" s="1">
        <v>855</v>
      </c>
      <c r="H274" s="1">
        <v>852</v>
      </c>
      <c r="I274" s="1">
        <v>850</v>
      </c>
      <c r="J274" s="1">
        <v>853</v>
      </c>
      <c r="K274" s="1">
        <v>857</v>
      </c>
      <c r="M274" s="1">
        <v>853</v>
      </c>
      <c r="N274" s="1">
        <v>856</v>
      </c>
      <c r="O274" s="1">
        <v>854</v>
      </c>
      <c r="P274" s="1">
        <v>856</v>
      </c>
      <c r="Q274" s="1">
        <v>855</v>
      </c>
      <c r="R274" s="1">
        <v>854</v>
      </c>
      <c r="S274" s="1">
        <v>854</v>
      </c>
      <c r="T274" s="1">
        <v>854</v>
      </c>
      <c r="U274" s="1">
        <v>856</v>
      </c>
      <c r="V274" s="1">
        <v>862</v>
      </c>
      <c r="W274" s="1">
        <v>869</v>
      </c>
      <c r="X274" s="1">
        <v>862</v>
      </c>
      <c r="Y274" s="1">
        <v>858</v>
      </c>
      <c r="Z274" s="1">
        <v>854</v>
      </c>
      <c r="AA274" s="1">
        <v>874</v>
      </c>
      <c r="AB274" s="1">
        <v>860</v>
      </c>
      <c r="AC274" s="1">
        <v>868</v>
      </c>
      <c r="AD274" s="1">
        <v>856</v>
      </c>
      <c r="AE274" s="1">
        <v>860</v>
      </c>
      <c r="AF274" s="1">
        <v>860</v>
      </c>
      <c r="AG274" s="1">
        <v>886</v>
      </c>
      <c r="AH274" s="1">
        <v>867</v>
      </c>
      <c r="AI274" s="1">
        <v>858</v>
      </c>
      <c r="AJ274" s="1">
        <v>862</v>
      </c>
      <c r="AK274" s="1">
        <v>856</v>
      </c>
      <c r="AL274" s="1">
        <v>859</v>
      </c>
      <c r="AM274" s="1">
        <v>853</v>
      </c>
      <c r="AN274" s="1">
        <v>877</v>
      </c>
      <c r="AO274" s="1">
        <v>848</v>
      </c>
      <c r="AP274" s="1">
        <v>850</v>
      </c>
      <c r="AQ274" s="1">
        <v>852</v>
      </c>
      <c r="AR274" s="1">
        <v>851</v>
      </c>
      <c r="AS274" s="1">
        <v>861</v>
      </c>
      <c r="AT274" s="1">
        <v>869</v>
      </c>
      <c r="AU274" s="1">
        <v>856</v>
      </c>
      <c r="AV274" s="1">
        <v>862</v>
      </c>
      <c r="AW274" s="1">
        <v>865</v>
      </c>
      <c r="AX274" s="1">
        <v>859</v>
      </c>
      <c r="AY274" s="1">
        <v>865</v>
      </c>
      <c r="AZ274" s="1">
        <v>865</v>
      </c>
      <c r="BA274" s="1">
        <v>850</v>
      </c>
      <c r="BB274" s="1">
        <v>875</v>
      </c>
      <c r="BC274" s="1">
        <v>877</v>
      </c>
      <c r="BD274" s="1">
        <v>870</v>
      </c>
      <c r="BE274" s="1">
        <v>871</v>
      </c>
      <c r="BF274" s="1">
        <v>877</v>
      </c>
      <c r="BG274" s="1">
        <v>869</v>
      </c>
      <c r="BH274" s="1">
        <v>880</v>
      </c>
      <c r="BI274" s="1">
        <v>883</v>
      </c>
      <c r="BJ274" s="1">
        <v>874</v>
      </c>
      <c r="BK274" s="1">
        <v>869</v>
      </c>
      <c r="BL274" s="1">
        <v>865</v>
      </c>
      <c r="BM274" s="1">
        <v>876</v>
      </c>
      <c r="BN274" s="1">
        <v>870</v>
      </c>
      <c r="BO274" s="1">
        <v>880</v>
      </c>
      <c r="BP274" s="1">
        <v>874</v>
      </c>
      <c r="BQ274" s="1">
        <v>883</v>
      </c>
      <c r="BR274" s="1">
        <v>884</v>
      </c>
      <c r="BS274" s="1">
        <v>880</v>
      </c>
      <c r="BT274" s="1">
        <v>884</v>
      </c>
      <c r="BU274" s="1">
        <v>872</v>
      </c>
      <c r="BV274" s="1">
        <v>871</v>
      </c>
      <c r="BW274" s="1">
        <v>875</v>
      </c>
      <c r="BX274" s="1">
        <v>875</v>
      </c>
      <c r="BY274" s="1">
        <v>872</v>
      </c>
      <c r="BZ274" s="1">
        <v>882</v>
      </c>
    </row>
    <row r="275" spans="1:78">
      <c r="A275" s="74" t="s">
        <v>488</v>
      </c>
      <c r="B275" s="1" t="str">
        <f>銘柄管理!C275</f>
        <v>大紀アルミニウム</v>
      </c>
      <c r="C275" s="544">
        <f>_xll.RssMarket("5702","始値")</f>
        <v>1550</v>
      </c>
      <c r="E275" s="550">
        <v>1530</v>
      </c>
      <c r="F275" s="1">
        <v>1472</v>
      </c>
      <c r="G275" s="1">
        <v>1476</v>
      </c>
      <c r="H275" s="1">
        <v>1441</v>
      </c>
      <c r="I275" s="1">
        <v>1461</v>
      </c>
      <c r="J275" s="1">
        <v>1486</v>
      </c>
      <c r="K275" s="1">
        <v>1507</v>
      </c>
      <c r="L275" s="1">
        <v>1500</v>
      </c>
      <c r="M275" s="1">
        <v>1498</v>
      </c>
      <c r="N275" s="1">
        <v>1498</v>
      </c>
      <c r="O275" s="1">
        <v>1456</v>
      </c>
      <c r="P275" s="1">
        <v>1491</v>
      </c>
      <c r="Q275" s="1">
        <v>1517</v>
      </c>
      <c r="R275" s="1">
        <v>1465</v>
      </c>
      <c r="S275" s="1">
        <v>1485</v>
      </c>
      <c r="T275" s="1">
        <v>1477</v>
      </c>
      <c r="U275" s="1">
        <v>1454</v>
      </c>
      <c r="V275" s="1">
        <v>1470</v>
      </c>
      <c r="W275" s="1">
        <v>1520</v>
      </c>
      <c r="X275" s="1">
        <v>1526</v>
      </c>
      <c r="Y275" s="1">
        <v>1489</v>
      </c>
      <c r="Z275" s="1">
        <v>1500</v>
      </c>
      <c r="AA275" s="1">
        <v>1483</v>
      </c>
      <c r="AB275" s="1">
        <v>1490</v>
      </c>
      <c r="AC275" s="1">
        <v>1525</v>
      </c>
      <c r="AD275" s="1">
        <v>1534</v>
      </c>
      <c r="AE275" s="1">
        <v>1590</v>
      </c>
      <c r="AF275" s="1">
        <v>1610</v>
      </c>
      <c r="AG275" s="1">
        <v>1645</v>
      </c>
      <c r="AH275" s="1">
        <v>1666</v>
      </c>
      <c r="AI275" s="1">
        <v>1678</v>
      </c>
      <c r="AJ275" s="1">
        <v>1719</v>
      </c>
      <c r="AK275" s="1">
        <v>1745</v>
      </c>
      <c r="AL275" s="1">
        <v>1798</v>
      </c>
      <c r="AM275" s="1">
        <v>1877</v>
      </c>
      <c r="AN275" s="1">
        <v>1850</v>
      </c>
      <c r="AO275" s="1">
        <v>1800</v>
      </c>
      <c r="AP275" s="1">
        <v>1800</v>
      </c>
      <c r="AQ275" s="1">
        <v>1823</v>
      </c>
      <c r="AR275" s="1">
        <v>1885</v>
      </c>
      <c r="AS275" s="1">
        <v>1957</v>
      </c>
      <c r="AT275" s="1">
        <v>2020</v>
      </c>
      <c r="AU275" s="1">
        <v>1903</v>
      </c>
      <c r="AV275" s="1">
        <v>1993</v>
      </c>
      <c r="AW275" s="1">
        <v>1971</v>
      </c>
      <c r="AX275" s="1">
        <v>2070</v>
      </c>
      <c r="AY275" s="1">
        <v>1931</v>
      </c>
      <c r="AZ275" s="1">
        <v>1895</v>
      </c>
      <c r="BA275" s="1">
        <v>1823</v>
      </c>
      <c r="BB275" s="1">
        <v>1800</v>
      </c>
      <c r="BC275" s="1">
        <v>1802</v>
      </c>
      <c r="BD275" s="1">
        <v>1820</v>
      </c>
      <c r="BE275" s="1">
        <v>1853</v>
      </c>
      <c r="BF275" s="1">
        <v>1590</v>
      </c>
      <c r="BG275" s="1">
        <v>1569</v>
      </c>
      <c r="BH275" s="1">
        <v>1612</v>
      </c>
      <c r="BI275" s="1">
        <v>1613</v>
      </c>
      <c r="BJ275" s="1">
        <v>1550</v>
      </c>
      <c r="BK275" s="1">
        <v>1531</v>
      </c>
      <c r="BL275" s="1">
        <v>1485</v>
      </c>
      <c r="BM275" s="1">
        <v>1461</v>
      </c>
      <c r="BN275" s="1">
        <v>1470</v>
      </c>
      <c r="BO275" s="1">
        <v>1440</v>
      </c>
      <c r="BP275" s="1">
        <v>1454</v>
      </c>
      <c r="BQ275" s="1">
        <v>1475</v>
      </c>
      <c r="BR275" s="1">
        <v>1491</v>
      </c>
      <c r="BS275" s="1">
        <v>1530</v>
      </c>
      <c r="BT275" s="1">
        <v>1518</v>
      </c>
      <c r="BU275" s="1">
        <v>1555</v>
      </c>
      <c r="BV275" s="1">
        <v>1575</v>
      </c>
      <c r="BW275" s="1">
        <v>1595</v>
      </c>
      <c r="BX275" s="1">
        <v>1590</v>
      </c>
      <c r="BY275" s="1">
        <v>1550</v>
      </c>
      <c r="BZ275" s="1">
        <v>1580</v>
      </c>
    </row>
    <row r="276" spans="1:78">
      <c r="A276" s="74" t="s">
        <v>489</v>
      </c>
      <c r="B276" s="1" t="str">
        <f>銘柄管理!C276</f>
        <v>河合楽器</v>
      </c>
      <c r="C276" s="544">
        <f>_xll.RssMarket("7952","始値")</f>
        <v>3565</v>
      </c>
      <c r="E276" s="550">
        <v>3550</v>
      </c>
      <c r="F276" s="1">
        <v>3420</v>
      </c>
      <c r="G276" s="1">
        <v>3370</v>
      </c>
      <c r="H276" s="1">
        <v>3365</v>
      </c>
      <c r="I276" s="1">
        <v>3240</v>
      </c>
      <c r="J276" s="1">
        <v>3270</v>
      </c>
      <c r="K276" s="1">
        <v>3275</v>
      </c>
      <c r="L276" s="1">
        <v>3300</v>
      </c>
      <c r="M276" s="1">
        <v>3280</v>
      </c>
      <c r="N276" s="1">
        <v>3270</v>
      </c>
      <c r="O276" s="1">
        <v>3270</v>
      </c>
      <c r="P276" s="1">
        <v>3300</v>
      </c>
      <c r="Q276" s="1">
        <v>3190</v>
      </c>
      <c r="R276" s="1">
        <v>3195</v>
      </c>
      <c r="S276" s="1">
        <v>3205</v>
      </c>
      <c r="T276" s="1">
        <v>3260</v>
      </c>
      <c r="U276" s="1">
        <v>3190</v>
      </c>
      <c r="V276" s="1">
        <v>3245</v>
      </c>
      <c r="W276" s="1">
        <v>3275</v>
      </c>
      <c r="X276" s="1">
        <v>3285</v>
      </c>
      <c r="Y276" s="1">
        <v>3195</v>
      </c>
      <c r="Z276" s="1">
        <v>3235</v>
      </c>
      <c r="AA276" s="1">
        <v>3240</v>
      </c>
      <c r="AB276" s="1">
        <v>3210</v>
      </c>
      <c r="AC276" s="1">
        <v>3380</v>
      </c>
      <c r="AD276" s="1">
        <v>3340</v>
      </c>
      <c r="AE276" s="1">
        <v>3320</v>
      </c>
      <c r="AF276" s="1">
        <v>3250</v>
      </c>
      <c r="AG276" s="1">
        <v>3300</v>
      </c>
      <c r="AH276" s="1">
        <v>3350</v>
      </c>
      <c r="AI276" s="1">
        <v>3295</v>
      </c>
      <c r="AJ276" s="1">
        <v>3250</v>
      </c>
      <c r="AK276" s="1">
        <v>3250</v>
      </c>
      <c r="AL276" s="1">
        <v>3195</v>
      </c>
      <c r="AM276" s="1">
        <v>3070</v>
      </c>
      <c r="AN276" s="1">
        <v>3020</v>
      </c>
      <c r="AO276" s="1">
        <v>3065</v>
      </c>
      <c r="AP276" s="1">
        <v>3155</v>
      </c>
      <c r="AQ276" s="1">
        <v>3130</v>
      </c>
      <c r="AR276" s="1">
        <v>3185</v>
      </c>
      <c r="AS276" s="1">
        <v>3200</v>
      </c>
      <c r="AT276" s="1">
        <v>3145</v>
      </c>
      <c r="AU276" s="1">
        <v>3250</v>
      </c>
      <c r="AV276" s="1">
        <v>3250</v>
      </c>
      <c r="AW276" s="1">
        <v>3035</v>
      </c>
      <c r="AX276" s="1">
        <v>3020</v>
      </c>
      <c r="AY276" s="1">
        <v>2991</v>
      </c>
      <c r="AZ276" s="1">
        <v>2993</v>
      </c>
      <c r="BA276" s="1">
        <v>2937</v>
      </c>
      <c r="BB276" s="1">
        <v>3100</v>
      </c>
      <c r="BC276" s="1">
        <v>3135</v>
      </c>
      <c r="BD276" s="1">
        <v>3125</v>
      </c>
      <c r="BE276" s="1">
        <v>3075</v>
      </c>
      <c r="BF276" s="1">
        <v>2981</v>
      </c>
      <c r="BG276" s="1">
        <v>2940</v>
      </c>
      <c r="BH276" s="1">
        <v>2810</v>
      </c>
      <c r="BI276" s="1">
        <v>2719</v>
      </c>
      <c r="BJ276" s="1">
        <v>2783</v>
      </c>
      <c r="BK276" s="1">
        <v>2810</v>
      </c>
      <c r="BL276" s="1">
        <v>2758</v>
      </c>
      <c r="BM276" s="1">
        <v>2800</v>
      </c>
      <c r="BN276" s="1">
        <v>2876</v>
      </c>
      <c r="BO276" s="1">
        <v>2834</v>
      </c>
      <c r="BP276" s="1">
        <v>2899</v>
      </c>
      <c r="BQ276" s="1">
        <v>3005</v>
      </c>
      <c r="BR276" s="1">
        <v>3065</v>
      </c>
      <c r="BS276" s="1">
        <v>3075</v>
      </c>
      <c r="BT276" s="1">
        <v>3050</v>
      </c>
      <c r="BU276" s="1">
        <v>3130</v>
      </c>
      <c r="BV276" s="1">
        <v>3070</v>
      </c>
      <c r="BW276" s="1">
        <v>3020</v>
      </c>
      <c r="BX276" s="1">
        <v>3005</v>
      </c>
      <c r="BY276" s="1">
        <v>2995</v>
      </c>
      <c r="BZ276" s="1">
        <v>2986</v>
      </c>
    </row>
    <row r="277" spans="1:78">
      <c r="A277" s="74" t="s">
        <v>490</v>
      </c>
      <c r="B277" s="1" t="str">
        <f>銘柄管理!C277</f>
        <v>グンゼ</v>
      </c>
      <c r="C277" s="544">
        <f>_xll.RssMarket("3002","始値")</f>
        <v>4020</v>
      </c>
      <c r="E277" s="550">
        <v>3980</v>
      </c>
      <c r="F277" s="1">
        <v>4040</v>
      </c>
      <c r="G277" s="1">
        <v>4060</v>
      </c>
      <c r="H277" s="1">
        <v>4040</v>
      </c>
      <c r="I277" s="1">
        <v>4075</v>
      </c>
      <c r="J277" s="1">
        <v>4075</v>
      </c>
      <c r="K277" s="1">
        <v>4000</v>
      </c>
      <c r="M277" s="1">
        <v>3975</v>
      </c>
      <c r="N277" s="1">
        <v>4000</v>
      </c>
      <c r="O277" s="1">
        <v>3990</v>
      </c>
      <c r="P277" s="1">
        <v>3985</v>
      </c>
      <c r="Q277" s="1">
        <v>4000</v>
      </c>
      <c r="R277" s="1">
        <v>3970</v>
      </c>
      <c r="S277" s="1">
        <v>3980</v>
      </c>
      <c r="T277" s="1">
        <v>4030</v>
      </c>
      <c r="U277" s="1">
        <v>4015</v>
      </c>
      <c r="V277" s="1">
        <v>4030</v>
      </c>
      <c r="W277" s="1">
        <v>4050</v>
      </c>
      <c r="X277" s="1">
        <v>4020</v>
      </c>
      <c r="Y277" s="1">
        <v>3945</v>
      </c>
      <c r="Z277" s="1">
        <v>3860</v>
      </c>
      <c r="AA277" s="1">
        <v>3865</v>
      </c>
      <c r="AB277" s="1">
        <v>3890</v>
      </c>
      <c r="AC277" s="1">
        <v>3860</v>
      </c>
      <c r="AD277" s="1">
        <v>3875</v>
      </c>
      <c r="AE277" s="1">
        <v>3850</v>
      </c>
      <c r="AF277" s="1">
        <v>3830</v>
      </c>
      <c r="AG277" s="1">
        <v>3835</v>
      </c>
      <c r="AH277" s="1">
        <v>3835</v>
      </c>
      <c r="AI277" s="1">
        <v>3850</v>
      </c>
      <c r="AJ277" s="1">
        <v>3840</v>
      </c>
      <c r="AK277" s="1">
        <v>3810</v>
      </c>
      <c r="AL277" s="1">
        <v>3815</v>
      </c>
      <c r="AM277" s="1">
        <v>3845</v>
      </c>
      <c r="AN277" s="1">
        <v>3800</v>
      </c>
      <c r="AO277" s="1">
        <v>3735</v>
      </c>
      <c r="AP277" s="1">
        <v>3725</v>
      </c>
      <c r="AQ277" s="1">
        <v>3680</v>
      </c>
      <c r="AR277" s="1">
        <v>3700</v>
      </c>
      <c r="AS277" s="1">
        <v>3690</v>
      </c>
      <c r="AT277" s="1">
        <v>3685</v>
      </c>
      <c r="AU277" s="1">
        <v>3690</v>
      </c>
      <c r="AV277" s="1">
        <v>3715</v>
      </c>
      <c r="AW277" s="1">
        <v>3700</v>
      </c>
      <c r="AX277" s="1">
        <v>3670</v>
      </c>
      <c r="AY277" s="1">
        <v>3655</v>
      </c>
      <c r="AZ277" s="1">
        <v>3695</v>
      </c>
      <c r="BA277" s="1">
        <v>3670</v>
      </c>
      <c r="BB277" s="1">
        <v>3715</v>
      </c>
      <c r="BC277" s="1">
        <v>3725</v>
      </c>
      <c r="BD277" s="1">
        <v>3740</v>
      </c>
      <c r="BE277" s="1">
        <v>3680</v>
      </c>
      <c r="BF277" s="1">
        <v>3580</v>
      </c>
      <c r="BG277" s="1">
        <v>3590</v>
      </c>
      <c r="BH277" s="1">
        <v>3625</v>
      </c>
      <c r="BI277" s="1">
        <v>3625</v>
      </c>
      <c r="BJ277" s="1">
        <v>3630</v>
      </c>
      <c r="BK277" s="1">
        <v>3620</v>
      </c>
      <c r="BL277" s="1">
        <v>3600</v>
      </c>
      <c r="BM277" s="1">
        <v>3665</v>
      </c>
      <c r="BN277" s="1">
        <v>3680</v>
      </c>
      <c r="BO277" s="1">
        <v>3655</v>
      </c>
      <c r="BP277" s="1">
        <v>3730</v>
      </c>
      <c r="BQ277" s="1">
        <v>3730</v>
      </c>
      <c r="BR277" s="1">
        <v>3825</v>
      </c>
      <c r="BS277" s="1">
        <v>3950</v>
      </c>
      <c r="BT277" s="1">
        <v>3925</v>
      </c>
      <c r="BU277" s="1">
        <v>3920</v>
      </c>
      <c r="BV277" s="1">
        <v>3880</v>
      </c>
      <c r="BW277" s="1">
        <v>3890</v>
      </c>
      <c r="BX277" s="1">
        <v>3900</v>
      </c>
      <c r="BY277" s="1">
        <v>3925</v>
      </c>
      <c r="BZ277" s="1">
        <v>3970</v>
      </c>
    </row>
    <row r="278" spans="1:78">
      <c r="A278" s="74" t="s">
        <v>491</v>
      </c>
      <c r="B278" s="1" t="str">
        <f>銘柄管理!C278</f>
        <v>ゴールドクレスト</v>
      </c>
      <c r="C278" s="544">
        <f>_xll.RssMarket("8871","始値")</f>
        <v>3220</v>
      </c>
      <c r="E278" s="550">
        <v>3255</v>
      </c>
      <c r="F278" s="1">
        <v>3315</v>
      </c>
      <c r="G278" s="1">
        <v>3310</v>
      </c>
      <c r="H278" s="1">
        <v>3355</v>
      </c>
      <c r="I278" s="1">
        <v>3370</v>
      </c>
      <c r="J278" s="1">
        <v>3350</v>
      </c>
      <c r="K278" s="1">
        <v>3330</v>
      </c>
      <c r="M278" s="1">
        <v>3365</v>
      </c>
      <c r="N278" s="1">
        <v>3380</v>
      </c>
      <c r="O278" s="1">
        <v>3350</v>
      </c>
      <c r="P278" s="1">
        <v>3390</v>
      </c>
      <c r="Q278" s="1">
        <v>3375</v>
      </c>
      <c r="R278" s="1">
        <v>3375</v>
      </c>
      <c r="S278" s="1">
        <v>3355</v>
      </c>
      <c r="T278" s="1">
        <v>3370</v>
      </c>
      <c r="U278" s="1">
        <v>3365</v>
      </c>
      <c r="V278" s="1">
        <v>3415</v>
      </c>
      <c r="W278" s="1">
        <v>3330</v>
      </c>
      <c r="X278" s="1">
        <v>3300</v>
      </c>
      <c r="Y278" s="1">
        <v>3285</v>
      </c>
      <c r="Z278" s="1">
        <v>3295</v>
      </c>
      <c r="AA278" s="1">
        <v>3240</v>
      </c>
      <c r="AB278" s="1">
        <v>3340</v>
      </c>
      <c r="AC278" s="1">
        <v>3290</v>
      </c>
      <c r="AD278" s="1">
        <v>3220</v>
      </c>
      <c r="AE278" s="1">
        <v>3225</v>
      </c>
      <c r="AF278" s="1">
        <v>3230</v>
      </c>
      <c r="AG278" s="1">
        <v>3230</v>
      </c>
      <c r="AH278" s="1">
        <v>3290</v>
      </c>
      <c r="AI278" s="1">
        <v>3235</v>
      </c>
      <c r="AJ278" s="1">
        <v>3260</v>
      </c>
      <c r="AK278" s="1">
        <v>3305</v>
      </c>
      <c r="AL278" s="1">
        <v>3310</v>
      </c>
      <c r="AM278" s="1">
        <v>3420</v>
      </c>
      <c r="AN278" s="1">
        <v>3305</v>
      </c>
      <c r="AO278" s="1">
        <v>3330</v>
      </c>
      <c r="AP278" s="1">
        <v>3275</v>
      </c>
      <c r="AQ278" s="1">
        <v>3250</v>
      </c>
      <c r="AR278" s="1">
        <v>3240</v>
      </c>
      <c r="AS278" s="1">
        <v>3300</v>
      </c>
      <c r="AT278" s="1">
        <v>3400</v>
      </c>
      <c r="AU278" s="1">
        <v>3470</v>
      </c>
      <c r="AV278" s="1">
        <v>3585</v>
      </c>
      <c r="AW278" s="1">
        <v>3540</v>
      </c>
      <c r="AX278" s="1">
        <v>3600</v>
      </c>
      <c r="AY278" s="1">
        <v>3505</v>
      </c>
      <c r="AZ278" s="1">
        <v>3585</v>
      </c>
      <c r="BA278" s="1">
        <v>3600</v>
      </c>
      <c r="BB278" s="1">
        <v>3660</v>
      </c>
      <c r="BC278" s="1">
        <v>3675</v>
      </c>
      <c r="BD278" s="1">
        <v>3705</v>
      </c>
      <c r="BE278" s="1">
        <v>3850</v>
      </c>
      <c r="BF278" s="1">
        <v>3285</v>
      </c>
      <c r="BG278" s="1">
        <v>3345</v>
      </c>
      <c r="BH278" s="1">
        <v>3320</v>
      </c>
      <c r="BI278" s="1">
        <v>3305</v>
      </c>
      <c r="BJ278" s="1">
        <v>3335</v>
      </c>
      <c r="BK278" s="1">
        <v>3325</v>
      </c>
      <c r="BL278" s="1">
        <v>3325</v>
      </c>
      <c r="BM278" s="1">
        <v>3320</v>
      </c>
      <c r="BN278" s="1">
        <v>3335</v>
      </c>
      <c r="BO278" s="1">
        <v>3290</v>
      </c>
      <c r="BP278" s="1">
        <v>3320</v>
      </c>
      <c r="BQ278" s="1">
        <v>3290</v>
      </c>
      <c r="BR278" s="1">
        <v>3395</v>
      </c>
      <c r="BS278" s="1">
        <v>3440</v>
      </c>
      <c r="BT278" s="1">
        <v>3420</v>
      </c>
      <c r="BU278" s="1">
        <v>3465</v>
      </c>
      <c r="BV278" s="1">
        <v>3480</v>
      </c>
      <c r="BW278" s="1">
        <v>3440</v>
      </c>
      <c r="BX278" s="1">
        <v>3500</v>
      </c>
      <c r="BY278" s="1">
        <v>3465</v>
      </c>
      <c r="BZ278" s="1">
        <v>3500</v>
      </c>
    </row>
    <row r="279" spans="1:78">
      <c r="A279" s="74" t="s">
        <v>492</v>
      </c>
      <c r="B279" s="1" t="str">
        <f>銘柄管理!C279</f>
        <v>アバールデータ</v>
      </c>
      <c r="C279" s="544">
        <f>_xll.RssMarket("6918","始値")</f>
        <v>3230</v>
      </c>
      <c r="E279" s="550">
        <v>3115</v>
      </c>
      <c r="F279" s="1">
        <v>3050</v>
      </c>
      <c r="G279" s="1">
        <v>3020</v>
      </c>
      <c r="H279" s="1">
        <v>2898</v>
      </c>
      <c r="I279" s="1">
        <v>3100</v>
      </c>
      <c r="J279" s="1">
        <v>3125</v>
      </c>
      <c r="K279" s="1">
        <v>3225</v>
      </c>
      <c r="M279" s="1">
        <v>3295</v>
      </c>
      <c r="N279" s="1">
        <v>3220</v>
      </c>
      <c r="O279" s="1">
        <v>3050</v>
      </c>
      <c r="P279" s="1">
        <v>3200</v>
      </c>
      <c r="Q279" s="1">
        <v>3300</v>
      </c>
      <c r="R279" s="1">
        <v>3210</v>
      </c>
      <c r="S279" s="1">
        <v>3260</v>
      </c>
      <c r="T279" s="1">
        <v>3200</v>
      </c>
      <c r="U279" s="1">
        <v>3180</v>
      </c>
      <c r="V279" s="1">
        <v>3205</v>
      </c>
      <c r="W279" s="1">
        <v>3350</v>
      </c>
      <c r="X279" s="1">
        <v>3405</v>
      </c>
      <c r="Y279" s="1">
        <v>3335</v>
      </c>
      <c r="Z279" s="1">
        <v>3360</v>
      </c>
      <c r="AA279" s="1">
        <v>3350</v>
      </c>
      <c r="AB279" s="1">
        <v>3265</v>
      </c>
      <c r="AC279" s="1">
        <v>3300</v>
      </c>
      <c r="AD279" s="1">
        <v>3390</v>
      </c>
      <c r="AE279" s="1">
        <v>3400</v>
      </c>
      <c r="AF279" s="1">
        <v>3340</v>
      </c>
      <c r="AG279" s="1">
        <v>3515</v>
      </c>
      <c r="AH279" s="1">
        <v>3415</v>
      </c>
      <c r="AI279" s="1">
        <v>3495</v>
      </c>
      <c r="AJ279" s="1">
        <v>3400</v>
      </c>
      <c r="AK279" s="1">
        <v>3265</v>
      </c>
      <c r="AL279" s="1">
        <v>3240</v>
      </c>
      <c r="AM279" s="1">
        <v>3185</v>
      </c>
      <c r="AN279" s="1">
        <v>3095</v>
      </c>
      <c r="AO279" s="1">
        <v>2890</v>
      </c>
      <c r="AP279" s="1">
        <v>3000</v>
      </c>
      <c r="AQ279" s="1">
        <v>3075</v>
      </c>
      <c r="AR279" s="1">
        <v>3285</v>
      </c>
      <c r="AS279" s="1">
        <v>3260</v>
      </c>
      <c r="AT279" s="1">
        <v>3430</v>
      </c>
      <c r="AU279" s="1">
        <v>3530</v>
      </c>
      <c r="AV279" s="1">
        <v>3500</v>
      </c>
      <c r="AW279" s="1">
        <v>3405</v>
      </c>
      <c r="AX279" s="1">
        <v>3400</v>
      </c>
      <c r="AY279" s="1">
        <v>3405</v>
      </c>
      <c r="AZ279" s="1">
        <v>3460</v>
      </c>
      <c r="BA279" s="1">
        <v>3360</v>
      </c>
      <c r="BB279" s="1">
        <v>3525</v>
      </c>
      <c r="BC279" s="1">
        <v>3750</v>
      </c>
      <c r="BD279" s="1">
        <v>3590</v>
      </c>
      <c r="BE279" s="1">
        <v>3465</v>
      </c>
      <c r="BF279" s="1">
        <v>3635</v>
      </c>
      <c r="BG279" s="1">
        <v>3600</v>
      </c>
      <c r="BH279" s="1">
        <v>3700</v>
      </c>
      <c r="BI279" s="1">
        <v>3375</v>
      </c>
      <c r="BJ279" s="1">
        <v>3245</v>
      </c>
      <c r="BK279" s="1">
        <v>3175</v>
      </c>
      <c r="BL279" s="1">
        <v>2912</v>
      </c>
      <c r="BM279" s="1">
        <v>2891</v>
      </c>
      <c r="BN279" s="1">
        <v>2950</v>
      </c>
      <c r="BO279" s="1">
        <v>3025</v>
      </c>
      <c r="BP279" s="1">
        <v>2986</v>
      </c>
      <c r="BQ279" s="1">
        <v>3030</v>
      </c>
      <c r="BR279" s="1">
        <v>3055</v>
      </c>
      <c r="BS279" s="1">
        <v>2907</v>
      </c>
      <c r="BT279" s="1">
        <v>2851</v>
      </c>
      <c r="BU279" s="1">
        <v>2873</v>
      </c>
      <c r="BV279" s="1">
        <v>2819</v>
      </c>
      <c r="BW279" s="1">
        <v>2896</v>
      </c>
      <c r="BX279" s="1">
        <v>2820</v>
      </c>
      <c r="BY279" s="1">
        <v>2777</v>
      </c>
      <c r="BZ279" s="1">
        <v>2727</v>
      </c>
    </row>
    <row r="280" spans="1:78">
      <c r="A280" s="74" t="s">
        <v>493</v>
      </c>
      <c r="B280" s="1" t="str">
        <f>銘柄管理!C280</f>
        <v>ヨシタケ</v>
      </c>
      <c r="C280" s="544">
        <f>_xll.RssMarket("6488","始値")</f>
        <v>996</v>
      </c>
      <c r="E280" s="550">
        <v>989</v>
      </c>
      <c r="F280" s="1">
        <v>985</v>
      </c>
      <c r="G280" s="1">
        <v>989</v>
      </c>
      <c r="H280" s="1">
        <v>982</v>
      </c>
      <c r="I280" s="1">
        <v>985</v>
      </c>
      <c r="J280" s="1">
        <v>985</v>
      </c>
      <c r="K280" s="1">
        <v>980</v>
      </c>
      <c r="L280" s="1">
        <v>986</v>
      </c>
      <c r="M280" s="1">
        <v>986</v>
      </c>
      <c r="N280" s="1">
        <v>982</v>
      </c>
      <c r="O280" s="1">
        <v>974</v>
      </c>
      <c r="P280" s="1">
        <v>976</v>
      </c>
      <c r="Q280" s="1">
        <v>971</v>
      </c>
      <c r="R280" s="1">
        <v>980</v>
      </c>
      <c r="S280" s="1">
        <v>970</v>
      </c>
      <c r="T280" s="1">
        <v>970</v>
      </c>
      <c r="U280" s="1">
        <v>962</v>
      </c>
      <c r="V280" s="1">
        <v>960</v>
      </c>
      <c r="W280" s="1">
        <v>970</v>
      </c>
      <c r="X280" s="1">
        <v>962</v>
      </c>
      <c r="Y280" s="1">
        <v>955</v>
      </c>
      <c r="Z280" s="1">
        <v>948</v>
      </c>
      <c r="AA280" s="1">
        <v>940</v>
      </c>
      <c r="AB280" s="1">
        <v>935</v>
      </c>
      <c r="AC280" s="1">
        <v>936</v>
      </c>
      <c r="AD280" s="1">
        <v>927</v>
      </c>
      <c r="AE280" s="1">
        <v>937</v>
      </c>
      <c r="AF280" s="1">
        <v>942</v>
      </c>
      <c r="AG280" s="1">
        <v>948</v>
      </c>
      <c r="AH280" s="1">
        <v>939</v>
      </c>
      <c r="AI280" s="1">
        <v>930</v>
      </c>
      <c r="AJ280" s="1">
        <v>924</v>
      </c>
      <c r="AK280" s="1">
        <v>920</v>
      </c>
      <c r="AL280" s="1">
        <v>919</v>
      </c>
      <c r="AM280" s="1">
        <v>915</v>
      </c>
      <c r="AN280" s="1">
        <v>920</v>
      </c>
      <c r="AO280" s="1">
        <v>920</v>
      </c>
      <c r="AP280" s="1">
        <v>931</v>
      </c>
      <c r="AQ280" s="1">
        <v>928</v>
      </c>
      <c r="AR280" s="1">
        <v>939</v>
      </c>
      <c r="AS280" s="1">
        <v>930</v>
      </c>
      <c r="AT280" s="1">
        <v>932</v>
      </c>
      <c r="AU280" s="1">
        <v>927</v>
      </c>
      <c r="AV280" s="1">
        <v>930</v>
      </c>
      <c r="AW280" s="1">
        <v>937</v>
      </c>
      <c r="AX280" s="1">
        <v>943</v>
      </c>
      <c r="AY280" s="1">
        <v>960</v>
      </c>
      <c r="AZ280" s="1">
        <v>972</v>
      </c>
      <c r="BA280" s="1">
        <v>970</v>
      </c>
      <c r="BB280" s="1">
        <v>967</v>
      </c>
      <c r="BC280" s="1">
        <v>966</v>
      </c>
      <c r="BD280" s="1">
        <v>988</v>
      </c>
      <c r="BE280" s="1">
        <v>995</v>
      </c>
      <c r="BF280" s="1">
        <v>939</v>
      </c>
      <c r="BG280" s="1">
        <v>931</v>
      </c>
      <c r="BH280" s="1">
        <v>940</v>
      </c>
      <c r="BI280" s="1">
        <v>935</v>
      </c>
      <c r="BJ280" s="1">
        <v>935</v>
      </c>
      <c r="BK280" s="1">
        <v>932</v>
      </c>
      <c r="BL280" s="1">
        <v>943</v>
      </c>
      <c r="BM280" s="1">
        <v>944</v>
      </c>
      <c r="BN280" s="1">
        <v>935</v>
      </c>
      <c r="BO280" s="1">
        <v>933</v>
      </c>
      <c r="BP280" s="1">
        <v>940</v>
      </c>
      <c r="BQ280" s="1">
        <v>931</v>
      </c>
      <c r="BR280" s="1">
        <v>933</v>
      </c>
      <c r="BS280" s="1">
        <v>953</v>
      </c>
      <c r="BT280" s="1">
        <v>959</v>
      </c>
      <c r="BU280" s="1">
        <v>954</v>
      </c>
      <c r="BV280" s="1">
        <v>930</v>
      </c>
      <c r="BW280" s="1">
        <v>937</v>
      </c>
      <c r="BX280" s="1">
        <v>944</v>
      </c>
      <c r="BY280" s="1">
        <v>945</v>
      </c>
      <c r="BZ280" s="1">
        <v>942</v>
      </c>
    </row>
    <row r="281" spans="1:78">
      <c r="A281" s="74" t="s">
        <v>494</v>
      </c>
      <c r="B281" s="1" t="str">
        <f>銘柄管理!C281</f>
        <v>高島</v>
      </c>
      <c r="C281" s="544">
        <f>_xll.RssMarket("8007","始値")</f>
        <v>794</v>
      </c>
      <c r="E281" s="550">
        <v>797</v>
      </c>
      <c r="F281" s="1">
        <v>812</v>
      </c>
      <c r="G281" s="1">
        <v>818</v>
      </c>
      <c r="H281" s="1">
        <v>810</v>
      </c>
      <c r="I281" s="1">
        <v>805</v>
      </c>
      <c r="J281" s="1">
        <v>810</v>
      </c>
      <c r="K281" s="1">
        <v>800</v>
      </c>
      <c r="L281" s="1">
        <v>798</v>
      </c>
      <c r="M281" s="1">
        <v>792</v>
      </c>
      <c r="N281" s="1">
        <v>795</v>
      </c>
      <c r="O281" s="1">
        <v>780</v>
      </c>
      <c r="P281" s="1">
        <v>784</v>
      </c>
      <c r="Q281" s="1">
        <v>782</v>
      </c>
      <c r="R281" s="1">
        <v>776</v>
      </c>
      <c r="S281" s="1">
        <v>788</v>
      </c>
      <c r="T281" s="1">
        <v>776</v>
      </c>
      <c r="U281" s="1">
        <v>773</v>
      </c>
      <c r="V281" s="1">
        <v>772</v>
      </c>
      <c r="W281" s="1">
        <v>775</v>
      </c>
      <c r="X281" s="1">
        <v>769</v>
      </c>
      <c r="Y281" s="1">
        <v>756</v>
      </c>
      <c r="Z281" s="1">
        <v>754</v>
      </c>
      <c r="AA281" s="1">
        <v>765</v>
      </c>
      <c r="AB281" s="1">
        <v>768</v>
      </c>
      <c r="AC281" s="1">
        <v>753</v>
      </c>
      <c r="AD281" s="1">
        <v>745</v>
      </c>
      <c r="AE281" s="1">
        <v>747</v>
      </c>
      <c r="AF281" s="1">
        <v>743</v>
      </c>
      <c r="AG281" s="1">
        <v>745</v>
      </c>
      <c r="AH281" s="1">
        <v>743</v>
      </c>
      <c r="AI281" s="1">
        <v>745</v>
      </c>
      <c r="AJ281" s="1">
        <v>749</v>
      </c>
      <c r="AK281" s="1">
        <v>754</v>
      </c>
      <c r="AL281" s="1">
        <v>765</v>
      </c>
      <c r="AM281" s="1">
        <v>748</v>
      </c>
      <c r="AN281" s="1">
        <v>741</v>
      </c>
      <c r="AO281" s="1">
        <v>740</v>
      </c>
      <c r="AP281" s="1">
        <v>741</v>
      </c>
      <c r="AQ281" s="1">
        <v>727</v>
      </c>
      <c r="AR281" s="1">
        <v>733</v>
      </c>
      <c r="AS281" s="1">
        <v>731</v>
      </c>
      <c r="AT281" s="1">
        <v>726</v>
      </c>
      <c r="AU281" s="1">
        <v>727</v>
      </c>
      <c r="AV281" s="1">
        <v>763</v>
      </c>
      <c r="AW281" s="1">
        <v>753</v>
      </c>
      <c r="AX281" s="1">
        <v>754</v>
      </c>
      <c r="AY281" s="1">
        <v>738</v>
      </c>
      <c r="AZ281" s="1">
        <v>745</v>
      </c>
      <c r="BA281" s="1">
        <v>738</v>
      </c>
      <c r="BB281" s="1">
        <v>744</v>
      </c>
      <c r="BC281" s="1">
        <v>755</v>
      </c>
      <c r="BD281" s="1">
        <v>770</v>
      </c>
      <c r="BE281" s="1">
        <v>770</v>
      </c>
      <c r="BF281" s="1">
        <v>696</v>
      </c>
      <c r="BG281" s="1">
        <v>767</v>
      </c>
      <c r="BH281" s="1">
        <v>774</v>
      </c>
      <c r="BI281" s="1">
        <v>780</v>
      </c>
      <c r="BJ281" s="1">
        <v>789</v>
      </c>
      <c r="BK281" s="1">
        <v>794</v>
      </c>
      <c r="BL281" s="1">
        <v>788</v>
      </c>
      <c r="BM281" s="1">
        <v>799</v>
      </c>
      <c r="BN281" s="1">
        <v>775</v>
      </c>
      <c r="BO281" s="1">
        <v>770</v>
      </c>
      <c r="BP281" s="1">
        <v>775</v>
      </c>
      <c r="BQ281" s="1">
        <v>774</v>
      </c>
      <c r="BR281" s="1">
        <v>786</v>
      </c>
      <c r="BS281" s="1">
        <v>794</v>
      </c>
      <c r="BT281" s="1">
        <v>804</v>
      </c>
      <c r="BU281" s="1">
        <v>809</v>
      </c>
      <c r="BV281" s="1">
        <v>814</v>
      </c>
      <c r="BW281" s="1">
        <v>819</v>
      </c>
      <c r="BX281" s="1">
        <v>813</v>
      </c>
      <c r="BY281" s="1">
        <v>814</v>
      </c>
      <c r="BZ281" s="1">
        <v>826</v>
      </c>
    </row>
    <row r="282" spans="1:78">
      <c r="A282" s="74" t="s">
        <v>495</v>
      </c>
      <c r="B282" s="1" t="str">
        <f>銘柄管理!C282</f>
        <v>ニチバン</v>
      </c>
      <c r="C282" s="544">
        <f>_xll.RssMarket("4218","始値")</f>
        <v>1943</v>
      </c>
      <c r="E282" s="550">
        <v>1921</v>
      </c>
      <c r="F282" s="1">
        <v>1940</v>
      </c>
      <c r="G282" s="1">
        <v>1966</v>
      </c>
      <c r="H282" s="1">
        <v>1965</v>
      </c>
      <c r="I282" s="1">
        <v>1942</v>
      </c>
      <c r="J282" s="1">
        <v>1941</v>
      </c>
      <c r="K282" s="1">
        <v>1919</v>
      </c>
      <c r="L282" s="1">
        <v>1898</v>
      </c>
      <c r="M282" s="1">
        <v>1920</v>
      </c>
      <c r="N282" s="1">
        <v>1928</v>
      </c>
      <c r="O282" s="1">
        <v>1950</v>
      </c>
      <c r="P282" s="1">
        <v>1929</v>
      </c>
      <c r="Q282" s="1">
        <v>1907</v>
      </c>
      <c r="R282" s="1">
        <v>1914</v>
      </c>
      <c r="S282" s="1">
        <v>1915</v>
      </c>
      <c r="T282" s="1">
        <v>1906</v>
      </c>
      <c r="U282" s="1">
        <v>1921</v>
      </c>
      <c r="V282" s="1">
        <v>1905</v>
      </c>
      <c r="W282" s="1">
        <v>1886</v>
      </c>
      <c r="X282" s="1">
        <v>1895</v>
      </c>
      <c r="Y282" s="1">
        <v>1881</v>
      </c>
      <c r="Z282" s="1">
        <v>1890</v>
      </c>
      <c r="AA282" s="1">
        <v>1897</v>
      </c>
      <c r="AB282" s="1">
        <v>1881</v>
      </c>
      <c r="AC282" s="1">
        <v>1864</v>
      </c>
      <c r="AD282" s="1">
        <v>1861</v>
      </c>
      <c r="AE282" s="1">
        <v>1860</v>
      </c>
      <c r="AF282" s="1">
        <v>1836</v>
      </c>
      <c r="AG282" s="1">
        <v>1817</v>
      </c>
      <c r="AH282" s="1">
        <v>1830</v>
      </c>
      <c r="AI282" s="1">
        <v>1850</v>
      </c>
      <c r="AJ282" s="1">
        <v>1850</v>
      </c>
      <c r="AK282" s="1">
        <v>1835</v>
      </c>
      <c r="AL282" s="1">
        <v>1841</v>
      </c>
      <c r="AM282" s="1">
        <v>1843</v>
      </c>
      <c r="AN282" s="1">
        <v>1829</v>
      </c>
      <c r="AO282" s="1">
        <v>1826</v>
      </c>
      <c r="AP282" s="1">
        <v>1803</v>
      </c>
      <c r="AQ282" s="1">
        <v>1801</v>
      </c>
      <c r="AR282" s="1">
        <v>1795</v>
      </c>
      <c r="AS282" s="1">
        <v>1810</v>
      </c>
      <c r="AT282" s="1">
        <v>1792</v>
      </c>
      <c r="AU282" s="1">
        <v>1818</v>
      </c>
      <c r="AV282" s="1">
        <v>1849</v>
      </c>
      <c r="AW282" s="1">
        <v>1857</v>
      </c>
      <c r="AX282" s="1">
        <v>1857</v>
      </c>
      <c r="AY282" s="1">
        <v>1875</v>
      </c>
      <c r="AZ282" s="1">
        <v>1874</v>
      </c>
      <c r="BA282" s="1">
        <v>1863</v>
      </c>
      <c r="BB282" s="1">
        <v>1880</v>
      </c>
      <c r="BC282" s="1">
        <v>1878</v>
      </c>
      <c r="BD282" s="1">
        <v>1894</v>
      </c>
      <c r="BE282" s="1">
        <v>1910</v>
      </c>
      <c r="BF282" s="1">
        <v>1846</v>
      </c>
      <c r="BG282" s="1">
        <v>1823</v>
      </c>
      <c r="BH282" s="1">
        <v>1821</v>
      </c>
      <c r="BI282" s="1">
        <v>1825</v>
      </c>
      <c r="BJ282" s="1">
        <v>1841</v>
      </c>
      <c r="BK282" s="1">
        <v>1845</v>
      </c>
      <c r="BL282" s="1">
        <v>1823</v>
      </c>
      <c r="BM282" s="1">
        <v>1825</v>
      </c>
      <c r="BN282" s="1">
        <v>1818</v>
      </c>
      <c r="BO282" s="1">
        <v>1822</v>
      </c>
      <c r="BP282" s="1">
        <v>1842</v>
      </c>
      <c r="BQ282" s="1">
        <v>1855</v>
      </c>
      <c r="BR282" s="1">
        <v>1874</v>
      </c>
      <c r="BS282" s="1">
        <v>1886</v>
      </c>
      <c r="BT282" s="1">
        <v>1898</v>
      </c>
      <c r="BU282" s="1">
        <v>1890</v>
      </c>
      <c r="BV282" s="1">
        <v>1889</v>
      </c>
      <c r="BW282" s="1">
        <v>1882</v>
      </c>
      <c r="BX282" s="1">
        <v>1892</v>
      </c>
      <c r="BY282" s="1">
        <v>1891</v>
      </c>
      <c r="BZ282" s="1">
        <v>1900</v>
      </c>
    </row>
    <row r="283" spans="1:78">
      <c r="A283" s="74" t="s">
        <v>496</v>
      </c>
      <c r="B283" s="1" t="str">
        <f>銘柄管理!C283</f>
        <v>ＳＣＲＥＥＮホールディングス</v>
      </c>
      <c r="C283" s="544">
        <f>_xll.RssMarket("7735","始値")</f>
        <v>13600</v>
      </c>
      <c r="E283" s="550">
        <v>12520</v>
      </c>
      <c r="F283" s="1">
        <v>12300</v>
      </c>
      <c r="G283" s="1">
        <v>13780</v>
      </c>
      <c r="H283" s="1">
        <v>11755</v>
      </c>
      <c r="I283" s="1">
        <v>12975</v>
      </c>
      <c r="J283" s="1">
        <v>14305</v>
      </c>
      <c r="K283" s="1">
        <v>16215</v>
      </c>
      <c r="L283" s="1">
        <v>16535</v>
      </c>
      <c r="M283" s="1">
        <v>16820</v>
      </c>
      <c r="N283" s="1">
        <v>17585</v>
      </c>
      <c r="O283" s="1">
        <v>16800</v>
      </c>
      <c r="P283" s="1">
        <v>17270</v>
      </c>
      <c r="Q283" s="1">
        <v>18525</v>
      </c>
      <c r="R283" s="1">
        <v>17650</v>
      </c>
      <c r="S283" s="1">
        <v>18200</v>
      </c>
      <c r="T283" s="1">
        <v>18250</v>
      </c>
      <c r="U283" s="1">
        <v>17690</v>
      </c>
      <c r="V283" s="1">
        <v>16290</v>
      </c>
      <c r="W283" s="1">
        <v>17500</v>
      </c>
      <c r="X283" s="1">
        <v>18915</v>
      </c>
      <c r="Y283" s="1">
        <v>17500</v>
      </c>
      <c r="Z283" s="1">
        <v>17890</v>
      </c>
      <c r="AA283" s="1">
        <v>18410</v>
      </c>
      <c r="AB283" s="1">
        <v>17300</v>
      </c>
      <c r="AC283" s="1">
        <v>16620</v>
      </c>
      <c r="AD283" s="1">
        <v>17280</v>
      </c>
      <c r="AE283" s="1">
        <v>17190</v>
      </c>
      <c r="AF283" s="1">
        <v>16470</v>
      </c>
      <c r="AG283" s="1">
        <v>17140</v>
      </c>
      <c r="AH283" s="1">
        <v>16490</v>
      </c>
      <c r="AI283" s="1">
        <v>16830</v>
      </c>
      <c r="AJ283" s="1">
        <v>15595</v>
      </c>
      <c r="AK283" s="1">
        <v>14600</v>
      </c>
      <c r="AL283" s="1">
        <v>14870</v>
      </c>
      <c r="AM283" s="1">
        <v>14760</v>
      </c>
      <c r="AN283" s="1">
        <v>13805</v>
      </c>
      <c r="AO283" s="1">
        <v>12500</v>
      </c>
      <c r="AP283" s="1">
        <v>12690</v>
      </c>
      <c r="AQ283" s="1">
        <v>11370</v>
      </c>
      <c r="AR283" s="1">
        <v>13035</v>
      </c>
      <c r="AS283" s="1">
        <v>13250</v>
      </c>
      <c r="AT283" s="1">
        <v>12815</v>
      </c>
      <c r="AU283" s="1">
        <v>11140</v>
      </c>
      <c r="AV283" s="1">
        <v>11230</v>
      </c>
      <c r="AW283" s="1">
        <v>11000</v>
      </c>
      <c r="AX283" s="1">
        <v>11000</v>
      </c>
      <c r="AY283" s="1">
        <v>11145</v>
      </c>
      <c r="AZ283" s="1">
        <v>10820</v>
      </c>
      <c r="BA283" s="1">
        <v>10900</v>
      </c>
      <c r="BB283" s="1">
        <v>10540</v>
      </c>
      <c r="BC283" s="1">
        <v>10900</v>
      </c>
      <c r="BD283" s="1">
        <v>11335</v>
      </c>
      <c r="BE283" s="1">
        <v>12400</v>
      </c>
      <c r="BF283" s="1">
        <v>12350</v>
      </c>
      <c r="BG283" s="1">
        <v>11090</v>
      </c>
      <c r="BH283" s="1">
        <v>11325</v>
      </c>
      <c r="BI283" s="1">
        <v>11535</v>
      </c>
      <c r="BJ283" s="1">
        <v>11080</v>
      </c>
      <c r="BK283" s="1">
        <v>11000</v>
      </c>
      <c r="BL283" s="1">
        <v>10470</v>
      </c>
      <c r="BM283" s="1">
        <v>10350</v>
      </c>
      <c r="BN283" s="1">
        <v>10590</v>
      </c>
      <c r="BO283" s="1">
        <v>10910</v>
      </c>
      <c r="BP283" s="1">
        <v>10390</v>
      </c>
      <c r="BQ283" s="1">
        <v>10715</v>
      </c>
      <c r="BR283" s="1">
        <v>10605</v>
      </c>
      <c r="BS283" s="1">
        <v>10750</v>
      </c>
      <c r="BT283" s="1">
        <v>10570</v>
      </c>
      <c r="BU283" s="1">
        <v>11085</v>
      </c>
      <c r="BV283" s="1">
        <v>10900</v>
      </c>
      <c r="BW283" s="1">
        <v>11365</v>
      </c>
      <c r="BX283" s="1">
        <v>11060</v>
      </c>
      <c r="BY283" s="1">
        <v>10805</v>
      </c>
      <c r="BZ283" s="1">
        <v>10410</v>
      </c>
    </row>
    <row r="284" spans="1:78">
      <c r="A284" s="74" t="s">
        <v>497</v>
      </c>
      <c r="B284" s="1" t="str">
        <f>銘柄管理!C284</f>
        <v>データセクション</v>
      </c>
      <c r="C284" s="544">
        <f>_xll.RssMarket("3905","始値")</f>
        <v>2205</v>
      </c>
      <c r="E284" s="550">
        <v>2250</v>
      </c>
      <c r="F284" s="1">
        <v>2084</v>
      </c>
      <c r="G284" s="1">
        <v>2086</v>
      </c>
      <c r="H284" s="1">
        <v>1945</v>
      </c>
      <c r="I284" s="1">
        <v>2095</v>
      </c>
      <c r="J284" s="1">
        <v>2273</v>
      </c>
      <c r="K284" s="1">
        <v>2319</v>
      </c>
      <c r="L284" s="1">
        <v>2385</v>
      </c>
      <c r="M284" s="1">
        <v>2400</v>
      </c>
      <c r="N284" s="1">
        <v>2582</v>
      </c>
      <c r="O284" s="1">
        <v>2529</v>
      </c>
      <c r="P284" s="1">
        <v>2592</v>
      </c>
      <c r="Q284" s="1">
        <v>2841</v>
      </c>
      <c r="R284" s="1">
        <v>2790</v>
      </c>
      <c r="S284" s="1">
        <v>2879</v>
      </c>
      <c r="T284" s="1">
        <v>2941</v>
      </c>
      <c r="U284" s="1">
        <v>2813</v>
      </c>
      <c r="V284" s="1">
        <v>2727</v>
      </c>
      <c r="W284" s="1">
        <v>3000</v>
      </c>
      <c r="X284" s="1">
        <v>3230</v>
      </c>
      <c r="Y284" s="1">
        <v>3035</v>
      </c>
      <c r="Z284" s="1">
        <v>3200</v>
      </c>
      <c r="AA284" s="1">
        <v>3505</v>
      </c>
      <c r="AB284" s="1">
        <v>3735</v>
      </c>
      <c r="AC284" s="1">
        <v>4250</v>
      </c>
      <c r="AD284" s="1">
        <v>4680</v>
      </c>
      <c r="AE284" s="1">
        <v>4780</v>
      </c>
      <c r="AF284" s="1">
        <v>4590</v>
      </c>
      <c r="AG284" s="1">
        <v>5000</v>
      </c>
      <c r="AH284" s="1">
        <v>5260</v>
      </c>
      <c r="AI284" s="1">
        <v>5170</v>
      </c>
      <c r="AJ284" s="1">
        <v>4845</v>
      </c>
      <c r="AK284" s="1">
        <v>5000</v>
      </c>
      <c r="AL284" s="1">
        <v>4775</v>
      </c>
      <c r="AM284" s="1">
        <v>4790</v>
      </c>
      <c r="AN284" s="1">
        <v>4505</v>
      </c>
      <c r="AO284" s="1">
        <v>4310</v>
      </c>
      <c r="AP284" s="1">
        <v>4460</v>
      </c>
      <c r="AQ284" s="1">
        <v>4480</v>
      </c>
      <c r="AR284" s="1">
        <v>5700</v>
      </c>
      <c r="AS284" s="1">
        <v>5060</v>
      </c>
      <c r="AT284" s="1">
        <v>5060</v>
      </c>
      <c r="AU284" s="1">
        <v>4805</v>
      </c>
      <c r="AV284" s="1">
        <v>5400</v>
      </c>
      <c r="AW284" s="1">
        <v>4335</v>
      </c>
      <c r="AX284" s="1">
        <v>4760</v>
      </c>
      <c r="AY284" s="1">
        <v>4800</v>
      </c>
      <c r="AZ284" s="1">
        <v>4240</v>
      </c>
      <c r="BA284" s="1">
        <v>3500</v>
      </c>
      <c r="BB284" s="1">
        <v>3135</v>
      </c>
      <c r="BC284" s="1">
        <v>3345</v>
      </c>
      <c r="BD284" s="1">
        <v>2843</v>
      </c>
      <c r="BE284" s="1">
        <v>2213</v>
      </c>
      <c r="BF284" s="1">
        <v>2302</v>
      </c>
      <c r="BG284" s="1">
        <v>2193</v>
      </c>
      <c r="BH284" s="1">
        <v>2336</v>
      </c>
      <c r="BI284" s="1">
        <v>2060</v>
      </c>
      <c r="BJ284" s="1">
        <v>1673</v>
      </c>
      <c r="BK284" s="1">
        <v>1524</v>
      </c>
      <c r="BL284" s="1">
        <v>1488</v>
      </c>
      <c r="BM284" s="1">
        <v>1500</v>
      </c>
      <c r="BN284" s="1">
        <v>1461</v>
      </c>
      <c r="BO284" s="1">
        <v>1467</v>
      </c>
      <c r="BP284" s="1">
        <v>1492</v>
      </c>
      <c r="BQ284" s="1">
        <v>1535</v>
      </c>
      <c r="BR284" s="1">
        <v>1551</v>
      </c>
      <c r="BS284" s="1">
        <v>1600</v>
      </c>
      <c r="BT284" s="1">
        <v>1562</v>
      </c>
      <c r="BU284" s="1">
        <v>1584</v>
      </c>
      <c r="BV284" s="1">
        <v>1520</v>
      </c>
      <c r="BW284" s="1">
        <v>1473</v>
      </c>
      <c r="BX284" s="1">
        <v>1380</v>
      </c>
      <c r="BY284" s="1">
        <v>1346</v>
      </c>
      <c r="BZ284" s="1">
        <v>1379</v>
      </c>
    </row>
    <row r="285" spans="1:78">
      <c r="A285" s="74" t="s">
        <v>498</v>
      </c>
      <c r="B285" s="1" t="str">
        <f>銘柄管理!C285</f>
        <v>トリドールホールディングス</v>
      </c>
      <c r="C285" s="544">
        <f>_xll.RssMarket("3397","始値")</f>
        <v>4155</v>
      </c>
      <c r="E285" s="550">
        <v>4322</v>
      </c>
      <c r="F285" s="1">
        <v>4346</v>
      </c>
      <c r="G285" s="1">
        <v>4351</v>
      </c>
      <c r="H285" s="1">
        <v>4620</v>
      </c>
      <c r="I285" s="1">
        <v>4353</v>
      </c>
      <c r="J285" s="1">
        <v>4230</v>
      </c>
      <c r="K285" s="1">
        <v>4103</v>
      </c>
      <c r="L285" s="1">
        <v>4020</v>
      </c>
      <c r="M285" s="1">
        <v>4032</v>
      </c>
      <c r="N285" s="1">
        <v>4150</v>
      </c>
      <c r="O285" s="1">
        <v>4186</v>
      </c>
      <c r="P285" s="1">
        <v>4186</v>
      </c>
      <c r="Q285" s="1">
        <v>4109</v>
      </c>
      <c r="R285" s="1">
        <v>4053</v>
      </c>
      <c r="S285" s="1">
        <v>4000</v>
      </c>
      <c r="T285" s="1">
        <v>4006</v>
      </c>
      <c r="U285" s="1">
        <v>4096</v>
      </c>
      <c r="V285" s="1">
        <v>4000</v>
      </c>
      <c r="W285" s="1">
        <v>3920</v>
      </c>
      <c r="X285" s="1">
        <v>3846</v>
      </c>
      <c r="Y285" s="1">
        <v>3941</v>
      </c>
      <c r="Z285" s="1">
        <v>3864</v>
      </c>
      <c r="AA285" s="1">
        <v>3840</v>
      </c>
      <c r="AB285" s="1">
        <v>3890</v>
      </c>
      <c r="AC285" s="1">
        <v>3798</v>
      </c>
      <c r="AD285" s="1">
        <v>3781</v>
      </c>
      <c r="AE285" s="1">
        <v>3666</v>
      </c>
      <c r="AF285" s="1">
        <v>3600</v>
      </c>
      <c r="AG285" s="1">
        <v>3550</v>
      </c>
      <c r="AH285" s="1">
        <v>3570</v>
      </c>
      <c r="AI285" s="1">
        <v>3574</v>
      </c>
      <c r="AJ285" s="1">
        <v>3625</v>
      </c>
      <c r="AK285" s="1">
        <v>3728</v>
      </c>
      <c r="AL285" s="1">
        <v>3730</v>
      </c>
      <c r="AM285" s="1">
        <v>3819</v>
      </c>
      <c r="AN285" s="1">
        <v>3885</v>
      </c>
      <c r="AO285" s="1">
        <v>3906</v>
      </c>
      <c r="AP285" s="1">
        <v>3771</v>
      </c>
      <c r="AQ285" s="1">
        <v>3700</v>
      </c>
      <c r="AR285" s="1">
        <v>3707</v>
      </c>
      <c r="AS285" s="1">
        <v>3819</v>
      </c>
      <c r="AT285" s="1">
        <v>3802</v>
      </c>
      <c r="AU285" s="1">
        <v>3798</v>
      </c>
      <c r="AV285" s="1">
        <v>3795</v>
      </c>
      <c r="AW285" s="1">
        <v>3756</v>
      </c>
      <c r="AX285" s="1">
        <v>3661</v>
      </c>
      <c r="AY285" s="1">
        <v>3860</v>
      </c>
      <c r="AZ285" s="1">
        <v>3800</v>
      </c>
      <c r="BA285" s="1">
        <v>3889</v>
      </c>
      <c r="BB285" s="1">
        <v>3862</v>
      </c>
      <c r="BC285" s="1">
        <v>3799</v>
      </c>
      <c r="BD285" s="1">
        <v>3799</v>
      </c>
      <c r="BE285" s="1">
        <v>3939</v>
      </c>
      <c r="BF285" s="1">
        <v>3980</v>
      </c>
      <c r="BG285" s="1">
        <v>3963</v>
      </c>
      <c r="BH285" s="1">
        <v>3950</v>
      </c>
      <c r="BI285" s="1">
        <v>3961</v>
      </c>
      <c r="BJ285" s="1">
        <v>4025</v>
      </c>
      <c r="BK285" s="1">
        <v>3997</v>
      </c>
      <c r="BL285" s="1">
        <v>4039</v>
      </c>
      <c r="BM285" s="1">
        <v>4061</v>
      </c>
      <c r="BN285" s="1">
        <v>4055</v>
      </c>
      <c r="BO285" s="1">
        <v>4072</v>
      </c>
      <c r="BP285" s="1">
        <v>4100</v>
      </c>
      <c r="BQ285" s="1">
        <v>4121</v>
      </c>
      <c r="BR285" s="1">
        <v>4159</v>
      </c>
      <c r="BS285" s="1">
        <v>4212</v>
      </c>
      <c r="BT285" s="1">
        <v>4182</v>
      </c>
      <c r="BU285" s="1">
        <v>4197</v>
      </c>
      <c r="BV285" s="1">
        <v>4291</v>
      </c>
      <c r="BW285" s="1">
        <v>4250</v>
      </c>
      <c r="BX285" s="1">
        <v>4251</v>
      </c>
      <c r="BY285" s="1">
        <v>4297</v>
      </c>
      <c r="BZ285" s="1">
        <v>4356</v>
      </c>
    </row>
    <row r="286" spans="1:78">
      <c r="A286" s="74" t="s">
        <v>499</v>
      </c>
      <c r="B286" s="1" t="str">
        <f>銘柄管理!C286</f>
        <v>ＳＵＢＡＲＵ</v>
      </c>
      <c r="C286" s="544">
        <f>_xll.RssMarket("7270","始値")</f>
        <v>2600</v>
      </c>
      <c r="E286" s="550">
        <v>2622</v>
      </c>
      <c r="F286" s="1">
        <v>2666</v>
      </c>
      <c r="G286" s="1">
        <v>2717</v>
      </c>
      <c r="H286" s="1">
        <v>2850</v>
      </c>
      <c r="I286" s="1">
        <v>2730</v>
      </c>
      <c r="J286" s="1">
        <v>2663.5</v>
      </c>
      <c r="K286" s="1">
        <v>2600</v>
      </c>
      <c r="L286" s="1">
        <v>2586</v>
      </c>
      <c r="M286" s="1">
        <v>2591</v>
      </c>
      <c r="N286" s="1">
        <v>2595.5</v>
      </c>
      <c r="O286" s="1">
        <v>2525</v>
      </c>
      <c r="P286" s="1">
        <v>2530</v>
      </c>
      <c r="Q286" s="1">
        <v>2492.5</v>
      </c>
      <c r="R286" s="1">
        <v>2506.5</v>
      </c>
      <c r="S286" s="1">
        <v>2520</v>
      </c>
      <c r="T286" s="1">
        <v>2489</v>
      </c>
      <c r="U286" s="1">
        <v>2490.5</v>
      </c>
      <c r="V286" s="1">
        <v>2557</v>
      </c>
      <c r="W286" s="1">
        <v>2596</v>
      </c>
      <c r="X286" s="1">
        <v>2535</v>
      </c>
      <c r="Y286" s="1">
        <v>2551.5</v>
      </c>
      <c r="Z286" s="1">
        <v>2442.5</v>
      </c>
      <c r="AA286" s="1">
        <v>2404.5</v>
      </c>
      <c r="AB286" s="1">
        <v>2421.5</v>
      </c>
      <c r="AC286" s="1">
        <v>2430</v>
      </c>
      <c r="AD286" s="1">
        <v>2401</v>
      </c>
      <c r="AE286" s="1">
        <v>2370</v>
      </c>
      <c r="AF286" s="1">
        <v>2415</v>
      </c>
      <c r="AG286" s="1">
        <v>2428</v>
      </c>
      <c r="AH286" s="1">
        <v>2444.5</v>
      </c>
      <c r="AI286" s="1">
        <v>2497.5</v>
      </c>
      <c r="AJ286" s="1">
        <v>2582.5</v>
      </c>
      <c r="AK286" s="1">
        <v>2570</v>
      </c>
      <c r="AL286" s="1">
        <v>2520</v>
      </c>
      <c r="AM286" s="1">
        <v>2512.5</v>
      </c>
      <c r="AN286" s="1">
        <v>2518.5</v>
      </c>
      <c r="AO286" s="1">
        <v>2485.5</v>
      </c>
      <c r="AP286" s="1">
        <v>2573</v>
      </c>
      <c r="AQ286" s="1">
        <v>2462</v>
      </c>
      <c r="AR286" s="1">
        <v>2487</v>
      </c>
      <c r="AS286" s="1">
        <v>2453</v>
      </c>
      <c r="AT286" s="1">
        <v>2440</v>
      </c>
      <c r="AU286" s="1">
        <v>2366</v>
      </c>
      <c r="AV286" s="1">
        <v>2450</v>
      </c>
      <c r="AW286" s="1">
        <v>2475.5</v>
      </c>
      <c r="AX286" s="1">
        <v>2446</v>
      </c>
      <c r="AY286" s="1">
        <v>2482.5</v>
      </c>
      <c r="AZ286" s="1">
        <v>2480</v>
      </c>
      <c r="BA286" s="1">
        <v>2453</v>
      </c>
      <c r="BB286" s="1">
        <v>2460</v>
      </c>
      <c r="BC286" s="1">
        <v>2360</v>
      </c>
      <c r="BD286" s="1">
        <v>2417.5</v>
      </c>
      <c r="BE286" s="1">
        <v>2446</v>
      </c>
      <c r="BF286" s="1">
        <v>2346.5</v>
      </c>
      <c r="BG286" s="1">
        <v>2290.5</v>
      </c>
      <c r="BH286" s="1">
        <v>2279.5</v>
      </c>
      <c r="BI286" s="1">
        <v>2330</v>
      </c>
      <c r="BJ286" s="1">
        <v>2373.5</v>
      </c>
      <c r="BK286" s="1">
        <v>2371.5</v>
      </c>
      <c r="BL286" s="1">
        <v>2335</v>
      </c>
      <c r="BM286" s="1">
        <v>2371</v>
      </c>
      <c r="BN286" s="1">
        <v>2490</v>
      </c>
      <c r="BO286" s="1">
        <v>2440</v>
      </c>
      <c r="BP286" s="1">
        <v>2494</v>
      </c>
      <c r="BQ286" s="1">
        <v>2498</v>
      </c>
      <c r="BR286" s="1">
        <v>2530.5</v>
      </c>
      <c r="BS286" s="1">
        <v>2549</v>
      </c>
      <c r="BT286" s="1">
        <v>2576</v>
      </c>
      <c r="BU286" s="1">
        <v>2534.5</v>
      </c>
      <c r="BV286" s="1">
        <v>2556</v>
      </c>
      <c r="BW286" s="1">
        <v>2530</v>
      </c>
      <c r="BX286" s="1">
        <v>2538</v>
      </c>
      <c r="BY286" s="1">
        <v>2511</v>
      </c>
      <c r="BZ286" s="1">
        <v>2533.5</v>
      </c>
    </row>
    <row r="287" spans="1:78">
      <c r="A287" s="74" t="s">
        <v>500</v>
      </c>
      <c r="B287" s="1" t="str">
        <f>銘柄管理!C287</f>
        <v>サン電子</v>
      </c>
      <c r="C287" s="544">
        <f>_xll.RssMarket("6736","始値")</f>
        <v>10360</v>
      </c>
      <c r="E287" s="550">
        <v>9800</v>
      </c>
      <c r="F287" s="1">
        <v>9760</v>
      </c>
      <c r="G287" s="1">
        <v>9580</v>
      </c>
      <c r="H287" s="1">
        <v>9110</v>
      </c>
      <c r="I287" s="1">
        <v>9470</v>
      </c>
      <c r="J287" s="1">
        <v>9710</v>
      </c>
      <c r="K287" s="1">
        <v>9140</v>
      </c>
      <c r="L287" s="1">
        <v>9000</v>
      </c>
      <c r="M287" s="1">
        <v>8830</v>
      </c>
      <c r="N287" s="1">
        <v>9280</v>
      </c>
      <c r="O287" s="1">
        <v>9000</v>
      </c>
      <c r="P287" s="1">
        <v>9090</v>
      </c>
      <c r="Q287" s="1">
        <v>9200</v>
      </c>
      <c r="R287" s="1">
        <v>9550</v>
      </c>
      <c r="S287" s="1">
        <v>9960</v>
      </c>
      <c r="T287" s="1">
        <v>10850</v>
      </c>
      <c r="U287" s="1">
        <v>10610</v>
      </c>
      <c r="V287" s="1">
        <v>11040</v>
      </c>
      <c r="W287" s="1">
        <v>10950</v>
      </c>
      <c r="X287" s="1">
        <v>9390</v>
      </c>
      <c r="Y287" s="1">
        <v>9540</v>
      </c>
      <c r="Z287" s="1">
        <v>8800</v>
      </c>
      <c r="AA287" s="1">
        <v>8580</v>
      </c>
      <c r="AB287" s="1">
        <v>8820</v>
      </c>
      <c r="AC287" s="1">
        <v>9030</v>
      </c>
      <c r="AD287" s="1">
        <v>9000</v>
      </c>
      <c r="AE287" s="1">
        <v>8600</v>
      </c>
      <c r="AF287" s="1">
        <v>8820</v>
      </c>
      <c r="AG287" s="1">
        <v>9150</v>
      </c>
      <c r="AH287" s="1">
        <v>9100</v>
      </c>
      <c r="AI287" s="1">
        <v>9200</v>
      </c>
      <c r="AJ287" s="1">
        <v>9250</v>
      </c>
      <c r="AK287" s="1">
        <v>9250</v>
      </c>
      <c r="AL287" s="1">
        <v>9250</v>
      </c>
      <c r="AM287" s="1">
        <v>9170</v>
      </c>
      <c r="AN287" s="1">
        <v>8840</v>
      </c>
      <c r="AO287" s="1">
        <v>8880</v>
      </c>
      <c r="AP287" s="1">
        <v>8970</v>
      </c>
      <c r="AQ287" s="1">
        <v>8600</v>
      </c>
      <c r="AR287" s="1">
        <v>8670</v>
      </c>
      <c r="AS287" s="1">
        <v>9090</v>
      </c>
      <c r="AT287" s="1">
        <v>9250</v>
      </c>
      <c r="AU287" s="1">
        <v>9500</v>
      </c>
      <c r="AV287" s="1">
        <v>9230</v>
      </c>
      <c r="AW287" s="1">
        <v>9100</v>
      </c>
      <c r="AX287" s="1">
        <v>9320</v>
      </c>
      <c r="AY287" s="1">
        <v>9330</v>
      </c>
      <c r="AZ287" s="1">
        <v>9420</v>
      </c>
      <c r="BA287" s="1">
        <v>8850</v>
      </c>
      <c r="BB287" s="1">
        <v>8940</v>
      </c>
      <c r="BC287" s="1">
        <v>9680</v>
      </c>
      <c r="BD287" s="1">
        <v>9160</v>
      </c>
      <c r="BE287" s="1">
        <v>8760</v>
      </c>
      <c r="BF287" s="1">
        <v>8500</v>
      </c>
      <c r="BG287" s="1">
        <v>8480</v>
      </c>
      <c r="BH287" s="1">
        <v>8920</v>
      </c>
      <c r="BI287" s="1">
        <v>8890</v>
      </c>
      <c r="BJ287" s="1">
        <v>8700</v>
      </c>
      <c r="BK287" s="1">
        <v>8610</v>
      </c>
      <c r="BL287" s="1">
        <v>8520</v>
      </c>
      <c r="BM287" s="1">
        <v>8300</v>
      </c>
      <c r="BN287" s="1">
        <v>8190</v>
      </c>
      <c r="BO287" s="1">
        <v>8130</v>
      </c>
      <c r="BP287" s="1">
        <v>7980</v>
      </c>
      <c r="BQ287" s="1">
        <v>8240</v>
      </c>
      <c r="BR287" s="1">
        <v>7950</v>
      </c>
      <c r="BS287" s="1">
        <v>8040</v>
      </c>
      <c r="BT287" s="1">
        <v>8010</v>
      </c>
      <c r="BU287" s="1">
        <v>8160</v>
      </c>
      <c r="BV287" s="1">
        <v>7990</v>
      </c>
      <c r="BW287" s="1">
        <v>7320</v>
      </c>
      <c r="BX287" s="1">
        <v>7760</v>
      </c>
      <c r="BY287" s="1">
        <v>8110</v>
      </c>
      <c r="BZ287" s="1">
        <v>8850</v>
      </c>
    </row>
    <row r="288" spans="1:78">
      <c r="A288" s="74" t="s">
        <v>501</v>
      </c>
      <c r="B288" s="1" t="str">
        <f>銘柄管理!C288</f>
        <v>紀文食品</v>
      </c>
      <c r="C288" s="544">
        <f>_xll.RssMarket("2933","始値")</f>
        <v>1094</v>
      </c>
      <c r="E288" s="550">
        <v>1100</v>
      </c>
      <c r="F288" s="1">
        <v>1100</v>
      </c>
      <c r="G288" s="1">
        <v>1103</v>
      </c>
      <c r="H288" s="1">
        <v>1118</v>
      </c>
      <c r="I288" s="1">
        <v>1097</v>
      </c>
      <c r="J288" s="1">
        <v>1092</v>
      </c>
      <c r="K288" s="1">
        <v>1078</v>
      </c>
      <c r="M288" s="1">
        <v>1084</v>
      </c>
      <c r="N288" s="1">
        <v>1085</v>
      </c>
      <c r="O288" s="1">
        <v>1086</v>
      </c>
      <c r="P288" s="1">
        <v>1081</v>
      </c>
      <c r="Q288" s="1">
        <v>1081</v>
      </c>
      <c r="R288" s="1">
        <v>1083</v>
      </c>
      <c r="S288" s="1">
        <v>1081</v>
      </c>
      <c r="T288" s="1">
        <v>1075</v>
      </c>
      <c r="U288" s="1">
        <v>1080</v>
      </c>
      <c r="V288" s="1">
        <v>1082</v>
      </c>
      <c r="W288" s="1">
        <v>1066</v>
      </c>
      <c r="X288" s="1">
        <v>1065</v>
      </c>
      <c r="Y288" s="1">
        <v>1064</v>
      </c>
      <c r="Z288" s="1">
        <v>1067</v>
      </c>
      <c r="AA288" s="1">
        <v>1069</v>
      </c>
      <c r="AB288" s="1">
        <v>1065</v>
      </c>
      <c r="AC288" s="1">
        <v>1064</v>
      </c>
      <c r="AD288" s="1">
        <v>1065</v>
      </c>
      <c r="AE288" s="1">
        <v>1050</v>
      </c>
      <c r="AF288" s="1">
        <v>1060</v>
      </c>
      <c r="AG288" s="1">
        <v>1060</v>
      </c>
      <c r="AH288" s="1">
        <v>1065</v>
      </c>
      <c r="AI288" s="1">
        <v>1056</v>
      </c>
      <c r="AJ288" s="1">
        <v>1049</v>
      </c>
      <c r="AK288" s="1">
        <v>1050</v>
      </c>
      <c r="AL288" s="1">
        <v>1044</v>
      </c>
      <c r="AM288" s="1">
        <v>1045</v>
      </c>
      <c r="AN288" s="1">
        <v>1045</v>
      </c>
      <c r="AO288" s="1">
        <v>1048</v>
      </c>
      <c r="AP288" s="1">
        <v>1044</v>
      </c>
      <c r="AQ288" s="1">
        <v>1038</v>
      </c>
      <c r="AR288" s="1">
        <v>1028</v>
      </c>
      <c r="AS288" s="1">
        <v>1023</v>
      </c>
      <c r="AT288" s="1">
        <v>1017</v>
      </c>
      <c r="AU288" s="1">
        <v>1027</v>
      </c>
      <c r="AV288" s="1">
        <v>1043</v>
      </c>
      <c r="AW288" s="1">
        <v>1036</v>
      </c>
      <c r="AX288" s="1">
        <v>1035</v>
      </c>
      <c r="AY288" s="1">
        <v>1037</v>
      </c>
      <c r="AZ288" s="1">
        <v>1046</v>
      </c>
      <c r="BA288" s="1">
        <v>1048</v>
      </c>
      <c r="BB288" s="1">
        <v>1044</v>
      </c>
      <c r="BC288" s="1">
        <v>1043</v>
      </c>
      <c r="BD288" s="1">
        <v>1048</v>
      </c>
      <c r="BE288" s="1">
        <v>1030</v>
      </c>
      <c r="BF288" s="1">
        <v>1030</v>
      </c>
      <c r="BG288" s="1">
        <v>1033</v>
      </c>
      <c r="BH288" s="1">
        <v>1025</v>
      </c>
      <c r="BI288" s="1">
        <v>1025</v>
      </c>
      <c r="BJ288" s="1">
        <v>1032</v>
      </c>
      <c r="BK288" s="1">
        <v>1034</v>
      </c>
      <c r="BL288" s="1">
        <v>1041</v>
      </c>
      <c r="BM288" s="1">
        <v>1025</v>
      </c>
      <c r="BN288" s="1">
        <v>1025</v>
      </c>
      <c r="BO288" s="1">
        <v>1030</v>
      </c>
      <c r="BP288" s="1">
        <v>1044</v>
      </c>
      <c r="BQ288" s="1">
        <v>1040</v>
      </c>
      <c r="BR288" s="1">
        <v>1051</v>
      </c>
      <c r="BS288" s="1">
        <v>1065</v>
      </c>
      <c r="BT288" s="1">
        <v>1065</v>
      </c>
      <c r="BU288" s="1">
        <v>1061</v>
      </c>
      <c r="BV288" s="1">
        <v>1058</v>
      </c>
      <c r="BW288" s="1">
        <v>1051</v>
      </c>
      <c r="BX288" s="1">
        <v>1057</v>
      </c>
      <c r="BY288" s="1">
        <v>1058</v>
      </c>
      <c r="BZ288" s="1">
        <v>1064</v>
      </c>
    </row>
    <row r="289" spans="1:78">
      <c r="A289" s="74" t="s">
        <v>502</v>
      </c>
      <c r="B289" s="1" t="str">
        <f>銘柄管理!C289</f>
        <v>関東電化</v>
      </c>
      <c r="C289" s="544">
        <f>_xll.RssMarket("4047","始値")</f>
        <v>2932</v>
      </c>
      <c r="E289" s="550">
        <v>2790</v>
      </c>
      <c r="F289" s="1">
        <v>2656</v>
      </c>
      <c r="G289" s="1">
        <v>2676</v>
      </c>
      <c r="H289" s="1">
        <v>2451</v>
      </c>
      <c r="I289" s="1">
        <v>2568</v>
      </c>
      <c r="J289" s="1">
        <v>2643</v>
      </c>
      <c r="K289" s="1">
        <v>2824</v>
      </c>
      <c r="L289" s="1">
        <v>2889</v>
      </c>
      <c r="M289" s="1">
        <v>2923</v>
      </c>
      <c r="N289" s="1">
        <v>2884</v>
      </c>
      <c r="O289" s="1">
        <v>2723</v>
      </c>
      <c r="P289" s="1">
        <v>2802</v>
      </c>
      <c r="Q289" s="1">
        <v>3070</v>
      </c>
      <c r="R289" s="1">
        <v>2900</v>
      </c>
      <c r="S289" s="1">
        <v>3070</v>
      </c>
      <c r="T289" s="1">
        <v>3180</v>
      </c>
      <c r="U289" s="1">
        <v>3105</v>
      </c>
      <c r="V289" s="1">
        <v>3105</v>
      </c>
      <c r="W289" s="1">
        <v>3340</v>
      </c>
      <c r="X289" s="1">
        <v>3490</v>
      </c>
      <c r="Y289" s="1">
        <v>3275</v>
      </c>
      <c r="Z289" s="1">
        <v>3430</v>
      </c>
      <c r="AA289" s="1">
        <v>3620</v>
      </c>
      <c r="AB289" s="1">
        <v>3635</v>
      </c>
      <c r="AC289" s="1">
        <v>3705</v>
      </c>
      <c r="AD289" s="1">
        <v>3915</v>
      </c>
      <c r="AE289" s="1">
        <v>4035</v>
      </c>
      <c r="AF289" s="1">
        <v>3735</v>
      </c>
      <c r="AG289" s="1">
        <v>3895</v>
      </c>
      <c r="AH289" s="1">
        <v>4000</v>
      </c>
      <c r="AI289" s="1">
        <v>4000</v>
      </c>
      <c r="AJ289" s="1">
        <v>3900</v>
      </c>
      <c r="AK289" s="1">
        <v>3750</v>
      </c>
      <c r="AL289" s="1">
        <v>3745</v>
      </c>
      <c r="AM289" s="1">
        <v>4030</v>
      </c>
      <c r="AN289" s="1">
        <v>4090</v>
      </c>
      <c r="AO289" s="1">
        <v>3665</v>
      </c>
      <c r="AP289" s="1">
        <v>4050</v>
      </c>
      <c r="AQ289" s="1">
        <v>3675</v>
      </c>
      <c r="AR289" s="1">
        <v>4195</v>
      </c>
      <c r="AS289" s="1">
        <v>3705</v>
      </c>
      <c r="AT289" s="1">
        <v>3740</v>
      </c>
      <c r="AU289" s="1">
        <v>3440</v>
      </c>
      <c r="AV289" s="1">
        <v>3605</v>
      </c>
      <c r="AW289" s="1">
        <v>3260</v>
      </c>
      <c r="AX289" s="1">
        <v>3540</v>
      </c>
      <c r="AY289" s="1">
        <v>3135</v>
      </c>
      <c r="AZ289" s="1">
        <v>2894</v>
      </c>
      <c r="BA289" s="1">
        <v>2750</v>
      </c>
      <c r="BB289" s="1">
        <v>2677</v>
      </c>
      <c r="BC289" s="1">
        <v>2750</v>
      </c>
      <c r="BD289" s="1">
        <v>2550</v>
      </c>
      <c r="BE289" s="1">
        <v>2125</v>
      </c>
      <c r="BF289" s="1">
        <v>2133</v>
      </c>
      <c r="BG289" s="1">
        <v>1975</v>
      </c>
      <c r="BH289" s="1">
        <v>1964</v>
      </c>
      <c r="BI289" s="1">
        <v>1899</v>
      </c>
      <c r="BJ289" s="1">
        <v>1800</v>
      </c>
      <c r="BK289" s="1">
        <v>1802</v>
      </c>
      <c r="BL289" s="1">
        <v>1683</v>
      </c>
      <c r="BM289" s="1">
        <v>1660</v>
      </c>
      <c r="BN289" s="1">
        <v>1680</v>
      </c>
      <c r="BO289" s="1">
        <v>1660</v>
      </c>
      <c r="BP289" s="1">
        <v>1632</v>
      </c>
      <c r="BQ289" s="1">
        <v>1650</v>
      </c>
      <c r="BR289" s="1">
        <v>1671</v>
      </c>
      <c r="BS289" s="1">
        <v>1646</v>
      </c>
      <c r="BT289" s="1">
        <v>1625</v>
      </c>
      <c r="BU289" s="1">
        <v>1646</v>
      </c>
      <c r="BV289" s="1">
        <v>1654</v>
      </c>
      <c r="BW289" s="1">
        <v>1740</v>
      </c>
      <c r="BX289" s="1">
        <v>1666</v>
      </c>
      <c r="BY289" s="1">
        <v>1610</v>
      </c>
      <c r="BZ289" s="1">
        <v>1587</v>
      </c>
    </row>
    <row r="290" spans="1:78">
      <c r="A290" s="74" t="s">
        <v>503</v>
      </c>
      <c r="B290" s="1" t="str">
        <f>銘柄管理!C290</f>
        <v>ＹＵＳＨＩＮ</v>
      </c>
      <c r="C290" s="544">
        <f>_xll.RssMarket("6482","始値")</f>
        <v>682</v>
      </c>
      <c r="E290" s="550">
        <v>662</v>
      </c>
      <c r="F290" s="1">
        <v>668</v>
      </c>
      <c r="G290" s="1">
        <v>684</v>
      </c>
      <c r="H290" s="1">
        <v>660</v>
      </c>
      <c r="I290" s="1">
        <v>669</v>
      </c>
      <c r="J290" s="1">
        <v>686</v>
      </c>
      <c r="K290" s="1">
        <v>694</v>
      </c>
      <c r="L290" s="1">
        <v>691</v>
      </c>
      <c r="M290" s="1">
        <v>690</v>
      </c>
      <c r="N290" s="1">
        <v>695</v>
      </c>
      <c r="O290" s="1">
        <v>676</v>
      </c>
      <c r="P290" s="1">
        <v>671</v>
      </c>
      <c r="Q290" s="1">
        <v>665</v>
      </c>
      <c r="R290" s="1">
        <v>671</v>
      </c>
      <c r="S290" s="1">
        <v>683</v>
      </c>
      <c r="T290" s="1">
        <v>683</v>
      </c>
      <c r="U290" s="1">
        <v>687</v>
      </c>
      <c r="V290" s="1">
        <v>702</v>
      </c>
      <c r="W290" s="1">
        <v>700</v>
      </c>
      <c r="X290" s="1">
        <v>696</v>
      </c>
      <c r="Y290" s="1">
        <v>690</v>
      </c>
      <c r="Z290" s="1">
        <v>694</v>
      </c>
      <c r="AA290" s="1">
        <v>689</v>
      </c>
      <c r="AB290" s="1">
        <v>702</v>
      </c>
      <c r="AC290" s="1">
        <v>705</v>
      </c>
      <c r="AD290" s="1">
        <v>720</v>
      </c>
      <c r="AE290" s="1">
        <v>715</v>
      </c>
      <c r="AF290" s="1">
        <v>726</v>
      </c>
      <c r="AG290" s="1">
        <v>746</v>
      </c>
      <c r="AH290" s="1">
        <v>737</v>
      </c>
      <c r="AI290" s="1">
        <v>752</v>
      </c>
      <c r="AJ290" s="1">
        <v>771</v>
      </c>
      <c r="AK290" s="1">
        <v>714</v>
      </c>
      <c r="AL290" s="1">
        <v>697</v>
      </c>
      <c r="AM290" s="1">
        <v>687</v>
      </c>
      <c r="AN290" s="1">
        <v>677</v>
      </c>
      <c r="AO290" s="1">
        <v>667</v>
      </c>
      <c r="AP290" s="1">
        <v>680</v>
      </c>
      <c r="AQ290" s="1">
        <v>667</v>
      </c>
      <c r="AR290" s="1">
        <v>671</v>
      </c>
      <c r="AS290" s="1">
        <v>653</v>
      </c>
      <c r="AT290" s="1">
        <v>638</v>
      </c>
      <c r="AU290" s="1">
        <v>658</v>
      </c>
      <c r="AV290" s="1">
        <v>672</v>
      </c>
      <c r="AW290" s="1">
        <v>664</v>
      </c>
      <c r="AX290" s="1">
        <v>666</v>
      </c>
      <c r="AY290" s="1">
        <v>722</v>
      </c>
      <c r="AZ290" s="1">
        <v>703</v>
      </c>
      <c r="BA290" s="1">
        <v>714</v>
      </c>
      <c r="BB290" s="1">
        <v>708</v>
      </c>
      <c r="BC290" s="1">
        <v>720</v>
      </c>
      <c r="BD290" s="1">
        <v>730</v>
      </c>
      <c r="BE290" s="1">
        <v>755</v>
      </c>
      <c r="BF290" s="1">
        <v>725</v>
      </c>
      <c r="BG290" s="1">
        <v>724</v>
      </c>
      <c r="BH290" s="1">
        <v>713</v>
      </c>
      <c r="BI290" s="1">
        <v>693</v>
      </c>
      <c r="BJ290" s="1">
        <v>680</v>
      </c>
      <c r="BK290" s="1">
        <v>685</v>
      </c>
      <c r="BL290" s="1">
        <v>664</v>
      </c>
      <c r="BM290" s="1">
        <v>659</v>
      </c>
      <c r="BN290" s="1">
        <v>662</v>
      </c>
      <c r="BO290" s="1">
        <v>656</v>
      </c>
      <c r="BP290" s="1">
        <v>667</v>
      </c>
      <c r="BQ290" s="1">
        <v>670</v>
      </c>
      <c r="BR290" s="1">
        <v>675</v>
      </c>
      <c r="BS290" s="1">
        <v>678</v>
      </c>
      <c r="BT290" s="1">
        <v>673</v>
      </c>
      <c r="BU290" s="1">
        <v>678</v>
      </c>
      <c r="BV290" s="1">
        <v>685</v>
      </c>
      <c r="BW290" s="1">
        <v>689</v>
      </c>
      <c r="BX290" s="1">
        <v>678</v>
      </c>
      <c r="BY290" s="1">
        <v>679</v>
      </c>
      <c r="BZ290" s="1">
        <v>686</v>
      </c>
    </row>
    <row r="291" spans="1:78">
      <c r="A291" s="74" t="s">
        <v>504</v>
      </c>
      <c r="B291" s="1" t="str">
        <f>銘柄管理!C291</f>
        <v>電気興業</v>
      </c>
      <c r="C291" s="544">
        <f>_xll.RssMarket("6706","始値")</f>
        <v>3095</v>
      </c>
      <c r="E291" s="550">
        <v>3065</v>
      </c>
      <c r="F291" s="1">
        <v>3050</v>
      </c>
      <c r="G291" s="1">
        <v>3100</v>
      </c>
      <c r="H291" s="1">
        <v>2963</v>
      </c>
      <c r="I291" s="1">
        <v>2982</v>
      </c>
      <c r="J291" s="1">
        <v>3010</v>
      </c>
      <c r="K291" s="1">
        <v>2976</v>
      </c>
      <c r="M291" s="1">
        <v>3005</v>
      </c>
      <c r="N291" s="1">
        <v>2950</v>
      </c>
      <c r="O291" s="1">
        <v>2925</v>
      </c>
      <c r="P291" s="1">
        <v>2950</v>
      </c>
      <c r="Q291" s="1">
        <v>3000</v>
      </c>
      <c r="R291" s="1">
        <v>2988</v>
      </c>
      <c r="S291" s="1">
        <v>3055</v>
      </c>
      <c r="T291" s="1">
        <v>3080</v>
      </c>
      <c r="U291" s="1">
        <v>2980</v>
      </c>
      <c r="V291" s="1">
        <v>2999</v>
      </c>
      <c r="W291" s="1">
        <v>3000</v>
      </c>
      <c r="X291" s="1">
        <v>3045</v>
      </c>
      <c r="Y291" s="1">
        <v>3045</v>
      </c>
      <c r="Z291" s="1">
        <v>3070</v>
      </c>
      <c r="AA291" s="1">
        <v>3020</v>
      </c>
      <c r="AB291" s="1">
        <v>3160</v>
      </c>
      <c r="AC291" s="1">
        <v>3085</v>
      </c>
      <c r="AD291" s="1">
        <v>3100</v>
      </c>
      <c r="AE291" s="1">
        <v>3155</v>
      </c>
      <c r="AF291" s="1">
        <v>3105</v>
      </c>
      <c r="AG291" s="1">
        <v>3180</v>
      </c>
      <c r="AH291" s="1">
        <v>3205</v>
      </c>
      <c r="AI291" s="1">
        <v>3210</v>
      </c>
      <c r="AJ291" s="1">
        <v>3180</v>
      </c>
      <c r="AK291" s="1">
        <v>3160</v>
      </c>
      <c r="AL291" s="1">
        <v>3275</v>
      </c>
      <c r="AM291" s="1">
        <v>3250</v>
      </c>
      <c r="AN291" s="1">
        <v>3200</v>
      </c>
      <c r="AO291" s="1">
        <v>3290</v>
      </c>
      <c r="AP291" s="1">
        <v>3350</v>
      </c>
      <c r="AQ291" s="1">
        <v>3360</v>
      </c>
      <c r="AR291" s="1">
        <v>3455</v>
      </c>
      <c r="AS291" s="1">
        <v>3470</v>
      </c>
      <c r="AT291" s="1">
        <v>3485</v>
      </c>
      <c r="AU291" s="1">
        <v>3515</v>
      </c>
      <c r="AV291" s="1">
        <v>3525</v>
      </c>
      <c r="AW291" s="1">
        <v>3435</v>
      </c>
      <c r="AX291" s="1">
        <v>3495</v>
      </c>
      <c r="AY291" s="1">
        <v>3455</v>
      </c>
      <c r="AZ291" s="1">
        <v>3430</v>
      </c>
      <c r="BA291" s="1">
        <v>3440</v>
      </c>
      <c r="BB291" s="1">
        <v>3430</v>
      </c>
      <c r="BC291" s="1">
        <v>3490</v>
      </c>
      <c r="BD291" s="1">
        <v>3390</v>
      </c>
      <c r="BE291" s="1">
        <v>3500</v>
      </c>
      <c r="BF291" s="1">
        <v>3485</v>
      </c>
      <c r="BG291" s="1">
        <v>3500</v>
      </c>
      <c r="BH291" s="1">
        <v>3495</v>
      </c>
      <c r="BI291" s="1">
        <v>3455</v>
      </c>
      <c r="BJ291" s="1">
        <v>3390</v>
      </c>
      <c r="BK291" s="1">
        <v>3380</v>
      </c>
      <c r="BL291" s="1">
        <v>3305</v>
      </c>
      <c r="BM291" s="1">
        <v>3280</v>
      </c>
      <c r="BN291" s="1">
        <v>3295</v>
      </c>
      <c r="BO291" s="1">
        <v>3325</v>
      </c>
      <c r="BP291" s="1">
        <v>3325</v>
      </c>
      <c r="BQ291" s="1">
        <v>3275</v>
      </c>
      <c r="BR291" s="1">
        <v>3275</v>
      </c>
      <c r="BS291" s="1">
        <v>3300</v>
      </c>
      <c r="BT291" s="1">
        <v>3275</v>
      </c>
      <c r="BU291" s="1">
        <v>3285</v>
      </c>
      <c r="BV291" s="1">
        <v>3305</v>
      </c>
      <c r="BW291" s="1">
        <v>3250</v>
      </c>
      <c r="BX291" s="1">
        <v>3200</v>
      </c>
      <c r="BY291" s="1">
        <v>3080</v>
      </c>
      <c r="BZ291" s="1">
        <v>3095</v>
      </c>
    </row>
    <row r="292" spans="1:78">
      <c r="A292" s="74" t="s">
        <v>505</v>
      </c>
      <c r="B292" s="1" t="str">
        <f>銘柄管理!C292</f>
        <v>新光商事</v>
      </c>
      <c r="C292" s="544">
        <f>_xll.RssMarket("8141","始値")</f>
        <v>1566</v>
      </c>
      <c r="E292" s="550">
        <v>1567</v>
      </c>
      <c r="F292" s="1">
        <v>1556</v>
      </c>
      <c r="G292" s="1">
        <v>1549</v>
      </c>
      <c r="H292" s="1">
        <v>1569</v>
      </c>
      <c r="I292" s="1">
        <v>1580</v>
      </c>
      <c r="J292" s="1">
        <v>1579</v>
      </c>
      <c r="K292" s="1">
        <v>1585</v>
      </c>
      <c r="M292" s="1">
        <v>1589</v>
      </c>
      <c r="N292" s="1">
        <v>1579</v>
      </c>
      <c r="O292" s="1">
        <v>1598</v>
      </c>
      <c r="P292" s="1">
        <v>1601</v>
      </c>
      <c r="Q292" s="1">
        <v>1597</v>
      </c>
      <c r="R292" s="1">
        <v>1590</v>
      </c>
      <c r="S292" s="1">
        <v>1589</v>
      </c>
      <c r="T292" s="1">
        <v>1584</v>
      </c>
      <c r="U292" s="1">
        <v>1590</v>
      </c>
      <c r="V292" s="1">
        <v>1588</v>
      </c>
      <c r="W292" s="1">
        <v>1589</v>
      </c>
      <c r="X292" s="1">
        <v>1587</v>
      </c>
      <c r="Y292" s="1">
        <v>1588</v>
      </c>
      <c r="Z292" s="1">
        <v>1588</v>
      </c>
      <c r="AA292" s="1">
        <v>1588</v>
      </c>
      <c r="AB292" s="1">
        <v>1586</v>
      </c>
      <c r="AC292" s="1">
        <v>1580</v>
      </c>
      <c r="AD292" s="1">
        <v>1570</v>
      </c>
      <c r="AE292" s="1">
        <v>1566</v>
      </c>
      <c r="AF292" s="1">
        <v>1577</v>
      </c>
      <c r="AG292" s="1">
        <v>1586</v>
      </c>
      <c r="AH292" s="1">
        <v>1581</v>
      </c>
      <c r="AI292" s="1">
        <v>1583</v>
      </c>
      <c r="AJ292" s="1">
        <v>1582</v>
      </c>
      <c r="AK292" s="1">
        <v>1581</v>
      </c>
      <c r="AL292" s="1">
        <v>1579</v>
      </c>
      <c r="AM292" s="1">
        <v>1580</v>
      </c>
      <c r="AN292" s="1">
        <v>1583</v>
      </c>
      <c r="AO292" s="1">
        <v>1578</v>
      </c>
      <c r="AP292" s="1">
        <v>1581</v>
      </c>
      <c r="AQ292" s="1">
        <v>1581</v>
      </c>
      <c r="AR292" s="1">
        <v>1585</v>
      </c>
      <c r="AS292" s="1">
        <v>1580</v>
      </c>
      <c r="AT292" s="1">
        <v>1578</v>
      </c>
      <c r="AU292" s="1">
        <v>1576</v>
      </c>
      <c r="AV292" s="1">
        <v>1577</v>
      </c>
      <c r="AW292" s="1">
        <v>1583</v>
      </c>
      <c r="AX292" s="1">
        <v>1600</v>
      </c>
      <c r="AY292" s="1">
        <v>1600</v>
      </c>
      <c r="AZ292" s="1">
        <v>1610</v>
      </c>
      <c r="BA292" s="1">
        <v>1603</v>
      </c>
      <c r="BB292" s="1">
        <v>1604</v>
      </c>
      <c r="BC292" s="1">
        <v>1604</v>
      </c>
      <c r="BD292" s="1">
        <v>1611</v>
      </c>
      <c r="BE292" s="1">
        <v>1537</v>
      </c>
      <c r="BF292" s="1">
        <v>1576</v>
      </c>
      <c r="BG292" s="1">
        <v>1618</v>
      </c>
      <c r="BH292" s="1">
        <v>1660</v>
      </c>
      <c r="BI292" s="1">
        <v>1732</v>
      </c>
      <c r="BJ292" s="1">
        <v>1710</v>
      </c>
      <c r="BK292" s="1">
        <v>1686</v>
      </c>
      <c r="BL292" s="1">
        <v>1615</v>
      </c>
      <c r="BM292" s="1">
        <v>1605</v>
      </c>
      <c r="BN292" s="1">
        <v>1558</v>
      </c>
      <c r="BO292" s="1">
        <v>1538</v>
      </c>
      <c r="BP292" s="1">
        <v>1529</v>
      </c>
      <c r="BQ292" s="1">
        <v>1599</v>
      </c>
      <c r="BR292" s="1">
        <v>1556</v>
      </c>
      <c r="BS292" s="1">
        <v>1554</v>
      </c>
      <c r="BT292" s="1">
        <v>1500</v>
      </c>
      <c r="BU292" s="1">
        <v>1465</v>
      </c>
      <c r="BV292" s="1">
        <v>1443</v>
      </c>
      <c r="BW292" s="1">
        <v>1368</v>
      </c>
      <c r="BX292" s="1">
        <v>1470</v>
      </c>
      <c r="BY292" s="1">
        <v>1433</v>
      </c>
      <c r="BZ292" s="1">
        <v>1410</v>
      </c>
    </row>
    <row r="293" spans="1:78">
      <c r="A293" s="74" t="s">
        <v>506</v>
      </c>
      <c r="B293" s="1" t="str">
        <f>銘柄管理!C293</f>
        <v>山形銀行</v>
      </c>
      <c r="C293" s="544">
        <f>_xll.RssMarket("8344","始値")</f>
        <v>3935</v>
      </c>
      <c r="E293" s="550">
        <v>3640</v>
      </c>
      <c r="F293" s="1">
        <v>3740</v>
      </c>
      <c r="G293" s="1">
        <v>3770</v>
      </c>
      <c r="H293" s="1">
        <v>3775</v>
      </c>
      <c r="I293" s="1">
        <v>4015</v>
      </c>
      <c r="J293" s="1">
        <v>4150</v>
      </c>
      <c r="K293" s="1">
        <v>4055</v>
      </c>
      <c r="L293" s="1">
        <v>3820</v>
      </c>
      <c r="M293" s="1">
        <v>3875</v>
      </c>
      <c r="N293" s="1">
        <v>3800</v>
      </c>
      <c r="O293" s="1">
        <v>3685</v>
      </c>
      <c r="P293" s="1">
        <v>3870</v>
      </c>
      <c r="Q293" s="1">
        <v>3790</v>
      </c>
      <c r="R293" s="1">
        <v>3700</v>
      </c>
      <c r="S293" s="1">
        <v>3730</v>
      </c>
      <c r="T293" s="1">
        <v>3825</v>
      </c>
      <c r="U293" s="1">
        <v>3850</v>
      </c>
      <c r="V293" s="1">
        <v>3875</v>
      </c>
      <c r="W293" s="1">
        <v>4070</v>
      </c>
      <c r="X293" s="1">
        <v>3965</v>
      </c>
      <c r="Y293" s="1">
        <v>3840</v>
      </c>
      <c r="Z293" s="1">
        <v>3670</v>
      </c>
      <c r="AA293" s="1">
        <v>3525</v>
      </c>
      <c r="AB293" s="1">
        <v>3495</v>
      </c>
      <c r="AC293" s="1">
        <v>3385</v>
      </c>
      <c r="AD293" s="1">
        <v>3315</v>
      </c>
      <c r="AE293" s="1">
        <v>3320</v>
      </c>
      <c r="AF293" s="1">
        <v>3315</v>
      </c>
      <c r="AG293" s="1">
        <v>3425</v>
      </c>
      <c r="AH293" s="1">
        <v>3350</v>
      </c>
      <c r="AI293" s="1">
        <v>3470</v>
      </c>
      <c r="AJ293" s="1">
        <v>3535</v>
      </c>
      <c r="AK293" s="1">
        <v>3580</v>
      </c>
      <c r="AL293" s="1">
        <v>3545</v>
      </c>
      <c r="AM293" s="1">
        <v>3550</v>
      </c>
      <c r="AN293" s="1">
        <v>3405</v>
      </c>
      <c r="AO293" s="1">
        <v>3350</v>
      </c>
      <c r="AP293" s="1">
        <v>3200</v>
      </c>
      <c r="AQ293" s="1">
        <v>2982</v>
      </c>
      <c r="AR293" s="1">
        <v>3075</v>
      </c>
      <c r="AS293" s="1">
        <v>2963</v>
      </c>
      <c r="AT293" s="1">
        <v>3055</v>
      </c>
      <c r="AU293" s="1">
        <v>3020</v>
      </c>
      <c r="AV293" s="1">
        <v>3125</v>
      </c>
      <c r="AW293" s="1">
        <v>3080</v>
      </c>
      <c r="AX293" s="1">
        <v>3070</v>
      </c>
      <c r="AY293" s="1">
        <v>3025</v>
      </c>
      <c r="AZ293" s="1">
        <v>3080</v>
      </c>
      <c r="BA293" s="1">
        <v>3050</v>
      </c>
      <c r="BB293" s="1">
        <v>2955</v>
      </c>
      <c r="BC293" s="1">
        <v>2904</v>
      </c>
      <c r="BD293" s="1">
        <v>2755</v>
      </c>
      <c r="BE293" s="1">
        <v>2650</v>
      </c>
      <c r="BF293" s="1">
        <v>2615</v>
      </c>
      <c r="BG293" s="1">
        <v>2543</v>
      </c>
      <c r="BH293" s="1">
        <v>2576</v>
      </c>
      <c r="BI293" s="1">
        <v>2514</v>
      </c>
      <c r="BJ293" s="1">
        <v>2558</v>
      </c>
      <c r="BK293" s="1">
        <v>2603</v>
      </c>
      <c r="BL293" s="1">
        <v>2537</v>
      </c>
      <c r="BM293" s="1">
        <v>2485</v>
      </c>
      <c r="BN293" s="1">
        <v>2417</v>
      </c>
      <c r="BO293" s="1">
        <v>2391</v>
      </c>
      <c r="BP293" s="1">
        <v>2476</v>
      </c>
      <c r="BQ293" s="1">
        <v>2513</v>
      </c>
      <c r="BR293" s="1">
        <v>2611</v>
      </c>
      <c r="BS293" s="1">
        <v>2733</v>
      </c>
      <c r="BT293" s="1">
        <v>2794</v>
      </c>
      <c r="BU293" s="1">
        <v>2789</v>
      </c>
      <c r="BV293" s="1">
        <v>2752</v>
      </c>
      <c r="BW293" s="1">
        <v>2720</v>
      </c>
      <c r="BX293" s="1">
        <v>2702</v>
      </c>
      <c r="BY293" s="1">
        <v>2628</v>
      </c>
      <c r="BZ293" s="1">
        <v>2700</v>
      </c>
    </row>
    <row r="294" spans="1:78">
      <c r="A294" s="74" t="s">
        <v>507</v>
      </c>
      <c r="B294" s="1" t="str">
        <f>銘柄管理!C294</f>
        <v>小野建</v>
      </c>
      <c r="C294" s="544">
        <f>_xll.RssMarket("7414","始値")</f>
        <v>1414</v>
      </c>
      <c r="E294" s="550">
        <v>1423</v>
      </c>
      <c r="F294" s="1">
        <v>1433</v>
      </c>
      <c r="G294" s="1">
        <v>1463</v>
      </c>
      <c r="H294" s="1">
        <v>1460</v>
      </c>
      <c r="I294" s="1">
        <v>1450</v>
      </c>
      <c r="J294" s="1">
        <v>1446</v>
      </c>
      <c r="K294" s="1">
        <v>1447</v>
      </c>
      <c r="M294" s="1">
        <v>1430</v>
      </c>
      <c r="N294" s="1">
        <v>1417</v>
      </c>
      <c r="O294" s="1">
        <v>1405</v>
      </c>
      <c r="P294" s="1">
        <v>1418</v>
      </c>
      <c r="Q294" s="1">
        <v>1390</v>
      </c>
      <c r="R294" s="1">
        <v>1390</v>
      </c>
      <c r="S294" s="1">
        <v>1390</v>
      </c>
      <c r="T294" s="1">
        <v>1382</v>
      </c>
      <c r="U294" s="1">
        <v>1380</v>
      </c>
      <c r="V294" s="1">
        <v>1373</v>
      </c>
      <c r="W294" s="1">
        <v>1372</v>
      </c>
      <c r="X294" s="1">
        <v>1361</v>
      </c>
      <c r="Y294" s="1">
        <v>1342</v>
      </c>
      <c r="Z294" s="1">
        <v>1329</v>
      </c>
      <c r="AA294" s="1">
        <v>1337</v>
      </c>
      <c r="AB294" s="1">
        <v>1341</v>
      </c>
      <c r="AC294" s="1">
        <v>1330</v>
      </c>
      <c r="AD294" s="1">
        <v>1329</v>
      </c>
      <c r="AE294" s="1">
        <v>1324</v>
      </c>
      <c r="AF294" s="1">
        <v>1324</v>
      </c>
      <c r="AG294" s="1">
        <v>1331</v>
      </c>
      <c r="AH294" s="1">
        <v>1319</v>
      </c>
      <c r="AI294" s="1">
        <v>1331</v>
      </c>
      <c r="AJ294" s="1">
        <v>1330</v>
      </c>
      <c r="AK294" s="1">
        <v>1330</v>
      </c>
      <c r="AL294" s="1">
        <v>1320</v>
      </c>
      <c r="AM294" s="1">
        <v>1325</v>
      </c>
      <c r="AN294" s="1">
        <v>1314</v>
      </c>
      <c r="AO294" s="1">
        <v>1311</v>
      </c>
      <c r="AP294" s="1">
        <v>1303</v>
      </c>
      <c r="AQ294" s="1">
        <v>1325</v>
      </c>
      <c r="AR294" s="1">
        <v>1319</v>
      </c>
      <c r="AS294" s="1">
        <v>1310</v>
      </c>
      <c r="AT294" s="1">
        <v>1299</v>
      </c>
      <c r="AU294" s="1">
        <v>1312</v>
      </c>
      <c r="AV294" s="1">
        <v>1345</v>
      </c>
      <c r="AW294" s="1">
        <v>1340</v>
      </c>
      <c r="AX294" s="1">
        <v>1333</v>
      </c>
      <c r="AY294" s="1">
        <v>1325</v>
      </c>
      <c r="AZ294" s="1">
        <v>1330</v>
      </c>
      <c r="BA294" s="1">
        <v>1330</v>
      </c>
      <c r="BB294" s="1">
        <v>1349</v>
      </c>
      <c r="BC294" s="1">
        <v>1348</v>
      </c>
      <c r="BD294" s="1">
        <v>1377</v>
      </c>
      <c r="BE294" s="1">
        <v>1444</v>
      </c>
      <c r="BF294" s="1">
        <v>1446</v>
      </c>
      <c r="BG294" s="1">
        <v>1440</v>
      </c>
      <c r="BH294" s="1">
        <v>1435</v>
      </c>
      <c r="BI294" s="1">
        <v>1423</v>
      </c>
      <c r="BJ294" s="1">
        <v>1442</v>
      </c>
      <c r="BK294" s="1">
        <v>1415</v>
      </c>
      <c r="BL294" s="1">
        <v>1394</v>
      </c>
      <c r="BM294" s="1">
        <v>1394</v>
      </c>
      <c r="BN294" s="1">
        <v>1380</v>
      </c>
      <c r="BO294" s="1">
        <v>1387</v>
      </c>
      <c r="BP294" s="1">
        <v>1374</v>
      </c>
      <c r="BQ294" s="1">
        <v>1385</v>
      </c>
      <c r="BR294" s="1">
        <v>1395</v>
      </c>
      <c r="BS294" s="1">
        <v>1410</v>
      </c>
      <c r="BT294" s="1">
        <v>1403</v>
      </c>
      <c r="BU294" s="1">
        <v>1400</v>
      </c>
      <c r="BV294" s="1">
        <v>1414</v>
      </c>
      <c r="BW294" s="1">
        <v>1415</v>
      </c>
      <c r="BX294" s="1">
        <v>1418</v>
      </c>
      <c r="BY294" s="1">
        <v>1412</v>
      </c>
      <c r="BZ294" s="1">
        <v>1421</v>
      </c>
    </row>
    <row r="295" spans="1:78">
      <c r="A295" s="74" t="s">
        <v>508</v>
      </c>
      <c r="B295" s="1" t="str">
        <f>銘柄管理!C295</f>
        <v>ＣＫＤ</v>
      </c>
      <c r="C295" s="544">
        <f>_xll.RssMarket("6407","始値")</f>
        <v>6530</v>
      </c>
      <c r="E295" s="550">
        <v>5940</v>
      </c>
      <c r="F295" s="1">
        <v>5700</v>
      </c>
      <c r="G295" s="1">
        <v>6000</v>
      </c>
      <c r="H295" s="1">
        <v>5030</v>
      </c>
      <c r="I295" s="1">
        <v>5560</v>
      </c>
      <c r="J295" s="1">
        <v>6140</v>
      </c>
      <c r="K295" s="1">
        <v>6310</v>
      </c>
      <c r="M295" s="1">
        <v>6750</v>
      </c>
      <c r="N295" s="1">
        <v>6770</v>
      </c>
      <c r="O295" s="1">
        <v>6380</v>
      </c>
      <c r="P295" s="1">
        <v>6410</v>
      </c>
      <c r="Q295" s="1">
        <v>6830</v>
      </c>
      <c r="R295" s="1">
        <v>6750</v>
      </c>
      <c r="S295" s="1">
        <v>7140</v>
      </c>
      <c r="T295" s="1">
        <v>6960</v>
      </c>
      <c r="U295" s="1">
        <v>6880</v>
      </c>
      <c r="V295" s="1">
        <v>6680</v>
      </c>
      <c r="W295" s="1">
        <v>7330</v>
      </c>
      <c r="X295" s="1">
        <v>7600</v>
      </c>
      <c r="Y295" s="1">
        <v>6860</v>
      </c>
      <c r="Z295" s="1">
        <v>7400</v>
      </c>
      <c r="AA295" s="1">
        <v>7720</v>
      </c>
      <c r="AB295" s="1">
        <v>7590</v>
      </c>
      <c r="AC295" s="1">
        <v>7420</v>
      </c>
      <c r="AD295" s="1">
        <v>7690</v>
      </c>
      <c r="AE295" s="1">
        <v>8050</v>
      </c>
      <c r="AF295" s="1">
        <v>7460</v>
      </c>
      <c r="AG295" s="1">
        <v>8230</v>
      </c>
      <c r="AH295" s="1">
        <v>7870</v>
      </c>
      <c r="AI295" s="1">
        <v>8010</v>
      </c>
      <c r="AJ295" s="1">
        <v>7730</v>
      </c>
      <c r="AK295" s="1">
        <v>7400</v>
      </c>
      <c r="AL295" s="1">
        <v>7470</v>
      </c>
      <c r="AM295" s="1">
        <v>7190</v>
      </c>
      <c r="AN295" s="1">
        <v>6540</v>
      </c>
      <c r="AO295" s="1">
        <v>5890</v>
      </c>
      <c r="AP295" s="1">
        <v>6080</v>
      </c>
      <c r="AQ295" s="1">
        <v>5680</v>
      </c>
      <c r="AR295" s="1">
        <v>6300</v>
      </c>
      <c r="AS295" s="1">
        <v>6460</v>
      </c>
      <c r="AT295" s="1">
        <v>6410</v>
      </c>
      <c r="AU295" s="1">
        <v>6320</v>
      </c>
      <c r="AV295" s="1">
        <v>6730</v>
      </c>
      <c r="AW295" s="1">
        <v>6460</v>
      </c>
      <c r="AX295" s="1">
        <v>6990</v>
      </c>
      <c r="AY295" s="1">
        <v>6740</v>
      </c>
      <c r="AZ295" s="1">
        <v>6960</v>
      </c>
      <c r="BA295" s="1">
        <v>6020</v>
      </c>
      <c r="BB295" s="1">
        <v>6000</v>
      </c>
      <c r="BC295" s="1">
        <v>6030</v>
      </c>
      <c r="BD295" s="1">
        <v>6120</v>
      </c>
      <c r="BE295" s="1">
        <v>7300</v>
      </c>
      <c r="BF295" s="1">
        <v>6970</v>
      </c>
      <c r="BG295" s="1">
        <v>6770</v>
      </c>
      <c r="BH295" s="1">
        <v>6880</v>
      </c>
      <c r="BI295" s="1">
        <v>6770</v>
      </c>
      <c r="BJ295" s="1">
        <v>6270</v>
      </c>
      <c r="BK295" s="1">
        <v>6830</v>
      </c>
      <c r="BL295" s="1">
        <v>6040</v>
      </c>
      <c r="BM295" s="1">
        <v>5870</v>
      </c>
      <c r="BN295" s="1">
        <v>5790</v>
      </c>
      <c r="BO295" s="1">
        <v>5500</v>
      </c>
      <c r="BP295" s="1">
        <v>5450</v>
      </c>
      <c r="BQ295" s="1">
        <v>5750</v>
      </c>
      <c r="BR295" s="1">
        <v>5710</v>
      </c>
      <c r="BS295" s="1">
        <v>5660</v>
      </c>
      <c r="BT295" s="1">
        <v>5610</v>
      </c>
      <c r="BU295" s="1">
        <v>5670</v>
      </c>
      <c r="BV295" s="1">
        <v>5550</v>
      </c>
      <c r="BW295" s="1">
        <v>5830</v>
      </c>
      <c r="BX295" s="1">
        <v>5750</v>
      </c>
      <c r="BY295" s="1">
        <v>5540</v>
      </c>
      <c r="BZ295" s="1">
        <v>5420</v>
      </c>
    </row>
    <row r="296" spans="1:78">
      <c r="A296" s="74" t="s">
        <v>509</v>
      </c>
      <c r="B296" s="1" t="str">
        <f>銘柄管理!C296</f>
        <v>ベルトラ</v>
      </c>
      <c r="C296" s="544">
        <f>_xll.RssMarket("7048","始値")</f>
        <v>156</v>
      </c>
      <c r="E296" s="550">
        <v>158</v>
      </c>
      <c r="F296" s="1">
        <v>158</v>
      </c>
      <c r="G296" s="1">
        <v>158</v>
      </c>
      <c r="H296" s="1">
        <v>155</v>
      </c>
      <c r="I296" s="1">
        <v>156</v>
      </c>
      <c r="J296" s="1">
        <v>159</v>
      </c>
      <c r="K296" s="1">
        <v>157</v>
      </c>
      <c r="M296" s="1">
        <v>160</v>
      </c>
      <c r="N296" s="1">
        <v>166</v>
      </c>
      <c r="O296" s="1">
        <v>180</v>
      </c>
      <c r="P296" s="1">
        <v>180</v>
      </c>
      <c r="Q296" s="1">
        <v>179</v>
      </c>
      <c r="R296" s="1">
        <v>171</v>
      </c>
      <c r="S296" s="1">
        <v>174</v>
      </c>
      <c r="T296" s="1">
        <v>165</v>
      </c>
      <c r="U296" s="1">
        <v>163</v>
      </c>
      <c r="V296" s="1">
        <v>161</v>
      </c>
      <c r="W296" s="1">
        <v>168</v>
      </c>
      <c r="X296" s="1">
        <v>172</v>
      </c>
      <c r="Y296" s="1">
        <v>170</v>
      </c>
      <c r="Z296" s="1">
        <v>163</v>
      </c>
      <c r="AA296" s="1">
        <v>164</v>
      </c>
      <c r="AB296" s="1">
        <v>168</v>
      </c>
      <c r="AC296" s="1">
        <v>163</v>
      </c>
      <c r="AD296" s="1">
        <v>165</v>
      </c>
      <c r="AE296" s="1">
        <v>173</v>
      </c>
      <c r="AF296" s="1">
        <v>193</v>
      </c>
      <c r="AG296" s="1">
        <v>176</v>
      </c>
      <c r="AH296" s="1">
        <v>154</v>
      </c>
      <c r="AI296" s="1">
        <v>160</v>
      </c>
      <c r="AJ296" s="1">
        <v>131</v>
      </c>
      <c r="AK296" s="1">
        <v>124</v>
      </c>
      <c r="AL296" s="1">
        <v>127</v>
      </c>
      <c r="AM296" s="1">
        <v>121</v>
      </c>
      <c r="AN296" s="1">
        <v>116</v>
      </c>
      <c r="AO296" s="1">
        <v>120</v>
      </c>
      <c r="AP296" s="1">
        <v>122</v>
      </c>
      <c r="AQ296" s="1">
        <v>128</v>
      </c>
      <c r="AR296" s="1">
        <v>133</v>
      </c>
      <c r="AS296" s="1">
        <v>127</v>
      </c>
      <c r="AT296" s="1">
        <v>130</v>
      </c>
      <c r="AU296" s="1">
        <v>129</v>
      </c>
      <c r="AV296" s="1">
        <v>130</v>
      </c>
      <c r="AW296" s="1">
        <v>133</v>
      </c>
      <c r="AX296" s="1">
        <v>136</v>
      </c>
      <c r="AY296" s="1">
        <v>143</v>
      </c>
      <c r="AZ296" s="1">
        <v>142</v>
      </c>
      <c r="BA296" s="1">
        <v>144</v>
      </c>
      <c r="BB296" s="1">
        <v>147</v>
      </c>
      <c r="BC296" s="1">
        <v>145</v>
      </c>
      <c r="BD296" s="1">
        <v>145</v>
      </c>
      <c r="BE296" s="1">
        <v>154</v>
      </c>
      <c r="BF296" s="1">
        <v>161</v>
      </c>
      <c r="BG296" s="1">
        <v>164</v>
      </c>
      <c r="BH296" s="1">
        <v>162</v>
      </c>
      <c r="BI296" s="1">
        <v>165</v>
      </c>
      <c r="BJ296" s="1">
        <v>162</v>
      </c>
      <c r="BK296" s="1">
        <v>163</v>
      </c>
      <c r="BL296" s="1">
        <v>160</v>
      </c>
      <c r="BM296" s="1">
        <v>162</v>
      </c>
      <c r="BN296" s="1">
        <v>165</v>
      </c>
      <c r="BO296" s="1">
        <v>163</v>
      </c>
      <c r="BP296" s="1">
        <v>166</v>
      </c>
      <c r="BQ296" s="1">
        <v>171</v>
      </c>
      <c r="BR296" s="1">
        <v>178</v>
      </c>
      <c r="BS296" s="1">
        <v>186</v>
      </c>
      <c r="BT296" s="1">
        <v>190</v>
      </c>
      <c r="BU296" s="1">
        <v>189</v>
      </c>
      <c r="BV296" s="1">
        <v>178</v>
      </c>
      <c r="BW296" s="1">
        <v>176</v>
      </c>
      <c r="BX296" s="1">
        <v>175</v>
      </c>
      <c r="BY296" s="1">
        <v>171</v>
      </c>
      <c r="BZ296" s="1">
        <v>178</v>
      </c>
    </row>
    <row r="297" spans="1:78">
      <c r="A297" s="74" t="s">
        <v>510</v>
      </c>
      <c r="B297" s="1" t="str">
        <f>銘柄管理!C297</f>
        <v>長谷工コーポレーシヨン</v>
      </c>
      <c r="C297" s="544">
        <f>_xll.RssMarket("1808","始値")</f>
        <v>2658</v>
      </c>
      <c r="E297" s="550">
        <v>2732.5</v>
      </c>
      <c r="F297" s="1">
        <v>2778</v>
      </c>
      <c r="G297" s="1">
        <v>2794.5</v>
      </c>
      <c r="H297" s="1">
        <v>2864</v>
      </c>
      <c r="I297" s="1">
        <v>2893</v>
      </c>
      <c r="J297" s="1">
        <v>2847.5</v>
      </c>
      <c r="K297" s="1">
        <v>2806.5</v>
      </c>
      <c r="L297" s="1">
        <v>2756</v>
      </c>
      <c r="M297" s="1">
        <v>2790</v>
      </c>
      <c r="N297" s="1">
        <v>2810.5</v>
      </c>
      <c r="O297" s="1">
        <v>2815</v>
      </c>
      <c r="P297" s="1">
        <v>2840</v>
      </c>
      <c r="Q297" s="1">
        <v>2818.5</v>
      </c>
      <c r="R297" s="1">
        <v>2786</v>
      </c>
      <c r="S297" s="1">
        <v>2822</v>
      </c>
      <c r="T297" s="1">
        <v>2811</v>
      </c>
      <c r="U297" s="1">
        <v>2800.5</v>
      </c>
      <c r="V297" s="1">
        <v>2880</v>
      </c>
      <c r="W297" s="1">
        <v>2884.5</v>
      </c>
      <c r="X297" s="1">
        <v>2834</v>
      </c>
      <c r="Y297" s="1">
        <v>2845</v>
      </c>
      <c r="Z297" s="1">
        <v>2793</v>
      </c>
      <c r="AA297" s="1">
        <v>2812.5</v>
      </c>
      <c r="AB297" s="1">
        <v>2841.5</v>
      </c>
      <c r="AC297" s="1">
        <v>2870</v>
      </c>
      <c r="AD297" s="1">
        <v>2785</v>
      </c>
      <c r="AE297" s="1">
        <v>2781.5</v>
      </c>
      <c r="AF297" s="1">
        <v>2759</v>
      </c>
      <c r="AG297" s="1">
        <v>2768</v>
      </c>
      <c r="AH297" s="1">
        <v>2736</v>
      </c>
      <c r="AI297" s="1">
        <v>2638</v>
      </c>
      <c r="AJ297" s="1">
        <v>2707</v>
      </c>
      <c r="AK297" s="1">
        <v>2730</v>
      </c>
      <c r="AL297" s="1">
        <v>2708.5</v>
      </c>
      <c r="AM297" s="1">
        <v>2700</v>
      </c>
      <c r="AN297" s="1">
        <v>2766.5</v>
      </c>
      <c r="AO297" s="1">
        <v>2745</v>
      </c>
      <c r="AP297" s="1">
        <v>2707.5</v>
      </c>
      <c r="AQ297" s="1">
        <v>2645.5</v>
      </c>
      <c r="AR297" s="1">
        <v>2643</v>
      </c>
      <c r="AS297" s="1">
        <v>2599.5</v>
      </c>
      <c r="AT297" s="1">
        <v>2620</v>
      </c>
      <c r="AU297" s="1">
        <v>2624</v>
      </c>
      <c r="AV297" s="1">
        <v>2700</v>
      </c>
      <c r="AW297" s="1">
        <v>2717</v>
      </c>
      <c r="AX297" s="1">
        <v>2693</v>
      </c>
      <c r="AY297" s="1">
        <v>2679</v>
      </c>
      <c r="AZ297" s="1">
        <v>2730</v>
      </c>
      <c r="BA297" s="1">
        <v>2715</v>
      </c>
      <c r="BB297" s="1">
        <v>2790</v>
      </c>
      <c r="BC297" s="1">
        <v>2840</v>
      </c>
      <c r="BD297" s="1">
        <v>2881</v>
      </c>
      <c r="BE297" s="1">
        <v>2695</v>
      </c>
      <c r="BF297" s="1">
        <v>2790</v>
      </c>
      <c r="BG297" s="1">
        <v>2808.5</v>
      </c>
      <c r="BH297" s="1">
        <v>2771</v>
      </c>
      <c r="BI297" s="1">
        <v>2745</v>
      </c>
      <c r="BJ297" s="1">
        <v>2757</v>
      </c>
      <c r="BK297" s="1">
        <v>2743.5</v>
      </c>
      <c r="BL297" s="1">
        <v>2700.5</v>
      </c>
      <c r="BM297" s="1">
        <v>2778</v>
      </c>
      <c r="BN297" s="1">
        <v>2750</v>
      </c>
      <c r="BO297" s="1">
        <v>2670</v>
      </c>
      <c r="BP297" s="1">
        <v>2713.5</v>
      </c>
      <c r="BQ297" s="1">
        <v>2724.5</v>
      </c>
      <c r="BR297" s="1">
        <v>2749</v>
      </c>
      <c r="BS297" s="1">
        <v>2815</v>
      </c>
      <c r="BT297" s="1">
        <v>2766.5</v>
      </c>
      <c r="BU297" s="1">
        <v>2761.5</v>
      </c>
      <c r="BV297" s="1">
        <v>2760</v>
      </c>
      <c r="BW297" s="1">
        <v>2736.5</v>
      </c>
      <c r="BX297" s="1">
        <v>2866.5</v>
      </c>
      <c r="BY297" s="1">
        <v>2890</v>
      </c>
      <c r="BZ297" s="1">
        <v>2922</v>
      </c>
    </row>
    <row r="298" spans="1:78">
      <c r="A298" s="74" t="s">
        <v>511</v>
      </c>
      <c r="B298" s="1" t="str">
        <f>銘柄管理!C298</f>
        <v>ＵＢＥ</v>
      </c>
      <c r="C298" s="544">
        <f>_xll.RssMarket("4208","始値")</f>
        <v>3174</v>
      </c>
      <c r="E298" s="550">
        <v>3141</v>
      </c>
      <c r="F298" s="1">
        <v>3170</v>
      </c>
      <c r="G298" s="1">
        <v>3186</v>
      </c>
      <c r="H298" s="1">
        <v>3159</v>
      </c>
      <c r="I298" s="1">
        <v>3215</v>
      </c>
      <c r="J298" s="1">
        <v>3300</v>
      </c>
      <c r="K298" s="1">
        <v>3300</v>
      </c>
      <c r="M298" s="1">
        <v>3251</v>
      </c>
      <c r="N298" s="1">
        <v>3252</v>
      </c>
      <c r="O298" s="1">
        <v>3220</v>
      </c>
      <c r="P298" s="1">
        <v>3243</v>
      </c>
      <c r="Q298" s="1">
        <v>3227</v>
      </c>
      <c r="R298" s="1">
        <v>3102</v>
      </c>
      <c r="S298" s="1">
        <v>3181</v>
      </c>
      <c r="T298" s="1">
        <v>3187</v>
      </c>
      <c r="U298" s="1">
        <v>3163</v>
      </c>
      <c r="V298" s="1">
        <v>3180</v>
      </c>
      <c r="W298" s="1">
        <v>3270</v>
      </c>
      <c r="X298" s="1">
        <v>3270</v>
      </c>
      <c r="Y298" s="1">
        <v>3203</v>
      </c>
      <c r="Z298" s="1">
        <v>3190</v>
      </c>
      <c r="AA298" s="1">
        <v>3189</v>
      </c>
      <c r="AB298" s="1">
        <v>3162</v>
      </c>
      <c r="AC298" s="1">
        <v>3170</v>
      </c>
      <c r="AD298" s="1">
        <v>3163</v>
      </c>
      <c r="AE298" s="1">
        <v>3174</v>
      </c>
      <c r="AF298" s="1">
        <v>3111</v>
      </c>
      <c r="AG298" s="1">
        <v>3220</v>
      </c>
      <c r="AH298" s="1">
        <v>3195</v>
      </c>
      <c r="AI298" s="1">
        <v>3294</v>
      </c>
      <c r="AJ298" s="1">
        <v>3230</v>
      </c>
      <c r="AK298" s="1">
        <v>3197</v>
      </c>
      <c r="AL298" s="1">
        <v>3240</v>
      </c>
      <c r="AM298" s="1">
        <v>3125</v>
      </c>
      <c r="AN298" s="1">
        <v>3036</v>
      </c>
      <c r="AO298" s="1">
        <v>2993</v>
      </c>
      <c r="AP298" s="1">
        <v>2973.5</v>
      </c>
      <c r="AQ298" s="1">
        <v>2905</v>
      </c>
      <c r="AR298" s="1">
        <v>2939</v>
      </c>
      <c r="AS298" s="1">
        <v>2992</v>
      </c>
      <c r="AT298" s="1">
        <v>2964.5</v>
      </c>
      <c r="AU298" s="1">
        <v>2900.5</v>
      </c>
      <c r="AV298" s="1">
        <v>2950</v>
      </c>
      <c r="AW298" s="1">
        <v>2980</v>
      </c>
      <c r="AX298" s="1">
        <v>3030</v>
      </c>
      <c r="AY298" s="1">
        <v>3000</v>
      </c>
      <c r="AZ298" s="1">
        <v>3045</v>
      </c>
      <c r="BA298" s="1">
        <v>2940.5</v>
      </c>
      <c r="BB298" s="1">
        <v>2688</v>
      </c>
      <c r="BC298" s="1">
        <v>2424.5</v>
      </c>
      <c r="BD298" s="1">
        <v>2416.5</v>
      </c>
      <c r="BE298" s="1">
        <v>2450</v>
      </c>
      <c r="BF298" s="1">
        <v>2478</v>
      </c>
      <c r="BG298" s="1">
        <v>2338</v>
      </c>
      <c r="BH298" s="1">
        <v>2357</v>
      </c>
      <c r="BI298" s="1">
        <v>2386.5</v>
      </c>
      <c r="BJ298" s="1">
        <v>2395</v>
      </c>
      <c r="BK298" s="1">
        <v>2403</v>
      </c>
      <c r="BL298" s="1">
        <v>2360</v>
      </c>
      <c r="BM298" s="1">
        <v>2344</v>
      </c>
      <c r="BN298" s="1">
        <v>2368</v>
      </c>
      <c r="BO298" s="1">
        <v>2351</v>
      </c>
      <c r="BP298" s="1">
        <v>2367</v>
      </c>
      <c r="BQ298" s="1">
        <v>2363</v>
      </c>
      <c r="BR298" s="1">
        <v>2409</v>
      </c>
      <c r="BS298" s="1">
        <v>2425</v>
      </c>
      <c r="BT298" s="1">
        <v>2444.5</v>
      </c>
      <c r="BU298" s="1">
        <v>2438</v>
      </c>
      <c r="BV298" s="1">
        <v>2425.5</v>
      </c>
      <c r="BW298" s="1">
        <v>2411</v>
      </c>
      <c r="BX298" s="1">
        <v>2424.5</v>
      </c>
      <c r="BY298" s="1">
        <v>2434</v>
      </c>
      <c r="BZ298" s="1">
        <v>2473.5</v>
      </c>
    </row>
    <row r="299" spans="1:78">
      <c r="A299" s="74" t="s">
        <v>512</v>
      </c>
      <c r="B299" s="1" t="str">
        <f>銘柄管理!C299</f>
        <v>アストロスケールホールディンク</v>
      </c>
      <c r="C299" s="544">
        <f>_xll.RssMarket("186A","始値")</f>
        <v>1145</v>
      </c>
      <c r="E299" s="550">
        <v>1070</v>
      </c>
      <c r="F299" s="1">
        <v>1012</v>
      </c>
      <c r="G299" s="1">
        <v>985</v>
      </c>
      <c r="H299" s="1">
        <v>950</v>
      </c>
      <c r="I299" s="1">
        <v>1011</v>
      </c>
      <c r="J299" s="1">
        <v>1015</v>
      </c>
      <c r="K299" s="1">
        <v>1022</v>
      </c>
      <c r="L299" s="1">
        <v>1041</v>
      </c>
      <c r="M299" s="1">
        <v>1020</v>
      </c>
      <c r="N299" s="1">
        <v>1027</v>
      </c>
      <c r="O299" s="1">
        <v>981</v>
      </c>
      <c r="P299" s="1">
        <v>1000</v>
      </c>
      <c r="Q299" s="1">
        <v>1055</v>
      </c>
      <c r="R299" s="1">
        <v>1078</v>
      </c>
      <c r="S299" s="1">
        <v>1105</v>
      </c>
      <c r="T299" s="1">
        <v>1108</v>
      </c>
      <c r="U299" s="1">
        <v>1076</v>
      </c>
      <c r="V299" s="1">
        <v>1112</v>
      </c>
      <c r="W299" s="1">
        <v>1210</v>
      </c>
      <c r="X299" s="1">
        <v>1236</v>
      </c>
      <c r="Y299" s="1">
        <v>1145</v>
      </c>
      <c r="Z299" s="1">
        <v>1135</v>
      </c>
      <c r="AA299" s="1">
        <v>1176</v>
      </c>
      <c r="AB299" s="1">
        <v>1179</v>
      </c>
      <c r="AC299" s="1">
        <v>1113</v>
      </c>
      <c r="AD299" s="1">
        <v>1150</v>
      </c>
      <c r="AE299" s="1">
        <v>1173</v>
      </c>
      <c r="AF299" s="1">
        <v>1180</v>
      </c>
      <c r="AG299" s="1">
        <v>1290</v>
      </c>
      <c r="AH299" s="1">
        <v>1205</v>
      </c>
      <c r="AI299" s="1">
        <v>1285</v>
      </c>
      <c r="AJ299" s="1">
        <v>1356</v>
      </c>
      <c r="AK299" s="1">
        <v>1450</v>
      </c>
      <c r="AL299" s="1">
        <v>1465</v>
      </c>
      <c r="AM299" s="1">
        <v>1676</v>
      </c>
      <c r="AN299" s="1">
        <v>1956</v>
      </c>
      <c r="AO299" s="1">
        <v>1710</v>
      </c>
      <c r="AP299" s="1">
        <v>1806</v>
      </c>
      <c r="AQ299" s="1">
        <v>1922</v>
      </c>
      <c r="AR299" s="1">
        <v>2085</v>
      </c>
      <c r="AS299" s="1">
        <v>1955</v>
      </c>
      <c r="AT299" s="1">
        <v>2195</v>
      </c>
      <c r="AU299" s="1">
        <v>2101</v>
      </c>
      <c r="AV299" s="1">
        <v>2868</v>
      </c>
      <c r="AW299" s="1">
        <v>2644</v>
      </c>
      <c r="AX299" s="1">
        <v>3000</v>
      </c>
      <c r="AY299" s="1">
        <v>2639</v>
      </c>
      <c r="AZ299" s="1">
        <v>1992</v>
      </c>
      <c r="BA299" s="1">
        <v>2050</v>
      </c>
      <c r="BB299" s="1">
        <v>2065</v>
      </c>
      <c r="BC299" s="1">
        <v>1932</v>
      </c>
      <c r="BD299" s="1">
        <v>2100</v>
      </c>
      <c r="BE299" s="1">
        <v>1900</v>
      </c>
      <c r="BF299" s="1">
        <v>1864</v>
      </c>
      <c r="BG299" s="1">
        <v>1737</v>
      </c>
      <c r="BH299" s="1">
        <v>1796</v>
      </c>
      <c r="BI299" s="1">
        <v>1730</v>
      </c>
      <c r="BJ299" s="1">
        <v>1413</v>
      </c>
      <c r="BK299" s="1">
        <v>1373</v>
      </c>
      <c r="BL299" s="1">
        <v>1263</v>
      </c>
      <c r="BM299" s="1">
        <v>1282</v>
      </c>
      <c r="BN299" s="1">
        <v>1221</v>
      </c>
      <c r="BO299" s="1">
        <v>1317</v>
      </c>
      <c r="BP299" s="1">
        <v>1400</v>
      </c>
      <c r="BQ299" s="1">
        <v>1454</v>
      </c>
      <c r="BR299" s="1">
        <v>1458</v>
      </c>
      <c r="BS299" s="1">
        <v>1489</v>
      </c>
      <c r="BT299" s="1">
        <v>1366</v>
      </c>
      <c r="BU299" s="1">
        <v>1410</v>
      </c>
      <c r="BV299" s="1">
        <v>1365</v>
      </c>
      <c r="BW299" s="1">
        <v>1403</v>
      </c>
      <c r="BX299" s="1">
        <v>1363</v>
      </c>
      <c r="BY299" s="1">
        <v>1301</v>
      </c>
      <c r="BZ299" s="1">
        <v>1250</v>
      </c>
    </row>
    <row r="300" spans="1:78">
      <c r="A300" s="74" t="s">
        <v>513</v>
      </c>
      <c r="B300" s="1" t="str">
        <f>銘柄管理!C300</f>
        <v>浜松ホトニクス</v>
      </c>
      <c r="C300" s="544">
        <f>_xll.RssMarket("6965","始値")</f>
        <v>2457.5</v>
      </c>
      <c r="E300" s="550">
        <v>2343</v>
      </c>
      <c r="F300" s="1">
        <v>2323</v>
      </c>
      <c r="G300" s="1">
        <v>2300</v>
      </c>
      <c r="H300" s="1">
        <v>2155.5</v>
      </c>
      <c r="I300" s="1">
        <v>2200.5</v>
      </c>
      <c r="J300" s="1">
        <v>2303</v>
      </c>
      <c r="K300" s="1">
        <v>2357.5</v>
      </c>
      <c r="M300" s="1">
        <v>2452</v>
      </c>
      <c r="N300" s="1">
        <v>2385.5</v>
      </c>
      <c r="O300" s="1">
        <v>2342</v>
      </c>
      <c r="P300" s="1">
        <v>2345</v>
      </c>
      <c r="Q300" s="1">
        <v>2450</v>
      </c>
      <c r="R300" s="1">
        <v>2416.5</v>
      </c>
      <c r="S300" s="1">
        <v>2509</v>
      </c>
      <c r="T300" s="1">
        <v>2499</v>
      </c>
      <c r="U300" s="1">
        <v>2474</v>
      </c>
      <c r="V300" s="1">
        <v>2400</v>
      </c>
      <c r="W300" s="1">
        <v>2551</v>
      </c>
      <c r="X300" s="1">
        <v>2675.5</v>
      </c>
      <c r="Y300" s="1">
        <v>2566</v>
      </c>
      <c r="Z300" s="1">
        <v>2685</v>
      </c>
      <c r="AA300" s="1">
        <v>2726.5</v>
      </c>
      <c r="AB300" s="1">
        <v>2685.5</v>
      </c>
      <c r="AC300" s="1">
        <v>2615</v>
      </c>
      <c r="AD300" s="1">
        <v>2685</v>
      </c>
      <c r="AE300" s="1">
        <v>2765</v>
      </c>
      <c r="AF300" s="1">
        <v>2645</v>
      </c>
      <c r="AG300" s="1">
        <v>2837.5</v>
      </c>
      <c r="AH300" s="1">
        <v>2843.5</v>
      </c>
      <c r="AI300" s="1">
        <v>2840</v>
      </c>
      <c r="AJ300" s="1">
        <v>2776</v>
      </c>
      <c r="AK300" s="1">
        <v>2634.5</v>
      </c>
      <c r="AL300" s="1">
        <v>2653</v>
      </c>
      <c r="AM300" s="1">
        <v>2565.5</v>
      </c>
      <c r="AN300" s="1">
        <v>2487.5</v>
      </c>
      <c r="AO300" s="1">
        <v>2288</v>
      </c>
      <c r="AP300" s="1">
        <v>2502</v>
      </c>
      <c r="AQ300" s="1">
        <v>2614</v>
      </c>
      <c r="AR300" s="1">
        <v>2891.5</v>
      </c>
      <c r="AS300" s="1">
        <v>2827.5</v>
      </c>
      <c r="AT300" s="1">
        <v>2879</v>
      </c>
      <c r="AU300" s="1">
        <v>2854.5</v>
      </c>
      <c r="AV300" s="1">
        <v>2873</v>
      </c>
      <c r="AW300" s="1">
        <v>2686.5</v>
      </c>
      <c r="AX300" s="1">
        <v>2937</v>
      </c>
      <c r="AY300" s="1">
        <v>2995</v>
      </c>
      <c r="AZ300" s="1">
        <v>2731.5</v>
      </c>
      <c r="BA300" s="1">
        <v>2703</v>
      </c>
      <c r="BB300" s="1">
        <v>2637.5</v>
      </c>
      <c r="BC300" s="1">
        <v>2785</v>
      </c>
      <c r="BD300" s="1">
        <v>2756.5</v>
      </c>
      <c r="BE300" s="1">
        <v>2600</v>
      </c>
      <c r="BF300" s="1">
        <v>2173</v>
      </c>
      <c r="BG300" s="1">
        <v>2110</v>
      </c>
      <c r="BH300" s="1">
        <v>2192</v>
      </c>
      <c r="BI300" s="1">
        <v>2243</v>
      </c>
      <c r="BJ300" s="1">
        <v>2119</v>
      </c>
      <c r="BK300" s="1">
        <v>2041</v>
      </c>
      <c r="BL300" s="1">
        <v>2019</v>
      </c>
      <c r="BM300" s="1">
        <v>2002.5</v>
      </c>
      <c r="BN300" s="1">
        <v>2036</v>
      </c>
      <c r="BO300" s="1">
        <v>1949</v>
      </c>
      <c r="BP300" s="1">
        <v>1941</v>
      </c>
      <c r="BQ300" s="1">
        <v>1946</v>
      </c>
      <c r="BR300" s="1">
        <v>1947</v>
      </c>
      <c r="BS300" s="1">
        <v>1955</v>
      </c>
      <c r="BT300" s="1">
        <v>1934.5</v>
      </c>
      <c r="BU300" s="1">
        <v>1990</v>
      </c>
      <c r="BV300" s="1">
        <v>1910</v>
      </c>
      <c r="BW300" s="1">
        <v>1953.5</v>
      </c>
      <c r="BX300" s="1">
        <v>1970</v>
      </c>
      <c r="BY300" s="1">
        <v>1921</v>
      </c>
      <c r="BZ300" s="1">
        <v>1954</v>
      </c>
    </row>
    <row r="301" spans="1:78">
      <c r="A301" s="74" t="s">
        <v>514</v>
      </c>
      <c r="B301" s="1" t="str">
        <f>銘柄管理!C301</f>
        <v>三菱化工機</v>
      </c>
      <c r="C301" s="544">
        <f>_xll.RssMarket("6331","始値")</f>
        <v>3180</v>
      </c>
      <c r="E301" s="550">
        <v>3050</v>
      </c>
      <c r="F301" s="1">
        <v>3100</v>
      </c>
      <c r="G301" s="1">
        <v>3250</v>
      </c>
      <c r="H301" s="1">
        <v>3040</v>
      </c>
      <c r="I301" s="1">
        <v>3210</v>
      </c>
      <c r="J301" s="1">
        <v>3390</v>
      </c>
      <c r="K301" s="1">
        <v>3370</v>
      </c>
      <c r="L301" s="1">
        <v>3390</v>
      </c>
      <c r="M301" s="1">
        <v>3350</v>
      </c>
      <c r="N301" s="1">
        <v>3310</v>
      </c>
      <c r="O301" s="1">
        <v>3230</v>
      </c>
      <c r="P301" s="1">
        <v>3275</v>
      </c>
      <c r="Q301" s="1">
        <v>3475</v>
      </c>
      <c r="R301" s="1">
        <v>3415</v>
      </c>
      <c r="S301" s="1">
        <v>3585</v>
      </c>
      <c r="T301" s="1">
        <v>3555</v>
      </c>
      <c r="U301" s="1">
        <v>3605</v>
      </c>
      <c r="V301" s="1">
        <v>3850</v>
      </c>
      <c r="W301" s="1">
        <v>3935</v>
      </c>
      <c r="X301" s="1">
        <v>3840</v>
      </c>
      <c r="Y301" s="1">
        <v>3675</v>
      </c>
      <c r="Z301" s="1">
        <v>3700</v>
      </c>
      <c r="AA301" s="1">
        <v>3695</v>
      </c>
      <c r="AB301" s="1">
        <v>3795</v>
      </c>
      <c r="AC301" s="1">
        <v>3855</v>
      </c>
      <c r="AD301" s="1">
        <v>3875</v>
      </c>
      <c r="AE301" s="1">
        <v>3890</v>
      </c>
      <c r="AF301" s="1">
        <v>3880</v>
      </c>
      <c r="AG301" s="1">
        <v>4160</v>
      </c>
      <c r="AH301" s="1">
        <v>4000</v>
      </c>
      <c r="AI301" s="1">
        <v>4080</v>
      </c>
      <c r="AJ301" s="1">
        <v>4100</v>
      </c>
      <c r="AK301" s="1">
        <v>3900</v>
      </c>
      <c r="AL301" s="1">
        <v>3840</v>
      </c>
      <c r="AM301" s="1">
        <v>3795</v>
      </c>
      <c r="AN301" s="1">
        <v>3680</v>
      </c>
      <c r="AO301" s="1">
        <v>3555</v>
      </c>
      <c r="AP301" s="1">
        <v>3500</v>
      </c>
      <c r="AQ301" s="1">
        <v>3470</v>
      </c>
      <c r="AR301" s="1">
        <v>3465</v>
      </c>
      <c r="AS301" s="1">
        <v>3655</v>
      </c>
      <c r="AT301" s="1">
        <v>3455</v>
      </c>
      <c r="AU301" s="1">
        <v>3450</v>
      </c>
      <c r="AV301" s="1">
        <v>3690</v>
      </c>
      <c r="AW301" s="1">
        <v>3650</v>
      </c>
      <c r="AX301" s="1">
        <v>3790</v>
      </c>
      <c r="AY301" s="1">
        <v>3425</v>
      </c>
      <c r="AZ301" s="1">
        <v>3550</v>
      </c>
      <c r="BA301" s="1">
        <v>3485</v>
      </c>
      <c r="BB301" s="1">
        <v>3585</v>
      </c>
      <c r="BC301" s="1">
        <v>3840</v>
      </c>
      <c r="BD301" s="1">
        <v>3600</v>
      </c>
      <c r="BE301" s="1">
        <v>3375</v>
      </c>
      <c r="BF301" s="1">
        <v>3380</v>
      </c>
      <c r="BG301" s="1">
        <v>3295</v>
      </c>
      <c r="BH301" s="1">
        <v>3320</v>
      </c>
      <c r="BI301" s="1">
        <v>3260</v>
      </c>
      <c r="BJ301" s="1">
        <v>3265</v>
      </c>
      <c r="BK301" s="1">
        <v>3330</v>
      </c>
      <c r="BL301" s="1">
        <v>3220</v>
      </c>
      <c r="BM301" s="1">
        <v>3190</v>
      </c>
      <c r="BN301" s="1">
        <v>3260</v>
      </c>
      <c r="BO301" s="1">
        <v>3205</v>
      </c>
      <c r="BP301" s="1">
        <v>3160</v>
      </c>
      <c r="BQ301" s="1">
        <v>3050</v>
      </c>
      <c r="BR301" s="1">
        <v>3030</v>
      </c>
      <c r="BS301" s="1">
        <v>3045</v>
      </c>
      <c r="BT301" s="1">
        <v>3055</v>
      </c>
      <c r="BU301" s="1">
        <v>3060</v>
      </c>
      <c r="BV301" s="1">
        <v>3045</v>
      </c>
      <c r="BW301" s="1">
        <v>3150</v>
      </c>
      <c r="BX301" s="1">
        <v>3130</v>
      </c>
      <c r="BY301" s="1">
        <v>3150</v>
      </c>
      <c r="BZ301" s="1">
        <v>3205</v>
      </c>
    </row>
    <row r="302" spans="1:78">
      <c r="A302" s="74" t="s">
        <v>515</v>
      </c>
      <c r="B302" s="1" t="str">
        <f>銘柄管理!C302</f>
        <v>ＨＯＹＡ</v>
      </c>
      <c r="C302" s="544">
        <f>_xll.RssMarket("7741","始値")</f>
        <v>26925</v>
      </c>
      <c r="E302" s="550">
        <v>25540</v>
      </c>
      <c r="F302" s="1">
        <v>24175</v>
      </c>
      <c r="G302" s="1">
        <v>24285</v>
      </c>
      <c r="H302" s="1">
        <v>23700</v>
      </c>
      <c r="I302" s="1">
        <v>23580</v>
      </c>
      <c r="J302" s="1">
        <v>24370</v>
      </c>
      <c r="K302" s="1">
        <v>24805</v>
      </c>
      <c r="L302" s="1">
        <v>24500</v>
      </c>
      <c r="M302" s="1">
        <v>24840</v>
      </c>
      <c r="N302" s="1">
        <v>25415</v>
      </c>
      <c r="O302" s="1">
        <v>25440</v>
      </c>
      <c r="P302" s="1">
        <v>24900</v>
      </c>
      <c r="Q302" s="1">
        <v>25570</v>
      </c>
      <c r="R302" s="1">
        <v>25830</v>
      </c>
      <c r="S302" s="1">
        <v>25035</v>
      </c>
      <c r="T302" s="1">
        <v>25200</v>
      </c>
      <c r="U302" s="1">
        <v>24290</v>
      </c>
      <c r="V302" s="1">
        <v>25200</v>
      </c>
      <c r="W302" s="1">
        <v>25525</v>
      </c>
      <c r="X302" s="1">
        <v>26100</v>
      </c>
      <c r="Y302" s="1">
        <v>25845</v>
      </c>
      <c r="Z302" s="1">
        <v>25775</v>
      </c>
      <c r="AA302" s="1">
        <v>25940</v>
      </c>
      <c r="AB302" s="1">
        <v>26045</v>
      </c>
      <c r="AC302" s="1">
        <v>25570</v>
      </c>
      <c r="AD302" s="1">
        <v>26500</v>
      </c>
      <c r="AE302" s="1">
        <v>26825</v>
      </c>
      <c r="AF302" s="1">
        <v>26200</v>
      </c>
      <c r="AG302" s="1">
        <v>27205</v>
      </c>
      <c r="AH302" s="1">
        <v>26945</v>
      </c>
      <c r="AI302" s="1">
        <v>28865</v>
      </c>
      <c r="AJ302" s="1">
        <v>28000</v>
      </c>
      <c r="AK302" s="1">
        <v>27025</v>
      </c>
      <c r="AL302" s="1">
        <v>26590</v>
      </c>
      <c r="AM302" s="1">
        <v>26945</v>
      </c>
      <c r="AN302" s="1">
        <v>26420</v>
      </c>
      <c r="AO302" s="1">
        <v>25300</v>
      </c>
      <c r="AP302" s="1">
        <v>25420</v>
      </c>
      <c r="AQ302" s="1">
        <v>25400</v>
      </c>
      <c r="AR302" s="1">
        <v>26290</v>
      </c>
      <c r="AS302" s="1">
        <v>27480</v>
      </c>
      <c r="AT302" s="1">
        <v>26500</v>
      </c>
      <c r="AU302" s="1">
        <v>26175</v>
      </c>
      <c r="AV302" s="1">
        <v>27020</v>
      </c>
      <c r="AW302" s="1">
        <v>27080</v>
      </c>
      <c r="AX302" s="1">
        <v>27220</v>
      </c>
      <c r="AY302" s="1">
        <v>26055</v>
      </c>
      <c r="AZ302" s="1">
        <v>26620</v>
      </c>
      <c r="BA302" s="1">
        <v>26900</v>
      </c>
      <c r="BB302" s="1">
        <v>26945</v>
      </c>
      <c r="BC302" s="1">
        <v>27700</v>
      </c>
      <c r="BD302" s="1">
        <v>27900</v>
      </c>
      <c r="BE302" s="1">
        <v>27740</v>
      </c>
      <c r="BF302" s="1">
        <v>27870</v>
      </c>
      <c r="BG302" s="1">
        <v>27370</v>
      </c>
      <c r="BH302" s="1">
        <v>27270</v>
      </c>
      <c r="BI302" s="1">
        <v>27360</v>
      </c>
      <c r="BJ302" s="1">
        <v>27410</v>
      </c>
      <c r="BK302" s="1">
        <v>28275</v>
      </c>
      <c r="BL302" s="1">
        <v>29200</v>
      </c>
      <c r="BM302" s="1">
        <v>29130</v>
      </c>
      <c r="BN302" s="1">
        <v>29320</v>
      </c>
      <c r="BO302" s="1">
        <v>28900</v>
      </c>
      <c r="BP302" s="1">
        <v>28310</v>
      </c>
      <c r="BQ302" s="1">
        <v>28590</v>
      </c>
      <c r="BR302" s="1">
        <v>29090</v>
      </c>
      <c r="BS302" s="1">
        <v>29465</v>
      </c>
      <c r="BT302" s="1">
        <v>29495</v>
      </c>
      <c r="BU302" s="1">
        <v>29495</v>
      </c>
      <c r="BV302" s="1">
        <v>29770</v>
      </c>
      <c r="BW302" s="1">
        <v>29770</v>
      </c>
      <c r="BX302" s="1">
        <v>29670</v>
      </c>
      <c r="BY302" s="1">
        <v>29265</v>
      </c>
      <c r="BZ302" s="1">
        <v>28985</v>
      </c>
    </row>
    <row r="303" spans="1:78">
      <c r="A303" s="74" t="s">
        <v>876</v>
      </c>
      <c r="B303" s="1" t="str">
        <f>銘柄管理!C303</f>
        <v>ＮＦ日経２２５</v>
      </c>
      <c r="C303" s="544">
        <f>_xll.RssMarket("1321","始値")</f>
        <v>67800</v>
      </c>
      <c r="E303" s="550">
        <v>66360</v>
      </c>
      <c r="F303" s="1">
        <v>65920</v>
      </c>
      <c r="G303" s="1">
        <v>66820</v>
      </c>
      <c r="H303" s="1">
        <v>63520</v>
      </c>
      <c r="I303" s="1">
        <v>64740</v>
      </c>
      <c r="J303" s="1">
        <v>65640</v>
      </c>
      <c r="K303" s="1">
        <v>67500</v>
      </c>
      <c r="L303" s="1">
        <v>67700</v>
      </c>
      <c r="M303" s="1">
        <v>68900</v>
      </c>
      <c r="N303" s="1">
        <v>69650</v>
      </c>
      <c r="O303" s="1">
        <v>67050</v>
      </c>
      <c r="P303" s="1">
        <v>67960</v>
      </c>
      <c r="Q303" s="1">
        <v>70670</v>
      </c>
      <c r="R303" s="1">
        <v>69250</v>
      </c>
      <c r="S303" s="1">
        <v>70810</v>
      </c>
      <c r="T303" s="1">
        <v>71410</v>
      </c>
      <c r="U303" s="1">
        <v>70000</v>
      </c>
      <c r="V303" s="1">
        <v>69950</v>
      </c>
      <c r="W303" s="1">
        <v>72040</v>
      </c>
      <c r="X303" s="1">
        <v>73300</v>
      </c>
      <c r="Y303" s="1">
        <v>71560</v>
      </c>
      <c r="Z303" s="1">
        <v>72350</v>
      </c>
      <c r="AA303" s="1">
        <v>74450</v>
      </c>
      <c r="AB303" s="1">
        <v>73850</v>
      </c>
      <c r="AC303" s="1">
        <v>72920</v>
      </c>
      <c r="AD303" s="1">
        <v>74240</v>
      </c>
      <c r="AE303" s="1">
        <v>74160</v>
      </c>
      <c r="AF303" s="1">
        <v>72820</v>
      </c>
      <c r="AG303" s="1">
        <v>76070</v>
      </c>
      <c r="AH303" s="1">
        <v>74510</v>
      </c>
      <c r="AI303" s="1">
        <v>75500</v>
      </c>
      <c r="AJ303" s="1">
        <v>73680</v>
      </c>
      <c r="AK303" s="1">
        <v>71980</v>
      </c>
      <c r="AL303" s="1">
        <v>72630</v>
      </c>
      <c r="AM303" s="1">
        <v>71530</v>
      </c>
      <c r="AN303" s="1">
        <v>69680</v>
      </c>
      <c r="AO303" s="1">
        <v>65670</v>
      </c>
      <c r="AP303" s="1">
        <v>67500</v>
      </c>
      <c r="AQ303" s="1">
        <v>66910</v>
      </c>
      <c r="AR303" s="1">
        <v>70100</v>
      </c>
      <c r="AS303" s="1">
        <v>70740</v>
      </c>
      <c r="AT303" s="1">
        <v>70830</v>
      </c>
      <c r="AU303" s="1">
        <v>70300</v>
      </c>
      <c r="AV303" s="1">
        <v>68700</v>
      </c>
      <c r="AW303" s="1">
        <v>67620</v>
      </c>
      <c r="AX303" s="1">
        <v>69440</v>
      </c>
      <c r="AY303" s="1">
        <v>66970</v>
      </c>
      <c r="AZ303" s="1">
        <v>65230</v>
      </c>
      <c r="BA303" s="1">
        <v>64110</v>
      </c>
      <c r="BB303" s="1">
        <v>63250</v>
      </c>
      <c r="BC303" s="1">
        <v>64170</v>
      </c>
      <c r="BD303" s="1">
        <v>64540</v>
      </c>
      <c r="BE303" s="1">
        <v>65850</v>
      </c>
      <c r="BF303" s="1">
        <v>66560</v>
      </c>
      <c r="BG303" s="1">
        <v>65160</v>
      </c>
      <c r="BH303" s="1">
        <v>65800</v>
      </c>
      <c r="BI303" s="1">
        <v>66400</v>
      </c>
      <c r="BJ303" s="1">
        <v>65330</v>
      </c>
      <c r="BK303" s="1">
        <v>64730</v>
      </c>
      <c r="BL303" s="1">
        <v>62450</v>
      </c>
      <c r="BM303" s="1">
        <v>61940</v>
      </c>
      <c r="BN303" s="1">
        <v>63150</v>
      </c>
      <c r="BO303" s="1">
        <v>62880</v>
      </c>
      <c r="BP303" s="1">
        <v>62160</v>
      </c>
      <c r="BQ303" s="1">
        <v>62670</v>
      </c>
      <c r="BR303" s="1">
        <v>61790</v>
      </c>
      <c r="BS303" s="1">
        <v>61770</v>
      </c>
      <c r="BT303" s="1">
        <v>61610</v>
      </c>
      <c r="BU303" s="1">
        <v>62020</v>
      </c>
      <c r="BV303" s="1">
        <v>61250</v>
      </c>
      <c r="BW303" s="1">
        <v>61360</v>
      </c>
      <c r="BX303" s="1">
        <v>60070</v>
      </c>
      <c r="BY303" s="1">
        <v>58980</v>
      </c>
      <c r="BZ303" s="1">
        <v>59090</v>
      </c>
    </row>
    <row r="304" spans="1:78">
      <c r="A304" s="74" t="s">
        <v>878</v>
      </c>
      <c r="B304" s="1" t="str">
        <f>銘柄管理!C304</f>
        <v>きんでん</v>
      </c>
      <c r="C304" s="544">
        <f>_xll.RssMarket("1944","始値")</f>
        <v>7350</v>
      </c>
      <c r="E304" s="550">
        <v>6979</v>
      </c>
      <c r="F304" s="1">
        <v>7079</v>
      </c>
      <c r="G304" s="1">
        <v>7450</v>
      </c>
      <c r="H304" s="1">
        <v>7003</v>
      </c>
      <c r="I304" s="1">
        <v>7510</v>
      </c>
      <c r="J304" s="1">
        <v>7750</v>
      </c>
      <c r="K304" s="1">
        <v>7774</v>
      </c>
      <c r="L304" s="1">
        <v>7310</v>
      </c>
      <c r="M304" s="1">
        <v>7367</v>
      </c>
      <c r="N304" s="1">
        <v>7260</v>
      </c>
      <c r="O304" s="1">
        <v>7083</v>
      </c>
      <c r="P304" s="1">
        <v>7244</v>
      </c>
      <c r="Q304" s="1">
        <v>7445</v>
      </c>
      <c r="R304" s="1">
        <v>7425</v>
      </c>
      <c r="S304" s="1">
        <v>7620</v>
      </c>
      <c r="T304" s="1">
        <v>7737</v>
      </c>
      <c r="U304" s="1">
        <v>7750</v>
      </c>
      <c r="V304" s="1">
        <v>8026</v>
      </c>
      <c r="W304" s="1">
        <v>8015</v>
      </c>
      <c r="X304" s="1">
        <v>8010</v>
      </c>
      <c r="Y304" s="1">
        <v>7931</v>
      </c>
      <c r="Z304" s="1">
        <v>7755</v>
      </c>
      <c r="AA304" s="1">
        <v>8011</v>
      </c>
      <c r="AB304" s="1">
        <v>8077</v>
      </c>
      <c r="AC304" s="1">
        <v>8090</v>
      </c>
      <c r="AD304" s="1">
        <v>8224</v>
      </c>
      <c r="AE304" s="1">
        <v>8500</v>
      </c>
      <c r="AF304" s="1">
        <v>8141</v>
      </c>
      <c r="AG304" s="1">
        <v>8499</v>
      </c>
      <c r="AH304" s="1">
        <v>8179</v>
      </c>
      <c r="AI304" s="1">
        <v>8114</v>
      </c>
      <c r="AJ304" s="1">
        <v>7870</v>
      </c>
      <c r="AK304" s="1">
        <v>7670</v>
      </c>
      <c r="AL304" s="1">
        <v>7370</v>
      </c>
      <c r="AM304" s="1">
        <v>7080</v>
      </c>
      <c r="AN304" s="1">
        <v>6934</v>
      </c>
      <c r="AO304" s="1">
        <v>6778</v>
      </c>
      <c r="AP304" s="1">
        <v>7098</v>
      </c>
      <c r="AQ304" s="1">
        <v>6521</v>
      </c>
      <c r="AR304" s="1">
        <v>6500</v>
      </c>
      <c r="AS304" s="1">
        <v>6503</v>
      </c>
      <c r="AT304" s="1">
        <v>6770</v>
      </c>
      <c r="AU304" s="1">
        <v>6723</v>
      </c>
      <c r="AV304" s="1">
        <v>7230</v>
      </c>
      <c r="AW304" s="1">
        <v>7052</v>
      </c>
      <c r="AX304" s="1">
        <v>7300</v>
      </c>
      <c r="AY304" s="1">
        <v>6871</v>
      </c>
      <c r="AZ304" s="1">
        <v>6919</v>
      </c>
      <c r="BA304" s="1">
        <v>6928</v>
      </c>
      <c r="BB304" s="1">
        <v>7009</v>
      </c>
      <c r="BC304" s="1">
        <v>6900</v>
      </c>
      <c r="BD304" s="1">
        <v>7423</v>
      </c>
      <c r="BE304" s="1">
        <v>7774</v>
      </c>
      <c r="BF304" s="1">
        <v>7988</v>
      </c>
      <c r="BG304" s="1">
        <v>8028</v>
      </c>
      <c r="BH304" s="1">
        <v>8300</v>
      </c>
      <c r="BI304" s="1">
        <v>8250</v>
      </c>
      <c r="BJ304" s="1">
        <v>8306</v>
      </c>
      <c r="BK304" s="1">
        <v>8263</v>
      </c>
      <c r="BL304" s="1">
        <v>8290</v>
      </c>
      <c r="BM304" s="1">
        <v>7949</v>
      </c>
      <c r="BN304" s="1">
        <v>7932</v>
      </c>
      <c r="BO304" s="1">
        <v>7063</v>
      </c>
      <c r="BP304" s="1">
        <v>7141</v>
      </c>
      <c r="BQ304" s="1">
        <v>7019</v>
      </c>
      <c r="BR304" s="1">
        <v>7016</v>
      </c>
      <c r="BS304" s="1">
        <v>7099</v>
      </c>
      <c r="BT304" s="1">
        <v>7151</v>
      </c>
      <c r="BU304" s="1">
        <v>7040</v>
      </c>
      <c r="BV304" s="1">
        <v>6980</v>
      </c>
      <c r="BW304" s="1">
        <v>7340</v>
      </c>
      <c r="BX304" s="1">
        <v>7428</v>
      </c>
      <c r="BY304" s="1">
        <v>7305</v>
      </c>
      <c r="BZ304" s="1">
        <v>7431</v>
      </c>
    </row>
    <row r="305" spans="1:78">
      <c r="A305" s="74" t="s">
        <v>1039</v>
      </c>
      <c r="B305" s="1" t="str">
        <f>銘柄管理!C305</f>
        <v>パンパシフィックＨＤ</v>
      </c>
      <c r="C305" s="544">
        <f>_xll.RssMarket("7532","始値")</f>
        <v>881.5</v>
      </c>
      <c r="E305" s="550">
        <v>897</v>
      </c>
      <c r="F305" s="1">
        <v>897.3</v>
      </c>
      <c r="G305" s="1">
        <v>902.6</v>
      </c>
      <c r="H305" s="1">
        <v>969.8</v>
      </c>
      <c r="I305" s="1">
        <v>925.8</v>
      </c>
      <c r="J305" s="1">
        <v>909</v>
      </c>
      <c r="K305" s="1">
        <v>864.1</v>
      </c>
      <c r="L305" s="1">
        <v>850</v>
      </c>
      <c r="M305" s="1">
        <v>856</v>
      </c>
      <c r="N305" s="1">
        <v>857.7</v>
      </c>
      <c r="O305" s="1">
        <v>877.6</v>
      </c>
      <c r="P305" s="1">
        <v>884</v>
      </c>
      <c r="Q305" s="1">
        <v>872</v>
      </c>
      <c r="R305" s="1">
        <v>881.8</v>
      </c>
      <c r="S305" s="1">
        <v>852.5</v>
      </c>
      <c r="T305" s="1">
        <v>867.6</v>
      </c>
      <c r="U305" s="1">
        <v>874.6</v>
      </c>
      <c r="V305" s="1">
        <v>881.7</v>
      </c>
      <c r="W305" s="1">
        <v>852</v>
      </c>
      <c r="X305" s="1">
        <v>821</v>
      </c>
      <c r="Y305" s="1">
        <v>835</v>
      </c>
      <c r="Z305" s="1">
        <v>814</v>
      </c>
      <c r="AA305" s="1">
        <v>811</v>
      </c>
      <c r="AB305" s="1">
        <v>851</v>
      </c>
      <c r="AC305" s="1">
        <v>822.5</v>
      </c>
      <c r="AD305" s="1">
        <v>822.8</v>
      </c>
      <c r="AE305" s="1">
        <v>822.7</v>
      </c>
      <c r="AF305" s="1">
        <v>815.9</v>
      </c>
      <c r="AG305" s="1">
        <v>811.9</v>
      </c>
      <c r="AH305" s="1">
        <v>815.1</v>
      </c>
      <c r="AI305" s="1">
        <v>826.7</v>
      </c>
      <c r="AJ305" s="1">
        <v>840</v>
      </c>
      <c r="AK305" s="1">
        <v>836</v>
      </c>
      <c r="AL305" s="1">
        <v>827.8</v>
      </c>
      <c r="AM305" s="1">
        <v>852.4</v>
      </c>
      <c r="AN305" s="1">
        <v>860.6</v>
      </c>
      <c r="AO305" s="1">
        <v>883</v>
      </c>
      <c r="AP305" s="1">
        <v>846</v>
      </c>
      <c r="AQ305" s="1">
        <v>846.9</v>
      </c>
      <c r="AR305" s="1">
        <v>825</v>
      </c>
      <c r="AS305" s="1">
        <v>825</v>
      </c>
      <c r="AT305" s="1">
        <v>814</v>
      </c>
      <c r="AU305" s="1">
        <v>808.5</v>
      </c>
      <c r="AV305" s="1">
        <v>861.9</v>
      </c>
      <c r="AW305" s="1">
        <v>839.8</v>
      </c>
      <c r="AX305" s="1">
        <v>819.4</v>
      </c>
      <c r="AY305" s="1">
        <v>862.9</v>
      </c>
      <c r="AZ305" s="1">
        <v>855.6</v>
      </c>
      <c r="BA305" s="1">
        <v>872.4</v>
      </c>
      <c r="BB305" s="1">
        <v>895</v>
      </c>
      <c r="BC305" s="1">
        <v>886.3</v>
      </c>
      <c r="BD305" s="1">
        <v>871.6</v>
      </c>
      <c r="BE305" s="1">
        <v>843</v>
      </c>
      <c r="BF305" s="1">
        <v>868.6</v>
      </c>
      <c r="BG305" s="1">
        <v>885</v>
      </c>
      <c r="BH305" s="1">
        <v>896.7</v>
      </c>
      <c r="BI305" s="1">
        <v>887.3</v>
      </c>
      <c r="BJ305" s="1">
        <v>888</v>
      </c>
      <c r="BK305" s="1">
        <v>890</v>
      </c>
      <c r="BL305" s="1">
        <v>880</v>
      </c>
      <c r="BM305" s="1">
        <v>889.1</v>
      </c>
      <c r="BN305" s="1">
        <v>902.1</v>
      </c>
      <c r="BO305" s="1">
        <v>914</v>
      </c>
      <c r="BP305" s="1">
        <v>919.5</v>
      </c>
      <c r="BQ305" s="1">
        <v>944.3</v>
      </c>
      <c r="BR305" s="1">
        <v>949</v>
      </c>
      <c r="BS305" s="1">
        <v>959.4</v>
      </c>
      <c r="BT305" s="1">
        <v>950</v>
      </c>
      <c r="BU305" s="1">
        <v>953.9</v>
      </c>
      <c r="BV305" s="1">
        <v>957</v>
      </c>
      <c r="BW305" s="1">
        <v>969.5</v>
      </c>
      <c r="BX305" s="1">
        <v>949.6</v>
      </c>
      <c r="BY305" s="1">
        <v>945</v>
      </c>
      <c r="BZ305" s="1">
        <v>950</v>
      </c>
    </row>
    <row r="306" spans="1:78">
      <c r="A306" s="75"/>
    </row>
    <row r="307" spans="1:78">
      <c r="A307" s="75"/>
    </row>
    <row r="308" spans="1:78">
      <c r="A308" s="75"/>
    </row>
    <row r="309" spans="1:78">
      <c r="A309" s="75"/>
    </row>
    <row r="310" spans="1:78">
      <c r="A310" s="75"/>
    </row>
    <row r="311" spans="1:78">
      <c r="A311" s="75"/>
    </row>
    <row r="312" spans="1:78">
      <c r="A312" s="75"/>
    </row>
    <row r="313" spans="1:78">
      <c r="A313" s="75"/>
    </row>
    <row r="314" spans="1:78">
      <c r="A314" s="75"/>
    </row>
    <row r="315" spans="1:78">
      <c r="A315" s="75"/>
    </row>
    <row r="316" spans="1:78">
      <c r="A316" s="75"/>
    </row>
    <row r="317" spans="1:78">
      <c r="A317" s="75"/>
    </row>
    <row r="318" spans="1:78">
      <c r="A318" s="75"/>
    </row>
    <row r="319" spans="1:78">
      <c r="A319" s="75"/>
    </row>
    <row r="320" spans="1:78">
      <c r="A320" s="75"/>
    </row>
    <row r="321" spans="1:1">
      <c r="A321" s="75"/>
    </row>
    <row r="322" spans="1:1">
      <c r="A322" s="75"/>
    </row>
    <row r="323" spans="1:1">
      <c r="A323" s="75"/>
    </row>
    <row r="324" spans="1:1">
      <c r="A324" s="75"/>
    </row>
    <row r="325" spans="1:1">
      <c r="A325" s="75"/>
    </row>
    <row r="326" spans="1:1">
      <c r="A326" s="75"/>
    </row>
    <row r="327" spans="1:1">
      <c r="A327" s="75"/>
    </row>
    <row r="328" spans="1:1">
      <c r="A328" s="75"/>
    </row>
    <row r="329" spans="1:1">
      <c r="A329" s="75"/>
    </row>
    <row r="330" spans="1:1">
      <c r="A330" s="75"/>
    </row>
    <row r="331" spans="1:1">
      <c r="A331" s="75"/>
    </row>
    <row r="332" spans="1:1">
      <c r="A332" s="75"/>
    </row>
    <row r="333" spans="1:1">
      <c r="A333" s="75"/>
    </row>
    <row r="334" spans="1:1">
      <c r="A334" s="75"/>
    </row>
    <row r="335" spans="1:1">
      <c r="A335" s="75"/>
    </row>
    <row r="336" spans="1:1">
      <c r="A336" s="75"/>
    </row>
    <row r="337" spans="1:1">
      <c r="A337" s="75"/>
    </row>
    <row r="338" spans="1:1">
      <c r="A338" s="75"/>
    </row>
    <row r="339" spans="1:1">
      <c r="A339" s="75"/>
    </row>
    <row r="340" spans="1:1">
      <c r="A340" s="75"/>
    </row>
    <row r="341" spans="1:1">
      <c r="A341" s="75"/>
    </row>
    <row r="342" spans="1:1">
      <c r="A342" s="75"/>
    </row>
    <row r="343" spans="1:1">
      <c r="A343" s="75"/>
    </row>
    <row r="344" spans="1:1">
      <c r="A344" s="75"/>
    </row>
    <row r="345" spans="1:1">
      <c r="A345" s="75"/>
    </row>
    <row r="346" spans="1:1">
      <c r="A346" s="75"/>
    </row>
    <row r="347" spans="1:1">
      <c r="A347" s="75"/>
    </row>
    <row r="348" spans="1:1">
      <c r="A348" s="75"/>
    </row>
    <row r="349" spans="1:1">
      <c r="A349" s="75"/>
    </row>
    <row r="350" spans="1:1">
      <c r="A350" s="75"/>
    </row>
    <row r="351" spans="1:1">
      <c r="A351" s="75"/>
    </row>
    <row r="352" spans="1:1">
      <c r="A352" s="75"/>
    </row>
    <row r="353" spans="1:1">
      <c r="A353" s="75"/>
    </row>
    <row r="354" spans="1:1">
      <c r="A354" s="75"/>
    </row>
    <row r="355" spans="1:1">
      <c r="A355" s="75"/>
    </row>
    <row r="356" spans="1:1">
      <c r="A356" s="75"/>
    </row>
    <row r="357" spans="1:1">
      <c r="A357" s="75"/>
    </row>
    <row r="358" spans="1:1">
      <c r="A358" s="75"/>
    </row>
    <row r="359" spans="1:1">
      <c r="A359" s="75"/>
    </row>
    <row r="360" spans="1:1">
      <c r="A360" s="75"/>
    </row>
    <row r="361" spans="1:1">
      <c r="A361" s="75"/>
    </row>
    <row r="362" spans="1:1">
      <c r="A362" s="75"/>
    </row>
    <row r="363" spans="1:1">
      <c r="A363" s="75"/>
    </row>
    <row r="364" spans="1:1">
      <c r="A364" s="75"/>
    </row>
    <row r="365" spans="1:1">
      <c r="A365" s="75"/>
    </row>
    <row r="366" spans="1:1">
      <c r="A366" s="75"/>
    </row>
    <row r="367" spans="1:1">
      <c r="A367" s="75"/>
    </row>
    <row r="368" spans="1:1">
      <c r="A368" s="75"/>
    </row>
    <row r="369" spans="1:1">
      <c r="A369" s="75"/>
    </row>
    <row r="370" spans="1:1">
      <c r="A370" s="75"/>
    </row>
    <row r="371" spans="1:1">
      <c r="A371" s="75"/>
    </row>
    <row r="372" spans="1:1">
      <c r="A372" s="75"/>
    </row>
    <row r="373" spans="1:1">
      <c r="A373" s="75"/>
    </row>
    <row r="374" spans="1:1">
      <c r="A374" s="75"/>
    </row>
    <row r="375" spans="1:1">
      <c r="A375" s="75"/>
    </row>
    <row r="376" spans="1:1">
      <c r="A376" s="75"/>
    </row>
    <row r="377" spans="1:1">
      <c r="A377" s="75"/>
    </row>
    <row r="378" spans="1:1">
      <c r="A378" s="75"/>
    </row>
    <row r="379" spans="1:1">
      <c r="A379" s="75"/>
    </row>
    <row r="380" spans="1:1">
      <c r="A380" s="75"/>
    </row>
    <row r="381" spans="1:1">
      <c r="A381" s="75"/>
    </row>
    <row r="382" spans="1:1">
      <c r="A382" s="75"/>
    </row>
    <row r="383" spans="1:1">
      <c r="A383" s="75"/>
    </row>
    <row r="384" spans="1:1">
      <c r="A384" s="75"/>
    </row>
    <row r="385" spans="1:1">
      <c r="A385" s="75"/>
    </row>
    <row r="386" spans="1:1">
      <c r="A386" s="75"/>
    </row>
    <row r="387" spans="1:1">
      <c r="A387" s="75"/>
    </row>
    <row r="388" spans="1:1">
      <c r="A388" s="75"/>
    </row>
    <row r="389" spans="1:1">
      <c r="A389" s="75"/>
    </row>
    <row r="390" spans="1:1">
      <c r="A390" s="75"/>
    </row>
    <row r="391" spans="1:1">
      <c r="A391" s="75"/>
    </row>
    <row r="392" spans="1:1">
      <c r="A392" s="75"/>
    </row>
    <row r="393" spans="1:1">
      <c r="A393" s="75"/>
    </row>
    <row r="394" spans="1:1">
      <c r="A394" s="75"/>
    </row>
    <row r="395" spans="1:1">
      <c r="A395" s="75"/>
    </row>
    <row r="396" spans="1:1">
      <c r="A396" s="75"/>
    </row>
    <row r="397" spans="1:1">
      <c r="A397" s="75"/>
    </row>
    <row r="398" spans="1:1">
      <c r="A398" s="75"/>
    </row>
    <row r="399" spans="1:1">
      <c r="A399" s="75"/>
    </row>
    <row r="400" spans="1:1">
      <c r="A400" s="75"/>
    </row>
    <row r="401" spans="1:1">
      <c r="A401" s="75"/>
    </row>
    <row r="402" spans="1:1">
      <c r="A402" s="75"/>
    </row>
    <row r="403" spans="1:1">
      <c r="A403" s="75"/>
    </row>
    <row r="404" spans="1:1">
      <c r="A404" s="75"/>
    </row>
    <row r="405" spans="1:1">
      <c r="A405" s="75"/>
    </row>
    <row r="406" spans="1:1">
      <c r="A406" s="75"/>
    </row>
    <row r="407" spans="1:1">
      <c r="A407" s="75"/>
    </row>
    <row r="408" spans="1:1">
      <c r="A408" s="75"/>
    </row>
    <row r="409" spans="1:1">
      <c r="A409" s="75"/>
    </row>
    <row r="410" spans="1:1">
      <c r="A410" s="75"/>
    </row>
    <row r="411" spans="1:1">
      <c r="A411" s="75"/>
    </row>
    <row r="412" spans="1:1">
      <c r="A412" s="75"/>
    </row>
    <row r="413" spans="1:1">
      <c r="A413" s="75"/>
    </row>
    <row r="414" spans="1:1">
      <c r="A414" s="75"/>
    </row>
    <row r="415" spans="1:1">
      <c r="A415" s="75"/>
    </row>
    <row r="416" spans="1:1">
      <c r="A416" s="75"/>
    </row>
    <row r="417" spans="1:1">
      <c r="A417" s="75"/>
    </row>
    <row r="418" spans="1:1">
      <c r="A418" s="75"/>
    </row>
    <row r="419" spans="1:1">
      <c r="A419" s="75"/>
    </row>
    <row r="420" spans="1:1">
      <c r="A420" s="75"/>
    </row>
    <row r="421" spans="1:1">
      <c r="A421" s="75"/>
    </row>
    <row r="422" spans="1:1">
      <c r="A422" s="75"/>
    </row>
    <row r="423" spans="1:1">
      <c r="A423" s="75"/>
    </row>
    <row r="424" spans="1:1">
      <c r="A424" s="75"/>
    </row>
    <row r="425" spans="1:1">
      <c r="A425" s="75"/>
    </row>
    <row r="426" spans="1:1">
      <c r="A426" s="75"/>
    </row>
    <row r="427" spans="1:1">
      <c r="A427" s="75"/>
    </row>
    <row r="428" spans="1:1">
      <c r="A428" s="75"/>
    </row>
    <row r="429" spans="1:1">
      <c r="A429" s="75"/>
    </row>
    <row r="430" spans="1:1">
      <c r="A430" s="75"/>
    </row>
    <row r="431" spans="1:1">
      <c r="A431" s="75"/>
    </row>
    <row r="432" spans="1:1">
      <c r="A432" s="75"/>
    </row>
    <row r="433" spans="1:1">
      <c r="A433" s="75"/>
    </row>
    <row r="434" spans="1:1">
      <c r="A434" s="75"/>
    </row>
    <row r="435" spans="1:1">
      <c r="A435" s="75"/>
    </row>
    <row r="436" spans="1:1">
      <c r="A436" s="75"/>
    </row>
    <row r="437" spans="1:1">
      <c r="A437" s="75"/>
    </row>
    <row r="438" spans="1:1">
      <c r="A438" s="75"/>
    </row>
    <row r="439" spans="1:1">
      <c r="A439" s="75"/>
    </row>
    <row r="440" spans="1:1">
      <c r="A440" s="75"/>
    </row>
    <row r="441" spans="1:1">
      <c r="A441" s="75"/>
    </row>
    <row r="442" spans="1:1">
      <c r="A442" s="75"/>
    </row>
    <row r="443" spans="1:1">
      <c r="A443" s="75"/>
    </row>
    <row r="444" spans="1:1">
      <c r="A444" s="75"/>
    </row>
    <row r="445" spans="1:1">
      <c r="A445" s="75"/>
    </row>
    <row r="446" spans="1:1">
      <c r="A446" s="75"/>
    </row>
    <row r="447" spans="1:1">
      <c r="A447" s="75"/>
    </row>
    <row r="448" spans="1:1">
      <c r="A448" s="75"/>
    </row>
    <row r="449" spans="1:1">
      <c r="A449" s="75"/>
    </row>
    <row r="450" spans="1:1">
      <c r="A450" s="75"/>
    </row>
    <row r="451" spans="1:1">
      <c r="A451" s="75"/>
    </row>
    <row r="452" spans="1:1">
      <c r="A452" s="75"/>
    </row>
    <row r="453" spans="1:1">
      <c r="A453" s="75"/>
    </row>
    <row r="454" spans="1:1">
      <c r="A454" s="75"/>
    </row>
    <row r="455" spans="1:1">
      <c r="A455" s="75"/>
    </row>
    <row r="456" spans="1:1">
      <c r="A456" s="75"/>
    </row>
    <row r="457" spans="1:1">
      <c r="A457" s="75"/>
    </row>
    <row r="458" spans="1:1">
      <c r="A458" s="75"/>
    </row>
    <row r="459" spans="1:1">
      <c r="A459" s="75"/>
    </row>
    <row r="460" spans="1:1">
      <c r="A460" s="75"/>
    </row>
    <row r="461" spans="1:1">
      <c r="A461" s="75"/>
    </row>
    <row r="462" spans="1:1">
      <c r="A462" s="75"/>
    </row>
    <row r="463" spans="1:1">
      <c r="A463" s="75"/>
    </row>
    <row r="464" spans="1:1">
      <c r="A464" s="75"/>
    </row>
    <row r="465" spans="1:1">
      <c r="A465" s="75"/>
    </row>
    <row r="466" spans="1:1">
      <c r="A466" s="75"/>
    </row>
    <row r="467" spans="1:1">
      <c r="A467" s="75"/>
    </row>
    <row r="468" spans="1:1">
      <c r="A468" s="75"/>
    </row>
    <row r="469" spans="1:1">
      <c r="A469" s="75"/>
    </row>
    <row r="470" spans="1:1">
      <c r="A470" s="75"/>
    </row>
    <row r="471" spans="1:1">
      <c r="A471" s="75"/>
    </row>
    <row r="472" spans="1:1">
      <c r="A472" s="75"/>
    </row>
    <row r="473" spans="1:1">
      <c r="A473" s="75"/>
    </row>
    <row r="474" spans="1:1">
      <c r="A474" s="75"/>
    </row>
    <row r="475" spans="1:1">
      <c r="A475" s="75"/>
    </row>
    <row r="476" spans="1:1">
      <c r="A476" s="75"/>
    </row>
    <row r="477" spans="1:1">
      <c r="A477" s="75"/>
    </row>
    <row r="478" spans="1:1">
      <c r="A478" s="75"/>
    </row>
    <row r="479" spans="1:1">
      <c r="A479" s="75"/>
    </row>
    <row r="480" spans="1:1">
      <c r="A480" s="75"/>
    </row>
    <row r="481" spans="1:1">
      <c r="A481" s="75"/>
    </row>
    <row r="482" spans="1:1">
      <c r="A482" s="75"/>
    </row>
    <row r="483" spans="1:1">
      <c r="A483" s="75"/>
    </row>
    <row r="484" spans="1:1">
      <c r="A484" s="75"/>
    </row>
    <row r="485" spans="1:1">
      <c r="A485" s="75"/>
    </row>
    <row r="486" spans="1:1">
      <c r="A486" s="75"/>
    </row>
    <row r="487" spans="1:1">
      <c r="A487" s="75"/>
    </row>
    <row r="488" spans="1:1">
      <c r="A488" s="75"/>
    </row>
    <row r="489" spans="1:1">
      <c r="A489" s="75"/>
    </row>
    <row r="490" spans="1:1">
      <c r="A490" s="75"/>
    </row>
    <row r="491" spans="1:1">
      <c r="A491" s="75"/>
    </row>
    <row r="492" spans="1:1">
      <c r="A492" s="75"/>
    </row>
    <row r="493" spans="1:1">
      <c r="A493" s="75"/>
    </row>
    <row r="494" spans="1:1">
      <c r="A494" s="75"/>
    </row>
    <row r="495" spans="1:1">
      <c r="A495" s="75"/>
    </row>
    <row r="496" spans="1:1">
      <c r="A496" s="75"/>
    </row>
    <row r="497" spans="1:1">
      <c r="A497" s="75"/>
    </row>
    <row r="498" spans="1:1">
      <c r="A498" s="75"/>
    </row>
    <row r="499" spans="1:1">
      <c r="A499" s="75"/>
    </row>
    <row r="500" spans="1:1">
      <c r="A500" s="75"/>
    </row>
    <row r="501" spans="1:1">
      <c r="A501" s="75"/>
    </row>
    <row r="502" spans="1:1">
      <c r="A502" s="75"/>
    </row>
    <row r="503" spans="1:1">
      <c r="A503" s="75"/>
    </row>
    <row r="504" spans="1:1">
      <c r="A504" s="75"/>
    </row>
    <row r="505" spans="1:1">
      <c r="A505" s="75"/>
    </row>
  </sheetData>
  <sheetProtection algorithmName="SHA-512" hashValue="ujgkqZ+T6si8s/HkeIkWrUbek4QA6v+NuQKavjDuzjDt70AjYnBdGHrmRdBdwuFX5YaUrNxPxTncTL28P7y/MA==" saltValue="Aq3n6MdnbMghOPm+qvrpO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CZ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104" ht="30" customHeight="1">
      <c r="A1" s="865" t="s">
        <v>580</v>
      </c>
      <c r="B1" s="848"/>
      <c r="C1" s="848"/>
      <c r="D1" s="848"/>
      <c r="E1" s="848"/>
      <c r="F1" s="848"/>
      <c r="G1" s="848"/>
      <c r="H1" s="848"/>
      <c r="I1" s="848"/>
      <c r="J1" s="848"/>
      <c r="K1" s="848"/>
      <c r="L1" s="848"/>
      <c r="M1" s="848"/>
      <c r="N1" s="848"/>
      <c r="O1" s="848"/>
      <c r="P1" s="848"/>
      <c r="Q1" s="848"/>
      <c r="R1" s="848"/>
      <c r="S1" s="848"/>
      <c r="T1" s="848"/>
      <c r="U1" s="848"/>
      <c r="V1" s="848"/>
      <c r="W1" s="848"/>
      <c r="X1" s="848"/>
      <c r="Y1" s="848"/>
      <c r="Z1" s="848"/>
      <c r="AA1" s="848"/>
      <c r="AB1" s="848"/>
      <c r="AC1" s="848"/>
      <c r="AD1" s="848"/>
      <c r="AE1" s="848"/>
      <c r="AF1" s="848"/>
      <c r="AG1" s="848"/>
      <c r="AH1" s="848"/>
      <c r="AI1" s="848"/>
      <c r="AJ1" s="848"/>
      <c r="AK1" s="848"/>
      <c r="AL1" s="848"/>
      <c r="AM1" s="848"/>
      <c r="AN1" s="848"/>
      <c r="AO1" s="848"/>
      <c r="AP1" s="848"/>
      <c r="AQ1" s="848"/>
      <c r="AR1" s="848"/>
      <c r="AS1" s="848"/>
      <c r="AT1" s="848"/>
      <c r="AU1" s="848"/>
      <c r="AV1" s="848"/>
      <c r="AW1" s="848"/>
      <c r="AX1" s="848"/>
      <c r="AY1" s="848"/>
      <c r="AZ1" s="848"/>
      <c r="BA1" s="848"/>
      <c r="BB1" s="848"/>
      <c r="BC1" s="848"/>
      <c r="BD1" s="848"/>
      <c r="BE1" s="848"/>
      <c r="BF1" s="848"/>
      <c r="BG1" s="848"/>
      <c r="BH1" s="848"/>
      <c r="BI1" s="848"/>
      <c r="BJ1" s="848"/>
      <c r="BK1" s="848"/>
      <c r="BL1" s="848"/>
    </row>
    <row r="2" spans="1:10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104" ht="14.1" customHeight="1">
      <c r="A3" s="177" t="s">
        <v>5</v>
      </c>
      <c r="B3" s="178"/>
      <c r="C3" s="205" t="s">
        <v>6</v>
      </c>
      <c r="D3" s="178"/>
      <c r="E3" s="179">
        <v>46238</v>
      </c>
      <c r="F3" s="179">
        <v>46237</v>
      </c>
      <c r="G3" s="179">
        <v>46234</v>
      </c>
      <c r="H3" s="179">
        <v>46233</v>
      </c>
      <c r="I3" s="179">
        <v>46232</v>
      </c>
      <c r="J3" s="179">
        <v>46231</v>
      </c>
      <c r="K3" s="179">
        <v>46230</v>
      </c>
      <c r="L3" s="179">
        <v>46229</v>
      </c>
      <c r="M3" s="179">
        <v>46226</v>
      </c>
      <c r="N3" s="179">
        <v>46225</v>
      </c>
      <c r="O3" s="179">
        <v>46224</v>
      </c>
      <c r="P3" s="179">
        <v>46220</v>
      </c>
      <c r="Q3" s="179">
        <v>46218</v>
      </c>
      <c r="R3" s="179">
        <v>46217</v>
      </c>
      <c r="S3" s="179">
        <v>46216</v>
      </c>
      <c r="T3" s="179">
        <v>46213</v>
      </c>
      <c r="U3" s="179">
        <v>46212</v>
      </c>
      <c r="V3" s="179">
        <v>46211</v>
      </c>
      <c r="W3" s="179">
        <v>46210</v>
      </c>
      <c r="X3" s="179">
        <v>46209</v>
      </c>
      <c r="Y3" s="179">
        <v>46206</v>
      </c>
      <c r="Z3" s="179">
        <v>46205</v>
      </c>
      <c r="AA3" s="179">
        <v>46204</v>
      </c>
      <c r="AB3" s="179">
        <v>46203</v>
      </c>
      <c r="AC3" s="179">
        <v>46202</v>
      </c>
      <c r="AD3" s="179">
        <v>46199</v>
      </c>
      <c r="AE3" s="179">
        <v>46198</v>
      </c>
      <c r="AF3" s="179">
        <v>46197</v>
      </c>
      <c r="AG3" s="179">
        <v>46196</v>
      </c>
      <c r="AH3" s="179">
        <v>46195</v>
      </c>
      <c r="AI3" s="179">
        <v>46192</v>
      </c>
      <c r="AJ3" s="179">
        <v>46191</v>
      </c>
      <c r="AK3" s="179">
        <v>46190</v>
      </c>
      <c r="AL3" s="179">
        <v>46189</v>
      </c>
      <c r="AM3" s="179">
        <v>46188</v>
      </c>
      <c r="AN3" s="179">
        <v>46185</v>
      </c>
      <c r="AO3" s="179">
        <v>46184</v>
      </c>
      <c r="AP3" s="179">
        <v>46183</v>
      </c>
      <c r="AQ3" s="179">
        <v>46181</v>
      </c>
      <c r="AR3" s="179">
        <v>46178</v>
      </c>
      <c r="AS3" s="179">
        <v>46177</v>
      </c>
      <c r="AT3" s="179">
        <v>46176</v>
      </c>
      <c r="AU3" s="179">
        <v>46175</v>
      </c>
      <c r="AV3" s="179">
        <v>46171</v>
      </c>
      <c r="AW3" s="179">
        <v>46170</v>
      </c>
      <c r="AX3" s="179">
        <v>46169</v>
      </c>
      <c r="AY3" s="179">
        <v>46167</v>
      </c>
      <c r="AZ3" s="179">
        <v>46164</v>
      </c>
      <c r="BA3" s="179">
        <v>46163</v>
      </c>
      <c r="BB3" s="179">
        <v>46162</v>
      </c>
      <c r="BC3" s="179">
        <v>46161</v>
      </c>
      <c r="BD3" s="179">
        <v>46160</v>
      </c>
      <c r="BE3" s="179">
        <v>46157</v>
      </c>
      <c r="BF3" s="179">
        <v>46156</v>
      </c>
      <c r="BG3" s="179">
        <v>46155</v>
      </c>
      <c r="BH3" s="179">
        <v>46154</v>
      </c>
      <c r="BI3" s="179">
        <v>46153</v>
      </c>
      <c r="BJ3" s="179">
        <v>46150</v>
      </c>
      <c r="BK3" s="179">
        <v>46149</v>
      </c>
      <c r="BL3" s="179">
        <v>46143</v>
      </c>
      <c r="BM3" s="895">
        <v>46142</v>
      </c>
      <c r="BN3" s="895">
        <v>46140</v>
      </c>
      <c r="BO3" s="895">
        <v>46139</v>
      </c>
      <c r="BP3" s="895">
        <v>46136</v>
      </c>
      <c r="BQ3" s="895">
        <v>46135</v>
      </c>
      <c r="BR3" s="895">
        <v>46134</v>
      </c>
      <c r="BS3" s="895">
        <v>46133</v>
      </c>
      <c r="BT3" s="895">
        <v>46132</v>
      </c>
      <c r="BU3" s="895">
        <v>46129</v>
      </c>
      <c r="BV3" s="895">
        <v>46128</v>
      </c>
      <c r="BW3" s="895">
        <v>46127</v>
      </c>
      <c r="BX3" s="895">
        <v>46126</v>
      </c>
      <c r="BY3" s="895">
        <v>46125</v>
      </c>
      <c r="BZ3" s="895">
        <v>46122</v>
      </c>
      <c r="CA3" s="895"/>
      <c r="CB3" s="895"/>
      <c r="CC3" s="895"/>
      <c r="CD3" s="895"/>
      <c r="CE3" s="895"/>
      <c r="CF3" s="895"/>
      <c r="CG3" s="895"/>
      <c r="CH3" s="895"/>
      <c r="CI3" s="895"/>
      <c r="CJ3" s="895"/>
      <c r="CK3" s="895"/>
      <c r="CL3" s="895"/>
      <c r="CM3" s="895"/>
      <c r="CN3" s="895"/>
      <c r="CO3" s="895"/>
      <c r="CP3" s="895"/>
      <c r="CQ3" s="895"/>
      <c r="CR3" s="895"/>
      <c r="CS3" s="895"/>
      <c r="CT3" s="895"/>
      <c r="CU3" s="895"/>
      <c r="CV3" s="895"/>
      <c r="CW3" s="895"/>
      <c r="CX3" s="895"/>
      <c r="CY3" s="895"/>
      <c r="CZ3" s="895"/>
    </row>
    <row r="4" spans="1:10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15.9" customHeight="1">
      <c r="A5" s="24" t="str">
        <f>IF(銘柄管理!B5="","",銘柄管理!B5)</f>
        <v>TOPX</v>
      </c>
      <c r="B5" s="25">
        <f>IF(銘柄管理!C5="","",銘柄管理!C5)</f>
        <v>4037.09</v>
      </c>
      <c r="C5" s="26">
        <f t="array" ref="C5">_xll.RssIndexMarket("TOPX", "高値")</f>
        <v>4037.29</v>
      </c>
      <c r="D5" s="27">
        <f>IF(OR(C5=0,E5=0),"",C5-E5)</f>
        <v>68.059999999999945</v>
      </c>
      <c r="E5" s="28">
        <v>3969.23</v>
      </c>
      <c r="F5" s="28">
        <v>3965.39</v>
      </c>
      <c r="G5" s="28">
        <v>4052.27</v>
      </c>
      <c r="H5" s="28">
        <v>3982.7</v>
      </c>
      <c r="I5" s="28">
        <v>3990.49</v>
      </c>
      <c r="J5" s="28">
        <v>4042.49</v>
      </c>
      <c r="K5" s="28">
        <v>4066.26</v>
      </c>
      <c r="L5" s="28">
        <v>4019.57</v>
      </c>
      <c r="M5" s="28">
        <v>4066.98</v>
      </c>
      <c r="N5" s="28">
        <v>4070.43</v>
      </c>
      <c r="O5" s="28">
        <v>4014.95</v>
      </c>
      <c r="P5" s="28">
        <v>4017.29</v>
      </c>
      <c r="Q5" s="28">
        <v>4088.12</v>
      </c>
      <c r="R5" s="28">
        <v>4047.12</v>
      </c>
      <c r="S5" s="28">
        <v>4073.79</v>
      </c>
      <c r="T5" s="28">
        <v>4061</v>
      </c>
      <c r="U5" s="28">
        <v>4035.46</v>
      </c>
      <c r="V5" s="28">
        <v>4065.09</v>
      </c>
      <c r="W5" s="28">
        <v>4137.62</v>
      </c>
      <c r="X5" s="28">
        <v>4109.6099999999997</v>
      </c>
      <c r="Y5" s="28">
        <v>4064.6</v>
      </c>
      <c r="Z5" s="28">
        <v>4052.98</v>
      </c>
      <c r="AA5" s="28">
        <v>4050.33</v>
      </c>
      <c r="AB5" s="28">
        <v>4020.32</v>
      </c>
      <c r="AC5" s="28">
        <v>3995.57</v>
      </c>
      <c r="AD5" s="28">
        <v>4016.25</v>
      </c>
      <c r="AE5" s="28">
        <v>4032.66</v>
      </c>
      <c r="AF5" s="28">
        <v>4007.63</v>
      </c>
      <c r="AG5" s="28">
        <v>4097.01</v>
      </c>
      <c r="AH5" s="28">
        <v>4103.76</v>
      </c>
      <c r="AI5" s="28">
        <v>4086.96</v>
      </c>
      <c r="AJ5" s="28">
        <v>4088.25</v>
      </c>
      <c r="AK5" s="28">
        <v>4035.32</v>
      </c>
      <c r="AL5" s="28">
        <v>4008.81</v>
      </c>
      <c r="AM5" s="28">
        <v>4032.39</v>
      </c>
      <c r="AN5" s="28">
        <v>3924.34</v>
      </c>
      <c r="AO5" s="28">
        <v>3836.12</v>
      </c>
      <c r="AP5" s="28">
        <v>3894.24</v>
      </c>
      <c r="AQ5" s="29">
        <v>3923.62</v>
      </c>
      <c r="AR5" s="29">
        <v>3966.32</v>
      </c>
      <c r="AS5" s="29">
        <v>3970.82</v>
      </c>
      <c r="AT5" s="29">
        <v>4015.72</v>
      </c>
      <c r="AU5" s="29">
        <v>3924.26</v>
      </c>
      <c r="AV5" s="29">
        <v>3984.58</v>
      </c>
      <c r="AW5" s="29">
        <v>3915.5</v>
      </c>
      <c r="AX5" s="29">
        <v>3971.77</v>
      </c>
      <c r="AY5" s="29">
        <v>3953.89</v>
      </c>
      <c r="AZ5" s="29">
        <v>3905.13</v>
      </c>
      <c r="BA5" s="29">
        <v>3878.24</v>
      </c>
      <c r="BB5" s="29">
        <v>3852.29</v>
      </c>
      <c r="BC5" s="29">
        <v>3877.84</v>
      </c>
      <c r="BD5" s="29">
        <v>3870.65</v>
      </c>
      <c r="BE5" s="29">
        <v>3927.98</v>
      </c>
      <c r="BF5" s="29">
        <v>3919.72</v>
      </c>
      <c r="BG5" s="29"/>
      <c r="BH5" s="29"/>
      <c r="BI5" s="29"/>
      <c r="BJ5" s="29"/>
      <c r="BK5" s="29"/>
      <c r="BL5" s="30"/>
    </row>
    <row r="6" spans="1:104" ht="15.9" customHeight="1">
      <c r="A6" s="65" t="s">
        <v>7</v>
      </c>
      <c r="B6" s="25" t="s">
        <v>8</v>
      </c>
      <c r="C6" s="39">
        <f>_xll.RssMarket("5706","高値")</f>
        <v>35270</v>
      </c>
      <c r="D6" s="38">
        <f t="shared" ref="D6:D37" si="0">C6-E6</f>
        <v>3240</v>
      </c>
      <c r="E6" s="32">
        <v>32030</v>
      </c>
      <c r="F6" s="32">
        <v>31270</v>
      </c>
      <c r="G6" s="32">
        <v>31970</v>
      </c>
      <c r="H6" s="32">
        <v>28080</v>
      </c>
      <c r="I6" s="32">
        <v>28435</v>
      </c>
      <c r="J6" s="32">
        <v>29995</v>
      </c>
      <c r="K6" s="32">
        <v>32230</v>
      </c>
      <c r="L6" s="32">
        <v>33660</v>
      </c>
      <c r="M6" s="32">
        <v>35210</v>
      </c>
      <c r="N6" s="32">
        <v>35290</v>
      </c>
      <c r="O6" s="32">
        <v>31400</v>
      </c>
      <c r="P6" s="32">
        <v>30760</v>
      </c>
      <c r="Q6" s="32">
        <v>35830</v>
      </c>
      <c r="R6" s="32">
        <v>35090</v>
      </c>
      <c r="S6" s="32">
        <v>37100</v>
      </c>
      <c r="T6" s="32">
        <v>37640</v>
      </c>
      <c r="U6" s="32">
        <v>36120</v>
      </c>
      <c r="V6" s="32">
        <v>36080</v>
      </c>
      <c r="W6" s="32">
        <v>37640</v>
      </c>
      <c r="X6" s="32">
        <v>39060</v>
      </c>
      <c r="Y6" s="32">
        <v>38860</v>
      </c>
      <c r="Z6" s="32">
        <v>41540</v>
      </c>
      <c r="AA6" s="32">
        <v>44590</v>
      </c>
      <c r="AB6" s="32">
        <v>43020</v>
      </c>
      <c r="AC6" s="32">
        <v>42500</v>
      </c>
      <c r="AD6" s="32">
        <v>45570</v>
      </c>
      <c r="AE6" s="32">
        <v>47690</v>
      </c>
      <c r="AF6" s="32">
        <v>48370</v>
      </c>
      <c r="AG6" s="32">
        <v>54440</v>
      </c>
      <c r="AH6" s="32">
        <v>53570</v>
      </c>
      <c r="AI6" s="32">
        <v>50670</v>
      </c>
      <c r="AJ6" s="32">
        <v>49700</v>
      </c>
      <c r="AK6" s="32">
        <v>48750</v>
      </c>
      <c r="AL6" s="32">
        <v>48750</v>
      </c>
      <c r="AM6" s="32">
        <v>46950</v>
      </c>
      <c r="AN6" s="32">
        <v>44240</v>
      </c>
      <c r="AO6" s="32">
        <v>37840</v>
      </c>
      <c r="AP6" s="33">
        <v>39110</v>
      </c>
      <c r="AQ6" s="34">
        <v>41930</v>
      </c>
      <c r="AR6" s="29">
        <v>45130</v>
      </c>
      <c r="AS6" s="29">
        <v>47390</v>
      </c>
      <c r="AT6" s="29">
        <v>50870</v>
      </c>
      <c r="AU6" s="29">
        <v>53290</v>
      </c>
      <c r="AV6" s="29">
        <v>51920</v>
      </c>
      <c r="AW6" s="29">
        <v>51140</v>
      </c>
      <c r="AX6" s="29">
        <v>57700</v>
      </c>
      <c r="AY6" s="29">
        <v>53990</v>
      </c>
      <c r="AZ6" s="29">
        <v>50610</v>
      </c>
      <c r="BA6" s="29">
        <v>48130</v>
      </c>
      <c r="BB6" s="29">
        <v>45110</v>
      </c>
      <c r="BC6" s="29">
        <v>48200</v>
      </c>
      <c r="BD6" s="29">
        <v>49590</v>
      </c>
      <c r="BE6" s="29">
        <v>51200</v>
      </c>
      <c r="BF6" s="29">
        <v>53340</v>
      </c>
      <c r="BG6" s="29">
        <v>55860</v>
      </c>
      <c r="BH6" s="29">
        <v>52970</v>
      </c>
      <c r="BI6" s="29">
        <v>53200</v>
      </c>
      <c r="BJ6" s="29">
        <v>50000</v>
      </c>
      <c r="BK6" s="29">
        <v>48060</v>
      </c>
      <c r="BL6" s="30">
        <v>42950</v>
      </c>
      <c r="BM6" s="1">
        <v>42880</v>
      </c>
      <c r="BN6" s="1">
        <v>41670</v>
      </c>
      <c r="BO6" s="1">
        <v>40050</v>
      </c>
      <c r="BP6" s="1">
        <v>39290</v>
      </c>
      <c r="BQ6" s="1">
        <v>39060</v>
      </c>
      <c r="BR6" s="1">
        <v>38570</v>
      </c>
      <c r="BS6" s="1">
        <v>37550</v>
      </c>
      <c r="BT6" s="1">
        <v>36650</v>
      </c>
      <c r="BU6" s="1">
        <v>37600</v>
      </c>
      <c r="BV6" s="1">
        <v>38050</v>
      </c>
      <c r="BW6" s="1">
        <v>39830</v>
      </c>
      <c r="BX6" s="1">
        <v>38730</v>
      </c>
      <c r="BY6" s="1">
        <v>36980</v>
      </c>
      <c r="BZ6" s="1">
        <v>37200</v>
      </c>
    </row>
    <row r="7" spans="1:104" ht="15.9" customHeight="1">
      <c r="A7" s="65" t="s">
        <v>9</v>
      </c>
      <c r="B7" s="25" t="s">
        <v>10</v>
      </c>
      <c r="C7" s="39">
        <f>_xll.RssMarket("5423","高値")</f>
        <v>1722</v>
      </c>
      <c r="D7" s="38">
        <f t="shared" si="0"/>
        <v>9</v>
      </c>
      <c r="E7" s="32">
        <v>1713</v>
      </c>
      <c r="F7" s="32">
        <v>1763</v>
      </c>
      <c r="G7" s="32">
        <v>1784</v>
      </c>
      <c r="H7" s="32">
        <v>1773</v>
      </c>
      <c r="I7" s="32">
        <v>1805</v>
      </c>
      <c r="J7" s="32">
        <v>1793</v>
      </c>
      <c r="K7" s="32">
        <v>1744</v>
      </c>
      <c r="L7" s="32">
        <v>1714</v>
      </c>
      <c r="M7" s="32">
        <v>1726</v>
      </c>
      <c r="N7" s="32">
        <v>1735</v>
      </c>
      <c r="O7" s="32">
        <v>1753</v>
      </c>
      <c r="P7" s="32">
        <v>1789</v>
      </c>
      <c r="Q7" s="32">
        <v>1781</v>
      </c>
      <c r="R7" s="32">
        <v>1789</v>
      </c>
      <c r="S7" s="32">
        <v>1750</v>
      </c>
      <c r="T7" s="32">
        <v>1730</v>
      </c>
      <c r="U7" s="32">
        <v>1750</v>
      </c>
      <c r="V7" s="32">
        <v>1770</v>
      </c>
      <c r="W7" s="32">
        <v>1768</v>
      </c>
      <c r="X7" s="32">
        <v>1778</v>
      </c>
      <c r="Y7" s="32">
        <v>1750</v>
      </c>
      <c r="Z7" s="32">
        <v>1723</v>
      </c>
      <c r="AA7" s="32">
        <v>1714</v>
      </c>
      <c r="AB7" s="32">
        <v>1697</v>
      </c>
      <c r="AC7" s="32">
        <v>1692</v>
      </c>
      <c r="AD7" s="32">
        <v>1691</v>
      </c>
      <c r="AE7" s="32">
        <v>1719</v>
      </c>
      <c r="AF7" s="32">
        <v>1737</v>
      </c>
      <c r="AG7" s="32">
        <v>1798</v>
      </c>
      <c r="AH7" s="32">
        <v>1807</v>
      </c>
      <c r="AI7" s="32">
        <v>1770</v>
      </c>
      <c r="AJ7" s="32">
        <v>1793</v>
      </c>
      <c r="AK7" s="32">
        <v>1788</v>
      </c>
      <c r="AL7" s="32">
        <v>1750</v>
      </c>
      <c r="AM7" s="32">
        <v>1760</v>
      </c>
      <c r="AN7" s="32">
        <v>1750</v>
      </c>
      <c r="AO7" s="32">
        <v>1690</v>
      </c>
      <c r="AP7" s="33">
        <v>1684</v>
      </c>
      <c r="AQ7" s="34">
        <v>1735</v>
      </c>
      <c r="AR7" s="29">
        <v>1703</v>
      </c>
      <c r="AS7" s="29">
        <v>1727</v>
      </c>
      <c r="AT7" s="29">
        <v>1719</v>
      </c>
      <c r="AU7" s="29">
        <v>1704</v>
      </c>
      <c r="AV7" s="29">
        <v>1758</v>
      </c>
      <c r="AW7" s="29">
        <v>1714</v>
      </c>
      <c r="AX7" s="29">
        <v>1727</v>
      </c>
      <c r="AY7" s="29">
        <v>1732</v>
      </c>
      <c r="AZ7" s="29">
        <v>1755</v>
      </c>
      <c r="BA7" s="29">
        <v>1775</v>
      </c>
      <c r="BB7" s="29">
        <v>1758</v>
      </c>
      <c r="BC7" s="29">
        <v>1814</v>
      </c>
      <c r="BD7" s="29">
        <v>1821</v>
      </c>
      <c r="BE7" s="29">
        <v>1887</v>
      </c>
      <c r="BF7" s="29">
        <v>1850</v>
      </c>
      <c r="BG7" s="29">
        <v>1724</v>
      </c>
      <c r="BH7" s="29">
        <v>1700</v>
      </c>
      <c r="BI7" s="29">
        <v>1678</v>
      </c>
      <c r="BJ7" s="29">
        <v>1710</v>
      </c>
      <c r="BK7" s="29">
        <v>1707</v>
      </c>
      <c r="BL7" s="30">
        <v>1697</v>
      </c>
      <c r="BM7" s="1">
        <v>1713</v>
      </c>
      <c r="BN7" s="1">
        <v>1706</v>
      </c>
      <c r="BO7" s="1">
        <v>1750</v>
      </c>
      <c r="BP7" s="1">
        <v>1802</v>
      </c>
      <c r="BQ7" s="1">
        <v>1804</v>
      </c>
      <c r="BR7" s="1">
        <v>1840</v>
      </c>
      <c r="BS7" s="1">
        <v>1862</v>
      </c>
      <c r="BT7" s="1">
        <v>1813</v>
      </c>
      <c r="BU7" s="1">
        <v>1799</v>
      </c>
      <c r="BV7" s="1">
        <v>1793</v>
      </c>
      <c r="BW7" s="1">
        <v>1740</v>
      </c>
      <c r="BX7" s="1">
        <v>1755</v>
      </c>
      <c r="BY7" s="1">
        <v>1745</v>
      </c>
      <c r="BZ7" s="1">
        <v>1794</v>
      </c>
    </row>
    <row r="8" spans="1:104" ht="15.9" customHeight="1">
      <c r="A8" s="65" t="s">
        <v>11</v>
      </c>
      <c r="B8" s="25" t="s">
        <v>12</v>
      </c>
      <c r="C8" s="39">
        <f>_xll.RssMarket("5713","高値")</f>
        <v>8574</v>
      </c>
      <c r="D8" s="38">
        <f t="shared" si="0"/>
        <v>459</v>
      </c>
      <c r="E8" s="35">
        <v>8115</v>
      </c>
      <c r="F8" s="35">
        <v>8022</v>
      </c>
      <c r="G8" s="35">
        <v>8292</v>
      </c>
      <c r="H8" s="35">
        <v>7502</v>
      </c>
      <c r="I8" s="35">
        <v>7453</v>
      </c>
      <c r="J8" s="35">
        <v>7502</v>
      </c>
      <c r="K8" s="35">
        <v>7787</v>
      </c>
      <c r="L8" s="35">
        <v>7722</v>
      </c>
      <c r="M8" s="35">
        <v>7952</v>
      </c>
      <c r="N8" s="35">
        <v>7686</v>
      </c>
      <c r="O8" s="35">
        <v>7317</v>
      </c>
      <c r="P8" s="35">
        <v>7100</v>
      </c>
      <c r="Q8" s="35">
        <v>7509</v>
      </c>
      <c r="R8" s="35">
        <v>7450</v>
      </c>
      <c r="S8" s="35">
        <v>7382</v>
      </c>
      <c r="T8" s="35">
        <v>7366</v>
      </c>
      <c r="U8" s="35">
        <v>7354</v>
      </c>
      <c r="V8" s="35">
        <v>7579</v>
      </c>
      <c r="W8" s="35">
        <v>7849</v>
      </c>
      <c r="X8" s="35">
        <v>8090</v>
      </c>
      <c r="Y8" s="35">
        <v>7969</v>
      </c>
      <c r="Z8" s="35">
        <v>7739</v>
      </c>
      <c r="AA8" s="35">
        <v>7551</v>
      </c>
      <c r="AB8" s="35">
        <v>7610</v>
      </c>
      <c r="AC8" s="35">
        <v>7617</v>
      </c>
      <c r="AD8" s="35">
        <v>7763</v>
      </c>
      <c r="AE8" s="35">
        <v>7900</v>
      </c>
      <c r="AF8" s="35">
        <v>8282</v>
      </c>
      <c r="AG8" s="35">
        <v>8939</v>
      </c>
      <c r="AH8" s="35">
        <v>8934</v>
      </c>
      <c r="AI8" s="35">
        <v>8990</v>
      </c>
      <c r="AJ8" s="35">
        <v>9406</v>
      </c>
      <c r="AK8" s="35">
        <v>9255</v>
      </c>
      <c r="AL8" s="35">
        <v>9340</v>
      </c>
      <c r="AM8" s="35">
        <v>9244</v>
      </c>
      <c r="AN8" s="35">
        <v>8674</v>
      </c>
      <c r="AO8" s="35">
        <v>7796</v>
      </c>
      <c r="AP8" s="33">
        <v>8026</v>
      </c>
      <c r="AQ8" s="34">
        <v>8211</v>
      </c>
      <c r="AR8" s="29">
        <v>8792</v>
      </c>
      <c r="AS8" s="29">
        <v>8929</v>
      </c>
      <c r="AT8" s="29">
        <v>9382</v>
      </c>
      <c r="AU8" s="29">
        <v>8880</v>
      </c>
      <c r="AV8" s="29">
        <v>9222</v>
      </c>
      <c r="AW8" s="29">
        <v>9450</v>
      </c>
      <c r="AX8" s="29">
        <v>10360</v>
      </c>
      <c r="AY8" s="29">
        <v>9940</v>
      </c>
      <c r="AZ8" s="29">
        <v>9636</v>
      </c>
      <c r="BA8" s="29">
        <v>9387</v>
      </c>
      <c r="BB8" s="29">
        <v>9201</v>
      </c>
      <c r="BC8" s="29">
        <v>9558</v>
      </c>
      <c r="BD8" s="29">
        <v>10010</v>
      </c>
      <c r="BE8" s="29">
        <v>11180</v>
      </c>
      <c r="BF8" s="29">
        <v>11140</v>
      </c>
      <c r="BG8" s="29">
        <v>11145</v>
      </c>
      <c r="BH8" s="29">
        <v>10995</v>
      </c>
      <c r="BI8" s="29">
        <v>10765</v>
      </c>
      <c r="BJ8" s="29">
        <v>10615</v>
      </c>
      <c r="BK8" s="29">
        <v>10140</v>
      </c>
      <c r="BL8" s="30">
        <v>9629</v>
      </c>
      <c r="BM8" s="1">
        <v>9474</v>
      </c>
      <c r="BN8" s="1">
        <v>9989</v>
      </c>
      <c r="BO8" s="1">
        <v>9777</v>
      </c>
      <c r="BP8" s="1">
        <v>9864</v>
      </c>
      <c r="BQ8" s="1">
        <v>10315</v>
      </c>
      <c r="BR8" s="1">
        <v>10050</v>
      </c>
      <c r="BS8" s="1">
        <v>10290</v>
      </c>
      <c r="BT8" s="1">
        <v>10215</v>
      </c>
      <c r="BU8" s="1">
        <v>10780</v>
      </c>
      <c r="BV8" s="1">
        <v>11050</v>
      </c>
      <c r="BW8" s="1">
        <v>11150</v>
      </c>
      <c r="BX8" s="1">
        <v>10415</v>
      </c>
      <c r="BY8" s="1">
        <v>10180</v>
      </c>
      <c r="BZ8" s="1">
        <v>10085</v>
      </c>
    </row>
    <row r="9" spans="1:104" ht="15.9" customHeight="1">
      <c r="A9" s="65" t="s">
        <v>13</v>
      </c>
      <c r="B9" s="25" t="s">
        <v>14</v>
      </c>
      <c r="C9" s="39">
        <f>_xll.RssMarket("5711","高値")</f>
        <v>4404</v>
      </c>
      <c r="D9" s="38">
        <f t="shared" si="0"/>
        <v>200</v>
      </c>
      <c r="E9" s="29">
        <v>4204</v>
      </c>
      <c r="F9" s="29">
        <v>4193</v>
      </c>
      <c r="G9" s="29">
        <v>4248</v>
      </c>
      <c r="H9" s="36">
        <v>4026</v>
      </c>
      <c r="I9" s="33">
        <v>4065</v>
      </c>
      <c r="J9" s="33">
        <v>4154</v>
      </c>
      <c r="K9" s="33">
        <v>4242</v>
      </c>
      <c r="L9" s="33">
        <v>4249</v>
      </c>
      <c r="M9" s="33">
        <v>4333</v>
      </c>
      <c r="N9" s="33">
        <v>4330</v>
      </c>
      <c r="O9" s="33">
        <v>4124</v>
      </c>
      <c r="P9" s="33">
        <v>4110</v>
      </c>
      <c r="Q9" s="33">
        <v>4313</v>
      </c>
      <c r="R9" s="33">
        <v>4160</v>
      </c>
      <c r="S9" s="33">
        <v>4140</v>
      </c>
      <c r="T9" s="33">
        <v>4092</v>
      </c>
      <c r="U9" s="33">
        <v>4075</v>
      </c>
      <c r="V9" s="33">
        <v>4356</v>
      </c>
      <c r="W9" s="33">
        <v>4600</v>
      </c>
      <c r="X9" s="33">
        <v>4654</v>
      </c>
      <c r="Y9" s="33">
        <v>4566</v>
      </c>
      <c r="Z9" s="33">
        <v>4499</v>
      </c>
      <c r="AA9" s="33">
        <v>4399</v>
      </c>
      <c r="AB9" s="33">
        <v>4400</v>
      </c>
      <c r="AC9" s="33">
        <v>4331</v>
      </c>
      <c r="AD9" s="33">
        <v>4453</v>
      </c>
      <c r="AE9" s="33">
        <v>4638</v>
      </c>
      <c r="AF9" s="33">
        <v>4693</v>
      </c>
      <c r="AG9" s="33">
        <v>4950</v>
      </c>
      <c r="AH9" s="33">
        <v>4990</v>
      </c>
      <c r="AI9" s="33">
        <v>4908</v>
      </c>
      <c r="AJ9" s="33">
        <v>4968</v>
      </c>
      <c r="AK9" s="33">
        <v>4965</v>
      </c>
      <c r="AL9" s="33">
        <v>5050</v>
      </c>
      <c r="AM9" s="33">
        <v>5007</v>
      </c>
      <c r="AN9" s="33">
        <v>4648</v>
      </c>
      <c r="AO9" s="33">
        <v>4443</v>
      </c>
      <c r="AP9" s="33">
        <v>4592</v>
      </c>
      <c r="AQ9" s="34">
        <v>4750</v>
      </c>
      <c r="AR9" s="29">
        <v>4957</v>
      </c>
      <c r="AS9" s="29">
        <v>5074</v>
      </c>
      <c r="AT9" s="29">
        <v>5298</v>
      </c>
      <c r="AU9" s="29">
        <v>5066</v>
      </c>
      <c r="AV9" s="29">
        <v>5263</v>
      </c>
      <c r="AW9" s="29">
        <v>5224</v>
      </c>
      <c r="AX9" s="29">
        <v>5565</v>
      </c>
      <c r="AY9" s="29">
        <v>5280</v>
      </c>
      <c r="AZ9" s="29">
        <v>5142</v>
      </c>
      <c r="BA9" s="29">
        <v>4946</v>
      </c>
      <c r="BB9" s="29">
        <v>4879</v>
      </c>
      <c r="BC9" s="29">
        <v>5050</v>
      </c>
      <c r="BD9" s="29">
        <v>5264</v>
      </c>
      <c r="BE9" s="29">
        <v>5516</v>
      </c>
      <c r="BF9" s="29">
        <v>5646</v>
      </c>
      <c r="BG9" s="29">
        <v>6113</v>
      </c>
      <c r="BH9" s="29">
        <v>5838</v>
      </c>
      <c r="BI9" s="29">
        <v>5698</v>
      </c>
      <c r="BJ9" s="29">
        <v>5562</v>
      </c>
      <c r="BK9" s="29">
        <v>5353</v>
      </c>
      <c r="BL9" s="30">
        <v>5153</v>
      </c>
      <c r="BM9" s="1">
        <v>5092</v>
      </c>
      <c r="BN9" s="1">
        <v>5227</v>
      </c>
      <c r="BO9" s="1">
        <v>5236</v>
      </c>
      <c r="BP9" s="1">
        <v>5328</v>
      </c>
      <c r="BQ9" s="1">
        <v>5435</v>
      </c>
      <c r="BR9" s="1">
        <v>5460</v>
      </c>
      <c r="BS9" s="1">
        <v>5581</v>
      </c>
      <c r="BT9" s="1">
        <v>5595</v>
      </c>
      <c r="BU9" s="1">
        <v>5739</v>
      </c>
      <c r="BV9" s="1">
        <v>5784</v>
      </c>
      <c r="BW9" s="1">
        <v>5795</v>
      </c>
      <c r="BX9" s="1">
        <v>5742</v>
      </c>
      <c r="BY9" s="1">
        <v>5580</v>
      </c>
      <c r="BZ9" s="1">
        <v>5615</v>
      </c>
    </row>
    <row r="10" spans="1:104" ht="15.9" customHeight="1">
      <c r="A10" s="65" t="s">
        <v>15</v>
      </c>
      <c r="B10" s="25" t="s">
        <v>16</v>
      </c>
      <c r="C10" s="39">
        <f>_xll.RssMarket("5714","高値")</f>
        <v>8628</v>
      </c>
      <c r="D10" s="38">
        <f t="shared" si="0"/>
        <v>323</v>
      </c>
      <c r="E10" s="29">
        <v>8305</v>
      </c>
      <c r="F10" s="29">
        <v>8207</v>
      </c>
      <c r="G10" s="29">
        <v>8343</v>
      </c>
      <c r="H10" s="29">
        <v>8116</v>
      </c>
      <c r="I10" s="29">
        <v>8123</v>
      </c>
      <c r="J10" s="29">
        <v>8243</v>
      </c>
      <c r="K10" s="29">
        <v>8432</v>
      </c>
      <c r="L10" s="29">
        <v>8391</v>
      </c>
      <c r="M10" s="29">
        <v>8601</v>
      </c>
      <c r="N10" s="29">
        <v>8657</v>
      </c>
      <c r="O10" s="29">
        <v>8327</v>
      </c>
      <c r="P10" s="29">
        <v>8245</v>
      </c>
      <c r="Q10" s="29">
        <v>8530</v>
      </c>
      <c r="R10" s="29">
        <v>8419</v>
      </c>
      <c r="S10" s="29">
        <v>8506</v>
      </c>
      <c r="T10" s="29">
        <v>8490</v>
      </c>
      <c r="U10" s="29">
        <v>8429</v>
      </c>
      <c r="V10" s="29">
        <v>8598</v>
      </c>
      <c r="W10" s="29">
        <v>8891</v>
      </c>
      <c r="X10" s="29">
        <v>9020</v>
      </c>
      <c r="Y10" s="29">
        <v>8971</v>
      </c>
      <c r="Z10" s="29">
        <v>8918</v>
      </c>
      <c r="AA10" s="29">
        <v>8749</v>
      </c>
      <c r="AB10" s="29">
        <v>8850</v>
      </c>
      <c r="AC10" s="29">
        <v>8870</v>
      </c>
      <c r="AD10" s="29">
        <v>8806</v>
      </c>
      <c r="AE10" s="29">
        <v>9001</v>
      </c>
      <c r="AF10" s="29">
        <v>9250</v>
      </c>
      <c r="AG10" s="29">
        <v>9744</v>
      </c>
      <c r="AH10" s="29">
        <v>9763</v>
      </c>
      <c r="AI10" s="29">
        <v>9607</v>
      </c>
      <c r="AJ10" s="29">
        <v>9864</v>
      </c>
      <c r="AK10" s="29">
        <v>9927</v>
      </c>
      <c r="AL10" s="29">
        <v>9915</v>
      </c>
      <c r="AM10" s="29">
        <v>9919</v>
      </c>
      <c r="AN10" s="29">
        <v>9464</v>
      </c>
      <c r="AO10" s="29">
        <v>8955</v>
      </c>
      <c r="AP10" s="29">
        <v>9159</v>
      </c>
      <c r="AQ10" s="29">
        <v>9718</v>
      </c>
      <c r="AR10" s="29">
        <v>10105</v>
      </c>
      <c r="AS10" s="29">
        <v>10180</v>
      </c>
      <c r="AT10" s="29">
        <v>10570</v>
      </c>
      <c r="AU10" s="29">
        <v>10275</v>
      </c>
      <c r="AV10" s="29">
        <v>10700</v>
      </c>
      <c r="AW10" s="29">
        <v>10805</v>
      </c>
      <c r="AX10" s="29">
        <v>11170</v>
      </c>
      <c r="AY10" s="29">
        <v>11090</v>
      </c>
      <c r="AZ10" s="29">
        <v>10485</v>
      </c>
      <c r="BA10" s="29">
        <v>10355</v>
      </c>
      <c r="BB10" s="29">
        <v>10235</v>
      </c>
      <c r="BC10" s="29">
        <v>11125</v>
      </c>
      <c r="BD10" s="29">
        <v>11550</v>
      </c>
      <c r="BE10" s="29">
        <v>12380</v>
      </c>
      <c r="BF10" s="29">
        <v>10555</v>
      </c>
      <c r="BG10" s="29">
        <v>10685</v>
      </c>
      <c r="BH10" s="29">
        <v>10640</v>
      </c>
      <c r="BI10" s="29">
        <v>10565</v>
      </c>
      <c r="BJ10" s="29">
        <v>10180</v>
      </c>
      <c r="BK10" s="29">
        <v>9878</v>
      </c>
      <c r="BL10" s="30">
        <v>9574</v>
      </c>
      <c r="BM10" s="1">
        <v>9566</v>
      </c>
      <c r="BN10" s="1">
        <v>9740</v>
      </c>
      <c r="BO10" s="1">
        <v>9653</v>
      </c>
      <c r="BP10" s="1">
        <v>9742</v>
      </c>
      <c r="BQ10" s="1">
        <v>9903</v>
      </c>
      <c r="BR10" s="1">
        <v>9827</v>
      </c>
      <c r="BS10" s="1">
        <v>9998</v>
      </c>
      <c r="BT10" s="1">
        <v>10040</v>
      </c>
      <c r="BU10" s="1">
        <v>10215</v>
      </c>
      <c r="BV10" s="1">
        <v>10385</v>
      </c>
      <c r="BW10" s="1">
        <v>10295</v>
      </c>
      <c r="BX10" s="1">
        <v>10060</v>
      </c>
      <c r="BY10" s="1">
        <v>9791</v>
      </c>
      <c r="BZ10" s="1">
        <v>9900</v>
      </c>
    </row>
    <row r="11" spans="1:104" ht="15.9" customHeight="1">
      <c r="A11" s="65" t="s">
        <v>17</v>
      </c>
      <c r="B11" s="25" t="s">
        <v>18</v>
      </c>
      <c r="C11" s="39">
        <f>_xll.RssMarket("6701","高値")</f>
        <v>4753</v>
      </c>
      <c r="D11" s="38">
        <f t="shared" si="0"/>
        <v>-65</v>
      </c>
      <c r="E11" s="29">
        <v>4818</v>
      </c>
      <c r="F11" s="29">
        <v>4832</v>
      </c>
      <c r="G11" s="29">
        <v>4858</v>
      </c>
      <c r="H11" s="29">
        <v>5104</v>
      </c>
      <c r="I11" s="29">
        <v>4613</v>
      </c>
      <c r="J11" s="29">
        <v>4508</v>
      </c>
      <c r="K11" s="29">
        <v>4445</v>
      </c>
      <c r="L11" s="29">
        <v>4279</v>
      </c>
      <c r="M11" s="29">
        <v>4295</v>
      </c>
      <c r="N11" s="29">
        <v>4369</v>
      </c>
      <c r="O11" s="29">
        <v>4497</v>
      </c>
      <c r="P11" s="29">
        <v>4472</v>
      </c>
      <c r="Q11" s="29">
        <v>4312</v>
      </c>
      <c r="R11" s="29">
        <v>4525</v>
      </c>
      <c r="S11" s="29">
        <v>4355</v>
      </c>
      <c r="T11" s="29">
        <v>4368</v>
      </c>
      <c r="U11" s="29">
        <v>4422</v>
      </c>
      <c r="V11" s="29">
        <v>4444</v>
      </c>
      <c r="W11" s="29">
        <v>4409</v>
      </c>
      <c r="X11" s="29">
        <v>4355</v>
      </c>
      <c r="Y11" s="29">
        <v>4307</v>
      </c>
      <c r="Z11" s="29">
        <v>4298</v>
      </c>
      <c r="AA11" s="29">
        <v>4037</v>
      </c>
      <c r="AB11" s="29">
        <v>4074</v>
      </c>
      <c r="AC11" s="29">
        <v>4050</v>
      </c>
      <c r="AD11" s="29">
        <v>3818</v>
      </c>
      <c r="AE11" s="29">
        <v>3822</v>
      </c>
      <c r="AF11" s="29">
        <v>3885</v>
      </c>
      <c r="AG11" s="29">
        <v>3726</v>
      </c>
      <c r="AH11" s="29">
        <v>3778</v>
      </c>
      <c r="AI11" s="29">
        <v>3789</v>
      </c>
      <c r="AJ11" s="29">
        <v>4020</v>
      </c>
      <c r="AK11" s="29">
        <v>3891</v>
      </c>
      <c r="AL11" s="29">
        <v>3860</v>
      </c>
      <c r="AM11" s="29">
        <v>3930</v>
      </c>
      <c r="AN11" s="29">
        <v>4027</v>
      </c>
      <c r="AO11" s="29">
        <v>4107</v>
      </c>
      <c r="AP11" s="29">
        <v>4080</v>
      </c>
      <c r="AQ11" s="29">
        <v>4236</v>
      </c>
      <c r="AR11" s="29">
        <v>4315</v>
      </c>
      <c r="AS11" s="29">
        <v>4292</v>
      </c>
      <c r="AT11" s="29">
        <v>4314</v>
      </c>
      <c r="AU11" s="29">
        <v>4470</v>
      </c>
      <c r="AV11" s="29">
        <v>4277</v>
      </c>
      <c r="AW11" s="29">
        <v>4201</v>
      </c>
      <c r="AX11" s="29">
        <v>4154</v>
      </c>
      <c r="AY11" s="29">
        <v>4143</v>
      </c>
      <c r="AZ11" s="29">
        <v>4155</v>
      </c>
      <c r="BA11" s="29">
        <v>4245</v>
      </c>
      <c r="BB11" s="29">
        <v>4312</v>
      </c>
      <c r="BC11" s="29">
        <v>4372</v>
      </c>
      <c r="BD11" s="29">
        <v>4184</v>
      </c>
      <c r="BE11" s="29">
        <v>4142</v>
      </c>
      <c r="BF11" s="29">
        <v>4115</v>
      </c>
      <c r="BG11" s="29">
        <v>4359</v>
      </c>
      <c r="BH11" s="29">
        <v>4172</v>
      </c>
      <c r="BI11" s="29">
        <v>4172</v>
      </c>
      <c r="BJ11" s="29">
        <v>4246</v>
      </c>
      <c r="BK11" s="29">
        <v>4110</v>
      </c>
      <c r="BL11" s="30">
        <v>4092</v>
      </c>
      <c r="BM11" s="1">
        <v>4202</v>
      </c>
      <c r="BN11" s="1">
        <v>4602</v>
      </c>
      <c r="BO11" s="1">
        <v>4707</v>
      </c>
      <c r="BP11" s="1">
        <v>4613</v>
      </c>
      <c r="BQ11" s="1">
        <v>4448</v>
      </c>
      <c r="BR11" s="1">
        <v>4530</v>
      </c>
      <c r="BS11" s="1">
        <v>4493</v>
      </c>
      <c r="BT11" s="1">
        <v>4358</v>
      </c>
      <c r="BU11" s="1">
        <v>4430</v>
      </c>
      <c r="BV11" s="1">
        <v>4447</v>
      </c>
      <c r="BW11" s="1">
        <v>4323</v>
      </c>
      <c r="BX11" s="1">
        <v>4173</v>
      </c>
      <c r="BY11" s="1">
        <v>3931</v>
      </c>
      <c r="BZ11" s="1">
        <v>3981</v>
      </c>
    </row>
    <row r="12" spans="1:104" ht="15.9" customHeight="1">
      <c r="A12" s="65" t="s">
        <v>19</v>
      </c>
      <c r="B12" s="25" t="s">
        <v>20</v>
      </c>
      <c r="C12" s="39">
        <f>_xll.RssMarket("1605","高値")</f>
        <v>3472</v>
      </c>
      <c r="D12" s="38">
        <f t="shared" si="0"/>
        <v>-56</v>
      </c>
      <c r="E12" s="29">
        <v>3528</v>
      </c>
      <c r="F12" s="29">
        <v>3601</v>
      </c>
      <c r="G12" s="29">
        <v>3641</v>
      </c>
      <c r="H12" s="29">
        <v>3678</v>
      </c>
      <c r="I12" s="29">
        <v>3651</v>
      </c>
      <c r="J12" s="29">
        <v>3607</v>
      </c>
      <c r="K12" s="29">
        <v>3726</v>
      </c>
      <c r="L12" s="29">
        <v>3761</v>
      </c>
      <c r="M12" s="29">
        <v>3697</v>
      </c>
      <c r="N12" s="29">
        <v>3634</v>
      </c>
      <c r="O12" s="29">
        <v>3580</v>
      </c>
      <c r="P12" s="29">
        <v>3457</v>
      </c>
      <c r="Q12" s="29">
        <v>3528</v>
      </c>
      <c r="R12" s="29">
        <v>3550</v>
      </c>
      <c r="S12" s="29">
        <v>3419</v>
      </c>
      <c r="T12" s="29">
        <v>3407</v>
      </c>
      <c r="U12" s="29">
        <v>3470</v>
      </c>
      <c r="V12" s="29">
        <v>3412</v>
      </c>
      <c r="W12" s="29">
        <v>3330</v>
      </c>
      <c r="X12" s="29">
        <v>3316</v>
      </c>
      <c r="Y12" s="29">
        <v>3261</v>
      </c>
      <c r="Z12" s="29">
        <v>3238</v>
      </c>
      <c r="AA12" s="29">
        <v>3297</v>
      </c>
      <c r="AB12" s="29">
        <v>3294</v>
      </c>
      <c r="AC12" s="29">
        <v>3324</v>
      </c>
      <c r="AD12" s="29">
        <v>3351</v>
      </c>
      <c r="AE12" s="29">
        <v>3412</v>
      </c>
      <c r="AF12" s="29">
        <v>3458</v>
      </c>
      <c r="AG12" s="29">
        <v>3475</v>
      </c>
      <c r="AH12" s="29">
        <v>3502</v>
      </c>
      <c r="AI12" s="29">
        <v>3500</v>
      </c>
      <c r="AJ12" s="29">
        <v>3505</v>
      </c>
      <c r="AK12" s="29">
        <v>3428</v>
      </c>
      <c r="AL12" s="29">
        <v>3475</v>
      </c>
      <c r="AM12" s="29">
        <v>3636</v>
      </c>
      <c r="AN12" s="29">
        <v>3588</v>
      </c>
      <c r="AO12" s="29">
        <v>3649</v>
      </c>
      <c r="AP12" s="29">
        <v>3553</v>
      </c>
      <c r="AQ12" s="29">
        <v>3690</v>
      </c>
      <c r="AR12" s="29">
        <v>3726</v>
      </c>
      <c r="AS12" s="29">
        <v>3660</v>
      </c>
      <c r="AT12" s="29">
        <v>3732</v>
      </c>
      <c r="AU12" s="29">
        <v>3597</v>
      </c>
      <c r="AV12" s="29">
        <v>3643</v>
      </c>
      <c r="AW12" s="29">
        <v>3722</v>
      </c>
      <c r="AX12" s="29">
        <v>3727</v>
      </c>
      <c r="AY12" s="29">
        <v>3791</v>
      </c>
      <c r="AZ12" s="29">
        <v>3849</v>
      </c>
      <c r="BA12" s="29">
        <v>3934</v>
      </c>
      <c r="BB12" s="29">
        <v>4026</v>
      </c>
      <c r="BC12" s="29">
        <v>4049</v>
      </c>
      <c r="BD12" s="29">
        <v>4002</v>
      </c>
      <c r="BE12" s="29">
        <v>3921</v>
      </c>
      <c r="BF12" s="29">
        <v>4007</v>
      </c>
      <c r="BG12" s="29">
        <v>4007</v>
      </c>
      <c r="BH12" s="29">
        <v>3988</v>
      </c>
      <c r="BI12" s="29">
        <v>3910</v>
      </c>
      <c r="BJ12" s="29">
        <v>3820</v>
      </c>
      <c r="BK12" s="29">
        <v>3912</v>
      </c>
      <c r="BL12" s="30">
        <v>4165</v>
      </c>
      <c r="BM12" s="1">
        <v>4180</v>
      </c>
      <c r="BN12" s="1">
        <v>4123</v>
      </c>
      <c r="BO12" s="1">
        <v>3984</v>
      </c>
      <c r="BP12" s="1">
        <v>4098</v>
      </c>
      <c r="BQ12" s="1">
        <v>3988</v>
      </c>
      <c r="BR12" s="1">
        <v>3912</v>
      </c>
      <c r="BS12" s="1">
        <v>3885</v>
      </c>
      <c r="BT12" s="1">
        <v>3959</v>
      </c>
      <c r="BU12" s="1">
        <v>4029</v>
      </c>
      <c r="BV12" s="1">
        <v>4063</v>
      </c>
      <c r="BW12" s="1">
        <v>4133</v>
      </c>
      <c r="BX12" s="1">
        <v>4232</v>
      </c>
      <c r="BY12" s="1">
        <v>4388</v>
      </c>
      <c r="BZ12" s="1">
        <v>4259</v>
      </c>
    </row>
    <row r="13" spans="1:104" ht="15.9" customHeight="1">
      <c r="A13" s="65" t="s">
        <v>21</v>
      </c>
      <c r="B13" s="25" t="s">
        <v>22</v>
      </c>
      <c r="C13" s="39">
        <f>_xll.RssMarket("5703","高値")</f>
        <v>2886</v>
      </c>
      <c r="D13" s="38">
        <f t="shared" si="0"/>
        <v>1</v>
      </c>
      <c r="E13" s="29">
        <v>2885</v>
      </c>
      <c r="F13" s="29">
        <v>2970</v>
      </c>
      <c r="G13" s="29">
        <v>2748</v>
      </c>
      <c r="H13" s="29">
        <v>2634</v>
      </c>
      <c r="I13" s="29">
        <v>2638</v>
      </c>
      <c r="J13" s="29">
        <v>2685</v>
      </c>
      <c r="K13" s="29">
        <v>2694</v>
      </c>
      <c r="L13" s="29">
        <v>2680</v>
      </c>
      <c r="M13" s="29">
        <v>2729</v>
      </c>
      <c r="N13" s="29">
        <v>2750</v>
      </c>
      <c r="O13" s="29">
        <v>2711</v>
      </c>
      <c r="P13" s="29">
        <v>2706</v>
      </c>
      <c r="Q13" s="29">
        <v>2798</v>
      </c>
      <c r="R13" s="29">
        <v>2770</v>
      </c>
      <c r="S13" s="29">
        <v>2746</v>
      </c>
      <c r="T13" s="29">
        <v>2735</v>
      </c>
      <c r="U13" s="29">
        <v>2667</v>
      </c>
      <c r="V13" s="29">
        <v>2686</v>
      </c>
      <c r="W13" s="29">
        <v>2775</v>
      </c>
      <c r="X13" s="29">
        <v>2800</v>
      </c>
      <c r="Y13" s="29">
        <v>2774</v>
      </c>
      <c r="Z13" s="29">
        <v>2754</v>
      </c>
      <c r="AA13" s="29">
        <v>2764</v>
      </c>
      <c r="AB13" s="29">
        <v>2825</v>
      </c>
      <c r="AC13" s="29">
        <v>2850</v>
      </c>
      <c r="AD13" s="29">
        <v>2885</v>
      </c>
      <c r="AE13" s="29">
        <v>2888</v>
      </c>
      <c r="AF13" s="29">
        <v>2970</v>
      </c>
      <c r="AG13" s="29">
        <v>3035</v>
      </c>
      <c r="AH13" s="29">
        <v>3035</v>
      </c>
      <c r="AI13" s="29">
        <v>3000</v>
      </c>
      <c r="AJ13" s="29">
        <v>3005</v>
      </c>
      <c r="AK13" s="29">
        <v>3065</v>
      </c>
      <c r="AL13" s="29">
        <v>3085</v>
      </c>
      <c r="AM13" s="29">
        <v>3130</v>
      </c>
      <c r="AN13" s="29">
        <v>3105</v>
      </c>
      <c r="AO13" s="29">
        <v>3005</v>
      </c>
      <c r="AP13" s="29">
        <v>3140</v>
      </c>
      <c r="AQ13" s="29">
        <v>3205</v>
      </c>
      <c r="AR13" s="29">
        <v>3255</v>
      </c>
      <c r="AS13" s="29">
        <v>3275</v>
      </c>
      <c r="AT13" s="29">
        <v>3290</v>
      </c>
      <c r="AU13" s="29">
        <v>3190</v>
      </c>
      <c r="AV13" s="29">
        <v>3270</v>
      </c>
      <c r="AW13" s="29">
        <v>3195</v>
      </c>
      <c r="AX13" s="29">
        <v>3325</v>
      </c>
      <c r="AY13" s="29">
        <v>3330</v>
      </c>
      <c r="AZ13" s="29">
        <v>3140</v>
      </c>
      <c r="BA13" s="29">
        <v>3125</v>
      </c>
      <c r="BB13" s="29">
        <v>3070</v>
      </c>
      <c r="BC13" s="29">
        <v>3140</v>
      </c>
      <c r="BD13" s="29">
        <v>3200</v>
      </c>
      <c r="BE13" s="29">
        <v>3260</v>
      </c>
      <c r="BF13" s="29">
        <v>3080</v>
      </c>
      <c r="BG13" s="29">
        <v>2965</v>
      </c>
      <c r="BH13" s="29">
        <v>2971</v>
      </c>
      <c r="BI13" s="29">
        <v>2966</v>
      </c>
      <c r="BJ13" s="29">
        <v>2928</v>
      </c>
      <c r="BK13" s="29">
        <v>2939</v>
      </c>
      <c r="BL13" s="30">
        <v>2834</v>
      </c>
      <c r="BM13" s="1">
        <v>2854</v>
      </c>
      <c r="BN13" s="1">
        <v>2880</v>
      </c>
      <c r="BO13" s="1">
        <v>2909</v>
      </c>
      <c r="BP13" s="1">
        <v>2879</v>
      </c>
      <c r="BQ13" s="1">
        <v>2918</v>
      </c>
      <c r="BR13" s="1">
        <v>2939</v>
      </c>
      <c r="BS13" s="1">
        <v>3025</v>
      </c>
      <c r="BT13" s="1">
        <v>3005</v>
      </c>
      <c r="BU13" s="1">
        <v>3035</v>
      </c>
      <c r="BV13" s="1">
        <v>3050</v>
      </c>
      <c r="BW13" s="1">
        <v>3090</v>
      </c>
      <c r="BX13" s="1">
        <v>3095</v>
      </c>
      <c r="BY13" s="1">
        <v>3030</v>
      </c>
      <c r="BZ13" s="1">
        <v>3000</v>
      </c>
    </row>
    <row r="14" spans="1:104" ht="15.9" customHeight="1">
      <c r="A14" s="65" t="s">
        <v>23</v>
      </c>
      <c r="B14" s="25" t="s">
        <v>24</v>
      </c>
      <c r="C14" s="39">
        <f>_xll.RssMarket("8002","高値")</f>
        <v>4922</v>
      </c>
      <c r="D14" s="38">
        <f t="shared" si="0"/>
        <v>-157</v>
      </c>
      <c r="E14" s="29">
        <v>5079</v>
      </c>
      <c r="F14" s="29">
        <v>5351</v>
      </c>
      <c r="G14" s="29">
        <v>5251</v>
      </c>
      <c r="H14" s="29">
        <v>5241</v>
      </c>
      <c r="I14" s="29">
        <v>5309</v>
      </c>
      <c r="J14" s="29">
        <v>5425</v>
      </c>
      <c r="K14" s="29">
        <v>5479</v>
      </c>
      <c r="L14" s="29">
        <v>5422</v>
      </c>
      <c r="M14" s="29">
        <v>5412</v>
      </c>
      <c r="N14" s="29">
        <v>5338</v>
      </c>
      <c r="O14" s="29">
        <v>5194</v>
      </c>
      <c r="P14" s="29">
        <v>5176</v>
      </c>
      <c r="Q14" s="29">
        <v>5132</v>
      </c>
      <c r="R14" s="29">
        <v>4942</v>
      </c>
      <c r="S14" s="29">
        <v>4960</v>
      </c>
      <c r="T14" s="29">
        <v>4920</v>
      </c>
      <c r="U14" s="29">
        <v>4935</v>
      </c>
      <c r="V14" s="29">
        <v>5086</v>
      </c>
      <c r="W14" s="29">
        <v>5162</v>
      </c>
      <c r="X14" s="29">
        <v>5084</v>
      </c>
      <c r="Y14" s="29">
        <v>4984</v>
      </c>
      <c r="Z14" s="29">
        <v>4877</v>
      </c>
      <c r="AA14" s="29">
        <v>4701</v>
      </c>
      <c r="AB14" s="29">
        <v>4730</v>
      </c>
      <c r="AC14" s="29">
        <v>4803</v>
      </c>
      <c r="AD14" s="29">
        <v>4768</v>
      </c>
      <c r="AE14" s="29">
        <v>4757</v>
      </c>
      <c r="AF14" s="29">
        <v>4795</v>
      </c>
      <c r="AG14" s="29">
        <v>4947</v>
      </c>
      <c r="AH14" s="29">
        <v>4930</v>
      </c>
      <c r="AI14" s="29">
        <v>4907</v>
      </c>
      <c r="AJ14" s="29">
        <v>4993</v>
      </c>
      <c r="AK14" s="29">
        <v>5019</v>
      </c>
      <c r="AL14" s="29">
        <v>5058</v>
      </c>
      <c r="AM14" s="29">
        <v>5174</v>
      </c>
      <c r="AN14" s="29">
        <v>4951</v>
      </c>
      <c r="AO14" s="29">
        <v>4825</v>
      </c>
      <c r="AP14" s="29">
        <v>4880</v>
      </c>
      <c r="AQ14" s="29">
        <v>4996</v>
      </c>
      <c r="AR14" s="29">
        <v>5089</v>
      </c>
      <c r="AS14" s="29">
        <v>5065</v>
      </c>
      <c r="AT14" s="29">
        <v>5039</v>
      </c>
      <c r="AU14" s="29">
        <v>4940</v>
      </c>
      <c r="AV14" s="29">
        <v>5259</v>
      </c>
      <c r="AW14" s="29">
        <v>5264</v>
      </c>
      <c r="AX14" s="29">
        <v>5411</v>
      </c>
      <c r="AY14" s="29">
        <v>5367</v>
      </c>
      <c r="AZ14" s="29">
        <v>5356</v>
      </c>
      <c r="BA14" s="29">
        <v>5477</v>
      </c>
      <c r="BB14" s="29">
        <v>5486</v>
      </c>
      <c r="BC14" s="29">
        <v>5725</v>
      </c>
      <c r="BD14" s="29">
        <v>5849</v>
      </c>
      <c r="BE14" s="29">
        <v>6078</v>
      </c>
      <c r="BF14" s="29">
        <v>5928</v>
      </c>
      <c r="BG14" s="29">
        <v>5818</v>
      </c>
      <c r="BH14" s="29">
        <v>5608</v>
      </c>
      <c r="BI14" s="29">
        <v>5509</v>
      </c>
      <c r="BJ14" s="29">
        <v>5535</v>
      </c>
      <c r="BK14" s="29">
        <v>5749</v>
      </c>
      <c r="BL14" s="30">
        <v>6160</v>
      </c>
      <c r="BM14" s="1">
        <v>6099</v>
      </c>
      <c r="BN14" s="1">
        <v>6106</v>
      </c>
      <c r="BO14" s="1">
        <v>5966</v>
      </c>
      <c r="BP14" s="1">
        <v>6075</v>
      </c>
      <c r="BQ14" s="1">
        <v>5986</v>
      </c>
      <c r="BR14" s="1">
        <v>5961</v>
      </c>
      <c r="BS14" s="1">
        <v>6020</v>
      </c>
      <c r="BT14" s="1">
        <v>5973</v>
      </c>
      <c r="BU14" s="1">
        <v>6040</v>
      </c>
      <c r="BV14" s="1">
        <v>6049</v>
      </c>
      <c r="BW14" s="1">
        <v>6018</v>
      </c>
      <c r="BX14" s="1">
        <v>6033</v>
      </c>
      <c r="BY14" s="1">
        <v>6010</v>
      </c>
      <c r="BZ14" s="1">
        <v>6071</v>
      </c>
    </row>
    <row r="15" spans="1:104" ht="15.9" customHeight="1">
      <c r="A15" s="65" t="s">
        <v>25</v>
      </c>
      <c r="B15" s="25" t="s">
        <v>26</v>
      </c>
      <c r="C15" s="39">
        <f>_xll.RssMarket("5021","高値")</f>
        <v>3828</v>
      </c>
      <c r="D15" s="38">
        <f t="shared" si="0"/>
        <v>-43</v>
      </c>
      <c r="E15" s="29">
        <v>3871</v>
      </c>
      <c r="F15" s="29">
        <v>3966</v>
      </c>
      <c r="G15" s="29">
        <v>4000</v>
      </c>
      <c r="H15" s="29">
        <v>4019</v>
      </c>
      <c r="I15" s="29">
        <v>4003</v>
      </c>
      <c r="J15" s="29">
        <v>3999</v>
      </c>
      <c r="K15" s="29">
        <v>3997</v>
      </c>
      <c r="L15" s="29">
        <v>3999</v>
      </c>
      <c r="M15" s="29">
        <v>3977</v>
      </c>
      <c r="N15" s="29">
        <v>3974</v>
      </c>
      <c r="O15" s="29">
        <v>3975</v>
      </c>
      <c r="P15" s="29">
        <v>3840</v>
      </c>
      <c r="Q15" s="29">
        <v>3902</v>
      </c>
      <c r="R15" s="29">
        <v>3916</v>
      </c>
      <c r="S15" s="29">
        <v>3903</v>
      </c>
      <c r="T15" s="29">
        <v>3895</v>
      </c>
      <c r="U15" s="29">
        <v>3933</v>
      </c>
      <c r="V15" s="29">
        <v>3915</v>
      </c>
      <c r="W15" s="29">
        <v>3999</v>
      </c>
      <c r="X15" s="29">
        <v>3977</v>
      </c>
      <c r="Y15" s="29">
        <v>3921</v>
      </c>
      <c r="Z15" s="29">
        <v>3892</v>
      </c>
      <c r="AA15" s="29">
        <v>3830</v>
      </c>
      <c r="AB15" s="29">
        <v>3842</v>
      </c>
      <c r="AC15" s="29">
        <v>3775</v>
      </c>
      <c r="AD15" s="29">
        <v>3757</v>
      </c>
      <c r="AE15" s="29">
        <v>3800</v>
      </c>
      <c r="AF15" s="29">
        <v>3725</v>
      </c>
      <c r="AG15" s="29">
        <v>3747</v>
      </c>
      <c r="AH15" s="29">
        <v>3791</v>
      </c>
      <c r="AI15" s="29">
        <v>3775</v>
      </c>
      <c r="AJ15" s="29">
        <v>3768</v>
      </c>
      <c r="AK15" s="29">
        <v>3693</v>
      </c>
      <c r="AL15" s="29">
        <v>3699</v>
      </c>
      <c r="AM15" s="29">
        <v>3707</v>
      </c>
      <c r="AN15" s="29">
        <v>3584</v>
      </c>
      <c r="AO15" s="29">
        <v>3540</v>
      </c>
      <c r="AP15" s="29">
        <v>3500</v>
      </c>
      <c r="AQ15" s="29">
        <v>3592</v>
      </c>
      <c r="AR15" s="29">
        <v>3688</v>
      </c>
      <c r="AS15" s="29">
        <v>3790</v>
      </c>
      <c r="AT15" s="29">
        <v>3835</v>
      </c>
      <c r="AU15" s="29">
        <v>3746</v>
      </c>
      <c r="AV15" s="29">
        <v>3789</v>
      </c>
      <c r="AW15" s="29">
        <v>3729</v>
      </c>
      <c r="AX15" s="29">
        <v>3686</v>
      </c>
      <c r="AY15" s="29">
        <v>3772</v>
      </c>
      <c r="AZ15" s="29">
        <v>3717</v>
      </c>
      <c r="BA15" s="29">
        <v>3766</v>
      </c>
      <c r="BB15" s="29">
        <v>3788</v>
      </c>
      <c r="BC15" s="29">
        <v>3799</v>
      </c>
      <c r="BD15" s="29">
        <v>3870</v>
      </c>
      <c r="BE15" s="29">
        <v>3885</v>
      </c>
      <c r="BF15" s="29">
        <v>3893</v>
      </c>
      <c r="BG15" s="29">
        <v>3916</v>
      </c>
      <c r="BH15" s="29">
        <v>4001</v>
      </c>
      <c r="BI15" s="29">
        <v>4016</v>
      </c>
      <c r="BJ15" s="29">
        <v>3975</v>
      </c>
      <c r="BK15" s="29">
        <v>3951</v>
      </c>
      <c r="BL15" s="30">
        <v>3996</v>
      </c>
      <c r="BM15" s="1">
        <v>4011</v>
      </c>
      <c r="BN15" s="1">
        <v>3985</v>
      </c>
      <c r="BO15" s="1">
        <v>3946</v>
      </c>
      <c r="BP15" s="1">
        <v>4038</v>
      </c>
      <c r="BQ15" s="1">
        <v>4021</v>
      </c>
      <c r="BR15" s="1">
        <v>4236</v>
      </c>
      <c r="BS15" s="1">
        <v>4288</v>
      </c>
      <c r="BT15" s="1">
        <v>4316</v>
      </c>
      <c r="BU15" s="1">
        <v>4400</v>
      </c>
      <c r="BV15" s="1">
        <v>4406</v>
      </c>
      <c r="BW15" s="1">
        <v>4393</v>
      </c>
      <c r="BX15" s="1">
        <v>4393</v>
      </c>
      <c r="BY15" s="1">
        <v>4467</v>
      </c>
      <c r="BZ15" s="1">
        <v>4548</v>
      </c>
    </row>
    <row r="16" spans="1:104" ht="15.9" customHeight="1">
      <c r="A16" s="65" t="s">
        <v>27</v>
      </c>
      <c r="B16" s="25" t="s">
        <v>28</v>
      </c>
      <c r="C16" s="39">
        <f>_xll.RssMarket("8058","高値")</f>
        <v>4744</v>
      </c>
      <c r="D16" s="38">
        <f t="shared" si="0"/>
        <v>-57</v>
      </c>
      <c r="E16" s="29">
        <v>4801</v>
      </c>
      <c r="F16" s="29">
        <v>4850</v>
      </c>
      <c r="G16" s="29">
        <v>4851</v>
      </c>
      <c r="H16" s="29">
        <v>4833</v>
      </c>
      <c r="I16" s="29">
        <v>4833</v>
      </c>
      <c r="J16" s="29">
        <v>4824</v>
      </c>
      <c r="K16" s="29">
        <v>4966</v>
      </c>
      <c r="L16" s="29">
        <v>4943</v>
      </c>
      <c r="M16" s="29">
        <v>4943</v>
      </c>
      <c r="N16" s="29">
        <v>4947</v>
      </c>
      <c r="O16" s="29">
        <v>4673</v>
      </c>
      <c r="P16" s="29">
        <v>4555</v>
      </c>
      <c r="Q16" s="29">
        <v>4606</v>
      </c>
      <c r="R16" s="29">
        <v>4522</v>
      </c>
      <c r="S16" s="29">
        <v>4518</v>
      </c>
      <c r="T16" s="29">
        <v>4444</v>
      </c>
      <c r="U16" s="29">
        <v>4459</v>
      </c>
      <c r="V16" s="29">
        <v>4574</v>
      </c>
      <c r="W16" s="29">
        <v>4662</v>
      </c>
      <c r="X16" s="29">
        <v>4545</v>
      </c>
      <c r="Y16" s="29">
        <v>4574</v>
      </c>
      <c r="Z16" s="29">
        <v>4463</v>
      </c>
      <c r="AA16" s="29">
        <v>4372</v>
      </c>
      <c r="AB16" s="29">
        <v>4427</v>
      </c>
      <c r="AC16" s="29">
        <v>4512</v>
      </c>
      <c r="AD16" s="29">
        <v>4464</v>
      </c>
      <c r="AE16" s="29">
        <v>4585</v>
      </c>
      <c r="AF16" s="29">
        <v>4608</v>
      </c>
      <c r="AG16" s="29">
        <v>4657</v>
      </c>
      <c r="AH16" s="29">
        <v>4614</v>
      </c>
      <c r="AI16" s="29">
        <v>4541</v>
      </c>
      <c r="AJ16" s="29">
        <v>4669</v>
      </c>
      <c r="AK16" s="29">
        <v>4672</v>
      </c>
      <c r="AL16" s="29">
        <v>4739</v>
      </c>
      <c r="AM16" s="29">
        <v>4872</v>
      </c>
      <c r="AN16" s="29">
        <v>4712</v>
      </c>
      <c r="AO16" s="29">
        <v>4608</v>
      </c>
      <c r="AP16" s="29">
        <v>4755</v>
      </c>
      <c r="AQ16" s="29">
        <v>4849</v>
      </c>
      <c r="AR16" s="29">
        <v>4967</v>
      </c>
      <c r="AS16" s="29">
        <v>4999</v>
      </c>
      <c r="AT16" s="29">
        <v>5004</v>
      </c>
      <c r="AU16" s="29">
        <v>5019</v>
      </c>
      <c r="AV16" s="29">
        <v>5088</v>
      </c>
      <c r="AW16" s="29">
        <v>5144</v>
      </c>
      <c r="AX16" s="29">
        <v>5217</v>
      </c>
      <c r="AY16" s="29">
        <v>5419</v>
      </c>
      <c r="AZ16" s="29">
        <v>5450</v>
      </c>
      <c r="BA16" s="29">
        <v>5510</v>
      </c>
      <c r="BB16" s="29">
        <v>5582</v>
      </c>
      <c r="BC16" s="29">
        <v>5604</v>
      </c>
      <c r="BD16" s="29">
        <v>5800</v>
      </c>
      <c r="BE16" s="29">
        <v>6012</v>
      </c>
      <c r="BF16" s="29">
        <v>5939</v>
      </c>
      <c r="BG16" s="29">
        <v>5935</v>
      </c>
      <c r="BH16" s="29">
        <v>5508</v>
      </c>
      <c r="BI16" s="29">
        <v>5317</v>
      </c>
      <c r="BJ16" s="29">
        <v>5350</v>
      </c>
      <c r="BK16" s="29">
        <v>5411</v>
      </c>
      <c r="BL16" s="30">
        <v>5445</v>
      </c>
      <c r="BM16" s="1">
        <v>4990</v>
      </c>
      <c r="BN16" s="1">
        <v>4928</v>
      </c>
      <c r="BO16" s="1">
        <v>4849</v>
      </c>
      <c r="BP16" s="1">
        <v>4980</v>
      </c>
      <c r="BQ16" s="1">
        <v>4828</v>
      </c>
      <c r="BR16" s="1">
        <v>4840</v>
      </c>
      <c r="BS16" s="1">
        <v>4914</v>
      </c>
      <c r="BT16" s="1">
        <v>5016</v>
      </c>
      <c r="BU16" s="1">
        <v>5080</v>
      </c>
      <c r="BV16" s="1">
        <v>5099</v>
      </c>
      <c r="BW16" s="1">
        <v>5239</v>
      </c>
      <c r="BX16" s="1">
        <v>5330</v>
      </c>
      <c r="BY16" s="1">
        <v>5433</v>
      </c>
      <c r="BZ16" s="1">
        <v>5449</v>
      </c>
    </row>
    <row r="17" spans="1:78" ht="15.9" customHeight="1">
      <c r="A17" s="65" t="s">
        <v>29</v>
      </c>
      <c r="B17" s="25" t="s">
        <v>30</v>
      </c>
      <c r="C17" s="39">
        <f>_xll.RssMarket("5333","高値")</f>
        <v>5915</v>
      </c>
      <c r="D17" s="38">
        <f t="shared" si="0"/>
        <v>256</v>
      </c>
      <c r="E17" s="29">
        <v>5659</v>
      </c>
      <c r="F17" s="29">
        <v>5646</v>
      </c>
      <c r="G17" s="29">
        <v>6050</v>
      </c>
      <c r="H17" s="29">
        <v>5444</v>
      </c>
      <c r="I17" s="29">
        <v>5573</v>
      </c>
      <c r="J17" s="29">
        <v>5963</v>
      </c>
      <c r="K17" s="29">
        <v>6180</v>
      </c>
      <c r="L17" s="29">
        <v>6165</v>
      </c>
      <c r="M17" s="29">
        <v>6411</v>
      </c>
      <c r="N17" s="29">
        <v>6375</v>
      </c>
      <c r="O17" s="29">
        <v>6113</v>
      </c>
      <c r="P17" s="29">
        <v>6362</v>
      </c>
      <c r="Q17" s="29">
        <v>6787</v>
      </c>
      <c r="R17" s="29">
        <v>6649</v>
      </c>
      <c r="S17" s="29">
        <v>7124</v>
      </c>
      <c r="T17" s="29">
        <v>7259</v>
      </c>
      <c r="U17" s="29">
        <v>7182</v>
      </c>
      <c r="V17" s="29">
        <v>7186</v>
      </c>
      <c r="W17" s="29">
        <v>7480</v>
      </c>
      <c r="X17" s="29">
        <v>7534</v>
      </c>
      <c r="Y17" s="29">
        <v>7492</v>
      </c>
      <c r="Z17" s="29">
        <v>7580</v>
      </c>
      <c r="AA17" s="29">
        <v>7860</v>
      </c>
      <c r="AB17" s="29">
        <v>7680</v>
      </c>
      <c r="AC17" s="29">
        <v>7559</v>
      </c>
      <c r="AD17" s="29">
        <v>7864</v>
      </c>
      <c r="AE17" s="29">
        <v>7894</v>
      </c>
      <c r="AF17" s="29">
        <v>7548</v>
      </c>
      <c r="AG17" s="29">
        <v>7815</v>
      </c>
      <c r="AH17" s="29">
        <v>7700</v>
      </c>
      <c r="AI17" s="29">
        <v>7594</v>
      </c>
      <c r="AJ17" s="29">
        <v>7308</v>
      </c>
      <c r="AK17" s="29">
        <v>6974</v>
      </c>
      <c r="AL17" s="29">
        <v>6807</v>
      </c>
      <c r="AM17" s="29">
        <v>6640</v>
      </c>
      <c r="AN17" s="29">
        <v>6347</v>
      </c>
      <c r="AO17" s="29">
        <v>5962</v>
      </c>
      <c r="AP17" s="29">
        <v>6198</v>
      </c>
      <c r="AQ17" s="29">
        <v>6185</v>
      </c>
      <c r="AR17" s="29">
        <v>6615</v>
      </c>
      <c r="AS17" s="29">
        <v>6431</v>
      </c>
      <c r="AT17" s="29">
        <v>6538</v>
      </c>
      <c r="AU17" s="29">
        <v>6350</v>
      </c>
      <c r="AV17" s="29">
        <v>6395</v>
      </c>
      <c r="AW17" s="29">
        <v>6143</v>
      </c>
      <c r="AX17" s="29">
        <v>6483</v>
      </c>
      <c r="AY17" s="29">
        <v>6260</v>
      </c>
      <c r="AZ17" s="29">
        <v>5912</v>
      </c>
      <c r="BA17" s="29">
        <v>5742</v>
      </c>
      <c r="BB17" s="29">
        <v>5485</v>
      </c>
      <c r="BC17" s="29">
        <v>5678</v>
      </c>
      <c r="BD17" s="29">
        <v>5755</v>
      </c>
      <c r="BE17" s="29">
        <v>5892</v>
      </c>
      <c r="BF17" s="29">
        <v>5838</v>
      </c>
      <c r="BG17" s="29">
        <v>5749</v>
      </c>
      <c r="BH17" s="29">
        <v>5707</v>
      </c>
      <c r="BI17" s="29">
        <v>5604</v>
      </c>
      <c r="BJ17" s="29">
        <v>5415</v>
      </c>
      <c r="BK17" s="29">
        <v>5420</v>
      </c>
      <c r="BL17" s="30">
        <v>5142</v>
      </c>
      <c r="BM17" s="1">
        <v>5035</v>
      </c>
      <c r="BN17" s="1">
        <v>4680</v>
      </c>
      <c r="BO17" s="1">
        <v>4670</v>
      </c>
      <c r="BP17" s="1">
        <v>4470</v>
      </c>
      <c r="BQ17" s="1">
        <v>4459</v>
      </c>
      <c r="BR17" s="1">
        <v>4528</v>
      </c>
      <c r="BS17" s="1">
        <v>4595</v>
      </c>
      <c r="BT17" s="1">
        <v>4569</v>
      </c>
      <c r="BU17" s="1">
        <v>4537</v>
      </c>
      <c r="BV17" s="1">
        <v>4586</v>
      </c>
      <c r="BW17" s="1">
        <v>4553</v>
      </c>
      <c r="BX17" s="1">
        <v>4465</v>
      </c>
      <c r="BY17" s="1">
        <v>4474</v>
      </c>
      <c r="BZ17" s="1">
        <v>4491</v>
      </c>
    </row>
    <row r="18" spans="1:78" ht="15.9" customHeight="1">
      <c r="A18" s="65" t="s">
        <v>31</v>
      </c>
      <c r="B18" s="25" t="s">
        <v>32</v>
      </c>
      <c r="C18" s="39">
        <f>_xll.RssMarket("1662","高値")</f>
        <v>1711</v>
      </c>
      <c r="D18" s="38">
        <f t="shared" si="0"/>
        <v>-13</v>
      </c>
      <c r="E18" s="29">
        <v>1724</v>
      </c>
      <c r="F18" s="29">
        <v>1748</v>
      </c>
      <c r="G18" s="29">
        <v>1793</v>
      </c>
      <c r="H18" s="29">
        <v>1784</v>
      </c>
      <c r="I18" s="29">
        <v>1778</v>
      </c>
      <c r="J18" s="29">
        <v>1746</v>
      </c>
      <c r="K18" s="29">
        <v>1754</v>
      </c>
      <c r="L18" s="29"/>
      <c r="M18" s="29">
        <v>1770</v>
      </c>
      <c r="N18" s="29">
        <v>1743</v>
      </c>
      <c r="O18" s="29">
        <v>1728</v>
      </c>
      <c r="P18" s="29">
        <v>1697</v>
      </c>
      <c r="Q18" s="29">
        <v>1739</v>
      </c>
      <c r="R18" s="29">
        <v>1753</v>
      </c>
      <c r="S18" s="29">
        <v>1700</v>
      </c>
      <c r="T18" s="29">
        <v>1684</v>
      </c>
      <c r="U18" s="29">
        <v>1723</v>
      </c>
      <c r="V18" s="29">
        <v>1704</v>
      </c>
      <c r="W18" s="29">
        <v>1692</v>
      </c>
      <c r="X18" s="29">
        <v>1669</v>
      </c>
      <c r="Y18" s="29">
        <v>1622</v>
      </c>
      <c r="Z18" s="29">
        <v>1613</v>
      </c>
      <c r="AA18" s="29">
        <v>1601</v>
      </c>
      <c r="AB18" s="29">
        <v>1619</v>
      </c>
      <c r="AC18" s="29">
        <v>1617</v>
      </c>
      <c r="AD18" s="29">
        <v>1612</v>
      </c>
      <c r="AE18" s="29">
        <v>1623</v>
      </c>
      <c r="AF18" s="29">
        <v>1636</v>
      </c>
      <c r="AG18" s="29">
        <v>1639</v>
      </c>
      <c r="AH18" s="29">
        <v>1644</v>
      </c>
      <c r="AI18" s="29">
        <v>1637</v>
      </c>
      <c r="AJ18" s="29">
        <v>1681</v>
      </c>
      <c r="AK18" s="29">
        <v>1660</v>
      </c>
      <c r="AL18" s="29">
        <v>1663</v>
      </c>
      <c r="AM18" s="29">
        <v>1697</v>
      </c>
      <c r="AN18" s="29">
        <v>1662</v>
      </c>
      <c r="AO18" s="29">
        <v>1718</v>
      </c>
      <c r="AP18" s="29">
        <v>1733</v>
      </c>
      <c r="AQ18" s="29">
        <v>1749</v>
      </c>
      <c r="AR18" s="29">
        <v>1769</v>
      </c>
      <c r="AS18" s="29">
        <v>1749</v>
      </c>
      <c r="AT18" s="29">
        <v>1798</v>
      </c>
      <c r="AU18" s="29">
        <v>1808</v>
      </c>
      <c r="AV18" s="29">
        <v>1837</v>
      </c>
      <c r="AW18" s="29">
        <v>1887</v>
      </c>
      <c r="AX18" s="29">
        <v>1894</v>
      </c>
      <c r="AY18" s="29">
        <v>1895</v>
      </c>
      <c r="AZ18" s="29">
        <v>1921</v>
      </c>
      <c r="BA18" s="29">
        <v>1927</v>
      </c>
      <c r="BB18" s="29">
        <v>2046</v>
      </c>
      <c r="BC18" s="29">
        <v>1998</v>
      </c>
      <c r="BD18" s="29">
        <v>1989</v>
      </c>
      <c r="BE18" s="29">
        <v>2001</v>
      </c>
      <c r="BF18" s="29">
        <v>2012</v>
      </c>
      <c r="BG18" s="29">
        <v>2248</v>
      </c>
      <c r="BH18" s="29">
        <v>2211</v>
      </c>
      <c r="BI18" s="29">
        <v>2196</v>
      </c>
      <c r="BJ18" s="29">
        <v>2165</v>
      </c>
      <c r="BK18" s="29">
        <v>2127</v>
      </c>
      <c r="BL18" s="30">
        <v>2254</v>
      </c>
      <c r="BM18" s="1">
        <v>2339</v>
      </c>
      <c r="BN18" s="1">
        <v>2295</v>
      </c>
      <c r="BO18" s="1">
        <v>2230</v>
      </c>
      <c r="BP18" s="1">
        <v>2303</v>
      </c>
      <c r="BQ18" s="1">
        <v>2323</v>
      </c>
      <c r="BR18" s="1">
        <v>2217</v>
      </c>
      <c r="BS18" s="1">
        <v>2176</v>
      </c>
      <c r="BT18" s="1">
        <v>2265</v>
      </c>
      <c r="BU18" s="1">
        <v>2426</v>
      </c>
      <c r="BV18" s="1">
        <v>2419</v>
      </c>
      <c r="BW18" s="1">
        <v>2458</v>
      </c>
      <c r="BX18" s="1">
        <v>2512</v>
      </c>
      <c r="BY18" s="1">
        <v>2529</v>
      </c>
      <c r="BZ18" s="1">
        <v>2525</v>
      </c>
    </row>
    <row r="19" spans="1:78" ht="15.9" customHeight="1">
      <c r="A19" s="65" t="s">
        <v>33</v>
      </c>
      <c r="B19" s="25" t="s">
        <v>34</v>
      </c>
      <c r="C19" s="39">
        <f>_xll.RssMarket("8411","高値")</f>
        <v>8473</v>
      </c>
      <c r="D19" s="38">
        <f t="shared" si="0"/>
        <v>305</v>
      </c>
      <c r="E19" s="29">
        <v>8168</v>
      </c>
      <c r="F19" s="29">
        <v>8205</v>
      </c>
      <c r="G19" s="29">
        <v>8310</v>
      </c>
      <c r="H19" s="29">
        <v>7962</v>
      </c>
      <c r="I19" s="29">
        <v>8149</v>
      </c>
      <c r="J19" s="29">
        <v>8499</v>
      </c>
      <c r="K19" s="29">
        <v>8690</v>
      </c>
      <c r="L19" s="29">
        <v>8796</v>
      </c>
      <c r="M19" s="29">
        <v>8816</v>
      </c>
      <c r="N19" s="29">
        <v>8648</v>
      </c>
      <c r="O19" s="29">
        <v>8302</v>
      </c>
      <c r="P19" s="29">
        <v>8370</v>
      </c>
      <c r="Q19" s="29">
        <v>8693</v>
      </c>
      <c r="R19" s="29">
        <v>8497</v>
      </c>
      <c r="S19" s="29">
        <v>8541</v>
      </c>
      <c r="T19" s="29">
        <v>8440</v>
      </c>
      <c r="U19" s="29">
        <v>8265</v>
      </c>
      <c r="V19" s="29">
        <v>8369</v>
      </c>
      <c r="W19" s="29">
        <v>8551</v>
      </c>
      <c r="X19" s="29">
        <v>8208</v>
      </c>
      <c r="Y19" s="29">
        <v>8083</v>
      </c>
      <c r="Z19" s="29">
        <v>8086</v>
      </c>
      <c r="AA19" s="29">
        <v>7918</v>
      </c>
      <c r="AB19" s="29">
        <v>7783</v>
      </c>
      <c r="AC19" s="29">
        <v>7854</v>
      </c>
      <c r="AD19" s="29">
        <v>7833</v>
      </c>
      <c r="AE19" s="29">
        <v>7831</v>
      </c>
      <c r="AF19" s="29">
        <v>7930</v>
      </c>
      <c r="AG19" s="29">
        <v>8092</v>
      </c>
      <c r="AH19" s="29">
        <v>8067</v>
      </c>
      <c r="AI19" s="29">
        <v>8259</v>
      </c>
      <c r="AJ19" s="29">
        <v>8304</v>
      </c>
      <c r="AK19" s="29">
        <v>8120</v>
      </c>
      <c r="AL19" s="29">
        <v>7845</v>
      </c>
      <c r="AM19" s="29">
        <v>7958</v>
      </c>
      <c r="AN19" s="29">
        <v>7706</v>
      </c>
      <c r="AO19" s="29">
        <v>7479</v>
      </c>
      <c r="AP19" s="29">
        <v>7855</v>
      </c>
      <c r="AQ19" s="29">
        <v>7686</v>
      </c>
      <c r="AR19" s="29">
        <v>7966</v>
      </c>
      <c r="AS19" s="29">
        <v>7796</v>
      </c>
      <c r="AT19" s="29">
        <v>7687</v>
      </c>
      <c r="AU19" s="29">
        <v>7346</v>
      </c>
      <c r="AV19" s="29">
        <v>7286</v>
      </c>
      <c r="AW19" s="29">
        <v>7140</v>
      </c>
      <c r="AX19" s="29">
        <v>7313</v>
      </c>
      <c r="AY19" s="29">
        <v>7396</v>
      </c>
      <c r="AZ19" s="29">
        <v>7528</v>
      </c>
      <c r="BA19" s="29">
        <v>7413</v>
      </c>
      <c r="BB19" s="29">
        <v>7130</v>
      </c>
      <c r="BC19" s="29">
        <v>6908</v>
      </c>
      <c r="BD19" s="29">
        <v>6583</v>
      </c>
      <c r="BE19" s="29">
        <v>7132</v>
      </c>
      <c r="BF19" s="29">
        <v>7124</v>
      </c>
      <c r="BG19" s="29">
        <v>7074</v>
      </c>
      <c r="BH19" s="29">
        <v>7006</v>
      </c>
      <c r="BI19" s="29">
        <v>6968</v>
      </c>
      <c r="BJ19" s="29">
        <v>6807</v>
      </c>
      <c r="BK19" s="29">
        <v>6980</v>
      </c>
      <c r="BL19" s="30">
        <v>6731</v>
      </c>
      <c r="BM19" s="1">
        <v>6919</v>
      </c>
      <c r="BN19" s="1">
        <v>6966</v>
      </c>
      <c r="BO19" s="1">
        <v>6663</v>
      </c>
      <c r="BP19" s="1">
        <v>6556</v>
      </c>
      <c r="BQ19" s="1">
        <v>6601</v>
      </c>
      <c r="BR19" s="1">
        <v>6664</v>
      </c>
      <c r="BS19" s="1">
        <v>6775</v>
      </c>
      <c r="BT19" s="1">
        <v>6888</v>
      </c>
      <c r="BU19" s="1">
        <v>6863</v>
      </c>
      <c r="BV19" s="1">
        <v>7029</v>
      </c>
      <c r="BW19" s="1">
        <v>7059</v>
      </c>
      <c r="BX19" s="1">
        <v>6858</v>
      </c>
      <c r="BY19" s="1">
        <v>6851</v>
      </c>
      <c r="BZ19" s="1">
        <v>6809</v>
      </c>
    </row>
    <row r="20" spans="1:78" ht="15.9" customHeight="1">
      <c r="A20" s="65" t="s">
        <v>35</v>
      </c>
      <c r="B20" s="25" t="s">
        <v>36</v>
      </c>
      <c r="C20" s="39">
        <f>_xll.RssMarket("5541","高値")</f>
        <v>2558</v>
      </c>
      <c r="D20" s="38">
        <f t="shared" si="0"/>
        <v>48</v>
      </c>
      <c r="E20" s="29">
        <v>2510</v>
      </c>
      <c r="F20" s="29">
        <v>2498</v>
      </c>
      <c r="G20" s="29">
        <v>2498</v>
      </c>
      <c r="H20" s="29">
        <v>2413</v>
      </c>
      <c r="I20" s="29">
        <v>2405</v>
      </c>
      <c r="J20" s="29">
        <v>2390</v>
      </c>
      <c r="K20" s="29">
        <v>2416</v>
      </c>
      <c r="L20" s="29"/>
      <c r="M20" s="29">
        <v>2337</v>
      </c>
      <c r="N20" s="29">
        <v>2349</v>
      </c>
      <c r="O20" s="29">
        <v>2310</v>
      </c>
      <c r="P20" s="29">
        <v>2293</v>
      </c>
      <c r="Q20" s="29">
        <v>2320</v>
      </c>
      <c r="R20" s="29">
        <v>2285</v>
      </c>
      <c r="S20" s="29">
        <v>2293</v>
      </c>
      <c r="T20" s="29">
        <v>2270</v>
      </c>
      <c r="U20" s="29">
        <v>2238</v>
      </c>
      <c r="V20" s="29">
        <v>2267</v>
      </c>
      <c r="W20" s="29">
        <v>2357</v>
      </c>
      <c r="X20" s="29">
        <v>2376</v>
      </c>
      <c r="Y20" s="29">
        <v>2323</v>
      </c>
      <c r="Z20" s="29">
        <v>2328</v>
      </c>
      <c r="AA20" s="29">
        <v>2273</v>
      </c>
      <c r="AB20" s="29">
        <v>2200</v>
      </c>
      <c r="AC20" s="29">
        <v>2198</v>
      </c>
      <c r="AD20" s="29">
        <v>2199</v>
      </c>
      <c r="AE20" s="29">
        <v>2212</v>
      </c>
      <c r="AF20" s="29">
        <v>2259</v>
      </c>
      <c r="AG20" s="29">
        <v>2330</v>
      </c>
      <c r="AH20" s="29">
        <v>2320</v>
      </c>
      <c r="AI20" s="29">
        <v>2286</v>
      </c>
      <c r="AJ20" s="29">
        <v>2316</v>
      </c>
      <c r="AK20" s="29">
        <v>2316</v>
      </c>
      <c r="AL20" s="29">
        <v>2330</v>
      </c>
      <c r="AM20" s="29">
        <v>2339</v>
      </c>
      <c r="AN20" s="29">
        <v>2193</v>
      </c>
      <c r="AO20" s="29">
        <v>2110</v>
      </c>
      <c r="AP20" s="29">
        <v>2159</v>
      </c>
      <c r="AQ20" s="29">
        <v>2232</v>
      </c>
      <c r="AR20" s="29">
        <v>2304</v>
      </c>
      <c r="AS20" s="29">
        <v>2310</v>
      </c>
      <c r="AT20" s="29">
        <v>2348</v>
      </c>
      <c r="AU20" s="29">
        <v>2256</v>
      </c>
      <c r="AV20" s="29">
        <v>2362</v>
      </c>
      <c r="AW20" s="29">
        <v>2278</v>
      </c>
      <c r="AX20" s="29">
        <v>2388</v>
      </c>
      <c r="AY20" s="29">
        <v>2247</v>
      </c>
      <c r="AZ20" s="29">
        <v>2180</v>
      </c>
      <c r="BA20" s="29">
        <v>2181</v>
      </c>
      <c r="BB20" s="29">
        <v>2203</v>
      </c>
      <c r="BC20" s="29">
        <v>2254</v>
      </c>
      <c r="BD20" s="29">
        <v>2403</v>
      </c>
      <c r="BE20" s="29">
        <v>2475</v>
      </c>
      <c r="BF20" s="29">
        <v>2477</v>
      </c>
      <c r="BG20" s="29">
        <v>2548</v>
      </c>
      <c r="BH20" s="29">
        <v>2678</v>
      </c>
      <c r="BI20" s="29">
        <v>2678</v>
      </c>
      <c r="BJ20" s="29">
        <v>2653</v>
      </c>
      <c r="BK20" s="29">
        <v>2669</v>
      </c>
      <c r="BL20" s="30">
        <v>2632</v>
      </c>
      <c r="BM20" s="1">
        <v>2559</v>
      </c>
      <c r="BN20" s="1">
        <v>2680</v>
      </c>
      <c r="BO20" s="1">
        <v>2444</v>
      </c>
      <c r="BP20" s="1">
        <v>2488</v>
      </c>
      <c r="BQ20" s="1">
        <v>2535</v>
      </c>
      <c r="BR20" s="1">
        <v>2519</v>
      </c>
      <c r="BS20" s="1">
        <v>2574</v>
      </c>
      <c r="BT20" s="1">
        <v>2597</v>
      </c>
      <c r="BU20" s="1">
        <v>2650</v>
      </c>
      <c r="BV20" s="1">
        <v>2734</v>
      </c>
      <c r="BW20" s="1">
        <v>2738</v>
      </c>
      <c r="BX20" s="1">
        <v>2695</v>
      </c>
      <c r="BY20" s="1">
        <v>2675</v>
      </c>
      <c r="BZ20" s="1">
        <v>2719</v>
      </c>
    </row>
    <row r="21" spans="1:78" ht="15.9" customHeight="1">
      <c r="A21" s="65" t="s">
        <v>37</v>
      </c>
      <c r="B21" s="25" t="s">
        <v>38</v>
      </c>
      <c r="C21" s="39">
        <f>_xll.RssMarket("5332","高値")</f>
        <v>6599</v>
      </c>
      <c r="D21" s="38">
        <f t="shared" si="0"/>
        <v>284</v>
      </c>
      <c r="E21" s="29">
        <v>6315</v>
      </c>
      <c r="F21" s="29">
        <v>6439</v>
      </c>
      <c r="G21" s="29">
        <v>7210</v>
      </c>
      <c r="H21" s="29">
        <v>6871</v>
      </c>
      <c r="I21" s="29">
        <v>6954</v>
      </c>
      <c r="J21" s="29">
        <v>7268</v>
      </c>
      <c r="K21" s="29">
        <v>7520</v>
      </c>
      <c r="L21" s="29"/>
      <c r="M21" s="29">
        <v>7782</v>
      </c>
      <c r="N21" s="29">
        <v>7809</v>
      </c>
      <c r="O21" s="29">
        <v>7597</v>
      </c>
      <c r="P21" s="29">
        <v>7715</v>
      </c>
      <c r="Q21" s="29">
        <v>8088</v>
      </c>
      <c r="R21" s="29">
        <v>8032</v>
      </c>
      <c r="S21" s="29">
        <v>8139</v>
      </c>
      <c r="T21" s="29">
        <v>8213</v>
      </c>
      <c r="U21" s="29">
        <v>8192</v>
      </c>
      <c r="V21" s="29">
        <v>8293</v>
      </c>
      <c r="W21" s="29">
        <v>8670</v>
      </c>
      <c r="X21" s="29">
        <v>8740</v>
      </c>
      <c r="Y21" s="29">
        <v>8586</v>
      </c>
      <c r="Z21" s="29">
        <v>8606</v>
      </c>
      <c r="AA21" s="29">
        <v>8779</v>
      </c>
      <c r="AB21" s="29">
        <v>8739</v>
      </c>
      <c r="AC21" s="29">
        <v>8537</v>
      </c>
      <c r="AD21" s="29">
        <v>8812</v>
      </c>
      <c r="AE21" s="29">
        <v>8997</v>
      </c>
      <c r="AF21" s="29">
        <v>8827</v>
      </c>
      <c r="AG21" s="29">
        <v>9500</v>
      </c>
      <c r="AH21" s="29">
        <v>9360</v>
      </c>
      <c r="AI21" s="29">
        <v>8620</v>
      </c>
      <c r="AJ21" s="29">
        <v>8326</v>
      </c>
      <c r="AK21" s="29">
        <v>8297</v>
      </c>
      <c r="AL21" s="29">
        <v>8362</v>
      </c>
      <c r="AM21" s="29">
        <v>8241</v>
      </c>
      <c r="AN21" s="29">
        <v>7799</v>
      </c>
      <c r="AO21" s="29">
        <v>7511</v>
      </c>
      <c r="AP21" s="29">
        <v>7609</v>
      </c>
      <c r="AQ21" s="29">
        <v>7709</v>
      </c>
      <c r="AR21" s="29">
        <v>8185</v>
      </c>
      <c r="AS21" s="29">
        <v>8332</v>
      </c>
      <c r="AT21" s="29">
        <v>8049</v>
      </c>
      <c r="AU21" s="29">
        <v>7442</v>
      </c>
      <c r="AV21" s="29">
        <v>7799</v>
      </c>
      <c r="AW21" s="29">
        <v>7410</v>
      </c>
      <c r="AX21" s="29">
        <v>7486</v>
      </c>
      <c r="AY21" s="29">
        <v>7086</v>
      </c>
      <c r="AZ21" s="29">
        <v>6873</v>
      </c>
      <c r="BA21" s="29">
        <v>6698</v>
      </c>
      <c r="BB21" s="29">
        <v>6625</v>
      </c>
      <c r="BC21" s="29">
        <v>6928</v>
      </c>
      <c r="BD21" s="29">
        <v>7171</v>
      </c>
      <c r="BE21" s="29">
        <v>7380</v>
      </c>
      <c r="BF21" s="29">
        <v>7289</v>
      </c>
      <c r="BG21" s="29">
        <v>6970</v>
      </c>
      <c r="BH21" s="29">
        <v>7270</v>
      </c>
      <c r="BI21" s="29">
        <v>7290</v>
      </c>
      <c r="BJ21" s="29">
        <v>7104</v>
      </c>
      <c r="BK21" s="29">
        <v>7011</v>
      </c>
      <c r="BL21" s="30">
        <v>6425</v>
      </c>
      <c r="BM21" s="1">
        <v>5497</v>
      </c>
      <c r="BN21" s="1">
        <v>5440</v>
      </c>
      <c r="BO21" s="1">
        <v>5459</v>
      </c>
      <c r="BP21" s="1">
        <v>5375</v>
      </c>
      <c r="BQ21" s="1">
        <v>5260</v>
      </c>
      <c r="BR21" s="1">
        <v>5360</v>
      </c>
      <c r="BS21" s="1">
        <v>5524</v>
      </c>
      <c r="BT21" s="1">
        <v>5630</v>
      </c>
      <c r="BU21" s="1">
        <v>5596</v>
      </c>
      <c r="BV21" s="1">
        <v>5765</v>
      </c>
      <c r="BW21" s="1">
        <v>5611</v>
      </c>
      <c r="BX21" s="1">
        <v>5565</v>
      </c>
      <c r="BY21" s="1">
        <v>5763</v>
      </c>
      <c r="BZ21" s="1">
        <v>5794</v>
      </c>
    </row>
    <row r="22" spans="1:78" ht="15.9" customHeight="1">
      <c r="A22" s="65" t="s">
        <v>39</v>
      </c>
      <c r="B22" s="25" t="s">
        <v>40</v>
      </c>
      <c r="C22" s="39">
        <f>_xll.RssMarket("8725","高値")</f>
        <v>4822</v>
      </c>
      <c r="D22" s="38">
        <f t="shared" si="0"/>
        <v>-8</v>
      </c>
      <c r="E22" s="29">
        <v>4830</v>
      </c>
      <c r="F22" s="29">
        <v>4863</v>
      </c>
      <c r="G22" s="29">
        <v>4997</v>
      </c>
      <c r="H22" s="29">
        <v>5009</v>
      </c>
      <c r="I22" s="29">
        <v>5067</v>
      </c>
      <c r="J22" s="29">
        <v>5073</v>
      </c>
      <c r="K22" s="29">
        <v>5029</v>
      </c>
      <c r="L22" s="29">
        <v>4898</v>
      </c>
      <c r="M22" s="29">
        <v>4875</v>
      </c>
      <c r="N22" s="29">
        <v>4839</v>
      </c>
      <c r="O22" s="29">
        <v>4740</v>
      </c>
      <c r="P22" s="29">
        <v>4580</v>
      </c>
      <c r="Q22" s="29">
        <v>4594</v>
      </c>
      <c r="R22" s="29">
        <v>4513</v>
      </c>
      <c r="S22" s="29">
        <v>4442</v>
      </c>
      <c r="T22" s="29">
        <v>4505</v>
      </c>
      <c r="U22" s="29">
        <v>4505</v>
      </c>
      <c r="V22" s="29">
        <v>4549</v>
      </c>
      <c r="W22" s="29">
        <v>4594</v>
      </c>
      <c r="X22" s="29">
        <v>4554</v>
      </c>
      <c r="Y22" s="29">
        <v>4461</v>
      </c>
      <c r="Z22" s="29">
        <v>4416</v>
      </c>
      <c r="AA22" s="29">
        <v>4285</v>
      </c>
      <c r="AB22" s="29">
        <v>4287</v>
      </c>
      <c r="AC22" s="29">
        <v>4301</v>
      </c>
      <c r="AD22" s="29">
        <v>4292</v>
      </c>
      <c r="AE22" s="29">
        <v>4316</v>
      </c>
      <c r="AF22" s="29">
        <v>4614</v>
      </c>
      <c r="AG22" s="29">
        <v>4661</v>
      </c>
      <c r="AH22" s="29">
        <v>4662</v>
      </c>
      <c r="AI22" s="29">
        <v>4594</v>
      </c>
      <c r="AJ22" s="29">
        <v>4620</v>
      </c>
      <c r="AK22" s="29">
        <v>4689</v>
      </c>
      <c r="AL22" s="29">
        <v>4626</v>
      </c>
      <c r="AM22" s="29">
        <v>4742</v>
      </c>
      <c r="AN22" s="29">
        <v>4676</v>
      </c>
      <c r="AO22" s="29">
        <v>4590</v>
      </c>
      <c r="AP22" s="29">
        <v>4706</v>
      </c>
      <c r="AQ22" s="29">
        <v>4402</v>
      </c>
      <c r="AR22" s="29">
        <v>4394</v>
      </c>
      <c r="AS22" s="29">
        <v>4284</v>
      </c>
      <c r="AT22" s="29">
        <v>4365</v>
      </c>
      <c r="AU22" s="29">
        <v>4298</v>
      </c>
      <c r="AV22" s="29">
        <v>4333</v>
      </c>
      <c r="AW22" s="29">
        <v>4288</v>
      </c>
      <c r="AX22" s="29">
        <v>4295</v>
      </c>
      <c r="AY22" s="29">
        <v>4245</v>
      </c>
      <c r="AZ22" s="29">
        <v>4341</v>
      </c>
      <c r="BA22" s="29">
        <v>4475</v>
      </c>
      <c r="BB22" s="29">
        <v>4522</v>
      </c>
      <c r="BC22" s="29">
        <v>4536</v>
      </c>
      <c r="BD22" s="29">
        <v>4491</v>
      </c>
      <c r="BE22" s="29">
        <v>4437</v>
      </c>
      <c r="BF22" s="29">
        <v>4427</v>
      </c>
      <c r="BG22" s="29">
        <v>4415</v>
      </c>
      <c r="BH22" s="29">
        <v>4285</v>
      </c>
      <c r="BI22" s="29">
        <v>4032</v>
      </c>
      <c r="BJ22" s="29">
        <v>4013</v>
      </c>
      <c r="BK22" s="29">
        <v>4044</v>
      </c>
      <c r="BL22" s="30">
        <v>4004</v>
      </c>
      <c r="BM22" s="1">
        <v>4034</v>
      </c>
      <c r="BN22" s="1">
        <v>4028</v>
      </c>
      <c r="BO22" s="1">
        <v>3939</v>
      </c>
      <c r="BP22" s="1">
        <v>4001</v>
      </c>
      <c r="BQ22" s="1">
        <v>3979</v>
      </c>
      <c r="BR22" s="1">
        <v>4036</v>
      </c>
      <c r="BS22" s="1">
        <v>4057</v>
      </c>
      <c r="BT22" s="1">
        <v>4102</v>
      </c>
      <c r="BU22" s="1">
        <v>4134</v>
      </c>
      <c r="BV22" s="1">
        <v>4134</v>
      </c>
      <c r="BW22" s="1">
        <v>4090</v>
      </c>
      <c r="BX22" s="1">
        <v>4112</v>
      </c>
      <c r="BY22" s="1">
        <v>4099</v>
      </c>
      <c r="BZ22" s="1">
        <v>4123</v>
      </c>
    </row>
    <row r="23" spans="1:78" ht="15.9" customHeight="1">
      <c r="A23" s="65" t="s">
        <v>41</v>
      </c>
      <c r="B23" s="25" t="s">
        <v>42</v>
      </c>
      <c r="C23" s="39">
        <f>_xll.RssMarket("8795","高値")</f>
        <v>5040</v>
      </c>
      <c r="D23" s="38">
        <f t="shared" si="0"/>
        <v>8</v>
      </c>
      <c r="E23" s="29">
        <v>5032</v>
      </c>
      <c r="F23" s="29">
        <v>5047</v>
      </c>
      <c r="G23" s="29">
        <v>5172</v>
      </c>
      <c r="H23" s="29">
        <v>5060</v>
      </c>
      <c r="I23" s="29">
        <v>5080</v>
      </c>
      <c r="J23" s="29">
        <v>5125</v>
      </c>
      <c r="K23" s="29">
        <v>5176</v>
      </c>
      <c r="L23" s="29"/>
      <c r="M23" s="29">
        <v>5095</v>
      </c>
      <c r="N23" s="29">
        <v>5084</v>
      </c>
      <c r="O23" s="29">
        <v>4996</v>
      </c>
      <c r="P23" s="29">
        <v>4950</v>
      </c>
      <c r="Q23" s="29">
        <v>5065</v>
      </c>
      <c r="R23" s="29">
        <v>4976</v>
      </c>
      <c r="S23" s="29">
        <v>4961</v>
      </c>
      <c r="T23" s="29">
        <v>5018</v>
      </c>
      <c r="U23" s="29">
        <v>4960</v>
      </c>
      <c r="V23" s="29">
        <v>4988</v>
      </c>
      <c r="W23" s="29">
        <v>5098</v>
      </c>
      <c r="X23" s="29">
        <v>5053</v>
      </c>
      <c r="Y23" s="29">
        <v>4979</v>
      </c>
      <c r="Z23" s="29">
        <v>4909</v>
      </c>
      <c r="AA23" s="29">
        <v>4926</v>
      </c>
      <c r="AB23" s="29">
        <v>4850</v>
      </c>
      <c r="AC23" s="29">
        <v>4748</v>
      </c>
      <c r="AD23" s="29">
        <v>4740</v>
      </c>
      <c r="AE23" s="29">
        <v>4741</v>
      </c>
      <c r="AF23" s="29">
        <v>4900</v>
      </c>
      <c r="AG23" s="29">
        <v>5053</v>
      </c>
      <c r="AH23" s="29">
        <v>4984</v>
      </c>
      <c r="AI23" s="29">
        <v>4975</v>
      </c>
      <c r="AJ23" s="29">
        <v>4930</v>
      </c>
      <c r="AK23" s="29">
        <v>5017</v>
      </c>
      <c r="AL23" s="29">
        <v>4914</v>
      </c>
      <c r="AM23" s="29">
        <v>4900</v>
      </c>
      <c r="AN23" s="29">
        <v>4755</v>
      </c>
      <c r="AO23" s="29">
        <v>4786</v>
      </c>
      <c r="AP23" s="29">
        <v>4981</v>
      </c>
      <c r="AQ23" s="29">
        <v>4482</v>
      </c>
      <c r="AR23" s="29">
        <v>4475</v>
      </c>
      <c r="AS23" s="29">
        <v>4231</v>
      </c>
      <c r="AT23" s="29">
        <v>4258</v>
      </c>
      <c r="AU23" s="29">
        <v>4253</v>
      </c>
      <c r="AV23" s="29">
        <v>4224</v>
      </c>
      <c r="AW23" s="29">
        <v>4135</v>
      </c>
      <c r="AX23" s="29">
        <v>4159</v>
      </c>
      <c r="AY23" s="29">
        <v>4148</v>
      </c>
      <c r="AZ23" s="29">
        <v>4154</v>
      </c>
      <c r="BA23" s="29">
        <v>4168</v>
      </c>
      <c r="BB23" s="29">
        <v>4230</v>
      </c>
      <c r="BC23" s="29">
        <v>4204</v>
      </c>
      <c r="BD23" s="29">
        <v>4046</v>
      </c>
      <c r="BE23" s="29">
        <v>4058</v>
      </c>
      <c r="BF23" s="29">
        <v>4002</v>
      </c>
      <c r="BG23" s="29">
        <v>4040</v>
      </c>
      <c r="BH23" s="29">
        <v>4035</v>
      </c>
      <c r="BI23" s="29">
        <v>3986</v>
      </c>
      <c r="BJ23" s="29">
        <v>3939</v>
      </c>
      <c r="BK23" s="29">
        <v>3945</v>
      </c>
      <c r="BL23" s="30">
        <v>3789</v>
      </c>
      <c r="BM23" s="1">
        <v>3792</v>
      </c>
      <c r="BN23" s="1">
        <v>3794</v>
      </c>
      <c r="BO23" s="1">
        <v>3676</v>
      </c>
      <c r="BP23" s="1">
        <v>3741</v>
      </c>
      <c r="BQ23" s="1">
        <v>3728</v>
      </c>
      <c r="BR23" s="1">
        <v>3809</v>
      </c>
      <c r="BS23" s="1">
        <v>3925</v>
      </c>
      <c r="BT23" s="1">
        <v>4040</v>
      </c>
      <c r="BU23" s="1">
        <v>4082</v>
      </c>
      <c r="BV23" s="1">
        <v>4083</v>
      </c>
      <c r="BW23" s="1">
        <v>4135</v>
      </c>
      <c r="BX23" s="1">
        <v>4095</v>
      </c>
      <c r="BY23" s="1">
        <v>4050</v>
      </c>
      <c r="BZ23" s="1">
        <v>4065</v>
      </c>
    </row>
    <row r="24" spans="1:78" ht="15.9" customHeight="1">
      <c r="A24" s="65" t="s">
        <v>43</v>
      </c>
      <c r="B24" s="25" t="s">
        <v>44</v>
      </c>
      <c r="C24" s="39">
        <f>_xll.RssMarket("5019","高値")</f>
        <v>1255</v>
      </c>
      <c r="D24" s="38">
        <f t="shared" si="0"/>
        <v>-16</v>
      </c>
      <c r="E24" s="29">
        <v>1271</v>
      </c>
      <c r="F24" s="29">
        <v>1305</v>
      </c>
      <c r="G24" s="29">
        <v>1316.5</v>
      </c>
      <c r="H24" s="29">
        <v>1327</v>
      </c>
      <c r="I24" s="29">
        <v>1328.5</v>
      </c>
      <c r="J24" s="29">
        <v>1323</v>
      </c>
      <c r="K24" s="29">
        <v>1335.5</v>
      </c>
      <c r="L24" s="29">
        <v>1352</v>
      </c>
      <c r="M24" s="29">
        <v>1327.5</v>
      </c>
      <c r="N24" s="29">
        <v>1319.5</v>
      </c>
      <c r="O24" s="29">
        <v>1303</v>
      </c>
      <c r="P24" s="29">
        <v>1264.5</v>
      </c>
      <c r="Q24" s="29">
        <v>1290</v>
      </c>
      <c r="R24" s="29">
        <v>1273.5</v>
      </c>
      <c r="S24" s="29">
        <v>1257.5</v>
      </c>
      <c r="T24" s="29">
        <v>1255</v>
      </c>
      <c r="U24" s="29">
        <v>1255.5</v>
      </c>
      <c r="V24" s="29">
        <v>1255.5</v>
      </c>
      <c r="W24" s="29">
        <v>1252.5</v>
      </c>
      <c r="X24" s="29">
        <v>1246.5</v>
      </c>
      <c r="Y24" s="29">
        <v>1222</v>
      </c>
      <c r="Z24" s="29">
        <v>1209</v>
      </c>
      <c r="AA24" s="29">
        <v>1202.5</v>
      </c>
      <c r="AB24" s="29">
        <v>1226</v>
      </c>
      <c r="AC24" s="29">
        <v>1227</v>
      </c>
      <c r="AD24" s="29">
        <v>1229.5</v>
      </c>
      <c r="AE24" s="29">
        <v>1281</v>
      </c>
      <c r="AF24" s="29">
        <v>1252</v>
      </c>
      <c r="AG24" s="29">
        <v>1271.5</v>
      </c>
      <c r="AH24" s="29">
        <v>1264.5</v>
      </c>
      <c r="AI24" s="29">
        <v>1259.5</v>
      </c>
      <c r="AJ24" s="29">
        <v>1295</v>
      </c>
      <c r="AK24" s="29">
        <v>1293</v>
      </c>
      <c r="AL24" s="29">
        <v>1320</v>
      </c>
      <c r="AM24" s="29">
        <v>1362.5</v>
      </c>
      <c r="AN24" s="29">
        <v>1365</v>
      </c>
      <c r="AO24" s="29">
        <v>1369.5</v>
      </c>
      <c r="AP24" s="29">
        <v>1342.5</v>
      </c>
      <c r="AQ24" s="29">
        <v>1377.5</v>
      </c>
      <c r="AR24" s="29">
        <v>1413</v>
      </c>
      <c r="AS24" s="29">
        <v>1409</v>
      </c>
      <c r="AT24" s="29">
        <v>1415</v>
      </c>
      <c r="AU24" s="29">
        <v>1368</v>
      </c>
      <c r="AV24" s="29">
        <v>1398.5</v>
      </c>
      <c r="AW24" s="29">
        <v>1322</v>
      </c>
      <c r="AX24" s="29">
        <v>1329.5</v>
      </c>
      <c r="AY24" s="29">
        <v>1341.5</v>
      </c>
      <c r="AZ24" s="29">
        <v>1338.5</v>
      </c>
      <c r="BA24" s="29">
        <v>1371.5</v>
      </c>
      <c r="BB24" s="29">
        <v>1393.5</v>
      </c>
      <c r="BC24" s="29">
        <v>1394.5</v>
      </c>
      <c r="BD24" s="29">
        <v>1446</v>
      </c>
      <c r="BE24" s="29">
        <v>1447.5</v>
      </c>
      <c r="BF24" s="29">
        <v>1425.5</v>
      </c>
      <c r="BG24" s="29">
        <v>1406</v>
      </c>
      <c r="BH24" s="29">
        <v>1409.5</v>
      </c>
      <c r="BI24" s="29">
        <v>1365.5</v>
      </c>
      <c r="BJ24" s="29">
        <v>1374.5</v>
      </c>
      <c r="BK24" s="29">
        <v>1385</v>
      </c>
      <c r="BL24" s="30">
        <v>1370</v>
      </c>
      <c r="BM24" s="1">
        <v>1380</v>
      </c>
      <c r="BN24" s="1">
        <v>1350.5</v>
      </c>
      <c r="BO24" s="1">
        <v>1334.5</v>
      </c>
      <c r="BP24" s="1">
        <v>1360</v>
      </c>
      <c r="BQ24" s="1">
        <v>1352.5</v>
      </c>
      <c r="BR24" s="1">
        <v>1421.5</v>
      </c>
      <c r="BS24" s="1">
        <v>1450</v>
      </c>
      <c r="BT24" s="1">
        <v>1492.5</v>
      </c>
      <c r="BU24" s="1">
        <v>1516.5</v>
      </c>
      <c r="BV24" s="1">
        <v>1524.5</v>
      </c>
      <c r="BW24" s="1">
        <v>1539</v>
      </c>
      <c r="BX24" s="1">
        <v>1545.5</v>
      </c>
      <c r="BY24" s="1">
        <v>1580.5</v>
      </c>
      <c r="BZ24" s="1">
        <v>1576.5</v>
      </c>
    </row>
    <row r="25" spans="1:78" ht="15.9" customHeight="1">
      <c r="A25" s="65" t="s">
        <v>45</v>
      </c>
      <c r="B25" s="25" t="s">
        <v>46</v>
      </c>
      <c r="C25" s="39">
        <f>_xll.RssMarket("8053","高値")</f>
        <v>1712.5</v>
      </c>
      <c r="D25" s="38">
        <f t="shared" si="0"/>
        <v>1712.5</v>
      </c>
      <c r="E25" s="29"/>
      <c r="F25" s="29"/>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30"/>
    </row>
    <row r="26" spans="1:78" ht="15.9" customHeight="1">
      <c r="A26" s="65" t="s">
        <v>47</v>
      </c>
      <c r="B26" s="25" t="s">
        <v>48</v>
      </c>
      <c r="C26" s="39">
        <f>_xll.RssMarket("8591","高値")</f>
        <v>6508</v>
      </c>
      <c r="D26" s="38">
        <f t="shared" si="0"/>
        <v>142</v>
      </c>
      <c r="E26" s="29">
        <v>6366</v>
      </c>
      <c r="F26" s="29">
        <v>6389</v>
      </c>
      <c r="G26" s="29">
        <v>6503</v>
      </c>
      <c r="H26" s="29">
        <v>6382</v>
      </c>
      <c r="I26" s="29">
        <v>6496</v>
      </c>
      <c r="J26" s="29">
        <v>6680</v>
      </c>
      <c r="K26" s="29">
        <v>6673</v>
      </c>
      <c r="L26" s="29">
        <v>6591</v>
      </c>
      <c r="M26" s="29">
        <v>6653</v>
      </c>
      <c r="N26" s="29">
        <v>6639</v>
      </c>
      <c r="O26" s="29">
        <v>6502</v>
      </c>
      <c r="P26" s="29">
        <v>6463</v>
      </c>
      <c r="Q26" s="29">
        <v>6593</v>
      </c>
      <c r="R26" s="29">
        <v>6472</v>
      </c>
      <c r="S26" s="29">
        <v>6580</v>
      </c>
      <c r="T26" s="29">
        <v>6508</v>
      </c>
      <c r="U26" s="29">
        <v>6452</v>
      </c>
      <c r="V26" s="29">
        <v>6444</v>
      </c>
      <c r="W26" s="29">
        <v>6526</v>
      </c>
      <c r="X26" s="29">
        <v>6405</v>
      </c>
      <c r="Y26" s="29">
        <v>6345</v>
      </c>
      <c r="Z26" s="29">
        <v>6321</v>
      </c>
      <c r="AA26" s="29">
        <v>6278</v>
      </c>
      <c r="AB26" s="29">
        <v>6224</v>
      </c>
      <c r="AC26" s="29">
        <v>6210</v>
      </c>
      <c r="AD26" s="29">
        <v>6246</v>
      </c>
      <c r="AE26" s="29">
        <v>6310</v>
      </c>
      <c r="AF26" s="29">
        <v>6344</v>
      </c>
      <c r="AG26" s="29">
        <v>6545</v>
      </c>
      <c r="AH26" s="29">
        <v>6502</v>
      </c>
      <c r="AI26" s="29">
        <v>6448</v>
      </c>
      <c r="AJ26" s="29">
        <v>6566</v>
      </c>
      <c r="AK26" s="29">
        <v>6417</v>
      </c>
      <c r="AL26" s="29">
        <v>6305</v>
      </c>
      <c r="AM26" s="29">
        <v>6239</v>
      </c>
      <c r="AN26" s="29">
        <v>6150</v>
      </c>
      <c r="AO26" s="29">
        <v>6080</v>
      </c>
      <c r="AP26" s="29">
        <v>6335</v>
      </c>
      <c r="AQ26" s="29">
        <v>6180</v>
      </c>
      <c r="AR26" s="29">
        <v>6305</v>
      </c>
      <c r="AS26" s="29">
        <v>6367</v>
      </c>
      <c r="AT26" s="29">
        <v>6368</v>
      </c>
      <c r="AU26" s="29">
        <v>6220</v>
      </c>
      <c r="AV26" s="29">
        <v>6309</v>
      </c>
      <c r="AW26" s="29">
        <v>6153</v>
      </c>
      <c r="AX26" s="29">
        <v>6378</v>
      </c>
      <c r="AY26" s="29">
        <v>6308</v>
      </c>
      <c r="AZ26" s="29">
        <v>6282</v>
      </c>
      <c r="BA26" s="29">
        <v>6348</v>
      </c>
      <c r="BB26" s="29">
        <v>6109</v>
      </c>
      <c r="BC26" s="29">
        <v>5950</v>
      </c>
      <c r="BD26" s="29">
        <v>5939</v>
      </c>
      <c r="BE26" s="29">
        <v>5817</v>
      </c>
      <c r="BF26" s="29">
        <v>5970</v>
      </c>
      <c r="BG26" s="29">
        <v>6060</v>
      </c>
      <c r="BH26" s="29">
        <v>6049</v>
      </c>
      <c r="BI26" s="29">
        <v>5520</v>
      </c>
      <c r="BJ26" s="29">
        <v>5330</v>
      </c>
      <c r="BK26" s="29">
        <v>5314</v>
      </c>
      <c r="BL26" s="30">
        <v>5231</v>
      </c>
      <c r="BM26" s="1">
        <v>5275</v>
      </c>
      <c r="BN26" s="1">
        <v>5462</v>
      </c>
      <c r="BO26" s="1">
        <v>4883</v>
      </c>
      <c r="BP26" s="1">
        <v>4885</v>
      </c>
      <c r="BQ26" s="1">
        <v>4894</v>
      </c>
      <c r="BR26" s="1">
        <v>4980</v>
      </c>
      <c r="BS26" s="1">
        <v>5051</v>
      </c>
      <c r="BT26" s="1">
        <v>5084</v>
      </c>
      <c r="BU26" s="1">
        <v>5047</v>
      </c>
      <c r="BV26" s="1">
        <v>5093</v>
      </c>
      <c r="BW26" s="1">
        <v>5092</v>
      </c>
      <c r="BX26" s="1">
        <v>5014</v>
      </c>
      <c r="BY26" s="1">
        <v>4891</v>
      </c>
      <c r="BZ26" s="1">
        <v>4910</v>
      </c>
    </row>
    <row r="27" spans="1:78" ht="15.9" customHeight="1">
      <c r="A27" s="65" t="s">
        <v>49</v>
      </c>
      <c r="B27" s="25" t="s">
        <v>50</v>
      </c>
      <c r="C27" s="39">
        <f>_xll.RssMarket("3401","高値")</f>
        <v>1659</v>
      </c>
      <c r="D27" s="38">
        <f t="shared" si="0"/>
        <v>1659</v>
      </c>
      <c r="E27" s="29"/>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30"/>
    </row>
    <row r="28" spans="1:78" ht="15.9" customHeight="1">
      <c r="A28" s="65" t="s">
        <v>51</v>
      </c>
      <c r="B28" s="25" t="s">
        <v>52</v>
      </c>
      <c r="C28" s="39">
        <f>_xll.RssMarket("3436","高値")</f>
        <v>3869</v>
      </c>
      <c r="D28" s="38">
        <f t="shared" si="0"/>
        <v>-2497</v>
      </c>
      <c r="E28" s="29">
        <v>6366</v>
      </c>
      <c r="F28" s="29">
        <v>6389</v>
      </c>
      <c r="G28" s="29">
        <v>6503</v>
      </c>
      <c r="H28" s="29">
        <v>6382</v>
      </c>
      <c r="I28" s="29">
        <v>6496</v>
      </c>
      <c r="J28" s="29">
        <v>6680</v>
      </c>
      <c r="K28" s="29">
        <v>6673</v>
      </c>
      <c r="L28" s="29">
        <v>3795</v>
      </c>
      <c r="M28" s="29">
        <v>6653</v>
      </c>
      <c r="N28" s="29">
        <v>6639</v>
      </c>
      <c r="O28" s="29">
        <v>6502</v>
      </c>
      <c r="P28" s="29">
        <v>6463</v>
      </c>
      <c r="Q28" s="29">
        <v>6593</v>
      </c>
      <c r="R28" s="29">
        <v>6472</v>
      </c>
      <c r="S28" s="29">
        <v>6580</v>
      </c>
      <c r="T28" s="29">
        <v>6508</v>
      </c>
      <c r="U28" s="29">
        <v>6452</v>
      </c>
      <c r="V28" s="29">
        <v>6444</v>
      </c>
      <c r="W28" s="29">
        <v>6526</v>
      </c>
      <c r="X28" s="29">
        <v>6405</v>
      </c>
      <c r="Y28" s="29">
        <v>6345</v>
      </c>
      <c r="Z28" s="29">
        <v>6321</v>
      </c>
      <c r="AA28" s="29">
        <v>6278</v>
      </c>
      <c r="AB28" s="29">
        <v>6224</v>
      </c>
      <c r="AC28" s="29">
        <v>6210</v>
      </c>
      <c r="AD28" s="29">
        <v>6246</v>
      </c>
      <c r="AE28" s="29">
        <v>6310</v>
      </c>
      <c r="AF28" s="29">
        <v>6344</v>
      </c>
      <c r="AG28" s="29">
        <v>6545</v>
      </c>
      <c r="AH28" s="29">
        <v>6502</v>
      </c>
      <c r="AI28" s="29">
        <v>6448</v>
      </c>
      <c r="AJ28" s="29">
        <v>6566</v>
      </c>
      <c r="AK28" s="29">
        <v>6417</v>
      </c>
      <c r="AL28" s="29">
        <v>6305</v>
      </c>
      <c r="AM28" s="29">
        <v>6239</v>
      </c>
      <c r="AN28" s="29">
        <v>6150</v>
      </c>
      <c r="AO28" s="29">
        <v>6080</v>
      </c>
      <c r="AP28" s="29">
        <v>6335</v>
      </c>
      <c r="AQ28" s="29">
        <v>6180</v>
      </c>
      <c r="AR28" s="29">
        <v>6305</v>
      </c>
      <c r="AS28" s="29">
        <v>6367</v>
      </c>
      <c r="AT28" s="29">
        <v>6368</v>
      </c>
      <c r="AU28" s="29">
        <v>6220</v>
      </c>
      <c r="AV28" s="29">
        <v>6309</v>
      </c>
      <c r="AW28" s="29">
        <v>6153</v>
      </c>
      <c r="AX28" s="29">
        <v>6378</v>
      </c>
      <c r="AY28" s="29">
        <v>6308</v>
      </c>
      <c r="AZ28" s="29">
        <v>6282</v>
      </c>
      <c r="BA28" s="29">
        <v>6348</v>
      </c>
      <c r="BB28" s="29">
        <v>6109</v>
      </c>
      <c r="BC28" s="29">
        <v>5950</v>
      </c>
      <c r="BD28" s="29">
        <v>5939</v>
      </c>
      <c r="BE28" s="29">
        <v>5817</v>
      </c>
      <c r="BF28" s="29">
        <v>5970</v>
      </c>
      <c r="BG28" s="29">
        <v>6060</v>
      </c>
      <c r="BH28" s="29">
        <v>6049</v>
      </c>
      <c r="BI28" s="29">
        <v>5520</v>
      </c>
      <c r="BJ28" s="29">
        <v>5330</v>
      </c>
      <c r="BK28" s="29">
        <v>5314</v>
      </c>
      <c r="BL28" s="30">
        <v>5231</v>
      </c>
      <c r="BM28" s="1">
        <v>5275</v>
      </c>
      <c r="BN28" s="1">
        <v>5462</v>
      </c>
      <c r="BO28" s="1">
        <v>4883</v>
      </c>
      <c r="BP28" s="1">
        <v>4885</v>
      </c>
      <c r="BQ28" s="1">
        <v>4894</v>
      </c>
      <c r="BR28" s="1">
        <v>4980</v>
      </c>
      <c r="BS28" s="1">
        <v>5051</v>
      </c>
      <c r="BT28" s="1">
        <v>5084</v>
      </c>
      <c r="BU28" s="1">
        <v>5047</v>
      </c>
      <c r="BV28" s="1">
        <v>5093</v>
      </c>
      <c r="BW28" s="1">
        <v>5092</v>
      </c>
      <c r="BX28" s="1">
        <v>5014</v>
      </c>
      <c r="BY28" s="1">
        <v>4891</v>
      </c>
      <c r="BZ28" s="1">
        <v>4910</v>
      </c>
    </row>
    <row r="29" spans="1:78" ht="15.9" customHeight="1">
      <c r="A29" s="65" t="s">
        <v>53</v>
      </c>
      <c r="B29" s="25" t="s">
        <v>54</v>
      </c>
      <c r="C29" s="39">
        <f>_xll.RssMarket("5020","高値")</f>
        <v>1301</v>
      </c>
      <c r="D29" s="38">
        <f t="shared" si="0"/>
        <v>-2.5</v>
      </c>
      <c r="E29" s="29">
        <v>1303.5</v>
      </c>
      <c r="F29" s="29">
        <v>1314</v>
      </c>
      <c r="G29" s="29">
        <v>1340</v>
      </c>
      <c r="H29" s="29">
        <v>1323</v>
      </c>
      <c r="I29" s="29">
        <v>1313</v>
      </c>
      <c r="J29" s="29">
        <v>1326</v>
      </c>
      <c r="K29" s="29">
        <v>1330.5</v>
      </c>
      <c r="L29" s="29">
        <v>1342</v>
      </c>
      <c r="M29" s="29">
        <v>1337</v>
      </c>
      <c r="N29" s="29">
        <v>1326</v>
      </c>
      <c r="O29" s="29">
        <v>1307</v>
      </c>
      <c r="P29" s="29">
        <v>1269</v>
      </c>
      <c r="Q29" s="29">
        <v>1298.5</v>
      </c>
      <c r="R29" s="29">
        <v>1269</v>
      </c>
      <c r="S29" s="29">
        <v>1269.5</v>
      </c>
      <c r="T29" s="29">
        <v>1258.5</v>
      </c>
      <c r="U29" s="29">
        <v>1268</v>
      </c>
      <c r="V29" s="29">
        <v>1257</v>
      </c>
      <c r="W29" s="29">
        <v>1279.5</v>
      </c>
      <c r="X29" s="29">
        <v>1265</v>
      </c>
      <c r="Y29" s="29">
        <v>1237</v>
      </c>
      <c r="Z29" s="29">
        <v>1228</v>
      </c>
      <c r="AA29" s="29">
        <v>1212.5</v>
      </c>
      <c r="AB29" s="29">
        <v>1208</v>
      </c>
      <c r="AC29" s="29">
        <v>1212</v>
      </c>
      <c r="AD29" s="29">
        <v>1214.5</v>
      </c>
      <c r="AE29" s="29">
        <v>1253</v>
      </c>
      <c r="AF29" s="29">
        <v>1237.5</v>
      </c>
      <c r="AG29" s="29">
        <v>1266.5</v>
      </c>
      <c r="AH29" s="29">
        <v>1265</v>
      </c>
      <c r="AI29" s="29">
        <v>1264</v>
      </c>
      <c r="AJ29" s="29">
        <v>1251.5</v>
      </c>
      <c r="AK29" s="29">
        <v>1259</v>
      </c>
      <c r="AL29" s="29">
        <v>1247</v>
      </c>
      <c r="AM29" s="29">
        <v>1278</v>
      </c>
      <c r="AN29" s="29">
        <v>1241</v>
      </c>
      <c r="AO29" s="29">
        <v>1232.5</v>
      </c>
      <c r="AP29" s="29">
        <v>1221.5</v>
      </c>
      <c r="AQ29" s="29">
        <v>1260</v>
      </c>
      <c r="AR29" s="29">
        <v>1305</v>
      </c>
      <c r="AS29" s="29">
        <v>1319</v>
      </c>
      <c r="AT29" s="29">
        <v>1341.5</v>
      </c>
      <c r="AU29" s="29">
        <v>1292.5</v>
      </c>
      <c r="AV29" s="29">
        <v>1305.5</v>
      </c>
      <c r="AW29" s="29">
        <v>1300.5</v>
      </c>
      <c r="AX29" s="29">
        <v>1310.5</v>
      </c>
      <c r="AY29" s="29">
        <v>1322</v>
      </c>
      <c r="AZ29" s="29">
        <v>1306.5</v>
      </c>
      <c r="BA29" s="29">
        <v>1321</v>
      </c>
      <c r="BB29" s="29">
        <v>1361</v>
      </c>
      <c r="BC29" s="29">
        <v>1370</v>
      </c>
      <c r="BD29" s="29">
        <v>1397.5</v>
      </c>
      <c r="BE29" s="29">
        <v>1390</v>
      </c>
      <c r="BF29" s="29">
        <v>1380</v>
      </c>
      <c r="BG29" s="29">
        <v>1374</v>
      </c>
      <c r="BH29" s="29">
        <v>1384</v>
      </c>
      <c r="BI29" s="29">
        <v>1317</v>
      </c>
      <c r="BJ29" s="29">
        <v>1295</v>
      </c>
      <c r="BK29" s="29">
        <v>1342</v>
      </c>
      <c r="BL29" s="30">
        <v>1325.5</v>
      </c>
      <c r="BM29" s="1">
        <v>1329.5</v>
      </c>
      <c r="BN29" s="1">
        <v>1307.5</v>
      </c>
      <c r="BO29" s="1">
        <v>1294</v>
      </c>
      <c r="BP29" s="1">
        <v>1318</v>
      </c>
      <c r="BQ29" s="1">
        <v>1314.5</v>
      </c>
      <c r="BR29" s="1">
        <v>1330</v>
      </c>
      <c r="BS29" s="1">
        <v>1359</v>
      </c>
      <c r="BT29" s="1">
        <v>1376</v>
      </c>
      <c r="BU29" s="1">
        <v>1413</v>
      </c>
      <c r="BV29" s="1">
        <v>1423.5</v>
      </c>
      <c r="BW29" s="1">
        <v>1441.5</v>
      </c>
      <c r="BX29" s="1">
        <v>1435.5</v>
      </c>
      <c r="BY29" s="1">
        <v>1458</v>
      </c>
      <c r="BZ29" s="1">
        <v>1464.5</v>
      </c>
    </row>
    <row r="30" spans="1:78" ht="15.9" customHeight="1">
      <c r="A30" s="65" t="s">
        <v>55</v>
      </c>
      <c r="B30" s="25" t="s">
        <v>56</v>
      </c>
      <c r="C30" s="39">
        <f>_xll.RssMarket("6254","高値")</f>
        <v>4565</v>
      </c>
      <c r="D30" s="38">
        <f t="shared" si="0"/>
        <v>310</v>
      </c>
      <c r="E30" s="29">
        <v>4255</v>
      </c>
      <c r="F30" s="29">
        <v>4015</v>
      </c>
      <c r="G30" s="29">
        <v>4115</v>
      </c>
      <c r="H30" s="29">
        <v>3660</v>
      </c>
      <c r="I30" s="29">
        <v>3740</v>
      </c>
      <c r="J30" s="29">
        <v>4150</v>
      </c>
      <c r="K30" s="29">
        <v>4245</v>
      </c>
      <c r="L30" s="29">
        <v>4315</v>
      </c>
      <c r="M30" s="29">
        <v>4345</v>
      </c>
      <c r="N30" s="29">
        <v>4330</v>
      </c>
      <c r="O30" s="29">
        <v>4135</v>
      </c>
      <c r="P30" s="29">
        <v>4155</v>
      </c>
      <c r="Q30" s="29">
        <v>4415</v>
      </c>
      <c r="R30" s="29">
        <v>4375</v>
      </c>
      <c r="S30" s="29">
        <v>4680</v>
      </c>
      <c r="T30" s="29">
        <v>4730</v>
      </c>
      <c r="U30" s="29">
        <v>4400</v>
      </c>
      <c r="V30" s="29">
        <v>4430</v>
      </c>
      <c r="W30" s="29">
        <v>4630</v>
      </c>
      <c r="X30" s="29">
        <v>4980</v>
      </c>
      <c r="Y30" s="29">
        <v>4940</v>
      </c>
      <c r="Z30" s="29">
        <v>4970</v>
      </c>
      <c r="AA30" s="29">
        <v>5340</v>
      </c>
      <c r="AB30" s="29">
        <v>5150</v>
      </c>
      <c r="AC30" s="29">
        <v>5070</v>
      </c>
      <c r="AD30" s="29">
        <v>4830</v>
      </c>
      <c r="AE30" s="29">
        <v>5010</v>
      </c>
      <c r="AF30" s="29">
        <v>5040</v>
      </c>
      <c r="AG30" s="29">
        <v>5450</v>
      </c>
      <c r="AH30" s="29">
        <v>5500</v>
      </c>
      <c r="AI30" s="29">
        <v>5260</v>
      </c>
      <c r="AJ30" s="29">
        <v>5180</v>
      </c>
      <c r="AK30" s="29">
        <v>4990</v>
      </c>
      <c r="AL30" s="29">
        <v>4655</v>
      </c>
      <c r="AM30" s="29">
        <v>4845</v>
      </c>
      <c r="AN30" s="29">
        <v>4395</v>
      </c>
      <c r="AO30" s="29">
        <v>3970</v>
      </c>
      <c r="AP30" s="29">
        <v>4225</v>
      </c>
      <c r="AQ30" s="29">
        <v>4115</v>
      </c>
      <c r="AR30" s="29">
        <v>4385</v>
      </c>
      <c r="AS30" s="29">
        <v>4515</v>
      </c>
      <c r="AT30" s="29">
        <v>4555</v>
      </c>
      <c r="AU30" s="29">
        <v>4545</v>
      </c>
      <c r="AV30" s="29">
        <v>4850</v>
      </c>
      <c r="AW30" s="29">
        <v>4865</v>
      </c>
      <c r="AX30" s="29">
        <v>5250</v>
      </c>
      <c r="AY30" s="29">
        <v>5290</v>
      </c>
      <c r="AZ30" s="29">
        <v>5140</v>
      </c>
      <c r="BA30" s="29">
        <v>4725</v>
      </c>
      <c r="BB30" s="29">
        <v>4665</v>
      </c>
      <c r="BC30" s="29">
        <v>4910</v>
      </c>
      <c r="BD30" s="29">
        <v>5110</v>
      </c>
      <c r="BE30" s="29">
        <v>5060</v>
      </c>
      <c r="BF30" s="29">
        <v>4470</v>
      </c>
      <c r="BG30" s="29">
        <v>4440</v>
      </c>
      <c r="BH30" s="29">
        <v>4695</v>
      </c>
      <c r="BI30" s="29">
        <v>4675</v>
      </c>
      <c r="BJ30" s="29">
        <v>4520</v>
      </c>
      <c r="BK30" s="29">
        <v>4115</v>
      </c>
      <c r="BL30" s="30">
        <v>3715</v>
      </c>
      <c r="BM30" s="1">
        <v>3760</v>
      </c>
      <c r="BN30" s="1">
        <v>3765</v>
      </c>
      <c r="BO30" s="1">
        <v>3790</v>
      </c>
      <c r="BP30" s="1">
        <v>3770</v>
      </c>
      <c r="BQ30" s="1">
        <v>3775</v>
      </c>
      <c r="BR30" s="1">
        <v>3845</v>
      </c>
      <c r="BS30" s="1">
        <v>3915</v>
      </c>
      <c r="BT30" s="1">
        <v>3895</v>
      </c>
      <c r="BU30" s="1">
        <v>3760</v>
      </c>
      <c r="BV30" s="1">
        <v>3770</v>
      </c>
      <c r="BW30" s="1">
        <v>3695</v>
      </c>
      <c r="BX30" s="1">
        <v>3735</v>
      </c>
      <c r="BY30" s="1">
        <v>3645</v>
      </c>
      <c r="BZ30" s="1">
        <v>3645</v>
      </c>
    </row>
    <row r="31" spans="1:78" ht="15.9" customHeight="1">
      <c r="A31" s="65" t="s">
        <v>57</v>
      </c>
      <c r="B31" s="25" t="s">
        <v>58</v>
      </c>
      <c r="C31" s="39">
        <f>_xll.RssMarket("8309","高値")</f>
        <v>1666.5</v>
      </c>
      <c r="D31" s="38">
        <f t="shared" si="0"/>
        <v>1666.5</v>
      </c>
      <c r="E31" s="29"/>
      <c r="F31" s="29"/>
      <c r="G31" s="29"/>
      <c r="H31" s="29"/>
      <c r="I31" s="29"/>
      <c r="J31" s="29"/>
      <c r="K31" s="29"/>
      <c r="L31" s="29"/>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30"/>
    </row>
    <row r="32" spans="1:78" ht="15.9" customHeight="1">
      <c r="A32" s="65" t="s">
        <v>59</v>
      </c>
      <c r="B32" s="25" t="s">
        <v>60</v>
      </c>
      <c r="C32" s="39">
        <f>_xll.RssMarket("3863","高値")</f>
        <v>1373</v>
      </c>
      <c r="D32" s="38">
        <f t="shared" si="0"/>
        <v>26</v>
      </c>
      <c r="E32" s="29">
        <v>1347</v>
      </c>
      <c r="F32" s="29">
        <v>1356</v>
      </c>
      <c r="G32" s="29">
        <v>1464</v>
      </c>
      <c r="H32" s="29">
        <v>1483</v>
      </c>
      <c r="I32" s="29">
        <v>1505</v>
      </c>
      <c r="J32" s="29">
        <v>1540</v>
      </c>
      <c r="K32" s="29">
        <v>1522</v>
      </c>
      <c r="L32" s="29">
        <v>1585</v>
      </c>
      <c r="M32" s="29">
        <v>1599</v>
      </c>
      <c r="N32" s="29">
        <v>1525</v>
      </c>
      <c r="O32" s="29">
        <v>1519</v>
      </c>
      <c r="P32" s="29">
        <v>1479</v>
      </c>
      <c r="Q32" s="29">
        <v>1404</v>
      </c>
      <c r="R32" s="29">
        <v>1363</v>
      </c>
      <c r="S32" s="29">
        <v>1365</v>
      </c>
      <c r="T32" s="29">
        <v>1336</v>
      </c>
      <c r="U32" s="29">
        <v>1357</v>
      </c>
      <c r="V32" s="29">
        <v>1353</v>
      </c>
      <c r="W32" s="29">
        <v>1345</v>
      </c>
      <c r="X32" s="29">
        <v>1346</v>
      </c>
      <c r="Y32" s="29">
        <v>1339</v>
      </c>
      <c r="Z32" s="29">
        <v>1343</v>
      </c>
      <c r="AA32" s="29">
        <v>1301</v>
      </c>
      <c r="AB32" s="29">
        <v>1321</v>
      </c>
      <c r="AC32" s="29">
        <v>1271</v>
      </c>
      <c r="AD32" s="29">
        <v>1274</v>
      </c>
      <c r="AE32" s="29">
        <v>1255</v>
      </c>
      <c r="AF32" s="29">
        <v>1211</v>
      </c>
      <c r="AG32" s="29">
        <v>1211</v>
      </c>
      <c r="AH32" s="29">
        <v>1209</v>
      </c>
      <c r="AI32" s="29">
        <v>1220</v>
      </c>
      <c r="AJ32" s="29">
        <v>1238</v>
      </c>
      <c r="AK32" s="29">
        <v>1259</v>
      </c>
      <c r="AL32" s="29">
        <v>1253</v>
      </c>
      <c r="AM32" s="29">
        <v>1249</v>
      </c>
      <c r="AN32" s="29">
        <v>1227</v>
      </c>
      <c r="AO32" s="29">
        <v>1219</v>
      </c>
      <c r="AP32" s="29">
        <v>1239</v>
      </c>
      <c r="AQ32" s="29">
        <v>1270</v>
      </c>
      <c r="AR32" s="29">
        <v>1262</v>
      </c>
      <c r="AS32" s="29">
        <v>1213</v>
      </c>
      <c r="AT32" s="29">
        <v>1236</v>
      </c>
      <c r="AU32" s="29">
        <v>1235</v>
      </c>
      <c r="AV32" s="29">
        <v>1361</v>
      </c>
      <c r="AW32" s="29">
        <v>1379</v>
      </c>
      <c r="AX32" s="29">
        <v>1406</v>
      </c>
      <c r="AY32" s="29">
        <v>1389</v>
      </c>
      <c r="AZ32" s="29">
        <v>1384</v>
      </c>
      <c r="BA32" s="29">
        <v>1426</v>
      </c>
      <c r="BB32" s="29">
        <v>1420</v>
      </c>
      <c r="BC32" s="29">
        <v>1512</v>
      </c>
      <c r="BD32" s="29">
        <v>1490</v>
      </c>
      <c r="BE32" s="29">
        <v>1550</v>
      </c>
      <c r="BF32" s="29">
        <v>1487</v>
      </c>
      <c r="BG32" s="29">
        <v>1612</v>
      </c>
      <c r="BH32" s="29">
        <v>1513</v>
      </c>
      <c r="BI32" s="29">
        <v>1484</v>
      </c>
      <c r="BJ32" s="29">
        <v>1460</v>
      </c>
      <c r="BK32" s="29">
        <v>1432</v>
      </c>
      <c r="BL32" s="30">
        <v>1374</v>
      </c>
      <c r="BM32" s="1">
        <v>1334</v>
      </c>
      <c r="BN32" s="1">
        <v>1305</v>
      </c>
      <c r="BO32" s="1">
        <v>1437</v>
      </c>
      <c r="BP32" s="1">
        <v>1446</v>
      </c>
      <c r="BQ32" s="1">
        <v>1455</v>
      </c>
      <c r="BR32" s="1">
        <v>1526</v>
      </c>
      <c r="BS32" s="1">
        <v>1500</v>
      </c>
      <c r="BT32" s="1">
        <v>1472</v>
      </c>
      <c r="BU32" s="1">
        <v>1443</v>
      </c>
      <c r="BV32" s="1">
        <v>1407</v>
      </c>
      <c r="BW32" s="1">
        <v>1370</v>
      </c>
      <c r="BX32" s="1">
        <v>1339</v>
      </c>
      <c r="BY32" s="1">
        <v>1336</v>
      </c>
      <c r="BZ32" s="1">
        <v>1327</v>
      </c>
    </row>
    <row r="33" spans="1:78" ht="15.9" customHeight="1">
      <c r="A33" s="65" t="s">
        <v>61</v>
      </c>
      <c r="B33" s="25" t="s">
        <v>62</v>
      </c>
      <c r="C33" s="39">
        <f>_xll.RssMarket("8601","高値")</f>
        <v>1830</v>
      </c>
      <c r="D33" s="38">
        <f t="shared" si="0"/>
        <v>18.5</v>
      </c>
      <c r="E33" s="29">
        <v>1811.5</v>
      </c>
      <c r="F33" s="29">
        <v>1814.5</v>
      </c>
      <c r="G33" s="29">
        <v>1824.5</v>
      </c>
      <c r="H33" s="29">
        <v>1813.5</v>
      </c>
      <c r="I33" s="29">
        <v>1850</v>
      </c>
      <c r="J33" s="29">
        <v>1860.5</v>
      </c>
      <c r="K33" s="29">
        <v>1885</v>
      </c>
      <c r="L33" s="29">
        <v>1866.5</v>
      </c>
      <c r="M33" s="29">
        <v>1876.5</v>
      </c>
      <c r="N33" s="29">
        <v>1866.5</v>
      </c>
      <c r="O33" s="29">
        <v>1847</v>
      </c>
      <c r="P33" s="29">
        <v>1858.5</v>
      </c>
      <c r="Q33" s="29">
        <v>1879</v>
      </c>
      <c r="R33" s="29">
        <v>1806.5</v>
      </c>
      <c r="S33" s="29">
        <v>1809.5</v>
      </c>
      <c r="T33" s="29">
        <v>1781</v>
      </c>
      <c r="U33" s="29">
        <v>1740</v>
      </c>
      <c r="V33" s="29">
        <v>1789.5</v>
      </c>
      <c r="W33" s="29">
        <v>1762.5</v>
      </c>
      <c r="X33" s="29">
        <v>1713.5</v>
      </c>
      <c r="Y33" s="29">
        <v>1684</v>
      </c>
      <c r="Z33" s="29">
        <v>1652.5</v>
      </c>
      <c r="AA33" s="29">
        <v>1641</v>
      </c>
      <c r="AB33" s="29">
        <v>1618.5</v>
      </c>
      <c r="AC33" s="29">
        <v>1611.5</v>
      </c>
      <c r="AD33" s="29">
        <v>1620</v>
      </c>
      <c r="AE33" s="29">
        <v>1604</v>
      </c>
      <c r="AF33" s="29">
        <v>1612.5</v>
      </c>
      <c r="AG33" s="29">
        <v>1630</v>
      </c>
      <c r="AH33" s="29">
        <v>1631.5</v>
      </c>
      <c r="AI33" s="29">
        <v>1626.5</v>
      </c>
      <c r="AJ33" s="29">
        <v>1630</v>
      </c>
      <c r="AK33" s="29">
        <v>1625.5</v>
      </c>
      <c r="AL33" s="29">
        <v>1607</v>
      </c>
      <c r="AM33" s="29">
        <v>1626</v>
      </c>
      <c r="AN33" s="29">
        <v>1575</v>
      </c>
      <c r="AO33" s="29">
        <v>1548.5</v>
      </c>
      <c r="AP33" s="29">
        <v>1606</v>
      </c>
      <c r="AQ33" s="29">
        <v>1554</v>
      </c>
      <c r="AR33" s="29">
        <v>1566.5</v>
      </c>
      <c r="AS33" s="29">
        <v>1560</v>
      </c>
      <c r="AT33" s="29">
        <v>1542.5</v>
      </c>
      <c r="AU33" s="29">
        <v>1503.5</v>
      </c>
      <c r="AV33" s="29">
        <v>1501.5</v>
      </c>
      <c r="AW33" s="29">
        <v>1475</v>
      </c>
      <c r="AX33" s="29">
        <v>1481.5</v>
      </c>
      <c r="AY33" s="29">
        <v>1498.5</v>
      </c>
      <c r="AZ33" s="29">
        <v>1511.5</v>
      </c>
      <c r="BA33" s="29">
        <v>1522.5</v>
      </c>
      <c r="BB33" s="29">
        <v>1507</v>
      </c>
      <c r="BC33" s="29">
        <v>1509.5</v>
      </c>
      <c r="BD33" s="29">
        <v>1486.5</v>
      </c>
      <c r="BE33" s="29">
        <v>1502</v>
      </c>
      <c r="BF33" s="29">
        <v>1505</v>
      </c>
      <c r="BG33" s="29">
        <v>1498</v>
      </c>
      <c r="BH33" s="29">
        <v>1469.5</v>
      </c>
      <c r="BI33" s="29">
        <v>1469.5</v>
      </c>
      <c r="BJ33" s="29">
        <v>1489</v>
      </c>
      <c r="BK33" s="29">
        <v>1518.5</v>
      </c>
      <c r="BL33" s="30">
        <v>1463</v>
      </c>
      <c r="BM33" s="1">
        <v>1467.5</v>
      </c>
      <c r="BN33" s="1">
        <v>1473.5</v>
      </c>
      <c r="BO33" s="1">
        <v>1526.5</v>
      </c>
      <c r="BP33" s="1">
        <v>1512.5</v>
      </c>
      <c r="BQ33" s="1">
        <v>1514.5</v>
      </c>
      <c r="BR33" s="1">
        <v>1525</v>
      </c>
      <c r="BS33" s="1">
        <v>1536</v>
      </c>
      <c r="BT33" s="1">
        <v>1537</v>
      </c>
      <c r="BU33" s="1">
        <v>1553.5</v>
      </c>
      <c r="BV33" s="1">
        <v>1599</v>
      </c>
      <c r="BW33" s="1">
        <v>1583.5</v>
      </c>
      <c r="BX33" s="1">
        <v>1572</v>
      </c>
      <c r="BY33" s="1">
        <v>1549.5</v>
      </c>
      <c r="BZ33" s="1">
        <v>1556</v>
      </c>
    </row>
    <row r="34" spans="1:78" ht="15.9" customHeight="1">
      <c r="A34" s="65" t="s">
        <v>63</v>
      </c>
      <c r="B34" s="25" t="s">
        <v>64</v>
      </c>
      <c r="C34" s="39">
        <f>_xll.RssMarket("5233","高値")</f>
        <v>4126</v>
      </c>
      <c r="D34" s="38">
        <f t="shared" si="0"/>
        <v>71</v>
      </c>
      <c r="E34" s="29">
        <v>4055</v>
      </c>
      <c r="F34" s="29">
        <v>4056</v>
      </c>
      <c r="G34" s="29">
        <v>4174</v>
      </c>
      <c r="H34" s="29">
        <v>4243</v>
      </c>
      <c r="I34" s="29">
        <v>4315</v>
      </c>
      <c r="J34" s="29">
        <v>4216</v>
      </c>
      <c r="K34" s="29">
        <v>4227</v>
      </c>
      <c r="L34" s="29">
        <v>4178</v>
      </c>
      <c r="M34" s="29">
        <v>4211</v>
      </c>
      <c r="N34" s="29">
        <v>4295</v>
      </c>
      <c r="O34" s="29">
        <v>4121</v>
      </c>
      <c r="P34" s="29">
        <v>3984</v>
      </c>
      <c r="Q34" s="29">
        <v>3999</v>
      </c>
      <c r="R34" s="29">
        <v>3992</v>
      </c>
      <c r="S34" s="29">
        <v>3975</v>
      </c>
      <c r="T34" s="29">
        <v>3969</v>
      </c>
      <c r="U34" s="29">
        <v>4032</v>
      </c>
      <c r="V34" s="29">
        <v>4078</v>
      </c>
      <c r="W34" s="29">
        <v>4199</v>
      </c>
      <c r="X34" s="29">
        <v>4186</v>
      </c>
      <c r="Y34" s="29">
        <v>4127</v>
      </c>
      <c r="Z34" s="29">
        <v>4003</v>
      </c>
      <c r="AA34" s="29">
        <v>3995</v>
      </c>
      <c r="AB34" s="29">
        <v>4045</v>
      </c>
      <c r="AC34" s="29">
        <v>4094</v>
      </c>
      <c r="AD34" s="29">
        <v>4130</v>
      </c>
      <c r="AE34" s="29">
        <v>4153</v>
      </c>
      <c r="AF34" s="29">
        <v>4130</v>
      </c>
      <c r="AG34" s="29">
        <v>4206</v>
      </c>
      <c r="AH34" s="29">
        <v>4285</v>
      </c>
      <c r="AI34" s="29">
        <v>4418</v>
      </c>
      <c r="AJ34" s="29">
        <v>4442</v>
      </c>
      <c r="AK34" s="29">
        <v>4447</v>
      </c>
      <c r="AL34" s="29">
        <v>4457</v>
      </c>
      <c r="AM34" s="29">
        <v>4455</v>
      </c>
      <c r="AN34" s="29">
        <v>4205</v>
      </c>
      <c r="AO34" s="29">
        <v>4108</v>
      </c>
      <c r="AP34" s="29">
        <v>4187</v>
      </c>
      <c r="AQ34" s="29">
        <v>4304</v>
      </c>
      <c r="AR34" s="29">
        <v>4424</v>
      </c>
      <c r="AS34" s="29">
        <v>4448</v>
      </c>
      <c r="AT34" s="29">
        <v>4488</v>
      </c>
      <c r="AU34" s="29">
        <v>4418</v>
      </c>
      <c r="AV34" s="29">
        <v>4657</v>
      </c>
      <c r="AW34" s="29">
        <v>4374</v>
      </c>
      <c r="AX34" s="29">
        <v>4274</v>
      </c>
      <c r="AY34" s="29">
        <v>4156</v>
      </c>
      <c r="AZ34" s="29">
        <v>4180</v>
      </c>
      <c r="BA34" s="29">
        <v>4106</v>
      </c>
      <c r="BB34" s="29">
        <v>3988</v>
      </c>
      <c r="BC34" s="29">
        <v>3942</v>
      </c>
      <c r="BD34" s="29">
        <v>3959</v>
      </c>
      <c r="BE34" s="29">
        <v>4167</v>
      </c>
      <c r="BF34" s="29">
        <v>4276</v>
      </c>
      <c r="BG34" s="29">
        <v>4217</v>
      </c>
      <c r="BH34" s="29">
        <v>3899</v>
      </c>
      <c r="BI34" s="29">
        <v>3651</v>
      </c>
      <c r="BJ34" s="29">
        <v>3730</v>
      </c>
      <c r="BK34" s="29">
        <v>3706</v>
      </c>
      <c r="BL34" s="30">
        <v>3596</v>
      </c>
      <c r="BM34" s="1">
        <v>3608</v>
      </c>
      <c r="BN34" s="1">
        <v>3666</v>
      </c>
      <c r="BO34" s="1">
        <v>3645</v>
      </c>
      <c r="BP34" s="1">
        <v>3586</v>
      </c>
      <c r="BQ34" s="1">
        <v>3589</v>
      </c>
      <c r="BR34" s="1">
        <v>3684</v>
      </c>
      <c r="BS34" s="1">
        <v>3718</v>
      </c>
      <c r="BT34" s="1">
        <v>3737</v>
      </c>
      <c r="BU34" s="1">
        <v>3710</v>
      </c>
      <c r="BV34" s="1">
        <v>3730</v>
      </c>
      <c r="BW34" s="1">
        <v>3729</v>
      </c>
      <c r="BX34" s="1">
        <v>3774</v>
      </c>
      <c r="BY34" s="1">
        <v>3756</v>
      </c>
      <c r="BZ34" s="1">
        <v>3733</v>
      </c>
    </row>
    <row r="35" spans="1:78" ht="15.9" customHeight="1">
      <c r="A35" s="65" t="s">
        <v>65</v>
      </c>
      <c r="B35" s="25" t="s">
        <v>66</v>
      </c>
      <c r="C35" s="39">
        <f>_xll.RssMarket("8308","高値")</f>
        <v>2271</v>
      </c>
      <c r="D35" s="38">
        <f t="shared" si="0"/>
        <v>25</v>
      </c>
      <c r="E35" s="29">
        <v>2246</v>
      </c>
      <c r="F35" s="29">
        <v>2276.5</v>
      </c>
      <c r="G35" s="29">
        <v>2218</v>
      </c>
      <c r="H35" s="29">
        <v>2207.5</v>
      </c>
      <c r="I35" s="29">
        <v>2253</v>
      </c>
      <c r="J35" s="29">
        <v>2351</v>
      </c>
      <c r="K35" s="29">
        <v>2420</v>
      </c>
      <c r="L35" s="29">
        <v>2389</v>
      </c>
      <c r="M35" s="29">
        <v>2375.5</v>
      </c>
      <c r="N35" s="29">
        <v>2354.5</v>
      </c>
      <c r="O35" s="29">
        <v>2286</v>
      </c>
      <c r="P35" s="29">
        <v>2361</v>
      </c>
      <c r="Q35" s="29">
        <v>2420.5</v>
      </c>
      <c r="R35" s="29">
        <v>2377.5</v>
      </c>
      <c r="S35" s="29">
        <v>2399.5</v>
      </c>
      <c r="T35" s="29">
        <v>2391.5</v>
      </c>
      <c r="U35" s="29">
        <v>2372.5</v>
      </c>
      <c r="V35" s="29">
        <v>2367.5</v>
      </c>
      <c r="W35" s="29">
        <v>2416.5</v>
      </c>
      <c r="X35" s="29">
        <v>2283</v>
      </c>
      <c r="Y35" s="29">
        <v>2249</v>
      </c>
      <c r="Z35" s="29">
        <v>2222.5</v>
      </c>
      <c r="AA35" s="29">
        <v>2129.5</v>
      </c>
      <c r="AB35" s="29">
        <v>2143</v>
      </c>
      <c r="AC35" s="29">
        <v>2127</v>
      </c>
      <c r="AD35" s="29">
        <v>2146</v>
      </c>
      <c r="AE35" s="29">
        <v>2156.5</v>
      </c>
      <c r="AF35" s="29">
        <v>2179.5</v>
      </c>
      <c r="AG35" s="29">
        <v>2261</v>
      </c>
      <c r="AH35" s="29">
        <v>2238.5</v>
      </c>
      <c r="AI35" s="29">
        <v>2270</v>
      </c>
      <c r="AJ35" s="29">
        <v>2263.5</v>
      </c>
      <c r="AK35" s="29">
        <v>2232.5</v>
      </c>
      <c r="AL35" s="29">
        <v>2171</v>
      </c>
      <c r="AM35" s="29">
        <v>2277.5</v>
      </c>
      <c r="AN35" s="29">
        <v>2197</v>
      </c>
      <c r="AO35" s="29">
        <v>2144.5</v>
      </c>
      <c r="AP35" s="29">
        <v>2198.5</v>
      </c>
      <c r="AQ35" s="29">
        <v>2099</v>
      </c>
      <c r="AR35" s="29">
        <v>2178</v>
      </c>
      <c r="AS35" s="29">
        <v>2143</v>
      </c>
      <c r="AT35" s="29">
        <v>2090.5</v>
      </c>
      <c r="AU35" s="29">
        <v>2033.5</v>
      </c>
      <c r="AV35" s="29">
        <v>2092</v>
      </c>
      <c r="AW35" s="29">
        <v>2050</v>
      </c>
      <c r="AX35" s="29">
        <v>2065.5</v>
      </c>
      <c r="AY35" s="29">
        <v>2147.5</v>
      </c>
      <c r="AZ35" s="29">
        <v>2154</v>
      </c>
      <c r="BA35" s="29">
        <v>2158.5</v>
      </c>
      <c r="BB35" s="29">
        <v>2131</v>
      </c>
      <c r="BC35" s="29">
        <v>2086</v>
      </c>
      <c r="BD35" s="29">
        <v>2074</v>
      </c>
      <c r="BE35" s="29">
        <v>2105</v>
      </c>
      <c r="BF35" s="29">
        <v>2061</v>
      </c>
      <c r="BG35" s="29">
        <v>2077.5</v>
      </c>
      <c r="BH35" s="29">
        <v>2054</v>
      </c>
      <c r="BI35" s="29">
        <v>2008</v>
      </c>
      <c r="BJ35" s="29">
        <v>1984.5</v>
      </c>
      <c r="BK35" s="29">
        <v>2037</v>
      </c>
      <c r="BL35" s="30">
        <v>1958</v>
      </c>
      <c r="BM35" s="1">
        <v>1947.5</v>
      </c>
      <c r="BN35" s="1">
        <v>2006</v>
      </c>
      <c r="BO35" s="1">
        <v>1857</v>
      </c>
      <c r="BP35" s="1">
        <v>1854</v>
      </c>
      <c r="BQ35" s="1">
        <v>1838</v>
      </c>
      <c r="BR35" s="1">
        <v>1907</v>
      </c>
      <c r="BS35" s="1">
        <v>1963</v>
      </c>
      <c r="BT35" s="1">
        <v>2009.5</v>
      </c>
      <c r="BU35" s="1">
        <v>1966</v>
      </c>
      <c r="BV35" s="1">
        <v>1966</v>
      </c>
      <c r="BW35" s="1">
        <v>1947</v>
      </c>
      <c r="BX35" s="1">
        <v>1911.5</v>
      </c>
      <c r="BY35" s="1">
        <v>1909</v>
      </c>
      <c r="BZ35" s="1">
        <v>1915.5</v>
      </c>
    </row>
    <row r="36" spans="1:78" ht="15.9" customHeight="1">
      <c r="A36" s="65" t="s">
        <v>67</v>
      </c>
      <c r="B36" s="25" t="s">
        <v>68</v>
      </c>
      <c r="C36" s="39">
        <f>_xll.RssMarket("5938","高値")</f>
        <v>1753</v>
      </c>
      <c r="D36" s="38">
        <f t="shared" si="0"/>
        <v>20</v>
      </c>
      <c r="E36" s="29">
        <v>1733</v>
      </c>
      <c r="F36" s="29">
        <v>1735.5</v>
      </c>
      <c r="G36" s="29">
        <v>1858</v>
      </c>
      <c r="H36" s="29">
        <v>1928.5</v>
      </c>
      <c r="I36" s="29">
        <v>1933</v>
      </c>
      <c r="J36" s="29">
        <v>1906</v>
      </c>
      <c r="K36" s="29">
        <v>1900</v>
      </c>
      <c r="L36" s="29">
        <v>1826</v>
      </c>
      <c r="M36" s="29">
        <v>1862.5</v>
      </c>
      <c r="N36" s="29">
        <v>1860</v>
      </c>
      <c r="O36" s="29">
        <v>1886</v>
      </c>
      <c r="P36" s="29">
        <v>1903</v>
      </c>
      <c r="Q36" s="29">
        <v>1894</v>
      </c>
      <c r="R36" s="29">
        <v>1889</v>
      </c>
      <c r="S36" s="29">
        <v>1857</v>
      </c>
      <c r="T36" s="29">
        <v>1866</v>
      </c>
      <c r="U36" s="29">
        <v>1888</v>
      </c>
      <c r="V36" s="29">
        <v>1908.5</v>
      </c>
      <c r="W36" s="29">
        <v>1897</v>
      </c>
      <c r="X36" s="29">
        <v>1880</v>
      </c>
      <c r="Y36" s="29">
        <v>1872.5</v>
      </c>
      <c r="Z36" s="29">
        <v>1832</v>
      </c>
      <c r="AA36" s="29">
        <v>1813</v>
      </c>
      <c r="AB36" s="29">
        <v>1815.5</v>
      </c>
      <c r="AC36" s="29">
        <v>1797.5</v>
      </c>
      <c r="AD36" s="29">
        <v>1774</v>
      </c>
      <c r="AE36" s="29">
        <v>1773.5</v>
      </c>
      <c r="AF36" s="29">
        <v>1718.5</v>
      </c>
      <c r="AG36" s="29">
        <v>1746.5</v>
      </c>
      <c r="AH36" s="29">
        <v>1746.5</v>
      </c>
      <c r="AI36" s="29">
        <v>1746.5</v>
      </c>
      <c r="AJ36" s="29">
        <v>1721.5</v>
      </c>
      <c r="AK36" s="29">
        <v>1743.5</v>
      </c>
      <c r="AL36" s="29">
        <v>1739.5</v>
      </c>
      <c r="AM36" s="29">
        <v>1746.5</v>
      </c>
      <c r="AN36" s="29">
        <v>1745</v>
      </c>
      <c r="AO36" s="29">
        <v>1732.5</v>
      </c>
      <c r="AP36" s="29">
        <v>1740</v>
      </c>
      <c r="AQ36" s="29">
        <v>1724</v>
      </c>
      <c r="AR36" s="29">
        <v>1717</v>
      </c>
      <c r="AS36" s="29">
        <v>1715</v>
      </c>
      <c r="AT36" s="29">
        <v>1706.5</v>
      </c>
      <c r="AU36" s="29">
        <v>1688</v>
      </c>
      <c r="AV36" s="29">
        <v>1708</v>
      </c>
      <c r="AW36" s="29">
        <v>1696</v>
      </c>
      <c r="AX36" s="29">
        <v>1681.5</v>
      </c>
      <c r="AY36" s="29">
        <v>1663.5</v>
      </c>
      <c r="AZ36" s="29">
        <v>1649</v>
      </c>
      <c r="BA36" s="29">
        <v>1651</v>
      </c>
      <c r="BB36" s="29">
        <v>1650</v>
      </c>
      <c r="BC36" s="29">
        <v>1661.5</v>
      </c>
      <c r="BD36" s="29">
        <v>1682</v>
      </c>
      <c r="BE36" s="29">
        <v>1673.5</v>
      </c>
      <c r="BF36" s="29">
        <v>1670</v>
      </c>
      <c r="BG36" s="29">
        <v>1688</v>
      </c>
      <c r="BH36" s="29">
        <v>1694</v>
      </c>
      <c r="BI36" s="29">
        <v>1703</v>
      </c>
      <c r="BJ36" s="29">
        <v>1701.5</v>
      </c>
      <c r="BK36" s="29">
        <v>1689.5</v>
      </c>
      <c r="BL36" s="30">
        <v>1670</v>
      </c>
      <c r="BM36" s="1">
        <v>1627.5</v>
      </c>
      <c r="BN36" s="1">
        <v>1628</v>
      </c>
      <c r="BO36" s="1">
        <v>1610.5</v>
      </c>
      <c r="BP36" s="1">
        <v>1626</v>
      </c>
      <c r="BQ36" s="1">
        <v>1623.5</v>
      </c>
      <c r="BR36" s="1">
        <v>1636</v>
      </c>
      <c r="BS36" s="1">
        <v>1654.5</v>
      </c>
      <c r="BT36" s="1">
        <v>1644.5</v>
      </c>
      <c r="BU36" s="1">
        <v>1627.5</v>
      </c>
      <c r="BV36" s="1">
        <v>1645.5</v>
      </c>
      <c r="BW36" s="1">
        <v>1623.5</v>
      </c>
      <c r="BX36" s="1">
        <v>1619.5</v>
      </c>
      <c r="BY36" s="1">
        <v>1663.5</v>
      </c>
      <c r="BZ36" s="1">
        <v>1672.5</v>
      </c>
    </row>
    <row r="37" spans="1:78" ht="15.9" customHeight="1">
      <c r="A37" s="65" t="s">
        <v>69</v>
      </c>
      <c r="B37" s="25" t="s">
        <v>70</v>
      </c>
      <c r="C37" s="39">
        <f>_xll.RssMarket("8570","高値")</f>
        <v>1549</v>
      </c>
      <c r="D37" s="38">
        <f t="shared" si="0"/>
        <v>-4</v>
      </c>
      <c r="E37" s="29">
        <v>1553</v>
      </c>
      <c r="F37" s="29">
        <v>1576.5</v>
      </c>
      <c r="G37" s="29">
        <v>1588</v>
      </c>
      <c r="H37" s="29">
        <v>1581.5</v>
      </c>
      <c r="I37" s="29">
        <v>1589.5</v>
      </c>
      <c r="J37" s="29">
        <v>1590</v>
      </c>
      <c r="K37" s="29">
        <v>1580</v>
      </c>
      <c r="L37" s="29">
        <v>1566.5</v>
      </c>
      <c r="M37" s="29">
        <v>1576.5</v>
      </c>
      <c r="N37" s="29">
        <v>1588.5</v>
      </c>
      <c r="O37" s="29">
        <v>1584.5</v>
      </c>
      <c r="P37" s="29">
        <v>1539</v>
      </c>
      <c r="Q37" s="29">
        <v>1580.5</v>
      </c>
      <c r="R37" s="29">
        <v>1559.5</v>
      </c>
      <c r="S37" s="29">
        <v>1566.5</v>
      </c>
      <c r="T37" s="29">
        <v>1560</v>
      </c>
      <c r="U37" s="29">
        <v>1539</v>
      </c>
      <c r="V37" s="29">
        <v>1540</v>
      </c>
      <c r="W37" s="29">
        <v>1537</v>
      </c>
      <c r="X37" s="29">
        <v>1524.5</v>
      </c>
      <c r="Y37" s="29">
        <v>1514.5</v>
      </c>
      <c r="Z37" s="29">
        <v>1505</v>
      </c>
      <c r="AA37" s="29">
        <v>1472.5</v>
      </c>
      <c r="AB37" s="29">
        <v>1478</v>
      </c>
      <c r="AC37" s="29">
        <v>1480.5</v>
      </c>
      <c r="AD37" s="29">
        <v>1471.5</v>
      </c>
      <c r="AE37" s="29">
        <v>1465.5</v>
      </c>
      <c r="AF37" s="29">
        <v>1461</v>
      </c>
      <c r="AG37" s="29">
        <v>1468</v>
      </c>
      <c r="AH37" s="29">
        <v>1469</v>
      </c>
      <c r="AI37" s="29">
        <v>1495</v>
      </c>
      <c r="AJ37" s="29">
        <v>1507</v>
      </c>
      <c r="AK37" s="29">
        <v>1519</v>
      </c>
      <c r="AL37" s="29">
        <v>1511</v>
      </c>
      <c r="AM37" s="29">
        <v>1531.5</v>
      </c>
      <c r="AN37" s="29">
        <v>1518.5</v>
      </c>
      <c r="AO37" s="29">
        <v>1510</v>
      </c>
      <c r="AP37" s="29">
        <v>1514.5</v>
      </c>
      <c r="AQ37" s="29">
        <v>1478</v>
      </c>
      <c r="AR37" s="29">
        <v>1474.5</v>
      </c>
      <c r="AS37" s="29">
        <v>1467.5</v>
      </c>
      <c r="AT37" s="29">
        <v>1467.5</v>
      </c>
      <c r="AU37" s="29">
        <v>1460</v>
      </c>
      <c r="AV37" s="29">
        <v>1539.5</v>
      </c>
      <c r="AW37" s="29">
        <v>1545</v>
      </c>
      <c r="AX37" s="29">
        <v>1551.5</v>
      </c>
      <c r="AY37" s="29">
        <v>1562.5</v>
      </c>
      <c r="AZ37" s="29">
        <v>1594.5</v>
      </c>
      <c r="BA37" s="29">
        <v>1619</v>
      </c>
      <c r="BB37" s="29">
        <v>1590</v>
      </c>
      <c r="BC37" s="29">
        <v>1595</v>
      </c>
      <c r="BD37" s="29">
        <v>1595.5</v>
      </c>
      <c r="BE37" s="29">
        <v>1569</v>
      </c>
      <c r="BF37" s="29">
        <v>1566.5</v>
      </c>
      <c r="BG37" s="29">
        <v>1567.5</v>
      </c>
      <c r="BH37" s="29">
        <v>1565</v>
      </c>
      <c r="BI37" s="29">
        <v>1535.5</v>
      </c>
      <c r="BJ37" s="29">
        <v>1540</v>
      </c>
      <c r="BK37" s="29">
        <v>1575</v>
      </c>
      <c r="BL37" s="30">
        <v>1561.5</v>
      </c>
      <c r="BM37" s="1">
        <v>1561.5</v>
      </c>
      <c r="BN37" s="1">
        <v>1561.5</v>
      </c>
      <c r="BO37" s="1">
        <v>1549.5</v>
      </c>
      <c r="BP37" s="1">
        <v>1565</v>
      </c>
      <c r="BQ37" s="1">
        <v>1562.5</v>
      </c>
      <c r="BR37" s="1">
        <v>1560.5</v>
      </c>
      <c r="BS37" s="1">
        <v>1571</v>
      </c>
      <c r="BT37" s="1">
        <v>1573</v>
      </c>
      <c r="BU37" s="1">
        <v>1609.5</v>
      </c>
      <c r="BV37" s="1">
        <v>1650</v>
      </c>
      <c r="BW37" s="1">
        <v>1631</v>
      </c>
      <c r="BX37" s="1">
        <v>1625</v>
      </c>
      <c r="BY37" s="1">
        <v>1596.5</v>
      </c>
      <c r="BZ37" s="1">
        <v>1558</v>
      </c>
    </row>
    <row r="38" spans="1:78" ht="15.9" customHeight="1">
      <c r="A38" s="65" t="s">
        <v>71</v>
      </c>
      <c r="B38" s="25" t="s">
        <v>72</v>
      </c>
      <c r="C38" s="39">
        <f>_xll.RssMarket("5406","高値")</f>
        <v>2093.5</v>
      </c>
      <c r="D38" s="38">
        <f t="shared" ref="D38:D69" si="1">C38-E38</f>
        <v>12.5</v>
      </c>
      <c r="E38" s="29">
        <v>2081</v>
      </c>
      <c r="F38" s="29">
        <v>2073.5</v>
      </c>
      <c r="G38" s="29">
        <v>2098.5</v>
      </c>
      <c r="H38" s="29">
        <v>2079.5</v>
      </c>
      <c r="I38" s="29">
        <v>2072</v>
      </c>
      <c r="J38" s="29">
        <v>2036</v>
      </c>
      <c r="K38" s="29">
        <v>2044.5</v>
      </c>
      <c r="L38" s="29">
        <v>1992.5</v>
      </c>
      <c r="M38" s="29">
        <v>1998</v>
      </c>
      <c r="N38" s="29">
        <v>2001</v>
      </c>
      <c r="O38" s="29">
        <v>1974.5</v>
      </c>
      <c r="P38" s="29">
        <v>1954.5</v>
      </c>
      <c r="Q38" s="29">
        <v>1938.5</v>
      </c>
      <c r="R38" s="29">
        <v>1929.5</v>
      </c>
      <c r="S38" s="29">
        <v>1886.5</v>
      </c>
      <c r="T38" s="29">
        <v>1883.5</v>
      </c>
      <c r="U38" s="29">
        <v>1888.5</v>
      </c>
      <c r="V38" s="29">
        <v>1904</v>
      </c>
      <c r="W38" s="29">
        <v>1946</v>
      </c>
      <c r="X38" s="29">
        <v>1947</v>
      </c>
      <c r="Y38" s="29">
        <v>1914.5</v>
      </c>
      <c r="Z38" s="29">
        <v>1882.5</v>
      </c>
      <c r="AA38" s="29">
        <v>1874</v>
      </c>
      <c r="AB38" s="29">
        <v>1883</v>
      </c>
      <c r="AC38" s="29">
        <v>1882.5</v>
      </c>
      <c r="AD38" s="29">
        <v>1882.5</v>
      </c>
      <c r="AE38" s="29">
        <v>1911</v>
      </c>
      <c r="AF38" s="29">
        <v>1910.5</v>
      </c>
      <c r="AG38" s="29">
        <v>1968.5</v>
      </c>
      <c r="AH38" s="29">
        <v>1970.5</v>
      </c>
      <c r="AI38" s="29">
        <v>2002.5</v>
      </c>
      <c r="AJ38" s="29">
        <v>2004.5</v>
      </c>
      <c r="AK38" s="29">
        <v>1995</v>
      </c>
      <c r="AL38" s="29">
        <v>2003</v>
      </c>
      <c r="AM38" s="29">
        <v>2001</v>
      </c>
      <c r="AN38" s="29">
        <v>1966.5</v>
      </c>
      <c r="AO38" s="29">
        <v>1901</v>
      </c>
      <c r="AP38" s="29">
        <v>1923</v>
      </c>
      <c r="AQ38" s="29">
        <v>1932</v>
      </c>
      <c r="AR38" s="29">
        <v>1963</v>
      </c>
      <c r="AS38" s="29">
        <v>1971.5</v>
      </c>
      <c r="AT38" s="29">
        <v>1987</v>
      </c>
      <c r="AU38" s="29">
        <v>1959.5</v>
      </c>
      <c r="AV38" s="29">
        <v>2002.5</v>
      </c>
      <c r="AW38" s="29">
        <v>1987.5</v>
      </c>
      <c r="AX38" s="29">
        <v>2018.5</v>
      </c>
      <c r="AY38" s="29">
        <v>1969</v>
      </c>
      <c r="AZ38" s="29">
        <v>1966.5</v>
      </c>
      <c r="BA38" s="29">
        <v>1936</v>
      </c>
      <c r="BB38" s="29">
        <v>1917.5</v>
      </c>
      <c r="BC38" s="29">
        <v>1929</v>
      </c>
      <c r="BD38" s="29">
        <v>1955.5</v>
      </c>
      <c r="BE38" s="29">
        <v>1979</v>
      </c>
      <c r="BF38" s="29">
        <v>1985.5</v>
      </c>
      <c r="BG38" s="29">
        <v>1996.5</v>
      </c>
      <c r="BH38" s="29">
        <v>2024</v>
      </c>
      <c r="BI38" s="29">
        <v>2052</v>
      </c>
      <c r="BJ38" s="29">
        <v>1967</v>
      </c>
      <c r="BK38" s="29">
        <v>2008</v>
      </c>
      <c r="BL38" s="30">
        <v>1950</v>
      </c>
      <c r="BM38" s="1">
        <v>1934</v>
      </c>
      <c r="BN38" s="1">
        <v>1898.5</v>
      </c>
      <c r="BO38" s="1">
        <v>1874.5</v>
      </c>
      <c r="BP38" s="1">
        <v>1858</v>
      </c>
      <c r="BQ38" s="1">
        <v>1870</v>
      </c>
      <c r="BR38" s="1">
        <v>1901.5</v>
      </c>
      <c r="BS38" s="1">
        <v>1939</v>
      </c>
      <c r="BT38" s="1">
        <v>1946.5</v>
      </c>
      <c r="BU38" s="1">
        <v>1943</v>
      </c>
      <c r="BV38" s="1">
        <v>1954.5</v>
      </c>
      <c r="BW38" s="1">
        <v>1955</v>
      </c>
      <c r="BX38" s="1">
        <v>1969</v>
      </c>
      <c r="BY38" s="1">
        <v>1953</v>
      </c>
      <c r="BZ38" s="1">
        <v>1981</v>
      </c>
    </row>
    <row r="39" spans="1:78" ht="15.9" customHeight="1">
      <c r="A39" s="65" t="s">
        <v>73</v>
      </c>
      <c r="B39" s="25" t="s">
        <v>74</v>
      </c>
      <c r="C39" s="39">
        <f>_xll.RssMarket("8593","高値")</f>
        <v>1422</v>
      </c>
      <c r="D39" s="38">
        <f t="shared" si="1"/>
        <v>-14</v>
      </c>
      <c r="E39" s="29">
        <v>1436</v>
      </c>
      <c r="F39" s="29">
        <v>1453</v>
      </c>
      <c r="G39" s="29">
        <v>1486.5</v>
      </c>
      <c r="H39" s="29">
        <v>1511.5</v>
      </c>
      <c r="I39" s="29">
        <v>1518</v>
      </c>
      <c r="J39" s="29">
        <v>1470.5</v>
      </c>
      <c r="K39" s="29">
        <v>1470</v>
      </c>
      <c r="L39" s="29">
        <v>1441</v>
      </c>
      <c r="M39" s="29">
        <v>1440.5</v>
      </c>
      <c r="N39" s="29">
        <v>1442</v>
      </c>
      <c r="O39" s="29">
        <v>1444</v>
      </c>
      <c r="P39" s="29">
        <v>1416</v>
      </c>
      <c r="Q39" s="29">
        <v>1418.5</v>
      </c>
      <c r="R39" s="29">
        <v>1401</v>
      </c>
      <c r="S39" s="29">
        <v>1381.5</v>
      </c>
      <c r="T39" s="29">
        <v>1379</v>
      </c>
      <c r="U39" s="29">
        <v>1378</v>
      </c>
      <c r="V39" s="29">
        <v>1392.5</v>
      </c>
      <c r="W39" s="29">
        <v>1388.5</v>
      </c>
      <c r="X39" s="29">
        <v>1372.5</v>
      </c>
      <c r="Y39" s="29">
        <v>1362</v>
      </c>
      <c r="Z39" s="29">
        <v>1332.5</v>
      </c>
      <c r="AA39" s="29">
        <v>1318</v>
      </c>
      <c r="AB39" s="29">
        <v>1330.5</v>
      </c>
      <c r="AC39" s="29">
        <v>1324.5</v>
      </c>
      <c r="AD39" s="29">
        <v>1311</v>
      </c>
      <c r="AE39" s="29">
        <v>1306</v>
      </c>
      <c r="AF39" s="29">
        <v>1301.5</v>
      </c>
      <c r="AG39" s="29">
        <v>1305.5</v>
      </c>
      <c r="AH39" s="29">
        <v>1312</v>
      </c>
      <c r="AI39" s="29">
        <v>1317</v>
      </c>
      <c r="AJ39" s="29">
        <v>1324</v>
      </c>
      <c r="AK39" s="29">
        <v>1338</v>
      </c>
      <c r="AL39" s="29">
        <v>1332.5</v>
      </c>
      <c r="AM39" s="29">
        <v>1347.5</v>
      </c>
      <c r="AN39" s="29">
        <v>1324</v>
      </c>
      <c r="AO39" s="29">
        <v>1326.5</v>
      </c>
      <c r="AP39" s="29">
        <v>1335</v>
      </c>
      <c r="AQ39" s="29">
        <v>1298.5</v>
      </c>
      <c r="AR39" s="29">
        <v>1289.5</v>
      </c>
      <c r="AS39" s="29">
        <v>1271.5</v>
      </c>
      <c r="AT39" s="29">
        <v>1271</v>
      </c>
      <c r="AU39" s="29">
        <v>1270</v>
      </c>
      <c r="AV39" s="29">
        <v>1328</v>
      </c>
      <c r="AW39" s="29">
        <v>1314.5</v>
      </c>
      <c r="AX39" s="29">
        <v>1341</v>
      </c>
      <c r="AY39" s="29">
        <v>1328.5</v>
      </c>
      <c r="AZ39" s="29">
        <v>1331</v>
      </c>
      <c r="BA39" s="29">
        <v>1363.5</v>
      </c>
      <c r="BB39" s="29">
        <v>1354.5</v>
      </c>
      <c r="BC39" s="29">
        <v>1357.5</v>
      </c>
      <c r="BD39" s="29">
        <v>1383.5</v>
      </c>
      <c r="BE39" s="29">
        <v>1436.5</v>
      </c>
      <c r="BF39" s="29">
        <v>1435</v>
      </c>
      <c r="BG39" s="29">
        <v>1446.5</v>
      </c>
      <c r="BH39" s="29">
        <v>1445</v>
      </c>
      <c r="BI39" s="29">
        <v>1414.5</v>
      </c>
      <c r="BJ39" s="29">
        <v>1412</v>
      </c>
      <c r="BK39" s="29">
        <v>1420</v>
      </c>
      <c r="BL39" s="30">
        <v>1411</v>
      </c>
      <c r="BM39" s="1">
        <v>1435</v>
      </c>
      <c r="BN39" s="1">
        <v>1443</v>
      </c>
      <c r="BO39" s="1">
        <v>1421</v>
      </c>
      <c r="BP39" s="1">
        <v>1419</v>
      </c>
      <c r="BQ39" s="1">
        <v>1414.5</v>
      </c>
      <c r="BR39" s="1">
        <v>1438</v>
      </c>
      <c r="BS39" s="1">
        <v>1461</v>
      </c>
      <c r="BT39" s="1">
        <v>1474.5</v>
      </c>
      <c r="BU39" s="1">
        <v>1473.5</v>
      </c>
      <c r="BV39" s="1">
        <v>1478</v>
      </c>
      <c r="BW39" s="1">
        <v>1473.5</v>
      </c>
      <c r="BX39" s="1">
        <v>1477</v>
      </c>
      <c r="BY39" s="1">
        <v>1480.5</v>
      </c>
      <c r="BZ39" s="1">
        <v>1488.5</v>
      </c>
    </row>
    <row r="40" spans="1:78" ht="15.9" customHeight="1">
      <c r="A40" s="65" t="s">
        <v>75</v>
      </c>
      <c r="B40" s="25" t="s">
        <v>76</v>
      </c>
      <c r="C40" s="39">
        <f>_xll.RssMarket("8604","高値")</f>
        <v>1564</v>
      </c>
      <c r="D40" s="38">
        <f t="shared" si="1"/>
        <v>40.5</v>
      </c>
      <c r="E40" s="29">
        <v>1523.5</v>
      </c>
      <c r="F40" s="29">
        <v>1510.5</v>
      </c>
      <c r="G40" s="29">
        <v>1537.5</v>
      </c>
      <c r="H40" s="29">
        <v>1486</v>
      </c>
      <c r="I40" s="29">
        <v>1579</v>
      </c>
      <c r="J40" s="29">
        <v>1596</v>
      </c>
      <c r="K40" s="29">
        <v>1623</v>
      </c>
      <c r="L40" s="29">
        <v>1618</v>
      </c>
      <c r="M40" s="29">
        <v>1624.5</v>
      </c>
      <c r="N40" s="29">
        <v>1624.5</v>
      </c>
      <c r="O40" s="29">
        <v>1586.5</v>
      </c>
      <c r="P40" s="29">
        <v>1587</v>
      </c>
      <c r="Q40" s="29">
        <v>1631.5</v>
      </c>
      <c r="R40" s="29">
        <v>1563</v>
      </c>
      <c r="S40" s="29">
        <v>1577</v>
      </c>
      <c r="T40" s="29">
        <v>1554</v>
      </c>
      <c r="U40" s="29">
        <v>1528</v>
      </c>
      <c r="V40" s="29">
        <v>1554</v>
      </c>
      <c r="W40" s="29">
        <v>1546.5</v>
      </c>
      <c r="X40" s="29">
        <v>1491</v>
      </c>
      <c r="Y40" s="29">
        <v>1474.5</v>
      </c>
      <c r="Z40" s="29">
        <v>1458</v>
      </c>
      <c r="AA40" s="29">
        <v>1465.5</v>
      </c>
      <c r="AB40" s="29">
        <v>1428.5</v>
      </c>
      <c r="AC40" s="29">
        <v>1432</v>
      </c>
      <c r="AD40" s="29">
        <v>1464.5</v>
      </c>
      <c r="AE40" s="29">
        <v>1422.5</v>
      </c>
      <c r="AF40" s="29">
        <v>1429.5</v>
      </c>
      <c r="AG40" s="29">
        <v>1439</v>
      </c>
      <c r="AH40" s="29">
        <v>1436.5</v>
      </c>
      <c r="AI40" s="29">
        <v>1443</v>
      </c>
      <c r="AJ40" s="29">
        <v>1439.5</v>
      </c>
      <c r="AK40" s="29">
        <v>1478</v>
      </c>
      <c r="AL40" s="29">
        <v>1416.5</v>
      </c>
      <c r="AM40" s="29">
        <v>1425</v>
      </c>
      <c r="AN40" s="29">
        <v>1376</v>
      </c>
      <c r="AO40" s="29">
        <v>1365</v>
      </c>
      <c r="AP40" s="29">
        <v>1419</v>
      </c>
      <c r="AQ40" s="29">
        <v>1359.5</v>
      </c>
      <c r="AR40" s="29">
        <v>1386.5</v>
      </c>
      <c r="AS40" s="29">
        <v>1359.5</v>
      </c>
      <c r="AT40" s="29">
        <v>1354.5</v>
      </c>
      <c r="AU40" s="29">
        <v>1324</v>
      </c>
      <c r="AV40" s="29">
        <v>1307.5</v>
      </c>
      <c r="AW40" s="29">
        <v>1256</v>
      </c>
      <c r="AX40" s="29">
        <v>1263.5</v>
      </c>
      <c r="AY40" s="29">
        <v>1295</v>
      </c>
      <c r="AZ40" s="29">
        <v>1312</v>
      </c>
      <c r="BA40" s="29">
        <v>1298.5</v>
      </c>
      <c r="BB40" s="29">
        <v>1278</v>
      </c>
      <c r="BC40" s="29">
        <v>1282</v>
      </c>
      <c r="BD40" s="29">
        <v>1273</v>
      </c>
      <c r="BE40" s="29">
        <v>1287.5</v>
      </c>
      <c r="BF40" s="29">
        <v>1287.5</v>
      </c>
      <c r="BG40" s="29">
        <v>1275</v>
      </c>
      <c r="BH40" s="29">
        <v>1239</v>
      </c>
      <c r="BI40" s="29">
        <v>1233</v>
      </c>
      <c r="BJ40" s="29">
        <v>1246</v>
      </c>
      <c r="BK40" s="29">
        <v>1265.5</v>
      </c>
      <c r="BL40" s="30">
        <v>1251</v>
      </c>
      <c r="BM40" s="1">
        <v>1260</v>
      </c>
      <c r="BN40" s="1">
        <v>1275</v>
      </c>
      <c r="BO40" s="1">
        <v>1251.5</v>
      </c>
      <c r="BP40" s="1">
        <v>1330.5</v>
      </c>
      <c r="BQ40" s="1">
        <v>1347.5</v>
      </c>
      <c r="BR40" s="1">
        <v>1348.5</v>
      </c>
      <c r="BS40" s="1">
        <v>1352</v>
      </c>
      <c r="BT40" s="1">
        <v>1349</v>
      </c>
      <c r="BU40" s="1">
        <v>1365</v>
      </c>
      <c r="BV40" s="1">
        <v>1436.5</v>
      </c>
      <c r="BW40" s="1">
        <v>1372.5</v>
      </c>
      <c r="BX40" s="1">
        <v>1332.5</v>
      </c>
      <c r="BY40" s="1">
        <v>1314</v>
      </c>
      <c r="BZ40" s="1">
        <v>1323</v>
      </c>
    </row>
    <row r="41" spans="1:78" ht="15.9" customHeight="1">
      <c r="A41" s="65" t="s">
        <v>77</v>
      </c>
      <c r="B41" s="25" t="s">
        <v>78</v>
      </c>
      <c r="C41" s="39">
        <f>_xll.RssMarket("3861","高値")</f>
        <v>878.1</v>
      </c>
      <c r="D41" s="38">
        <f t="shared" si="1"/>
        <v>-3.2999999999999545</v>
      </c>
      <c r="E41" s="29">
        <v>881.4</v>
      </c>
      <c r="F41" s="29">
        <v>877.9</v>
      </c>
      <c r="G41" s="29">
        <v>890.5</v>
      </c>
      <c r="H41" s="29">
        <v>897.5</v>
      </c>
      <c r="I41" s="29">
        <v>898.2</v>
      </c>
      <c r="J41" s="29">
        <v>886.2</v>
      </c>
      <c r="K41" s="29">
        <v>882.4</v>
      </c>
      <c r="L41" s="29">
        <v>865.2</v>
      </c>
      <c r="M41" s="29">
        <v>874.1</v>
      </c>
      <c r="N41" s="29">
        <v>859.6</v>
      </c>
      <c r="O41" s="29">
        <v>857</v>
      </c>
      <c r="P41" s="29">
        <v>850.9</v>
      </c>
      <c r="Q41" s="29">
        <v>831.5</v>
      </c>
      <c r="R41" s="29">
        <v>828</v>
      </c>
      <c r="S41" s="29">
        <v>826</v>
      </c>
      <c r="T41" s="29">
        <v>824.9</v>
      </c>
      <c r="U41" s="29">
        <v>828</v>
      </c>
      <c r="V41" s="29">
        <v>834.3</v>
      </c>
      <c r="W41" s="29">
        <v>831.8</v>
      </c>
      <c r="X41" s="29">
        <v>832.8</v>
      </c>
      <c r="Y41" s="29">
        <v>835</v>
      </c>
      <c r="Z41" s="29">
        <v>816</v>
      </c>
      <c r="AA41" s="29">
        <v>799.2</v>
      </c>
      <c r="AB41" s="29">
        <v>808</v>
      </c>
      <c r="AC41" s="29">
        <v>805.3</v>
      </c>
      <c r="AD41" s="29">
        <v>790.3</v>
      </c>
      <c r="AE41" s="29">
        <v>790.9</v>
      </c>
      <c r="AF41" s="29">
        <v>783</v>
      </c>
      <c r="AG41" s="29">
        <v>800</v>
      </c>
      <c r="AH41" s="29">
        <v>804</v>
      </c>
      <c r="AI41" s="29">
        <v>805</v>
      </c>
      <c r="AJ41" s="29">
        <v>803.9</v>
      </c>
      <c r="AK41" s="29">
        <v>805.9</v>
      </c>
      <c r="AL41" s="29">
        <v>800</v>
      </c>
      <c r="AM41" s="29">
        <v>812.3</v>
      </c>
      <c r="AN41" s="29">
        <v>794.4</v>
      </c>
      <c r="AO41" s="29">
        <v>787.7</v>
      </c>
      <c r="AP41" s="29">
        <v>792</v>
      </c>
      <c r="AQ41" s="29">
        <v>785.8</v>
      </c>
      <c r="AR41" s="29">
        <v>787.9</v>
      </c>
      <c r="AS41" s="29">
        <v>784</v>
      </c>
      <c r="AT41" s="29">
        <v>783.9</v>
      </c>
      <c r="AU41" s="29">
        <v>771</v>
      </c>
      <c r="AV41" s="29">
        <v>789.9</v>
      </c>
      <c r="AW41" s="29">
        <v>797.7</v>
      </c>
      <c r="AX41" s="29">
        <v>786.3</v>
      </c>
      <c r="AY41" s="29">
        <v>783.6</v>
      </c>
      <c r="AZ41" s="29">
        <v>796</v>
      </c>
      <c r="BA41" s="29">
        <v>821</v>
      </c>
      <c r="BB41" s="29">
        <v>820</v>
      </c>
      <c r="BC41" s="29">
        <v>829.6</v>
      </c>
      <c r="BD41" s="29">
        <v>853.7</v>
      </c>
      <c r="BE41" s="29">
        <v>858</v>
      </c>
      <c r="BF41" s="29">
        <v>849.5</v>
      </c>
      <c r="BG41" s="29">
        <v>844.6</v>
      </c>
      <c r="BH41" s="29">
        <v>835</v>
      </c>
      <c r="BI41" s="29">
        <v>831.8</v>
      </c>
      <c r="BJ41" s="29">
        <v>844</v>
      </c>
      <c r="BK41" s="29">
        <v>839.2</v>
      </c>
      <c r="BL41" s="30">
        <v>829.3</v>
      </c>
      <c r="BM41" s="1">
        <v>825.9</v>
      </c>
      <c r="BN41" s="1">
        <v>825.8</v>
      </c>
      <c r="BO41" s="1">
        <v>826.5</v>
      </c>
      <c r="BP41" s="1">
        <v>826.8</v>
      </c>
      <c r="BQ41" s="1">
        <v>826.8</v>
      </c>
      <c r="BR41" s="1">
        <v>843.3</v>
      </c>
      <c r="BS41" s="1">
        <v>845</v>
      </c>
      <c r="BT41" s="1">
        <v>852.1</v>
      </c>
      <c r="BU41" s="1">
        <v>852.7</v>
      </c>
      <c r="BV41" s="1">
        <v>855.5</v>
      </c>
      <c r="BW41" s="1">
        <v>854.3</v>
      </c>
      <c r="BX41" s="1">
        <v>857.4</v>
      </c>
      <c r="BY41" s="1">
        <v>856</v>
      </c>
      <c r="BZ41" s="1">
        <v>854.3</v>
      </c>
    </row>
    <row r="42" spans="1:78" ht="15.9" customHeight="1">
      <c r="A42" s="65" t="s">
        <v>79</v>
      </c>
      <c r="B42" s="25" t="s">
        <v>80</v>
      </c>
      <c r="C42" s="39">
        <f>_xll.RssMarket("5947","高値")</f>
        <v>3497</v>
      </c>
      <c r="D42" s="38">
        <f t="shared" si="1"/>
        <v>-61</v>
      </c>
      <c r="E42" s="29">
        <v>3558</v>
      </c>
      <c r="F42" s="29">
        <v>3599</v>
      </c>
      <c r="G42" s="29">
        <v>3672</v>
      </c>
      <c r="H42" s="29">
        <v>3797</v>
      </c>
      <c r="I42" s="29">
        <v>3794</v>
      </c>
      <c r="J42" s="29">
        <v>3703</v>
      </c>
      <c r="K42" s="29">
        <v>3657</v>
      </c>
      <c r="L42" s="29">
        <v>3576</v>
      </c>
      <c r="M42" s="29">
        <v>3578</v>
      </c>
      <c r="N42" s="29">
        <v>3608</v>
      </c>
      <c r="O42" s="29">
        <v>3669</v>
      </c>
      <c r="P42" s="29">
        <v>3662</v>
      </c>
      <c r="Q42" s="29">
        <v>3638</v>
      </c>
      <c r="R42" s="29">
        <v>3640</v>
      </c>
      <c r="S42" s="29">
        <v>3600</v>
      </c>
      <c r="T42" s="29">
        <v>3596</v>
      </c>
      <c r="U42" s="29">
        <v>3624</v>
      </c>
      <c r="V42" s="29">
        <v>3673</v>
      </c>
      <c r="W42" s="29">
        <v>3694</v>
      </c>
      <c r="X42" s="29">
        <v>3632</v>
      </c>
      <c r="Y42" s="29">
        <v>3629</v>
      </c>
      <c r="Z42" s="29">
        <v>3606</v>
      </c>
      <c r="AA42" s="29">
        <v>3584</v>
      </c>
      <c r="AB42" s="29">
        <v>3616</v>
      </c>
      <c r="AC42" s="29">
        <v>3624</v>
      </c>
      <c r="AD42" s="29">
        <v>3588</v>
      </c>
      <c r="AE42" s="29">
        <v>3592</v>
      </c>
      <c r="AF42" s="29">
        <v>3520</v>
      </c>
      <c r="AG42" s="29">
        <v>3515</v>
      </c>
      <c r="AH42" s="29">
        <v>3500</v>
      </c>
      <c r="AI42" s="29">
        <v>3500</v>
      </c>
      <c r="AJ42" s="29">
        <v>3468</v>
      </c>
      <c r="AK42" s="29">
        <v>3465</v>
      </c>
      <c r="AL42" s="29">
        <v>3441</v>
      </c>
      <c r="AM42" s="29">
        <v>3527</v>
      </c>
      <c r="AN42" s="29">
        <v>3560</v>
      </c>
      <c r="AO42" s="29">
        <v>3542</v>
      </c>
      <c r="AP42" s="29">
        <v>3598</v>
      </c>
      <c r="AQ42" s="29">
        <v>3523</v>
      </c>
      <c r="AR42" s="29">
        <v>3512</v>
      </c>
      <c r="AS42" s="29">
        <v>3432</v>
      </c>
      <c r="AT42" s="29">
        <v>3392</v>
      </c>
      <c r="AU42" s="29">
        <v>3344</v>
      </c>
      <c r="AV42" s="29">
        <v>3433</v>
      </c>
      <c r="AW42" s="29">
        <v>3462</v>
      </c>
      <c r="AX42" s="29">
        <v>3470</v>
      </c>
      <c r="AY42" s="29">
        <v>3502</v>
      </c>
      <c r="AZ42" s="29">
        <v>3558</v>
      </c>
      <c r="BA42" s="29">
        <v>3609</v>
      </c>
      <c r="BB42" s="29">
        <v>3569</v>
      </c>
      <c r="BC42" s="29">
        <v>3596</v>
      </c>
      <c r="BD42" s="29">
        <v>3492</v>
      </c>
      <c r="BE42" s="29">
        <v>3462</v>
      </c>
      <c r="BF42" s="29">
        <v>3404</v>
      </c>
      <c r="BG42" s="29">
        <v>3461</v>
      </c>
      <c r="BH42" s="29">
        <v>3761</v>
      </c>
      <c r="BI42" s="29">
        <v>3603</v>
      </c>
      <c r="BJ42" s="29">
        <v>3700</v>
      </c>
      <c r="BK42" s="29">
        <v>3750</v>
      </c>
      <c r="BL42" s="30">
        <v>3615</v>
      </c>
      <c r="BM42" s="1">
        <v>3562</v>
      </c>
      <c r="BN42" s="1">
        <v>3606</v>
      </c>
      <c r="BO42" s="1">
        <v>3549</v>
      </c>
      <c r="BP42" s="1">
        <v>3526</v>
      </c>
      <c r="BQ42" s="1">
        <v>3518</v>
      </c>
      <c r="BR42" s="1">
        <v>3527</v>
      </c>
      <c r="BS42" s="1">
        <v>3534</v>
      </c>
      <c r="BT42" s="1">
        <v>3572</v>
      </c>
      <c r="BU42" s="1">
        <v>3555</v>
      </c>
      <c r="BV42" s="1">
        <v>3606</v>
      </c>
      <c r="BW42" s="1">
        <v>3605</v>
      </c>
      <c r="BX42" s="1">
        <v>3680</v>
      </c>
      <c r="BY42" s="1">
        <v>3748</v>
      </c>
      <c r="BZ42" s="1">
        <v>3768</v>
      </c>
    </row>
    <row r="43" spans="1:78" ht="15.9" customHeight="1">
      <c r="A43" s="65" t="s">
        <v>81</v>
      </c>
      <c r="B43" s="25" t="s">
        <v>82</v>
      </c>
      <c r="C43" s="39">
        <f>_xll.RssMarket("8750","高値")</f>
        <v>1903</v>
      </c>
      <c r="D43" s="38">
        <f t="shared" si="1"/>
        <v>7</v>
      </c>
      <c r="E43" s="29">
        <v>1896</v>
      </c>
      <c r="F43" s="29">
        <v>1900</v>
      </c>
      <c r="G43" s="29">
        <v>1938</v>
      </c>
      <c r="H43" s="29">
        <v>1919</v>
      </c>
      <c r="I43" s="29">
        <v>1940</v>
      </c>
      <c r="J43" s="29">
        <v>1939</v>
      </c>
      <c r="K43" s="29">
        <v>1959</v>
      </c>
      <c r="L43" s="29"/>
      <c r="M43" s="29">
        <v>1905.5</v>
      </c>
      <c r="N43" s="29">
        <v>1900</v>
      </c>
      <c r="O43" s="29">
        <v>1877.5</v>
      </c>
      <c r="P43" s="29">
        <v>1848</v>
      </c>
      <c r="Q43" s="29">
        <v>1917</v>
      </c>
      <c r="R43" s="29">
        <v>1856</v>
      </c>
      <c r="S43" s="29">
        <v>1860.5</v>
      </c>
      <c r="T43" s="29">
        <v>1901.5</v>
      </c>
      <c r="U43" s="29">
        <v>1877</v>
      </c>
      <c r="V43" s="29">
        <v>1878</v>
      </c>
      <c r="W43" s="29">
        <v>1903</v>
      </c>
      <c r="X43" s="29">
        <v>1882</v>
      </c>
      <c r="Y43" s="29">
        <v>1864.5</v>
      </c>
      <c r="Z43" s="29">
        <v>1840.5</v>
      </c>
      <c r="AA43" s="29">
        <v>1813</v>
      </c>
      <c r="AB43" s="29">
        <v>1792.5</v>
      </c>
      <c r="AC43" s="29">
        <v>1761</v>
      </c>
      <c r="AD43" s="29">
        <v>1737.5</v>
      </c>
      <c r="AE43" s="29">
        <v>1750</v>
      </c>
      <c r="AF43" s="29">
        <v>1812</v>
      </c>
      <c r="AG43" s="29">
        <v>1860</v>
      </c>
      <c r="AH43" s="29">
        <v>1841.5</v>
      </c>
      <c r="AI43" s="29">
        <v>1843</v>
      </c>
      <c r="AJ43" s="29">
        <v>1823</v>
      </c>
      <c r="AK43" s="29">
        <v>1834</v>
      </c>
      <c r="AL43" s="29">
        <v>1789.5</v>
      </c>
      <c r="AM43" s="29">
        <v>1816</v>
      </c>
      <c r="AN43" s="29">
        <v>1777</v>
      </c>
      <c r="AO43" s="29">
        <v>1747.5</v>
      </c>
      <c r="AP43" s="29">
        <v>1787</v>
      </c>
      <c r="AQ43" s="29">
        <v>1667.5</v>
      </c>
      <c r="AR43" s="29">
        <v>1714.5</v>
      </c>
      <c r="AS43" s="29">
        <v>1654</v>
      </c>
      <c r="AT43" s="29">
        <v>1655</v>
      </c>
      <c r="AU43" s="29">
        <v>1626.5</v>
      </c>
      <c r="AV43" s="29">
        <v>1648.5</v>
      </c>
      <c r="AW43" s="29">
        <v>1653</v>
      </c>
      <c r="AX43" s="29">
        <v>1675</v>
      </c>
      <c r="AY43" s="29">
        <v>1691.5</v>
      </c>
      <c r="AZ43" s="29">
        <v>1675.5</v>
      </c>
      <c r="BA43" s="29">
        <v>1695.5</v>
      </c>
      <c r="BB43" s="29">
        <v>1678</v>
      </c>
      <c r="BC43" s="29">
        <v>1676</v>
      </c>
      <c r="BD43" s="29">
        <v>1670</v>
      </c>
      <c r="BE43" s="29">
        <v>1618</v>
      </c>
      <c r="BF43" s="29">
        <v>1501.5</v>
      </c>
      <c r="BG43" s="29">
        <v>1510.5</v>
      </c>
      <c r="BH43" s="29">
        <v>1501.5</v>
      </c>
      <c r="BI43" s="29">
        <v>1466.5</v>
      </c>
      <c r="BJ43" s="29">
        <v>1459.5</v>
      </c>
      <c r="BK43" s="29">
        <v>1472</v>
      </c>
      <c r="BL43" s="30">
        <v>1426</v>
      </c>
      <c r="BM43" s="1">
        <v>1441</v>
      </c>
      <c r="BN43" s="1">
        <v>1444</v>
      </c>
      <c r="BO43" s="1">
        <v>1406.5</v>
      </c>
      <c r="BP43" s="1">
        <v>1424</v>
      </c>
      <c r="BQ43" s="1">
        <v>1424.5</v>
      </c>
      <c r="BR43" s="1">
        <v>1440.5</v>
      </c>
      <c r="BS43" s="1">
        <v>1467</v>
      </c>
      <c r="BT43" s="1">
        <v>1484</v>
      </c>
      <c r="BU43" s="1">
        <v>1495.5</v>
      </c>
      <c r="BV43" s="1">
        <v>1516</v>
      </c>
      <c r="BW43" s="1">
        <v>1500</v>
      </c>
      <c r="BX43" s="1">
        <v>1503</v>
      </c>
      <c r="BY43" s="1">
        <v>1493.5</v>
      </c>
      <c r="BZ43" s="1">
        <v>1502</v>
      </c>
    </row>
    <row r="44" spans="1:78" ht="15.9" customHeight="1">
      <c r="A44" s="65" t="s">
        <v>83</v>
      </c>
      <c r="B44" s="25" t="s">
        <v>84</v>
      </c>
      <c r="C44" s="39">
        <f>_xll.RssMarket("3402","高値")</f>
        <v>1182.5</v>
      </c>
      <c r="D44" s="38">
        <f t="shared" si="1"/>
        <v>29</v>
      </c>
      <c r="E44" s="29">
        <v>1153.5</v>
      </c>
      <c r="F44" s="29">
        <v>1141</v>
      </c>
      <c r="G44" s="29">
        <v>1165</v>
      </c>
      <c r="H44" s="29">
        <v>1166</v>
      </c>
      <c r="I44" s="29">
        <v>1171.5</v>
      </c>
      <c r="J44" s="29">
        <v>1177</v>
      </c>
      <c r="K44" s="29">
        <v>1182</v>
      </c>
      <c r="L44" s="29">
        <v>1170</v>
      </c>
      <c r="M44" s="29">
        <v>1179.5</v>
      </c>
      <c r="N44" s="29">
        <v>1183.5</v>
      </c>
      <c r="O44" s="29">
        <v>1167.5</v>
      </c>
      <c r="P44" s="29">
        <v>1166</v>
      </c>
      <c r="Q44" s="29">
        <v>1182</v>
      </c>
      <c r="R44" s="29">
        <v>1161.5</v>
      </c>
      <c r="S44" s="29">
        <v>1159.5</v>
      </c>
      <c r="T44" s="29">
        <v>1158</v>
      </c>
      <c r="U44" s="29">
        <v>1158.5</v>
      </c>
      <c r="V44" s="29">
        <v>1178.5</v>
      </c>
      <c r="W44" s="29">
        <v>1170.5</v>
      </c>
      <c r="X44" s="29">
        <v>1182.5</v>
      </c>
      <c r="Y44" s="29">
        <v>1175</v>
      </c>
      <c r="Z44" s="29">
        <v>1144</v>
      </c>
      <c r="AA44" s="29">
        <v>1137.5</v>
      </c>
      <c r="AB44" s="29">
        <v>1142</v>
      </c>
      <c r="AC44" s="29">
        <v>1148.5</v>
      </c>
      <c r="AD44" s="29">
        <v>1155</v>
      </c>
      <c r="AE44" s="29">
        <v>1168.5</v>
      </c>
      <c r="AF44" s="29">
        <v>1154</v>
      </c>
      <c r="AG44" s="29">
        <v>1168.5</v>
      </c>
      <c r="AH44" s="29">
        <v>1172.5</v>
      </c>
      <c r="AI44" s="29">
        <v>1190</v>
      </c>
      <c r="AJ44" s="29">
        <v>1208.5</v>
      </c>
      <c r="AK44" s="29">
        <v>1190.5</v>
      </c>
      <c r="AL44" s="29">
        <v>1198</v>
      </c>
      <c r="AM44" s="29">
        <v>1207</v>
      </c>
      <c r="AN44" s="29">
        <v>1152.5</v>
      </c>
      <c r="AO44" s="29">
        <v>1122.5</v>
      </c>
      <c r="AP44" s="29">
        <v>1113</v>
      </c>
      <c r="AQ44" s="29">
        <v>1119</v>
      </c>
      <c r="AR44" s="29">
        <v>1124.5</v>
      </c>
      <c r="AS44" s="29">
        <v>1147</v>
      </c>
      <c r="AT44" s="29">
        <v>1182.5</v>
      </c>
      <c r="AU44" s="29">
        <v>1135</v>
      </c>
      <c r="AV44" s="29">
        <v>1198.5</v>
      </c>
      <c r="AW44" s="29">
        <v>1159.5</v>
      </c>
      <c r="AX44" s="29">
        <v>1174.5</v>
      </c>
      <c r="AY44" s="29">
        <v>1156.5</v>
      </c>
      <c r="AZ44" s="29">
        <v>1096</v>
      </c>
      <c r="BA44" s="29">
        <v>1103.5</v>
      </c>
      <c r="BB44" s="29">
        <v>1081.5</v>
      </c>
      <c r="BC44" s="29">
        <v>1102.5</v>
      </c>
      <c r="BD44" s="29">
        <v>1139.5</v>
      </c>
      <c r="BE44" s="29">
        <v>1173</v>
      </c>
      <c r="BF44" s="29">
        <v>1202</v>
      </c>
      <c r="BG44" s="29">
        <v>1224.5</v>
      </c>
      <c r="BH44" s="29">
        <v>1147.5</v>
      </c>
      <c r="BI44" s="29">
        <v>1142.5</v>
      </c>
      <c r="BJ44" s="29">
        <v>1142</v>
      </c>
      <c r="BK44" s="29">
        <v>1146</v>
      </c>
      <c r="BL44" s="30">
        <v>1123</v>
      </c>
      <c r="BM44" s="1">
        <v>1125</v>
      </c>
      <c r="BN44" s="1">
        <v>1140.5</v>
      </c>
      <c r="BO44" s="1">
        <v>1122</v>
      </c>
      <c r="BP44" s="1">
        <v>1126</v>
      </c>
      <c r="BQ44" s="1">
        <v>1121</v>
      </c>
      <c r="BR44" s="1">
        <v>1138.5</v>
      </c>
      <c r="BS44" s="1">
        <v>1159.5</v>
      </c>
      <c r="BT44" s="1">
        <v>1160.5</v>
      </c>
      <c r="BU44" s="1">
        <v>1169.5</v>
      </c>
      <c r="BV44" s="1">
        <v>1175.5</v>
      </c>
      <c r="BW44" s="1">
        <v>1163</v>
      </c>
      <c r="BX44" s="1">
        <v>1162.5</v>
      </c>
      <c r="BY44" s="1">
        <v>1175.5</v>
      </c>
      <c r="BZ44" s="1">
        <v>1191.5</v>
      </c>
    </row>
    <row r="45" spans="1:78" ht="15.9" customHeight="1">
      <c r="A45" s="65" t="s">
        <v>85</v>
      </c>
      <c r="B45" s="25" t="s">
        <v>86</v>
      </c>
      <c r="C45" s="39">
        <f>_xll.RssMarket("8306","高値")</f>
        <v>3550</v>
      </c>
      <c r="D45" s="38">
        <f t="shared" si="1"/>
        <v>22</v>
      </c>
      <c r="E45" s="29">
        <v>3528</v>
      </c>
      <c r="F45" s="29">
        <v>3573</v>
      </c>
      <c r="G45" s="29">
        <v>3615</v>
      </c>
      <c r="H45" s="29">
        <v>3581</v>
      </c>
      <c r="I45" s="29">
        <v>3674</v>
      </c>
      <c r="J45" s="29">
        <v>3770</v>
      </c>
      <c r="K45" s="29">
        <v>3813</v>
      </c>
      <c r="L45" s="29">
        <v>3774</v>
      </c>
      <c r="M45" s="29">
        <v>3778</v>
      </c>
      <c r="N45" s="29">
        <v>3685</v>
      </c>
      <c r="O45" s="29">
        <v>3580</v>
      </c>
      <c r="P45" s="29">
        <v>3618</v>
      </c>
      <c r="Q45" s="29">
        <v>3733</v>
      </c>
      <c r="R45" s="29">
        <v>3600</v>
      </c>
      <c r="S45" s="29">
        <v>3564</v>
      </c>
      <c r="T45" s="29">
        <v>3478</v>
      </c>
      <c r="U45" s="29">
        <v>3424</v>
      </c>
      <c r="V45" s="29">
        <v>3474</v>
      </c>
      <c r="W45" s="29">
        <v>3518</v>
      </c>
      <c r="X45" s="29">
        <v>3370</v>
      </c>
      <c r="Y45" s="29">
        <v>3337</v>
      </c>
      <c r="Z45" s="29">
        <v>3338</v>
      </c>
      <c r="AA45" s="29">
        <v>3267</v>
      </c>
      <c r="AB45" s="29">
        <v>3257</v>
      </c>
      <c r="AC45" s="29">
        <v>3267</v>
      </c>
      <c r="AD45" s="29">
        <v>3285</v>
      </c>
      <c r="AE45" s="29">
        <v>3276</v>
      </c>
      <c r="AF45" s="29">
        <v>3292</v>
      </c>
      <c r="AG45" s="29">
        <v>3343</v>
      </c>
      <c r="AH45" s="29">
        <v>3335</v>
      </c>
      <c r="AI45" s="29">
        <v>3371</v>
      </c>
      <c r="AJ45" s="29">
        <v>3394</v>
      </c>
      <c r="AK45" s="29">
        <v>3312</v>
      </c>
      <c r="AL45" s="29">
        <v>3236</v>
      </c>
      <c r="AM45" s="29">
        <v>3327</v>
      </c>
      <c r="AN45" s="29">
        <v>3205</v>
      </c>
      <c r="AO45" s="29">
        <v>3148</v>
      </c>
      <c r="AP45" s="29">
        <v>3305</v>
      </c>
      <c r="AQ45" s="29">
        <v>3217</v>
      </c>
      <c r="AR45" s="29">
        <v>3273</v>
      </c>
      <c r="AS45" s="29">
        <v>3208</v>
      </c>
      <c r="AT45" s="29">
        <v>3149</v>
      </c>
      <c r="AU45" s="29">
        <v>3047</v>
      </c>
      <c r="AV45" s="29">
        <v>3034</v>
      </c>
      <c r="AW45" s="29">
        <v>3011</v>
      </c>
      <c r="AX45" s="29">
        <v>3066</v>
      </c>
      <c r="AY45" s="29">
        <v>3095</v>
      </c>
      <c r="AZ45" s="29">
        <v>3140</v>
      </c>
      <c r="BA45" s="29">
        <v>3148</v>
      </c>
      <c r="BB45" s="29">
        <v>3170</v>
      </c>
      <c r="BC45" s="29">
        <v>3110</v>
      </c>
      <c r="BD45" s="29">
        <v>3063</v>
      </c>
      <c r="BE45" s="29">
        <v>2951.5</v>
      </c>
      <c r="BF45" s="29">
        <v>2923.5</v>
      </c>
      <c r="BG45" s="29">
        <v>2939</v>
      </c>
      <c r="BH45" s="29">
        <v>2899</v>
      </c>
      <c r="BI45" s="29">
        <v>2856.5</v>
      </c>
      <c r="BJ45" s="29">
        <v>2827.5</v>
      </c>
      <c r="BK45" s="29">
        <v>2891.5</v>
      </c>
      <c r="BL45" s="30">
        <v>2813</v>
      </c>
      <c r="BM45" s="1">
        <v>2868</v>
      </c>
      <c r="BN45" s="1">
        <v>2886</v>
      </c>
      <c r="BO45" s="1">
        <v>2796.5</v>
      </c>
      <c r="BP45" s="1">
        <v>2783</v>
      </c>
      <c r="BQ45" s="1">
        <v>2807.5</v>
      </c>
      <c r="BR45" s="1">
        <v>2824</v>
      </c>
      <c r="BS45" s="1">
        <v>2880.5</v>
      </c>
      <c r="BT45" s="1">
        <v>2894.5</v>
      </c>
      <c r="BU45" s="1">
        <v>2926</v>
      </c>
      <c r="BV45" s="1">
        <v>2966.5</v>
      </c>
      <c r="BW45" s="1">
        <v>2919</v>
      </c>
      <c r="BX45" s="1">
        <v>2889.5</v>
      </c>
      <c r="BY45" s="1">
        <v>2891.5</v>
      </c>
      <c r="BZ45" s="1">
        <v>2882.5</v>
      </c>
    </row>
    <row r="46" spans="1:78" ht="15.9" customHeight="1">
      <c r="A46" s="65" t="s">
        <v>87</v>
      </c>
      <c r="B46" s="25" t="s">
        <v>88</v>
      </c>
      <c r="C46" s="39">
        <f>_xll.RssMarket("5401","高値")</f>
        <v>675.7</v>
      </c>
      <c r="D46" s="38">
        <f t="shared" si="1"/>
        <v>19.100000000000023</v>
      </c>
      <c r="E46" s="29">
        <v>656.6</v>
      </c>
      <c r="F46" s="29">
        <v>647</v>
      </c>
      <c r="G46" s="29">
        <v>661.4</v>
      </c>
      <c r="H46" s="29">
        <v>666.4</v>
      </c>
      <c r="I46" s="29">
        <v>672.8</v>
      </c>
      <c r="J46" s="29">
        <v>656.9</v>
      </c>
      <c r="K46" s="29">
        <v>636.9</v>
      </c>
      <c r="L46" s="29"/>
      <c r="M46" s="29">
        <v>610.79999999999995</v>
      </c>
      <c r="N46" s="29">
        <v>603.4</v>
      </c>
      <c r="O46" s="29">
        <v>598.6</v>
      </c>
      <c r="P46" s="29">
        <v>587.9</v>
      </c>
      <c r="Q46" s="29">
        <v>576.6</v>
      </c>
      <c r="R46" s="29">
        <v>569</v>
      </c>
      <c r="S46" s="29">
        <v>561</v>
      </c>
      <c r="T46" s="29">
        <v>556.9</v>
      </c>
      <c r="U46" s="29">
        <v>557.6</v>
      </c>
      <c r="V46" s="29">
        <v>560.4</v>
      </c>
      <c r="W46" s="29">
        <v>562.9</v>
      </c>
      <c r="X46" s="29">
        <v>564.70000000000005</v>
      </c>
      <c r="Y46" s="29">
        <v>553.6</v>
      </c>
      <c r="Z46" s="29">
        <v>542.6</v>
      </c>
      <c r="AA46" s="29">
        <v>541.70000000000005</v>
      </c>
      <c r="AB46" s="29">
        <v>545.70000000000005</v>
      </c>
      <c r="AC46" s="29">
        <v>548.6</v>
      </c>
      <c r="AD46" s="29">
        <v>546</v>
      </c>
      <c r="AE46" s="29">
        <v>551.79999999999995</v>
      </c>
      <c r="AF46" s="29">
        <v>552.5</v>
      </c>
      <c r="AG46" s="29">
        <v>561.6</v>
      </c>
      <c r="AH46" s="29">
        <v>573.70000000000005</v>
      </c>
      <c r="AI46" s="29">
        <v>567.20000000000005</v>
      </c>
      <c r="AJ46" s="29">
        <v>567.29999999999995</v>
      </c>
      <c r="AK46" s="29">
        <v>566.29999999999995</v>
      </c>
      <c r="AL46" s="29">
        <v>574.20000000000005</v>
      </c>
      <c r="AM46" s="29">
        <v>575.5</v>
      </c>
      <c r="AN46" s="29">
        <v>554.4</v>
      </c>
      <c r="AO46" s="29">
        <v>538</v>
      </c>
      <c r="AP46" s="29">
        <v>543.4</v>
      </c>
      <c r="AQ46" s="29">
        <v>544.79999999999995</v>
      </c>
      <c r="AR46" s="29">
        <v>551.4</v>
      </c>
      <c r="AS46" s="29">
        <v>545</v>
      </c>
      <c r="AT46" s="29">
        <v>550.5</v>
      </c>
      <c r="AU46" s="29">
        <v>544.79999999999995</v>
      </c>
      <c r="AV46" s="29">
        <v>575.79999999999995</v>
      </c>
      <c r="AW46" s="29">
        <v>567.29999999999995</v>
      </c>
      <c r="AX46" s="29">
        <v>567.79999999999995</v>
      </c>
      <c r="AY46" s="29">
        <v>560.6</v>
      </c>
      <c r="AZ46" s="29">
        <v>556.20000000000005</v>
      </c>
      <c r="BA46" s="29">
        <v>548.79999999999995</v>
      </c>
      <c r="BB46" s="29">
        <v>550</v>
      </c>
      <c r="BC46" s="29">
        <v>553.29999999999995</v>
      </c>
      <c r="BD46" s="29">
        <v>560.20000000000005</v>
      </c>
      <c r="BE46" s="29">
        <v>562.79999999999995</v>
      </c>
      <c r="BF46" s="29">
        <v>570.79999999999995</v>
      </c>
      <c r="BG46" s="29">
        <v>560.9</v>
      </c>
      <c r="BH46" s="29">
        <v>560.9</v>
      </c>
      <c r="BI46" s="29">
        <v>569.70000000000005</v>
      </c>
      <c r="BJ46" s="29">
        <v>580</v>
      </c>
      <c r="BK46" s="29">
        <v>583.29999999999995</v>
      </c>
      <c r="BL46" s="30">
        <v>572.70000000000005</v>
      </c>
      <c r="BM46" s="1">
        <v>576.5</v>
      </c>
      <c r="BN46" s="1">
        <v>579.1</v>
      </c>
      <c r="BO46" s="1">
        <v>580</v>
      </c>
      <c r="BP46" s="1">
        <v>581.29999999999995</v>
      </c>
      <c r="BQ46" s="1">
        <v>590.20000000000005</v>
      </c>
      <c r="BR46" s="1">
        <v>593.29999999999995</v>
      </c>
      <c r="BS46" s="1">
        <v>598.4</v>
      </c>
      <c r="BT46" s="1">
        <v>599.79999999999995</v>
      </c>
      <c r="BU46" s="1">
        <v>596.9</v>
      </c>
      <c r="BV46" s="1">
        <v>600.20000000000005</v>
      </c>
      <c r="BW46" s="1">
        <v>600.9</v>
      </c>
      <c r="BX46" s="1">
        <v>601.9</v>
      </c>
      <c r="BY46" s="1">
        <v>600.5</v>
      </c>
      <c r="BZ46" s="1">
        <v>606.29999999999995</v>
      </c>
    </row>
    <row r="47" spans="1:78" ht="15.9" customHeight="1">
      <c r="A47" s="65" t="s">
        <v>89</v>
      </c>
      <c r="B47" s="25" t="s">
        <v>90</v>
      </c>
      <c r="C47" s="39">
        <f>_xll.RssMarket("8572","高値")</f>
        <v>480</v>
      </c>
      <c r="D47" s="38">
        <f t="shared" si="1"/>
        <v>2</v>
      </c>
      <c r="E47" s="29">
        <v>478</v>
      </c>
      <c r="F47" s="29">
        <v>481.9</v>
      </c>
      <c r="G47" s="29">
        <v>486.6</v>
      </c>
      <c r="H47" s="29">
        <v>496</v>
      </c>
      <c r="I47" s="29">
        <v>496.9</v>
      </c>
      <c r="J47" s="29">
        <v>496.7</v>
      </c>
      <c r="K47" s="29">
        <v>493.6</v>
      </c>
      <c r="L47" s="29">
        <v>490.4</v>
      </c>
      <c r="M47" s="29">
        <v>493</v>
      </c>
      <c r="N47" s="29">
        <v>494.4</v>
      </c>
      <c r="O47" s="29">
        <v>493.5</v>
      </c>
      <c r="P47" s="29">
        <v>489.4</v>
      </c>
      <c r="Q47" s="29">
        <v>489.5</v>
      </c>
      <c r="R47" s="29">
        <v>487.2</v>
      </c>
      <c r="S47" s="29">
        <v>486.5</v>
      </c>
      <c r="T47" s="29">
        <v>489.6</v>
      </c>
      <c r="U47" s="29">
        <v>485</v>
      </c>
      <c r="V47" s="29">
        <v>488.9</v>
      </c>
      <c r="W47" s="29">
        <v>488.5</v>
      </c>
      <c r="X47" s="29">
        <v>485</v>
      </c>
      <c r="Y47" s="29">
        <v>473.7</v>
      </c>
      <c r="Z47" s="29">
        <v>465.5</v>
      </c>
      <c r="AA47" s="29">
        <v>455.7</v>
      </c>
      <c r="AB47" s="29">
        <v>458.5</v>
      </c>
      <c r="AC47" s="29">
        <v>457.1</v>
      </c>
      <c r="AD47" s="29">
        <v>450</v>
      </c>
      <c r="AE47" s="29">
        <v>451.4</v>
      </c>
      <c r="AF47" s="29">
        <v>451.5</v>
      </c>
      <c r="AG47" s="29">
        <v>450.1</v>
      </c>
      <c r="AH47" s="29">
        <v>450.4</v>
      </c>
      <c r="AI47" s="29">
        <v>448.8</v>
      </c>
      <c r="AJ47" s="29">
        <v>452.4</v>
      </c>
      <c r="AK47" s="29">
        <v>453.7</v>
      </c>
      <c r="AL47" s="29">
        <v>453.9</v>
      </c>
      <c r="AM47" s="29">
        <v>462.1</v>
      </c>
      <c r="AN47" s="29">
        <v>452.6</v>
      </c>
      <c r="AO47" s="29">
        <v>451</v>
      </c>
      <c r="AP47" s="29">
        <v>453.5</v>
      </c>
      <c r="AQ47" s="29">
        <v>446.2</v>
      </c>
      <c r="AR47" s="29">
        <v>453.6</v>
      </c>
      <c r="AS47" s="29">
        <v>447.8</v>
      </c>
      <c r="AT47" s="29">
        <v>452.5</v>
      </c>
      <c r="AU47" s="29">
        <v>453.3</v>
      </c>
      <c r="AV47" s="29">
        <v>474.4</v>
      </c>
      <c r="AW47" s="29">
        <v>468.7</v>
      </c>
      <c r="AX47" s="29">
        <v>470.6</v>
      </c>
      <c r="AY47" s="29">
        <v>467</v>
      </c>
      <c r="AZ47" s="29">
        <v>470.9</v>
      </c>
      <c r="BA47" s="29">
        <v>473.6</v>
      </c>
      <c r="BB47" s="29">
        <v>467.3</v>
      </c>
      <c r="BC47" s="29">
        <v>466.8</v>
      </c>
      <c r="BD47" s="29">
        <v>469.1</v>
      </c>
      <c r="BE47" s="29">
        <v>464.6</v>
      </c>
      <c r="BF47" s="29">
        <v>461.3</v>
      </c>
      <c r="BG47" s="29">
        <v>470.1</v>
      </c>
      <c r="BH47" s="29">
        <v>494.3</v>
      </c>
      <c r="BI47" s="29">
        <v>495.2</v>
      </c>
      <c r="BJ47" s="29">
        <v>496</v>
      </c>
      <c r="BK47" s="29">
        <v>499</v>
      </c>
      <c r="BL47" s="30">
        <v>497.9</v>
      </c>
      <c r="BM47" s="1">
        <v>501.8</v>
      </c>
      <c r="BN47" s="1">
        <v>504.5</v>
      </c>
      <c r="BO47" s="1">
        <v>504.1</v>
      </c>
      <c r="BP47" s="1">
        <v>504</v>
      </c>
      <c r="BQ47" s="1">
        <v>513.79999999999995</v>
      </c>
      <c r="BR47" s="1">
        <v>521.9</v>
      </c>
      <c r="BS47" s="1">
        <v>519.79999999999995</v>
      </c>
      <c r="BT47" s="1">
        <v>489.3</v>
      </c>
      <c r="BU47" s="1">
        <v>485</v>
      </c>
      <c r="BV47" s="1">
        <v>484.6</v>
      </c>
      <c r="BW47" s="1">
        <v>482</v>
      </c>
      <c r="BX47" s="1">
        <v>478.7</v>
      </c>
      <c r="BY47" s="1">
        <v>472.8</v>
      </c>
      <c r="BZ47" s="1">
        <v>475.9</v>
      </c>
    </row>
    <row r="48" spans="1:78" ht="15.9" customHeight="1">
      <c r="A48" s="65" t="s">
        <v>91</v>
      </c>
      <c r="B48" s="25" t="s">
        <v>92</v>
      </c>
      <c r="C48" s="39">
        <f>_xll.RssMarket("3941","高値")</f>
        <v>1614.5</v>
      </c>
      <c r="D48" s="38">
        <f t="shared" si="1"/>
        <v>111</v>
      </c>
      <c r="E48" s="29">
        <v>1503.5</v>
      </c>
      <c r="F48" s="29">
        <v>1504</v>
      </c>
      <c r="G48" s="29">
        <v>1521.5</v>
      </c>
      <c r="H48" s="29">
        <v>1531</v>
      </c>
      <c r="I48" s="29">
        <v>1536.5</v>
      </c>
      <c r="J48" s="29">
        <v>1538</v>
      </c>
      <c r="K48" s="29">
        <v>1528</v>
      </c>
      <c r="L48" s="29">
        <v>1470</v>
      </c>
      <c r="M48" s="29">
        <v>1480.5</v>
      </c>
      <c r="N48" s="29">
        <v>1466</v>
      </c>
      <c r="O48" s="29">
        <v>1463.5</v>
      </c>
      <c r="P48" s="29">
        <v>1456.5</v>
      </c>
      <c r="Q48" s="29">
        <v>1447</v>
      </c>
      <c r="R48" s="29">
        <v>1423.5</v>
      </c>
      <c r="S48" s="29">
        <v>1434</v>
      </c>
      <c r="T48" s="29">
        <v>1418.5</v>
      </c>
      <c r="U48" s="29">
        <v>1444</v>
      </c>
      <c r="V48" s="29">
        <v>1448</v>
      </c>
      <c r="W48" s="29">
        <v>1430.5</v>
      </c>
      <c r="X48" s="29">
        <v>1431</v>
      </c>
      <c r="Y48" s="29">
        <v>1424.5</v>
      </c>
      <c r="Z48" s="29">
        <v>1427</v>
      </c>
      <c r="AA48" s="29">
        <v>1422.5</v>
      </c>
      <c r="AB48" s="29">
        <v>1424.5</v>
      </c>
      <c r="AC48" s="29">
        <v>1463.5</v>
      </c>
      <c r="AD48" s="29">
        <v>1435.5</v>
      </c>
      <c r="AE48" s="29">
        <v>1418</v>
      </c>
      <c r="AF48" s="29">
        <v>1416</v>
      </c>
      <c r="AG48" s="29">
        <v>1413.5</v>
      </c>
      <c r="AH48" s="29">
        <v>1430</v>
      </c>
      <c r="AI48" s="29">
        <v>1444</v>
      </c>
      <c r="AJ48" s="29">
        <v>1428.5</v>
      </c>
      <c r="AK48" s="29">
        <v>1429</v>
      </c>
      <c r="AL48" s="29">
        <v>1421</v>
      </c>
      <c r="AM48" s="29">
        <v>1420.5</v>
      </c>
      <c r="AN48" s="29">
        <v>1392.5</v>
      </c>
      <c r="AO48" s="29">
        <v>1375</v>
      </c>
      <c r="AP48" s="29">
        <v>1416</v>
      </c>
      <c r="AQ48" s="29">
        <v>1377.5</v>
      </c>
      <c r="AR48" s="29">
        <v>1406.5</v>
      </c>
      <c r="AS48" s="29">
        <v>1393</v>
      </c>
      <c r="AT48" s="29">
        <v>1412.5</v>
      </c>
      <c r="AU48" s="29">
        <v>1400</v>
      </c>
      <c r="AV48" s="29">
        <v>1463.5</v>
      </c>
      <c r="AW48" s="29">
        <v>1432</v>
      </c>
      <c r="AX48" s="29">
        <v>1428.5</v>
      </c>
      <c r="AY48" s="29">
        <v>1403.5</v>
      </c>
      <c r="AZ48" s="29">
        <v>1412.5</v>
      </c>
      <c r="BA48" s="29">
        <v>1416.5</v>
      </c>
      <c r="BB48" s="29">
        <v>1409</v>
      </c>
      <c r="BC48" s="29">
        <v>1430</v>
      </c>
      <c r="BD48" s="29">
        <v>1411</v>
      </c>
      <c r="BE48" s="29">
        <v>1430.5</v>
      </c>
      <c r="BF48" s="29">
        <v>1402</v>
      </c>
      <c r="BG48" s="29">
        <v>1263.5</v>
      </c>
      <c r="BH48" s="29">
        <v>1246.5</v>
      </c>
      <c r="BI48" s="29">
        <v>1261.5</v>
      </c>
      <c r="BJ48" s="29">
        <v>1245</v>
      </c>
      <c r="BK48" s="29">
        <v>1247</v>
      </c>
      <c r="BL48" s="30">
        <v>1240</v>
      </c>
      <c r="BM48" s="1">
        <v>1249</v>
      </c>
      <c r="BN48" s="1">
        <v>1273</v>
      </c>
      <c r="BO48" s="1">
        <v>1351</v>
      </c>
      <c r="BP48" s="1">
        <v>1287</v>
      </c>
      <c r="BQ48" s="1">
        <v>1290.5</v>
      </c>
      <c r="BR48" s="1">
        <v>1317</v>
      </c>
      <c r="BS48" s="1">
        <v>1315.5</v>
      </c>
      <c r="BT48" s="1">
        <v>1269</v>
      </c>
      <c r="BU48" s="1">
        <v>1276</v>
      </c>
      <c r="BV48" s="1">
        <v>1283.5</v>
      </c>
      <c r="BW48" s="1">
        <v>1274.5</v>
      </c>
      <c r="BX48" s="1">
        <v>1271.5</v>
      </c>
      <c r="BY48" s="1">
        <v>1277</v>
      </c>
      <c r="BZ48" s="1">
        <v>1294.5</v>
      </c>
    </row>
    <row r="49" spans="1:78" ht="15.9" customHeight="1">
      <c r="A49" s="65" t="s">
        <v>93</v>
      </c>
      <c r="B49" s="25" t="s">
        <v>94</v>
      </c>
      <c r="C49" s="39">
        <f>_xll.RssMarket("5929","高値")</f>
        <v>3629</v>
      </c>
      <c r="D49" s="38">
        <f t="shared" si="1"/>
        <v>49</v>
      </c>
      <c r="E49" s="29">
        <v>3580</v>
      </c>
      <c r="F49" s="29">
        <v>3575</v>
      </c>
      <c r="G49" s="29">
        <v>3910</v>
      </c>
      <c r="H49" s="29">
        <v>3962</v>
      </c>
      <c r="I49" s="29">
        <v>4020</v>
      </c>
      <c r="J49" s="29">
        <v>3975</v>
      </c>
      <c r="K49" s="29">
        <v>3899</v>
      </c>
      <c r="L49" s="29"/>
      <c r="M49" s="29">
        <v>3791</v>
      </c>
      <c r="N49" s="29">
        <v>3788</v>
      </c>
      <c r="O49" s="29">
        <v>3826</v>
      </c>
      <c r="P49" s="29">
        <v>3771</v>
      </c>
      <c r="Q49" s="29">
        <v>3735</v>
      </c>
      <c r="R49" s="29">
        <v>3704</v>
      </c>
      <c r="S49" s="29">
        <v>3706</v>
      </c>
      <c r="T49" s="29">
        <v>3723</v>
      </c>
      <c r="U49" s="29">
        <v>3750</v>
      </c>
      <c r="V49" s="29">
        <v>3846</v>
      </c>
      <c r="W49" s="29">
        <v>3921</v>
      </c>
      <c r="X49" s="29">
        <v>3880</v>
      </c>
      <c r="Y49" s="29">
        <v>3864</v>
      </c>
      <c r="Z49" s="29">
        <v>3802</v>
      </c>
      <c r="AA49" s="29">
        <v>3799</v>
      </c>
      <c r="AB49" s="29">
        <v>3864</v>
      </c>
      <c r="AC49" s="29">
        <v>3864</v>
      </c>
      <c r="AD49" s="29">
        <v>3784</v>
      </c>
      <c r="AE49" s="29">
        <v>3780</v>
      </c>
      <c r="AF49" s="29">
        <v>3673</v>
      </c>
      <c r="AG49" s="29">
        <v>3688</v>
      </c>
      <c r="AH49" s="29">
        <v>3721</v>
      </c>
      <c r="AI49" s="29">
        <v>3740</v>
      </c>
      <c r="AJ49" s="29">
        <v>3804</v>
      </c>
      <c r="AK49" s="29">
        <v>3779</v>
      </c>
      <c r="AL49" s="29">
        <v>3747</v>
      </c>
      <c r="AM49" s="29">
        <v>3768</v>
      </c>
      <c r="AN49" s="29">
        <v>3655</v>
      </c>
      <c r="AO49" s="29">
        <v>3646</v>
      </c>
      <c r="AP49" s="29">
        <v>3672</v>
      </c>
      <c r="AQ49" s="29">
        <v>3709</v>
      </c>
      <c r="AR49" s="29">
        <v>3592</v>
      </c>
      <c r="AS49" s="29">
        <v>3513</v>
      </c>
      <c r="AT49" s="29">
        <v>3425</v>
      </c>
      <c r="AU49" s="29">
        <v>3553</v>
      </c>
      <c r="AV49" s="29">
        <v>3685</v>
      </c>
      <c r="AW49" s="29">
        <v>3549</v>
      </c>
      <c r="AX49" s="29">
        <v>3405</v>
      </c>
      <c r="AY49" s="29">
        <v>3336</v>
      </c>
      <c r="AZ49" s="29">
        <v>3339</v>
      </c>
      <c r="BA49" s="29">
        <v>3393</v>
      </c>
      <c r="BB49" s="29">
        <v>3397</v>
      </c>
      <c r="BC49" s="29">
        <v>3389</v>
      </c>
      <c r="BD49" s="29">
        <v>3575</v>
      </c>
      <c r="BE49" s="29">
        <v>3664</v>
      </c>
      <c r="BF49" s="29">
        <v>3728</v>
      </c>
      <c r="BG49" s="29">
        <v>3552</v>
      </c>
      <c r="BH49" s="29">
        <v>3612</v>
      </c>
      <c r="BI49" s="29">
        <v>3627</v>
      </c>
      <c r="BJ49" s="29">
        <v>3661</v>
      </c>
      <c r="BK49" s="29">
        <v>3648</v>
      </c>
      <c r="BL49" s="30">
        <v>3617</v>
      </c>
      <c r="BM49" s="1">
        <v>3587</v>
      </c>
      <c r="BN49" s="1">
        <v>3676</v>
      </c>
      <c r="BO49" s="1">
        <v>3616</v>
      </c>
      <c r="BP49" s="1">
        <v>3651</v>
      </c>
      <c r="BQ49" s="1">
        <v>3651</v>
      </c>
      <c r="BR49" s="1">
        <v>3676</v>
      </c>
      <c r="BS49" s="1">
        <v>3707</v>
      </c>
      <c r="BT49" s="1">
        <v>3664</v>
      </c>
      <c r="BU49" s="1">
        <v>3666</v>
      </c>
      <c r="BV49" s="1">
        <v>3735</v>
      </c>
      <c r="BW49" s="1">
        <v>3774</v>
      </c>
      <c r="BX49" s="1">
        <v>3755</v>
      </c>
      <c r="BY49" s="1">
        <v>3704</v>
      </c>
      <c r="BZ49" s="1">
        <v>3740</v>
      </c>
    </row>
    <row r="50" spans="1:78" ht="15.9" customHeight="1">
      <c r="A50" s="65" t="s">
        <v>95</v>
      </c>
      <c r="B50" s="25" t="s">
        <v>96</v>
      </c>
      <c r="C50" s="39">
        <f>_xll.RssMarket("8316","高値")</f>
        <v>6655</v>
      </c>
      <c r="D50" s="38">
        <f t="shared" si="1"/>
        <v>23</v>
      </c>
      <c r="E50" s="29">
        <v>6632</v>
      </c>
      <c r="F50" s="29">
        <v>6713</v>
      </c>
      <c r="G50" s="29">
        <v>6911</v>
      </c>
      <c r="H50" s="29">
        <v>6787</v>
      </c>
      <c r="I50" s="29">
        <v>6932</v>
      </c>
      <c r="J50" s="29">
        <v>7141</v>
      </c>
      <c r="K50" s="29">
        <v>7260</v>
      </c>
      <c r="L50" s="29">
        <v>7181</v>
      </c>
      <c r="M50" s="29">
        <v>7212</v>
      </c>
      <c r="N50" s="29">
        <v>7147</v>
      </c>
      <c r="O50" s="29">
        <v>6971</v>
      </c>
      <c r="P50" s="29">
        <v>7030</v>
      </c>
      <c r="Q50" s="29">
        <v>7137</v>
      </c>
      <c r="R50" s="29">
        <v>7000</v>
      </c>
      <c r="S50" s="29">
        <v>7029</v>
      </c>
      <c r="T50" s="29">
        <v>6918</v>
      </c>
      <c r="U50" s="29">
        <v>6816</v>
      </c>
      <c r="V50" s="29">
        <v>6913</v>
      </c>
      <c r="W50" s="29">
        <v>6970</v>
      </c>
      <c r="X50" s="29">
        <v>6815</v>
      </c>
      <c r="Y50" s="29">
        <v>6685</v>
      </c>
      <c r="Z50" s="29">
        <v>6636</v>
      </c>
      <c r="AA50" s="29">
        <v>6474</v>
      </c>
      <c r="AB50" s="29">
        <v>6436</v>
      </c>
      <c r="AC50" s="29">
        <v>6449</v>
      </c>
      <c r="AD50" s="29">
        <v>6415</v>
      </c>
      <c r="AE50" s="29">
        <v>6431</v>
      </c>
      <c r="AF50" s="29">
        <v>6517</v>
      </c>
      <c r="AG50" s="29">
        <v>6637</v>
      </c>
      <c r="AH50" s="29">
        <v>6653</v>
      </c>
      <c r="AI50" s="29">
        <v>6711</v>
      </c>
      <c r="AJ50" s="29">
        <v>6733</v>
      </c>
      <c r="AK50" s="29">
        <v>6578</v>
      </c>
      <c r="AL50" s="29">
        <v>6481</v>
      </c>
      <c r="AM50" s="29">
        <v>6725</v>
      </c>
      <c r="AN50" s="29">
        <v>6439</v>
      </c>
      <c r="AO50" s="29">
        <v>6233</v>
      </c>
      <c r="AP50" s="29">
        <v>6385</v>
      </c>
      <c r="AQ50" s="29">
        <v>6185</v>
      </c>
      <c r="AR50" s="29">
        <v>6408</v>
      </c>
      <c r="AS50" s="29">
        <v>6218</v>
      </c>
      <c r="AT50" s="29">
        <v>6156</v>
      </c>
      <c r="AU50" s="29">
        <v>5951</v>
      </c>
      <c r="AV50" s="29">
        <v>5944</v>
      </c>
      <c r="AW50" s="29">
        <v>5939</v>
      </c>
      <c r="AX50" s="29">
        <v>6030</v>
      </c>
      <c r="AY50" s="29">
        <v>6086</v>
      </c>
      <c r="AZ50" s="29">
        <v>6083</v>
      </c>
      <c r="BA50" s="29">
        <v>6183</v>
      </c>
      <c r="BB50" s="29">
        <v>6109</v>
      </c>
      <c r="BC50" s="29">
        <v>5974</v>
      </c>
      <c r="BD50" s="29">
        <v>5817</v>
      </c>
      <c r="BE50" s="29">
        <v>5814</v>
      </c>
      <c r="BF50" s="29">
        <v>5804</v>
      </c>
      <c r="BG50" s="29">
        <v>5889</v>
      </c>
      <c r="BH50" s="29">
        <v>5795</v>
      </c>
      <c r="BI50" s="29">
        <v>5669</v>
      </c>
      <c r="BJ50" s="29">
        <v>5605</v>
      </c>
      <c r="BK50" s="29">
        <v>5730</v>
      </c>
      <c r="BL50" s="30">
        <v>5562</v>
      </c>
      <c r="BM50" s="1">
        <v>5609</v>
      </c>
      <c r="BN50" s="1">
        <v>5667</v>
      </c>
      <c r="BO50" s="1">
        <v>5421</v>
      </c>
      <c r="BP50" s="1">
        <v>5389</v>
      </c>
      <c r="BQ50" s="1">
        <v>5428</v>
      </c>
      <c r="BR50" s="1">
        <v>5483</v>
      </c>
      <c r="BS50" s="1">
        <v>5590</v>
      </c>
      <c r="BT50" s="1">
        <v>5640</v>
      </c>
      <c r="BU50" s="1">
        <v>5662</v>
      </c>
      <c r="BV50" s="1">
        <v>5738</v>
      </c>
      <c r="BW50" s="1">
        <v>5699</v>
      </c>
      <c r="BX50" s="1">
        <v>5630</v>
      </c>
      <c r="BY50" s="1">
        <v>5641</v>
      </c>
      <c r="BZ50" s="1">
        <v>5602</v>
      </c>
    </row>
    <row r="51" spans="1:78" ht="15.9" customHeight="1">
      <c r="A51" s="65" t="s">
        <v>97</v>
      </c>
      <c r="B51" s="25" t="s">
        <v>98</v>
      </c>
      <c r="C51" s="39">
        <f>_xll.RssMarket("5449","高値")</f>
        <v>2739</v>
      </c>
      <c r="D51" s="38">
        <f t="shared" si="1"/>
        <v>252</v>
      </c>
      <c r="E51" s="29">
        <v>2487</v>
      </c>
      <c r="F51" s="29">
        <v>2498</v>
      </c>
      <c r="G51" s="29">
        <v>2620</v>
      </c>
      <c r="H51" s="29">
        <v>2925</v>
      </c>
      <c r="I51" s="29">
        <v>2895</v>
      </c>
      <c r="J51" s="29">
        <v>2785</v>
      </c>
      <c r="K51" s="29">
        <v>2735</v>
      </c>
      <c r="L51" s="29">
        <v>2670</v>
      </c>
      <c r="M51" s="29">
        <v>2621</v>
      </c>
      <c r="N51" s="29">
        <v>2600</v>
      </c>
      <c r="O51" s="29">
        <v>2620</v>
      </c>
      <c r="P51" s="29">
        <v>2589</v>
      </c>
      <c r="Q51" s="29">
        <v>2549</v>
      </c>
      <c r="R51" s="29">
        <v>2560</v>
      </c>
      <c r="S51" s="29">
        <v>2575</v>
      </c>
      <c r="T51" s="29">
        <v>2549</v>
      </c>
      <c r="U51" s="29">
        <v>2544</v>
      </c>
      <c r="V51" s="29">
        <v>2570</v>
      </c>
      <c r="W51" s="29">
        <v>2510</v>
      </c>
      <c r="X51" s="29">
        <v>2422</v>
      </c>
      <c r="Y51" s="29">
        <v>2422</v>
      </c>
      <c r="Z51" s="29">
        <v>2363</v>
      </c>
      <c r="AA51" s="29">
        <v>2294</v>
      </c>
      <c r="AB51" s="29">
        <v>2424</v>
      </c>
      <c r="AC51" s="29">
        <v>2412</v>
      </c>
      <c r="AD51" s="29">
        <v>2326</v>
      </c>
      <c r="AE51" s="29">
        <v>2330</v>
      </c>
      <c r="AF51" s="29">
        <v>2369</v>
      </c>
      <c r="AG51" s="29">
        <v>2380</v>
      </c>
      <c r="AH51" s="29">
        <v>2374</v>
      </c>
      <c r="AI51" s="29">
        <v>2358</v>
      </c>
      <c r="AJ51" s="29">
        <v>2342</v>
      </c>
      <c r="AK51" s="29">
        <v>2401</v>
      </c>
      <c r="AL51" s="29">
        <v>2421</v>
      </c>
      <c r="AM51" s="29">
        <v>2441</v>
      </c>
      <c r="AN51" s="29">
        <v>2377</v>
      </c>
      <c r="AO51" s="29">
        <v>2322</v>
      </c>
      <c r="AP51" s="29">
        <v>2365</v>
      </c>
      <c r="AQ51" s="29">
        <v>2317</v>
      </c>
      <c r="AR51" s="29">
        <v>2416</v>
      </c>
      <c r="AS51" s="29">
        <v>2376</v>
      </c>
      <c r="AT51" s="29">
        <v>2458</v>
      </c>
      <c r="AU51" s="29">
        <v>2399</v>
      </c>
      <c r="AV51" s="29">
        <v>2669</v>
      </c>
      <c r="AW51" s="29">
        <v>2680</v>
      </c>
      <c r="AX51" s="29">
        <v>2680</v>
      </c>
      <c r="AY51" s="29">
        <v>2508</v>
      </c>
      <c r="AZ51" s="29">
        <v>2407</v>
      </c>
      <c r="BA51" s="29">
        <v>2388</v>
      </c>
      <c r="BB51" s="29">
        <v>2287</v>
      </c>
      <c r="BC51" s="29">
        <v>2293</v>
      </c>
      <c r="BD51" s="29">
        <v>2372</v>
      </c>
      <c r="BE51" s="29">
        <v>2393</v>
      </c>
      <c r="BF51" s="29">
        <v>2430</v>
      </c>
      <c r="BG51" s="29">
        <v>2454</v>
      </c>
      <c r="BH51" s="29">
        <v>2606</v>
      </c>
      <c r="BI51" s="29">
        <v>2586</v>
      </c>
      <c r="BJ51" s="29">
        <v>2610</v>
      </c>
      <c r="BK51" s="29">
        <v>2622</v>
      </c>
      <c r="BL51" s="30">
        <v>2539</v>
      </c>
      <c r="BM51" s="1">
        <v>2485</v>
      </c>
      <c r="BN51" s="1">
        <v>2477</v>
      </c>
      <c r="BO51" s="1">
        <v>2376</v>
      </c>
      <c r="BP51" s="1">
        <v>2329</v>
      </c>
      <c r="BQ51" s="1">
        <v>2370</v>
      </c>
      <c r="BR51" s="1">
        <v>2410</v>
      </c>
      <c r="BS51" s="1">
        <v>2453</v>
      </c>
      <c r="BT51" s="1">
        <v>2458</v>
      </c>
      <c r="BU51" s="1">
        <v>2437</v>
      </c>
      <c r="BV51" s="1">
        <v>2461</v>
      </c>
      <c r="BW51" s="1">
        <v>2484</v>
      </c>
      <c r="BX51" s="1">
        <v>2465</v>
      </c>
      <c r="BY51" s="1">
        <v>2462</v>
      </c>
      <c r="BZ51" s="1">
        <v>2648</v>
      </c>
    </row>
    <row r="52" spans="1:78" ht="15.9" customHeight="1">
      <c r="A52" s="65" t="s">
        <v>99</v>
      </c>
      <c r="B52" s="25" t="s">
        <v>100</v>
      </c>
      <c r="C52" s="39">
        <f>_xll.RssMarket("8766","高値")</f>
        <v>7819</v>
      </c>
      <c r="D52" s="38">
        <f t="shared" si="1"/>
        <v>-25</v>
      </c>
      <c r="E52" s="29">
        <v>7844</v>
      </c>
      <c r="F52" s="29">
        <v>8020</v>
      </c>
      <c r="G52" s="29">
        <v>8235</v>
      </c>
      <c r="H52" s="29">
        <v>8261</v>
      </c>
      <c r="I52" s="29">
        <v>8468</v>
      </c>
      <c r="J52" s="29">
        <v>8278</v>
      </c>
      <c r="K52" s="29">
        <v>8290</v>
      </c>
      <c r="L52" s="29">
        <v>8155</v>
      </c>
      <c r="M52" s="29">
        <v>8045</v>
      </c>
      <c r="N52" s="29">
        <v>7971</v>
      </c>
      <c r="O52" s="29">
        <v>7877</v>
      </c>
      <c r="P52" s="29">
        <v>7660</v>
      </c>
      <c r="Q52" s="29">
        <v>7873</v>
      </c>
      <c r="R52" s="29">
        <v>7761</v>
      </c>
      <c r="S52" s="29">
        <v>7614</v>
      </c>
      <c r="T52" s="29">
        <v>7887</v>
      </c>
      <c r="U52" s="29">
        <v>7870</v>
      </c>
      <c r="V52" s="29">
        <v>7803</v>
      </c>
      <c r="W52" s="29">
        <v>7935</v>
      </c>
      <c r="X52" s="29">
        <v>7810</v>
      </c>
      <c r="Y52" s="29">
        <v>7687</v>
      </c>
      <c r="Z52" s="29">
        <v>7574</v>
      </c>
      <c r="AA52" s="29">
        <v>7329</v>
      </c>
      <c r="AB52" s="29">
        <v>7311</v>
      </c>
      <c r="AC52" s="29">
        <v>7315</v>
      </c>
      <c r="AD52" s="29">
        <v>6948</v>
      </c>
      <c r="AE52" s="29">
        <v>6947</v>
      </c>
      <c r="AF52" s="29">
        <v>7283</v>
      </c>
      <c r="AG52" s="29">
        <v>7448</v>
      </c>
      <c r="AH52" s="29">
        <v>7316</v>
      </c>
      <c r="AI52" s="29">
        <v>7308</v>
      </c>
      <c r="AJ52" s="29">
        <v>7368</v>
      </c>
      <c r="AK52" s="29">
        <v>7421</v>
      </c>
      <c r="AL52" s="29">
        <v>7293</v>
      </c>
      <c r="AM52" s="29">
        <v>7469</v>
      </c>
      <c r="AN52" s="29">
        <v>7454</v>
      </c>
      <c r="AO52" s="29">
        <v>7487</v>
      </c>
      <c r="AP52" s="29">
        <v>7557</v>
      </c>
      <c r="AQ52" s="29">
        <v>7232</v>
      </c>
      <c r="AR52" s="29">
        <v>7068</v>
      </c>
      <c r="AS52" s="29">
        <v>7000</v>
      </c>
      <c r="AT52" s="29">
        <v>7167</v>
      </c>
      <c r="AU52" s="29">
        <v>7130</v>
      </c>
      <c r="AV52" s="29">
        <v>7216</v>
      </c>
      <c r="AW52" s="29">
        <v>7324</v>
      </c>
      <c r="AX52" s="29">
        <v>7443</v>
      </c>
      <c r="AY52" s="29">
        <v>7469</v>
      </c>
      <c r="AZ52" s="29">
        <v>7610</v>
      </c>
      <c r="BA52" s="29">
        <v>7987</v>
      </c>
      <c r="BB52" s="29">
        <v>8038</v>
      </c>
      <c r="BC52" s="29">
        <v>7962</v>
      </c>
      <c r="BD52" s="29">
        <v>7769</v>
      </c>
      <c r="BE52" s="29">
        <v>7687</v>
      </c>
      <c r="BF52" s="29">
        <v>7416</v>
      </c>
      <c r="BG52" s="29">
        <v>7402</v>
      </c>
      <c r="BH52" s="29">
        <v>7282</v>
      </c>
      <c r="BI52" s="29">
        <v>7198</v>
      </c>
      <c r="BJ52" s="29">
        <v>7195</v>
      </c>
      <c r="BK52" s="29">
        <v>7337</v>
      </c>
      <c r="BL52" s="30">
        <v>7148</v>
      </c>
      <c r="BM52" s="1">
        <v>7300</v>
      </c>
      <c r="BN52" s="1">
        <v>7344</v>
      </c>
      <c r="BO52" s="1">
        <v>7220</v>
      </c>
      <c r="BP52" s="1">
        <v>7227</v>
      </c>
      <c r="BQ52" s="1">
        <v>7100</v>
      </c>
      <c r="BR52" s="1">
        <v>7267</v>
      </c>
      <c r="BS52" s="1">
        <v>7310</v>
      </c>
      <c r="BT52" s="1">
        <v>7221</v>
      </c>
      <c r="BU52" s="1">
        <v>7003</v>
      </c>
      <c r="BV52" s="1">
        <v>6984</v>
      </c>
      <c r="BW52" s="1">
        <v>6963</v>
      </c>
      <c r="BX52" s="1">
        <v>7068</v>
      </c>
      <c r="BY52" s="1">
        <v>7099</v>
      </c>
      <c r="BZ52" s="1">
        <v>7220</v>
      </c>
    </row>
    <row r="53" spans="1:78" ht="15.9" customHeight="1">
      <c r="A53" s="65" t="s">
        <v>101</v>
      </c>
      <c r="B53" s="25" t="s">
        <v>102</v>
      </c>
      <c r="C53" s="39">
        <f>_xll.RssMarket("5201","高値")</f>
        <v>5821</v>
      </c>
      <c r="D53" s="38">
        <f t="shared" si="1"/>
        <v>-354</v>
      </c>
      <c r="E53" s="29">
        <v>6175</v>
      </c>
      <c r="F53" s="29">
        <v>6106</v>
      </c>
      <c r="G53" s="29">
        <v>6147</v>
      </c>
      <c r="H53" s="29">
        <v>6090</v>
      </c>
      <c r="I53" s="29">
        <v>6194</v>
      </c>
      <c r="J53" s="29">
        <v>6190</v>
      </c>
      <c r="K53" s="29">
        <v>6274</v>
      </c>
      <c r="L53" s="29">
        <v>6279</v>
      </c>
      <c r="M53" s="29">
        <v>6452</v>
      </c>
      <c r="N53" s="29">
        <v>6459</v>
      </c>
      <c r="O53" s="29">
        <v>6257</v>
      </c>
      <c r="P53" s="29">
        <v>6407</v>
      </c>
      <c r="Q53" s="29">
        <v>6518</v>
      </c>
      <c r="R53" s="29">
        <v>6468</v>
      </c>
      <c r="S53" s="29">
        <v>6499</v>
      </c>
      <c r="T53" s="29">
        <v>6561</v>
      </c>
      <c r="U53" s="29">
        <v>6540</v>
      </c>
      <c r="V53" s="29">
        <v>6550</v>
      </c>
      <c r="W53" s="29">
        <v>6754</v>
      </c>
      <c r="X53" s="29">
        <v>6897</v>
      </c>
      <c r="Y53" s="29">
        <v>6885</v>
      </c>
      <c r="Z53" s="29">
        <v>6920</v>
      </c>
      <c r="AA53" s="29">
        <v>7095</v>
      </c>
      <c r="AB53" s="29">
        <v>7050</v>
      </c>
      <c r="AC53" s="29">
        <v>7110</v>
      </c>
      <c r="AD53" s="29">
        <v>7305</v>
      </c>
      <c r="AE53" s="29">
        <v>7346</v>
      </c>
      <c r="AF53" s="29">
        <v>7292</v>
      </c>
      <c r="AG53" s="29">
        <v>7650</v>
      </c>
      <c r="AH53" s="29">
        <v>7682</v>
      </c>
      <c r="AI53" s="29">
        <v>7800</v>
      </c>
      <c r="AJ53" s="29">
        <v>7687</v>
      </c>
      <c r="AK53" s="29">
        <v>7421</v>
      </c>
      <c r="AL53" s="29">
        <v>7500</v>
      </c>
      <c r="AM53" s="29">
        <v>7407</v>
      </c>
      <c r="AN53" s="29">
        <v>7148</v>
      </c>
      <c r="AO53" s="29">
        <v>7004</v>
      </c>
      <c r="AP53" s="29">
        <v>7157</v>
      </c>
      <c r="AQ53" s="29">
        <v>7471</v>
      </c>
      <c r="AR53" s="29">
        <v>8069</v>
      </c>
      <c r="AS53" s="29">
        <v>8218</v>
      </c>
      <c r="AT53" s="29">
        <v>8315</v>
      </c>
      <c r="AU53" s="29">
        <v>7686</v>
      </c>
      <c r="AV53" s="29">
        <v>6980</v>
      </c>
      <c r="AW53" s="29">
        <v>6980</v>
      </c>
      <c r="AX53" s="29">
        <v>7259</v>
      </c>
      <c r="AY53" s="29">
        <v>6784</v>
      </c>
      <c r="AZ53" s="29">
        <v>6545</v>
      </c>
      <c r="BA53" s="29">
        <v>6254</v>
      </c>
      <c r="BB53" s="29">
        <v>6265</v>
      </c>
      <c r="BC53" s="29">
        <v>6395</v>
      </c>
      <c r="BD53" s="29">
        <v>6031</v>
      </c>
      <c r="BE53" s="29">
        <v>6132</v>
      </c>
      <c r="BF53" s="29">
        <v>6155</v>
      </c>
      <c r="BG53" s="29">
        <v>6098</v>
      </c>
      <c r="BH53" s="29">
        <v>6270</v>
      </c>
      <c r="BI53" s="29">
        <v>5636</v>
      </c>
      <c r="BJ53" s="29">
        <v>5668</v>
      </c>
      <c r="BK53" s="29">
        <v>5733</v>
      </c>
      <c r="BL53" s="30">
        <v>5607</v>
      </c>
      <c r="BM53" s="1">
        <v>5667</v>
      </c>
      <c r="BN53" s="1">
        <v>5754</v>
      </c>
      <c r="BO53" s="1">
        <v>5700</v>
      </c>
      <c r="BP53" s="1">
        <v>5730</v>
      </c>
      <c r="BQ53" s="1">
        <v>5664</v>
      </c>
      <c r="BR53" s="1">
        <v>5779</v>
      </c>
      <c r="BS53" s="1">
        <v>5818</v>
      </c>
      <c r="BT53" s="1">
        <v>5796</v>
      </c>
      <c r="BU53" s="1">
        <v>5740</v>
      </c>
      <c r="BV53" s="1">
        <v>5774</v>
      </c>
      <c r="BW53" s="1">
        <v>5695</v>
      </c>
      <c r="BX53" s="1">
        <v>5782</v>
      </c>
      <c r="BY53" s="1">
        <v>5784</v>
      </c>
      <c r="BZ53" s="1">
        <v>5922</v>
      </c>
    </row>
    <row r="54" spans="1:78" ht="15.9" customHeight="1">
      <c r="A54" s="65" t="s">
        <v>103</v>
      </c>
      <c r="B54" s="25" t="s">
        <v>104</v>
      </c>
      <c r="C54" s="39">
        <f>_xll.RssMarket("8630","高値")</f>
        <v>6944</v>
      </c>
      <c r="D54" s="38">
        <f t="shared" si="1"/>
        <v>49</v>
      </c>
      <c r="E54" s="29">
        <v>6895</v>
      </c>
      <c r="F54" s="29">
        <v>7052</v>
      </c>
      <c r="G54" s="29">
        <v>7218</v>
      </c>
      <c r="H54" s="29">
        <v>7350</v>
      </c>
      <c r="I54" s="29">
        <v>7413</v>
      </c>
      <c r="J54" s="29">
        <v>7291</v>
      </c>
      <c r="K54" s="29">
        <v>7268</v>
      </c>
      <c r="L54" s="29">
        <v>7085</v>
      </c>
      <c r="M54" s="29">
        <v>6987</v>
      </c>
      <c r="N54" s="29">
        <v>6910</v>
      </c>
      <c r="O54" s="29">
        <v>6958</v>
      </c>
      <c r="P54" s="29">
        <v>6724</v>
      </c>
      <c r="Q54" s="29">
        <v>6698</v>
      </c>
      <c r="R54" s="29">
        <v>6622</v>
      </c>
      <c r="S54" s="29">
        <v>6541</v>
      </c>
      <c r="T54" s="29">
        <v>6667</v>
      </c>
      <c r="U54" s="29">
        <v>6689</v>
      </c>
      <c r="V54" s="29">
        <v>6762</v>
      </c>
      <c r="W54" s="29">
        <v>6820</v>
      </c>
      <c r="X54" s="29">
        <v>6770</v>
      </c>
      <c r="Y54" s="29">
        <v>6697</v>
      </c>
      <c r="Z54" s="29">
        <v>6497</v>
      </c>
      <c r="AA54" s="29">
        <v>6389</v>
      </c>
      <c r="AB54" s="29">
        <v>6268</v>
      </c>
      <c r="AC54" s="29">
        <v>6261</v>
      </c>
      <c r="AD54" s="29">
        <v>6192</v>
      </c>
      <c r="AE54" s="29">
        <v>6181</v>
      </c>
      <c r="AF54" s="29">
        <v>6386</v>
      </c>
      <c r="AG54" s="29">
        <v>6539</v>
      </c>
      <c r="AH54" s="29">
        <v>6465</v>
      </c>
      <c r="AI54" s="29">
        <v>6410</v>
      </c>
      <c r="AJ54" s="29">
        <v>6442</v>
      </c>
      <c r="AK54" s="29">
        <v>6406</v>
      </c>
      <c r="AL54" s="29">
        <v>6274</v>
      </c>
      <c r="AM54" s="29">
        <v>6361</v>
      </c>
      <c r="AN54" s="29">
        <v>6191</v>
      </c>
      <c r="AO54" s="29">
        <v>6249</v>
      </c>
      <c r="AP54" s="29">
        <v>6332</v>
      </c>
      <c r="AQ54" s="29">
        <v>6031</v>
      </c>
      <c r="AR54" s="29">
        <v>5956</v>
      </c>
      <c r="AS54" s="29">
        <v>5849</v>
      </c>
      <c r="AT54" s="29">
        <v>5957</v>
      </c>
      <c r="AU54" s="29">
        <v>5986</v>
      </c>
      <c r="AV54" s="29">
        <v>5958</v>
      </c>
      <c r="AW54" s="29">
        <v>5943</v>
      </c>
      <c r="AX54" s="29">
        <v>5935</v>
      </c>
      <c r="AY54" s="29">
        <v>5625</v>
      </c>
      <c r="AZ54" s="29">
        <v>5764</v>
      </c>
      <c r="BA54" s="29">
        <v>5896</v>
      </c>
      <c r="BB54" s="29">
        <v>6435</v>
      </c>
      <c r="BC54" s="29">
        <v>6435</v>
      </c>
      <c r="BD54" s="29">
        <v>6161</v>
      </c>
      <c r="BE54" s="29">
        <v>6125</v>
      </c>
      <c r="BF54" s="29">
        <v>6050</v>
      </c>
      <c r="BG54" s="29">
        <v>6129</v>
      </c>
      <c r="BH54" s="29">
        <v>5946</v>
      </c>
      <c r="BI54" s="29">
        <v>5834</v>
      </c>
      <c r="BJ54" s="29">
        <v>5900</v>
      </c>
      <c r="BK54" s="29">
        <v>5926</v>
      </c>
      <c r="BL54" s="30">
        <v>5744</v>
      </c>
      <c r="BM54" s="1">
        <v>5798</v>
      </c>
      <c r="BN54" s="1">
        <v>5815</v>
      </c>
      <c r="BO54" s="1">
        <v>5766</v>
      </c>
      <c r="BP54" s="1">
        <v>5892</v>
      </c>
      <c r="BQ54" s="1">
        <v>5858</v>
      </c>
      <c r="BR54" s="1">
        <v>5948</v>
      </c>
      <c r="BS54" s="1">
        <v>5955</v>
      </c>
      <c r="BT54" s="1">
        <v>5947</v>
      </c>
      <c r="BU54" s="1">
        <v>5988</v>
      </c>
      <c r="BV54" s="1">
        <v>5995</v>
      </c>
      <c r="BW54" s="1">
        <v>5990</v>
      </c>
      <c r="BX54" s="1">
        <v>6022</v>
      </c>
      <c r="BY54" s="1">
        <v>5982</v>
      </c>
      <c r="BZ54" s="1">
        <v>6050</v>
      </c>
    </row>
    <row r="55" spans="1:78" ht="15.9" customHeight="1">
      <c r="A55" s="65" t="s">
        <v>105</v>
      </c>
      <c r="B55" s="25" t="s">
        <v>106</v>
      </c>
      <c r="C55" s="39">
        <f>_xll.RssMarket("5901","高値")</f>
        <v>4305</v>
      </c>
      <c r="D55" s="38">
        <f t="shared" si="1"/>
        <v>287</v>
      </c>
      <c r="E55" s="29">
        <v>4018</v>
      </c>
      <c r="F55" s="29">
        <v>4089</v>
      </c>
      <c r="G55" s="29">
        <v>4118</v>
      </c>
      <c r="H55" s="29">
        <v>4173</v>
      </c>
      <c r="I55" s="29">
        <v>4186</v>
      </c>
      <c r="J55" s="29">
        <v>4183</v>
      </c>
      <c r="K55" s="29">
        <v>4146</v>
      </c>
      <c r="L55" s="29">
        <v>4140</v>
      </c>
      <c r="M55" s="29">
        <v>4112</v>
      </c>
      <c r="N55" s="29">
        <v>4135</v>
      </c>
      <c r="O55" s="29">
        <v>4131</v>
      </c>
      <c r="P55" s="29">
        <v>4108</v>
      </c>
      <c r="Q55" s="29">
        <v>4070</v>
      </c>
      <c r="R55" s="29">
        <v>4031</v>
      </c>
      <c r="S55" s="29">
        <v>4099</v>
      </c>
      <c r="T55" s="29">
        <v>4069</v>
      </c>
      <c r="U55" s="29">
        <v>4118</v>
      </c>
      <c r="V55" s="29">
        <v>4143</v>
      </c>
      <c r="W55" s="29">
        <v>4175</v>
      </c>
      <c r="X55" s="29">
        <v>4166</v>
      </c>
      <c r="Y55" s="29">
        <v>4160</v>
      </c>
      <c r="Z55" s="29">
        <v>4150</v>
      </c>
      <c r="AA55" s="29">
        <v>4093</v>
      </c>
      <c r="AB55" s="29">
        <v>4157</v>
      </c>
      <c r="AC55" s="29">
        <v>4160</v>
      </c>
      <c r="AD55" s="29">
        <v>4167</v>
      </c>
      <c r="AE55" s="29">
        <v>4151</v>
      </c>
      <c r="AF55" s="29">
        <v>4104</v>
      </c>
      <c r="AG55" s="29">
        <v>4163</v>
      </c>
      <c r="AH55" s="29">
        <v>4175</v>
      </c>
      <c r="AI55" s="29">
        <v>4160</v>
      </c>
      <c r="AJ55" s="29">
        <v>4135</v>
      </c>
      <c r="AK55" s="29">
        <v>4088</v>
      </c>
      <c r="AL55" s="29">
        <v>4035</v>
      </c>
      <c r="AM55" s="29">
        <v>4047</v>
      </c>
      <c r="AN55" s="29">
        <v>3938</v>
      </c>
      <c r="AO55" s="29">
        <v>3859</v>
      </c>
      <c r="AP55" s="29">
        <v>3891</v>
      </c>
      <c r="AQ55" s="29">
        <v>3912</v>
      </c>
      <c r="AR55" s="29">
        <v>3827</v>
      </c>
      <c r="AS55" s="29">
        <v>3875</v>
      </c>
      <c r="AT55" s="29">
        <v>3912</v>
      </c>
      <c r="AU55" s="29">
        <v>3920</v>
      </c>
      <c r="AV55" s="29">
        <v>4010</v>
      </c>
      <c r="AW55" s="29">
        <v>3948</v>
      </c>
      <c r="AX55" s="29">
        <v>3973</v>
      </c>
      <c r="AY55" s="29">
        <v>4043</v>
      </c>
      <c r="AZ55" s="29">
        <v>4369</v>
      </c>
      <c r="BA55" s="29">
        <v>4404</v>
      </c>
      <c r="BB55" s="29">
        <v>4097</v>
      </c>
      <c r="BC55" s="29">
        <v>4022</v>
      </c>
      <c r="BD55" s="29">
        <v>3930</v>
      </c>
      <c r="BE55" s="29">
        <v>3730</v>
      </c>
      <c r="BF55" s="29">
        <v>3472</v>
      </c>
      <c r="BG55" s="29">
        <v>3508</v>
      </c>
      <c r="BH55" s="29">
        <v>3428</v>
      </c>
      <c r="BI55" s="29">
        <v>3532</v>
      </c>
      <c r="BJ55" s="29">
        <v>3651</v>
      </c>
      <c r="BK55" s="29">
        <v>3607</v>
      </c>
      <c r="BL55" s="30">
        <v>3520</v>
      </c>
      <c r="BM55" s="1">
        <v>3258</v>
      </c>
      <c r="BN55" s="1">
        <v>3210</v>
      </c>
      <c r="BO55" s="1">
        <v>3220</v>
      </c>
      <c r="BP55" s="1">
        <v>3242</v>
      </c>
      <c r="BQ55" s="1">
        <v>3264</v>
      </c>
      <c r="BR55" s="1">
        <v>3382</v>
      </c>
      <c r="BS55" s="1">
        <v>3420</v>
      </c>
      <c r="BT55" s="1">
        <v>3406</v>
      </c>
      <c r="BU55" s="1">
        <v>3385</v>
      </c>
      <c r="BV55" s="1">
        <v>3450</v>
      </c>
      <c r="BW55" s="1">
        <v>3429</v>
      </c>
      <c r="BX55" s="1">
        <v>3438</v>
      </c>
      <c r="BY55" s="1">
        <v>3469</v>
      </c>
      <c r="BZ55" s="1">
        <v>3519</v>
      </c>
    </row>
    <row r="56" spans="1:78" ht="15.9" customHeight="1">
      <c r="A56" s="65" t="s">
        <v>107</v>
      </c>
      <c r="B56" s="25" t="s">
        <v>108</v>
      </c>
      <c r="C56" s="39">
        <f>_xll.RssMarket("9412","高値")</f>
        <v>2308</v>
      </c>
      <c r="D56" s="38">
        <f t="shared" si="1"/>
        <v>63</v>
      </c>
      <c r="E56" s="29">
        <v>2245</v>
      </c>
      <c r="F56" s="29">
        <v>2169</v>
      </c>
      <c r="G56" s="29">
        <v>2147</v>
      </c>
      <c r="H56" s="29">
        <v>2083</v>
      </c>
      <c r="I56" s="29">
        <v>2162</v>
      </c>
      <c r="J56" s="29">
        <v>2208</v>
      </c>
      <c r="K56" s="29">
        <v>2228</v>
      </c>
      <c r="L56" s="29">
        <v>2242</v>
      </c>
      <c r="M56" s="29">
        <v>2289</v>
      </c>
      <c r="N56" s="29">
        <v>2375</v>
      </c>
      <c r="O56" s="29">
        <v>2300</v>
      </c>
      <c r="P56" s="29">
        <v>2327</v>
      </c>
      <c r="Q56" s="29">
        <v>2485</v>
      </c>
      <c r="R56" s="29">
        <v>2500</v>
      </c>
      <c r="S56" s="29">
        <v>2572</v>
      </c>
      <c r="T56" s="29">
        <v>2582</v>
      </c>
      <c r="U56" s="29">
        <v>2595</v>
      </c>
      <c r="V56" s="29">
        <v>2720</v>
      </c>
      <c r="W56" s="29">
        <v>2714</v>
      </c>
      <c r="X56" s="29">
        <v>2792</v>
      </c>
      <c r="Y56" s="29">
        <v>2783</v>
      </c>
      <c r="Z56" s="29">
        <v>2702</v>
      </c>
      <c r="AA56" s="29">
        <v>2686</v>
      </c>
      <c r="AB56" s="29">
        <v>2736</v>
      </c>
      <c r="AC56" s="29">
        <v>2593</v>
      </c>
      <c r="AD56" s="29">
        <v>2528</v>
      </c>
      <c r="AE56" s="29">
        <v>2738</v>
      </c>
      <c r="AF56" s="29">
        <v>2870</v>
      </c>
      <c r="AG56" s="29">
        <v>3235</v>
      </c>
      <c r="AH56" s="29">
        <v>3245</v>
      </c>
      <c r="AI56" s="29">
        <v>3265</v>
      </c>
      <c r="AJ56" s="29">
        <v>3495</v>
      </c>
      <c r="AK56" s="29">
        <v>3420</v>
      </c>
      <c r="AL56" s="29">
        <v>3345</v>
      </c>
      <c r="AM56" s="29">
        <v>3425</v>
      </c>
      <c r="AN56" s="29">
        <v>3505</v>
      </c>
      <c r="AO56" s="29">
        <v>3245</v>
      </c>
      <c r="AP56" s="29">
        <v>3230</v>
      </c>
      <c r="AQ56" s="29">
        <v>3585</v>
      </c>
      <c r="AR56" s="29">
        <v>3670</v>
      </c>
      <c r="AS56" s="29">
        <v>3470</v>
      </c>
      <c r="AT56" s="29">
        <v>3785</v>
      </c>
      <c r="AU56" s="29">
        <v>3910</v>
      </c>
      <c r="AV56" s="29">
        <v>4600</v>
      </c>
      <c r="AW56" s="29">
        <v>4540</v>
      </c>
      <c r="AX56" s="29">
        <v>4720</v>
      </c>
      <c r="AY56" s="29">
        <v>4530</v>
      </c>
      <c r="AZ56" s="29">
        <v>4325</v>
      </c>
      <c r="BA56" s="29">
        <v>4430</v>
      </c>
      <c r="BB56" s="29">
        <v>4240</v>
      </c>
      <c r="BC56" s="29">
        <v>4185</v>
      </c>
      <c r="BD56" s="29">
        <v>4310</v>
      </c>
      <c r="BE56" s="29">
        <v>4345</v>
      </c>
      <c r="BF56" s="29">
        <v>4335</v>
      </c>
      <c r="BG56" s="29">
        <v>4220</v>
      </c>
      <c r="BH56" s="29">
        <v>4030</v>
      </c>
      <c r="BI56" s="29">
        <v>3840</v>
      </c>
      <c r="BJ56" s="29">
        <v>3715</v>
      </c>
      <c r="BK56" s="29">
        <v>3620</v>
      </c>
      <c r="BL56" s="30">
        <v>3650</v>
      </c>
      <c r="BM56" s="1">
        <v>3530</v>
      </c>
      <c r="BN56" s="1">
        <v>3380</v>
      </c>
      <c r="BO56" s="1">
        <v>3220</v>
      </c>
      <c r="BP56" s="1">
        <v>3305</v>
      </c>
      <c r="BQ56" s="1">
        <v>3200</v>
      </c>
      <c r="BR56" s="1">
        <v>3335</v>
      </c>
      <c r="BS56" s="1">
        <v>3420</v>
      </c>
      <c r="BT56" s="1">
        <v>3385</v>
      </c>
      <c r="BU56" s="1">
        <v>3385</v>
      </c>
      <c r="BV56" s="1">
        <v>3265</v>
      </c>
      <c r="BW56" s="1">
        <v>3255</v>
      </c>
      <c r="BX56" s="1">
        <v>3175</v>
      </c>
      <c r="BY56" s="1">
        <v>3040</v>
      </c>
      <c r="BZ56" s="1">
        <v>3155</v>
      </c>
    </row>
    <row r="57" spans="1:78" ht="15.9" customHeight="1">
      <c r="A57" s="65" t="s">
        <v>109</v>
      </c>
      <c r="B57" s="25" t="s">
        <v>110</v>
      </c>
      <c r="C57" s="39">
        <f>_xll.RssMarket("6203","高値")</f>
        <v>1472</v>
      </c>
      <c r="D57" s="38">
        <f t="shared" si="1"/>
        <v>67</v>
      </c>
      <c r="E57" s="29">
        <v>1405</v>
      </c>
      <c r="F57" s="29">
        <v>1400</v>
      </c>
      <c r="G57" s="29">
        <v>1415</v>
      </c>
      <c r="H57" s="29">
        <v>1362</v>
      </c>
      <c r="I57" s="29">
        <v>1375</v>
      </c>
      <c r="J57" s="29">
        <v>1452</v>
      </c>
      <c r="K57" s="29">
        <v>1470</v>
      </c>
      <c r="L57" s="29">
        <v>1453</v>
      </c>
      <c r="M57" s="29">
        <v>1463</v>
      </c>
      <c r="N57" s="29">
        <v>1477</v>
      </c>
      <c r="O57" s="29">
        <v>1471</v>
      </c>
      <c r="P57" s="29">
        <v>1454</v>
      </c>
      <c r="Q57" s="29">
        <v>1686</v>
      </c>
      <c r="R57" s="29">
        <v>1607</v>
      </c>
      <c r="S57" s="29">
        <v>1649</v>
      </c>
      <c r="T57" s="29">
        <v>1674</v>
      </c>
      <c r="U57" s="29">
        <v>1612</v>
      </c>
      <c r="V57" s="29">
        <v>1667</v>
      </c>
      <c r="W57" s="29">
        <v>1870</v>
      </c>
      <c r="X57" s="29">
        <v>1763</v>
      </c>
      <c r="Y57" s="29">
        <v>1637</v>
      </c>
      <c r="Z57" s="29">
        <v>1606</v>
      </c>
      <c r="AA57" s="29">
        <v>1534</v>
      </c>
      <c r="AB57" s="29">
        <v>1558</v>
      </c>
      <c r="AC57" s="29">
        <v>1660</v>
      </c>
      <c r="AD57" s="29">
        <v>1673</v>
      </c>
      <c r="AE57" s="29">
        <v>1618</v>
      </c>
      <c r="AF57" s="29">
        <v>1640</v>
      </c>
      <c r="AG57" s="29">
        <v>1729</v>
      </c>
      <c r="AH57" s="29">
        <v>1721</v>
      </c>
      <c r="AI57" s="29">
        <v>1707</v>
      </c>
      <c r="AJ57" s="29">
        <v>1753</v>
      </c>
      <c r="AK57" s="29">
        <v>1679</v>
      </c>
      <c r="AL57" s="29">
        <v>1592</v>
      </c>
      <c r="AM57" s="29">
        <v>1620</v>
      </c>
      <c r="AN57" s="29">
        <v>1648</v>
      </c>
      <c r="AO57" s="29">
        <v>1651</v>
      </c>
      <c r="AP57" s="29">
        <v>1810</v>
      </c>
      <c r="AQ57" s="29">
        <v>1838</v>
      </c>
      <c r="AR57" s="29">
        <v>1839</v>
      </c>
      <c r="AS57" s="29">
        <v>1874</v>
      </c>
      <c r="AT57" s="29">
        <v>1949</v>
      </c>
      <c r="AU57" s="29">
        <v>1993</v>
      </c>
      <c r="AV57" s="29">
        <v>2012</v>
      </c>
      <c r="AW57" s="29">
        <v>1670</v>
      </c>
      <c r="AX57" s="29">
        <v>1410</v>
      </c>
      <c r="AY57" s="29">
        <v>1384</v>
      </c>
      <c r="AZ57" s="29">
        <v>1364</v>
      </c>
      <c r="BA57" s="29">
        <v>1343</v>
      </c>
      <c r="BB57" s="29">
        <v>1312</v>
      </c>
      <c r="BC57" s="29">
        <v>1361</v>
      </c>
      <c r="BD57" s="29">
        <v>1392</v>
      </c>
      <c r="BE57" s="29">
        <v>1446</v>
      </c>
      <c r="BF57" s="29">
        <v>1431</v>
      </c>
      <c r="BG57" s="29">
        <v>1463</v>
      </c>
      <c r="BH57" s="29">
        <v>1546</v>
      </c>
      <c r="BI57" s="29">
        <v>1557</v>
      </c>
      <c r="BJ57" s="29">
        <v>1510</v>
      </c>
      <c r="BK57" s="29">
        <v>1577</v>
      </c>
      <c r="BL57" s="30">
        <v>1540</v>
      </c>
      <c r="BM57" s="1">
        <v>1565</v>
      </c>
      <c r="BN57" s="1">
        <v>1588</v>
      </c>
      <c r="BO57" s="1">
        <v>1545</v>
      </c>
      <c r="BP57" s="1">
        <v>1522</v>
      </c>
      <c r="BQ57" s="1">
        <v>1606</v>
      </c>
      <c r="BR57" s="1">
        <v>1545</v>
      </c>
      <c r="BS57" s="1">
        <v>1434</v>
      </c>
      <c r="BT57" s="1">
        <v>1390</v>
      </c>
      <c r="BU57" s="1">
        <v>1376</v>
      </c>
      <c r="BV57" s="1">
        <v>1388</v>
      </c>
      <c r="BW57" s="1">
        <v>1468</v>
      </c>
      <c r="BX57" s="1">
        <v>1489</v>
      </c>
      <c r="BY57" s="1">
        <v>1514</v>
      </c>
      <c r="BZ57" s="1">
        <v>1515</v>
      </c>
    </row>
    <row r="58" spans="1:78" ht="15.9" customHeight="1">
      <c r="A58" s="65" t="s">
        <v>111</v>
      </c>
      <c r="B58" s="25" t="s">
        <v>112</v>
      </c>
      <c r="C58" s="39">
        <f>_xll.RssMarket("4676","高値")</f>
        <v>4103</v>
      </c>
      <c r="D58" s="38">
        <f t="shared" si="1"/>
        <v>165</v>
      </c>
      <c r="E58" s="29">
        <v>3938</v>
      </c>
      <c r="F58" s="29">
        <v>3972</v>
      </c>
      <c r="G58" s="29">
        <v>4150</v>
      </c>
      <c r="H58" s="29">
        <v>4239</v>
      </c>
      <c r="I58" s="29">
        <v>4259</v>
      </c>
      <c r="J58" s="29">
        <v>4225</v>
      </c>
      <c r="K58" s="29">
        <v>4166</v>
      </c>
      <c r="L58" s="29">
        <v>4055</v>
      </c>
      <c r="M58" s="29">
        <v>4059</v>
      </c>
      <c r="N58" s="29">
        <v>4107</v>
      </c>
      <c r="O58" s="29">
        <v>4132</v>
      </c>
      <c r="P58" s="29">
        <v>4148</v>
      </c>
      <c r="Q58" s="29">
        <v>4256</v>
      </c>
      <c r="R58" s="29">
        <v>4289</v>
      </c>
      <c r="S58" s="29">
        <v>4174</v>
      </c>
      <c r="T58" s="29">
        <v>4166</v>
      </c>
      <c r="U58" s="29">
        <v>4100</v>
      </c>
      <c r="V58" s="29">
        <v>4147</v>
      </c>
      <c r="W58" s="29">
        <v>4170</v>
      </c>
      <c r="X58" s="29">
        <v>4083</v>
      </c>
      <c r="Y58" s="29">
        <v>4070</v>
      </c>
      <c r="Z58" s="29">
        <v>4076</v>
      </c>
      <c r="AA58" s="29">
        <v>4000</v>
      </c>
      <c r="AB58" s="29">
        <v>3919</v>
      </c>
      <c r="AC58" s="29">
        <v>3885</v>
      </c>
      <c r="AD58" s="29">
        <v>3984</v>
      </c>
      <c r="AE58" s="29">
        <v>4201</v>
      </c>
      <c r="AF58" s="29">
        <v>3944</v>
      </c>
      <c r="AG58" s="29">
        <v>4111</v>
      </c>
      <c r="AH58" s="29">
        <v>4103</v>
      </c>
      <c r="AI58" s="29">
        <v>4064</v>
      </c>
      <c r="AJ58" s="29">
        <v>4074</v>
      </c>
      <c r="AK58" s="29">
        <v>4063</v>
      </c>
      <c r="AL58" s="29">
        <v>4080</v>
      </c>
      <c r="AM58" s="29">
        <v>4152</v>
      </c>
      <c r="AN58" s="29">
        <v>4097</v>
      </c>
      <c r="AO58" s="29">
        <v>4118</v>
      </c>
      <c r="AP58" s="29">
        <v>4164</v>
      </c>
      <c r="AQ58" s="29">
        <v>4185</v>
      </c>
      <c r="AR58" s="29">
        <v>4272</v>
      </c>
      <c r="AS58" s="29">
        <v>3874</v>
      </c>
      <c r="AT58" s="29">
        <v>3867</v>
      </c>
      <c r="AU58" s="29">
        <v>3923</v>
      </c>
      <c r="AV58" s="29">
        <v>3784</v>
      </c>
      <c r="AW58" s="29">
        <v>3782</v>
      </c>
      <c r="AX58" s="29">
        <v>3754</v>
      </c>
      <c r="AY58" s="29">
        <v>3781</v>
      </c>
      <c r="AZ58" s="29">
        <v>3845</v>
      </c>
      <c r="BA58" s="29">
        <v>3860</v>
      </c>
      <c r="BB58" s="29">
        <v>3842</v>
      </c>
      <c r="BC58" s="29">
        <v>3811</v>
      </c>
      <c r="BD58" s="29">
        <v>3832</v>
      </c>
      <c r="BE58" s="29">
        <v>3822</v>
      </c>
      <c r="BF58" s="29">
        <v>3872</v>
      </c>
      <c r="BG58" s="29">
        <v>3915</v>
      </c>
      <c r="BH58" s="29">
        <v>3995</v>
      </c>
      <c r="BI58" s="29">
        <v>3977</v>
      </c>
      <c r="BJ58" s="29">
        <v>3994</v>
      </c>
      <c r="BK58" s="29">
        <v>3984</v>
      </c>
      <c r="BL58" s="30">
        <v>3929</v>
      </c>
      <c r="BM58" s="1">
        <v>3867</v>
      </c>
      <c r="BN58" s="1">
        <v>3956</v>
      </c>
      <c r="BO58" s="1">
        <v>4004</v>
      </c>
      <c r="BP58" s="1">
        <v>4064</v>
      </c>
      <c r="BQ58" s="1">
        <v>4034</v>
      </c>
      <c r="BR58" s="1">
        <v>4014</v>
      </c>
      <c r="BS58" s="1">
        <v>4065</v>
      </c>
      <c r="BT58" s="1">
        <v>4132</v>
      </c>
      <c r="BU58" s="1">
        <v>3951</v>
      </c>
      <c r="BV58" s="1">
        <v>4214</v>
      </c>
      <c r="BW58" s="1">
        <v>4266</v>
      </c>
      <c r="BX58" s="1">
        <v>4239</v>
      </c>
      <c r="BY58" s="1">
        <v>4256</v>
      </c>
      <c r="BZ58" s="1">
        <v>4305</v>
      </c>
    </row>
    <row r="59" spans="1:78" ht="15.9" customHeight="1">
      <c r="A59" s="65" t="s">
        <v>113</v>
      </c>
      <c r="B59" s="25" t="s">
        <v>114</v>
      </c>
      <c r="C59" s="39">
        <f>_xll.RssMarket("1961","高値")</f>
        <v>2472</v>
      </c>
      <c r="D59" s="38">
        <f t="shared" si="1"/>
        <v>139</v>
      </c>
      <c r="E59" s="29">
        <v>2333</v>
      </c>
      <c r="F59" s="29">
        <v>2272</v>
      </c>
      <c r="G59" s="29">
        <v>2406</v>
      </c>
      <c r="H59" s="29">
        <v>2276</v>
      </c>
      <c r="I59" s="29">
        <v>2344</v>
      </c>
      <c r="J59" s="29">
        <v>2423</v>
      </c>
      <c r="K59" s="29">
        <v>2480</v>
      </c>
      <c r="L59" s="29">
        <v>2469</v>
      </c>
      <c r="M59" s="29">
        <v>2490</v>
      </c>
      <c r="N59" s="29">
        <v>2557</v>
      </c>
      <c r="O59" s="29">
        <v>2488</v>
      </c>
      <c r="P59" s="29">
        <v>2576</v>
      </c>
      <c r="Q59" s="29">
        <v>2651</v>
      </c>
      <c r="R59" s="29">
        <v>2562</v>
      </c>
      <c r="S59" s="29">
        <v>2699</v>
      </c>
      <c r="T59" s="29">
        <v>2711</v>
      </c>
      <c r="U59" s="29">
        <v>2691</v>
      </c>
      <c r="V59" s="29">
        <v>2769</v>
      </c>
      <c r="W59" s="29">
        <v>2913</v>
      </c>
      <c r="X59" s="29">
        <v>2912</v>
      </c>
      <c r="Y59" s="29">
        <v>2804</v>
      </c>
      <c r="Z59" s="29">
        <v>2895</v>
      </c>
      <c r="AA59" s="29">
        <v>2991</v>
      </c>
      <c r="AB59" s="29">
        <v>3080</v>
      </c>
      <c r="AC59" s="29">
        <v>3160</v>
      </c>
      <c r="AD59" s="29">
        <v>3175</v>
      </c>
      <c r="AE59" s="29">
        <v>3180</v>
      </c>
      <c r="AF59" s="29">
        <v>3100</v>
      </c>
      <c r="AG59" s="29">
        <v>3275</v>
      </c>
      <c r="AH59" s="29">
        <v>3135</v>
      </c>
      <c r="AI59" s="29">
        <v>3230</v>
      </c>
      <c r="AJ59" s="29">
        <v>2987</v>
      </c>
      <c r="AK59" s="29">
        <v>2700</v>
      </c>
      <c r="AL59" s="29">
        <v>2626</v>
      </c>
      <c r="AM59" s="29">
        <v>2673</v>
      </c>
      <c r="AN59" s="29">
        <v>2520</v>
      </c>
      <c r="AO59" s="29">
        <v>2473</v>
      </c>
      <c r="AP59" s="29">
        <v>2575</v>
      </c>
      <c r="AQ59" s="29">
        <v>2325</v>
      </c>
      <c r="AR59" s="29">
        <v>2349</v>
      </c>
      <c r="AS59" s="29">
        <v>2302</v>
      </c>
      <c r="AT59" s="29">
        <v>2180</v>
      </c>
      <c r="AU59" s="29">
        <v>2205</v>
      </c>
      <c r="AV59" s="29">
        <v>2367</v>
      </c>
      <c r="AW59" s="29">
        <v>2287</v>
      </c>
      <c r="AX59" s="29">
        <v>2386</v>
      </c>
      <c r="AY59" s="29">
        <v>2259</v>
      </c>
      <c r="AZ59" s="29">
        <v>2215</v>
      </c>
      <c r="BA59" s="29">
        <v>2274</v>
      </c>
      <c r="BB59" s="29">
        <v>2378</v>
      </c>
      <c r="BC59" s="29">
        <v>2438</v>
      </c>
      <c r="BD59" s="29">
        <v>2539</v>
      </c>
      <c r="BE59" s="29">
        <v>2719</v>
      </c>
      <c r="BF59" s="29">
        <v>2687</v>
      </c>
      <c r="BG59" s="29">
        <v>2670</v>
      </c>
      <c r="BH59" s="29">
        <v>2730</v>
      </c>
      <c r="BI59" s="29">
        <v>2625</v>
      </c>
      <c r="BJ59" s="29">
        <v>2557</v>
      </c>
      <c r="BK59" s="29">
        <v>2610</v>
      </c>
      <c r="BL59" s="30">
        <v>2458</v>
      </c>
      <c r="BM59" s="1">
        <v>2439</v>
      </c>
      <c r="BN59" s="1">
        <v>2428</v>
      </c>
      <c r="BO59" s="1">
        <v>2376.6666</v>
      </c>
      <c r="BP59" s="1">
        <v>2333.3332999999998</v>
      </c>
      <c r="BQ59" s="1">
        <v>2283.3332999999998</v>
      </c>
      <c r="BR59" s="1">
        <v>2370</v>
      </c>
      <c r="BS59" s="1">
        <v>2403.3332999999998</v>
      </c>
      <c r="BT59" s="1">
        <v>2433.3332999999998</v>
      </c>
      <c r="BU59" s="1">
        <v>2433.3332999999998</v>
      </c>
      <c r="BV59" s="1">
        <v>2473.3332999999998</v>
      </c>
      <c r="BW59" s="1">
        <v>2673.3332999999998</v>
      </c>
      <c r="BX59" s="1">
        <v>2776.6666</v>
      </c>
      <c r="BY59" s="1">
        <v>2783.3332999999998</v>
      </c>
      <c r="BZ59" s="1">
        <v>2756.6666</v>
      </c>
    </row>
    <row r="60" spans="1:78" ht="15.9" customHeight="1">
      <c r="A60" s="65" t="s">
        <v>115</v>
      </c>
      <c r="B60" s="25" t="s">
        <v>116</v>
      </c>
      <c r="C60" s="39">
        <f>_xll.RssMarket("3107","高値")</f>
        <v>3718</v>
      </c>
      <c r="D60" s="38">
        <f t="shared" si="1"/>
        <v>100</v>
      </c>
      <c r="E60" s="29">
        <v>3618</v>
      </c>
      <c r="F60" s="29">
        <v>3561</v>
      </c>
      <c r="G60" s="29">
        <v>3625</v>
      </c>
      <c r="H60" s="29">
        <v>3673</v>
      </c>
      <c r="I60" s="29">
        <v>3670</v>
      </c>
      <c r="J60" s="29">
        <v>3622</v>
      </c>
      <c r="K60" s="29">
        <v>3599</v>
      </c>
      <c r="L60" s="29">
        <v>3512</v>
      </c>
      <c r="M60" s="29">
        <v>3496</v>
      </c>
      <c r="N60" s="29">
        <v>3502</v>
      </c>
      <c r="O60" s="29">
        <v>3488</v>
      </c>
      <c r="P60" s="29">
        <v>3456</v>
      </c>
      <c r="Q60" s="29">
        <v>3464</v>
      </c>
      <c r="R60" s="29">
        <v>3440</v>
      </c>
      <c r="S60" s="29">
        <v>3447</v>
      </c>
      <c r="T60" s="29">
        <v>3432</v>
      </c>
      <c r="U60" s="29">
        <v>3456</v>
      </c>
      <c r="V60" s="29">
        <v>3494</v>
      </c>
      <c r="W60" s="29">
        <v>3531</v>
      </c>
      <c r="X60" s="29">
        <v>3565</v>
      </c>
      <c r="Y60" s="29">
        <v>3547</v>
      </c>
      <c r="Z60" s="29">
        <v>3504</v>
      </c>
      <c r="AA60" s="29">
        <v>3478</v>
      </c>
      <c r="AB60" s="29">
        <v>3523</v>
      </c>
      <c r="AC60" s="29">
        <v>3528</v>
      </c>
      <c r="AD60" s="29">
        <v>3477</v>
      </c>
      <c r="AE60" s="29">
        <v>3425</v>
      </c>
      <c r="AF60" s="29">
        <v>3371</v>
      </c>
      <c r="AG60" s="29">
        <v>3370</v>
      </c>
      <c r="AH60" s="29">
        <v>3373</v>
      </c>
      <c r="AI60" s="29">
        <v>3363</v>
      </c>
      <c r="AJ60" s="29">
        <v>3374</v>
      </c>
      <c r="AK60" s="29">
        <v>3441</v>
      </c>
      <c r="AL60" s="29">
        <v>3488</v>
      </c>
      <c r="AM60" s="29">
        <v>3483</v>
      </c>
      <c r="AN60" s="29">
        <v>3500</v>
      </c>
      <c r="AO60" s="29">
        <v>3495</v>
      </c>
      <c r="AP60" s="29">
        <v>3480</v>
      </c>
      <c r="AQ60" s="29">
        <v>3550</v>
      </c>
      <c r="AR60" s="29">
        <v>3520</v>
      </c>
      <c r="AS60" s="29">
        <v>3588</v>
      </c>
      <c r="AT60" s="29">
        <v>3605</v>
      </c>
      <c r="AU60" s="29">
        <v>3622</v>
      </c>
      <c r="AV60" s="29">
        <v>3490</v>
      </c>
      <c r="AW60" s="29">
        <v>3402</v>
      </c>
      <c r="AX60" s="29">
        <v>3393</v>
      </c>
      <c r="AY60" s="29">
        <v>3511</v>
      </c>
      <c r="AZ60" s="29">
        <v>3540</v>
      </c>
      <c r="BA60" s="29">
        <v>3568</v>
      </c>
      <c r="BB60" s="29">
        <v>3594</v>
      </c>
      <c r="BC60" s="29">
        <v>3591</v>
      </c>
      <c r="BD60" s="29">
        <v>3574</v>
      </c>
      <c r="BE60" s="29">
        <v>3482</v>
      </c>
      <c r="BF60" s="29">
        <v>3485</v>
      </c>
      <c r="BG60" s="29">
        <v>3430</v>
      </c>
      <c r="BH60" s="29">
        <v>3455</v>
      </c>
      <c r="BI60" s="29">
        <v>3473</v>
      </c>
      <c r="BJ60" s="29">
        <v>3427</v>
      </c>
      <c r="BK60" s="29">
        <v>3335</v>
      </c>
      <c r="BL60" s="30">
        <v>3206</v>
      </c>
      <c r="BM60" s="1">
        <v>3225</v>
      </c>
      <c r="BN60" s="1">
        <v>3246</v>
      </c>
      <c r="BO60" s="1">
        <v>3178</v>
      </c>
      <c r="BP60" s="1">
        <v>3144</v>
      </c>
      <c r="BQ60" s="1">
        <v>3119</v>
      </c>
      <c r="BR60" s="1">
        <v>3122</v>
      </c>
      <c r="BS60" s="1">
        <v>3124</v>
      </c>
      <c r="BT60" s="1">
        <v>3180</v>
      </c>
      <c r="BU60" s="1">
        <v>3188</v>
      </c>
      <c r="BV60" s="1">
        <v>3219</v>
      </c>
      <c r="BW60" s="1">
        <v>3196</v>
      </c>
      <c r="BX60" s="1">
        <v>3187</v>
      </c>
      <c r="BY60" s="1">
        <v>3129</v>
      </c>
      <c r="BZ60" s="1">
        <v>3201</v>
      </c>
    </row>
    <row r="61" spans="1:78" ht="15.9" customHeight="1">
      <c r="A61" s="65" t="s">
        <v>117</v>
      </c>
      <c r="B61" s="25" t="s">
        <v>118</v>
      </c>
      <c r="C61" s="39">
        <f>_xll.RssMarket("4045","高値")</f>
        <v>1845</v>
      </c>
      <c r="D61" s="38">
        <f t="shared" si="1"/>
        <v>12.5</v>
      </c>
      <c r="E61" s="29">
        <v>1832.5</v>
      </c>
      <c r="F61" s="29">
        <v>1844</v>
      </c>
      <c r="G61" s="29">
        <v>1848</v>
      </c>
      <c r="H61" s="29">
        <v>1799</v>
      </c>
      <c r="I61" s="29">
        <v>1797.5</v>
      </c>
      <c r="J61" s="29">
        <v>1810</v>
      </c>
      <c r="K61" s="29">
        <v>1804.5</v>
      </c>
      <c r="L61" s="29">
        <v>1772</v>
      </c>
      <c r="M61" s="29">
        <v>1781.5</v>
      </c>
      <c r="N61" s="29">
        <v>1787</v>
      </c>
      <c r="O61" s="29">
        <v>1749</v>
      </c>
      <c r="P61" s="29">
        <v>1742.5</v>
      </c>
      <c r="Q61" s="29">
        <v>1760</v>
      </c>
      <c r="R61" s="29">
        <v>1734.5</v>
      </c>
      <c r="S61" s="29">
        <v>1748</v>
      </c>
      <c r="T61" s="29">
        <v>1757.5</v>
      </c>
      <c r="U61" s="29">
        <v>1750</v>
      </c>
      <c r="V61" s="29">
        <v>1761.5</v>
      </c>
      <c r="W61" s="29">
        <v>1794.5</v>
      </c>
      <c r="X61" s="29">
        <v>1792</v>
      </c>
      <c r="Y61" s="29">
        <v>1833.5</v>
      </c>
      <c r="Z61" s="29">
        <v>1762.5</v>
      </c>
      <c r="AA61" s="29">
        <v>1767</v>
      </c>
      <c r="AB61" s="29">
        <v>1758</v>
      </c>
      <c r="AC61" s="29">
        <v>1754.5</v>
      </c>
      <c r="AD61" s="29">
        <v>1789.5</v>
      </c>
      <c r="AE61" s="29">
        <v>1797</v>
      </c>
      <c r="AF61" s="29">
        <v>1763.5</v>
      </c>
      <c r="AG61" s="29">
        <v>1764.5</v>
      </c>
      <c r="AH61" s="29">
        <v>1778</v>
      </c>
      <c r="AI61" s="29">
        <v>1785.5</v>
      </c>
      <c r="AJ61" s="29">
        <v>1787.5</v>
      </c>
      <c r="AK61" s="29">
        <v>1768.5</v>
      </c>
      <c r="AL61" s="29">
        <v>1770</v>
      </c>
      <c r="AM61" s="29">
        <v>1780</v>
      </c>
      <c r="AN61" s="29">
        <v>1741.5</v>
      </c>
      <c r="AO61" s="29">
        <v>1709</v>
      </c>
      <c r="AP61" s="29">
        <v>1713.5</v>
      </c>
      <c r="AQ61" s="29">
        <v>1726</v>
      </c>
      <c r="AR61" s="29">
        <v>1758</v>
      </c>
      <c r="AS61" s="29">
        <v>1752.5</v>
      </c>
      <c r="AT61" s="29">
        <v>1768</v>
      </c>
      <c r="AU61" s="29">
        <v>1742.5</v>
      </c>
      <c r="AV61" s="29">
        <v>1782.5</v>
      </c>
      <c r="AW61" s="29">
        <v>1748</v>
      </c>
      <c r="AX61" s="29">
        <v>1749</v>
      </c>
      <c r="AY61" s="29">
        <v>1745</v>
      </c>
      <c r="AZ61" s="29">
        <v>1719</v>
      </c>
      <c r="BA61" s="29">
        <v>1724</v>
      </c>
      <c r="BB61" s="29">
        <v>1711</v>
      </c>
      <c r="BC61" s="29">
        <v>1765</v>
      </c>
      <c r="BD61" s="29">
        <v>1753.5</v>
      </c>
      <c r="BE61" s="29">
        <v>1765</v>
      </c>
      <c r="BF61" s="29">
        <v>1769</v>
      </c>
      <c r="BG61" s="29">
        <v>1747.5</v>
      </c>
      <c r="BH61" s="29">
        <v>1745</v>
      </c>
      <c r="BI61" s="29">
        <v>1731.5</v>
      </c>
      <c r="BJ61" s="29">
        <v>1735.5</v>
      </c>
      <c r="BK61" s="29">
        <v>1767</v>
      </c>
      <c r="BL61" s="30">
        <v>1727</v>
      </c>
      <c r="BM61" s="1">
        <v>1702.5</v>
      </c>
      <c r="BN61" s="1">
        <v>1747</v>
      </c>
      <c r="BO61" s="1">
        <v>1744</v>
      </c>
      <c r="BP61" s="1">
        <v>1799</v>
      </c>
      <c r="BQ61" s="1">
        <v>1804</v>
      </c>
      <c r="BR61" s="1">
        <v>1802</v>
      </c>
      <c r="BS61" s="1">
        <v>1801.5</v>
      </c>
      <c r="BT61" s="1">
        <v>1812</v>
      </c>
      <c r="BU61" s="1">
        <v>1809.5</v>
      </c>
      <c r="BV61" s="1">
        <v>1808</v>
      </c>
      <c r="BW61" s="1">
        <v>1804</v>
      </c>
      <c r="BX61" s="1">
        <v>1789</v>
      </c>
      <c r="BY61" s="1">
        <v>1793</v>
      </c>
      <c r="BZ61" s="1">
        <v>1801</v>
      </c>
    </row>
    <row r="62" spans="1:78" ht="15.9" customHeight="1">
      <c r="A62" s="65" t="s">
        <v>119</v>
      </c>
      <c r="B62" s="25" t="s">
        <v>120</v>
      </c>
      <c r="C62" s="39">
        <f>_xll.RssMarket("5857","高値")</f>
        <v>3305</v>
      </c>
      <c r="D62" s="38">
        <f t="shared" si="1"/>
        <v>180</v>
      </c>
      <c r="E62" s="29">
        <v>3125</v>
      </c>
      <c r="F62" s="29">
        <v>3080</v>
      </c>
      <c r="G62" s="29">
        <v>3145</v>
      </c>
      <c r="H62" s="29">
        <v>3030</v>
      </c>
      <c r="I62" s="29">
        <v>3090</v>
      </c>
      <c r="J62" s="29">
        <v>3130</v>
      </c>
      <c r="K62" s="29">
        <v>3150</v>
      </c>
      <c r="L62" s="29">
        <v>3100</v>
      </c>
      <c r="M62" s="29">
        <v>3160</v>
      </c>
      <c r="N62" s="29">
        <v>3110</v>
      </c>
      <c r="O62" s="29">
        <v>3040</v>
      </c>
      <c r="P62" s="29">
        <v>3025</v>
      </c>
      <c r="Q62" s="29">
        <v>3130</v>
      </c>
      <c r="R62" s="29">
        <v>3045</v>
      </c>
      <c r="S62" s="29">
        <v>3015</v>
      </c>
      <c r="T62" s="29">
        <v>2998</v>
      </c>
      <c r="U62" s="29">
        <v>2964</v>
      </c>
      <c r="V62" s="29">
        <v>3025</v>
      </c>
      <c r="W62" s="29">
        <v>3090</v>
      </c>
      <c r="X62" s="29">
        <v>3130</v>
      </c>
      <c r="Y62" s="29">
        <v>3045</v>
      </c>
      <c r="Z62" s="29">
        <v>2994</v>
      </c>
      <c r="AA62" s="29">
        <v>2979</v>
      </c>
      <c r="AB62" s="29">
        <v>2966</v>
      </c>
      <c r="AC62" s="29">
        <v>2954</v>
      </c>
      <c r="AD62" s="29">
        <v>2920</v>
      </c>
      <c r="AE62" s="29">
        <v>3120</v>
      </c>
      <c r="AF62" s="29">
        <v>3205</v>
      </c>
      <c r="AG62" s="29">
        <v>3240</v>
      </c>
      <c r="AH62" s="29">
        <v>3245</v>
      </c>
      <c r="AI62" s="29">
        <v>3220</v>
      </c>
      <c r="AJ62" s="29">
        <v>3265</v>
      </c>
      <c r="AK62" s="29">
        <v>3320</v>
      </c>
      <c r="AL62" s="29">
        <v>3245</v>
      </c>
      <c r="AM62" s="29">
        <v>3240</v>
      </c>
      <c r="AN62" s="29">
        <v>3065</v>
      </c>
      <c r="AO62" s="29">
        <v>2941</v>
      </c>
      <c r="AP62" s="29">
        <v>3065</v>
      </c>
      <c r="AQ62" s="29">
        <v>3115</v>
      </c>
      <c r="AR62" s="29">
        <v>3210</v>
      </c>
      <c r="AS62" s="29">
        <v>3215</v>
      </c>
      <c r="AT62" s="29">
        <v>3305</v>
      </c>
      <c r="AU62" s="29">
        <v>3285</v>
      </c>
      <c r="AV62" s="29">
        <v>3400</v>
      </c>
      <c r="AW62" s="29">
        <v>3325</v>
      </c>
      <c r="AX62" s="29">
        <v>3490</v>
      </c>
      <c r="AY62" s="29">
        <v>3630</v>
      </c>
      <c r="AZ62" s="29">
        <v>3560</v>
      </c>
      <c r="BA62" s="29">
        <v>3510</v>
      </c>
      <c r="BB62" s="29">
        <v>3575</v>
      </c>
      <c r="BC62" s="29">
        <v>3780</v>
      </c>
      <c r="BD62" s="29">
        <v>3870</v>
      </c>
      <c r="BE62" s="29">
        <v>4110</v>
      </c>
      <c r="BF62" s="29">
        <v>4070</v>
      </c>
      <c r="BG62" s="29">
        <v>4060</v>
      </c>
      <c r="BH62" s="29">
        <v>3970</v>
      </c>
      <c r="BI62" s="29">
        <v>4130</v>
      </c>
      <c r="BJ62" s="29">
        <v>4105</v>
      </c>
      <c r="BK62" s="29">
        <v>4030</v>
      </c>
      <c r="BL62" s="30">
        <v>3575</v>
      </c>
      <c r="BM62" s="1">
        <v>3600</v>
      </c>
      <c r="BN62" s="1">
        <v>3685</v>
      </c>
      <c r="BO62" s="1">
        <v>3675</v>
      </c>
      <c r="BP62" s="1">
        <v>3710</v>
      </c>
      <c r="BQ62" s="1">
        <v>3790</v>
      </c>
      <c r="BR62" s="1">
        <v>3935</v>
      </c>
      <c r="BS62" s="1">
        <v>4045</v>
      </c>
      <c r="BT62" s="1">
        <v>3835</v>
      </c>
      <c r="BU62" s="1">
        <v>3865</v>
      </c>
      <c r="BV62" s="1">
        <v>3875</v>
      </c>
      <c r="BW62" s="1">
        <v>3870</v>
      </c>
      <c r="BX62" s="1">
        <v>3780</v>
      </c>
      <c r="BY62" s="1">
        <v>3720</v>
      </c>
      <c r="BZ62" s="1">
        <v>3805</v>
      </c>
    </row>
    <row r="63" spans="1:78" ht="15.9" customHeight="1">
      <c r="A63" s="65" t="s">
        <v>121</v>
      </c>
      <c r="B63" s="25" t="s">
        <v>122</v>
      </c>
      <c r="C63" s="39">
        <f>_xll.RssMarket("8281","高値")</f>
        <v>1079</v>
      </c>
      <c r="D63" s="38">
        <f t="shared" si="1"/>
        <v>-10</v>
      </c>
      <c r="E63" s="29">
        <v>1089</v>
      </c>
      <c r="F63" s="29">
        <v>1100</v>
      </c>
      <c r="G63" s="29">
        <v>1122</v>
      </c>
      <c r="H63" s="29">
        <v>1137</v>
      </c>
      <c r="I63" s="29">
        <v>1147</v>
      </c>
      <c r="J63" s="29">
        <v>1117</v>
      </c>
      <c r="K63" s="29">
        <v>1117</v>
      </c>
      <c r="L63" s="29"/>
      <c r="M63" s="29">
        <v>1109</v>
      </c>
      <c r="N63" s="29">
        <v>1110</v>
      </c>
      <c r="O63" s="29">
        <v>1132</v>
      </c>
      <c r="P63" s="29">
        <v>1121</v>
      </c>
      <c r="Q63" s="29">
        <v>1101</v>
      </c>
      <c r="R63" s="29">
        <v>1111</v>
      </c>
      <c r="S63" s="29">
        <v>1106</v>
      </c>
      <c r="T63" s="29">
        <v>1098</v>
      </c>
      <c r="U63" s="29">
        <v>1105</v>
      </c>
      <c r="V63" s="29">
        <v>1122</v>
      </c>
      <c r="W63" s="29">
        <v>1124</v>
      </c>
      <c r="X63" s="29">
        <v>1112</v>
      </c>
      <c r="Y63" s="29">
        <v>1082</v>
      </c>
      <c r="Z63" s="29">
        <v>1076</v>
      </c>
      <c r="AA63" s="29">
        <v>1056</v>
      </c>
      <c r="AB63" s="29">
        <v>1072</v>
      </c>
      <c r="AC63" s="29">
        <v>1078</v>
      </c>
      <c r="AD63" s="29">
        <v>1075</v>
      </c>
      <c r="AE63" s="29">
        <v>1055</v>
      </c>
      <c r="AF63" s="29">
        <v>1044</v>
      </c>
      <c r="AG63" s="29">
        <v>1040</v>
      </c>
      <c r="AH63" s="29">
        <v>1047</v>
      </c>
      <c r="AI63" s="29">
        <v>1048</v>
      </c>
      <c r="AJ63" s="29">
        <v>1059</v>
      </c>
      <c r="AK63" s="29">
        <v>1065</v>
      </c>
      <c r="AL63" s="29">
        <v>1069</v>
      </c>
      <c r="AM63" s="29">
        <v>1080</v>
      </c>
      <c r="AN63" s="29">
        <v>1072</v>
      </c>
      <c r="AO63" s="29">
        <v>1073</v>
      </c>
      <c r="AP63" s="29">
        <v>1067</v>
      </c>
      <c r="AQ63" s="29">
        <v>1038</v>
      </c>
      <c r="AR63" s="29">
        <v>1028</v>
      </c>
      <c r="AS63" s="29">
        <v>1019</v>
      </c>
      <c r="AT63" s="29">
        <v>1042</v>
      </c>
      <c r="AU63" s="29">
        <v>1039</v>
      </c>
      <c r="AV63" s="29">
        <v>1072</v>
      </c>
      <c r="AW63" s="29">
        <v>1057</v>
      </c>
      <c r="AX63" s="29">
        <v>1049</v>
      </c>
      <c r="AY63" s="29">
        <v>1055</v>
      </c>
      <c r="AZ63" s="29">
        <v>1059</v>
      </c>
      <c r="BA63" s="29">
        <v>1064</v>
      </c>
      <c r="BB63" s="29">
        <v>1059</v>
      </c>
      <c r="BC63" s="29">
        <v>1050</v>
      </c>
      <c r="BD63" s="29">
        <v>1028</v>
      </c>
      <c r="BE63" s="29">
        <v>1039</v>
      </c>
      <c r="BF63" s="29">
        <v>966</v>
      </c>
      <c r="BG63" s="29">
        <v>973</v>
      </c>
      <c r="BH63" s="29">
        <v>966</v>
      </c>
      <c r="BI63" s="29">
        <v>973</v>
      </c>
      <c r="BJ63" s="29">
        <v>973</v>
      </c>
      <c r="BK63" s="29">
        <v>993</v>
      </c>
      <c r="BL63" s="30">
        <v>996</v>
      </c>
      <c r="BM63" s="1">
        <v>999</v>
      </c>
      <c r="BN63" s="1">
        <v>999</v>
      </c>
      <c r="BO63" s="1">
        <v>998</v>
      </c>
      <c r="BP63" s="1">
        <v>1002</v>
      </c>
      <c r="BQ63" s="1">
        <v>1005</v>
      </c>
      <c r="BR63" s="1">
        <v>1026</v>
      </c>
      <c r="BS63" s="1">
        <v>1037</v>
      </c>
      <c r="BT63" s="1">
        <v>1032</v>
      </c>
      <c r="BU63" s="1">
        <v>1024</v>
      </c>
      <c r="BV63" s="1">
        <v>1028</v>
      </c>
      <c r="BW63" s="1">
        <v>1023</v>
      </c>
      <c r="BX63" s="1">
        <v>1018</v>
      </c>
      <c r="BY63" s="1">
        <v>1013</v>
      </c>
      <c r="BZ63" s="1">
        <v>1029</v>
      </c>
    </row>
    <row r="64" spans="1:78" ht="15.9" customHeight="1">
      <c r="A64" s="65" t="s">
        <v>123</v>
      </c>
      <c r="B64" s="25" t="s">
        <v>124</v>
      </c>
      <c r="C64" s="39">
        <f>_xll.RssMarket("4540","高値")</f>
        <v>3770</v>
      </c>
      <c r="D64" s="38">
        <f t="shared" si="1"/>
        <v>-21</v>
      </c>
      <c r="E64" s="29">
        <v>3791</v>
      </c>
      <c r="F64" s="29">
        <v>3809</v>
      </c>
      <c r="G64" s="29">
        <v>3917</v>
      </c>
      <c r="H64" s="29">
        <v>4045</v>
      </c>
      <c r="I64" s="29">
        <v>4079</v>
      </c>
      <c r="J64" s="29">
        <v>3976</v>
      </c>
      <c r="K64" s="29">
        <v>3942</v>
      </c>
      <c r="L64" s="29">
        <v>3828</v>
      </c>
      <c r="M64" s="29">
        <v>3840</v>
      </c>
      <c r="N64" s="29">
        <v>3886</v>
      </c>
      <c r="O64" s="29">
        <v>3929</v>
      </c>
      <c r="P64" s="29">
        <v>3898</v>
      </c>
      <c r="Q64" s="29">
        <v>3883</v>
      </c>
      <c r="R64" s="29">
        <v>3919</v>
      </c>
      <c r="S64" s="29">
        <v>3850</v>
      </c>
      <c r="T64" s="29">
        <v>3829</v>
      </c>
      <c r="U64" s="29">
        <v>3819</v>
      </c>
      <c r="V64" s="29">
        <v>3828</v>
      </c>
      <c r="W64" s="29">
        <v>3833</v>
      </c>
      <c r="X64" s="29">
        <v>3800</v>
      </c>
      <c r="Y64" s="29">
        <v>3795</v>
      </c>
      <c r="Z64" s="29">
        <v>3762</v>
      </c>
      <c r="AA64" s="29">
        <v>3748</v>
      </c>
      <c r="AB64" s="29">
        <v>3751</v>
      </c>
      <c r="AC64" s="29">
        <v>3744</v>
      </c>
      <c r="AD64" s="29">
        <v>3740</v>
      </c>
      <c r="AE64" s="29">
        <v>3810</v>
      </c>
      <c r="AF64" s="29">
        <v>3845</v>
      </c>
      <c r="AG64" s="29">
        <v>3755</v>
      </c>
      <c r="AH64" s="29">
        <v>3759</v>
      </c>
      <c r="AI64" s="29">
        <v>3754</v>
      </c>
      <c r="AJ64" s="29">
        <v>3776</v>
      </c>
      <c r="AK64" s="29">
        <v>3784</v>
      </c>
      <c r="AL64" s="29">
        <v>3764</v>
      </c>
      <c r="AM64" s="29">
        <v>3757</v>
      </c>
      <c r="AN64" s="29">
        <v>3763</v>
      </c>
      <c r="AO64" s="29">
        <v>3777</v>
      </c>
      <c r="AP64" s="29">
        <v>3758</v>
      </c>
      <c r="AQ64" s="29">
        <v>3752</v>
      </c>
      <c r="AR64" s="29">
        <v>3771</v>
      </c>
      <c r="AS64" s="29">
        <v>3760</v>
      </c>
      <c r="AT64" s="29">
        <v>3739</v>
      </c>
      <c r="AU64" s="29">
        <v>3743</v>
      </c>
      <c r="AV64" s="29">
        <v>3857</v>
      </c>
      <c r="AW64" s="29">
        <v>3860</v>
      </c>
      <c r="AX64" s="29">
        <v>3861</v>
      </c>
      <c r="AY64" s="29">
        <v>3795</v>
      </c>
      <c r="AZ64" s="29">
        <v>3888</v>
      </c>
      <c r="BA64" s="29">
        <v>3982</v>
      </c>
      <c r="BB64" s="29">
        <v>4015</v>
      </c>
      <c r="BC64" s="29">
        <v>3934</v>
      </c>
      <c r="BD64" s="29">
        <v>3837</v>
      </c>
      <c r="BE64" s="29">
        <v>3819</v>
      </c>
      <c r="BF64" s="29">
        <v>3789</v>
      </c>
      <c r="BG64" s="29">
        <v>3719</v>
      </c>
      <c r="BH64" s="29">
        <v>3565</v>
      </c>
      <c r="BI64" s="29">
        <v>3588</v>
      </c>
      <c r="BJ64" s="29">
        <v>3641</v>
      </c>
      <c r="BK64" s="29">
        <v>3644</v>
      </c>
      <c r="BL64" s="30">
        <v>3653</v>
      </c>
      <c r="BM64" s="1">
        <v>3681</v>
      </c>
      <c r="BN64" s="1">
        <v>3728</v>
      </c>
      <c r="BO64" s="1">
        <v>3717</v>
      </c>
      <c r="BP64" s="1">
        <v>3703</v>
      </c>
      <c r="BQ64" s="1">
        <v>3700</v>
      </c>
      <c r="BR64" s="1">
        <v>3722</v>
      </c>
      <c r="BS64" s="1">
        <v>3750</v>
      </c>
      <c r="BT64" s="1">
        <v>3791</v>
      </c>
      <c r="BU64" s="1">
        <v>3780</v>
      </c>
      <c r="BV64" s="1">
        <v>3807</v>
      </c>
      <c r="BW64" s="1">
        <v>3782</v>
      </c>
      <c r="BX64" s="1">
        <v>3790</v>
      </c>
      <c r="BY64" s="1">
        <v>3792</v>
      </c>
      <c r="BZ64" s="1">
        <v>3834</v>
      </c>
    </row>
    <row r="65" spans="1:78" ht="15.9" customHeight="1">
      <c r="A65" s="65" t="s">
        <v>125</v>
      </c>
      <c r="B65" s="25" t="s">
        <v>126</v>
      </c>
      <c r="C65" s="39">
        <f>_xll.RssMarket("9984","高値")</f>
        <v>5880</v>
      </c>
      <c r="D65" s="38">
        <f t="shared" si="1"/>
        <v>350</v>
      </c>
      <c r="E65" s="29">
        <v>5530</v>
      </c>
      <c r="F65" s="29">
        <v>5430</v>
      </c>
      <c r="G65" s="29">
        <v>5322</v>
      </c>
      <c r="H65" s="29">
        <v>4755</v>
      </c>
      <c r="I65" s="29">
        <v>5130</v>
      </c>
      <c r="J65" s="29">
        <v>5270</v>
      </c>
      <c r="K65" s="29">
        <v>5671</v>
      </c>
      <c r="L65" s="29">
        <v>5800</v>
      </c>
      <c r="M65" s="29">
        <v>5928</v>
      </c>
      <c r="N65" s="29">
        <v>6032</v>
      </c>
      <c r="O65" s="29">
        <v>5789</v>
      </c>
      <c r="P65" s="29">
        <v>5676</v>
      </c>
      <c r="Q65" s="29">
        <v>6660</v>
      </c>
      <c r="R65" s="29">
        <v>6574</v>
      </c>
      <c r="S65" s="29">
        <v>6542</v>
      </c>
      <c r="T65" s="29">
        <v>6556</v>
      </c>
      <c r="U65" s="29">
        <v>5958</v>
      </c>
      <c r="V65" s="29">
        <v>5916</v>
      </c>
      <c r="W65" s="29">
        <v>6113</v>
      </c>
      <c r="X65" s="29">
        <v>6147</v>
      </c>
      <c r="Y65" s="29">
        <v>6169</v>
      </c>
      <c r="Z65" s="29">
        <v>6266</v>
      </c>
      <c r="AA65" s="29">
        <v>6239</v>
      </c>
      <c r="AB65" s="29">
        <v>6047</v>
      </c>
      <c r="AC65" s="29">
        <v>6322</v>
      </c>
      <c r="AD65" s="29">
        <v>6489</v>
      </c>
      <c r="AE65" s="29">
        <v>7188</v>
      </c>
      <c r="AF65" s="29">
        <v>6723</v>
      </c>
      <c r="AG65" s="29">
        <v>6977</v>
      </c>
      <c r="AH65" s="29">
        <v>7394</v>
      </c>
      <c r="AI65" s="29">
        <v>7562</v>
      </c>
      <c r="AJ65" s="29">
        <v>7294</v>
      </c>
      <c r="AK65" s="29">
        <v>6948</v>
      </c>
      <c r="AL65" s="29">
        <v>7188</v>
      </c>
      <c r="AM65" s="29">
        <v>7327</v>
      </c>
      <c r="AN65" s="29">
        <v>6797</v>
      </c>
      <c r="AO65" s="29">
        <v>6529</v>
      </c>
      <c r="AP65" s="29">
        <v>6730</v>
      </c>
      <c r="AQ65" s="29">
        <v>7022</v>
      </c>
      <c r="AR65" s="29">
        <v>7583</v>
      </c>
      <c r="AS65" s="29">
        <v>8099</v>
      </c>
      <c r="AT65" s="29">
        <v>8800</v>
      </c>
      <c r="AU65" s="29">
        <v>9074</v>
      </c>
      <c r="AV65" s="29">
        <v>7710</v>
      </c>
      <c r="AW65" s="29">
        <v>7220</v>
      </c>
      <c r="AX65" s="29">
        <v>8038</v>
      </c>
      <c r="AY65" s="29">
        <v>7276</v>
      </c>
      <c r="AZ65" s="29">
        <v>6881</v>
      </c>
      <c r="BA65" s="29">
        <v>6039</v>
      </c>
      <c r="BB65" s="29">
        <v>5349</v>
      </c>
      <c r="BC65" s="29">
        <v>5777</v>
      </c>
      <c r="BD65" s="29">
        <v>5720</v>
      </c>
      <c r="BE65" s="29">
        <v>6020</v>
      </c>
      <c r="BF65" s="29">
        <v>6204</v>
      </c>
      <c r="BG65" s="29">
        <v>6084</v>
      </c>
      <c r="BH65" s="29">
        <v>6008</v>
      </c>
      <c r="BI65" s="29">
        <v>6292</v>
      </c>
      <c r="BJ65" s="29">
        <v>6242</v>
      </c>
      <c r="BK65" s="29">
        <v>6424</v>
      </c>
      <c r="BL65" s="30">
        <v>5466</v>
      </c>
      <c r="BM65" s="1">
        <v>5399</v>
      </c>
      <c r="BN65" s="1">
        <v>5751</v>
      </c>
      <c r="BO65" s="1">
        <v>6121</v>
      </c>
      <c r="BP65" s="1">
        <v>6000</v>
      </c>
      <c r="BQ65" s="1">
        <v>6160</v>
      </c>
      <c r="BR65" s="1">
        <v>5727</v>
      </c>
      <c r="BS65" s="1">
        <v>5187</v>
      </c>
      <c r="BT65" s="1">
        <v>4818</v>
      </c>
      <c r="BU65" s="1">
        <v>4689</v>
      </c>
      <c r="BV65" s="1">
        <v>4772</v>
      </c>
      <c r="BW65" s="1">
        <v>4525</v>
      </c>
      <c r="BX65" s="1">
        <v>4263</v>
      </c>
      <c r="BY65" s="1">
        <v>3767</v>
      </c>
      <c r="BZ65" s="1">
        <v>3820</v>
      </c>
    </row>
    <row r="66" spans="1:78" ht="15.9" customHeight="1">
      <c r="A66" s="65" t="s">
        <v>127</v>
      </c>
      <c r="B66" s="25" t="s">
        <v>128</v>
      </c>
      <c r="C66" s="37">
        <f>_xll.RssMarket("4063","高値")</f>
        <v>6213</v>
      </c>
      <c r="D66" s="38">
        <f t="shared" si="1"/>
        <v>221</v>
      </c>
      <c r="E66" s="29">
        <v>5992</v>
      </c>
      <c r="F66" s="29">
        <v>5900</v>
      </c>
      <c r="G66" s="29">
        <v>6042</v>
      </c>
      <c r="H66" s="29">
        <v>5879</v>
      </c>
      <c r="I66" s="29">
        <v>5945</v>
      </c>
      <c r="J66" s="29">
        <v>6176</v>
      </c>
      <c r="K66" s="29">
        <v>6520</v>
      </c>
      <c r="L66" s="29">
        <v>6840</v>
      </c>
      <c r="M66" s="29">
        <v>7219</v>
      </c>
      <c r="N66" s="29">
        <v>7367</v>
      </c>
      <c r="O66" s="29">
        <v>7230</v>
      </c>
      <c r="P66" s="29">
        <v>7247</v>
      </c>
      <c r="Q66" s="29">
        <v>7690</v>
      </c>
      <c r="R66" s="29">
        <v>7502</v>
      </c>
      <c r="S66" s="29">
        <v>7655</v>
      </c>
      <c r="T66" s="29">
        <v>7403</v>
      </c>
      <c r="U66" s="29">
        <v>7010</v>
      </c>
      <c r="V66" s="29">
        <v>7128</v>
      </c>
      <c r="W66" s="29">
        <v>7460</v>
      </c>
      <c r="X66" s="29">
        <v>7420</v>
      </c>
      <c r="Y66" s="29">
        <v>6993</v>
      </c>
      <c r="Z66" s="29">
        <v>7195</v>
      </c>
      <c r="AA66" s="29">
        <v>7285</v>
      </c>
      <c r="AB66" s="29">
        <v>7058</v>
      </c>
      <c r="AC66" s="29">
        <v>6942</v>
      </c>
      <c r="AD66" s="29">
        <v>7055</v>
      </c>
      <c r="AE66" s="29">
        <v>7268</v>
      </c>
      <c r="AF66" s="29">
        <v>7153</v>
      </c>
      <c r="AG66" s="29">
        <v>7419</v>
      </c>
      <c r="AH66" s="29">
        <v>7377</v>
      </c>
      <c r="AI66" s="29">
        <v>7528</v>
      </c>
      <c r="AJ66" s="29">
        <v>7736</v>
      </c>
      <c r="AK66" s="29">
        <v>7595</v>
      </c>
      <c r="AL66" s="29">
        <v>7589</v>
      </c>
      <c r="AM66" s="29">
        <v>7567</v>
      </c>
      <c r="AN66" s="29">
        <v>7218</v>
      </c>
      <c r="AO66" s="29">
        <v>6858</v>
      </c>
      <c r="AP66" s="29">
        <v>6830</v>
      </c>
      <c r="AQ66" s="29">
        <v>7056</v>
      </c>
      <c r="AR66" s="29">
        <v>7539</v>
      </c>
      <c r="AS66" s="29">
        <v>7730</v>
      </c>
      <c r="AT66" s="29">
        <v>7818</v>
      </c>
      <c r="AU66" s="29">
        <v>7600</v>
      </c>
      <c r="AV66" s="29">
        <v>7904</v>
      </c>
      <c r="AW66" s="29">
        <v>7480</v>
      </c>
      <c r="AX66" s="29">
        <v>7572</v>
      </c>
      <c r="AY66" s="29">
        <v>7194</v>
      </c>
      <c r="AZ66" s="29">
        <v>7065</v>
      </c>
      <c r="BA66" s="29">
        <v>7014</v>
      </c>
      <c r="BB66" s="29">
        <v>6975</v>
      </c>
      <c r="BC66" s="29">
        <v>7071</v>
      </c>
      <c r="BD66" s="29">
        <v>7157</v>
      </c>
      <c r="BE66" s="29">
        <v>7464</v>
      </c>
      <c r="BF66" s="29">
        <v>7593</v>
      </c>
      <c r="BG66" s="29">
        <v>7466</v>
      </c>
      <c r="BH66" s="29">
        <v>7604</v>
      </c>
      <c r="BI66" s="29">
        <v>7668</v>
      </c>
      <c r="BJ66" s="29">
        <v>7653</v>
      </c>
      <c r="BK66" s="29">
        <v>7883</v>
      </c>
      <c r="BL66" s="30">
        <v>7285</v>
      </c>
      <c r="BM66" s="1">
        <v>7351</v>
      </c>
      <c r="BN66" s="1">
        <v>7082</v>
      </c>
      <c r="BO66" s="1">
        <v>7018</v>
      </c>
      <c r="BP66" s="1">
        <v>6847</v>
      </c>
      <c r="BQ66" s="1">
        <v>6784</v>
      </c>
      <c r="BR66" s="1">
        <v>6742</v>
      </c>
      <c r="BS66" s="1">
        <v>6912</v>
      </c>
      <c r="BT66" s="1">
        <v>6886</v>
      </c>
      <c r="BU66" s="1">
        <v>6996</v>
      </c>
      <c r="BV66" s="1">
        <v>6944</v>
      </c>
      <c r="BW66" s="1">
        <v>6863</v>
      </c>
      <c r="BX66" s="1">
        <v>6696</v>
      </c>
      <c r="BY66" s="1">
        <v>6694</v>
      </c>
      <c r="BZ66" s="1">
        <v>6614</v>
      </c>
    </row>
    <row r="67" spans="1:78" ht="15.9" customHeight="1">
      <c r="A67" s="65" t="s">
        <v>129</v>
      </c>
      <c r="B67" s="25" t="s">
        <v>130</v>
      </c>
      <c r="C67" s="39">
        <f>_xll.RssMarket("4536","高値")</f>
        <v>1875</v>
      </c>
      <c r="D67" s="38">
        <f t="shared" si="1"/>
        <v>-8</v>
      </c>
      <c r="E67" s="29">
        <v>1883</v>
      </c>
      <c r="F67" s="29">
        <v>1889</v>
      </c>
      <c r="G67" s="29">
        <v>1903</v>
      </c>
      <c r="H67" s="29">
        <v>2020</v>
      </c>
      <c r="I67" s="29">
        <v>2039.5</v>
      </c>
      <c r="J67" s="29">
        <v>1979.5</v>
      </c>
      <c r="K67" s="29">
        <v>1984</v>
      </c>
      <c r="L67" s="29"/>
      <c r="M67" s="29">
        <v>1984.5</v>
      </c>
      <c r="N67" s="29">
        <v>2028.5</v>
      </c>
      <c r="O67" s="29">
        <v>2080.5</v>
      </c>
      <c r="P67" s="29">
        <v>2083</v>
      </c>
      <c r="Q67" s="29">
        <v>2132</v>
      </c>
      <c r="R67" s="29">
        <v>2165</v>
      </c>
      <c r="S67" s="29">
        <v>2170.5</v>
      </c>
      <c r="T67" s="29">
        <v>2167</v>
      </c>
      <c r="U67" s="29">
        <v>2205</v>
      </c>
      <c r="V67" s="29">
        <v>2240</v>
      </c>
      <c r="W67" s="29">
        <v>2251</v>
      </c>
      <c r="X67" s="29">
        <v>2253.5</v>
      </c>
      <c r="Y67" s="29">
        <v>2254</v>
      </c>
      <c r="Z67" s="29">
        <v>2191.5</v>
      </c>
      <c r="AA67" s="29">
        <v>2144.5</v>
      </c>
      <c r="AB67" s="29">
        <v>2189</v>
      </c>
      <c r="AC67" s="29">
        <v>2192</v>
      </c>
      <c r="AD67" s="29">
        <v>2151</v>
      </c>
      <c r="AE67" s="29">
        <v>2128</v>
      </c>
      <c r="AF67" s="29">
        <v>2079</v>
      </c>
      <c r="AG67" s="29">
        <v>2017</v>
      </c>
      <c r="AH67" s="29">
        <v>1951.5</v>
      </c>
      <c r="AI67" s="29">
        <v>1876</v>
      </c>
      <c r="AJ67" s="29">
        <v>1904</v>
      </c>
      <c r="AK67" s="29">
        <v>1935.5</v>
      </c>
      <c r="AL67" s="29">
        <v>1940</v>
      </c>
      <c r="AM67" s="29">
        <v>1950</v>
      </c>
      <c r="AN67" s="29">
        <v>1937.5</v>
      </c>
      <c r="AO67" s="29">
        <v>1954</v>
      </c>
      <c r="AP67" s="29">
        <v>1983</v>
      </c>
      <c r="AQ67" s="29">
        <v>2043</v>
      </c>
      <c r="AR67" s="29">
        <v>1952</v>
      </c>
      <c r="AS67" s="29">
        <v>1881</v>
      </c>
      <c r="AT67" s="29">
        <v>1872</v>
      </c>
      <c r="AU67" s="29">
        <v>1886.5</v>
      </c>
      <c r="AV67" s="29">
        <v>1939</v>
      </c>
      <c r="AW67" s="29">
        <v>1918.5</v>
      </c>
      <c r="AX67" s="29">
        <v>1941</v>
      </c>
      <c r="AY67" s="29">
        <v>1969.5</v>
      </c>
      <c r="AZ67" s="29">
        <v>1927.5</v>
      </c>
      <c r="BA67" s="29">
        <v>1934.5</v>
      </c>
      <c r="BB67" s="29">
        <v>1959.5</v>
      </c>
      <c r="BC67" s="29">
        <v>1898.5</v>
      </c>
      <c r="BD67" s="29">
        <v>1869.5</v>
      </c>
      <c r="BE67" s="29">
        <v>1879.5</v>
      </c>
      <c r="BF67" s="29">
        <v>1909</v>
      </c>
      <c r="BG67" s="29">
        <v>1815</v>
      </c>
      <c r="BH67" s="29">
        <v>1622</v>
      </c>
      <c r="BI67" s="29">
        <v>1629.5</v>
      </c>
      <c r="BJ67" s="29">
        <v>1628</v>
      </c>
      <c r="BK67" s="29">
        <v>1646.5</v>
      </c>
      <c r="BL67" s="30">
        <v>1649</v>
      </c>
      <c r="BM67" s="1">
        <v>1637</v>
      </c>
      <c r="BN67" s="1">
        <v>1652</v>
      </c>
      <c r="BO67" s="1">
        <v>1673.5</v>
      </c>
      <c r="BP67" s="1">
        <v>1695.5</v>
      </c>
      <c r="BQ67" s="1">
        <v>1675.5</v>
      </c>
      <c r="BR67" s="1">
        <v>1723.5</v>
      </c>
      <c r="BS67" s="1">
        <v>1740</v>
      </c>
      <c r="BT67" s="1">
        <v>1798</v>
      </c>
      <c r="BU67" s="1">
        <v>1802.5</v>
      </c>
      <c r="BV67" s="1">
        <v>1816.5</v>
      </c>
      <c r="BW67" s="1">
        <v>1809.5</v>
      </c>
      <c r="BX67" s="1">
        <v>1818.5</v>
      </c>
      <c r="BY67" s="1">
        <v>1827.5</v>
      </c>
      <c r="BZ67" s="1">
        <v>1894</v>
      </c>
    </row>
    <row r="68" spans="1:78" ht="15.9" customHeight="1">
      <c r="A68" s="65" t="s">
        <v>131</v>
      </c>
      <c r="B68" s="25" t="s">
        <v>132</v>
      </c>
      <c r="C68" s="39">
        <f>_xll.RssMarket("6503","高値")</f>
        <v>5838</v>
      </c>
      <c r="D68" s="38">
        <f t="shared" si="1"/>
        <v>139</v>
      </c>
      <c r="E68" s="29">
        <v>5699</v>
      </c>
      <c r="F68" s="29">
        <v>5773</v>
      </c>
      <c r="G68" s="29">
        <v>5912</v>
      </c>
      <c r="H68" s="29">
        <v>5358</v>
      </c>
      <c r="I68" s="29">
        <v>5297</v>
      </c>
      <c r="J68" s="29">
        <v>5500</v>
      </c>
      <c r="K68" s="29">
        <v>5681</v>
      </c>
      <c r="L68" s="29">
        <v>5686</v>
      </c>
      <c r="M68" s="29">
        <v>5764</v>
      </c>
      <c r="N68" s="29">
        <v>5795</v>
      </c>
      <c r="O68" s="29">
        <v>5591</v>
      </c>
      <c r="P68" s="29">
        <v>5577</v>
      </c>
      <c r="Q68" s="29">
        <v>5769</v>
      </c>
      <c r="R68" s="29">
        <v>5686</v>
      </c>
      <c r="S68" s="29">
        <v>5872</v>
      </c>
      <c r="T68" s="29">
        <v>5910</v>
      </c>
      <c r="U68" s="29">
        <v>5826</v>
      </c>
      <c r="V68" s="29">
        <v>5904</v>
      </c>
      <c r="W68" s="29">
        <v>6171</v>
      </c>
      <c r="X68" s="29">
        <v>6078</v>
      </c>
      <c r="Y68" s="29">
        <v>5968</v>
      </c>
      <c r="Z68" s="29">
        <v>6020</v>
      </c>
      <c r="AA68" s="29">
        <v>6040</v>
      </c>
      <c r="AB68" s="29">
        <v>5980</v>
      </c>
      <c r="AC68" s="29">
        <v>5935</v>
      </c>
      <c r="AD68" s="29">
        <v>5942</v>
      </c>
      <c r="AE68" s="29">
        <v>6110</v>
      </c>
      <c r="AF68" s="29">
        <v>6052</v>
      </c>
      <c r="AG68" s="29">
        <v>6345</v>
      </c>
      <c r="AH68" s="29">
        <v>6253</v>
      </c>
      <c r="AI68" s="29">
        <v>6166</v>
      </c>
      <c r="AJ68" s="29">
        <v>6230</v>
      </c>
      <c r="AK68" s="29">
        <v>5925</v>
      </c>
      <c r="AL68" s="29">
        <v>6009</v>
      </c>
      <c r="AM68" s="29">
        <v>5903</v>
      </c>
      <c r="AN68" s="29">
        <v>5661</v>
      </c>
      <c r="AO68" s="29">
        <v>5446</v>
      </c>
      <c r="AP68" s="29">
        <v>5767</v>
      </c>
      <c r="AQ68" s="29">
        <v>5707</v>
      </c>
      <c r="AR68" s="29">
        <v>6043</v>
      </c>
      <c r="AS68" s="29">
        <v>6084</v>
      </c>
      <c r="AT68" s="29">
        <v>6177</v>
      </c>
      <c r="AU68" s="29">
        <v>6133</v>
      </c>
      <c r="AV68" s="29">
        <v>6641</v>
      </c>
      <c r="AW68" s="29">
        <v>6565</v>
      </c>
      <c r="AX68" s="29">
        <v>6686</v>
      </c>
      <c r="AY68" s="29">
        <v>6614</v>
      </c>
      <c r="AZ68" s="29">
        <v>6359</v>
      </c>
      <c r="BA68" s="29">
        <v>6124</v>
      </c>
      <c r="BB68" s="29">
        <v>5895</v>
      </c>
      <c r="BC68" s="29">
        <v>6330</v>
      </c>
      <c r="BD68" s="29">
        <v>6394</v>
      </c>
      <c r="BE68" s="29">
        <v>6662</v>
      </c>
      <c r="BF68" s="29">
        <v>6512</v>
      </c>
      <c r="BG68" s="29">
        <v>6495</v>
      </c>
      <c r="BH68" s="29">
        <v>6667</v>
      </c>
      <c r="BI68" s="29">
        <v>6615</v>
      </c>
      <c r="BJ68" s="29">
        <v>6591</v>
      </c>
      <c r="BK68" s="29">
        <v>6636</v>
      </c>
      <c r="BL68" s="30">
        <v>6330</v>
      </c>
      <c r="BM68" s="1">
        <v>6490</v>
      </c>
      <c r="BN68" s="1">
        <v>6231</v>
      </c>
      <c r="BO68" s="1">
        <v>6129</v>
      </c>
      <c r="BP68" s="1">
        <v>6010</v>
      </c>
      <c r="BQ68" s="1">
        <v>5905</v>
      </c>
      <c r="BR68" s="1">
        <v>5938</v>
      </c>
      <c r="BS68" s="1">
        <v>6160</v>
      </c>
      <c r="BT68" s="1">
        <v>6107</v>
      </c>
      <c r="BU68" s="1">
        <v>5944</v>
      </c>
      <c r="BV68" s="1">
        <v>5981</v>
      </c>
      <c r="BW68" s="1">
        <v>5998</v>
      </c>
      <c r="BX68" s="1">
        <v>5921</v>
      </c>
      <c r="BY68" s="1">
        <v>5867</v>
      </c>
      <c r="BZ68" s="1">
        <v>5853</v>
      </c>
    </row>
    <row r="69" spans="1:78" ht="15.9" customHeight="1">
      <c r="A69" s="65" t="s">
        <v>133</v>
      </c>
      <c r="B69" s="25" t="s">
        <v>134</v>
      </c>
      <c r="C69" s="39">
        <f>_xll.RssMarket("4980","高値")</f>
        <v>3347</v>
      </c>
      <c r="D69" s="38">
        <f t="shared" si="1"/>
        <v>-145</v>
      </c>
      <c r="E69" s="29">
        <v>3492</v>
      </c>
      <c r="F69" s="29">
        <v>3383</v>
      </c>
      <c r="G69" s="29">
        <v>3429</v>
      </c>
      <c r="H69" s="29">
        <v>3296</v>
      </c>
      <c r="I69" s="29">
        <v>3388</v>
      </c>
      <c r="J69" s="29">
        <v>3516</v>
      </c>
      <c r="K69" s="29">
        <v>3658</v>
      </c>
      <c r="L69" s="29">
        <v>3655</v>
      </c>
      <c r="M69" s="29">
        <v>3770</v>
      </c>
      <c r="N69" s="29">
        <v>3814</v>
      </c>
      <c r="O69" s="29">
        <v>3649</v>
      </c>
      <c r="P69" s="29">
        <v>3705</v>
      </c>
      <c r="Q69" s="29">
        <v>3982</v>
      </c>
      <c r="R69" s="29">
        <v>3940</v>
      </c>
      <c r="S69" s="29">
        <v>4165</v>
      </c>
      <c r="T69" s="29">
        <v>4250</v>
      </c>
      <c r="U69" s="29">
        <v>4140</v>
      </c>
      <c r="V69" s="29">
        <v>4128</v>
      </c>
      <c r="W69" s="29">
        <v>4276</v>
      </c>
      <c r="X69" s="29">
        <v>4402</v>
      </c>
      <c r="Y69" s="29">
        <v>4327</v>
      </c>
      <c r="Z69" s="29">
        <v>4186</v>
      </c>
      <c r="AA69" s="29">
        <v>4369</v>
      </c>
      <c r="AB69" s="29">
        <v>4334</v>
      </c>
      <c r="AC69" s="29">
        <v>4450</v>
      </c>
      <c r="AD69" s="29">
        <v>4866</v>
      </c>
      <c r="AE69" s="29">
        <v>5115</v>
      </c>
      <c r="AF69" s="29">
        <v>5228</v>
      </c>
      <c r="AG69" s="29">
        <v>5015</v>
      </c>
      <c r="AH69" s="29">
        <v>5099</v>
      </c>
      <c r="AI69" s="29">
        <v>4894</v>
      </c>
      <c r="AJ69" s="29">
        <v>4787</v>
      </c>
      <c r="AK69" s="29">
        <v>4694</v>
      </c>
      <c r="AL69" s="29">
        <v>4609</v>
      </c>
      <c r="AM69" s="29">
        <v>4316</v>
      </c>
      <c r="AN69" s="29">
        <v>4122</v>
      </c>
      <c r="AO69" s="29">
        <v>3813</v>
      </c>
      <c r="AP69" s="29">
        <v>3968</v>
      </c>
      <c r="AQ69" s="29">
        <v>4070</v>
      </c>
      <c r="AR69" s="29">
        <v>4432</v>
      </c>
      <c r="AS69" s="29">
        <v>4525</v>
      </c>
      <c r="AT69" s="29">
        <v>4859</v>
      </c>
      <c r="AU69" s="29">
        <v>4560</v>
      </c>
      <c r="AV69" s="29">
        <v>4133</v>
      </c>
      <c r="AW69" s="29">
        <v>4214</v>
      </c>
      <c r="AX69" s="29">
        <v>4290</v>
      </c>
      <c r="AY69" s="29">
        <v>4473</v>
      </c>
      <c r="AZ69" s="29">
        <v>4313</v>
      </c>
      <c r="BA69" s="29">
        <v>4236</v>
      </c>
      <c r="BB69" s="29">
        <v>4062</v>
      </c>
      <c r="BC69" s="29">
        <v>4217</v>
      </c>
      <c r="BD69" s="29">
        <v>4486</v>
      </c>
      <c r="BE69" s="29">
        <v>3849</v>
      </c>
      <c r="BF69" s="29">
        <v>3149</v>
      </c>
      <c r="BG69" s="29">
        <v>2682.5</v>
      </c>
      <c r="BH69" s="29">
        <v>2755</v>
      </c>
      <c r="BI69" s="29">
        <v>2800</v>
      </c>
      <c r="BJ69" s="29">
        <v>2739</v>
      </c>
      <c r="BK69" s="29">
        <v>2657</v>
      </c>
      <c r="BL69" s="30">
        <v>2508.5</v>
      </c>
      <c r="BM69" s="1">
        <v>2478.5</v>
      </c>
      <c r="BN69" s="1">
        <v>2516.5</v>
      </c>
      <c r="BO69" s="1">
        <v>2540.5</v>
      </c>
      <c r="BP69" s="1">
        <v>2458</v>
      </c>
      <c r="BQ69" s="1">
        <v>2487.5</v>
      </c>
      <c r="BR69" s="1">
        <v>2481</v>
      </c>
      <c r="BS69" s="1">
        <v>2484</v>
      </c>
      <c r="BT69" s="1">
        <v>2484</v>
      </c>
      <c r="BU69" s="1">
        <v>2473</v>
      </c>
      <c r="BV69" s="1">
        <v>2427.5</v>
      </c>
      <c r="BW69" s="1">
        <v>2442</v>
      </c>
      <c r="BX69" s="1">
        <v>2408</v>
      </c>
      <c r="BY69" s="1">
        <v>2390</v>
      </c>
      <c r="BZ69" s="1">
        <v>2400</v>
      </c>
    </row>
    <row r="70" spans="1:78" ht="15.9" customHeight="1">
      <c r="A70" s="65" t="s">
        <v>135</v>
      </c>
      <c r="B70" s="25" t="s">
        <v>136</v>
      </c>
      <c r="C70" s="39">
        <f>_xll.RssMarket("9424","高値")</f>
        <v>116</v>
      </c>
      <c r="D70" s="38">
        <f t="shared" ref="D70:D101" si="2">C70-E70</f>
        <v>0</v>
      </c>
      <c r="E70" s="29">
        <v>116</v>
      </c>
      <c r="F70" s="29">
        <v>116</v>
      </c>
      <c r="G70" s="29">
        <v>116</v>
      </c>
      <c r="H70" s="29">
        <v>115</v>
      </c>
      <c r="I70" s="29">
        <v>116</v>
      </c>
      <c r="J70" s="29">
        <v>115</v>
      </c>
      <c r="K70" s="29">
        <v>114</v>
      </c>
      <c r="L70" s="29"/>
      <c r="M70" s="29">
        <v>113</v>
      </c>
      <c r="N70" s="29">
        <v>114</v>
      </c>
      <c r="O70" s="29">
        <v>116</v>
      </c>
      <c r="P70" s="29">
        <v>117</v>
      </c>
      <c r="Q70" s="29">
        <v>118</v>
      </c>
      <c r="R70" s="29">
        <v>118</v>
      </c>
      <c r="S70" s="29">
        <v>116</v>
      </c>
      <c r="T70" s="29">
        <v>115</v>
      </c>
      <c r="U70" s="29">
        <v>112</v>
      </c>
      <c r="V70" s="29">
        <v>112</v>
      </c>
      <c r="W70" s="29">
        <v>112</v>
      </c>
      <c r="X70" s="29">
        <v>113</v>
      </c>
      <c r="Y70" s="29">
        <v>110</v>
      </c>
      <c r="Z70" s="29">
        <v>109</v>
      </c>
      <c r="AA70" s="29">
        <v>107</v>
      </c>
      <c r="AB70" s="29">
        <v>108</v>
      </c>
      <c r="AC70" s="29">
        <v>109</v>
      </c>
      <c r="AD70" s="29">
        <v>108</v>
      </c>
      <c r="AE70" s="29">
        <v>109</v>
      </c>
      <c r="AF70" s="29">
        <v>109</v>
      </c>
      <c r="AG70" s="29">
        <v>112</v>
      </c>
      <c r="AH70" s="29">
        <v>115</v>
      </c>
      <c r="AI70" s="29">
        <v>116</v>
      </c>
      <c r="AJ70" s="29">
        <v>117</v>
      </c>
      <c r="AK70" s="29">
        <v>117</v>
      </c>
      <c r="AL70" s="29">
        <v>115</v>
      </c>
      <c r="AM70" s="29">
        <v>115</v>
      </c>
      <c r="AN70" s="29">
        <v>115</v>
      </c>
      <c r="AO70" s="29">
        <v>114</v>
      </c>
      <c r="AP70" s="29">
        <v>115</v>
      </c>
      <c r="AQ70" s="29">
        <v>115</v>
      </c>
      <c r="AR70" s="29">
        <v>119</v>
      </c>
      <c r="AS70" s="29">
        <v>116</v>
      </c>
      <c r="AT70" s="29">
        <v>117</v>
      </c>
      <c r="AU70" s="29">
        <v>114</v>
      </c>
      <c r="AV70" s="29">
        <v>117</v>
      </c>
      <c r="AW70" s="29">
        <v>117</v>
      </c>
      <c r="AX70" s="29">
        <v>117</v>
      </c>
      <c r="AY70" s="29">
        <v>125</v>
      </c>
      <c r="AZ70" s="29">
        <v>124</v>
      </c>
      <c r="BA70" s="29">
        <v>125</v>
      </c>
      <c r="BB70" s="29">
        <v>125</v>
      </c>
      <c r="BC70" s="29">
        <v>126</v>
      </c>
      <c r="BD70" s="29">
        <v>127</v>
      </c>
      <c r="BE70" s="29">
        <v>127</v>
      </c>
      <c r="BF70" s="29">
        <v>126</v>
      </c>
      <c r="BG70" s="29">
        <v>128</v>
      </c>
      <c r="BH70" s="29">
        <v>129</v>
      </c>
      <c r="BI70" s="29">
        <v>129</v>
      </c>
      <c r="BJ70" s="29">
        <v>131</v>
      </c>
      <c r="BK70" s="29">
        <v>127</v>
      </c>
      <c r="BL70" s="30">
        <v>127</v>
      </c>
      <c r="BM70" s="1">
        <v>126</v>
      </c>
      <c r="BN70" s="1">
        <v>125</v>
      </c>
      <c r="BO70" s="1">
        <v>126</v>
      </c>
      <c r="BP70" s="1">
        <v>127</v>
      </c>
      <c r="BQ70" s="1">
        <v>128</v>
      </c>
      <c r="BR70" s="1">
        <v>131</v>
      </c>
      <c r="BS70" s="1">
        <v>132</v>
      </c>
      <c r="BT70" s="1">
        <v>131</v>
      </c>
      <c r="BU70" s="1">
        <v>133</v>
      </c>
      <c r="BV70" s="1">
        <v>132</v>
      </c>
      <c r="BW70" s="1">
        <v>131</v>
      </c>
      <c r="BX70" s="1">
        <v>126</v>
      </c>
      <c r="BY70" s="1">
        <v>127</v>
      </c>
      <c r="BZ70" s="1">
        <v>130</v>
      </c>
    </row>
    <row r="71" spans="1:78" ht="15.9" customHeight="1">
      <c r="A71" s="65" t="s">
        <v>137</v>
      </c>
      <c r="B71" s="25" t="s">
        <v>138</v>
      </c>
      <c r="C71" s="39">
        <f>_xll.RssMarket("3854","高値")</f>
        <v>2243</v>
      </c>
      <c r="D71" s="38">
        <f t="shared" si="2"/>
        <v>-3</v>
      </c>
      <c r="E71" s="29">
        <v>2246</v>
      </c>
      <c r="F71" s="29">
        <v>2274</v>
      </c>
      <c r="G71" s="29">
        <v>2316</v>
      </c>
      <c r="H71" s="29">
        <v>2358</v>
      </c>
      <c r="I71" s="29">
        <v>2410</v>
      </c>
      <c r="J71" s="29">
        <v>2327</v>
      </c>
      <c r="K71" s="29">
        <v>2297</v>
      </c>
      <c r="L71" s="29">
        <v>2245</v>
      </c>
      <c r="M71" s="29">
        <v>2286</v>
      </c>
      <c r="N71" s="29">
        <v>2314</v>
      </c>
      <c r="O71" s="29">
        <v>2371</v>
      </c>
      <c r="P71" s="29">
        <v>2404</v>
      </c>
      <c r="Q71" s="29">
        <v>2414</v>
      </c>
      <c r="R71" s="29">
        <v>2437</v>
      </c>
      <c r="S71" s="29">
        <v>2448</v>
      </c>
      <c r="T71" s="29">
        <v>2461</v>
      </c>
      <c r="U71" s="29">
        <v>2490</v>
      </c>
      <c r="V71" s="29">
        <v>2521</v>
      </c>
      <c r="W71" s="29">
        <v>2470</v>
      </c>
      <c r="X71" s="29">
        <v>2346</v>
      </c>
      <c r="Y71" s="29">
        <v>2328</v>
      </c>
      <c r="Z71" s="29">
        <v>2275</v>
      </c>
      <c r="AA71" s="29">
        <v>2225</v>
      </c>
      <c r="AB71" s="29">
        <v>2229</v>
      </c>
      <c r="AC71" s="29">
        <v>2202</v>
      </c>
      <c r="AD71" s="29">
        <v>2170</v>
      </c>
      <c r="AE71" s="29">
        <v>2200</v>
      </c>
      <c r="AF71" s="29">
        <v>2205</v>
      </c>
      <c r="AG71" s="29">
        <v>2186</v>
      </c>
      <c r="AH71" s="29">
        <v>2204</v>
      </c>
      <c r="AI71" s="29">
        <v>2205</v>
      </c>
      <c r="AJ71" s="29">
        <v>2210</v>
      </c>
      <c r="AK71" s="29">
        <v>2206</v>
      </c>
      <c r="AL71" s="29">
        <v>2221</v>
      </c>
      <c r="AM71" s="29">
        <v>2261</v>
      </c>
      <c r="AN71" s="29">
        <v>2320</v>
      </c>
      <c r="AO71" s="29">
        <v>2414</v>
      </c>
      <c r="AP71" s="29">
        <v>2465</v>
      </c>
      <c r="AQ71" s="29">
        <v>2524</v>
      </c>
      <c r="AR71" s="29">
        <v>2550</v>
      </c>
      <c r="AS71" s="29">
        <v>2588</v>
      </c>
      <c r="AT71" s="29">
        <v>2653</v>
      </c>
      <c r="AU71" s="29">
        <v>2640</v>
      </c>
      <c r="AV71" s="29">
        <v>2635</v>
      </c>
      <c r="AW71" s="29">
        <v>2580</v>
      </c>
      <c r="AX71" s="29">
        <v>2525</v>
      </c>
      <c r="AY71" s="29">
        <v>2615</v>
      </c>
      <c r="AZ71" s="29">
        <v>2575</v>
      </c>
      <c r="BA71" s="29">
        <v>2484</v>
      </c>
      <c r="BB71" s="29">
        <v>2467</v>
      </c>
      <c r="BC71" s="29">
        <v>2475</v>
      </c>
      <c r="BD71" s="29">
        <v>2423</v>
      </c>
      <c r="BE71" s="29">
        <v>2359</v>
      </c>
      <c r="BF71" s="29">
        <v>2380</v>
      </c>
      <c r="BG71" s="29">
        <v>2396</v>
      </c>
      <c r="BH71" s="29">
        <v>2400</v>
      </c>
      <c r="BI71" s="29">
        <v>2434</v>
      </c>
      <c r="BJ71" s="29">
        <v>2430</v>
      </c>
      <c r="BK71" s="29">
        <v>2384</v>
      </c>
      <c r="BL71" s="30">
        <v>2365</v>
      </c>
      <c r="BM71" s="1">
        <v>2397</v>
      </c>
      <c r="BN71" s="1">
        <v>2422</v>
      </c>
      <c r="BO71" s="1">
        <v>2422</v>
      </c>
      <c r="BP71" s="1">
        <v>2427</v>
      </c>
      <c r="BQ71" s="1">
        <v>2471</v>
      </c>
      <c r="BR71" s="1">
        <v>2476</v>
      </c>
      <c r="BS71" s="1">
        <v>2481</v>
      </c>
      <c r="BT71" s="1">
        <v>2460</v>
      </c>
      <c r="BU71" s="1">
        <v>2447</v>
      </c>
      <c r="BV71" s="1">
        <v>2471</v>
      </c>
      <c r="BW71" s="1">
        <v>2428</v>
      </c>
      <c r="BX71" s="1">
        <v>2421</v>
      </c>
      <c r="BY71" s="1">
        <v>2360</v>
      </c>
      <c r="BZ71" s="1">
        <v>2434</v>
      </c>
    </row>
    <row r="72" spans="1:78" ht="15.9" customHeight="1">
      <c r="A72" s="65" t="s">
        <v>139</v>
      </c>
      <c r="B72" s="25" t="s">
        <v>140</v>
      </c>
      <c r="C72" s="39">
        <f>_xll.RssMarket("6027","高値")</f>
        <v>2364</v>
      </c>
      <c r="D72" s="38">
        <f t="shared" si="2"/>
        <v>44</v>
      </c>
      <c r="E72" s="29">
        <v>2320</v>
      </c>
      <c r="F72" s="29">
        <v>2362</v>
      </c>
      <c r="G72" s="29">
        <v>2357</v>
      </c>
      <c r="H72" s="29">
        <v>2358</v>
      </c>
      <c r="I72" s="29">
        <v>2300</v>
      </c>
      <c r="J72" s="29">
        <v>2353</v>
      </c>
      <c r="K72" s="29">
        <v>2328</v>
      </c>
      <c r="L72" s="29">
        <v>2220</v>
      </c>
      <c r="M72" s="29">
        <v>2286</v>
      </c>
      <c r="N72" s="29">
        <v>2345</v>
      </c>
      <c r="O72" s="29">
        <v>2406</v>
      </c>
      <c r="P72" s="29">
        <v>2404</v>
      </c>
      <c r="Q72" s="29">
        <v>2423</v>
      </c>
      <c r="R72" s="29">
        <v>2420</v>
      </c>
      <c r="S72" s="29">
        <v>2424</v>
      </c>
      <c r="T72" s="29">
        <v>2435</v>
      </c>
      <c r="U72" s="29">
        <v>2408</v>
      </c>
      <c r="V72" s="29">
        <v>2450</v>
      </c>
      <c r="W72" s="29">
        <v>2457</v>
      </c>
      <c r="X72" s="29">
        <v>2425</v>
      </c>
      <c r="Y72" s="29">
        <v>2482</v>
      </c>
      <c r="Z72" s="29">
        <v>2498</v>
      </c>
      <c r="AA72" s="29">
        <v>2410</v>
      </c>
      <c r="AB72" s="29">
        <v>2267</v>
      </c>
      <c r="AC72" s="29">
        <v>2265</v>
      </c>
      <c r="AD72" s="29">
        <v>2053</v>
      </c>
      <c r="AE72" s="29">
        <v>2098</v>
      </c>
      <c r="AF72" s="29">
        <v>2104</v>
      </c>
      <c r="AG72" s="29">
        <v>2220</v>
      </c>
      <c r="AH72" s="29">
        <v>2232</v>
      </c>
      <c r="AI72" s="29">
        <v>2236</v>
      </c>
      <c r="AJ72" s="29">
        <v>2149</v>
      </c>
      <c r="AK72" s="29">
        <v>2174</v>
      </c>
      <c r="AL72" s="29">
        <v>2130</v>
      </c>
      <c r="AM72" s="29">
        <v>2157</v>
      </c>
      <c r="AN72" s="29">
        <v>2192</v>
      </c>
      <c r="AO72" s="29">
        <v>2154</v>
      </c>
      <c r="AP72" s="29">
        <v>2192</v>
      </c>
      <c r="AQ72" s="29">
        <v>2258</v>
      </c>
      <c r="AR72" s="29">
        <v>2307</v>
      </c>
      <c r="AS72" s="29">
        <v>2262</v>
      </c>
      <c r="AT72" s="29">
        <v>2295</v>
      </c>
      <c r="AU72" s="29">
        <v>2384</v>
      </c>
      <c r="AV72" s="29">
        <v>2460</v>
      </c>
      <c r="AW72" s="29">
        <v>2461</v>
      </c>
      <c r="AX72" s="29">
        <v>2501</v>
      </c>
      <c r="AY72" s="29">
        <v>2578</v>
      </c>
      <c r="AZ72" s="29">
        <v>2590</v>
      </c>
      <c r="BA72" s="29">
        <v>2615</v>
      </c>
      <c r="BB72" s="29">
        <v>2766</v>
      </c>
      <c r="BC72" s="29">
        <v>2836</v>
      </c>
      <c r="BD72" s="29">
        <v>2798</v>
      </c>
      <c r="BE72" s="29">
        <v>2745</v>
      </c>
      <c r="BF72" s="29">
        <v>2777</v>
      </c>
      <c r="BG72" s="29">
        <v>2750</v>
      </c>
      <c r="BH72" s="29">
        <v>2726</v>
      </c>
      <c r="BI72" s="29">
        <v>2788</v>
      </c>
      <c r="BJ72" s="29">
        <v>2758</v>
      </c>
      <c r="BK72" s="29">
        <v>2677</v>
      </c>
      <c r="BL72" s="30">
        <v>2528</v>
      </c>
      <c r="BM72" s="1">
        <v>2500</v>
      </c>
      <c r="BN72" s="1">
        <v>2499</v>
      </c>
      <c r="BO72" s="1">
        <v>2494</v>
      </c>
      <c r="BP72" s="1">
        <v>2552</v>
      </c>
      <c r="BQ72" s="1">
        <v>2617</v>
      </c>
      <c r="BR72" s="1">
        <v>2630</v>
      </c>
      <c r="BS72" s="1">
        <v>2609</v>
      </c>
      <c r="BT72" s="1">
        <v>2586</v>
      </c>
      <c r="BU72" s="1">
        <v>2653</v>
      </c>
      <c r="BV72" s="1">
        <v>2750</v>
      </c>
      <c r="BW72" s="1">
        <v>2734</v>
      </c>
      <c r="BX72" s="1">
        <v>2625</v>
      </c>
      <c r="BY72" s="1">
        <v>2578</v>
      </c>
      <c r="BZ72" s="1">
        <v>2795</v>
      </c>
    </row>
    <row r="73" spans="1:78" ht="15.9" customHeight="1">
      <c r="A73" s="65" t="s">
        <v>141</v>
      </c>
      <c r="B73" s="25" t="s">
        <v>142</v>
      </c>
      <c r="C73" s="39">
        <f>_xll.RssMarket("7806","高値")</f>
        <v>7940</v>
      </c>
      <c r="D73" s="38">
        <f t="shared" si="2"/>
        <v>90</v>
      </c>
      <c r="E73" s="29">
        <v>7850</v>
      </c>
      <c r="F73" s="29">
        <v>7840</v>
      </c>
      <c r="G73" s="29">
        <v>7710</v>
      </c>
      <c r="H73" s="29">
        <v>7380</v>
      </c>
      <c r="I73" s="29">
        <v>7660</v>
      </c>
      <c r="J73" s="29">
        <v>7690</v>
      </c>
      <c r="K73" s="29">
        <v>7720</v>
      </c>
      <c r="L73" s="29">
        <v>7800</v>
      </c>
      <c r="M73" s="29">
        <v>7880</v>
      </c>
      <c r="N73" s="29">
        <v>7990</v>
      </c>
      <c r="O73" s="29">
        <v>8030</v>
      </c>
      <c r="P73" s="29">
        <v>7980</v>
      </c>
      <c r="Q73" s="29">
        <v>7730</v>
      </c>
      <c r="R73" s="29">
        <v>7440</v>
      </c>
      <c r="S73" s="29">
        <v>7720</v>
      </c>
      <c r="T73" s="29">
        <v>7680</v>
      </c>
      <c r="U73" s="29">
        <v>8080</v>
      </c>
      <c r="V73" s="29">
        <v>8110</v>
      </c>
      <c r="W73" s="29">
        <v>8270</v>
      </c>
      <c r="X73" s="29">
        <v>8200</v>
      </c>
      <c r="Y73" s="29">
        <v>8380</v>
      </c>
      <c r="Z73" s="29">
        <v>8000</v>
      </c>
      <c r="AA73" s="29">
        <v>7580</v>
      </c>
      <c r="AB73" s="29">
        <v>7550</v>
      </c>
      <c r="AC73" s="29">
        <v>7480</v>
      </c>
      <c r="AD73" s="29">
        <v>7490</v>
      </c>
      <c r="AE73" s="29">
        <v>7610</v>
      </c>
      <c r="AF73" s="29">
        <v>7480</v>
      </c>
      <c r="AG73" s="29">
        <v>7700</v>
      </c>
      <c r="AH73" s="29">
        <v>7740</v>
      </c>
      <c r="AI73" s="29">
        <v>7780</v>
      </c>
      <c r="AJ73" s="29">
        <v>7790</v>
      </c>
      <c r="AK73" s="29">
        <v>7410</v>
      </c>
      <c r="AL73" s="29">
        <v>7260</v>
      </c>
      <c r="AM73" s="29">
        <v>7110</v>
      </c>
      <c r="AN73" s="29">
        <v>7350</v>
      </c>
      <c r="AO73" s="29">
        <v>7200</v>
      </c>
      <c r="AP73" s="29">
        <v>7140</v>
      </c>
      <c r="AQ73" s="29">
        <v>6860</v>
      </c>
      <c r="AR73" s="29">
        <v>7020</v>
      </c>
      <c r="AS73" s="29">
        <v>7170</v>
      </c>
      <c r="AT73" s="29">
        <v>7260</v>
      </c>
      <c r="AU73" s="29">
        <v>7500</v>
      </c>
      <c r="AV73" s="29">
        <v>7600</v>
      </c>
      <c r="AW73" s="29">
        <v>7490</v>
      </c>
      <c r="AX73" s="29">
        <v>7310</v>
      </c>
      <c r="AY73" s="29">
        <v>6390</v>
      </c>
      <c r="AZ73" s="29">
        <v>6420</v>
      </c>
      <c r="BA73" s="29">
        <v>6560</v>
      </c>
      <c r="BB73" s="29">
        <v>6790</v>
      </c>
      <c r="BC73" s="29">
        <v>6650</v>
      </c>
      <c r="BD73" s="29">
        <v>6720</v>
      </c>
      <c r="BE73" s="29">
        <v>7200</v>
      </c>
      <c r="BF73" s="29">
        <v>7310</v>
      </c>
      <c r="BG73" s="29">
        <v>6930</v>
      </c>
      <c r="BH73" s="29">
        <v>6820</v>
      </c>
      <c r="BI73" s="29">
        <v>6530</v>
      </c>
      <c r="BJ73" s="29">
        <v>6400</v>
      </c>
      <c r="BK73" s="29">
        <v>6360</v>
      </c>
      <c r="BL73" s="30">
        <v>6120</v>
      </c>
      <c r="BM73" s="1">
        <v>5890</v>
      </c>
      <c r="BN73" s="1">
        <v>5990</v>
      </c>
      <c r="BO73" s="1">
        <v>6210</v>
      </c>
      <c r="BP73" s="1">
        <v>6380</v>
      </c>
      <c r="BQ73" s="1">
        <v>6600</v>
      </c>
      <c r="BR73" s="1">
        <v>6600</v>
      </c>
      <c r="BS73" s="1">
        <v>6700</v>
      </c>
      <c r="BT73" s="1">
        <v>6700</v>
      </c>
      <c r="BU73" s="1">
        <v>6620</v>
      </c>
      <c r="BV73" s="1">
        <v>6490</v>
      </c>
      <c r="BW73" s="1">
        <v>6580</v>
      </c>
      <c r="BX73" s="1">
        <v>6350</v>
      </c>
      <c r="BY73" s="1">
        <v>6180</v>
      </c>
      <c r="BZ73" s="1">
        <v>6100</v>
      </c>
    </row>
    <row r="74" spans="1:78" ht="15.9" customHeight="1">
      <c r="A74" s="65" t="s">
        <v>143</v>
      </c>
      <c r="B74" s="25" t="s">
        <v>144</v>
      </c>
      <c r="C74" s="39">
        <f>_xll.RssMarket("9202","高値")</f>
        <v>3157</v>
      </c>
      <c r="D74" s="38">
        <f t="shared" si="2"/>
        <v>41</v>
      </c>
      <c r="E74" s="29">
        <v>3116</v>
      </c>
      <c r="F74" s="29">
        <v>3150</v>
      </c>
      <c r="G74" s="29">
        <v>3165</v>
      </c>
      <c r="H74" s="29">
        <v>3225</v>
      </c>
      <c r="I74" s="29">
        <v>3221</v>
      </c>
      <c r="J74" s="29">
        <v>3143</v>
      </c>
      <c r="K74" s="29">
        <v>3092</v>
      </c>
      <c r="L74" s="29">
        <v>2951</v>
      </c>
      <c r="M74" s="29">
        <v>3010</v>
      </c>
      <c r="N74" s="29">
        <v>3038</v>
      </c>
      <c r="O74" s="29">
        <v>3066</v>
      </c>
      <c r="P74" s="29">
        <v>3033</v>
      </c>
      <c r="Q74" s="29">
        <v>3057</v>
      </c>
      <c r="R74" s="29">
        <v>3043</v>
      </c>
      <c r="S74" s="29">
        <v>3027</v>
      </c>
      <c r="T74" s="29">
        <v>3054</v>
      </c>
      <c r="U74" s="29">
        <v>3089</v>
      </c>
      <c r="V74" s="29">
        <v>3131</v>
      </c>
      <c r="W74" s="29">
        <v>3200</v>
      </c>
      <c r="X74" s="29">
        <v>3180</v>
      </c>
      <c r="Y74" s="29">
        <v>3156</v>
      </c>
      <c r="Z74" s="29">
        <v>3104</v>
      </c>
      <c r="AA74" s="29">
        <v>2986</v>
      </c>
      <c r="AB74" s="29">
        <v>3006</v>
      </c>
      <c r="AC74" s="29">
        <v>3029</v>
      </c>
      <c r="AD74" s="29">
        <v>3019</v>
      </c>
      <c r="AE74" s="29">
        <v>3023</v>
      </c>
      <c r="AF74" s="29">
        <v>2988</v>
      </c>
      <c r="AG74" s="29">
        <v>2956</v>
      </c>
      <c r="AH74" s="29">
        <v>2963</v>
      </c>
      <c r="AI74" s="29">
        <v>2987</v>
      </c>
      <c r="AJ74" s="29">
        <v>3033</v>
      </c>
      <c r="AK74" s="29">
        <v>3076</v>
      </c>
      <c r="AL74" s="29">
        <v>3043</v>
      </c>
      <c r="AM74" s="29">
        <v>3013</v>
      </c>
      <c r="AN74" s="29">
        <v>2842</v>
      </c>
      <c r="AO74" s="29">
        <v>2810</v>
      </c>
      <c r="AP74" s="29">
        <v>2823</v>
      </c>
      <c r="AQ74" s="29">
        <v>2868.5</v>
      </c>
      <c r="AR74" s="29">
        <v>2858</v>
      </c>
      <c r="AS74" s="29">
        <v>2837</v>
      </c>
      <c r="AT74" s="29">
        <v>2850</v>
      </c>
      <c r="AU74" s="29">
        <v>2891</v>
      </c>
      <c r="AV74" s="29">
        <v>3022</v>
      </c>
      <c r="AW74" s="29">
        <v>2921</v>
      </c>
      <c r="AX74" s="29">
        <v>2892</v>
      </c>
      <c r="AY74" s="29">
        <v>2883</v>
      </c>
      <c r="AZ74" s="29">
        <v>2804.5</v>
      </c>
      <c r="BA74" s="29">
        <v>2796</v>
      </c>
      <c r="BB74" s="29">
        <v>2759</v>
      </c>
      <c r="BC74" s="29">
        <v>2762.5</v>
      </c>
      <c r="BD74" s="29">
        <v>2779</v>
      </c>
      <c r="BE74" s="29">
        <v>2772</v>
      </c>
      <c r="BF74" s="29">
        <v>2793.5</v>
      </c>
      <c r="BG74" s="29">
        <v>2821</v>
      </c>
      <c r="BH74" s="29">
        <v>2817.5</v>
      </c>
      <c r="BI74" s="29">
        <v>2851.5</v>
      </c>
      <c r="BJ74" s="29">
        <v>2876</v>
      </c>
      <c r="BK74" s="29">
        <v>2853</v>
      </c>
      <c r="BL74" s="30">
        <v>2720</v>
      </c>
      <c r="BM74" s="1">
        <v>2651</v>
      </c>
      <c r="BN74" s="1">
        <v>2646.5</v>
      </c>
      <c r="BO74" s="1">
        <v>2700.5</v>
      </c>
      <c r="BP74" s="1">
        <v>2729.5</v>
      </c>
      <c r="BQ74" s="1">
        <v>2805</v>
      </c>
      <c r="BR74" s="1">
        <v>2847.5</v>
      </c>
      <c r="BS74" s="1">
        <v>2881</v>
      </c>
      <c r="BT74" s="1">
        <v>2884.5</v>
      </c>
      <c r="BU74" s="1">
        <v>2861</v>
      </c>
      <c r="BV74" s="1">
        <v>2899.5</v>
      </c>
      <c r="BW74" s="1">
        <v>2898</v>
      </c>
      <c r="BX74" s="1">
        <v>2882.5</v>
      </c>
      <c r="BY74" s="1">
        <v>2891</v>
      </c>
      <c r="BZ74" s="1">
        <v>2909</v>
      </c>
    </row>
    <row r="75" spans="1:78" ht="15.9" customHeight="1">
      <c r="A75" s="65" t="s">
        <v>145</v>
      </c>
      <c r="B75" s="25" t="s">
        <v>146</v>
      </c>
      <c r="C75" s="39">
        <f>_xll.RssMarket("7846","高値")</f>
        <v>1789.5</v>
      </c>
      <c r="D75" s="38">
        <f t="shared" si="2"/>
        <v>1789.5</v>
      </c>
      <c r="E75" s="29"/>
      <c r="F75" s="29"/>
      <c r="G75" s="29"/>
      <c r="H75" s="29"/>
      <c r="I75" s="29"/>
      <c r="J75" s="29"/>
      <c r="K75" s="29"/>
      <c r="L75" s="29"/>
      <c r="M75" s="29"/>
      <c r="N75" s="29"/>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c r="AT75" s="29"/>
      <c r="AU75" s="29"/>
      <c r="AV75" s="29"/>
      <c r="AW75" s="29"/>
      <c r="AX75" s="29"/>
      <c r="AY75" s="29"/>
      <c r="AZ75" s="29"/>
      <c r="BA75" s="29"/>
      <c r="BB75" s="29"/>
      <c r="BC75" s="29"/>
      <c r="BD75" s="29"/>
      <c r="BE75" s="29"/>
      <c r="BF75" s="29"/>
      <c r="BG75" s="29"/>
      <c r="BH75" s="29"/>
      <c r="BI75" s="29"/>
      <c r="BJ75" s="29"/>
      <c r="BK75" s="29"/>
      <c r="BL75" s="30"/>
    </row>
    <row r="76" spans="1:78" ht="15.9" customHeight="1">
      <c r="A76" s="65" t="s">
        <v>147</v>
      </c>
      <c r="B76" s="25" t="s">
        <v>148</v>
      </c>
      <c r="C76" s="39">
        <f>_xll.RssMarket("2802","高値")</f>
        <v>5295</v>
      </c>
      <c r="D76" s="38">
        <f t="shared" si="2"/>
        <v>330</v>
      </c>
      <c r="E76" s="29">
        <v>4965</v>
      </c>
      <c r="F76" s="29">
        <v>4930</v>
      </c>
      <c r="G76" s="29">
        <v>5105</v>
      </c>
      <c r="H76" s="29">
        <v>4900</v>
      </c>
      <c r="I76" s="29">
        <v>4984</v>
      </c>
      <c r="J76" s="29">
        <v>5013</v>
      </c>
      <c r="K76" s="29">
        <v>5171</v>
      </c>
      <c r="L76" s="29">
        <v>5096</v>
      </c>
      <c r="M76" s="29">
        <v>5319</v>
      </c>
      <c r="N76" s="29">
        <v>5430</v>
      </c>
      <c r="O76" s="29">
        <v>5295</v>
      </c>
      <c r="P76" s="29">
        <v>5289</v>
      </c>
      <c r="Q76" s="29">
        <v>5700</v>
      </c>
      <c r="R76" s="29">
        <v>5672</v>
      </c>
      <c r="S76" s="29">
        <v>5763</v>
      </c>
      <c r="T76" s="29">
        <v>5783</v>
      </c>
      <c r="U76" s="29">
        <v>5905</v>
      </c>
      <c r="V76" s="29">
        <v>5919</v>
      </c>
      <c r="W76" s="29">
        <v>6145</v>
      </c>
      <c r="X76" s="29">
        <v>6340</v>
      </c>
      <c r="Y76" s="29">
        <v>6189</v>
      </c>
      <c r="Z76" s="29">
        <v>6209</v>
      </c>
      <c r="AA76" s="29">
        <v>6311</v>
      </c>
      <c r="AB76" s="29">
        <v>5942</v>
      </c>
      <c r="AC76" s="29">
        <v>5839</v>
      </c>
      <c r="AD76" s="29">
        <v>5890</v>
      </c>
      <c r="AE76" s="29">
        <v>5859</v>
      </c>
      <c r="AF76" s="29">
        <v>5617</v>
      </c>
      <c r="AG76" s="29">
        <v>6035</v>
      </c>
      <c r="AH76" s="29">
        <v>6166</v>
      </c>
      <c r="AI76" s="29">
        <v>5933</v>
      </c>
      <c r="AJ76" s="29">
        <v>5843</v>
      </c>
      <c r="AK76" s="29">
        <v>5350</v>
      </c>
      <c r="AL76" s="29">
        <v>5175</v>
      </c>
      <c r="AM76" s="29">
        <v>5501</v>
      </c>
      <c r="AN76" s="29">
        <v>5257</v>
      </c>
      <c r="AO76" s="29">
        <v>5203</v>
      </c>
      <c r="AP76" s="29">
        <v>4865</v>
      </c>
      <c r="AQ76" s="29">
        <v>4907</v>
      </c>
      <c r="AR76" s="29">
        <v>5070</v>
      </c>
      <c r="AS76" s="29">
        <v>5194</v>
      </c>
      <c r="AT76" s="29">
        <v>5298</v>
      </c>
      <c r="AU76" s="29">
        <v>5351</v>
      </c>
      <c r="AV76" s="29">
        <v>5204</v>
      </c>
      <c r="AW76" s="29">
        <v>5275</v>
      </c>
      <c r="AX76" s="29">
        <v>5425</v>
      </c>
      <c r="AY76" s="29">
        <v>5505</v>
      </c>
      <c r="AZ76" s="29">
        <v>5332</v>
      </c>
      <c r="BA76" s="29">
        <v>5328</v>
      </c>
      <c r="BB76" s="29">
        <v>5296</v>
      </c>
      <c r="BC76" s="29">
        <v>5330</v>
      </c>
      <c r="BD76" s="29">
        <v>5311</v>
      </c>
      <c r="BE76" s="29">
        <v>5580</v>
      </c>
      <c r="BF76" s="29">
        <v>5716</v>
      </c>
      <c r="BG76" s="29">
        <v>5590</v>
      </c>
      <c r="BH76" s="29">
        <v>5739</v>
      </c>
      <c r="BI76" s="29">
        <v>5652</v>
      </c>
      <c r="BJ76" s="29">
        <v>5030</v>
      </c>
      <c r="BK76" s="29">
        <v>5070</v>
      </c>
      <c r="BL76" s="30">
        <v>4936</v>
      </c>
      <c r="BM76" s="1">
        <v>5090</v>
      </c>
      <c r="BN76" s="1">
        <v>4813</v>
      </c>
      <c r="BO76" s="1">
        <v>4823</v>
      </c>
      <c r="BP76" s="1">
        <v>4877</v>
      </c>
      <c r="BQ76" s="1">
        <v>4672</v>
      </c>
      <c r="BR76" s="1">
        <v>4715</v>
      </c>
      <c r="BS76" s="1">
        <v>4730</v>
      </c>
      <c r="BT76" s="1">
        <v>4640</v>
      </c>
      <c r="BU76" s="1">
        <v>4682</v>
      </c>
      <c r="BV76" s="1">
        <v>4712</v>
      </c>
      <c r="BW76" s="1">
        <v>4683</v>
      </c>
      <c r="BX76" s="1">
        <v>4692</v>
      </c>
      <c r="BY76" s="1">
        <v>4655</v>
      </c>
      <c r="BZ76" s="1">
        <v>4724</v>
      </c>
    </row>
    <row r="77" spans="1:78" ht="15.9" customHeight="1">
      <c r="A77" s="65" t="s">
        <v>149</v>
      </c>
      <c r="B77" s="25" t="s">
        <v>150</v>
      </c>
      <c r="C77" s="39">
        <f>_xll.RssMarket("7203","高値")</f>
        <v>2917.5</v>
      </c>
      <c r="D77" s="38">
        <f t="shared" si="2"/>
        <v>-110.5</v>
      </c>
      <c r="E77" s="29">
        <v>3028</v>
      </c>
      <c r="F77" s="29">
        <v>2999</v>
      </c>
      <c r="G77" s="29">
        <v>3119</v>
      </c>
      <c r="H77" s="29">
        <v>3192</v>
      </c>
      <c r="I77" s="29">
        <v>3233</v>
      </c>
      <c r="J77" s="29">
        <v>3015</v>
      </c>
      <c r="K77" s="29">
        <v>2973</v>
      </c>
      <c r="L77" s="29">
        <v>2923</v>
      </c>
      <c r="M77" s="29">
        <v>2950</v>
      </c>
      <c r="N77" s="29">
        <v>2951</v>
      </c>
      <c r="O77" s="29">
        <v>2972</v>
      </c>
      <c r="P77" s="29">
        <v>2913.5</v>
      </c>
      <c r="Q77" s="29">
        <v>2875.5</v>
      </c>
      <c r="R77" s="29">
        <v>2853</v>
      </c>
      <c r="S77" s="29">
        <v>2847</v>
      </c>
      <c r="T77" s="29">
        <v>2864.5</v>
      </c>
      <c r="U77" s="29">
        <v>2865</v>
      </c>
      <c r="V77" s="29">
        <v>2942</v>
      </c>
      <c r="W77" s="29">
        <v>2980</v>
      </c>
      <c r="X77" s="29">
        <v>2923</v>
      </c>
      <c r="Y77" s="29">
        <v>2856.5</v>
      </c>
      <c r="Z77" s="29">
        <v>2839</v>
      </c>
      <c r="AA77" s="29">
        <v>2771.5</v>
      </c>
      <c r="AB77" s="29">
        <v>2782.5</v>
      </c>
      <c r="AC77" s="29">
        <v>2805</v>
      </c>
      <c r="AD77" s="29">
        <v>2768</v>
      </c>
      <c r="AE77" s="29">
        <v>2713.5</v>
      </c>
      <c r="AF77" s="29">
        <v>2731</v>
      </c>
      <c r="AG77" s="29">
        <v>2748</v>
      </c>
      <c r="AH77" s="29">
        <v>2802</v>
      </c>
      <c r="AI77" s="29">
        <v>2793</v>
      </c>
      <c r="AJ77" s="29">
        <v>2807</v>
      </c>
      <c r="AK77" s="29">
        <v>2863.5</v>
      </c>
      <c r="AL77" s="29">
        <v>2894</v>
      </c>
      <c r="AM77" s="29">
        <v>2934.5</v>
      </c>
      <c r="AN77" s="29">
        <v>2798.5</v>
      </c>
      <c r="AO77" s="29">
        <v>2782.5</v>
      </c>
      <c r="AP77" s="29">
        <v>2840.5</v>
      </c>
      <c r="AQ77" s="29">
        <v>2862</v>
      </c>
      <c r="AR77" s="29">
        <v>2885.5</v>
      </c>
      <c r="AS77" s="29">
        <v>2879.5</v>
      </c>
      <c r="AT77" s="29">
        <v>2920</v>
      </c>
      <c r="AU77" s="29">
        <v>2863.5</v>
      </c>
      <c r="AV77" s="29">
        <v>3082</v>
      </c>
      <c r="AW77" s="29">
        <v>3072</v>
      </c>
      <c r="AX77" s="29">
        <v>3039</v>
      </c>
      <c r="AY77" s="29">
        <v>3108</v>
      </c>
      <c r="AZ77" s="29">
        <v>3022</v>
      </c>
      <c r="BA77" s="29">
        <v>3027</v>
      </c>
      <c r="BB77" s="29">
        <v>3027</v>
      </c>
      <c r="BC77" s="29">
        <v>2979</v>
      </c>
      <c r="BD77" s="29">
        <v>3013</v>
      </c>
      <c r="BE77" s="29">
        <v>3086</v>
      </c>
      <c r="BF77" s="29">
        <v>3010</v>
      </c>
      <c r="BG77" s="29">
        <v>2945</v>
      </c>
      <c r="BH77" s="29">
        <v>2886.5</v>
      </c>
      <c r="BI77" s="29">
        <v>2888</v>
      </c>
      <c r="BJ77" s="29">
        <v>3088</v>
      </c>
      <c r="BK77" s="29">
        <v>3047</v>
      </c>
      <c r="BL77" s="30">
        <v>3022</v>
      </c>
      <c r="BM77" s="1">
        <v>3071</v>
      </c>
      <c r="BN77" s="1">
        <v>3135</v>
      </c>
      <c r="BO77" s="1">
        <v>3101</v>
      </c>
      <c r="BP77" s="1">
        <v>3133</v>
      </c>
      <c r="BQ77" s="1">
        <v>3205</v>
      </c>
      <c r="BR77" s="1">
        <v>3235</v>
      </c>
      <c r="BS77" s="1">
        <v>3356</v>
      </c>
      <c r="BT77" s="1">
        <v>3413</v>
      </c>
      <c r="BU77" s="1">
        <v>3400</v>
      </c>
      <c r="BV77" s="1">
        <v>3468</v>
      </c>
      <c r="BW77" s="1">
        <v>3386</v>
      </c>
      <c r="BX77" s="1">
        <v>3355</v>
      </c>
      <c r="BY77" s="1">
        <v>3337</v>
      </c>
      <c r="BZ77" s="1">
        <v>3363</v>
      </c>
    </row>
    <row r="78" spans="1:78" ht="15.9" customHeight="1">
      <c r="A78" s="65" t="s">
        <v>151</v>
      </c>
      <c r="B78" s="25" t="s">
        <v>152</v>
      </c>
      <c r="C78" s="39">
        <f>_xll.RssMarket("6954","高値")</f>
        <v>6495</v>
      </c>
      <c r="D78" s="38">
        <f t="shared" si="2"/>
        <v>308</v>
      </c>
      <c r="E78" s="29">
        <v>6187</v>
      </c>
      <c r="F78" s="29">
        <v>6386</v>
      </c>
      <c r="G78" s="29">
        <v>7240</v>
      </c>
      <c r="H78" s="29">
        <v>6752</v>
      </c>
      <c r="I78" s="29">
        <v>6617</v>
      </c>
      <c r="J78" s="29">
        <v>6609</v>
      </c>
      <c r="K78" s="29">
        <v>6835</v>
      </c>
      <c r="L78" s="29">
        <v>6860</v>
      </c>
      <c r="M78" s="29">
        <v>6982</v>
      </c>
      <c r="N78" s="29">
        <v>7057</v>
      </c>
      <c r="O78" s="29">
        <v>6808</v>
      </c>
      <c r="P78" s="29">
        <v>6706</v>
      </c>
      <c r="Q78" s="29">
        <v>7030</v>
      </c>
      <c r="R78" s="29">
        <v>6898</v>
      </c>
      <c r="S78" s="29">
        <v>7205</v>
      </c>
      <c r="T78" s="29">
        <v>7239</v>
      </c>
      <c r="U78" s="29">
        <v>6919</v>
      </c>
      <c r="V78" s="29">
        <v>6985</v>
      </c>
      <c r="W78" s="29">
        <v>7372</v>
      </c>
      <c r="X78" s="29">
        <v>7569</v>
      </c>
      <c r="Y78" s="29">
        <v>7468</v>
      </c>
      <c r="Z78" s="29">
        <v>7339</v>
      </c>
      <c r="AA78" s="29">
        <v>7515</v>
      </c>
      <c r="AB78" s="29">
        <v>7430</v>
      </c>
      <c r="AC78" s="29">
        <v>7085</v>
      </c>
      <c r="AD78" s="29">
        <v>7350</v>
      </c>
      <c r="AE78" s="29">
        <v>7513</v>
      </c>
      <c r="AF78" s="29">
        <v>7561</v>
      </c>
      <c r="AG78" s="29">
        <v>7938</v>
      </c>
      <c r="AH78" s="29">
        <v>8164</v>
      </c>
      <c r="AI78" s="29">
        <v>7702</v>
      </c>
      <c r="AJ78" s="29">
        <v>7704</v>
      </c>
      <c r="AK78" s="29">
        <v>7515</v>
      </c>
      <c r="AL78" s="29">
        <v>7490</v>
      </c>
      <c r="AM78" s="29">
        <v>7353</v>
      </c>
      <c r="AN78" s="29">
        <v>7122</v>
      </c>
      <c r="AO78" s="29">
        <v>6778</v>
      </c>
      <c r="AP78" s="29">
        <v>6997</v>
      </c>
      <c r="AQ78" s="29">
        <v>7248</v>
      </c>
      <c r="AR78" s="29">
        <v>7690</v>
      </c>
      <c r="AS78" s="29">
        <v>7922</v>
      </c>
      <c r="AT78" s="29">
        <v>8080</v>
      </c>
      <c r="AU78" s="29">
        <v>8010</v>
      </c>
      <c r="AV78" s="29">
        <v>8149</v>
      </c>
      <c r="AW78" s="29">
        <v>8100</v>
      </c>
      <c r="AX78" s="29">
        <v>8703</v>
      </c>
      <c r="AY78" s="29">
        <v>8562</v>
      </c>
      <c r="AZ78" s="29">
        <v>8278</v>
      </c>
      <c r="BA78" s="29">
        <v>7741</v>
      </c>
      <c r="BB78" s="29">
        <v>7650</v>
      </c>
      <c r="BC78" s="29">
        <v>8015</v>
      </c>
      <c r="BD78" s="29">
        <v>8439</v>
      </c>
      <c r="BE78" s="29">
        <v>8720</v>
      </c>
      <c r="BF78" s="29">
        <v>8880</v>
      </c>
      <c r="BG78" s="29">
        <v>7680</v>
      </c>
      <c r="BH78" s="29">
        <v>7852</v>
      </c>
      <c r="BI78" s="29">
        <v>7639</v>
      </c>
      <c r="BJ78" s="29">
        <v>7654</v>
      </c>
      <c r="BK78" s="29">
        <v>7300</v>
      </c>
      <c r="BL78" s="30">
        <v>6918</v>
      </c>
      <c r="BM78" s="1">
        <v>6957</v>
      </c>
      <c r="BN78" s="1">
        <v>7270</v>
      </c>
      <c r="BO78" s="1">
        <v>7256</v>
      </c>
      <c r="BP78" s="1">
        <v>6367</v>
      </c>
      <c r="BQ78" s="1">
        <v>6467</v>
      </c>
      <c r="BR78" s="1">
        <v>6552</v>
      </c>
      <c r="BS78" s="1">
        <v>6575</v>
      </c>
      <c r="BT78" s="1">
        <v>6564</v>
      </c>
      <c r="BU78" s="1">
        <v>6331</v>
      </c>
      <c r="BV78" s="1">
        <v>6364</v>
      </c>
      <c r="BW78" s="1">
        <v>6280</v>
      </c>
      <c r="BX78" s="1">
        <v>6301</v>
      </c>
      <c r="BY78" s="1">
        <v>6271</v>
      </c>
      <c r="BZ78" s="1">
        <v>6303</v>
      </c>
    </row>
    <row r="79" spans="1:78" ht="15.9" customHeight="1">
      <c r="A79" s="65" t="s">
        <v>153</v>
      </c>
      <c r="B79" s="25" t="s">
        <v>154</v>
      </c>
      <c r="C79" s="39">
        <f>_xll.RssMarket("6479","高値")</f>
        <v>4126</v>
      </c>
      <c r="D79" s="38">
        <f t="shared" si="2"/>
        <v>273</v>
      </c>
      <c r="E79" s="29">
        <v>3853</v>
      </c>
      <c r="F79" s="29">
        <v>3776</v>
      </c>
      <c r="G79" s="29">
        <v>3800</v>
      </c>
      <c r="H79" s="29">
        <v>3591</v>
      </c>
      <c r="I79" s="29">
        <v>3700</v>
      </c>
      <c r="J79" s="29">
        <v>3805</v>
      </c>
      <c r="K79" s="29">
        <v>3917</v>
      </c>
      <c r="L79" s="29">
        <v>3975</v>
      </c>
      <c r="M79" s="29">
        <v>4055</v>
      </c>
      <c r="N79" s="29">
        <v>4085</v>
      </c>
      <c r="O79" s="29">
        <v>3902</v>
      </c>
      <c r="P79" s="29">
        <v>3999</v>
      </c>
      <c r="Q79" s="29">
        <v>4216</v>
      </c>
      <c r="R79" s="29">
        <v>4174</v>
      </c>
      <c r="S79" s="29">
        <v>4385</v>
      </c>
      <c r="T79" s="29">
        <v>4448</v>
      </c>
      <c r="U79" s="29">
        <v>4449</v>
      </c>
      <c r="V79" s="29">
        <v>4473</v>
      </c>
      <c r="W79" s="29">
        <v>4560</v>
      </c>
      <c r="X79" s="29">
        <v>4918</v>
      </c>
      <c r="Y79" s="29">
        <v>4848</v>
      </c>
      <c r="Z79" s="29">
        <v>4868</v>
      </c>
      <c r="AA79" s="29">
        <v>5013</v>
      </c>
      <c r="AB79" s="29">
        <v>4864</v>
      </c>
      <c r="AC79" s="29">
        <v>4851</v>
      </c>
      <c r="AD79" s="29">
        <v>5259</v>
      </c>
      <c r="AE79" s="29">
        <v>5307</v>
      </c>
      <c r="AF79" s="29">
        <v>5085</v>
      </c>
      <c r="AG79" s="29">
        <v>5262</v>
      </c>
      <c r="AH79" s="29">
        <v>5132</v>
      </c>
      <c r="AI79" s="29">
        <v>4726</v>
      </c>
      <c r="AJ79" s="29">
        <v>4745</v>
      </c>
      <c r="AK79" s="29">
        <v>4720</v>
      </c>
      <c r="AL79" s="29">
        <v>4723</v>
      </c>
      <c r="AM79" s="29">
        <v>4532</v>
      </c>
      <c r="AN79" s="29">
        <v>4477</v>
      </c>
      <c r="AO79" s="29">
        <v>4338</v>
      </c>
      <c r="AP79" s="29">
        <v>4640</v>
      </c>
      <c r="AQ79" s="29">
        <v>4733</v>
      </c>
      <c r="AR79" s="29">
        <v>5088</v>
      </c>
      <c r="AS79" s="29">
        <v>5005</v>
      </c>
      <c r="AT79" s="29">
        <v>4967</v>
      </c>
      <c r="AU79" s="29">
        <v>4740</v>
      </c>
      <c r="AV79" s="29">
        <v>4617</v>
      </c>
      <c r="AW79" s="29">
        <v>4328</v>
      </c>
      <c r="AX79" s="29">
        <v>4393</v>
      </c>
      <c r="AY79" s="29">
        <v>4246</v>
      </c>
      <c r="AZ79" s="29">
        <v>4057</v>
      </c>
      <c r="BA79" s="29">
        <v>3944</v>
      </c>
      <c r="BB79" s="29">
        <v>3898</v>
      </c>
      <c r="BC79" s="29">
        <v>3882</v>
      </c>
      <c r="BD79" s="29">
        <v>3990</v>
      </c>
      <c r="BE79" s="29">
        <v>4087</v>
      </c>
      <c r="BF79" s="29">
        <v>4088</v>
      </c>
      <c r="BG79" s="29">
        <v>3915</v>
      </c>
      <c r="BH79" s="29">
        <v>3604</v>
      </c>
      <c r="BI79" s="29">
        <v>3458</v>
      </c>
      <c r="BJ79" s="29">
        <v>3384</v>
      </c>
      <c r="BK79" s="29">
        <v>3319</v>
      </c>
      <c r="BL79" s="30">
        <v>3152</v>
      </c>
      <c r="BM79" s="1">
        <v>3150</v>
      </c>
      <c r="BN79" s="1">
        <v>3124</v>
      </c>
      <c r="BO79" s="1">
        <v>3150</v>
      </c>
      <c r="BP79" s="1">
        <v>3100</v>
      </c>
      <c r="BQ79" s="1">
        <v>3130</v>
      </c>
      <c r="BR79" s="1">
        <v>3149</v>
      </c>
      <c r="BS79" s="1">
        <v>3135</v>
      </c>
      <c r="BT79" s="1">
        <v>3120</v>
      </c>
      <c r="BU79" s="1">
        <v>3009</v>
      </c>
      <c r="BV79" s="1">
        <v>3033</v>
      </c>
      <c r="BW79" s="1">
        <v>2898.5</v>
      </c>
      <c r="BX79" s="1">
        <v>2918.5</v>
      </c>
      <c r="BY79" s="1">
        <v>2905.5</v>
      </c>
      <c r="BZ79" s="1">
        <v>2883</v>
      </c>
    </row>
    <row r="80" spans="1:78" ht="15.9" customHeight="1">
      <c r="A80" s="65" t="s">
        <v>155</v>
      </c>
      <c r="B80" s="25" t="s">
        <v>156</v>
      </c>
      <c r="C80" s="39">
        <f>_xll.RssMarket("1833","高値")</f>
        <v>5770</v>
      </c>
      <c r="D80" s="38">
        <f t="shared" si="2"/>
        <v>-20</v>
      </c>
      <c r="E80" s="29">
        <v>5790</v>
      </c>
      <c r="F80" s="29">
        <v>5880</v>
      </c>
      <c r="G80" s="29">
        <v>5870</v>
      </c>
      <c r="H80" s="29">
        <v>5830</v>
      </c>
      <c r="I80" s="29">
        <v>5900</v>
      </c>
      <c r="J80" s="29">
        <v>5890</v>
      </c>
      <c r="K80" s="29">
        <v>5880</v>
      </c>
      <c r="L80" s="29"/>
      <c r="M80" s="29">
        <v>5750</v>
      </c>
      <c r="N80" s="29">
        <v>5720</v>
      </c>
      <c r="O80" s="29">
        <v>5710</v>
      </c>
      <c r="P80" s="29">
        <v>5690</v>
      </c>
      <c r="Q80" s="29">
        <v>5710</v>
      </c>
      <c r="R80" s="29">
        <v>5650</v>
      </c>
      <c r="S80" s="29">
        <v>5680</v>
      </c>
      <c r="T80" s="29">
        <v>5730</v>
      </c>
      <c r="U80" s="29">
        <v>5770</v>
      </c>
      <c r="V80" s="29">
        <v>5760</v>
      </c>
      <c r="W80" s="29">
        <v>5880</v>
      </c>
      <c r="X80" s="29">
        <v>5800</v>
      </c>
      <c r="Y80" s="29">
        <v>5730</v>
      </c>
      <c r="Z80" s="29">
        <v>5740</v>
      </c>
      <c r="AA80" s="29">
        <v>5680</v>
      </c>
      <c r="AB80" s="29">
        <v>5720</v>
      </c>
      <c r="AC80" s="29">
        <v>5760</v>
      </c>
      <c r="AD80" s="29">
        <v>5660</v>
      </c>
      <c r="AE80" s="29">
        <v>5700</v>
      </c>
      <c r="AF80" s="29">
        <v>5680</v>
      </c>
      <c r="AG80" s="29">
        <v>5730</v>
      </c>
      <c r="AH80" s="29">
        <v>5720</v>
      </c>
      <c r="AI80" s="29">
        <v>5850</v>
      </c>
      <c r="AJ80" s="29">
        <v>5850</v>
      </c>
      <c r="AK80" s="29">
        <v>5790</v>
      </c>
      <c r="AL80" s="29">
        <v>5790</v>
      </c>
      <c r="AM80" s="29">
        <v>5870</v>
      </c>
      <c r="AN80" s="29">
        <v>5700</v>
      </c>
      <c r="AO80" s="29">
        <v>5590</v>
      </c>
      <c r="AP80" s="29">
        <v>5580</v>
      </c>
      <c r="AQ80" s="29">
        <v>5560</v>
      </c>
      <c r="AR80" s="29">
        <v>5630</v>
      </c>
      <c r="AS80" s="29">
        <v>5560</v>
      </c>
      <c r="AT80" s="29">
        <v>5600</v>
      </c>
      <c r="AU80" s="29">
        <v>5570</v>
      </c>
      <c r="AV80" s="29">
        <v>5630</v>
      </c>
      <c r="AW80" s="29">
        <v>5660</v>
      </c>
      <c r="AX80" s="29">
        <v>5660</v>
      </c>
      <c r="AY80" s="29">
        <v>5620</v>
      </c>
      <c r="AZ80" s="29">
        <v>5610</v>
      </c>
      <c r="BA80" s="29">
        <v>5700</v>
      </c>
      <c r="BB80" s="29">
        <v>5730</v>
      </c>
      <c r="BC80" s="29">
        <v>5820</v>
      </c>
      <c r="BD80" s="29">
        <v>5790</v>
      </c>
      <c r="BE80" s="29">
        <v>6070</v>
      </c>
      <c r="BF80" s="29">
        <v>6160</v>
      </c>
      <c r="BG80" s="29">
        <v>6340</v>
      </c>
      <c r="BH80" s="29">
        <v>6400</v>
      </c>
      <c r="BI80" s="29">
        <v>6280</v>
      </c>
      <c r="BJ80" s="29">
        <v>6180</v>
      </c>
      <c r="BK80" s="29">
        <v>6290</v>
      </c>
      <c r="BL80" s="30">
        <v>6180</v>
      </c>
      <c r="BM80" s="1">
        <v>6160</v>
      </c>
      <c r="BN80" s="1">
        <v>6140</v>
      </c>
      <c r="BO80" s="1">
        <v>6010</v>
      </c>
      <c r="BP80" s="1">
        <v>6150</v>
      </c>
      <c r="BQ80" s="1">
        <v>6090</v>
      </c>
      <c r="BR80" s="1">
        <v>6090</v>
      </c>
      <c r="BS80" s="1">
        <v>6150</v>
      </c>
      <c r="BT80" s="1">
        <v>6170</v>
      </c>
      <c r="BU80" s="1">
        <v>6210</v>
      </c>
      <c r="BV80" s="1">
        <v>6270</v>
      </c>
      <c r="BW80" s="1">
        <v>6340</v>
      </c>
      <c r="BX80" s="1">
        <v>6290</v>
      </c>
      <c r="BY80" s="1">
        <v>6360</v>
      </c>
      <c r="BZ80" s="1">
        <v>6440</v>
      </c>
    </row>
    <row r="81" spans="1:78" ht="15.9" customHeight="1">
      <c r="A81" s="65" t="s">
        <v>157</v>
      </c>
      <c r="B81" s="25" t="s">
        <v>158</v>
      </c>
      <c r="C81" s="39">
        <f>_xll.RssMarket("6841","高値")</f>
        <v>5581</v>
      </c>
      <c r="D81" s="38">
        <f t="shared" si="2"/>
        <v>-399</v>
      </c>
      <c r="E81" s="29">
        <v>5980</v>
      </c>
      <c r="F81" s="29">
        <v>5804</v>
      </c>
      <c r="G81" s="29">
        <v>5870</v>
      </c>
      <c r="H81" s="29">
        <v>5761</v>
      </c>
      <c r="I81" s="29">
        <v>5703</v>
      </c>
      <c r="J81" s="29">
        <v>5910</v>
      </c>
      <c r="K81" s="29">
        <v>6022</v>
      </c>
      <c r="L81" s="29">
        <v>5814</v>
      </c>
      <c r="M81" s="29">
        <v>5830</v>
      </c>
      <c r="N81" s="29">
        <v>5825</v>
      </c>
      <c r="O81" s="29">
        <v>5772</v>
      </c>
      <c r="P81" s="29">
        <v>5532</v>
      </c>
      <c r="Q81" s="29">
        <v>5647</v>
      </c>
      <c r="R81" s="29">
        <v>5518</v>
      </c>
      <c r="S81" s="29">
        <v>5659</v>
      </c>
      <c r="T81" s="29">
        <v>5622</v>
      </c>
      <c r="U81" s="29">
        <v>5526</v>
      </c>
      <c r="V81" s="29">
        <v>5658</v>
      </c>
      <c r="W81" s="29">
        <v>5914</v>
      </c>
      <c r="X81" s="29">
        <v>5934</v>
      </c>
      <c r="Y81" s="29">
        <v>5812</v>
      </c>
      <c r="Z81" s="29">
        <v>5722</v>
      </c>
      <c r="AA81" s="29">
        <v>5787</v>
      </c>
      <c r="AB81" s="29">
        <v>5694</v>
      </c>
      <c r="AC81" s="29">
        <v>5594</v>
      </c>
      <c r="AD81" s="29">
        <v>5670</v>
      </c>
      <c r="AE81" s="29">
        <v>5627</v>
      </c>
      <c r="AF81" s="29">
        <v>5621</v>
      </c>
      <c r="AG81" s="29">
        <v>5876</v>
      </c>
      <c r="AH81" s="29">
        <v>5740</v>
      </c>
      <c r="AI81" s="29">
        <v>5481</v>
      </c>
      <c r="AJ81" s="29">
        <v>5503</v>
      </c>
      <c r="AK81" s="29">
        <v>5413</v>
      </c>
      <c r="AL81" s="29">
        <v>5271</v>
      </c>
      <c r="AM81" s="29">
        <v>5195</v>
      </c>
      <c r="AN81" s="29">
        <v>5191</v>
      </c>
      <c r="AO81" s="29">
        <v>4809</v>
      </c>
      <c r="AP81" s="29">
        <v>4930</v>
      </c>
      <c r="AQ81" s="29">
        <v>5129</v>
      </c>
      <c r="AR81" s="29">
        <v>5347</v>
      </c>
      <c r="AS81" s="29">
        <v>5388</v>
      </c>
      <c r="AT81" s="29">
        <v>5412</v>
      </c>
      <c r="AU81" s="29">
        <v>5174</v>
      </c>
      <c r="AV81" s="29">
        <v>5052</v>
      </c>
      <c r="AW81" s="29">
        <v>4939</v>
      </c>
      <c r="AX81" s="29">
        <v>4980</v>
      </c>
      <c r="AY81" s="29">
        <v>5045</v>
      </c>
      <c r="AZ81" s="29">
        <v>4907</v>
      </c>
      <c r="BA81" s="29">
        <v>4841</v>
      </c>
      <c r="BB81" s="29">
        <v>4746</v>
      </c>
      <c r="BC81" s="29">
        <v>4936</v>
      </c>
      <c r="BD81" s="29">
        <v>5000</v>
      </c>
      <c r="BE81" s="29">
        <v>5174</v>
      </c>
      <c r="BF81" s="29">
        <v>5403</v>
      </c>
      <c r="BG81" s="29">
        <v>5283</v>
      </c>
      <c r="BH81" s="29">
        <v>5339</v>
      </c>
      <c r="BI81" s="29">
        <v>5371</v>
      </c>
      <c r="BJ81" s="29">
        <v>5446</v>
      </c>
      <c r="BK81" s="29">
        <v>5796</v>
      </c>
      <c r="BL81" s="30">
        <v>5500</v>
      </c>
      <c r="BM81" s="1">
        <v>5508</v>
      </c>
      <c r="BN81" s="1">
        <v>5493</v>
      </c>
      <c r="BO81" s="1">
        <v>5507</v>
      </c>
      <c r="BP81" s="1">
        <v>5332</v>
      </c>
      <c r="BQ81" s="1">
        <v>5432</v>
      </c>
      <c r="BR81" s="1">
        <v>5578</v>
      </c>
      <c r="BS81" s="1">
        <v>5669</v>
      </c>
      <c r="BT81" s="1">
        <v>5518</v>
      </c>
      <c r="BU81" s="1">
        <v>5518</v>
      </c>
      <c r="BV81" s="1">
        <v>5469</v>
      </c>
      <c r="BW81" s="1">
        <v>5622</v>
      </c>
      <c r="BX81" s="1">
        <v>5726</v>
      </c>
      <c r="BY81" s="1">
        <v>5635</v>
      </c>
      <c r="BZ81" s="1">
        <v>5697</v>
      </c>
    </row>
    <row r="82" spans="1:78" ht="15.9" customHeight="1">
      <c r="A82" s="65" t="s">
        <v>159</v>
      </c>
      <c r="B82" s="25" t="s">
        <v>160</v>
      </c>
      <c r="C82" s="39">
        <f>_xll.RssMarket("7167","高値")</f>
        <v>1517</v>
      </c>
      <c r="D82" s="38">
        <f t="shared" si="2"/>
        <v>20.5</v>
      </c>
      <c r="E82" s="29">
        <v>1496.5</v>
      </c>
      <c r="F82" s="29">
        <v>1508</v>
      </c>
      <c r="G82" s="29">
        <v>1514.5</v>
      </c>
      <c r="H82" s="29">
        <v>1482</v>
      </c>
      <c r="I82" s="29">
        <v>1518.5</v>
      </c>
      <c r="J82" s="29">
        <v>1544.5</v>
      </c>
      <c r="K82" s="29">
        <v>1558.5</v>
      </c>
      <c r="L82" s="29">
        <v>1547.5</v>
      </c>
      <c r="M82" s="29">
        <v>1524</v>
      </c>
      <c r="N82" s="29">
        <v>1511.5</v>
      </c>
      <c r="O82" s="29">
        <v>1474.5</v>
      </c>
      <c r="P82" s="29">
        <v>1515</v>
      </c>
      <c r="Q82" s="29">
        <v>1538.5</v>
      </c>
      <c r="R82" s="29">
        <v>1528.5</v>
      </c>
      <c r="S82" s="29">
        <v>1565.5</v>
      </c>
      <c r="T82" s="29">
        <v>1585.5</v>
      </c>
      <c r="U82" s="29">
        <v>1566</v>
      </c>
      <c r="V82" s="29">
        <v>1575.5</v>
      </c>
      <c r="W82" s="29">
        <v>1572</v>
      </c>
      <c r="X82" s="29">
        <v>1529.5</v>
      </c>
      <c r="Y82" s="29">
        <v>1512.5</v>
      </c>
      <c r="Z82" s="29">
        <v>1484</v>
      </c>
      <c r="AA82" s="29">
        <v>1438.5</v>
      </c>
      <c r="AB82" s="29">
        <v>1439</v>
      </c>
      <c r="AC82" s="29">
        <v>1426.5</v>
      </c>
      <c r="AD82" s="29">
        <v>1410</v>
      </c>
      <c r="AE82" s="29">
        <v>1411</v>
      </c>
      <c r="AF82" s="29">
        <v>1424</v>
      </c>
      <c r="AG82" s="29">
        <v>1443.5</v>
      </c>
      <c r="AH82" s="29">
        <v>1435.5</v>
      </c>
      <c r="AI82" s="29">
        <v>1444.5</v>
      </c>
      <c r="AJ82" s="29">
        <v>1439.5</v>
      </c>
      <c r="AK82" s="29">
        <v>1446.5</v>
      </c>
      <c r="AL82" s="29">
        <v>1417</v>
      </c>
      <c r="AM82" s="29">
        <v>1456.5</v>
      </c>
      <c r="AN82" s="29">
        <v>1423</v>
      </c>
      <c r="AO82" s="29">
        <v>1380</v>
      </c>
      <c r="AP82" s="29">
        <v>1423.5</v>
      </c>
      <c r="AQ82" s="29">
        <v>1357</v>
      </c>
      <c r="AR82" s="29">
        <v>1376</v>
      </c>
      <c r="AS82" s="29">
        <v>1359</v>
      </c>
      <c r="AT82" s="29">
        <v>1343.5</v>
      </c>
      <c r="AU82" s="29">
        <v>1325.5</v>
      </c>
      <c r="AV82" s="29">
        <v>1369.5</v>
      </c>
      <c r="AW82" s="29">
        <v>1374</v>
      </c>
      <c r="AX82" s="29">
        <v>1386.5</v>
      </c>
      <c r="AY82" s="29">
        <v>1406.5</v>
      </c>
      <c r="AZ82" s="29">
        <v>1429</v>
      </c>
      <c r="BA82" s="29">
        <v>1433.5</v>
      </c>
      <c r="BB82" s="29">
        <v>1406</v>
      </c>
      <c r="BC82" s="29">
        <v>1393.5</v>
      </c>
      <c r="BD82" s="29">
        <v>1390</v>
      </c>
      <c r="BE82" s="29">
        <v>1403</v>
      </c>
      <c r="BF82" s="29">
        <v>1386</v>
      </c>
      <c r="BG82" s="29">
        <v>1399.5</v>
      </c>
      <c r="BH82" s="29">
        <v>1369</v>
      </c>
      <c r="BI82" s="29">
        <v>1341.5</v>
      </c>
      <c r="BJ82" s="29">
        <v>1326.5</v>
      </c>
      <c r="BK82" s="29">
        <v>1361</v>
      </c>
      <c r="BL82" s="30">
        <v>1309</v>
      </c>
      <c r="BM82" s="1">
        <v>1300</v>
      </c>
      <c r="BN82" s="1">
        <v>1319.5</v>
      </c>
      <c r="BO82" s="1">
        <v>1238.5</v>
      </c>
      <c r="BP82" s="1">
        <v>1235.5</v>
      </c>
      <c r="BQ82" s="1">
        <v>1241.5</v>
      </c>
      <c r="BR82" s="1">
        <v>1284.5</v>
      </c>
      <c r="BS82" s="1">
        <v>1321</v>
      </c>
      <c r="BT82" s="1">
        <v>1357</v>
      </c>
      <c r="BU82" s="1">
        <v>1363.5</v>
      </c>
      <c r="BV82" s="1">
        <v>1370.5</v>
      </c>
      <c r="BW82" s="1">
        <v>1376.5</v>
      </c>
      <c r="BX82" s="1">
        <v>1353</v>
      </c>
      <c r="BY82" s="1">
        <v>1360.5</v>
      </c>
      <c r="BZ82" s="1">
        <v>1381</v>
      </c>
    </row>
    <row r="83" spans="1:78" ht="15.9" customHeight="1">
      <c r="A83" s="65" t="s">
        <v>161</v>
      </c>
      <c r="B83" s="25" t="s">
        <v>162</v>
      </c>
      <c r="C83" s="39">
        <f>_xll.RssMarket("1925","高値")</f>
        <v>4573</v>
      </c>
      <c r="D83" s="38">
        <f t="shared" si="2"/>
        <v>-19</v>
      </c>
      <c r="E83" s="29">
        <v>4592</v>
      </c>
      <c r="F83" s="29">
        <v>4671</v>
      </c>
      <c r="G83" s="29">
        <v>4768</v>
      </c>
      <c r="H83" s="29">
        <v>4901</v>
      </c>
      <c r="I83" s="29">
        <v>4929</v>
      </c>
      <c r="J83" s="29">
        <v>4786</v>
      </c>
      <c r="K83" s="29">
        <v>4740</v>
      </c>
      <c r="L83" s="29">
        <v>4595</v>
      </c>
      <c r="M83" s="29">
        <v>4585</v>
      </c>
      <c r="N83" s="29">
        <v>4607</v>
      </c>
      <c r="O83" s="29">
        <v>4668</v>
      </c>
      <c r="P83" s="29">
        <v>4684</v>
      </c>
      <c r="Q83" s="29">
        <v>4628</v>
      </c>
      <c r="R83" s="29">
        <v>4615</v>
      </c>
      <c r="S83" s="29">
        <v>4553</v>
      </c>
      <c r="T83" s="29">
        <v>4575</v>
      </c>
      <c r="U83" s="29">
        <v>4549</v>
      </c>
      <c r="V83" s="29">
        <v>4600</v>
      </c>
      <c r="W83" s="29">
        <v>4600</v>
      </c>
      <c r="X83" s="29">
        <v>4585</v>
      </c>
      <c r="Y83" s="29">
        <v>4557</v>
      </c>
      <c r="Z83" s="29">
        <v>4463</v>
      </c>
      <c r="AA83" s="29">
        <v>4419</v>
      </c>
      <c r="AB83" s="29">
        <v>4493</v>
      </c>
      <c r="AC83" s="29">
        <v>4500</v>
      </c>
      <c r="AD83" s="29">
        <v>4425</v>
      </c>
      <c r="AE83" s="29">
        <v>4404</v>
      </c>
      <c r="AF83" s="29">
        <v>4342</v>
      </c>
      <c r="AG83" s="29">
        <v>4330</v>
      </c>
      <c r="AH83" s="29">
        <v>4309</v>
      </c>
      <c r="AI83" s="29">
        <v>4378</v>
      </c>
      <c r="AJ83" s="29">
        <v>4380</v>
      </c>
      <c r="AK83" s="29">
        <v>4435</v>
      </c>
      <c r="AL83" s="29">
        <v>4373</v>
      </c>
      <c r="AM83" s="29">
        <v>4422</v>
      </c>
      <c r="AN83" s="29">
        <v>4345</v>
      </c>
      <c r="AO83" s="29">
        <v>4374</v>
      </c>
      <c r="AP83" s="29">
        <v>4381</v>
      </c>
      <c r="AQ83" s="29">
        <v>4262</v>
      </c>
      <c r="AR83" s="29">
        <v>4270</v>
      </c>
      <c r="AS83" s="29">
        <v>4276</v>
      </c>
      <c r="AT83" s="29">
        <v>4287</v>
      </c>
      <c r="AU83" s="29">
        <v>4194</v>
      </c>
      <c r="AV83" s="29">
        <v>4421</v>
      </c>
      <c r="AW83" s="29">
        <v>4429</v>
      </c>
      <c r="AX83" s="29">
        <v>4434</v>
      </c>
      <c r="AY83" s="29">
        <v>4489</v>
      </c>
      <c r="AZ83" s="29">
        <v>4472</v>
      </c>
      <c r="BA83" s="29">
        <v>4548</v>
      </c>
      <c r="BB83" s="29">
        <v>4582</v>
      </c>
      <c r="BC83" s="29">
        <v>4576</v>
      </c>
      <c r="BD83" s="29">
        <v>4551</v>
      </c>
      <c r="BE83" s="29">
        <v>4570</v>
      </c>
      <c r="BF83" s="29">
        <v>4693</v>
      </c>
      <c r="BG83" s="29">
        <v>4831</v>
      </c>
      <c r="BH83" s="29">
        <v>4809</v>
      </c>
      <c r="BI83" s="29">
        <v>4800</v>
      </c>
      <c r="BJ83" s="29">
        <v>4835</v>
      </c>
      <c r="BK83" s="29">
        <v>4825</v>
      </c>
      <c r="BL83" s="30">
        <v>4795</v>
      </c>
      <c r="BM83" s="1">
        <v>4828</v>
      </c>
      <c r="BN83" s="1">
        <v>4884</v>
      </c>
      <c r="BO83" s="1">
        <v>4799</v>
      </c>
      <c r="BP83" s="1">
        <v>4823</v>
      </c>
      <c r="BQ83" s="1">
        <v>4851</v>
      </c>
      <c r="BR83" s="1">
        <v>4899</v>
      </c>
      <c r="BS83" s="1">
        <v>4929</v>
      </c>
      <c r="BT83" s="1">
        <v>4914</v>
      </c>
      <c r="BU83" s="1">
        <v>4916</v>
      </c>
      <c r="BV83" s="1">
        <v>4949</v>
      </c>
      <c r="BW83" s="1">
        <v>4939</v>
      </c>
      <c r="BX83" s="1">
        <v>4938</v>
      </c>
      <c r="BY83" s="1">
        <v>4973</v>
      </c>
      <c r="BZ83" s="1">
        <v>5009</v>
      </c>
    </row>
    <row r="84" spans="1:78" ht="15.9" customHeight="1">
      <c r="A84" s="65" t="s">
        <v>163</v>
      </c>
      <c r="B84" s="25" t="s">
        <v>164</v>
      </c>
      <c r="C84" s="39">
        <f>_xll.RssMarket("5411","高値")</f>
        <v>1805.5</v>
      </c>
      <c r="D84" s="38">
        <f t="shared" si="2"/>
        <v>-6.5</v>
      </c>
      <c r="E84" s="29">
        <v>1812</v>
      </c>
      <c r="F84" s="29">
        <v>1802</v>
      </c>
      <c r="G84" s="29">
        <v>1850</v>
      </c>
      <c r="H84" s="29">
        <v>1865</v>
      </c>
      <c r="I84" s="29">
        <v>1867.5</v>
      </c>
      <c r="J84" s="29">
        <v>1795</v>
      </c>
      <c r="K84" s="29">
        <v>1804.5</v>
      </c>
      <c r="L84" s="29">
        <v>1729</v>
      </c>
      <c r="M84" s="29">
        <v>1738</v>
      </c>
      <c r="N84" s="29">
        <v>1747.5</v>
      </c>
      <c r="O84" s="29">
        <v>1743.5</v>
      </c>
      <c r="P84" s="29">
        <v>1706.5</v>
      </c>
      <c r="Q84" s="29">
        <v>1688.5</v>
      </c>
      <c r="R84" s="29">
        <v>1666</v>
      </c>
      <c r="S84" s="29">
        <v>1644</v>
      </c>
      <c r="T84" s="29">
        <v>1627</v>
      </c>
      <c r="U84" s="29">
        <v>1644</v>
      </c>
      <c r="V84" s="29">
        <v>1658</v>
      </c>
      <c r="W84" s="29">
        <v>1673</v>
      </c>
      <c r="X84" s="29">
        <v>1662</v>
      </c>
      <c r="Y84" s="29">
        <v>1612.5</v>
      </c>
      <c r="Z84" s="29">
        <v>1584</v>
      </c>
      <c r="AA84" s="29">
        <v>1567.5</v>
      </c>
      <c r="AB84" s="29">
        <v>1572</v>
      </c>
      <c r="AC84" s="29">
        <v>1563.5</v>
      </c>
      <c r="AD84" s="29">
        <v>1558.5</v>
      </c>
      <c r="AE84" s="29">
        <v>1573</v>
      </c>
      <c r="AF84" s="29">
        <v>1581</v>
      </c>
      <c r="AG84" s="29">
        <v>1604</v>
      </c>
      <c r="AH84" s="29">
        <v>1617</v>
      </c>
      <c r="AI84" s="29">
        <v>1642</v>
      </c>
      <c r="AJ84" s="29">
        <v>1658.5</v>
      </c>
      <c r="AK84" s="29">
        <v>1653</v>
      </c>
      <c r="AL84" s="29">
        <v>1659</v>
      </c>
      <c r="AM84" s="29">
        <v>1653.5</v>
      </c>
      <c r="AN84" s="29">
        <v>1622.5</v>
      </c>
      <c r="AO84" s="29">
        <v>1577.5</v>
      </c>
      <c r="AP84" s="29">
        <v>1587</v>
      </c>
      <c r="AQ84" s="29">
        <v>1623</v>
      </c>
      <c r="AR84" s="29">
        <v>1620</v>
      </c>
      <c r="AS84" s="29">
        <v>1610</v>
      </c>
      <c r="AT84" s="29">
        <v>1612</v>
      </c>
      <c r="AU84" s="29">
        <v>1618</v>
      </c>
      <c r="AV84" s="29">
        <v>1723.5</v>
      </c>
      <c r="AW84" s="29">
        <v>1687</v>
      </c>
      <c r="AX84" s="29">
        <v>1686</v>
      </c>
      <c r="AY84" s="29">
        <v>1654</v>
      </c>
      <c r="AZ84" s="29">
        <v>1661.5</v>
      </c>
      <c r="BA84" s="29">
        <v>1664.5</v>
      </c>
      <c r="BB84" s="29">
        <v>1672.5</v>
      </c>
      <c r="BC84" s="29">
        <v>1684</v>
      </c>
      <c r="BD84" s="29">
        <v>1674.5</v>
      </c>
      <c r="BE84" s="29">
        <v>1707.5</v>
      </c>
      <c r="BF84" s="29">
        <v>1724.5</v>
      </c>
      <c r="BG84" s="29">
        <v>1731</v>
      </c>
      <c r="BH84" s="29">
        <v>1705.5</v>
      </c>
      <c r="BI84" s="29">
        <v>1747</v>
      </c>
      <c r="BJ84" s="29">
        <v>1814.5</v>
      </c>
      <c r="BK84" s="29">
        <v>1747</v>
      </c>
      <c r="BL84" s="30">
        <v>1723.5</v>
      </c>
      <c r="BM84" s="1">
        <v>1718.5</v>
      </c>
      <c r="BN84" s="1">
        <v>1700.5</v>
      </c>
      <c r="BO84" s="1">
        <v>1691.5</v>
      </c>
      <c r="BP84" s="1">
        <v>1707</v>
      </c>
      <c r="BQ84" s="1">
        <v>1731</v>
      </c>
      <c r="BR84" s="1">
        <v>1746</v>
      </c>
      <c r="BS84" s="1">
        <v>1767</v>
      </c>
      <c r="BT84" s="1">
        <v>1807.5</v>
      </c>
      <c r="BU84" s="1">
        <v>1824</v>
      </c>
      <c r="BV84" s="1">
        <v>1830</v>
      </c>
      <c r="BW84" s="1">
        <v>1838.5</v>
      </c>
      <c r="BX84" s="1">
        <v>1859.5</v>
      </c>
      <c r="BY84" s="1">
        <v>1867.5</v>
      </c>
      <c r="BZ84" s="1">
        <v>1877.5</v>
      </c>
    </row>
    <row r="85" spans="1:78" ht="15.9" customHeight="1">
      <c r="A85" s="65" t="s">
        <v>165</v>
      </c>
      <c r="B85" s="25" t="s">
        <v>166</v>
      </c>
      <c r="C85" s="39">
        <f>_xll.RssMarket("7182","高値")</f>
        <v>3176</v>
      </c>
      <c r="D85" s="38">
        <f t="shared" si="2"/>
        <v>42</v>
      </c>
      <c r="E85" s="29">
        <v>3134</v>
      </c>
      <c r="F85" s="29">
        <v>3123</v>
      </c>
      <c r="G85" s="29">
        <v>3157</v>
      </c>
      <c r="H85" s="29">
        <v>3165</v>
      </c>
      <c r="I85" s="29">
        <v>3241</v>
      </c>
      <c r="J85" s="29">
        <v>3371</v>
      </c>
      <c r="K85" s="29">
        <v>3430</v>
      </c>
      <c r="L85" s="29">
        <v>3465</v>
      </c>
      <c r="M85" s="29">
        <v>3461</v>
      </c>
      <c r="N85" s="29">
        <v>3460</v>
      </c>
      <c r="O85" s="29">
        <v>3348</v>
      </c>
      <c r="P85" s="29">
        <v>3261</v>
      </c>
      <c r="Q85" s="29">
        <v>3352</v>
      </c>
      <c r="R85" s="29">
        <v>3324</v>
      </c>
      <c r="S85" s="29">
        <v>3363</v>
      </c>
      <c r="T85" s="29">
        <v>3348</v>
      </c>
      <c r="U85" s="29">
        <v>3317</v>
      </c>
      <c r="V85" s="29">
        <v>3363</v>
      </c>
      <c r="W85" s="29">
        <v>3402</v>
      </c>
      <c r="X85" s="29">
        <v>3263</v>
      </c>
      <c r="Y85" s="29">
        <v>3230</v>
      </c>
      <c r="Z85" s="29">
        <v>3169</v>
      </c>
      <c r="AA85" s="29">
        <v>3123</v>
      </c>
      <c r="AB85" s="29">
        <v>3127</v>
      </c>
      <c r="AC85" s="29">
        <v>3089</v>
      </c>
      <c r="AD85" s="29">
        <v>3092</v>
      </c>
      <c r="AE85" s="29">
        <v>3100</v>
      </c>
      <c r="AF85" s="29">
        <v>3242</v>
      </c>
      <c r="AG85" s="29">
        <v>3293</v>
      </c>
      <c r="AH85" s="29">
        <v>3286</v>
      </c>
      <c r="AI85" s="29">
        <v>3287</v>
      </c>
      <c r="AJ85" s="29">
        <v>3296</v>
      </c>
      <c r="AK85" s="29">
        <v>3235</v>
      </c>
      <c r="AL85" s="29">
        <v>3183</v>
      </c>
      <c r="AM85" s="29">
        <v>3308</v>
      </c>
      <c r="AN85" s="29">
        <v>3255</v>
      </c>
      <c r="AO85" s="29">
        <v>3113</v>
      </c>
      <c r="AP85" s="29">
        <v>3248</v>
      </c>
      <c r="AQ85" s="29">
        <v>3145</v>
      </c>
      <c r="AR85" s="29">
        <v>3277</v>
      </c>
      <c r="AS85" s="29">
        <v>3234</v>
      </c>
      <c r="AT85" s="29">
        <v>3175</v>
      </c>
      <c r="AU85" s="29">
        <v>3066</v>
      </c>
      <c r="AV85" s="29">
        <v>3072</v>
      </c>
      <c r="AW85" s="29">
        <v>2977</v>
      </c>
      <c r="AX85" s="29">
        <v>3033</v>
      </c>
      <c r="AY85" s="29">
        <v>3137</v>
      </c>
      <c r="AZ85" s="29">
        <v>3200</v>
      </c>
      <c r="BA85" s="29">
        <v>3208</v>
      </c>
      <c r="BB85" s="29">
        <v>3165</v>
      </c>
      <c r="BC85" s="29">
        <v>3060</v>
      </c>
      <c r="BD85" s="29">
        <v>2990</v>
      </c>
      <c r="BE85" s="29">
        <v>2861.5</v>
      </c>
      <c r="BF85" s="29">
        <v>2864</v>
      </c>
      <c r="BG85" s="29">
        <v>2876.5</v>
      </c>
      <c r="BH85" s="29">
        <v>2876</v>
      </c>
      <c r="BI85" s="29">
        <v>2797</v>
      </c>
      <c r="BJ85" s="29">
        <v>2770</v>
      </c>
      <c r="BK85" s="29">
        <v>2823.5</v>
      </c>
      <c r="BL85" s="30">
        <v>2704.5</v>
      </c>
      <c r="BM85" s="1">
        <v>2699</v>
      </c>
      <c r="BN85" s="1">
        <v>2696.5</v>
      </c>
      <c r="BO85" s="1">
        <v>2549.5</v>
      </c>
      <c r="BP85" s="1">
        <v>2535</v>
      </c>
      <c r="BQ85" s="1">
        <v>2558.5</v>
      </c>
      <c r="BR85" s="1">
        <v>2611</v>
      </c>
      <c r="BS85" s="1">
        <v>2710</v>
      </c>
      <c r="BT85" s="1">
        <v>2759</v>
      </c>
      <c r="BU85" s="1">
        <v>2798.5</v>
      </c>
      <c r="BV85" s="1">
        <v>2811</v>
      </c>
      <c r="BW85" s="1">
        <v>2787.5</v>
      </c>
      <c r="BX85" s="1">
        <v>2751</v>
      </c>
      <c r="BY85" s="1">
        <v>2749.5</v>
      </c>
      <c r="BZ85" s="1">
        <v>2747</v>
      </c>
    </row>
    <row r="86" spans="1:78" ht="15.9" customHeight="1">
      <c r="A86" s="65" t="s">
        <v>167</v>
      </c>
      <c r="B86" s="25" t="s">
        <v>168</v>
      </c>
      <c r="C86" s="39">
        <f>_xll.RssMarket("1963","高値")</f>
        <v>2355.5</v>
      </c>
      <c r="D86" s="38">
        <f t="shared" si="2"/>
        <v>44</v>
      </c>
      <c r="E86" s="29">
        <v>2311.5</v>
      </c>
      <c r="F86" s="29">
        <v>2274</v>
      </c>
      <c r="G86" s="29">
        <v>2314.5</v>
      </c>
      <c r="H86" s="29">
        <v>2275.5</v>
      </c>
      <c r="I86" s="29">
        <v>2329</v>
      </c>
      <c r="J86" s="29">
        <v>2337</v>
      </c>
      <c r="K86" s="29">
        <v>2375</v>
      </c>
      <c r="L86" s="29"/>
      <c r="M86" s="29">
        <v>2341</v>
      </c>
      <c r="N86" s="29">
        <v>2331.5</v>
      </c>
      <c r="O86" s="29">
        <v>2277.5</v>
      </c>
      <c r="P86" s="29">
        <v>2255</v>
      </c>
      <c r="Q86" s="29">
        <v>2337.5</v>
      </c>
      <c r="R86" s="29">
        <v>2311.5</v>
      </c>
      <c r="S86" s="29">
        <v>2432</v>
      </c>
      <c r="T86" s="29">
        <v>2359</v>
      </c>
      <c r="U86" s="29">
        <v>2379</v>
      </c>
      <c r="V86" s="29">
        <v>2478.5</v>
      </c>
      <c r="W86" s="29">
        <v>2583</v>
      </c>
      <c r="X86" s="29">
        <v>2566.5</v>
      </c>
      <c r="Y86" s="29">
        <v>2525</v>
      </c>
      <c r="Z86" s="29">
        <v>2521</v>
      </c>
      <c r="AA86" s="29">
        <v>2537</v>
      </c>
      <c r="AB86" s="29">
        <v>2591</v>
      </c>
      <c r="AC86" s="29">
        <v>2607</v>
      </c>
      <c r="AD86" s="29">
        <v>2554</v>
      </c>
      <c r="AE86" s="29">
        <v>2603</v>
      </c>
      <c r="AF86" s="29">
        <v>2605</v>
      </c>
      <c r="AG86" s="29">
        <v>2673.5</v>
      </c>
      <c r="AH86" s="29">
        <v>2650.5</v>
      </c>
      <c r="AI86" s="29">
        <v>2813.5</v>
      </c>
      <c r="AJ86" s="29">
        <v>2834</v>
      </c>
      <c r="AK86" s="29">
        <v>2806.5</v>
      </c>
      <c r="AL86" s="29">
        <v>2704.5</v>
      </c>
      <c r="AM86" s="29">
        <v>2825</v>
      </c>
      <c r="AN86" s="29">
        <v>2584</v>
      </c>
      <c r="AO86" s="29">
        <v>2494</v>
      </c>
      <c r="AP86" s="29">
        <v>2576</v>
      </c>
      <c r="AQ86" s="29">
        <v>2601.5</v>
      </c>
      <c r="AR86" s="29">
        <v>2664</v>
      </c>
      <c r="AS86" s="29">
        <v>2647</v>
      </c>
      <c r="AT86" s="29">
        <v>2683</v>
      </c>
      <c r="AU86" s="29">
        <v>2654.5</v>
      </c>
      <c r="AV86" s="29">
        <v>2753</v>
      </c>
      <c r="AW86" s="29">
        <v>2858</v>
      </c>
      <c r="AX86" s="29">
        <v>2873.5</v>
      </c>
      <c r="AY86" s="29">
        <v>2927.5</v>
      </c>
      <c r="AZ86" s="29">
        <v>2832.5</v>
      </c>
      <c r="BA86" s="29">
        <v>2745</v>
      </c>
      <c r="BB86" s="29">
        <v>2711.5</v>
      </c>
      <c r="BC86" s="29">
        <v>2655.5</v>
      </c>
      <c r="BD86" s="29">
        <v>2699</v>
      </c>
      <c r="BE86" s="29">
        <v>2809</v>
      </c>
      <c r="BF86" s="29">
        <v>2452</v>
      </c>
      <c r="BG86" s="29">
        <v>2472.5</v>
      </c>
      <c r="BH86" s="29">
        <v>2489.5</v>
      </c>
      <c r="BI86" s="29">
        <v>2555</v>
      </c>
      <c r="BJ86" s="29">
        <v>2518</v>
      </c>
      <c r="BK86" s="29">
        <v>2484.5</v>
      </c>
      <c r="BL86" s="30">
        <v>2413</v>
      </c>
      <c r="BM86" s="1">
        <v>2448</v>
      </c>
      <c r="BN86" s="1">
        <v>2468</v>
      </c>
      <c r="BO86" s="1">
        <v>2405</v>
      </c>
      <c r="BP86" s="1">
        <v>2410</v>
      </c>
      <c r="BQ86" s="1">
        <v>2368</v>
      </c>
      <c r="BR86" s="1">
        <v>2372.5</v>
      </c>
      <c r="BS86" s="1">
        <v>2439</v>
      </c>
      <c r="BT86" s="1">
        <v>2531.5</v>
      </c>
      <c r="BU86" s="1">
        <v>2557</v>
      </c>
      <c r="BV86" s="1">
        <v>2575.5</v>
      </c>
      <c r="BW86" s="1">
        <v>2692</v>
      </c>
      <c r="BX86" s="1">
        <v>2724</v>
      </c>
      <c r="BY86" s="1">
        <v>2807.5</v>
      </c>
      <c r="BZ86" s="1">
        <v>2850</v>
      </c>
    </row>
    <row r="87" spans="1:78" ht="15.9" customHeight="1">
      <c r="A87" s="65" t="s">
        <v>169</v>
      </c>
      <c r="B87" s="25" t="s">
        <v>170</v>
      </c>
      <c r="C87" s="39">
        <f>_xll.RssMarket("2914","高値")</f>
        <v>6835</v>
      </c>
      <c r="D87" s="38">
        <f t="shared" si="2"/>
        <v>-114</v>
      </c>
      <c r="E87" s="29">
        <v>6949</v>
      </c>
      <c r="F87" s="29">
        <v>7068</v>
      </c>
      <c r="G87" s="29">
        <v>7218</v>
      </c>
      <c r="H87" s="29">
        <v>6820</v>
      </c>
      <c r="I87" s="29">
        <v>6832</v>
      </c>
      <c r="J87" s="29">
        <v>6652</v>
      </c>
      <c r="K87" s="29">
        <v>6575</v>
      </c>
      <c r="L87" s="29">
        <v>6481</v>
      </c>
      <c r="M87" s="29">
        <v>6525</v>
      </c>
      <c r="N87" s="29">
        <v>6458</v>
      </c>
      <c r="O87" s="29">
        <v>6459</v>
      </c>
      <c r="P87" s="29">
        <v>6376</v>
      </c>
      <c r="Q87" s="29">
        <v>6150</v>
      </c>
      <c r="R87" s="29">
        <v>6214</v>
      </c>
      <c r="S87" s="29">
        <v>6152</v>
      </c>
      <c r="T87" s="29">
        <v>6215</v>
      </c>
      <c r="U87" s="29">
        <v>6222</v>
      </c>
      <c r="V87" s="29">
        <v>6278</v>
      </c>
      <c r="W87" s="29">
        <v>6219</v>
      </c>
      <c r="X87" s="29">
        <v>6189</v>
      </c>
      <c r="Y87" s="29">
        <v>6207</v>
      </c>
      <c r="Z87" s="29">
        <v>6097</v>
      </c>
      <c r="AA87" s="29">
        <v>6036</v>
      </c>
      <c r="AB87" s="29">
        <v>6042</v>
      </c>
      <c r="AC87" s="29">
        <v>6047</v>
      </c>
      <c r="AD87" s="29">
        <v>6089</v>
      </c>
      <c r="AE87" s="29">
        <v>6007</v>
      </c>
      <c r="AF87" s="29">
        <v>6011</v>
      </c>
      <c r="AG87" s="29">
        <v>5976</v>
      </c>
      <c r="AH87" s="29">
        <v>6038</v>
      </c>
      <c r="AI87" s="29">
        <v>6088</v>
      </c>
      <c r="AJ87" s="29">
        <v>6094</v>
      </c>
      <c r="AK87" s="29">
        <v>6160</v>
      </c>
      <c r="AL87" s="29">
        <v>6099</v>
      </c>
      <c r="AM87" s="29">
        <v>6215</v>
      </c>
      <c r="AN87" s="29">
        <v>6363</v>
      </c>
      <c r="AO87" s="29">
        <v>6338</v>
      </c>
      <c r="AP87" s="29">
        <v>6164</v>
      </c>
      <c r="AQ87" s="29">
        <v>6135</v>
      </c>
      <c r="AR87" s="29">
        <v>6067</v>
      </c>
      <c r="AS87" s="29">
        <v>6109</v>
      </c>
      <c r="AT87" s="29">
        <v>6154</v>
      </c>
      <c r="AU87" s="29">
        <v>6161</v>
      </c>
      <c r="AV87" s="29">
        <v>6200</v>
      </c>
      <c r="AW87" s="29">
        <v>6201</v>
      </c>
      <c r="AX87" s="29">
        <v>6121</v>
      </c>
      <c r="AY87" s="29">
        <v>6134</v>
      </c>
      <c r="AZ87" s="29">
        <v>6231</v>
      </c>
      <c r="BA87" s="29">
        <v>6359</v>
      </c>
      <c r="BB87" s="29">
        <v>6455</v>
      </c>
      <c r="BC87" s="29">
        <v>6474</v>
      </c>
      <c r="BD87" s="29">
        <v>6396</v>
      </c>
      <c r="BE87" s="29">
        <v>6315</v>
      </c>
      <c r="BF87" s="29">
        <v>6278</v>
      </c>
      <c r="BG87" s="29">
        <v>6214</v>
      </c>
      <c r="BH87" s="29">
        <v>6136</v>
      </c>
      <c r="BI87" s="29">
        <v>6164</v>
      </c>
      <c r="BJ87" s="29">
        <v>5863</v>
      </c>
      <c r="BK87" s="29">
        <v>5964</v>
      </c>
      <c r="BL87" s="30">
        <v>5905</v>
      </c>
      <c r="BM87" s="1">
        <v>5865</v>
      </c>
      <c r="BN87" s="1">
        <v>5788</v>
      </c>
      <c r="BO87" s="1">
        <v>5821</v>
      </c>
      <c r="BP87" s="1">
        <v>5907</v>
      </c>
      <c r="BQ87" s="1">
        <v>5866</v>
      </c>
      <c r="BR87" s="1">
        <v>5719</v>
      </c>
      <c r="BS87" s="1">
        <v>5808</v>
      </c>
      <c r="BT87" s="1">
        <v>5835</v>
      </c>
      <c r="BU87" s="1">
        <v>5853</v>
      </c>
      <c r="BV87" s="1">
        <v>5880</v>
      </c>
      <c r="BW87" s="1">
        <v>5918</v>
      </c>
      <c r="BX87" s="1">
        <v>5961</v>
      </c>
      <c r="BY87" s="1">
        <v>6048</v>
      </c>
      <c r="BZ87" s="1">
        <v>6047</v>
      </c>
    </row>
    <row r="88" spans="1:78" ht="15.9" customHeight="1">
      <c r="A88" s="65" t="s">
        <v>171</v>
      </c>
      <c r="B88" s="25" t="s">
        <v>172</v>
      </c>
      <c r="C88" s="39">
        <f>_xll.RssMarket("3003","高値")</f>
        <v>1728</v>
      </c>
      <c r="D88" s="38">
        <f t="shared" si="2"/>
        <v>3</v>
      </c>
      <c r="E88" s="29">
        <v>1725</v>
      </c>
      <c r="F88" s="29">
        <v>1760.5</v>
      </c>
      <c r="G88" s="29">
        <v>1811</v>
      </c>
      <c r="H88" s="29">
        <v>1913</v>
      </c>
      <c r="I88" s="29">
        <v>1915</v>
      </c>
      <c r="J88" s="29">
        <v>1857</v>
      </c>
      <c r="K88" s="29">
        <v>1835</v>
      </c>
      <c r="L88" s="29">
        <v>1780</v>
      </c>
      <c r="M88" s="29">
        <v>1799</v>
      </c>
      <c r="N88" s="29">
        <v>1813</v>
      </c>
      <c r="O88" s="29">
        <v>1839.5</v>
      </c>
      <c r="P88" s="29">
        <v>1821.5</v>
      </c>
      <c r="Q88" s="29">
        <v>1798.5</v>
      </c>
      <c r="R88" s="29">
        <v>1788</v>
      </c>
      <c r="S88" s="29">
        <v>1774.5</v>
      </c>
      <c r="T88" s="29">
        <v>1758</v>
      </c>
      <c r="U88" s="29">
        <v>1771</v>
      </c>
      <c r="V88" s="29">
        <v>1809</v>
      </c>
      <c r="W88" s="29">
        <v>1777</v>
      </c>
      <c r="X88" s="29">
        <v>1763</v>
      </c>
      <c r="Y88" s="29">
        <v>1750.5</v>
      </c>
      <c r="Z88" s="29">
        <v>1713.5</v>
      </c>
      <c r="AA88" s="29">
        <v>1699.5</v>
      </c>
      <c r="AB88" s="29">
        <v>1720</v>
      </c>
      <c r="AC88" s="29">
        <v>1716</v>
      </c>
      <c r="AD88" s="29">
        <v>1715</v>
      </c>
      <c r="AE88" s="29">
        <v>1714.5</v>
      </c>
      <c r="AF88" s="29">
        <v>1699</v>
      </c>
      <c r="AG88" s="29">
        <v>1699</v>
      </c>
      <c r="AH88" s="29">
        <v>1693</v>
      </c>
      <c r="AI88" s="29">
        <v>1717</v>
      </c>
      <c r="AJ88" s="29">
        <v>1717</v>
      </c>
      <c r="AK88" s="29">
        <v>1733</v>
      </c>
      <c r="AL88" s="29">
        <v>1734.5</v>
      </c>
      <c r="AM88" s="29">
        <v>1758</v>
      </c>
      <c r="AN88" s="29">
        <v>1739.5</v>
      </c>
      <c r="AO88" s="29">
        <v>1744</v>
      </c>
      <c r="AP88" s="29">
        <v>1736.5</v>
      </c>
      <c r="AQ88" s="29">
        <v>1677</v>
      </c>
      <c r="AR88" s="29">
        <v>1670.5</v>
      </c>
      <c r="AS88" s="29">
        <v>1651.5</v>
      </c>
      <c r="AT88" s="29">
        <v>1662</v>
      </c>
      <c r="AU88" s="29">
        <v>1652.5</v>
      </c>
      <c r="AV88" s="29">
        <v>1709</v>
      </c>
      <c r="AW88" s="29">
        <v>1670</v>
      </c>
      <c r="AX88" s="29">
        <v>1687.5</v>
      </c>
      <c r="AY88" s="29">
        <v>1679</v>
      </c>
      <c r="AZ88" s="29">
        <v>1667.5</v>
      </c>
      <c r="BA88" s="29">
        <v>1744.5</v>
      </c>
      <c r="BB88" s="29">
        <v>1748</v>
      </c>
      <c r="BC88" s="29">
        <v>1750</v>
      </c>
      <c r="BD88" s="29">
        <v>1767</v>
      </c>
      <c r="BE88" s="29">
        <v>1777.5</v>
      </c>
      <c r="BF88" s="29">
        <v>1789.5</v>
      </c>
      <c r="BG88" s="29">
        <v>1813.5</v>
      </c>
      <c r="BH88" s="29">
        <v>1808.5</v>
      </c>
      <c r="BI88" s="29">
        <v>1805</v>
      </c>
      <c r="BJ88" s="29">
        <v>1815</v>
      </c>
      <c r="BK88" s="29">
        <v>1829.5</v>
      </c>
      <c r="BL88" s="30">
        <v>1804</v>
      </c>
      <c r="BM88" s="1">
        <v>1784</v>
      </c>
      <c r="BN88" s="1">
        <v>1827</v>
      </c>
      <c r="BO88" s="1">
        <v>1856</v>
      </c>
      <c r="BP88" s="1">
        <v>1835.5</v>
      </c>
      <c r="BQ88" s="1">
        <v>1831</v>
      </c>
      <c r="BR88" s="1">
        <v>1860</v>
      </c>
      <c r="BS88" s="1">
        <v>1899.5</v>
      </c>
      <c r="BT88" s="1">
        <v>1904.5</v>
      </c>
      <c r="BU88" s="1">
        <v>1904</v>
      </c>
      <c r="BV88" s="1">
        <v>1902.5</v>
      </c>
      <c r="BW88" s="1">
        <v>1918</v>
      </c>
      <c r="BX88" s="1">
        <v>1904.5</v>
      </c>
      <c r="BY88" s="1">
        <v>1888.5</v>
      </c>
      <c r="BZ88" s="1">
        <v>1896</v>
      </c>
    </row>
    <row r="89" spans="1:78" ht="15.9" customHeight="1">
      <c r="A89" s="65" t="s">
        <v>173</v>
      </c>
      <c r="B89" s="25" t="s">
        <v>174</v>
      </c>
      <c r="C89" s="39">
        <f>_xll.RssMarket("5892","高値")</f>
        <v>2206</v>
      </c>
      <c r="D89" s="38">
        <f t="shared" si="2"/>
        <v>36</v>
      </c>
      <c r="E89" s="29">
        <v>2170</v>
      </c>
      <c r="F89" s="29">
        <v>2147</v>
      </c>
      <c r="G89" s="29">
        <v>2139</v>
      </c>
      <c r="H89" s="29">
        <v>2098</v>
      </c>
      <c r="I89" s="29">
        <v>2059</v>
      </c>
      <c r="J89" s="29">
        <v>2055</v>
      </c>
      <c r="K89" s="29">
        <v>2054</v>
      </c>
      <c r="L89" s="29">
        <v>1980</v>
      </c>
      <c r="M89" s="29">
        <v>2020</v>
      </c>
      <c r="N89" s="29">
        <v>2035</v>
      </c>
      <c r="O89" s="29">
        <v>2060</v>
      </c>
      <c r="P89" s="29">
        <v>2077</v>
      </c>
      <c r="Q89" s="29">
        <v>2118</v>
      </c>
      <c r="R89" s="29">
        <v>2084</v>
      </c>
      <c r="S89" s="29">
        <v>2100</v>
      </c>
      <c r="T89" s="29">
        <v>2091</v>
      </c>
      <c r="U89" s="29">
        <v>2091</v>
      </c>
      <c r="V89" s="29">
        <v>2100</v>
      </c>
      <c r="W89" s="29">
        <v>2128</v>
      </c>
      <c r="X89" s="29">
        <v>2193</v>
      </c>
      <c r="Y89" s="29">
        <v>2140</v>
      </c>
      <c r="Z89" s="29">
        <v>2092</v>
      </c>
      <c r="AA89" s="29">
        <v>2073</v>
      </c>
      <c r="AB89" s="29">
        <v>2084</v>
      </c>
      <c r="AC89" s="29">
        <v>2114</v>
      </c>
      <c r="AD89" s="29">
        <v>2000</v>
      </c>
      <c r="AE89" s="29">
        <v>2046</v>
      </c>
      <c r="AF89" s="29">
        <v>2023</v>
      </c>
      <c r="AG89" s="29">
        <v>2065</v>
      </c>
      <c r="AH89" s="29">
        <v>2115</v>
      </c>
      <c r="AI89" s="29">
        <v>2122</v>
      </c>
      <c r="AJ89" s="29">
        <v>2144</v>
      </c>
      <c r="AK89" s="29">
        <v>2214</v>
      </c>
      <c r="AL89" s="29">
        <v>2040</v>
      </c>
      <c r="AM89" s="29">
        <v>2020</v>
      </c>
      <c r="AN89" s="29">
        <v>2121</v>
      </c>
      <c r="AO89" s="29">
        <v>2160</v>
      </c>
      <c r="AP89" s="29">
        <v>2260</v>
      </c>
      <c r="AQ89" s="29">
        <v>2328</v>
      </c>
      <c r="AR89" s="29">
        <v>2420</v>
      </c>
      <c r="AS89" s="29">
        <v>2227</v>
      </c>
      <c r="AT89" s="29">
        <v>2156</v>
      </c>
      <c r="AU89" s="29">
        <v>2181</v>
      </c>
      <c r="AV89" s="29">
        <v>2350</v>
      </c>
      <c r="AW89" s="29">
        <v>2378</v>
      </c>
      <c r="AX89" s="29">
        <v>2541</v>
      </c>
      <c r="AY89" s="29">
        <v>2476</v>
      </c>
      <c r="AZ89" s="29">
        <v>2469</v>
      </c>
      <c r="BA89" s="29">
        <v>2549</v>
      </c>
      <c r="BB89" s="29">
        <v>2677</v>
      </c>
      <c r="BC89" s="29">
        <v>2733</v>
      </c>
      <c r="BD89" s="29">
        <v>2640</v>
      </c>
      <c r="BE89" s="29">
        <v>2384</v>
      </c>
      <c r="BF89" s="29">
        <v>2093</v>
      </c>
      <c r="BG89" s="29">
        <v>2115</v>
      </c>
      <c r="BH89" s="29">
        <v>1948</v>
      </c>
      <c r="BI89" s="29">
        <v>1970</v>
      </c>
      <c r="BJ89" s="29">
        <v>2042</v>
      </c>
      <c r="BK89" s="29">
        <v>2001</v>
      </c>
      <c r="BL89" s="30">
        <v>2028</v>
      </c>
      <c r="BM89" s="1">
        <v>1989</v>
      </c>
      <c r="BN89" s="1">
        <v>2042</v>
      </c>
      <c r="BO89" s="1">
        <v>2090</v>
      </c>
      <c r="BP89" s="1">
        <v>2100</v>
      </c>
      <c r="BQ89" s="1">
        <v>2187</v>
      </c>
      <c r="BR89" s="1">
        <v>2221</v>
      </c>
      <c r="BS89" s="1">
        <v>2277</v>
      </c>
      <c r="BT89" s="1">
        <v>2254</v>
      </c>
      <c r="BU89" s="1">
        <v>2230</v>
      </c>
      <c r="BV89" s="1">
        <v>2291</v>
      </c>
      <c r="BW89" s="1">
        <v>2348</v>
      </c>
      <c r="BX89" s="1">
        <v>2392</v>
      </c>
      <c r="BY89" s="1">
        <v>2211</v>
      </c>
      <c r="BZ89" s="1">
        <v>2216</v>
      </c>
    </row>
    <row r="90" spans="1:78" ht="15.9" customHeight="1">
      <c r="A90" s="65" t="s">
        <v>175</v>
      </c>
      <c r="B90" s="25" t="s">
        <v>176</v>
      </c>
      <c r="C90" s="39">
        <f>_xll.RssMarket("6323","高値")</f>
        <v>4517</v>
      </c>
      <c r="D90" s="38">
        <f t="shared" si="2"/>
        <v>179</v>
      </c>
      <c r="E90" s="29">
        <v>4338</v>
      </c>
      <c r="F90" s="29">
        <v>4107</v>
      </c>
      <c r="G90" s="29">
        <v>4032</v>
      </c>
      <c r="H90" s="29">
        <v>3563</v>
      </c>
      <c r="I90" s="29">
        <v>3778</v>
      </c>
      <c r="J90" s="29">
        <v>4134</v>
      </c>
      <c r="K90" s="29">
        <v>4528</v>
      </c>
      <c r="L90" s="29">
        <v>4680</v>
      </c>
      <c r="M90" s="29">
        <v>4828</v>
      </c>
      <c r="N90" s="29">
        <v>4865</v>
      </c>
      <c r="O90" s="29">
        <v>4455</v>
      </c>
      <c r="P90" s="29">
        <v>4428</v>
      </c>
      <c r="Q90" s="29">
        <v>5149</v>
      </c>
      <c r="R90" s="29">
        <v>4623</v>
      </c>
      <c r="S90" s="29">
        <v>5023</v>
      </c>
      <c r="T90" s="29">
        <v>5121</v>
      </c>
      <c r="U90" s="29">
        <v>4659</v>
      </c>
      <c r="V90" s="29">
        <v>4480</v>
      </c>
      <c r="W90" s="29">
        <v>4668</v>
      </c>
      <c r="X90" s="29">
        <v>4953</v>
      </c>
      <c r="Y90" s="29">
        <v>4945</v>
      </c>
      <c r="Z90" s="29">
        <v>4882</v>
      </c>
      <c r="AA90" s="29">
        <v>5199</v>
      </c>
      <c r="AB90" s="29">
        <v>4912</v>
      </c>
      <c r="AC90" s="29">
        <v>4580</v>
      </c>
      <c r="AD90" s="29">
        <v>4839</v>
      </c>
      <c r="AE90" s="29">
        <v>4877</v>
      </c>
      <c r="AF90" s="29">
        <v>4699</v>
      </c>
      <c r="AG90" s="29">
        <v>5030</v>
      </c>
      <c r="AH90" s="29">
        <v>5148</v>
      </c>
      <c r="AI90" s="29">
        <v>5048</v>
      </c>
      <c r="AJ90" s="29">
        <v>4883</v>
      </c>
      <c r="AK90" s="29">
        <v>4580</v>
      </c>
      <c r="AL90" s="29">
        <v>4555</v>
      </c>
      <c r="AM90" s="29">
        <v>4519</v>
      </c>
      <c r="AN90" s="29">
        <v>4219</v>
      </c>
      <c r="AO90" s="29">
        <v>3872</v>
      </c>
      <c r="AP90" s="29">
        <v>4019</v>
      </c>
      <c r="AQ90" s="29">
        <v>4084</v>
      </c>
      <c r="AR90" s="29">
        <v>4289</v>
      </c>
      <c r="AS90" s="29">
        <v>4590</v>
      </c>
      <c r="AT90" s="29">
        <v>4314</v>
      </c>
      <c r="AU90" s="29">
        <v>3835</v>
      </c>
      <c r="AV90" s="29">
        <v>4097</v>
      </c>
      <c r="AW90" s="29">
        <v>3989</v>
      </c>
      <c r="AX90" s="29">
        <v>4068</v>
      </c>
      <c r="AY90" s="29">
        <v>4114</v>
      </c>
      <c r="AZ90" s="29">
        <v>3922</v>
      </c>
      <c r="BA90" s="29">
        <v>3807</v>
      </c>
      <c r="BB90" s="29">
        <v>3625</v>
      </c>
      <c r="BC90" s="29">
        <v>3713</v>
      </c>
      <c r="BD90" s="29">
        <v>3816</v>
      </c>
      <c r="BE90" s="29">
        <v>4157</v>
      </c>
      <c r="BF90" s="29">
        <v>4127</v>
      </c>
      <c r="BG90" s="29">
        <v>3986</v>
      </c>
      <c r="BH90" s="29">
        <v>4210</v>
      </c>
      <c r="BI90" s="29">
        <v>4098</v>
      </c>
      <c r="BJ90" s="29">
        <v>4024</v>
      </c>
      <c r="BK90" s="29">
        <v>3987</v>
      </c>
      <c r="BL90" s="30">
        <v>3816</v>
      </c>
      <c r="BM90" s="1">
        <v>3810</v>
      </c>
      <c r="BN90" s="1">
        <v>3944</v>
      </c>
      <c r="BO90" s="1">
        <v>4000</v>
      </c>
      <c r="BP90" s="1">
        <v>3690</v>
      </c>
      <c r="BQ90" s="1">
        <v>3736</v>
      </c>
      <c r="BR90" s="1">
        <v>3699</v>
      </c>
      <c r="BS90" s="1">
        <v>3784</v>
      </c>
      <c r="BT90" s="1">
        <v>3769</v>
      </c>
      <c r="BU90" s="1">
        <v>3782</v>
      </c>
      <c r="BV90" s="1">
        <v>3878</v>
      </c>
      <c r="BW90" s="1">
        <v>4028</v>
      </c>
      <c r="BX90" s="1">
        <v>4090</v>
      </c>
      <c r="BY90" s="1">
        <v>4127</v>
      </c>
      <c r="BZ90" s="1">
        <v>3969</v>
      </c>
    </row>
    <row r="91" spans="1:78" ht="15.9" customHeight="1">
      <c r="A91" s="65" t="s">
        <v>177</v>
      </c>
      <c r="B91" s="25" t="s">
        <v>178</v>
      </c>
      <c r="C91" s="39">
        <f>_xll.RssMarket("6501","高値")</f>
        <v>5473</v>
      </c>
      <c r="D91" s="38">
        <f t="shared" si="2"/>
        <v>-54</v>
      </c>
      <c r="E91" s="29">
        <v>5527</v>
      </c>
      <c r="F91" s="29">
        <v>5336</v>
      </c>
      <c r="G91" s="29">
        <v>5362</v>
      </c>
      <c r="H91" s="29">
        <v>5267</v>
      </c>
      <c r="I91" s="29">
        <v>4993</v>
      </c>
      <c r="J91" s="29">
        <v>4946</v>
      </c>
      <c r="K91" s="29">
        <v>5034</v>
      </c>
      <c r="L91" s="29">
        <v>4873</v>
      </c>
      <c r="M91" s="29">
        <v>4889</v>
      </c>
      <c r="N91" s="29">
        <v>4872</v>
      </c>
      <c r="O91" s="29">
        <v>4832</v>
      </c>
      <c r="P91" s="29">
        <v>4779</v>
      </c>
      <c r="Q91" s="29">
        <v>4812</v>
      </c>
      <c r="R91" s="29">
        <v>4817</v>
      </c>
      <c r="S91" s="29">
        <v>4775</v>
      </c>
      <c r="T91" s="29">
        <v>4768</v>
      </c>
      <c r="U91" s="29">
        <v>4810</v>
      </c>
      <c r="V91" s="29">
        <v>4890</v>
      </c>
      <c r="W91" s="29">
        <v>5004</v>
      </c>
      <c r="X91" s="29">
        <v>4805</v>
      </c>
      <c r="Y91" s="29">
        <v>4713</v>
      </c>
      <c r="Z91" s="29">
        <v>4719</v>
      </c>
      <c r="AA91" s="29">
        <v>4555</v>
      </c>
      <c r="AB91" s="29">
        <v>4499</v>
      </c>
      <c r="AC91" s="29">
        <v>4541</v>
      </c>
      <c r="AD91" s="29">
        <v>4547</v>
      </c>
      <c r="AE91" s="29">
        <v>4717</v>
      </c>
      <c r="AF91" s="29">
        <v>4747</v>
      </c>
      <c r="AG91" s="29">
        <v>4948</v>
      </c>
      <c r="AH91" s="29">
        <v>4914</v>
      </c>
      <c r="AI91" s="29">
        <v>4854</v>
      </c>
      <c r="AJ91" s="29">
        <v>4805</v>
      </c>
      <c r="AK91" s="29">
        <v>4736</v>
      </c>
      <c r="AL91" s="29">
        <v>4798</v>
      </c>
      <c r="AM91" s="29">
        <v>4828</v>
      </c>
      <c r="AN91" s="29">
        <v>4740</v>
      </c>
      <c r="AO91" s="29">
        <v>4679</v>
      </c>
      <c r="AP91" s="29">
        <v>4924</v>
      </c>
      <c r="AQ91" s="29">
        <v>5148</v>
      </c>
      <c r="AR91" s="29">
        <v>5369</v>
      </c>
      <c r="AS91" s="29">
        <v>5215</v>
      </c>
      <c r="AT91" s="29">
        <v>5375</v>
      </c>
      <c r="AU91" s="29">
        <v>5140</v>
      </c>
      <c r="AV91" s="29">
        <v>5375</v>
      </c>
      <c r="AW91" s="29">
        <v>5194</v>
      </c>
      <c r="AX91" s="29">
        <v>5108</v>
      </c>
      <c r="AY91" s="29">
        <v>5102</v>
      </c>
      <c r="AZ91" s="29">
        <v>5153</v>
      </c>
      <c r="BA91" s="29">
        <v>5123</v>
      </c>
      <c r="BB91" s="29">
        <v>4934</v>
      </c>
      <c r="BC91" s="29">
        <v>5019</v>
      </c>
      <c r="BD91" s="29">
        <v>4818</v>
      </c>
      <c r="BE91" s="29">
        <v>4845</v>
      </c>
      <c r="BF91" s="29">
        <v>4736</v>
      </c>
      <c r="BG91" s="29">
        <v>4844</v>
      </c>
      <c r="BH91" s="29">
        <v>4959</v>
      </c>
      <c r="BI91" s="29">
        <v>5012</v>
      </c>
      <c r="BJ91" s="29">
        <v>4973</v>
      </c>
      <c r="BK91" s="29">
        <v>4981</v>
      </c>
      <c r="BL91" s="30">
        <v>4861</v>
      </c>
      <c r="BM91" s="1">
        <v>5018</v>
      </c>
      <c r="BN91" s="1">
        <v>5202</v>
      </c>
      <c r="BO91" s="1">
        <v>5422</v>
      </c>
      <c r="BP91" s="1">
        <v>5235</v>
      </c>
      <c r="BQ91" s="1">
        <v>5298</v>
      </c>
      <c r="BR91" s="1">
        <v>5138</v>
      </c>
      <c r="BS91" s="1">
        <v>5189</v>
      </c>
      <c r="BT91" s="1">
        <v>5257</v>
      </c>
      <c r="BU91" s="1">
        <v>5210</v>
      </c>
      <c r="BV91" s="1">
        <v>5274</v>
      </c>
      <c r="BW91" s="1">
        <v>5233</v>
      </c>
      <c r="BX91" s="1">
        <v>4957</v>
      </c>
      <c r="BY91" s="1">
        <v>4945</v>
      </c>
      <c r="BZ91" s="1">
        <v>4859</v>
      </c>
    </row>
    <row r="92" spans="1:78" ht="15.9" customHeight="1">
      <c r="A92" s="65" t="s">
        <v>179</v>
      </c>
      <c r="B92" s="25" t="s">
        <v>180</v>
      </c>
      <c r="C92" s="39">
        <f>_xll.RssMarket("6134","高値")</f>
        <v>8470</v>
      </c>
      <c r="D92" s="38">
        <f t="shared" si="2"/>
        <v>-203</v>
      </c>
      <c r="E92" s="29">
        <v>8673</v>
      </c>
      <c r="F92" s="29">
        <v>7650</v>
      </c>
      <c r="G92" s="29">
        <v>7449</v>
      </c>
      <c r="H92" s="29">
        <v>6753</v>
      </c>
      <c r="I92" s="29">
        <v>6966</v>
      </c>
      <c r="J92" s="29">
        <v>7267</v>
      </c>
      <c r="K92" s="29">
        <v>7545</v>
      </c>
      <c r="L92" s="29">
        <v>7564</v>
      </c>
      <c r="M92" s="29">
        <v>7744</v>
      </c>
      <c r="N92" s="29">
        <v>7730</v>
      </c>
      <c r="O92" s="29">
        <v>7510</v>
      </c>
      <c r="P92" s="29">
        <v>7421</v>
      </c>
      <c r="Q92" s="29">
        <v>8040</v>
      </c>
      <c r="R92" s="29">
        <v>7713</v>
      </c>
      <c r="S92" s="29">
        <v>8272</v>
      </c>
      <c r="T92" s="29">
        <v>8474</v>
      </c>
      <c r="U92" s="29">
        <v>7863</v>
      </c>
      <c r="V92" s="29">
        <v>7903</v>
      </c>
      <c r="W92" s="29">
        <v>8550</v>
      </c>
      <c r="X92" s="29">
        <v>8924</v>
      </c>
      <c r="Y92" s="29">
        <v>8748</v>
      </c>
      <c r="Z92" s="29">
        <v>8677</v>
      </c>
      <c r="AA92" s="29">
        <v>8943</v>
      </c>
      <c r="AB92" s="29">
        <v>8550</v>
      </c>
      <c r="AC92" s="29">
        <v>8012</v>
      </c>
      <c r="AD92" s="29">
        <v>8410</v>
      </c>
      <c r="AE92" s="29">
        <v>8585</v>
      </c>
      <c r="AF92" s="29">
        <v>8394</v>
      </c>
      <c r="AG92" s="29">
        <v>8629</v>
      </c>
      <c r="AH92" s="29">
        <v>8740</v>
      </c>
      <c r="AI92" s="29">
        <v>8737</v>
      </c>
      <c r="AJ92" s="29">
        <v>8700</v>
      </c>
      <c r="AK92" s="29">
        <v>8377</v>
      </c>
      <c r="AL92" s="29">
        <v>8382</v>
      </c>
      <c r="AM92" s="29">
        <v>8324</v>
      </c>
      <c r="AN92" s="29">
        <v>7848</v>
      </c>
      <c r="AO92" s="29">
        <v>7494</v>
      </c>
      <c r="AP92" s="29">
        <v>7600</v>
      </c>
      <c r="AQ92" s="29">
        <v>7291</v>
      </c>
      <c r="AR92" s="29">
        <v>7835</v>
      </c>
      <c r="AS92" s="29">
        <v>7860</v>
      </c>
      <c r="AT92" s="29">
        <v>8205</v>
      </c>
      <c r="AU92" s="29">
        <v>8063</v>
      </c>
      <c r="AV92" s="29">
        <v>8256</v>
      </c>
      <c r="AW92" s="29">
        <v>8008</v>
      </c>
      <c r="AX92" s="29">
        <v>8449</v>
      </c>
      <c r="AY92" s="29">
        <v>8530</v>
      </c>
      <c r="AZ92" s="29">
        <v>8073</v>
      </c>
      <c r="BA92" s="29">
        <v>7899</v>
      </c>
      <c r="BB92" s="29">
        <v>7653</v>
      </c>
      <c r="BC92" s="29">
        <v>7923</v>
      </c>
      <c r="BD92" s="29">
        <v>8146</v>
      </c>
      <c r="BE92" s="29">
        <v>8701</v>
      </c>
      <c r="BF92" s="29">
        <v>7538</v>
      </c>
      <c r="BG92" s="29">
        <v>7030</v>
      </c>
      <c r="BH92" s="29">
        <v>6987</v>
      </c>
      <c r="BI92" s="29">
        <v>6799</v>
      </c>
      <c r="BJ92" s="29">
        <v>6635</v>
      </c>
      <c r="BK92" s="29">
        <v>6346</v>
      </c>
      <c r="BL92" s="30">
        <v>6134</v>
      </c>
      <c r="BM92" s="1">
        <v>6084</v>
      </c>
      <c r="BN92" s="1">
        <v>6063</v>
      </c>
      <c r="BO92" s="1">
        <v>6083</v>
      </c>
      <c r="BP92" s="1">
        <v>5912</v>
      </c>
      <c r="BQ92" s="1">
        <v>5931</v>
      </c>
      <c r="BR92" s="1">
        <v>5988</v>
      </c>
      <c r="BS92" s="1">
        <v>5980</v>
      </c>
      <c r="BT92" s="1">
        <v>5809</v>
      </c>
      <c r="BU92" s="1">
        <v>5806</v>
      </c>
      <c r="BV92" s="1">
        <v>5867</v>
      </c>
      <c r="BW92" s="1">
        <v>5933</v>
      </c>
      <c r="BX92" s="1">
        <v>5810</v>
      </c>
      <c r="BY92" s="1">
        <v>5525</v>
      </c>
      <c r="BZ92" s="1">
        <v>5508</v>
      </c>
    </row>
    <row r="93" spans="1:78" ht="15.9" customHeight="1">
      <c r="A93" s="65" t="s">
        <v>181</v>
      </c>
      <c r="B93" s="25" t="s">
        <v>182</v>
      </c>
      <c r="C93" s="39">
        <f>_xll.RssMarket("7746","高値")</f>
        <v>755</v>
      </c>
      <c r="D93" s="38">
        <f t="shared" si="2"/>
        <v>14</v>
      </c>
      <c r="E93" s="29">
        <v>741</v>
      </c>
      <c r="F93" s="29">
        <v>728</v>
      </c>
      <c r="G93" s="29">
        <v>725</v>
      </c>
      <c r="H93" s="29">
        <v>721</v>
      </c>
      <c r="I93" s="29">
        <v>734</v>
      </c>
      <c r="J93" s="29">
        <v>763</v>
      </c>
      <c r="K93" s="29">
        <v>781</v>
      </c>
      <c r="L93" s="29">
        <v>797</v>
      </c>
      <c r="M93" s="29">
        <v>768</v>
      </c>
      <c r="N93" s="29">
        <v>782</v>
      </c>
      <c r="O93" s="29">
        <v>832</v>
      </c>
      <c r="P93" s="29">
        <v>810</v>
      </c>
      <c r="Q93" s="29">
        <v>808</v>
      </c>
      <c r="R93" s="29">
        <v>798</v>
      </c>
      <c r="S93" s="29">
        <v>793</v>
      </c>
      <c r="T93" s="29">
        <v>794</v>
      </c>
      <c r="U93" s="29">
        <v>792</v>
      </c>
      <c r="V93" s="29">
        <v>809</v>
      </c>
      <c r="W93" s="29">
        <v>852</v>
      </c>
      <c r="X93" s="29">
        <v>870</v>
      </c>
      <c r="Y93" s="29">
        <v>872</v>
      </c>
      <c r="Z93" s="29">
        <v>902</v>
      </c>
      <c r="AA93" s="29">
        <v>916</v>
      </c>
      <c r="AB93" s="29">
        <v>970</v>
      </c>
      <c r="AC93" s="29">
        <v>997</v>
      </c>
      <c r="AD93" s="29">
        <v>908</v>
      </c>
      <c r="AE93" s="29">
        <v>776</v>
      </c>
      <c r="AF93" s="29">
        <v>774</v>
      </c>
      <c r="AG93" s="29">
        <v>798</v>
      </c>
      <c r="AH93" s="29">
        <v>822</v>
      </c>
      <c r="AI93" s="29">
        <v>822</v>
      </c>
      <c r="AJ93" s="29">
        <v>844</v>
      </c>
      <c r="AK93" s="29">
        <v>857</v>
      </c>
      <c r="AL93" s="29">
        <v>897</v>
      </c>
      <c r="AM93" s="29">
        <v>856</v>
      </c>
      <c r="AN93" s="29">
        <v>745</v>
      </c>
      <c r="AO93" s="29">
        <v>782</v>
      </c>
      <c r="AP93" s="29">
        <v>729</v>
      </c>
      <c r="AQ93" s="29">
        <v>769</v>
      </c>
      <c r="AR93" s="29">
        <v>793</v>
      </c>
      <c r="AS93" s="29">
        <v>786</v>
      </c>
      <c r="AT93" s="29">
        <v>815</v>
      </c>
      <c r="AU93" s="29">
        <v>803</v>
      </c>
      <c r="AV93" s="29">
        <v>900</v>
      </c>
      <c r="AW93" s="29">
        <v>866</v>
      </c>
      <c r="AX93" s="29">
        <v>909</v>
      </c>
      <c r="AY93" s="29">
        <v>939</v>
      </c>
      <c r="AZ93" s="29">
        <v>918</v>
      </c>
      <c r="BA93" s="29">
        <v>1034</v>
      </c>
      <c r="BB93" s="29">
        <v>1090</v>
      </c>
      <c r="BC93" s="29">
        <v>1054</v>
      </c>
      <c r="BD93" s="29">
        <v>904</v>
      </c>
      <c r="BE93" s="29">
        <v>779</v>
      </c>
      <c r="BF93" s="29">
        <v>825</v>
      </c>
      <c r="BG93" s="29">
        <v>825</v>
      </c>
      <c r="BH93" s="29">
        <v>817</v>
      </c>
      <c r="BI93" s="29">
        <v>884</v>
      </c>
      <c r="BJ93" s="29">
        <v>885</v>
      </c>
      <c r="BK93" s="29">
        <v>873</v>
      </c>
      <c r="BL93" s="30">
        <v>849</v>
      </c>
      <c r="BM93" s="1">
        <v>930</v>
      </c>
      <c r="BN93" s="1">
        <v>940</v>
      </c>
      <c r="BO93" s="1">
        <v>955</v>
      </c>
      <c r="BP93" s="1">
        <v>983</v>
      </c>
      <c r="BQ93" s="1">
        <v>1024</v>
      </c>
      <c r="BR93" s="1">
        <v>1008</v>
      </c>
      <c r="BS93" s="1">
        <v>1048</v>
      </c>
      <c r="BT93" s="1">
        <v>1082</v>
      </c>
      <c r="BU93" s="1">
        <v>962</v>
      </c>
      <c r="BV93" s="1">
        <v>1000</v>
      </c>
      <c r="BW93" s="1">
        <v>1003</v>
      </c>
      <c r="BX93" s="1">
        <v>1003</v>
      </c>
      <c r="BY93" s="1">
        <v>1010</v>
      </c>
      <c r="BZ93" s="1">
        <v>1062</v>
      </c>
    </row>
    <row r="94" spans="1:78" ht="15.9" customHeight="1">
      <c r="A94" s="65" t="s">
        <v>183</v>
      </c>
      <c r="B94" s="25" t="s">
        <v>184</v>
      </c>
      <c r="C94" s="39">
        <f>_xll.RssMarket("3407","高値")</f>
        <v>1639.5</v>
      </c>
      <c r="D94" s="38">
        <f t="shared" si="2"/>
        <v>-1.5</v>
      </c>
      <c r="E94" s="29">
        <v>1641</v>
      </c>
      <c r="F94" s="29">
        <v>1713.5</v>
      </c>
      <c r="G94" s="29">
        <v>1895</v>
      </c>
      <c r="H94" s="29">
        <v>1818.5</v>
      </c>
      <c r="I94" s="29">
        <v>1830.5</v>
      </c>
      <c r="J94" s="29">
        <v>1855.5</v>
      </c>
      <c r="K94" s="29">
        <v>1878.5</v>
      </c>
      <c r="L94" s="29">
        <v>1862.5</v>
      </c>
      <c r="M94" s="29">
        <v>1877.5</v>
      </c>
      <c r="N94" s="29">
        <v>1886.5</v>
      </c>
      <c r="O94" s="29">
        <v>1863.5</v>
      </c>
      <c r="P94" s="29">
        <v>1866.5</v>
      </c>
      <c r="Q94" s="29">
        <v>1905</v>
      </c>
      <c r="R94" s="29">
        <v>1876</v>
      </c>
      <c r="S94" s="29">
        <v>1868.5</v>
      </c>
      <c r="T94" s="29">
        <v>1871.5</v>
      </c>
      <c r="U94" s="29">
        <v>1884</v>
      </c>
      <c r="V94" s="29">
        <v>1893</v>
      </c>
      <c r="W94" s="29">
        <v>1900</v>
      </c>
      <c r="X94" s="29">
        <v>1906</v>
      </c>
      <c r="Y94" s="29">
        <v>1849</v>
      </c>
      <c r="Z94" s="29">
        <v>1803.5</v>
      </c>
      <c r="AA94" s="29">
        <v>1801</v>
      </c>
      <c r="AB94" s="29">
        <v>1807.5</v>
      </c>
      <c r="AC94" s="29">
        <v>1815</v>
      </c>
      <c r="AD94" s="29">
        <v>1824</v>
      </c>
      <c r="AE94" s="29">
        <v>1826</v>
      </c>
      <c r="AF94" s="29">
        <v>1807</v>
      </c>
      <c r="AG94" s="29">
        <v>1822.5</v>
      </c>
      <c r="AH94" s="29">
        <v>1837</v>
      </c>
      <c r="AI94" s="29">
        <v>1813</v>
      </c>
      <c r="AJ94" s="29">
        <v>1811.5</v>
      </c>
      <c r="AK94" s="29">
        <v>1790</v>
      </c>
      <c r="AL94" s="29">
        <v>1768</v>
      </c>
      <c r="AM94" s="29">
        <v>1834.5</v>
      </c>
      <c r="AN94" s="29">
        <v>1812</v>
      </c>
      <c r="AO94" s="29">
        <v>1770</v>
      </c>
      <c r="AP94" s="29">
        <v>1770</v>
      </c>
      <c r="AQ94" s="29">
        <v>1785</v>
      </c>
      <c r="AR94" s="29">
        <v>1803.5</v>
      </c>
      <c r="AS94" s="29">
        <v>1787.5</v>
      </c>
      <c r="AT94" s="29">
        <v>1783.5</v>
      </c>
      <c r="AU94" s="29">
        <v>1773.5</v>
      </c>
      <c r="AV94" s="29">
        <v>1802.5</v>
      </c>
      <c r="AW94" s="29">
        <v>1760</v>
      </c>
      <c r="AX94" s="29">
        <v>1777.5</v>
      </c>
      <c r="AY94" s="29">
        <v>1792</v>
      </c>
      <c r="AZ94" s="29">
        <v>1727</v>
      </c>
      <c r="BA94" s="29">
        <v>1740</v>
      </c>
      <c r="BB94" s="29">
        <v>1699</v>
      </c>
      <c r="BC94" s="29">
        <v>1703.5</v>
      </c>
      <c r="BD94" s="29">
        <v>1714</v>
      </c>
      <c r="BE94" s="29">
        <v>1742</v>
      </c>
      <c r="BF94" s="29">
        <v>1758.5</v>
      </c>
      <c r="BG94" s="29">
        <v>1759.5</v>
      </c>
      <c r="BH94" s="29">
        <v>1664</v>
      </c>
      <c r="BI94" s="29">
        <v>1546.5</v>
      </c>
      <c r="BJ94" s="29">
        <v>1543</v>
      </c>
      <c r="BK94" s="29">
        <v>1581</v>
      </c>
      <c r="BL94" s="30">
        <v>1527.5</v>
      </c>
      <c r="BM94" s="1">
        <v>1538</v>
      </c>
      <c r="BN94" s="1">
        <v>1549</v>
      </c>
      <c r="BO94" s="1">
        <v>1535.5</v>
      </c>
      <c r="BP94" s="1">
        <v>1545</v>
      </c>
      <c r="BQ94" s="1">
        <v>1533</v>
      </c>
      <c r="BR94" s="1">
        <v>1551.5</v>
      </c>
      <c r="BS94" s="1">
        <v>1578</v>
      </c>
      <c r="BT94" s="1">
        <v>1605.5</v>
      </c>
      <c r="BU94" s="1">
        <v>1618</v>
      </c>
      <c r="BV94" s="1">
        <v>1620</v>
      </c>
      <c r="BW94" s="1">
        <v>1630.5</v>
      </c>
      <c r="BX94" s="1">
        <v>1635</v>
      </c>
      <c r="BY94" s="1">
        <v>1635</v>
      </c>
      <c r="BZ94" s="1">
        <v>1658.5</v>
      </c>
    </row>
    <row r="95" spans="1:78" ht="15.9" customHeight="1">
      <c r="A95" s="65" t="s">
        <v>185</v>
      </c>
      <c r="B95" s="25" t="s">
        <v>186</v>
      </c>
      <c r="C95" s="39">
        <f>_xll.RssMarket("4008","高値")</f>
        <v>1263</v>
      </c>
      <c r="D95" s="38">
        <f t="shared" si="2"/>
        <v>14</v>
      </c>
      <c r="E95" s="40">
        <v>1249</v>
      </c>
      <c r="F95" s="40">
        <v>1244</v>
      </c>
      <c r="G95" s="40">
        <v>1246</v>
      </c>
      <c r="H95" s="40">
        <v>1237</v>
      </c>
      <c r="I95" s="29">
        <v>1247</v>
      </c>
      <c r="J95" s="29">
        <v>1297</v>
      </c>
      <c r="K95" s="29">
        <v>1302</v>
      </c>
      <c r="L95" s="29"/>
      <c r="M95" s="29">
        <v>1307</v>
      </c>
      <c r="N95" s="29">
        <v>1318</v>
      </c>
      <c r="O95" s="29">
        <v>1286</v>
      </c>
      <c r="P95" s="29">
        <v>1274</v>
      </c>
      <c r="Q95" s="29">
        <v>1318</v>
      </c>
      <c r="R95" s="29">
        <v>1287</v>
      </c>
      <c r="S95" s="29">
        <v>1288</v>
      </c>
      <c r="T95" s="29">
        <v>1295</v>
      </c>
      <c r="U95" s="29">
        <v>1307</v>
      </c>
      <c r="V95" s="29">
        <v>1319</v>
      </c>
      <c r="W95" s="29">
        <v>1353</v>
      </c>
      <c r="X95" s="29">
        <v>1398</v>
      </c>
      <c r="Y95" s="29">
        <v>1384</v>
      </c>
      <c r="Z95" s="29">
        <v>1318</v>
      </c>
      <c r="AA95" s="29">
        <v>1299</v>
      </c>
      <c r="AB95" s="29">
        <v>1296</v>
      </c>
      <c r="AC95" s="29">
        <v>1302</v>
      </c>
      <c r="AD95" s="29">
        <v>1305</v>
      </c>
      <c r="AE95" s="29">
        <v>1302</v>
      </c>
      <c r="AF95" s="29">
        <v>1289</v>
      </c>
      <c r="AG95" s="29">
        <v>1326</v>
      </c>
      <c r="AH95" s="29">
        <v>1342</v>
      </c>
      <c r="AI95" s="29">
        <v>1342</v>
      </c>
      <c r="AJ95" s="29">
        <v>1337</v>
      </c>
      <c r="AK95" s="29">
        <v>1335</v>
      </c>
      <c r="AL95" s="29">
        <v>1329</v>
      </c>
      <c r="AM95" s="29">
        <v>1334</v>
      </c>
      <c r="AN95" s="29">
        <v>1307</v>
      </c>
      <c r="AO95" s="29">
        <v>1256</v>
      </c>
      <c r="AP95" s="29">
        <v>1279</v>
      </c>
      <c r="AQ95" s="29">
        <v>1267</v>
      </c>
      <c r="AR95" s="29">
        <v>1289</v>
      </c>
      <c r="AS95" s="29">
        <v>1301</v>
      </c>
      <c r="AT95" s="29">
        <v>1317</v>
      </c>
      <c r="AU95" s="29">
        <v>1292</v>
      </c>
      <c r="AV95" s="29">
        <v>1346</v>
      </c>
      <c r="AW95" s="29">
        <v>1326</v>
      </c>
      <c r="AX95" s="29">
        <v>1319</v>
      </c>
      <c r="AY95" s="29">
        <v>1307</v>
      </c>
      <c r="AZ95" s="29">
        <v>1286</v>
      </c>
      <c r="BA95" s="29">
        <v>1256</v>
      </c>
      <c r="BB95" s="29">
        <v>1223</v>
      </c>
      <c r="BC95" s="29">
        <v>1255</v>
      </c>
      <c r="BD95" s="29">
        <v>1283</v>
      </c>
      <c r="BE95" s="29">
        <v>1260</v>
      </c>
      <c r="BF95" s="29">
        <v>1266</v>
      </c>
      <c r="BG95" s="29">
        <v>1260</v>
      </c>
      <c r="BH95" s="29">
        <v>1250</v>
      </c>
      <c r="BI95" s="29">
        <v>1222</v>
      </c>
      <c r="BJ95" s="29">
        <v>1215</v>
      </c>
      <c r="BK95" s="29">
        <v>1227</v>
      </c>
      <c r="BL95" s="30">
        <v>1201</v>
      </c>
      <c r="BM95" s="1">
        <v>1203</v>
      </c>
      <c r="BN95" s="1">
        <v>1207</v>
      </c>
      <c r="BO95" s="1">
        <v>1198</v>
      </c>
      <c r="BP95" s="1">
        <v>1212</v>
      </c>
      <c r="BQ95" s="1">
        <v>1200</v>
      </c>
      <c r="BR95" s="1">
        <v>1245</v>
      </c>
      <c r="BS95" s="1">
        <v>1277</v>
      </c>
      <c r="BT95" s="1">
        <v>1282</v>
      </c>
      <c r="BU95" s="1">
        <v>1279</v>
      </c>
      <c r="BV95" s="1">
        <v>1290</v>
      </c>
      <c r="BW95" s="1">
        <v>1299</v>
      </c>
      <c r="BX95" s="1">
        <v>1276</v>
      </c>
      <c r="BY95" s="1">
        <v>1266</v>
      </c>
      <c r="BZ95" s="1">
        <v>1265</v>
      </c>
    </row>
    <row r="96" spans="1:78" ht="15.9" customHeight="1">
      <c r="A96" s="65" t="s">
        <v>187</v>
      </c>
      <c r="B96" s="25" t="s">
        <v>188</v>
      </c>
      <c r="C96" s="39">
        <f>_xll.RssMarket("4062","高値")</f>
        <v>20330</v>
      </c>
      <c r="D96" s="38">
        <f t="shared" si="2"/>
        <v>3760</v>
      </c>
      <c r="E96" s="34">
        <v>16570</v>
      </c>
      <c r="F96" s="34">
        <v>16295</v>
      </c>
      <c r="G96" s="29">
        <v>16650</v>
      </c>
      <c r="H96" s="29">
        <v>14700</v>
      </c>
      <c r="I96" s="29">
        <v>15340</v>
      </c>
      <c r="J96" s="29">
        <v>15590</v>
      </c>
      <c r="K96" s="29">
        <v>17495</v>
      </c>
      <c r="L96" s="29">
        <v>18770</v>
      </c>
      <c r="M96" s="29">
        <v>18650</v>
      </c>
      <c r="N96" s="29">
        <v>19820</v>
      </c>
      <c r="O96" s="29">
        <v>17415</v>
      </c>
      <c r="P96" s="29">
        <v>16790</v>
      </c>
      <c r="Q96" s="29">
        <v>19455</v>
      </c>
      <c r="R96" s="29">
        <v>18685</v>
      </c>
      <c r="S96" s="29">
        <v>20465</v>
      </c>
      <c r="T96" s="29">
        <v>20670</v>
      </c>
      <c r="U96" s="29">
        <v>20515</v>
      </c>
      <c r="V96" s="29">
        <v>20485</v>
      </c>
      <c r="W96" s="29">
        <v>21620</v>
      </c>
      <c r="X96" s="29">
        <v>23595</v>
      </c>
      <c r="Y96" s="29">
        <v>23545</v>
      </c>
      <c r="Z96" s="29">
        <v>24385</v>
      </c>
      <c r="AA96" s="29">
        <v>27480</v>
      </c>
      <c r="AB96" s="29">
        <v>24555</v>
      </c>
      <c r="AC96" s="29">
        <v>24070</v>
      </c>
      <c r="AD96" s="29">
        <v>26805</v>
      </c>
      <c r="AE96" s="29">
        <v>26600</v>
      </c>
      <c r="AF96" s="29">
        <v>26010</v>
      </c>
      <c r="AG96" s="29">
        <v>26950</v>
      </c>
      <c r="AH96" s="29">
        <v>27285</v>
      </c>
      <c r="AI96" s="29">
        <v>27020</v>
      </c>
      <c r="AJ96" s="29">
        <v>26390</v>
      </c>
      <c r="AK96" s="29">
        <v>24080</v>
      </c>
      <c r="AL96" s="29">
        <v>23640</v>
      </c>
      <c r="AM96" s="29">
        <v>22800</v>
      </c>
      <c r="AN96" s="29">
        <v>20050</v>
      </c>
      <c r="AO96" s="29">
        <v>18410</v>
      </c>
      <c r="AP96" s="29">
        <v>18375</v>
      </c>
      <c r="AQ96" s="29">
        <v>17550</v>
      </c>
      <c r="AR96" s="29">
        <v>19165</v>
      </c>
      <c r="AS96" s="29">
        <v>21865</v>
      </c>
      <c r="AT96" s="29">
        <v>22430</v>
      </c>
      <c r="AU96" s="29">
        <v>22670</v>
      </c>
      <c r="AV96" s="29">
        <v>23000</v>
      </c>
      <c r="AW96" s="29">
        <v>20845</v>
      </c>
      <c r="AX96" s="29">
        <v>21610</v>
      </c>
      <c r="AY96" s="29">
        <v>21275</v>
      </c>
      <c r="AZ96" s="29">
        <v>19340</v>
      </c>
      <c r="BA96" s="29">
        <v>18225</v>
      </c>
      <c r="BB96" s="29">
        <v>15665</v>
      </c>
      <c r="BC96" s="29">
        <v>16130</v>
      </c>
      <c r="BD96" s="29">
        <v>15710</v>
      </c>
      <c r="BE96" s="29">
        <v>17435</v>
      </c>
      <c r="BF96" s="29">
        <v>18000</v>
      </c>
      <c r="BG96" s="29">
        <v>17270</v>
      </c>
      <c r="BH96" s="29">
        <v>18365</v>
      </c>
      <c r="BI96" s="29">
        <v>16080</v>
      </c>
      <c r="BJ96" s="29">
        <v>15605</v>
      </c>
      <c r="BK96" s="29">
        <v>16375</v>
      </c>
      <c r="BL96" s="30">
        <v>13640</v>
      </c>
      <c r="BM96" s="1">
        <v>13870</v>
      </c>
      <c r="BN96" s="1">
        <v>12980</v>
      </c>
      <c r="BO96" s="1">
        <v>13130</v>
      </c>
      <c r="BP96" s="1">
        <v>12830</v>
      </c>
      <c r="BQ96" s="1">
        <v>11515</v>
      </c>
      <c r="BR96" s="1">
        <v>11200</v>
      </c>
      <c r="BS96" s="1">
        <v>10560</v>
      </c>
      <c r="BT96" s="1">
        <v>9624</v>
      </c>
      <c r="BU96" s="1">
        <v>9468</v>
      </c>
      <c r="BV96" s="1">
        <v>9648</v>
      </c>
      <c r="BW96" s="1">
        <v>10110</v>
      </c>
      <c r="BX96" s="1">
        <v>9997</v>
      </c>
      <c r="BY96" s="1">
        <v>9929</v>
      </c>
      <c r="BZ96" s="1">
        <v>10050</v>
      </c>
    </row>
    <row r="97" spans="1:78" ht="15.9" customHeight="1">
      <c r="A97" s="65" t="s">
        <v>189</v>
      </c>
      <c r="B97" s="25" t="s">
        <v>190</v>
      </c>
      <c r="C97" s="39">
        <f>_xll.RssMarket("4182","高値")</f>
        <v>4715</v>
      </c>
      <c r="D97" s="38">
        <f t="shared" si="2"/>
        <v>349</v>
      </c>
      <c r="E97" s="34">
        <v>4366</v>
      </c>
      <c r="F97" s="34">
        <v>4291</v>
      </c>
      <c r="G97" s="29">
        <v>4426</v>
      </c>
      <c r="H97" s="29">
        <v>3970</v>
      </c>
      <c r="I97" s="29">
        <v>4047</v>
      </c>
      <c r="J97" s="29">
        <v>4205</v>
      </c>
      <c r="K97" s="29">
        <v>4435</v>
      </c>
      <c r="L97" s="29">
        <v>4528</v>
      </c>
      <c r="M97" s="29">
        <v>4615</v>
      </c>
      <c r="N97" s="29">
        <v>4687</v>
      </c>
      <c r="O97" s="29">
        <v>4462</v>
      </c>
      <c r="P97" s="29">
        <v>4480</v>
      </c>
      <c r="Q97" s="29">
        <v>4783</v>
      </c>
      <c r="R97" s="29">
        <v>4650</v>
      </c>
      <c r="S97" s="29">
        <v>4787</v>
      </c>
      <c r="T97" s="29">
        <v>4795</v>
      </c>
      <c r="U97" s="29">
        <v>4710</v>
      </c>
      <c r="V97" s="29">
        <v>4738</v>
      </c>
      <c r="W97" s="29">
        <v>4887</v>
      </c>
      <c r="X97" s="29">
        <v>4985</v>
      </c>
      <c r="Y97" s="29">
        <v>4973</v>
      </c>
      <c r="Z97" s="29">
        <v>5029</v>
      </c>
      <c r="AA97" s="29">
        <v>5215</v>
      </c>
      <c r="AB97" s="29">
        <v>5160</v>
      </c>
      <c r="AC97" s="29">
        <v>5171</v>
      </c>
      <c r="AD97" s="29">
        <v>5335</v>
      </c>
      <c r="AE97" s="29">
        <v>5375</v>
      </c>
      <c r="AF97" s="29">
        <v>5360</v>
      </c>
      <c r="AG97" s="29">
        <v>5699</v>
      </c>
      <c r="AH97" s="29">
        <v>5738</v>
      </c>
      <c r="AI97" s="29">
        <v>5585</v>
      </c>
      <c r="AJ97" s="29">
        <v>5398</v>
      </c>
      <c r="AK97" s="29">
        <v>5174</v>
      </c>
      <c r="AL97" s="29">
        <v>5166</v>
      </c>
      <c r="AM97" s="29">
        <v>5186</v>
      </c>
      <c r="AN97" s="29">
        <v>5076</v>
      </c>
      <c r="AO97" s="29">
        <v>4488</v>
      </c>
      <c r="AP97" s="29">
        <v>4621</v>
      </c>
      <c r="AQ97" s="29">
        <v>4857</v>
      </c>
      <c r="AR97" s="29">
        <v>5211</v>
      </c>
      <c r="AS97" s="29">
        <v>5364</v>
      </c>
      <c r="AT97" s="29">
        <v>5492</v>
      </c>
      <c r="AU97" s="29">
        <v>5414</v>
      </c>
      <c r="AV97" s="29">
        <v>5626</v>
      </c>
      <c r="AW97" s="29">
        <v>5453</v>
      </c>
      <c r="AX97" s="29">
        <v>5521</v>
      </c>
      <c r="AY97" s="29">
        <v>5392</v>
      </c>
      <c r="AZ97" s="29">
        <v>5147</v>
      </c>
      <c r="BA97" s="29">
        <v>5081</v>
      </c>
      <c r="BB97" s="29">
        <v>4660</v>
      </c>
      <c r="BC97" s="29">
        <v>4668</v>
      </c>
      <c r="BD97" s="29">
        <v>4656</v>
      </c>
      <c r="BE97" s="29">
        <v>4943</v>
      </c>
      <c r="BF97" s="29">
        <v>5237</v>
      </c>
      <c r="BG97" s="29">
        <v>4933</v>
      </c>
      <c r="BH97" s="29">
        <v>4945</v>
      </c>
      <c r="BI97" s="29">
        <v>4739</v>
      </c>
      <c r="BJ97" s="29">
        <v>4643</v>
      </c>
      <c r="BK97" s="29">
        <v>4732</v>
      </c>
      <c r="BL97" s="30">
        <v>4433</v>
      </c>
      <c r="BM97" s="1">
        <v>4427</v>
      </c>
      <c r="BN97" s="1">
        <v>4410</v>
      </c>
      <c r="BO97" s="1">
        <v>4410</v>
      </c>
      <c r="BP97" s="1">
        <v>4445</v>
      </c>
      <c r="BQ97" s="1">
        <v>4363</v>
      </c>
      <c r="BR97" s="1">
        <v>4367</v>
      </c>
      <c r="BS97" s="1">
        <v>4389</v>
      </c>
      <c r="BT97" s="1">
        <v>4354</v>
      </c>
      <c r="BU97" s="1">
        <v>4249</v>
      </c>
      <c r="BV97" s="1">
        <v>4260</v>
      </c>
      <c r="BW97" s="1">
        <v>4335</v>
      </c>
      <c r="BX97" s="1">
        <v>4268</v>
      </c>
      <c r="BY97" s="1">
        <v>4212</v>
      </c>
      <c r="BZ97" s="1">
        <v>4244</v>
      </c>
    </row>
    <row r="98" spans="1:78" ht="15.9" customHeight="1">
      <c r="A98" s="65" t="s">
        <v>191</v>
      </c>
      <c r="B98" s="25" t="s">
        <v>192</v>
      </c>
      <c r="C98" s="39">
        <f>_xll.RssMarket("4188","高値")</f>
        <v>1164</v>
      </c>
      <c r="D98" s="38">
        <f t="shared" si="2"/>
        <v>19</v>
      </c>
      <c r="E98" s="34">
        <v>1145</v>
      </c>
      <c r="F98" s="34">
        <v>1170.5</v>
      </c>
      <c r="G98" s="29">
        <v>1211</v>
      </c>
      <c r="H98" s="29">
        <v>1156.5</v>
      </c>
      <c r="I98" s="29">
        <v>1179</v>
      </c>
      <c r="J98" s="29">
        <v>1205.5</v>
      </c>
      <c r="K98" s="29">
        <v>1232.5</v>
      </c>
      <c r="L98" s="29"/>
      <c r="M98" s="29">
        <v>1222</v>
      </c>
      <c r="N98" s="29">
        <v>1220</v>
      </c>
      <c r="O98" s="29">
        <v>1200</v>
      </c>
      <c r="P98" s="29">
        <v>1196.5</v>
      </c>
      <c r="Q98" s="29">
        <v>1228.5</v>
      </c>
      <c r="R98" s="29">
        <v>1205</v>
      </c>
      <c r="S98" s="29">
        <v>1182.5</v>
      </c>
      <c r="T98" s="29">
        <v>1194.5</v>
      </c>
      <c r="U98" s="29">
        <v>1176.5</v>
      </c>
      <c r="V98" s="29">
        <v>1195</v>
      </c>
      <c r="W98" s="29">
        <v>1204.5</v>
      </c>
      <c r="X98" s="29">
        <v>1207.5</v>
      </c>
      <c r="Y98" s="29">
        <v>1175.5</v>
      </c>
      <c r="Z98" s="29">
        <v>1140</v>
      </c>
      <c r="AA98" s="29">
        <v>1144</v>
      </c>
      <c r="AB98" s="29">
        <v>1144</v>
      </c>
      <c r="AC98" s="29">
        <v>1139.5</v>
      </c>
      <c r="AD98" s="29">
        <v>1110</v>
      </c>
      <c r="AE98" s="29">
        <v>1113.5</v>
      </c>
      <c r="AF98" s="29">
        <v>1090.5</v>
      </c>
      <c r="AG98" s="29">
        <v>1104.5</v>
      </c>
      <c r="AH98" s="29">
        <v>1111</v>
      </c>
      <c r="AI98" s="29">
        <v>1132.5</v>
      </c>
      <c r="AJ98" s="29">
        <v>1163</v>
      </c>
      <c r="AK98" s="29">
        <v>1140</v>
      </c>
      <c r="AL98" s="29">
        <v>1119</v>
      </c>
      <c r="AM98" s="29">
        <v>1147</v>
      </c>
      <c r="AN98" s="29">
        <v>1099</v>
      </c>
      <c r="AO98" s="29">
        <v>1038</v>
      </c>
      <c r="AP98" s="29">
        <v>1032.5</v>
      </c>
      <c r="AQ98" s="29">
        <v>1055.5</v>
      </c>
      <c r="AR98" s="29">
        <v>1069.5</v>
      </c>
      <c r="AS98" s="29">
        <v>1112.5</v>
      </c>
      <c r="AT98" s="29">
        <v>1112</v>
      </c>
      <c r="AU98" s="29">
        <v>1091.5</v>
      </c>
      <c r="AV98" s="29">
        <v>1163</v>
      </c>
      <c r="AW98" s="29">
        <v>1125</v>
      </c>
      <c r="AX98" s="29">
        <v>1145</v>
      </c>
      <c r="AY98" s="29">
        <v>1124</v>
      </c>
      <c r="AZ98" s="29">
        <v>1032.5</v>
      </c>
      <c r="BA98" s="29">
        <v>1027</v>
      </c>
      <c r="BB98" s="29">
        <v>1020</v>
      </c>
      <c r="BC98" s="29">
        <v>1033</v>
      </c>
      <c r="BD98" s="29">
        <v>1019</v>
      </c>
      <c r="BE98" s="29">
        <v>1025</v>
      </c>
      <c r="BF98" s="29">
        <v>1057</v>
      </c>
      <c r="BG98" s="29">
        <v>1074.5</v>
      </c>
      <c r="BH98" s="29">
        <v>942.6</v>
      </c>
      <c r="BI98" s="29">
        <v>930.2</v>
      </c>
      <c r="BJ98" s="29">
        <v>929.6</v>
      </c>
      <c r="BK98" s="29">
        <v>947.5</v>
      </c>
      <c r="BL98" s="30">
        <v>915</v>
      </c>
      <c r="BM98" s="1">
        <v>917.9</v>
      </c>
      <c r="BN98" s="1">
        <v>925.2</v>
      </c>
      <c r="BO98" s="1">
        <v>922</v>
      </c>
      <c r="BP98" s="1">
        <v>927.4</v>
      </c>
      <c r="BQ98" s="1">
        <v>933</v>
      </c>
      <c r="BR98" s="1">
        <v>962.2</v>
      </c>
      <c r="BS98" s="1">
        <v>977.4</v>
      </c>
      <c r="BT98" s="1">
        <v>995.5</v>
      </c>
      <c r="BU98" s="1">
        <v>995.5</v>
      </c>
      <c r="BV98" s="1">
        <v>1006.5</v>
      </c>
      <c r="BW98" s="1">
        <v>1006.5</v>
      </c>
      <c r="BX98" s="1">
        <v>988.6</v>
      </c>
      <c r="BY98" s="1">
        <v>991.8</v>
      </c>
      <c r="BZ98" s="1">
        <v>1007</v>
      </c>
    </row>
    <row r="99" spans="1:78" ht="15.9" customHeight="1">
      <c r="A99" s="65" t="s">
        <v>193</v>
      </c>
      <c r="B99" s="25" t="s">
        <v>194</v>
      </c>
      <c r="C99" s="39">
        <f>_xll.RssMarket("4523","高値")</f>
        <v>4607</v>
      </c>
      <c r="D99" s="38">
        <f t="shared" si="2"/>
        <v>-94</v>
      </c>
      <c r="E99" s="34">
        <v>4701</v>
      </c>
      <c r="F99" s="34">
        <v>4816</v>
      </c>
      <c r="G99" s="29">
        <v>4947</v>
      </c>
      <c r="H99" s="29">
        <v>5132</v>
      </c>
      <c r="I99" s="29">
        <v>5110</v>
      </c>
      <c r="J99" s="29">
        <v>4816</v>
      </c>
      <c r="K99" s="29">
        <v>4786</v>
      </c>
      <c r="L99" s="29">
        <v>4678</v>
      </c>
      <c r="M99" s="29">
        <v>4585</v>
      </c>
      <c r="N99" s="29">
        <v>4607</v>
      </c>
      <c r="O99" s="29">
        <v>4529</v>
      </c>
      <c r="P99" s="29">
        <v>4457</v>
      </c>
      <c r="Q99" s="29">
        <v>4331</v>
      </c>
      <c r="R99" s="29">
        <v>4433</v>
      </c>
      <c r="S99" s="29">
        <v>4316</v>
      </c>
      <c r="T99" s="29">
        <v>4328</v>
      </c>
      <c r="U99" s="29">
        <v>4343</v>
      </c>
      <c r="V99" s="29">
        <v>4366</v>
      </c>
      <c r="W99" s="29">
        <v>4337</v>
      </c>
      <c r="X99" s="29">
        <v>4352</v>
      </c>
      <c r="Y99" s="29">
        <v>4342</v>
      </c>
      <c r="Z99" s="29">
        <v>4188</v>
      </c>
      <c r="AA99" s="29">
        <v>4129</v>
      </c>
      <c r="AB99" s="29">
        <v>4170</v>
      </c>
      <c r="AC99" s="29">
        <v>4145</v>
      </c>
      <c r="AD99" s="29">
        <v>4009</v>
      </c>
      <c r="AE99" s="29">
        <v>3952</v>
      </c>
      <c r="AF99" s="29">
        <v>3918</v>
      </c>
      <c r="AG99" s="29">
        <v>3947</v>
      </c>
      <c r="AH99" s="29">
        <v>3908</v>
      </c>
      <c r="AI99" s="29">
        <v>3944</v>
      </c>
      <c r="AJ99" s="29">
        <v>3976</v>
      </c>
      <c r="AK99" s="29">
        <v>3886</v>
      </c>
      <c r="AL99" s="29">
        <v>3799</v>
      </c>
      <c r="AM99" s="29">
        <v>3840</v>
      </c>
      <c r="AN99" s="29">
        <v>3790</v>
      </c>
      <c r="AO99" s="29">
        <v>3739</v>
      </c>
      <c r="AP99" s="29">
        <v>3749</v>
      </c>
      <c r="AQ99" s="29">
        <v>3866</v>
      </c>
      <c r="AR99" s="29">
        <v>3856</v>
      </c>
      <c r="AS99" s="29">
        <v>3853</v>
      </c>
      <c r="AT99" s="29">
        <v>3818</v>
      </c>
      <c r="AU99" s="29">
        <v>3853</v>
      </c>
      <c r="AV99" s="29">
        <v>3994</v>
      </c>
      <c r="AW99" s="29">
        <v>4057</v>
      </c>
      <c r="AX99" s="29">
        <v>4068</v>
      </c>
      <c r="AY99" s="29">
        <v>4178</v>
      </c>
      <c r="AZ99" s="29">
        <v>4249</v>
      </c>
      <c r="BA99" s="29">
        <v>4298</v>
      </c>
      <c r="BB99" s="29">
        <v>4470</v>
      </c>
      <c r="BC99" s="29">
        <v>4512</v>
      </c>
      <c r="BD99" s="29">
        <v>4529</v>
      </c>
      <c r="BE99" s="29">
        <v>4739</v>
      </c>
      <c r="BF99" s="29">
        <v>4748</v>
      </c>
      <c r="BG99" s="29">
        <v>4736</v>
      </c>
      <c r="BH99" s="29">
        <v>4737</v>
      </c>
      <c r="BI99" s="29">
        <v>4669</v>
      </c>
      <c r="BJ99" s="29">
        <v>4761</v>
      </c>
      <c r="BK99" s="29">
        <v>4765</v>
      </c>
      <c r="BL99" s="30">
        <v>4694</v>
      </c>
      <c r="BM99" s="1">
        <v>4705</v>
      </c>
      <c r="BN99" s="1">
        <v>4635</v>
      </c>
      <c r="BO99" s="1">
        <v>4653</v>
      </c>
      <c r="BP99" s="1">
        <v>4778</v>
      </c>
      <c r="BQ99" s="1">
        <v>4821</v>
      </c>
      <c r="BR99" s="1">
        <v>4960</v>
      </c>
      <c r="BS99" s="1">
        <v>4901</v>
      </c>
      <c r="BT99" s="1">
        <v>4924</v>
      </c>
      <c r="BU99" s="1">
        <v>5033</v>
      </c>
      <c r="BV99" s="1">
        <v>5077</v>
      </c>
      <c r="BW99" s="1">
        <v>5030</v>
      </c>
      <c r="BX99" s="1">
        <v>4955</v>
      </c>
      <c r="BY99" s="1">
        <v>4988</v>
      </c>
      <c r="BZ99" s="1">
        <v>5165</v>
      </c>
    </row>
    <row r="100" spans="1:78" ht="15.9" customHeight="1">
      <c r="A100" s="65" t="s">
        <v>195</v>
      </c>
      <c r="B100" s="25" t="s">
        <v>196</v>
      </c>
      <c r="C100" s="39">
        <f>_xll.RssMarket("4528","高値")</f>
        <v>2320</v>
      </c>
      <c r="D100" s="38">
        <f t="shared" si="2"/>
        <v>-1</v>
      </c>
      <c r="E100" s="34">
        <v>2321</v>
      </c>
      <c r="F100" s="34">
        <v>2367.5</v>
      </c>
      <c r="G100" s="29">
        <v>2408.5</v>
      </c>
      <c r="H100" s="29">
        <v>2482</v>
      </c>
      <c r="I100" s="29">
        <v>2514.5</v>
      </c>
      <c r="J100" s="29">
        <v>2457</v>
      </c>
      <c r="K100" s="29">
        <v>2448.5</v>
      </c>
      <c r="L100" s="29"/>
      <c r="M100" s="29">
        <v>2410.5</v>
      </c>
      <c r="N100" s="29">
        <v>2431</v>
      </c>
      <c r="O100" s="29">
        <v>2448.5</v>
      </c>
      <c r="P100" s="29">
        <v>2440</v>
      </c>
      <c r="Q100" s="29">
        <v>2418</v>
      </c>
      <c r="R100" s="29">
        <v>2451</v>
      </c>
      <c r="S100" s="29">
        <v>2449.5</v>
      </c>
      <c r="T100" s="29">
        <v>2471.5</v>
      </c>
      <c r="U100" s="29">
        <v>2507</v>
      </c>
      <c r="V100" s="29">
        <v>2500</v>
      </c>
      <c r="W100" s="29">
        <v>2466.5</v>
      </c>
      <c r="X100" s="29">
        <v>2454.5</v>
      </c>
      <c r="Y100" s="29">
        <v>2469.5</v>
      </c>
      <c r="Z100" s="29">
        <v>2422</v>
      </c>
      <c r="AA100" s="29">
        <v>2390</v>
      </c>
      <c r="AB100" s="29">
        <v>2431</v>
      </c>
      <c r="AC100" s="29">
        <v>2417</v>
      </c>
      <c r="AD100" s="29">
        <v>2377.5</v>
      </c>
      <c r="AE100" s="29">
        <v>2384.5</v>
      </c>
      <c r="AF100" s="29">
        <v>2364.5</v>
      </c>
      <c r="AG100" s="29">
        <v>2352</v>
      </c>
      <c r="AH100" s="29">
        <v>2390</v>
      </c>
      <c r="AI100" s="29">
        <v>2249</v>
      </c>
      <c r="AJ100" s="29">
        <v>2290</v>
      </c>
      <c r="AK100" s="29">
        <v>2277</v>
      </c>
      <c r="AL100" s="29">
        <v>2289.5</v>
      </c>
      <c r="AM100" s="29">
        <v>2310.5</v>
      </c>
      <c r="AN100" s="29">
        <v>2246</v>
      </c>
      <c r="AO100" s="29">
        <v>2246</v>
      </c>
      <c r="AP100" s="29">
        <v>2232</v>
      </c>
      <c r="AQ100" s="29">
        <v>2273.5</v>
      </c>
      <c r="AR100" s="29">
        <v>2234</v>
      </c>
      <c r="AS100" s="29">
        <v>2228.5</v>
      </c>
      <c r="AT100" s="29">
        <v>2204</v>
      </c>
      <c r="AU100" s="29">
        <v>2297</v>
      </c>
      <c r="AV100" s="29">
        <v>2419.5</v>
      </c>
      <c r="AW100" s="29">
        <v>2407.5</v>
      </c>
      <c r="AX100" s="29">
        <v>2378</v>
      </c>
      <c r="AY100" s="29">
        <v>2511</v>
      </c>
      <c r="AZ100" s="29">
        <v>2539</v>
      </c>
      <c r="BA100" s="29">
        <v>2489</v>
      </c>
      <c r="BB100" s="29">
        <v>2485.5</v>
      </c>
      <c r="BC100" s="29">
        <v>2439.5</v>
      </c>
      <c r="BD100" s="29">
        <v>2517</v>
      </c>
      <c r="BE100" s="29">
        <v>2565</v>
      </c>
      <c r="BF100" s="29">
        <v>2573.5</v>
      </c>
      <c r="BG100" s="29">
        <v>2556.5</v>
      </c>
      <c r="BH100" s="29">
        <v>2509.5</v>
      </c>
      <c r="BI100" s="29">
        <v>2523.5</v>
      </c>
      <c r="BJ100" s="29">
        <v>2480.5</v>
      </c>
      <c r="BK100" s="29">
        <v>2362</v>
      </c>
      <c r="BL100" s="30">
        <v>2328</v>
      </c>
      <c r="BM100" s="1">
        <v>2315</v>
      </c>
      <c r="BN100" s="1">
        <v>2316</v>
      </c>
      <c r="BO100" s="1">
        <v>2326.5</v>
      </c>
      <c r="BP100" s="1">
        <v>2350</v>
      </c>
      <c r="BQ100" s="1">
        <v>2319.5</v>
      </c>
      <c r="BR100" s="1">
        <v>2345</v>
      </c>
      <c r="BS100" s="1">
        <v>2413.5</v>
      </c>
      <c r="BT100" s="1">
        <v>2429.5</v>
      </c>
      <c r="BU100" s="1">
        <v>2468.5</v>
      </c>
      <c r="BV100" s="1">
        <v>2496</v>
      </c>
      <c r="BW100" s="1">
        <v>2495</v>
      </c>
      <c r="BX100" s="1">
        <v>2516</v>
      </c>
      <c r="BY100" s="1">
        <v>2528</v>
      </c>
      <c r="BZ100" s="1">
        <v>2565</v>
      </c>
    </row>
    <row r="101" spans="1:78" ht="15.9" customHeight="1">
      <c r="A101" s="65" t="s">
        <v>197</v>
      </c>
      <c r="B101" s="25" t="s">
        <v>198</v>
      </c>
      <c r="C101" s="39">
        <f>_xll.RssMarket("4661","高値")</f>
        <v>2943</v>
      </c>
      <c r="D101" s="38">
        <f t="shared" si="2"/>
        <v>-127</v>
      </c>
      <c r="E101" s="34">
        <v>3070</v>
      </c>
      <c r="F101" s="34">
        <v>3133</v>
      </c>
      <c r="G101" s="29">
        <v>3167</v>
      </c>
      <c r="H101" s="29">
        <v>3065</v>
      </c>
      <c r="I101" s="29">
        <v>3051</v>
      </c>
      <c r="J101" s="29">
        <v>2915</v>
      </c>
      <c r="K101" s="29">
        <v>2831.5</v>
      </c>
      <c r="L101" s="29"/>
      <c r="M101" s="29">
        <v>2645.5</v>
      </c>
      <c r="N101" s="29">
        <v>2685</v>
      </c>
      <c r="O101" s="29">
        <v>2822</v>
      </c>
      <c r="P101" s="29">
        <v>2768</v>
      </c>
      <c r="Q101" s="29">
        <v>2726</v>
      </c>
      <c r="R101" s="29">
        <v>2814</v>
      </c>
      <c r="S101" s="29">
        <v>2650</v>
      </c>
      <c r="T101" s="29">
        <v>2627.5</v>
      </c>
      <c r="U101" s="29">
        <v>2626.5</v>
      </c>
      <c r="V101" s="29">
        <v>2628</v>
      </c>
      <c r="W101" s="29">
        <v>2589</v>
      </c>
      <c r="X101" s="29">
        <v>2565</v>
      </c>
      <c r="Y101" s="29">
        <v>2582.5</v>
      </c>
      <c r="Z101" s="29">
        <v>2518</v>
      </c>
      <c r="AA101" s="29">
        <v>2482.5</v>
      </c>
      <c r="AB101" s="29">
        <v>2519</v>
      </c>
      <c r="AC101" s="29">
        <v>2504</v>
      </c>
      <c r="AD101" s="29">
        <v>2416.5</v>
      </c>
      <c r="AE101" s="29">
        <v>2408</v>
      </c>
      <c r="AF101" s="29">
        <v>2399.5</v>
      </c>
      <c r="AG101" s="29">
        <v>2377</v>
      </c>
      <c r="AH101" s="29">
        <v>2351.5</v>
      </c>
      <c r="AI101" s="29">
        <v>2336.5</v>
      </c>
      <c r="AJ101" s="29">
        <v>2300</v>
      </c>
      <c r="AK101" s="29">
        <v>2303.5</v>
      </c>
      <c r="AL101" s="29">
        <v>2293.5</v>
      </c>
      <c r="AM101" s="29">
        <v>2263.5</v>
      </c>
      <c r="AN101" s="29">
        <v>2300</v>
      </c>
      <c r="AO101" s="29">
        <v>2332</v>
      </c>
      <c r="AP101" s="29">
        <v>2292.5</v>
      </c>
      <c r="AQ101" s="29">
        <v>2257.5</v>
      </c>
      <c r="AR101" s="29">
        <v>2227.5</v>
      </c>
      <c r="AS101" s="29">
        <v>2215.5</v>
      </c>
      <c r="AT101" s="29">
        <v>2231.5</v>
      </c>
      <c r="AU101" s="29">
        <v>2238</v>
      </c>
      <c r="AV101" s="29">
        <v>2327</v>
      </c>
      <c r="AW101" s="29">
        <v>2259</v>
      </c>
      <c r="AX101" s="29">
        <v>2200</v>
      </c>
      <c r="AY101" s="29">
        <v>2141</v>
      </c>
      <c r="AZ101" s="29">
        <v>2149</v>
      </c>
      <c r="BA101" s="29">
        <v>2202.5</v>
      </c>
      <c r="BB101" s="29">
        <v>2245.5</v>
      </c>
      <c r="BC101" s="29">
        <v>2232.5</v>
      </c>
      <c r="BD101" s="29">
        <v>2188</v>
      </c>
      <c r="BE101" s="29">
        <v>2166</v>
      </c>
      <c r="BF101" s="29">
        <v>2171</v>
      </c>
      <c r="BG101" s="29">
        <v>2223</v>
      </c>
      <c r="BH101" s="29">
        <v>2211</v>
      </c>
      <c r="BI101" s="29">
        <v>2234.5</v>
      </c>
      <c r="BJ101" s="29">
        <v>2274</v>
      </c>
      <c r="BK101" s="29">
        <v>2247.5</v>
      </c>
      <c r="BL101" s="30">
        <v>2232</v>
      </c>
      <c r="BM101" s="1">
        <v>2266.5</v>
      </c>
      <c r="BN101" s="1">
        <v>2434.5</v>
      </c>
      <c r="BO101" s="1">
        <v>2424</v>
      </c>
      <c r="BP101" s="1">
        <v>2470</v>
      </c>
      <c r="BQ101" s="1">
        <v>2576</v>
      </c>
      <c r="BR101" s="1">
        <v>2626.5</v>
      </c>
      <c r="BS101" s="1">
        <v>2654</v>
      </c>
      <c r="BT101" s="1">
        <v>2665</v>
      </c>
      <c r="BU101" s="1">
        <v>2658</v>
      </c>
      <c r="BV101" s="1">
        <v>2696</v>
      </c>
      <c r="BW101" s="1">
        <v>2647.5</v>
      </c>
      <c r="BX101" s="1">
        <v>2615</v>
      </c>
      <c r="BY101" s="1">
        <v>2615</v>
      </c>
      <c r="BZ101" s="1">
        <v>2616</v>
      </c>
    </row>
    <row r="102" spans="1:78" ht="15.9" customHeight="1">
      <c r="A102" s="65" t="s">
        <v>199</v>
      </c>
      <c r="B102" s="25" t="s">
        <v>200</v>
      </c>
      <c r="C102" s="39">
        <f>_xll.RssMarket("5802","高値")</f>
        <v>2395</v>
      </c>
      <c r="D102" s="38">
        <f t="shared" ref="D102:D133" si="3">C102-E102</f>
        <v>2395</v>
      </c>
      <c r="E102" s="34"/>
      <c r="F102" s="34"/>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78" ht="15.9" customHeight="1">
      <c r="A103" s="65" t="s">
        <v>201</v>
      </c>
      <c r="B103" s="25" t="s">
        <v>202</v>
      </c>
      <c r="C103" s="39">
        <f>_xll.RssMarket("5803","高値")</f>
        <v>5095</v>
      </c>
      <c r="D103" s="38">
        <f t="shared" si="3"/>
        <v>438</v>
      </c>
      <c r="E103" s="34">
        <v>4657</v>
      </c>
      <c r="F103" s="34">
        <v>4325</v>
      </c>
      <c r="G103" s="29">
        <v>4339</v>
      </c>
      <c r="H103" s="29">
        <v>3927</v>
      </c>
      <c r="I103" s="29">
        <v>4129</v>
      </c>
      <c r="J103" s="29">
        <v>4216</v>
      </c>
      <c r="K103" s="29">
        <v>4565</v>
      </c>
      <c r="L103" s="29">
        <v>4740</v>
      </c>
      <c r="M103" s="29">
        <v>4935</v>
      </c>
      <c r="N103" s="29">
        <v>5026</v>
      </c>
      <c r="O103" s="29">
        <v>4707</v>
      </c>
      <c r="P103" s="29">
        <v>4611</v>
      </c>
      <c r="Q103" s="29">
        <v>5149</v>
      </c>
      <c r="R103" s="29">
        <v>4820</v>
      </c>
      <c r="S103" s="29">
        <v>5380</v>
      </c>
      <c r="T103" s="29">
        <v>5437</v>
      </c>
      <c r="U103" s="29">
        <v>5209</v>
      </c>
      <c r="V103" s="29">
        <v>5106</v>
      </c>
      <c r="W103" s="29">
        <v>5370</v>
      </c>
      <c r="X103" s="29">
        <v>5452</v>
      </c>
      <c r="Y103" s="29">
        <v>5379</v>
      </c>
      <c r="Z103" s="29">
        <v>5555</v>
      </c>
      <c r="AA103" s="29">
        <v>6431</v>
      </c>
      <c r="AB103" s="29">
        <v>6320</v>
      </c>
      <c r="AC103" s="29">
        <v>6166</v>
      </c>
      <c r="AD103" s="29">
        <v>6579</v>
      </c>
      <c r="AE103" s="29">
        <v>6649</v>
      </c>
      <c r="AF103" s="29">
        <v>6568</v>
      </c>
      <c r="AG103" s="29">
        <v>7068</v>
      </c>
      <c r="AH103" s="29">
        <v>6161</v>
      </c>
      <c r="AI103" s="29">
        <v>5161</v>
      </c>
      <c r="AJ103" s="29">
        <v>4910</v>
      </c>
      <c r="AK103" s="29">
        <v>4763</v>
      </c>
      <c r="AL103" s="29">
        <v>4829</v>
      </c>
      <c r="AM103" s="29">
        <v>4492</v>
      </c>
      <c r="AN103" s="29">
        <v>4357</v>
      </c>
      <c r="AO103" s="29">
        <v>4162</v>
      </c>
      <c r="AP103" s="29">
        <v>4412</v>
      </c>
      <c r="AQ103" s="29">
        <v>4525</v>
      </c>
      <c r="AR103" s="29">
        <v>4825</v>
      </c>
      <c r="AS103" s="29">
        <v>4866</v>
      </c>
      <c r="AT103" s="29">
        <v>5163</v>
      </c>
      <c r="AU103" s="29">
        <v>4666</v>
      </c>
      <c r="AV103" s="29">
        <v>5047</v>
      </c>
      <c r="AW103" s="29">
        <v>5196</v>
      </c>
      <c r="AX103" s="29">
        <v>5555</v>
      </c>
      <c r="AY103" s="29">
        <v>5550</v>
      </c>
      <c r="AZ103" s="29">
        <v>5031</v>
      </c>
      <c r="BA103" s="29">
        <v>4662</v>
      </c>
      <c r="BB103" s="29">
        <v>4516</v>
      </c>
      <c r="BC103" s="29">
        <v>5639</v>
      </c>
      <c r="BD103" s="29">
        <v>5969</v>
      </c>
      <c r="BE103" s="29">
        <v>6999</v>
      </c>
      <c r="BF103" s="29">
        <v>7933</v>
      </c>
      <c r="BG103" s="29">
        <v>7915</v>
      </c>
      <c r="BH103" s="29">
        <v>7770</v>
      </c>
      <c r="BI103" s="29">
        <v>6980</v>
      </c>
      <c r="BJ103" s="29">
        <v>6582</v>
      </c>
      <c r="BK103" s="29">
        <v>6500</v>
      </c>
      <c r="BL103" s="30">
        <v>6027</v>
      </c>
      <c r="BM103" s="1">
        <v>6083</v>
      </c>
      <c r="BN103" s="1">
        <v>6321</v>
      </c>
      <c r="BO103" s="1">
        <v>6397</v>
      </c>
      <c r="BP103" s="1">
        <v>6100</v>
      </c>
      <c r="BQ103" s="1">
        <v>6218</v>
      </c>
      <c r="BR103" s="1">
        <v>5989</v>
      </c>
      <c r="BS103" s="1">
        <v>5889</v>
      </c>
      <c r="BT103" s="1">
        <v>5898</v>
      </c>
      <c r="BU103" s="1">
        <v>5987</v>
      </c>
      <c r="BV103" s="1">
        <v>5959</v>
      </c>
      <c r="BW103" s="1">
        <v>6037</v>
      </c>
      <c r="BX103" s="1">
        <v>5985</v>
      </c>
      <c r="BY103" s="1">
        <v>6004</v>
      </c>
      <c r="BZ103" s="1">
        <v>5644</v>
      </c>
    </row>
    <row r="104" spans="1:78" ht="15.9" customHeight="1">
      <c r="A104" s="65" t="s">
        <v>203</v>
      </c>
      <c r="B104" s="25" t="s">
        <v>204</v>
      </c>
      <c r="C104" s="39">
        <f>_xll.RssMarket("6178","高値")</f>
        <v>2350</v>
      </c>
      <c r="D104" s="38">
        <f t="shared" si="3"/>
        <v>-9.5</v>
      </c>
      <c r="E104" s="34">
        <v>2359.5</v>
      </c>
      <c r="F104" s="34">
        <v>2382</v>
      </c>
      <c r="G104" s="29">
        <v>2420</v>
      </c>
      <c r="H104" s="29">
        <v>2466</v>
      </c>
      <c r="I104" s="29">
        <v>2499</v>
      </c>
      <c r="J104" s="29">
        <v>2510</v>
      </c>
      <c r="K104" s="29">
        <v>2539.5</v>
      </c>
      <c r="L104" s="29">
        <v>2496</v>
      </c>
      <c r="M104" s="29">
        <v>2466.5</v>
      </c>
      <c r="N104" s="29">
        <v>2460</v>
      </c>
      <c r="O104" s="29">
        <v>2418.5</v>
      </c>
      <c r="P104" s="29">
        <v>2397</v>
      </c>
      <c r="Q104" s="29">
        <v>2417</v>
      </c>
      <c r="R104" s="29">
        <v>2362</v>
      </c>
      <c r="S104" s="29">
        <v>2353.5</v>
      </c>
      <c r="T104" s="29">
        <v>2383</v>
      </c>
      <c r="U104" s="29">
        <v>2382</v>
      </c>
      <c r="V104" s="29">
        <v>2395</v>
      </c>
      <c r="W104" s="29">
        <v>2372.5</v>
      </c>
      <c r="X104" s="29">
        <v>2326</v>
      </c>
      <c r="Y104" s="29">
        <v>2290</v>
      </c>
      <c r="Z104" s="29">
        <v>2245</v>
      </c>
      <c r="AA104" s="29">
        <v>2197</v>
      </c>
      <c r="AB104" s="29">
        <v>2182.5</v>
      </c>
      <c r="AC104" s="29">
        <v>2183.5</v>
      </c>
      <c r="AD104" s="29">
        <v>2199.5</v>
      </c>
      <c r="AE104" s="29">
        <v>2231</v>
      </c>
      <c r="AF104" s="29">
        <v>2252.5</v>
      </c>
      <c r="AG104" s="29">
        <v>2244.5</v>
      </c>
      <c r="AH104" s="29">
        <v>2241</v>
      </c>
      <c r="AI104" s="29">
        <v>2263</v>
      </c>
      <c r="AJ104" s="29">
        <v>2249</v>
      </c>
      <c r="AK104" s="29">
        <v>2279.5</v>
      </c>
      <c r="AL104" s="29">
        <v>2264.5</v>
      </c>
      <c r="AM104" s="29">
        <v>2344.5</v>
      </c>
      <c r="AN104" s="29">
        <v>2361</v>
      </c>
      <c r="AO104" s="29">
        <v>2252</v>
      </c>
      <c r="AP104" s="29">
        <v>2246.5</v>
      </c>
      <c r="AQ104" s="29">
        <v>2147.5</v>
      </c>
      <c r="AR104" s="29">
        <v>2177</v>
      </c>
      <c r="AS104" s="29">
        <v>2145.5</v>
      </c>
      <c r="AT104" s="29">
        <v>2125</v>
      </c>
      <c r="AU104" s="29">
        <v>2074</v>
      </c>
      <c r="AV104" s="29">
        <v>2075</v>
      </c>
      <c r="AW104" s="29">
        <v>2037.5</v>
      </c>
      <c r="AX104" s="29">
        <v>2093</v>
      </c>
      <c r="AY104" s="29">
        <v>2128</v>
      </c>
      <c r="AZ104" s="29">
        <v>2138.5</v>
      </c>
      <c r="BA104" s="29">
        <v>2154.5</v>
      </c>
      <c r="BB104" s="29">
        <v>2139.5</v>
      </c>
      <c r="BC104" s="29">
        <v>2115.5</v>
      </c>
      <c r="BD104" s="29">
        <v>2068</v>
      </c>
      <c r="BE104" s="29">
        <v>1981.5</v>
      </c>
      <c r="BF104" s="29">
        <v>1956.5</v>
      </c>
      <c r="BG104" s="29">
        <v>1944.5</v>
      </c>
      <c r="BH104" s="29">
        <v>1911</v>
      </c>
      <c r="BI104" s="29">
        <v>1871.5</v>
      </c>
      <c r="BJ104" s="29">
        <v>1859.5</v>
      </c>
      <c r="BK104" s="29">
        <v>1871.5</v>
      </c>
      <c r="BL104" s="30">
        <v>1819</v>
      </c>
      <c r="BM104" s="1">
        <v>1829</v>
      </c>
      <c r="BN104" s="1">
        <v>1826.5</v>
      </c>
      <c r="BO104" s="1">
        <v>1773</v>
      </c>
      <c r="BP104" s="1">
        <v>1789</v>
      </c>
      <c r="BQ104" s="1">
        <v>1789</v>
      </c>
      <c r="BR104" s="1">
        <v>1821.5</v>
      </c>
      <c r="BS104" s="1">
        <v>1861</v>
      </c>
      <c r="BT104" s="1">
        <v>1885</v>
      </c>
      <c r="BU104" s="1">
        <v>1889.5</v>
      </c>
      <c r="BV104" s="1">
        <v>1903</v>
      </c>
      <c r="BW104" s="1">
        <v>1878</v>
      </c>
      <c r="BX104" s="1">
        <v>1882</v>
      </c>
      <c r="BY104" s="1">
        <v>1867.5</v>
      </c>
      <c r="BZ104" s="1">
        <v>1893.5</v>
      </c>
    </row>
    <row r="105" spans="1:78" ht="15.9" customHeight="1">
      <c r="A105" s="65" t="s">
        <v>205</v>
      </c>
      <c r="B105" s="25" t="s">
        <v>206</v>
      </c>
      <c r="C105" s="39">
        <f>_xll.RssMarket("6925","高値")</f>
        <v>4416</v>
      </c>
      <c r="D105" s="38">
        <f t="shared" si="3"/>
        <v>370</v>
      </c>
      <c r="E105" s="34">
        <v>4046</v>
      </c>
      <c r="F105" s="34">
        <v>3821</v>
      </c>
      <c r="G105" s="29">
        <v>3890</v>
      </c>
      <c r="H105" s="29">
        <v>3676</v>
      </c>
      <c r="I105" s="29">
        <v>3812</v>
      </c>
      <c r="J105" s="29">
        <v>4014</v>
      </c>
      <c r="K105" s="29">
        <v>4189</v>
      </c>
      <c r="L105" s="29">
        <v>4199</v>
      </c>
      <c r="M105" s="29">
        <v>4326</v>
      </c>
      <c r="N105" s="29">
        <v>4215</v>
      </c>
      <c r="O105" s="29">
        <v>4058</v>
      </c>
      <c r="P105" s="29">
        <v>3941</v>
      </c>
      <c r="Q105" s="29">
        <v>4264</v>
      </c>
      <c r="R105" s="29">
        <v>4108</v>
      </c>
      <c r="S105" s="29">
        <v>4364</v>
      </c>
      <c r="T105" s="29">
        <v>4507</v>
      </c>
      <c r="U105" s="29">
        <v>4341</v>
      </c>
      <c r="V105" s="29">
        <v>4353</v>
      </c>
      <c r="W105" s="29">
        <v>4520</v>
      </c>
      <c r="X105" s="29">
        <v>4689</v>
      </c>
      <c r="Y105" s="29">
        <v>4712</v>
      </c>
      <c r="Z105" s="29">
        <v>4820</v>
      </c>
      <c r="AA105" s="29">
        <v>5164</v>
      </c>
      <c r="AB105" s="29">
        <v>4535</v>
      </c>
      <c r="AC105" s="29">
        <v>4405</v>
      </c>
      <c r="AD105" s="29">
        <v>4501</v>
      </c>
      <c r="AE105" s="29">
        <v>4547</v>
      </c>
      <c r="AF105" s="29">
        <v>4522</v>
      </c>
      <c r="AG105" s="29">
        <v>4840</v>
      </c>
      <c r="AH105" s="29">
        <v>4890</v>
      </c>
      <c r="AI105" s="29">
        <v>4830</v>
      </c>
      <c r="AJ105" s="29">
        <v>4733</v>
      </c>
      <c r="AK105" s="29">
        <v>4620</v>
      </c>
      <c r="AL105" s="29">
        <v>4340</v>
      </c>
      <c r="AM105" s="29">
        <v>4284</v>
      </c>
      <c r="AN105" s="29">
        <v>4196</v>
      </c>
      <c r="AO105" s="29">
        <v>3956</v>
      </c>
      <c r="AP105" s="29">
        <v>4085</v>
      </c>
      <c r="AQ105" s="29">
        <v>4082</v>
      </c>
      <c r="AR105" s="29">
        <v>4328</v>
      </c>
      <c r="AS105" s="29">
        <v>4310</v>
      </c>
      <c r="AT105" s="29">
        <v>4198</v>
      </c>
      <c r="AU105" s="29">
        <v>4088</v>
      </c>
      <c r="AV105" s="29">
        <v>4264</v>
      </c>
      <c r="AW105" s="29">
        <v>4220</v>
      </c>
      <c r="AX105" s="29">
        <v>4275</v>
      </c>
      <c r="AY105" s="29">
        <v>4270</v>
      </c>
      <c r="AZ105" s="29">
        <v>4104</v>
      </c>
      <c r="BA105" s="29">
        <v>4072</v>
      </c>
      <c r="BB105" s="29">
        <v>3938</v>
      </c>
      <c r="BC105" s="29">
        <v>4204</v>
      </c>
      <c r="BD105" s="29">
        <v>4416</v>
      </c>
      <c r="BE105" s="29">
        <v>4239</v>
      </c>
      <c r="BF105" s="29">
        <v>3591</v>
      </c>
      <c r="BG105" s="29">
        <v>3524</v>
      </c>
      <c r="BH105" s="29">
        <v>3530</v>
      </c>
      <c r="BI105" s="29">
        <v>3437</v>
      </c>
      <c r="BJ105" s="29">
        <v>3390</v>
      </c>
      <c r="BK105" s="29">
        <v>3419</v>
      </c>
      <c r="BL105" s="30">
        <v>3205</v>
      </c>
      <c r="BM105" s="1">
        <v>3183</v>
      </c>
      <c r="BN105" s="1">
        <v>3135</v>
      </c>
      <c r="BO105" s="1">
        <v>3224</v>
      </c>
      <c r="BP105" s="1">
        <v>3246</v>
      </c>
      <c r="BQ105" s="1">
        <v>3162</v>
      </c>
      <c r="BR105" s="1">
        <v>3185</v>
      </c>
      <c r="BS105" s="1">
        <v>3234</v>
      </c>
      <c r="BT105" s="1">
        <v>3222</v>
      </c>
      <c r="BU105" s="1">
        <v>3321</v>
      </c>
      <c r="BV105" s="1">
        <v>3337</v>
      </c>
      <c r="BW105" s="1">
        <v>3325</v>
      </c>
      <c r="BX105" s="1">
        <v>3301</v>
      </c>
      <c r="BY105" s="1">
        <v>3257</v>
      </c>
      <c r="BZ105" s="1">
        <v>3270</v>
      </c>
    </row>
    <row r="106" spans="1:78" ht="15.9" customHeight="1">
      <c r="A106" s="65" t="s">
        <v>207</v>
      </c>
      <c r="B106" s="25" t="s">
        <v>208</v>
      </c>
      <c r="C106" s="39">
        <f>_xll.RssMarket("7021","高値")</f>
        <v>2149</v>
      </c>
      <c r="D106" s="38">
        <f t="shared" si="3"/>
        <v>89</v>
      </c>
      <c r="E106" s="34">
        <v>2060</v>
      </c>
      <c r="F106" s="34">
        <v>2030</v>
      </c>
      <c r="G106" s="29">
        <v>2020</v>
      </c>
      <c r="H106" s="29">
        <v>2000</v>
      </c>
      <c r="I106" s="29">
        <v>1995</v>
      </c>
      <c r="J106" s="29">
        <v>2011</v>
      </c>
      <c r="K106" s="29">
        <v>2000</v>
      </c>
      <c r="L106" s="29">
        <v>1972</v>
      </c>
      <c r="M106" s="29">
        <v>1940</v>
      </c>
      <c r="N106" s="29">
        <v>1910</v>
      </c>
      <c r="O106" s="29">
        <v>1878</v>
      </c>
      <c r="P106" s="29">
        <v>1876</v>
      </c>
      <c r="Q106" s="29">
        <v>1877</v>
      </c>
      <c r="R106" s="29">
        <v>1849</v>
      </c>
      <c r="S106" s="29">
        <v>1869</v>
      </c>
      <c r="T106" s="29">
        <v>1857</v>
      </c>
      <c r="U106" s="29">
        <v>1839</v>
      </c>
      <c r="V106" s="29">
        <v>1849</v>
      </c>
      <c r="W106" s="29">
        <v>1839</v>
      </c>
      <c r="X106" s="29">
        <v>1829</v>
      </c>
      <c r="Y106" s="29">
        <v>1808</v>
      </c>
      <c r="Z106" s="29">
        <v>1814</v>
      </c>
      <c r="AA106" s="29">
        <v>1799</v>
      </c>
      <c r="AB106" s="29">
        <v>1815</v>
      </c>
      <c r="AC106" s="29">
        <v>1817</v>
      </c>
      <c r="AD106" s="29">
        <v>1808</v>
      </c>
      <c r="AE106" s="29">
        <v>1805</v>
      </c>
      <c r="AF106" s="29">
        <v>1774</v>
      </c>
      <c r="AG106" s="29">
        <v>1810</v>
      </c>
      <c r="AH106" s="29">
        <v>1794</v>
      </c>
      <c r="AI106" s="29">
        <v>1788</v>
      </c>
      <c r="AJ106" s="29">
        <v>1793</v>
      </c>
      <c r="AK106" s="29">
        <v>1810</v>
      </c>
      <c r="AL106" s="29">
        <v>1809</v>
      </c>
      <c r="AM106" s="29">
        <v>1826</v>
      </c>
      <c r="AN106" s="29">
        <v>1805</v>
      </c>
      <c r="AO106" s="29">
        <v>1812</v>
      </c>
      <c r="AP106" s="29">
        <v>1809</v>
      </c>
      <c r="AQ106" s="29">
        <v>1770</v>
      </c>
      <c r="AR106" s="29">
        <v>1811</v>
      </c>
      <c r="AS106" s="29">
        <v>1770</v>
      </c>
      <c r="AT106" s="29">
        <v>1827</v>
      </c>
      <c r="AU106" s="29">
        <v>1803</v>
      </c>
      <c r="AV106" s="29">
        <v>1854</v>
      </c>
      <c r="AW106" s="29">
        <v>1854</v>
      </c>
      <c r="AX106" s="29">
        <v>1894</v>
      </c>
      <c r="AY106" s="29">
        <v>1828</v>
      </c>
      <c r="AZ106" s="29">
        <v>1823</v>
      </c>
      <c r="BA106" s="29">
        <v>1868</v>
      </c>
      <c r="BB106" s="29">
        <v>1881</v>
      </c>
      <c r="BC106" s="29">
        <v>1915</v>
      </c>
      <c r="BD106" s="29">
        <v>1980</v>
      </c>
      <c r="BE106" s="29">
        <v>2089</v>
      </c>
      <c r="BF106" s="29">
        <v>2193</v>
      </c>
      <c r="BG106" s="29">
        <v>2190</v>
      </c>
      <c r="BH106" s="29">
        <v>2188</v>
      </c>
      <c r="BI106" s="29">
        <v>2161</v>
      </c>
      <c r="BJ106" s="29">
        <v>2170</v>
      </c>
      <c r="BK106" s="29">
        <v>2166</v>
      </c>
      <c r="BL106" s="30">
        <v>2175</v>
      </c>
      <c r="BM106" s="1">
        <v>2225</v>
      </c>
      <c r="BN106" s="1">
        <v>2230</v>
      </c>
      <c r="BO106" s="1">
        <v>2259</v>
      </c>
      <c r="BP106" s="1">
        <v>2294</v>
      </c>
      <c r="BQ106" s="1">
        <v>2299</v>
      </c>
      <c r="BR106" s="1">
        <v>2310</v>
      </c>
      <c r="BS106" s="1">
        <v>2364</v>
      </c>
      <c r="BT106" s="1">
        <v>2344</v>
      </c>
      <c r="BU106" s="1">
        <v>2374</v>
      </c>
      <c r="BV106" s="1">
        <v>2368</v>
      </c>
      <c r="BW106" s="1">
        <v>2365</v>
      </c>
      <c r="BX106" s="1">
        <v>2350</v>
      </c>
      <c r="BY106" s="1">
        <v>2346</v>
      </c>
      <c r="BZ106" s="1">
        <v>2324</v>
      </c>
    </row>
    <row r="107" spans="1:78" ht="15.9" customHeight="1">
      <c r="A107" s="65" t="s">
        <v>209</v>
      </c>
      <c r="B107" s="25" t="s">
        <v>210</v>
      </c>
      <c r="C107" s="39">
        <f>_xll.RssMarket("7729","高値")</f>
        <v>18945</v>
      </c>
      <c r="D107" s="38">
        <f t="shared" si="3"/>
        <v>885</v>
      </c>
      <c r="E107" s="34">
        <v>18060</v>
      </c>
      <c r="F107" s="34">
        <v>17270</v>
      </c>
      <c r="G107" s="29">
        <v>17480</v>
      </c>
      <c r="H107" s="29">
        <v>15690</v>
      </c>
      <c r="I107" s="29">
        <v>16210</v>
      </c>
      <c r="J107" s="29">
        <v>17645</v>
      </c>
      <c r="K107" s="29">
        <v>17865</v>
      </c>
      <c r="L107" s="29">
        <v>18135</v>
      </c>
      <c r="M107" s="29">
        <v>19005</v>
      </c>
      <c r="N107" s="29">
        <v>19195</v>
      </c>
      <c r="O107" s="29">
        <v>18250</v>
      </c>
      <c r="P107" s="29">
        <v>17965</v>
      </c>
      <c r="Q107" s="29">
        <v>19210</v>
      </c>
      <c r="R107" s="29">
        <v>18505</v>
      </c>
      <c r="S107" s="29">
        <v>19420</v>
      </c>
      <c r="T107" s="29">
        <v>19295</v>
      </c>
      <c r="U107" s="29">
        <v>18235</v>
      </c>
      <c r="V107" s="29">
        <v>18095</v>
      </c>
      <c r="W107" s="29">
        <v>18735</v>
      </c>
      <c r="X107" s="29">
        <v>19550</v>
      </c>
      <c r="Y107" s="29">
        <v>19540</v>
      </c>
      <c r="Z107" s="29">
        <v>20185</v>
      </c>
      <c r="AA107" s="29">
        <v>21310</v>
      </c>
      <c r="AB107" s="29">
        <v>20345</v>
      </c>
      <c r="AC107" s="29">
        <v>19370</v>
      </c>
      <c r="AD107" s="29">
        <v>19940</v>
      </c>
      <c r="AE107" s="29">
        <v>20170</v>
      </c>
      <c r="AF107" s="29">
        <v>19530</v>
      </c>
      <c r="AG107" s="29">
        <v>20495</v>
      </c>
      <c r="AH107" s="29">
        <v>20415</v>
      </c>
      <c r="AI107" s="29">
        <v>20845</v>
      </c>
      <c r="AJ107" s="29">
        <v>20485</v>
      </c>
      <c r="AK107" s="29">
        <v>19530</v>
      </c>
      <c r="AL107" s="29">
        <v>19880</v>
      </c>
      <c r="AM107" s="29">
        <v>19840</v>
      </c>
      <c r="AN107" s="29">
        <v>19220</v>
      </c>
      <c r="AO107" s="29">
        <v>17865</v>
      </c>
      <c r="AP107" s="29">
        <v>18280</v>
      </c>
      <c r="AQ107" s="29">
        <v>16810</v>
      </c>
      <c r="AR107" s="29">
        <v>18085</v>
      </c>
      <c r="AS107" s="29">
        <v>18765</v>
      </c>
      <c r="AT107" s="29">
        <v>17955</v>
      </c>
      <c r="AU107" s="29">
        <v>16990</v>
      </c>
      <c r="AV107" s="29">
        <v>17970</v>
      </c>
      <c r="AW107" s="29">
        <v>17740</v>
      </c>
      <c r="AX107" s="29">
        <v>18310</v>
      </c>
      <c r="AY107" s="29">
        <v>18455</v>
      </c>
      <c r="AZ107" s="29">
        <v>17080</v>
      </c>
      <c r="BA107" s="29">
        <v>16665</v>
      </c>
      <c r="BB107" s="29">
        <v>15905</v>
      </c>
      <c r="BC107" s="29">
        <v>16445</v>
      </c>
      <c r="BD107" s="29">
        <v>16590</v>
      </c>
      <c r="BE107" s="29">
        <v>18230</v>
      </c>
      <c r="BF107" s="29">
        <v>19320</v>
      </c>
      <c r="BG107" s="29">
        <v>19070</v>
      </c>
      <c r="BH107" s="29">
        <v>19365</v>
      </c>
      <c r="BI107" s="29">
        <v>19400</v>
      </c>
      <c r="BJ107" s="29">
        <v>18765</v>
      </c>
      <c r="BK107" s="29">
        <v>18675</v>
      </c>
      <c r="BL107" s="30">
        <v>17430</v>
      </c>
      <c r="BM107" s="1">
        <v>17635</v>
      </c>
      <c r="BN107" s="1">
        <v>17675</v>
      </c>
      <c r="BO107" s="1">
        <v>17800</v>
      </c>
      <c r="BP107" s="1">
        <v>17610</v>
      </c>
      <c r="BQ107" s="1">
        <v>17295</v>
      </c>
      <c r="BR107" s="1">
        <v>16820</v>
      </c>
      <c r="BS107" s="1">
        <v>16720</v>
      </c>
      <c r="BT107" s="1">
        <v>16665</v>
      </c>
      <c r="BU107" s="1">
        <v>16900</v>
      </c>
      <c r="BV107" s="1">
        <v>16995</v>
      </c>
      <c r="BW107" s="1">
        <v>16765</v>
      </c>
      <c r="BX107" s="1">
        <v>16315</v>
      </c>
      <c r="BY107" s="1">
        <v>15815</v>
      </c>
      <c r="BZ107" s="1">
        <v>15925</v>
      </c>
    </row>
    <row r="108" spans="1:78" ht="15.9" customHeight="1">
      <c r="A108" s="65" t="s">
        <v>211</v>
      </c>
      <c r="B108" s="25" t="s">
        <v>212</v>
      </c>
      <c r="C108" s="39">
        <f>_xll.RssMarket("8424","高値")</f>
        <v>4409</v>
      </c>
      <c r="D108" s="38">
        <f t="shared" si="3"/>
        <v>-53</v>
      </c>
      <c r="E108" s="34">
        <v>4462</v>
      </c>
      <c r="F108" s="34">
        <v>4509</v>
      </c>
      <c r="G108" s="29">
        <v>4586</v>
      </c>
      <c r="H108" s="29">
        <v>4585</v>
      </c>
      <c r="I108" s="29">
        <v>4620</v>
      </c>
      <c r="J108" s="29">
        <v>4549</v>
      </c>
      <c r="K108" s="29">
        <v>4520</v>
      </c>
      <c r="L108" s="29">
        <v>4433</v>
      </c>
      <c r="M108" s="29">
        <v>4440</v>
      </c>
      <c r="N108" s="29">
        <v>4441</v>
      </c>
      <c r="O108" s="29">
        <v>4449</v>
      </c>
      <c r="P108" s="29">
        <v>4392</v>
      </c>
      <c r="Q108" s="29">
        <v>4390</v>
      </c>
      <c r="R108" s="29">
        <v>4361</v>
      </c>
      <c r="S108" s="29">
        <v>4318</v>
      </c>
      <c r="T108" s="29">
        <v>4291</v>
      </c>
      <c r="U108" s="29">
        <v>4306</v>
      </c>
      <c r="V108" s="29">
        <v>4309</v>
      </c>
      <c r="W108" s="29">
        <v>4309</v>
      </c>
      <c r="X108" s="29">
        <v>4245</v>
      </c>
      <c r="Y108" s="29">
        <v>4239</v>
      </c>
      <c r="Z108" s="29">
        <v>4236</v>
      </c>
      <c r="AA108" s="29">
        <v>4230</v>
      </c>
      <c r="AB108" s="29">
        <v>4250</v>
      </c>
      <c r="AC108" s="29">
        <v>4274</v>
      </c>
      <c r="AD108" s="29">
        <v>4260</v>
      </c>
      <c r="AE108" s="29">
        <v>4250</v>
      </c>
      <c r="AF108" s="29">
        <v>4216</v>
      </c>
      <c r="AG108" s="29">
        <v>4222</v>
      </c>
      <c r="AH108" s="29">
        <v>4249</v>
      </c>
      <c r="AI108" s="29">
        <v>4289</v>
      </c>
      <c r="AJ108" s="29">
        <v>4265</v>
      </c>
      <c r="AK108" s="29">
        <v>4333</v>
      </c>
      <c r="AL108" s="29">
        <v>4300</v>
      </c>
      <c r="AM108" s="29">
        <v>4347</v>
      </c>
      <c r="AN108" s="29">
        <v>4299</v>
      </c>
      <c r="AO108" s="29">
        <v>4318</v>
      </c>
      <c r="AP108" s="29">
        <v>4338</v>
      </c>
      <c r="AQ108" s="29">
        <v>4192</v>
      </c>
      <c r="AR108" s="29">
        <v>4170</v>
      </c>
      <c r="AS108" s="29">
        <v>4097</v>
      </c>
      <c r="AT108" s="29">
        <v>4107</v>
      </c>
      <c r="AU108" s="29">
        <v>4081</v>
      </c>
      <c r="AV108" s="29">
        <v>4254</v>
      </c>
      <c r="AW108" s="29">
        <v>4196</v>
      </c>
      <c r="AX108" s="29">
        <v>4200</v>
      </c>
      <c r="AY108" s="29">
        <v>4289</v>
      </c>
      <c r="AZ108" s="29">
        <v>4384</v>
      </c>
      <c r="BA108" s="29">
        <v>4414</v>
      </c>
      <c r="BB108" s="29">
        <v>4398</v>
      </c>
      <c r="BC108" s="29">
        <v>4406</v>
      </c>
      <c r="BD108" s="29">
        <v>4388</v>
      </c>
      <c r="BE108" s="29">
        <v>4396</v>
      </c>
      <c r="BF108" s="29">
        <v>4394</v>
      </c>
      <c r="BG108" s="29">
        <v>4397</v>
      </c>
      <c r="BH108" s="29">
        <v>4460</v>
      </c>
      <c r="BI108" s="29">
        <v>4317</v>
      </c>
      <c r="BJ108" s="29">
        <v>4343</v>
      </c>
      <c r="BK108" s="29">
        <v>4344</v>
      </c>
      <c r="BL108" s="30">
        <v>4315</v>
      </c>
      <c r="BM108" s="1">
        <v>4337</v>
      </c>
      <c r="BN108" s="1">
        <v>4350</v>
      </c>
      <c r="BO108" s="1">
        <v>4294</v>
      </c>
      <c r="BP108" s="1">
        <v>4286</v>
      </c>
      <c r="BQ108" s="1">
        <v>4268</v>
      </c>
      <c r="BR108" s="1">
        <v>4282</v>
      </c>
      <c r="BS108" s="1">
        <v>4316</v>
      </c>
      <c r="BT108" s="1">
        <v>4367</v>
      </c>
      <c r="BU108" s="1">
        <v>4350</v>
      </c>
      <c r="BV108" s="1">
        <v>4383</v>
      </c>
      <c r="BW108" s="1">
        <v>4357</v>
      </c>
      <c r="BX108" s="1">
        <v>4360</v>
      </c>
      <c r="BY108" s="1">
        <v>4382</v>
      </c>
      <c r="BZ108" s="1">
        <v>4440</v>
      </c>
    </row>
    <row r="109" spans="1:78" ht="15.9" customHeight="1">
      <c r="A109" s="65" t="s">
        <v>213</v>
      </c>
      <c r="B109" s="25" t="s">
        <v>214</v>
      </c>
      <c r="C109" s="39">
        <f>_xll.RssMarket("9020","高値")</f>
        <v>3447</v>
      </c>
      <c r="D109" s="38">
        <f t="shared" si="3"/>
        <v>-17</v>
      </c>
      <c r="E109" s="34">
        <v>3464</v>
      </c>
      <c r="F109" s="34">
        <v>3604</v>
      </c>
      <c r="G109" s="29">
        <v>3748</v>
      </c>
      <c r="H109" s="29">
        <v>3945</v>
      </c>
      <c r="I109" s="29">
        <v>3966</v>
      </c>
      <c r="J109" s="29">
        <v>3847</v>
      </c>
      <c r="K109" s="29">
        <v>3770</v>
      </c>
      <c r="L109" s="29">
        <v>3632</v>
      </c>
      <c r="M109" s="29">
        <v>3597</v>
      </c>
      <c r="N109" s="29">
        <v>3649</v>
      </c>
      <c r="O109" s="29">
        <v>3708</v>
      </c>
      <c r="P109" s="29">
        <v>3677</v>
      </c>
      <c r="Q109" s="29">
        <v>3605</v>
      </c>
      <c r="R109" s="29">
        <v>3614</v>
      </c>
      <c r="S109" s="29">
        <v>3539</v>
      </c>
      <c r="T109" s="29">
        <v>3528</v>
      </c>
      <c r="U109" s="29">
        <v>3531</v>
      </c>
      <c r="V109" s="29">
        <v>3588</v>
      </c>
      <c r="W109" s="29">
        <v>3566</v>
      </c>
      <c r="X109" s="29">
        <v>3519</v>
      </c>
      <c r="Y109" s="29">
        <v>3544</v>
      </c>
      <c r="Z109" s="29">
        <v>3443</v>
      </c>
      <c r="AA109" s="29">
        <v>3394</v>
      </c>
      <c r="AB109" s="29">
        <v>3472</v>
      </c>
      <c r="AC109" s="29">
        <v>3476</v>
      </c>
      <c r="AD109" s="29">
        <v>3388</v>
      </c>
      <c r="AE109" s="29">
        <v>3393</v>
      </c>
      <c r="AF109" s="29">
        <v>3407</v>
      </c>
      <c r="AG109" s="29">
        <v>3373</v>
      </c>
      <c r="AH109" s="29">
        <v>3382</v>
      </c>
      <c r="AI109" s="29">
        <v>3415</v>
      </c>
      <c r="AJ109" s="29">
        <v>3400</v>
      </c>
      <c r="AK109" s="29">
        <v>3455</v>
      </c>
      <c r="AL109" s="29">
        <v>3400</v>
      </c>
      <c r="AM109" s="29">
        <v>3443</v>
      </c>
      <c r="AN109" s="29">
        <v>3467</v>
      </c>
      <c r="AO109" s="29">
        <v>3513</v>
      </c>
      <c r="AP109" s="29">
        <v>3463</v>
      </c>
      <c r="AQ109" s="29">
        <v>3418</v>
      </c>
      <c r="AR109" s="29">
        <v>3399</v>
      </c>
      <c r="AS109" s="29">
        <v>3318</v>
      </c>
      <c r="AT109" s="29">
        <v>3333</v>
      </c>
      <c r="AU109" s="29">
        <v>3365</v>
      </c>
      <c r="AV109" s="29">
        <v>3500</v>
      </c>
      <c r="AW109" s="29">
        <v>3531</v>
      </c>
      <c r="AX109" s="29">
        <v>3535</v>
      </c>
      <c r="AY109" s="29">
        <v>3597</v>
      </c>
      <c r="AZ109" s="29">
        <v>3670</v>
      </c>
      <c r="BA109" s="29">
        <v>3844</v>
      </c>
      <c r="BB109" s="29">
        <v>3844</v>
      </c>
      <c r="BC109" s="29">
        <v>3819</v>
      </c>
      <c r="BD109" s="29">
        <v>3796</v>
      </c>
      <c r="BE109" s="29">
        <v>3773</v>
      </c>
      <c r="BF109" s="29">
        <v>3724</v>
      </c>
      <c r="BG109" s="29">
        <v>3802</v>
      </c>
      <c r="BH109" s="29">
        <v>3698</v>
      </c>
      <c r="BI109" s="29">
        <v>3690</v>
      </c>
      <c r="BJ109" s="29">
        <v>3666</v>
      </c>
      <c r="BK109" s="29">
        <v>3709</v>
      </c>
      <c r="BL109" s="30">
        <v>3785</v>
      </c>
      <c r="BM109" s="1">
        <v>3451</v>
      </c>
      <c r="BN109" s="1">
        <v>3464</v>
      </c>
      <c r="BO109" s="1">
        <v>3461</v>
      </c>
      <c r="BP109" s="1">
        <v>3485</v>
      </c>
      <c r="BQ109" s="1">
        <v>3512</v>
      </c>
      <c r="BR109" s="1">
        <v>3545</v>
      </c>
      <c r="BS109" s="1">
        <v>3544</v>
      </c>
      <c r="BT109" s="1">
        <v>3535</v>
      </c>
      <c r="BU109" s="1">
        <v>3530</v>
      </c>
      <c r="BV109" s="1">
        <v>3590</v>
      </c>
      <c r="BW109" s="1">
        <v>3584</v>
      </c>
      <c r="BX109" s="1">
        <v>3584</v>
      </c>
      <c r="BY109" s="1">
        <v>3635</v>
      </c>
      <c r="BZ109" s="1">
        <v>3617</v>
      </c>
    </row>
    <row r="110" spans="1:78" ht="15.9" customHeight="1">
      <c r="A110" s="65" t="s">
        <v>215</v>
      </c>
      <c r="B110" s="25" t="s">
        <v>216</v>
      </c>
      <c r="C110" s="39">
        <f>_xll.RssMarket("9069","高値")</f>
        <v>2218.5</v>
      </c>
      <c r="D110" s="38">
        <f t="shared" si="3"/>
        <v>0.5</v>
      </c>
      <c r="E110" s="34">
        <v>2218</v>
      </c>
      <c r="F110" s="34">
        <v>2233</v>
      </c>
      <c r="G110" s="29">
        <v>2245.5</v>
      </c>
      <c r="H110" s="29">
        <v>2264</v>
      </c>
      <c r="I110" s="29">
        <v>2274</v>
      </c>
      <c r="J110" s="29">
        <v>2225.5</v>
      </c>
      <c r="K110" s="29">
        <v>2209</v>
      </c>
      <c r="L110" s="29">
        <v>2199</v>
      </c>
      <c r="M110" s="29">
        <v>2186.5</v>
      </c>
      <c r="N110" s="29">
        <v>2223</v>
      </c>
      <c r="O110" s="29">
        <v>2252.5</v>
      </c>
      <c r="P110" s="29">
        <v>2195</v>
      </c>
      <c r="Q110" s="29">
        <v>2145</v>
      </c>
      <c r="R110" s="29">
        <v>2144</v>
      </c>
      <c r="S110" s="29">
        <v>2114</v>
      </c>
      <c r="T110" s="29">
        <v>2062.5</v>
      </c>
      <c r="U110" s="29">
        <v>2057.5</v>
      </c>
      <c r="V110" s="29">
        <v>2032.5</v>
      </c>
      <c r="W110" s="29">
        <v>2026.5</v>
      </c>
      <c r="X110" s="29">
        <v>2005</v>
      </c>
      <c r="Y110" s="29">
        <v>1988</v>
      </c>
      <c r="Z110" s="29">
        <v>1937.5</v>
      </c>
      <c r="AA110" s="29">
        <v>1953</v>
      </c>
      <c r="AB110" s="29">
        <v>1966.5</v>
      </c>
      <c r="AC110" s="29">
        <v>1953.5</v>
      </c>
      <c r="AD110" s="29">
        <v>1924.5</v>
      </c>
      <c r="AE110" s="29">
        <v>1917.5</v>
      </c>
      <c r="AF110" s="29">
        <v>1905.5</v>
      </c>
      <c r="AG110" s="29">
        <v>1906.5</v>
      </c>
      <c r="AH110" s="29">
        <v>1911</v>
      </c>
      <c r="AI110" s="29">
        <v>1902</v>
      </c>
      <c r="AJ110" s="29">
        <v>1917</v>
      </c>
      <c r="AK110" s="29">
        <v>1952.5</v>
      </c>
      <c r="AL110" s="29">
        <v>1956.5</v>
      </c>
      <c r="AM110" s="29">
        <v>1993</v>
      </c>
      <c r="AN110" s="29">
        <v>1956</v>
      </c>
      <c r="AO110" s="29">
        <v>1961</v>
      </c>
      <c r="AP110" s="29">
        <v>1965.5</v>
      </c>
      <c r="AQ110" s="29">
        <v>1959.5</v>
      </c>
      <c r="AR110" s="29">
        <v>1930</v>
      </c>
      <c r="AS110" s="29">
        <v>1912.5</v>
      </c>
      <c r="AT110" s="29">
        <v>1925</v>
      </c>
      <c r="AU110" s="29">
        <v>1902.5</v>
      </c>
      <c r="AV110" s="29">
        <v>1942.5</v>
      </c>
      <c r="AW110" s="29">
        <v>1939</v>
      </c>
      <c r="AX110" s="29">
        <v>1932</v>
      </c>
      <c r="AY110" s="29">
        <v>1964</v>
      </c>
      <c r="AZ110" s="29">
        <v>2034</v>
      </c>
      <c r="BA110" s="29">
        <v>2053</v>
      </c>
      <c r="BB110" s="29">
        <v>2027</v>
      </c>
      <c r="BC110" s="29">
        <v>2044.5</v>
      </c>
      <c r="BD110" s="29">
        <v>2022.5</v>
      </c>
      <c r="BE110" s="29">
        <v>2056</v>
      </c>
      <c r="BF110" s="29">
        <v>2029</v>
      </c>
      <c r="BG110" s="29">
        <v>1864</v>
      </c>
      <c r="BH110" s="29">
        <v>1867</v>
      </c>
      <c r="BI110" s="29">
        <v>1868.5</v>
      </c>
      <c r="BJ110" s="29">
        <v>1874</v>
      </c>
      <c r="BK110" s="29">
        <v>1884</v>
      </c>
      <c r="BL110" s="30">
        <v>1855.5</v>
      </c>
      <c r="BM110" s="1">
        <v>1861</v>
      </c>
      <c r="BN110" s="1">
        <v>1868</v>
      </c>
      <c r="BO110" s="1">
        <v>1840</v>
      </c>
      <c r="BP110" s="1">
        <v>1887</v>
      </c>
      <c r="BQ110" s="1">
        <v>1909</v>
      </c>
      <c r="BR110" s="1">
        <v>1915</v>
      </c>
      <c r="BS110" s="1">
        <v>1920</v>
      </c>
      <c r="BT110" s="1">
        <v>1908</v>
      </c>
      <c r="BU110" s="1">
        <v>1922.5</v>
      </c>
      <c r="BV110" s="1">
        <v>1924</v>
      </c>
      <c r="BW110" s="1">
        <v>1927</v>
      </c>
      <c r="BX110" s="1">
        <v>1884.5</v>
      </c>
      <c r="BY110" s="1">
        <v>1898</v>
      </c>
      <c r="BZ110" s="1">
        <v>1939</v>
      </c>
    </row>
    <row r="111" spans="1:78" ht="15.9" customHeight="1">
      <c r="A111" s="65" t="s">
        <v>217</v>
      </c>
      <c r="B111" s="25" t="s">
        <v>218</v>
      </c>
      <c r="C111" s="39">
        <f>_xll.RssMarket("9227","高値")</f>
        <v>898</v>
      </c>
      <c r="D111" s="38">
        <f t="shared" si="3"/>
        <v>10</v>
      </c>
      <c r="E111" s="34">
        <v>888</v>
      </c>
      <c r="F111" s="34">
        <v>856</v>
      </c>
      <c r="G111" s="29">
        <v>888</v>
      </c>
      <c r="H111" s="29">
        <v>1041</v>
      </c>
      <c r="I111" s="29">
        <v>967</v>
      </c>
      <c r="J111" s="29">
        <v>819</v>
      </c>
      <c r="K111" s="29">
        <v>823</v>
      </c>
      <c r="L111" s="29"/>
      <c r="M111" s="29">
        <v>821</v>
      </c>
      <c r="N111" s="29">
        <v>831</v>
      </c>
      <c r="O111" s="29">
        <v>813</v>
      </c>
      <c r="P111" s="29">
        <v>811</v>
      </c>
      <c r="Q111" s="29">
        <v>846</v>
      </c>
      <c r="R111" s="29">
        <v>846</v>
      </c>
      <c r="S111" s="29">
        <v>888</v>
      </c>
      <c r="T111" s="29">
        <v>882</v>
      </c>
      <c r="U111" s="29">
        <v>902</v>
      </c>
      <c r="V111" s="29">
        <v>949</v>
      </c>
      <c r="W111" s="29">
        <v>989</v>
      </c>
      <c r="X111" s="29">
        <v>955</v>
      </c>
      <c r="Y111" s="29">
        <v>942</v>
      </c>
      <c r="Z111" s="29">
        <v>957</v>
      </c>
      <c r="AA111" s="29">
        <v>963</v>
      </c>
      <c r="AB111" s="29">
        <v>913</v>
      </c>
      <c r="AC111" s="29">
        <v>898</v>
      </c>
      <c r="AD111" s="29">
        <v>902</v>
      </c>
      <c r="AE111" s="29">
        <v>900</v>
      </c>
      <c r="AF111" s="29">
        <v>902</v>
      </c>
      <c r="AG111" s="29">
        <v>957</v>
      </c>
      <c r="AH111" s="29">
        <v>957</v>
      </c>
      <c r="AI111" s="29">
        <v>917</v>
      </c>
      <c r="AJ111" s="29">
        <v>903</v>
      </c>
      <c r="AK111" s="29">
        <v>896</v>
      </c>
      <c r="AL111" s="29">
        <v>906</v>
      </c>
      <c r="AM111" s="29">
        <v>936</v>
      </c>
      <c r="AN111" s="29">
        <v>890</v>
      </c>
      <c r="AO111" s="29">
        <v>878</v>
      </c>
      <c r="AP111" s="29">
        <v>920</v>
      </c>
      <c r="AQ111" s="29">
        <v>928</v>
      </c>
      <c r="AR111" s="29">
        <v>944</v>
      </c>
      <c r="AS111" s="29">
        <v>912</v>
      </c>
      <c r="AT111" s="29">
        <v>940</v>
      </c>
      <c r="AU111" s="29">
        <v>960</v>
      </c>
      <c r="AV111" s="29">
        <v>1103</v>
      </c>
      <c r="AW111" s="29">
        <v>1268</v>
      </c>
      <c r="AX111" s="29">
        <v>1415</v>
      </c>
      <c r="AY111" s="29">
        <v>1093</v>
      </c>
      <c r="AZ111" s="29">
        <v>943</v>
      </c>
      <c r="BA111" s="29">
        <v>806</v>
      </c>
      <c r="BB111" s="29">
        <v>801</v>
      </c>
      <c r="BC111" s="29">
        <v>857</v>
      </c>
      <c r="BD111" s="29">
        <v>840</v>
      </c>
      <c r="BE111" s="29">
        <v>855</v>
      </c>
      <c r="BF111" s="29">
        <v>854</v>
      </c>
      <c r="BG111" s="29">
        <v>876</v>
      </c>
      <c r="BH111" s="29">
        <v>1007</v>
      </c>
      <c r="BI111" s="29">
        <v>1015</v>
      </c>
      <c r="BJ111" s="29">
        <v>1019</v>
      </c>
      <c r="BK111" s="29">
        <v>1047</v>
      </c>
      <c r="BL111" s="30">
        <v>1044</v>
      </c>
      <c r="BM111" s="1">
        <v>1084</v>
      </c>
      <c r="BN111" s="1">
        <v>1125</v>
      </c>
      <c r="BO111" s="1">
        <v>1072</v>
      </c>
      <c r="BP111" s="1">
        <v>1121</v>
      </c>
      <c r="BQ111" s="1">
        <v>1165</v>
      </c>
      <c r="BR111" s="1">
        <v>1180</v>
      </c>
      <c r="BS111" s="1">
        <v>1315</v>
      </c>
      <c r="BT111" s="1">
        <v>1244</v>
      </c>
      <c r="BU111" s="1">
        <v>1064</v>
      </c>
      <c r="BV111" s="1">
        <v>1078</v>
      </c>
      <c r="BW111" s="1">
        <v>1048</v>
      </c>
      <c r="BX111" s="1">
        <v>1034</v>
      </c>
      <c r="BY111" s="1">
        <v>1000</v>
      </c>
      <c r="BZ111" s="1">
        <v>984</v>
      </c>
    </row>
    <row r="112" spans="1:78" ht="15.9" customHeight="1">
      <c r="A112" s="65" t="s">
        <v>219</v>
      </c>
      <c r="B112" s="25" t="s">
        <v>220</v>
      </c>
      <c r="C112" s="39">
        <f>_xll.RssMarket("9348","高値")</f>
        <v>422</v>
      </c>
      <c r="D112" s="38">
        <f t="shared" si="3"/>
        <v>9</v>
      </c>
      <c r="E112" s="34">
        <v>413</v>
      </c>
      <c r="F112" s="34">
        <v>406</v>
      </c>
      <c r="G112" s="29">
        <v>411</v>
      </c>
      <c r="H112" s="29">
        <v>415</v>
      </c>
      <c r="I112" s="29">
        <v>408</v>
      </c>
      <c r="J112" s="29">
        <v>413</v>
      </c>
      <c r="K112" s="29">
        <v>420</v>
      </c>
      <c r="L112" s="29"/>
      <c r="M112" s="29">
        <v>419</v>
      </c>
      <c r="N112" s="29">
        <v>423</v>
      </c>
      <c r="O112" s="29">
        <v>415</v>
      </c>
      <c r="P112" s="29">
        <v>417</v>
      </c>
      <c r="Q112" s="29">
        <v>450</v>
      </c>
      <c r="R112" s="29">
        <v>443</v>
      </c>
      <c r="S112" s="29">
        <v>464</v>
      </c>
      <c r="T112" s="29">
        <v>500</v>
      </c>
      <c r="U112" s="29">
        <v>508</v>
      </c>
      <c r="V112" s="29">
        <v>437</v>
      </c>
      <c r="W112" s="29">
        <v>456</v>
      </c>
      <c r="X112" s="29">
        <v>458</v>
      </c>
      <c r="Y112" s="29">
        <v>453</v>
      </c>
      <c r="Z112" s="29">
        <v>448</v>
      </c>
      <c r="AA112" s="29">
        <v>446</v>
      </c>
      <c r="AB112" s="29">
        <v>458</v>
      </c>
      <c r="AC112" s="29">
        <v>442</v>
      </c>
      <c r="AD112" s="29">
        <v>442</v>
      </c>
      <c r="AE112" s="29">
        <v>446</v>
      </c>
      <c r="AF112" s="29">
        <v>451</v>
      </c>
      <c r="AG112" s="29">
        <v>456</v>
      </c>
      <c r="AH112" s="29">
        <v>465</v>
      </c>
      <c r="AI112" s="29">
        <v>469</v>
      </c>
      <c r="AJ112" s="29">
        <v>482</v>
      </c>
      <c r="AK112" s="29">
        <v>494</v>
      </c>
      <c r="AL112" s="29">
        <v>512</v>
      </c>
      <c r="AM112" s="29">
        <v>550</v>
      </c>
      <c r="AN112" s="29">
        <v>603</v>
      </c>
      <c r="AO112" s="29">
        <v>581</v>
      </c>
      <c r="AP112" s="29">
        <v>589</v>
      </c>
      <c r="AQ112" s="29">
        <v>611</v>
      </c>
      <c r="AR112" s="29">
        <v>633</v>
      </c>
      <c r="AS112" s="29">
        <v>584</v>
      </c>
      <c r="AT112" s="29">
        <v>605</v>
      </c>
      <c r="AU112" s="29">
        <v>589</v>
      </c>
      <c r="AV112" s="29">
        <v>710</v>
      </c>
      <c r="AW112" s="29">
        <v>700</v>
      </c>
      <c r="AX112" s="29">
        <v>690</v>
      </c>
      <c r="AY112" s="29">
        <v>627</v>
      </c>
      <c r="AZ112" s="29">
        <v>584</v>
      </c>
      <c r="BA112" s="29">
        <v>521</v>
      </c>
      <c r="BB112" s="29">
        <v>536</v>
      </c>
      <c r="BC112" s="29">
        <v>541</v>
      </c>
      <c r="BD112" s="29">
        <v>506</v>
      </c>
      <c r="BE112" s="29">
        <v>522</v>
      </c>
      <c r="BF112" s="29">
        <v>518</v>
      </c>
      <c r="BG112" s="29">
        <v>498</v>
      </c>
      <c r="BH112" s="29">
        <v>511</v>
      </c>
      <c r="BI112" s="29">
        <v>520</v>
      </c>
      <c r="BJ112" s="29">
        <v>504</v>
      </c>
      <c r="BK112" s="29">
        <v>489</v>
      </c>
      <c r="BL112" s="30">
        <v>475</v>
      </c>
      <c r="BM112" s="1">
        <v>477</v>
      </c>
      <c r="BN112" s="1">
        <v>481</v>
      </c>
      <c r="BO112" s="1">
        <v>482</v>
      </c>
      <c r="BP112" s="1">
        <v>490</v>
      </c>
      <c r="BQ112" s="1">
        <v>496</v>
      </c>
      <c r="BR112" s="1">
        <v>498</v>
      </c>
      <c r="BS112" s="1">
        <v>499</v>
      </c>
      <c r="BT112" s="1">
        <v>511</v>
      </c>
      <c r="BU112" s="1">
        <v>505</v>
      </c>
      <c r="BV112" s="1">
        <v>518</v>
      </c>
      <c r="BW112" s="1">
        <v>522</v>
      </c>
      <c r="BX112" s="1">
        <v>514</v>
      </c>
      <c r="BY112" s="1">
        <v>521</v>
      </c>
      <c r="BZ112" s="1">
        <v>529</v>
      </c>
    </row>
    <row r="113" spans="1:78" ht="15.9" customHeight="1">
      <c r="A113" s="65" t="s">
        <v>221</v>
      </c>
      <c r="B113" s="25" t="s">
        <v>222</v>
      </c>
      <c r="C113" s="39">
        <f>_xll.RssMarket("9449","高値")</f>
        <v>4274</v>
      </c>
      <c r="D113" s="38">
        <f t="shared" si="3"/>
        <v>61</v>
      </c>
      <c r="E113" s="34">
        <v>4213</v>
      </c>
      <c r="F113" s="34">
        <v>4204</v>
      </c>
      <c r="G113" s="29">
        <v>4254</v>
      </c>
      <c r="H113" s="29">
        <v>4302</v>
      </c>
      <c r="I113" s="29">
        <v>4285</v>
      </c>
      <c r="J113" s="29">
        <v>4168</v>
      </c>
      <c r="K113" s="29">
        <v>4120</v>
      </c>
      <c r="L113" s="29">
        <v>3926</v>
      </c>
      <c r="M113" s="29">
        <v>4001</v>
      </c>
      <c r="N113" s="29">
        <v>4012</v>
      </c>
      <c r="O113" s="29">
        <v>4127</v>
      </c>
      <c r="P113" s="29">
        <v>4112</v>
      </c>
      <c r="Q113" s="29">
        <v>4058</v>
      </c>
      <c r="R113" s="29">
        <v>4050</v>
      </c>
      <c r="S113" s="29">
        <v>3935</v>
      </c>
      <c r="T113" s="29">
        <v>4000</v>
      </c>
      <c r="U113" s="29">
        <v>3843</v>
      </c>
      <c r="V113" s="29">
        <v>3863</v>
      </c>
      <c r="W113" s="29">
        <v>3720</v>
      </c>
      <c r="X113" s="29">
        <v>3652</v>
      </c>
      <c r="Y113" s="29">
        <v>3640</v>
      </c>
      <c r="Z113" s="29">
        <v>3623</v>
      </c>
      <c r="AA113" s="29">
        <v>3415</v>
      </c>
      <c r="AB113" s="29">
        <v>3424</v>
      </c>
      <c r="AC113" s="29">
        <v>3503</v>
      </c>
      <c r="AD113" s="29">
        <v>3298</v>
      </c>
      <c r="AE113" s="29">
        <v>3263</v>
      </c>
      <c r="AF113" s="29">
        <v>3285</v>
      </c>
      <c r="AG113" s="29">
        <v>3535</v>
      </c>
      <c r="AH113" s="29">
        <v>3576</v>
      </c>
      <c r="AI113" s="29">
        <v>3112</v>
      </c>
      <c r="AJ113" s="29">
        <v>3149</v>
      </c>
      <c r="AK113" s="29">
        <v>3128</v>
      </c>
      <c r="AL113" s="29">
        <v>3101</v>
      </c>
      <c r="AM113" s="29">
        <v>3137</v>
      </c>
      <c r="AN113" s="29">
        <v>3145</v>
      </c>
      <c r="AO113" s="29">
        <v>3180</v>
      </c>
      <c r="AP113" s="29">
        <v>3208</v>
      </c>
      <c r="AQ113" s="29">
        <v>3196</v>
      </c>
      <c r="AR113" s="29">
        <v>3274</v>
      </c>
      <c r="AS113" s="29">
        <v>3332</v>
      </c>
      <c r="AT113" s="29">
        <v>3315</v>
      </c>
      <c r="AU113" s="29">
        <v>3370</v>
      </c>
      <c r="AV113" s="29">
        <v>3416</v>
      </c>
      <c r="AW113" s="29">
        <v>3311</v>
      </c>
      <c r="AX113" s="29">
        <v>3401</v>
      </c>
      <c r="AY113" s="29">
        <v>3445</v>
      </c>
      <c r="AZ113" s="29">
        <v>3431</v>
      </c>
      <c r="BA113" s="29">
        <v>3355</v>
      </c>
      <c r="BB113" s="29">
        <v>3378</v>
      </c>
      <c r="BC113" s="29">
        <v>3367</v>
      </c>
      <c r="BD113" s="29">
        <v>3345</v>
      </c>
      <c r="BE113" s="29">
        <v>3154</v>
      </c>
      <c r="BF113" s="29">
        <v>3172</v>
      </c>
      <c r="BG113" s="29">
        <v>3205</v>
      </c>
      <c r="BH113" s="29">
        <v>3220</v>
      </c>
      <c r="BI113" s="29">
        <v>3216</v>
      </c>
      <c r="BJ113" s="29">
        <v>3189</v>
      </c>
      <c r="BK113" s="29">
        <v>3124</v>
      </c>
      <c r="BL113" s="30">
        <v>3068</v>
      </c>
      <c r="BM113" s="1">
        <v>3086</v>
      </c>
      <c r="BN113" s="1">
        <v>3143</v>
      </c>
      <c r="BO113" s="1">
        <v>3157</v>
      </c>
      <c r="BP113" s="1">
        <v>3166</v>
      </c>
      <c r="BQ113" s="1">
        <v>3246</v>
      </c>
      <c r="BR113" s="1">
        <v>3343</v>
      </c>
      <c r="BS113" s="1">
        <v>3334</v>
      </c>
      <c r="BT113" s="1">
        <v>3287</v>
      </c>
      <c r="BU113" s="1">
        <v>3306</v>
      </c>
      <c r="BV113" s="1">
        <v>3302</v>
      </c>
      <c r="BW113" s="1">
        <v>3099</v>
      </c>
      <c r="BX113" s="1">
        <v>3065</v>
      </c>
      <c r="BY113" s="1">
        <v>2980.5</v>
      </c>
      <c r="BZ113" s="1">
        <v>3032</v>
      </c>
    </row>
    <row r="114" spans="1:78" ht="15.9" customHeight="1">
      <c r="A114" s="65" t="s">
        <v>223</v>
      </c>
      <c r="B114" s="25" t="s">
        <v>224</v>
      </c>
      <c r="C114" s="39">
        <f>_xll.RssMarket("9501","高値")</f>
        <v>534.29999999999995</v>
      </c>
      <c r="D114" s="38">
        <f t="shared" si="3"/>
        <v>-4.1000000000000227</v>
      </c>
      <c r="E114" s="34">
        <v>538.4</v>
      </c>
      <c r="F114" s="34">
        <v>529.70000000000005</v>
      </c>
      <c r="G114" s="29">
        <v>549.4</v>
      </c>
      <c r="H114" s="29">
        <v>530.70000000000005</v>
      </c>
      <c r="I114" s="29">
        <v>535.6</v>
      </c>
      <c r="J114" s="29">
        <v>535.79999999999995</v>
      </c>
      <c r="K114" s="29">
        <v>538.5</v>
      </c>
      <c r="L114" s="29">
        <v>521.20000000000005</v>
      </c>
      <c r="M114" s="29">
        <v>524.6</v>
      </c>
      <c r="N114" s="29">
        <v>509.9</v>
      </c>
      <c r="O114" s="29">
        <v>518.20000000000005</v>
      </c>
      <c r="P114" s="29">
        <v>507</v>
      </c>
      <c r="Q114" s="29">
        <v>516.79999999999995</v>
      </c>
      <c r="R114" s="29">
        <v>509.7</v>
      </c>
      <c r="S114" s="29">
        <v>494.8</v>
      </c>
      <c r="T114" s="29">
        <v>497</v>
      </c>
      <c r="U114" s="29">
        <v>482.4</v>
      </c>
      <c r="V114" s="29">
        <v>484.4</v>
      </c>
      <c r="W114" s="29">
        <v>470.2</v>
      </c>
      <c r="X114" s="29">
        <v>475.5</v>
      </c>
      <c r="Y114" s="29">
        <v>472.7</v>
      </c>
      <c r="Z114" s="29">
        <v>464.1</v>
      </c>
      <c r="AA114" s="29">
        <v>459</v>
      </c>
      <c r="AB114" s="29">
        <v>469.4</v>
      </c>
      <c r="AC114" s="29">
        <v>469.4</v>
      </c>
      <c r="AD114" s="29">
        <v>477.2</v>
      </c>
      <c r="AE114" s="29">
        <v>489</v>
      </c>
      <c r="AF114" s="29">
        <v>477.7</v>
      </c>
      <c r="AG114" s="29">
        <v>480.9</v>
      </c>
      <c r="AH114" s="29">
        <v>524</v>
      </c>
      <c r="AI114" s="29">
        <v>526</v>
      </c>
      <c r="AJ114" s="29">
        <v>516.79999999999995</v>
      </c>
      <c r="AK114" s="29">
        <v>523.5</v>
      </c>
      <c r="AL114" s="29">
        <v>530</v>
      </c>
      <c r="AM114" s="29">
        <v>536.6</v>
      </c>
      <c r="AN114" s="29">
        <v>511.6</v>
      </c>
      <c r="AO114" s="29">
        <v>509.3</v>
      </c>
      <c r="AP114" s="29">
        <v>524.20000000000005</v>
      </c>
      <c r="AQ114" s="29">
        <v>536.29999999999995</v>
      </c>
      <c r="AR114" s="29">
        <v>555.6</v>
      </c>
      <c r="AS114" s="29">
        <v>571.5</v>
      </c>
      <c r="AT114" s="29">
        <v>580.70000000000005</v>
      </c>
      <c r="AU114" s="29">
        <v>565.70000000000005</v>
      </c>
      <c r="AV114" s="29">
        <v>573.4</v>
      </c>
      <c r="AW114" s="29">
        <v>570.5</v>
      </c>
      <c r="AX114" s="29">
        <v>592.9</v>
      </c>
      <c r="AY114" s="29">
        <v>573.9</v>
      </c>
      <c r="AZ114" s="29">
        <v>567.20000000000005</v>
      </c>
      <c r="BA114" s="29">
        <v>561.79999999999995</v>
      </c>
      <c r="BB114" s="29">
        <v>578</v>
      </c>
      <c r="BC114" s="29">
        <v>592.9</v>
      </c>
      <c r="BD114" s="29">
        <v>598.29999999999995</v>
      </c>
      <c r="BE114" s="29">
        <v>615.79999999999995</v>
      </c>
      <c r="BF114" s="29">
        <v>631.9</v>
      </c>
      <c r="BG114" s="29">
        <v>642.4</v>
      </c>
      <c r="BH114" s="29">
        <v>663</v>
      </c>
      <c r="BI114" s="29">
        <v>654.9</v>
      </c>
      <c r="BJ114" s="29">
        <v>632.79999999999995</v>
      </c>
      <c r="BK114" s="29">
        <v>627.79999999999995</v>
      </c>
      <c r="BL114" s="30">
        <v>615.9</v>
      </c>
      <c r="BM114" s="1">
        <v>603.9</v>
      </c>
      <c r="BN114" s="1">
        <v>613.70000000000005</v>
      </c>
      <c r="BO114" s="1">
        <v>589.70000000000005</v>
      </c>
      <c r="BP114" s="1">
        <v>593.4</v>
      </c>
      <c r="BQ114" s="1">
        <v>623</v>
      </c>
      <c r="BR114" s="1">
        <v>629.9</v>
      </c>
      <c r="BS114" s="1">
        <v>618.29999999999995</v>
      </c>
      <c r="BT114" s="1">
        <v>622</v>
      </c>
      <c r="BU114" s="1">
        <v>644.29999999999995</v>
      </c>
      <c r="BV114" s="1">
        <v>639.9</v>
      </c>
      <c r="BW114" s="1">
        <v>660.9</v>
      </c>
      <c r="BX114" s="1">
        <v>657.4</v>
      </c>
      <c r="BY114" s="1">
        <v>660</v>
      </c>
      <c r="BZ114" s="1">
        <v>701.2</v>
      </c>
    </row>
    <row r="115" spans="1:78" ht="15.9" customHeight="1">
      <c r="A115" s="65" t="s">
        <v>225</v>
      </c>
      <c r="B115" s="25" t="s">
        <v>226</v>
      </c>
      <c r="C115" s="39">
        <f>_xll.RssMarket("9531","高値")</f>
        <v>6079</v>
      </c>
      <c r="D115" s="38">
        <f t="shared" si="3"/>
        <v>-112</v>
      </c>
      <c r="E115" s="34">
        <v>6191</v>
      </c>
      <c r="F115" s="34">
        <v>6224</v>
      </c>
      <c r="G115" s="29">
        <v>6288</v>
      </c>
      <c r="H115" s="29">
        <v>6386</v>
      </c>
      <c r="I115" s="29">
        <v>6312</v>
      </c>
      <c r="J115" s="29">
        <v>6268</v>
      </c>
      <c r="K115" s="29">
        <v>6284</v>
      </c>
      <c r="L115" s="29">
        <v>6258</v>
      </c>
      <c r="M115" s="29">
        <v>6168</v>
      </c>
      <c r="N115" s="29">
        <v>6155</v>
      </c>
      <c r="O115" s="29">
        <v>6206</v>
      </c>
      <c r="P115" s="29">
        <v>6144</v>
      </c>
      <c r="Q115" s="29">
        <v>6150</v>
      </c>
      <c r="R115" s="29">
        <v>6059</v>
      </c>
      <c r="S115" s="29">
        <v>6030</v>
      </c>
      <c r="T115" s="29">
        <v>6070</v>
      </c>
      <c r="U115" s="29">
        <v>6158</v>
      </c>
      <c r="V115" s="29">
        <v>6174</v>
      </c>
      <c r="W115" s="29">
        <v>6173</v>
      </c>
      <c r="X115" s="29">
        <v>6192</v>
      </c>
      <c r="Y115" s="29">
        <v>6124</v>
      </c>
      <c r="Z115" s="29">
        <v>6098</v>
      </c>
      <c r="AA115" s="29">
        <v>6083</v>
      </c>
      <c r="AB115" s="29">
        <v>6227</v>
      </c>
      <c r="AC115" s="29">
        <v>6201</v>
      </c>
      <c r="AD115" s="29">
        <v>6112</v>
      </c>
      <c r="AE115" s="29">
        <v>6147</v>
      </c>
      <c r="AF115" s="29">
        <v>6196</v>
      </c>
      <c r="AG115" s="29">
        <v>6205</v>
      </c>
      <c r="AH115" s="29">
        <v>6251</v>
      </c>
      <c r="AI115" s="29">
        <v>6208</v>
      </c>
      <c r="AJ115" s="29">
        <v>6226</v>
      </c>
      <c r="AK115" s="29">
        <v>6300</v>
      </c>
      <c r="AL115" s="29">
        <v>6269</v>
      </c>
      <c r="AM115" s="29">
        <v>6382</v>
      </c>
      <c r="AN115" s="29">
        <v>6471</v>
      </c>
      <c r="AO115" s="29">
        <v>6395</v>
      </c>
      <c r="AP115" s="29">
        <v>6462</v>
      </c>
      <c r="AQ115" s="29">
        <v>6319</v>
      </c>
      <c r="AR115" s="29">
        <v>6295</v>
      </c>
      <c r="AS115" s="29">
        <v>6365</v>
      </c>
      <c r="AT115" s="29">
        <v>6353</v>
      </c>
      <c r="AU115" s="29">
        <v>6255</v>
      </c>
      <c r="AV115" s="29">
        <v>6432</v>
      </c>
      <c r="AW115" s="29">
        <v>6481</v>
      </c>
      <c r="AX115" s="29">
        <v>6536</v>
      </c>
      <c r="AY115" s="29">
        <v>6600</v>
      </c>
      <c r="AZ115" s="29">
        <v>6698</v>
      </c>
      <c r="BA115" s="29">
        <v>6724</v>
      </c>
      <c r="BB115" s="29">
        <v>6825</v>
      </c>
      <c r="BC115" s="29">
        <v>6765</v>
      </c>
      <c r="BD115" s="29">
        <v>6832</v>
      </c>
      <c r="BE115" s="29">
        <v>6779</v>
      </c>
      <c r="BF115" s="29">
        <v>6640</v>
      </c>
      <c r="BG115" s="29">
        <v>6702</v>
      </c>
      <c r="BH115" s="29">
        <v>6795</v>
      </c>
      <c r="BI115" s="29">
        <v>6747</v>
      </c>
      <c r="BJ115" s="29">
        <v>6786</v>
      </c>
      <c r="BK115" s="29">
        <v>6842</v>
      </c>
      <c r="BL115" s="30">
        <v>6753</v>
      </c>
      <c r="BM115" s="1">
        <v>6774</v>
      </c>
      <c r="BN115" s="1">
        <v>6979</v>
      </c>
      <c r="BO115" s="1">
        <v>6533</v>
      </c>
      <c r="BP115" s="1">
        <v>6552</v>
      </c>
      <c r="BQ115" s="1">
        <v>6489</v>
      </c>
      <c r="BR115" s="1">
        <v>6596</v>
      </c>
      <c r="BS115" s="1">
        <v>6667</v>
      </c>
      <c r="BT115" s="1">
        <v>6924</v>
      </c>
      <c r="BU115" s="1">
        <v>7128</v>
      </c>
      <c r="BV115" s="1">
        <v>7146</v>
      </c>
      <c r="BW115" s="1">
        <v>7072</v>
      </c>
      <c r="BX115" s="1">
        <v>7085</v>
      </c>
      <c r="BY115" s="1">
        <v>7286</v>
      </c>
      <c r="BZ115" s="1">
        <v>7406</v>
      </c>
    </row>
    <row r="116" spans="1:78" ht="15.9" customHeight="1">
      <c r="A116" s="65" t="s">
        <v>227</v>
      </c>
      <c r="B116" s="25" t="s">
        <v>228</v>
      </c>
      <c r="C116" s="39">
        <f>_xll.RssMarket("9882","高値")</f>
        <v>1728</v>
      </c>
      <c r="D116" s="38">
        <f t="shared" si="3"/>
        <v>-23</v>
      </c>
      <c r="E116" s="34">
        <v>1751</v>
      </c>
      <c r="F116" s="34">
        <v>1773</v>
      </c>
      <c r="G116" s="29">
        <v>1854</v>
      </c>
      <c r="H116" s="29">
        <v>1887</v>
      </c>
      <c r="I116" s="29">
        <v>1891</v>
      </c>
      <c r="J116" s="29">
        <v>1857</v>
      </c>
      <c r="K116" s="29">
        <v>1831</v>
      </c>
      <c r="L116" s="29">
        <v>1787</v>
      </c>
      <c r="M116" s="29">
        <v>1798</v>
      </c>
      <c r="N116" s="29">
        <v>1811</v>
      </c>
      <c r="O116" s="29">
        <v>1857</v>
      </c>
      <c r="P116" s="29">
        <v>1849</v>
      </c>
      <c r="Q116" s="29">
        <v>1827</v>
      </c>
      <c r="R116" s="29">
        <v>1838</v>
      </c>
      <c r="S116" s="29">
        <v>1848</v>
      </c>
      <c r="T116" s="29">
        <v>1846</v>
      </c>
      <c r="U116" s="29">
        <v>1851</v>
      </c>
      <c r="V116" s="29">
        <v>1857</v>
      </c>
      <c r="W116" s="29">
        <v>1840</v>
      </c>
      <c r="X116" s="29">
        <v>1817</v>
      </c>
      <c r="Y116" s="29">
        <v>1794</v>
      </c>
      <c r="Z116" s="29">
        <v>1778</v>
      </c>
      <c r="AA116" s="29">
        <v>1764</v>
      </c>
      <c r="AB116" s="29">
        <v>1774</v>
      </c>
      <c r="AC116" s="29">
        <v>1787</v>
      </c>
      <c r="AD116" s="29">
        <v>1776</v>
      </c>
      <c r="AE116" s="29">
        <v>1783</v>
      </c>
      <c r="AF116" s="29">
        <v>1757</v>
      </c>
      <c r="AG116" s="29">
        <v>1764</v>
      </c>
      <c r="AH116" s="29">
        <v>1770</v>
      </c>
      <c r="AI116" s="29">
        <v>1773</v>
      </c>
      <c r="AJ116" s="29">
        <v>1778</v>
      </c>
      <c r="AK116" s="29">
        <v>1757</v>
      </c>
      <c r="AL116" s="29">
        <v>1744</v>
      </c>
      <c r="AM116" s="29">
        <v>1748</v>
      </c>
      <c r="AN116" s="29">
        <v>1748</v>
      </c>
      <c r="AO116" s="29">
        <v>1728</v>
      </c>
      <c r="AP116" s="29">
        <v>1733</v>
      </c>
      <c r="AQ116" s="29">
        <v>1692</v>
      </c>
      <c r="AR116" s="29">
        <v>1675</v>
      </c>
      <c r="AS116" s="29">
        <v>1687</v>
      </c>
      <c r="AT116" s="29">
        <v>1688</v>
      </c>
      <c r="AU116" s="29">
        <v>1640</v>
      </c>
      <c r="AV116" s="29">
        <v>1663</v>
      </c>
      <c r="AW116" s="29">
        <v>1637</v>
      </c>
      <c r="AX116" s="29">
        <v>1633</v>
      </c>
      <c r="AY116" s="29">
        <v>1627</v>
      </c>
      <c r="AZ116" s="29">
        <v>1632</v>
      </c>
      <c r="BA116" s="29">
        <v>1650</v>
      </c>
      <c r="BB116" s="29">
        <v>1646</v>
      </c>
      <c r="BC116" s="29">
        <v>1652</v>
      </c>
      <c r="BD116" s="29">
        <v>1649</v>
      </c>
      <c r="BE116" s="29">
        <v>1637</v>
      </c>
      <c r="BF116" s="29">
        <v>1629</v>
      </c>
      <c r="BG116" s="29">
        <v>1638</v>
      </c>
      <c r="BH116" s="29">
        <v>1670</v>
      </c>
      <c r="BI116" s="29">
        <v>1679</v>
      </c>
      <c r="BJ116" s="29">
        <v>1510</v>
      </c>
      <c r="BK116" s="29">
        <v>1519</v>
      </c>
      <c r="BL116" s="30">
        <v>1513</v>
      </c>
      <c r="BM116" s="1">
        <v>1521</v>
      </c>
      <c r="BN116" s="1">
        <v>1515</v>
      </c>
      <c r="BO116" s="1">
        <v>1521</v>
      </c>
      <c r="BP116" s="1">
        <v>1525</v>
      </c>
      <c r="BQ116" s="1">
        <v>1534</v>
      </c>
      <c r="BR116" s="1">
        <v>1577</v>
      </c>
      <c r="BS116" s="1">
        <v>1579</v>
      </c>
      <c r="BT116" s="1">
        <v>1575</v>
      </c>
      <c r="BU116" s="1">
        <v>1564</v>
      </c>
      <c r="BV116" s="1">
        <v>1570</v>
      </c>
      <c r="BW116" s="1">
        <v>1585</v>
      </c>
      <c r="BX116" s="1">
        <v>1580</v>
      </c>
      <c r="BY116" s="1">
        <v>1596</v>
      </c>
      <c r="BZ116" s="1">
        <v>1612</v>
      </c>
    </row>
    <row r="117" spans="1:78" ht="15.9" customHeight="1">
      <c r="A117" s="65" t="s">
        <v>229</v>
      </c>
      <c r="B117" s="25" t="s">
        <v>230</v>
      </c>
      <c r="C117" s="39">
        <f>_xll.RssMarket("5838","高値")</f>
        <v>5602</v>
      </c>
      <c r="D117" s="38">
        <f t="shared" si="3"/>
        <v>175</v>
      </c>
      <c r="E117" s="34">
        <v>5427</v>
      </c>
      <c r="F117" s="34">
        <v>5444</v>
      </c>
      <c r="G117" s="29">
        <v>5611</v>
      </c>
      <c r="H117" s="29">
        <v>5336</v>
      </c>
      <c r="I117" s="29">
        <v>5624</v>
      </c>
      <c r="J117" s="29">
        <v>5649</v>
      </c>
      <c r="K117" s="29">
        <v>5673</v>
      </c>
      <c r="L117" s="29">
        <v>5663</v>
      </c>
      <c r="M117" s="29">
        <v>5729</v>
      </c>
      <c r="N117" s="29">
        <v>5528</v>
      </c>
      <c r="O117" s="29">
        <v>5449</v>
      </c>
      <c r="P117" s="29">
        <v>5486</v>
      </c>
      <c r="Q117" s="29">
        <v>5947</v>
      </c>
      <c r="R117" s="29">
        <v>5888</v>
      </c>
      <c r="S117" s="29">
        <v>5913</v>
      </c>
      <c r="T117" s="29">
        <v>5857</v>
      </c>
      <c r="U117" s="29">
        <v>5870</v>
      </c>
      <c r="V117" s="29">
        <v>5941</v>
      </c>
      <c r="W117" s="29">
        <v>5858</v>
      </c>
      <c r="X117" s="29">
        <v>5456</v>
      </c>
      <c r="Y117" s="29">
        <v>5409</v>
      </c>
      <c r="Z117" s="29">
        <v>5392</v>
      </c>
      <c r="AA117" s="29">
        <v>5171</v>
      </c>
      <c r="AB117" s="29">
        <v>5313</v>
      </c>
      <c r="AC117" s="29">
        <v>5111</v>
      </c>
      <c r="AD117" s="29">
        <v>5077</v>
      </c>
      <c r="AE117" s="29">
        <v>5035</v>
      </c>
      <c r="AF117" s="29">
        <v>5104</v>
      </c>
      <c r="AG117" s="29">
        <v>5224</v>
      </c>
      <c r="AH117" s="29">
        <v>5148</v>
      </c>
      <c r="AI117" s="29">
        <v>5286</v>
      </c>
      <c r="AJ117" s="29">
        <v>5356</v>
      </c>
      <c r="AK117" s="29">
        <v>5311</v>
      </c>
      <c r="AL117" s="29">
        <v>5335</v>
      </c>
      <c r="AM117" s="29">
        <v>5416</v>
      </c>
      <c r="AN117" s="29">
        <v>5279</v>
      </c>
      <c r="AO117" s="29">
        <v>5218</v>
      </c>
      <c r="AP117" s="29">
        <v>5154</v>
      </c>
      <c r="AQ117" s="29">
        <v>4980</v>
      </c>
      <c r="AR117" s="29">
        <v>5174</v>
      </c>
      <c r="AS117" s="29">
        <v>5060</v>
      </c>
      <c r="AT117" s="29">
        <v>4965</v>
      </c>
      <c r="AU117" s="29">
        <v>4575</v>
      </c>
      <c r="AV117" s="29">
        <v>4938</v>
      </c>
      <c r="AW117" s="29">
        <v>4907</v>
      </c>
      <c r="AX117" s="29">
        <v>4965</v>
      </c>
      <c r="AY117" s="29">
        <v>5110</v>
      </c>
      <c r="AZ117" s="29">
        <v>5350</v>
      </c>
      <c r="BA117" s="29">
        <v>5642</v>
      </c>
      <c r="BB117" s="29">
        <v>6896</v>
      </c>
      <c r="BC117" s="29">
        <v>7026</v>
      </c>
      <c r="BD117" s="29">
        <v>6665</v>
      </c>
      <c r="BE117" s="29">
        <v>6078</v>
      </c>
      <c r="BF117" s="29">
        <v>6204</v>
      </c>
      <c r="BG117" s="29">
        <v>6219</v>
      </c>
      <c r="BH117" s="29">
        <v>6422</v>
      </c>
      <c r="BI117" s="29">
        <v>6341</v>
      </c>
      <c r="BJ117" s="29">
        <v>6327</v>
      </c>
      <c r="BK117" s="29">
        <v>6380</v>
      </c>
      <c r="BL117" s="30">
        <v>6345</v>
      </c>
      <c r="BM117" s="1">
        <v>6386</v>
      </c>
      <c r="BN117" s="1">
        <v>6439</v>
      </c>
      <c r="BO117" s="1">
        <v>6194</v>
      </c>
      <c r="BP117" s="1">
        <v>6231</v>
      </c>
      <c r="BQ117" s="1">
        <v>6290</v>
      </c>
      <c r="BR117" s="1">
        <v>6308</v>
      </c>
      <c r="BS117" s="1">
        <v>6490</v>
      </c>
      <c r="BT117" s="1">
        <v>6582</v>
      </c>
      <c r="BU117" s="1">
        <v>6746</v>
      </c>
      <c r="BV117" s="1">
        <v>6799</v>
      </c>
      <c r="BW117" s="1">
        <v>6838</v>
      </c>
      <c r="BX117" s="1">
        <v>6880</v>
      </c>
      <c r="BY117" s="1">
        <v>6854</v>
      </c>
      <c r="BZ117" s="1">
        <v>6865</v>
      </c>
    </row>
    <row r="118" spans="1:78" ht="15.9" customHeight="1">
      <c r="A118" s="65" t="s">
        <v>231</v>
      </c>
      <c r="B118" s="25" t="s">
        <v>232</v>
      </c>
      <c r="C118" s="39">
        <f>_xll.RssMarket("5844","高値")</f>
        <v>4659</v>
      </c>
      <c r="D118" s="38">
        <f t="shared" si="3"/>
        <v>75</v>
      </c>
      <c r="E118" s="34">
        <v>4584</v>
      </c>
      <c r="F118" s="34">
        <v>4574</v>
      </c>
      <c r="G118" s="29">
        <v>4534</v>
      </c>
      <c r="H118" s="29">
        <v>4517</v>
      </c>
      <c r="I118" s="29">
        <v>4600</v>
      </c>
      <c r="J118" s="29">
        <v>4682</v>
      </c>
      <c r="K118" s="29">
        <v>4687</v>
      </c>
      <c r="L118" s="29">
        <v>4660</v>
      </c>
      <c r="M118" s="29">
        <v>4673</v>
      </c>
      <c r="N118" s="29">
        <v>4654</v>
      </c>
      <c r="O118" s="29">
        <v>4523</v>
      </c>
      <c r="P118" s="29">
        <v>4630</v>
      </c>
      <c r="Q118" s="29">
        <v>4780</v>
      </c>
      <c r="R118" s="29">
        <v>4704</v>
      </c>
      <c r="S118" s="29">
        <v>4729</v>
      </c>
      <c r="T118" s="29">
        <v>4783</v>
      </c>
      <c r="U118" s="29">
        <v>4798</v>
      </c>
      <c r="V118" s="29">
        <v>4817</v>
      </c>
      <c r="W118" s="29">
        <v>4890</v>
      </c>
      <c r="X118" s="29">
        <v>4805</v>
      </c>
      <c r="Y118" s="29">
        <v>4729</v>
      </c>
      <c r="Z118" s="29">
        <v>4665</v>
      </c>
      <c r="AA118" s="29">
        <v>4603</v>
      </c>
      <c r="AB118" s="29">
        <v>4548</v>
      </c>
      <c r="AC118" s="29">
        <v>4526</v>
      </c>
      <c r="AD118" s="29">
        <v>4581</v>
      </c>
      <c r="AE118" s="29">
        <v>4590</v>
      </c>
      <c r="AF118" s="29">
        <v>4660</v>
      </c>
      <c r="AG118" s="29">
        <v>4812</v>
      </c>
      <c r="AH118" s="29">
        <v>4882</v>
      </c>
      <c r="AI118" s="29">
        <v>4808</v>
      </c>
      <c r="AJ118" s="29">
        <v>4668</v>
      </c>
      <c r="AK118" s="29">
        <v>4733</v>
      </c>
      <c r="AL118" s="29">
        <v>4669</v>
      </c>
      <c r="AM118" s="29">
        <v>4583</v>
      </c>
      <c r="AN118" s="29">
        <v>4529</v>
      </c>
      <c r="AO118" s="29">
        <v>4498</v>
      </c>
      <c r="AP118" s="29">
        <v>4755</v>
      </c>
      <c r="AQ118" s="29">
        <v>4612</v>
      </c>
      <c r="AR118" s="29">
        <v>4694</v>
      </c>
      <c r="AS118" s="29">
        <v>4527</v>
      </c>
      <c r="AT118" s="29">
        <v>4396</v>
      </c>
      <c r="AU118" s="29">
        <v>4384</v>
      </c>
      <c r="AV118" s="29">
        <v>4484</v>
      </c>
      <c r="AW118" s="29">
        <v>4540</v>
      </c>
      <c r="AX118" s="29">
        <v>4530</v>
      </c>
      <c r="AY118" s="29">
        <v>4605</v>
      </c>
      <c r="AZ118" s="29">
        <v>4519</v>
      </c>
      <c r="BA118" s="29">
        <v>4547</v>
      </c>
      <c r="BB118" s="29">
        <v>4494</v>
      </c>
      <c r="BC118" s="29">
        <v>4453</v>
      </c>
      <c r="BD118" s="29">
        <v>4428</v>
      </c>
      <c r="BE118" s="29">
        <v>4534</v>
      </c>
      <c r="BF118" s="29">
        <v>4483</v>
      </c>
      <c r="BG118" s="29">
        <v>4491</v>
      </c>
      <c r="BH118" s="29">
        <v>4467</v>
      </c>
      <c r="BI118" s="29">
        <v>4441</v>
      </c>
      <c r="BJ118" s="29">
        <v>4420</v>
      </c>
      <c r="BK118" s="29">
        <v>4521</v>
      </c>
      <c r="BL118" s="30">
        <v>4402</v>
      </c>
      <c r="BM118" s="1">
        <v>4344</v>
      </c>
      <c r="BN118" s="1">
        <v>4362</v>
      </c>
      <c r="BO118" s="1">
        <v>4231</v>
      </c>
      <c r="BP118" s="1">
        <v>4327</v>
      </c>
      <c r="BQ118" s="1">
        <v>4280</v>
      </c>
      <c r="BR118" s="1">
        <v>4367</v>
      </c>
      <c r="BS118" s="1">
        <v>4384</v>
      </c>
      <c r="BT118" s="1">
        <v>4459</v>
      </c>
      <c r="BU118" s="1">
        <v>4435</v>
      </c>
      <c r="BV118" s="1">
        <v>4467</v>
      </c>
      <c r="BW118" s="1">
        <v>4421</v>
      </c>
      <c r="BX118" s="1">
        <v>4418</v>
      </c>
      <c r="BY118" s="1">
        <v>4387</v>
      </c>
      <c r="BZ118" s="1">
        <v>4472</v>
      </c>
    </row>
    <row r="119" spans="1:78" ht="15.9" customHeight="1">
      <c r="A119" s="65" t="s">
        <v>233</v>
      </c>
      <c r="B119" s="25" t="s">
        <v>234</v>
      </c>
      <c r="C119" s="39">
        <f>_xll.RssMarket("9404","高値")</f>
        <v>2844</v>
      </c>
      <c r="D119" s="38">
        <f t="shared" si="3"/>
        <v>-78.5</v>
      </c>
      <c r="E119" s="34">
        <v>2922.5</v>
      </c>
      <c r="F119" s="34">
        <v>2935</v>
      </c>
      <c r="G119" s="29">
        <v>2942</v>
      </c>
      <c r="H119" s="29">
        <v>3105</v>
      </c>
      <c r="I119" s="29">
        <v>3093</v>
      </c>
      <c r="J119" s="29">
        <v>2984.5</v>
      </c>
      <c r="K119" s="29">
        <v>2943</v>
      </c>
      <c r="L119" s="29">
        <v>2857</v>
      </c>
      <c r="M119" s="29">
        <v>2831.5</v>
      </c>
      <c r="N119" s="29">
        <v>2878.5</v>
      </c>
      <c r="O119" s="29">
        <v>2953.5</v>
      </c>
      <c r="P119" s="29">
        <v>2967</v>
      </c>
      <c r="Q119" s="29">
        <v>2900</v>
      </c>
      <c r="R119" s="29">
        <v>2925.5</v>
      </c>
      <c r="S119" s="29">
        <v>2917</v>
      </c>
      <c r="T119" s="29">
        <v>2931.5</v>
      </c>
      <c r="U119" s="29">
        <v>2926</v>
      </c>
      <c r="V119" s="29">
        <v>2989.5</v>
      </c>
      <c r="W119" s="29">
        <v>2946</v>
      </c>
      <c r="X119" s="29">
        <v>2902.5</v>
      </c>
      <c r="Y119" s="29">
        <v>2940</v>
      </c>
      <c r="Z119" s="29">
        <v>2922.5</v>
      </c>
      <c r="AA119" s="29">
        <v>2830</v>
      </c>
      <c r="AB119" s="29">
        <v>2820</v>
      </c>
      <c r="AC119" s="29">
        <v>2755</v>
      </c>
      <c r="AD119" s="29">
        <v>2725</v>
      </c>
      <c r="AE119" s="29">
        <v>2745</v>
      </c>
      <c r="AF119" s="29">
        <v>2750</v>
      </c>
      <c r="AG119" s="29">
        <v>2762</v>
      </c>
      <c r="AH119" s="29">
        <v>2787</v>
      </c>
      <c r="AI119" s="29">
        <v>2847.5</v>
      </c>
      <c r="AJ119" s="29">
        <v>2875.5</v>
      </c>
      <c r="AK119" s="29">
        <v>2900</v>
      </c>
      <c r="AL119" s="29">
        <v>2884</v>
      </c>
      <c r="AM119" s="29">
        <v>2856.5</v>
      </c>
      <c r="AN119" s="29">
        <v>2871.5</v>
      </c>
      <c r="AO119" s="29">
        <v>2914.5</v>
      </c>
      <c r="AP119" s="29">
        <v>2904.5</v>
      </c>
      <c r="AQ119" s="29">
        <v>2897</v>
      </c>
      <c r="AR119" s="29">
        <v>2888</v>
      </c>
      <c r="AS119" s="29">
        <v>2800</v>
      </c>
      <c r="AT119" s="29">
        <v>2794</v>
      </c>
      <c r="AU119" s="29">
        <v>2820</v>
      </c>
      <c r="AV119" s="29">
        <v>2888.5</v>
      </c>
      <c r="AW119" s="29">
        <v>2883</v>
      </c>
      <c r="AX119" s="29">
        <v>2887</v>
      </c>
      <c r="AY119" s="29">
        <v>2919.5</v>
      </c>
      <c r="AZ119" s="29">
        <v>2933.5</v>
      </c>
      <c r="BA119" s="29">
        <v>2983.5</v>
      </c>
      <c r="BB119" s="29">
        <v>2982.5</v>
      </c>
      <c r="BC119" s="29">
        <v>2959.5</v>
      </c>
      <c r="BD119" s="29">
        <v>2949.5</v>
      </c>
      <c r="BE119" s="29">
        <v>2941</v>
      </c>
      <c r="BF119" s="29">
        <v>2944</v>
      </c>
      <c r="BG119" s="29">
        <v>2996.5</v>
      </c>
      <c r="BH119" s="29">
        <v>2957.5</v>
      </c>
      <c r="BI119" s="29">
        <v>2976.5</v>
      </c>
      <c r="BJ119" s="29">
        <v>3019</v>
      </c>
      <c r="BK119" s="29">
        <v>3006</v>
      </c>
      <c r="BL119" s="30">
        <v>3005</v>
      </c>
      <c r="BM119" s="1">
        <v>2994.5</v>
      </c>
      <c r="BN119" s="1">
        <v>3045</v>
      </c>
      <c r="BO119" s="1">
        <v>3059</v>
      </c>
      <c r="BP119" s="1">
        <v>2992.5</v>
      </c>
      <c r="BQ119" s="1">
        <v>3058</v>
      </c>
      <c r="BR119" s="1">
        <v>3152</v>
      </c>
      <c r="BS119" s="1">
        <v>3177</v>
      </c>
      <c r="BT119" s="1">
        <v>3220</v>
      </c>
      <c r="BU119" s="1">
        <v>3202</v>
      </c>
      <c r="BV119" s="1">
        <v>3199</v>
      </c>
      <c r="BW119" s="1">
        <v>3196</v>
      </c>
      <c r="BX119" s="1">
        <v>3174</v>
      </c>
      <c r="BY119" s="1">
        <v>3139</v>
      </c>
      <c r="BZ119" s="1">
        <v>3175</v>
      </c>
    </row>
    <row r="120" spans="1:78" ht="15.9" customHeight="1">
      <c r="A120" s="65" t="s">
        <v>235</v>
      </c>
      <c r="B120" s="25" t="s">
        <v>236</v>
      </c>
      <c r="C120" s="39">
        <f>_xll.RssMarket("6744","高値")</f>
        <v>4605</v>
      </c>
      <c r="D120" s="38">
        <f t="shared" si="3"/>
        <v>75</v>
      </c>
      <c r="E120" s="34">
        <v>4530</v>
      </c>
      <c r="F120" s="34">
        <v>4490</v>
      </c>
      <c r="G120" s="29">
        <v>4490</v>
      </c>
      <c r="H120" s="29">
        <v>4395</v>
      </c>
      <c r="I120" s="29">
        <v>4470</v>
      </c>
      <c r="J120" s="29">
        <v>4430</v>
      </c>
      <c r="K120" s="29">
        <v>4440</v>
      </c>
      <c r="L120" s="29"/>
      <c r="M120" s="29">
        <v>4285</v>
      </c>
      <c r="N120" s="29">
        <v>4345</v>
      </c>
      <c r="O120" s="29">
        <v>4290</v>
      </c>
      <c r="P120" s="29">
        <v>4265</v>
      </c>
      <c r="Q120" s="29">
        <v>4350</v>
      </c>
      <c r="R120" s="29">
        <v>4295</v>
      </c>
      <c r="S120" s="29">
        <v>4355</v>
      </c>
      <c r="T120" s="29">
        <v>4370</v>
      </c>
      <c r="U120" s="29">
        <v>4345</v>
      </c>
      <c r="V120" s="29">
        <v>4410</v>
      </c>
      <c r="W120" s="29">
        <v>4525</v>
      </c>
      <c r="X120" s="29">
        <v>4415</v>
      </c>
      <c r="Y120" s="29">
        <v>4435</v>
      </c>
      <c r="Z120" s="29">
        <v>4200</v>
      </c>
      <c r="AA120" s="29">
        <v>4125</v>
      </c>
      <c r="AB120" s="29">
        <v>4210</v>
      </c>
      <c r="AC120" s="29">
        <v>4180</v>
      </c>
      <c r="AD120" s="29">
        <v>4135</v>
      </c>
      <c r="AE120" s="29">
        <v>4215</v>
      </c>
      <c r="AF120" s="29">
        <v>4245</v>
      </c>
      <c r="AG120" s="29">
        <v>4265</v>
      </c>
      <c r="AH120" s="29">
        <v>4285</v>
      </c>
      <c r="AI120" s="29">
        <v>4295</v>
      </c>
      <c r="AJ120" s="29">
        <v>4275</v>
      </c>
      <c r="AK120" s="29">
        <v>4230</v>
      </c>
      <c r="AL120" s="29">
        <v>4225</v>
      </c>
      <c r="AM120" s="29">
        <v>4330</v>
      </c>
      <c r="AN120" s="29">
        <v>4275</v>
      </c>
      <c r="AO120" s="29">
        <v>4290</v>
      </c>
      <c r="AP120" s="29">
        <v>4385</v>
      </c>
      <c r="AQ120" s="29">
        <v>4420</v>
      </c>
      <c r="AR120" s="29">
        <v>4590</v>
      </c>
      <c r="AS120" s="29">
        <v>4590</v>
      </c>
      <c r="AT120" s="29">
        <v>4725</v>
      </c>
      <c r="AU120" s="29">
        <v>4685</v>
      </c>
      <c r="AV120" s="29">
        <v>4940</v>
      </c>
      <c r="AW120" s="29">
        <v>4840</v>
      </c>
      <c r="AX120" s="29">
        <v>5000</v>
      </c>
      <c r="AY120" s="29">
        <v>4875</v>
      </c>
      <c r="AZ120" s="29">
        <v>4670</v>
      </c>
      <c r="BA120" s="29">
        <v>4675</v>
      </c>
      <c r="BB120" s="29">
        <v>4615</v>
      </c>
      <c r="BC120" s="29">
        <v>4800</v>
      </c>
      <c r="BD120" s="29">
        <v>4725</v>
      </c>
      <c r="BE120" s="29">
        <v>4815</v>
      </c>
      <c r="BF120" s="29">
        <v>4600</v>
      </c>
      <c r="BG120" s="29">
        <v>4395</v>
      </c>
      <c r="BH120" s="29">
        <v>4450</v>
      </c>
      <c r="BI120" s="29">
        <v>4490</v>
      </c>
      <c r="BJ120" s="29">
        <v>4360</v>
      </c>
      <c r="BK120" s="29">
        <v>4420</v>
      </c>
      <c r="BL120" s="30">
        <v>4325</v>
      </c>
      <c r="BM120" s="1">
        <v>4130</v>
      </c>
      <c r="BN120" s="1">
        <v>4055</v>
      </c>
      <c r="BO120" s="1">
        <v>4000</v>
      </c>
      <c r="BP120" s="1">
        <v>3965</v>
      </c>
      <c r="BQ120" s="1">
        <v>4000</v>
      </c>
      <c r="BR120" s="1">
        <v>4040</v>
      </c>
      <c r="BS120" s="1">
        <v>4115</v>
      </c>
      <c r="BT120" s="1">
        <v>4140</v>
      </c>
      <c r="BU120" s="1">
        <v>4210</v>
      </c>
      <c r="BV120" s="1">
        <v>4280</v>
      </c>
      <c r="BW120" s="1">
        <v>4440</v>
      </c>
      <c r="BX120" s="1">
        <v>4440</v>
      </c>
      <c r="BY120" s="1">
        <v>4425</v>
      </c>
      <c r="BZ120" s="1">
        <v>4430</v>
      </c>
    </row>
    <row r="121" spans="1:78" ht="15.9" customHeight="1">
      <c r="A121" s="65" t="s">
        <v>237</v>
      </c>
      <c r="B121" s="25" t="s">
        <v>238</v>
      </c>
      <c r="C121" s="39">
        <f>_xll.RssMarket("7685","高値")</f>
        <v>3130</v>
      </c>
      <c r="D121" s="38">
        <f t="shared" si="3"/>
        <v>95</v>
      </c>
      <c r="E121" s="34">
        <v>3035</v>
      </c>
      <c r="F121" s="34">
        <v>3015</v>
      </c>
      <c r="G121" s="29">
        <v>3060</v>
      </c>
      <c r="H121" s="29">
        <v>3045</v>
      </c>
      <c r="I121" s="29">
        <v>3110</v>
      </c>
      <c r="J121" s="29">
        <v>3155</v>
      </c>
      <c r="K121" s="29">
        <v>3120</v>
      </c>
      <c r="L121" s="29"/>
      <c r="M121" s="29">
        <v>3240</v>
      </c>
      <c r="N121" s="29">
        <v>3295</v>
      </c>
      <c r="O121" s="29">
        <v>3365</v>
      </c>
      <c r="P121" s="29">
        <v>3555</v>
      </c>
      <c r="Q121" s="29">
        <v>3595</v>
      </c>
      <c r="R121" s="29">
        <v>3540</v>
      </c>
      <c r="S121" s="29">
        <v>3620</v>
      </c>
      <c r="T121" s="29">
        <v>3595</v>
      </c>
      <c r="U121" s="29">
        <v>3705</v>
      </c>
      <c r="V121" s="29">
        <v>3690</v>
      </c>
      <c r="W121" s="29">
        <v>3620</v>
      </c>
      <c r="X121" s="29">
        <v>3600</v>
      </c>
      <c r="Y121" s="29">
        <v>3695</v>
      </c>
      <c r="Z121" s="29">
        <v>3475</v>
      </c>
      <c r="AA121" s="29">
        <v>3415</v>
      </c>
      <c r="AB121" s="29">
        <v>3345</v>
      </c>
      <c r="AC121" s="29">
        <v>3490</v>
      </c>
      <c r="AD121" s="29">
        <v>3420</v>
      </c>
      <c r="AE121" s="29">
        <v>3715</v>
      </c>
      <c r="AF121" s="29">
        <v>3770</v>
      </c>
      <c r="AG121" s="29">
        <v>3745</v>
      </c>
      <c r="AH121" s="29">
        <v>3510</v>
      </c>
      <c r="AI121" s="29">
        <v>3595</v>
      </c>
      <c r="AJ121" s="29">
        <v>3670</v>
      </c>
      <c r="AK121" s="29">
        <v>3725</v>
      </c>
      <c r="AL121" s="29">
        <v>3740</v>
      </c>
      <c r="AM121" s="29">
        <v>3770</v>
      </c>
      <c r="AN121" s="29">
        <v>3935</v>
      </c>
      <c r="AO121" s="29">
        <v>3850</v>
      </c>
      <c r="AP121" s="29">
        <v>4035</v>
      </c>
      <c r="AQ121" s="29">
        <v>3715</v>
      </c>
      <c r="AR121" s="29">
        <v>3790</v>
      </c>
      <c r="AS121" s="29">
        <v>3870</v>
      </c>
      <c r="AT121" s="29">
        <v>3975</v>
      </c>
      <c r="AU121" s="29">
        <v>4085</v>
      </c>
      <c r="AV121" s="29">
        <v>4155</v>
      </c>
      <c r="AW121" s="29">
        <v>4025</v>
      </c>
      <c r="AX121" s="29">
        <v>3995</v>
      </c>
      <c r="AY121" s="29">
        <v>3855</v>
      </c>
      <c r="AZ121" s="29">
        <v>3840</v>
      </c>
      <c r="BA121" s="29">
        <v>3700</v>
      </c>
      <c r="BB121" s="29">
        <v>3875</v>
      </c>
      <c r="BC121" s="29">
        <v>3770</v>
      </c>
      <c r="BD121" s="29">
        <v>3475</v>
      </c>
      <c r="BE121" s="29">
        <v>3700</v>
      </c>
      <c r="BF121" s="29">
        <v>3500</v>
      </c>
      <c r="BG121" s="29">
        <v>3345</v>
      </c>
      <c r="BH121" s="29">
        <v>3340</v>
      </c>
      <c r="BI121" s="29">
        <v>3445</v>
      </c>
      <c r="BJ121" s="29">
        <v>3290</v>
      </c>
      <c r="BK121" s="29">
        <v>3205</v>
      </c>
      <c r="BL121" s="30">
        <v>3300</v>
      </c>
      <c r="BM121" s="1">
        <v>3385</v>
      </c>
      <c r="BN121" s="1">
        <v>3225</v>
      </c>
      <c r="BO121" s="1">
        <v>3190</v>
      </c>
      <c r="BP121" s="1">
        <v>3255</v>
      </c>
      <c r="BQ121" s="1">
        <v>3345</v>
      </c>
      <c r="BR121" s="1">
        <v>3470</v>
      </c>
      <c r="BS121" s="1">
        <v>3500</v>
      </c>
      <c r="BT121" s="1">
        <v>3510</v>
      </c>
      <c r="BU121" s="1">
        <v>3660</v>
      </c>
      <c r="BV121" s="1">
        <v>3700</v>
      </c>
      <c r="BW121" s="1">
        <v>3680</v>
      </c>
      <c r="BX121" s="1">
        <v>3580</v>
      </c>
      <c r="BY121" s="1">
        <v>3525</v>
      </c>
      <c r="BZ121" s="1">
        <v>3470</v>
      </c>
    </row>
    <row r="122" spans="1:78" ht="15.9" customHeight="1">
      <c r="A122" s="65" t="s">
        <v>239</v>
      </c>
      <c r="B122" s="25" t="s">
        <v>240</v>
      </c>
      <c r="C122" s="39">
        <f>_xll.RssMarket("8334","高値")</f>
        <v>2570</v>
      </c>
      <c r="D122" s="38">
        <f t="shared" si="3"/>
        <v>31</v>
      </c>
      <c r="E122" s="34">
        <v>2539</v>
      </c>
      <c r="F122" s="34">
        <v>2550</v>
      </c>
      <c r="G122" s="29">
        <v>2545</v>
      </c>
      <c r="H122" s="29">
        <v>2501</v>
      </c>
      <c r="I122" s="29">
        <v>2577</v>
      </c>
      <c r="J122" s="29">
        <v>2652</v>
      </c>
      <c r="K122" s="29">
        <v>2661</v>
      </c>
      <c r="L122" s="29">
        <v>2621</v>
      </c>
      <c r="M122" s="29">
        <v>2613</v>
      </c>
      <c r="N122" s="29">
        <v>2597.5</v>
      </c>
      <c r="O122" s="29">
        <v>2548</v>
      </c>
      <c r="P122" s="29">
        <v>2629.5</v>
      </c>
      <c r="Q122" s="29">
        <v>2625</v>
      </c>
      <c r="R122" s="29">
        <v>2567.5</v>
      </c>
      <c r="S122" s="29">
        <v>2552</v>
      </c>
      <c r="T122" s="29">
        <v>2533.5</v>
      </c>
      <c r="U122" s="29">
        <v>2545</v>
      </c>
      <c r="V122" s="29">
        <v>2520</v>
      </c>
      <c r="W122" s="29">
        <v>2523</v>
      </c>
      <c r="X122" s="29">
        <v>2481.5</v>
      </c>
      <c r="Y122" s="29">
        <v>2454</v>
      </c>
      <c r="Z122" s="29">
        <v>2432.5</v>
      </c>
      <c r="AA122" s="29">
        <v>2374.5</v>
      </c>
      <c r="AB122" s="29">
        <v>2369</v>
      </c>
      <c r="AC122" s="29">
        <v>2358.5</v>
      </c>
      <c r="AD122" s="29">
        <v>2346</v>
      </c>
      <c r="AE122" s="29">
        <v>2330</v>
      </c>
      <c r="AF122" s="29">
        <v>2347</v>
      </c>
      <c r="AG122" s="29">
        <v>2351</v>
      </c>
      <c r="AH122" s="29">
        <v>2357.5</v>
      </c>
      <c r="AI122" s="29">
        <v>2342</v>
      </c>
      <c r="AJ122" s="29">
        <v>2346</v>
      </c>
      <c r="AK122" s="29">
        <v>2384</v>
      </c>
      <c r="AL122" s="29">
        <v>2333.5</v>
      </c>
      <c r="AM122" s="29">
        <v>2425</v>
      </c>
      <c r="AN122" s="29">
        <v>2364</v>
      </c>
      <c r="AO122" s="29">
        <v>2329</v>
      </c>
      <c r="AP122" s="29">
        <v>2403</v>
      </c>
      <c r="AQ122" s="29">
        <v>2265.5</v>
      </c>
      <c r="AR122" s="29">
        <v>2300</v>
      </c>
      <c r="AS122" s="29">
        <v>2260</v>
      </c>
      <c r="AT122" s="29">
        <v>2199</v>
      </c>
      <c r="AU122" s="29">
        <v>2177.5</v>
      </c>
      <c r="AV122" s="29">
        <v>2284</v>
      </c>
      <c r="AW122" s="29">
        <v>2279.5</v>
      </c>
      <c r="AX122" s="29">
        <v>2291</v>
      </c>
      <c r="AY122" s="29">
        <v>2336</v>
      </c>
      <c r="AZ122" s="29">
        <v>2375</v>
      </c>
      <c r="BA122" s="29">
        <v>2392</v>
      </c>
      <c r="BB122" s="29">
        <v>2332.5</v>
      </c>
      <c r="BC122" s="29">
        <v>2323</v>
      </c>
      <c r="BD122" s="29">
        <v>2269</v>
      </c>
      <c r="BE122" s="29">
        <v>2234.5</v>
      </c>
      <c r="BF122" s="29">
        <v>2209</v>
      </c>
      <c r="BG122" s="29">
        <v>2221</v>
      </c>
      <c r="BH122" s="29">
        <v>2232</v>
      </c>
      <c r="BI122" s="29">
        <v>2240</v>
      </c>
      <c r="BJ122" s="29">
        <v>2204.5</v>
      </c>
      <c r="BK122" s="29">
        <v>2247</v>
      </c>
      <c r="BL122" s="30">
        <v>2165</v>
      </c>
      <c r="BM122" s="1">
        <v>2200</v>
      </c>
      <c r="BN122" s="1">
        <v>2215.5</v>
      </c>
      <c r="BO122" s="1">
        <v>2026.5</v>
      </c>
      <c r="BP122" s="1">
        <v>2060.5</v>
      </c>
      <c r="BQ122" s="1">
        <v>2054</v>
      </c>
      <c r="BR122" s="1">
        <v>2135</v>
      </c>
      <c r="BS122" s="1">
        <v>2195</v>
      </c>
      <c r="BT122" s="1">
        <v>2265</v>
      </c>
      <c r="BU122" s="1">
        <v>2272</v>
      </c>
      <c r="BV122" s="1">
        <v>2295</v>
      </c>
      <c r="BW122" s="1">
        <v>2292.5</v>
      </c>
      <c r="BX122" s="1">
        <v>2292.5</v>
      </c>
      <c r="BY122" s="1">
        <v>2304</v>
      </c>
      <c r="BZ122" s="1">
        <v>2338.5</v>
      </c>
    </row>
    <row r="123" spans="1:78" ht="15.9" customHeight="1">
      <c r="A123" s="65" t="s">
        <v>241</v>
      </c>
      <c r="B123" s="25" t="s">
        <v>242</v>
      </c>
      <c r="C123" s="39">
        <f>_xll.RssMarket("8359","高値")</f>
        <v>2568</v>
      </c>
      <c r="D123" s="38">
        <f t="shared" si="3"/>
        <v>41.5</v>
      </c>
      <c r="E123" s="34">
        <v>2526.5</v>
      </c>
      <c r="F123" s="34">
        <v>2530.5</v>
      </c>
      <c r="G123" s="29">
        <v>2569</v>
      </c>
      <c r="H123" s="29">
        <v>2523.5</v>
      </c>
      <c r="I123" s="29">
        <v>2607.5</v>
      </c>
      <c r="J123" s="29">
        <v>2674</v>
      </c>
      <c r="K123" s="29">
        <v>2699.5</v>
      </c>
      <c r="L123" s="29">
        <v>2674</v>
      </c>
      <c r="M123" s="29">
        <v>2660.5</v>
      </c>
      <c r="N123" s="29">
        <v>2642</v>
      </c>
      <c r="O123" s="29">
        <v>2578.5</v>
      </c>
      <c r="P123" s="29">
        <v>2621</v>
      </c>
      <c r="Q123" s="29">
        <v>2638.5</v>
      </c>
      <c r="R123" s="29">
        <v>2590</v>
      </c>
      <c r="S123" s="29">
        <v>2613</v>
      </c>
      <c r="T123" s="29">
        <v>2621.5</v>
      </c>
      <c r="U123" s="29">
        <v>2580</v>
      </c>
      <c r="V123" s="29">
        <v>2609</v>
      </c>
      <c r="W123" s="29">
        <v>2640</v>
      </c>
      <c r="X123" s="29">
        <v>2553.5</v>
      </c>
      <c r="Y123" s="29">
        <v>2536.5</v>
      </c>
      <c r="Z123" s="29">
        <v>2491</v>
      </c>
      <c r="AA123" s="29">
        <v>2423</v>
      </c>
      <c r="AB123" s="29">
        <v>2424</v>
      </c>
      <c r="AC123" s="29">
        <v>2423.5</v>
      </c>
      <c r="AD123" s="29">
        <v>2400.5</v>
      </c>
      <c r="AE123" s="29">
        <v>2389.5</v>
      </c>
      <c r="AF123" s="29">
        <v>2412.5</v>
      </c>
      <c r="AG123" s="29">
        <v>2427.5</v>
      </c>
      <c r="AH123" s="29">
        <v>2412.5</v>
      </c>
      <c r="AI123" s="29">
        <v>2354.5</v>
      </c>
      <c r="AJ123" s="29">
        <v>2357</v>
      </c>
      <c r="AK123" s="29">
        <v>2397</v>
      </c>
      <c r="AL123" s="29">
        <v>2360.5</v>
      </c>
      <c r="AM123" s="29">
        <v>2465</v>
      </c>
      <c r="AN123" s="29">
        <v>2379.5</v>
      </c>
      <c r="AO123" s="29">
        <v>2354.5</v>
      </c>
      <c r="AP123" s="29">
        <v>2470.5</v>
      </c>
      <c r="AQ123" s="29">
        <v>2358</v>
      </c>
      <c r="AR123" s="29">
        <v>2442.5</v>
      </c>
      <c r="AS123" s="29">
        <v>2376.5</v>
      </c>
      <c r="AT123" s="29">
        <v>2351</v>
      </c>
      <c r="AU123" s="29">
        <v>2319.5</v>
      </c>
      <c r="AV123" s="29">
        <v>2348</v>
      </c>
      <c r="AW123" s="29">
        <v>2299</v>
      </c>
      <c r="AX123" s="29">
        <v>2316</v>
      </c>
      <c r="AY123" s="29">
        <v>2381</v>
      </c>
      <c r="AZ123" s="29">
        <v>2378.5</v>
      </c>
      <c r="BA123" s="29">
        <v>2384.5</v>
      </c>
      <c r="BB123" s="29">
        <v>2323.5</v>
      </c>
      <c r="BC123" s="29">
        <v>2299</v>
      </c>
      <c r="BD123" s="29">
        <v>2374.5</v>
      </c>
      <c r="BE123" s="29">
        <v>2403</v>
      </c>
      <c r="BF123" s="29">
        <v>2357</v>
      </c>
      <c r="BG123" s="29">
        <v>2361.5</v>
      </c>
      <c r="BH123" s="29">
        <v>2350.5</v>
      </c>
      <c r="BI123" s="29">
        <v>2301.5</v>
      </c>
      <c r="BJ123" s="29">
        <v>2245</v>
      </c>
      <c r="BK123" s="29">
        <v>2307.5</v>
      </c>
      <c r="BL123" s="30">
        <v>2123</v>
      </c>
      <c r="BM123" s="1">
        <v>2150.5</v>
      </c>
      <c r="BN123" s="1">
        <v>2168</v>
      </c>
      <c r="BO123" s="1">
        <v>2025.5</v>
      </c>
      <c r="BP123" s="1">
        <v>2047.5</v>
      </c>
      <c r="BQ123" s="1">
        <v>2029</v>
      </c>
      <c r="BR123" s="1">
        <v>2046</v>
      </c>
      <c r="BS123" s="1">
        <v>2094.5</v>
      </c>
      <c r="BT123" s="1">
        <v>2129</v>
      </c>
      <c r="BU123" s="1">
        <v>2117.5</v>
      </c>
      <c r="BV123" s="1">
        <v>2128.5</v>
      </c>
      <c r="BW123" s="1">
        <v>2120</v>
      </c>
      <c r="BX123" s="1">
        <v>2098</v>
      </c>
      <c r="BY123" s="1">
        <v>2122.5</v>
      </c>
      <c r="BZ123" s="1">
        <v>2152.5</v>
      </c>
    </row>
    <row r="124" spans="1:78" ht="15.9" customHeight="1">
      <c r="A124" s="65" t="s">
        <v>243</v>
      </c>
      <c r="B124" s="25" t="s">
        <v>244</v>
      </c>
      <c r="C124" s="39">
        <f>_xll.RssMarket("8801","高値")</f>
        <v>1495.5</v>
      </c>
      <c r="D124" s="38">
        <f t="shared" si="3"/>
        <v>-12.5</v>
      </c>
      <c r="E124" s="34">
        <v>1508</v>
      </c>
      <c r="F124" s="34">
        <v>1541</v>
      </c>
      <c r="G124" s="29">
        <v>1591</v>
      </c>
      <c r="H124" s="29">
        <v>1621.5</v>
      </c>
      <c r="I124" s="29">
        <v>1633</v>
      </c>
      <c r="J124" s="29">
        <v>1600.5</v>
      </c>
      <c r="K124" s="29">
        <v>1588</v>
      </c>
      <c r="L124" s="29">
        <v>1557</v>
      </c>
      <c r="M124" s="29">
        <v>1555</v>
      </c>
      <c r="N124" s="29">
        <v>1565</v>
      </c>
      <c r="O124" s="29">
        <v>1592.5</v>
      </c>
      <c r="P124" s="29">
        <v>1567</v>
      </c>
      <c r="Q124" s="29">
        <v>1558</v>
      </c>
      <c r="R124" s="29">
        <v>1552.5</v>
      </c>
      <c r="S124" s="29">
        <v>1532</v>
      </c>
      <c r="T124" s="29">
        <v>1519</v>
      </c>
      <c r="U124" s="29">
        <v>1527</v>
      </c>
      <c r="V124" s="29">
        <v>1583.5</v>
      </c>
      <c r="W124" s="29">
        <v>1584.5</v>
      </c>
      <c r="X124" s="29">
        <v>1566</v>
      </c>
      <c r="Y124" s="29">
        <v>1567</v>
      </c>
      <c r="Z124" s="29">
        <v>1525.5</v>
      </c>
      <c r="AA124" s="29">
        <v>1493.5</v>
      </c>
      <c r="AB124" s="29">
        <v>1528.5</v>
      </c>
      <c r="AC124" s="29">
        <v>1520.5</v>
      </c>
      <c r="AD124" s="29">
        <v>1480</v>
      </c>
      <c r="AE124" s="29">
        <v>1495</v>
      </c>
      <c r="AF124" s="29">
        <v>1471</v>
      </c>
      <c r="AG124" s="29">
        <v>1469.5</v>
      </c>
      <c r="AH124" s="29">
        <v>1497.5</v>
      </c>
      <c r="AI124" s="29">
        <v>1510.5</v>
      </c>
      <c r="AJ124" s="29">
        <v>1528</v>
      </c>
      <c r="AK124" s="29">
        <v>1554.5</v>
      </c>
      <c r="AL124" s="29">
        <v>1572.5</v>
      </c>
      <c r="AM124" s="29">
        <v>1593.5</v>
      </c>
      <c r="AN124" s="29">
        <v>1578.5</v>
      </c>
      <c r="AO124" s="29">
        <v>1597</v>
      </c>
      <c r="AP124" s="29">
        <v>1551</v>
      </c>
      <c r="AQ124" s="29">
        <v>1475.5</v>
      </c>
      <c r="AR124" s="29">
        <v>1506.5</v>
      </c>
      <c r="AS124" s="29">
        <v>1493.5</v>
      </c>
      <c r="AT124" s="29">
        <v>1520</v>
      </c>
      <c r="AU124" s="29">
        <v>1516</v>
      </c>
      <c r="AV124" s="29">
        <v>1543</v>
      </c>
      <c r="AW124" s="29">
        <v>1539</v>
      </c>
      <c r="AX124" s="29">
        <v>1557.5</v>
      </c>
      <c r="AY124" s="29">
        <v>1547.5</v>
      </c>
      <c r="AZ124" s="29">
        <v>1503</v>
      </c>
      <c r="BA124" s="29">
        <v>1557</v>
      </c>
      <c r="BB124" s="29">
        <v>1531.5</v>
      </c>
      <c r="BC124" s="29">
        <v>1545</v>
      </c>
      <c r="BD124" s="29">
        <v>1565.5</v>
      </c>
      <c r="BE124" s="29">
        <v>1557.5</v>
      </c>
      <c r="BF124" s="29">
        <v>1606</v>
      </c>
      <c r="BG124" s="29">
        <v>1697.5</v>
      </c>
      <c r="BH124" s="29">
        <v>1688</v>
      </c>
      <c r="BI124" s="29">
        <v>1679</v>
      </c>
      <c r="BJ124" s="29">
        <v>1700</v>
      </c>
      <c r="BK124" s="29">
        <v>1736.5</v>
      </c>
      <c r="BL124" s="30">
        <v>1705</v>
      </c>
      <c r="BM124" s="1">
        <v>1724</v>
      </c>
      <c r="BN124" s="1">
        <v>1732</v>
      </c>
      <c r="BO124" s="1">
        <v>1728.5</v>
      </c>
      <c r="BP124" s="1">
        <v>1722.5</v>
      </c>
      <c r="BQ124" s="1">
        <v>1767.5</v>
      </c>
      <c r="BR124" s="1">
        <v>1741</v>
      </c>
      <c r="BS124" s="1">
        <v>1770</v>
      </c>
      <c r="BT124" s="1">
        <v>1776.5</v>
      </c>
      <c r="BU124" s="1">
        <v>1757.5</v>
      </c>
      <c r="BV124" s="1">
        <v>1783.5</v>
      </c>
      <c r="BW124" s="1">
        <v>1825.5</v>
      </c>
      <c r="BX124" s="1">
        <v>1803</v>
      </c>
      <c r="BY124" s="1">
        <v>1732</v>
      </c>
      <c r="BZ124" s="1">
        <v>1735.5</v>
      </c>
    </row>
    <row r="125" spans="1:78" ht="15.9" customHeight="1">
      <c r="A125" s="65" t="s">
        <v>245</v>
      </c>
      <c r="B125" s="25" t="s">
        <v>246</v>
      </c>
      <c r="C125" s="39">
        <f>_xll.RssMarket("8934","高値")</f>
        <v>2435</v>
      </c>
      <c r="D125" s="38">
        <f t="shared" si="3"/>
        <v>-3</v>
      </c>
      <c r="E125" s="34">
        <v>2438</v>
      </c>
      <c r="F125" s="34">
        <v>2500</v>
      </c>
      <c r="G125" s="29">
        <v>2537</v>
      </c>
      <c r="H125" s="29">
        <v>2585</v>
      </c>
      <c r="I125" s="29">
        <v>2589</v>
      </c>
      <c r="J125" s="29">
        <v>2576</v>
      </c>
      <c r="K125" s="29">
        <v>2568</v>
      </c>
      <c r="L125" s="29">
        <v>2500</v>
      </c>
      <c r="M125" s="29">
        <v>2545</v>
      </c>
      <c r="N125" s="29">
        <v>2551</v>
      </c>
      <c r="O125" s="29">
        <v>2549</v>
      </c>
      <c r="P125" s="29">
        <v>2577</v>
      </c>
      <c r="Q125" s="29">
        <v>2549</v>
      </c>
      <c r="R125" s="29">
        <v>2514</v>
      </c>
      <c r="S125" s="29">
        <v>2508</v>
      </c>
      <c r="T125" s="29">
        <v>2514</v>
      </c>
      <c r="U125" s="29">
        <v>2534</v>
      </c>
      <c r="V125" s="29">
        <v>2559</v>
      </c>
      <c r="W125" s="29">
        <v>2529</v>
      </c>
      <c r="X125" s="29">
        <v>2512</v>
      </c>
      <c r="Y125" s="29">
        <v>2475</v>
      </c>
      <c r="Z125" s="29">
        <v>2439</v>
      </c>
      <c r="AA125" s="29">
        <v>2426</v>
      </c>
      <c r="AB125" s="29">
        <v>2461</v>
      </c>
      <c r="AC125" s="29">
        <v>2456</v>
      </c>
      <c r="AD125" s="29">
        <v>2394</v>
      </c>
      <c r="AE125" s="29">
        <v>2382</v>
      </c>
      <c r="AF125" s="29">
        <v>2357</v>
      </c>
      <c r="AG125" s="29">
        <v>2351</v>
      </c>
      <c r="AH125" s="29">
        <v>2363</v>
      </c>
      <c r="AI125" s="29">
        <v>2380</v>
      </c>
      <c r="AJ125" s="29">
        <v>2366</v>
      </c>
      <c r="AK125" s="29">
        <v>2395</v>
      </c>
      <c r="AL125" s="29">
        <v>2393</v>
      </c>
      <c r="AM125" s="29">
        <v>2416</v>
      </c>
      <c r="AN125" s="29">
        <v>2384</v>
      </c>
      <c r="AO125" s="29">
        <v>2392</v>
      </c>
      <c r="AP125" s="29">
        <v>2410</v>
      </c>
      <c r="AQ125" s="29">
        <v>2331</v>
      </c>
      <c r="AR125" s="29">
        <v>2341</v>
      </c>
      <c r="AS125" s="29">
        <v>2305</v>
      </c>
      <c r="AT125" s="29">
        <v>2287</v>
      </c>
      <c r="AU125" s="29">
        <v>2266</v>
      </c>
      <c r="AV125" s="29">
        <v>2425</v>
      </c>
      <c r="AW125" s="29">
        <v>2360</v>
      </c>
      <c r="AX125" s="29">
        <v>2371</v>
      </c>
      <c r="AY125" s="29">
        <v>2380</v>
      </c>
      <c r="AZ125" s="29">
        <v>2388</v>
      </c>
      <c r="BA125" s="29">
        <v>2420</v>
      </c>
      <c r="BB125" s="29">
        <v>2422</v>
      </c>
      <c r="BC125" s="29">
        <v>2461</v>
      </c>
      <c r="BD125" s="29">
        <v>2470</v>
      </c>
      <c r="BE125" s="29">
        <v>2473</v>
      </c>
      <c r="BF125" s="29">
        <v>2468</v>
      </c>
      <c r="BG125" s="29">
        <v>2464</v>
      </c>
      <c r="BH125" s="29">
        <v>2549</v>
      </c>
      <c r="BI125" s="29">
        <v>2601</v>
      </c>
      <c r="BJ125" s="29">
        <v>2625</v>
      </c>
      <c r="BK125" s="29">
        <v>2680</v>
      </c>
      <c r="BL125" s="30">
        <v>2695</v>
      </c>
      <c r="BM125" s="1">
        <v>2729</v>
      </c>
      <c r="BN125" s="1">
        <v>2702</v>
      </c>
      <c r="BO125" s="1">
        <v>2685</v>
      </c>
      <c r="BP125" s="1">
        <v>2697</v>
      </c>
      <c r="BQ125" s="1">
        <v>2737</v>
      </c>
      <c r="BR125" s="1">
        <v>2750</v>
      </c>
      <c r="BS125" s="1">
        <v>2773</v>
      </c>
      <c r="BT125" s="1">
        <v>2802</v>
      </c>
      <c r="BU125" s="1">
        <v>2804</v>
      </c>
      <c r="BV125" s="1">
        <v>2838</v>
      </c>
      <c r="BW125" s="1">
        <v>2865</v>
      </c>
      <c r="BX125" s="1">
        <v>2858</v>
      </c>
      <c r="BY125" s="1">
        <v>2885</v>
      </c>
      <c r="BZ125" s="1">
        <v>2812</v>
      </c>
    </row>
    <row r="126" spans="1:78" ht="15.9" customHeight="1">
      <c r="A126" s="65" t="s">
        <v>247</v>
      </c>
      <c r="B126" s="25" t="s">
        <v>248</v>
      </c>
      <c r="C126" s="39">
        <f>_xll.RssMarket("9416","高値")</f>
        <v>1025</v>
      </c>
      <c r="D126" s="38">
        <f t="shared" si="3"/>
        <v>-4</v>
      </c>
      <c r="E126" s="34">
        <v>1029</v>
      </c>
      <c r="F126" s="34">
        <v>1033</v>
      </c>
      <c r="G126" s="29">
        <v>1041</v>
      </c>
      <c r="H126" s="29">
        <v>1047</v>
      </c>
      <c r="I126" s="29">
        <v>1051</v>
      </c>
      <c r="J126" s="29">
        <v>1031</v>
      </c>
      <c r="K126" s="29">
        <v>1021</v>
      </c>
      <c r="L126" s="29">
        <v>993</v>
      </c>
      <c r="M126" s="29">
        <v>1000</v>
      </c>
      <c r="N126" s="29">
        <v>1005</v>
      </c>
      <c r="O126" s="29">
        <v>1016</v>
      </c>
      <c r="P126" s="29">
        <v>1016</v>
      </c>
      <c r="Q126" s="29">
        <v>1024</v>
      </c>
      <c r="R126" s="29">
        <v>1034</v>
      </c>
      <c r="S126" s="29">
        <v>1028</v>
      </c>
      <c r="T126" s="29">
        <v>1024</v>
      </c>
      <c r="U126" s="29">
        <v>1009</v>
      </c>
      <c r="V126" s="29">
        <v>1014</v>
      </c>
      <c r="W126" s="29">
        <v>1022</v>
      </c>
      <c r="X126" s="29">
        <v>1017</v>
      </c>
      <c r="Y126" s="29">
        <v>1008</v>
      </c>
      <c r="Z126" s="29">
        <v>990</v>
      </c>
      <c r="AA126" s="29">
        <v>969</v>
      </c>
      <c r="AB126" s="29">
        <v>980</v>
      </c>
      <c r="AC126" s="29">
        <v>983</v>
      </c>
      <c r="AD126" s="29">
        <v>987</v>
      </c>
      <c r="AE126" s="29">
        <v>990</v>
      </c>
      <c r="AF126" s="29">
        <v>999</v>
      </c>
      <c r="AG126" s="29">
        <v>1023</v>
      </c>
      <c r="AH126" s="29">
        <v>1023</v>
      </c>
      <c r="AI126" s="29">
        <v>1037</v>
      </c>
      <c r="AJ126" s="29">
        <v>1037</v>
      </c>
      <c r="AK126" s="29">
        <v>1026</v>
      </c>
      <c r="AL126" s="29">
        <v>1020</v>
      </c>
      <c r="AM126" s="29">
        <v>1030</v>
      </c>
      <c r="AN126" s="29">
        <v>1020</v>
      </c>
      <c r="AO126" s="29">
        <v>1017</v>
      </c>
      <c r="AP126" s="29">
        <v>1015</v>
      </c>
      <c r="AQ126" s="29">
        <v>1034</v>
      </c>
      <c r="AR126" s="29">
        <v>1036</v>
      </c>
      <c r="AS126" s="29">
        <v>1018</v>
      </c>
      <c r="AT126" s="29">
        <v>1023</v>
      </c>
      <c r="AU126" s="29">
        <v>1027</v>
      </c>
      <c r="AV126" s="29">
        <v>1080</v>
      </c>
      <c r="AW126" s="29">
        <v>1063</v>
      </c>
      <c r="AX126" s="29">
        <v>1064</v>
      </c>
      <c r="AY126" s="29">
        <v>1104</v>
      </c>
      <c r="AZ126" s="29">
        <v>1021</v>
      </c>
      <c r="BA126" s="29">
        <v>1033</v>
      </c>
      <c r="BB126" s="29">
        <v>1032</v>
      </c>
      <c r="BC126" s="29">
        <v>1028</v>
      </c>
      <c r="BD126" s="29">
        <v>1045</v>
      </c>
      <c r="BE126" s="29">
        <v>1039</v>
      </c>
      <c r="BF126" s="29">
        <v>1140</v>
      </c>
      <c r="BG126" s="29">
        <v>1105</v>
      </c>
      <c r="BH126" s="29">
        <v>1115</v>
      </c>
      <c r="BI126" s="29">
        <v>1115</v>
      </c>
      <c r="BJ126" s="29">
        <v>1116</v>
      </c>
      <c r="BK126" s="29">
        <v>1114</v>
      </c>
      <c r="BL126" s="30">
        <v>1099</v>
      </c>
      <c r="BM126" s="1">
        <v>1103</v>
      </c>
      <c r="BN126" s="1">
        <v>1106</v>
      </c>
      <c r="BO126" s="1">
        <v>1099</v>
      </c>
      <c r="BP126" s="1">
        <v>1111</v>
      </c>
      <c r="BQ126" s="1">
        <v>1112</v>
      </c>
      <c r="BR126" s="1">
        <v>1146</v>
      </c>
      <c r="BS126" s="1">
        <v>1179</v>
      </c>
      <c r="BT126" s="1">
        <v>1186</v>
      </c>
      <c r="BU126" s="1">
        <v>1202</v>
      </c>
      <c r="BV126" s="1">
        <v>1218</v>
      </c>
      <c r="BW126" s="1">
        <v>1212</v>
      </c>
      <c r="BX126" s="1">
        <v>1203</v>
      </c>
      <c r="BY126" s="1">
        <v>1208</v>
      </c>
      <c r="BZ126" s="1">
        <v>1208</v>
      </c>
    </row>
    <row r="127" spans="1:78" ht="15.9" customHeight="1">
      <c r="A127" s="65" t="s">
        <v>249</v>
      </c>
      <c r="B127" s="25" t="s">
        <v>250</v>
      </c>
      <c r="C127" s="39">
        <f>_xll.RssMarket("9532","高値")</f>
        <v>5389</v>
      </c>
      <c r="D127" s="38">
        <f t="shared" si="3"/>
        <v>-31</v>
      </c>
      <c r="E127" s="34">
        <v>5420</v>
      </c>
      <c r="F127" s="34">
        <v>5498</v>
      </c>
      <c r="G127" s="29">
        <v>5644</v>
      </c>
      <c r="H127" s="29">
        <v>5625</v>
      </c>
      <c r="I127" s="29">
        <v>5655</v>
      </c>
      <c r="J127" s="29">
        <v>5555</v>
      </c>
      <c r="K127" s="29">
        <v>5570</v>
      </c>
      <c r="L127" s="29">
        <v>5523</v>
      </c>
      <c r="M127" s="29">
        <v>5455</v>
      </c>
      <c r="N127" s="29">
        <v>5409</v>
      </c>
      <c r="O127" s="29">
        <v>5454</v>
      </c>
      <c r="P127" s="29">
        <v>5430</v>
      </c>
      <c r="Q127" s="29">
        <v>5422</v>
      </c>
      <c r="R127" s="29">
        <v>5398</v>
      </c>
      <c r="S127" s="29">
        <v>5403</v>
      </c>
      <c r="T127" s="29">
        <v>5411</v>
      </c>
      <c r="U127" s="29">
        <v>5544</v>
      </c>
      <c r="V127" s="29">
        <v>5564</v>
      </c>
      <c r="W127" s="29">
        <v>5547</v>
      </c>
      <c r="X127" s="29">
        <v>5515</v>
      </c>
      <c r="Y127" s="29">
        <v>5448</v>
      </c>
      <c r="Z127" s="29">
        <v>5375</v>
      </c>
      <c r="AA127" s="29">
        <v>5456</v>
      </c>
      <c r="AB127" s="29">
        <v>5518</v>
      </c>
      <c r="AC127" s="29">
        <v>5493</v>
      </c>
      <c r="AD127" s="29">
        <v>5407</v>
      </c>
      <c r="AE127" s="29">
        <v>5447</v>
      </c>
      <c r="AF127" s="29">
        <v>5449</v>
      </c>
      <c r="AG127" s="29">
        <v>5470</v>
      </c>
      <c r="AH127" s="29">
        <v>5451</v>
      </c>
      <c r="AI127" s="29">
        <v>5411</v>
      </c>
      <c r="AJ127" s="29">
        <v>5502</v>
      </c>
      <c r="AK127" s="29">
        <v>5543</v>
      </c>
      <c r="AL127" s="29">
        <v>5526</v>
      </c>
      <c r="AM127" s="29">
        <v>5644</v>
      </c>
      <c r="AN127" s="29">
        <v>5776</v>
      </c>
      <c r="AO127" s="29">
        <v>5675</v>
      </c>
      <c r="AP127" s="29">
        <v>5557</v>
      </c>
      <c r="AQ127" s="29">
        <v>5516</v>
      </c>
      <c r="AR127" s="29">
        <v>5564</v>
      </c>
      <c r="AS127" s="29">
        <v>5628</v>
      </c>
      <c r="AT127" s="29">
        <v>5648</v>
      </c>
      <c r="AU127" s="29">
        <v>5403</v>
      </c>
      <c r="AV127" s="29">
        <v>5412</v>
      </c>
      <c r="AW127" s="29">
        <v>5485</v>
      </c>
      <c r="AX127" s="29">
        <v>5593</v>
      </c>
      <c r="AY127" s="29">
        <v>5694</v>
      </c>
      <c r="AZ127" s="29">
        <v>5770</v>
      </c>
      <c r="BA127" s="29">
        <v>5779</v>
      </c>
      <c r="BB127" s="29">
        <v>5879</v>
      </c>
      <c r="BC127" s="29">
        <v>5814</v>
      </c>
      <c r="BD127" s="29">
        <v>5762</v>
      </c>
      <c r="BE127" s="29">
        <v>5770</v>
      </c>
      <c r="BF127" s="29">
        <v>5778</v>
      </c>
      <c r="BG127" s="29">
        <v>5805</v>
      </c>
      <c r="BH127" s="29">
        <v>5699</v>
      </c>
      <c r="BI127" s="29">
        <v>5809</v>
      </c>
      <c r="BJ127" s="29">
        <v>5850</v>
      </c>
      <c r="BK127" s="29">
        <v>5825</v>
      </c>
      <c r="BL127" s="30">
        <v>5769</v>
      </c>
      <c r="BM127" s="1">
        <v>5950</v>
      </c>
      <c r="BN127" s="1">
        <v>5984</v>
      </c>
      <c r="BO127" s="1">
        <v>5838</v>
      </c>
      <c r="BP127" s="1">
        <v>5967</v>
      </c>
      <c r="BQ127" s="1">
        <v>5856</v>
      </c>
      <c r="BR127" s="1">
        <v>5905</v>
      </c>
      <c r="BS127" s="1">
        <v>6005</v>
      </c>
      <c r="BT127" s="1">
        <v>6154</v>
      </c>
      <c r="BU127" s="1">
        <v>6261</v>
      </c>
      <c r="BV127" s="1">
        <v>6261</v>
      </c>
      <c r="BW127" s="1">
        <v>6290</v>
      </c>
      <c r="BX127" s="1">
        <v>6316</v>
      </c>
      <c r="BY127" s="1">
        <v>6400</v>
      </c>
      <c r="BZ127" s="1">
        <v>6636</v>
      </c>
    </row>
    <row r="128" spans="1:78" ht="15.9" customHeight="1">
      <c r="A128" s="65" t="s">
        <v>251</v>
      </c>
      <c r="B128" s="25" t="s">
        <v>252</v>
      </c>
      <c r="C128" s="39">
        <f>_xll.RssMarket("6330","高値")</f>
        <v>2110</v>
      </c>
      <c r="D128" s="38">
        <f t="shared" si="3"/>
        <v>96</v>
      </c>
      <c r="E128" s="34">
        <v>2014</v>
      </c>
      <c r="F128" s="34">
        <v>1982</v>
      </c>
      <c r="G128" s="29">
        <v>1997</v>
      </c>
      <c r="H128" s="29">
        <v>1936</v>
      </c>
      <c r="I128" s="29">
        <v>2028</v>
      </c>
      <c r="J128" s="29">
        <v>2104</v>
      </c>
      <c r="K128" s="29">
        <v>2138</v>
      </c>
      <c r="L128" s="29"/>
      <c r="M128" s="29">
        <v>1927</v>
      </c>
      <c r="N128" s="29">
        <v>1955</v>
      </c>
      <c r="O128" s="29">
        <v>1932</v>
      </c>
      <c r="P128" s="29">
        <v>1846</v>
      </c>
      <c r="Q128" s="29">
        <v>1976</v>
      </c>
      <c r="R128" s="29">
        <v>1971</v>
      </c>
      <c r="S128" s="29">
        <v>1978</v>
      </c>
      <c r="T128" s="29">
        <v>1992</v>
      </c>
      <c r="U128" s="29">
        <v>1988</v>
      </c>
      <c r="V128" s="29">
        <v>2038</v>
      </c>
      <c r="W128" s="29">
        <v>2202</v>
      </c>
      <c r="X128" s="29">
        <v>2204</v>
      </c>
      <c r="Y128" s="29">
        <v>2067</v>
      </c>
      <c r="Z128" s="29">
        <v>2083</v>
      </c>
      <c r="AA128" s="29">
        <v>2020</v>
      </c>
      <c r="AB128" s="29">
        <v>2277</v>
      </c>
      <c r="AC128" s="29">
        <v>2155</v>
      </c>
      <c r="AD128" s="29">
        <v>1978</v>
      </c>
      <c r="AE128" s="29">
        <v>1984</v>
      </c>
      <c r="AF128" s="29">
        <v>1945</v>
      </c>
      <c r="AG128" s="29">
        <v>2016</v>
      </c>
      <c r="AH128" s="29">
        <v>2071</v>
      </c>
      <c r="AI128" s="29">
        <v>2147</v>
      </c>
      <c r="AJ128" s="29">
        <v>2237</v>
      </c>
      <c r="AK128" s="29">
        <v>2266</v>
      </c>
      <c r="AL128" s="29">
        <v>2097</v>
      </c>
      <c r="AM128" s="29">
        <v>2095</v>
      </c>
      <c r="AN128" s="29">
        <v>1937</v>
      </c>
      <c r="AO128" s="29">
        <v>1853</v>
      </c>
      <c r="AP128" s="29">
        <v>1987</v>
      </c>
      <c r="AQ128" s="29">
        <v>2045</v>
      </c>
      <c r="AR128" s="29">
        <v>2093</v>
      </c>
      <c r="AS128" s="29">
        <v>2007</v>
      </c>
      <c r="AT128" s="29">
        <v>2050</v>
      </c>
      <c r="AU128" s="29">
        <v>1944</v>
      </c>
      <c r="AV128" s="29">
        <v>2153</v>
      </c>
      <c r="AW128" s="29">
        <v>2154</v>
      </c>
      <c r="AX128" s="29">
        <v>2206</v>
      </c>
      <c r="AY128" s="29">
        <v>2285</v>
      </c>
      <c r="AZ128" s="29">
        <v>2187</v>
      </c>
      <c r="BA128" s="29">
        <v>2083</v>
      </c>
      <c r="BB128" s="29">
        <v>2085</v>
      </c>
      <c r="BC128" s="29">
        <v>2167</v>
      </c>
      <c r="BD128" s="29">
        <v>2149</v>
      </c>
      <c r="BE128" s="29">
        <v>2203</v>
      </c>
      <c r="BF128" s="29">
        <v>2485</v>
      </c>
      <c r="BG128" s="29">
        <v>2217</v>
      </c>
      <c r="BH128" s="29">
        <v>2305</v>
      </c>
      <c r="BI128" s="29">
        <v>2352</v>
      </c>
      <c r="BJ128" s="29">
        <v>2350</v>
      </c>
      <c r="BK128" s="29">
        <v>2335</v>
      </c>
      <c r="BL128" s="30">
        <v>2339</v>
      </c>
      <c r="BM128" s="1">
        <v>2375</v>
      </c>
      <c r="BN128" s="1">
        <v>2423</v>
      </c>
      <c r="BO128" s="1">
        <v>2380</v>
      </c>
      <c r="BP128" s="1">
        <v>2461</v>
      </c>
      <c r="BQ128" s="1">
        <v>2505</v>
      </c>
      <c r="BR128" s="1">
        <v>2545</v>
      </c>
      <c r="BS128" s="1">
        <v>2697</v>
      </c>
      <c r="BT128" s="1">
        <v>2797</v>
      </c>
      <c r="BU128" s="1">
        <v>2680</v>
      </c>
      <c r="BV128" s="1">
        <v>2493</v>
      </c>
      <c r="BW128" s="1">
        <v>2409</v>
      </c>
      <c r="BX128" s="1">
        <v>2384</v>
      </c>
      <c r="BY128" s="1">
        <v>2373</v>
      </c>
      <c r="BZ128" s="1">
        <v>2379</v>
      </c>
    </row>
    <row r="129" spans="1:78" ht="15.9" customHeight="1">
      <c r="A129" s="65" t="s">
        <v>253</v>
      </c>
      <c r="B129" s="25" t="s">
        <v>254</v>
      </c>
      <c r="C129" s="39">
        <f>_xll.RssMarket("4082","高値")</f>
        <v>1958</v>
      </c>
      <c r="D129" s="38">
        <f t="shared" si="3"/>
        <v>100</v>
      </c>
      <c r="E129" s="34">
        <v>1858</v>
      </c>
      <c r="F129" s="34">
        <v>1823</v>
      </c>
      <c r="G129" s="29">
        <v>1799</v>
      </c>
      <c r="H129" s="29">
        <v>1739</v>
      </c>
      <c r="I129" s="29">
        <v>1800</v>
      </c>
      <c r="J129" s="29">
        <v>1868</v>
      </c>
      <c r="K129" s="29">
        <v>1880</v>
      </c>
      <c r="L129" s="29">
        <v>1857</v>
      </c>
      <c r="M129" s="29">
        <v>1870</v>
      </c>
      <c r="N129" s="29">
        <v>1892</v>
      </c>
      <c r="O129" s="29">
        <v>1836</v>
      </c>
      <c r="P129" s="29">
        <v>1863</v>
      </c>
      <c r="Q129" s="29">
        <v>1979</v>
      </c>
      <c r="R129" s="29">
        <v>1971</v>
      </c>
      <c r="S129" s="29">
        <v>1983</v>
      </c>
      <c r="T129" s="29">
        <v>1997</v>
      </c>
      <c r="U129" s="29">
        <v>2020</v>
      </c>
      <c r="V129" s="29">
        <v>2065</v>
      </c>
      <c r="W129" s="29">
        <v>2076</v>
      </c>
      <c r="X129" s="29">
        <v>2102</v>
      </c>
      <c r="Y129" s="29">
        <v>2055</v>
      </c>
      <c r="Z129" s="29">
        <v>2081</v>
      </c>
      <c r="AA129" s="29">
        <v>2059</v>
      </c>
      <c r="AB129" s="29">
        <v>2102</v>
      </c>
      <c r="AC129" s="29">
        <v>2118</v>
      </c>
      <c r="AD129" s="29">
        <v>2135</v>
      </c>
      <c r="AE129" s="29">
        <v>2235</v>
      </c>
      <c r="AF129" s="29">
        <v>2060</v>
      </c>
      <c r="AG129" s="29">
        <v>2144</v>
      </c>
      <c r="AH129" s="29">
        <v>2146</v>
      </c>
      <c r="AI129" s="29">
        <v>2128</v>
      </c>
      <c r="AJ129" s="29">
        <v>2148</v>
      </c>
      <c r="AK129" s="29">
        <v>2130</v>
      </c>
      <c r="AL129" s="29">
        <v>2026</v>
      </c>
      <c r="AM129" s="29">
        <v>2000</v>
      </c>
      <c r="AN129" s="29">
        <v>1924</v>
      </c>
      <c r="AO129" s="29">
        <v>1875</v>
      </c>
      <c r="AP129" s="29">
        <v>1963</v>
      </c>
      <c r="AQ129" s="29">
        <v>2039</v>
      </c>
      <c r="AR129" s="29">
        <v>2138</v>
      </c>
      <c r="AS129" s="29">
        <v>2172</v>
      </c>
      <c r="AT129" s="29">
        <v>2282</v>
      </c>
      <c r="AU129" s="29">
        <v>2225</v>
      </c>
      <c r="AV129" s="29">
        <v>2463</v>
      </c>
      <c r="AW129" s="29">
        <v>2264</v>
      </c>
      <c r="AX129" s="29">
        <v>2340</v>
      </c>
      <c r="AY129" s="29">
        <v>2141</v>
      </c>
      <c r="AZ129" s="29">
        <v>2048</v>
      </c>
      <c r="BA129" s="29">
        <v>1998</v>
      </c>
      <c r="BB129" s="29">
        <v>2113</v>
      </c>
      <c r="BC129" s="29">
        <v>2215</v>
      </c>
      <c r="BD129" s="29">
        <v>2222</v>
      </c>
      <c r="BE129" s="29">
        <v>2288</v>
      </c>
      <c r="BF129" s="29">
        <v>2658</v>
      </c>
      <c r="BG129" s="29">
        <v>2830</v>
      </c>
      <c r="BH129" s="29">
        <v>2746</v>
      </c>
      <c r="BI129" s="29">
        <v>2746</v>
      </c>
      <c r="BJ129" s="29">
        <v>2541</v>
      </c>
      <c r="BK129" s="29">
        <v>2382</v>
      </c>
      <c r="BL129" s="30">
        <v>2358</v>
      </c>
      <c r="BM129" s="1">
        <v>2367</v>
      </c>
      <c r="BN129" s="1">
        <v>2357</v>
      </c>
      <c r="BO129" s="1">
        <v>2283</v>
      </c>
      <c r="BP129" s="1">
        <v>2474</v>
      </c>
      <c r="BQ129" s="1">
        <v>2331</v>
      </c>
      <c r="BR129" s="1">
        <v>2384</v>
      </c>
      <c r="BS129" s="1">
        <v>2565</v>
      </c>
      <c r="BT129" s="1">
        <v>2625</v>
      </c>
      <c r="BU129" s="1">
        <v>2396</v>
      </c>
      <c r="BV129" s="1">
        <v>2268</v>
      </c>
      <c r="BW129" s="1">
        <v>2140</v>
      </c>
      <c r="BX129" s="1">
        <v>2110</v>
      </c>
      <c r="BY129" s="1">
        <v>2081</v>
      </c>
      <c r="BZ129" s="1">
        <v>2160</v>
      </c>
    </row>
    <row r="130" spans="1:78" ht="15.9" customHeight="1">
      <c r="A130" s="65" t="s">
        <v>255</v>
      </c>
      <c r="B130" s="25" t="s">
        <v>256</v>
      </c>
      <c r="C130" s="39">
        <f>_xll.RssMarket("4519","高値")</f>
        <v>6686</v>
      </c>
      <c r="D130" s="38">
        <f t="shared" si="3"/>
        <v>6</v>
      </c>
      <c r="E130" s="34">
        <v>6680</v>
      </c>
      <c r="F130" s="34">
        <v>6812</v>
      </c>
      <c r="G130" s="29">
        <v>6993</v>
      </c>
      <c r="H130" s="29">
        <v>7087</v>
      </c>
      <c r="I130" s="29">
        <v>7110</v>
      </c>
      <c r="J130" s="29">
        <v>7149</v>
      </c>
      <c r="K130" s="29">
        <v>7100</v>
      </c>
      <c r="L130" s="29"/>
      <c r="M130" s="29">
        <v>7319</v>
      </c>
      <c r="N130" s="29">
        <v>7393</v>
      </c>
      <c r="O130" s="29">
        <v>7444</v>
      </c>
      <c r="P130" s="29">
        <v>7344</v>
      </c>
      <c r="Q130" s="29">
        <v>7231</v>
      </c>
      <c r="R130" s="29">
        <v>7342</v>
      </c>
      <c r="S130" s="29">
        <v>7350</v>
      </c>
      <c r="T130" s="29">
        <v>7420</v>
      </c>
      <c r="U130" s="29">
        <v>7460</v>
      </c>
      <c r="V130" s="29">
        <v>7762</v>
      </c>
      <c r="W130" s="29">
        <v>7654</v>
      </c>
      <c r="X130" s="29">
        <v>7719</v>
      </c>
      <c r="Y130" s="29">
        <v>7939</v>
      </c>
      <c r="Z130" s="29">
        <v>7484</v>
      </c>
      <c r="AA130" s="29">
        <v>7494</v>
      </c>
      <c r="AB130" s="29">
        <v>7630</v>
      </c>
      <c r="AC130" s="29">
        <v>7660</v>
      </c>
      <c r="AD130" s="29">
        <v>7540</v>
      </c>
      <c r="AE130" s="29">
        <v>7596</v>
      </c>
      <c r="AF130" s="29">
        <v>7583</v>
      </c>
      <c r="AG130" s="29">
        <v>7560</v>
      </c>
      <c r="AH130" s="29">
        <v>7583</v>
      </c>
      <c r="AI130" s="29">
        <v>7550</v>
      </c>
      <c r="AJ130" s="29">
        <v>7678</v>
      </c>
      <c r="AK130" s="29">
        <v>7689</v>
      </c>
      <c r="AL130" s="29">
        <v>7719</v>
      </c>
      <c r="AM130" s="29">
        <v>7567</v>
      </c>
      <c r="AN130" s="29">
        <v>7506</v>
      </c>
      <c r="AO130" s="29">
        <v>7472</v>
      </c>
      <c r="AP130" s="29">
        <v>7560</v>
      </c>
      <c r="AQ130" s="29">
        <v>7599</v>
      </c>
      <c r="AR130" s="29">
        <v>7658</v>
      </c>
      <c r="AS130" s="29">
        <v>7595</v>
      </c>
      <c r="AT130" s="29">
        <v>7629</v>
      </c>
      <c r="AU130" s="29">
        <v>7624</v>
      </c>
      <c r="AV130" s="29">
        <v>7944</v>
      </c>
      <c r="AW130" s="29">
        <v>7936</v>
      </c>
      <c r="AX130" s="29">
        <v>7888</v>
      </c>
      <c r="AY130" s="29">
        <v>8215</v>
      </c>
      <c r="AZ130" s="29">
        <v>8090</v>
      </c>
      <c r="BA130" s="29">
        <v>8151</v>
      </c>
      <c r="BB130" s="29">
        <v>8047</v>
      </c>
      <c r="BC130" s="29">
        <v>8022</v>
      </c>
      <c r="BD130" s="29">
        <v>8013</v>
      </c>
      <c r="BE130" s="29">
        <v>8111</v>
      </c>
      <c r="BF130" s="29">
        <v>8096</v>
      </c>
      <c r="BG130" s="29">
        <v>7841</v>
      </c>
      <c r="BH130" s="29">
        <v>7961</v>
      </c>
      <c r="BI130" s="29">
        <v>7996</v>
      </c>
      <c r="BJ130" s="29">
        <v>8248</v>
      </c>
      <c r="BK130" s="29">
        <v>8148</v>
      </c>
      <c r="BL130" s="30">
        <v>8893</v>
      </c>
      <c r="BM130" s="1">
        <v>8236</v>
      </c>
      <c r="BN130" s="1">
        <v>7948</v>
      </c>
      <c r="BO130" s="1">
        <v>8034</v>
      </c>
      <c r="BP130" s="1">
        <v>9013</v>
      </c>
      <c r="BQ130" s="1">
        <v>8984</v>
      </c>
      <c r="BR130" s="1">
        <v>8888</v>
      </c>
      <c r="BS130" s="1">
        <v>8788</v>
      </c>
      <c r="BT130" s="1">
        <v>8920</v>
      </c>
      <c r="BU130" s="1">
        <v>8462</v>
      </c>
      <c r="BV130" s="1">
        <v>8777</v>
      </c>
      <c r="BW130" s="1">
        <v>8693</v>
      </c>
      <c r="BX130" s="1">
        <v>8656</v>
      </c>
      <c r="BY130" s="1">
        <v>8675</v>
      </c>
      <c r="BZ130" s="1">
        <v>8816</v>
      </c>
    </row>
    <row r="131" spans="1:78" ht="15.9" customHeight="1">
      <c r="A131" s="65" t="s">
        <v>257</v>
      </c>
      <c r="B131" s="25" t="s">
        <v>258</v>
      </c>
      <c r="C131" s="39">
        <f>_xll.RssMarket("2160","高値")</f>
        <v>2665</v>
      </c>
      <c r="D131" s="38">
        <f t="shared" si="3"/>
        <v>80</v>
      </c>
      <c r="E131" s="34">
        <v>2585</v>
      </c>
      <c r="F131" s="34">
        <v>2510</v>
      </c>
      <c r="G131" s="29">
        <v>2509</v>
      </c>
      <c r="H131" s="29">
        <v>2363</v>
      </c>
      <c r="I131" s="29">
        <v>2477</v>
      </c>
      <c r="J131" s="29">
        <v>2578</v>
      </c>
      <c r="K131" s="29">
        <v>2618</v>
      </c>
      <c r="L131" s="29">
        <v>2608</v>
      </c>
      <c r="M131" s="29">
        <v>2643</v>
      </c>
      <c r="N131" s="29">
        <v>2558</v>
      </c>
      <c r="O131" s="29">
        <v>2559</v>
      </c>
      <c r="P131" s="29">
        <v>2516</v>
      </c>
      <c r="Q131" s="29">
        <v>2615</v>
      </c>
      <c r="R131" s="29">
        <v>2620</v>
      </c>
      <c r="S131" s="29">
        <v>2626</v>
      </c>
      <c r="T131" s="29">
        <v>2641</v>
      </c>
      <c r="U131" s="29">
        <v>2658</v>
      </c>
      <c r="V131" s="29">
        <v>2807</v>
      </c>
      <c r="W131" s="29">
        <v>2910</v>
      </c>
      <c r="X131" s="29">
        <v>2908</v>
      </c>
      <c r="Y131" s="29">
        <v>2955</v>
      </c>
      <c r="Z131" s="29">
        <v>2922</v>
      </c>
      <c r="AA131" s="29">
        <v>2867</v>
      </c>
      <c r="AB131" s="29">
        <v>2876</v>
      </c>
      <c r="AC131" s="29">
        <v>2800</v>
      </c>
      <c r="AD131" s="29">
        <v>2554</v>
      </c>
      <c r="AE131" s="29">
        <v>2588</v>
      </c>
      <c r="AF131" s="29">
        <v>2554</v>
      </c>
      <c r="AG131" s="29">
        <v>2544</v>
      </c>
      <c r="AH131" s="29">
        <v>2587</v>
      </c>
      <c r="AI131" s="29">
        <v>2632</v>
      </c>
      <c r="AJ131" s="29">
        <v>2643</v>
      </c>
      <c r="AK131" s="29">
        <v>2595</v>
      </c>
      <c r="AL131" s="29">
        <v>2560</v>
      </c>
      <c r="AM131" s="29">
        <v>2554</v>
      </c>
      <c r="AN131" s="29">
        <v>2735</v>
      </c>
      <c r="AO131" s="29">
        <v>2704</v>
      </c>
      <c r="AP131" s="29">
        <v>2799</v>
      </c>
      <c r="AQ131" s="29">
        <v>3090</v>
      </c>
      <c r="AR131" s="29">
        <v>2940</v>
      </c>
      <c r="AS131" s="29">
        <v>2740</v>
      </c>
      <c r="AT131" s="29">
        <v>2643</v>
      </c>
      <c r="AU131" s="29">
        <v>2630</v>
      </c>
      <c r="AV131" s="29">
        <v>2680</v>
      </c>
      <c r="AW131" s="29">
        <v>2679</v>
      </c>
      <c r="AX131" s="29">
        <v>2739</v>
      </c>
      <c r="AY131" s="29">
        <v>2860</v>
      </c>
      <c r="AZ131" s="29">
        <v>2923</v>
      </c>
      <c r="BA131" s="29">
        <v>2866</v>
      </c>
      <c r="BB131" s="29">
        <v>2832</v>
      </c>
      <c r="BC131" s="29">
        <v>2848</v>
      </c>
      <c r="BD131" s="29">
        <v>2999</v>
      </c>
      <c r="BE131" s="29">
        <v>3050</v>
      </c>
      <c r="BF131" s="29">
        <v>3115</v>
      </c>
      <c r="BG131" s="29">
        <v>3345</v>
      </c>
      <c r="BH131" s="29">
        <v>3050</v>
      </c>
      <c r="BI131" s="29">
        <v>3005</v>
      </c>
      <c r="BJ131" s="29">
        <v>3080</v>
      </c>
      <c r="BK131" s="29">
        <v>3130</v>
      </c>
      <c r="BL131" s="30">
        <v>3040</v>
      </c>
      <c r="BM131" s="1">
        <v>3055</v>
      </c>
      <c r="BN131" s="1">
        <v>3170</v>
      </c>
      <c r="BO131" s="1">
        <v>3160</v>
      </c>
      <c r="BP131" s="1">
        <v>3185</v>
      </c>
      <c r="BQ131" s="1">
        <v>3275</v>
      </c>
      <c r="BR131" s="1">
        <v>3395</v>
      </c>
      <c r="BS131" s="1">
        <v>3455</v>
      </c>
      <c r="BT131" s="1">
        <v>3515</v>
      </c>
      <c r="BU131" s="1">
        <v>3405</v>
      </c>
      <c r="BV131" s="1">
        <v>3410</v>
      </c>
      <c r="BW131" s="1">
        <v>3340</v>
      </c>
      <c r="BX131" s="1">
        <v>3270</v>
      </c>
      <c r="BY131" s="1">
        <v>3140</v>
      </c>
      <c r="BZ131" s="1">
        <v>3250</v>
      </c>
    </row>
    <row r="132" spans="1:78" ht="15.9" customHeight="1">
      <c r="A132" s="65" t="s">
        <v>259</v>
      </c>
      <c r="B132" s="25" t="s">
        <v>260</v>
      </c>
      <c r="C132" s="39">
        <f>_xll.RssMarket("6227","高値")</f>
        <v>7600</v>
      </c>
      <c r="D132" s="38">
        <f t="shared" si="3"/>
        <v>760</v>
      </c>
      <c r="E132" s="34">
        <v>6840</v>
      </c>
      <c r="F132" s="34">
        <v>6740</v>
      </c>
      <c r="G132" s="29">
        <v>6670</v>
      </c>
      <c r="H132" s="29">
        <v>5940</v>
      </c>
      <c r="I132" s="29">
        <v>6140</v>
      </c>
      <c r="J132" s="29">
        <v>6430</v>
      </c>
      <c r="K132" s="29">
        <v>7110</v>
      </c>
      <c r="L132" s="29"/>
      <c r="M132" s="29">
        <v>7630</v>
      </c>
      <c r="N132" s="29">
        <v>7280</v>
      </c>
      <c r="O132" s="29">
        <v>7060</v>
      </c>
      <c r="P132" s="29">
        <v>7200</v>
      </c>
      <c r="Q132" s="29">
        <v>8150</v>
      </c>
      <c r="R132" s="29">
        <v>8200</v>
      </c>
      <c r="S132" s="29">
        <v>7790</v>
      </c>
      <c r="T132" s="29">
        <v>6790</v>
      </c>
      <c r="U132" s="29">
        <v>5900</v>
      </c>
      <c r="V132" s="29">
        <v>5930</v>
      </c>
      <c r="W132" s="29">
        <v>6830</v>
      </c>
      <c r="X132" s="29">
        <v>7040</v>
      </c>
      <c r="Y132" s="29">
        <v>6950</v>
      </c>
      <c r="Z132" s="29">
        <v>7200</v>
      </c>
      <c r="AA132" s="29">
        <v>7920</v>
      </c>
      <c r="AB132" s="29">
        <v>7020</v>
      </c>
      <c r="AC132" s="29">
        <v>6760</v>
      </c>
      <c r="AD132" s="29">
        <v>7260</v>
      </c>
      <c r="AE132" s="29">
        <v>7850</v>
      </c>
      <c r="AF132" s="29">
        <v>7620</v>
      </c>
      <c r="AG132" s="29">
        <v>7880</v>
      </c>
      <c r="AH132" s="29">
        <v>7970</v>
      </c>
      <c r="AI132" s="29">
        <v>7740</v>
      </c>
      <c r="AJ132" s="29">
        <v>8390</v>
      </c>
      <c r="AK132" s="29">
        <v>8830</v>
      </c>
      <c r="AL132" s="29">
        <v>8490</v>
      </c>
      <c r="AM132" s="29">
        <v>9190</v>
      </c>
      <c r="AN132" s="29">
        <v>7850</v>
      </c>
      <c r="AO132" s="29">
        <v>7080</v>
      </c>
      <c r="AP132" s="29">
        <v>7620</v>
      </c>
      <c r="AQ132" s="29">
        <v>7440</v>
      </c>
      <c r="AR132" s="29">
        <v>7490</v>
      </c>
      <c r="AS132" s="29">
        <v>6750</v>
      </c>
      <c r="AT132" s="29">
        <v>6410</v>
      </c>
      <c r="AU132" s="29">
        <v>6300</v>
      </c>
      <c r="AV132" s="29">
        <v>5790</v>
      </c>
      <c r="AW132" s="29">
        <v>5650</v>
      </c>
      <c r="AX132" s="29">
        <v>6280</v>
      </c>
      <c r="AY132" s="29">
        <v>6470</v>
      </c>
      <c r="AZ132" s="29">
        <v>6230</v>
      </c>
      <c r="BA132" s="29">
        <v>7160</v>
      </c>
      <c r="BB132" s="29">
        <v>7170</v>
      </c>
      <c r="BC132" s="29">
        <v>7310</v>
      </c>
      <c r="BD132" s="29">
        <v>7250</v>
      </c>
      <c r="BE132" s="29">
        <v>6930</v>
      </c>
      <c r="BF132" s="29">
        <v>7150</v>
      </c>
      <c r="BG132" s="29">
        <v>6780</v>
      </c>
      <c r="BH132" s="29">
        <v>7220</v>
      </c>
      <c r="BI132" s="29">
        <v>6940</v>
      </c>
      <c r="BJ132" s="29">
        <v>6840</v>
      </c>
      <c r="BK132" s="29">
        <v>6920</v>
      </c>
      <c r="BL132" s="30">
        <v>6330</v>
      </c>
      <c r="BM132" s="1">
        <v>6560</v>
      </c>
      <c r="BN132" s="1">
        <v>6530</v>
      </c>
      <c r="BO132" s="1">
        <v>6690</v>
      </c>
      <c r="BP132" s="1">
        <v>6700</v>
      </c>
      <c r="BQ132" s="1">
        <v>7060</v>
      </c>
      <c r="BR132" s="1">
        <v>7190</v>
      </c>
      <c r="BS132" s="1">
        <v>7610</v>
      </c>
      <c r="BT132" s="1">
        <v>8290</v>
      </c>
      <c r="BU132" s="1">
        <v>8220</v>
      </c>
      <c r="BV132" s="1">
        <v>8680</v>
      </c>
      <c r="BW132" s="1">
        <v>8800</v>
      </c>
      <c r="BX132" s="1">
        <v>7700</v>
      </c>
      <c r="BY132" s="1">
        <v>6780</v>
      </c>
      <c r="BZ132" s="1">
        <v>6270</v>
      </c>
    </row>
    <row r="133" spans="1:78" ht="15.9" customHeight="1">
      <c r="A133" s="65" t="s">
        <v>261</v>
      </c>
      <c r="B133" s="25" t="s">
        <v>262</v>
      </c>
      <c r="C133" s="39">
        <f>_xll.RssMarket("6327","高値")</f>
        <v>3500</v>
      </c>
      <c r="D133" s="38">
        <f t="shared" si="3"/>
        <v>365</v>
      </c>
      <c r="E133" s="34">
        <v>3135</v>
      </c>
      <c r="F133" s="34">
        <v>3000</v>
      </c>
      <c r="G133" s="29">
        <v>3295</v>
      </c>
      <c r="H133" s="29">
        <v>3170</v>
      </c>
      <c r="I133" s="29">
        <v>3035</v>
      </c>
      <c r="J133" s="29">
        <v>3450</v>
      </c>
      <c r="K133" s="29">
        <v>3840</v>
      </c>
      <c r="L133" s="29"/>
      <c r="M133" s="29">
        <v>4200</v>
      </c>
      <c r="N133" s="29">
        <v>4670</v>
      </c>
      <c r="O133" s="29">
        <v>4115</v>
      </c>
      <c r="P133" s="29">
        <v>4170</v>
      </c>
      <c r="Q133" s="29">
        <v>5680</v>
      </c>
      <c r="R133" s="29">
        <v>5320</v>
      </c>
      <c r="S133" s="29">
        <v>6360</v>
      </c>
      <c r="T133" s="29">
        <v>6130</v>
      </c>
      <c r="U133" s="29">
        <v>5510</v>
      </c>
      <c r="V133" s="29">
        <v>5730</v>
      </c>
      <c r="W133" s="29">
        <v>6850</v>
      </c>
      <c r="X133" s="29">
        <v>8200</v>
      </c>
      <c r="Y133" s="29">
        <v>8210</v>
      </c>
      <c r="Z133" s="29">
        <v>9480</v>
      </c>
      <c r="AA133" s="29">
        <v>9350</v>
      </c>
      <c r="AB133" s="29">
        <v>7900</v>
      </c>
      <c r="AC133" s="29">
        <v>6970</v>
      </c>
      <c r="AD133" s="29">
        <v>7190</v>
      </c>
      <c r="AE133" s="29">
        <v>6660</v>
      </c>
      <c r="AF133" s="29">
        <v>6620</v>
      </c>
      <c r="AG133" s="29">
        <v>6800</v>
      </c>
      <c r="AH133" s="29">
        <v>6190</v>
      </c>
      <c r="AI133" s="29">
        <v>7150</v>
      </c>
      <c r="AJ133" s="29">
        <v>6150</v>
      </c>
      <c r="AK133" s="29">
        <v>5150</v>
      </c>
      <c r="AL133" s="29">
        <v>4445</v>
      </c>
      <c r="AM133" s="29">
        <v>3745</v>
      </c>
      <c r="AN133" s="29">
        <v>3400</v>
      </c>
      <c r="AO133" s="29">
        <v>3225</v>
      </c>
      <c r="AP133" s="29">
        <v>3400</v>
      </c>
      <c r="AQ133" s="29">
        <v>3720</v>
      </c>
      <c r="AR133" s="29">
        <v>4090</v>
      </c>
      <c r="AS133" s="29">
        <v>4220</v>
      </c>
      <c r="AT133" s="29">
        <v>5580</v>
      </c>
      <c r="AU133" s="29">
        <v>5230</v>
      </c>
      <c r="AV133" s="29">
        <v>6000</v>
      </c>
      <c r="AW133" s="29">
        <v>5000</v>
      </c>
      <c r="AX133" s="29">
        <v>4300</v>
      </c>
      <c r="AY133" s="29">
        <v>3415</v>
      </c>
      <c r="AZ133" s="29">
        <v>2914</v>
      </c>
      <c r="BA133" s="29">
        <v>2484</v>
      </c>
      <c r="BB133" s="29">
        <v>2375</v>
      </c>
      <c r="BC133" s="29">
        <v>2622</v>
      </c>
      <c r="BD133" s="29">
        <v>2657</v>
      </c>
      <c r="BE133" s="29">
        <v>2716</v>
      </c>
      <c r="BF133" s="29">
        <v>2800</v>
      </c>
      <c r="BG133" s="29">
        <v>2889</v>
      </c>
      <c r="BH133" s="29">
        <v>3460</v>
      </c>
      <c r="BI133" s="29">
        <v>3595</v>
      </c>
      <c r="BJ133" s="29">
        <v>3620</v>
      </c>
      <c r="BK133" s="29">
        <v>3400</v>
      </c>
      <c r="BL133" s="30">
        <v>2971</v>
      </c>
      <c r="BM133" s="1">
        <v>3090</v>
      </c>
      <c r="BN133" s="1">
        <v>2685</v>
      </c>
      <c r="BO133" s="1">
        <v>2185</v>
      </c>
      <c r="BP133" s="1">
        <v>2118</v>
      </c>
      <c r="BQ133" s="1">
        <v>2176</v>
      </c>
      <c r="BR133" s="1">
        <v>2240</v>
      </c>
      <c r="BS133" s="1">
        <v>2250</v>
      </c>
      <c r="BT133" s="1">
        <v>2120</v>
      </c>
      <c r="BU133" s="1">
        <v>2141</v>
      </c>
      <c r="BV133" s="1">
        <v>2128</v>
      </c>
      <c r="BW133" s="1">
        <v>2160</v>
      </c>
      <c r="BX133" s="1">
        <v>2107</v>
      </c>
      <c r="BY133" s="1">
        <v>2025</v>
      </c>
      <c r="BZ133" s="1">
        <v>1998</v>
      </c>
    </row>
    <row r="134" spans="1:78" ht="15.9" customHeight="1">
      <c r="A134" s="65" t="s">
        <v>263</v>
      </c>
      <c r="B134" s="25" t="s">
        <v>264</v>
      </c>
      <c r="C134" s="39">
        <f>_xll.RssMarket("3110","高値")</f>
        <v>3610</v>
      </c>
      <c r="D134" s="38">
        <f t="shared" ref="D134:D141" si="4">C134-E134</f>
        <v>3610</v>
      </c>
      <c r="E134" s="34"/>
      <c r="F134" s="34"/>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78" ht="15.9" customHeight="1">
      <c r="A135" s="65" t="s">
        <v>265</v>
      </c>
      <c r="B135" s="25" t="s">
        <v>266</v>
      </c>
      <c r="C135" s="39">
        <f>_xll.RssMarket("6232","高値")</f>
        <v>1840</v>
      </c>
      <c r="D135" s="38">
        <f t="shared" si="4"/>
        <v>-1295</v>
      </c>
      <c r="E135" s="34">
        <v>3135</v>
      </c>
      <c r="F135" s="34">
        <v>3000</v>
      </c>
      <c r="G135" s="29">
        <v>3295</v>
      </c>
      <c r="H135" s="29">
        <v>3170</v>
      </c>
      <c r="I135" s="29">
        <v>3035</v>
      </c>
      <c r="J135" s="29">
        <v>3450</v>
      </c>
      <c r="K135" s="29">
        <v>3840</v>
      </c>
      <c r="L135" s="29">
        <v>1789</v>
      </c>
      <c r="M135" s="29">
        <v>4200</v>
      </c>
      <c r="N135" s="29">
        <v>4670</v>
      </c>
      <c r="O135" s="29">
        <v>4115</v>
      </c>
      <c r="P135" s="29">
        <v>4170</v>
      </c>
      <c r="Q135" s="29">
        <v>5680</v>
      </c>
      <c r="R135" s="29">
        <v>5320</v>
      </c>
      <c r="S135" s="29">
        <v>6360</v>
      </c>
      <c r="T135" s="29">
        <v>6130</v>
      </c>
      <c r="U135" s="29">
        <v>5510</v>
      </c>
      <c r="V135" s="29">
        <v>5730</v>
      </c>
      <c r="W135" s="29">
        <v>6850</v>
      </c>
      <c r="X135" s="29">
        <v>8200</v>
      </c>
      <c r="Y135" s="29">
        <v>8210</v>
      </c>
      <c r="Z135" s="29">
        <v>9480</v>
      </c>
      <c r="AA135" s="29">
        <v>9350</v>
      </c>
      <c r="AB135" s="29">
        <v>7900</v>
      </c>
      <c r="AC135" s="29">
        <v>6970</v>
      </c>
      <c r="AD135" s="29">
        <v>7190</v>
      </c>
      <c r="AE135" s="29">
        <v>6660</v>
      </c>
      <c r="AF135" s="29">
        <v>6620</v>
      </c>
      <c r="AG135" s="29">
        <v>6800</v>
      </c>
      <c r="AH135" s="29">
        <v>6190</v>
      </c>
      <c r="AI135" s="29">
        <v>7150</v>
      </c>
      <c r="AJ135" s="29">
        <v>6150</v>
      </c>
      <c r="AK135" s="29">
        <v>5150</v>
      </c>
      <c r="AL135" s="29">
        <v>4445</v>
      </c>
      <c r="AM135" s="29">
        <v>3745</v>
      </c>
      <c r="AN135" s="29">
        <v>3400</v>
      </c>
      <c r="AO135" s="29">
        <v>3225</v>
      </c>
      <c r="AP135" s="29">
        <v>3400</v>
      </c>
      <c r="AQ135" s="29">
        <v>3720</v>
      </c>
      <c r="AR135" s="29">
        <v>4090</v>
      </c>
      <c r="AS135" s="29">
        <v>4220</v>
      </c>
      <c r="AT135" s="29">
        <v>5580</v>
      </c>
      <c r="AU135" s="29">
        <v>5230</v>
      </c>
      <c r="AV135" s="29">
        <v>6000</v>
      </c>
      <c r="AW135" s="29">
        <v>5000</v>
      </c>
      <c r="AX135" s="29">
        <v>4300</v>
      </c>
      <c r="AY135" s="29">
        <v>3415</v>
      </c>
      <c r="AZ135" s="29">
        <v>2914</v>
      </c>
      <c r="BA135" s="29">
        <v>2484</v>
      </c>
      <c r="BB135" s="29">
        <v>2375</v>
      </c>
      <c r="BC135" s="29">
        <v>2622</v>
      </c>
      <c r="BD135" s="29">
        <v>2657</v>
      </c>
      <c r="BE135" s="29">
        <v>2716</v>
      </c>
      <c r="BF135" s="29">
        <v>2800</v>
      </c>
      <c r="BG135" s="29">
        <v>2889</v>
      </c>
      <c r="BH135" s="29">
        <v>3460</v>
      </c>
      <c r="BI135" s="29">
        <v>3595</v>
      </c>
      <c r="BJ135" s="29">
        <v>3620</v>
      </c>
      <c r="BK135" s="29">
        <v>3400</v>
      </c>
      <c r="BL135" s="30">
        <v>2971</v>
      </c>
      <c r="BM135" s="1">
        <v>3090</v>
      </c>
      <c r="BN135" s="1">
        <v>2685</v>
      </c>
      <c r="BO135" s="1">
        <v>2185</v>
      </c>
      <c r="BP135" s="1">
        <v>2118</v>
      </c>
      <c r="BQ135" s="1">
        <v>2176</v>
      </c>
      <c r="BR135" s="1">
        <v>2240</v>
      </c>
      <c r="BS135" s="1">
        <v>2250</v>
      </c>
      <c r="BT135" s="1">
        <v>2120</v>
      </c>
      <c r="BU135" s="1">
        <v>2141</v>
      </c>
      <c r="BV135" s="1">
        <v>2128</v>
      </c>
      <c r="BW135" s="1">
        <v>2160</v>
      </c>
      <c r="BX135" s="1">
        <v>2107</v>
      </c>
      <c r="BY135" s="1">
        <v>2025</v>
      </c>
      <c r="BZ135" s="1">
        <v>1998</v>
      </c>
    </row>
    <row r="136" spans="1:78" ht="15.9" customHeight="1">
      <c r="A136" s="65" t="s">
        <v>267</v>
      </c>
      <c r="B136" s="25" t="s">
        <v>268</v>
      </c>
      <c r="C136" s="39">
        <f>_xll.RssMarket("7794","高値")</f>
        <v>908</v>
      </c>
      <c r="D136" s="38">
        <f t="shared" si="4"/>
        <v>22</v>
      </c>
      <c r="E136" s="34">
        <v>886</v>
      </c>
      <c r="F136" s="34">
        <v>872</v>
      </c>
      <c r="G136" s="29">
        <v>877</v>
      </c>
      <c r="H136" s="29">
        <v>852</v>
      </c>
      <c r="I136" s="29">
        <v>880</v>
      </c>
      <c r="J136" s="29">
        <v>935</v>
      </c>
      <c r="K136" s="29">
        <v>943</v>
      </c>
      <c r="L136" s="29"/>
      <c r="M136" s="29">
        <v>969</v>
      </c>
      <c r="N136" s="29">
        <v>959</v>
      </c>
      <c r="O136" s="29">
        <v>945</v>
      </c>
      <c r="P136" s="29">
        <v>932</v>
      </c>
      <c r="Q136" s="29">
        <v>1036</v>
      </c>
      <c r="R136" s="29">
        <v>1059</v>
      </c>
      <c r="S136" s="29">
        <v>1076</v>
      </c>
      <c r="T136" s="29">
        <v>1084</v>
      </c>
      <c r="U136" s="29">
        <v>1103</v>
      </c>
      <c r="V136" s="29">
        <v>1106</v>
      </c>
      <c r="W136" s="29">
        <v>1174</v>
      </c>
      <c r="X136" s="29">
        <v>1251</v>
      </c>
      <c r="Y136" s="29">
        <v>1229</v>
      </c>
      <c r="Z136" s="29">
        <v>1245</v>
      </c>
      <c r="AA136" s="29">
        <v>1251</v>
      </c>
      <c r="AB136" s="29">
        <v>1258</v>
      </c>
      <c r="AC136" s="29">
        <v>1170</v>
      </c>
      <c r="AD136" s="29">
        <v>1049</v>
      </c>
      <c r="AE136" s="29">
        <v>1088</v>
      </c>
      <c r="AF136" s="29">
        <v>1115</v>
      </c>
      <c r="AG136" s="29">
        <v>1208</v>
      </c>
      <c r="AH136" s="29">
        <v>1209</v>
      </c>
      <c r="AI136" s="29">
        <v>1130</v>
      </c>
      <c r="AJ136" s="29">
        <v>1112</v>
      </c>
      <c r="AK136" s="29">
        <v>1098</v>
      </c>
      <c r="AL136" s="29">
        <v>1095</v>
      </c>
      <c r="AM136" s="29">
        <v>1144</v>
      </c>
      <c r="AN136" s="29">
        <v>1114</v>
      </c>
      <c r="AO136" s="29">
        <v>1090</v>
      </c>
      <c r="AP136" s="29">
        <v>1118</v>
      </c>
      <c r="AQ136" s="29">
        <v>1155</v>
      </c>
      <c r="AR136" s="29">
        <v>1113</v>
      </c>
      <c r="AS136" s="29">
        <v>1071</v>
      </c>
      <c r="AT136" s="29">
        <v>1130</v>
      </c>
      <c r="AU136" s="29">
        <v>1160</v>
      </c>
      <c r="AV136" s="29">
        <v>1250</v>
      </c>
      <c r="AW136" s="29">
        <v>1394</v>
      </c>
      <c r="AX136" s="29">
        <v>1137</v>
      </c>
      <c r="AY136" s="29">
        <v>1184</v>
      </c>
      <c r="AZ136" s="29">
        <v>1148</v>
      </c>
      <c r="BA136" s="29">
        <v>1103</v>
      </c>
      <c r="BB136" s="29">
        <v>1122</v>
      </c>
      <c r="BC136" s="29">
        <v>1158</v>
      </c>
      <c r="BD136" s="29">
        <v>1165</v>
      </c>
      <c r="BE136" s="29">
        <v>1170</v>
      </c>
      <c r="BF136" s="29">
        <v>1240</v>
      </c>
      <c r="BG136" s="29">
        <v>1364</v>
      </c>
      <c r="BH136" s="29">
        <v>1408</v>
      </c>
      <c r="BI136" s="29">
        <v>1475</v>
      </c>
      <c r="BJ136" s="29">
        <v>1387</v>
      </c>
      <c r="BK136" s="29">
        <v>1342</v>
      </c>
      <c r="BL136" s="30">
        <v>1350</v>
      </c>
      <c r="BM136" s="1">
        <v>1388</v>
      </c>
      <c r="BN136" s="1">
        <v>1344</v>
      </c>
      <c r="BO136" s="1">
        <v>1429</v>
      </c>
      <c r="BP136" s="1">
        <v>1520</v>
      </c>
      <c r="BQ136" s="1">
        <v>1516</v>
      </c>
      <c r="BR136" s="1">
        <v>1678</v>
      </c>
      <c r="BS136" s="1">
        <v>1621</v>
      </c>
      <c r="BT136" s="1">
        <v>1584</v>
      </c>
      <c r="BU136" s="1">
        <v>1287</v>
      </c>
      <c r="BV136" s="1">
        <v>1245</v>
      </c>
      <c r="BW136" s="1">
        <v>1236</v>
      </c>
      <c r="BX136" s="1">
        <v>1227</v>
      </c>
      <c r="BY136" s="1">
        <v>1216</v>
      </c>
      <c r="BZ136" s="1">
        <v>1230</v>
      </c>
    </row>
    <row r="137" spans="1:78" ht="15.9" customHeight="1">
      <c r="A137" s="65" t="s">
        <v>269</v>
      </c>
      <c r="B137" s="25" t="s">
        <v>270</v>
      </c>
      <c r="C137" s="39">
        <f>_xll.RssMarket("6085","高値")</f>
        <v>81</v>
      </c>
      <c r="D137" s="38">
        <f t="shared" si="4"/>
        <v>1</v>
      </c>
      <c r="E137" s="34">
        <v>80</v>
      </c>
      <c r="F137" s="34">
        <v>87</v>
      </c>
      <c r="G137" s="29">
        <v>100</v>
      </c>
      <c r="H137" s="29">
        <v>95</v>
      </c>
      <c r="I137" s="29">
        <v>98</v>
      </c>
      <c r="J137" s="29">
        <v>110</v>
      </c>
      <c r="K137" s="29">
        <v>123</v>
      </c>
      <c r="L137" s="29"/>
      <c r="M137" s="29">
        <v>129</v>
      </c>
      <c r="N137" s="29">
        <v>174</v>
      </c>
      <c r="O137" s="29">
        <v>186</v>
      </c>
      <c r="P137" s="29">
        <v>168</v>
      </c>
      <c r="Q137" s="29">
        <v>215</v>
      </c>
      <c r="R137" s="29">
        <v>211</v>
      </c>
      <c r="S137" s="29">
        <v>230</v>
      </c>
      <c r="T137" s="29">
        <v>231</v>
      </c>
      <c r="U137" s="29">
        <v>235</v>
      </c>
      <c r="V137" s="29">
        <v>266</v>
      </c>
      <c r="W137" s="29">
        <v>277</v>
      </c>
      <c r="X137" s="29">
        <v>254</v>
      </c>
      <c r="Y137" s="29">
        <v>238</v>
      </c>
      <c r="Z137" s="29">
        <v>255</v>
      </c>
      <c r="AA137" s="29">
        <v>268</v>
      </c>
      <c r="AB137" s="29">
        <v>285</v>
      </c>
      <c r="AC137" s="29">
        <v>312</v>
      </c>
      <c r="AD137" s="29">
        <v>304</v>
      </c>
      <c r="AE137" s="29">
        <v>304</v>
      </c>
      <c r="AF137" s="29">
        <v>318</v>
      </c>
      <c r="AG137" s="29">
        <v>361</v>
      </c>
      <c r="AH137" s="29">
        <v>382</v>
      </c>
      <c r="AI137" s="29">
        <v>331</v>
      </c>
      <c r="AJ137" s="29">
        <v>350</v>
      </c>
      <c r="AK137" s="29">
        <v>327</v>
      </c>
      <c r="AL137" s="29">
        <v>320</v>
      </c>
      <c r="AM137" s="29">
        <v>361</v>
      </c>
      <c r="AN137" s="29">
        <v>424</v>
      </c>
      <c r="AO137" s="29">
        <v>413</v>
      </c>
      <c r="AP137" s="29">
        <v>450</v>
      </c>
      <c r="AQ137" s="29">
        <v>329</v>
      </c>
      <c r="AR137" s="29">
        <v>323</v>
      </c>
      <c r="AS137" s="29">
        <v>267</v>
      </c>
      <c r="AT137" s="29">
        <v>275</v>
      </c>
      <c r="AU137" s="29">
        <v>380</v>
      </c>
      <c r="AV137" s="29">
        <v>347</v>
      </c>
      <c r="AW137" s="29">
        <v>434</v>
      </c>
      <c r="AX137" s="29">
        <v>514</v>
      </c>
      <c r="AY137" s="29">
        <v>544</v>
      </c>
      <c r="AZ137" s="29">
        <v>488</v>
      </c>
      <c r="BA137" s="29">
        <v>472</v>
      </c>
      <c r="BB137" s="29">
        <v>463</v>
      </c>
      <c r="BC137" s="29">
        <v>584</v>
      </c>
      <c r="BD137" s="29">
        <v>585</v>
      </c>
      <c r="BE137" s="29">
        <v>536</v>
      </c>
      <c r="BF137" s="29">
        <v>562</v>
      </c>
      <c r="BG137" s="29">
        <v>541</v>
      </c>
      <c r="BH137" s="29">
        <v>586</v>
      </c>
      <c r="BI137" s="29">
        <v>604</v>
      </c>
      <c r="BJ137" s="29">
        <v>647</v>
      </c>
      <c r="BK137" s="29">
        <v>615</v>
      </c>
      <c r="BL137" s="30">
        <v>648</v>
      </c>
      <c r="BM137" s="1">
        <v>720</v>
      </c>
      <c r="BN137" s="1">
        <v>640</v>
      </c>
      <c r="BO137" s="1">
        <v>609</v>
      </c>
      <c r="BP137" s="1">
        <v>521</v>
      </c>
      <c r="BQ137" s="1">
        <v>480</v>
      </c>
      <c r="BR137" s="1">
        <v>460</v>
      </c>
      <c r="BS137" s="1">
        <v>399</v>
      </c>
      <c r="BT137" s="1">
        <v>399</v>
      </c>
      <c r="BU137" s="1">
        <v>372</v>
      </c>
      <c r="BV137" s="1">
        <v>336.5</v>
      </c>
      <c r="BW137" s="1">
        <v>300</v>
      </c>
      <c r="BX137" s="1">
        <v>320</v>
      </c>
      <c r="BY137" s="1">
        <v>314.5</v>
      </c>
      <c r="BZ137" s="1">
        <v>275</v>
      </c>
    </row>
    <row r="138" spans="1:78" ht="15.9" customHeight="1">
      <c r="A138" s="65" t="s">
        <v>271</v>
      </c>
      <c r="B138" s="25" t="s">
        <v>272</v>
      </c>
      <c r="C138" s="39">
        <f>_xll.RssMarket("3103","高値")</f>
        <v>1025</v>
      </c>
      <c r="D138" s="38">
        <f t="shared" si="4"/>
        <v>126</v>
      </c>
      <c r="E138" s="34">
        <v>899</v>
      </c>
      <c r="F138" s="34">
        <v>844</v>
      </c>
      <c r="G138" s="29">
        <v>865</v>
      </c>
      <c r="H138" s="29">
        <v>798</v>
      </c>
      <c r="I138" s="29">
        <v>837</v>
      </c>
      <c r="J138" s="29">
        <v>852</v>
      </c>
      <c r="K138" s="29">
        <v>859</v>
      </c>
      <c r="L138" s="29">
        <v>851</v>
      </c>
      <c r="M138" s="29">
        <v>914</v>
      </c>
      <c r="N138" s="29">
        <v>935</v>
      </c>
      <c r="O138" s="29">
        <v>896</v>
      </c>
      <c r="P138" s="29">
        <v>935</v>
      </c>
      <c r="Q138" s="29">
        <v>982</v>
      </c>
      <c r="R138" s="29">
        <v>917</v>
      </c>
      <c r="S138" s="29">
        <v>960</v>
      </c>
      <c r="T138" s="29">
        <v>963</v>
      </c>
      <c r="U138" s="29">
        <v>950</v>
      </c>
      <c r="V138" s="29">
        <v>989</v>
      </c>
      <c r="W138" s="29">
        <v>1067</v>
      </c>
      <c r="X138" s="29">
        <v>1046</v>
      </c>
      <c r="Y138" s="29">
        <v>1034</v>
      </c>
      <c r="Z138" s="29">
        <v>1020</v>
      </c>
      <c r="AA138" s="29">
        <v>1041</v>
      </c>
      <c r="AB138" s="29">
        <v>1055</v>
      </c>
      <c r="AC138" s="29">
        <v>1065</v>
      </c>
      <c r="AD138" s="29">
        <v>1082</v>
      </c>
      <c r="AE138" s="29">
        <v>1088</v>
      </c>
      <c r="AF138" s="29">
        <v>1133</v>
      </c>
      <c r="AG138" s="29">
        <v>1225</v>
      </c>
      <c r="AH138" s="29">
        <v>1329</v>
      </c>
      <c r="AI138" s="29">
        <v>1156</v>
      </c>
      <c r="AJ138" s="29">
        <v>1298</v>
      </c>
      <c r="AK138" s="29">
        <v>1260</v>
      </c>
      <c r="AL138" s="29">
        <v>1183</v>
      </c>
      <c r="AM138" s="29">
        <v>1212</v>
      </c>
      <c r="AN138" s="29">
        <v>1154</v>
      </c>
      <c r="AO138" s="29">
        <v>1197</v>
      </c>
      <c r="AP138" s="29">
        <v>1269</v>
      </c>
      <c r="AQ138" s="29">
        <v>1240</v>
      </c>
      <c r="AR138" s="29">
        <v>1273</v>
      </c>
      <c r="AS138" s="29">
        <v>1258</v>
      </c>
      <c r="AT138" s="29">
        <v>1320</v>
      </c>
      <c r="AU138" s="29">
        <v>1317</v>
      </c>
      <c r="AV138" s="29">
        <v>1411</v>
      </c>
      <c r="AW138" s="29">
        <v>1453</v>
      </c>
      <c r="AX138" s="29">
        <v>1710</v>
      </c>
      <c r="AY138" s="29">
        <v>1858</v>
      </c>
      <c r="AZ138" s="29">
        <v>1574</v>
      </c>
      <c r="BA138" s="29">
        <v>1370</v>
      </c>
      <c r="BB138" s="29">
        <v>1424</v>
      </c>
      <c r="BC138" s="29">
        <v>1520</v>
      </c>
      <c r="BD138" s="29">
        <v>1630</v>
      </c>
      <c r="BE138" s="29">
        <v>1415</v>
      </c>
      <c r="BF138" s="29">
        <v>2448</v>
      </c>
      <c r="BG138" s="29">
        <v>2419</v>
      </c>
      <c r="BH138" s="29">
        <v>2407</v>
      </c>
      <c r="BI138" s="29">
        <v>2583</v>
      </c>
      <c r="BJ138" s="29">
        <v>2667</v>
      </c>
      <c r="BK138" s="29">
        <v>2549</v>
      </c>
      <c r="BL138" s="30">
        <v>2610</v>
      </c>
      <c r="BM138" s="1">
        <v>2588</v>
      </c>
      <c r="BN138" s="1">
        <v>2737</v>
      </c>
      <c r="BO138" s="1">
        <v>2692</v>
      </c>
      <c r="BP138" s="1">
        <v>2959</v>
      </c>
      <c r="BQ138" s="1">
        <v>3335</v>
      </c>
      <c r="BR138" s="1">
        <v>3400</v>
      </c>
      <c r="BS138" s="1">
        <v>4380</v>
      </c>
      <c r="BT138" s="1">
        <v>3785</v>
      </c>
      <c r="BU138" s="1">
        <v>3085</v>
      </c>
      <c r="BV138" s="1">
        <v>2581</v>
      </c>
      <c r="BW138" s="1">
        <v>2535</v>
      </c>
      <c r="BX138" s="1">
        <v>2163</v>
      </c>
      <c r="BY138" s="1">
        <v>1763</v>
      </c>
      <c r="BZ138" s="1">
        <v>1463</v>
      </c>
    </row>
    <row r="139" spans="1:78" ht="15.9" customHeight="1">
      <c r="A139" s="65" t="s">
        <v>273</v>
      </c>
      <c r="B139" s="25" t="s">
        <v>274</v>
      </c>
      <c r="C139" s="39">
        <f>_xll.RssMarket("4422","高値")</f>
        <v>572</v>
      </c>
      <c r="D139" s="38">
        <f t="shared" si="4"/>
        <v>5</v>
      </c>
      <c r="E139" s="34">
        <v>567</v>
      </c>
      <c r="F139" s="34">
        <v>535</v>
      </c>
      <c r="G139" s="29">
        <v>526</v>
      </c>
      <c r="H139" s="29">
        <v>493</v>
      </c>
      <c r="I139" s="29">
        <v>520</v>
      </c>
      <c r="J139" s="29">
        <v>539</v>
      </c>
      <c r="K139" s="29">
        <v>542</v>
      </c>
      <c r="L139" s="29">
        <v>535</v>
      </c>
      <c r="M139" s="29">
        <v>543</v>
      </c>
      <c r="N139" s="29">
        <v>548</v>
      </c>
      <c r="O139" s="29">
        <v>540</v>
      </c>
      <c r="P139" s="29">
        <v>554</v>
      </c>
      <c r="Q139" s="29">
        <v>572</v>
      </c>
      <c r="R139" s="29">
        <v>551</v>
      </c>
      <c r="S139" s="29">
        <v>592</v>
      </c>
      <c r="T139" s="29">
        <v>584</v>
      </c>
      <c r="U139" s="29">
        <v>596</v>
      </c>
      <c r="V139" s="29">
        <v>563</v>
      </c>
      <c r="W139" s="29">
        <v>615</v>
      </c>
      <c r="X139" s="29">
        <v>607</v>
      </c>
      <c r="Y139" s="29">
        <v>585</v>
      </c>
      <c r="Z139" s="29">
        <v>572</v>
      </c>
      <c r="AA139" s="29">
        <v>575</v>
      </c>
      <c r="AB139" s="29">
        <v>583</v>
      </c>
      <c r="AC139" s="29">
        <v>593</v>
      </c>
      <c r="AD139" s="29">
        <v>583</v>
      </c>
      <c r="AE139" s="29">
        <v>581</v>
      </c>
      <c r="AF139" s="29">
        <v>593</v>
      </c>
      <c r="AG139" s="29">
        <v>613</v>
      </c>
      <c r="AH139" s="29">
        <v>617</v>
      </c>
      <c r="AI139" s="29">
        <v>636</v>
      </c>
      <c r="AJ139" s="29">
        <v>632</v>
      </c>
      <c r="AK139" s="29">
        <v>703</v>
      </c>
      <c r="AL139" s="29">
        <v>651</v>
      </c>
      <c r="AM139" s="29">
        <v>678</v>
      </c>
      <c r="AN139" s="29">
        <v>738</v>
      </c>
      <c r="AO139" s="29">
        <v>803</v>
      </c>
      <c r="AP139" s="29">
        <v>795</v>
      </c>
      <c r="AQ139" s="29">
        <v>915</v>
      </c>
      <c r="AR139" s="29">
        <v>765</v>
      </c>
      <c r="AS139" s="29">
        <v>674</v>
      </c>
      <c r="AT139" s="29">
        <v>687</v>
      </c>
      <c r="AU139" s="29">
        <v>698</v>
      </c>
      <c r="AV139" s="29">
        <v>732</v>
      </c>
      <c r="AW139" s="29">
        <v>764</v>
      </c>
      <c r="AX139" s="29">
        <v>804</v>
      </c>
      <c r="AY139" s="29">
        <v>885</v>
      </c>
      <c r="AZ139" s="29">
        <v>806</v>
      </c>
      <c r="BA139" s="29">
        <v>832</v>
      </c>
      <c r="BB139" s="29">
        <v>807</v>
      </c>
      <c r="BC139" s="29">
        <v>869</v>
      </c>
      <c r="BD139" s="29">
        <v>873</v>
      </c>
      <c r="BE139" s="29">
        <v>903</v>
      </c>
      <c r="BF139" s="29">
        <v>952</v>
      </c>
      <c r="BG139" s="29">
        <v>1064</v>
      </c>
      <c r="BH139" s="29">
        <v>1082</v>
      </c>
      <c r="BI139" s="29">
        <v>1034</v>
      </c>
      <c r="BJ139" s="29">
        <v>1037</v>
      </c>
      <c r="BK139" s="29">
        <v>1062</v>
      </c>
      <c r="BL139" s="30">
        <v>1089</v>
      </c>
      <c r="BM139" s="1">
        <v>1196</v>
      </c>
      <c r="BN139" s="1">
        <v>1233</v>
      </c>
      <c r="BO139" s="1">
        <v>1397</v>
      </c>
      <c r="BP139" s="1">
        <v>1630</v>
      </c>
      <c r="BQ139" s="1">
        <v>1434</v>
      </c>
      <c r="BR139" s="1">
        <v>1277</v>
      </c>
      <c r="BS139" s="1">
        <v>1524</v>
      </c>
      <c r="BT139" s="1">
        <v>1599</v>
      </c>
      <c r="BU139" s="1">
        <v>1397</v>
      </c>
      <c r="BV139" s="1">
        <v>1097</v>
      </c>
      <c r="BW139" s="1">
        <v>1116</v>
      </c>
      <c r="BX139" s="1">
        <v>1243</v>
      </c>
      <c r="BY139" s="1">
        <v>1050</v>
      </c>
      <c r="BZ139" s="1">
        <v>999</v>
      </c>
    </row>
    <row r="140" spans="1:78" ht="15.9" customHeight="1">
      <c r="A140" s="65" t="s">
        <v>275</v>
      </c>
      <c r="B140" s="25" t="s">
        <v>276</v>
      </c>
      <c r="C140" s="39">
        <f>_xll.RssMarket("6740","高値")</f>
        <v>48</v>
      </c>
      <c r="D140" s="38">
        <f t="shared" si="4"/>
        <v>1</v>
      </c>
      <c r="E140" s="34">
        <v>47</v>
      </c>
      <c r="F140" s="34">
        <v>47</v>
      </c>
      <c r="G140" s="29">
        <v>48</v>
      </c>
      <c r="H140" s="29">
        <v>48</v>
      </c>
      <c r="I140" s="29">
        <v>47</v>
      </c>
      <c r="J140" s="29">
        <v>48</v>
      </c>
      <c r="K140" s="29">
        <v>49</v>
      </c>
      <c r="L140" s="29"/>
      <c r="M140" s="29">
        <v>48</v>
      </c>
      <c r="N140" s="29">
        <v>50</v>
      </c>
      <c r="O140" s="29">
        <v>49</v>
      </c>
      <c r="P140" s="29">
        <v>49</v>
      </c>
      <c r="Q140" s="29">
        <v>52</v>
      </c>
      <c r="R140" s="29">
        <v>53</v>
      </c>
      <c r="S140" s="29">
        <v>54</v>
      </c>
      <c r="T140" s="29">
        <v>55</v>
      </c>
      <c r="U140" s="29">
        <v>54</v>
      </c>
      <c r="V140" s="29">
        <v>54</v>
      </c>
      <c r="W140" s="29">
        <v>56</v>
      </c>
      <c r="X140" s="29">
        <v>59</v>
      </c>
      <c r="Y140" s="29">
        <v>54</v>
      </c>
      <c r="Z140" s="29">
        <v>55</v>
      </c>
      <c r="AA140" s="29">
        <v>57</v>
      </c>
      <c r="AB140" s="29">
        <v>61</v>
      </c>
      <c r="AC140" s="29">
        <v>61</v>
      </c>
      <c r="AD140" s="29">
        <v>61</v>
      </c>
      <c r="AE140" s="29">
        <v>76</v>
      </c>
      <c r="AF140" s="29">
        <v>60</v>
      </c>
      <c r="AG140" s="29">
        <v>55</v>
      </c>
      <c r="AH140" s="29">
        <v>62</v>
      </c>
      <c r="AI140" s="29">
        <v>55</v>
      </c>
      <c r="AJ140" s="29">
        <v>54</v>
      </c>
      <c r="AK140" s="29">
        <v>53</v>
      </c>
      <c r="AL140" s="29">
        <v>47</v>
      </c>
      <c r="AM140" s="29">
        <v>54</v>
      </c>
      <c r="AN140" s="29">
        <v>55</v>
      </c>
      <c r="AO140" s="29">
        <v>55</v>
      </c>
      <c r="AP140" s="29">
        <v>59</v>
      </c>
      <c r="AQ140" s="29">
        <v>55</v>
      </c>
      <c r="AR140" s="29">
        <v>57</v>
      </c>
      <c r="AS140" s="29">
        <v>55</v>
      </c>
      <c r="AT140" s="29">
        <v>56</v>
      </c>
      <c r="AU140" s="29">
        <v>57</v>
      </c>
      <c r="AV140" s="29">
        <v>60</v>
      </c>
      <c r="AW140" s="29">
        <v>56</v>
      </c>
      <c r="AX140" s="29">
        <v>59</v>
      </c>
      <c r="AY140" s="29">
        <v>69</v>
      </c>
      <c r="AZ140" s="29">
        <v>69</v>
      </c>
      <c r="BA140" s="29">
        <v>65</v>
      </c>
      <c r="BB140" s="29">
        <v>68</v>
      </c>
      <c r="BC140" s="29">
        <v>72</v>
      </c>
      <c r="BD140" s="29">
        <v>74</v>
      </c>
      <c r="BE140" s="29">
        <v>81</v>
      </c>
      <c r="BF140" s="29">
        <v>76</v>
      </c>
      <c r="BG140" s="29">
        <v>78</v>
      </c>
      <c r="BH140" s="29">
        <v>81</v>
      </c>
      <c r="BI140" s="29">
        <v>82</v>
      </c>
      <c r="BJ140" s="29">
        <v>86</v>
      </c>
      <c r="BK140" s="29">
        <v>92</v>
      </c>
      <c r="BL140" s="30">
        <v>102</v>
      </c>
      <c r="BM140" s="1">
        <v>124</v>
      </c>
      <c r="BN140" s="1">
        <v>96</v>
      </c>
      <c r="BO140" s="1">
        <v>101</v>
      </c>
      <c r="BP140" s="1">
        <v>102</v>
      </c>
      <c r="BQ140" s="1">
        <v>102</v>
      </c>
      <c r="BR140" s="1">
        <v>112</v>
      </c>
      <c r="BS140" s="1">
        <v>124</v>
      </c>
      <c r="BT140" s="1">
        <v>123</v>
      </c>
      <c r="BU140" s="1">
        <v>115</v>
      </c>
      <c r="BV140" s="1">
        <v>109</v>
      </c>
      <c r="BW140" s="1">
        <v>99</v>
      </c>
      <c r="BX140" s="1">
        <v>91</v>
      </c>
      <c r="BY140" s="1">
        <v>85</v>
      </c>
      <c r="BZ140" s="1">
        <v>94</v>
      </c>
    </row>
    <row r="141" spans="1:78" ht="15.9" customHeight="1">
      <c r="A141" s="65" t="s">
        <v>277</v>
      </c>
      <c r="B141" s="25" t="s">
        <v>278</v>
      </c>
      <c r="C141" s="39">
        <f>_xll.RssMarket("6613","高値")</f>
        <v>1920</v>
      </c>
      <c r="D141" s="38">
        <f t="shared" si="4"/>
        <v>292</v>
      </c>
      <c r="E141" s="34">
        <v>1628</v>
      </c>
      <c r="F141" s="34">
        <v>1536</v>
      </c>
      <c r="G141" s="29">
        <v>1601</v>
      </c>
      <c r="H141" s="29">
        <v>1373</v>
      </c>
      <c r="I141" s="29">
        <v>1406</v>
      </c>
      <c r="J141" s="29">
        <v>1497</v>
      </c>
      <c r="K141" s="29">
        <v>1653</v>
      </c>
      <c r="L141" s="29">
        <v>1764</v>
      </c>
      <c r="M141" s="29">
        <v>1845</v>
      </c>
      <c r="N141" s="29">
        <v>1801</v>
      </c>
      <c r="O141" s="29">
        <v>1727</v>
      </c>
      <c r="P141" s="29">
        <v>1766</v>
      </c>
      <c r="Q141" s="29">
        <v>2456</v>
      </c>
      <c r="R141" s="29">
        <v>2465</v>
      </c>
      <c r="S141" s="29">
        <v>2700</v>
      </c>
      <c r="T141" s="29">
        <v>2609</v>
      </c>
      <c r="U141" s="29">
        <v>2673</v>
      </c>
      <c r="V141" s="29">
        <v>2665</v>
      </c>
      <c r="W141" s="29">
        <v>2682</v>
      </c>
      <c r="X141" s="29">
        <v>2855</v>
      </c>
      <c r="Y141" s="29">
        <v>2650</v>
      </c>
      <c r="Z141" s="29">
        <v>2680</v>
      </c>
      <c r="AA141" s="29">
        <v>2916</v>
      </c>
      <c r="AB141" s="29">
        <v>2838</v>
      </c>
      <c r="AC141" s="29">
        <v>2839</v>
      </c>
      <c r="AD141" s="29">
        <v>3115</v>
      </c>
      <c r="AE141" s="29">
        <v>3255</v>
      </c>
      <c r="AF141" s="29">
        <v>2945</v>
      </c>
      <c r="AG141" s="29">
        <v>3530</v>
      </c>
      <c r="AH141" s="29">
        <v>3020</v>
      </c>
      <c r="AI141" s="29">
        <v>2648</v>
      </c>
      <c r="AJ141" s="29">
        <v>2588</v>
      </c>
      <c r="AK141" s="29">
        <v>2530</v>
      </c>
      <c r="AL141" s="29">
        <v>2838</v>
      </c>
      <c r="AM141" s="29">
        <v>2958</v>
      </c>
      <c r="AN141" s="29">
        <v>2737</v>
      </c>
      <c r="AO141" s="29">
        <v>2580</v>
      </c>
      <c r="AP141" s="29">
        <v>2594</v>
      </c>
      <c r="AQ141" s="29">
        <v>2570</v>
      </c>
      <c r="AR141" s="29">
        <v>2614</v>
      </c>
      <c r="AS141" s="29">
        <v>2650</v>
      </c>
      <c r="AT141" s="29">
        <v>2835</v>
      </c>
      <c r="AU141" s="29">
        <v>2923</v>
      </c>
      <c r="AV141" s="29">
        <v>2790</v>
      </c>
      <c r="AW141" s="29">
        <v>2820</v>
      </c>
      <c r="AX141" s="29">
        <v>3220</v>
      </c>
      <c r="AY141" s="29">
        <v>3620</v>
      </c>
      <c r="AZ141" s="29">
        <v>3100</v>
      </c>
      <c r="BA141" s="29">
        <v>3100</v>
      </c>
      <c r="BB141" s="29">
        <v>2868</v>
      </c>
      <c r="BC141" s="29">
        <v>2627</v>
      </c>
      <c r="BD141" s="29">
        <v>2127</v>
      </c>
      <c r="BE141" s="29">
        <v>1886</v>
      </c>
      <c r="BF141" s="29">
        <v>1667</v>
      </c>
      <c r="BG141" s="29">
        <v>1659</v>
      </c>
      <c r="BH141" s="29">
        <v>1775</v>
      </c>
      <c r="BI141" s="29">
        <v>2048</v>
      </c>
      <c r="BJ141" s="29">
        <v>1895</v>
      </c>
      <c r="BK141" s="29">
        <v>1610</v>
      </c>
      <c r="BL141" s="30">
        <v>1535</v>
      </c>
      <c r="BM141" s="1">
        <v>1503</v>
      </c>
      <c r="BN141" s="1">
        <v>1552</v>
      </c>
      <c r="BO141" s="1">
        <v>1550</v>
      </c>
      <c r="BP141" s="1">
        <v>1574</v>
      </c>
      <c r="BQ141" s="1">
        <v>1687</v>
      </c>
      <c r="BR141" s="1">
        <v>1596</v>
      </c>
      <c r="BS141" s="1">
        <v>1877</v>
      </c>
      <c r="BT141" s="1">
        <v>1585</v>
      </c>
      <c r="BU141" s="1">
        <v>1379</v>
      </c>
      <c r="BV141" s="1">
        <v>1447</v>
      </c>
      <c r="BW141" s="1">
        <v>1489</v>
      </c>
      <c r="BX141" s="1">
        <v>1485</v>
      </c>
      <c r="BY141" s="1">
        <v>1269</v>
      </c>
      <c r="BZ141" s="1">
        <v>1132</v>
      </c>
    </row>
    <row r="142" spans="1:78" ht="15.9" customHeight="1">
      <c r="A142" s="65" t="s">
        <v>279</v>
      </c>
      <c r="B142" s="25" t="str">
        <f>銘柄管理!C142</f>
        <v>第一三共</v>
      </c>
      <c r="C142" s="39">
        <f>_xll.RssMarket("4568","高値")</f>
        <v>2586.5</v>
      </c>
      <c r="D142" s="38"/>
      <c r="E142" s="34">
        <v>2581</v>
      </c>
      <c r="F142" s="34">
        <v>2625</v>
      </c>
      <c r="G142" s="29">
        <v>2775.5</v>
      </c>
      <c r="H142" s="29">
        <v>2905</v>
      </c>
      <c r="I142" s="29">
        <v>2905.5</v>
      </c>
      <c r="J142" s="29">
        <v>2912.5</v>
      </c>
      <c r="K142" s="29">
        <v>2840</v>
      </c>
      <c r="L142" s="29">
        <v>2819.5</v>
      </c>
      <c r="M142" s="29">
        <v>2782.5</v>
      </c>
      <c r="N142" s="29">
        <v>2810</v>
      </c>
      <c r="O142" s="29">
        <v>2874</v>
      </c>
      <c r="P142" s="29">
        <v>2802</v>
      </c>
      <c r="Q142" s="29">
        <v>2677</v>
      </c>
      <c r="R142" s="29">
        <v>2727</v>
      </c>
      <c r="S142" s="29">
        <v>2722.5</v>
      </c>
      <c r="T142" s="29">
        <v>2754.5</v>
      </c>
      <c r="U142" s="29">
        <v>2743</v>
      </c>
      <c r="V142" s="29">
        <v>2787.5</v>
      </c>
      <c r="W142" s="29">
        <v>2770</v>
      </c>
      <c r="X142" s="29">
        <v>2775</v>
      </c>
      <c r="Y142" s="29">
        <v>2722</v>
      </c>
      <c r="Z142" s="29">
        <v>2645</v>
      </c>
      <c r="AA142" s="29">
        <v>2607</v>
      </c>
      <c r="AB142" s="29">
        <v>2624</v>
      </c>
      <c r="AC142" s="29">
        <v>2662.5</v>
      </c>
      <c r="AD142" s="29">
        <v>2588</v>
      </c>
      <c r="AE142" s="29">
        <v>2567</v>
      </c>
      <c r="AF142" s="29">
        <v>2564</v>
      </c>
      <c r="AG142" s="29">
        <v>2534.5</v>
      </c>
      <c r="AH142" s="29">
        <v>2577</v>
      </c>
      <c r="AI142" s="29">
        <v>2662</v>
      </c>
      <c r="AJ142" s="29">
        <v>2706</v>
      </c>
      <c r="AK142" s="29">
        <v>2632</v>
      </c>
      <c r="AL142" s="29">
        <v>2546.5</v>
      </c>
      <c r="AM142" s="29">
        <v>2573.5</v>
      </c>
      <c r="AN142" s="29">
        <v>2524.5</v>
      </c>
      <c r="AO142" s="29">
        <v>2519.5</v>
      </c>
      <c r="AP142" s="29">
        <v>2510.5</v>
      </c>
      <c r="AQ142" s="29">
        <v>2540</v>
      </c>
      <c r="AR142" s="29">
        <v>2504</v>
      </c>
      <c r="AS142" s="29">
        <v>2453.5</v>
      </c>
      <c r="AT142" s="29">
        <v>2535</v>
      </c>
      <c r="AU142" s="29">
        <v>2635.5</v>
      </c>
      <c r="AV142" s="29">
        <v>2765.5</v>
      </c>
      <c r="AW142" s="29">
        <v>2753</v>
      </c>
      <c r="AX142" s="29">
        <v>2790</v>
      </c>
      <c r="AY142" s="29">
        <v>2773</v>
      </c>
      <c r="AZ142" s="29">
        <v>2680.5</v>
      </c>
      <c r="BA142" s="29">
        <v>2682.5</v>
      </c>
      <c r="BB142" s="29">
        <v>2636</v>
      </c>
      <c r="BC142" s="29">
        <v>2674</v>
      </c>
      <c r="BD142" s="29">
        <v>2646.5</v>
      </c>
      <c r="BE142" s="29">
        <v>2593.5</v>
      </c>
      <c r="BF142" s="29">
        <v>2672</v>
      </c>
      <c r="BG142" s="29">
        <v>2745.5</v>
      </c>
      <c r="BH142" s="29">
        <v>2758.5</v>
      </c>
      <c r="BI142" s="29">
        <v>2704</v>
      </c>
      <c r="BJ142" s="29">
        <v>2674.5</v>
      </c>
      <c r="BK142" s="29">
        <v>2621.5</v>
      </c>
      <c r="BL142" s="30">
        <v>2649.5</v>
      </c>
      <c r="BM142" s="1">
        <v>2692</v>
      </c>
      <c r="BN142" s="1">
        <v>2670</v>
      </c>
      <c r="BO142" s="1">
        <v>2629.5</v>
      </c>
      <c r="BP142" s="1">
        <v>2682</v>
      </c>
      <c r="BQ142" s="1">
        <v>2830</v>
      </c>
      <c r="BR142" s="1">
        <v>2890.5</v>
      </c>
      <c r="BS142" s="1">
        <v>2989.5</v>
      </c>
      <c r="BT142" s="1">
        <v>3016</v>
      </c>
      <c r="BU142" s="1">
        <v>2967.5</v>
      </c>
      <c r="BV142" s="1">
        <v>2949</v>
      </c>
      <c r="BW142" s="1">
        <v>2893</v>
      </c>
      <c r="BX142" s="1">
        <v>2761</v>
      </c>
      <c r="BY142" s="1">
        <v>2762</v>
      </c>
      <c r="BZ142" s="1">
        <v>2790.5</v>
      </c>
    </row>
    <row r="143" spans="1:78" ht="15.9" customHeight="1">
      <c r="A143" s="65" t="s">
        <v>280</v>
      </c>
      <c r="B143" s="25" t="s">
        <v>281</v>
      </c>
      <c r="C143" s="39">
        <f>_xll.RssMarket("6522","高値")</f>
        <v>1783</v>
      </c>
      <c r="D143" s="38">
        <f t="shared" ref="D143:D188" si="5">C143-E143</f>
        <v>-10</v>
      </c>
      <c r="E143" s="34">
        <v>1793</v>
      </c>
      <c r="F143" s="34">
        <v>1569</v>
      </c>
      <c r="G143" s="29">
        <v>1667</v>
      </c>
      <c r="H143" s="29">
        <v>1618</v>
      </c>
      <c r="I143" s="29">
        <v>1667</v>
      </c>
      <c r="J143" s="29">
        <v>1604</v>
      </c>
      <c r="K143" s="29">
        <v>1773</v>
      </c>
      <c r="L143" s="29">
        <v>1874</v>
      </c>
      <c r="M143" s="29">
        <v>1673</v>
      </c>
      <c r="N143" s="29">
        <v>1508</v>
      </c>
      <c r="O143" s="29">
        <v>1345</v>
      </c>
      <c r="P143" s="29">
        <v>1409</v>
      </c>
      <c r="Q143" s="29">
        <v>1908</v>
      </c>
      <c r="R143" s="29">
        <v>2060</v>
      </c>
      <c r="S143" s="29">
        <v>2379</v>
      </c>
      <c r="T143" s="29">
        <v>2110</v>
      </c>
      <c r="U143" s="29">
        <v>2240</v>
      </c>
      <c r="V143" s="29">
        <v>2580</v>
      </c>
      <c r="W143" s="29">
        <v>2096</v>
      </c>
      <c r="X143" s="29">
        <v>1979</v>
      </c>
      <c r="Y143" s="29">
        <v>2267</v>
      </c>
      <c r="Z143" s="29">
        <v>1960</v>
      </c>
      <c r="AA143" s="29">
        <v>1630</v>
      </c>
      <c r="AB143" s="29">
        <v>1330</v>
      </c>
      <c r="AC143" s="29">
        <v>1053</v>
      </c>
      <c r="AD143" s="29">
        <v>1106</v>
      </c>
      <c r="AE143" s="29">
        <v>1159</v>
      </c>
      <c r="AF143" s="29">
        <v>1212</v>
      </c>
      <c r="AG143" s="29">
        <v>1275</v>
      </c>
      <c r="AH143" s="29">
        <v>1279</v>
      </c>
      <c r="AI143" s="29">
        <v>1031</v>
      </c>
      <c r="AJ143" s="29">
        <v>881</v>
      </c>
      <c r="AK143" s="29">
        <v>740</v>
      </c>
      <c r="AL143" s="29">
        <v>727</v>
      </c>
      <c r="AM143" s="29">
        <v>735</v>
      </c>
      <c r="AN143" s="29">
        <v>754</v>
      </c>
      <c r="AO143" s="29">
        <v>748</v>
      </c>
      <c r="AP143" s="29">
        <v>771</v>
      </c>
      <c r="AQ143" s="29">
        <v>755</v>
      </c>
      <c r="AR143" s="29">
        <v>793</v>
      </c>
      <c r="AS143" s="29">
        <v>796</v>
      </c>
      <c r="AT143" s="29">
        <v>849</v>
      </c>
      <c r="AU143" s="29">
        <v>903</v>
      </c>
      <c r="AV143" s="29">
        <v>852</v>
      </c>
      <c r="AW143" s="29">
        <v>844</v>
      </c>
      <c r="AX143" s="29">
        <v>920</v>
      </c>
      <c r="AY143" s="29">
        <v>991</v>
      </c>
      <c r="AZ143" s="29">
        <v>995</v>
      </c>
      <c r="BA143" s="29">
        <v>966</v>
      </c>
      <c r="BB143" s="29">
        <v>1010</v>
      </c>
      <c r="BC143" s="29">
        <v>1037</v>
      </c>
      <c r="BD143" s="29">
        <v>1016</v>
      </c>
      <c r="BE143" s="29">
        <v>1053</v>
      </c>
      <c r="BF143" s="29">
        <v>1074</v>
      </c>
      <c r="BG143" s="29">
        <v>1076</v>
      </c>
      <c r="BH143" s="29">
        <v>1190</v>
      </c>
      <c r="BI143" s="29">
        <v>1247</v>
      </c>
      <c r="BJ143" s="29">
        <v>1266</v>
      </c>
      <c r="BK143" s="29">
        <v>1229</v>
      </c>
      <c r="BL143" s="30">
        <v>1260</v>
      </c>
      <c r="BM143" s="1">
        <v>1210</v>
      </c>
      <c r="BN143" s="1">
        <v>1230</v>
      </c>
      <c r="BO143" s="1">
        <v>1340</v>
      </c>
      <c r="BP143" s="1">
        <v>1360</v>
      </c>
      <c r="BQ143" s="1">
        <v>1371</v>
      </c>
      <c r="BR143" s="1">
        <v>1599</v>
      </c>
      <c r="BS143" s="1">
        <v>1336</v>
      </c>
      <c r="BT143" s="1">
        <v>1138</v>
      </c>
      <c r="BU143" s="1">
        <v>1116</v>
      </c>
      <c r="BV143" s="1">
        <v>1086</v>
      </c>
      <c r="BW143" s="1">
        <v>1195</v>
      </c>
      <c r="BX143" s="1">
        <v>1070</v>
      </c>
      <c r="BY143" s="1">
        <v>1025</v>
      </c>
      <c r="BZ143" s="1">
        <v>1034</v>
      </c>
    </row>
    <row r="144" spans="1:78" ht="15.9" customHeight="1">
      <c r="A144" s="65" t="s">
        <v>282</v>
      </c>
      <c r="B144" s="25" t="s">
        <v>283</v>
      </c>
      <c r="C144" s="39">
        <f>_xll.RssMarket("6777","高値")</f>
        <v>21540</v>
      </c>
      <c r="D144" s="38">
        <f t="shared" si="5"/>
        <v>1960</v>
      </c>
      <c r="E144" s="34">
        <v>19580</v>
      </c>
      <c r="F144" s="34">
        <v>18160</v>
      </c>
      <c r="G144" s="29">
        <v>18090</v>
      </c>
      <c r="H144" s="29">
        <v>16080</v>
      </c>
      <c r="I144" s="29">
        <v>16770</v>
      </c>
      <c r="J144" s="29">
        <v>17940</v>
      </c>
      <c r="K144" s="29">
        <v>19000</v>
      </c>
      <c r="L144" s="29"/>
      <c r="M144" s="29">
        <v>19980</v>
      </c>
      <c r="N144" s="29">
        <v>20420</v>
      </c>
      <c r="O144" s="29">
        <v>18910</v>
      </c>
      <c r="P144" s="29">
        <v>19950</v>
      </c>
      <c r="Q144" s="29">
        <v>22210</v>
      </c>
      <c r="R144" s="29">
        <v>21200</v>
      </c>
      <c r="S144" s="29">
        <v>21730</v>
      </c>
      <c r="T144" s="29">
        <v>21890</v>
      </c>
      <c r="U144" s="29">
        <v>20950</v>
      </c>
      <c r="V144" s="29">
        <v>21230</v>
      </c>
      <c r="W144" s="29">
        <v>23180</v>
      </c>
      <c r="X144" s="29">
        <v>24800</v>
      </c>
      <c r="Y144" s="29">
        <v>23470</v>
      </c>
      <c r="Z144" s="29">
        <v>25170</v>
      </c>
      <c r="AA144" s="29">
        <v>27900</v>
      </c>
      <c r="AB144" s="29">
        <v>27400</v>
      </c>
      <c r="AC144" s="29">
        <v>26860</v>
      </c>
      <c r="AD144" s="29">
        <v>29460</v>
      </c>
      <c r="AE144" s="29">
        <v>28930</v>
      </c>
      <c r="AF144" s="29">
        <v>29580</v>
      </c>
      <c r="AG144" s="29">
        <v>30850</v>
      </c>
      <c r="AH144" s="29">
        <v>30300</v>
      </c>
      <c r="AI144" s="29">
        <v>29830</v>
      </c>
      <c r="AJ144" s="29">
        <v>27990</v>
      </c>
      <c r="AK144" s="29">
        <v>27580</v>
      </c>
      <c r="AL144" s="29">
        <v>27700</v>
      </c>
      <c r="AM144" s="29">
        <v>25460</v>
      </c>
      <c r="AN144" s="29">
        <v>24100</v>
      </c>
      <c r="AO144" s="29">
        <v>23410</v>
      </c>
      <c r="AP144" s="29">
        <v>25350</v>
      </c>
      <c r="AQ144" s="29">
        <v>23630</v>
      </c>
      <c r="AR144" s="29">
        <v>25820</v>
      </c>
      <c r="AS144" s="29">
        <v>26320</v>
      </c>
      <c r="AT144" s="29">
        <v>28460</v>
      </c>
      <c r="AU144" s="29">
        <v>26190</v>
      </c>
      <c r="AV144" s="29">
        <v>25930</v>
      </c>
      <c r="AW144" s="29">
        <v>25490</v>
      </c>
      <c r="AX144" s="29">
        <v>26800</v>
      </c>
      <c r="AY144" s="29">
        <v>31450</v>
      </c>
      <c r="AZ144" s="29">
        <v>28060</v>
      </c>
      <c r="BA144" s="29">
        <v>28130</v>
      </c>
      <c r="BB144" s="29">
        <v>28700</v>
      </c>
      <c r="BC144" s="29">
        <v>31600</v>
      </c>
      <c r="BD144" s="29">
        <v>34550</v>
      </c>
      <c r="BE144" s="29">
        <v>32500</v>
      </c>
      <c r="BF144" s="29">
        <v>34700</v>
      </c>
      <c r="BG144" s="29">
        <v>33300</v>
      </c>
      <c r="BH144" s="29">
        <v>31950</v>
      </c>
      <c r="BI144" s="29">
        <v>29280</v>
      </c>
      <c r="BJ144" s="29">
        <v>27830</v>
      </c>
      <c r="BK144" s="29">
        <v>30300</v>
      </c>
      <c r="BL144" s="30">
        <v>28470</v>
      </c>
      <c r="BM144" s="1">
        <v>29410</v>
      </c>
      <c r="BN144" s="1">
        <v>29200</v>
      </c>
      <c r="BO144" s="1">
        <v>29720</v>
      </c>
      <c r="BP144" s="1">
        <v>30550</v>
      </c>
      <c r="BQ144" s="1">
        <v>34300</v>
      </c>
      <c r="BR144" s="1">
        <v>30300</v>
      </c>
      <c r="BS144" s="1">
        <v>30400</v>
      </c>
      <c r="BT144" s="1">
        <v>30150</v>
      </c>
      <c r="BU144" s="1">
        <v>26940</v>
      </c>
      <c r="BV144" s="1">
        <v>25310</v>
      </c>
      <c r="BW144" s="1">
        <v>26750</v>
      </c>
      <c r="BX144" s="1">
        <v>25390</v>
      </c>
      <c r="BY144" s="1">
        <v>23760</v>
      </c>
      <c r="BZ144" s="1">
        <v>22250</v>
      </c>
    </row>
    <row r="145" spans="1:78" ht="15.9" customHeight="1">
      <c r="A145" s="65" t="s">
        <v>284</v>
      </c>
      <c r="B145" s="25" t="s">
        <v>285</v>
      </c>
      <c r="C145" s="39">
        <f>_xll.RssMarket("6787","高値")</f>
        <v>24740</v>
      </c>
      <c r="D145" s="38">
        <f t="shared" si="5"/>
        <v>2040</v>
      </c>
      <c r="E145" s="34">
        <v>22700</v>
      </c>
      <c r="F145" s="34">
        <v>21620</v>
      </c>
      <c r="G145" s="29">
        <v>22690</v>
      </c>
      <c r="H145" s="29">
        <v>19950</v>
      </c>
      <c r="I145" s="29">
        <v>21200</v>
      </c>
      <c r="J145" s="29">
        <v>21740</v>
      </c>
      <c r="K145" s="29">
        <v>23110</v>
      </c>
      <c r="L145" s="29">
        <v>23690</v>
      </c>
      <c r="M145" s="29">
        <v>24970</v>
      </c>
      <c r="N145" s="29">
        <v>25170</v>
      </c>
      <c r="O145" s="29">
        <v>23670</v>
      </c>
      <c r="P145" s="29">
        <v>23960</v>
      </c>
      <c r="Q145" s="29">
        <v>26960</v>
      </c>
      <c r="R145" s="29">
        <v>25970</v>
      </c>
      <c r="S145" s="29">
        <v>27600</v>
      </c>
      <c r="T145" s="29">
        <v>27340</v>
      </c>
      <c r="U145" s="29">
        <v>26870</v>
      </c>
      <c r="V145" s="29">
        <v>26790</v>
      </c>
      <c r="W145" s="29">
        <v>27520</v>
      </c>
      <c r="X145" s="29">
        <v>29550</v>
      </c>
      <c r="Y145" s="29">
        <v>30000</v>
      </c>
      <c r="Z145" s="29">
        <v>29150</v>
      </c>
      <c r="AA145" s="29">
        <v>31600</v>
      </c>
      <c r="AB145" s="29">
        <v>32500</v>
      </c>
      <c r="AC145" s="29">
        <v>31900</v>
      </c>
      <c r="AD145" s="29">
        <v>31750</v>
      </c>
      <c r="AE145" s="29">
        <v>34300</v>
      </c>
      <c r="AF145" s="29">
        <v>34900</v>
      </c>
      <c r="AG145" s="29">
        <v>37050</v>
      </c>
      <c r="AH145" s="29">
        <v>39900</v>
      </c>
      <c r="AI145" s="29">
        <v>40900</v>
      </c>
      <c r="AJ145" s="29">
        <v>37550</v>
      </c>
      <c r="AK145" s="29">
        <v>36600</v>
      </c>
      <c r="AL145" s="29">
        <v>37250</v>
      </c>
      <c r="AM145" s="29">
        <v>32950</v>
      </c>
      <c r="AN145" s="29">
        <v>32050</v>
      </c>
      <c r="AO145" s="29">
        <v>31500</v>
      </c>
      <c r="AP145" s="29">
        <v>32850</v>
      </c>
      <c r="AQ145" s="29">
        <v>34600</v>
      </c>
      <c r="AR145" s="29">
        <v>36200</v>
      </c>
      <c r="AS145" s="29">
        <v>37350</v>
      </c>
      <c r="AT145" s="29">
        <v>40550</v>
      </c>
      <c r="AU145" s="29">
        <v>40400</v>
      </c>
      <c r="AV145" s="29">
        <v>40700</v>
      </c>
      <c r="AW145" s="29">
        <v>38850</v>
      </c>
      <c r="AX145" s="29">
        <v>40550</v>
      </c>
      <c r="AY145" s="29">
        <v>45300</v>
      </c>
      <c r="AZ145" s="29">
        <v>44250</v>
      </c>
      <c r="BA145" s="29">
        <v>41900</v>
      </c>
      <c r="BB145" s="29">
        <v>36300</v>
      </c>
      <c r="BC145" s="29">
        <v>40150</v>
      </c>
      <c r="BD145" s="29">
        <v>40700</v>
      </c>
      <c r="BE145" s="29">
        <v>40950</v>
      </c>
      <c r="BF145" s="29">
        <v>38650</v>
      </c>
      <c r="BG145" s="29">
        <v>31650</v>
      </c>
      <c r="BH145" s="29">
        <v>32950</v>
      </c>
      <c r="BI145" s="29">
        <v>33800</v>
      </c>
      <c r="BJ145" s="29">
        <v>33600</v>
      </c>
      <c r="BK145" s="29">
        <v>32000</v>
      </c>
      <c r="BL145" s="30">
        <v>30750</v>
      </c>
      <c r="BM145" s="1">
        <v>32100</v>
      </c>
      <c r="BN145" s="1">
        <v>32400</v>
      </c>
      <c r="BO145" s="1">
        <v>31400</v>
      </c>
      <c r="BP145" s="1">
        <v>29610</v>
      </c>
      <c r="BQ145" s="1">
        <v>30150</v>
      </c>
      <c r="BR145" s="1">
        <v>29590</v>
      </c>
      <c r="BS145" s="1">
        <v>28510</v>
      </c>
      <c r="BT145" s="1">
        <v>28680</v>
      </c>
      <c r="BU145" s="1">
        <v>29620</v>
      </c>
      <c r="BV145" s="1">
        <v>29870</v>
      </c>
      <c r="BW145" s="1">
        <v>29870</v>
      </c>
      <c r="BX145" s="1">
        <v>30050</v>
      </c>
      <c r="BY145" s="1">
        <v>27070</v>
      </c>
      <c r="BZ145" s="1">
        <v>28450</v>
      </c>
    </row>
    <row r="146" spans="1:78" ht="15.9" customHeight="1">
      <c r="A146" s="65" t="s">
        <v>286</v>
      </c>
      <c r="B146" s="25" t="s">
        <v>287</v>
      </c>
      <c r="C146" s="39">
        <f>_xll.RssMarket("4888","高値")</f>
        <v>322</v>
      </c>
      <c r="D146" s="38">
        <f t="shared" si="5"/>
        <v>0</v>
      </c>
      <c r="E146" s="34">
        <v>322</v>
      </c>
      <c r="F146" s="34">
        <v>312</v>
      </c>
      <c r="G146" s="29">
        <v>310</v>
      </c>
      <c r="H146" s="29">
        <v>304</v>
      </c>
      <c r="I146" s="29">
        <v>319</v>
      </c>
      <c r="J146" s="29">
        <v>331</v>
      </c>
      <c r="K146" s="29">
        <v>325</v>
      </c>
      <c r="L146" s="29">
        <v>306</v>
      </c>
      <c r="M146" s="29">
        <v>313</v>
      </c>
      <c r="N146" s="29">
        <v>315</v>
      </c>
      <c r="O146" s="29">
        <v>309</v>
      </c>
      <c r="P146" s="29">
        <v>314</v>
      </c>
      <c r="Q146" s="29">
        <v>338</v>
      </c>
      <c r="R146" s="29">
        <v>328</v>
      </c>
      <c r="S146" s="29">
        <v>335</v>
      </c>
      <c r="T146" s="29">
        <v>324</v>
      </c>
      <c r="U146" s="29">
        <v>305</v>
      </c>
      <c r="V146" s="29">
        <v>307</v>
      </c>
      <c r="W146" s="29">
        <v>316</v>
      </c>
      <c r="X146" s="29">
        <v>323</v>
      </c>
      <c r="Y146" s="29">
        <v>314</v>
      </c>
      <c r="Z146" s="29">
        <v>317</v>
      </c>
      <c r="AA146" s="29">
        <v>311</v>
      </c>
      <c r="AB146" s="29">
        <v>326</v>
      </c>
      <c r="AC146" s="29">
        <v>315</v>
      </c>
      <c r="AD146" s="29">
        <v>313</v>
      </c>
      <c r="AE146" s="29">
        <v>328</v>
      </c>
      <c r="AF146" s="29">
        <v>327</v>
      </c>
      <c r="AG146" s="29">
        <v>337</v>
      </c>
      <c r="AH146" s="29">
        <v>351</v>
      </c>
      <c r="AI146" s="29">
        <v>393</v>
      </c>
      <c r="AJ146" s="29">
        <v>426</v>
      </c>
      <c r="AK146" s="29">
        <v>361</v>
      </c>
      <c r="AL146" s="29">
        <v>339</v>
      </c>
      <c r="AM146" s="29">
        <v>342</v>
      </c>
      <c r="AN146" s="29">
        <v>336</v>
      </c>
      <c r="AO146" s="29">
        <v>319</v>
      </c>
      <c r="AP146" s="29">
        <v>320</v>
      </c>
      <c r="AQ146" s="29">
        <v>312</v>
      </c>
      <c r="AR146" s="29">
        <v>352</v>
      </c>
      <c r="AS146" s="29">
        <v>353</v>
      </c>
      <c r="AT146" s="29">
        <v>349</v>
      </c>
      <c r="AU146" s="29">
        <v>339</v>
      </c>
      <c r="AV146" s="29">
        <v>384</v>
      </c>
      <c r="AW146" s="29">
        <v>397</v>
      </c>
      <c r="AX146" s="29">
        <v>422</v>
      </c>
      <c r="AY146" s="29">
        <v>449</v>
      </c>
      <c r="AZ146" s="29">
        <v>462</v>
      </c>
      <c r="BA146" s="29">
        <v>452</v>
      </c>
      <c r="BB146" s="29">
        <v>434</v>
      </c>
      <c r="BC146" s="29">
        <v>456</v>
      </c>
      <c r="BD146" s="29">
        <v>469</v>
      </c>
      <c r="BE146" s="29">
        <v>445</v>
      </c>
      <c r="BF146" s="29">
        <v>440</v>
      </c>
      <c r="BG146" s="29">
        <v>505</v>
      </c>
      <c r="BH146" s="29">
        <v>502</v>
      </c>
      <c r="BI146" s="29">
        <v>541</v>
      </c>
      <c r="BJ146" s="29">
        <v>543</v>
      </c>
      <c r="BK146" s="29">
        <v>555</v>
      </c>
      <c r="BL146" s="30">
        <v>541</v>
      </c>
      <c r="BM146" s="1">
        <v>530</v>
      </c>
      <c r="BN146" s="1">
        <v>552</v>
      </c>
      <c r="BO146" s="1">
        <v>565</v>
      </c>
      <c r="BP146" s="1">
        <v>562</v>
      </c>
      <c r="BQ146" s="1">
        <v>573</v>
      </c>
      <c r="BR146" s="1">
        <v>618</v>
      </c>
      <c r="BS146" s="1">
        <v>719</v>
      </c>
      <c r="BT146" s="1">
        <v>749</v>
      </c>
      <c r="BU146" s="1">
        <v>793</v>
      </c>
      <c r="BV146" s="1">
        <v>750</v>
      </c>
      <c r="BW146" s="1">
        <v>703</v>
      </c>
      <c r="BX146" s="1">
        <v>742</v>
      </c>
      <c r="BY146" s="1">
        <v>745</v>
      </c>
      <c r="BZ146" s="1">
        <v>807</v>
      </c>
    </row>
    <row r="147" spans="1:78" ht="15.9" customHeight="1">
      <c r="A147" s="65" t="s">
        <v>288</v>
      </c>
      <c r="B147" s="25" t="s">
        <v>289</v>
      </c>
      <c r="C147" s="39">
        <f>_xll.RssMarket("6387","高値")</f>
        <v>9960</v>
      </c>
      <c r="D147" s="38">
        <f t="shared" si="5"/>
        <v>610</v>
      </c>
      <c r="E147" s="34">
        <v>9350</v>
      </c>
      <c r="F147" s="34">
        <v>8670</v>
      </c>
      <c r="G147" s="29">
        <v>8850</v>
      </c>
      <c r="H147" s="29">
        <v>7880</v>
      </c>
      <c r="I147" s="29">
        <v>8490</v>
      </c>
      <c r="J147" s="29">
        <v>9100</v>
      </c>
      <c r="K147" s="29">
        <v>9960</v>
      </c>
      <c r="L147" s="29"/>
      <c r="M147" s="29">
        <v>10720</v>
      </c>
      <c r="N147" s="29">
        <v>10960</v>
      </c>
      <c r="O147" s="29">
        <v>10270</v>
      </c>
      <c r="P147" s="29">
        <v>10620</v>
      </c>
      <c r="Q147" s="29">
        <v>12450</v>
      </c>
      <c r="R147" s="29">
        <v>12860</v>
      </c>
      <c r="S147" s="29">
        <v>13750</v>
      </c>
      <c r="T147" s="29">
        <v>13950</v>
      </c>
      <c r="U147" s="29">
        <v>12100</v>
      </c>
      <c r="V147" s="29">
        <v>11830</v>
      </c>
      <c r="W147" s="29">
        <v>12980</v>
      </c>
      <c r="X147" s="29">
        <v>13500</v>
      </c>
      <c r="Y147" s="29">
        <v>13500</v>
      </c>
      <c r="Z147" s="29">
        <v>13550</v>
      </c>
      <c r="AA147" s="29">
        <v>14560</v>
      </c>
      <c r="AB147" s="29">
        <v>14430</v>
      </c>
      <c r="AC147" s="29">
        <v>14000</v>
      </c>
      <c r="AD147" s="29">
        <v>14350</v>
      </c>
      <c r="AE147" s="29">
        <v>15240</v>
      </c>
      <c r="AF147" s="29">
        <v>15270</v>
      </c>
      <c r="AG147" s="29">
        <v>15780</v>
      </c>
      <c r="AH147" s="29">
        <v>16190</v>
      </c>
      <c r="AI147" s="29">
        <v>15950</v>
      </c>
      <c r="AJ147" s="29">
        <v>16030</v>
      </c>
      <c r="AK147" s="29">
        <v>16300</v>
      </c>
      <c r="AL147" s="29">
        <v>16930</v>
      </c>
      <c r="AM147" s="29">
        <v>15200</v>
      </c>
      <c r="AN147" s="29">
        <v>12480</v>
      </c>
      <c r="AO147" s="29">
        <v>11580</v>
      </c>
      <c r="AP147" s="29">
        <v>12320</v>
      </c>
      <c r="AQ147" s="29">
        <v>12290</v>
      </c>
      <c r="AR147" s="29">
        <v>12700</v>
      </c>
      <c r="AS147" s="29">
        <v>13150</v>
      </c>
      <c r="AT147" s="29">
        <v>13400</v>
      </c>
      <c r="AU147" s="29">
        <v>12090</v>
      </c>
      <c r="AV147" s="29">
        <v>10590</v>
      </c>
      <c r="AW147" s="29">
        <v>10470</v>
      </c>
      <c r="AX147" s="29">
        <v>11670</v>
      </c>
      <c r="AY147" s="29">
        <v>12320</v>
      </c>
      <c r="AZ147" s="29">
        <v>11970</v>
      </c>
      <c r="BA147" s="29">
        <v>11340</v>
      </c>
      <c r="BB147" s="29">
        <v>11150</v>
      </c>
      <c r="BC147" s="29">
        <v>12120</v>
      </c>
      <c r="BD147" s="29">
        <v>12630</v>
      </c>
      <c r="BE147" s="29">
        <v>13450</v>
      </c>
      <c r="BF147" s="29">
        <v>14100</v>
      </c>
      <c r="BG147" s="29">
        <v>13290</v>
      </c>
      <c r="BH147" s="29">
        <v>13340</v>
      </c>
      <c r="BI147" s="29">
        <v>14000</v>
      </c>
      <c r="BJ147" s="29">
        <v>13920</v>
      </c>
      <c r="BK147" s="29">
        <v>14470</v>
      </c>
      <c r="BL147" s="30">
        <v>11790</v>
      </c>
      <c r="BM147" s="1">
        <v>11780</v>
      </c>
      <c r="BN147" s="1">
        <v>11300</v>
      </c>
      <c r="BO147" s="1">
        <v>11540</v>
      </c>
      <c r="BP147" s="1">
        <v>11380</v>
      </c>
      <c r="BQ147" s="1">
        <v>11040</v>
      </c>
      <c r="BR147" s="1">
        <v>10440</v>
      </c>
      <c r="BS147" s="1">
        <v>9880</v>
      </c>
      <c r="BT147" s="1">
        <v>9820</v>
      </c>
      <c r="BU147" s="1">
        <v>9920</v>
      </c>
      <c r="BV147" s="1">
        <v>10400</v>
      </c>
      <c r="BW147" s="1">
        <v>10470</v>
      </c>
      <c r="BX147" s="1">
        <v>10760</v>
      </c>
      <c r="BY147" s="1">
        <v>9820</v>
      </c>
      <c r="BZ147" s="1">
        <v>9520</v>
      </c>
    </row>
    <row r="148" spans="1:78" ht="15.9" customHeight="1">
      <c r="A148" s="65" t="s">
        <v>290</v>
      </c>
      <c r="B148" s="25" t="s">
        <v>291</v>
      </c>
      <c r="C148" s="39">
        <f>_xll.RssMarket("6838","高値")</f>
        <v>1519</v>
      </c>
      <c r="D148" s="38">
        <f t="shared" si="5"/>
        <v>41</v>
      </c>
      <c r="E148" s="34">
        <v>1478</v>
      </c>
      <c r="F148" s="34">
        <v>1399</v>
      </c>
      <c r="G148" s="29">
        <v>1318</v>
      </c>
      <c r="H148" s="29">
        <v>1266</v>
      </c>
      <c r="I148" s="29">
        <v>1284</v>
      </c>
      <c r="J148" s="29">
        <v>1341</v>
      </c>
      <c r="K148" s="29">
        <v>1395</v>
      </c>
      <c r="L148" s="29">
        <v>1392</v>
      </c>
      <c r="M148" s="29">
        <v>1425</v>
      </c>
      <c r="N148" s="29">
        <v>1442</v>
      </c>
      <c r="O148" s="29">
        <v>1375</v>
      </c>
      <c r="P148" s="29">
        <v>1431</v>
      </c>
      <c r="Q148" s="29">
        <v>1499</v>
      </c>
      <c r="R148" s="29">
        <v>1467</v>
      </c>
      <c r="S148" s="29">
        <v>1551</v>
      </c>
      <c r="T148" s="29">
        <v>1571</v>
      </c>
      <c r="U148" s="29">
        <v>1580</v>
      </c>
      <c r="V148" s="29">
        <v>1617</v>
      </c>
      <c r="W148" s="29">
        <v>1726</v>
      </c>
      <c r="X148" s="29">
        <v>1865</v>
      </c>
      <c r="Y148" s="29">
        <v>1749</v>
      </c>
      <c r="Z148" s="29">
        <v>1777</v>
      </c>
      <c r="AA148" s="29">
        <v>1800</v>
      </c>
      <c r="AB148" s="29">
        <v>1854</v>
      </c>
      <c r="AC148" s="29">
        <v>1942</v>
      </c>
      <c r="AD148" s="29">
        <v>2075</v>
      </c>
      <c r="AE148" s="29">
        <v>2166</v>
      </c>
      <c r="AF148" s="29">
        <v>2070</v>
      </c>
      <c r="AG148" s="29">
        <v>2074</v>
      </c>
      <c r="AH148" s="29">
        <v>2141</v>
      </c>
      <c r="AI148" s="29">
        <v>2262</v>
      </c>
      <c r="AJ148" s="29">
        <v>2265</v>
      </c>
      <c r="AK148" s="29">
        <v>2490</v>
      </c>
      <c r="AL148" s="29">
        <v>2280</v>
      </c>
      <c r="AM148" s="29">
        <v>1895</v>
      </c>
      <c r="AN148" s="29">
        <v>1856</v>
      </c>
      <c r="AO148" s="29">
        <v>1813</v>
      </c>
      <c r="AP148" s="29">
        <v>1933</v>
      </c>
      <c r="AQ148" s="29">
        <v>2285</v>
      </c>
      <c r="AR148" s="29">
        <v>2483</v>
      </c>
      <c r="AS148" s="29">
        <v>2463</v>
      </c>
      <c r="AT148" s="29">
        <v>2496</v>
      </c>
      <c r="AU148" s="29">
        <v>2348</v>
      </c>
      <c r="AV148" s="29">
        <v>2286</v>
      </c>
      <c r="AW148" s="29">
        <v>2244</v>
      </c>
      <c r="AX148" s="29">
        <v>2440</v>
      </c>
      <c r="AY148" s="29">
        <v>2199</v>
      </c>
      <c r="AZ148" s="29">
        <v>2134</v>
      </c>
      <c r="BA148" s="29">
        <v>1971</v>
      </c>
      <c r="BB148" s="29">
        <v>2044</v>
      </c>
      <c r="BC148" s="29">
        <v>2183</v>
      </c>
      <c r="BD148" s="29">
        <v>2192</v>
      </c>
      <c r="BE148" s="29">
        <v>2098</v>
      </c>
      <c r="BF148" s="29">
        <v>2044</v>
      </c>
      <c r="BG148" s="29">
        <v>2091</v>
      </c>
      <c r="BH148" s="29">
        <v>2150</v>
      </c>
      <c r="BI148" s="29">
        <v>2326</v>
      </c>
      <c r="BJ148" s="29">
        <v>1958</v>
      </c>
      <c r="BK148" s="29">
        <v>1783</v>
      </c>
      <c r="BL148" s="30">
        <v>1686</v>
      </c>
      <c r="BM148" s="1">
        <v>1736</v>
      </c>
      <c r="BN148" s="1">
        <v>1658</v>
      </c>
      <c r="BO148" s="1">
        <v>1728</v>
      </c>
      <c r="BP148" s="1">
        <v>1820</v>
      </c>
      <c r="BQ148" s="1">
        <v>1927</v>
      </c>
      <c r="BR148" s="1">
        <v>1841</v>
      </c>
      <c r="BS148" s="1">
        <v>1899</v>
      </c>
      <c r="BT148" s="1">
        <v>1787</v>
      </c>
      <c r="BU148" s="1">
        <v>1560</v>
      </c>
      <c r="BV148" s="1">
        <v>1398</v>
      </c>
      <c r="BW148" s="1">
        <v>1348</v>
      </c>
      <c r="BX148" s="1">
        <v>1334</v>
      </c>
      <c r="BY148" s="1">
        <v>1321</v>
      </c>
      <c r="BZ148" s="1">
        <v>1387</v>
      </c>
    </row>
    <row r="149" spans="1:78" ht="15.9" customHeight="1">
      <c r="A149" s="65" t="s">
        <v>292</v>
      </c>
      <c r="B149" s="25" t="s">
        <v>293</v>
      </c>
      <c r="C149" s="39">
        <f>_xll.RssMarket("7375","高値")</f>
        <v>1170</v>
      </c>
      <c r="D149" s="38">
        <f t="shared" si="5"/>
        <v>1170</v>
      </c>
      <c r="E149" s="34"/>
      <c r="F149" s="34"/>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78" ht="15.9" customHeight="1">
      <c r="A150" s="65" t="s">
        <v>294</v>
      </c>
      <c r="B150" s="25" t="s">
        <v>295</v>
      </c>
      <c r="C150" s="39">
        <f>_xll.RssMarket("4307","高値")</f>
        <v>4660</v>
      </c>
      <c r="D150" s="38">
        <f t="shared" si="5"/>
        <v>-64</v>
      </c>
      <c r="E150" s="34">
        <v>4724</v>
      </c>
      <c r="F150" s="34">
        <v>4750</v>
      </c>
      <c r="G150" s="29">
        <v>4904</v>
      </c>
      <c r="H150" s="29">
        <v>5620</v>
      </c>
      <c r="I150" s="29">
        <v>5575</v>
      </c>
      <c r="J150" s="29">
        <v>5423</v>
      </c>
      <c r="K150" s="29">
        <v>5218</v>
      </c>
      <c r="L150" s="29">
        <v>4955</v>
      </c>
      <c r="M150" s="29">
        <v>4958</v>
      </c>
      <c r="N150" s="29">
        <v>4995</v>
      </c>
      <c r="O150" s="29">
        <v>5178</v>
      </c>
      <c r="P150" s="29">
        <v>5180</v>
      </c>
      <c r="Q150" s="29">
        <v>5010</v>
      </c>
      <c r="R150" s="29">
        <v>5199</v>
      </c>
      <c r="S150" s="29">
        <v>5049</v>
      </c>
      <c r="T150" s="29">
        <v>5070</v>
      </c>
      <c r="U150" s="29">
        <v>5078</v>
      </c>
      <c r="V150" s="29">
        <v>5236</v>
      </c>
      <c r="W150" s="29">
        <v>5175</v>
      </c>
      <c r="X150" s="29">
        <v>5117</v>
      </c>
      <c r="Y150" s="29">
        <v>5046</v>
      </c>
      <c r="Z150" s="29">
        <v>5007</v>
      </c>
      <c r="AA150" s="29">
        <v>4612</v>
      </c>
      <c r="AB150" s="29">
        <v>4642</v>
      </c>
      <c r="AC150" s="29">
        <v>4649</v>
      </c>
      <c r="AD150" s="29">
        <v>4344</v>
      </c>
      <c r="AE150" s="29">
        <v>4336</v>
      </c>
      <c r="AF150" s="29">
        <v>4443</v>
      </c>
      <c r="AG150" s="29">
        <v>4338</v>
      </c>
      <c r="AH150" s="29">
        <v>4332</v>
      </c>
      <c r="AI150" s="29">
        <v>4534</v>
      </c>
      <c r="AJ150" s="29">
        <v>4687</v>
      </c>
      <c r="AK150" s="29">
        <v>4649</v>
      </c>
      <c r="AL150" s="29">
        <v>4517</v>
      </c>
      <c r="AM150" s="29">
        <v>4712</v>
      </c>
      <c r="AN150" s="29">
        <v>4610</v>
      </c>
      <c r="AO150" s="29">
        <v>4694</v>
      </c>
      <c r="AP150" s="29">
        <v>4685</v>
      </c>
      <c r="AQ150" s="29">
        <v>4912</v>
      </c>
      <c r="AR150" s="29">
        <v>4930</v>
      </c>
      <c r="AS150" s="29">
        <v>4800</v>
      </c>
      <c r="AT150" s="29">
        <v>4971</v>
      </c>
      <c r="AU150" s="29">
        <v>5329</v>
      </c>
      <c r="AV150" s="29">
        <v>5117</v>
      </c>
      <c r="AW150" s="29">
        <v>4859</v>
      </c>
      <c r="AX150" s="29">
        <v>4755</v>
      </c>
      <c r="AY150" s="29">
        <v>4695</v>
      </c>
      <c r="AZ150" s="29">
        <v>4704</v>
      </c>
      <c r="BA150" s="29">
        <v>4758</v>
      </c>
      <c r="BB150" s="29">
        <v>4849</v>
      </c>
      <c r="BC150" s="29">
        <v>4848</v>
      </c>
      <c r="BD150" s="29">
        <v>4595</v>
      </c>
      <c r="BE150" s="29">
        <v>4362</v>
      </c>
      <c r="BF150" s="29">
        <v>4275</v>
      </c>
      <c r="BG150" s="29">
        <v>4367</v>
      </c>
      <c r="BH150" s="29">
        <v>4248</v>
      </c>
      <c r="BI150" s="29">
        <v>4402</v>
      </c>
      <c r="BJ150" s="29">
        <v>4469</v>
      </c>
      <c r="BK150" s="29">
        <v>4273</v>
      </c>
      <c r="BL150" s="30">
        <v>4216</v>
      </c>
      <c r="BM150" s="1">
        <v>4300</v>
      </c>
      <c r="BN150" s="1">
        <v>4592</v>
      </c>
      <c r="BO150" s="1">
        <v>4874</v>
      </c>
      <c r="BP150" s="1">
        <v>5224</v>
      </c>
      <c r="BQ150" s="1">
        <v>5148</v>
      </c>
      <c r="BR150" s="1">
        <v>5171</v>
      </c>
      <c r="BS150" s="1">
        <v>5078</v>
      </c>
      <c r="BT150" s="1">
        <v>5008</v>
      </c>
      <c r="BU150" s="1">
        <v>5018</v>
      </c>
      <c r="BV150" s="1">
        <v>5014</v>
      </c>
      <c r="BW150" s="1">
        <v>4908</v>
      </c>
      <c r="BX150" s="1">
        <v>4706</v>
      </c>
      <c r="BY150" s="1">
        <v>4559</v>
      </c>
      <c r="BZ150" s="1">
        <v>4469</v>
      </c>
    </row>
    <row r="151" spans="1:78" ht="15.9" customHeight="1">
      <c r="A151" s="65" t="s">
        <v>296</v>
      </c>
      <c r="B151" s="25" t="s">
        <v>297</v>
      </c>
      <c r="C151" s="39">
        <f>_xll.RssMarket("6516","高値")</f>
        <v>6190</v>
      </c>
      <c r="D151" s="38">
        <f t="shared" si="5"/>
        <v>510</v>
      </c>
      <c r="E151" s="34">
        <v>5680</v>
      </c>
      <c r="F151" s="34">
        <v>5530</v>
      </c>
      <c r="G151" s="29">
        <v>5840</v>
      </c>
      <c r="H151" s="29">
        <v>5870</v>
      </c>
      <c r="I151" s="29">
        <v>5440</v>
      </c>
      <c r="J151" s="29">
        <v>5690</v>
      </c>
      <c r="K151" s="29">
        <v>5760</v>
      </c>
      <c r="L151" s="29"/>
      <c r="M151" s="29">
        <v>5860</v>
      </c>
      <c r="N151" s="29">
        <v>5940</v>
      </c>
      <c r="O151" s="29">
        <v>5700</v>
      </c>
      <c r="P151" s="29">
        <v>5580</v>
      </c>
      <c r="Q151" s="29">
        <v>5960</v>
      </c>
      <c r="R151" s="29">
        <v>5880</v>
      </c>
      <c r="S151" s="29">
        <v>6150</v>
      </c>
      <c r="T151" s="29">
        <v>6170</v>
      </c>
      <c r="U151" s="29">
        <v>6030</v>
      </c>
      <c r="V151" s="29">
        <v>6140</v>
      </c>
      <c r="W151" s="29">
        <v>6420</v>
      </c>
      <c r="X151" s="29">
        <v>6600</v>
      </c>
      <c r="Y151" s="29">
        <v>6570</v>
      </c>
      <c r="Z151" s="29">
        <v>6600</v>
      </c>
      <c r="AA151" s="29">
        <v>6750</v>
      </c>
      <c r="AB151" s="29">
        <v>6620</v>
      </c>
      <c r="AC151" s="29">
        <v>6930</v>
      </c>
      <c r="AD151" s="29">
        <v>7060</v>
      </c>
      <c r="AE151" s="29">
        <v>7250</v>
      </c>
      <c r="AF151" s="29">
        <v>7360</v>
      </c>
      <c r="AG151" s="29">
        <v>7390</v>
      </c>
      <c r="AH151" s="29">
        <v>7100</v>
      </c>
      <c r="AI151" s="29">
        <v>6910</v>
      </c>
      <c r="AJ151" s="29">
        <v>6900</v>
      </c>
      <c r="AK151" s="29">
        <v>6810</v>
      </c>
      <c r="AL151" s="29">
        <v>6720</v>
      </c>
      <c r="AM151" s="29">
        <v>6580</v>
      </c>
      <c r="AN151" s="29">
        <v>6450</v>
      </c>
      <c r="AO151" s="29">
        <v>6300</v>
      </c>
      <c r="AP151" s="29">
        <v>6460</v>
      </c>
      <c r="AQ151" s="29">
        <v>6480</v>
      </c>
      <c r="AR151" s="29">
        <v>6770</v>
      </c>
      <c r="AS151" s="29">
        <v>6830</v>
      </c>
      <c r="AT151" s="29">
        <v>6770</v>
      </c>
      <c r="AU151" s="29">
        <v>6690</v>
      </c>
      <c r="AV151" s="29">
        <v>6920</v>
      </c>
      <c r="AW151" s="29">
        <v>6820</v>
      </c>
      <c r="AX151" s="29">
        <v>7080</v>
      </c>
      <c r="AY151" s="29">
        <v>7260</v>
      </c>
      <c r="AZ151" s="29">
        <v>7290</v>
      </c>
      <c r="BA151" s="29">
        <v>7270</v>
      </c>
      <c r="BB151" s="29">
        <v>6990</v>
      </c>
      <c r="BC151" s="29">
        <v>7330</v>
      </c>
      <c r="BD151" s="29">
        <v>7480</v>
      </c>
      <c r="BE151" s="29">
        <v>7870</v>
      </c>
      <c r="BF151" s="29">
        <v>7810</v>
      </c>
      <c r="BG151" s="29">
        <v>7640</v>
      </c>
      <c r="BH151" s="29">
        <v>7880</v>
      </c>
      <c r="BI151" s="29">
        <v>7800</v>
      </c>
      <c r="BJ151" s="29">
        <v>7500</v>
      </c>
      <c r="BK151" s="29">
        <v>7380</v>
      </c>
      <c r="BL151" s="30">
        <v>6880</v>
      </c>
      <c r="BM151" s="1">
        <v>7200</v>
      </c>
      <c r="BN151" s="1">
        <v>7300</v>
      </c>
      <c r="BO151" s="1">
        <v>6640</v>
      </c>
      <c r="BP151" s="1">
        <v>5750</v>
      </c>
      <c r="BQ151" s="1">
        <v>5310</v>
      </c>
      <c r="BR151" s="1">
        <v>5430</v>
      </c>
      <c r="BS151" s="1">
        <v>5280</v>
      </c>
      <c r="BT151" s="1">
        <v>5200</v>
      </c>
      <c r="BU151" s="1">
        <v>5220</v>
      </c>
      <c r="BV151" s="1">
        <v>5300</v>
      </c>
      <c r="BW151" s="1">
        <v>5430</v>
      </c>
      <c r="BX151" s="1">
        <v>5360</v>
      </c>
      <c r="BY151" s="1">
        <v>5100</v>
      </c>
      <c r="BZ151" s="1">
        <v>5080</v>
      </c>
    </row>
    <row r="152" spans="1:78" ht="15.9" customHeight="1">
      <c r="A152" s="65" t="s">
        <v>298</v>
      </c>
      <c r="B152" s="25" t="s">
        <v>299</v>
      </c>
      <c r="C152" s="39">
        <f>_xll.RssMarket("7381","高値")</f>
        <v>1178</v>
      </c>
      <c r="D152" s="38">
        <f t="shared" si="5"/>
        <v>41</v>
      </c>
      <c r="E152" s="34">
        <v>1137</v>
      </c>
      <c r="F152" s="34">
        <v>1139</v>
      </c>
      <c r="G152" s="29">
        <v>1109</v>
      </c>
      <c r="H152" s="29">
        <v>1110</v>
      </c>
      <c r="I152" s="29">
        <v>1144</v>
      </c>
      <c r="J152" s="29">
        <v>1182</v>
      </c>
      <c r="K152" s="29">
        <v>1189</v>
      </c>
      <c r="L152" s="29">
        <v>1167</v>
      </c>
      <c r="M152" s="29">
        <v>1177</v>
      </c>
      <c r="N152" s="29">
        <v>1182</v>
      </c>
      <c r="O152" s="29">
        <v>1146</v>
      </c>
      <c r="P152" s="29">
        <v>1151</v>
      </c>
      <c r="Q152" s="29">
        <v>1126</v>
      </c>
      <c r="R152" s="29">
        <v>1081</v>
      </c>
      <c r="S152" s="29">
        <v>1060</v>
      </c>
      <c r="T152" s="29">
        <v>1063</v>
      </c>
      <c r="U152" s="29">
        <v>1077</v>
      </c>
      <c r="V152" s="29">
        <v>1088</v>
      </c>
      <c r="W152" s="29">
        <v>1080</v>
      </c>
      <c r="X152" s="29">
        <v>1057</v>
      </c>
      <c r="Y152" s="29">
        <v>1048</v>
      </c>
      <c r="Z152" s="29">
        <v>1055</v>
      </c>
      <c r="AA152" s="29">
        <v>1044</v>
      </c>
      <c r="AB152" s="29">
        <v>1041</v>
      </c>
      <c r="AC152" s="29">
        <v>1005</v>
      </c>
      <c r="AD152" s="29">
        <v>996</v>
      </c>
      <c r="AE152" s="29">
        <v>981</v>
      </c>
      <c r="AF152" s="29">
        <v>977</v>
      </c>
      <c r="AG152" s="29">
        <v>985</v>
      </c>
      <c r="AH152" s="29">
        <v>976</v>
      </c>
      <c r="AI152" s="29">
        <v>987</v>
      </c>
      <c r="AJ152" s="29">
        <v>998</v>
      </c>
      <c r="AK152" s="29">
        <v>1019</v>
      </c>
      <c r="AL152" s="29">
        <v>1006</v>
      </c>
      <c r="AM152" s="29">
        <v>1023</v>
      </c>
      <c r="AN152" s="29">
        <v>1004</v>
      </c>
      <c r="AO152" s="29">
        <v>992</v>
      </c>
      <c r="AP152" s="29">
        <v>1010</v>
      </c>
      <c r="AQ152" s="29">
        <v>1029</v>
      </c>
      <c r="AR152" s="29">
        <v>1052</v>
      </c>
      <c r="AS152" s="29">
        <v>1039</v>
      </c>
      <c r="AT152" s="29">
        <v>1035</v>
      </c>
      <c r="AU152" s="29">
        <v>1018</v>
      </c>
      <c r="AV152" s="29">
        <v>1060</v>
      </c>
      <c r="AW152" s="29">
        <v>1052</v>
      </c>
      <c r="AX152" s="29">
        <v>1067</v>
      </c>
      <c r="AY152" s="29">
        <v>1063</v>
      </c>
      <c r="AZ152" s="29">
        <v>1089</v>
      </c>
      <c r="BA152" s="29">
        <v>1094</v>
      </c>
      <c r="BB152" s="29">
        <v>1038</v>
      </c>
      <c r="BC152" s="29">
        <v>1054</v>
      </c>
      <c r="BD152" s="29">
        <v>1052</v>
      </c>
      <c r="BE152" s="29">
        <v>1071</v>
      </c>
      <c r="BF152" s="29">
        <v>1050</v>
      </c>
      <c r="BG152" s="29">
        <v>1034</v>
      </c>
      <c r="BH152" s="29">
        <v>1023</v>
      </c>
      <c r="BI152" s="29">
        <v>1032</v>
      </c>
      <c r="BJ152" s="29">
        <v>1019</v>
      </c>
      <c r="BK152" s="29">
        <v>1038</v>
      </c>
      <c r="BL152" s="30">
        <v>973</v>
      </c>
      <c r="BM152" s="1">
        <v>949</v>
      </c>
      <c r="BN152" s="1">
        <v>984</v>
      </c>
      <c r="BO152" s="1">
        <v>922</v>
      </c>
      <c r="BP152" s="1">
        <v>927</v>
      </c>
      <c r="BQ152" s="1">
        <v>926</v>
      </c>
      <c r="BR152" s="1">
        <v>971</v>
      </c>
      <c r="BS152" s="1">
        <v>1002</v>
      </c>
      <c r="BT152" s="1">
        <v>1022</v>
      </c>
      <c r="BU152" s="1">
        <v>1038</v>
      </c>
      <c r="BV152" s="1">
        <v>1053</v>
      </c>
      <c r="BW152" s="1">
        <v>1049</v>
      </c>
      <c r="BX152" s="1">
        <v>1029</v>
      </c>
      <c r="BY152" s="1">
        <v>1032</v>
      </c>
      <c r="BZ152" s="1">
        <v>1050</v>
      </c>
    </row>
    <row r="153" spans="1:78" ht="15.9" customHeight="1">
      <c r="A153" s="65" t="s">
        <v>300</v>
      </c>
      <c r="B153" s="25" t="s">
        <v>301</v>
      </c>
      <c r="C153" s="39">
        <f>_xll.RssMarket("4417","高値")</f>
        <v>4465</v>
      </c>
      <c r="D153" s="38">
        <f t="shared" si="5"/>
        <v>240</v>
      </c>
      <c r="E153" s="34">
        <v>4225</v>
      </c>
      <c r="F153" s="34">
        <v>4390</v>
      </c>
      <c r="G153" s="29">
        <v>4700</v>
      </c>
      <c r="H153" s="29">
        <v>4590</v>
      </c>
      <c r="I153" s="29">
        <v>4545</v>
      </c>
      <c r="J153" s="29">
        <v>4540</v>
      </c>
      <c r="K153" s="29">
        <v>4465</v>
      </c>
      <c r="L153" s="29">
        <v>4260</v>
      </c>
      <c r="M153" s="29">
        <v>4350</v>
      </c>
      <c r="N153" s="29">
        <v>4495</v>
      </c>
      <c r="O153" s="29">
        <v>4485</v>
      </c>
      <c r="P153" s="29">
        <v>4500</v>
      </c>
      <c r="Q153" s="29">
        <v>4390</v>
      </c>
      <c r="R153" s="29">
        <v>4390</v>
      </c>
      <c r="S153" s="29">
        <v>4005</v>
      </c>
      <c r="T153" s="29">
        <v>4015</v>
      </c>
      <c r="U153" s="29">
        <v>3965</v>
      </c>
      <c r="V153" s="29">
        <v>3980</v>
      </c>
      <c r="W153" s="29">
        <v>4500</v>
      </c>
      <c r="X153" s="29">
        <v>4415</v>
      </c>
      <c r="Y153" s="29">
        <v>4530</v>
      </c>
      <c r="Z153" s="29">
        <v>4180</v>
      </c>
      <c r="AA153" s="29">
        <v>3950</v>
      </c>
      <c r="AB153" s="29">
        <v>4000</v>
      </c>
      <c r="AC153" s="29">
        <v>3850</v>
      </c>
      <c r="AD153" s="29">
        <v>3320</v>
      </c>
      <c r="AE153" s="29">
        <v>3320</v>
      </c>
      <c r="AF153" s="29">
        <v>3235</v>
      </c>
      <c r="AG153" s="29">
        <v>3300</v>
      </c>
      <c r="AH153" s="29">
        <v>3305</v>
      </c>
      <c r="AI153" s="29">
        <v>3335</v>
      </c>
      <c r="AJ153" s="29">
        <v>3350</v>
      </c>
      <c r="AK153" s="29">
        <v>3260</v>
      </c>
      <c r="AL153" s="29">
        <v>3140</v>
      </c>
      <c r="AM153" s="29">
        <v>3135</v>
      </c>
      <c r="AN153" s="29">
        <v>3100</v>
      </c>
      <c r="AO153" s="29">
        <v>3090</v>
      </c>
      <c r="AP153" s="29">
        <v>3220</v>
      </c>
      <c r="AQ153" s="29">
        <v>3170</v>
      </c>
      <c r="AR153" s="29">
        <v>3205</v>
      </c>
      <c r="AS153" s="29">
        <v>3095</v>
      </c>
      <c r="AT153" s="29">
        <v>3420</v>
      </c>
      <c r="AU153" s="29">
        <v>3380</v>
      </c>
      <c r="AV153" s="29">
        <v>3575</v>
      </c>
      <c r="AW153" s="29">
        <v>3285</v>
      </c>
      <c r="AX153" s="29">
        <v>3385</v>
      </c>
      <c r="AY153" s="29">
        <v>3385</v>
      </c>
      <c r="AZ153" s="29">
        <v>3270</v>
      </c>
      <c r="BA153" s="29">
        <v>3140</v>
      </c>
      <c r="BB153" s="29">
        <v>2995</v>
      </c>
      <c r="BC153" s="29">
        <v>2914</v>
      </c>
      <c r="BD153" s="29">
        <v>2809</v>
      </c>
      <c r="BE153" s="29">
        <v>2809</v>
      </c>
      <c r="BF153" s="29">
        <v>2945</v>
      </c>
      <c r="BG153" s="29">
        <v>3040</v>
      </c>
      <c r="BH153" s="29">
        <v>3095</v>
      </c>
      <c r="BI153" s="29">
        <v>2920</v>
      </c>
      <c r="BJ153" s="29">
        <v>2936</v>
      </c>
      <c r="BK153" s="29">
        <v>2870</v>
      </c>
      <c r="BL153" s="30">
        <v>2890</v>
      </c>
      <c r="BM153" s="1">
        <v>2527</v>
      </c>
      <c r="BN153" s="1">
        <v>2511</v>
      </c>
      <c r="BO153" s="1">
        <v>2529</v>
      </c>
      <c r="BP153" s="1">
        <v>2513</v>
      </c>
      <c r="BQ153" s="1">
        <v>2501</v>
      </c>
      <c r="BR153" s="1">
        <v>2528</v>
      </c>
      <c r="BS153" s="1">
        <v>2471</v>
      </c>
      <c r="BT153" s="1">
        <v>2528</v>
      </c>
      <c r="BU153" s="1">
        <v>2525</v>
      </c>
      <c r="BV153" s="1">
        <v>2525</v>
      </c>
      <c r="BW153" s="1">
        <v>2377</v>
      </c>
      <c r="BX153" s="1">
        <v>2340</v>
      </c>
      <c r="BY153" s="1">
        <v>2395</v>
      </c>
      <c r="BZ153" s="1">
        <v>2524</v>
      </c>
    </row>
    <row r="154" spans="1:78" ht="15.9" customHeight="1">
      <c r="A154" s="65" t="s">
        <v>302</v>
      </c>
      <c r="B154" s="25" t="s">
        <v>303</v>
      </c>
      <c r="C154" s="39">
        <f>_xll.RssMarket("6981","高値")</f>
        <v>7907</v>
      </c>
      <c r="D154" s="38">
        <f t="shared" si="5"/>
        <v>575</v>
      </c>
      <c r="E154" s="34">
        <v>7332</v>
      </c>
      <c r="F154" s="34">
        <v>7567</v>
      </c>
      <c r="G154" s="29">
        <v>7416</v>
      </c>
      <c r="H154" s="29">
        <v>6840</v>
      </c>
      <c r="I154" s="29">
        <v>7182</v>
      </c>
      <c r="J154" s="29">
        <v>7558</v>
      </c>
      <c r="K154" s="29">
        <v>8401</v>
      </c>
      <c r="L154" s="29">
        <v>8689</v>
      </c>
      <c r="M154" s="29">
        <v>8817</v>
      </c>
      <c r="N154" s="29">
        <v>8720</v>
      </c>
      <c r="O154" s="29">
        <v>8046</v>
      </c>
      <c r="P154" s="29">
        <v>8021</v>
      </c>
      <c r="Q154" s="29">
        <v>9188</v>
      </c>
      <c r="R154" s="29">
        <v>9136</v>
      </c>
      <c r="S154" s="29">
        <v>10060</v>
      </c>
      <c r="T154" s="29">
        <v>10085</v>
      </c>
      <c r="U154" s="29">
        <v>9609</v>
      </c>
      <c r="V154" s="29">
        <v>9660</v>
      </c>
      <c r="W154" s="29">
        <v>10380</v>
      </c>
      <c r="X154" s="29">
        <v>11090</v>
      </c>
      <c r="Y154" s="29">
        <v>11080</v>
      </c>
      <c r="Z154" s="29">
        <v>11370</v>
      </c>
      <c r="AA154" s="29">
        <v>12280</v>
      </c>
      <c r="AB154" s="29">
        <v>11640</v>
      </c>
      <c r="AC154" s="29">
        <v>11085</v>
      </c>
      <c r="AD154" s="29">
        <v>11550</v>
      </c>
      <c r="AE154" s="29">
        <v>12020</v>
      </c>
      <c r="AF154" s="29">
        <v>11450</v>
      </c>
      <c r="AG154" s="29">
        <v>12145</v>
      </c>
      <c r="AH154" s="29">
        <v>12895</v>
      </c>
      <c r="AI154" s="29">
        <v>12410</v>
      </c>
      <c r="AJ154" s="29">
        <v>12850</v>
      </c>
      <c r="AK154" s="29">
        <v>11095</v>
      </c>
      <c r="AL154" s="29">
        <v>10995</v>
      </c>
      <c r="AM154" s="29">
        <v>10060</v>
      </c>
      <c r="AN154" s="29">
        <v>9665</v>
      </c>
      <c r="AO154" s="29">
        <v>9018</v>
      </c>
      <c r="AP154" s="29">
        <v>9580</v>
      </c>
      <c r="AQ154" s="29">
        <v>9285</v>
      </c>
      <c r="AR154" s="29">
        <v>10035</v>
      </c>
      <c r="AS154" s="29">
        <v>10380</v>
      </c>
      <c r="AT154" s="29">
        <v>10940</v>
      </c>
      <c r="AU154" s="29">
        <v>11040</v>
      </c>
      <c r="AV154" s="29">
        <v>10040</v>
      </c>
      <c r="AW154" s="29">
        <v>8899</v>
      </c>
      <c r="AX154" s="29">
        <v>8383</v>
      </c>
      <c r="AY154" s="29">
        <v>8413</v>
      </c>
      <c r="AZ154" s="29">
        <v>7226</v>
      </c>
      <c r="BA154" s="29">
        <v>6788</v>
      </c>
      <c r="BB154" s="29">
        <v>6200</v>
      </c>
      <c r="BC154" s="29">
        <v>6323</v>
      </c>
      <c r="BD154" s="29">
        <v>6292</v>
      </c>
      <c r="BE154" s="29">
        <v>6541</v>
      </c>
      <c r="BF154" s="29">
        <v>6508</v>
      </c>
      <c r="BG154" s="29">
        <v>6118</v>
      </c>
      <c r="BH154" s="29">
        <v>6311</v>
      </c>
      <c r="BI154" s="29">
        <v>6018</v>
      </c>
      <c r="BJ154" s="29">
        <v>5910</v>
      </c>
      <c r="BK154" s="29">
        <v>5716</v>
      </c>
      <c r="BL154" s="30">
        <v>5253</v>
      </c>
      <c r="BM154" s="1">
        <v>5265</v>
      </c>
      <c r="BN154" s="1">
        <v>4995</v>
      </c>
      <c r="BO154" s="1">
        <v>5013</v>
      </c>
      <c r="BP154" s="1">
        <v>5016</v>
      </c>
      <c r="BQ154" s="1">
        <v>4867</v>
      </c>
      <c r="BR154" s="1">
        <v>4977</v>
      </c>
      <c r="BS154" s="1">
        <v>4852</v>
      </c>
      <c r="BT154" s="1">
        <v>4813</v>
      </c>
      <c r="BU154" s="1">
        <v>4796</v>
      </c>
      <c r="BV154" s="1">
        <v>4878</v>
      </c>
      <c r="BW154" s="1">
        <v>4525</v>
      </c>
      <c r="BX154" s="1">
        <v>4353</v>
      </c>
      <c r="BY154" s="1">
        <v>4196</v>
      </c>
      <c r="BZ154" s="1">
        <v>4165</v>
      </c>
    </row>
    <row r="155" spans="1:78" ht="15.9" customHeight="1">
      <c r="A155" s="65" t="s">
        <v>304</v>
      </c>
      <c r="B155" s="25" t="s">
        <v>305</v>
      </c>
      <c r="C155" s="39">
        <f>_xll.RssMarket("6754","高値")</f>
        <v>3873</v>
      </c>
      <c r="D155" s="38">
        <f t="shared" si="5"/>
        <v>219</v>
      </c>
      <c r="E155" s="34">
        <v>3654</v>
      </c>
      <c r="F155" s="34">
        <v>3563</v>
      </c>
      <c r="G155" s="29">
        <v>3701</v>
      </c>
      <c r="H155" s="29">
        <v>3625</v>
      </c>
      <c r="I155" s="29">
        <v>3682</v>
      </c>
      <c r="J155" s="29">
        <v>3769</v>
      </c>
      <c r="K155" s="29">
        <v>3926</v>
      </c>
      <c r="L155" s="29"/>
      <c r="M155" s="29">
        <v>4074</v>
      </c>
      <c r="N155" s="29">
        <v>4093</v>
      </c>
      <c r="O155" s="29">
        <v>3848</v>
      </c>
      <c r="P155" s="29">
        <v>3808</v>
      </c>
      <c r="Q155" s="29">
        <v>4139</v>
      </c>
      <c r="R155" s="29">
        <v>4050</v>
      </c>
      <c r="S155" s="29">
        <v>4265</v>
      </c>
      <c r="T155" s="29">
        <v>4327</v>
      </c>
      <c r="U155" s="29">
        <v>4162</v>
      </c>
      <c r="V155" s="29">
        <v>4153</v>
      </c>
      <c r="W155" s="29">
        <v>4280</v>
      </c>
      <c r="X155" s="29">
        <v>4558</v>
      </c>
      <c r="Y155" s="29">
        <v>4500</v>
      </c>
      <c r="Z155" s="29">
        <v>4606</v>
      </c>
      <c r="AA155" s="29">
        <v>4764</v>
      </c>
      <c r="AB155" s="29">
        <v>4440</v>
      </c>
      <c r="AC155" s="29">
        <v>4407</v>
      </c>
      <c r="AD155" s="29">
        <v>4561</v>
      </c>
      <c r="AE155" s="29">
        <v>4699</v>
      </c>
      <c r="AF155" s="29">
        <v>4581</v>
      </c>
      <c r="AG155" s="29">
        <v>4773</v>
      </c>
      <c r="AH155" s="29">
        <v>4396</v>
      </c>
      <c r="AI155" s="29">
        <v>4392</v>
      </c>
      <c r="AJ155" s="29">
        <v>4186</v>
      </c>
      <c r="AK155" s="29">
        <v>4123</v>
      </c>
      <c r="AL155" s="29">
        <v>4156</v>
      </c>
      <c r="AM155" s="29">
        <v>4073</v>
      </c>
      <c r="AN155" s="29">
        <v>4030</v>
      </c>
      <c r="AO155" s="29">
        <v>3879</v>
      </c>
      <c r="AP155" s="29">
        <v>4151</v>
      </c>
      <c r="AQ155" s="29">
        <v>4350</v>
      </c>
      <c r="AR155" s="29">
        <v>4730</v>
      </c>
      <c r="AS155" s="29">
        <v>4732</v>
      </c>
      <c r="AT155" s="29">
        <v>4855</v>
      </c>
      <c r="AU155" s="29">
        <v>4710</v>
      </c>
      <c r="AV155" s="29">
        <v>4658</v>
      </c>
      <c r="AW155" s="29">
        <v>4606</v>
      </c>
      <c r="AX155" s="29">
        <v>4728</v>
      </c>
      <c r="AY155" s="29">
        <v>4848</v>
      </c>
      <c r="AZ155" s="29">
        <v>4630</v>
      </c>
      <c r="BA155" s="29">
        <v>4545</v>
      </c>
      <c r="BB155" s="29">
        <v>4425</v>
      </c>
      <c r="BC155" s="29">
        <v>4233</v>
      </c>
      <c r="BD155" s="29">
        <v>4272</v>
      </c>
      <c r="BE155" s="29">
        <v>4386</v>
      </c>
      <c r="BF155" s="29">
        <v>4313</v>
      </c>
      <c r="BG155" s="29">
        <v>4209</v>
      </c>
      <c r="BH155" s="29">
        <v>4242</v>
      </c>
      <c r="BI155" s="29">
        <v>4328</v>
      </c>
      <c r="BJ155" s="29">
        <v>4263</v>
      </c>
      <c r="BK155" s="29">
        <v>4137</v>
      </c>
      <c r="BL155" s="30">
        <v>3968</v>
      </c>
      <c r="BM155" s="1">
        <v>4229</v>
      </c>
      <c r="BN155" s="1">
        <v>4235</v>
      </c>
      <c r="BO155" s="1">
        <v>3806</v>
      </c>
      <c r="BP155" s="1">
        <v>3634</v>
      </c>
      <c r="BQ155" s="1">
        <v>3649</v>
      </c>
      <c r="BR155" s="1">
        <v>3646</v>
      </c>
      <c r="BS155" s="1">
        <v>3679</v>
      </c>
      <c r="BT155" s="1">
        <v>3514</v>
      </c>
      <c r="BU155" s="1">
        <v>3465</v>
      </c>
      <c r="BV155" s="1">
        <v>3453</v>
      </c>
      <c r="BW155" s="1">
        <v>3530</v>
      </c>
      <c r="BX155" s="1">
        <v>3454</v>
      </c>
      <c r="BY155" s="1">
        <v>3478</v>
      </c>
      <c r="BZ155" s="1">
        <v>3422</v>
      </c>
    </row>
    <row r="156" spans="1:78" ht="15.9" customHeight="1">
      <c r="A156" s="65" t="s">
        <v>306</v>
      </c>
      <c r="B156" s="25" t="s">
        <v>307</v>
      </c>
      <c r="C156" s="39">
        <f>_xll.RssMarket("4088","高値")</f>
        <v>2577</v>
      </c>
      <c r="D156" s="38">
        <f t="shared" si="5"/>
        <v>-83</v>
      </c>
      <c r="E156" s="34">
        <v>2660</v>
      </c>
      <c r="F156" s="34">
        <v>2610</v>
      </c>
      <c r="G156" s="29">
        <v>2575</v>
      </c>
      <c r="H156" s="29">
        <v>2602</v>
      </c>
      <c r="I156" s="29">
        <v>2628</v>
      </c>
      <c r="J156" s="29">
        <v>2697</v>
      </c>
      <c r="K156" s="29">
        <v>2667</v>
      </c>
      <c r="L156" s="29">
        <v>2607</v>
      </c>
      <c r="M156" s="29">
        <v>2606</v>
      </c>
      <c r="N156" s="29">
        <v>2592</v>
      </c>
      <c r="O156" s="29">
        <v>2554</v>
      </c>
      <c r="P156" s="29">
        <v>2580</v>
      </c>
      <c r="Q156" s="29">
        <v>2588</v>
      </c>
      <c r="R156" s="29">
        <v>2588</v>
      </c>
      <c r="S156" s="29">
        <v>2566</v>
      </c>
      <c r="T156" s="29">
        <v>2628</v>
      </c>
      <c r="U156" s="29">
        <v>2676</v>
      </c>
      <c r="V156" s="29">
        <v>2740</v>
      </c>
      <c r="W156" s="29">
        <v>2803</v>
      </c>
      <c r="X156" s="29">
        <v>2836</v>
      </c>
      <c r="Y156" s="29">
        <v>2851</v>
      </c>
      <c r="Z156" s="29">
        <v>2796</v>
      </c>
      <c r="AA156" s="29">
        <v>2800</v>
      </c>
      <c r="AB156" s="29">
        <v>2900</v>
      </c>
      <c r="AC156" s="29">
        <v>2781</v>
      </c>
      <c r="AD156" s="29">
        <v>2861</v>
      </c>
      <c r="AE156" s="29">
        <v>2949</v>
      </c>
      <c r="AF156" s="29">
        <v>2763</v>
      </c>
      <c r="AG156" s="29">
        <v>2740</v>
      </c>
      <c r="AH156" s="29">
        <v>2510</v>
      </c>
      <c r="AI156" s="29">
        <v>2525</v>
      </c>
      <c r="AJ156" s="29">
        <v>2520</v>
      </c>
      <c r="AK156" s="29">
        <v>2530</v>
      </c>
      <c r="AL156" s="29">
        <v>2580</v>
      </c>
      <c r="AM156" s="29">
        <v>2568</v>
      </c>
      <c r="AN156" s="29">
        <v>2480</v>
      </c>
      <c r="AO156" s="29">
        <v>2468</v>
      </c>
      <c r="AP156" s="29">
        <v>2487</v>
      </c>
      <c r="AQ156" s="29">
        <v>2470</v>
      </c>
      <c r="AR156" s="29">
        <v>2481</v>
      </c>
      <c r="AS156" s="29">
        <v>2536</v>
      </c>
      <c r="AT156" s="29">
        <v>2508</v>
      </c>
      <c r="AU156" s="29">
        <v>2495</v>
      </c>
      <c r="AV156" s="29">
        <v>2627</v>
      </c>
      <c r="AW156" s="29">
        <v>2630</v>
      </c>
      <c r="AX156" s="29">
        <v>2674</v>
      </c>
      <c r="AY156" s="29">
        <v>2663</v>
      </c>
      <c r="AZ156" s="29">
        <v>2648</v>
      </c>
      <c r="BA156" s="29">
        <v>2589</v>
      </c>
      <c r="BB156" s="29">
        <v>2678</v>
      </c>
      <c r="BC156" s="29">
        <v>2554</v>
      </c>
      <c r="BD156" s="29">
        <v>2331</v>
      </c>
      <c r="BE156" s="29">
        <v>2310</v>
      </c>
      <c r="BF156" s="29">
        <v>2192</v>
      </c>
      <c r="BG156" s="29">
        <v>2103</v>
      </c>
      <c r="BH156" s="29">
        <v>2078</v>
      </c>
      <c r="BI156" s="29">
        <v>2040</v>
      </c>
      <c r="BJ156" s="29">
        <v>1948.5</v>
      </c>
      <c r="BK156" s="29">
        <v>1968.5</v>
      </c>
      <c r="BL156" s="30">
        <v>2045</v>
      </c>
      <c r="BM156" s="1">
        <v>2243.5</v>
      </c>
      <c r="BN156" s="1">
        <v>2261</v>
      </c>
      <c r="BO156" s="1">
        <v>2244.5</v>
      </c>
      <c r="BP156" s="1">
        <v>2236.5</v>
      </c>
      <c r="BQ156" s="1">
        <v>2215.5</v>
      </c>
      <c r="BR156" s="1">
        <v>2259</v>
      </c>
      <c r="BS156" s="1">
        <v>2282</v>
      </c>
      <c r="BT156" s="1">
        <v>2289.5</v>
      </c>
      <c r="BU156" s="1">
        <v>2302</v>
      </c>
      <c r="BV156" s="1">
        <v>2314</v>
      </c>
      <c r="BW156" s="1">
        <v>2338</v>
      </c>
      <c r="BX156" s="1">
        <v>2271</v>
      </c>
      <c r="BY156" s="1">
        <v>2245</v>
      </c>
      <c r="BZ156" s="1">
        <v>2265</v>
      </c>
    </row>
    <row r="157" spans="1:78" ht="15.9" customHeight="1">
      <c r="A157" s="65" t="s">
        <v>308</v>
      </c>
      <c r="B157" s="25" t="s">
        <v>309</v>
      </c>
      <c r="C157" s="39">
        <f>_xll.RssMarket("4091","高値")</f>
        <v>5948</v>
      </c>
      <c r="D157" s="38">
        <f t="shared" si="5"/>
        <v>158</v>
      </c>
      <c r="E157" s="34">
        <v>5790</v>
      </c>
      <c r="F157" s="34">
        <v>5781</v>
      </c>
      <c r="G157" s="29">
        <v>5941</v>
      </c>
      <c r="H157" s="29">
        <v>5958</v>
      </c>
      <c r="I157" s="29">
        <v>6052</v>
      </c>
      <c r="J157" s="29">
        <v>6009</v>
      </c>
      <c r="K157" s="29">
        <v>6120</v>
      </c>
      <c r="L157" s="29">
        <v>5909</v>
      </c>
      <c r="M157" s="29">
        <v>6018</v>
      </c>
      <c r="N157" s="29">
        <v>6050</v>
      </c>
      <c r="O157" s="29">
        <v>6086</v>
      </c>
      <c r="P157" s="29">
        <v>6227</v>
      </c>
      <c r="Q157" s="29">
        <v>6189</v>
      </c>
      <c r="R157" s="29">
        <v>6108</v>
      </c>
      <c r="S157" s="29">
        <v>6101</v>
      </c>
      <c r="T157" s="29">
        <v>6239</v>
      </c>
      <c r="U157" s="29">
        <v>6158</v>
      </c>
      <c r="V157" s="29">
        <v>6256</v>
      </c>
      <c r="W157" s="29">
        <v>6300</v>
      </c>
      <c r="X157" s="29">
        <v>6420</v>
      </c>
      <c r="Y157" s="29">
        <v>6286</v>
      </c>
      <c r="Z157" s="29">
        <v>6345</v>
      </c>
      <c r="AA157" s="29">
        <v>6020</v>
      </c>
      <c r="AB157" s="29">
        <v>6034</v>
      </c>
      <c r="AC157" s="29">
        <v>6030</v>
      </c>
      <c r="AD157" s="29">
        <v>5975</v>
      </c>
      <c r="AE157" s="29">
        <v>5715</v>
      </c>
      <c r="AF157" s="29">
        <v>5632</v>
      </c>
      <c r="AG157" s="29">
        <v>5744</v>
      </c>
      <c r="AH157" s="29">
        <v>5557</v>
      </c>
      <c r="AI157" s="29">
        <v>5649</v>
      </c>
      <c r="AJ157" s="29">
        <v>5652</v>
      </c>
      <c r="AK157" s="29">
        <v>5615</v>
      </c>
      <c r="AL157" s="29">
        <v>5611</v>
      </c>
      <c r="AM157" s="29">
        <v>5757</v>
      </c>
      <c r="AN157" s="29">
        <v>5435</v>
      </c>
      <c r="AO157" s="29">
        <v>5299</v>
      </c>
      <c r="AP157" s="29">
        <v>5388</v>
      </c>
      <c r="AQ157" s="29">
        <v>5607</v>
      </c>
      <c r="AR157" s="29">
        <v>5674</v>
      </c>
      <c r="AS157" s="29">
        <v>5684</v>
      </c>
      <c r="AT157" s="29">
        <v>5771</v>
      </c>
      <c r="AU157" s="29">
        <v>5824</v>
      </c>
      <c r="AV157" s="29">
        <v>6406</v>
      </c>
      <c r="AW157" s="29">
        <v>6377</v>
      </c>
      <c r="AX157" s="29">
        <v>6509</v>
      </c>
      <c r="AY157" s="29">
        <v>6429</v>
      </c>
      <c r="AZ157" s="29">
        <v>6278</v>
      </c>
      <c r="BA157" s="29">
        <v>5959</v>
      </c>
      <c r="BB157" s="29">
        <v>5888</v>
      </c>
      <c r="BC157" s="29">
        <v>6101</v>
      </c>
      <c r="BD157" s="29">
        <v>6108</v>
      </c>
      <c r="BE157" s="29">
        <v>6231</v>
      </c>
      <c r="BF157" s="29">
        <v>6108</v>
      </c>
      <c r="BG157" s="29">
        <v>5925</v>
      </c>
      <c r="BH157" s="29">
        <v>6162</v>
      </c>
      <c r="BI157" s="29">
        <v>6225</v>
      </c>
      <c r="BJ157" s="29">
        <v>5800</v>
      </c>
      <c r="BK157" s="29">
        <v>5782</v>
      </c>
      <c r="BL157" s="30">
        <v>5621</v>
      </c>
      <c r="BM157" s="1">
        <v>5675</v>
      </c>
      <c r="BN157" s="1">
        <v>5691</v>
      </c>
      <c r="BO157" s="1">
        <v>5711</v>
      </c>
      <c r="BP157" s="1">
        <v>5753</v>
      </c>
      <c r="BQ157" s="1">
        <v>5694</v>
      </c>
      <c r="BR157" s="1">
        <v>5740</v>
      </c>
      <c r="BS157" s="1">
        <v>5942</v>
      </c>
      <c r="BT157" s="1">
        <v>5875</v>
      </c>
      <c r="BU157" s="1">
        <v>6076</v>
      </c>
      <c r="BV157" s="1">
        <v>6044</v>
      </c>
      <c r="BW157" s="1">
        <v>5891</v>
      </c>
      <c r="BX157" s="1">
        <v>6009</v>
      </c>
      <c r="BY157" s="1">
        <v>5907</v>
      </c>
      <c r="BZ157" s="1">
        <v>5979</v>
      </c>
    </row>
    <row r="158" spans="1:78" ht="15.9" customHeight="1">
      <c r="A158" s="65" t="s">
        <v>310</v>
      </c>
      <c r="B158" s="25" t="s">
        <v>311</v>
      </c>
      <c r="C158" s="39">
        <f>_xll.RssMarket("6857","高値")</f>
        <v>33640</v>
      </c>
      <c r="D158" s="38">
        <f t="shared" si="5"/>
        <v>1220</v>
      </c>
      <c r="E158" s="34">
        <v>32420</v>
      </c>
      <c r="F158" s="34">
        <v>32780</v>
      </c>
      <c r="G158" s="29">
        <v>32940</v>
      </c>
      <c r="H158" s="29">
        <v>29425</v>
      </c>
      <c r="I158" s="29">
        <v>27520</v>
      </c>
      <c r="J158" s="29">
        <v>26485</v>
      </c>
      <c r="K158" s="29">
        <v>29590</v>
      </c>
      <c r="L158" s="29">
        <v>30270</v>
      </c>
      <c r="M158" s="29">
        <v>31540</v>
      </c>
      <c r="N158" s="29">
        <v>31580</v>
      </c>
      <c r="O158" s="29">
        <v>29825</v>
      </c>
      <c r="P158" s="29">
        <v>28150</v>
      </c>
      <c r="Q158" s="29">
        <v>31550</v>
      </c>
      <c r="R158" s="29">
        <v>29780</v>
      </c>
      <c r="S158" s="29">
        <v>30020</v>
      </c>
      <c r="T158" s="29">
        <v>30580</v>
      </c>
      <c r="U158" s="29">
        <v>29820</v>
      </c>
      <c r="V158" s="29">
        <v>29375</v>
      </c>
      <c r="W158" s="29">
        <v>30120</v>
      </c>
      <c r="X158" s="29">
        <v>30230</v>
      </c>
      <c r="Y158" s="29">
        <v>29385</v>
      </c>
      <c r="Z158" s="29">
        <v>30650</v>
      </c>
      <c r="AA158" s="29">
        <v>34200</v>
      </c>
      <c r="AB158" s="29">
        <v>33010</v>
      </c>
      <c r="AC158" s="29">
        <v>32930</v>
      </c>
      <c r="AD158" s="29">
        <v>35350</v>
      </c>
      <c r="AE158" s="29">
        <v>35940</v>
      </c>
      <c r="AF158" s="29">
        <v>31780</v>
      </c>
      <c r="AG158" s="29">
        <v>33260</v>
      </c>
      <c r="AH158" s="29">
        <v>32600</v>
      </c>
      <c r="AI158" s="29">
        <v>32000</v>
      </c>
      <c r="AJ158" s="29">
        <v>30670</v>
      </c>
      <c r="AK158" s="29">
        <v>31170</v>
      </c>
      <c r="AL158" s="29">
        <v>31280</v>
      </c>
      <c r="AM158" s="29">
        <v>29620</v>
      </c>
      <c r="AN158" s="29">
        <v>27800</v>
      </c>
      <c r="AO158" s="29">
        <v>25475</v>
      </c>
      <c r="AP158" s="29">
        <v>26035</v>
      </c>
      <c r="AQ158" s="29">
        <v>25780</v>
      </c>
      <c r="AR158" s="29">
        <v>27590</v>
      </c>
      <c r="AS158" s="29">
        <v>28435</v>
      </c>
      <c r="AT158" s="29">
        <v>27970</v>
      </c>
      <c r="AU158" s="29">
        <v>26350</v>
      </c>
      <c r="AV158" s="29">
        <v>26605</v>
      </c>
      <c r="AW158" s="29">
        <v>27195</v>
      </c>
      <c r="AX158" s="29">
        <v>27780</v>
      </c>
      <c r="AY158" s="29">
        <v>28515</v>
      </c>
      <c r="AZ158" s="29">
        <v>27120</v>
      </c>
      <c r="BA158" s="29">
        <v>27020</v>
      </c>
      <c r="BB158" s="29">
        <v>26145</v>
      </c>
      <c r="BC158" s="29">
        <v>26420</v>
      </c>
      <c r="BD158" s="29">
        <v>26580</v>
      </c>
      <c r="BE158" s="29">
        <v>29020</v>
      </c>
      <c r="BF158" s="29">
        <v>29940</v>
      </c>
      <c r="BG158" s="29">
        <v>28340</v>
      </c>
      <c r="BH158" s="29">
        <v>29405</v>
      </c>
      <c r="BI158" s="29">
        <v>30580</v>
      </c>
      <c r="BJ158" s="29">
        <v>30070</v>
      </c>
      <c r="BK158" s="29">
        <v>30260</v>
      </c>
      <c r="BL158" s="30">
        <v>29160</v>
      </c>
      <c r="BM158" s="1">
        <v>29700</v>
      </c>
      <c r="BN158" s="1">
        <v>30710</v>
      </c>
      <c r="BO158" s="1">
        <v>32400</v>
      </c>
      <c r="BP158" s="1">
        <v>29460</v>
      </c>
      <c r="BQ158" s="1">
        <v>29070</v>
      </c>
      <c r="BR158" s="1">
        <v>28360</v>
      </c>
      <c r="BS158" s="1">
        <v>27895</v>
      </c>
      <c r="BT158" s="1">
        <v>28055</v>
      </c>
      <c r="BU158" s="1">
        <v>29050</v>
      </c>
      <c r="BV158" s="1">
        <v>28800</v>
      </c>
      <c r="BW158" s="1">
        <v>28610</v>
      </c>
      <c r="BX158" s="1">
        <v>27130</v>
      </c>
      <c r="BY158" s="1">
        <v>25245</v>
      </c>
      <c r="BZ158" s="1">
        <v>25800</v>
      </c>
    </row>
    <row r="159" spans="1:78" ht="15.9" customHeight="1">
      <c r="A159" s="65" t="s">
        <v>312</v>
      </c>
      <c r="B159" s="25" t="s">
        <v>313</v>
      </c>
      <c r="C159" s="39">
        <f>_xll.RssMarket("3891","高値")</f>
        <v>7700</v>
      </c>
      <c r="D159" s="38">
        <f t="shared" si="5"/>
        <v>500</v>
      </c>
      <c r="E159" s="34">
        <v>7200</v>
      </c>
      <c r="F159" s="34">
        <v>7230</v>
      </c>
      <c r="G159" s="29">
        <v>6730</v>
      </c>
      <c r="H159" s="29">
        <v>5980</v>
      </c>
      <c r="I159" s="29">
        <v>6180</v>
      </c>
      <c r="J159" s="29">
        <v>6480</v>
      </c>
      <c r="K159" s="29">
        <v>7110</v>
      </c>
      <c r="L159" s="29">
        <v>7330</v>
      </c>
      <c r="M159" s="29">
        <v>7580</v>
      </c>
      <c r="N159" s="29">
        <v>7780</v>
      </c>
      <c r="O159" s="29">
        <v>7220</v>
      </c>
      <c r="P159" s="29">
        <v>7160</v>
      </c>
      <c r="Q159" s="29">
        <v>7950</v>
      </c>
      <c r="R159" s="29">
        <v>7540</v>
      </c>
      <c r="S159" s="29">
        <v>8180</v>
      </c>
      <c r="T159" s="29">
        <v>8330</v>
      </c>
      <c r="U159" s="29">
        <v>8380</v>
      </c>
      <c r="V159" s="29">
        <v>8230</v>
      </c>
      <c r="W159" s="29">
        <v>8790</v>
      </c>
      <c r="X159" s="29">
        <v>9460</v>
      </c>
      <c r="Y159" s="29">
        <v>9310</v>
      </c>
      <c r="Z159" s="29">
        <v>9780</v>
      </c>
      <c r="AA159" s="29">
        <v>10510</v>
      </c>
      <c r="AB159" s="29">
        <v>10300</v>
      </c>
      <c r="AC159" s="29">
        <v>10010</v>
      </c>
      <c r="AD159" s="29">
        <v>10410</v>
      </c>
      <c r="AE159" s="29">
        <v>10560</v>
      </c>
      <c r="AF159" s="29">
        <v>10250</v>
      </c>
      <c r="AG159" s="29">
        <v>10810</v>
      </c>
      <c r="AH159" s="29">
        <v>10750</v>
      </c>
      <c r="AI159" s="29">
        <v>11100</v>
      </c>
      <c r="AJ159" s="29">
        <v>11110</v>
      </c>
      <c r="AK159" s="29">
        <v>10110</v>
      </c>
      <c r="AL159" s="29">
        <v>9140</v>
      </c>
      <c r="AM159" s="29">
        <v>9040</v>
      </c>
      <c r="AN159" s="29">
        <v>9650</v>
      </c>
      <c r="AO159" s="29">
        <v>9140</v>
      </c>
      <c r="AP159" s="29">
        <v>9750</v>
      </c>
      <c r="AQ159" s="29">
        <v>9490</v>
      </c>
      <c r="AR159" s="29">
        <v>9180</v>
      </c>
      <c r="AS159" s="29">
        <v>8640</v>
      </c>
      <c r="AT159" s="29">
        <v>8620</v>
      </c>
      <c r="AU159" s="29">
        <v>8250</v>
      </c>
      <c r="AV159" s="29">
        <v>7650</v>
      </c>
      <c r="AW159" s="29">
        <v>7110</v>
      </c>
      <c r="AX159" s="29">
        <v>7590</v>
      </c>
      <c r="AY159" s="29">
        <v>7810</v>
      </c>
      <c r="AZ159" s="29">
        <v>7510</v>
      </c>
      <c r="BA159" s="29">
        <v>7140</v>
      </c>
      <c r="BB159" s="29">
        <v>6900</v>
      </c>
      <c r="BC159" s="29">
        <v>6680</v>
      </c>
      <c r="BD159" s="29">
        <v>6490</v>
      </c>
      <c r="BE159" s="29">
        <v>6540</v>
      </c>
      <c r="BF159" s="29">
        <v>6540</v>
      </c>
      <c r="BG159" s="29">
        <v>6590</v>
      </c>
      <c r="BH159" s="29">
        <v>6550</v>
      </c>
      <c r="BI159" s="29">
        <v>6740</v>
      </c>
      <c r="BJ159" s="29">
        <v>6660</v>
      </c>
      <c r="BK159" s="29">
        <v>6660</v>
      </c>
      <c r="BL159" s="30">
        <v>6460</v>
      </c>
      <c r="BM159" s="1">
        <v>6600</v>
      </c>
      <c r="BN159" s="1">
        <v>6570</v>
      </c>
      <c r="BO159" s="1">
        <v>6150</v>
      </c>
      <c r="BP159" s="1">
        <v>5150</v>
      </c>
      <c r="BQ159" s="1">
        <v>4555</v>
      </c>
      <c r="BR159" s="1">
        <v>4645</v>
      </c>
      <c r="BS159" s="1">
        <v>4670</v>
      </c>
      <c r="BT159" s="1">
        <v>4465</v>
      </c>
      <c r="BU159" s="1">
        <v>4490</v>
      </c>
      <c r="BV159" s="1">
        <v>4645</v>
      </c>
      <c r="BW159" s="1">
        <v>4560</v>
      </c>
      <c r="BX159" s="1">
        <v>4340</v>
      </c>
      <c r="BY159" s="1">
        <v>4165</v>
      </c>
      <c r="BZ159" s="1">
        <v>4130</v>
      </c>
    </row>
    <row r="160" spans="1:78" ht="15.9" customHeight="1">
      <c r="A160" s="65" t="s">
        <v>314</v>
      </c>
      <c r="B160" s="25" t="s">
        <v>315</v>
      </c>
      <c r="C160" s="39">
        <f>_xll.RssMarket("4373","高値")</f>
        <v>1105</v>
      </c>
      <c r="D160" s="38">
        <f t="shared" si="5"/>
        <v>-12</v>
      </c>
      <c r="E160" s="34">
        <v>1117</v>
      </c>
      <c r="F160" s="34">
        <v>1137</v>
      </c>
      <c r="G160" s="29">
        <v>1166</v>
      </c>
      <c r="H160" s="29">
        <v>1212</v>
      </c>
      <c r="I160" s="29">
        <v>1195</v>
      </c>
      <c r="J160" s="29">
        <v>1173</v>
      </c>
      <c r="K160" s="29">
        <v>1146</v>
      </c>
      <c r="L160" s="29">
        <v>1067</v>
      </c>
      <c r="M160" s="29">
        <v>1043</v>
      </c>
      <c r="N160" s="29">
        <v>1057</v>
      </c>
      <c r="O160" s="29">
        <v>1102</v>
      </c>
      <c r="P160" s="29">
        <v>1096</v>
      </c>
      <c r="Q160" s="29">
        <v>1038</v>
      </c>
      <c r="R160" s="29">
        <v>1068</v>
      </c>
      <c r="S160" s="29">
        <v>1058</v>
      </c>
      <c r="T160" s="29">
        <v>1066</v>
      </c>
      <c r="U160" s="29">
        <v>1062</v>
      </c>
      <c r="V160" s="29">
        <v>1084</v>
      </c>
      <c r="W160" s="29">
        <v>1080</v>
      </c>
      <c r="X160" s="29">
        <v>1032</v>
      </c>
      <c r="Y160" s="29">
        <v>1023</v>
      </c>
      <c r="Z160" s="29">
        <v>995</v>
      </c>
      <c r="AA160" s="29">
        <v>958</v>
      </c>
      <c r="AB160" s="29">
        <v>955</v>
      </c>
      <c r="AC160" s="29">
        <v>964</v>
      </c>
      <c r="AD160" s="29">
        <v>915</v>
      </c>
      <c r="AE160" s="29">
        <v>932</v>
      </c>
      <c r="AF160" s="29">
        <v>931</v>
      </c>
      <c r="AG160" s="29">
        <v>933</v>
      </c>
      <c r="AH160" s="29">
        <v>952</v>
      </c>
      <c r="AI160" s="29">
        <v>942</v>
      </c>
      <c r="AJ160" s="29">
        <v>966</v>
      </c>
      <c r="AK160" s="29">
        <v>974</v>
      </c>
      <c r="AL160" s="29">
        <v>962</v>
      </c>
      <c r="AM160" s="29">
        <v>996</v>
      </c>
      <c r="AN160" s="29">
        <v>1004</v>
      </c>
      <c r="AO160" s="29">
        <v>1039</v>
      </c>
      <c r="AP160" s="29">
        <v>1066</v>
      </c>
      <c r="AQ160" s="29">
        <v>1090</v>
      </c>
      <c r="AR160" s="29">
        <v>1113</v>
      </c>
      <c r="AS160" s="29">
        <v>1118</v>
      </c>
      <c r="AT160" s="29">
        <v>1128</v>
      </c>
      <c r="AU160" s="29">
        <v>1158</v>
      </c>
      <c r="AV160" s="29">
        <v>1104</v>
      </c>
      <c r="AW160" s="29">
        <v>1056</v>
      </c>
      <c r="AX160" s="29">
        <v>1042</v>
      </c>
      <c r="AY160" s="29">
        <v>1044</v>
      </c>
      <c r="AZ160" s="29">
        <v>1046</v>
      </c>
      <c r="BA160" s="29">
        <v>1030</v>
      </c>
      <c r="BB160" s="29">
        <v>1027</v>
      </c>
      <c r="BC160" s="29">
        <v>1070</v>
      </c>
      <c r="BD160" s="29">
        <v>965</v>
      </c>
      <c r="BE160" s="29">
        <v>954</v>
      </c>
      <c r="BF160" s="29">
        <v>962</v>
      </c>
      <c r="BG160" s="29">
        <v>979</v>
      </c>
      <c r="BH160" s="29">
        <v>965</v>
      </c>
      <c r="BI160" s="29">
        <v>952</v>
      </c>
      <c r="BJ160" s="29">
        <v>939</v>
      </c>
      <c r="BK160" s="29">
        <v>924</v>
      </c>
      <c r="BL160" s="30">
        <v>938</v>
      </c>
      <c r="BM160" s="1">
        <v>892</v>
      </c>
      <c r="BN160" s="1">
        <v>888</v>
      </c>
      <c r="BO160" s="1">
        <v>921</v>
      </c>
      <c r="BP160" s="1">
        <v>926</v>
      </c>
      <c r="BQ160" s="1">
        <v>953</v>
      </c>
      <c r="BR160" s="1">
        <v>967</v>
      </c>
      <c r="BS160" s="1">
        <v>959</v>
      </c>
      <c r="BT160" s="1">
        <v>952</v>
      </c>
      <c r="BU160" s="1">
        <v>949</v>
      </c>
      <c r="BV160" s="1">
        <v>936</v>
      </c>
      <c r="BW160" s="1">
        <v>922</v>
      </c>
      <c r="BX160" s="1">
        <v>852</v>
      </c>
      <c r="BY160" s="1">
        <v>819</v>
      </c>
      <c r="BZ160" s="1">
        <v>830</v>
      </c>
    </row>
    <row r="161" spans="1:78" ht="15.9" customHeight="1">
      <c r="A161" s="65" t="s">
        <v>316</v>
      </c>
      <c r="B161" s="25" t="s">
        <v>317</v>
      </c>
      <c r="C161" s="39">
        <f>_xll.RssMarket("8892","高値")</f>
        <v>1084</v>
      </c>
      <c r="D161" s="38">
        <f t="shared" si="5"/>
        <v>5</v>
      </c>
      <c r="E161" s="34">
        <v>1079</v>
      </c>
      <c r="F161" s="34">
        <v>1072</v>
      </c>
      <c r="G161" s="29">
        <v>1095</v>
      </c>
      <c r="H161" s="29">
        <v>1115</v>
      </c>
      <c r="I161" s="29">
        <v>1116</v>
      </c>
      <c r="J161" s="29">
        <v>1129</v>
      </c>
      <c r="K161" s="29">
        <v>1117</v>
      </c>
      <c r="L161" s="29"/>
      <c r="M161" s="29">
        <v>1120</v>
      </c>
      <c r="N161" s="29">
        <v>1120</v>
      </c>
      <c r="O161" s="29">
        <v>1120</v>
      </c>
      <c r="P161" s="29">
        <v>1118</v>
      </c>
      <c r="Q161" s="29">
        <v>1130</v>
      </c>
      <c r="R161" s="29">
        <v>1128</v>
      </c>
      <c r="S161" s="29">
        <v>1139</v>
      </c>
      <c r="T161" s="29">
        <v>1129</v>
      </c>
      <c r="U161" s="29">
        <v>1118</v>
      </c>
      <c r="V161" s="29">
        <v>1113</v>
      </c>
      <c r="W161" s="29">
        <v>1113</v>
      </c>
      <c r="X161" s="29">
        <v>1106</v>
      </c>
      <c r="Y161" s="29">
        <v>1103</v>
      </c>
      <c r="Z161" s="29">
        <v>1093</v>
      </c>
      <c r="AA161" s="29">
        <v>1082</v>
      </c>
      <c r="AB161" s="29">
        <v>1091</v>
      </c>
      <c r="AC161" s="29">
        <v>1082</v>
      </c>
      <c r="AD161" s="29">
        <v>1070</v>
      </c>
      <c r="AE161" s="29">
        <v>1070</v>
      </c>
      <c r="AF161" s="29">
        <v>1065</v>
      </c>
      <c r="AG161" s="29">
        <v>1067</v>
      </c>
      <c r="AH161" s="29">
        <v>1069</v>
      </c>
      <c r="AI161" s="29">
        <v>1077</v>
      </c>
      <c r="AJ161" s="29">
        <v>1086</v>
      </c>
      <c r="AK161" s="29">
        <v>1105</v>
      </c>
      <c r="AL161" s="29">
        <v>1105</v>
      </c>
      <c r="AM161" s="29">
        <v>1123</v>
      </c>
      <c r="AN161" s="29">
        <v>1110</v>
      </c>
      <c r="AO161" s="29">
        <v>1109</v>
      </c>
      <c r="AP161" s="29">
        <v>1106</v>
      </c>
      <c r="AQ161" s="29">
        <v>1097</v>
      </c>
      <c r="AR161" s="29">
        <v>1096</v>
      </c>
      <c r="AS161" s="29">
        <v>1075</v>
      </c>
      <c r="AT161" s="29">
        <v>1084</v>
      </c>
      <c r="AU161" s="29">
        <v>1083</v>
      </c>
      <c r="AV161" s="29">
        <v>1109</v>
      </c>
      <c r="AW161" s="29">
        <v>1107</v>
      </c>
      <c r="AX161" s="29">
        <v>1109</v>
      </c>
      <c r="AY161" s="29">
        <v>1122</v>
      </c>
      <c r="AZ161" s="29">
        <v>1138</v>
      </c>
      <c r="BA161" s="29">
        <v>1142</v>
      </c>
      <c r="BB161" s="29">
        <v>1145</v>
      </c>
      <c r="BC161" s="29">
        <v>1159</v>
      </c>
      <c r="BD161" s="29">
        <v>1125</v>
      </c>
      <c r="BE161" s="29">
        <v>1154</v>
      </c>
      <c r="BF161" s="29">
        <v>1160</v>
      </c>
      <c r="BG161" s="29">
        <v>1176</v>
      </c>
      <c r="BH161" s="29">
        <v>1185</v>
      </c>
      <c r="BI161" s="29">
        <v>1168</v>
      </c>
      <c r="BJ161" s="29">
        <v>1171</v>
      </c>
      <c r="BK161" s="29">
        <v>1178</v>
      </c>
      <c r="BL161" s="30">
        <v>1176</v>
      </c>
      <c r="BM161" s="1">
        <v>1183</v>
      </c>
      <c r="BN161" s="1">
        <v>1206</v>
      </c>
      <c r="BO161" s="1">
        <v>1223</v>
      </c>
      <c r="BP161" s="1">
        <v>1142</v>
      </c>
      <c r="BQ161" s="1">
        <v>1131</v>
      </c>
      <c r="BR161" s="1">
        <v>1141</v>
      </c>
      <c r="BS161" s="1">
        <v>1163</v>
      </c>
      <c r="BT161" s="1">
        <v>1148</v>
      </c>
      <c r="BU161" s="1">
        <v>1139</v>
      </c>
      <c r="BV161" s="1">
        <v>1152</v>
      </c>
      <c r="BW161" s="1">
        <v>1149</v>
      </c>
      <c r="BX161" s="1">
        <v>1143</v>
      </c>
      <c r="BY161" s="1">
        <v>1136</v>
      </c>
      <c r="BZ161" s="1">
        <v>1138</v>
      </c>
    </row>
    <row r="162" spans="1:78" ht="15.9" customHeight="1">
      <c r="A162" s="65" t="s">
        <v>318</v>
      </c>
      <c r="B162" s="25" t="s">
        <v>319</v>
      </c>
      <c r="C162" s="39">
        <f>_xll.RssMarket("9687","高値")</f>
        <v>4375</v>
      </c>
      <c r="D162" s="38">
        <f t="shared" si="5"/>
        <v>-45</v>
      </c>
      <c r="E162" s="34">
        <v>4420</v>
      </c>
      <c r="F162" s="34">
        <v>4460</v>
      </c>
      <c r="G162" s="29">
        <v>4480</v>
      </c>
      <c r="H162" s="29">
        <v>4490</v>
      </c>
      <c r="I162" s="29">
        <v>4620</v>
      </c>
      <c r="J162" s="29">
        <v>4625</v>
      </c>
      <c r="K162" s="29">
        <v>4680</v>
      </c>
      <c r="L162" s="29"/>
      <c r="M162" s="29">
        <v>4480</v>
      </c>
      <c r="N162" s="29">
        <v>4435</v>
      </c>
      <c r="O162" s="29">
        <v>4420</v>
      </c>
      <c r="P162" s="29">
        <v>4400</v>
      </c>
      <c r="Q162" s="29">
        <v>4410</v>
      </c>
      <c r="R162" s="29">
        <v>4415</v>
      </c>
      <c r="S162" s="29">
        <v>4395</v>
      </c>
      <c r="T162" s="29">
        <v>4375</v>
      </c>
      <c r="U162" s="29">
        <v>4380</v>
      </c>
      <c r="V162" s="29">
        <v>4375</v>
      </c>
      <c r="W162" s="29">
        <v>4350</v>
      </c>
      <c r="X162" s="29">
        <v>4360</v>
      </c>
      <c r="Y162" s="29">
        <v>4370</v>
      </c>
      <c r="Z162" s="29">
        <v>4370</v>
      </c>
      <c r="AA162" s="29">
        <v>4370</v>
      </c>
      <c r="AB162" s="29">
        <v>4300</v>
      </c>
      <c r="AC162" s="29">
        <v>4380</v>
      </c>
      <c r="AD162" s="29">
        <v>4350</v>
      </c>
      <c r="AE162" s="29">
        <v>4425</v>
      </c>
      <c r="AF162" s="29">
        <v>4360</v>
      </c>
      <c r="AG162" s="29">
        <v>4355</v>
      </c>
      <c r="AH162" s="29">
        <v>4350</v>
      </c>
      <c r="AI162" s="29">
        <v>4350</v>
      </c>
      <c r="AJ162" s="29">
        <v>4355</v>
      </c>
      <c r="AK162" s="29">
        <v>4350</v>
      </c>
      <c r="AL162" s="29">
        <v>4335</v>
      </c>
      <c r="AM162" s="29">
        <v>4350</v>
      </c>
      <c r="AN162" s="29">
        <v>4345</v>
      </c>
      <c r="AO162" s="29">
        <v>4340</v>
      </c>
      <c r="AP162" s="29">
        <v>4330</v>
      </c>
      <c r="AQ162" s="29">
        <v>4345</v>
      </c>
      <c r="AR162" s="29">
        <v>4335</v>
      </c>
      <c r="AS162" s="29">
        <v>4350</v>
      </c>
      <c r="AT162" s="29">
        <v>4335</v>
      </c>
      <c r="AU162" s="29">
        <v>4350</v>
      </c>
      <c r="AV162" s="29">
        <v>4370</v>
      </c>
      <c r="AW162" s="29">
        <v>4380</v>
      </c>
      <c r="AX162" s="29">
        <v>4370</v>
      </c>
      <c r="AY162" s="29">
        <v>4380</v>
      </c>
      <c r="AZ162" s="29">
        <v>4385</v>
      </c>
      <c r="BA162" s="29">
        <v>4390</v>
      </c>
      <c r="BB162" s="29">
        <v>4390</v>
      </c>
      <c r="BC162" s="29">
        <v>4365</v>
      </c>
      <c r="BD162" s="29">
        <v>4350</v>
      </c>
      <c r="BE162" s="29">
        <v>4350</v>
      </c>
      <c r="BF162" s="29">
        <v>4350</v>
      </c>
      <c r="BG162" s="29">
        <v>4395</v>
      </c>
      <c r="BH162" s="29">
        <v>4380</v>
      </c>
      <c r="BI162" s="29">
        <v>4400</v>
      </c>
      <c r="BJ162" s="29">
        <v>4420</v>
      </c>
      <c r="BK162" s="29">
        <v>4400</v>
      </c>
      <c r="BL162" s="30">
        <v>4440</v>
      </c>
      <c r="BM162" s="1">
        <v>4610</v>
      </c>
      <c r="BN162" s="1">
        <v>4415</v>
      </c>
      <c r="BO162" s="1">
        <v>4385</v>
      </c>
      <c r="BP162" s="1">
        <v>4350</v>
      </c>
      <c r="BQ162" s="1">
        <v>4375</v>
      </c>
      <c r="BR162" s="1">
        <v>4375</v>
      </c>
      <c r="BS162" s="1">
        <v>4385</v>
      </c>
      <c r="BT162" s="1">
        <v>4385</v>
      </c>
      <c r="BU162" s="1">
        <v>4445</v>
      </c>
      <c r="BV162" s="1">
        <v>4385</v>
      </c>
      <c r="BW162" s="1">
        <v>4375</v>
      </c>
      <c r="BX162" s="1">
        <v>4355</v>
      </c>
      <c r="BY162" s="1">
        <v>4390</v>
      </c>
      <c r="BZ162" s="1">
        <v>4435</v>
      </c>
    </row>
    <row r="163" spans="1:78" ht="15.9" customHeight="1">
      <c r="A163" s="65" t="s">
        <v>320</v>
      </c>
      <c r="B163" s="25" t="s">
        <v>321</v>
      </c>
      <c r="C163" s="39">
        <f>_xll.RssMarket("1930","高値")</f>
        <v>1528</v>
      </c>
      <c r="D163" s="38">
        <f t="shared" si="5"/>
        <v>41</v>
      </c>
      <c r="E163" s="34">
        <v>1487</v>
      </c>
      <c r="F163" s="34">
        <v>1478</v>
      </c>
      <c r="G163" s="29">
        <v>1504</v>
      </c>
      <c r="H163" s="29">
        <v>1488</v>
      </c>
      <c r="I163" s="29">
        <v>1512</v>
      </c>
      <c r="J163" s="29">
        <v>1733</v>
      </c>
      <c r="K163" s="29">
        <v>1644</v>
      </c>
      <c r="L163" s="29">
        <v>1635</v>
      </c>
      <c r="M163" s="29">
        <v>1617</v>
      </c>
      <c r="N163" s="29">
        <v>1604</v>
      </c>
      <c r="O163" s="29">
        <v>1585</v>
      </c>
      <c r="P163" s="29">
        <v>1608</v>
      </c>
      <c r="Q163" s="29">
        <v>1617</v>
      </c>
      <c r="R163" s="29">
        <v>1601</v>
      </c>
      <c r="S163" s="29">
        <v>1639</v>
      </c>
      <c r="T163" s="29">
        <v>1670</v>
      </c>
      <c r="U163" s="29">
        <v>1633</v>
      </c>
      <c r="V163" s="29">
        <v>1633</v>
      </c>
      <c r="W163" s="29">
        <v>1703</v>
      </c>
      <c r="X163" s="29">
        <v>1692</v>
      </c>
      <c r="Y163" s="29">
        <v>1677</v>
      </c>
      <c r="Z163" s="29">
        <v>1692</v>
      </c>
      <c r="AA163" s="29">
        <v>1701</v>
      </c>
      <c r="AB163" s="29">
        <v>1700</v>
      </c>
      <c r="AC163" s="29">
        <v>1735</v>
      </c>
      <c r="AD163" s="29">
        <v>1734</v>
      </c>
      <c r="AE163" s="29">
        <v>1724</v>
      </c>
      <c r="AF163" s="29">
        <v>1709</v>
      </c>
      <c r="AG163" s="29">
        <v>1749</v>
      </c>
      <c r="AH163" s="29">
        <v>1725</v>
      </c>
      <c r="AI163" s="29">
        <v>1769</v>
      </c>
      <c r="AJ163" s="29">
        <v>1749</v>
      </c>
      <c r="AK163" s="29">
        <v>1701</v>
      </c>
      <c r="AL163" s="29">
        <v>1715</v>
      </c>
      <c r="AM163" s="29">
        <v>1712</v>
      </c>
      <c r="AN163" s="29">
        <v>1621</v>
      </c>
      <c r="AO163" s="29">
        <v>1586</v>
      </c>
      <c r="AP163" s="29">
        <v>1610</v>
      </c>
      <c r="AQ163" s="29">
        <v>1615</v>
      </c>
      <c r="AR163" s="29">
        <v>1624</v>
      </c>
      <c r="AS163" s="29">
        <v>1578</v>
      </c>
      <c r="AT163" s="29">
        <v>1594</v>
      </c>
      <c r="AU163" s="29">
        <v>1619</v>
      </c>
      <c r="AV163" s="29">
        <v>1721</v>
      </c>
      <c r="AW163" s="29">
        <v>1709</v>
      </c>
      <c r="AX163" s="29">
        <v>1740</v>
      </c>
      <c r="AY163" s="29">
        <v>1683</v>
      </c>
      <c r="AZ163" s="29">
        <v>1608</v>
      </c>
      <c r="BA163" s="29">
        <v>1630</v>
      </c>
      <c r="BB163" s="29">
        <v>1645</v>
      </c>
      <c r="BC163" s="29">
        <v>1658</v>
      </c>
      <c r="BD163" s="29">
        <v>1651</v>
      </c>
      <c r="BE163" s="29">
        <v>1720</v>
      </c>
      <c r="BF163" s="29">
        <v>1750</v>
      </c>
      <c r="BG163" s="29">
        <v>1782</v>
      </c>
      <c r="BH163" s="29">
        <v>1777</v>
      </c>
      <c r="BI163" s="29">
        <v>1743</v>
      </c>
      <c r="BJ163" s="29">
        <v>1684</v>
      </c>
      <c r="BK163" s="29">
        <v>1740</v>
      </c>
      <c r="BL163" s="30">
        <v>1744</v>
      </c>
      <c r="BM163" s="1">
        <v>1717</v>
      </c>
      <c r="BN163" s="1">
        <v>1510</v>
      </c>
      <c r="BO163" s="1">
        <v>1463</v>
      </c>
      <c r="BP163" s="1">
        <v>1464</v>
      </c>
      <c r="BQ163" s="1">
        <v>1447</v>
      </c>
      <c r="BR163" s="1">
        <v>1472</v>
      </c>
      <c r="BS163" s="1">
        <v>1486</v>
      </c>
      <c r="BT163" s="1">
        <v>1477</v>
      </c>
      <c r="BU163" s="1">
        <v>1479</v>
      </c>
      <c r="BV163" s="1">
        <v>1473</v>
      </c>
      <c r="BW163" s="1">
        <v>1478</v>
      </c>
      <c r="BX163" s="1">
        <v>1456</v>
      </c>
      <c r="BY163" s="1">
        <v>1474</v>
      </c>
      <c r="BZ163" s="1">
        <v>1504</v>
      </c>
    </row>
    <row r="164" spans="1:78" ht="15.9" customHeight="1">
      <c r="A164" s="65" t="s">
        <v>322</v>
      </c>
      <c r="B164" s="25" t="s">
        <v>323</v>
      </c>
      <c r="C164" s="39">
        <f>_xll.RssMarket("8704","高値")</f>
        <v>1340</v>
      </c>
      <c r="D164" s="38">
        <f t="shared" si="5"/>
        <v>22</v>
      </c>
      <c r="E164" s="34">
        <v>1318</v>
      </c>
      <c r="F164" s="34">
        <v>1332</v>
      </c>
      <c r="G164" s="29">
        <v>1260</v>
      </c>
      <c r="H164" s="29">
        <v>1226</v>
      </c>
      <c r="I164" s="29">
        <v>1250</v>
      </c>
      <c r="J164" s="29">
        <v>1280</v>
      </c>
      <c r="K164" s="29">
        <v>1292</v>
      </c>
      <c r="L164" s="29">
        <v>1288</v>
      </c>
      <c r="M164" s="29">
        <v>1302</v>
      </c>
      <c r="N164" s="29">
        <v>1277</v>
      </c>
      <c r="O164" s="29">
        <v>1270</v>
      </c>
      <c r="P164" s="29">
        <v>1294</v>
      </c>
      <c r="Q164" s="29">
        <v>1314</v>
      </c>
      <c r="R164" s="29">
        <v>1281</v>
      </c>
      <c r="S164" s="29">
        <v>1272</v>
      </c>
      <c r="T164" s="29">
        <v>1258</v>
      </c>
      <c r="U164" s="29">
        <v>1228</v>
      </c>
      <c r="V164" s="29">
        <v>1250</v>
      </c>
      <c r="W164" s="29">
        <v>1298</v>
      </c>
      <c r="X164" s="29">
        <v>1286</v>
      </c>
      <c r="Y164" s="29">
        <v>1269</v>
      </c>
      <c r="Z164" s="29">
        <v>1249</v>
      </c>
      <c r="AA164" s="29">
        <v>1228</v>
      </c>
      <c r="AB164" s="29">
        <v>1191</v>
      </c>
      <c r="AC164" s="29">
        <v>1172</v>
      </c>
      <c r="AD164" s="29">
        <v>1178</v>
      </c>
      <c r="AE164" s="29">
        <v>1193</v>
      </c>
      <c r="AF164" s="29">
        <v>1208</v>
      </c>
      <c r="AG164" s="29">
        <v>1239</v>
      </c>
      <c r="AH164" s="29">
        <v>1221</v>
      </c>
      <c r="AI164" s="29">
        <v>1172</v>
      </c>
      <c r="AJ164" s="29">
        <v>1198</v>
      </c>
      <c r="AK164" s="29">
        <v>1175</v>
      </c>
      <c r="AL164" s="29">
        <v>1166</v>
      </c>
      <c r="AM164" s="29">
        <v>1191</v>
      </c>
      <c r="AN164" s="29">
        <v>1158</v>
      </c>
      <c r="AO164" s="29">
        <v>1111</v>
      </c>
      <c r="AP164" s="29">
        <v>1140</v>
      </c>
      <c r="AQ164" s="29">
        <v>1137</v>
      </c>
      <c r="AR164" s="29">
        <v>1147</v>
      </c>
      <c r="AS164" s="29">
        <v>1162</v>
      </c>
      <c r="AT164" s="29">
        <v>1210</v>
      </c>
      <c r="AU164" s="29">
        <v>1200</v>
      </c>
      <c r="AV164" s="29">
        <v>1206</v>
      </c>
      <c r="AW164" s="29">
        <v>1151</v>
      </c>
      <c r="AX164" s="29">
        <v>1166</v>
      </c>
      <c r="AY164" s="29">
        <v>1152</v>
      </c>
      <c r="AZ164" s="29">
        <v>1141</v>
      </c>
      <c r="BA164" s="29">
        <v>1147</v>
      </c>
      <c r="BB164" s="29">
        <v>1126</v>
      </c>
      <c r="BC164" s="29">
        <v>1180</v>
      </c>
      <c r="BD164" s="29">
        <v>1174</v>
      </c>
      <c r="BE164" s="29">
        <v>1205</v>
      </c>
      <c r="BF164" s="29">
        <v>1210</v>
      </c>
      <c r="BG164" s="29">
        <v>1222</v>
      </c>
      <c r="BH164" s="29">
        <v>1236</v>
      </c>
      <c r="BI164" s="29">
        <v>1243</v>
      </c>
      <c r="BJ164" s="29">
        <v>1241</v>
      </c>
      <c r="BK164" s="29">
        <v>1200</v>
      </c>
      <c r="BL164" s="30">
        <v>1165</v>
      </c>
      <c r="BM164" s="1">
        <v>1078</v>
      </c>
      <c r="BN164" s="1">
        <v>1081</v>
      </c>
      <c r="BO164" s="1">
        <v>1035</v>
      </c>
      <c r="BP164" s="1">
        <v>1042</v>
      </c>
      <c r="BQ164" s="1">
        <v>1042</v>
      </c>
      <c r="BR164" s="1">
        <v>1063</v>
      </c>
      <c r="BS164" s="1">
        <v>1071</v>
      </c>
      <c r="BT164" s="1">
        <v>1059</v>
      </c>
      <c r="BU164" s="1">
        <v>1062</v>
      </c>
      <c r="BV164" s="1">
        <v>1065</v>
      </c>
      <c r="BW164" s="1">
        <v>1057</v>
      </c>
      <c r="BX164" s="1">
        <v>1059</v>
      </c>
      <c r="BY164" s="1">
        <v>1047</v>
      </c>
      <c r="BZ164" s="1">
        <v>1064</v>
      </c>
    </row>
    <row r="165" spans="1:78" ht="15.9" customHeight="1">
      <c r="A165" s="65" t="s">
        <v>324</v>
      </c>
      <c r="B165" s="25" t="s">
        <v>325</v>
      </c>
      <c r="C165" s="39">
        <f>_xll.RssMarket("4733","高値")</f>
        <v>7935</v>
      </c>
      <c r="D165" s="38">
        <f t="shared" si="5"/>
        <v>1</v>
      </c>
      <c r="E165" s="34">
        <v>7934</v>
      </c>
      <c r="F165" s="34">
        <v>8061</v>
      </c>
      <c r="G165" s="29">
        <v>8203</v>
      </c>
      <c r="H165" s="29">
        <v>8611</v>
      </c>
      <c r="I165" s="29">
        <v>8586</v>
      </c>
      <c r="J165" s="29">
        <v>8099</v>
      </c>
      <c r="K165" s="29">
        <v>8105</v>
      </c>
      <c r="L165" s="29">
        <v>7732</v>
      </c>
      <c r="M165" s="29">
        <v>7063</v>
      </c>
      <c r="N165" s="29">
        <v>7183</v>
      </c>
      <c r="O165" s="29">
        <v>6746</v>
      </c>
      <c r="P165" s="29">
        <v>6704</v>
      </c>
      <c r="Q165" s="29">
        <v>6554</v>
      </c>
      <c r="R165" s="29">
        <v>6756</v>
      </c>
      <c r="S165" s="29">
        <v>6616</v>
      </c>
      <c r="T165" s="29">
        <v>6593</v>
      </c>
      <c r="U165" s="29">
        <v>6556</v>
      </c>
      <c r="V165" s="29">
        <v>6614</v>
      </c>
      <c r="W165" s="29">
        <v>6669</v>
      </c>
      <c r="X165" s="29">
        <v>6542</v>
      </c>
      <c r="Y165" s="29">
        <v>6579</v>
      </c>
      <c r="Z165" s="29">
        <v>6430</v>
      </c>
      <c r="AA165" s="29">
        <v>6089</v>
      </c>
      <c r="AB165" s="29">
        <v>6177</v>
      </c>
      <c r="AC165" s="29">
        <v>6145</v>
      </c>
      <c r="AD165" s="29">
        <v>5836</v>
      </c>
      <c r="AE165" s="29">
        <v>5780</v>
      </c>
      <c r="AF165" s="29">
        <v>5843</v>
      </c>
      <c r="AG165" s="29">
        <v>5698</v>
      </c>
      <c r="AH165" s="29">
        <v>5760</v>
      </c>
      <c r="AI165" s="29">
        <v>5914</v>
      </c>
      <c r="AJ165" s="29">
        <v>5947</v>
      </c>
      <c r="AK165" s="29">
        <v>5939</v>
      </c>
      <c r="AL165" s="29">
        <v>5871</v>
      </c>
      <c r="AM165" s="29">
        <v>5973</v>
      </c>
      <c r="AN165" s="29">
        <v>5949</v>
      </c>
      <c r="AO165" s="29">
        <v>5976</v>
      </c>
      <c r="AP165" s="29">
        <v>5980</v>
      </c>
      <c r="AQ165" s="29">
        <v>6113</v>
      </c>
      <c r="AR165" s="29">
        <v>6086</v>
      </c>
      <c r="AS165" s="29">
        <v>6115</v>
      </c>
      <c r="AT165" s="29">
        <v>6312</v>
      </c>
      <c r="AU165" s="29">
        <v>6509</v>
      </c>
      <c r="AV165" s="29">
        <v>6277</v>
      </c>
      <c r="AW165" s="29">
        <v>6180</v>
      </c>
      <c r="AX165" s="29">
        <v>6173</v>
      </c>
      <c r="AY165" s="29">
        <v>6091</v>
      </c>
      <c r="AZ165" s="29">
        <v>6147</v>
      </c>
      <c r="BA165" s="29">
        <v>6163</v>
      </c>
      <c r="BB165" s="29">
        <v>6241</v>
      </c>
      <c r="BC165" s="29">
        <v>6249</v>
      </c>
      <c r="BD165" s="29">
        <v>6183</v>
      </c>
      <c r="BE165" s="29">
        <v>6057</v>
      </c>
      <c r="BF165" s="29">
        <v>6142</v>
      </c>
      <c r="BG165" s="29">
        <v>6153</v>
      </c>
      <c r="BH165" s="29">
        <v>6123</v>
      </c>
      <c r="BI165" s="29">
        <v>6332</v>
      </c>
      <c r="BJ165" s="29">
        <v>6344</v>
      </c>
      <c r="BK165" s="29">
        <v>6159</v>
      </c>
      <c r="BL165" s="30">
        <v>6191</v>
      </c>
      <c r="BM165" s="1">
        <v>6263</v>
      </c>
      <c r="BN165" s="1">
        <v>6353</v>
      </c>
      <c r="BO165" s="1">
        <v>6337</v>
      </c>
      <c r="BP165" s="1">
        <v>6395</v>
      </c>
      <c r="BQ165" s="1">
        <v>6636</v>
      </c>
      <c r="BR165" s="1">
        <v>6906</v>
      </c>
      <c r="BS165" s="1">
        <v>6775</v>
      </c>
      <c r="BT165" s="1">
        <v>6780</v>
      </c>
      <c r="BU165" s="1">
        <v>6731</v>
      </c>
      <c r="BV165" s="1">
        <v>6913</v>
      </c>
      <c r="BW165" s="1">
        <v>6750</v>
      </c>
      <c r="BX165" s="1">
        <v>6664</v>
      </c>
      <c r="BY165" s="1">
        <v>6309</v>
      </c>
      <c r="BZ165" s="1">
        <v>6293</v>
      </c>
    </row>
    <row r="166" spans="1:78" ht="15.9" customHeight="1">
      <c r="A166" s="65" t="s">
        <v>326</v>
      </c>
      <c r="B166" s="25" t="s">
        <v>327</v>
      </c>
      <c r="C166" s="39">
        <f>_xll.RssMarket("9733","高値")</f>
        <v>2312</v>
      </c>
      <c r="D166" s="38">
        <f t="shared" si="5"/>
        <v>-9</v>
      </c>
      <c r="E166" s="34">
        <v>2321</v>
      </c>
      <c r="F166" s="34">
        <v>2346</v>
      </c>
      <c r="G166" s="29">
        <v>2372</v>
      </c>
      <c r="H166" s="29">
        <v>2348</v>
      </c>
      <c r="I166" s="29">
        <v>2353</v>
      </c>
      <c r="J166" s="29">
        <v>2327</v>
      </c>
      <c r="K166" s="29">
        <v>2304</v>
      </c>
      <c r="L166" s="29">
        <v>2286</v>
      </c>
      <c r="M166" s="29">
        <v>2363</v>
      </c>
      <c r="N166" s="29">
        <v>2400</v>
      </c>
      <c r="O166" s="29">
        <v>2373</v>
      </c>
      <c r="P166" s="29">
        <v>2365</v>
      </c>
      <c r="Q166" s="29">
        <v>2356</v>
      </c>
      <c r="R166" s="29">
        <v>2380</v>
      </c>
      <c r="S166" s="29">
        <v>2394</v>
      </c>
      <c r="T166" s="29">
        <v>2380</v>
      </c>
      <c r="U166" s="29">
        <v>2386</v>
      </c>
      <c r="V166" s="29">
        <v>2403</v>
      </c>
      <c r="W166" s="29">
        <v>2406</v>
      </c>
      <c r="X166" s="29">
        <v>2400</v>
      </c>
      <c r="Y166" s="29">
        <v>2364</v>
      </c>
      <c r="Z166" s="29">
        <v>2345</v>
      </c>
      <c r="AA166" s="29">
        <v>2310</v>
      </c>
      <c r="AB166" s="29">
        <v>2342</v>
      </c>
      <c r="AC166" s="29">
        <v>2334</v>
      </c>
      <c r="AD166" s="29">
        <v>2267</v>
      </c>
      <c r="AE166" s="29">
        <v>2244</v>
      </c>
      <c r="AF166" s="29">
        <v>2249</v>
      </c>
      <c r="AG166" s="29">
        <v>2231</v>
      </c>
      <c r="AH166" s="29">
        <v>2221</v>
      </c>
      <c r="AI166" s="29">
        <v>2219</v>
      </c>
      <c r="AJ166" s="29">
        <v>2214</v>
      </c>
      <c r="AK166" s="29">
        <v>2238</v>
      </c>
      <c r="AL166" s="29">
        <v>2235</v>
      </c>
      <c r="AM166" s="29">
        <v>2260</v>
      </c>
      <c r="AN166" s="29">
        <v>2238</v>
      </c>
      <c r="AO166" s="29">
        <v>2246</v>
      </c>
      <c r="AP166" s="29">
        <v>2251</v>
      </c>
      <c r="AQ166" s="29">
        <v>2217</v>
      </c>
      <c r="AR166" s="29">
        <v>2223</v>
      </c>
      <c r="AS166" s="29">
        <v>2211</v>
      </c>
      <c r="AT166" s="29">
        <v>2220</v>
      </c>
      <c r="AU166" s="29">
        <v>2240</v>
      </c>
      <c r="AV166" s="29">
        <v>2303</v>
      </c>
      <c r="AW166" s="29">
        <v>2270</v>
      </c>
      <c r="AX166" s="29">
        <v>2266</v>
      </c>
      <c r="AY166" s="29">
        <v>2337</v>
      </c>
      <c r="AZ166" s="29">
        <v>2313</v>
      </c>
      <c r="BA166" s="29">
        <v>2329</v>
      </c>
      <c r="BB166" s="29">
        <v>2320</v>
      </c>
      <c r="BC166" s="29">
        <v>2316</v>
      </c>
      <c r="BD166" s="29">
        <v>2295</v>
      </c>
      <c r="BE166" s="29">
        <v>2284</v>
      </c>
      <c r="BF166" s="29">
        <v>2295</v>
      </c>
      <c r="BG166" s="29">
        <v>2300</v>
      </c>
      <c r="BH166" s="29">
        <v>2307</v>
      </c>
      <c r="BI166" s="29">
        <v>2302</v>
      </c>
      <c r="BJ166" s="29">
        <v>2290</v>
      </c>
      <c r="BK166" s="29">
        <v>2348</v>
      </c>
      <c r="BL166" s="30">
        <v>2334</v>
      </c>
      <c r="BM166" s="1">
        <v>2340</v>
      </c>
      <c r="BN166" s="1">
        <v>2335</v>
      </c>
      <c r="BO166" s="1">
        <v>2318</v>
      </c>
      <c r="BP166" s="1">
        <v>2354</v>
      </c>
      <c r="BQ166" s="1">
        <v>2381</v>
      </c>
      <c r="BR166" s="1">
        <v>2381</v>
      </c>
      <c r="BS166" s="1">
        <v>2416</v>
      </c>
      <c r="BT166" s="1">
        <v>2469</v>
      </c>
      <c r="BU166" s="1">
        <v>2479</v>
      </c>
      <c r="BV166" s="1">
        <v>2465</v>
      </c>
      <c r="BW166" s="1">
        <v>2491</v>
      </c>
      <c r="BX166" s="1">
        <v>2512</v>
      </c>
      <c r="BY166" s="1">
        <v>2545</v>
      </c>
      <c r="BZ166" s="1">
        <v>2535</v>
      </c>
    </row>
    <row r="167" spans="1:78" ht="15.9" customHeight="1">
      <c r="A167" s="65" t="s">
        <v>328</v>
      </c>
      <c r="B167" s="25" t="s">
        <v>329</v>
      </c>
      <c r="C167" s="39">
        <f>_xll.RssMarket("9551","高値")</f>
        <v>3350</v>
      </c>
      <c r="D167" s="38">
        <f t="shared" si="5"/>
        <v>80</v>
      </c>
      <c r="E167" s="34">
        <v>3270</v>
      </c>
      <c r="F167" s="34">
        <v>3150</v>
      </c>
      <c r="G167" s="29">
        <v>3155</v>
      </c>
      <c r="H167" s="29">
        <v>3070</v>
      </c>
      <c r="I167" s="29">
        <v>3115</v>
      </c>
      <c r="J167" s="29">
        <v>3180</v>
      </c>
      <c r="K167" s="29">
        <v>3225</v>
      </c>
      <c r="L167" s="29"/>
      <c r="M167" s="29">
        <v>3245</v>
      </c>
      <c r="N167" s="29">
        <v>3250</v>
      </c>
      <c r="O167" s="29">
        <v>3185</v>
      </c>
      <c r="P167" s="29">
        <v>3160</v>
      </c>
      <c r="Q167" s="29">
        <v>3240</v>
      </c>
      <c r="R167" s="29">
        <v>3210</v>
      </c>
      <c r="S167" s="29">
        <v>3290</v>
      </c>
      <c r="T167" s="29">
        <v>3315</v>
      </c>
      <c r="U167" s="29">
        <v>3290</v>
      </c>
      <c r="V167" s="29">
        <v>3260</v>
      </c>
      <c r="W167" s="29">
        <v>3370</v>
      </c>
      <c r="X167" s="29">
        <v>3370</v>
      </c>
      <c r="Y167" s="29">
        <v>3340</v>
      </c>
      <c r="Z167" s="29">
        <v>3370</v>
      </c>
      <c r="AA167" s="29">
        <v>3385</v>
      </c>
      <c r="AB167" s="29">
        <v>3420</v>
      </c>
      <c r="AC167" s="29">
        <v>3600</v>
      </c>
      <c r="AD167" s="29">
        <v>3595</v>
      </c>
      <c r="AE167" s="29">
        <v>3615</v>
      </c>
      <c r="AF167" s="29">
        <v>3555</v>
      </c>
      <c r="AG167" s="29">
        <v>3585</v>
      </c>
      <c r="AH167" s="29">
        <v>3535</v>
      </c>
      <c r="AI167" s="29">
        <v>3540</v>
      </c>
      <c r="AJ167" s="29">
        <v>3485</v>
      </c>
      <c r="AK167" s="29">
        <v>3435</v>
      </c>
      <c r="AL167" s="29">
        <v>3380</v>
      </c>
      <c r="AM167" s="29">
        <v>3330</v>
      </c>
      <c r="AN167" s="29">
        <v>3185</v>
      </c>
      <c r="AO167" s="29">
        <v>3125</v>
      </c>
      <c r="AP167" s="29">
        <v>3235</v>
      </c>
      <c r="AQ167" s="29">
        <v>3255</v>
      </c>
      <c r="AR167" s="29">
        <v>3320</v>
      </c>
      <c r="AS167" s="29">
        <v>3300</v>
      </c>
      <c r="AT167" s="29">
        <v>3325</v>
      </c>
      <c r="AU167" s="29">
        <v>3320</v>
      </c>
      <c r="AV167" s="29">
        <v>3675</v>
      </c>
      <c r="AW167" s="29">
        <v>3275</v>
      </c>
      <c r="AX167" s="29">
        <v>3345</v>
      </c>
      <c r="AY167" s="29">
        <v>3350</v>
      </c>
      <c r="AZ167" s="29">
        <v>3310</v>
      </c>
      <c r="BA167" s="29">
        <v>3305</v>
      </c>
      <c r="BB167" s="29">
        <v>3270</v>
      </c>
      <c r="BC167" s="29">
        <v>3410</v>
      </c>
      <c r="BD167" s="29">
        <v>3490</v>
      </c>
      <c r="BE167" s="29">
        <v>3545</v>
      </c>
      <c r="BF167" s="29">
        <v>3455</v>
      </c>
      <c r="BG167" s="29">
        <v>3475</v>
      </c>
      <c r="BH167" s="29">
        <v>3420</v>
      </c>
      <c r="BI167" s="29">
        <v>3465</v>
      </c>
      <c r="BJ167" s="29">
        <v>3470</v>
      </c>
      <c r="BK167" s="29">
        <v>3480</v>
      </c>
      <c r="BL167" s="30">
        <v>3440</v>
      </c>
      <c r="BM167" s="1">
        <v>3435</v>
      </c>
      <c r="BN167" s="1">
        <v>3420</v>
      </c>
      <c r="BO167" s="1">
        <v>3410</v>
      </c>
      <c r="BP167" s="1">
        <v>3695</v>
      </c>
      <c r="BQ167" s="1">
        <v>3645</v>
      </c>
      <c r="BR167" s="1">
        <v>3690</v>
      </c>
      <c r="BS167" s="1">
        <v>3705</v>
      </c>
      <c r="BT167" s="1">
        <v>3735</v>
      </c>
      <c r="BU167" s="1">
        <v>3730</v>
      </c>
      <c r="BV167" s="1">
        <v>3715</v>
      </c>
      <c r="BW167" s="1">
        <v>3755</v>
      </c>
      <c r="BX167" s="1">
        <v>3730</v>
      </c>
      <c r="BY167" s="1">
        <v>3705</v>
      </c>
      <c r="BZ167" s="1">
        <v>3775</v>
      </c>
    </row>
    <row r="168" spans="1:78" ht="15.9" customHeight="1">
      <c r="A168" s="65" t="s">
        <v>330</v>
      </c>
      <c r="B168" s="25" t="s">
        <v>331</v>
      </c>
      <c r="C168" s="39">
        <f>_xll.RssMarket("2359","高値")</f>
        <v>2059</v>
      </c>
      <c r="D168" s="38">
        <f t="shared" si="5"/>
        <v>13</v>
      </c>
      <c r="E168" s="34">
        <v>2046</v>
      </c>
      <c r="F168" s="34">
        <v>2040</v>
      </c>
      <c r="G168" s="29">
        <v>2074</v>
      </c>
      <c r="H168" s="29">
        <v>2085</v>
      </c>
      <c r="I168" s="29">
        <v>2085</v>
      </c>
      <c r="J168" s="29">
        <v>2022</v>
      </c>
      <c r="K168" s="29">
        <v>2015</v>
      </c>
      <c r="L168" s="29"/>
      <c r="M168" s="29">
        <v>2005</v>
      </c>
      <c r="N168" s="29">
        <v>2005</v>
      </c>
      <c r="O168" s="29">
        <v>2002</v>
      </c>
      <c r="P168" s="29">
        <v>2007</v>
      </c>
      <c r="Q168" s="29">
        <v>2022</v>
      </c>
      <c r="R168" s="29">
        <v>2017</v>
      </c>
      <c r="S168" s="29">
        <v>2022</v>
      </c>
      <c r="T168" s="29">
        <v>1996</v>
      </c>
      <c r="U168" s="29">
        <v>1961</v>
      </c>
      <c r="V168" s="29">
        <v>1966</v>
      </c>
      <c r="W168" s="29">
        <v>1974</v>
      </c>
      <c r="X168" s="29">
        <v>1958</v>
      </c>
      <c r="Y168" s="29">
        <v>1968</v>
      </c>
      <c r="Z168" s="29">
        <v>1958</v>
      </c>
      <c r="AA168" s="29">
        <v>1952</v>
      </c>
      <c r="AB168" s="29">
        <v>1988</v>
      </c>
      <c r="AC168" s="29">
        <v>2040</v>
      </c>
      <c r="AD168" s="29">
        <v>2015</v>
      </c>
      <c r="AE168" s="29">
        <v>2024</v>
      </c>
      <c r="AF168" s="29">
        <v>2039</v>
      </c>
      <c r="AG168" s="29">
        <v>2024</v>
      </c>
      <c r="AH168" s="29">
        <v>2065</v>
      </c>
      <c r="AI168" s="29">
        <v>2048</v>
      </c>
      <c r="AJ168" s="29">
        <v>2039</v>
      </c>
      <c r="AK168" s="29">
        <v>2030</v>
      </c>
      <c r="AL168" s="29">
        <v>2011</v>
      </c>
      <c r="AM168" s="29">
        <v>2025</v>
      </c>
      <c r="AN168" s="29">
        <v>2009</v>
      </c>
      <c r="AO168" s="29">
        <v>2027</v>
      </c>
      <c r="AP168" s="29">
        <v>2039</v>
      </c>
      <c r="AQ168" s="29">
        <v>2069</v>
      </c>
      <c r="AR168" s="29">
        <v>2104</v>
      </c>
      <c r="AS168" s="29">
        <v>2098</v>
      </c>
      <c r="AT168" s="29">
        <v>2053</v>
      </c>
      <c r="AU168" s="29">
        <v>2043</v>
      </c>
      <c r="AV168" s="29">
        <v>2085</v>
      </c>
      <c r="AW168" s="29">
        <v>2060</v>
      </c>
      <c r="AX168" s="29">
        <v>2120</v>
      </c>
      <c r="AY168" s="29">
        <v>2149</v>
      </c>
      <c r="AZ168" s="29">
        <v>2125</v>
      </c>
      <c r="BA168" s="29">
        <v>2136</v>
      </c>
      <c r="BB168" s="29">
        <v>2100</v>
      </c>
      <c r="BC168" s="29">
        <v>2099</v>
      </c>
      <c r="BD168" s="29">
        <v>2062</v>
      </c>
      <c r="BE168" s="29">
        <v>2064</v>
      </c>
      <c r="BF168" s="29">
        <v>2069</v>
      </c>
      <c r="BG168" s="29">
        <v>2052</v>
      </c>
      <c r="BH168" s="29">
        <v>2023</v>
      </c>
      <c r="BI168" s="29">
        <v>2028</v>
      </c>
      <c r="BJ168" s="29">
        <v>2037</v>
      </c>
      <c r="BK168" s="29">
        <v>2045</v>
      </c>
      <c r="BL168" s="30">
        <v>2075</v>
      </c>
      <c r="BM168" s="1">
        <v>2079</v>
      </c>
      <c r="BN168" s="1">
        <v>2230</v>
      </c>
      <c r="BO168" s="1">
        <v>2246</v>
      </c>
      <c r="BP168" s="1">
        <v>2167</v>
      </c>
      <c r="BQ168" s="1">
        <v>2200</v>
      </c>
      <c r="BR168" s="1">
        <v>2253</v>
      </c>
      <c r="BS168" s="1">
        <v>2257</v>
      </c>
      <c r="BT168" s="1">
        <v>2260</v>
      </c>
      <c r="BU168" s="1">
        <v>2270</v>
      </c>
      <c r="BV168" s="1">
        <v>2249</v>
      </c>
      <c r="BW168" s="1">
        <v>2267</v>
      </c>
      <c r="BX168" s="1">
        <v>2260</v>
      </c>
      <c r="BY168" s="1">
        <v>2250</v>
      </c>
      <c r="BZ168" s="1">
        <v>2282</v>
      </c>
    </row>
    <row r="169" spans="1:78" ht="15.9" customHeight="1">
      <c r="A169" s="65" t="s">
        <v>332</v>
      </c>
      <c r="B169" s="25" t="s">
        <v>333</v>
      </c>
      <c r="C169" s="39">
        <f>_xll.RssMarket("8103","高値")</f>
        <v>900</v>
      </c>
      <c r="D169" s="38">
        <f t="shared" si="5"/>
        <v>-4</v>
      </c>
      <c r="E169" s="34">
        <v>904</v>
      </c>
      <c r="F169" s="34">
        <v>906</v>
      </c>
      <c r="G169" s="29">
        <v>932</v>
      </c>
      <c r="H169" s="29">
        <v>931</v>
      </c>
      <c r="I169" s="29">
        <v>929</v>
      </c>
      <c r="J169" s="29">
        <v>924</v>
      </c>
      <c r="K169" s="29">
        <v>922</v>
      </c>
      <c r="L169" s="29">
        <v>912</v>
      </c>
      <c r="M169" s="29">
        <v>918</v>
      </c>
      <c r="N169" s="29">
        <v>913</v>
      </c>
      <c r="O169" s="29">
        <v>911</v>
      </c>
      <c r="P169" s="29">
        <v>906</v>
      </c>
      <c r="Q169" s="29">
        <v>919</v>
      </c>
      <c r="R169" s="29">
        <v>907</v>
      </c>
      <c r="S169" s="29">
        <v>925</v>
      </c>
      <c r="T169" s="29">
        <v>919</v>
      </c>
      <c r="U169" s="29">
        <v>914</v>
      </c>
      <c r="V169" s="29">
        <v>917</v>
      </c>
      <c r="W169" s="29">
        <v>924</v>
      </c>
      <c r="X169" s="29">
        <v>924</v>
      </c>
      <c r="Y169" s="29">
        <v>909</v>
      </c>
      <c r="Z169" s="29">
        <v>899</v>
      </c>
      <c r="AA169" s="29">
        <v>887</v>
      </c>
      <c r="AB169" s="29">
        <v>883</v>
      </c>
      <c r="AC169" s="29">
        <v>879</v>
      </c>
      <c r="AD169" s="29">
        <v>873</v>
      </c>
      <c r="AE169" s="29">
        <v>872</v>
      </c>
      <c r="AF169" s="29">
        <v>870</v>
      </c>
      <c r="AG169" s="29">
        <v>880</v>
      </c>
      <c r="AH169" s="29">
        <v>884</v>
      </c>
      <c r="AI169" s="29">
        <v>874</v>
      </c>
      <c r="AJ169" s="29">
        <v>884</v>
      </c>
      <c r="AK169" s="29">
        <v>886</v>
      </c>
      <c r="AL169" s="29">
        <v>880</v>
      </c>
      <c r="AM169" s="29">
        <v>888</v>
      </c>
      <c r="AN169" s="29">
        <v>871</v>
      </c>
      <c r="AO169" s="29">
        <v>867</v>
      </c>
      <c r="AP169" s="29">
        <v>880</v>
      </c>
      <c r="AQ169" s="29">
        <v>888</v>
      </c>
      <c r="AR169" s="29">
        <v>892</v>
      </c>
      <c r="AS169" s="29">
        <v>888</v>
      </c>
      <c r="AT169" s="29">
        <v>893</v>
      </c>
      <c r="AU169" s="29">
        <v>881</v>
      </c>
      <c r="AV169" s="29">
        <v>896</v>
      </c>
      <c r="AW169" s="29">
        <v>893</v>
      </c>
      <c r="AX169" s="29">
        <v>903</v>
      </c>
      <c r="AY169" s="29">
        <v>917</v>
      </c>
      <c r="AZ169" s="29">
        <v>910</v>
      </c>
      <c r="BA169" s="29">
        <v>901</v>
      </c>
      <c r="BB169" s="29">
        <v>908</v>
      </c>
      <c r="BC169" s="29">
        <v>913</v>
      </c>
      <c r="BD169" s="29">
        <v>903</v>
      </c>
      <c r="BE169" s="29">
        <v>914</v>
      </c>
      <c r="BF169" s="29">
        <v>915</v>
      </c>
      <c r="BG169" s="29">
        <v>905</v>
      </c>
      <c r="BH169" s="29">
        <v>896</v>
      </c>
      <c r="BI169" s="29">
        <v>904</v>
      </c>
      <c r="BJ169" s="29">
        <v>904</v>
      </c>
      <c r="BK169" s="29">
        <v>910</v>
      </c>
      <c r="BL169" s="30">
        <v>867</v>
      </c>
      <c r="BM169" s="1">
        <v>846</v>
      </c>
      <c r="BN169" s="1">
        <v>773</v>
      </c>
      <c r="BO169" s="1">
        <v>770</v>
      </c>
      <c r="BP169" s="1">
        <v>773</v>
      </c>
      <c r="BQ169" s="1">
        <v>772</v>
      </c>
      <c r="BR169" s="1">
        <v>780</v>
      </c>
      <c r="BS169" s="1">
        <v>782</v>
      </c>
      <c r="BT169" s="1">
        <v>787</v>
      </c>
      <c r="BU169" s="1">
        <v>787</v>
      </c>
      <c r="BV169" s="1">
        <v>784</v>
      </c>
      <c r="BW169" s="1">
        <v>789</v>
      </c>
      <c r="BX169" s="1">
        <v>792</v>
      </c>
      <c r="BY169" s="1">
        <v>801</v>
      </c>
      <c r="BZ169" s="1">
        <v>810</v>
      </c>
    </row>
    <row r="170" spans="1:78" ht="15.9" customHeight="1">
      <c r="A170" s="65" t="s">
        <v>334</v>
      </c>
      <c r="B170" s="25" t="s">
        <v>335</v>
      </c>
      <c r="C170" s="39">
        <f>_xll.RssMarket("4709","高値")</f>
        <v>1019</v>
      </c>
      <c r="D170" s="38">
        <f t="shared" si="5"/>
        <v>-12</v>
      </c>
      <c r="E170" s="34">
        <v>1031</v>
      </c>
      <c r="F170" s="34">
        <v>1040</v>
      </c>
      <c r="G170" s="29">
        <v>1159</v>
      </c>
      <c r="H170" s="29">
        <v>1161</v>
      </c>
      <c r="I170" s="29">
        <v>1160</v>
      </c>
      <c r="J170" s="29">
        <v>1136</v>
      </c>
      <c r="K170" s="29">
        <v>1128</v>
      </c>
      <c r="L170" s="29">
        <v>1109</v>
      </c>
      <c r="M170" s="29">
        <v>1109</v>
      </c>
      <c r="N170" s="29">
        <v>1107</v>
      </c>
      <c r="O170" s="29">
        <v>1143</v>
      </c>
      <c r="P170" s="29">
        <v>1129</v>
      </c>
      <c r="Q170" s="29">
        <v>1130</v>
      </c>
      <c r="R170" s="29">
        <v>1121</v>
      </c>
      <c r="S170" s="29">
        <v>1110</v>
      </c>
      <c r="T170" s="29">
        <v>1113</v>
      </c>
      <c r="U170" s="29">
        <v>1106</v>
      </c>
      <c r="V170" s="29">
        <v>1108</v>
      </c>
      <c r="W170" s="29">
        <v>1105</v>
      </c>
      <c r="X170" s="29">
        <v>1078</v>
      </c>
      <c r="Y170" s="29">
        <v>1080</v>
      </c>
      <c r="Z170" s="29">
        <v>1085</v>
      </c>
      <c r="AA170" s="29">
        <v>1073</v>
      </c>
      <c r="AB170" s="29">
        <v>1080</v>
      </c>
      <c r="AC170" s="29">
        <v>1083</v>
      </c>
      <c r="AD170" s="29">
        <v>1063</v>
      </c>
      <c r="AE170" s="29">
        <v>1054</v>
      </c>
      <c r="AF170" s="29">
        <v>1066</v>
      </c>
      <c r="AG170" s="29">
        <v>1052</v>
      </c>
      <c r="AH170" s="29">
        <v>1071</v>
      </c>
      <c r="AI170" s="29">
        <v>1072</v>
      </c>
      <c r="AJ170" s="29">
        <v>1101</v>
      </c>
      <c r="AK170" s="29">
        <v>1134</v>
      </c>
      <c r="AL170" s="29">
        <v>1110</v>
      </c>
      <c r="AM170" s="29">
        <v>1082</v>
      </c>
      <c r="AN170" s="29">
        <v>1063</v>
      </c>
      <c r="AO170" s="29">
        <v>1098</v>
      </c>
      <c r="AP170" s="29">
        <v>1089</v>
      </c>
      <c r="AQ170" s="29">
        <v>1024</v>
      </c>
      <c r="AR170" s="29">
        <v>1012</v>
      </c>
      <c r="AS170" s="29">
        <v>1000</v>
      </c>
      <c r="AT170" s="29">
        <v>1024</v>
      </c>
      <c r="AU170" s="29">
        <v>1032</v>
      </c>
      <c r="AV170" s="29">
        <v>1053</v>
      </c>
      <c r="AW170" s="29">
        <v>1028</v>
      </c>
      <c r="AX170" s="29">
        <v>1015</v>
      </c>
      <c r="AY170" s="29">
        <v>1049</v>
      </c>
      <c r="AZ170" s="29">
        <v>1046</v>
      </c>
      <c r="BA170" s="29">
        <v>1058</v>
      </c>
      <c r="BB170" s="29">
        <v>1055</v>
      </c>
      <c r="BC170" s="29">
        <v>1053</v>
      </c>
      <c r="BD170" s="29">
        <v>1038</v>
      </c>
      <c r="BE170" s="29">
        <v>1035</v>
      </c>
      <c r="BF170" s="29">
        <v>1067</v>
      </c>
      <c r="BG170" s="29">
        <v>1076</v>
      </c>
      <c r="BH170" s="29">
        <v>1076</v>
      </c>
      <c r="BI170" s="29">
        <v>1074</v>
      </c>
      <c r="BJ170" s="29">
        <v>1035</v>
      </c>
      <c r="BK170" s="29">
        <v>1055</v>
      </c>
      <c r="BL170" s="30">
        <v>1069</v>
      </c>
      <c r="BM170" s="1">
        <v>1015</v>
      </c>
      <c r="BN170" s="1">
        <v>902</v>
      </c>
      <c r="BO170" s="1">
        <v>902</v>
      </c>
      <c r="BP170" s="1">
        <v>896</v>
      </c>
      <c r="BQ170" s="1">
        <v>905</v>
      </c>
      <c r="BR170" s="1">
        <v>921</v>
      </c>
      <c r="BS170" s="1">
        <v>930</v>
      </c>
      <c r="BT170" s="1">
        <v>949</v>
      </c>
      <c r="BU170" s="1">
        <v>943</v>
      </c>
      <c r="BV170" s="1">
        <v>946</v>
      </c>
      <c r="BW170" s="1">
        <v>933</v>
      </c>
      <c r="BX170" s="1">
        <v>930</v>
      </c>
      <c r="BY170" s="1">
        <v>925</v>
      </c>
      <c r="BZ170" s="1">
        <v>939</v>
      </c>
    </row>
    <row r="171" spans="1:78" ht="15.9" customHeight="1">
      <c r="A171" s="65" t="s">
        <v>336</v>
      </c>
      <c r="B171" s="25" t="s">
        <v>337</v>
      </c>
      <c r="C171" s="39">
        <f>_xll.RssMarket("7981","高値")</f>
        <v>3010</v>
      </c>
      <c r="D171" s="38">
        <f t="shared" si="5"/>
        <v>-40</v>
      </c>
      <c r="E171" s="34">
        <v>3050</v>
      </c>
      <c r="F171" s="34">
        <v>3025</v>
      </c>
      <c r="G171" s="29">
        <v>3055</v>
      </c>
      <c r="H171" s="29">
        <v>3330</v>
      </c>
      <c r="I171" s="29">
        <v>3310</v>
      </c>
      <c r="J171" s="29">
        <v>3300</v>
      </c>
      <c r="K171" s="29">
        <v>3255</v>
      </c>
      <c r="L171" s="29">
        <v>3135</v>
      </c>
      <c r="M171" s="29">
        <v>3100</v>
      </c>
      <c r="N171" s="29">
        <v>3115</v>
      </c>
      <c r="O171" s="29">
        <v>3110</v>
      </c>
      <c r="P171" s="29">
        <v>3110</v>
      </c>
      <c r="Q171" s="29">
        <v>3130</v>
      </c>
      <c r="R171" s="29">
        <v>3100</v>
      </c>
      <c r="S171" s="29">
        <v>3085</v>
      </c>
      <c r="T171" s="29">
        <v>3100</v>
      </c>
      <c r="U171" s="29">
        <v>3100</v>
      </c>
      <c r="V171" s="29">
        <v>3125</v>
      </c>
      <c r="W171" s="29">
        <v>3175</v>
      </c>
      <c r="X171" s="29">
        <v>3130</v>
      </c>
      <c r="Y171" s="29">
        <v>3115</v>
      </c>
      <c r="Z171" s="29">
        <v>3095</v>
      </c>
      <c r="AA171" s="29">
        <v>3120</v>
      </c>
      <c r="AB171" s="29">
        <v>3110</v>
      </c>
      <c r="AC171" s="29">
        <v>3140</v>
      </c>
      <c r="AD171" s="29">
        <v>3160</v>
      </c>
      <c r="AE171" s="29">
        <v>3210</v>
      </c>
      <c r="AF171" s="29">
        <v>3095</v>
      </c>
      <c r="AG171" s="29">
        <v>3100</v>
      </c>
      <c r="AH171" s="29">
        <v>3075</v>
      </c>
      <c r="AI171" s="29">
        <v>3070</v>
      </c>
      <c r="AJ171" s="29">
        <v>3055</v>
      </c>
      <c r="AK171" s="29">
        <v>3020</v>
      </c>
      <c r="AL171" s="29">
        <v>3020</v>
      </c>
      <c r="AM171" s="29">
        <v>3060</v>
      </c>
      <c r="AN171" s="29">
        <v>3015</v>
      </c>
      <c r="AO171" s="29">
        <v>2961</v>
      </c>
      <c r="AP171" s="29">
        <v>3000</v>
      </c>
      <c r="AQ171" s="29">
        <v>2960</v>
      </c>
      <c r="AR171" s="29">
        <v>2981</v>
      </c>
      <c r="AS171" s="29">
        <v>2944</v>
      </c>
      <c r="AT171" s="29">
        <v>2975</v>
      </c>
      <c r="AU171" s="29">
        <v>2941</v>
      </c>
      <c r="AV171" s="29">
        <v>3030</v>
      </c>
      <c r="AW171" s="29">
        <v>2981</v>
      </c>
      <c r="AX171" s="29">
        <v>2989</v>
      </c>
      <c r="AY171" s="29">
        <v>3055</v>
      </c>
      <c r="AZ171" s="29">
        <v>2925</v>
      </c>
      <c r="BA171" s="29">
        <v>2953</v>
      </c>
      <c r="BB171" s="29">
        <v>2945</v>
      </c>
      <c r="BC171" s="29">
        <v>2969</v>
      </c>
      <c r="BD171" s="29">
        <v>3000</v>
      </c>
      <c r="BE171" s="29">
        <v>3030</v>
      </c>
      <c r="BF171" s="29">
        <v>3035</v>
      </c>
      <c r="BG171" s="29">
        <v>3045</v>
      </c>
      <c r="BH171" s="29">
        <v>3130</v>
      </c>
      <c r="BI171" s="29">
        <v>3100</v>
      </c>
      <c r="BJ171" s="29">
        <v>3200</v>
      </c>
      <c r="BK171" s="29">
        <v>3265</v>
      </c>
      <c r="BL171" s="30">
        <v>3135</v>
      </c>
      <c r="BM171" s="1">
        <v>3180</v>
      </c>
      <c r="BN171" s="1">
        <v>2829</v>
      </c>
      <c r="BO171" s="1">
        <v>2747</v>
      </c>
      <c r="BP171" s="1">
        <v>2668</v>
      </c>
      <c r="BQ171" s="1">
        <v>2668</v>
      </c>
      <c r="BR171" s="1">
        <v>2682</v>
      </c>
      <c r="BS171" s="1">
        <v>2714</v>
      </c>
      <c r="BT171" s="1">
        <v>2749</v>
      </c>
      <c r="BU171" s="1">
        <v>2783</v>
      </c>
      <c r="BV171" s="1">
        <v>2782</v>
      </c>
      <c r="BW171" s="1">
        <v>2738</v>
      </c>
      <c r="BX171" s="1">
        <v>2775</v>
      </c>
      <c r="BY171" s="1">
        <v>2922</v>
      </c>
      <c r="BZ171" s="1">
        <v>3000</v>
      </c>
    </row>
    <row r="172" spans="1:78" ht="15.9" customHeight="1">
      <c r="A172" s="65" t="s">
        <v>338</v>
      </c>
      <c r="B172" s="25" t="s">
        <v>339</v>
      </c>
      <c r="C172" s="39">
        <f>_xll.RssMarket("8303","高値")</f>
        <v>1501</v>
      </c>
      <c r="D172" s="38">
        <f t="shared" si="5"/>
        <v>26</v>
      </c>
      <c r="E172" s="34">
        <v>1475</v>
      </c>
      <c r="F172" s="34">
        <v>1503</v>
      </c>
      <c r="G172" s="29">
        <v>1527.5</v>
      </c>
      <c r="H172" s="29">
        <v>1430</v>
      </c>
      <c r="I172" s="29">
        <v>1450.5</v>
      </c>
      <c r="J172" s="29">
        <v>1465</v>
      </c>
      <c r="K172" s="29">
        <v>1460</v>
      </c>
      <c r="L172" s="29">
        <v>1430</v>
      </c>
      <c r="M172" s="29">
        <v>1456.5</v>
      </c>
      <c r="N172" s="29">
        <v>1454</v>
      </c>
      <c r="O172" s="29">
        <v>1446.5</v>
      </c>
      <c r="P172" s="29">
        <v>1469.5</v>
      </c>
      <c r="Q172" s="29">
        <v>1478.5</v>
      </c>
      <c r="R172" s="29">
        <v>1471.5</v>
      </c>
      <c r="S172" s="29">
        <v>1464.5</v>
      </c>
      <c r="T172" s="29">
        <v>1464</v>
      </c>
      <c r="U172" s="29">
        <v>1465</v>
      </c>
      <c r="V172" s="29">
        <v>1506.5</v>
      </c>
      <c r="W172" s="29">
        <v>1532</v>
      </c>
      <c r="X172" s="29">
        <v>1482</v>
      </c>
      <c r="Y172" s="29">
        <v>1454.5</v>
      </c>
      <c r="Z172" s="29">
        <v>1427</v>
      </c>
      <c r="AA172" s="29">
        <v>1387.5</v>
      </c>
      <c r="AB172" s="29">
        <v>1416</v>
      </c>
      <c r="AC172" s="29">
        <v>1425</v>
      </c>
      <c r="AD172" s="29">
        <v>1414</v>
      </c>
      <c r="AE172" s="29">
        <v>1441</v>
      </c>
      <c r="AF172" s="29">
        <v>1431.5</v>
      </c>
      <c r="AG172" s="29">
        <v>1434.5</v>
      </c>
      <c r="AH172" s="29">
        <v>1452.5</v>
      </c>
      <c r="AI172" s="29">
        <v>1495</v>
      </c>
      <c r="AJ172" s="29">
        <v>1494</v>
      </c>
      <c r="AK172" s="29">
        <v>1496</v>
      </c>
      <c r="AL172" s="29">
        <v>1509</v>
      </c>
      <c r="AM172" s="29">
        <v>1526</v>
      </c>
      <c r="AN172" s="29">
        <v>1461.5</v>
      </c>
      <c r="AO172" s="29">
        <v>1463</v>
      </c>
      <c r="AP172" s="29">
        <v>1551</v>
      </c>
      <c r="AQ172" s="29">
        <v>1413.5</v>
      </c>
      <c r="AR172" s="29">
        <v>1455.5</v>
      </c>
      <c r="AS172" s="29">
        <v>1442</v>
      </c>
      <c r="AT172" s="29">
        <v>1412</v>
      </c>
      <c r="AU172" s="29">
        <v>1378</v>
      </c>
      <c r="AV172" s="29">
        <v>1412</v>
      </c>
      <c r="AW172" s="29">
        <v>1406</v>
      </c>
      <c r="AX172" s="29">
        <v>1423</v>
      </c>
      <c r="AY172" s="29">
        <v>1485</v>
      </c>
      <c r="AZ172" s="29">
        <v>1538.5</v>
      </c>
      <c r="BA172" s="29">
        <v>1588.5</v>
      </c>
      <c r="BB172" s="29">
        <v>1607.5</v>
      </c>
      <c r="BC172" s="29">
        <v>1651.5</v>
      </c>
      <c r="BD172" s="29">
        <v>1658.5</v>
      </c>
      <c r="BE172" s="29">
        <v>1648.5</v>
      </c>
      <c r="BF172" s="29">
        <v>1652.5</v>
      </c>
      <c r="BG172" s="29">
        <v>1673.5</v>
      </c>
      <c r="BH172" s="29">
        <v>1671.5</v>
      </c>
      <c r="BI172" s="29">
        <v>1670</v>
      </c>
      <c r="BJ172" s="29">
        <v>1701.5</v>
      </c>
      <c r="BK172" s="29">
        <v>1727</v>
      </c>
      <c r="BL172" s="30">
        <v>1867.5</v>
      </c>
      <c r="BM172" s="1">
        <v>1835.5</v>
      </c>
      <c r="BN172" s="1">
        <v>1821.5</v>
      </c>
      <c r="BO172" s="1">
        <v>1727</v>
      </c>
      <c r="BP172" s="1">
        <v>1732.5</v>
      </c>
      <c r="BQ172" s="1">
        <v>1764.5</v>
      </c>
      <c r="BR172" s="1">
        <v>1661.5</v>
      </c>
      <c r="BS172" s="1">
        <v>1679</v>
      </c>
      <c r="BT172" s="1">
        <v>1697</v>
      </c>
      <c r="BU172" s="1">
        <v>1718.5</v>
      </c>
      <c r="BV172" s="1">
        <v>1729</v>
      </c>
      <c r="BW172" s="1">
        <v>1699</v>
      </c>
      <c r="BX172" s="1">
        <v>1697.5</v>
      </c>
      <c r="BY172" s="1">
        <v>1703</v>
      </c>
      <c r="BZ172" s="1">
        <v>1742.5</v>
      </c>
    </row>
    <row r="173" spans="1:78" ht="15.9" customHeight="1">
      <c r="A173" s="65" t="s">
        <v>340</v>
      </c>
      <c r="B173" s="25" t="s">
        <v>341</v>
      </c>
      <c r="C173" s="39">
        <f>_xll.RssMarket("4382","高値")</f>
        <v>716</v>
      </c>
      <c r="D173" s="38">
        <f t="shared" si="5"/>
        <v>4</v>
      </c>
      <c r="E173" s="34">
        <v>712</v>
      </c>
      <c r="F173" s="34">
        <v>708</v>
      </c>
      <c r="G173" s="29">
        <v>711</v>
      </c>
      <c r="H173" s="29">
        <v>703</v>
      </c>
      <c r="I173" s="29">
        <v>704</v>
      </c>
      <c r="J173" s="29">
        <v>705</v>
      </c>
      <c r="K173" s="29">
        <v>711</v>
      </c>
      <c r="L173" s="29"/>
      <c r="M173" s="29">
        <v>708</v>
      </c>
      <c r="N173" s="29">
        <v>712</v>
      </c>
      <c r="O173" s="29">
        <v>714</v>
      </c>
      <c r="P173" s="29">
        <v>730</v>
      </c>
      <c r="Q173" s="29">
        <v>731</v>
      </c>
      <c r="R173" s="29">
        <v>712</v>
      </c>
      <c r="S173" s="29">
        <v>710</v>
      </c>
      <c r="T173" s="29">
        <v>707</v>
      </c>
      <c r="U173" s="29">
        <v>720</v>
      </c>
      <c r="V173" s="29">
        <v>720</v>
      </c>
      <c r="W173" s="29">
        <v>729</v>
      </c>
      <c r="X173" s="29">
        <v>724</v>
      </c>
      <c r="Y173" s="29">
        <v>728</v>
      </c>
      <c r="Z173" s="29">
        <v>725</v>
      </c>
      <c r="AA173" s="29">
        <v>732</v>
      </c>
      <c r="AB173" s="29">
        <v>750</v>
      </c>
      <c r="AC173" s="29">
        <v>766</v>
      </c>
      <c r="AD173" s="29">
        <v>730</v>
      </c>
      <c r="AE173" s="29">
        <v>731</v>
      </c>
      <c r="AF173" s="29">
        <v>718</v>
      </c>
      <c r="AG173" s="29">
        <v>733</v>
      </c>
      <c r="AH173" s="29">
        <v>762</v>
      </c>
      <c r="AI173" s="29">
        <v>770</v>
      </c>
      <c r="AJ173" s="29">
        <v>795</v>
      </c>
      <c r="AK173" s="29">
        <v>800</v>
      </c>
      <c r="AL173" s="29">
        <v>805</v>
      </c>
      <c r="AM173" s="29">
        <v>850</v>
      </c>
      <c r="AN173" s="29">
        <v>815</v>
      </c>
      <c r="AO173" s="29">
        <v>778</v>
      </c>
      <c r="AP173" s="29">
        <v>815</v>
      </c>
      <c r="AQ173" s="29">
        <v>715</v>
      </c>
      <c r="AR173" s="29">
        <v>720</v>
      </c>
      <c r="AS173" s="29">
        <v>699</v>
      </c>
      <c r="AT173" s="29">
        <v>704</v>
      </c>
      <c r="AU173" s="29">
        <v>710</v>
      </c>
      <c r="AV173" s="29">
        <v>727</v>
      </c>
      <c r="AW173" s="29">
        <v>747</v>
      </c>
      <c r="AX173" s="29">
        <v>755</v>
      </c>
      <c r="AY173" s="29">
        <v>771</v>
      </c>
      <c r="AZ173" s="29">
        <v>774</v>
      </c>
      <c r="BA173" s="29">
        <v>766</v>
      </c>
      <c r="BB173" s="29">
        <v>774</v>
      </c>
      <c r="BC173" s="29">
        <v>774</v>
      </c>
      <c r="BD173" s="29">
        <v>768</v>
      </c>
      <c r="BE173" s="29">
        <v>784</v>
      </c>
      <c r="BF173" s="29">
        <v>782</v>
      </c>
      <c r="BG173" s="29">
        <v>790</v>
      </c>
      <c r="BH173" s="29">
        <v>796</v>
      </c>
      <c r="BI173" s="29">
        <v>805</v>
      </c>
      <c r="BJ173" s="29">
        <v>812</v>
      </c>
      <c r="BK173" s="29">
        <v>822</v>
      </c>
      <c r="BL173" s="30">
        <v>820</v>
      </c>
      <c r="BM173" s="1">
        <v>811</v>
      </c>
      <c r="BN173" s="1">
        <v>823</v>
      </c>
      <c r="BO173" s="1">
        <v>872</v>
      </c>
      <c r="BP173" s="1">
        <v>850</v>
      </c>
      <c r="BQ173" s="1">
        <v>854</v>
      </c>
      <c r="BR173" s="1">
        <v>860</v>
      </c>
      <c r="BS173" s="1">
        <v>873</v>
      </c>
      <c r="BT173" s="1">
        <v>881</v>
      </c>
      <c r="BU173" s="1">
        <v>916</v>
      </c>
      <c r="BV173" s="1">
        <v>900</v>
      </c>
      <c r="BW173" s="1">
        <v>896</v>
      </c>
      <c r="BX173" s="1">
        <v>873</v>
      </c>
      <c r="BY173" s="1">
        <v>864</v>
      </c>
      <c r="BZ173" s="1">
        <v>868</v>
      </c>
    </row>
    <row r="174" spans="1:78" ht="15.9" customHeight="1">
      <c r="A174" s="65" t="s">
        <v>342</v>
      </c>
      <c r="B174" s="25" t="s">
        <v>343</v>
      </c>
      <c r="C174" s="39">
        <f>_xll.RssMarket("2327","高値")</f>
        <v>3713</v>
      </c>
      <c r="D174" s="38">
        <f t="shared" si="5"/>
        <v>-28</v>
      </c>
      <c r="E174" s="34">
        <v>3741</v>
      </c>
      <c r="F174" s="34">
        <v>3862</v>
      </c>
      <c r="G174" s="29">
        <v>3934</v>
      </c>
      <c r="H174" s="29">
        <v>4016</v>
      </c>
      <c r="I174" s="29">
        <v>4056</v>
      </c>
      <c r="J174" s="29">
        <v>3958</v>
      </c>
      <c r="K174" s="29">
        <v>3927</v>
      </c>
      <c r="L174" s="29">
        <v>3806</v>
      </c>
      <c r="M174" s="29">
        <v>3735</v>
      </c>
      <c r="N174" s="29">
        <v>3797</v>
      </c>
      <c r="O174" s="29">
        <v>3913</v>
      </c>
      <c r="P174" s="29">
        <v>3882</v>
      </c>
      <c r="Q174" s="29">
        <v>3844</v>
      </c>
      <c r="R174" s="29">
        <v>3887</v>
      </c>
      <c r="S174" s="29">
        <v>3823</v>
      </c>
      <c r="T174" s="29">
        <v>3797</v>
      </c>
      <c r="U174" s="29">
        <v>3818</v>
      </c>
      <c r="V174" s="29">
        <v>3845</v>
      </c>
      <c r="W174" s="29">
        <v>3795</v>
      </c>
      <c r="X174" s="29">
        <v>3671</v>
      </c>
      <c r="Y174" s="29">
        <v>3635</v>
      </c>
      <c r="Z174" s="29">
        <v>3504</v>
      </c>
      <c r="AA174" s="29">
        <v>3419</v>
      </c>
      <c r="AB174" s="29">
        <v>3415</v>
      </c>
      <c r="AC174" s="29">
        <v>3379</v>
      </c>
      <c r="AD174" s="29">
        <v>3254</v>
      </c>
      <c r="AE174" s="29">
        <v>3261</v>
      </c>
      <c r="AF174" s="29">
        <v>3241</v>
      </c>
      <c r="AG174" s="29">
        <v>3230</v>
      </c>
      <c r="AH174" s="29">
        <v>3300</v>
      </c>
      <c r="AI174" s="29">
        <v>3247</v>
      </c>
      <c r="AJ174" s="29">
        <v>3193</v>
      </c>
      <c r="AK174" s="29">
        <v>3167</v>
      </c>
      <c r="AL174" s="29">
        <v>3225</v>
      </c>
      <c r="AM174" s="29">
        <v>3291</v>
      </c>
      <c r="AN174" s="29">
        <v>3267</v>
      </c>
      <c r="AO174" s="29">
        <v>3279</v>
      </c>
      <c r="AP174" s="29">
        <v>3315</v>
      </c>
      <c r="AQ174" s="29">
        <v>3397</v>
      </c>
      <c r="AR174" s="29">
        <v>3484</v>
      </c>
      <c r="AS174" s="29">
        <v>3448</v>
      </c>
      <c r="AT174" s="29">
        <v>3590</v>
      </c>
      <c r="AU174" s="29">
        <v>3620</v>
      </c>
      <c r="AV174" s="29">
        <v>3587</v>
      </c>
      <c r="AW174" s="29">
        <v>3593</v>
      </c>
      <c r="AX174" s="29">
        <v>3610</v>
      </c>
      <c r="AY174" s="29">
        <v>3658</v>
      </c>
      <c r="AZ174" s="29">
        <v>3596</v>
      </c>
      <c r="BA174" s="29">
        <v>3605</v>
      </c>
      <c r="BB174" s="29">
        <v>3600</v>
      </c>
      <c r="BC174" s="29">
        <v>3590</v>
      </c>
      <c r="BD174" s="29">
        <v>3566</v>
      </c>
      <c r="BE174" s="29">
        <v>3531</v>
      </c>
      <c r="BF174" s="29">
        <v>3584</v>
      </c>
      <c r="BG174" s="29">
        <v>3646</v>
      </c>
      <c r="BH174" s="29">
        <v>3715</v>
      </c>
      <c r="BI174" s="29">
        <v>3663</v>
      </c>
      <c r="BJ174" s="29">
        <v>3673</v>
      </c>
      <c r="BK174" s="29">
        <v>3655</v>
      </c>
      <c r="BL174" s="30">
        <v>3642</v>
      </c>
      <c r="BM174" s="1">
        <v>3679</v>
      </c>
      <c r="BN174" s="1">
        <v>3725</v>
      </c>
      <c r="BO174" s="1">
        <v>3723</v>
      </c>
      <c r="BP174" s="1">
        <v>3711</v>
      </c>
      <c r="BQ174" s="1">
        <v>3867</v>
      </c>
      <c r="BR174" s="1">
        <v>3930</v>
      </c>
      <c r="BS174" s="1">
        <v>3894</v>
      </c>
      <c r="BT174" s="1">
        <v>3897</v>
      </c>
      <c r="BU174" s="1">
        <v>3935</v>
      </c>
      <c r="BV174" s="1">
        <v>3957</v>
      </c>
      <c r="BW174" s="1">
        <v>3877</v>
      </c>
      <c r="BX174" s="1">
        <v>3811</v>
      </c>
      <c r="BY174" s="1">
        <v>3790</v>
      </c>
      <c r="BZ174" s="1">
        <v>3808</v>
      </c>
    </row>
    <row r="175" spans="1:78" ht="15.9" customHeight="1">
      <c r="A175" s="65" t="s">
        <v>344</v>
      </c>
      <c r="B175" s="25" t="s">
        <v>345</v>
      </c>
      <c r="C175" s="39">
        <f>_xll.RssMarket("1942","高値")</f>
        <v>5704</v>
      </c>
      <c r="D175" s="38">
        <f t="shared" si="5"/>
        <v>166</v>
      </c>
      <c r="E175" s="34">
        <v>5538</v>
      </c>
      <c r="F175" s="34">
        <v>5344</v>
      </c>
      <c r="G175" s="29">
        <v>5833</v>
      </c>
      <c r="H175" s="29">
        <v>5688</v>
      </c>
      <c r="I175" s="29">
        <v>5981</v>
      </c>
      <c r="J175" s="29">
        <v>6050</v>
      </c>
      <c r="K175" s="29">
        <v>6100</v>
      </c>
      <c r="L175" s="29">
        <v>6013</v>
      </c>
      <c r="M175" s="29">
        <v>6063</v>
      </c>
      <c r="N175" s="29">
        <v>6093</v>
      </c>
      <c r="O175" s="29">
        <v>5975</v>
      </c>
      <c r="P175" s="29">
        <v>6068</v>
      </c>
      <c r="Q175" s="29">
        <v>6332</v>
      </c>
      <c r="R175" s="29">
        <v>6188</v>
      </c>
      <c r="S175" s="29">
        <v>6389</v>
      </c>
      <c r="T175" s="29">
        <v>6423</v>
      </c>
      <c r="U175" s="29">
        <v>6452</v>
      </c>
      <c r="V175" s="29">
        <v>6840</v>
      </c>
      <c r="W175" s="29">
        <v>7007</v>
      </c>
      <c r="X175" s="29">
        <v>6949</v>
      </c>
      <c r="Y175" s="29">
        <v>6772</v>
      </c>
      <c r="Z175" s="29">
        <v>6785</v>
      </c>
      <c r="AA175" s="29">
        <v>6870</v>
      </c>
      <c r="AB175" s="29">
        <v>6871</v>
      </c>
      <c r="AC175" s="29">
        <v>6850</v>
      </c>
      <c r="AD175" s="29">
        <v>6785</v>
      </c>
      <c r="AE175" s="29">
        <v>6840</v>
      </c>
      <c r="AF175" s="29">
        <v>6790</v>
      </c>
      <c r="AG175" s="29">
        <v>6842</v>
      </c>
      <c r="AH175" s="29">
        <v>6848</v>
      </c>
      <c r="AI175" s="29">
        <v>6829</v>
      </c>
      <c r="AJ175" s="29">
        <v>6670</v>
      </c>
      <c r="AK175" s="29">
        <v>6500</v>
      </c>
      <c r="AL175" s="29">
        <v>6320</v>
      </c>
      <c r="AM175" s="29">
        <v>6396</v>
      </c>
      <c r="AN175" s="29">
        <v>5944</v>
      </c>
      <c r="AO175" s="29">
        <v>5886</v>
      </c>
      <c r="AP175" s="29">
        <v>6087</v>
      </c>
      <c r="AQ175" s="29">
        <v>5865</v>
      </c>
      <c r="AR175" s="29">
        <v>5914</v>
      </c>
      <c r="AS175" s="29">
        <v>5909</v>
      </c>
      <c r="AT175" s="29">
        <v>6032</v>
      </c>
      <c r="AU175" s="29">
        <v>6127</v>
      </c>
      <c r="AV175" s="29">
        <v>6648</v>
      </c>
      <c r="AW175" s="29">
        <v>6626</v>
      </c>
      <c r="AX175" s="29">
        <v>6710</v>
      </c>
      <c r="AY175" s="29">
        <v>6442</v>
      </c>
      <c r="AZ175" s="29">
        <v>6129</v>
      </c>
      <c r="BA175" s="29">
        <v>6252</v>
      </c>
      <c r="BB175" s="29">
        <v>6355</v>
      </c>
      <c r="BC175" s="29">
        <v>6587</v>
      </c>
      <c r="BD175" s="29">
        <v>6823</v>
      </c>
      <c r="BE175" s="29">
        <v>7047</v>
      </c>
      <c r="BF175" s="29">
        <v>7250</v>
      </c>
      <c r="BG175" s="29">
        <v>7372</v>
      </c>
      <c r="BH175" s="29">
        <v>7460</v>
      </c>
      <c r="BI175" s="29">
        <v>7198</v>
      </c>
      <c r="BJ175" s="29">
        <v>7054</v>
      </c>
      <c r="BK175" s="29">
        <v>7025</v>
      </c>
      <c r="BL175" s="30">
        <v>7029</v>
      </c>
      <c r="BM175" s="1">
        <v>6838</v>
      </c>
      <c r="BN175" s="1">
        <v>6797</v>
      </c>
      <c r="BO175" s="1">
        <v>6110</v>
      </c>
      <c r="BP175" s="1">
        <v>6109</v>
      </c>
      <c r="BQ175" s="1">
        <v>6092</v>
      </c>
      <c r="BR175" s="1">
        <v>6140</v>
      </c>
      <c r="BS175" s="1">
        <v>6198</v>
      </c>
      <c r="BT175" s="1">
        <v>6217</v>
      </c>
      <c r="BU175" s="1">
        <v>6195</v>
      </c>
      <c r="BV175" s="1">
        <v>6202</v>
      </c>
      <c r="BW175" s="1">
        <v>6427</v>
      </c>
      <c r="BX175" s="1">
        <v>6379</v>
      </c>
      <c r="BY175" s="1">
        <v>6368</v>
      </c>
      <c r="BZ175" s="1">
        <v>6453</v>
      </c>
    </row>
    <row r="176" spans="1:78" ht="15.9" customHeight="1">
      <c r="A176" s="65" t="s">
        <v>346</v>
      </c>
      <c r="B176" s="25" t="s">
        <v>347</v>
      </c>
      <c r="C176" s="39">
        <f>_xll.RssMarket("1938","高値")</f>
        <v>2498</v>
      </c>
      <c r="D176" s="38">
        <f t="shared" si="5"/>
        <v>44</v>
      </c>
      <c r="E176" s="34">
        <v>2454</v>
      </c>
      <c r="F176" s="34">
        <v>2404</v>
      </c>
      <c r="G176" s="29">
        <v>2462</v>
      </c>
      <c r="H176" s="29">
        <v>2428</v>
      </c>
      <c r="I176" s="29">
        <v>2467</v>
      </c>
      <c r="J176" s="29">
        <v>2511</v>
      </c>
      <c r="K176" s="29">
        <v>2540</v>
      </c>
      <c r="L176" s="29">
        <v>2521</v>
      </c>
      <c r="M176" s="29">
        <v>2540</v>
      </c>
      <c r="N176" s="29">
        <v>2558</v>
      </c>
      <c r="O176" s="29">
        <v>2532</v>
      </c>
      <c r="P176" s="29">
        <v>2550</v>
      </c>
      <c r="Q176" s="29">
        <v>2602</v>
      </c>
      <c r="R176" s="29">
        <v>2589</v>
      </c>
      <c r="S176" s="29">
        <v>2607</v>
      </c>
      <c r="T176" s="29">
        <v>2600</v>
      </c>
      <c r="U176" s="29">
        <v>2590</v>
      </c>
      <c r="V176" s="29">
        <v>2655</v>
      </c>
      <c r="W176" s="29">
        <v>2784</v>
      </c>
      <c r="X176" s="29">
        <v>2751</v>
      </c>
      <c r="Y176" s="29">
        <v>2703</v>
      </c>
      <c r="Z176" s="29">
        <v>2703</v>
      </c>
      <c r="AA176" s="29">
        <v>2708</v>
      </c>
      <c r="AB176" s="29">
        <v>2730</v>
      </c>
      <c r="AC176" s="29">
        <v>2779</v>
      </c>
      <c r="AD176" s="29">
        <v>2773</v>
      </c>
      <c r="AE176" s="29">
        <v>2728</v>
      </c>
      <c r="AF176" s="29">
        <v>2761</v>
      </c>
      <c r="AG176" s="29">
        <v>2854</v>
      </c>
      <c r="AH176" s="29">
        <v>2804</v>
      </c>
      <c r="AI176" s="29">
        <v>2892</v>
      </c>
      <c r="AJ176" s="29">
        <v>2865</v>
      </c>
      <c r="AK176" s="29">
        <v>2841</v>
      </c>
      <c r="AL176" s="29">
        <v>2791</v>
      </c>
      <c r="AM176" s="29">
        <v>2821</v>
      </c>
      <c r="AN176" s="29">
        <v>2738</v>
      </c>
      <c r="AO176" s="29">
        <v>2712</v>
      </c>
      <c r="AP176" s="29">
        <v>2754</v>
      </c>
      <c r="AQ176" s="29">
        <v>2745</v>
      </c>
      <c r="AR176" s="29">
        <v>2822</v>
      </c>
      <c r="AS176" s="29">
        <v>2788</v>
      </c>
      <c r="AT176" s="29">
        <v>2772</v>
      </c>
      <c r="AU176" s="29">
        <v>2736</v>
      </c>
      <c r="AV176" s="29">
        <v>2870</v>
      </c>
      <c r="AW176" s="29">
        <v>2840</v>
      </c>
      <c r="AX176" s="29">
        <v>2850</v>
      </c>
      <c r="AY176" s="29">
        <v>2830</v>
      </c>
      <c r="AZ176" s="29">
        <v>2668</v>
      </c>
      <c r="BA176" s="29">
        <v>2756</v>
      </c>
      <c r="BB176" s="29">
        <v>2773</v>
      </c>
      <c r="BC176" s="29">
        <v>2899</v>
      </c>
      <c r="BD176" s="29">
        <v>2883</v>
      </c>
      <c r="BE176" s="29">
        <v>3030</v>
      </c>
      <c r="BF176" s="29">
        <v>3015</v>
      </c>
      <c r="BG176" s="29">
        <v>3220</v>
      </c>
      <c r="BH176" s="29">
        <v>3125</v>
      </c>
      <c r="BI176" s="29">
        <v>3040</v>
      </c>
      <c r="BJ176" s="29">
        <v>2926</v>
      </c>
      <c r="BK176" s="29">
        <v>2924</v>
      </c>
      <c r="BL176" s="30">
        <v>2833</v>
      </c>
      <c r="BM176" s="1">
        <v>2718</v>
      </c>
      <c r="BN176" s="1">
        <v>2749</v>
      </c>
      <c r="BO176" s="1">
        <v>2558</v>
      </c>
      <c r="BP176" s="1">
        <v>2606</v>
      </c>
      <c r="BQ176" s="1">
        <v>2575</v>
      </c>
      <c r="BR176" s="1">
        <v>2570</v>
      </c>
      <c r="BS176" s="1">
        <v>2617</v>
      </c>
      <c r="BT176" s="1">
        <v>2554</v>
      </c>
      <c r="BU176" s="1">
        <v>2585</v>
      </c>
      <c r="BV176" s="1">
        <v>2632</v>
      </c>
      <c r="BW176" s="1">
        <v>2687</v>
      </c>
      <c r="BX176" s="1">
        <v>2735</v>
      </c>
      <c r="BY176" s="1">
        <v>2711</v>
      </c>
      <c r="BZ176" s="1">
        <v>2708</v>
      </c>
    </row>
    <row r="177" spans="1:78" ht="15.9" customHeight="1">
      <c r="A177" s="65" t="s">
        <v>348</v>
      </c>
      <c r="B177" s="25" t="s">
        <v>349</v>
      </c>
      <c r="C177" s="39">
        <f>_xll.RssMarket("7236","高値")</f>
        <v>1535</v>
      </c>
      <c r="D177" s="38">
        <f t="shared" si="5"/>
        <v>1535</v>
      </c>
      <c r="E177" s="34"/>
      <c r="F177" s="34"/>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78" ht="15.9" customHeight="1">
      <c r="A178" s="65" t="s">
        <v>350</v>
      </c>
      <c r="B178" s="25" t="s">
        <v>351</v>
      </c>
      <c r="C178" s="39">
        <f>_xll.RssMarket("6436","高値")</f>
        <v>3884</v>
      </c>
      <c r="D178" s="38">
        <f t="shared" si="5"/>
        <v>-37</v>
      </c>
      <c r="E178" s="34">
        <v>3921</v>
      </c>
      <c r="F178" s="34">
        <v>3960</v>
      </c>
      <c r="G178" s="29">
        <v>3899</v>
      </c>
      <c r="H178" s="29">
        <v>3950</v>
      </c>
      <c r="I178" s="29">
        <v>3935</v>
      </c>
      <c r="J178" s="29">
        <v>4077</v>
      </c>
      <c r="K178" s="29">
        <v>4039</v>
      </c>
      <c r="L178" s="29"/>
      <c r="M178" s="29">
        <v>3851</v>
      </c>
      <c r="N178" s="29">
        <v>3845</v>
      </c>
      <c r="O178" s="29">
        <v>3880</v>
      </c>
      <c r="P178" s="29">
        <v>3838</v>
      </c>
      <c r="Q178" s="29">
        <v>3790</v>
      </c>
      <c r="R178" s="29">
        <v>3770</v>
      </c>
      <c r="S178" s="29">
        <v>3781</v>
      </c>
      <c r="T178" s="29">
        <v>3763</v>
      </c>
      <c r="U178" s="29">
        <v>3758</v>
      </c>
      <c r="V178" s="29">
        <v>3772</v>
      </c>
      <c r="W178" s="29">
        <v>3772</v>
      </c>
      <c r="X178" s="29">
        <v>3764</v>
      </c>
      <c r="Y178" s="29">
        <v>3729</v>
      </c>
      <c r="Z178" s="29">
        <v>3712</v>
      </c>
      <c r="AA178" s="29">
        <v>3675</v>
      </c>
      <c r="AB178" s="29">
        <v>3681</v>
      </c>
      <c r="AC178" s="29">
        <v>3691</v>
      </c>
      <c r="AD178" s="29">
        <v>3645</v>
      </c>
      <c r="AE178" s="29">
        <v>3630</v>
      </c>
      <c r="AF178" s="29">
        <v>3595</v>
      </c>
      <c r="AG178" s="29">
        <v>3605</v>
      </c>
      <c r="AH178" s="29">
        <v>3597</v>
      </c>
      <c r="AI178" s="29">
        <v>3581</v>
      </c>
      <c r="AJ178" s="29">
        <v>3581</v>
      </c>
      <c r="AK178" s="29">
        <v>3599</v>
      </c>
      <c r="AL178" s="29">
        <v>3578</v>
      </c>
      <c r="AM178" s="29">
        <v>3640</v>
      </c>
      <c r="AN178" s="29">
        <v>3637</v>
      </c>
      <c r="AO178" s="29">
        <v>3646</v>
      </c>
      <c r="AP178" s="29">
        <v>3642</v>
      </c>
      <c r="AQ178" s="29">
        <v>3577</v>
      </c>
      <c r="AR178" s="29">
        <v>3555</v>
      </c>
      <c r="AS178" s="29">
        <v>3526</v>
      </c>
      <c r="AT178" s="29">
        <v>3543</v>
      </c>
      <c r="AU178" s="29">
        <v>3544</v>
      </c>
      <c r="AV178" s="29">
        <v>3618</v>
      </c>
      <c r="AW178" s="29">
        <v>3585</v>
      </c>
      <c r="AX178" s="29">
        <v>3574</v>
      </c>
      <c r="AY178" s="29">
        <v>3660</v>
      </c>
      <c r="AZ178" s="29">
        <v>3635</v>
      </c>
      <c r="BA178" s="29">
        <v>3669</v>
      </c>
      <c r="BB178" s="29">
        <v>3696</v>
      </c>
      <c r="BC178" s="29">
        <v>3717</v>
      </c>
      <c r="BD178" s="29">
        <v>3687</v>
      </c>
      <c r="BE178" s="29">
        <v>3705</v>
      </c>
      <c r="BF178" s="29">
        <v>3689</v>
      </c>
      <c r="BG178" s="29">
        <v>3682</v>
      </c>
      <c r="BH178" s="29">
        <v>3702</v>
      </c>
      <c r="BI178" s="29">
        <v>3711</v>
      </c>
      <c r="BJ178" s="29">
        <v>3687</v>
      </c>
      <c r="BK178" s="29">
        <v>3627</v>
      </c>
      <c r="BL178" s="30">
        <v>3623</v>
      </c>
      <c r="BM178" s="1">
        <v>3717</v>
      </c>
      <c r="BN178" s="1">
        <v>3762</v>
      </c>
      <c r="BO178" s="1">
        <v>3929</v>
      </c>
      <c r="BP178" s="1">
        <v>3845</v>
      </c>
      <c r="BQ178" s="1">
        <v>3850</v>
      </c>
      <c r="BR178" s="1">
        <v>3876</v>
      </c>
      <c r="BS178" s="1">
        <v>3877</v>
      </c>
      <c r="BT178" s="1">
        <v>3969</v>
      </c>
      <c r="BU178" s="1">
        <v>3927</v>
      </c>
      <c r="BV178" s="1">
        <v>3912</v>
      </c>
      <c r="BW178" s="1">
        <v>3894</v>
      </c>
      <c r="BX178" s="1">
        <v>3910</v>
      </c>
      <c r="BY178" s="1">
        <v>3910</v>
      </c>
      <c r="BZ178" s="1">
        <v>3954</v>
      </c>
    </row>
    <row r="179" spans="1:78" ht="15.9" customHeight="1">
      <c r="A179" s="65" t="s">
        <v>352</v>
      </c>
      <c r="B179" s="25" t="s">
        <v>353</v>
      </c>
      <c r="C179" s="39">
        <f>_xll.RssMarket("5410","高値")</f>
        <v>2862</v>
      </c>
      <c r="D179" s="38">
        <f t="shared" si="5"/>
        <v>1</v>
      </c>
      <c r="E179" s="34">
        <v>2861</v>
      </c>
      <c r="F179" s="34">
        <v>2906</v>
      </c>
      <c r="G179" s="29">
        <v>2894</v>
      </c>
      <c r="H179" s="29">
        <v>2926</v>
      </c>
      <c r="I179" s="29">
        <v>2949</v>
      </c>
      <c r="J179" s="29">
        <v>2847</v>
      </c>
      <c r="K179" s="29">
        <v>2827</v>
      </c>
      <c r="L179" s="29">
        <v>2779</v>
      </c>
      <c r="M179" s="29">
        <v>2780</v>
      </c>
      <c r="N179" s="29">
        <v>2736</v>
      </c>
      <c r="O179" s="29">
        <v>2726</v>
      </c>
      <c r="P179" s="29">
        <v>2702</v>
      </c>
      <c r="Q179" s="29">
        <v>2702</v>
      </c>
      <c r="R179" s="29">
        <v>2713</v>
      </c>
      <c r="S179" s="29">
        <v>2731</v>
      </c>
      <c r="T179" s="29">
        <v>2715</v>
      </c>
      <c r="U179" s="29">
        <v>2682</v>
      </c>
      <c r="V179" s="29">
        <v>2706</v>
      </c>
      <c r="W179" s="29">
        <v>2730</v>
      </c>
      <c r="X179" s="29">
        <v>2699</v>
      </c>
      <c r="Y179" s="29">
        <v>2662</v>
      </c>
      <c r="Z179" s="29">
        <v>2607</v>
      </c>
      <c r="AA179" s="29">
        <v>2587</v>
      </c>
      <c r="AB179" s="29">
        <v>2626</v>
      </c>
      <c r="AC179" s="29">
        <v>2622</v>
      </c>
      <c r="AD179" s="29">
        <v>2602</v>
      </c>
      <c r="AE179" s="29">
        <v>2602</v>
      </c>
      <c r="AF179" s="29">
        <v>2620</v>
      </c>
      <c r="AG179" s="29">
        <v>2604</v>
      </c>
      <c r="AH179" s="29">
        <v>2625</v>
      </c>
      <c r="AI179" s="29">
        <v>2633</v>
      </c>
      <c r="AJ179" s="29">
        <v>2624</v>
      </c>
      <c r="AK179" s="29">
        <v>2668</v>
      </c>
      <c r="AL179" s="29">
        <v>2623</v>
      </c>
      <c r="AM179" s="29">
        <v>2656</v>
      </c>
      <c r="AN179" s="29">
        <v>2609</v>
      </c>
      <c r="AO179" s="29">
        <v>2555</v>
      </c>
      <c r="AP179" s="29">
        <v>2553</v>
      </c>
      <c r="AQ179" s="29">
        <v>2588</v>
      </c>
      <c r="AR179" s="29">
        <v>2593</v>
      </c>
      <c r="AS179" s="29">
        <v>2579</v>
      </c>
      <c r="AT179" s="29">
        <v>2617</v>
      </c>
      <c r="AU179" s="29">
        <v>2601</v>
      </c>
      <c r="AV179" s="29">
        <v>2776</v>
      </c>
      <c r="AW179" s="29">
        <v>2733</v>
      </c>
      <c r="AX179" s="29">
        <v>2722</v>
      </c>
      <c r="AY179" s="29">
        <v>2693</v>
      </c>
      <c r="AZ179" s="29">
        <v>2725</v>
      </c>
      <c r="BA179" s="29">
        <v>2729</v>
      </c>
      <c r="BB179" s="29">
        <v>2762</v>
      </c>
      <c r="BC179" s="29">
        <v>2816</v>
      </c>
      <c r="BD179" s="29">
        <v>2838</v>
      </c>
      <c r="BE179" s="29">
        <v>2875</v>
      </c>
      <c r="BF179" s="29">
        <v>2871</v>
      </c>
      <c r="BG179" s="29">
        <v>2880</v>
      </c>
      <c r="BH179" s="29">
        <v>2875</v>
      </c>
      <c r="BI179" s="29">
        <v>2886</v>
      </c>
      <c r="BJ179" s="29">
        <v>2892</v>
      </c>
      <c r="BK179" s="29">
        <v>2919</v>
      </c>
      <c r="BL179" s="30">
        <v>2896</v>
      </c>
      <c r="BM179" s="1">
        <v>2926</v>
      </c>
      <c r="BN179" s="1">
        <v>3035</v>
      </c>
      <c r="BO179" s="1">
        <v>3635</v>
      </c>
      <c r="BP179" s="1">
        <v>3460</v>
      </c>
      <c r="BQ179" s="1">
        <v>3510</v>
      </c>
      <c r="BR179" s="1">
        <v>3545</v>
      </c>
      <c r="BS179" s="1">
        <v>3570</v>
      </c>
      <c r="BT179" s="1">
        <v>3575</v>
      </c>
      <c r="BU179" s="1">
        <v>3575</v>
      </c>
      <c r="BV179" s="1">
        <v>3580</v>
      </c>
      <c r="BW179" s="1">
        <v>3605</v>
      </c>
      <c r="BX179" s="1">
        <v>3580</v>
      </c>
      <c r="BY179" s="1">
        <v>3620</v>
      </c>
      <c r="BZ179" s="1">
        <v>3660</v>
      </c>
    </row>
    <row r="180" spans="1:78" ht="15.9" customHeight="1">
      <c r="A180" s="65" t="s">
        <v>354</v>
      </c>
      <c r="B180" s="25" t="s">
        <v>355</v>
      </c>
      <c r="C180" s="39">
        <f>_xll.RssMarket("5440","高値")</f>
        <v>1873</v>
      </c>
      <c r="D180" s="38">
        <f t="shared" si="5"/>
        <v>-13</v>
      </c>
      <c r="E180" s="34">
        <v>1886</v>
      </c>
      <c r="F180" s="34">
        <v>1897</v>
      </c>
      <c r="G180" s="29">
        <v>2027</v>
      </c>
      <c r="H180" s="29">
        <v>2021</v>
      </c>
      <c r="I180" s="29">
        <v>1992</v>
      </c>
      <c r="J180" s="29">
        <v>1946</v>
      </c>
      <c r="K180" s="29">
        <v>1930</v>
      </c>
      <c r="L180" s="29"/>
      <c r="M180" s="29">
        <v>1903</v>
      </c>
      <c r="N180" s="29">
        <v>1890</v>
      </c>
      <c r="O180" s="29">
        <v>1892</v>
      </c>
      <c r="P180" s="29">
        <v>1850</v>
      </c>
      <c r="Q180" s="29">
        <v>1855</v>
      </c>
      <c r="R180" s="29">
        <v>1832</v>
      </c>
      <c r="S180" s="29">
        <v>1829</v>
      </c>
      <c r="T180" s="29">
        <v>1816</v>
      </c>
      <c r="U180" s="29">
        <v>1804</v>
      </c>
      <c r="V180" s="29">
        <v>1813</v>
      </c>
      <c r="W180" s="29">
        <v>1831</v>
      </c>
      <c r="X180" s="29">
        <v>1802</v>
      </c>
      <c r="Y180" s="29">
        <v>1784</v>
      </c>
      <c r="Z180" s="29">
        <v>1761</v>
      </c>
      <c r="AA180" s="29">
        <v>1752</v>
      </c>
      <c r="AB180" s="29">
        <v>1756</v>
      </c>
      <c r="AC180" s="29">
        <v>1766</v>
      </c>
      <c r="AD180" s="29">
        <v>1740</v>
      </c>
      <c r="AE180" s="29">
        <v>1726</v>
      </c>
      <c r="AF180" s="29">
        <v>1728</v>
      </c>
      <c r="AG180" s="29">
        <v>1750</v>
      </c>
      <c r="AH180" s="29">
        <v>1767</v>
      </c>
      <c r="AI180" s="29">
        <v>1767</v>
      </c>
      <c r="AJ180" s="29">
        <v>1756</v>
      </c>
      <c r="AK180" s="29">
        <v>1787</v>
      </c>
      <c r="AL180" s="29">
        <v>1772</v>
      </c>
      <c r="AM180" s="29">
        <v>1788</v>
      </c>
      <c r="AN180" s="29">
        <v>1771</v>
      </c>
      <c r="AO180" s="29">
        <v>1721</v>
      </c>
      <c r="AP180" s="29">
        <v>1727</v>
      </c>
      <c r="AQ180" s="29">
        <v>1743</v>
      </c>
      <c r="AR180" s="29">
        <v>1766</v>
      </c>
      <c r="AS180" s="29">
        <v>1754</v>
      </c>
      <c r="AT180" s="29">
        <v>1757</v>
      </c>
      <c r="AU180" s="29">
        <v>1750</v>
      </c>
      <c r="AV180" s="29">
        <v>1839</v>
      </c>
      <c r="AW180" s="29">
        <v>1837</v>
      </c>
      <c r="AX180" s="29">
        <v>1836</v>
      </c>
      <c r="AY180" s="29">
        <v>1880</v>
      </c>
      <c r="AZ180" s="29">
        <v>1862</v>
      </c>
      <c r="BA180" s="29">
        <v>1865</v>
      </c>
      <c r="BB180" s="29">
        <v>1831</v>
      </c>
      <c r="BC180" s="29">
        <v>1865</v>
      </c>
      <c r="BD180" s="29">
        <v>1875</v>
      </c>
      <c r="BE180" s="29">
        <v>1883</v>
      </c>
      <c r="BF180" s="29">
        <v>1890</v>
      </c>
      <c r="BG180" s="29">
        <v>1841</v>
      </c>
      <c r="BH180" s="29">
        <v>1847</v>
      </c>
      <c r="BI180" s="29">
        <v>1840</v>
      </c>
      <c r="BJ180" s="29">
        <v>1828</v>
      </c>
      <c r="BK180" s="29">
        <v>1847</v>
      </c>
      <c r="BL180" s="30">
        <v>1915</v>
      </c>
      <c r="BM180" s="1">
        <v>2267</v>
      </c>
      <c r="BN180" s="1">
        <v>2185</v>
      </c>
      <c r="BO180" s="1">
        <v>2240</v>
      </c>
      <c r="BP180" s="1">
        <v>2254</v>
      </c>
      <c r="BQ180" s="1">
        <v>2276</v>
      </c>
      <c r="BR180" s="1">
        <v>2280</v>
      </c>
      <c r="BS180" s="1">
        <v>2334</v>
      </c>
      <c r="BT180" s="1">
        <v>2313</v>
      </c>
      <c r="BU180" s="1">
        <v>2313</v>
      </c>
      <c r="BV180" s="1">
        <v>2347</v>
      </c>
      <c r="BW180" s="1">
        <v>2373</v>
      </c>
      <c r="BX180" s="1">
        <v>2373</v>
      </c>
      <c r="BY180" s="1">
        <v>2388</v>
      </c>
      <c r="BZ180" s="1">
        <v>2415</v>
      </c>
    </row>
    <row r="181" spans="1:78" ht="15.9" customHeight="1">
      <c r="A181" s="65" t="s">
        <v>356</v>
      </c>
      <c r="B181" s="25" t="s">
        <v>357</v>
      </c>
      <c r="C181" s="39">
        <f>_xll.RssMarket("9505","高値")</f>
        <v>939.6</v>
      </c>
      <c r="D181" s="38">
        <f t="shared" si="5"/>
        <v>-20.399999999999977</v>
      </c>
      <c r="E181" s="34">
        <v>960</v>
      </c>
      <c r="F181" s="34">
        <v>955</v>
      </c>
      <c r="G181" s="29">
        <v>983.7</v>
      </c>
      <c r="H181" s="29">
        <v>1018.5</v>
      </c>
      <c r="I181" s="29">
        <v>993.7</v>
      </c>
      <c r="J181" s="29">
        <v>972.6</v>
      </c>
      <c r="K181" s="29">
        <v>969.3</v>
      </c>
      <c r="L181" s="29">
        <v>947</v>
      </c>
      <c r="M181" s="29">
        <v>951.5</v>
      </c>
      <c r="N181" s="29">
        <v>942.2</v>
      </c>
      <c r="O181" s="29">
        <v>941</v>
      </c>
      <c r="P181" s="29">
        <v>921.8</v>
      </c>
      <c r="Q181" s="29">
        <v>919.8</v>
      </c>
      <c r="R181" s="29">
        <v>904.7</v>
      </c>
      <c r="S181" s="29">
        <v>909.5</v>
      </c>
      <c r="T181" s="29">
        <v>911.5</v>
      </c>
      <c r="U181" s="29">
        <v>920.7</v>
      </c>
      <c r="V181" s="29">
        <v>922</v>
      </c>
      <c r="W181" s="29">
        <v>921.5</v>
      </c>
      <c r="X181" s="29">
        <v>922.7</v>
      </c>
      <c r="Y181" s="29">
        <v>899.5</v>
      </c>
      <c r="Z181" s="29">
        <v>892.8</v>
      </c>
      <c r="AA181" s="29">
        <v>876.1</v>
      </c>
      <c r="AB181" s="29">
        <v>880.4</v>
      </c>
      <c r="AC181" s="29">
        <v>879.5</v>
      </c>
      <c r="AD181" s="29">
        <v>876.9</v>
      </c>
      <c r="AE181" s="29">
        <v>870.5</v>
      </c>
      <c r="AF181" s="29">
        <v>861</v>
      </c>
      <c r="AG181" s="29">
        <v>852.5</v>
      </c>
      <c r="AH181" s="29">
        <v>849.7</v>
      </c>
      <c r="AI181" s="29">
        <v>854.6</v>
      </c>
      <c r="AJ181" s="29">
        <v>863.8</v>
      </c>
      <c r="AK181" s="29">
        <v>859.5</v>
      </c>
      <c r="AL181" s="29">
        <v>873.2</v>
      </c>
      <c r="AM181" s="29">
        <v>888</v>
      </c>
      <c r="AN181" s="29">
        <v>866.5</v>
      </c>
      <c r="AO181" s="29">
        <v>869</v>
      </c>
      <c r="AP181" s="29">
        <v>857.8</v>
      </c>
      <c r="AQ181" s="29">
        <v>833.3</v>
      </c>
      <c r="AR181" s="29">
        <v>827.2</v>
      </c>
      <c r="AS181" s="29">
        <v>813</v>
      </c>
      <c r="AT181" s="29">
        <v>827.1</v>
      </c>
      <c r="AU181" s="29">
        <v>811.7</v>
      </c>
      <c r="AV181" s="29">
        <v>843.6</v>
      </c>
      <c r="AW181" s="29">
        <v>861.2</v>
      </c>
      <c r="AX181" s="29">
        <v>867.7</v>
      </c>
      <c r="AY181" s="29">
        <v>870.4</v>
      </c>
      <c r="AZ181" s="29">
        <v>882.5</v>
      </c>
      <c r="BA181" s="29">
        <v>881.5</v>
      </c>
      <c r="BB181" s="29">
        <v>886.7</v>
      </c>
      <c r="BC181" s="29">
        <v>879.7</v>
      </c>
      <c r="BD181" s="29">
        <v>901</v>
      </c>
      <c r="BE181" s="29">
        <v>921.8</v>
      </c>
      <c r="BF181" s="29">
        <v>922</v>
      </c>
      <c r="BG181" s="29">
        <v>927.7</v>
      </c>
      <c r="BH181" s="29">
        <v>921.2</v>
      </c>
      <c r="BI181" s="29">
        <v>905.1</v>
      </c>
      <c r="BJ181" s="29">
        <v>914.7</v>
      </c>
      <c r="BK181" s="29">
        <v>900.5</v>
      </c>
      <c r="BL181" s="30">
        <v>871.7</v>
      </c>
      <c r="BM181" s="1">
        <v>916.6</v>
      </c>
      <c r="BN181" s="1">
        <v>1005</v>
      </c>
      <c r="BO181" s="1">
        <v>994</v>
      </c>
      <c r="BP181" s="1">
        <v>1006.5</v>
      </c>
      <c r="BQ181" s="1">
        <v>998.3</v>
      </c>
      <c r="BR181" s="1">
        <v>1011.5</v>
      </c>
      <c r="BS181" s="1">
        <v>1032</v>
      </c>
      <c r="BT181" s="1">
        <v>1064</v>
      </c>
      <c r="BU181" s="1">
        <v>1080</v>
      </c>
      <c r="BV181" s="1">
        <v>1090</v>
      </c>
      <c r="BW181" s="1">
        <v>1097</v>
      </c>
      <c r="BX181" s="1">
        <v>1096.5</v>
      </c>
      <c r="BY181" s="1">
        <v>1114.5</v>
      </c>
      <c r="BZ181" s="1">
        <v>1134</v>
      </c>
    </row>
    <row r="182" spans="1:78" ht="15.9" customHeight="1">
      <c r="A182" s="65" t="s">
        <v>358</v>
      </c>
      <c r="B182" s="25" t="s">
        <v>359</v>
      </c>
      <c r="C182" s="39">
        <f>_xll.RssMarket("8091","高値")</f>
        <v>2358</v>
      </c>
      <c r="D182" s="38">
        <f t="shared" si="5"/>
        <v>-27</v>
      </c>
      <c r="E182" s="34">
        <v>2385</v>
      </c>
      <c r="F182" s="34">
        <v>2400</v>
      </c>
      <c r="G182" s="29">
        <v>2406</v>
      </c>
      <c r="H182" s="29">
        <v>2399</v>
      </c>
      <c r="I182" s="29">
        <v>2388</v>
      </c>
      <c r="J182" s="29">
        <v>2358</v>
      </c>
      <c r="K182" s="29">
        <v>2352</v>
      </c>
      <c r="L182" s="29">
        <v>2336</v>
      </c>
      <c r="M182" s="29">
        <v>2344</v>
      </c>
      <c r="N182" s="29">
        <v>2352</v>
      </c>
      <c r="O182" s="29">
        <v>2351</v>
      </c>
      <c r="P182" s="29">
        <v>2340</v>
      </c>
      <c r="Q182" s="29">
        <v>2323</v>
      </c>
      <c r="R182" s="29">
        <v>2289</v>
      </c>
      <c r="S182" s="29">
        <v>2319</v>
      </c>
      <c r="T182" s="29">
        <v>2311</v>
      </c>
      <c r="U182" s="29">
        <v>2288</v>
      </c>
      <c r="V182" s="29">
        <v>2338</v>
      </c>
      <c r="W182" s="29">
        <v>2349</v>
      </c>
      <c r="X182" s="29">
        <v>2340</v>
      </c>
      <c r="Y182" s="29">
        <v>2310</v>
      </c>
      <c r="Z182" s="29">
        <v>2296</v>
      </c>
      <c r="AA182" s="29">
        <v>2297</v>
      </c>
      <c r="AB182" s="29">
        <v>2300</v>
      </c>
      <c r="AC182" s="29">
        <v>2301</v>
      </c>
      <c r="AD182" s="29">
        <v>2285</v>
      </c>
      <c r="AE182" s="29">
        <v>2308</v>
      </c>
      <c r="AF182" s="29">
        <v>2287</v>
      </c>
      <c r="AG182" s="29">
        <v>2294</v>
      </c>
      <c r="AH182" s="29">
        <v>2294</v>
      </c>
      <c r="AI182" s="29">
        <v>2300</v>
      </c>
      <c r="AJ182" s="29">
        <v>2261</v>
      </c>
      <c r="AK182" s="29">
        <v>2240</v>
      </c>
      <c r="AL182" s="29">
        <v>2214</v>
      </c>
      <c r="AM182" s="29">
        <v>2228</v>
      </c>
      <c r="AN182" s="29">
        <v>2200</v>
      </c>
      <c r="AO182" s="29">
        <v>2211</v>
      </c>
      <c r="AP182" s="29">
        <v>2206</v>
      </c>
      <c r="AQ182" s="29">
        <v>2210</v>
      </c>
      <c r="AR182" s="29">
        <v>2228</v>
      </c>
      <c r="AS182" s="29">
        <v>2181</v>
      </c>
      <c r="AT182" s="29">
        <v>2147</v>
      </c>
      <c r="AU182" s="29">
        <v>2135</v>
      </c>
      <c r="AV182" s="29">
        <v>2186</v>
      </c>
      <c r="AW182" s="29">
        <v>2175</v>
      </c>
      <c r="AX182" s="29">
        <v>2149</v>
      </c>
      <c r="AY182" s="29">
        <v>2146</v>
      </c>
      <c r="AZ182" s="29">
        <v>2169</v>
      </c>
      <c r="BA182" s="29">
        <v>2177</v>
      </c>
      <c r="BB182" s="29">
        <v>2190</v>
      </c>
      <c r="BC182" s="29">
        <v>2197</v>
      </c>
      <c r="BD182" s="29">
        <v>2206</v>
      </c>
      <c r="BE182" s="29">
        <v>2311</v>
      </c>
      <c r="BF182" s="29">
        <v>2285</v>
      </c>
      <c r="BG182" s="29">
        <v>2281</v>
      </c>
      <c r="BH182" s="29">
        <v>2278</v>
      </c>
      <c r="BI182" s="29">
        <v>2285</v>
      </c>
      <c r="BJ182" s="29">
        <v>2256</v>
      </c>
      <c r="BK182" s="29">
        <v>2262</v>
      </c>
      <c r="BL182" s="30">
        <v>2253</v>
      </c>
      <c r="BM182" s="1">
        <v>2270</v>
      </c>
      <c r="BN182" s="1">
        <v>2307</v>
      </c>
      <c r="BO182" s="1">
        <v>2397</v>
      </c>
      <c r="BP182" s="1">
        <v>2452</v>
      </c>
      <c r="BQ182" s="1">
        <v>2478</v>
      </c>
      <c r="BR182" s="1">
        <v>2495</v>
      </c>
      <c r="BS182" s="1">
        <v>2507</v>
      </c>
      <c r="BT182" s="1">
        <v>2522</v>
      </c>
      <c r="BU182" s="1">
        <v>2530</v>
      </c>
      <c r="BV182" s="1">
        <v>2545</v>
      </c>
      <c r="BW182" s="1">
        <v>2553</v>
      </c>
      <c r="BX182" s="1">
        <v>2556</v>
      </c>
      <c r="BY182" s="1">
        <v>2550</v>
      </c>
      <c r="BZ182" s="1">
        <v>2577</v>
      </c>
    </row>
    <row r="183" spans="1:78" ht="15.9" customHeight="1">
      <c r="A183" s="65" t="s">
        <v>360</v>
      </c>
      <c r="B183" s="25" t="s">
        <v>361</v>
      </c>
      <c r="C183" s="39">
        <f>_xll.RssMarket("6507","高値")</f>
        <v>15060</v>
      </c>
      <c r="D183" s="38">
        <f t="shared" si="5"/>
        <v>870</v>
      </c>
      <c r="E183" s="34">
        <v>14190</v>
      </c>
      <c r="F183" s="34">
        <v>13550</v>
      </c>
      <c r="G183" s="29">
        <v>13660</v>
      </c>
      <c r="H183" s="29">
        <v>12600</v>
      </c>
      <c r="I183" s="29">
        <v>12790</v>
      </c>
      <c r="J183" s="29">
        <v>13450</v>
      </c>
      <c r="K183" s="29">
        <v>14380</v>
      </c>
      <c r="L183" s="29">
        <v>14320</v>
      </c>
      <c r="M183" s="29">
        <v>14380</v>
      </c>
      <c r="N183" s="29">
        <v>14470</v>
      </c>
      <c r="O183" s="29">
        <v>14000</v>
      </c>
      <c r="P183" s="29">
        <v>14150</v>
      </c>
      <c r="Q183" s="29">
        <v>14990</v>
      </c>
      <c r="R183" s="29">
        <v>14360</v>
      </c>
      <c r="S183" s="29">
        <v>15200</v>
      </c>
      <c r="T183" s="29">
        <v>15610</v>
      </c>
      <c r="U183" s="29">
        <v>15090</v>
      </c>
      <c r="V183" s="29">
        <v>15440</v>
      </c>
      <c r="W183" s="29">
        <v>16700</v>
      </c>
      <c r="X183" s="29">
        <v>16660</v>
      </c>
      <c r="Y183" s="29">
        <v>15690</v>
      </c>
      <c r="Z183" s="29">
        <v>16000</v>
      </c>
      <c r="AA183" s="29">
        <v>16630</v>
      </c>
      <c r="AB183" s="29">
        <v>16500</v>
      </c>
      <c r="AC183" s="29">
        <v>15400</v>
      </c>
      <c r="AD183" s="29">
        <v>15810</v>
      </c>
      <c r="AE183" s="29">
        <v>16500</v>
      </c>
      <c r="AF183" s="29">
        <v>16050</v>
      </c>
      <c r="AG183" s="29">
        <v>16900</v>
      </c>
      <c r="AH183" s="29">
        <v>16890</v>
      </c>
      <c r="AI183" s="29">
        <v>16770</v>
      </c>
      <c r="AJ183" s="29">
        <v>16460</v>
      </c>
      <c r="AK183" s="29">
        <v>15880</v>
      </c>
      <c r="AL183" s="29">
        <v>14800</v>
      </c>
      <c r="AM183" s="29">
        <v>14160</v>
      </c>
      <c r="AN183" s="29">
        <v>13900</v>
      </c>
      <c r="AO183" s="29">
        <v>13310</v>
      </c>
      <c r="AP183" s="29">
        <v>13900</v>
      </c>
      <c r="AQ183" s="29">
        <v>14610</v>
      </c>
      <c r="AR183" s="29">
        <v>15480</v>
      </c>
      <c r="AS183" s="29">
        <v>15340</v>
      </c>
      <c r="AT183" s="29">
        <v>14490</v>
      </c>
      <c r="AU183" s="29">
        <v>14420</v>
      </c>
      <c r="AV183" s="29">
        <v>14300</v>
      </c>
      <c r="AW183" s="29">
        <v>14450</v>
      </c>
      <c r="AX183" s="29">
        <v>15310</v>
      </c>
      <c r="AY183" s="29">
        <v>14610</v>
      </c>
      <c r="AZ183" s="29">
        <v>14240</v>
      </c>
      <c r="BA183" s="29">
        <v>13800</v>
      </c>
      <c r="BB183" s="29">
        <v>13290</v>
      </c>
      <c r="BC183" s="29">
        <v>15720</v>
      </c>
      <c r="BD183" s="29">
        <v>15460</v>
      </c>
      <c r="BE183" s="29">
        <v>16900</v>
      </c>
      <c r="BF183" s="29">
        <v>16110</v>
      </c>
      <c r="BG183" s="29">
        <v>14820</v>
      </c>
      <c r="BH183" s="29">
        <v>15290</v>
      </c>
      <c r="BI183" s="29">
        <v>15200</v>
      </c>
      <c r="BJ183" s="29">
        <v>14950</v>
      </c>
      <c r="BK183" s="29">
        <v>15640</v>
      </c>
      <c r="BL183" s="30">
        <v>14640</v>
      </c>
      <c r="BM183" s="1">
        <v>14430</v>
      </c>
      <c r="BN183" s="1">
        <v>14150</v>
      </c>
      <c r="BO183" s="1">
        <v>13900</v>
      </c>
      <c r="BP183" s="1">
        <v>13470</v>
      </c>
      <c r="BQ183" s="1">
        <v>13600</v>
      </c>
      <c r="BR183" s="1">
        <v>13480</v>
      </c>
      <c r="BS183" s="1">
        <v>13720</v>
      </c>
      <c r="BT183" s="1">
        <v>13920</v>
      </c>
      <c r="BU183" s="1">
        <v>13890</v>
      </c>
      <c r="BV183" s="1">
        <v>14060</v>
      </c>
      <c r="BW183" s="1">
        <v>13550</v>
      </c>
      <c r="BX183" s="1">
        <v>13700</v>
      </c>
      <c r="BY183" s="1">
        <v>13590</v>
      </c>
      <c r="BZ183" s="1">
        <v>13540</v>
      </c>
    </row>
    <row r="184" spans="1:78" ht="15.9" customHeight="1">
      <c r="A184" s="65" t="s">
        <v>362</v>
      </c>
      <c r="B184" s="25" t="s">
        <v>363</v>
      </c>
      <c r="C184" s="39">
        <f>_xll.RssMarket("9022","高値")</f>
        <v>3844</v>
      </c>
      <c r="D184" s="38">
        <f t="shared" si="5"/>
        <v>-79</v>
      </c>
      <c r="E184" s="34">
        <v>3923</v>
      </c>
      <c r="F184" s="34">
        <v>3999</v>
      </c>
      <c r="G184" s="29">
        <v>4090</v>
      </c>
      <c r="H184" s="29">
        <v>4268</v>
      </c>
      <c r="I184" s="29">
        <v>4291</v>
      </c>
      <c r="J184" s="29">
        <v>4095</v>
      </c>
      <c r="K184" s="29">
        <v>4050</v>
      </c>
      <c r="L184" s="29">
        <v>3904</v>
      </c>
      <c r="M184" s="29">
        <v>3830</v>
      </c>
      <c r="N184" s="29">
        <v>3806</v>
      </c>
      <c r="O184" s="29">
        <v>3880</v>
      </c>
      <c r="P184" s="29">
        <v>3803</v>
      </c>
      <c r="Q184" s="29">
        <v>3750</v>
      </c>
      <c r="R184" s="29">
        <v>3736</v>
      </c>
      <c r="S184" s="29">
        <v>3671</v>
      </c>
      <c r="T184" s="29">
        <v>3677</v>
      </c>
      <c r="U184" s="29">
        <v>3659</v>
      </c>
      <c r="V184" s="29">
        <v>3720</v>
      </c>
      <c r="W184" s="29">
        <v>3723</v>
      </c>
      <c r="X184" s="29">
        <v>3559</v>
      </c>
      <c r="Y184" s="29">
        <v>3570</v>
      </c>
      <c r="Z184" s="29">
        <v>3517</v>
      </c>
      <c r="AA184" s="29">
        <v>3456</v>
      </c>
      <c r="AB184" s="29">
        <v>3507</v>
      </c>
      <c r="AC184" s="29">
        <v>3506</v>
      </c>
      <c r="AD184" s="29">
        <v>3420</v>
      </c>
      <c r="AE184" s="29">
        <v>3383</v>
      </c>
      <c r="AF184" s="29">
        <v>3397</v>
      </c>
      <c r="AG184" s="29">
        <v>3359</v>
      </c>
      <c r="AH184" s="29">
        <v>3259</v>
      </c>
      <c r="AI184" s="29">
        <v>3269</v>
      </c>
      <c r="AJ184" s="29">
        <v>3352</v>
      </c>
      <c r="AK184" s="29">
        <v>3371</v>
      </c>
      <c r="AL184" s="29">
        <v>3351</v>
      </c>
      <c r="AM184" s="29">
        <v>3428</v>
      </c>
      <c r="AN184" s="29">
        <v>3410</v>
      </c>
      <c r="AO184" s="29">
        <v>3516</v>
      </c>
      <c r="AP184" s="29">
        <v>3509</v>
      </c>
      <c r="AQ184" s="29">
        <v>3394</v>
      </c>
      <c r="AR184" s="29">
        <v>3390</v>
      </c>
      <c r="AS184" s="29">
        <v>3323</v>
      </c>
      <c r="AT184" s="29">
        <v>3348</v>
      </c>
      <c r="AU184" s="29">
        <v>3398</v>
      </c>
      <c r="AV184" s="29">
        <v>3532</v>
      </c>
      <c r="AW184" s="29">
        <v>3526</v>
      </c>
      <c r="AX184" s="29">
        <v>3540</v>
      </c>
      <c r="AY184" s="29">
        <v>3553</v>
      </c>
      <c r="AZ184" s="29">
        <v>3573</v>
      </c>
      <c r="BA184" s="29">
        <v>3601</v>
      </c>
      <c r="BB184" s="29">
        <v>3609</v>
      </c>
      <c r="BC184" s="29">
        <v>3634</v>
      </c>
      <c r="BD184" s="29">
        <v>3627</v>
      </c>
      <c r="BE184" s="29">
        <v>3641</v>
      </c>
      <c r="BF184" s="29">
        <v>3659</v>
      </c>
      <c r="BG184" s="29">
        <v>3663</v>
      </c>
      <c r="BH184" s="29">
        <v>3613</v>
      </c>
      <c r="BI184" s="29">
        <v>3647</v>
      </c>
      <c r="BJ184" s="29">
        <v>3715</v>
      </c>
      <c r="BK184" s="29">
        <v>3721</v>
      </c>
      <c r="BL184" s="30">
        <v>3707</v>
      </c>
      <c r="BM184" s="1">
        <v>3833</v>
      </c>
      <c r="BN184" s="1">
        <v>4161</v>
      </c>
      <c r="BO184" s="1">
        <v>4102</v>
      </c>
      <c r="BP184" s="1">
        <v>4122</v>
      </c>
      <c r="BQ184" s="1">
        <v>4101</v>
      </c>
      <c r="BR184" s="1">
        <v>4200</v>
      </c>
      <c r="BS184" s="1">
        <v>4290</v>
      </c>
      <c r="BT184" s="1">
        <v>4275</v>
      </c>
      <c r="BU184" s="1">
        <v>4290</v>
      </c>
      <c r="BV184" s="1">
        <v>4341</v>
      </c>
      <c r="BW184" s="1">
        <v>4430</v>
      </c>
      <c r="BX184" s="1">
        <v>4261</v>
      </c>
      <c r="BY184" s="1">
        <v>4247</v>
      </c>
      <c r="BZ184" s="1">
        <v>4283</v>
      </c>
    </row>
    <row r="185" spans="1:78" ht="15.9" customHeight="1">
      <c r="A185" s="65" t="s">
        <v>364</v>
      </c>
      <c r="B185" s="25" t="s">
        <v>365</v>
      </c>
      <c r="C185" s="39">
        <f>_xll.RssMarket("9536","高値")</f>
        <v>2397</v>
      </c>
      <c r="D185" s="38">
        <f t="shared" si="5"/>
        <v>-30</v>
      </c>
      <c r="E185" s="34">
        <v>2427</v>
      </c>
      <c r="F185" s="34">
        <v>2440</v>
      </c>
      <c r="G185" s="29">
        <v>2399</v>
      </c>
      <c r="H185" s="29">
        <v>2382</v>
      </c>
      <c r="I185" s="29">
        <v>2372</v>
      </c>
      <c r="J185" s="29">
        <v>2371</v>
      </c>
      <c r="K185" s="29">
        <v>2393</v>
      </c>
      <c r="L185" s="29">
        <v>2361</v>
      </c>
      <c r="M185" s="29">
        <v>2365</v>
      </c>
      <c r="N185" s="29">
        <v>2369</v>
      </c>
      <c r="O185" s="29">
        <v>2368</v>
      </c>
      <c r="P185" s="29">
        <v>2341</v>
      </c>
      <c r="Q185" s="29">
        <v>2335</v>
      </c>
      <c r="R185" s="29">
        <v>2329</v>
      </c>
      <c r="S185" s="29">
        <v>2346</v>
      </c>
      <c r="T185" s="29">
        <v>2340</v>
      </c>
      <c r="U185" s="29">
        <v>2359</v>
      </c>
      <c r="V185" s="29">
        <v>2360</v>
      </c>
      <c r="W185" s="29">
        <v>2336</v>
      </c>
      <c r="X185" s="29">
        <v>2319</v>
      </c>
      <c r="Y185" s="29">
        <v>2275</v>
      </c>
      <c r="Z185" s="29">
        <v>2244</v>
      </c>
      <c r="AA185" s="29">
        <v>2249</v>
      </c>
      <c r="AB185" s="29">
        <v>2270</v>
      </c>
      <c r="AC185" s="29">
        <v>2278</v>
      </c>
      <c r="AD185" s="29">
        <v>2246</v>
      </c>
      <c r="AE185" s="29">
        <v>2240</v>
      </c>
      <c r="AF185" s="29">
        <v>2232</v>
      </c>
      <c r="AG185" s="29">
        <v>2219</v>
      </c>
      <c r="AH185" s="29">
        <v>2231</v>
      </c>
      <c r="AI185" s="29">
        <v>2254</v>
      </c>
      <c r="AJ185" s="29">
        <v>2253</v>
      </c>
      <c r="AK185" s="29">
        <v>2262</v>
      </c>
      <c r="AL185" s="29">
        <v>2278</v>
      </c>
      <c r="AM185" s="29">
        <v>2275</v>
      </c>
      <c r="AN185" s="29">
        <v>2248</v>
      </c>
      <c r="AO185" s="29">
        <v>2244</v>
      </c>
      <c r="AP185" s="29">
        <v>2245</v>
      </c>
      <c r="AQ185" s="29">
        <v>2210</v>
      </c>
      <c r="AR185" s="29">
        <v>2230</v>
      </c>
      <c r="AS185" s="29">
        <v>2191</v>
      </c>
      <c r="AT185" s="29">
        <v>2193</v>
      </c>
      <c r="AU185" s="29">
        <v>2181</v>
      </c>
      <c r="AV185" s="29">
        <v>2227</v>
      </c>
      <c r="AW185" s="29">
        <v>2210</v>
      </c>
      <c r="AX185" s="29">
        <v>2225</v>
      </c>
      <c r="AY185" s="29">
        <v>2228</v>
      </c>
      <c r="AZ185" s="29">
        <v>2233</v>
      </c>
      <c r="BA185" s="29">
        <v>2225</v>
      </c>
      <c r="BB185" s="29">
        <v>2233</v>
      </c>
      <c r="BC185" s="29">
        <v>2249</v>
      </c>
      <c r="BD185" s="29">
        <v>2250</v>
      </c>
      <c r="BE185" s="29">
        <v>2264</v>
      </c>
      <c r="BF185" s="29">
        <v>2254</v>
      </c>
      <c r="BG185" s="29">
        <v>2240</v>
      </c>
      <c r="BH185" s="29">
        <v>2266</v>
      </c>
      <c r="BI185" s="29">
        <v>2255</v>
      </c>
      <c r="BJ185" s="29">
        <v>2256</v>
      </c>
      <c r="BK185" s="29">
        <v>2278</v>
      </c>
      <c r="BL185" s="30">
        <v>2246</v>
      </c>
      <c r="BM185" s="1">
        <v>2358</v>
      </c>
      <c r="BN185" s="1">
        <v>2457</v>
      </c>
      <c r="BO185" s="1">
        <v>2470</v>
      </c>
      <c r="BP185" s="1">
        <v>2478</v>
      </c>
      <c r="BQ185" s="1">
        <v>2460</v>
      </c>
      <c r="BR185" s="1">
        <v>2519</v>
      </c>
      <c r="BS185" s="1">
        <v>2562</v>
      </c>
      <c r="BT185" s="1">
        <v>2588</v>
      </c>
      <c r="BU185" s="1">
        <v>2629</v>
      </c>
      <c r="BV185" s="1">
        <v>2616</v>
      </c>
      <c r="BW185" s="1">
        <v>2602</v>
      </c>
      <c r="BX185" s="1">
        <v>2582</v>
      </c>
      <c r="BY185" s="1">
        <v>2582</v>
      </c>
      <c r="BZ185" s="1">
        <v>2595</v>
      </c>
    </row>
    <row r="186" spans="1:78" ht="15.9" customHeight="1">
      <c r="A186" s="65" t="s">
        <v>366</v>
      </c>
      <c r="B186" s="25" t="s">
        <v>367</v>
      </c>
      <c r="C186" s="39">
        <f>_xll.RssMarket("9506","高値")</f>
        <v>1208</v>
      </c>
      <c r="D186" s="38">
        <f t="shared" si="5"/>
        <v>-4.5</v>
      </c>
      <c r="E186" s="34">
        <v>1212.5</v>
      </c>
      <c r="F186" s="34">
        <v>1194</v>
      </c>
      <c r="G186" s="29">
        <v>1187</v>
      </c>
      <c r="H186" s="29">
        <v>1199</v>
      </c>
      <c r="I186" s="29">
        <v>1210</v>
      </c>
      <c r="J186" s="29">
        <v>1171.5</v>
      </c>
      <c r="K186" s="29">
        <v>1179</v>
      </c>
      <c r="L186" s="29">
        <v>1148.5</v>
      </c>
      <c r="M186" s="29">
        <v>1149.5</v>
      </c>
      <c r="N186" s="29">
        <v>1144.5</v>
      </c>
      <c r="O186" s="29">
        <v>1159.5</v>
      </c>
      <c r="P186" s="29">
        <v>1143</v>
      </c>
      <c r="Q186" s="29">
        <v>1136.5</v>
      </c>
      <c r="R186" s="29">
        <v>1107</v>
      </c>
      <c r="S186" s="29">
        <v>1100.5</v>
      </c>
      <c r="T186" s="29">
        <v>1100</v>
      </c>
      <c r="U186" s="29">
        <v>1109.5</v>
      </c>
      <c r="V186" s="29">
        <v>1097</v>
      </c>
      <c r="W186" s="29">
        <v>1097.5</v>
      </c>
      <c r="X186" s="29">
        <v>1097.5</v>
      </c>
      <c r="Y186" s="29">
        <v>1072.5</v>
      </c>
      <c r="Z186" s="29">
        <v>1073.5</v>
      </c>
      <c r="AA186" s="29">
        <v>1064</v>
      </c>
      <c r="AB186" s="29">
        <v>1073</v>
      </c>
      <c r="AC186" s="29">
        <v>1060</v>
      </c>
      <c r="AD186" s="29">
        <v>1057</v>
      </c>
      <c r="AE186" s="29">
        <v>1048</v>
      </c>
      <c r="AF186" s="29">
        <v>1039.5</v>
      </c>
      <c r="AG186" s="29">
        <v>1049.5</v>
      </c>
      <c r="AH186" s="29">
        <v>1049</v>
      </c>
      <c r="AI186" s="29">
        <v>1055.5</v>
      </c>
      <c r="AJ186" s="29">
        <v>1063.5</v>
      </c>
      <c r="AK186" s="29">
        <v>1053</v>
      </c>
      <c r="AL186" s="29">
        <v>1066</v>
      </c>
      <c r="AM186" s="29">
        <v>1067</v>
      </c>
      <c r="AN186" s="29">
        <v>1033.5</v>
      </c>
      <c r="AO186" s="29">
        <v>1034.5</v>
      </c>
      <c r="AP186" s="29">
        <v>1020</v>
      </c>
      <c r="AQ186" s="29">
        <v>1006.5</v>
      </c>
      <c r="AR186" s="29">
        <v>1014</v>
      </c>
      <c r="AS186" s="29">
        <v>1005.5</v>
      </c>
      <c r="AT186" s="29">
        <v>1016</v>
      </c>
      <c r="AU186" s="29">
        <v>990.6</v>
      </c>
      <c r="AV186" s="29">
        <v>1011.5</v>
      </c>
      <c r="AW186" s="29">
        <v>1001.5</v>
      </c>
      <c r="AX186" s="29">
        <v>1020.5</v>
      </c>
      <c r="AY186" s="29">
        <v>1019.5</v>
      </c>
      <c r="AZ186" s="29">
        <v>1033.5</v>
      </c>
      <c r="BA186" s="29">
        <v>1034.5</v>
      </c>
      <c r="BB186" s="29">
        <v>1024</v>
      </c>
      <c r="BC186" s="29">
        <v>1024</v>
      </c>
      <c r="BD186" s="29">
        <v>1053</v>
      </c>
      <c r="BE186" s="29">
        <v>1066</v>
      </c>
      <c r="BF186" s="29">
        <v>1061.5</v>
      </c>
      <c r="BG186" s="29">
        <v>1077</v>
      </c>
      <c r="BH186" s="29">
        <v>1073.5</v>
      </c>
      <c r="BI186" s="29">
        <v>1068.5</v>
      </c>
      <c r="BJ186" s="29">
        <v>1104.5</v>
      </c>
      <c r="BK186" s="29">
        <v>1111.5</v>
      </c>
      <c r="BL186" s="30">
        <v>1095</v>
      </c>
      <c r="BM186" s="1">
        <v>1140.5</v>
      </c>
      <c r="BN186" s="1">
        <v>1157</v>
      </c>
      <c r="BO186" s="1">
        <v>1131</v>
      </c>
      <c r="BP186" s="1">
        <v>1149</v>
      </c>
      <c r="BQ186" s="1">
        <v>1128</v>
      </c>
      <c r="BR186" s="1">
        <v>1153</v>
      </c>
      <c r="BS186" s="1">
        <v>1168</v>
      </c>
      <c r="BT186" s="1">
        <v>1194.5</v>
      </c>
      <c r="BU186" s="1">
        <v>1193</v>
      </c>
      <c r="BV186" s="1">
        <v>1185</v>
      </c>
      <c r="BW186" s="1">
        <v>1191</v>
      </c>
      <c r="BX186" s="1">
        <v>1175.5</v>
      </c>
      <c r="BY186" s="1">
        <v>1175.5</v>
      </c>
      <c r="BZ186" s="1">
        <v>1192</v>
      </c>
    </row>
    <row r="187" spans="1:78" ht="15.9" customHeight="1">
      <c r="A187" s="65" t="s">
        <v>368</v>
      </c>
      <c r="B187" s="25" t="s">
        <v>369</v>
      </c>
      <c r="C187" s="39">
        <f>_xll.RssMarket("2127","高値")</f>
        <v>637</v>
      </c>
      <c r="D187" s="38">
        <f t="shared" si="5"/>
        <v>-10</v>
      </c>
      <c r="E187" s="34">
        <v>647</v>
      </c>
      <c r="F187" s="34">
        <v>641</v>
      </c>
      <c r="G187" s="29">
        <v>637.79999999999995</v>
      </c>
      <c r="H187" s="29">
        <v>714.9</v>
      </c>
      <c r="I187" s="29">
        <v>696.5</v>
      </c>
      <c r="J187" s="29">
        <v>689</v>
      </c>
      <c r="K187" s="29">
        <v>681.1</v>
      </c>
      <c r="L187" s="29">
        <v>664</v>
      </c>
      <c r="M187" s="29">
        <v>665.7</v>
      </c>
      <c r="N187" s="29">
        <v>671.5</v>
      </c>
      <c r="O187" s="29">
        <v>679.9</v>
      </c>
      <c r="P187" s="29">
        <v>683.2</v>
      </c>
      <c r="Q187" s="29">
        <v>683.9</v>
      </c>
      <c r="R187" s="29">
        <v>685.1</v>
      </c>
      <c r="S187" s="29">
        <v>682.8</v>
      </c>
      <c r="T187" s="29">
        <v>681.2</v>
      </c>
      <c r="U187" s="29">
        <v>684.4</v>
      </c>
      <c r="V187" s="29">
        <v>699.4</v>
      </c>
      <c r="W187" s="29">
        <v>691.5</v>
      </c>
      <c r="X187" s="29">
        <v>679.5</v>
      </c>
      <c r="Y187" s="29">
        <v>657.6</v>
      </c>
      <c r="Z187" s="29">
        <v>654</v>
      </c>
      <c r="AA187" s="29">
        <v>639</v>
      </c>
      <c r="AB187" s="29">
        <v>642</v>
      </c>
      <c r="AC187" s="29">
        <v>634</v>
      </c>
      <c r="AD187" s="29">
        <v>623.29999999999995</v>
      </c>
      <c r="AE187" s="29">
        <v>634.1</v>
      </c>
      <c r="AF187" s="29">
        <v>636</v>
      </c>
      <c r="AG187" s="29">
        <v>636.4</v>
      </c>
      <c r="AH187" s="29">
        <v>643.70000000000005</v>
      </c>
      <c r="AI187" s="29">
        <v>658.2</v>
      </c>
      <c r="AJ187" s="29">
        <v>668.5</v>
      </c>
      <c r="AK187" s="29">
        <v>653.4</v>
      </c>
      <c r="AL187" s="29">
        <v>640.79999999999995</v>
      </c>
      <c r="AM187" s="29">
        <v>647.5</v>
      </c>
      <c r="AN187" s="29">
        <v>653</v>
      </c>
      <c r="AO187" s="29">
        <v>644.70000000000005</v>
      </c>
      <c r="AP187" s="29">
        <v>642.9</v>
      </c>
      <c r="AQ187" s="29">
        <v>641.79999999999995</v>
      </c>
      <c r="AR187" s="29">
        <v>645.79999999999995</v>
      </c>
      <c r="AS187" s="29">
        <v>628.4</v>
      </c>
      <c r="AT187" s="29">
        <v>648.20000000000005</v>
      </c>
      <c r="AU187" s="29">
        <v>659</v>
      </c>
      <c r="AV187" s="29">
        <v>661.8</v>
      </c>
      <c r="AW187" s="29">
        <v>660</v>
      </c>
      <c r="AX187" s="29">
        <v>672.6</v>
      </c>
      <c r="AY187" s="29">
        <v>666.3</v>
      </c>
      <c r="AZ187" s="29">
        <v>664.5</v>
      </c>
      <c r="BA187" s="29">
        <v>662.8</v>
      </c>
      <c r="BB187" s="29">
        <v>653.70000000000005</v>
      </c>
      <c r="BC187" s="29">
        <v>660.2</v>
      </c>
      <c r="BD187" s="29">
        <v>643.6</v>
      </c>
      <c r="BE187" s="29">
        <v>643.9</v>
      </c>
      <c r="BF187" s="29">
        <v>644.5</v>
      </c>
      <c r="BG187" s="29">
        <v>644.79999999999995</v>
      </c>
      <c r="BH187" s="29">
        <v>654.79999999999995</v>
      </c>
      <c r="BI187" s="29">
        <v>659</v>
      </c>
      <c r="BJ187" s="29">
        <v>656.3</v>
      </c>
      <c r="BK187" s="29">
        <v>652.6</v>
      </c>
      <c r="BL187" s="30">
        <v>636.4</v>
      </c>
      <c r="BM187" s="1">
        <v>682.3</v>
      </c>
      <c r="BN187" s="1">
        <v>696.9</v>
      </c>
      <c r="BO187" s="1">
        <v>679.7</v>
      </c>
      <c r="BP187" s="1">
        <v>688.5</v>
      </c>
      <c r="BQ187" s="1">
        <v>688</v>
      </c>
      <c r="BR187" s="1">
        <v>702.5</v>
      </c>
      <c r="BS187" s="1">
        <v>698</v>
      </c>
      <c r="BT187" s="1">
        <v>691.5</v>
      </c>
      <c r="BU187" s="1">
        <v>695</v>
      </c>
      <c r="BV187" s="1">
        <v>690.8</v>
      </c>
      <c r="BW187" s="1">
        <v>677</v>
      </c>
      <c r="BX187" s="1">
        <v>670.5</v>
      </c>
      <c r="BY187" s="1">
        <v>659</v>
      </c>
      <c r="BZ187" s="1">
        <v>665.6</v>
      </c>
    </row>
    <row r="188" spans="1:78" ht="15.9" customHeight="1">
      <c r="A188" s="65" t="s">
        <v>370</v>
      </c>
      <c r="B188" s="25" t="s">
        <v>371</v>
      </c>
      <c r="C188" s="39">
        <f>_xll.RssMarket("6753","高値")</f>
        <v>632.9</v>
      </c>
      <c r="D188" s="38">
        <f t="shared" si="5"/>
        <v>6.6000000000000227</v>
      </c>
      <c r="E188" s="34">
        <v>626.29999999999995</v>
      </c>
      <c r="F188" s="34">
        <v>630.5</v>
      </c>
      <c r="G188" s="29">
        <v>624.29999999999995</v>
      </c>
      <c r="H188" s="29">
        <v>646.29999999999995</v>
      </c>
      <c r="I188" s="29">
        <v>644.70000000000005</v>
      </c>
      <c r="J188" s="29">
        <v>617.1</v>
      </c>
      <c r="K188" s="29">
        <v>608.70000000000005</v>
      </c>
      <c r="L188" s="29">
        <v>605.4</v>
      </c>
      <c r="M188" s="29">
        <v>624.70000000000005</v>
      </c>
      <c r="N188" s="29">
        <v>629.70000000000005</v>
      </c>
      <c r="O188" s="29">
        <v>642</v>
      </c>
      <c r="P188" s="29">
        <v>644.29999999999995</v>
      </c>
      <c r="Q188" s="29">
        <v>656.5</v>
      </c>
      <c r="R188" s="29">
        <v>651.79999999999995</v>
      </c>
      <c r="S188" s="29">
        <v>653.9</v>
      </c>
      <c r="T188" s="29">
        <v>654</v>
      </c>
      <c r="U188" s="29">
        <v>652.79999999999995</v>
      </c>
      <c r="V188" s="29">
        <v>659</v>
      </c>
      <c r="W188" s="29">
        <v>659.7</v>
      </c>
      <c r="X188" s="29">
        <v>647.1</v>
      </c>
      <c r="Y188" s="29">
        <v>654.79999999999995</v>
      </c>
      <c r="Z188" s="29">
        <v>652</v>
      </c>
      <c r="AA188" s="29">
        <v>655</v>
      </c>
      <c r="AB188" s="29">
        <v>663.5</v>
      </c>
      <c r="AC188" s="29">
        <v>634</v>
      </c>
      <c r="AD188" s="29">
        <v>609</v>
      </c>
      <c r="AE188" s="29">
        <v>659</v>
      </c>
      <c r="AF188" s="29">
        <v>671</v>
      </c>
      <c r="AG188" s="29">
        <v>588.4</v>
      </c>
      <c r="AH188" s="29">
        <v>591.9</v>
      </c>
      <c r="AI188" s="29">
        <v>596.9</v>
      </c>
      <c r="AJ188" s="29">
        <v>600.6</v>
      </c>
      <c r="AK188" s="29">
        <v>601</v>
      </c>
      <c r="AL188" s="29">
        <v>610</v>
      </c>
      <c r="AM188" s="29">
        <v>625.9</v>
      </c>
      <c r="AN188" s="29">
        <v>631.9</v>
      </c>
      <c r="AO188" s="29">
        <v>628.5</v>
      </c>
      <c r="AP188" s="29">
        <v>652.79999999999995</v>
      </c>
      <c r="AQ188" s="29">
        <v>673</v>
      </c>
      <c r="AR188" s="29">
        <v>681.6</v>
      </c>
      <c r="AS188" s="29">
        <v>675</v>
      </c>
      <c r="AT188" s="29">
        <v>673.8</v>
      </c>
      <c r="AU188" s="29">
        <v>652.70000000000005</v>
      </c>
      <c r="AV188" s="29">
        <v>626.1</v>
      </c>
      <c r="AW188" s="29">
        <v>624.79999999999995</v>
      </c>
      <c r="AX188" s="29">
        <v>631.29999999999995</v>
      </c>
      <c r="AY188" s="29">
        <v>647.9</v>
      </c>
      <c r="AZ188" s="29">
        <v>641.6</v>
      </c>
      <c r="BA188" s="29">
        <v>615.29999999999995</v>
      </c>
      <c r="BB188" s="29">
        <v>636</v>
      </c>
      <c r="BC188" s="29">
        <v>642.9</v>
      </c>
      <c r="BD188" s="29">
        <v>624.9</v>
      </c>
      <c r="BE188" s="29">
        <v>610.79999999999995</v>
      </c>
      <c r="BF188" s="29">
        <v>585</v>
      </c>
      <c r="BG188" s="29">
        <v>615.1</v>
      </c>
      <c r="BH188" s="29">
        <v>592.79999999999995</v>
      </c>
      <c r="BI188" s="29">
        <v>576.5</v>
      </c>
      <c r="BJ188" s="29">
        <v>568.1</v>
      </c>
      <c r="BK188" s="29">
        <v>591</v>
      </c>
      <c r="BL188" s="30">
        <v>587.4</v>
      </c>
      <c r="BM188" s="1">
        <v>566.1</v>
      </c>
      <c r="BN188" s="1">
        <v>566.1</v>
      </c>
      <c r="BO188" s="1">
        <v>551.70000000000005</v>
      </c>
      <c r="BP188" s="1">
        <v>583</v>
      </c>
      <c r="BQ188" s="1">
        <v>607.70000000000005</v>
      </c>
      <c r="BR188" s="1">
        <v>612.79999999999995</v>
      </c>
      <c r="BS188" s="1">
        <v>617</v>
      </c>
      <c r="BT188" s="1">
        <v>622.1</v>
      </c>
      <c r="BU188" s="1">
        <v>622.6</v>
      </c>
      <c r="BV188" s="1">
        <v>607.70000000000005</v>
      </c>
      <c r="BW188" s="1">
        <v>603.9</v>
      </c>
      <c r="BX188" s="1">
        <v>597</v>
      </c>
      <c r="BY188" s="1">
        <v>598</v>
      </c>
      <c r="BZ188" s="1">
        <v>610.79999999999995</v>
      </c>
    </row>
    <row r="189" spans="1:78" ht="15.9" customHeight="1">
      <c r="A189" s="65" t="s">
        <v>372</v>
      </c>
      <c r="B189" s="25" t="str">
        <f>銘柄管理!C189</f>
        <v>ヤマトホールディングス</v>
      </c>
      <c r="C189" s="39">
        <f>_xll.RssMarket("9064","高値")</f>
        <v>1961.5</v>
      </c>
      <c r="D189" s="38"/>
      <c r="E189" s="34">
        <v>2000</v>
      </c>
      <c r="F189" s="34">
        <v>2073.5</v>
      </c>
      <c r="G189" s="29">
        <v>2095</v>
      </c>
      <c r="H189" s="29">
        <v>2194.5</v>
      </c>
      <c r="I189" s="29">
        <v>2193</v>
      </c>
      <c r="J189" s="29">
        <v>2121</v>
      </c>
      <c r="K189" s="29">
        <v>2074</v>
      </c>
      <c r="L189" s="29">
        <v>2054.5</v>
      </c>
      <c r="M189" s="29">
        <v>2041</v>
      </c>
      <c r="N189" s="29">
        <v>2021</v>
      </c>
      <c r="O189" s="29">
        <v>2043.5</v>
      </c>
      <c r="P189" s="29">
        <v>2022</v>
      </c>
      <c r="Q189" s="29">
        <v>1979.5</v>
      </c>
      <c r="R189" s="29">
        <v>1995.5</v>
      </c>
      <c r="S189" s="29">
        <v>1966.5</v>
      </c>
      <c r="T189" s="29">
        <v>1981</v>
      </c>
      <c r="U189" s="29">
        <v>1973</v>
      </c>
      <c r="V189" s="29">
        <v>1983</v>
      </c>
      <c r="W189" s="29">
        <v>1993</v>
      </c>
      <c r="X189" s="29">
        <v>2003</v>
      </c>
      <c r="Y189" s="29">
        <v>1958.5</v>
      </c>
      <c r="Z189" s="29">
        <v>1910</v>
      </c>
      <c r="AA189" s="29">
        <v>1843.5</v>
      </c>
      <c r="AB189" s="29">
        <v>1855.5</v>
      </c>
      <c r="AC189" s="29">
        <v>1857.5</v>
      </c>
      <c r="AD189" s="29">
        <v>1833.5</v>
      </c>
      <c r="AE189" s="29">
        <v>1822</v>
      </c>
      <c r="AF189" s="29">
        <v>1777.5</v>
      </c>
      <c r="AG189" s="29">
        <v>1793</v>
      </c>
      <c r="AH189" s="29">
        <v>1771.5</v>
      </c>
      <c r="AI189" s="29">
        <v>1779</v>
      </c>
      <c r="AJ189" s="29">
        <v>1775</v>
      </c>
      <c r="AK189" s="29">
        <v>1780</v>
      </c>
      <c r="AL189" s="29">
        <v>1780.5</v>
      </c>
      <c r="AM189" s="29">
        <v>1808</v>
      </c>
      <c r="AN189" s="29">
        <v>1836</v>
      </c>
      <c r="AO189" s="29">
        <v>1821.5</v>
      </c>
      <c r="AP189" s="29">
        <v>1808.5</v>
      </c>
      <c r="AQ189" s="29">
        <v>1816.5</v>
      </c>
      <c r="AR189" s="29">
        <v>1828.5</v>
      </c>
      <c r="AS189" s="29">
        <v>1830</v>
      </c>
      <c r="AT189" s="29">
        <v>1833.5</v>
      </c>
      <c r="AU189" s="29">
        <v>1816</v>
      </c>
      <c r="AV189" s="29">
        <v>1839</v>
      </c>
      <c r="AW189" s="29">
        <v>1795</v>
      </c>
      <c r="AX189" s="29">
        <v>1794</v>
      </c>
      <c r="AY189" s="29">
        <v>1787.5</v>
      </c>
      <c r="AZ189" s="29">
        <v>1780.5</v>
      </c>
      <c r="BA189" s="29">
        <v>1792</v>
      </c>
      <c r="BB189" s="29">
        <v>1767.5</v>
      </c>
      <c r="BC189" s="29">
        <v>1795.5</v>
      </c>
      <c r="BD189" s="29">
        <v>1749.5</v>
      </c>
      <c r="BE189" s="29">
        <v>1754</v>
      </c>
      <c r="BF189" s="29">
        <v>1786</v>
      </c>
      <c r="BG189" s="29">
        <v>1763</v>
      </c>
      <c r="BH189" s="29">
        <v>1749</v>
      </c>
      <c r="BI189" s="29">
        <v>1790</v>
      </c>
      <c r="BJ189" s="29">
        <v>1833</v>
      </c>
      <c r="BK189" s="29">
        <v>1824</v>
      </c>
      <c r="BL189" s="30">
        <v>1764.5</v>
      </c>
      <c r="BM189" s="1">
        <v>1792</v>
      </c>
      <c r="BN189" s="1">
        <v>1805</v>
      </c>
      <c r="BO189" s="1">
        <v>1798</v>
      </c>
      <c r="BP189" s="1">
        <v>1782</v>
      </c>
      <c r="BQ189" s="1">
        <v>1796</v>
      </c>
      <c r="BR189" s="1">
        <v>1827.5</v>
      </c>
      <c r="BS189" s="1">
        <v>1843.5</v>
      </c>
      <c r="BT189" s="1">
        <v>1855</v>
      </c>
      <c r="BU189" s="1">
        <v>1867</v>
      </c>
      <c r="BV189" s="1">
        <v>1875</v>
      </c>
      <c r="BW189" s="1">
        <v>1883</v>
      </c>
      <c r="BX189" s="1">
        <v>1866.5</v>
      </c>
      <c r="BY189" s="1">
        <v>1854</v>
      </c>
      <c r="BZ189" s="1">
        <v>1875</v>
      </c>
    </row>
    <row r="190" spans="1:78" ht="15.9" customHeight="1">
      <c r="A190" s="65" t="s">
        <v>373</v>
      </c>
      <c r="B190" s="25" t="s">
        <v>374</v>
      </c>
      <c r="C190" s="39">
        <f>_xll.RssMarket("7181","高値")</f>
        <v>1728</v>
      </c>
      <c r="D190" s="38">
        <f>C190-E190</f>
        <v>-7</v>
      </c>
      <c r="E190" s="34">
        <v>1735</v>
      </c>
      <c r="F190" s="34">
        <v>1763</v>
      </c>
      <c r="G190" s="29">
        <v>1786</v>
      </c>
      <c r="H190" s="29">
        <v>1773</v>
      </c>
      <c r="I190" s="29">
        <v>1791.5</v>
      </c>
      <c r="J190" s="29">
        <v>1785.5</v>
      </c>
      <c r="K190" s="29">
        <v>1797.5</v>
      </c>
      <c r="L190" s="29">
        <v>1784</v>
      </c>
      <c r="M190" s="29">
        <v>1758.5</v>
      </c>
      <c r="N190" s="29">
        <v>1728</v>
      </c>
      <c r="O190" s="29">
        <v>1686</v>
      </c>
      <c r="P190" s="29">
        <v>1655.5</v>
      </c>
      <c r="Q190" s="29">
        <v>1674.5</v>
      </c>
      <c r="R190" s="29">
        <v>1664</v>
      </c>
      <c r="S190" s="29">
        <v>1638.5</v>
      </c>
      <c r="T190" s="29">
        <v>1647.5</v>
      </c>
      <c r="U190" s="29">
        <v>1649</v>
      </c>
      <c r="V190" s="29">
        <v>1666.5</v>
      </c>
      <c r="W190" s="29">
        <v>1685</v>
      </c>
      <c r="X190" s="29">
        <v>1654.5</v>
      </c>
      <c r="Y190" s="29">
        <v>1626</v>
      </c>
      <c r="Z190" s="29">
        <v>1581.5</v>
      </c>
      <c r="AA190" s="29">
        <v>1542.5</v>
      </c>
      <c r="AB190" s="29">
        <v>1542.5</v>
      </c>
      <c r="AC190" s="29">
        <v>1520</v>
      </c>
      <c r="AD190" s="29">
        <v>1495</v>
      </c>
      <c r="AE190" s="29">
        <v>1504.5</v>
      </c>
      <c r="AF190" s="29">
        <v>1569</v>
      </c>
      <c r="AG190" s="29">
        <v>1539</v>
      </c>
      <c r="AH190" s="29">
        <v>1528</v>
      </c>
      <c r="AI190" s="29">
        <v>1553.5</v>
      </c>
      <c r="AJ190" s="29">
        <v>1551</v>
      </c>
      <c r="AK190" s="29">
        <v>1596</v>
      </c>
      <c r="AL190" s="29">
        <v>1561</v>
      </c>
      <c r="AM190" s="29">
        <v>1588.5</v>
      </c>
      <c r="AN190" s="29">
        <v>1562.5</v>
      </c>
      <c r="AO190" s="29">
        <v>1587.5</v>
      </c>
      <c r="AP190" s="29">
        <v>1615</v>
      </c>
      <c r="AQ190" s="29">
        <v>1455</v>
      </c>
      <c r="AR190" s="29">
        <v>1457.5</v>
      </c>
      <c r="AS190" s="29">
        <v>1414</v>
      </c>
      <c r="AT190" s="29">
        <v>1452.5</v>
      </c>
      <c r="AU190" s="29">
        <v>1409.5</v>
      </c>
      <c r="AV190" s="29">
        <v>1441.5</v>
      </c>
      <c r="AW190" s="29">
        <v>1465</v>
      </c>
      <c r="AX190" s="29">
        <v>1495.5</v>
      </c>
      <c r="AY190" s="29">
        <v>1518.5</v>
      </c>
      <c r="AZ190" s="29">
        <v>1559.5</v>
      </c>
      <c r="BA190" s="29">
        <v>1564</v>
      </c>
      <c r="BB190" s="29">
        <v>1558</v>
      </c>
      <c r="BC190" s="29">
        <v>1525</v>
      </c>
      <c r="BD190" s="29">
        <v>1556</v>
      </c>
      <c r="BE190" s="29">
        <v>1650</v>
      </c>
      <c r="BF190" s="29">
        <v>1618</v>
      </c>
      <c r="BG190" s="29">
        <v>1628.5</v>
      </c>
      <c r="BH190" s="29">
        <v>1572</v>
      </c>
      <c r="BI190" s="29">
        <v>1553.5</v>
      </c>
      <c r="BJ190" s="29">
        <v>1573</v>
      </c>
      <c r="BK190" s="29">
        <v>1585</v>
      </c>
      <c r="BL190" s="30">
        <v>1544</v>
      </c>
      <c r="BM190" s="1">
        <v>1533</v>
      </c>
      <c r="BN190" s="1">
        <v>1526</v>
      </c>
      <c r="BO190" s="1">
        <v>1493.5</v>
      </c>
      <c r="BP190" s="1">
        <v>1513</v>
      </c>
      <c r="BQ190" s="1">
        <v>1513.5</v>
      </c>
      <c r="BR190" s="1">
        <v>1545</v>
      </c>
      <c r="BS190" s="1">
        <v>1579.5</v>
      </c>
      <c r="BT190" s="1">
        <v>1615</v>
      </c>
      <c r="BU190" s="1">
        <v>1669</v>
      </c>
      <c r="BV190" s="1">
        <v>1676.5</v>
      </c>
      <c r="BW190" s="1">
        <v>1669.5</v>
      </c>
      <c r="BX190" s="1">
        <v>1636.5</v>
      </c>
      <c r="BY190" s="1">
        <v>1608</v>
      </c>
      <c r="BZ190" s="1">
        <v>1608</v>
      </c>
    </row>
    <row r="191" spans="1:78" ht="15.9" customHeight="1">
      <c r="A191" s="65" t="s">
        <v>375</v>
      </c>
      <c r="B191" s="25" t="str">
        <f>銘柄管理!C191</f>
        <v>前澤給装工業</v>
      </c>
      <c r="C191" s="39">
        <f>_xll.RssMarket("6485","高値")</f>
        <v>1592</v>
      </c>
      <c r="D191" s="38"/>
      <c r="E191" s="34">
        <v>1580</v>
      </c>
      <c r="F191" s="34">
        <v>1571</v>
      </c>
      <c r="G191" s="29">
        <v>1598</v>
      </c>
      <c r="H191" s="29">
        <v>1597</v>
      </c>
      <c r="I191" s="29">
        <v>1598</v>
      </c>
      <c r="J191" s="29">
        <v>1592</v>
      </c>
      <c r="K191" s="29">
        <v>1600</v>
      </c>
      <c r="L191" s="29">
        <v>1550</v>
      </c>
      <c r="M191" s="29">
        <v>1548</v>
      </c>
      <c r="N191" s="29">
        <v>1550</v>
      </c>
      <c r="O191" s="29">
        <v>1548</v>
      </c>
      <c r="P191" s="29">
        <v>1556</v>
      </c>
      <c r="Q191" s="29">
        <v>1564</v>
      </c>
      <c r="R191" s="29">
        <v>1550</v>
      </c>
      <c r="S191" s="29">
        <v>1579</v>
      </c>
      <c r="T191" s="29">
        <v>1572</v>
      </c>
      <c r="U191" s="29">
        <v>1561</v>
      </c>
      <c r="V191" s="29">
        <v>1561</v>
      </c>
      <c r="W191" s="29">
        <v>1541</v>
      </c>
      <c r="X191" s="29">
        <v>1541</v>
      </c>
      <c r="Y191" s="29">
        <v>1555</v>
      </c>
      <c r="Z191" s="29">
        <v>1544</v>
      </c>
      <c r="AA191" s="29">
        <v>1522</v>
      </c>
      <c r="AB191" s="29">
        <v>1504</v>
      </c>
      <c r="AC191" s="29">
        <v>1515</v>
      </c>
      <c r="AD191" s="29">
        <v>1503</v>
      </c>
      <c r="AE191" s="29">
        <v>1485</v>
      </c>
      <c r="AF191" s="29">
        <v>1475</v>
      </c>
      <c r="AG191" s="29">
        <v>1470</v>
      </c>
      <c r="AH191" s="29">
        <v>1490</v>
      </c>
      <c r="AI191" s="29">
        <v>1488</v>
      </c>
      <c r="AJ191" s="29">
        <v>1479</v>
      </c>
      <c r="AK191" s="29">
        <v>1469</v>
      </c>
      <c r="AL191" s="29">
        <v>1450</v>
      </c>
      <c r="AM191" s="29">
        <v>1449</v>
      </c>
      <c r="AN191" s="29">
        <v>1433</v>
      </c>
      <c r="AO191" s="29">
        <v>1437</v>
      </c>
      <c r="AP191" s="29">
        <v>1439</v>
      </c>
      <c r="AQ191" s="29">
        <v>1434</v>
      </c>
      <c r="AR191" s="29">
        <v>1443</v>
      </c>
      <c r="AS191" s="29">
        <v>1421</v>
      </c>
      <c r="AT191" s="29">
        <v>1402</v>
      </c>
      <c r="AU191" s="29">
        <v>1399</v>
      </c>
      <c r="AV191" s="29">
        <v>1439</v>
      </c>
      <c r="AW191" s="29">
        <v>1429</v>
      </c>
      <c r="AX191" s="29">
        <v>1425</v>
      </c>
      <c r="AY191" s="29">
        <v>1432</v>
      </c>
      <c r="AZ191" s="29">
        <v>1421</v>
      </c>
      <c r="BA191" s="29">
        <v>1435</v>
      </c>
      <c r="BB191" s="29">
        <v>1452</v>
      </c>
      <c r="BC191" s="29">
        <v>1478</v>
      </c>
      <c r="BD191" s="29">
        <v>1482</v>
      </c>
      <c r="BE191" s="29">
        <v>1508</v>
      </c>
      <c r="BF191" s="29">
        <v>1496</v>
      </c>
      <c r="BG191" s="29">
        <v>1518</v>
      </c>
      <c r="BH191" s="29">
        <v>1530</v>
      </c>
      <c r="BI191" s="29">
        <v>1529</v>
      </c>
      <c r="BJ191" s="29">
        <v>1518</v>
      </c>
      <c r="BK191" s="29">
        <v>1521</v>
      </c>
      <c r="BL191" s="30">
        <v>1505</v>
      </c>
      <c r="BM191" s="1">
        <v>1523</v>
      </c>
      <c r="BN191" s="1">
        <v>1555</v>
      </c>
      <c r="BO191" s="1">
        <v>1519</v>
      </c>
      <c r="BP191" s="1">
        <v>1528</v>
      </c>
      <c r="BQ191" s="1">
        <v>1527</v>
      </c>
      <c r="BR191" s="1">
        <v>1554</v>
      </c>
      <c r="BS191" s="1">
        <v>1566</v>
      </c>
      <c r="BT191" s="1">
        <v>1565</v>
      </c>
      <c r="BU191" s="1">
        <v>1569</v>
      </c>
      <c r="BV191" s="1">
        <v>1586</v>
      </c>
      <c r="BW191" s="1">
        <v>1605</v>
      </c>
      <c r="BX191" s="1">
        <v>1604</v>
      </c>
      <c r="BY191" s="1">
        <v>1617</v>
      </c>
      <c r="BZ191" s="1">
        <v>1634</v>
      </c>
    </row>
    <row r="192" spans="1:78" ht="15.9" customHeight="1">
      <c r="A192" s="65" t="s">
        <v>376</v>
      </c>
      <c r="B192" s="25" t="s">
        <v>377</v>
      </c>
      <c r="C192" s="39">
        <f>_xll.RssMarket("4887","高値")</f>
        <v>1619</v>
      </c>
      <c r="D192" s="38">
        <f t="shared" ref="D192:D208" si="6">C192-E192</f>
        <v>3</v>
      </c>
      <c r="E192" s="34">
        <v>1616</v>
      </c>
      <c r="F192" s="34">
        <v>1656.5</v>
      </c>
      <c r="G192" s="29">
        <v>1685</v>
      </c>
      <c r="H192" s="29">
        <v>1712.5</v>
      </c>
      <c r="I192" s="29">
        <v>1714</v>
      </c>
      <c r="J192" s="29">
        <v>1693.5</v>
      </c>
      <c r="K192" s="29">
        <v>1684.5</v>
      </c>
      <c r="L192" s="29">
        <v>1670.5</v>
      </c>
      <c r="M192" s="29">
        <v>1679</v>
      </c>
      <c r="N192" s="29">
        <v>1689.5</v>
      </c>
      <c r="O192" s="29">
        <v>1700.5</v>
      </c>
      <c r="P192" s="29">
        <v>1691.5</v>
      </c>
      <c r="Q192" s="29">
        <v>1699.5</v>
      </c>
      <c r="R192" s="29">
        <v>1683.5</v>
      </c>
      <c r="S192" s="29">
        <v>1689.5</v>
      </c>
      <c r="T192" s="29">
        <v>1682.5</v>
      </c>
      <c r="U192" s="29">
        <v>1705.5</v>
      </c>
      <c r="V192" s="29">
        <v>1754.5</v>
      </c>
      <c r="W192" s="29">
        <v>1757</v>
      </c>
      <c r="X192" s="29">
        <v>1758.5</v>
      </c>
      <c r="Y192" s="29">
        <v>1730</v>
      </c>
      <c r="Z192" s="29">
        <v>1715</v>
      </c>
      <c r="AA192" s="29">
        <v>1691.5</v>
      </c>
      <c r="AB192" s="29">
        <v>1696.5</v>
      </c>
      <c r="AC192" s="29">
        <v>1674</v>
      </c>
      <c r="AD192" s="29">
        <v>1629.5</v>
      </c>
      <c r="AE192" s="29">
        <v>1670</v>
      </c>
      <c r="AF192" s="29">
        <v>1666.5</v>
      </c>
      <c r="AG192" s="29">
        <v>1656.5</v>
      </c>
      <c r="AH192" s="29">
        <v>1645.5</v>
      </c>
      <c r="AI192" s="29">
        <v>1643.5</v>
      </c>
      <c r="AJ192" s="29">
        <v>1676.5</v>
      </c>
      <c r="AK192" s="29">
        <v>1683</v>
      </c>
      <c r="AL192" s="29">
        <v>1674</v>
      </c>
      <c r="AM192" s="29">
        <v>1710</v>
      </c>
      <c r="AN192" s="29">
        <v>1714.5</v>
      </c>
      <c r="AO192" s="29">
        <v>1719</v>
      </c>
      <c r="AP192" s="29">
        <v>1734</v>
      </c>
      <c r="AQ192" s="29">
        <v>1715</v>
      </c>
      <c r="AR192" s="29">
        <v>1736.5</v>
      </c>
      <c r="AS192" s="29">
        <v>1738.5</v>
      </c>
      <c r="AT192" s="29">
        <v>1731.5</v>
      </c>
      <c r="AU192" s="29">
        <v>1722.5</v>
      </c>
      <c r="AV192" s="29">
        <v>1766</v>
      </c>
      <c r="AW192" s="29">
        <v>1778</v>
      </c>
      <c r="AX192" s="29">
        <v>1773.5</v>
      </c>
      <c r="AY192" s="29">
        <v>1803</v>
      </c>
      <c r="AZ192" s="29">
        <v>1768</v>
      </c>
      <c r="BA192" s="29">
        <v>1824</v>
      </c>
      <c r="BB192" s="29">
        <v>1823</v>
      </c>
      <c r="BC192" s="29">
        <v>1821.5</v>
      </c>
      <c r="BD192" s="29">
        <v>1797</v>
      </c>
      <c r="BE192" s="29">
        <v>2126</v>
      </c>
      <c r="BF192" s="29">
        <v>2099</v>
      </c>
      <c r="BG192" s="29">
        <v>2088</v>
      </c>
      <c r="BH192" s="29">
        <v>2110.5</v>
      </c>
      <c r="BI192" s="29">
        <v>2134</v>
      </c>
      <c r="BJ192" s="29">
        <v>2137</v>
      </c>
      <c r="BK192" s="29">
        <v>2146.5</v>
      </c>
      <c r="BL192" s="30">
        <v>2105.5</v>
      </c>
      <c r="BM192" s="1">
        <v>2110.5</v>
      </c>
      <c r="BN192" s="1">
        <v>2112.5</v>
      </c>
      <c r="BO192" s="1">
        <v>2100</v>
      </c>
      <c r="BP192" s="1">
        <v>2123.5</v>
      </c>
      <c r="BQ192" s="1">
        <v>2111.5</v>
      </c>
      <c r="BR192" s="1">
        <v>2162</v>
      </c>
      <c r="BS192" s="1">
        <v>2179.5</v>
      </c>
      <c r="BT192" s="1">
        <v>2225</v>
      </c>
      <c r="BU192" s="1">
        <v>2249.5</v>
      </c>
      <c r="BV192" s="1">
        <v>2257</v>
      </c>
      <c r="BW192" s="1">
        <v>2222</v>
      </c>
      <c r="BX192" s="1">
        <v>2251</v>
      </c>
      <c r="BY192" s="1">
        <v>2269</v>
      </c>
      <c r="BZ192" s="1">
        <v>2262.5</v>
      </c>
    </row>
    <row r="193" spans="1:78" ht="15.9" customHeight="1">
      <c r="A193" s="65" t="s">
        <v>378</v>
      </c>
      <c r="B193" s="25" t="s">
        <v>379</v>
      </c>
      <c r="C193" s="39">
        <f>_xll.RssMarket("5243","高値")</f>
        <v>2310</v>
      </c>
      <c r="D193" s="38">
        <f t="shared" si="6"/>
        <v>138</v>
      </c>
      <c r="E193" s="34">
        <v>2172</v>
      </c>
      <c r="F193" s="34">
        <v>2188</v>
      </c>
      <c r="G193" s="29">
        <v>2213</v>
      </c>
      <c r="H193" s="29">
        <v>2114</v>
      </c>
      <c r="I193" s="29">
        <v>2070</v>
      </c>
      <c r="J193" s="29">
        <v>2199</v>
      </c>
      <c r="K193" s="29">
        <v>2137</v>
      </c>
      <c r="L193" s="29">
        <v>2103</v>
      </c>
      <c r="M193" s="29">
        <v>2040</v>
      </c>
      <c r="N193" s="29">
        <v>2066</v>
      </c>
      <c r="O193" s="29">
        <v>2084</v>
      </c>
      <c r="P193" s="29">
        <v>2140</v>
      </c>
      <c r="Q193" s="29">
        <v>2159</v>
      </c>
      <c r="R193" s="29">
        <v>2120</v>
      </c>
      <c r="S193" s="29">
        <v>2260</v>
      </c>
      <c r="T193" s="29">
        <v>2268</v>
      </c>
      <c r="U193" s="29">
        <v>2206</v>
      </c>
      <c r="V193" s="29">
        <v>2499</v>
      </c>
      <c r="W193" s="29">
        <v>2311</v>
      </c>
      <c r="X193" s="29">
        <v>2250</v>
      </c>
      <c r="Y193" s="29">
        <v>2089</v>
      </c>
      <c r="Z193" s="29">
        <v>2110</v>
      </c>
      <c r="AA193" s="29">
        <v>1937</v>
      </c>
      <c r="AB193" s="29">
        <v>1920</v>
      </c>
      <c r="AC193" s="29">
        <v>1841</v>
      </c>
      <c r="AD193" s="29">
        <v>1781</v>
      </c>
      <c r="AE193" s="29">
        <v>1785</v>
      </c>
      <c r="AF193" s="29">
        <v>1801</v>
      </c>
      <c r="AG193" s="29">
        <v>1828</v>
      </c>
      <c r="AH193" s="29">
        <v>1819</v>
      </c>
      <c r="AI193" s="29">
        <v>1889</v>
      </c>
      <c r="AJ193" s="29">
        <v>1895</v>
      </c>
      <c r="AK193" s="29">
        <v>1855</v>
      </c>
      <c r="AL193" s="29">
        <v>1750</v>
      </c>
      <c r="AM193" s="29">
        <v>1702</v>
      </c>
      <c r="AN193" s="29">
        <v>1719</v>
      </c>
      <c r="AO193" s="29">
        <v>1685</v>
      </c>
      <c r="AP193" s="29">
        <v>1737</v>
      </c>
      <c r="AQ193" s="29">
        <v>1831</v>
      </c>
      <c r="AR193" s="29">
        <v>1886</v>
      </c>
      <c r="AS193" s="29">
        <v>1883</v>
      </c>
      <c r="AT193" s="29">
        <v>1995</v>
      </c>
      <c r="AU193" s="29">
        <v>2010</v>
      </c>
      <c r="AV193" s="29">
        <v>2120</v>
      </c>
      <c r="AW193" s="29">
        <v>2147</v>
      </c>
      <c r="AX193" s="29">
        <v>2220</v>
      </c>
      <c r="AY193" s="29">
        <v>2281</v>
      </c>
      <c r="AZ193" s="29">
        <v>2262</v>
      </c>
      <c r="BA193" s="29">
        <v>2227</v>
      </c>
      <c r="BB193" s="29">
        <v>2236</v>
      </c>
      <c r="BC193" s="29">
        <v>2347</v>
      </c>
      <c r="BD193" s="29">
        <v>2274</v>
      </c>
      <c r="BE193" s="29">
        <v>2345</v>
      </c>
      <c r="BF193" s="29">
        <v>2413</v>
      </c>
      <c r="BG193" s="29">
        <v>2410</v>
      </c>
      <c r="BH193" s="29">
        <v>2284</v>
      </c>
      <c r="BI193" s="29">
        <v>2202</v>
      </c>
      <c r="BJ193" s="29">
        <v>2302</v>
      </c>
      <c r="BK193" s="29">
        <v>2359</v>
      </c>
      <c r="BL193" s="30">
        <v>2434</v>
      </c>
      <c r="BM193" s="1">
        <v>2481</v>
      </c>
      <c r="BN193" s="1">
        <v>2505</v>
      </c>
      <c r="BO193" s="1">
        <v>2390</v>
      </c>
      <c r="BP193" s="1">
        <v>2489</v>
      </c>
      <c r="BQ193" s="1">
        <v>2625</v>
      </c>
      <c r="BR193" s="1">
        <v>2727</v>
      </c>
      <c r="BS193" s="1">
        <v>2743</v>
      </c>
      <c r="BT193" s="1">
        <v>2658</v>
      </c>
      <c r="BU193" s="1">
        <v>2730</v>
      </c>
      <c r="BV193" s="1">
        <v>2842</v>
      </c>
      <c r="BW193" s="1">
        <v>3405</v>
      </c>
      <c r="BX193" s="1">
        <v>3030</v>
      </c>
      <c r="BY193" s="1">
        <v>2966</v>
      </c>
      <c r="BZ193" s="1">
        <v>2736</v>
      </c>
    </row>
    <row r="194" spans="1:78" ht="15.9" customHeight="1">
      <c r="A194" s="65" t="s">
        <v>380</v>
      </c>
      <c r="B194" s="25" t="s">
        <v>381</v>
      </c>
      <c r="C194" s="39">
        <f>_xll.RssMarket("2702","高値")</f>
        <v>8150</v>
      </c>
      <c r="D194" s="38">
        <f t="shared" si="6"/>
        <v>-90</v>
      </c>
      <c r="E194" s="34">
        <v>8240</v>
      </c>
      <c r="F194" s="34">
        <v>8240</v>
      </c>
      <c r="G194" s="29">
        <v>8290</v>
      </c>
      <c r="H194" s="29">
        <v>8200</v>
      </c>
      <c r="I194" s="29">
        <v>8210</v>
      </c>
      <c r="J194" s="29">
        <v>7910</v>
      </c>
      <c r="K194" s="29">
        <v>7760</v>
      </c>
      <c r="L194" s="29"/>
      <c r="M194" s="29">
        <v>7570</v>
      </c>
      <c r="N194" s="29">
        <v>7580</v>
      </c>
      <c r="O194" s="29">
        <v>7780</v>
      </c>
      <c r="P194" s="29">
        <v>7660</v>
      </c>
      <c r="Q194" s="29">
        <v>7710</v>
      </c>
      <c r="R194" s="29">
        <v>7860</v>
      </c>
      <c r="S194" s="29">
        <v>7760</v>
      </c>
      <c r="T194" s="29">
        <v>7890</v>
      </c>
      <c r="U194" s="29">
        <v>7920</v>
      </c>
      <c r="V194" s="29">
        <v>7870</v>
      </c>
      <c r="W194" s="29">
        <v>7780</v>
      </c>
      <c r="X194" s="29">
        <v>7690</v>
      </c>
      <c r="Y194" s="29">
        <v>7840</v>
      </c>
      <c r="Z194" s="29">
        <v>7570</v>
      </c>
      <c r="AA194" s="29">
        <v>7470</v>
      </c>
      <c r="AB194" s="29">
        <v>7710</v>
      </c>
      <c r="AC194" s="29">
        <v>7590</v>
      </c>
      <c r="AD194" s="29">
        <v>7560</v>
      </c>
      <c r="AE194" s="29">
        <v>7450</v>
      </c>
      <c r="AF194" s="29">
        <v>7300</v>
      </c>
      <c r="AG194" s="29">
        <v>7150</v>
      </c>
      <c r="AH194" s="29">
        <v>7300</v>
      </c>
      <c r="AI194" s="29">
        <v>7360</v>
      </c>
      <c r="AJ194" s="29">
        <v>7430</v>
      </c>
      <c r="AK194" s="29">
        <v>7490</v>
      </c>
      <c r="AL194" s="29">
        <v>7480</v>
      </c>
      <c r="AM194" s="29">
        <v>7590</v>
      </c>
      <c r="AN194" s="29">
        <v>7500</v>
      </c>
      <c r="AO194" s="29">
        <v>7480</v>
      </c>
      <c r="AP194" s="29">
        <v>7380</v>
      </c>
      <c r="AQ194" s="29">
        <v>7490</v>
      </c>
      <c r="AR194" s="29">
        <v>7490</v>
      </c>
      <c r="AS194" s="29">
        <v>7530</v>
      </c>
      <c r="AT194" s="29">
        <v>7590</v>
      </c>
      <c r="AU194" s="29">
        <v>7710</v>
      </c>
      <c r="AV194" s="29">
        <v>7860</v>
      </c>
      <c r="AW194" s="29">
        <v>7900</v>
      </c>
      <c r="AX194" s="29">
        <v>8160</v>
      </c>
      <c r="AY194" s="29">
        <v>8180</v>
      </c>
      <c r="AZ194" s="29">
        <v>8140</v>
      </c>
      <c r="BA194" s="29">
        <v>8230</v>
      </c>
      <c r="BB194" s="29">
        <v>8110</v>
      </c>
      <c r="BC194" s="29">
        <v>8010</v>
      </c>
      <c r="BD194" s="29">
        <v>8190</v>
      </c>
      <c r="BE194" s="29">
        <v>8300</v>
      </c>
      <c r="BF194" s="29">
        <v>8590</v>
      </c>
      <c r="BG194" s="29">
        <v>8780</v>
      </c>
      <c r="BH194" s="29">
        <v>7830</v>
      </c>
      <c r="BI194" s="29">
        <v>7880</v>
      </c>
      <c r="BJ194" s="29">
        <v>8030</v>
      </c>
      <c r="BK194" s="29">
        <v>8160</v>
      </c>
      <c r="BL194" s="30">
        <v>8170</v>
      </c>
      <c r="BM194" s="1">
        <v>8220</v>
      </c>
      <c r="BN194" s="1">
        <v>8270</v>
      </c>
      <c r="BO194" s="1">
        <v>8250</v>
      </c>
      <c r="BP194" s="1">
        <v>8150</v>
      </c>
      <c r="BQ194" s="1">
        <v>8210</v>
      </c>
      <c r="BR194" s="1">
        <v>8260</v>
      </c>
      <c r="BS194" s="1">
        <v>8310</v>
      </c>
      <c r="BT194" s="1">
        <v>8260</v>
      </c>
      <c r="BU194" s="1">
        <v>8280</v>
      </c>
      <c r="BV194" s="1">
        <v>8280</v>
      </c>
      <c r="BW194" s="1">
        <v>8250</v>
      </c>
      <c r="BX194" s="1">
        <v>8170</v>
      </c>
      <c r="BY194" s="1">
        <v>8280</v>
      </c>
      <c r="BZ194" s="1">
        <v>8490</v>
      </c>
    </row>
    <row r="195" spans="1:78" ht="15.9" customHeight="1">
      <c r="A195" s="65" t="s">
        <v>382</v>
      </c>
      <c r="B195" s="25" t="s">
        <v>383</v>
      </c>
      <c r="C195" s="39">
        <f>_xll.RssMarket("6890","高値")</f>
        <v>9420</v>
      </c>
      <c r="D195" s="38">
        <f t="shared" si="6"/>
        <v>570</v>
      </c>
      <c r="E195" s="34">
        <v>8850</v>
      </c>
      <c r="F195" s="34">
        <v>8390</v>
      </c>
      <c r="G195" s="29">
        <v>8650</v>
      </c>
      <c r="H195" s="29">
        <v>7720</v>
      </c>
      <c r="I195" s="29">
        <v>7950</v>
      </c>
      <c r="J195" s="29">
        <v>8180</v>
      </c>
      <c r="K195" s="29">
        <v>9100</v>
      </c>
      <c r="L195" s="29">
        <v>9280</v>
      </c>
      <c r="M195" s="29">
        <v>8940</v>
      </c>
      <c r="N195" s="29">
        <v>7890</v>
      </c>
      <c r="O195" s="29">
        <v>7250</v>
      </c>
      <c r="P195" s="29">
        <v>7370</v>
      </c>
      <c r="Q195" s="29">
        <v>8260</v>
      </c>
      <c r="R195" s="29">
        <v>8330</v>
      </c>
      <c r="S195" s="29">
        <v>9280</v>
      </c>
      <c r="T195" s="29">
        <v>9150</v>
      </c>
      <c r="U195" s="29">
        <v>8680</v>
      </c>
      <c r="V195" s="29">
        <v>8470</v>
      </c>
      <c r="W195" s="29">
        <v>9090</v>
      </c>
      <c r="X195" s="29">
        <v>9290</v>
      </c>
      <c r="Y195" s="29">
        <v>9280</v>
      </c>
      <c r="Z195" s="29">
        <v>9400</v>
      </c>
      <c r="AA195" s="29">
        <v>9940</v>
      </c>
      <c r="AB195" s="29">
        <v>9740</v>
      </c>
      <c r="AC195" s="29">
        <v>9360</v>
      </c>
      <c r="AD195" s="29">
        <v>9930</v>
      </c>
      <c r="AE195" s="29">
        <v>10440</v>
      </c>
      <c r="AF195" s="29">
        <v>10910</v>
      </c>
      <c r="AG195" s="29">
        <v>11640</v>
      </c>
      <c r="AH195" s="29">
        <v>11700</v>
      </c>
      <c r="AI195" s="29">
        <v>10880</v>
      </c>
      <c r="AJ195" s="29">
        <v>10490</v>
      </c>
      <c r="AK195" s="29">
        <v>9500</v>
      </c>
      <c r="AL195" s="29">
        <v>9600</v>
      </c>
      <c r="AM195" s="29">
        <v>9390</v>
      </c>
      <c r="AN195" s="29">
        <v>9440</v>
      </c>
      <c r="AO195" s="29">
        <v>7990</v>
      </c>
      <c r="AP195" s="29">
        <v>8220</v>
      </c>
      <c r="AQ195" s="29">
        <v>8640</v>
      </c>
      <c r="AR195" s="29">
        <v>9150</v>
      </c>
      <c r="AS195" s="29">
        <v>9070</v>
      </c>
      <c r="AT195" s="29">
        <v>8330</v>
      </c>
      <c r="AU195" s="29">
        <v>8050</v>
      </c>
      <c r="AV195" s="29">
        <v>9020</v>
      </c>
      <c r="AW195" s="29">
        <v>8630</v>
      </c>
      <c r="AX195" s="29">
        <v>9340</v>
      </c>
      <c r="AY195" s="29">
        <v>9380</v>
      </c>
      <c r="AZ195" s="29">
        <v>9150</v>
      </c>
      <c r="BA195" s="29">
        <v>9230</v>
      </c>
      <c r="BB195" s="29">
        <v>9140</v>
      </c>
      <c r="BC195" s="29">
        <v>9340</v>
      </c>
      <c r="BD195" s="29">
        <v>9610</v>
      </c>
      <c r="BE195" s="29">
        <v>10030</v>
      </c>
      <c r="BF195" s="29">
        <v>10430</v>
      </c>
      <c r="BG195" s="29">
        <v>9500</v>
      </c>
      <c r="BH195" s="29">
        <v>10110</v>
      </c>
      <c r="BI195" s="29">
        <v>9980</v>
      </c>
      <c r="BJ195" s="29">
        <v>9690</v>
      </c>
      <c r="BK195" s="29">
        <v>9240</v>
      </c>
      <c r="BL195" s="30">
        <v>8190</v>
      </c>
      <c r="BM195" s="1">
        <v>7870</v>
      </c>
      <c r="BN195" s="1">
        <v>7750</v>
      </c>
      <c r="BO195" s="1">
        <v>7590</v>
      </c>
      <c r="BP195" s="1">
        <v>7590</v>
      </c>
      <c r="BQ195" s="1">
        <v>7290</v>
      </c>
      <c r="BR195" s="1">
        <v>7010</v>
      </c>
      <c r="BS195" s="1">
        <v>6910</v>
      </c>
      <c r="BT195" s="1">
        <v>6830</v>
      </c>
      <c r="BU195" s="1">
        <v>6820</v>
      </c>
      <c r="BV195" s="1">
        <v>6820</v>
      </c>
      <c r="BW195" s="1">
        <v>6950</v>
      </c>
      <c r="BX195" s="1">
        <v>7220</v>
      </c>
      <c r="BY195" s="1">
        <v>7050</v>
      </c>
      <c r="BZ195" s="1">
        <v>7170</v>
      </c>
    </row>
    <row r="196" spans="1:78" ht="15.9" customHeight="1">
      <c r="A196" s="65" t="s">
        <v>384</v>
      </c>
      <c r="B196" s="25" t="s">
        <v>385</v>
      </c>
      <c r="C196" s="39">
        <f>_xll.RssMarket("4966","高値")</f>
        <v>25750</v>
      </c>
      <c r="D196" s="38">
        <f t="shared" si="6"/>
        <v>1690</v>
      </c>
      <c r="E196" s="34">
        <v>24060</v>
      </c>
      <c r="F196" s="34">
        <v>23340</v>
      </c>
      <c r="G196" s="29">
        <v>22740</v>
      </c>
      <c r="H196" s="29">
        <v>20940</v>
      </c>
      <c r="I196" s="29">
        <v>21790</v>
      </c>
      <c r="J196" s="29">
        <v>22320</v>
      </c>
      <c r="K196" s="29">
        <v>23730</v>
      </c>
      <c r="L196" s="29">
        <v>24540</v>
      </c>
      <c r="M196" s="29">
        <v>24700</v>
      </c>
      <c r="N196" s="29">
        <v>24910</v>
      </c>
      <c r="O196" s="29">
        <v>24140</v>
      </c>
      <c r="P196" s="29">
        <v>23800</v>
      </c>
      <c r="Q196" s="29">
        <v>25250</v>
      </c>
      <c r="R196" s="29">
        <v>24200</v>
      </c>
      <c r="S196" s="29">
        <v>25090</v>
      </c>
      <c r="T196" s="29">
        <v>25550</v>
      </c>
      <c r="U196" s="29">
        <v>24900</v>
      </c>
      <c r="V196" s="29">
        <v>24430</v>
      </c>
      <c r="W196" s="29">
        <v>25710</v>
      </c>
      <c r="X196" s="29">
        <v>27130</v>
      </c>
      <c r="Y196" s="29">
        <v>26730</v>
      </c>
      <c r="Z196" s="29">
        <v>27520</v>
      </c>
      <c r="AA196" s="29">
        <v>28400</v>
      </c>
      <c r="AB196" s="29">
        <v>27910</v>
      </c>
      <c r="AC196" s="29">
        <v>26960</v>
      </c>
      <c r="AD196" s="29">
        <v>27710</v>
      </c>
      <c r="AE196" s="29">
        <v>28130</v>
      </c>
      <c r="AF196" s="29">
        <v>27580</v>
      </c>
      <c r="AG196" s="29">
        <v>28200</v>
      </c>
      <c r="AH196" s="29">
        <v>28430</v>
      </c>
      <c r="AI196" s="29">
        <v>27700</v>
      </c>
      <c r="AJ196" s="29">
        <v>27590</v>
      </c>
      <c r="AK196" s="29">
        <v>26440</v>
      </c>
      <c r="AL196" s="29">
        <v>26620</v>
      </c>
      <c r="AM196" s="29">
        <v>26410</v>
      </c>
      <c r="AN196" s="29">
        <v>24720</v>
      </c>
      <c r="AO196" s="29">
        <v>23320</v>
      </c>
      <c r="AP196" s="29">
        <v>22900</v>
      </c>
      <c r="AQ196" s="29">
        <v>22140</v>
      </c>
      <c r="AR196" s="29">
        <v>23020</v>
      </c>
      <c r="AS196" s="29">
        <v>23620</v>
      </c>
      <c r="AT196" s="29">
        <v>24190</v>
      </c>
      <c r="AU196" s="29">
        <v>23200</v>
      </c>
      <c r="AV196" s="29">
        <v>23710</v>
      </c>
      <c r="AW196" s="29">
        <v>23600</v>
      </c>
      <c r="AX196" s="29">
        <v>24360</v>
      </c>
      <c r="AY196" s="29">
        <v>24770</v>
      </c>
      <c r="AZ196" s="29">
        <v>24460</v>
      </c>
      <c r="BA196" s="29">
        <v>23700</v>
      </c>
      <c r="BB196" s="29">
        <v>23150</v>
      </c>
      <c r="BC196" s="29">
        <v>24240</v>
      </c>
      <c r="BD196" s="29">
        <v>24500</v>
      </c>
      <c r="BE196" s="29">
        <v>26180</v>
      </c>
      <c r="BF196" s="29">
        <v>26500</v>
      </c>
      <c r="BG196" s="29">
        <v>26960</v>
      </c>
      <c r="BH196" s="29">
        <v>25350</v>
      </c>
      <c r="BI196" s="29">
        <v>24210</v>
      </c>
      <c r="BJ196" s="29">
        <v>23790</v>
      </c>
      <c r="BK196" s="29">
        <v>23850</v>
      </c>
      <c r="BL196" s="30">
        <v>23440</v>
      </c>
      <c r="BM196" s="1">
        <v>23670</v>
      </c>
      <c r="BN196" s="1">
        <v>23650</v>
      </c>
      <c r="BO196" s="1">
        <v>23660</v>
      </c>
      <c r="BP196" s="1">
        <v>23710</v>
      </c>
      <c r="BQ196" s="1">
        <v>23700</v>
      </c>
      <c r="BR196" s="1">
        <v>23640</v>
      </c>
      <c r="BS196" s="1">
        <v>23520</v>
      </c>
      <c r="BT196" s="1">
        <v>23130</v>
      </c>
      <c r="BU196" s="1">
        <v>24130</v>
      </c>
      <c r="BV196" s="1">
        <v>24420</v>
      </c>
      <c r="BW196" s="1">
        <v>24650</v>
      </c>
      <c r="BX196" s="1">
        <v>24360</v>
      </c>
      <c r="BY196" s="1">
        <v>23310</v>
      </c>
      <c r="BZ196" s="1">
        <v>23130</v>
      </c>
    </row>
    <row r="197" spans="1:78" ht="15.9" customHeight="1">
      <c r="A197" s="65" t="s">
        <v>386</v>
      </c>
      <c r="B197" s="25" t="s">
        <v>387</v>
      </c>
      <c r="C197" s="39">
        <f>_xll.RssMarket("6146","高値")</f>
        <v>64480</v>
      </c>
      <c r="D197" s="38">
        <f t="shared" si="6"/>
        <v>2920</v>
      </c>
      <c r="E197" s="34">
        <v>61560</v>
      </c>
      <c r="F197" s="34">
        <v>61600</v>
      </c>
      <c r="G197" s="29">
        <v>60990</v>
      </c>
      <c r="H197" s="29">
        <v>53590</v>
      </c>
      <c r="I197" s="29">
        <v>56010</v>
      </c>
      <c r="J197" s="29">
        <v>57300</v>
      </c>
      <c r="K197" s="29">
        <v>63100</v>
      </c>
      <c r="L197" s="29">
        <v>63020</v>
      </c>
      <c r="M197" s="29">
        <v>72080</v>
      </c>
      <c r="N197" s="29">
        <v>72050</v>
      </c>
      <c r="O197" s="29">
        <v>67130</v>
      </c>
      <c r="P197" s="29">
        <v>66590</v>
      </c>
      <c r="Q197" s="29">
        <v>74240</v>
      </c>
      <c r="R197" s="29">
        <v>71710</v>
      </c>
      <c r="S197" s="29">
        <v>74930</v>
      </c>
      <c r="T197" s="29">
        <v>73770</v>
      </c>
      <c r="U197" s="29">
        <v>72340</v>
      </c>
      <c r="V197" s="29">
        <v>71710</v>
      </c>
      <c r="W197" s="29">
        <v>76900</v>
      </c>
      <c r="X197" s="29">
        <v>78830</v>
      </c>
      <c r="Y197" s="29">
        <v>76910</v>
      </c>
      <c r="Z197" s="29">
        <v>80390</v>
      </c>
      <c r="AA197" s="29">
        <v>88580</v>
      </c>
      <c r="AB197" s="29">
        <v>83870</v>
      </c>
      <c r="AC197" s="29">
        <v>79590</v>
      </c>
      <c r="AD197" s="29">
        <v>84220</v>
      </c>
      <c r="AE197" s="29">
        <v>86880</v>
      </c>
      <c r="AF197" s="29">
        <v>83400</v>
      </c>
      <c r="AG197" s="29">
        <v>91680</v>
      </c>
      <c r="AH197" s="29">
        <v>89250</v>
      </c>
      <c r="AI197" s="29">
        <v>89100</v>
      </c>
      <c r="AJ197" s="29">
        <v>85550</v>
      </c>
      <c r="AK197" s="29">
        <v>85390</v>
      </c>
      <c r="AL197" s="29">
        <v>85200</v>
      </c>
      <c r="AM197" s="29">
        <v>86140</v>
      </c>
      <c r="AN197" s="29">
        <v>80100</v>
      </c>
      <c r="AO197" s="29">
        <v>70760</v>
      </c>
      <c r="AP197" s="29">
        <v>73590</v>
      </c>
      <c r="AQ197" s="29">
        <v>68700</v>
      </c>
      <c r="AR197" s="29">
        <v>74440</v>
      </c>
      <c r="AS197" s="29">
        <v>72630</v>
      </c>
      <c r="AT197" s="29">
        <v>69970</v>
      </c>
      <c r="AU197" s="29">
        <v>64200</v>
      </c>
      <c r="AV197" s="29">
        <v>66520</v>
      </c>
      <c r="AW197" s="29">
        <v>67630</v>
      </c>
      <c r="AX197" s="29">
        <v>70550</v>
      </c>
      <c r="AY197" s="29">
        <v>70260</v>
      </c>
      <c r="AZ197" s="29">
        <v>66960</v>
      </c>
      <c r="BA197" s="29">
        <v>66660</v>
      </c>
      <c r="BB197" s="29">
        <v>62150</v>
      </c>
      <c r="BC197" s="29">
        <v>63690</v>
      </c>
      <c r="BD197" s="29">
        <v>65450</v>
      </c>
      <c r="BE197" s="29">
        <v>71520</v>
      </c>
      <c r="BF197" s="29">
        <v>73990</v>
      </c>
      <c r="BG197" s="29">
        <v>73010</v>
      </c>
      <c r="BH197" s="29">
        <v>73730</v>
      </c>
      <c r="BI197" s="29">
        <v>76010</v>
      </c>
      <c r="BJ197" s="29">
        <v>76340</v>
      </c>
      <c r="BK197" s="29">
        <v>77800</v>
      </c>
      <c r="BL197" s="30">
        <v>74460</v>
      </c>
      <c r="BM197" s="1">
        <v>76060</v>
      </c>
      <c r="BN197" s="1">
        <v>78150</v>
      </c>
      <c r="BO197" s="1">
        <v>76250</v>
      </c>
      <c r="BP197" s="1">
        <v>74310</v>
      </c>
      <c r="BQ197" s="1">
        <v>76350</v>
      </c>
      <c r="BR197" s="1">
        <v>75500</v>
      </c>
      <c r="BS197" s="1">
        <v>74350</v>
      </c>
      <c r="BT197" s="1">
        <v>75320</v>
      </c>
      <c r="BU197" s="1">
        <v>73530</v>
      </c>
      <c r="BV197" s="1">
        <v>73050</v>
      </c>
      <c r="BW197" s="1">
        <v>72950</v>
      </c>
      <c r="BX197" s="1">
        <v>72450</v>
      </c>
      <c r="BY197" s="1">
        <v>67390</v>
      </c>
      <c r="BZ197" s="1">
        <v>67090</v>
      </c>
    </row>
    <row r="198" spans="1:78" ht="15.9" customHeight="1">
      <c r="A198" s="65" t="s">
        <v>388</v>
      </c>
      <c r="B198" s="25" t="s">
        <v>389</v>
      </c>
      <c r="C198" s="39">
        <f>_xll.RssMarket("8035","高値")</f>
        <v>59700</v>
      </c>
      <c r="D198" s="38">
        <f t="shared" si="6"/>
        <v>2960</v>
      </c>
      <c r="E198" s="34">
        <v>56740</v>
      </c>
      <c r="F198" s="34">
        <v>55550</v>
      </c>
      <c r="G198" s="29">
        <v>59250</v>
      </c>
      <c r="H198" s="29">
        <v>53820</v>
      </c>
      <c r="I198" s="29">
        <v>55630</v>
      </c>
      <c r="J198" s="29">
        <v>57610</v>
      </c>
      <c r="K198" s="29">
        <v>64100</v>
      </c>
      <c r="L198" s="29">
        <v>65410</v>
      </c>
      <c r="M198" s="29">
        <v>68700</v>
      </c>
      <c r="N198" s="29">
        <v>69780</v>
      </c>
      <c r="O198" s="29">
        <v>66570</v>
      </c>
      <c r="P198" s="29">
        <v>67080</v>
      </c>
      <c r="Q198" s="29">
        <v>74810</v>
      </c>
      <c r="R198" s="29">
        <v>72140</v>
      </c>
      <c r="S198" s="29">
        <v>74470</v>
      </c>
      <c r="T198" s="29">
        <v>74550</v>
      </c>
      <c r="U198" s="29">
        <v>71540</v>
      </c>
      <c r="V198" s="29">
        <v>69600</v>
      </c>
      <c r="W198" s="29">
        <v>73090</v>
      </c>
      <c r="X198" s="29">
        <v>75290</v>
      </c>
      <c r="Y198" s="29">
        <v>73830</v>
      </c>
      <c r="Z198" s="29">
        <v>75740</v>
      </c>
      <c r="AA198" s="29">
        <v>81260</v>
      </c>
      <c r="AB198" s="29">
        <v>80500</v>
      </c>
      <c r="AC198" s="29">
        <v>74700</v>
      </c>
      <c r="AD198" s="29">
        <v>74430</v>
      </c>
      <c r="AE198" s="29">
        <v>75850</v>
      </c>
      <c r="AF198" s="29">
        <v>73360</v>
      </c>
      <c r="AG198" s="29">
        <v>79800</v>
      </c>
      <c r="AH198" s="29">
        <v>77850</v>
      </c>
      <c r="AI198" s="29">
        <v>77600</v>
      </c>
      <c r="AJ198" s="29">
        <v>76650</v>
      </c>
      <c r="AK198" s="29">
        <v>73220</v>
      </c>
      <c r="AL198" s="29">
        <v>73130</v>
      </c>
      <c r="AM198" s="29">
        <v>74800</v>
      </c>
      <c r="AN198" s="29">
        <v>71000</v>
      </c>
      <c r="AO198" s="29">
        <v>64070</v>
      </c>
      <c r="AP198" s="29">
        <v>65310</v>
      </c>
      <c r="AQ198" s="29">
        <v>56450</v>
      </c>
      <c r="AR198" s="29">
        <v>62210</v>
      </c>
      <c r="AS198" s="29">
        <v>63660</v>
      </c>
      <c r="AT198" s="29">
        <v>61420</v>
      </c>
      <c r="AU198" s="29">
        <v>53750</v>
      </c>
      <c r="AV198" s="29">
        <v>53320</v>
      </c>
      <c r="AW198" s="29">
        <v>52730</v>
      </c>
      <c r="AX198" s="29">
        <v>54700</v>
      </c>
      <c r="AY198" s="29">
        <v>52530</v>
      </c>
      <c r="AZ198" s="29">
        <v>50220</v>
      </c>
      <c r="BA198" s="29">
        <v>48800</v>
      </c>
      <c r="BB198" s="29">
        <v>47220</v>
      </c>
      <c r="BC198" s="29">
        <v>49980</v>
      </c>
      <c r="BD198" s="29">
        <v>50900</v>
      </c>
      <c r="BE198" s="29">
        <v>52530</v>
      </c>
      <c r="BF198" s="29">
        <v>52730</v>
      </c>
      <c r="BG198" s="29">
        <v>51920</v>
      </c>
      <c r="BH198" s="29">
        <v>53000</v>
      </c>
      <c r="BI198" s="29">
        <v>53870</v>
      </c>
      <c r="BJ198" s="29">
        <v>52650</v>
      </c>
      <c r="BK198" s="29">
        <v>51960</v>
      </c>
      <c r="BL198" s="30">
        <v>48190</v>
      </c>
      <c r="BM198" s="1">
        <v>45290</v>
      </c>
      <c r="BN198" s="1">
        <v>46970</v>
      </c>
      <c r="BO198" s="1">
        <v>47710</v>
      </c>
      <c r="BP198" s="1">
        <v>46110</v>
      </c>
      <c r="BQ198" s="1">
        <v>46560</v>
      </c>
      <c r="BR198" s="1">
        <v>45540</v>
      </c>
      <c r="BS198" s="1">
        <v>46460</v>
      </c>
      <c r="BT198" s="1">
        <v>44490</v>
      </c>
      <c r="BU198" s="1">
        <v>45280</v>
      </c>
      <c r="BV198" s="1">
        <v>46150</v>
      </c>
      <c r="BW198" s="1">
        <v>44570</v>
      </c>
      <c r="BX198" s="1">
        <v>43820</v>
      </c>
      <c r="BY198" s="1">
        <v>43480</v>
      </c>
      <c r="BZ198" s="1">
        <v>44040</v>
      </c>
    </row>
    <row r="199" spans="1:78" ht="15.9" customHeight="1">
      <c r="A199" s="65" t="s">
        <v>390</v>
      </c>
      <c r="B199" s="25" t="s">
        <v>391</v>
      </c>
      <c r="C199" s="39">
        <f>_xll.RssMarket("6920","高値")</f>
        <v>46730</v>
      </c>
      <c r="D199" s="38">
        <f t="shared" si="6"/>
        <v>2630</v>
      </c>
      <c r="E199" s="34">
        <v>44100</v>
      </c>
      <c r="F199" s="34">
        <v>41520</v>
      </c>
      <c r="G199" s="29">
        <v>39000</v>
      </c>
      <c r="H199" s="29">
        <v>35860</v>
      </c>
      <c r="I199" s="29">
        <v>38410</v>
      </c>
      <c r="J199" s="29">
        <v>40060</v>
      </c>
      <c r="K199" s="29">
        <v>44380</v>
      </c>
      <c r="L199" s="29">
        <v>45500</v>
      </c>
      <c r="M199" s="29">
        <v>46790</v>
      </c>
      <c r="N199" s="29">
        <v>45000</v>
      </c>
      <c r="O199" s="29">
        <v>42810</v>
      </c>
      <c r="P199" s="29">
        <v>43280</v>
      </c>
      <c r="Q199" s="29">
        <v>50940</v>
      </c>
      <c r="R199" s="29">
        <v>45230</v>
      </c>
      <c r="S199" s="29">
        <v>47680</v>
      </c>
      <c r="T199" s="29">
        <v>45480</v>
      </c>
      <c r="U199" s="29">
        <v>43850</v>
      </c>
      <c r="V199" s="29">
        <v>44300</v>
      </c>
      <c r="W199" s="29">
        <v>46050</v>
      </c>
      <c r="X199" s="29">
        <v>48490</v>
      </c>
      <c r="Y199" s="29">
        <v>47650</v>
      </c>
      <c r="Z199" s="29">
        <v>49030</v>
      </c>
      <c r="AA199" s="29">
        <v>54080</v>
      </c>
      <c r="AB199" s="29">
        <v>50910</v>
      </c>
      <c r="AC199" s="29">
        <v>50480</v>
      </c>
      <c r="AD199" s="29">
        <v>52520</v>
      </c>
      <c r="AE199" s="29">
        <v>53440</v>
      </c>
      <c r="AF199" s="29">
        <v>52940</v>
      </c>
      <c r="AG199" s="29">
        <v>58490</v>
      </c>
      <c r="AH199" s="29">
        <v>57550</v>
      </c>
      <c r="AI199" s="29">
        <v>58580</v>
      </c>
      <c r="AJ199" s="29">
        <v>57330</v>
      </c>
      <c r="AK199" s="29">
        <v>52980</v>
      </c>
      <c r="AL199" s="29">
        <v>48270</v>
      </c>
      <c r="AM199" s="29">
        <v>48640</v>
      </c>
      <c r="AN199" s="29">
        <v>44590</v>
      </c>
      <c r="AO199" s="29">
        <v>40470</v>
      </c>
      <c r="AP199" s="29">
        <v>42950</v>
      </c>
      <c r="AQ199" s="29">
        <v>40670</v>
      </c>
      <c r="AR199" s="29">
        <v>42470</v>
      </c>
      <c r="AS199" s="29">
        <v>43600</v>
      </c>
      <c r="AT199" s="29">
        <v>42800</v>
      </c>
      <c r="AU199" s="29">
        <v>39250</v>
      </c>
      <c r="AV199" s="29">
        <v>40820</v>
      </c>
      <c r="AW199" s="29">
        <v>41290</v>
      </c>
      <c r="AX199" s="29">
        <v>44040</v>
      </c>
      <c r="AY199" s="29">
        <v>43590</v>
      </c>
      <c r="AZ199" s="29">
        <v>38980</v>
      </c>
      <c r="BA199" s="29">
        <v>38840</v>
      </c>
      <c r="BB199" s="29">
        <v>36280</v>
      </c>
      <c r="BC199" s="29">
        <v>38180</v>
      </c>
      <c r="BD199" s="29">
        <v>39340</v>
      </c>
      <c r="BE199" s="29">
        <v>41190</v>
      </c>
      <c r="BF199" s="29">
        <v>43140</v>
      </c>
      <c r="BG199" s="29">
        <v>42860</v>
      </c>
      <c r="BH199" s="29">
        <v>45650</v>
      </c>
      <c r="BI199" s="29">
        <v>45950</v>
      </c>
      <c r="BJ199" s="29">
        <v>44660</v>
      </c>
      <c r="BK199" s="29">
        <v>46720</v>
      </c>
      <c r="BL199" s="30">
        <v>44520</v>
      </c>
      <c r="BM199" s="1">
        <v>44460</v>
      </c>
      <c r="BN199" s="1">
        <v>46090</v>
      </c>
      <c r="BO199" s="1">
        <v>46450</v>
      </c>
      <c r="BP199" s="1">
        <v>45950</v>
      </c>
      <c r="BQ199" s="1">
        <v>45990</v>
      </c>
      <c r="BR199" s="1">
        <v>45520</v>
      </c>
      <c r="BS199" s="1">
        <v>44590</v>
      </c>
      <c r="BT199" s="1">
        <v>42390</v>
      </c>
      <c r="BU199" s="1">
        <v>41700</v>
      </c>
      <c r="BV199" s="1">
        <v>42300</v>
      </c>
      <c r="BW199" s="1">
        <v>44940</v>
      </c>
      <c r="BX199" s="1">
        <v>43530</v>
      </c>
      <c r="BY199" s="1">
        <v>41570</v>
      </c>
      <c r="BZ199" s="1">
        <v>41630</v>
      </c>
    </row>
    <row r="200" spans="1:78" ht="15.9" customHeight="1">
      <c r="A200" s="65" t="s">
        <v>392</v>
      </c>
      <c r="B200" s="25" t="s">
        <v>393</v>
      </c>
      <c r="C200" s="39">
        <f>_xll.RssMarket("5801","高値")</f>
        <v>3976</v>
      </c>
      <c r="D200" s="38">
        <f t="shared" si="6"/>
        <v>391</v>
      </c>
      <c r="E200" s="34">
        <v>3585</v>
      </c>
      <c r="F200" s="34">
        <v>3233</v>
      </c>
      <c r="G200" s="29">
        <v>3278</v>
      </c>
      <c r="H200" s="29">
        <v>2930.5</v>
      </c>
      <c r="I200" s="29">
        <v>3048</v>
      </c>
      <c r="J200" s="29">
        <v>3131</v>
      </c>
      <c r="K200" s="29">
        <v>3391</v>
      </c>
      <c r="L200" s="29">
        <v>3469</v>
      </c>
      <c r="M200" s="29">
        <v>3675</v>
      </c>
      <c r="N200" s="29">
        <v>3725</v>
      </c>
      <c r="O200" s="29">
        <v>3429</v>
      </c>
      <c r="P200" s="29">
        <v>3309</v>
      </c>
      <c r="Q200" s="29">
        <v>3793</v>
      </c>
      <c r="R200" s="29">
        <v>3568</v>
      </c>
      <c r="S200" s="29">
        <v>3933</v>
      </c>
      <c r="T200" s="29">
        <v>3846</v>
      </c>
      <c r="U200" s="29">
        <v>3687</v>
      </c>
      <c r="V200" s="29">
        <v>3720</v>
      </c>
      <c r="W200" s="29">
        <v>3900</v>
      </c>
      <c r="X200" s="29">
        <v>3998</v>
      </c>
      <c r="Y200" s="29">
        <v>4015</v>
      </c>
      <c r="Z200" s="29">
        <v>4225</v>
      </c>
      <c r="AA200" s="29">
        <v>4870</v>
      </c>
      <c r="AB200" s="29">
        <v>4829</v>
      </c>
      <c r="AC200" s="29">
        <v>4545</v>
      </c>
      <c r="AD200" s="29">
        <v>4917</v>
      </c>
      <c r="AE200" s="29">
        <v>5050</v>
      </c>
      <c r="AF200" s="29">
        <v>4946</v>
      </c>
      <c r="AG200" s="29">
        <v>5824</v>
      </c>
      <c r="AH200" s="29">
        <v>5879</v>
      </c>
      <c r="AI200" s="29">
        <v>5336</v>
      </c>
      <c r="AJ200" s="29">
        <v>4899</v>
      </c>
      <c r="AK200" s="29">
        <v>4766</v>
      </c>
      <c r="AL200" s="29">
        <v>4831</v>
      </c>
      <c r="AM200" s="29">
        <v>4570</v>
      </c>
      <c r="AN200" s="29">
        <v>4378</v>
      </c>
      <c r="AO200" s="29">
        <v>4146</v>
      </c>
      <c r="AP200" s="29">
        <v>4447</v>
      </c>
      <c r="AQ200" s="29">
        <v>4590</v>
      </c>
      <c r="AR200" s="29">
        <v>5114</v>
      </c>
      <c r="AS200" s="29">
        <v>5344</v>
      </c>
      <c r="AT200" s="29">
        <v>5612</v>
      </c>
      <c r="AU200" s="29">
        <v>5245</v>
      </c>
      <c r="AV200" s="29">
        <v>5245</v>
      </c>
      <c r="AW200" s="29">
        <v>5535</v>
      </c>
      <c r="AX200" s="29">
        <v>6241</v>
      </c>
      <c r="AY200" s="29">
        <v>5933</v>
      </c>
      <c r="AZ200" s="29">
        <v>5435</v>
      </c>
      <c r="BA200" s="29">
        <v>5205</v>
      </c>
      <c r="BB200" s="29">
        <v>5207</v>
      </c>
      <c r="BC200" s="29">
        <v>5385</v>
      </c>
      <c r="BD200" s="29">
        <v>5706</v>
      </c>
      <c r="BE200" s="29">
        <v>6004</v>
      </c>
      <c r="BF200" s="29">
        <v>6015</v>
      </c>
      <c r="BG200" s="29">
        <v>5899</v>
      </c>
      <c r="BH200" s="29">
        <v>5043</v>
      </c>
      <c r="BI200" s="29">
        <v>4655</v>
      </c>
      <c r="BJ200" s="29">
        <v>4603</v>
      </c>
      <c r="BK200" s="29">
        <v>4630</v>
      </c>
      <c r="BL200" s="30">
        <v>4314</v>
      </c>
      <c r="BM200" s="1">
        <v>4285</v>
      </c>
      <c r="BN200" s="1">
        <v>4346</v>
      </c>
      <c r="BO200" s="1">
        <v>4355</v>
      </c>
      <c r="BP200" s="1">
        <v>4377</v>
      </c>
      <c r="BQ200" s="1">
        <v>4505</v>
      </c>
      <c r="BR200" s="1">
        <v>4444</v>
      </c>
      <c r="BS200" s="1">
        <v>4523</v>
      </c>
      <c r="BT200" s="1">
        <v>4538</v>
      </c>
      <c r="BU200" s="1">
        <v>4649</v>
      </c>
      <c r="BV200" s="1">
        <v>4609</v>
      </c>
      <c r="BW200" s="1">
        <v>4723</v>
      </c>
      <c r="BX200" s="1">
        <v>4794</v>
      </c>
      <c r="BY200" s="1">
        <v>4721</v>
      </c>
      <c r="BZ200" s="1">
        <v>4602</v>
      </c>
    </row>
    <row r="201" spans="1:78" ht="15.9" customHeight="1">
      <c r="A201" s="65" t="s">
        <v>394</v>
      </c>
      <c r="B201" s="25" t="s">
        <v>395</v>
      </c>
      <c r="C201" s="39">
        <f>_xll.RssMarket("6506","高値")</f>
        <v>5405</v>
      </c>
      <c r="D201" s="38">
        <f t="shared" si="6"/>
        <v>258</v>
      </c>
      <c r="E201" s="34">
        <v>5147</v>
      </c>
      <c r="F201" s="34">
        <v>4982</v>
      </c>
      <c r="G201" s="29">
        <v>4977</v>
      </c>
      <c r="H201" s="29">
        <v>4745</v>
      </c>
      <c r="I201" s="29">
        <v>4890</v>
      </c>
      <c r="J201" s="29">
        <v>5140</v>
      </c>
      <c r="K201" s="29">
        <v>5307</v>
      </c>
      <c r="L201" s="29">
        <v>5305</v>
      </c>
      <c r="M201" s="29">
        <v>5421</v>
      </c>
      <c r="N201" s="29">
        <v>5375</v>
      </c>
      <c r="O201" s="29">
        <v>5150</v>
      </c>
      <c r="P201" s="29">
        <v>5306</v>
      </c>
      <c r="Q201" s="29">
        <v>5569</v>
      </c>
      <c r="R201" s="29">
        <v>5860</v>
      </c>
      <c r="S201" s="29">
        <v>6275</v>
      </c>
      <c r="T201" s="29">
        <v>7225</v>
      </c>
      <c r="U201" s="29">
        <v>7044</v>
      </c>
      <c r="V201" s="29">
        <v>6932</v>
      </c>
      <c r="W201" s="29">
        <v>7398</v>
      </c>
      <c r="X201" s="29">
        <v>7856</v>
      </c>
      <c r="Y201" s="29">
        <v>7479</v>
      </c>
      <c r="Z201" s="29">
        <v>7156</v>
      </c>
      <c r="AA201" s="29">
        <v>7465</v>
      </c>
      <c r="AB201" s="29">
        <v>7237</v>
      </c>
      <c r="AC201" s="29">
        <v>6954</v>
      </c>
      <c r="AD201" s="29">
        <v>7347</v>
      </c>
      <c r="AE201" s="29">
        <v>7324</v>
      </c>
      <c r="AF201" s="29">
        <v>7228</v>
      </c>
      <c r="AG201" s="29">
        <v>7682</v>
      </c>
      <c r="AH201" s="29">
        <v>7915</v>
      </c>
      <c r="AI201" s="29">
        <v>7359</v>
      </c>
      <c r="AJ201" s="29">
        <v>7416</v>
      </c>
      <c r="AK201" s="29">
        <v>7060</v>
      </c>
      <c r="AL201" s="29">
        <v>6943</v>
      </c>
      <c r="AM201" s="29">
        <v>6732</v>
      </c>
      <c r="AN201" s="29">
        <v>6508</v>
      </c>
      <c r="AO201" s="29">
        <v>6055</v>
      </c>
      <c r="AP201" s="29">
        <v>6257</v>
      </c>
      <c r="AQ201" s="29">
        <v>6513</v>
      </c>
      <c r="AR201" s="29">
        <v>6918</v>
      </c>
      <c r="AS201" s="29">
        <v>7115</v>
      </c>
      <c r="AT201" s="29">
        <v>7228</v>
      </c>
      <c r="AU201" s="29">
        <v>7069</v>
      </c>
      <c r="AV201" s="29">
        <v>7315</v>
      </c>
      <c r="AW201" s="29">
        <v>7210</v>
      </c>
      <c r="AX201" s="29">
        <v>7689</v>
      </c>
      <c r="AY201" s="29">
        <v>7700</v>
      </c>
      <c r="AZ201" s="29">
        <v>7092</v>
      </c>
      <c r="BA201" s="29">
        <v>6709</v>
      </c>
      <c r="BB201" s="29">
        <v>6310</v>
      </c>
      <c r="BC201" s="29">
        <v>6739</v>
      </c>
      <c r="BD201" s="29">
        <v>7076</v>
      </c>
      <c r="BE201" s="29">
        <v>7395</v>
      </c>
      <c r="BF201" s="29">
        <v>7578</v>
      </c>
      <c r="BG201" s="29">
        <v>7028</v>
      </c>
      <c r="BH201" s="29">
        <v>7030</v>
      </c>
      <c r="BI201" s="29">
        <v>6625</v>
      </c>
      <c r="BJ201" s="29">
        <v>6424</v>
      </c>
      <c r="BK201" s="29">
        <v>6018</v>
      </c>
      <c r="BL201" s="30">
        <v>5648</v>
      </c>
      <c r="BM201" s="1">
        <v>5637</v>
      </c>
      <c r="BN201" s="1">
        <v>5495</v>
      </c>
      <c r="BO201" s="1">
        <v>5532</v>
      </c>
      <c r="BP201" s="1">
        <v>5252</v>
      </c>
      <c r="BQ201" s="1">
        <v>5406</v>
      </c>
      <c r="BR201" s="1">
        <v>5490</v>
      </c>
      <c r="BS201" s="1">
        <v>5657</v>
      </c>
      <c r="BT201" s="1">
        <v>5507</v>
      </c>
      <c r="BU201" s="1">
        <v>5265</v>
      </c>
      <c r="BV201" s="1">
        <v>5364</v>
      </c>
      <c r="BW201" s="1">
        <v>5376</v>
      </c>
      <c r="BX201" s="1">
        <v>5275</v>
      </c>
      <c r="BY201" s="1">
        <v>5260</v>
      </c>
      <c r="BZ201" s="1">
        <v>4926</v>
      </c>
    </row>
    <row r="202" spans="1:78" ht="15.9" customHeight="1">
      <c r="A202" s="65" t="s">
        <v>396</v>
      </c>
      <c r="B202" s="25" t="s">
        <v>397</v>
      </c>
      <c r="C202" s="39">
        <f>_xll.RssMarket("2768","高値")</f>
        <v>5380</v>
      </c>
      <c r="D202" s="38">
        <f t="shared" si="6"/>
        <v>128</v>
      </c>
      <c r="E202" s="34">
        <v>5252</v>
      </c>
      <c r="F202" s="34">
        <v>5235</v>
      </c>
      <c r="G202" s="29">
        <v>5457</v>
      </c>
      <c r="H202" s="29">
        <v>5373</v>
      </c>
      <c r="I202" s="29">
        <v>5412</v>
      </c>
      <c r="J202" s="29">
        <v>5413</v>
      </c>
      <c r="K202" s="29">
        <v>5467</v>
      </c>
      <c r="L202" s="29">
        <v>5452</v>
      </c>
      <c r="M202" s="29">
        <v>5507</v>
      </c>
      <c r="N202" s="29">
        <v>5453</v>
      </c>
      <c r="O202" s="29">
        <v>5291</v>
      </c>
      <c r="P202" s="29">
        <v>5213</v>
      </c>
      <c r="Q202" s="29">
        <v>5220</v>
      </c>
      <c r="R202" s="29">
        <v>5120</v>
      </c>
      <c r="S202" s="29">
        <v>5204</v>
      </c>
      <c r="T202" s="29">
        <v>5151</v>
      </c>
      <c r="U202" s="29">
        <v>5178</v>
      </c>
      <c r="V202" s="29">
        <v>5283</v>
      </c>
      <c r="W202" s="29">
        <v>5425</v>
      </c>
      <c r="X202" s="29">
        <v>5408</v>
      </c>
      <c r="Y202" s="29">
        <v>5305</v>
      </c>
      <c r="Z202" s="29">
        <v>5287</v>
      </c>
      <c r="AA202" s="29">
        <v>5210</v>
      </c>
      <c r="AB202" s="29">
        <v>5250</v>
      </c>
      <c r="AC202" s="29">
        <v>5357</v>
      </c>
      <c r="AD202" s="29">
        <v>5357</v>
      </c>
      <c r="AE202" s="29">
        <v>5292</v>
      </c>
      <c r="AF202" s="29">
        <v>5232</v>
      </c>
      <c r="AG202" s="29">
        <v>5362</v>
      </c>
      <c r="AH202" s="29">
        <v>5300</v>
      </c>
      <c r="AI202" s="29">
        <v>5406</v>
      </c>
      <c r="AJ202" s="29">
        <v>5406</v>
      </c>
      <c r="AK202" s="29">
        <v>5372</v>
      </c>
      <c r="AL202" s="29">
        <v>5387</v>
      </c>
      <c r="AM202" s="29">
        <v>5374</v>
      </c>
      <c r="AN202" s="29">
        <v>5091</v>
      </c>
      <c r="AO202" s="29">
        <v>5067</v>
      </c>
      <c r="AP202" s="29">
        <v>5139</v>
      </c>
      <c r="AQ202" s="29">
        <v>5147</v>
      </c>
      <c r="AR202" s="29">
        <v>5275</v>
      </c>
      <c r="AS202" s="29">
        <v>5190</v>
      </c>
      <c r="AT202" s="29">
        <v>5192</v>
      </c>
      <c r="AU202" s="29">
        <v>5134</v>
      </c>
      <c r="AV202" s="29">
        <v>5494</v>
      </c>
      <c r="AW202" s="29">
        <v>5475</v>
      </c>
      <c r="AX202" s="29">
        <v>5650</v>
      </c>
      <c r="AY202" s="29">
        <v>5634</v>
      </c>
      <c r="AZ202" s="29">
        <v>5576</v>
      </c>
      <c r="BA202" s="29">
        <v>5617</v>
      </c>
      <c r="BB202" s="29">
        <v>5690</v>
      </c>
      <c r="BC202" s="29">
        <v>5767</v>
      </c>
      <c r="BD202" s="29">
        <v>5900</v>
      </c>
      <c r="BE202" s="29">
        <v>5989</v>
      </c>
      <c r="BF202" s="29">
        <v>5910</v>
      </c>
      <c r="BG202" s="29">
        <v>5964</v>
      </c>
      <c r="BH202" s="29">
        <v>5880</v>
      </c>
      <c r="BI202" s="29">
        <v>5756</v>
      </c>
      <c r="BJ202" s="29">
        <v>5811</v>
      </c>
      <c r="BK202" s="29">
        <v>6215</v>
      </c>
      <c r="BL202" s="30">
        <v>6400</v>
      </c>
      <c r="BM202" s="1">
        <v>5930</v>
      </c>
      <c r="BN202" s="1">
        <v>5977</v>
      </c>
      <c r="BO202" s="1">
        <v>5871</v>
      </c>
      <c r="BP202" s="1">
        <v>5948</v>
      </c>
      <c r="BQ202" s="1">
        <v>5905</v>
      </c>
      <c r="BR202" s="1">
        <v>5998</v>
      </c>
      <c r="BS202" s="1">
        <v>6120</v>
      </c>
      <c r="BT202" s="1">
        <v>6147</v>
      </c>
      <c r="BU202" s="1">
        <v>6250</v>
      </c>
      <c r="BV202" s="1">
        <v>6280</v>
      </c>
      <c r="BW202" s="1">
        <v>6290</v>
      </c>
      <c r="BX202" s="1">
        <v>6401</v>
      </c>
      <c r="BY202" s="1">
        <v>6482</v>
      </c>
      <c r="BZ202" s="1">
        <v>6522</v>
      </c>
    </row>
    <row r="203" spans="1:78" ht="15.9" customHeight="1">
      <c r="A203" s="65" t="s">
        <v>398</v>
      </c>
      <c r="B203" s="25" t="s">
        <v>399</v>
      </c>
      <c r="C203" s="39">
        <f>_xll.RssMarket("6305","高値")</f>
        <v>5482</v>
      </c>
      <c r="D203" s="38">
        <f t="shared" si="6"/>
        <v>105</v>
      </c>
      <c r="E203" s="34">
        <v>5377</v>
      </c>
      <c r="F203" s="34">
        <v>5486</v>
      </c>
      <c r="G203" s="29">
        <v>5451</v>
      </c>
      <c r="H203" s="29">
        <v>5691</v>
      </c>
      <c r="I203" s="29">
        <v>5768</v>
      </c>
      <c r="J203" s="29">
        <v>5653</v>
      </c>
      <c r="K203" s="29">
        <v>5680</v>
      </c>
      <c r="L203" s="29">
        <v>5401</v>
      </c>
      <c r="M203" s="29">
        <v>5442</v>
      </c>
      <c r="N203" s="29">
        <v>5375</v>
      </c>
      <c r="O203" s="29">
        <v>5227</v>
      </c>
      <c r="P203" s="29">
        <v>5287</v>
      </c>
      <c r="Q203" s="29">
        <v>5341</v>
      </c>
      <c r="R203" s="29">
        <v>5283</v>
      </c>
      <c r="S203" s="29">
        <v>5339</v>
      </c>
      <c r="T203" s="29">
        <v>5302</v>
      </c>
      <c r="U203" s="29">
        <v>5300</v>
      </c>
      <c r="V203" s="29">
        <v>5405</v>
      </c>
      <c r="W203" s="29">
        <v>5486</v>
      </c>
      <c r="X203" s="29">
        <v>5523</v>
      </c>
      <c r="Y203" s="29">
        <v>5360</v>
      </c>
      <c r="Z203" s="29">
        <v>5288</v>
      </c>
      <c r="AA203" s="29">
        <v>5331</v>
      </c>
      <c r="AB203" s="29">
        <v>5368</v>
      </c>
      <c r="AC203" s="29">
        <v>5364</v>
      </c>
      <c r="AD203" s="29">
        <v>5369</v>
      </c>
      <c r="AE203" s="29">
        <v>5404</v>
      </c>
      <c r="AF203" s="29">
        <v>5345</v>
      </c>
      <c r="AG203" s="29">
        <v>5498</v>
      </c>
      <c r="AH203" s="29">
        <v>5422</v>
      </c>
      <c r="AI203" s="29">
        <v>5486</v>
      </c>
      <c r="AJ203" s="29">
        <v>5465</v>
      </c>
      <c r="AK203" s="29">
        <v>5436</v>
      </c>
      <c r="AL203" s="29">
        <v>5596</v>
      </c>
      <c r="AM203" s="29">
        <v>5600</v>
      </c>
      <c r="AN203" s="29">
        <v>5339</v>
      </c>
      <c r="AO203" s="29">
        <v>5177</v>
      </c>
      <c r="AP203" s="29">
        <v>5339</v>
      </c>
      <c r="AQ203" s="29">
        <v>5324</v>
      </c>
      <c r="AR203" s="29">
        <v>5462</v>
      </c>
      <c r="AS203" s="29">
        <v>5413</v>
      </c>
      <c r="AT203" s="29">
        <v>5415</v>
      </c>
      <c r="AU203" s="29">
        <v>5152</v>
      </c>
      <c r="AV203" s="29">
        <v>5278</v>
      </c>
      <c r="AW203" s="29">
        <v>5280</v>
      </c>
      <c r="AX203" s="29">
        <v>5340</v>
      </c>
      <c r="AY203" s="29">
        <v>5067</v>
      </c>
      <c r="AZ203" s="29">
        <v>5034</v>
      </c>
      <c r="BA203" s="29">
        <v>5032</v>
      </c>
      <c r="BB203" s="29">
        <v>5038</v>
      </c>
      <c r="BC203" s="29">
        <v>5178</v>
      </c>
      <c r="BD203" s="29">
        <v>5274</v>
      </c>
      <c r="BE203" s="29">
        <v>5337</v>
      </c>
      <c r="BF203" s="29">
        <v>5420</v>
      </c>
      <c r="BG203" s="29">
        <v>5326</v>
      </c>
      <c r="BH203" s="29">
        <v>5765</v>
      </c>
      <c r="BI203" s="29">
        <v>5701</v>
      </c>
      <c r="BJ203" s="29">
        <v>5718</v>
      </c>
      <c r="BK203" s="29">
        <v>5723</v>
      </c>
      <c r="BL203" s="30">
        <v>5568</v>
      </c>
      <c r="BM203" s="1">
        <v>5653</v>
      </c>
      <c r="BN203" s="1">
        <v>5688</v>
      </c>
      <c r="BO203" s="1">
        <v>5658</v>
      </c>
      <c r="BP203" s="1">
        <v>5570</v>
      </c>
      <c r="BQ203" s="1">
        <v>5567</v>
      </c>
      <c r="BR203" s="1">
        <v>5505</v>
      </c>
      <c r="BS203" s="1">
        <v>5539</v>
      </c>
      <c r="BT203" s="1">
        <v>5470</v>
      </c>
      <c r="BU203" s="1">
        <v>5502</v>
      </c>
      <c r="BV203" s="1">
        <v>5665</v>
      </c>
      <c r="BW203" s="1">
        <v>5692</v>
      </c>
      <c r="BX203" s="1">
        <v>5726</v>
      </c>
      <c r="BY203" s="1">
        <v>5749</v>
      </c>
      <c r="BZ203" s="1">
        <v>5773</v>
      </c>
    </row>
    <row r="204" spans="1:78" ht="15.9" customHeight="1">
      <c r="A204" s="65" t="s">
        <v>400</v>
      </c>
      <c r="B204" s="25" t="s">
        <v>401</v>
      </c>
      <c r="C204" s="39">
        <f>_xll.RssMarket("8015","高値")</f>
        <v>7174</v>
      </c>
      <c r="D204" s="38">
        <f t="shared" si="6"/>
        <v>324</v>
      </c>
      <c r="E204" s="34">
        <v>6850</v>
      </c>
      <c r="F204" s="34">
        <v>6745</v>
      </c>
      <c r="G204" s="29">
        <v>6871</v>
      </c>
      <c r="H204" s="29">
        <v>6645</v>
      </c>
      <c r="I204" s="29">
        <v>6577</v>
      </c>
      <c r="J204" s="29">
        <v>6512</v>
      </c>
      <c r="K204" s="29">
        <v>6605</v>
      </c>
      <c r="L204" s="29">
        <v>6535</v>
      </c>
      <c r="M204" s="29">
        <v>6613</v>
      </c>
      <c r="N204" s="29">
        <v>6555</v>
      </c>
      <c r="O204" s="29">
        <v>6505</v>
      </c>
      <c r="P204" s="29">
        <v>6228</v>
      </c>
      <c r="Q204" s="29">
        <v>6241</v>
      </c>
      <c r="R204" s="29">
        <v>6065</v>
      </c>
      <c r="S204" s="29">
        <v>6144</v>
      </c>
      <c r="T204" s="29">
        <v>6248</v>
      </c>
      <c r="U204" s="29">
        <v>6190</v>
      </c>
      <c r="V204" s="29">
        <v>6323</v>
      </c>
      <c r="W204" s="29">
        <v>6510</v>
      </c>
      <c r="X204" s="29">
        <v>6304</v>
      </c>
      <c r="Y204" s="29">
        <v>6426</v>
      </c>
      <c r="Z204" s="29">
        <v>6202</v>
      </c>
      <c r="AA204" s="29">
        <v>6134</v>
      </c>
      <c r="AB204" s="29">
        <v>6062</v>
      </c>
      <c r="AC204" s="29">
        <v>6054</v>
      </c>
      <c r="AD204" s="29">
        <v>6063</v>
      </c>
      <c r="AE204" s="29">
        <v>6215</v>
      </c>
      <c r="AF204" s="29">
        <v>6199</v>
      </c>
      <c r="AG204" s="29">
        <v>6276</v>
      </c>
      <c r="AH204" s="29">
        <v>6226</v>
      </c>
      <c r="AI204" s="29">
        <v>6212</v>
      </c>
      <c r="AJ204" s="29">
        <v>6434</v>
      </c>
      <c r="AK204" s="29">
        <v>6456</v>
      </c>
      <c r="AL204" s="29">
        <v>6531</v>
      </c>
      <c r="AM204" s="29">
        <v>6594</v>
      </c>
      <c r="AN204" s="29">
        <v>6254</v>
      </c>
      <c r="AO204" s="29">
        <v>5978</v>
      </c>
      <c r="AP204" s="29">
        <v>6156</v>
      </c>
      <c r="AQ204" s="29">
        <v>6450</v>
      </c>
      <c r="AR204" s="29">
        <v>6493</v>
      </c>
      <c r="AS204" s="29">
        <v>6560</v>
      </c>
      <c r="AT204" s="29">
        <v>6600</v>
      </c>
      <c r="AU204" s="29">
        <v>6558</v>
      </c>
      <c r="AV204" s="29">
        <v>7000</v>
      </c>
      <c r="AW204" s="29">
        <v>6845</v>
      </c>
      <c r="AX204" s="29">
        <v>7039</v>
      </c>
      <c r="AY204" s="29">
        <v>7164</v>
      </c>
      <c r="AZ204" s="29">
        <v>6993</v>
      </c>
      <c r="BA204" s="29">
        <v>7027</v>
      </c>
      <c r="BB204" s="29">
        <v>7006</v>
      </c>
      <c r="BC204" s="29">
        <v>7143</v>
      </c>
      <c r="BD204" s="29">
        <v>7285</v>
      </c>
      <c r="BE204" s="29">
        <v>7559</v>
      </c>
      <c r="BF204" s="29">
        <v>7443</v>
      </c>
      <c r="BG204" s="29">
        <v>7488</v>
      </c>
      <c r="BH204" s="29">
        <v>7256</v>
      </c>
      <c r="BI204" s="29">
        <v>7039</v>
      </c>
      <c r="BJ204" s="29">
        <v>6894</v>
      </c>
      <c r="BK204" s="29">
        <v>7070</v>
      </c>
      <c r="BL204" s="30">
        <v>7048</v>
      </c>
      <c r="BM204" s="1">
        <v>6270</v>
      </c>
      <c r="BN204" s="1">
        <v>6469</v>
      </c>
      <c r="BO204" s="1">
        <v>6268</v>
      </c>
      <c r="BP204" s="1">
        <v>6235</v>
      </c>
      <c r="BQ204" s="1">
        <v>6248</v>
      </c>
      <c r="BR204" s="1">
        <v>6280</v>
      </c>
      <c r="BS204" s="1">
        <v>6383</v>
      </c>
      <c r="BT204" s="1">
        <v>6368</v>
      </c>
      <c r="BU204" s="1">
        <v>6374</v>
      </c>
      <c r="BV204" s="1">
        <v>6381</v>
      </c>
      <c r="BW204" s="1">
        <v>6449</v>
      </c>
      <c r="BX204" s="1">
        <v>6522</v>
      </c>
      <c r="BY204" s="1">
        <v>6590</v>
      </c>
      <c r="BZ204" s="1">
        <v>6700</v>
      </c>
    </row>
    <row r="205" spans="1:78">
      <c r="A205" s="62" t="s">
        <v>402</v>
      </c>
      <c r="B205" s="31" t="s">
        <v>403</v>
      </c>
      <c r="C205" s="39">
        <f>_xll.RssMarket("6758","高値")</f>
        <v>3642</v>
      </c>
      <c r="D205" s="38">
        <f t="shared" si="6"/>
        <v>3642</v>
      </c>
      <c r="E205" s="69"/>
      <c r="F205" s="69"/>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78">
      <c r="A206" s="62" t="s">
        <v>404</v>
      </c>
      <c r="B206" s="31" t="s">
        <v>405</v>
      </c>
      <c r="C206" s="39">
        <f>_xll.RssMarket("9101","高値")</f>
        <v>6005</v>
      </c>
      <c r="D206" s="38">
        <f t="shared" si="6"/>
        <v>-43</v>
      </c>
      <c r="E206" s="69">
        <v>6048</v>
      </c>
      <c r="F206" s="69">
        <v>6078</v>
      </c>
      <c r="G206" s="69">
        <v>6159</v>
      </c>
      <c r="H206" s="69">
        <v>6168</v>
      </c>
      <c r="I206" s="69">
        <v>6155</v>
      </c>
      <c r="J206" s="69">
        <v>6055</v>
      </c>
      <c r="K206" s="69">
        <v>6141</v>
      </c>
      <c r="L206" s="69">
        <v>5972</v>
      </c>
      <c r="M206" s="69">
        <v>5847</v>
      </c>
      <c r="N206" s="69">
        <v>5838</v>
      </c>
      <c r="O206" s="69">
        <v>5762</v>
      </c>
      <c r="P206" s="69">
        <v>5784</v>
      </c>
      <c r="Q206" s="69">
        <v>5614</v>
      </c>
      <c r="R206" s="69">
        <v>5509</v>
      </c>
      <c r="S206" s="69">
        <v>5348</v>
      </c>
      <c r="T206" s="69">
        <v>5406</v>
      </c>
      <c r="U206" s="69">
        <v>5495</v>
      </c>
      <c r="V206" s="69">
        <v>5393</v>
      </c>
      <c r="W206" s="69">
        <v>5295</v>
      </c>
      <c r="X206" s="69">
        <v>5370</v>
      </c>
      <c r="Y206" s="69">
        <v>5289</v>
      </c>
      <c r="Z206" s="69">
        <v>5190</v>
      </c>
      <c r="AA206" s="69">
        <v>5203</v>
      </c>
      <c r="AB206" s="69">
        <v>5265</v>
      </c>
      <c r="AC206" s="69">
        <v>5310</v>
      </c>
      <c r="AD206" s="69">
        <v>5267</v>
      </c>
      <c r="AE206" s="69">
        <v>5410</v>
      </c>
      <c r="AF206" s="69">
        <v>5396</v>
      </c>
      <c r="AG206" s="69">
        <v>5303</v>
      </c>
      <c r="AH206" s="69">
        <v>5203</v>
      </c>
      <c r="AI206" s="69">
        <v>5234</v>
      </c>
      <c r="AJ206" s="69">
        <v>5300</v>
      </c>
      <c r="AK206" s="69">
        <v>5410</v>
      </c>
      <c r="AL206" s="69">
        <v>5532</v>
      </c>
      <c r="AM206" s="69">
        <v>5672</v>
      </c>
      <c r="AN206" s="69">
        <v>5689</v>
      </c>
      <c r="AO206" s="69">
        <v>5690</v>
      </c>
      <c r="AP206" s="69">
        <v>5720</v>
      </c>
      <c r="AQ206" s="69">
        <v>5646</v>
      </c>
      <c r="AR206" s="69">
        <v>5723</v>
      </c>
      <c r="AS206" s="69">
        <v>5515</v>
      </c>
      <c r="AT206" s="69">
        <v>5362</v>
      </c>
      <c r="AU206" s="69">
        <v>5343</v>
      </c>
      <c r="AV206" s="69">
        <v>5376</v>
      </c>
      <c r="AW206" s="69">
        <v>5358</v>
      </c>
      <c r="AX206" s="69">
        <v>5289</v>
      </c>
      <c r="AY206" s="69">
        <v>5412</v>
      </c>
      <c r="AZ206" s="69">
        <v>5450</v>
      </c>
      <c r="BA206" s="69">
        <v>5630</v>
      </c>
      <c r="BB206" s="69">
        <v>5695</v>
      </c>
      <c r="BC206" s="69">
        <v>5620</v>
      </c>
      <c r="BD206" s="69">
        <v>5636</v>
      </c>
      <c r="BE206" s="69">
        <v>5498</v>
      </c>
      <c r="BF206" s="69">
        <v>5446</v>
      </c>
      <c r="BG206" s="69">
        <v>5389</v>
      </c>
      <c r="BH206" s="69">
        <v>5486</v>
      </c>
      <c r="BI206" s="69">
        <v>5740</v>
      </c>
      <c r="BJ206" s="69">
        <v>5700</v>
      </c>
      <c r="BK206" s="69">
        <v>5675</v>
      </c>
      <c r="BL206" s="2">
        <v>5648</v>
      </c>
      <c r="BM206" s="1">
        <v>5702</v>
      </c>
      <c r="BN206" s="1">
        <v>5681</v>
      </c>
      <c r="BO206" s="1">
        <v>5807</v>
      </c>
      <c r="BP206" s="1">
        <v>5923</v>
      </c>
      <c r="BQ206" s="1">
        <v>5852</v>
      </c>
      <c r="BR206" s="1">
        <v>5910</v>
      </c>
      <c r="BS206" s="1">
        <v>5930</v>
      </c>
      <c r="BT206" s="1">
        <v>6068</v>
      </c>
      <c r="BU206" s="1">
        <v>6178</v>
      </c>
      <c r="BV206" s="1">
        <v>6127</v>
      </c>
      <c r="BW206" s="1">
        <v>6138</v>
      </c>
      <c r="BX206" s="1">
        <v>6153</v>
      </c>
      <c r="BY206" s="1">
        <v>6282</v>
      </c>
      <c r="BZ206" s="1">
        <v>6250</v>
      </c>
    </row>
    <row r="207" spans="1:78">
      <c r="A207" s="62" t="s">
        <v>406</v>
      </c>
      <c r="B207" s="1" t="s">
        <v>407</v>
      </c>
      <c r="C207" s="54">
        <f>_xll.RssMarket("7011","高値")</f>
        <v>4072</v>
      </c>
      <c r="D207" s="16">
        <f t="shared" si="6"/>
        <v>-83</v>
      </c>
      <c r="E207" s="2">
        <v>4155</v>
      </c>
      <c r="F207" s="2">
        <v>3805</v>
      </c>
      <c r="G207" s="2">
        <v>3864</v>
      </c>
      <c r="H207" s="2">
        <v>3801</v>
      </c>
      <c r="I207" s="2">
        <v>3783</v>
      </c>
      <c r="J207" s="2">
        <v>3817</v>
      </c>
      <c r="K207" s="2">
        <v>3981</v>
      </c>
      <c r="L207" s="2">
        <v>4007</v>
      </c>
      <c r="M207" s="2">
        <v>3930</v>
      </c>
      <c r="N207" s="2">
        <v>3916</v>
      </c>
      <c r="O207" s="2">
        <v>3889</v>
      </c>
      <c r="P207" s="2">
        <v>3754</v>
      </c>
      <c r="Q207" s="2">
        <v>3855</v>
      </c>
      <c r="R207" s="2">
        <v>3816</v>
      </c>
      <c r="S207" s="2">
        <v>3818</v>
      </c>
      <c r="T207" s="2">
        <v>3872</v>
      </c>
      <c r="U207" s="2">
        <v>3867</v>
      </c>
      <c r="V207" s="2">
        <v>3994</v>
      </c>
      <c r="W207" s="2">
        <v>4146</v>
      </c>
      <c r="X207" s="2">
        <v>4110</v>
      </c>
      <c r="Y207" s="2">
        <v>3899</v>
      </c>
      <c r="Z207" s="2">
        <v>3867</v>
      </c>
      <c r="AA207" s="2">
        <v>3825</v>
      </c>
      <c r="AB207" s="2">
        <v>3717</v>
      </c>
      <c r="AC207" s="2">
        <v>3774</v>
      </c>
      <c r="AD207" s="2">
        <v>3639</v>
      </c>
      <c r="AE207" s="2">
        <v>3784</v>
      </c>
      <c r="AF207" s="2">
        <v>3809</v>
      </c>
      <c r="AG207" s="2">
        <v>3913</v>
      </c>
      <c r="AH207" s="2">
        <v>3914</v>
      </c>
      <c r="AI207" s="2">
        <v>4030</v>
      </c>
      <c r="AJ207" s="2">
        <v>4095</v>
      </c>
      <c r="AK207" s="2">
        <v>3905</v>
      </c>
      <c r="AL207" s="2">
        <v>3838</v>
      </c>
      <c r="AM207" s="2">
        <v>3720</v>
      </c>
      <c r="AN207" s="2">
        <v>3594</v>
      </c>
      <c r="AO207" s="2">
        <v>3502</v>
      </c>
      <c r="AP207" s="2">
        <v>3686</v>
      </c>
      <c r="AQ207" s="2">
        <v>3783</v>
      </c>
      <c r="AR207" s="2">
        <v>3828</v>
      </c>
      <c r="AS207" s="2">
        <v>3772</v>
      </c>
      <c r="AT207" s="2">
        <v>3640</v>
      </c>
      <c r="AU207" s="2">
        <v>3516</v>
      </c>
      <c r="AV207" s="2">
        <v>3836</v>
      </c>
      <c r="AW207" s="2">
        <v>3999</v>
      </c>
      <c r="AX207" s="2">
        <v>4050</v>
      </c>
      <c r="AY207" s="2">
        <v>3944</v>
      </c>
      <c r="AZ207" s="2">
        <v>4023</v>
      </c>
      <c r="BA207" s="2">
        <v>4032</v>
      </c>
      <c r="BB207" s="2">
        <v>4100</v>
      </c>
      <c r="BC207" s="2">
        <v>4255</v>
      </c>
      <c r="BD207" s="2">
        <v>4140</v>
      </c>
      <c r="BE207" s="2">
        <v>4148</v>
      </c>
      <c r="BF207" s="2">
        <v>4405</v>
      </c>
      <c r="BG207" s="2">
        <v>4456</v>
      </c>
      <c r="BH207" s="2">
        <v>4363</v>
      </c>
      <c r="BI207" s="2">
        <v>4543</v>
      </c>
      <c r="BJ207" s="2">
        <v>4571</v>
      </c>
      <c r="BK207" s="2">
        <v>4620</v>
      </c>
      <c r="BL207" s="2">
        <v>4638</v>
      </c>
      <c r="BM207" s="1">
        <v>4640</v>
      </c>
      <c r="BN207" s="1">
        <v>4823</v>
      </c>
      <c r="BO207" s="1">
        <v>4733</v>
      </c>
      <c r="BP207" s="1">
        <v>4810</v>
      </c>
      <c r="BQ207" s="1">
        <v>4770</v>
      </c>
      <c r="BR207" s="1">
        <v>4532</v>
      </c>
      <c r="BS207" s="1">
        <v>4570</v>
      </c>
      <c r="BT207" s="1">
        <v>4593</v>
      </c>
      <c r="BU207" s="1">
        <v>4511</v>
      </c>
      <c r="BV207" s="1">
        <v>4607</v>
      </c>
      <c r="BW207" s="1">
        <v>4735</v>
      </c>
      <c r="BX207" s="1">
        <v>4815</v>
      </c>
      <c r="BY207" s="1">
        <v>4834</v>
      </c>
      <c r="BZ207" s="1">
        <v>4819</v>
      </c>
    </row>
    <row r="208" spans="1:78">
      <c r="A208" s="62" t="s">
        <v>408</v>
      </c>
      <c r="B208" s="1" t="s">
        <v>409</v>
      </c>
      <c r="C208" s="54">
        <f>_xll.RssMarket("1812","高値")</f>
        <v>5454</v>
      </c>
      <c r="D208" s="16">
        <f t="shared" si="6"/>
        <v>107</v>
      </c>
      <c r="E208" s="2">
        <v>5347</v>
      </c>
      <c r="F208" s="2">
        <v>5354</v>
      </c>
      <c r="G208" s="2">
        <v>5508</v>
      </c>
      <c r="H208" s="2">
        <v>5521</v>
      </c>
      <c r="I208" s="2">
        <v>5599</v>
      </c>
      <c r="J208" s="2">
        <v>5592</v>
      </c>
      <c r="K208" s="2">
        <v>5682</v>
      </c>
      <c r="L208" s="2">
        <v>5627</v>
      </c>
      <c r="M208" s="2">
        <v>5672</v>
      </c>
      <c r="N208" s="2">
        <v>5696</v>
      </c>
      <c r="O208" s="2">
        <v>5638</v>
      </c>
      <c r="P208" s="2">
        <v>5631</v>
      </c>
      <c r="Q208" s="2">
        <v>5726</v>
      </c>
      <c r="R208" s="2">
        <v>5639</v>
      </c>
      <c r="S208" s="2">
        <v>5794</v>
      </c>
      <c r="T208" s="2">
        <v>5880</v>
      </c>
      <c r="U208" s="2">
        <v>5849</v>
      </c>
      <c r="V208" s="2">
        <v>6033</v>
      </c>
      <c r="W208" s="2">
        <v>6291</v>
      </c>
      <c r="X208" s="2">
        <v>6339</v>
      </c>
      <c r="Y208" s="2">
        <v>6213</v>
      </c>
      <c r="Z208" s="2">
        <v>6070</v>
      </c>
      <c r="AA208" s="2">
        <v>6170</v>
      </c>
      <c r="AB208" s="2">
        <v>5941</v>
      </c>
      <c r="AC208" s="2">
        <v>5932</v>
      </c>
      <c r="AD208" s="2">
        <v>5803</v>
      </c>
      <c r="AE208" s="2">
        <v>5801</v>
      </c>
      <c r="AF208" s="2">
        <v>5753</v>
      </c>
      <c r="AG208" s="2">
        <v>6075</v>
      </c>
      <c r="AH208" s="2">
        <v>6030</v>
      </c>
      <c r="AI208" s="2">
        <v>6069</v>
      </c>
      <c r="AJ208" s="2">
        <v>6094</v>
      </c>
      <c r="AK208" s="2">
        <v>6044</v>
      </c>
      <c r="AL208" s="2">
        <v>6138</v>
      </c>
      <c r="AM208" s="2">
        <v>6163</v>
      </c>
      <c r="AN208" s="2">
        <v>5634</v>
      </c>
      <c r="AO208" s="2">
        <v>5502</v>
      </c>
      <c r="AP208" s="2">
        <v>5578</v>
      </c>
      <c r="AQ208" s="2">
        <v>5551</v>
      </c>
      <c r="AR208" s="2">
        <v>5566</v>
      </c>
      <c r="AS208" s="2">
        <v>5551</v>
      </c>
      <c r="AT208" s="2">
        <v>5599</v>
      </c>
      <c r="AU208" s="2">
        <v>5550</v>
      </c>
      <c r="AV208" s="2">
        <v>5953</v>
      </c>
      <c r="AW208" s="2">
        <v>5903</v>
      </c>
      <c r="AX208" s="2">
        <v>6074</v>
      </c>
      <c r="AY208" s="2">
        <v>5740</v>
      </c>
      <c r="AZ208" s="2">
        <v>5591</v>
      </c>
      <c r="BA208" s="2">
        <v>5695</v>
      </c>
      <c r="BB208" s="2">
        <v>5766</v>
      </c>
      <c r="BC208" s="2">
        <v>5952</v>
      </c>
      <c r="BD208" s="2">
        <v>5843</v>
      </c>
      <c r="BE208" s="2">
        <v>6264</v>
      </c>
      <c r="BF208" s="2">
        <v>6536</v>
      </c>
      <c r="BG208" s="2">
        <v>6751</v>
      </c>
      <c r="BH208" s="2">
        <v>6599</v>
      </c>
      <c r="BI208" s="2">
        <v>6279</v>
      </c>
      <c r="BJ208" s="2">
        <v>6269</v>
      </c>
      <c r="BK208" s="2">
        <v>6314</v>
      </c>
      <c r="BL208" s="2">
        <v>6243</v>
      </c>
      <c r="BM208" s="1">
        <v>6429</v>
      </c>
      <c r="BN208" s="1">
        <v>6499</v>
      </c>
      <c r="BO208" s="1">
        <v>6011</v>
      </c>
      <c r="BP208" s="1">
        <v>5980</v>
      </c>
      <c r="BQ208" s="1">
        <v>5998</v>
      </c>
      <c r="BR208" s="1">
        <v>5987</v>
      </c>
      <c r="BS208" s="1">
        <v>6120</v>
      </c>
      <c r="BT208" s="1">
        <v>6092</v>
      </c>
      <c r="BU208" s="1">
        <v>6134</v>
      </c>
      <c r="BV208" s="1">
        <v>6203</v>
      </c>
      <c r="BW208" s="1">
        <v>6320</v>
      </c>
      <c r="BX208" s="1">
        <v>6238</v>
      </c>
      <c r="BY208" s="1">
        <v>6266</v>
      </c>
      <c r="BZ208" s="1">
        <v>6318</v>
      </c>
    </row>
    <row r="209" spans="1:78">
      <c r="A209" s="62" t="s">
        <v>410</v>
      </c>
      <c r="B209" s="1" t="str">
        <f>銘柄管理!C209</f>
        <v>キーエンス</v>
      </c>
      <c r="C209" s="54">
        <f>_xll.RssMarket("6861","高値")</f>
        <v>87140</v>
      </c>
      <c r="D209" s="16"/>
      <c r="E209" s="2">
        <v>83440</v>
      </c>
      <c r="F209" s="2">
        <v>81820</v>
      </c>
      <c r="G209" s="2">
        <v>83520</v>
      </c>
      <c r="H209" s="2">
        <v>80320</v>
      </c>
      <c r="I209" s="2">
        <v>81890</v>
      </c>
      <c r="J209" s="2">
        <v>72600</v>
      </c>
      <c r="K209" s="2">
        <v>74170</v>
      </c>
      <c r="L209" s="2">
        <v>72100</v>
      </c>
      <c r="M209" s="2">
        <v>73170</v>
      </c>
      <c r="N209" s="2">
        <v>73830</v>
      </c>
      <c r="O209" s="2">
        <v>72590</v>
      </c>
      <c r="P209" s="2">
        <v>72450</v>
      </c>
      <c r="Q209" s="2">
        <v>76780</v>
      </c>
      <c r="R209" s="2">
        <v>76700</v>
      </c>
      <c r="S209" s="2">
        <v>77460</v>
      </c>
      <c r="T209" s="2">
        <v>77480</v>
      </c>
      <c r="U209" s="2">
        <v>76190</v>
      </c>
      <c r="V209" s="2">
        <v>77320</v>
      </c>
      <c r="W209" s="2">
        <v>80550</v>
      </c>
      <c r="X209" s="2">
        <v>82030</v>
      </c>
      <c r="Y209" s="2">
        <v>80390</v>
      </c>
      <c r="Z209" s="2">
        <v>82080</v>
      </c>
      <c r="AA209" s="2">
        <v>82400</v>
      </c>
      <c r="AB209" s="2">
        <v>82320</v>
      </c>
      <c r="AC209" s="2">
        <v>78200</v>
      </c>
      <c r="AD209" s="2">
        <v>77640</v>
      </c>
      <c r="AE209" s="2">
        <v>78690</v>
      </c>
      <c r="AF209" s="2">
        <v>77000</v>
      </c>
      <c r="AG209" s="2">
        <v>78160</v>
      </c>
      <c r="AH209" s="2">
        <v>78890</v>
      </c>
      <c r="AI209" s="2">
        <v>77700</v>
      </c>
      <c r="AJ209" s="2">
        <v>77820</v>
      </c>
      <c r="AK209" s="2">
        <v>76250</v>
      </c>
      <c r="AL209" s="2">
        <v>76090</v>
      </c>
      <c r="AM209" s="2">
        <v>76740</v>
      </c>
      <c r="AN209" s="2">
        <v>73460</v>
      </c>
      <c r="AO209" s="2">
        <v>71660</v>
      </c>
      <c r="AP209" s="2">
        <v>73890</v>
      </c>
      <c r="AQ209" s="2">
        <v>75030</v>
      </c>
      <c r="AR209" s="2">
        <v>78800</v>
      </c>
      <c r="AS209" s="2">
        <v>80870</v>
      </c>
      <c r="AT209" s="2">
        <v>81100</v>
      </c>
      <c r="AU209" s="2">
        <v>79400</v>
      </c>
      <c r="AV209" s="2">
        <v>81380</v>
      </c>
      <c r="AW209" s="2">
        <v>77000</v>
      </c>
      <c r="AX209" s="2">
        <v>77330</v>
      </c>
      <c r="AY209" s="2">
        <v>79740</v>
      </c>
      <c r="AZ209" s="2">
        <v>80220</v>
      </c>
      <c r="BA209" s="2">
        <v>77840</v>
      </c>
      <c r="BB209" s="2">
        <v>75410</v>
      </c>
      <c r="BC209" s="2">
        <v>76670</v>
      </c>
      <c r="BD209" s="2">
        <v>77190</v>
      </c>
      <c r="BE209" s="2">
        <v>78840</v>
      </c>
      <c r="BF209" s="2">
        <v>79680</v>
      </c>
      <c r="BG209" s="2">
        <v>79830</v>
      </c>
      <c r="BH209" s="2">
        <v>83000</v>
      </c>
      <c r="BI209" s="2">
        <v>83460</v>
      </c>
      <c r="BJ209" s="2">
        <v>84170</v>
      </c>
      <c r="BK209" s="2">
        <v>81720</v>
      </c>
      <c r="BL209" s="2">
        <v>76790</v>
      </c>
      <c r="BM209" s="1">
        <v>73980</v>
      </c>
      <c r="BN209" s="1">
        <v>76100</v>
      </c>
      <c r="BO209" s="1">
        <v>73180</v>
      </c>
      <c r="BP209" s="1">
        <v>64190</v>
      </c>
      <c r="BQ209" s="1">
        <v>64700</v>
      </c>
      <c r="BR209" s="1">
        <v>64340</v>
      </c>
      <c r="BS209" s="1">
        <v>64600</v>
      </c>
      <c r="BT209" s="1">
        <v>64360</v>
      </c>
      <c r="BU209" s="1">
        <v>64150</v>
      </c>
      <c r="BV209" s="1">
        <v>63660</v>
      </c>
      <c r="BW209" s="1">
        <v>62940</v>
      </c>
      <c r="BX209" s="1">
        <v>64100</v>
      </c>
      <c r="BY209" s="1">
        <v>63760</v>
      </c>
      <c r="BZ209" s="1">
        <v>62500</v>
      </c>
    </row>
    <row r="210" spans="1:78">
      <c r="A210" s="62" t="s">
        <v>411</v>
      </c>
      <c r="B210" s="1" t="s">
        <v>412</v>
      </c>
      <c r="C210" s="54">
        <f>_xll.RssMarket("6324","高値")</f>
        <v>7430</v>
      </c>
      <c r="D210" s="16">
        <f t="shared" ref="D210:D221" si="7">C210-E210</f>
        <v>480</v>
      </c>
      <c r="E210" s="2">
        <v>6950</v>
      </c>
      <c r="F210" s="2">
        <v>6390</v>
      </c>
      <c r="G210" s="2">
        <v>6300</v>
      </c>
      <c r="H210" s="2">
        <v>5810</v>
      </c>
      <c r="I210" s="2">
        <v>5930</v>
      </c>
      <c r="J210" s="2">
        <v>6270</v>
      </c>
      <c r="K210" s="2">
        <v>6820</v>
      </c>
      <c r="L210" s="2">
        <v>6840</v>
      </c>
      <c r="M210" s="2">
        <v>7130</v>
      </c>
      <c r="N210" s="2">
        <v>7180</v>
      </c>
      <c r="O210" s="2">
        <v>6630</v>
      </c>
      <c r="P210" s="2">
        <v>6910</v>
      </c>
      <c r="Q210" s="2">
        <v>7680</v>
      </c>
      <c r="R210" s="2">
        <v>7550</v>
      </c>
      <c r="S210" s="2">
        <v>8070</v>
      </c>
      <c r="T210" s="2">
        <v>8200</v>
      </c>
      <c r="U210" s="2">
        <v>7930</v>
      </c>
      <c r="V210" s="2">
        <v>8090</v>
      </c>
      <c r="W210" s="2">
        <v>8730</v>
      </c>
      <c r="X210" s="2">
        <v>9150</v>
      </c>
      <c r="Y210" s="2">
        <v>8840</v>
      </c>
      <c r="Z210" s="2">
        <v>8470</v>
      </c>
      <c r="AA210" s="2">
        <v>8080</v>
      </c>
      <c r="AB210" s="2">
        <v>7970</v>
      </c>
      <c r="AC210" s="2">
        <v>7130</v>
      </c>
      <c r="AD210" s="2">
        <v>7910</v>
      </c>
      <c r="AE210" s="2">
        <v>8050</v>
      </c>
      <c r="AF210" s="2">
        <v>8070</v>
      </c>
      <c r="AG210" s="2">
        <v>8750</v>
      </c>
      <c r="AH210" s="2">
        <v>8870</v>
      </c>
      <c r="AI210" s="2">
        <v>7980</v>
      </c>
      <c r="AJ210" s="2">
        <v>8240</v>
      </c>
      <c r="AK210" s="2">
        <v>7890</v>
      </c>
      <c r="AL210" s="2">
        <v>7160</v>
      </c>
      <c r="AM210" s="2">
        <v>6920</v>
      </c>
      <c r="AN210" s="2">
        <v>6890</v>
      </c>
      <c r="AO210" s="2">
        <v>6300</v>
      </c>
      <c r="AP210" s="2">
        <v>6750</v>
      </c>
      <c r="AQ210" s="2">
        <v>7440</v>
      </c>
      <c r="AR210" s="2">
        <v>7220</v>
      </c>
      <c r="AS210" s="2">
        <v>7450</v>
      </c>
      <c r="AT210" s="2">
        <v>7720</v>
      </c>
      <c r="AU210" s="2">
        <v>7560</v>
      </c>
      <c r="AV210" s="2">
        <v>7970</v>
      </c>
      <c r="AW210" s="2">
        <v>7870</v>
      </c>
      <c r="AX210" s="2">
        <v>8400</v>
      </c>
      <c r="AY210" s="2">
        <v>7850</v>
      </c>
      <c r="AZ210" s="2">
        <v>7180</v>
      </c>
      <c r="BA210" s="2">
        <v>6590</v>
      </c>
      <c r="BB210" s="2">
        <v>6050</v>
      </c>
      <c r="BC210" s="2">
        <v>6720</v>
      </c>
      <c r="BD210" s="2">
        <v>7070</v>
      </c>
      <c r="BE210" s="2">
        <v>7380</v>
      </c>
      <c r="BF210" s="2">
        <v>7230</v>
      </c>
      <c r="BG210" s="2">
        <v>7060</v>
      </c>
      <c r="BH210" s="2">
        <v>6750</v>
      </c>
      <c r="BI210" s="2">
        <v>6560</v>
      </c>
      <c r="BJ210" s="2">
        <v>6280</v>
      </c>
      <c r="BK210" s="2">
        <v>5750</v>
      </c>
      <c r="BL210" s="2">
        <v>5290</v>
      </c>
      <c r="BM210" s="1">
        <v>5310</v>
      </c>
      <c r="BN210" s="1">
        <v>4930</v>
      </c>
      <c r="BO210" s="1">
        <v>4895</v>
      </c>
      <c r="BP210" s="1">
        <v>4330</v>
      </c>
      <c r="BQ210" s="1">
        <v>4465</v>
      </c>
      <c r="BR210" s="1">
        <v>4425</v>
      </c>
      <c r="BS210" s="1">
        <v>4710</v>
      </c>
      <c r="BT210" s="1">
        <v>4675</v>
      </c>
      <c r="BU210" s="1">
        <v>4585</v>
      </c>
      <c r="BV210" s="1">
        <v>4815</v>
      </c>
      <c r="BW210" s="1">
        <v>4405</v>
      </c>
      <c r="BX210" s="1">
        <v>4255</v>
      </c>
      <c r="BY210" s="1">
        <v>4225</v>
      </c>
      <c r="BZ210" s="1">
        <v>4040</v>
      </c>
    </row>
    <row r="211" spans="1:78">
      <c r="A211" s="62" t="s">
        <v>413</v>
      </c>
      <c r="B211" s="1" t="s">
        <v>414</v>
      </c>
      <c r="C211" s="54">
        <f>_xll.RssMarket("6273","高値")</f>
        <v>75900</v>
      </c>
      <c r="D211" s="16">
        <f t="shared" si="7"/>
        <v>2010</v>
      </c>
      <c r="E211" s="2">
        <v>73890</v>
      </c>
      <c r="F211" s="2">
        <v>71390</v>
      </c>
      <c r="G211" s="2">
        <v>71550</v>
      </c>
      <c r="H211" s="2">
        <v>66920</v>
      </c>
      <c r="I211" s="2">
        <v>67620</v>
      </c>
      <c r="J211" s="2">
        <v>69280</v>
      </c>
      <c r="K211" s="2">
        <v>72360</v>
      </c>
      <c r="L211" s="2">
        <v>72410</v>
      </c>
      <c r="M211" s="2">
        <v>73400</v>
      </c>
      <c r="N211" s="2">
        <v>73030</v>
      </c>
      <c r="O211" s="2">
        <v>70680</v>
      </c>
      <c r="P211" s="2">
        <v>72880</v>
      </c>
      <c r="Q211" s="2">
        <v>75200</v>
      </c>
      <c r="R211" s="2">
        <v>72950</v>
      </c>
      <c r="S211" s="2">
        <v>76500</v>
      </c>
      <c r="T211" s="2">
        <v>76440</v>
      </c>
      <c r="U211" s="2">
        <v>72500</v>
      </c>
      <c r="V211" s="2">
        <v>72330</v>
      </c>
      <c r="W211" s="2">
        <v>76360</v>
      </c>
      <c r="X211" s="2">
        <v>77260</v>
      </c>
      <c r="Y211" s="2">
        <v>76280</v>
      </c>
      <c r="Z211" s="2">
        <v>73870</v>
      </c>
      <c r="AA211" s="2">
        <v>75690</v>
      </c>
      <c r="AB211" s="2">
        <v>72500</v>
      </c>
      <c r="AC211" s="2">
        <v>71780</v>
      </c>
      <c r="AD211" s="2">
        <v>73460</v>
      </c>
      <c r="AE211" s="2">
        <v>73490</v>
      </c>
      <c r="AF211" s="2">
        <v>71290</v>
      </c>
      <c r="AG211" s="2">
        <v>74550</v>
      </c>
      <c r="AH211" s="2">
        <v>74980</v>
      </c>
      <c r="AI211" s="2">
        <v>74660</v>
      </c>
      <c r="AJ211" s="2">
        <v>73580</v>
      </c>
      <c r="AK211" s="2">
        <v>72760</v>
      </c>
      <c r="AL211" s="2">
        <v>70480</v>
      </c>
      <c r="AM211" s="2">
        <v>70430</v>
      </c>
      <c r="AN211" s="2">
        <v>67040</v>
      </c>
      <c r="AO211" s="2">
        <v>62270</v>
      </c>
      <c r="AP211" s="2">
        <v>61840</v>
      </c>
      <c r="AQ211" s="2">
        <v>62820</v>
      </c>
      <c r="AR211" s="2">
        <v>65540</v>
      </c>
      <c r="AS211" s="2">
        <v>66000</v>
      </c>
      <c r="AT211" s="2">
        <v>66210</v>
      </c>
      <c r="AU211" s="2">
        <v>65960</v>
      </c>
      <c r="AV211" s="2">
        <v>70050</v>
      </c>
      <c r="AW211" s="2">
        <v>69390</v>
      </c>
      <c r="AX211" s="2">
        <v>68860</v>
      </c>
      <c r="AY211" s="2">
        <v>67120</v>
      </c>
      <c r="AZ211" s="2">
        <v>66590</v>
      </c>
      <c r="BA211" s="2">
        <v>66140</v>
      </c>
      <c r="BB211" s="2">
        <v>65620</v>
      </c>
      <c r="BC211" s="2">
        <v>68310</v>
      </c>
      <c r="BD211" s="2">
        <v>68000</v>
      </c>
      <c r="BE211" s="2">
        <v>74660</v>
      </c>
      <c r="BF211" s="2">
        <v>86800</v>
      </c>
      <c r="BG211" s="2">
        <v>84880</v>
      </c>
      <c r="BH211" s="2">
        <v>85140</v>
      </c>
      <c r="BI211" s="2">
        <v>84580</v>
      </c>
      <c r="BJ211" s="2">
        <v>82860</v>
      </c>
      <c r="BK211" s="2">
        <v>79790</v>
      </c>
      <c r="BL211" s="2">
        <v>77580</v>
      </c>
      <c r="BM211" s="1">
        <v>78670</v>
      </c>
      <c r="BN211" s="1">
        <v>78530</v>
      </c>
      <c r="BO211" s="1">
        <v>78160</v>
      </c>
      <c r="BP211" s="1">
        <v>70920</v>
      </c>
      <c r="BQ211" s="1">
        <v>72240</v>
      </c>
      <c r="BR211" s="1">
        <v>71700</v>
      </c>
      <c r="BS211" s="1">
        <v>72180</v>
      </c>
      <c r="BT211" s="1">
        <v>71770</v>
      </c>
      <c r="BU211" s="1">
        <v>71940</v>
      </c>
      <c r="BV211" s="1">
        <v>72990</v>
      </c>
      <c r="BW211" s="1">
        <v>72520</v>
      </c>
      <c r="BX211" s="1">
        <v>73150</v>
      </c>
      <c r="BY211" s="1">
        <v>72200</v>
      </c>
      <c r="BZ211" s="1">
        <v>70500</v>
      </c>
    </row>
    <row r="212" spans="1:78">
      <c r="A212" s="62" t="s">
        <v>415</v>
      </c>
      <c r="B212" s="1" t="s">
        <v>416</v>
      </c>
      <c r="C212" s="54">
        <f>_xll.RssMarket("4502","高値")</f>
        <v>5284</v>
      </c>
      <c r="D212" s="16">
        <f t="shared" si="7"/>
        <v>-48</v>
      </c>
      <c r="E212" s="2">
        <v>5332</v>
      </c>
      <c r="F212" s="2">
        <v>5435</v>
      </c>
      <c r="G212" s="2">
        <v>5578</v>
      </c>
      <c r="H212" s="2">
        <v>5820</v>
      </c>
      <c r="I212" s="2">
        <v>5903</v>
      </c>
      <c r="J212" s="2">
        <v>5784</v>
      </c>
      <c r="K212" s="2">
        <v>5796</v>
      </c>
      <c r="L212" s="2">
        <v>5648</v>
      </c>
      <c r="M212" s="2">
        <v>5560</v>
      </c>
      <c r="N212" s="2">
        <v>5589</v>
      </c>
      <c r="O212" s="2">
        <v>5621</v>
      </c>
      <c r="P212" s="2">
        <v>5496</v>
      </c>
      <c r="Q212" s="2">
        <v>5325</v>
      </c>
      <c r="R212" s="2">
        <v>5395</v>
      </c>
      <c r="S212" s="2">
        <v>5374</v>
      </c>
      <c r="T212" s="2">
        <v>5397</v>
      </c>
      <c r="U212" s="2">
        <v>5449</v>
      </c>
      <c r="V212" s="2">
        <v>5527</v>
      </c>
      <c r="W212" s="2">
        <v>5480</v>
      </c>
      <c r="X212" s="2">
        <v>5517</v>
      </c>
      <c r="Y212" s="2">
        <v>5515</v>
      </c>
      <c r="Z212" s="2">
        <v>5275</v>
      </c>
      <c r="AA212" s="2">
        <v>5175</v>
      </c>
      <c r="AB212" s="2">
        <v>5205</v>
      </c>
      <c r="AC212" s="2">
        <v>5200</v>
      </c>
      <c r="AD212" s="2">
        <v>5120</v>
      </c>
      <c r="AE212" s="2">
        <v>5100</v>
      </c>
      <c r="AF212" s="2">
        <v>5128</v>
      </c>
      <c r="AG212" s="2">
        <v>5047</v>
      </c>
      <c r="AH212" s="2">
        <v>4975</v>
      </c>
      <c r="AI212" s="2">
        <v>4970</v>
      </c>
      <c r="AJ212" s="2">
        <v>5038</v>
      </c>
      <c r="AK212" s="2">
        <v>5037</v>
      </c>
      <c r="AL212" s="2">
        <v>5045</v>
      </c>
      <c r="AM212" s="2">
        <v>5158</v>
      </c>
      <c r="AN212" s="2">
        <v>5100</v>
      </c>
      <c r="AO212" s="2">
        <v>5062</v>
      </c>
      <c r="AP212" s="2">
        <v>5086</v>
      </c>
      <c r="AQ212" s="2">
        <v>5050</v>
      </c>
      <c r="AR212" s="2">
        <v>4977</v>
      </c>
      <c r="AS212" s="2">
        <v>4880</v>
      </c>
      <c r="AT212" s="2">
        <v>4809</v>
      </c>
      <c r="AU212" s="2">
        <v>4905</v>
      </c>
      <c r="AV212" s="2">
        <v>5146</v>
      </c>
      <c r="AW212" s="2">
        <v>5182</v>
      </c>
      <c r="AX212" s="2">
        <v>5130</v>
      </c>
      <c r="AY212" s="2">
        <v>5166</v>
      </c>
      <c r="AZ212" s="2">
        <v>5206</v>
      </c>
      <c r="BA212" s="2">
        <v>5320</v>
      </c>
      <c r="BB212" s="2">
        <v>5362</v>
      </c>
      <c r="BC212" s="2">
        <v>5352</v>
      </c>
      <c r="BD212" s="2">
        <v>5309</v>
      </c>
      <c r="BE212" s="2">
        <v>5327</v>
      </c>
      <c r="BF212" s="2">
        <v>5288</v>
      </c>
      <c r="BG212" s="2">
        <v>5234</v>
      </c>
      <c r="BH212" s="2">
        <v>5196</v>
      </c>
      <c r="BI212" s="2">
        <v>5222</v>
      </c>
      <c r="BJ212" s="2">
        <v>5339</v>
      </c>
      <c r="BK212" s="2">
        <v>5338</v>
      </c>
      <c r="BL212" s="2">
        <v>5260</v>
      </c>
      <c r="BM212" s="1">
        <v>5270</v>
      </c>
      <c r="BN212" s="1">
        <v>5295</v>
      </c>
      <c r="BO212" s="1">
        <v>5269</v>
      </c>
      <c r="BP212" s="1">
        <v>5378</v>
      </c>
      <c r="BQ212" s="1">
        <v>5336</v>
      </c>
      <c r="BR212" s="1">
        <v>5494</v>
      </c>
      <c r="BS212" s="1">
        <v>5555</v>
      </c>
      <c r="BT212" s="1">
        <v>5626</v>
      </c>
      <c r="BU212" s="1">
        <v>5660</v>
      </c>
      <c r="BV212" s="1">
        <v>5716</v>
      </c>
      <c r="BW212" s="1">
        <v>5667</v>
      </c>
      <c r="BX212" s="1">
        <v>5685</v>
      </c>
      <c r="BY212" s="1">
        <v>5757</v>
      </c>
      <c r="BZ212" s="1">
        <v>5774</v>
      </c>
    </row>
    <row r="213" spans="1:78">
      <c r="A213" s="62" t="s">
        <v>417</v>
      </c>
      <c r="B213" s="1" t="s">
        <v>418</v>
      </c>
      <c r="C213" s="54">
        <f>_xll.RssMarket("4004","高値")</f>
        <v>16260</v>
      </c>
      <c r="D213" s="16">
        <f t="shared" si="7"/>
        <v>1470</v>
      </c>
      <c r="E213" s="2">
        <v>14790</v>
      </c>
      <c r="F213" s="2">
        <v>14320</v>
      </c>
      <c r="G213" s="2">
        <v>14540</v>
      </c>
      <c r="H213" s="2">
        <v>12600</v>
      </c>
      <c r="I213" s="2">
        <v>13005</v>
      </c>
      <c r="J213" s="2">
        <v>13225</v>
      </c>
      <c r="K213" s="2">
        <v>14490</v>
      </c>
      <c r="L213" s="2">
        <v>15265</v>
      </c>
      <c r="M213" s="2">
        <v>15965</v>
      </c>
      <c r="N213" s="2">
        <v>16100</v>
      </c>
      <c r="O213" s="2">
        <v>14670</v>
      </c>
      <c r="P213" s="2">
        <v>14480</v>
      </c>
      <c r="Q213" s="2">
        <v>16165</v>
      </c>
      <c r="R213" s="2">
        <v>15555</v>
      </c>
      <c r="S213" s="2">
        <v>16620</v>
      </c>
      <c r="T213" s="2">
        <v>16435</v>
      </c>
      <c r="U213" s="2">
        <v>16160</v>
      </c>
      <c r="V213" s="2">
        <v>16100</v>
      </c>
      <c r="W213" s="2">
        <v>16980</v>
      </c>
      <c r="X213" s="2">
        <v>17680</v>
      </c>
      <c r="Y213" s="2">
        <v>17615</v>
      </c>
      <c r="Z213" s="2">
        <v>18345</v>
      </c>
      <c r="AA213" s="2">
        <v>18850</v>
      </c>
      <c r="AB213" s="2">
        <v>18000</v>
      </c>
      <c r="AC213" s="2">
        <v>17865</v>
      </c>
      <c r="AD213" s="2">
        <v>18060</v>
      </c>
      <c r="AE213" s="2">
        <v>18735</v>
      </c>
      <c r="AF213" s="2">
        <v>18320</v>
      </c>
      <c r="AG213" s="2">
        <v>19825</v>
      </c>
      <c r="AH213" s="2">
        <v>19585</v>
      </c>
      <c r="AI213" s="2">
        <v>19840</v>
      </c>
      <c r="AJ213" s="2">
        <v>19285</v>
      </c>
      <c r="AK213" s="2">
        <v>18535</v>
      </c>
      <c r="AL213" s="2">
        <v>18730</v>
      </c>
      <c r="AM213" s="2">
        <v>18665</v>
      </c>
      <c r="AN213" s="2">
        <v>17790</v>
      </c>
      <c r="AO213" s="2">
        <v>16430</v>
      </c>
      <c r="AP213" s="2">
        <v>16660</v>
      </c>
      <c r="AQ213" s="2">
        <v>16415</v>
      </c>
      <c r="AR213" s="2">
        <v>17670</v>
      </c>
      <c r="AS213" s="2">
        <v>18735</v>
      </c>
      <c r="AT213" s="2">
        <v>19450</v>
      </c>
      <c r="AU213" s="2">
        <v>18620</v>
      </c>
      <c r="AV213" s="2">
        <v>18980</v>
      </c>
      <c r="AW213" s="2">
        <v>19150</v>
      </c>
      <c r="AX213" s="2">
        <v>19945</v>
      </c>
      <c r="AY213" s="2">
        <v>20195</v>
      </c>
      <c r="AZ213" s="2">
        <v>18310</v>
      </c>
      <c r="BA213" s="2">
        <v>17485</v>
      </c>
      <c r="BB213" s="2">
        <v>16630</v>
      </c>
      <c r="BC213" s="2">
        <v>16890</v>
      </c>
      <c r="BD213" s="2">
        <v>17600</v>
      </c>
      <c r="BE213" s="2">
        <v>19000</v>
      </c>
      <c r="BF213" s="2">
        <v>20495</v>
      </c>
      <c r="BG213" s="2">
        <v>18150</v>
      </c>
      <c r="BH213" s="2">
        <v>17925</v>
      </c>
      <c r="BI213" s="2">
        <v>16935</v>
      </c>
      <c r="BJ213" s="2">
        <v>16085</v>
      </c>
      <c r="BK213" s="2">
        <v>15700</v>
      </c>
      <c r="BL213" s="2">
        <v>14410</v>
      </c>
      <c r="BM213" s="1">
        <v>14335</v>
      </c>
      <c r="BN213" s="1">
        <v>14155</v>
      </c>
      <c r="BO213" s="1">
        <v>14160</v>
      </c>
      <c r="BP213" s="1">
        <v>14550</v>
      </c>
      <c r="BQ213" s="1">
        <v>14520</v>
      </c>
      <c r="BR213" s="1">
        <v>14530</v>
      </c>
      <c r="BS213" s="1">
        <v>13545</v>
      </c>
      <c r="BT213" s="1">
        <v>12785</v>
      </c>
      <c r="BU213" s="1">
        <v>13075</v>
      </c>
      <c r="BV213" s="1">
        <v>13315</v>
      </c>
      <c r="BW213" s="1">
        <v>13710</v>
      </c>
      <c r="BX213" s="1">
        <v>13760</v>
      </c>
      <c r="BY213" s="1">
        <v>13310</v>
      </c>
      <c r="BZ213" s="1">
        <v>13830</v>
      </c>
    </row>
    <row r="214" spans="1:78">
      <c r="A214" s="62" t="s">
        <v>419</v>
      </c>
      <c r="B214" s="1" t="s">
        <v>420</v>
      </c>
      <c r="C214" s="54">
        <f>_xll.RssMarket("9519","高値")</f>
        <v>940</v>
      </c>
      <c r="D214" s="16">
        <f t="shared" si="7"/>
        <v>3</v>
      </c>
      <c r="E214" s="2">
        <v>937</v>
      </c>
      <c r="F214" s="2">
        <v>920</v>
      </c>
      <c r="G214" s="2">
        <v>949</v>
      </c>
      <c r="H214" s="2">
        <v>950</v>
      </c>
      <c r="I214" s="2">
        <v>998</v>
      </c>
      <c r="J214" s="2">
        <v>1035</v>
      </c>
      <c r="K214" s="2">
        <v>1039</v>
      </c>
      <c r="L214" s="2">
        <v>1011</v>
      </c>
      <c r="M214" s="2">
        <v>996</v>
      </c>
      <c r="N214" s="2">
        <v>1001</v>
      </c>
      <c r="O214" s="2">
        <v>994</v>
      </c>
      <c r="P214" s="2">
        <v>1027</v>
      </c>
      <c r="Q214" s="2">
        <v>1046</v>
      </c>
      <c r="R214" s="2">
        <v>971</v>
      </c>
      <c r="S214" s="2">
        <v>959</v>
      </c>
      <c r="T214" s="2">
        <v>942</v>
      </c>
      <c r="U214" s="2">
        <v>950</v>
      </c>
      <c r="V214" s="2">
        <v>969</v>
      </c>
      <c r="W214" s="2">
        <v>995</v>
      </c>
      <c r="X214" s="2">
        <v>1024</v>
      </c>
      <c r="Y214" s="2">
        <v>1003</v>
      </c>
      <c r="Z214" s="2">
        <v>1006</v>
      </c>
      <c r="AA214" s="2">
        <v>985</v>
      </c>
      <c r="AB214" s="2">
        <v>1025</v>
      </c>
      <c r="AC214" s="2">
        <v>988</v>
      </c>
      <c r="AD214" s="2">
        <v>924</v>
      </c>
      <c r="AE214" s="2">
        <v>934</v>
      </c>
      <c r="AF214" s="2">
        <v>957</v>
      </c>
      <c r="AG214" s="2">
        <v>946</v>
      </c>
      <c r="AH214" s="2">
        <v>890</v>
      </c>
      <c r="AI214" s="2">
        <v>841</v>
      </c>
      <c r="AJ214" s="2">
        <v>890</v>
      </c>
      <c r="AK214" s="2">
        <v>893</v>
      </c>
      <c r="AL214" s="2">
        <v>916</v>
      </c>
      <c r="AM214" s="2">
        <v>918</v>
      </c>
      <c r="AN214" s="2">
        <v>915</v>
      </c>
      <c r="AO214" s="2">
        <v>911</v>
      </c>
      <c r="AP214" s="2">
        <v>933</v>
      </c>
      <c r="AQ214" s="2">
        <v>1030</v>
      </c>
      <c r="AR214" s="2">
        <v>1043</v>
      </c>
      <c r="AS214" s="2">
        <v>1009</v>
      </c>
      <c r="AT214" s="2">
        <v>1090</v>
      </c>
      <c r="AU214" s="2">
        <v>1181</v>
      </c>
      <c r="AV214" s="2">
        <v>1346</v>
      </c>
      <c r="AW214" s="2">
        <v>1288</v>
      </c>
      <c r="AX214" s="2">
        <v>1318</v>
      </c>
      <c r="AY214" s="2">
        <v>1395</v>
      </c>
      <c r="AZ214" s="2">
        <v>1400</v>
      </c>
      <c r="BA214" s="2">
        <v>1338</v>
      </c>
      <c r="BB214" s="2">
        <v>1363</v>
      </c>
      <c r="BC214" s="2">
        <v>1388</v>
      </c>
      <c r="BD214" s="2">
        <v>1365</v>
      </c>
      <c r="BE214" s="2">
        <v>1365</v>
      </c>
      <c r="BF214" s="2">
        <v>1365</v>
      </c>
      <c r="BG214" s="2">
        <v>1234</v>
      </c>
      <c r="BH214" s="2">
        <v>1262</v>
      </c>
      <c r="BI214" s="2">
        <v>1245</v>
      </c>
      <c r="BJ214" s="2">
        <v>1187</v>
      </c>
      <c r="BK214" s="2">
        <v>1144</v>
      </c>
      <c r="BL214" s="2">
        <v>1150</v>
      </c>
      <c r="BM214" s="1">
        <v>1146</v>
      </c>
      <c r="BN214" s="1">
        <v>1134</v>
      </c>
      <c r="BO214" s="1">
        <v>1085</v>
      </c>
      <c r="BP214" s="1">
        <v>1073</v>
      </c>
      <c r="BQ214" s="1">
        <v>1006</v>
      </c>
      <c r="BR214" s="1">
        <v>985</v>
      </c>
      <c r="BS214" s="1">
        <v>1048</v>
      </c>
      <c r="BT214" s="1">
        <v>1060</v>
      </c>
      <c r="BU214" s="1">
        <v>1073</v>
      </c>
      <c r="BV214" s="1">
        <v>1120</v>
      </c>
      <c r="BW214" s="1">
        <v>1060</v>
      </c>
      <c r="BX214" s="1">
        <v>1023</v>
      </c>
      <c r="BY214" s="1">
        <v>1006</v>
      </c>
      <c r="BZ214" s="1">
        <v>1023</v>
      </c>
    </row>
    <row r="215" spans="1:78">
      <c r="A215" s="62" t="s">
        <v>421</v>
      </c>
      <c r="B215" s="1" t="s">
        <v>422</v>
      </c>
      <c r="C215" s="54">
        <f>_xll.RssMarket("6752","高値")</f>
        <v>4466</v>
      </c>
      <c r="D215" s="16">
        <f t="shared" si="7"/>
        <v>141</v>
      </c>
      <c r="E215" s="2">
        <v>4325</v>
      </c>
      <c r="F215" s="2">
        <v>4422</v>
      </c>
      <c r="G215" s="2">
        <v>4284</v>
      </c>
      <c r="H215" s="2">
        <v>3626</v>
      </c>
      <c r="I215" s="2">
        <v>3645</v>
      </c>
      <c r="J215" s="2">
        <v>3791</v>
      </c>
      <c r="K215" s="2">
        <v>3933</v>
      </c>
      <c r="L215" s="2">
        <v>3955</v>
      </c>
      <c r="M215" s="2">
        <v>4137</v>
      </c>
      <c r="N215" s="2">
        <v>4257</v>
      </c>
      <c r="O215" s="2">
        <v>4080</v>
      </c>
      <c r="P215" s="2">
        <v>4122</v>
      </c>
      <c r="Q215" s="2">
        <v>4318</v>
      </c>
      <c r="R215" s="2">
        <v>4305</v>
      </c>
      <c r="S215" s="2">
        <v>4685</v>
      </c>
      <c r="T215" s="2">
        <v>4602</v>
      </c>
      <c r="U215" s="2">
        <v>4587</v>
      </c>
      <c r="V215" s="2">
        <v>4458</v>
      </c>
      <c r="W215" s="2">
        <v>4587</v>
      </c>
      <c r="X215" s="2">
        <v>4659</v>
      </c>
      <c r="Y215" s="2">
        <v>4544</v>
      </c>
      <c r="Z215" s="2">
        <v>4666</v>
      </c>
      <c r="AA215" s="2">
        <v>4770</v>
      </c>
      <c r="AB215" s="2">
        <v>4630</v>
      </c>
      <c r="AC215" s="2">
        <v>4500</v>
      </c>
      <c r="AD215" s="2">
        <v>4693</v>
      </c>
      <c r="AE215" s="2">
        <v>4656</v>
      </c>
      <c r="AF215" s="2">
        <v>4581</v>
      </c>
      <c r="AG215" s="2">
        <v>4464</v>
      </c>
      <c r="AH215" s="2">
        <v>4510</v>
      </c>
      <c r="AI215" s="2">
        <v>4449</v>
      </c>
      <c r="AJ215" s="2">
        <v>4420</v>
      </c>
      <c r="AK215" s="2">
        <v>4272</v>
      </c>
      <c r="AL215" s="2">
        <v>4144</v>
      </c>
      <c r="AM215" s="2">
        <v>4039</v>
      </c>
      <c r="AN215" s="2">
        <v>3929</v>
      </c>
      <c r="AO215" s="2">
        <v>3799</v>
      </c>
      <c r="AP215" s="2">
        <v>3851</v>
      </c>
      <c r="AQ215" s="2">
        <v>3607</v>
      </c>
      <c r="AR215" s="2">
        <v>3805</v>
      </c>
      <c r="AS215" s="2">
        <v>3801</v>
      </c>
      <c r="AT215" s="2">
        <v>3994</v>
      </c>
      <c r="AU215" s="2">
        <v>3640</v>
      </c>
      <c r="AV215" s="2">
        <v>3774</v>
      </c>
      <c r="AW215" s="2">
        <v>3596</v>
      </c>
      <c r="AX215" s="2">
        <v>3702</v>
      </c>
      <c r="AY215" s="2">
        <v>3615</v>
      </c>
      <c r="AZ215" s="2">
        <v>3589</v>
      </c>
      <c r="BA215" s="2">
        <v>3474</v>
      </c>
      <c r="BB215" s="2">
        <v>3302</v>
      </c>
      <c r="BC215" s="2">
        <v>3418</v>
      </c>
      <c r="BD215" s="2">
        <v>3370</v>
      </c>
      <c r="BE215" s="2">
        <v>3465</v>
      </c>
      <c r="BF215" s="2">
        <v>3460</v>
      </c>
      <c r="BG215" s="2">
        <v>3317</v>
      </c>
      <c r="BH215" s="2">
        <v>3467</v>
      </c>
      <c r="BI215" s="2">
        <v>3359</v>
      </c>
      <c r="BJ215" s="2">
        <v>3335</v>
      </c>
      <c r="BK215" s="2">
        <v>3450</v>
      </c>
      <c r="BL215" s="2">
        <v>3339</v>
      </c>
      <c r="BM215" s="1">
        <v>3203</v>
      </c>
      <c r="BN215" s="1">
        <v>3116</v>
      </c>
      <c r="BO215" s="1">
        <v>3119</v>
      </c>
      <c r="BP215" s="1">
        <v>2905</v>
      </c>
      <c r="BQ215" s="1">
        <v>2965</v>
      </c>
      <c r="BR215" s="1">
        <v>3010</v>
      </c>
      <c r="BS215" s="1">
        <v>3082</v>
      </c>
      <c r="BT215" s="1">
        <v>2983</v>
      </c>
      <c r="BU215" s="1">
        <v>2988</v>
      </c>
      <c r="BV215" s="1">
        <v>3008</v>
      </c>
      <c r="BW215" s="1">
        <v>2950</v>
      </c>
      <c r="BX215" s="1">
        <v>2951.5</v>
      </c>
      <c r="BY215" s="1">
        <v>2917</v>
      </c>
      <c r="BZ215" s="1">
        <v>2960</v>
      </c>
    </row>
    <row r="216" spans="1:78">
      <c r="A216" s="62" t="s">
        <v>423</v>
      </c>
      <c r="B216" s="1" t="s">
        <v>424</v>
      </c>
      <c r="C216" s="54">
        <f>_xll.RssMarket("6622","高値")</f>
        <v>15660</v>
      </c>
      <c r="D216" s="16">
        <f t="shared" si="7"/>
        <v>650</v>
      </c>
      <c r="E216" s="2">
        <v>15010</v>
      </c>
      <c r="F216" s="2">
        <v>13980</v>
      </c>
      <c r="G216" s="2">
        <v>14020</v>
      </c>
      <c r="H216" s="2">
        <v>12550</v>
      </c>
      <c r="I216" s="2">
        <v>13170</v>
      </c>
      <c r="J216" s="2">
        <v>13940</v>
      </c>
      <c r="K216" s="2">
        <v>14790</v>
      </c>
      <c r="L216" s="2">
        <v>14900</v>
      </c>
      <c r="M216" s="2">
        <v>15280</v>
      </c>
      <c r="N216" s="2">
        <v>15420</v>
      </c>
      <c r="O216" s="2">
        <v>14710</v>
      </c>
      <c r="P216" s="2">
        <v>14770</v>
      </c>
      <c r="Q216" s="2">
        <v>15750</v>
      </c>
      <c r="R216" s="2">
        <v>15190</v>
      </c>
      <c r="S216" s="2">
        <v>15830</v>
      </c>
      <c r="T216" s="2">
        <v>15890</v>
      </c>
      <c r="U216" s="2">
        <v>15570</v>
      </c>
      <c r="V216" s="2">
        <v>15500</v>
      </c>
      <c r="W216" s="2">
        <v>17280</v>
      </c>
      <c r="X216" s="2">
        <v>17420</v>
      </c>
      <c r="Y216" s="2">
        <v>17000</v>
      </c>
      <c r="Z216" s="2">
        <v>17710</v>
      </c>
      <c r="AA216" s="2">
        <v>18900</v>
      </c>
      <c r="AB216" s="2">
        <v>18320</v>
      </c>
      <c r="AC216" s="2">
        <v>18190</v>
      </c>
      <c r="AD216" s="2">
        <v>18920</v>
      </c>
      <c r="AE216" s="2">
        <v>19150</v>
      </c>
      <c r="AF216" s="2">
        <v>19180</v>
      </c>
      <c r="AG216" s="2">
        <v>19620</v>
      </c>
      <c r="AH216" s="2">
        <v>19450</v>
      </c>
      <c r="AI216" s="2">
        <v>19050</v>
      </c>
      <c r="AJ216" s="2">
        <v>18470</v>
      </c>
      <c r="AK216" s="2">
        <v>16830</v>
      </c>
      <c r="AL216" s="2">
        <v>16500</v>
      </c>
      <c r="AM216" s="2">
        <v>16220</v>
      </c>
      <c r="AN216" s="2">
        <v>15320</v>
      </c>
      <c r="AO216" s="2">
        <v>14610</v>
      </c>
      <c r="AP216" s="2">
        <v>15320</v>
      </c>
      <c r="AQ216" s="2">
        <v>15470</v>
      </c>
      <c r="AR216" s="2">
        <v>16270</v>
      </c>
      <c r="AS216" s="2">
        <v>15880</v>
      </c>
      <c r="AT216" s="2">
        <v>15870</v>
      </c>
      <c r="AU216" s="2">
        <v>15740</v>
      </c>
      <c r="AV216" s="2">
        <v>16650</v>
      </c>
      <c r="AW216" s="2">
        <v>16540</v>
      </c>
      <c r="AX216" s="2">
        <v>17720</v>
      </c>
      <c r="AY216" s="2">
        <v>17360</v>
      </c>
      <c r="AZ216" s="2">
        <v>16690</v>
      </c>
      <c r="BA216" s="2">
        <v>16040</v>
      </c>
      <c r="BB216" s="2">
        <v>15530</v>
      </c>
      <c r="BC216" s="2">
        <v>16840</v>
      </c>
      <c r="BD216" s="2">
        <v>17320</v>
      </c>
      <c r="BE216" s="2">
        <v>18180</v>
      </c>
      <c r="BF216" s="2">
        <v>18220</v>
      </c>
      <c r="BG216" s="2">
        <v>18220</v>
      </c>
      <c r="BH216" s="2">
        <v>19790</v>
      </c>
      <c r="BI216" s="2">
        <v>18140</v>
      </c>
      <c r="BJ216" s="2">
        <v>17280</v>
      </c>
      <c r="BK216" s="2">
        <v>17150</v>
      </c>
      <c r="BL216" s="2">
        <v>16100</v>
      </c>
      <c r="BM216" s="1">
        <v>15710</v>
      </c>
      <c r="BN216" s="1">
        <v>14990</v>
      </c>
      <c r="BO216" s="1">
        <v>14950</v>
      </c>
      <c r="BP216" s="1">
        <v>14040</v>
      </c>
      <c r="BQ216" s="1">
        <v>14150</v>
      </c>
      <c r="BR216" s="1">
        <v>14080</v>
      </c>
      <c r="BS216" s="1">
        <v>14210</v>
      </c>
      <c r="BT216" s="1">
        <v>14090</v>
      </c>
      <c r="BU216" s="1">
        <v>14320</v>
      </c>
      <c r="BV216" s="1">
        <v>14440</v>
      </c>
      <c r="BW216" s="1">
        <v>14830</v>
      </c>
      <c r="BX216" s="1">
        <v>14620</v>
      </c>
      <c r="BY216" s="1">
        <v>14140</v>
      </c>
      <c r="BZ216" s="1">
        <v>14060</v>
      </c>
    </row>
    <row r="217" spans="1:78">
      <c r="A217" s="62" t="s">
        <v>425</v>
      </c>
      <c r="B217" s="1" t="s">
        <v>426</v>
      </c>
      <c r="C217" s="54">
        <f>_xll.RssMarket("1407","高値")</f>
        <v>2775</v>
      </c>
      <c r="D217" s="16">
        <f t="shared" si="7"/>
        <v>-30</v>
      </c>
      <c r="E217" s="2">
        <v>2805</v>
      </c>
      <c r="F217" s="2">
        <v>2641</v>
      </c>
      <c r="G217" s="2">
        <v>2653</v>
      </c>
      <c r="H217" s="2">
        <v>2729</v>
      </c>
      <c r="I217" s="2">
        <v>2691</v>
      </c>
      <c r="J217" s="2">
        <v>2799</v>
      </c>
      <c r="K217" s="2">
        <v>2894</v>
      </c>
      <c r="L217" s="2">
        <v>2822</v>
      </c>
      <c r="M217" s="2">
        <v>2704</v>
      </c>
      <c r="N217" s="2">
        <v>2785</v>
      </c>
      <c r="O217" s="2">
        <v>2938</v>
      </c>
      <c r="P217" s="2">
        <v>2869</v>
      </c>
      <c r="Q217" s="2">
        <v>2802</v>
      </c>
      <c r="R217" s="2">
        <v>2327</v>
      </c>
      <c r="S217" s="2">
        <v>2273</v>
      </c>
      <c r="T217" s="2">
        <v>2294</v>
      </c>
      <c r="U217" s="2">
        <v>2318</v>
      </c>
      <c r="V217" s="2">
        <v>2303</v>
      </c>
      <c r="W217" s="2">
        <v>2373</v>
      </c>
      <c r="X217" s="2">
        <v>2413</v>
      </c>
      <c r="Y217" s="2">
        <v>2389</v>
      </c>
      <c r="Z217" s="2">
        <v>2406</v>
      </c>
      <c r="AA217" s="2">
        <v>2423</v>
      </c>
      <c r="AB217" s="2">
        <v>2462</v>
      </c>
      <c r="AC217" s="2">
        <v>2465</v>
      </c>
      <c r="AD217" s="2">
        <v>2360</v>
      </c>
      <c r="AE217" s="2">
        <v>2382</v>
      </c>
      <c r="AF217" s="2">
        <v>2478</v>
      </c>
      <c r="AG217" s="2">
        <v>2469</v>
      </c>
      <c r="AH217" s="2">
        <v>2302</v>
      </c>
      <c r="AI217" s="2">
        <v>2325</v>
      </c>
      <c r="AJ217" s="2">
        <v>2347</v>
      </c>
      <c r="AK217" s="2">
        <v>2350</v>
      </c>
      <c r="AL217" s="2">
        <v>2357</v>
      </c>
      <c r="AM217" s="2">
        <v>2336</v>
      </c>
      <c r="AN217" s="2">
        <v>2355</v>
      </c>
      <c r="AO217" s="2">
        <v>2348</v>
      </c>
      <c r="AP217" s="2">
        <v>2369</v>
      </c>
      <c r="AQ217" s="2">
        <v>2506</v>
      </c>
      <c r="AR217" s="2">
        <v>2491</v>
      </c>
      <c r="AS217" s="2">
        <v>2630</v>
      </c>
      <c r="AT217" s="2">
        <v>2612</v>
      </c>
      <c r="AU217" s="2">
        <v>2600</v>
      </c>
      <c r="AV217" s="2">
        <v>2928</v>
      </c>
      <c r="AW217" s="2">
        <v>3045</v>
      </c>
      <c r="AX217" s="2">
        <v>3270</v>
      </c>
      <c r="AY217" s="2">
        <v>2992</v>
      </c>
      <c r="AZ217" s="2">
        <v>2964</v>
      </c>
      <c r="BA217" s="2">
        <v>3150</v>
      </c>
      <c r="BB217" s="2">
        <v>3120</v>
      </c>
      <c r="BC217" s="2">
        <v>3085</v>
      </c>
      <c r="BD217" s="2">
        <v>3065</v>
      </c>
      <c r="BE217" s="2">
        <v>3200</v>
      </c>
      <c r="BF217" s="2">
        <v>3185</v>
      </c>
      <c r="BG217" s="2">
        <v>3025</v>
      </c>
      <c r="BH217" s="2">
        <v>3200</v>
      </c>
      <c r="BI217" s="2">
        <v>3230</v>
      </c>
      <c r="BJ217" s="2">
        <v>3000</v>
      </c>
      <c r="BK217" s="2">
        <v>2947</v>
      </c>
      <c r="BL217" s="2">
        <v>3090</v>
      </c>
      <c r="BM217" s="1">
        <v>2915</v>
      </c>
      <c r="BN217" s="1">
        <v>2762</v>
      </c>
      <c r="BO217" s="1">
        <v>2710</v>
      </c>
      <c r="BP217" s="1">
        <v>2598</v>
      </c>
      <c r="BQ217" s="1">
        <v>2424</v>
      </c>
      <c r="BR217" s="1">
        <v>2295</v>
      </c>
      <c r="BS217" s="1">
        <v>2357</v>
      </c>
      <c r="BT217" s="1">
        <v>2330</v>
      </c>
      <c r="BU217" s="1">
        <v>2374</v>
      </c>
      <c r="BV217" s="1">
        <v>2371</v>
      </c>
      <c r="BW217" s="1">
        <v>2163</v>
      </c>
      <c r="BX217" s="1">
        <v>1947</v>
      </c>
      <c r="BY217" s="1">
        <v>1863</v>
      </c>
      <c r="BZ217" s="1">
        <v>1920</v>
      </c>
    </row>
    <row r="218" spans="1:78">
      <c r="A218" s="62" t="s">
        <v>427</v>
      </c>
      <c r="B218" s="1" t="s">
        <v>428</v>
      </c>
      <c r="C218" s="54">
        <f>_xll.RssMarket("285A","高値")</f>
        <v>56800</v>
      </c>
      <c r="D218" s="16">
        <f t="shared" si="7"/>
        <v>4220</v>
      </c>
      <c r="E218" s="2">
        <v>52580</v>
      </c>
      <c r="F218" s="2">
        <v>51990</v>
      </c>
      <c r="G218" s="2">
        <v>46500</v>
      </c>
      <c r="H218" s="2">
        <v>45040</v>
      </c>
      <c r="I218" s="2">
        <v>48820</v>
      </c>
      <c r="J218" s="2">
        <v>47720</v>
      </c>
      <c r="K218" s="2">
        <v>57410</v>
      </c>
      <c r="L218" s="2">
        <v>62690</v>
      </c>
      <c r="M218" s="2">
        <v>67190</v>
      </c>
      <c r="N218" s="2">
        <v>68700</v>
      </c>
      <c r="O218" s="2">
        <v>61920</v>
      </c>
      <c r="P218" s="2">
        <v>56750</v>
      </c>
      <c r="Q218" s="2">
        <v>74940</v>
      </c>
      <c r="R218" s="2">
        <v>70920</v>
      </c>
      <c r="S218" s="2">
        <v>77160</v>
      </c>
      <c r="T218" s="2">
        <v>84050</v>
      </c>
      <c r="U218" s="2">
        <v>79950</v>
      </c>
      <c r="V218" s="2">
        <v>77480</v>
      </c>
      <c r="W218" s="2">
        <v>79470</v>
      </c>
      <c r="X218" s="2">
        <v>84800</v>
      </c>
      <c r="Y218" s="2">
        <v>84390</v>
      </c>
      <c r="Z218" s="2">
        <v>80990</v>
      </c>
      <c r="AA218" s="2">
        <v>93060</v>
      </c>
      <c r="AB218" s="2">
        <v>94880</v>
      </c>
      <c r="AC218" s="2">
        <v>93140</v>
      </c>
      <c r="AD218" s="2">
        <v>102000</v>
      </c>
      <c r="AE218" s="2">
        <v>106150</v>
      </c>
      <c r="AF218" s="2">
        <v>98190</v>
      </c>
      <c r="AG218" s="2">
        <v>111500</v>
      </c>
      <c r="AH218" s="2">
        <v>112700</v>
      </c>
      <c r="AI218" s="2">
        <v>108600</v>
      </c>
      <c r="AJ218" s="2">
        <v>99500</v>
      </c>
      <c r="AK218" s="2">
        <v>96400</v>
      </c>
      <c r="AL218" s="2">
        <v>97610</v>
      </c>
      <c r="AM218" s="2">
        <v>90990</v>
      </c>
      <c r="AN218" s="2">
        <v>83140</v>
      </c>
      <c r="AO218" s="2">
        <v>77360</v>
      </c>
      <c r="AP218" s="2">
        <v>75680</v>
      </c>
      <c r="AQ218" s="2">
        <v>74500</v>
      </c>
      <c r="AR218" s="2">
        <v>78840</v>
      </c>
      <c r="AS218" s="2">
        <v>79830</v>
      </c>
      <c r="AT218" s="2">
        <v>83140</v>
      </c>
      <c r="AU218" s="2">
        <v>77540</v>
      </c>
      <c r="AV218" s="2">
        <v>65850</v>
      </c>
      <c r="AW218" s="2">
        <v>61840</v>
      </c>
      <c r="AX218" s="2">
        <v>67340</v>
      </c>
      <c r="AY218" s="2">
        <v>65790</v>
      </c>
      <c r="AZ218" s="2">
        <v>58880</v>
      </c>
      <c r="BA218" s="2">
        <v>59420</v>
      </c>
      <c r="BB218" s="2">
        <v>51450</v>
      </c>
      <c r="BC218" s="2">
        <v>52590</v>
      </c>
      <c r="BD218" s="2">
        <v>51450</v>
      </c>
      <c r="BE218" s="2">
        <v>48470</v>
      </c>
      <c r="BF218" s="2">
        <v>53490</v>
      </c>
      <c r="BG218" s="2">
        <v>50670</v>
      </c>
      <c r="BH218" s="2">
        <v>47180</v>
      </c>
      <c r="BI218" s="2">
        <v>49430</v>
      </c>
      <c r="BJ218" s="2">
        <v>45550</v>
      </c>
      <c r="BK218" s="2">
        <v>43410</v>
      </c>
      <c r="BL218" s="2">
        <v>36990</v>
      </c>
      <c r="BM218" s="1">
        <v>38270</v>
      </c>
      <c r="BN218" s="1">
        <v>37430</v>
      </c>
      <c r="BO218" s="1">
        <v>36440</v>
      </c>
      <c r="BP218" s="1">
        <v>35600</v>
      </c>
      <c r="BQ218" s="1">
        <v>36680</v>
      </c>
      <c r="BR218" s="1">
        <v>35080</v>
      </c>
      <c r="BS218" s="1">
        <v>32880</v>
      </c>
      <c r="BT218" s="1">
        <v>31730</v>
      </c>
      <c r="BU218" s="1">
        <v>33480</v>
      </c>
      <c r="BV218" s="1">
        <v>33950</v>
      </c>
      <c r="BW218" s="1">
        <v>35150</v>
      </c>
      <c r="BX218" s="1">
        <v>36870</v>
      </c>
      <c r="BY218" s="1">
        <v>31380</v>
      </c>
      <c r="BZ218" s="1">
        <v>30490</v>
      </c>
    </row>
    <row r="219" spans="1:78">
      <c r="A219" s="62" t="s">
        <v>429</v>
      </c>
      <c r="B219" s="1" t="s">
        <v>430</v>
      </c>
      <c r="C219" s="54">
        <f>_xll.RssMarket("141A","高値")</f>
        <v>3295</v>
      </c>
      <c r="D219" s="16">
        <f t="shared" si="7"/>
        <v>-10</v>
      </c>
      <c r="E219" s="2">
        <v>3305</v>
      </c>
      <c r="F219" s="2">
        <v>3215</v>
      </c>
      <c r="G219" s="2">
        <v>3145</v>
      </c>
      <c r="H219" s="2">
        <v>3110</v>
      </c>
      <c r="I219" s="2">
        <v>3100</v>
      </c>
      <c r="J219" s="2">
        <v>3090</v>
      </c>
      <c r="K219" s="2">
        <v>3035</v>
      </c>
      <c r="L219" s="2"/>
      <c r="M219" s="2">
        <v>3015</v>
      </c>
      <c r="N219" s="2">
        <v>3010</v>
      </c>
      <c r="O219" s="2">
        <v>3050</v>
      </c>
      <c r="P219" s="2">
        <v>3115</v>
      </c>
      <c r="Q219" s="2">
        <v>3060</v>
      </c>
      <c r="R219" s="2">
        <v>3165</v>
      </c>
      <c r="S219" s="2">
        <v>3065</v>
      </c>
      <c r="T219" s="2">
        <v>3100</v>
      </c>
      <c r="U219" s="2">
        <v>3115</v>
      </c>
      <c r="V219" s="2">
        <v>3120</v>
      </c>
      <c r="W219" s="2">
        <v>3215</v>
      </c>
      <c r="X219" s="2">
        <v>3120</v>
      </c>
      <c r="Y219" s="2">
        <v>3145</v>
      </c>
      <c r="Z219" s="2">
        <v>3065</v>
      </c>
      <c r="AA219" s="2">
        <v>3015</v>
      </c>
      <c r="AB219" s="2">
        <v>3200</v>
      </c>
      <c r="AC219" s="2">
        <v>3100</v>
      </c>
      <c r="AD219" s="2">
        <v>3085</v>
      </c>
      <c r="AE219" s="2">
        <v>3225</v>
      </c>
      <c r="AF219" s="2">
        <v>3060</v>
      </c>
      <c r="AG219" s="2">
        <v>2825</v>
      </c>
      <c r="AH219" s="2">
        <v>2775</v>
      </c>
      <c r="AI219" s="2">
        <v>2806</v>
      </c>
      <c r="AJ219" s="2">
        <v>2805</v>
      </c>
      <c r="AK219" s="2">
        <v>2850</v>
      </c>
      <c r="AL219" s="2">
        <v>2865</v>
      </c>
      <c r="AM219" s="2">
        <v>2873</v>
      </c>
      <c r="AN219" s="2">
        <v>2937</v>
      </c>
      <c r="AO219" s="2">
        <v>2925</v>
      </c>
      <c r="AP219" s="2">
        <v>2841</v>
      </c>
      <c r="AQ219" s="2">
        <v>2873</v>
      </c>
      <c r="AR219" s="2">
        <v>2849</v>
      </c>
      <c r="AS219" s="2">
        <v>2792</v>
      </c>
      <c r="AT219" s="2">
        <v>2734</v>
      </c>
      <c r="AU219" s="2">
        <v>2645</v>
      </c>
      <c r="AV219" s="2">
        <v>2965</v>
      </c>
      <c r="AW219" s="2">
        <v>3015</v>
      </c>
      <c r="AX219" s="2">
        <v>2913</v>
      </c>
      <c r="AY219" s="2">
        <v>3075</v>
      </c>
      <c r="AZ219" s="2">
        <v>3060</v>
      </c>
      <c r="BA219" s="2">
        <v>3145</v>
      </c>
      <c r="BB219" s="2">
        <v>3270</v>
      </c>
      <c r="BC219" s="2">
        <v>3195</v>
      </c>
      <c r="BD219" s="2">
        <v>3505</v>
      </c>
      <c r="BE219" s="2">
        <v>3735</v>
      </c>
      <c r="BF219" s="2">
        <v>4465</v>
      </c>
      <c r="BG219" s="2">
        <v>4460</v>
      </c>
      <c r="BH219" s="2">
        <v>4410</v>
      </c>
      <c r="BI219" s="2">
        <v>4290</v>
      </c>
      <c r="BJ219" s="2">
        <v>4315</v>
      </c>
      <c r="BK219" s="2">
        <v>4225</v>
      </c>
      <c r="BL219" s="2">
        <v>3995</v>
      </c>
      <c r="BM219" s="1">
        <v>4055</v>
      </c>
      <c r="BN219" s="1">
        <v>4050</v>
      </c>
      <c r="BO219" s="1">
        <v>4010</v>
      </c>
      <c r="BP219" s="1">
        <v>4215</v>
      </c>
      <c r="BQ219" s="1">
        <v>4400</v>
      </c>
      <c r="BR219" s="1">
        <v>4790</v>
      </c>
      <c r="BS219" s="1">
        <v>4785</v>
      </c>
      <c r="BT219" s="1">
        <v>4655</v>
      </c>
      <c r="BU219" s="1">
        <v>4555</v>
      </c>
      <c r="BV219" s="1">
        <v>4495</v>
      </c>
      <c r="BW219" s="1">
        <v>4445</v>
      </c>
      <c r="BX219" s="1">
        <v>4285</v>
      </c>
      <c r="BY219" s="1">
        <v>4385</v>
      </c>
      <c r="BZ219" s="1">
        <v>4725</v>
      </c>
    </row>
    <row r="220" spans="1:78">
      <c r="A220" s="62" t="s">
        <v>431</v>
      </c>
      <c r="B220" s="1" t="s">
        <v>432</v>
      </c>
      <c r="C220" s="54">
        <f>_xll.RssMarket("464A","高値")</f>
        <v>1666</v>
      </c>
      <c r="D220" s="16">
        <f t="shared" si="7"/>
        <v>48</v>
      </c>
      <c r="E220" s="2">
        <v>1618</v>
      </c>
      <c r="F220" s="2">
        <v>1545</v>
      </c>
      <c r="G220" s="2">
        <v>1552</v>
      </c>
      <c r="H220" s="2">
        <v>1453</v>
      </c>
      <c r="I220" s="2">
        <v>1501</v>
      </c>
      <c r="J220" s="2">
        <v>1548</v>
      </c>
      <c r="K220" s="2">
        <v>1478</v>
      </c>
      <c r="L220" s="2">
        <v>1594</v>
      </c>
      <c r="M220" s="2">
        <v>1654</v>
      </c>
      <c r="N220" s="2">
        <v>1747</v>
      </c>
      <c r="O220" s="2">
        <v>1652</v>
      </c>
      <c r="P220" s="2">
        <v>1664</v>
      </c>
      <c r="Q220" s="2">
        <v>1906</v>
      </c>
      <c r="R220" s="2">
        <v>1849</v>
      </c>
      <c r="S220" s="2">
        <v>1941</v>
      </c>
      <c r="T220" s="2">
        <v>1875</v>
      </c>
      <c r="U220" s="2">
        <v>1842</v>
      </c>
      <c r="V220" s="2">
        <v>1890</v>
      </c>
      <c r="W220" s="2">
        <v>2021</v>
      </c>
      <c r="X220" s="2">
        <v>2137</v>
      </c>
      <c r="Y220" s="2">
        <v>2104</v>
      </c>
      <c r="Z220" s="2">
        <v>2112</v>
      </c>
      <c r="AA220" s="2">
        <v>1948</v>
      </c>
      <c r="AB220" s="2">
        <v>1997</v>
      </c>
      <c r="AC220" s="2">
        <v>1938</v>
      </c>
      <c r="AD220" s="2">
        <v>1980</v>
      </c>
      <c r="AE220" s="2">
        <v>2024</v>
      </c>
      <c r="AF220" s="2">
        <v>2055</v>
      </c>
      <c r="AG220" s="2">
        <v>2232</v>
      </c>
      <c r="AH220" s="2">
        <v>2333</v>
      </c>
      <c r="AI220" s="2">
        <v>2242</v>
      </c>
      <c r="AJ220" s="2">
        <v>2336</v>
      </c>
      <c r="AK220" s="2">
        <v>2430</v>
      </c>
      <c r="AL220" s="2">
        <v>2424</v>
      </c>
      <c r="AM220" s="2">
        <v>2749</v>
      </c>
      <c r="AN220" s="2">
        <v>2839</v>
      </c>
      <c r="AO220" s="2">
        <v>2629</v>
      </c>
      <c r="AP220" s="2">
        <v>2630</v>
      </c>
      <c r="AQ220" s="2">
        <v>2923</v>
      </c>
      <c r="AR220" s="2">
        <v>3165</v>
      </c>
      <c r="AS220" s="2">
        <v>2783</v>
      </c>
      <c r="AT220" s="2">
        <v>3160</v>
      </c>
      <c r="AU220" s="2">
        <v>3185</v>
      </c>
      <c r="AV220" s="2">
        <v>4485</v>
      </c>
      <c r="AW220" s="2">
        <v>4460</v>
      </c>
      <c r="AX220" s="2">
        <v>4475</v>
      </c>
      <c r="AY220" s="2">
        <v>4060</v>
      </c>
      <c r="AZ220" s="2">
        <v>3850</v>
      </c>
      <c r="BA220" s="2">
        <v>3505</v>
      </c>
      <c r="BB220" s="2">
        <v>3510</v>
      </c>
      <c r="BC220" s="2">
        <v>3680</v>
      </c>
      <c r="BD220" s="2">
        <v>3350</v>
      </c>
      <c r="BE220" s="2">
        <v>3485</v>
      </c>
      <c r="BF220" s="2">
        <v>3440</v>
      </c>
      <c r="BG220" s="2">
        <v>3145</v>
      </c>
      <c r="BH220" s="2">
        <v>3070</v>
      </c>
      <c r="BI220" s="2">
        <v>3065</v>
      </c>
      <c r="BJ220" s="2">
        <v>2840</v>
      </c>
      <c r="BK220" s="2">
        <v>2708</v>
      </c>
      <c r="BL220" s="2">
        <v>2596</v>
      </c>
      <c r="BM220" s="1">
        <v>2604</v>
      </c>
      <c r="BN220" s="1">
        <v>2564</v>
      </c>
      <c r="BO220" s="1">
        <v>2616</v>
      </c>
      <c r="BP220" s="1">
        <v>2630</v>
      </c>
      <c r="BQ220" s="1">
        <v>2726</v>
      </c>
      <c r="BR220" s="1">
        <v>2793</v>
      </c>
      <c r="BS220" s="1">
        <v>2771</v>
      </c>
      <c r="BT220" s="1">
        <v>2740</v>
      </c>
      <c r="BU220" s="1">
        <v>2714</v>
      </c>
      <c r="BV220" s="1">
        <v>2644</v>
      </c>
      <c r="BW220" s="1">
        <v>2745</v>
      </c>
      <c r="BX220" s="1">
        <v>2780</v>
      </c>
      <c r="BY220" s="1">
        <v>2839</v>
      </c>
      <c r="BZ220" s="1">
        <v>2854</v>
      </c>
    </row>
    <row r="221" spans="1:78">
      <c r="A221" s="62" t="s">
        <v>433</v>
      </c>
      <c r="B221" s="1" t="s">
        <v>434</v>
      </c>
      <c r="C221" s="54">
        <f>_xll.RssMarket("485A","高値")</f>
        <v>1920</v>
      </c>
      <c r="D221" s="16">
        <f t="shared" si="7"/>
        <v>1920</v>
      </c>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c r="A222" s="62" t="s">
        <v>435</v>
      </c>
      <c r="B222" s="1" t="str">
        <f>銘柄管理!C222</f>
        <v>ＮＦ日経レバ</v>
      </c>
      <c r="C222" s="54">
        <f>_xll.RssMarket("1570","高値")</f>
        <v>69610</v>
      </c>
      <c r="D222" s="16"/>
      <c r="E222" s="2">
        <v>65750</v>
      </c>
      <c r="F222" s="2">
        <v>65050</v>
      </c>
      <c r="G222" s="2">
        <v>68100</v>
      </c>
      <c r="H222" s="2">
        <v>63180</v>
      </c>
      <c r="I222" s="2">
        <v>63700</v>
      </c>
      <c r="J222" s="2">
        <v>63770</v>
      </c>
      <c r="K222" s="2">
        <v>68020</v>
      </c>
      <c r="L222" s="2">
        <v>68810</v>
      </c>
      <c r="M222" s="2">
        <v>71870</v>
      </c>
      <c r="N222" s="2">
        <v>73090</v>
      </c>
      <c r="O222" s="2">
        <v>70080</v>
      </c>
      <c r="P222" s="2">
        <v>69330</v>
      </c>
      <c r="Q222" s="2">
        <v>76120</v>
      </c>
      <c r="R222" s="2">
        <v>73960</v>
      </c>
      <c r="S222" s="2">
        <v>76830</v>
      </c>
      <c r="T222" s="2">
        <v>77470</v>
      </c>
      <c r="U222" s="2">
        <v>75500</v>
      </c>
      <c r="V222" s="2">
        <v>75530</v>
      </c>
      <c r="W222" s="2">
        <v>78980</v>
      </c>
      <c r="X222" s="2">
        <v>79930</v>
      </c>
      <c r="Y222" s="2">
        <v>78680</v>
      </c>
      <c r="Z222" s="2">
        <v>78920</v>
      </c>
      <c r="AA222" s="2">
        <v>83580</v>
      </c>
      <c r="AB222" s="2">
        <v>80640</v>
      </c>
      <c r="AC222" s="2">
        <v>78520</v>
      </c>
      <c r="AD222" s="2">
        <v>82250</v>
      </c>
      <c r="AE222" s="2">
        <v>85200</v>
      </c>
      <c r="AF222" s="2">
        <v>79920</v>
      </c>
      <c r="AG222" s="2">
        <v>85870</v>
      </c>
      <c r="AH222" s="2">
        <v>86380</v>
      </c>
      <c r="AI222" s="2">
        <v>84370</v>
      </c>
      <c r="AJ222" s="2">
        <v>82770</v>
      </c>
      <c r="AK222" s="2">
        <v>79880</v>
      </c>
      <c r="AL222" s="2">
        <v>79600</v>
      </c>
      <c r="AM222" s="2">
        <v>78840</v>
      </c>
      <c r="AN222" s="2">
        <v>73130</v>
      </c>
      <c r="AO222" s="2">
        <v>67630</v>
      </c>
      <c r="AP222" s="2">
        <v>69190</v>
      </c>
      <c r="AQ222" s="2">
        <v>68570</v>
      </c>
      <c r="AR222" s="2">
        <v>73450</v>
      </c>
      <c r="AS222" s="2">
        <v>75470</v>
      </c>
      <c r="AT222" s="2">
        <v>77440</v>
      </c>
      <c r="AU222" s="2">
        <v>73930</v>
      </c>
      <c r="AV222" s="2">
        <v>72510</v>
      </c>
      <c r="AW222" s="2">
        <v>69710</v>
      </c>
      <c r="AX222" s="2">
        <v>72490</v>
      </c>
      <c r="AY222" s="2">
        <v>70160</v>
      </c>
      <c r="AZ222" s="2">
        <v>66050</v>
      </c>
      <c r="BA222" s="2">
        <v>63230</v>
      </c>
      <c r="BB222" s="2">
        <v>60220</v>
      </c>
      <c r="BC222" s="2">
        <v>62230</v>
      </c>
      <c r="BD222" s="2">
        <v>62900</v>
      </c>
      <c r="BE222" s="2">
        <v>65900</v>
      </c>
      <c r="BF222" s="2">
        <v>67090</v>
      </c>
      <c r="BG222" s="2">
        <v>66140</v>
      </c>
      <c r="BH222" s="2">
        <v>65870</v>
      </c>
      <c r="BI222" s="2">
        <v>66320</v>
      </c>
      <c r="BJ222" s="2">
        <v>64950</v>
      </c>
      <c r="BK222" s="2">
        <v>65900</v>
      </c>
      <c r="BL222" s="2">
        <v>59010</v>
      </c>
      <c r="BM222" s="1">
        <v>58630</v>
      </c>
      <c r="BN222" s="1">
        <v>60560</v>
      </c>
      <c r="BO222" s="1">
        <v>61420</v>
      </c>
      <c r="BP222" s="1">
        <v>59150</v>
      </c>
      <c r="BQ222" s="1">
        <v>60050</v>
      </c>
      <c r="BR222" s="1">
        <v>59090</v>
      </c>
      <c r="BS222" s="1">
        <v>58930</v>
      </c>
      <c r="BT222" s="1">
        <v>58080</v>
      </c>
      <c r="BU222" s="1">
        <v>58580</v>
      </c>
      <c r="BV222" s="1">
        <v>59150</v>
      </c>
      <c r="BW222" s="1">
        <v>57000</v>
      </c>
      <c r="BX222" s="1">
        <v>55860</v>
      </c>
      <c r="BY222" s="1">
        <v>53580</v>
      </c>
      <c r="BZ222" s="1">
        <v>54020</v>
      </c>
    </row>
    <row r="223" spans="1:78">
      <c r="A223" s="62" t="s">
        <v>436</v>
      </c>
      <c r="B223" s="1" t="str">
        <f>銘柄管理!C223</f>
        <v>牧野フライス</v>
      </c>
      <c r="C223" s="54">
        <f>_xll.RssMarket("6135","高値")</f>
        <v>15250</v>
      </c>
      <c r="D223" s="16"/>
      <c r="E223" s="2">
        <v>14940</v>
      </c>
      <c r="F223" s="1">
        <v>15170</v>
      </c>
      <c r="G223" s="1">
        <v>14400</v>
      </c>
      <c r="H223" s="1">
        <v>14180</v>
      </c>
      <c r="I223" s="1">
        <v>14260</v>
      </c>
      <c r="J223" s="1">
        <v>14720</v>
      </c>
      <c r="K223" s="1">
        <v>14820</v>
      </c>
      <c r="L223" s="1">
        <v>14980</v>
      </c>
      <c r="M223" s="1">
        <v>14900</v>
      </c>
      <c r="N223" s="1">
        <v>14690</v>
      </c>
      <c r="O223" s="1">
        <v>14600</v>
      </c>
      <c r="P223" s="1">
        <v>14540</v>
      </c>
      <c r="Q223" s="1">
        <v>14930</v>
      </c>
      <c r="R223" s="1">
        <v>14830</v>
      </c>
      <c r="S223" s="1">
        <v>15050</v>
      </c>
      <c r="T223" s="1">
        <v>15070</v>
      </c>
      <c r="U223" s="1">
        <v>14810</v>
      </c>
      <c r="V223" s="1">
        <v>14860</v>
      </c>
      <c r="W223" s="1">
        <v>15110</v>
      </c>
      <c r="X223" s="1">
        <v>15410</v>
      </c>
      <c r="Y223" s="1">
        <v>15390</v>
      </c>
      <c r="Z223" s="1">
        <v>15400</v>
      </c>
      <c r="AA223" s="1">
        <v>15480</v>
      </c>
      <c r="AB223" s="1">
        <v>15220</v>
      </c>
      <c r="AC223" s="1">
        <v>15310</v>
      </c>
      <c r="AD223" s="1">
        <v>15590</v>
      </c>
      <c r="AE223" s="1">
        <v>15940</v>
      </c>
      <c r="AF223" s="1">
        <v>14480</v>
      </c>
      <c r="AG223" s="1">
        <v>14650</v>
      </c>
      <c r="AH223" s="1">
        <v>14760</v>
      </c>
      <c r="AI223" s="1">
        <v>14680</v>
      </c>
      <c r="AJ223" s="1">
        <v>14410</v>
      </c>
      <c r="AK223" s="1">
        <v>14480</v>
      </c>
      <c r="AL223" s="1">
        <v>14430</v>
      </c>
      <c r="AM223" s="1">
        <v>14400</v>
      </c>
      <c r="AN223" s="1">
        <v>14320</v>
      </c>
      <c r="AO223" s="1">
        <v>14410</v>
      </c>
      <c r="AP223" s="1">
        <v>14950</v>
      </c>
      <c r="AQ223" s="1">
        <v>14250</v>
      </c>
      <c r="AR223" s="1">
        <v>14630</v>
      </c>
      <c r="AS223" s="1">
        <v>14180</v>
      </c>
      <c r="AT223" s="1">
        <v>14080</v>
      </c>
      <c r="AU223" s="1">
        <v>14100</v>
      </c>
      <c r="AV223" s="1">
        <v>13570</v>
      </c>
      <c r="AW223" s="1">
        <v>13280</v>
      </c>
      <c r="AX223" s="1">
        <v>13310</v>
      </c>
      <c r="AY223" s="1">
        <v>13750</v>
      </c>
      <c r="AZ223" s="1">
        <v>13240</v>
      </c>
      <c r="BA223" s="1">
        <v>13370</v>
      </c>
      <c r="BB223" s="1">
        <v>13750</v>
      </c>
      <c r="BC223" s="1">
        <v>13850</v>
      </c>
      <c r="BD223" s="1">
        <v>13970</v>
      </c>
      <c r="BE223" s="1">
        <v>14100</v>
      </c>
      <c r="BF223" s="1">
        <v>14160</v>
      </c>
      <c r="BG223" s="1">
        <v>13780</v>
      </c>
      <c r="BH223" s="1">
        <v>13770</v>
      </c>
      <c r="BI223" s="1">
        <v>13820</v>
      </c>
      <c r="BJ223" s="1">
        <v>14030</v>
      </c>
      <c r="BK223" s="1">
        <v>14170</v>
      </c>
      <c r="BL223" s="1">
        <v>12710</v>
      </c>
      <c r="BM223" s="1">
        <v>11940</v>
      </c>
      <c r="BN223" s="1">
        <v>11800</v>
      </c>
      <c r="BO223" s="1">
        <v>11840</v>
      </c>
      <c r="BP223" s="1">
        <v>11880</v>
      </c>
      <c r="BQ223" s="1">
        <v>10870</v>
      </c>
      <c r="BR223" s="1">
        <v>11630</v>
      </c>
      <c r="BS223" s="1">
        <v>11630</v>
      </c>
      <c r="BT223" s="1">
        <v>11640</v>
      </c>
      <c r="BU223" s="1">
        <v>11630</v>
      </c>
      <c r="BV223" s="1">
        <v>11610</v>
      </c>
      <c r="BW223" s="1">
        <v>11650</v>
      </c>
      <c r="BX223" s="1">
        <v>11610</v>
      </c>
      <c r="BY223" s="1">
        <v>11590</v>
      </c>
      <c r="BZ223" s="1">
        <v>11630</v>
      </c>
    </row>
    <row r="224" spans="1:78">
      <c r="A224" s="62" t="s">
        <v>437</v>
      </c>
      <c r="B224" s="1" t="str">
        <f>銘柄管理!C224</f>
        <v>ジャパンマテリアル</v>
      </c>
      <c r="C224" s="54">
        <f>_xll.RssMarket("6055","高値")</f>
        <v>2455</v>
      </c>
      <c r="D224" s="16"/>
      <c r="E224" s="2">
        <v>2340</v>
      </c>
      <c r="F224" s="1">
        <v>2295</v>
      </c>
      <c r="G224" s="1">
        <v>2305</v>
      </c>
      <c r="H224" s="1">
        <v>2086</v>
      </c>
      <c r="I224" s="1">
        <v>2116</v>
      </c>
      <c r="J224" s="1">
        <v>2230</v>
      </c>
      <c r="K224" s="1">
        <v>2313</v>
      </c>
      <c r="L224" s="1">
        <v>2320</v>
      </c>
      <c r="M224" s="1">
        <v>2388</v>
      </c>
      <c r="N224" s="1">
        <v>2431</v>
      </c>
      <c r="O224" s="1">
        <v>2330</v>
      </c>
      <c r="P224" s="1">
        <v>2354</v>
      </c>
      <c r="Q224" s="1">
        <v>2618</v>
      </c>
      <c r="R224" s="1">
        <v>2596</v>
      </c>
      <c r="S224" s="1">
        <v>2690</v>
      </c>
      <c r="T224" s="1">
        <v>2710</v>
      </c>
      <c r="U224" s="1">
        <v>2621</v>
      </c>
      <c r="V224" s="1">
        <v>2586</v>
      </c>
      <c r="W224" s="1">
        <v>2739</v>
      </c>
      <c r="X224" s="1">
        <v>2514</v>
      </c>
      <c r="Y224" s="1">
        <v>2508</v>
      </c>
      <c r="Z224" s="1">
        <v>2588</v>
      </c>
      <c r="AA224" s="1">
        <v>2770</v>
      </c>
      <c r="AB224" s="1">
        <v>2658</v>
      </c>
      <c r="AC224" s="1">
        <v>2657</v>
      </c>
      <c r="AD224" s="1">
        <v>2723</v>
      </c>
      <c r="AE224" s="1">
        <v>2736</v>
      </c>
      <c r="AF224" s="1">
        <v>2677</v>
      </c>
      <c r="AG224" s="1">
        <v>2712</v>
      </c>
      <c r="AH224" s="1">
        <v>2697</v>
      </c>
      <c r="AI224" s="1">
        <v>2496</v>
      </c>
      <c r="AJ224" s="1">
        <v>2495</v>
      </c>
      <c r="AK224" s="1">
        <v>2416</v>
      </c>
      <c r="AL224" s="1">
        <v>2486</v>
      </c>
      <c r="AM224" s="1">
        <v>2470</v>
      </c>
      <c r="AN224" s="1">
        <v>2340</v>
      </c>
      <c r="AO224" s="1">
        <v>2174</v>
      </c>
      <c r="AP224" s="1">
        <v>2230</v>
      </c>
      <c r="AQ224" s="1">
        <v>2174</v>
      </c>
      <c r="AR224" s="1">
        <v>2320</v>
      </c>
      <c r="AS224" s="1">
        <v>2425</v>
      </c>
      <c r="AT224" s="1">
        <v>2165</v>
      </c>
      <c r="AU224" s="1">
        <v>2127</v>
      </c>
      <c r="AV224" s="1">
        <v>2099</v>
      </c>
      <c r="AW224" s="1">
        <v>2093</v>
      </c>
      <c r="AX224" s="1">
        <v>2182</v>
      </c>
      <c r="AY224" s="1">
        <v>2156</v>
      </c>
      <c r="AZ224" s="1">
        <v>2060</v>
      </c>
      <c r="BA224" s="1">
        <v>2076</v>
      </c>
      <c r="BB224" s="1">
        <v>1944</v>
      </c>
      <c r="BC224" s="1">
        <v>2123</v>
      </c>
      <c r="BD224" s="1">
        <v>2230</v>
      </c>
      <c r="BE224" s="1">
        <v>2052</v>
      </c>
      <c r="BF224" s="1">
        <v>2244</v>
      </c>
      <c r="BG224" s="1">
        <v>2200</v>
      </c>
      <c r="BH224" s="1">
        <v>2253</v>
      </c>
      <c r="BI224" s="1">
        <v>2099</v>
      </c>
      <c r="BJ224" s="1">
        <v>1988</v>
      </c>
      <c r="BK224" s="1">
        <v>1996</v>
      </c>
      <c r="BL224" s="1">
        <v>1820</v>
      </c>
      <c r="BM224" s="1">
        <v>1819</v>
      </c>
      <c r="BN224" s="1">
        <v>1865</v>
      </c>
      <c r="BO224" s="1">
        <v>1885</v>
      </c>
      <c r="BP224" s="1">
        <v>1826</v>
      </c>
      <c r="BQ224" s="1">
        <v>1876</v>
      </c>
      <c r="BR224" s="1">
        <v>1846</v>
      </c>
      <c r="BS224" s="1">
        <v>1888</v>
      </c>
      <c r="BT224" s="1">
        <v>1886</v>
      </c>
      <c r="BU224" s="1">
        <v>1906</v>
      </c>
      <c r="BV224" s="1">
        <v>1940</v>
      </c>
      <c r="BW224" s="1">
        <v>1946</v>
      </c>
      <c r="BX224" s="1">
        <v>1908</v>
      </c>
      <c r="BY224" s="1">
        <v>1816</v>
      </c>
      <c r="BZ224" s="1">
        <v>1833</v>
      </c>
    </row>
    <row r="225" spans="1:78">
      <c r="A225" s="62" t="s">
        <v>438</v>
      </c>
      <c r="B225" s="1" t="str">
        <f>銘柄管理!C225</f>
        <v>ミナトホールディングス</v>
      </c>
      <c r="C225" s="1">
        <f>_xll.RssMarket("6862","高値")</f>
        <v>2344</v>
      </c>
      <c r="E225" s="2">
        <v>2271</v>
      </c>
      <c r="F225" s="1">
        <v>2116</v>
      </c>
      <c r="G225" s="1">
        <v>2088</v>
      </c>
      <c r="H225" s="1">
        <v>1967</v>
      </c>
      <c r="I225" s="1">
        <v>1721</v>
      </c>
      <c r="J225" s="1">
        <v>1797</v>
      </c>
      <c r="K225" s="1">
        <v>1871</v>
      </c>
      <c r="L225" s="1">
        <v>1901</v>
      </c>
      <c r="M225" s="1">
        <v>1943</v>
      </c>
      <c r="N225" s="1">
        <v>1940</v>
      </c>
      <c r="O225" s="1">
        <v>1894</v>
      </c>
      <c r="P225" s="1">
        <v>1930</v>
      </c>
      <c r="Q225" s="1">
        <v>2081</v>
      </c>
      <c r="R225" s="1">
        <v>2021</v>
      </c>
      <c r="S225" s="1">
        <v>2080</v>
      </c>
      <c r="T225" s="1">
        <v>2080</v>
      </c>
      <c r="U225" s="1">
        <v>1991</v>
      </c>
      <c r="V225" s="1">
        <v>2047</v>
      </c>
      <c r="W225" s="1">
        <v>2112</v>
      </c>
      <c r="X225" s="1">
        <v>2168</v>
      </c>
      <c r="Y225" s="1">
        <v>2139</v>
      </c>
      <c r="Z225" s="1">
        <v>2139</v>
      </c>
      <c r="AA225" s="1">
        <v>2184</v>
      </c>
      <c r="AB225" s="1">
        <v>2160</v>
      </c>
      <c r="AC225" s="1">
        <v>2220</v>
      </c>
      <c r="AD225" s="1">
        <v>2292</v>
      </c>
      <c r="AE225" s="1">
        <v>2462</v>
      </c>
      <c r="AF225" s="1">
        <v>2287</v>
      </c>
      <c r="AG225" s="1">
        <v>2443</v>
      </c>
      <c r="AH225" s="1">
        <v>2635</v>
      </c>
      <c r="AI225" s="1">
        <v>2544</v>
      </c>
      <c r="AJ225" s="1">
        <v>2320</v>
      </c>
      <c r="AK225" s="1">
        <v>2259</v>
      </c>
      <c r="AL225" s="1">
        <v>2210</v>
      </c>
      <c r="AM225" s="1">
        <v>2062</v>
      </c>
      <c r="AN225" s="1">
        <v>2018</v>
      </c>
      <c r="AO225" s="1">
        <v>1972</v>
      </c>
      <c r="AP225" s="1">
        <v>2054</v>
      </c>
      <c r="AQ225" s="1">
        <v>2149</v>
      </c>
      <c r="AR225" s="1">
        <v>2275</v>
      </c>
      <c r="AS225" s="1">
        <v>2196</v>
      </c>
      <c r="AT225" s="1">
        <v>2306</v>
      </c>
      <c r="AU225" s="1">
        <v>2216</v>
      </c>
      <c r="AV225" s="1">
        <v>2317</v>
      </c>
      <c r="AW225" s="1">
        <v>2300</v>
      </c>
      <c r="AX225" s="1">
        <v>2549</v>
      </c>
      <c r="AY225" s="1">
        <v>2724</v>
      </c>
      <c r="AZ225" s="1">
        <v>2670</v>
      </c>
      <c r="BA225" s="1">
        <v>2530</v>
      </c>
      <c r="BB225" s="1">
        <v>2521</v>
      </c>
      <c r="BC225" s="1">
        <v>2743</v>
      </c>
      <c r="BD225" s="1">
        <v>2930</v>
      </c>
      <c r="BE225" s="1">
        <v>2947</v>
      </c>
      <c r="BF225" s="1">
        <v>3330</v>
      </c>
      <c r="BG225" s="1">
        <v>2930</v>
      </c>
      <c r="BH225" s="1">
        <v>3820</v>
      </c>
      <c r="BI225" s="1">
        <v>4165</v>
      </c>
      <c r="BJ225" s="1">
        <v>3930</v>
      </c>
      <c r="BK225" s="1">
        <v>3760</v>
      </c>
      <c r="BL225" s="1">
        <v>3155</v>
      </c>
      <c r="BM225" s="1">
        <v>2996</v>
      </c>
      <c r="BN225" s="1">
        <v>2709</v>
      </c>
      <c r="BO225" s="1">
        <v>2818</v>
      </c>
      <c r="BP225" s="1">
        <v>2580</v>
      </c>
      <c r="BQ225" s="1">
        <v>2575</v>
      </c>
      <c r="BR225" s="1">
        <v>2560</v>
      </c>
      <c r="BS225" s="1">
        <v>2560</v>
      </c>
      <c r="BT225" s="1">
        <v>2585</v>
      </c>
      <c r="BU225" s="1">
        <v>2497</v>
      </c>
      <c r="BV225" s="1">
        <v>2499</v>
      </c>
      <c r="BW225" s="1">
        <v>2604</v>
      </c>
      <c r="BX225" s="1">
        <v>2625</v>
      </c>
      <c r="BY225" s="1">
        <v>2385</v>
      </c>
      <c r="BZ225" s="1">
        <v>2240</v>
      </c>
    </row>
    <row r="226" spans="1:78">
      <c r="A226" s="62" t="s">
        <v>439</v>
      </c>
      <c r="B226" s="1" t="str">
        <f>銘柄管理!C226</f>
        <v>ヤクルト</v>
      </c>
      <c r="C226" s="1">
        <f>_xll.RssMarket("2267","高値")</f>
        <v>2821.5</v>
      </c>
      <c r="E226" s="2">
        <v>2824.5</v>
      </c>
      <c r="F226" s="1">
        <v>2801.5</v>
      </c>
      <c r="G226" s="1">
        <v>2828</v>
      </c>
      <c r="H226" s="1">
        <v>2919.5</v>
      </c>
      <c r="I226" s="1">
        <v>2930.5</v>
      </c>
      <c r="J226" s="1">
        <v>2843.5</v>
      </c>
      <c r="K226" s="1">
        <v>2824</v>
      </c>
      <c r="L226" s="1">
        <v>2749.5</v>
      </c>
      <c r="M226" s="1">
        <v>2784.5</v>
      </c>
      <c r="N226" s="1">
        <v>2787</v>
      </c>
      <c r="O226" s="1">
        <v>2885</v>
      </c>
      <c r="P226" s="1">
        <v>2853.5</v>
      </c>
      <c r="Q226" s="1">
        <v>2848.5</v>
      </c>
      <c r="R226" s="1">
        <v>2873</v>
      </c>
      <c r="S226" s="1">
        <v>2883</v>
      </c>
      <c r="T226" s="1">
        <v>2851</v>
      </c>
      <c r="U226" s="1">
        <v>2910</v>
      </c>
      <c r="V226" s="1">
        <v>2933.5</v>
      </c>
      <c r="W226" s="1">
        <v>2912.5</v>
      </c>
      <c r="X226" s="1">
        <v>2910</v>
      </c>
      <c r="Y226" s="1">
        <v>2856</v>
      </c>
      <c r="Z226" s="1">
        <v>2814</v>
      </c>
      <c r="AA226" s="1">
        <v>2741</v>
      </c>
      <c r="AB226" s="1">
        <v>2764</v>
      </c>
      <c r="AC226" s="1">
        <v>2777.5</v>
      </c>
      <c r="AD226" s="1">
        <v>2777</v>
      </c>
      <c r="AE226" s="1">
        <v>2752</v>
      </c>
      <c r="AF226" s="1">
        <v>2742.5</v>
      </c>
      <c r="AG226" s="1">
        <v>2729</v>
      </c>
      <c r="AH226" s="1">
        <v>2719.5</v>
      </c>
      <c r="AI226" s="1">
        <v>2711</v>
      </c>
      <c r="AJ226" s="1">
        <v>2697.5</v>
      </c>
      <c r="AK226" s="1">
        <v>2664</v>
      </c>
      <c r="AL226" s="1">
        <v>2661</v>
      </c>
      <c r="AM226" s="1">
        <v>2686</v>
      </c>
      <c r="AN226" s="1">
        <v>2712.5</v>
      </c>
      <c r="AO226" s="1">
        <v>2721</v>
      </c>
      <c r="AP226" s="1">
        <v>2717</v>
      </c>
      <c r="AQ226" s="1">
        <v>2688</v>
      </c>
      <c r="AR226" s="1">
        <v>2718</v>
      </c>
      <c r="AS226" s="1">
        <v>2709</v>
      </c>
      <c r="AT226" s="1">
        <v>2742</v>
      </c>
      <c r="AU226" s="1">
        <v>2715</v>
      </c>
      <c r="AV226" s="1">
        <v>2709.5</v>
      </c>
      <c r="AW226" s="1">
        <v>2756.5</v>
      </c>
      <c r="AX226" s="1">
        <v>2733.5</v>
      </c>
      <c r="AY226" s="1">
        <v>2827.5</v>
      </c>
      <c r="AZ226" s="1">
        <v>2807</v>
      </c>
      <c r="BA226" s="1">
        <v>2808</v>
      </c>
      <c r="BB226" s="1">
        <v>2847</v>
      </c>
      <c r="BC226" s="1">
        <v>2820</v>
      </c>
      <c r="BD226" s="1">
        <v>2778.5</v>
      </c>
      <c r="BE226" s="1">
        <v>2783</v>
      </c>
      <c r="BF226" s="1">
        <v>2826.5</v>
      </c>
      <c r="BG226" s="1">
        <v>2818.5</v>
      </c>
      <c r="BH226" s="1">
        <v>2938</v>
      </c>
      <c r="BI226" s="1">
        <v>2916.5</v>
      </c>
      <c r="BJ226" s="1">
        <v>3025</v>
      </c>
      <c r="BK226" s="1">
        <v>3057</v>
      </c>
      <c r="BL226" s="1">
        <v>3092</v>
      </c>
      <c r="BM226" s="1">
        <v>2745.5</v>
      </c>
      <c r="BN226" s="1">
        <v>2763.5</v>
      </c>
      <c r="BO226" s="1">
        <v>2779.5</v>
      </c>
      <c r="BP226" s="1">
        <v>2916.5</v>
      </c>
      <c r="BQ226" s="1">
        <v>2642.5</v>
      </c>
      <c r="BR226" s="1">
        <v>2615.5</v>
      </c>
      <c r="BS226" s="1">
        <v>2633.5</v>
      </c>
      <c r="BT226" s="1">
        <v>2680</v>
      </c>
      <c r="BU226" s="1">
        <v>2681</v>
      </c>
      <c r="BV226" s="1">
        <v>2700</v>
      </c>
      <c r="BW226" s="1">
        <v>2724</v>
      </c>
      <c r="BX226" s="1">
        <v>2645</v>
      </c>
      <c r="BY226" s="1">
        <v>2670</v>
      </c>
      <c r="BZ226" s="1">
        <v>2719.5</v>
      </c>
    </row>
    <row r="227" spans="1:78">
      <c r="A227" s="62" t="s">
        <v>440</v>
      </c>
      <c r="B227" s="1" t="str">
        <f>銘柄管理!C227</f>
        <v>ＮＦエネ資源Ｔ１７</v>
      </c>
      <c r="C227" s="1">
        <f>_xll.RssMarket("1618","高値")</f>
        <v>32800</v>
      </c>
      <c r="E227" s="2">
        <v>33100</v>
      </c>
      <c r="F227" s="1">
        <v>33090</v>
      </c>
      <c r="G227" s="1">
        <v>33960</v>
      </c>
      <c r="H227" s="1">
        <v>34040</v>
      </c>
      <c r="I227" s="1">
        <v>33780</v>
      </c>
      <c r="J227" s="1">
        <v>34000</v>
      </c>
      <c r="K227" s="1">
        <v>34140</v>
      </c>
      <c r="L227" s="1">
        <v>34680</v>
      </c>
      <c r="M227" s="1">
        <v>34110</v>
      </c>
      <c r="N227" s="1">
        <v>33770</v>
      </c>
      <c r="O227" s="1">
        <v>33320</v>
      </c>
      <c r="P227" s="1">
        <v>32210</v>
      </c>
      <c r="Q227" s="1">
        <v>32910</v>
      </c>
      <c r="R227" s="1">
        <v>32660</v>
      </c>
      <c r="S227" s="1">
        <v>33770</v>
      </c>
      <c r="T227" s="1">
        <v>32700</v>
      </c>
      <c r="U227" s="1">
        <v>33060</v>
      </c>
      <c r="V227" s="1">
        <v>32730</v>
      </c>
      <c r="W227" s="1">
        <v>32880</v>
      </c>
      <c r="X227" s="1">
        <v>32500</v>
      </c>
      <c r="Y227" s="1">
        <v>31900</v>
      </c>
      <c r="Z227" s="1">
        <v>31540</v>
      </c>
      <c r="AA227" s="1">
        <v>31440</v>
      </c>
      <c r="AB227" s="1">
        <v>31600</v>
      </c>
      <c r="AC227" s="1">
        <v>31670</v>
      </c>
      <c r="AD227" s="1">
        <v>31580</v>
      </c>
      <c r="AE227" s="1">
        <v>32460</v>
      </c>
      <c r="AF227" s="1">
        <v>32230</v>
      </c>
      <c r="AG227" s="1">
        <v>32700</v>
      </c>
      <c r="AH227" s="1">
        <v>32910</v>
      </c>
      <c r="AI227" s="1">
        <v>32950</v>
      </c>
      <c r="AJ227" s="1">
        <v>32660</v>
      </c>
      <c r="AK227" s="1">
        <v>32690</v>
      </c>
      <c r="AL227" s="1">
        <v>32580</v>
      </c>
      <c r="AM227" s="1">
        <v>33760</v>
      </c>
      <c r="AN227" s="1">
        <v>33000</v>
      </c>
      <c r="AO227" s="1">
        <v>33190</v>
      </c>
      <c r="AP227" s="1">
        <v>33360</v>
      </c>
      <c r="AQ227" s="1">
        <v>33540</v>
      </c>
      <c r="AR227" s="1">
        <v>34440</v>
      </c>
      <c r="AS227" s="1">
        <v>34510</v>
      </c>
      <c r="AT227" s="1">
        <v>34950</v>
      </c>
      <c r="AU227" s="1">
        <v>33760</v>
      </c>
      <c r="AV227" s="1">
        <v>34200</v>
      </c>
      <c r="AW227" s="1">
        <v>34190</v>
      </c>
      <c r="AX227" s="1">
        <v>34490</v>
      </c>
      <c r="AY227" s="1">
        <v>35770</v>
      </c>
      <c r="AZ227" s="1">
        <v>34860</v>
      </c>
      <c r="BA227" s="1">
        <v>35900</v>
      </c>
      <c r="BB227" s="1">
        <v>36280</v>
      </c>
      <c r="BC227" s="1">
        <v>36500</v>
      </c>
      <c r="BD227" s="1">
        <v>36950</v>
      </c>
      <c r="BE227" s="1">
        <v>36390</v>
      </c>
      <c r="BF227" s="1">
        <v>36110</v>
      </c>
      <c r="BG227" s="1">
        <v>36600</v>
      </c>
      <c r="BH227" s="1">
        <v>36690</v>
      </c>
      <c r="BI227" s="1">
        <v>35570</v>
      </c>
      <c r="BJ227" s="1">
        <v>35140</v>
      </c>
      <c r="BK227" s="1">
        <v>36060</v>
      </c>
      <c r="BL227" s="1">
        <v>36580</v>
      </c>
      <c r="BM227" s="1">
        <v>37000</v>
      </c>
      <c r="BN227" s="1">
        <v>36270</v>
      </c>
      <c r="BO227" s="1">
        <v>35740</v>
      </c>
      <c r="BP227" s="1">
        <v>36140</v>
      </c>
      <c r="BQ227" s="1">
        <v>35790</v>
      </c>
      <c r="BR227" s="1">
        <v>35980</v>
      </c>
      <c r="BS227" s="1">
        <v>36360</v>
      </c>
      <c r="BT227" s="1">
        <v>36790</v>
      </c>
      <c r="BU227" s="1">
        <v>37830</v>
      </c>
      <c r="BV227" s="1">
        <v>38480</v>
      </c>
      <c r="BW227" s="1">
        <v>38430</v>
      </c>
      <c r="BX227" s="1">
        <v>39000</v>
      </c>
      <c r="BY227" s="1">
        <v>39780</v>
      </c>
      <c r="BZ227" s="1">
        <v>39350</v>
      </c>
    </row>
    <row r="228" spans="1:78">
      <c r="A228" s="62" t="s">
        <v>441</v>
      </c>
      <c r="C228" s="1">
        <f>_xll.RssMarket("3696","高値")</f>
        <v>2090</v>
      </c>
      <c r="E228" s="2"/>
    </row>
    <row r="229" spans="1:78">
      <c r="A229" s="62" t="s">
        <v>442</v>
      </c>
      <c r="B229" s="1" t="str">
        <f>銘柄管理!C229</f>
        <v>児玉化学</v>
      </c>
      <c r="C229" s="1">
        <f>_xll.RssMarket("4222","高値")</f>
        <v>617</v>
      </c>
      <c r="E229" s="2">
        <v>598</v>
      </c>
      <c r="F229" s="1">
        <v>574</v>
      </c>
      <c r="G229" s="1">
        <v>586</v>
      </c>
      <c r="H229" s="1">
        <v>563</v>
      </c>
      <c r="I229" s="1">
        <v>576</v>
      </c>
      <c r="J229" s="1">
        <v>588</v>
      </c>
      <c r="K229" s="1">
        <v>598</v>
      </c>
      <c r="M229" s="1">
        <v>622</v>
      </c>
      <c r="N229" s="1">
        <v>626</v>
      </c>
      <c r="O229" s="1">
        <v>618</v>
      </c>
      <c r="P229" s="1">
        <v>617</v>
      </c>
      <c r="Q229" s="1">
        <v>656</v>
      </c>
      <c r="R229" s="1">
        <v>656</v>
      </c>
      <c r="S229" s="1">
        <v>674</v>
      </c>
      <c r="T229" s="1">
        <v>670</v>
      </c>
      <c r="U229" s="1">
        <v>650</v>
      </c>
      <c r="V229" s="1">
        <v>664</v>
      </c>
      <c r="W229" s="1">
        <v>694</v>
      </c>
      <c r="X229" s="1">
        <v>697</v>
      </c>
      <c r="Y229" s="1">
        <v>681</v>
      </c>
      <c r="Z229" s="1">
        <v>671</v>
      </c>
      <c r="AA229" s="1">
        <v>649</v>
      </c>
      <c r="AB229" s="1">
        <v>660</v>
      </c>
      <c r="AC229" s="1">
        <v>681</v>
      </c>
      <c r="AD229" s="1">
        <v>666</v>
      </c>
      <c r="AE229" s="1">
        <v>681</v>
      </c>
      <c r="AF229" s="1">
        <v>718</v>
      </c>
      <c r="AG229" s="1">
        <v>727</v>
      </c>
      <c r="AH229" s="1">
        <v>759</v>
      </c>
      <c r="AI229" s="1">
        <v>715</v>
      </c>
      <c r="AJ229" s="1">
        <v>741</v>
      </c>
      <c r="AK229" s="1">
        <v>729</v>
      </c>
      <c r="AL229" s="1">
        <v>703</v>
      </c>
      <c r="AM229" s="1">
        <v>710</v>
      </c>
      <c r="AN229" s="1">
        <v>684</v>
      </c>
      <c r="AO229" s="1">
        <v>688</v>
      </c>
      <c r="AP229" s="1">
        <v>691</v>
      </c>
      <c r="AQ229" s="1">
        <v>695</v>
      </c>
      <c r="AR229" s="1">
        <v>725</v>
      </c>
      <c r="AS229" s="1">
        <v>712</v>
      </c>
      <c r="AT229" s="1">
        <v>722</v>
      </c>
      <c r="AU229" s="1">
        <v>703</v>
      </c>
      <c r="AV229" s="1">
        <v>758</v>
      </c>
      <c r="AW229" s="1">
        <v>764</v>
      </c>
      <c r="AX229" s="1">
        <v>790</v>
      </c>
      <c r="AY229" s="1">
        <v>826</v>
      </c>
      <c r="AZ229" s="1">
        <v>802</v>
      </c>
      <c r="BA229" s="1">
        <v>828</v>
      </c>
      <c r="BB229" s="1">
        <v>856</v>
      </c>
      <c r="BC229" s="1">
        <v>896</v>
      </c>
      <c r="BD229" s="1">
        <v>924</v>
      </c>
      <c r="BE229" s="1">
        <v>986</v>
      </c>
      <c r="BF229" s="1">
        <v>1227</v>
      </c>
      <c r="BG229" s="1">
        <v>1260</v>
      </c>
      <c r="BH229" s="1">
        <v>1344</v>
      </c>
      <c r="BI229" s="1">
        <v>1268</v>
      </c>
      <c r="BJ229" s="1">
        <v>1165</v>
      </c>
      <c r="BK229" s="1">
        <v>1157</v>
      </c>
      <c r="BL229" s="1">
        <v>1115</v>
      </c>
      <c r="BM229" s="1">
        <v>1139</v>
      </c>
      <c r="BN229" s="1">
        <v>1165</v>
      </c>
      <c r="BO229" s="1">
        <v>1162</v>
      </c>
      <c r="BP229" s="1">
        <v>1155</v>
      </c>
      <c r="BQ229" s="1">
        <v>1165</v>
      </c>
      <c r="BR229" s="1">
        <v>1184</v>
      </c>
      <c r="BS229" s="1">
        <v>1200</v>
      </c>
      <c r="BT229" s="1">
        <v>1200</v>
      </c>
      <c r="BU229" s="1">
        <v>1179</v>
      </c>
      <c r="BV229" s="1">
        <v>1189</v>
      </c>
      <c r="BW229" s="1">
        <v>1187</v>
      </c>
      <c r="BX229" s="1">
        <v>1158</v>
      </c>
      <c r="BY229" s="1">
        <v>1122</v>
      </c>
      <c r="BZ229" s="1">
        <v>1147</v>
      </c>
    </row>
    <row r="230" spans="1:78">
      <c r="A230" s="62" t="s">
        <v>443</v>
      </c>
      <c r="B230" s="1" t="str">
        <f>銘柄管理!C230</f>
        <v>ＦＯＯＤ＆ＬＩＦＥＣＯＭＰＡＮ</v>
      </c>
      <c r="C230" s="1">
        <f>_xll.RssMarket("3563","高値")</f>
        <v>5832</v>
      </c>
    </row>
    <row r="231" spans="1:78">
      <c r="A231" s="62" t="s">
        <v>444</v>
      </c>
      <c r="B231" s="1" t="str">
        <f>銘柄管理!C231</f>
        <v>ＩＨＩ</v>
      </c>
      <c r="C231" s="1">
        <f>_xll.RssMarket("7013","高値")</f>
        <v>2965</v>
      </c>
      <c r="E231" s="1">
        <v>2922.5</v>
      </c>
      <c r="F231" s="1">
        <v>2804.5</v>
      </c>
      <c r="G231" s="1">
        <v>2914</v>
      </c>
      <c r="H231" s="1">
        <v>2798</v>
      </c>
      <c r="I231" s="1">
        <v>2805.5</v>
      </c>
      <c r="J231" s="1">
        <v>2855</v>
      </c>
      <c r="K231" s="1">
        <v>2925</v>
      </c>
      <c r="M231" s="1">
        <v>2927</v>
      </c>
      <c r="N231" s="1">
        <v>2831</v>
      </c>
      <c r="O231" s="1">
        <v>2834.5</v>
      </c>
      <c r="P231" s="1">
        <v>2860</v>
      </c>
      <c r="Q231" s="1">
        <v>2839.5</v>
      </c>
      <c r="R231" s="1">
        <v>2838.5</v>
      </c>
      <c r="S231" s="1">
        <v>2873</v>
      </c>
      <c r="T231" s="1">
        <v>2852</v>
      </c>
      <c r="U231" s="1">
        <v>2878</v>
      </c>
      <c r="V231" s="1">
        <v>2978</v>
      </c>
      <c r="W231" s="1">
        <v>3150</v>
      </c>
      <c r="X231" s="1">
        <v>3075</v>
      </c>
      <c r="Y231" s="1">
        <v>2879</v>
      </c>
      <c r="Z231" s="1">
        <v>2824</v>
      </c>
      <c r="AA231" s="1">
        <v>2759.5</v>
      </c>
      <c r="AB231" s="1">
        <v>2731.5</v>
      </c>
      <c r="AC231" s="1">
        <v>2760</v>
      </c>
      <c r="AD231" s="1">
        <v>2717.5</v>
      </c>
      <c r="AE231" s="1">
        <v>2839</v>
      </c>
      <c r="AF231" s="1">
        <v>2848</v>
      </c>
      <c r="AG231" s="1">
        <v>2855</v>
      </c>
      <c r="AH231" s="1">
        <v>2864.5</v>
      </c>
      <c r="AI231" s="1">
        <v>2935</v>
      </c>
      <c r="AJ231" s="1">
        <v>3025</v>
      </c>
      <c r="AK231" s="1">
        <v>2958.5</v>
      </c>
      <c r="AL231" s="1">
        <v>2907.5</v>
      </c>
      <c r="AM231" s="1">
        <v>2729</v>
      </c>
      <c r="AN231" s="1">
        <v>2455</v>
      </c>
      <c r="AO231" s="1">
        <v>2375</v>
      </c>
      <c r="AP231" s="1">
        <v>2514</v>
      </c>
      <c r="AQ231" s="1">
        <v>2552.5</v>
      </c>
      <c r="AR231" s="1">
        <v>2635.5</v>
      </c>
      <c r="AS231" s="1">
        <v>2608.5</v>
      </c>
      <c r="AT231" s="1">
        <v>2571.5</v>
      </c>
      <c r="AU231" s="1">
        <v>2640</v>
      </c>
      <c r="AV231" s="1">
        <v>2822.5</v>
      </c>
      <c r="AW231" s="1">
        <v>2835</v>
      </c>
      <c r="AX231" s="1">
        <v>2978</v>
      </c>
      <c r="AY231" s="1">
        <v>2846</v>
      </c>
      <c r="AZ231" s="1">
        <v>2859</v>
      </c>
      <c r="BA231" s="1">
        <v>2722</v>
      </c>
      <c r="BB231" s="1">
        <v>2592.5</v>
      </c>
      <c r="BC231" s="1">
        <v>2693.5</v>
      </c>
      <c r="BD231" s="1">
        <v>2761</v>
      </c>
      <c r="BE231" s="1">
        <v>2734.5</v>
      </c>
      <c r="BF231" s="1">
        <v>2750.5</v>
      </c>
      <c r="BG231" s="1">
        <v>2852</v>
      </c>
      <c r="BH231" s="1">
        <v>2899.5</v>
      </c>
      <c r="BI231" s="1">
        <v>2958</v>
      </c>
      <c r="BJ231" s="1">
        <v>3323</v>
      </c>
      <c r="BK231" s="1">
        <v>3068</v>
      </c>
      <c r="BL231" s="1">
        <v>2920</v>
      </c>
      <c r="BM231" s="1">
        <v>2988</v>
      </c>
      <c r="BN231" s="1">
        <v>3020</v>
      </c>
      <c r="BO231" s="1">
        <v>2941</v>
      </c>
      <c r="BP231" s="1">
        <v>3075</v>
      </c>
      <c r="BQ231" s="1">
        <v>3108</v>
      </c>
      <c r="BR231" s="1">
        <v>3069</v>
      </c>
      <c r="BS231" s="1">
        <v>3137</v>
      </c>
      <c r="BT231" s="1">
        <v>3183</v>
      </c>
      <c r="BU231" s="1">
        <v>3186</v>
      </c>
      <c r="BV231" s="1">
        <v>3227</v>
      </c>
      <c r="BW231" s="1">
        <v>3311</v>
      </c>
      <c r="BX231" s="1">
        <v>3356</v>
      </c>
      <c r="BY231" s="1">
        <v>3414</v>
      </c>
      <c r="BZ231" s="1">
        <v>3375</v>
      </c>
    </row>
    <row r="232" spans="1:78">
      <c r="A232" s="62" t="s">
        <v>445</v>
      </c>
      <c r="B232" s="1" t="str">
        <f>銘柄管理!C232</f>
        <v>ＮＥＣキャピタルソリューション</v>
      </c>
      <c r="C232" s="1">
        <f>_xll.RssMarket("8793","高値")</f>
        <v>4055</v>
      </c>
      <c r="E232" s="1">
        <v>4110</v>
      </c>
      <c r="F232" s="1">
        <v>4115</v>
      </c>
      <c r="G232" s="1">
        <v>4210</v>
      </c>
      <c r="H232" s="1">
        <v>4205</v>
      </c>
      <c r="I232" s="1">
        <v>4210</v>
      </c>
      <c r="J232" s="1">
        <v>4115</v>
      </c>
      <c r="K232" s="1">
        <v>4120</v>
      </c>
      <c r="L232" s="1">
        <v>4105</v>
      </c>
      <c r="M232" s="1">
        <v>4115</v>
      </c>
      <c r="N232" s="1">
        <v>4125</v>
      </c>
      <c r="O232" s="1">
        <v>4110</v>
      </c>
      <c r="P232" s="1">
        <v>4105</v>
      </c>
      <c r="Q232" s="1">
        <v>4165</v>
      </c>
      <c r="R232" s="1">
        <v>4165</v>
      </c>
      <c r="S232" s="1">
        <v>4180</v>
      </c>
      <c r="T232" s="1">
        <v>4175</v>
      </c>
      <c r="U232" s="1">
        <v>4155</v>
      </c>
      <c r="V232" s="1">
        <v>4140</v>
      </c>
      <c r="W232" s="1">
        <v>4135</v>
      </c>
      <c r="X232" s="1">
        <v>4085</v>
      </c>
      <c r="Y232" s="1">
        <v>4040</v>
      </c>
      <c r="Z232" s="1">
        <v>4040</v>
      </c>
      <c r="AA232" s="1">
        <v>4010</v>
      </c>
      <c r="AB232" s="1">
        <v>4015</v>
      </c>
      <c r="AC232" s="1">
        <v>4045</v>
      </c>
      <c r="AD232" s="1">
        <v>4015</v>
      </c>
      <c r="AE232" s="1">
        <v>4045</v>
      </c>
      <c r="AF232" s="1">
        <v>4050</v>
      </c>
      <c r="AG232" s="1">
        <v>4065</v>
      </c>
      <c r="AH232" s="1">
        <v>4090</v>
      </c>
      <c r="AI232" s="1">
        <v>4135</v>
      </c>
      <c r="AJ232" s="1">
        <v>4145</v>
      </c>
      <c r="AK232" s="1">
        <v>4180</v>
      </c>
      <c r="AL232" s="1">
        <v>4165</v>
      </c>
      <c r="AM232" s="1">
        <v>4185</v>
      </c>
      <c r="AN232" s="1">
        <v>4185</v>
      </c>
      <c r="AO232" s="1">
        <v>4160</v>
      </c>
      <c r="AP232" s="1">
        <v>4230</v>
      </c>
      <c r="AQ232" s="1">
        <v>4070</v>
      </c>
      <c r="AR232" s="1">
        <v>4045</v>
      </c>
      <c r="AS232" s="1">
        <v>3960</v>
      </c>
      <c r="AT232" s="1">
        <v>3930</v>
      </c>
      <c r="AU232" s="1">
        <v>3915</v>
      </c>
      <c r="AV232" s="1">
        <v>4020</v>
      </c>
      <c r="AW232" s="1">
        <v>3960</v>
      </c>
      <c r="AX232" s="1">
        <v>3975</v>
      </c>
      <c r="AY232" s="1">
        <v>3980</v>
      </c>
      <c r="AZ232" s="1">
        <v>4025</v>
      </c>
      <c r="BA232" s="1">
        <v>4030</v>
      </c>
      <c r="BB232" s="1">
        <v>3980</v>
      </c>
      <c r="BC232" s="1">
        <v>3985</v>
      </c>
      <c r="BD232" s="1">
        <v>3975</v>
      </c>
      <c r="BE232" s="1">
        <v>4020</v>
      </c>
      <c r="BF232" s="1">
        <v>4010</v>
      </c>
      <c r="BG232" s="1">
        <v>4040</v>
      </c>
      <c r="BH232" s="1">
        <v>4055</v>
      </c>
      <c r="BI232" s="1">
        <v>4060</v>
      </c>
      <c r="BJ232" s="1">
        <v>4065</v>
      </c>
      <c r="BK232" s="1">
        <v>4060</v>
      </c>
      <c r="BL232" s="1">
        <v>4090</v>
      </c>
      <c r="BM232" s="1">
        <v>4200</v>
      </c>
      <c r="BN232" s="1">
        <v>4280</v>
      </c>
      <c r="BO232" s="1">
        <v>4280</v>
      </c>
      <c r="BP232" s="1">
        <v>4270</v>
      </c>
      <c r="BQ232" s="1">
        <v>4215</v>
      </c>
      <c r="BR232" s="1">
        <v>4270</v>
      </c>
      <c r="BS232" s="1">
        <v>4315</v>
      </c>
      <c r="BT232" s="1">
        <v>4285</v>
      </c>
      <c r="BU232" s="1">
        <v>4295</v>
      </c>
      <c r="BV232" s="1">
        <v>4320</v>
      </c>
      <c r="BW232" s="1">
        <v>4275</v>
      </c>
      <c r="BX232" s="1">
        <v>4215</v>
      </c>
      <c r="BY232" s="1">
        <v>4190</v>
      </c>
      <c r="BZ232" s="1">
        <v>4245</v>
      </c>
    </row>
    <row r="233" spans="1:78">
      <c r="A233" s="62" t="s">
        <v>446</v>
      </c>
      <c r="B233" s="1" t="str">
        <f>銘柄管理!C233</f>
        <v>ミスミグループ本社</v>
      </c>
      <c r="C233" s="1">
        <f>_xll.RssMarket("9962","高値")</f>
        <v>4071</v>
      </c>
      <c r="E233" s="1">
        <v>4178</v>
      </c>
      <c r="F233" s="1">
        <v>4066</v>
      </c>
      <c r="G233" s="1">
        <v>4001</v>
      </c>
      <c r="H233" s="1">
        <v>3511</v>
      </c>
      <c r="I233" s="1">
        <v>3566</v>
      </c>
      <c r="J233" s="1">
        <v>3568</v>
      </c>
      <c r="K233" s="1">
        <v>3677</v>
      </c>
      <c r="L233" s="1">
        <v>3708</v>
      </c>
      <c r="M233" s="1">
        <v>3770</v>
      </c>
      <c r="N233" s="1">
        <v>3801</v>
      </c>
      <c r="O233" s="1">
        <v>3772</v>
      </c>
      <c r="P233" s="1">
        <v>3738</v>
      </c>
      <c r="Q233" s="1">
        <v>3869</v>
      </c>
      <c r="R233" s="1">
        <v>3800</v>
      </c>
      <c r="S233" s="1">
        <v>4025</v>
      </c>
      <c r="T233" s="1">
        <v>4099</v>
      </c>
      <c r="U233" s="1">
        <v>4040</v>
      </c>
      <c r="V233" s="1">
        <v>3998</v>
      </c>
      <c r="W233" s="1">
        <v>4143</v>
      </c>
      <c r="X233" s="1">
        <v>4204</v>
      </c>
      <c r="Y233" s="1">
        <v>4187</v>
      </c>
      <c r="Z233" s="1">
        <v>4103</v>
      </c>
      <c r="AA233" s="1">
        <v>4038</v>
      </c>
      <c r="AB233" s="1">
        <v>4010</v>
      </c>
      <c r="AC233" s="1">
        <v>3932</v>
      </c>
      <c r="AD233" s="1">
        <v>3977</v>
      </c>
      <c r="AE233" s="1">
        <v>3873</v>
      </c>
      <c r="AF233" s="1">
        <v>3773</v>
      </c>
      <c r="AG233" s="1">
        <v>3870</v>
      </c>
      <c r="AH233" s="1">
        <v>3923</v>
      </c>
      <c r="AI233" s="1">
        <v>3969</v>
      </c>
      <c r="AJ233" s="1">
        <v>3924</v>
      </c>
      <c r="AK233" s="1">
        <v>3915</v>
      </c>
      <c r="AL233" s="1">
        <v>3945</v>
      </c>
      <c r="AM233" s="1">
        <v>3862</v>
      </c>
      <c r="AN233" s="1">
        <v>3818</v>
      </c>
      <c r="AO233" s="1">
        <v>3645</v>
      </c>
      <c r="AP233" s="1">
        <v>3643</v>
      </c>
      <c r="AQ233" s="1">
        <v>3643</v>
      </c>
      <c r="AR233" s="1">
        <v>3788</v>
      </c>
      <c r="AS233" s="1">
        <v>3805</v>
      </c>
      <c r="AT233" s="1">
        <v>3841</v>
      </c>
      <c r="AU233" s="1">
        <v>3680</v>
      </c>
      <c r="AV233" s="1">
        <v>3814</v>
      </c>
      <c r="AW233" s="1">
        <v>3663</v>
      </c>
      <c r="AX233" s="1">
        <v>3654</v>
      </c>
      <c r="AY233" s="1">
        <v>3509</v>
      </c>
      <c r="AZ233" s="1">
        <v>3491</v>
      </c>
      <c r="BA233" s="1">
        <v>3300</v>
      </c>
      <c r="BB233" s="1">
        <v>3135</v>
      </c>
      <c r="BC233" s="1">
        <v>3212</v>
      </c>
      <c r="BD233" s="1">
        <v>3195</v>
      </c>
      <c r="BE233" s="1">
        <v>3403</v>
      </c>
      <c r="BF233" s="1">
        <v>3486</v>
      </c>
      <c r="BG233" s="1">
        <v>3385</v>
      </c>
      <c r="BH233" s="1">
        <v>3493</v>
      </c>
      <c r="BI233" s="1">
        <v>3487</v>
      </c>
      <c r="BJ233" s="1">
        <v>3530</v>
      </c>
      <c r="BK233" s="1">
        <v>3545</v>
      </c>
      <c r="BL233" s="1">
        <v>3500</v>
      </c>
      <c r="BM233" s="1">
        <v>3723</v>
      </c>
      <c r="BN233" s="1">
        <v>3395</v>
      </c>
      <c r="BO233" s="1">
        <v>3393</v>
      </c>
      <c r="BP233" s="1">
        <v>3042</v>
      </c>
      <c r="BQ233" s="1">
        <v>3078</v>
      </c>
      <c r="BR233" s="1">
        <v>3113</v>
      </c>
      <c r="BS233" s="1">
        <v>3166</v>
      </c>
      <c r="BT233" s="1">
        <v>3156</v>
      </c>
      <c r="BU233" s="1">
        <v>3060</v>
      </c>
      <c r="BV233" s="1">
        <v>3072</v>
      </c>
      <c r="BW233" s="1">
        <v>3034</v>
      </c>
      <c r="BX233" s="1">
        <v>3032</v>
      </c>
      <c r="BY233" s="1">
        <v>2998.5</v>
      </c>
      <c r="BZ233" s="1">
        <v>3038</v>
      </c>
    </row>
    <row r="234" spans="1:78">
      <c r="A234" s="62" t="s">
        <v>447</v>
      </c>
      <c r="B234" s="1" t="str">
        <f>銘柄管理!C234</f>
        <v>ＴＤＫ</v>
      </c>
      <c r="C234" s="1">
        <f>_xll.RssMarket("6762","高値")</f>
        <v>3199</v>
      </c>
      <c r="E234" s="1">
        <v>3189</v>
      </c>
      <c r="F234" s="1">
        <v>3282</v>
      </c>
      <c r="G234" s="1">
        <v>3100</v>
      </c>
      <c r="H234" s="1">
        <v>2928.5</v>
      </c>
      <c r="I234" s="1">
        <v>2964.5</v>
      </c>
      <c r="J234" s="1">
        <v>2993</v>
      </c>
      <c r="K234" s="1">
        <v>3060</v>
      </c>
      <c r="L234" s="1">
        <v>3097</v>
      </c>
      <c r="M234" s="1">
        <v>3196</v>
      </c>
      <c r="N234" s="1">
        <v>3195</v>
      </c>
      <c r="O234" s="1">
        <v>3085</v>
      </c>
      <c r="P234" s="1">
        <v>3024</v>
      </c>
      <c r="Q234" s="1">
        <v>3273</v>
      </c>
      <c r="R234" s="1">
        <v>3265</v>
      </c>
      <c r="S234" s="1">
        <v>3402</v>
      </c>
      <c r="T234" s="1">
        <v>3460</v>
      </c>
      <c r="U234" s="1">
        <v>3422</v>
      </c>
      <c r="V234" s="1">
        <v>3440</v>
      </c>
      <c r="W234" s="1">
        <v>3513</v>
      </c>
      <c r="X234" s="1">
        <v>3705</v>
      </c>
      <c r="Y234" s="1">
        <v>3736</v>
      </c>
      <c r="Z234" s="1">
        <v>3768</v>
      </c>
      <c r="AA234" s="1">
        <v>3762</v>
      </c>
      <c r="AB234" s="1">
        <v>3665</v>
      </c>
      <c r="AC234" s="1">
        <v>3615</v>
      </c>
      <c r="AD234" s="1">
        <v>3831</v>
      </c>
      <c r="AE234" s="1">
        <v>3933</v>
      </c>
      <c r="AF234" s="1">
        <v>3957</v>
      </c>
      <c r="AG234" s="1">
        <v>4189</v>
      </c>
      <c r="AH234" s="1">
        <v>4123</v>
      </c>
      <c r="AI234" s="1">
        <v>3995</v>
      </c>
      <c r="AJ234" s="1">
        <v>4094</v>
      </c>
      <c r="AK234" s="1">
        <v>3888</v>
      </c>
      <c r="AL234" s="1">
        <v>3962</v>
      </c>
      <c r="AM234" s="1">
        <v>3928</v>
      </c>
      <c r="AN234" s="1">
        <v>3756</v>
      </c>
      <c r="AO234" s="1">
        <v>3575</v>
      </c>
      <c r="AP234" s="1">
        <v>3833</v>
      </c>
      <c r="AQ234" s="1">
        <v>3824</v>
      </c>
      <c r="AR234" s="1">
        <v>4174</v>
      </c>
      <c r="AS234" s="1">
        <v>3995</v>
      </c>
      <c r="AT234" s="1">
        <v>4068</v>
      </c>
      <c r="AU234" s="1">
        <v>4095</v>
      </c>
      <c r="AV234" s="1">
        <v>4200</v>
      </c>
      <c r="AW234" s="1">
        <v>3911</v>
      </c>
      <c r="AX234" s="1">
        <v>3803</v>
      </c>
      <c r="AY234" s="1">
        <v>3795</v>
      </c>
      <c r="AZ234" s="1">
        <v>3383</v>
      </c>
      <c r="BA234" s="1">
        <v>3236</v>
      </c>
      <c r="BB234" s="1">
        <v>2959</v>
      </c>
      <c r="BC234" s="1">
        <v>3026</v>
      </c>
      <c r="BD234" s="1">
        <v>3019</v>
      </c>
      <c r="BE234" s="1">
        <v>3185</v>
      </c>
      <c r="BF234" s="1">
        <v>3118</v>
      </c>
      <c r="BG234" s="1">
        <v>2949.5</v>
      </c>
      <c r="BH234" s="1">
        <v>2984</v>
      </c>
      <c r="BI234" s="1">
        <v>3015</v>
      </c>
      <c r="BJ234" s="1">
        <v>2996.5</v>
      </c>
      <c r="BK234" s="1">
        <v>2955.5</v>
      </c>
      <c r="BL234" s="1">
        <v>2956</v>
      </c>
      <c r="BM234" s="1">
        <v>2985</v>
      </c>
      <c r="BN234" s="1">
        <v>2752.5</v>
      </c>
      <c r="BO234" s="1">
        <v>2768</v>
      </c>
      <c r="BP234" s="1">
        <v>2765.5</v>
      </c>
      <c r="BQ234" s="1">
        <v>2772</v>
      </c>
      <c r="BR234" s="1">
        <v>2725</v>
      </c>
      <c r="BS234" s="1">
        <v>2576</v>
      </c>
      <c r="BT234" s="1">
        <v>2621</v>
      </c>
      <c r="BU234" s="1">
        <v>2632.5</v>
      </c>
      <c r="BV234" s="1">
        <v>2548.5</v>
      </c>
      <c r="BW234" s="1">
        <v>2308</v>
      </c>
      <c r="BX234" s="1">
        <v>2310</v>
      </c>
      <c r="BY234" s="1">
        <v>2314.5</v>
      </c>
      <c r="BZ234" s="1">
        <v>2322</v>
      </c>
    </row>
    <row r="235" spans="1:78">
      <c r="A235" s="62" t="s">
        <v>448</v>
      </c>
      <c r="B235" s="1" t="str">
        <f>銘柄管理!C235</f>
        <v>ＦＩＧ</v>
      </c>
      <c r="C235" s="1">
        <f>_xll.RssMarket("4392","高値")</f>
        <v>941</v>
      </c>
      <c r="E235" s="1">
        <v>884</v>
      </c>
      <c r="F235" s="1">
        <v>866</v>
      </c>
      <c r="G235" s="1">
        <v>907</v>
      </c>
      <c r="H235" s="1">
        <v>855</v>
      </c>
      <c r="I235" s="1">
        <v>907</v>
      </c>
      <c r="J235" s="1">
        <v>933</v>
      </c>
      <c r="K235" s="1">
        <v>1024</v>
      </c>
      <c r="L235" s="1">
        <v>1047</v>
      </c>
      <c r="M235" s="1">
        <v>1098</v>
      </c>
      <c r="N235" s="1">
        <v>1150</v>
      </c>
      <c r="O235" s="1">
        <v>1082</v>
      </c>
      <c r="P235" s="1">
        <v>1104</v>
      </c>
      <c r="Q235" s="1">
        <v>1138</v>
      </c>
      <c r="R235" s="1">
        <v>1038</v>
      </c>
      <c r="S235" s="1">
        <v>1115</v>
      </c>
      <c r="T235" s="1">
        <v>1135</v>
      </c>
      <c r="U235" s="1">
        <v>1110</v>
      </c>
      <c r="V235" s="1">
        <v>1105</v>
      </c>
      <c r="W235" s="1">
        <v>1155</v>
      </c>
      <c r="X235" s="1">
        <v>1220</v>
      </c>
      <c r="Y235" s="1">
        <v>1185</v>
      </c>
      <c r="Z235" s="1">
        <v>1162</v>
      </c>
      <c r="AA235" s="1">
        <v>1170</v>
      </c>
      <c r="AB235" s="1">
        <v>1142</v>
      </c>
      <c r="AC235" s="1">
        <v>1152</v>
      </c>
      <c r="AD235" s="1">
        <v>1132</v>
      </c>
      <c r="AE235" s="1">
        <v>1230</v>
      </c>
      <c r="AF235" s="1">
        <v>1220</v>
      </c>
      <c r="AG235" s="1">
        <v>1209</v>
      </c>
      <c r="AH235" s="1">
        <v>1294</v>
      </c>
      <c r="AI235" s="1">
        <v>1305</v>
      </c>
      <c r="AJ235" s="1">
        <v>1358</v>
      </c>
      <c r="AK235" s="1">
        <v>1295</v>
      </c>
      <c r="AL235" s="1">
        <v>1320</v>
      </c>
      <c r="AM235" s="1">
        <v>1456</v>
      </c>
      <c r="AN235" s="1">
        <v>1532</v>
      </c>
      <c r="AO235" s="1">
        <v>1771</v>
      </c>
      <c r="AP235" s="1">
        <v>1693</v>
      </c>
      <c r="AQ235" s="1">
        <v>1650</v>
      </c>
      <c r="AR235" s="1">
        <v>1546</v>
      </c>
      <c r="AS235" s="1">
        <v>1597</v>
      </c>
      <c r="AT235" s="1">
        <v>1707</v>
      </c>
      <c r="AU235" s="1">
        <v>1915</v>
      </c>
      <c r="AV235" s="1">
        <v>2200</v>
      </c>
      <c r="AW235" s="1">
        <v>2458</v>
      </c>
      <c r="AX235" s="1">
        <v>3075</v>
      </c>
      <c r="AY235" s="1">
        <v>2185</v>
      </c>
      <c r="AZ235" s="1">
        <v>2045</v>
      </c>
      <c r="BA235" s="1">
        <v>1981</v>
      </c>
      <c r="BB235" s="1">
        <v>1966</v>
      </c>
      <c r="BC235" s="1">
        <v>1360</v>
      </c>
      <c r="BD235" s="1">
        <v>1060</v>
      </c>
      <c r="BE235" s="1">
        <v>910</v>
      </c>
      <c r="BF235" s="1">
        <v>880</v>
      </c>
      <c r="BG235" s="1">
        <v>840</v>
      </c>
      <c r="BH235" s="1">
        <v>874</v>
      </c>
      <c r="BI235" s="1">
        <v>509</v>
      </c>
      <c r="BJ235" s="1">
        <v>429</v>
      </c>
      <c r="BK235" s="1">
        <v>354</v>
      </c>
      <c r="BL235" s="1">
        <v>346</v>
      </c>
      <c r="BM235" s="1">
        <v>352</v>
      </c>
      <c r="BN235" s="1">
        <v>367</v>
      </c>
      <c r="BO235" s="1">
        <v>360</v>
      </c>
      <c r="BP235" s="1">
        <v>352</v>
      </c>
      <c r="BQ235" s="1">
        <v>360</v>
      </c>
      <c r="BR235" s="1">
        <v>355</v>
      </c>
      <c r="BS235" s="1">
        <v>351</v>
      </c>
      <c r="BT235" s="1">
        <v>339</v>
      </c>
      <c r="BU235" s="1">
        <v>330</v>
      </c>
      <c r="BV235" s="1">
        <v>331</v>
      </c>
      <c r="BW235" s="1">
        <v>327</v>
      </c>
      <c r="BX235" s="1">
        <v>326</v>
      </c>
      <c r="BY235" s="1">
        <v>324</v>
      </c>
      <c r="BZ235" s="1">
        <v>329</v>
      </c>
    </row>
    <row r="236" spans="1:78">
      <c r="A236" s="62" t="s">
        <v>449</v>
      </c>
      <c r="B236" s="1" t="str">
        <f>銘柄管理!C236</f>
        <v>スクロール</v>
      </c>
      <c r="C236" s="1">
        <f>_xll.RssMarket("8005","高値")</f>
        <v>1846</v>
      </c>
      <c r="E236" s="1">
        <v>1864</v>
      </c>
      <c r="F236" s="1">
        <v>1849</v>
      </c>
      <c r="G236" s="1">
        <v>1718</v>
      </c>
      <c r="H236" s="1">
        <v>1730</v>
      </c>
      <c r="I236" s="1">
        <v>1744</v>
      </c>
      <c r="J236" s="1">
        <v>1724</v>
      </c>
      <c r="K236" s="1">
        <v>1717</v>
      </c>
      <c r="L236" s="1">
        <v>1707</v>
      </c>
      <c r="M236" s="1">
        <v>1719</v>
      </c>
      <c r="N236" s="1">
        <v>1744</v>
      </c>
      <c r="O236" s="1">
        <v>1742</v>
      </c>
      <c r="P236" s="1">
        <v>1739</v>
      </c>
      <c r="Q236" s="1">
        <v>1747</v>
      </c>
      <c r="R236" s="1">
        <v>1744</v>
      </c>
      <c r="S236" s="1">
        <v>1732</v>
      </c>
      <c r="T236" s="1">
        <v>1722</v>
      </c>
      <c r="U236" s="1">
        <v>1720</v>
      </c>
      <c r="V236" s="1">
        <v>1737</v>
      </c>
      <c r="W236" s="1">
        <v>1720</v>
      </c>
      <c r="X236" s="1">
        <v>1706</v>
      </c>
      <c r="Y236" s="1">
        <v>1687</v>
      </c>
      <c r="Z236" s="1">
        <v>1645</v>
      </c>
      <c r="AA236" s="1">
        <v>1631</v>
      </c>
      <c r="AB236" s="1">
        <v>1647</v>
      </c>
      <c r="AC236" s="1">
        <v>1655</v>
      </c>
      <c r="AD236" s="1">
        <v>1652</v>
      </c>
      <c r="AE236" s="1">
        <v>1652</v>
      </c>
      <c r="AF236" s="1">
        <v>1649</v>
      </c>
      <c r="AG236" s="1">
        <v>1645</v>
      </c>
      <c r="AH236" s="1">
        <v>1644</v>
      </c>
      <c r="AI236" s="1">
        <v>1656</v>
      </c>
      <c r="AJ236" s="1">
        <v>1669</v>
      </c>
      <c r="AK236" s="1">
        <v>1657</v>
      </c>
      <c r="AL236" s="1">
        <v>1638</v>
      </c>
      <c r="AM236" s="1">
        <v>1631</v>
      </c>
      <c r="AN236" s="1">
        <v>1630</v>
      </c>
      <c r="AO236" s="1">
        <v>1639</v>
      </c>
      <c r="AP236" s="1">
        <v>1642</v>
      </c>
      <c r="AQ236" s="1">
        <v>1627</v>
      </c>
      <c r="AR236" s="1">
        <v>1644</v>
      </c>
      <c r="AS236" s="1">
        <v>1649</v>
      </c>
      <c r="AT236" s="1">
        <v>1655</v>
      </c>
      <c r="AU236" s="1">
        <v>1676</v>
      </c>
      <c r="AV236" s="1">
        <v>1667</v>
      </c>
      <c r="AW236" s="1">
        <v>1639</v>
      </c>
      <c r="AX236" s="1">
        <v>1642</v>
      </c>
      <c r="AY236" s="1">
        <v>1645</v>
      </c>
      <c r="AZ236" s="1">
        <v>1651</v>
      </c>
      <c r="BA236" s="1">
        <v>1670</v>
      </c>
      <c r="BB236" s="1">
        <v>1669</v>
      </c>
      <c r="BC236" s="1">
        <v>1685</v>
      </c>
      <c r="BD236" s="1">
        <v>1662</v>
      </c>
      <c r="BE236" s="1">
        <v>1664</v>
      </c>
      <c r="BF236" s="1">
        <v>1644</v>
      </c>
      <c r="BG236" s="1">
        <v>1678</v>
      </c>
      <c r="BH236" s="1">
        <v>1705</v>
      </c>
      <c r="BI236" s="1">
        <v>1805</v>
      </c>
      <c r="BJ236" s="1">
        <v>1597</v>
      </c>
      <c r="BK236" s="1">
        <v>1330</v>
      </c>
      <c r="BL236" s="1">
        <v>1322</v>
      </c>
      <c r="BM236" s="1">
        <v>1326</v>
      </c>
      <c r="BN236" s="1">
        <v>1333</v>
      </c>
      <c r="BO236" s="1">
        <v>1327</v>
      </c>
      <c r="BP236" s="1">
        <v>1322</v>
      </c>
      <c r="BQ236" s="1">
        <v>1324</v>
      </c>
      <c r="BR236" s="1">
        <v>1345</v>
      </c>
      <c r="BS236" s="1">
        <v>1365</v>
      </c>
      <c r="BT236" s="1">
        <v>1357</v>
      </c>
      <c r="BU236" s="1">
        <v>1360</v>
      </c>
      <c r="BV236" s="1">
        <v>1363</v>
      </c>
      <c r="BW236" s="1">
        <v>1345</v>
      </c>
      <c r="BX236" s="1">
        <v>1322</v>
      </c>
      <c r="BY236" s="1">
        <v>1333</v>
      </c>
      <c r="BZ236" s="1">
        <v>1356</v>
      </c>
    </row>
    <row r="237" spans="1:78">
      <c r="A237" s="62" t="s">
        <v>450</v>
      </c>
      <c r="B237" s="1" t="str">
        <f>銘柄管理!C237</f>
        <v>デジタルアーツ</v>
      </c>
      <c r="C237" s="1">
        <f>_xll.RssMarket("2326","高値")</f>
        <v>4390</v>
      </c>
      <c r="E237" s="1">
        <v>4475</v>
      </c>
      <c r="F237" s="1">
        <v>4295</v>
      </c>
      <c r="G237" s="1">
        <v>4090</v>
      </c>
      <c r="H237" s="1">
        <v>4220</v>
      </c>
      <c r="I237" s="1">
        <v>4185</v>
      </c>
      <c r="J237" s="1">
        <v>4130</v>
      </c>
      <c r="K237" s="1">
        <v>4050</v>
      </c>
      <c r="L237" s="1">
        <v>4005</v>
      </c>
      <c r="M237" s="1">
        <v>4040</v>
      </c>
      <c r="N237" s="1">
        <v>4065</v>
      </c>
      <c r="O237" s="1">
        <v>4175</v>
      </c>
      <c r="P237" s="1">
        <v>4060</v>
      </c>
      <c r="Q237" s="1">
        <v>4035</v>
      </c>
      <c r="R237" s="1">
        <v>4065</v>
      </c>
      <c r="S237" s="1">
        <v>4000</v>
      </c>
      <c r="T237" s="1">
        <v>3995</v>
      </c>
      <c r="U237" s="1">
        <v>3935</v>
      </c>
      <c r="V237" s="1">
        <v>3970</v>
      </c>
      <c r="W237" s="1">
        <v>3960</v>
      </c>
      <c r="X237" s="1">
        <v>3915</v>
      </c>
      <c r="Y237" s="1">
        <v>3915</v>
      </c>
      <c r="Z237" s="1">
        <v>3805</v>
      </c>
      <c r="AA237" s="1">
        <v>3720</v>
      </c>
      <c r="AB237" s="1">
        <v>3740</v>
      </c>
      <c r="AC237" s="1">
        <v>3720</v>
      </c>
      <c r="AD237" s="1">
        <v>3635</v>
      </c>
      <c r="AE237" s="1">
        <v>3610</v>
      </c>
      <c r="AF237" s="1">
        <v>3595</v>
      </c>
      <c r="AG237" s="1">
        <v>3610</v>
      </c>
      <c r="AH237" s="1">
        <v>3625</v>
      </c>
      <c r="AI237" s="1">
        <v>3620</v>
      </c>
      <c r="AJ237" s="1">
        <v>3655</v>
      </c>
      <c r="AK237" s="1">
        <v>3650</v>
      </c>
      <c r="AL237" s="1">
        <v>3620</v>
      </c>
      <c r="AM237" s="1">
        <v>3660</v>
      </c>
      <c r="AN237" s="1">
        <v>3610</v>
      </c>
      <c r="AO237" s="1">
        <v>3675</v>
      </c>
      <c r="AP237" s="1">
        <v>3700</v>
      </c>
      <c r="AQ237" s="1">
        <v>3845</v>
      </c>
      <c r="AR237" s="1">
        <v>3880</v>
      </c>
      <c r="AS237" s="1">
        <v>3735</v>
      </c>
      <c r="AT237" s="1">
        <v>3745</v>
      </c>
      <c r="AU237" s="1">
        <v>3865</v>
      </c>
      <c r="AV237" s="1">
        <v>4090</v>
      </c>
      <c r="AW237" s="1">
        <v>4085</v>
      </c>
      <c r="AX237" s="1">
        <v>4160</v>
      </c>
      <c r="AY237" s="1">
        <v>4185</v>
      </c>
      <c r="AZ237" s="1">
        <v>4150</v>
      </c>
      <c r="BA237" s="1">
        <v>4165</v>
      </c>
      <c r="BB237" s="1">
        <v>4295</v>
      </c>
      <c r="BC237" s="1">
        <v>4420</v>
      </c>
      <c r="BD237" s="1">
        <v>4290</v>
      </c>
      <c r="BE237" s="1">
        <v>4240</v>
      </c>
      <c r="BF237" s="1">
        <v>4035</v>
      </c>
      <c r="BG237" s="1">
        <v>4150</v>
      </c>
      <c r="BH237" s="1">
        <v>4155</v>
      </c>
      <c r="BI237" s="1">
        <v>4315</v>
      </c>
      <c r="BJ237" s="1">
        <v>4940</v>
      </c>
      <c r="BK237" s="1">
        <v>5990</v>
      </c>
      <c r="BL237" s="1">
        <v>5640</v>
      </c>
      <c r="BM237" s="1">
        <v>5620</v>
      </c>
      <c r="BN237" s="1">
        <v>5550</v>
      </c>
      <c r="BO237" s="1">
        <v>5570</v>
      </c>
      <c r="BP237" s="1">
        <v>5640</v>
      </c>
      <c r="BQ237" s="1">
        <v>6010</v>
      </c>
      <c r="BR237" s="1">
        <v>6120</v>
      </c>
      <c r="BS237" s="1">
        <v>6020</v>
      </c>
      <c r="BT237" s="1">
        <v>6000</v>
      </c>
      <c r="BU237" s="1">
        <v>5880</v>
      </c>
      <c r="BV237" s="1">
        <v>5920</v>
      </c>
      <c r="BW237" s="1">
        <v>5630</v>
      </c>
      <c r="BX237" s="1">
        <v>5620</v>
      </c>
      <c r="BY237" s="1">
        <v>5460</v>
      </c>
      <c r="BZ237" s="1">
        <v>5460</v>
      </c>
    </row>
    <row r="238" spans="1:78">
      <c r="A238" s="62" t="s">
        <v>451</v>
      </c>
      <c r="B238" s="1" t="str">
        <f>銘柄管理!C238</f>
        <v>ＴＯＡ</v>
      </c>
      <c r="C238" s="1">
        <f>_xll.RssMarket("6809","高値")</f>
        <v>1664</v>
      </c>
      <c r="E238" s="1">
        <v>1625</v>
      </c>
      <c r="F238" s="1">
        <v>1621</v>
      </c>
      <c r="G238" s="1">
        <v>1641</v>
      </c>
      <c r="H238" s="1">
        <v>1642</v>
      </c>
      <c r="I238" s="1">
        <v>1645</v>
      </c>
      <c r="J238" s="1">
        <v>1645</v>
      </c>
      <c r="K238" s="1">
        <v>1642</v>
      </c>
      <c r="M238" s="1">
        <v>1630</v>
      </c>
      <c r="N238" s="1">
        <v>1634</v>
      </c>
      <c r="O238" s="1">
        <v>1623</v>
      </c>
      <c r="P238" s="1">
        <v>1591</v>
      </c>
      <c r="Q238" s="1">
        <v>1617</v>
      </c>
      <c r="R238" s="1">
        <v>1620</v>
      </c>
      <c r="S238" s="1">
        <v>1619</v>
      </c>
      <c r="T238" s="1">
        <v>1628</v>
      </c>
      <c r="U238" s="1">
        <v>1632</v>
      </c>
      <c r="V238" s="1">
        <v>1645</v>
      </c>
      <c r="W238" s="1">
        <v>1654</v>
      </c>
      <c r="X238" s="1">
        <v>1633</v>
      </c>
      <c r="Y238" s="1">
        <v>1603</v>
      </c>
      <c r="Z238" s="1">
        <v>1578</v>
      </c>
      <c r="AA238" s="1">
        <v>1569</v>
      </c>
      <c r="AB238" s="1">
        <v>1579</v>
      </c>
      <c r="AC238" s="1">
        <v>1604</v>
      </c>
      <c r="AD238" s="1">
        <v>1586</v>
      </c>
      <c r="AE238" s="1">
        <v>1584</v>
      </c>
      <c r="AF238" s="1">
        <v>1573</v>
      </c>
      <c r="AG238" s="1">
        <v>1567</v>
      </c>
      <c r="AH238" s="1">
        <v>1574</v>
      </c>
      <c r="AI238" s="1">
        <v>1579</v>
      </c>
      <c r="AJ238" s="1">
        <v>1577</v>
      </c>
      <c r="AK238" s="1">
        <v>1583</v>
      </c>
      <c r="AL238" s="1">
        <v>1565</v>
      </c>
      <c r="AM238" s="1">
        <v>1580</v>
      </c>
      <c r="AN238" s="1">
        <v>1562</v>
      </c>
      <c r="AO238" s="1">
        <v>1563</v>
      </c>
      <c r="AP238" s="1">
        <v>1586</v>
      </c>
      <c r="AQ238" s="1">
        <v>1553</v>
      </c>
      <c r="AR238" s="1">
        <v>1582</v>
      </c>
      <c r="AS238" s="1">
        <v>1555</v>
      </c>
      <c r="AT238" s="1">
        <v>1560</v>
      </c>
      <c r="AU238" s="1">
        <v>1558</v>
      </c>
      <c r="AV238" s="1">
        <v>1568</v>
      </c>
      <c r="AW238" s="1">
        <v>1549</v>
      </c>
      <c r="AX238" s="1">
        <v>1563</v>
      </c>
      <c r="AY238" s="1">
        <v>1582</v>
      </c>
      <c r="AZ238" s="1">
        <v>1559</v>
      </c>
      <c r="BA238" s="1">
        <v>1550</v>
      </c>
      <c r="BB238" s="1">
        <v>1602</v>
      </c>
      <c r="BC238" s="1">
        <v>1599</v>
      </c>
      <c r="BD238" s="1">
        <v>1598</v>
      </c>
      <c r="BE238" s="1">
        <v>1614</v>
      </c>
      <c r="BF238" s="1">
        <v>1585</v>
      </c>
      <c r="BG238" s="1">
        <v>1584</v>
      </c>
      <c r="BH238" s="1">
        <v>1575</v>
      </c>
      <c r="BI238" s="1">
        <v>1600</v>
      </c>
      <c r="BJ238" s="1">
        <v>1608</v>
      </c>
      <c r="BK238" s="1">
        <v>1805</v>
      </c>
      <c r="BL238" s="1">
        <v>1756</v>
      </c>
      <c r="BM238" s="1">
        <v>1730</v>
      </c>
      <c r="BN238" s="1">
        <v>1744</v>
      </c>
      <c r="BO238" s="1">
        <v>1734</v>
      </c>
      <c r="BP238" s="1">
        <v>1757</v>
      </c>
      <c r="BQ238" s="1">
        <v>1761</v>
      </c>
      <c r="BR238" s="1">
        <v>1786</v>
      </c>
      <c r="BS238" s="1">
        <v>1790</v>
      </c>
      <c r="BT238" s="1">
        <v>1807</v>
      </c>
      <c r="BU238" s="1">
        <v>1792</v>
      </c>
      <c r="BV238" s="1">
        <v>1796</v>
      </c>
      <c r="BW238" s="1">
        <v>1817</v>
      </c>
      <c r="BX238" s="1">
        <v>1806</v>
      </c>
      <c r="BY238" s="1">
        <v>1820</v>
      </c>
      <c r="BZ238" s="1">
        <v>1836</v>
      </c>
    </row>
    <row r="239" spans="1:78">
      <c r="A239" s="62" t="s">
        <v>452</v>
      </c>
      <c r="B239" s="1" t="str">
        <f>銘柄管理!C239</f>
        <v>ユーザーローカル</v>
      </c>
      <c r="C239" s="1">
        <f>_xll.RssMarket("3984","高値")</f>
        <v>1853</v>
      </c>
      <c r="E239" s="1">
        <v>1830</v>
      </c>
      <c r="F239" s="1">
        <v>1808</v>
      </c>
      <c r="G239" s="1">
        <v>1831</v>
      </c>
      <c r="H239" s="1">
        <v>1809</v>
      </c>
      <c r="I239" s="1">
        <v>1810</v>
      </c>
      <c r="J239" s="1">
        <v>1814</v>
      </c>
      <c r="K239" s="1">
        <v>1805</v>
      </c>
      <c r="M239" s="1">
        <v>1776</v>
      </c>
      <c r="N239" s="1">
        <v>1811</v>
      </c>
      <c r="O239" s="1">
        <v>1812</v>
      </c>
      <c r="P239" s="1">
        <v>1822</v>
      </c>
      <c r="Q239" s="1">
        <v>1835</v>
      </c>
      <c r="R239" s="1">
        <v>1830</v>
      </c>
      <c r="S239" s="1">
        <v>1822</v>
      </c>
      <c r="T239" s="1">
        <v>1803</v>
      </c>
      <c r="U239" s="1">
        <v>1788</v>
      </c>
      <c r="V239" s="1">
        <v>1784</v>
      </c>
      <c r="W239" s="1">
        <v>1812</v>
      </c>
      <c r="X239" s="1">
        <v>1815</v>
      </c>
      <c r="Y239" s="1">
        <v>1793</v>
      </c>
      <c r="Z239" s="1">
        <v>1750</v>
      </c>
      <c r="AA239" s="1">
        <v>1717</v>
      </c>
      <c r="AB239" s="1">
        <v>1662</v>
      </c>
      <c r="AC239" s="1">
        <v>1645</v>
      </c>
      <c r="AD239" s="1">
        <v>1645</v>
      </c>
      <c r="AE239" s="1">
        <v>1700</v>
      </c>
      <c r="AF239" s="1">
        <v>1715</v>
      </c>
      <c r="AG239" s="1">
        <v>1750</v>
      </c>
      <c r="AH239" s="1">
        <v>1753</v>
      </c>
      <c r="AI239" s="1">
        <v>1810</v>
      </c>
      <c r="AJ239" s="1">
        <v>1828</v>
      </c>
      <c r="AK239" s="1">
        <v>1828</v>
      </c>
      <c r="AL239" s="1">
        <v>1785</v>
      </c>
      <c r="AM239" s="1">
        <v>1794</v>
      </c>
      <c r="AN239" s="1">
        <v>1844</v>
      </c>
      <c r="AO239" s="1">
        <v>1800</v>
      </c>
      <c r="AP239" s="1">
        <v>1836</v>
      </c>
      <c r="AQ239" s="1">
        <v>1890</v>
      </c>
      <c r="AR239" s="1">
        <v>1915</v>
      </c>
      <c r="AS239" s="1">
        <v>1826</v>
      </c>
      <c r="AT239" s="1">
        <v>1824</v>
      </c>
      <c r="AU239" s="1">
        <v>1834</v>
      </c>
      <c r="AV239" s="1">
        <v>1767</v>
      </c>
      <c r="AW239" s="1">
        <v>1708</v>
      </c>
      <c r="AX239" s="1">
        <v>1732</v>
      </c>
      <c r="AY239" s="1">
        <v>1797</v>
      </c>
      <c r="AZ239" s="1">
        <v>1796</v>
      </c>
      <c r="BA239" s="1">
        <v>1783</v>
      </c>
      <c r="BB239" s="1">
        <v>1778</v>
      </c>
      <c r="BC239" s="1">
        <v>1746</v>
      </c>
      <c r="BD239" s="1">
        <v>1730</v>
      </c>
      <c r="BE239" s="1">
        <v>1732</v>
      </c>
      <c r="BF239" s="1">
        <v>1745</v>
      </c>
      <c r="BG239" s="1">
        <v>1753</v>
      </c>
      <c r="BH239" s="1">
        <v>1807</v>
      </c>
      <c r="BI239" s="1">
        <v>1845</v>
      </c>
      <c r="BJ239" s="1">
        <v>1833</v>
      </c>
      <c r="BK239" s="1">
        <v>1605</v>
      </c>
      <c r="BL239" s="1">
        <v>1549</v>
      </c>
      <c r="BM239" s="1">
        <v>1566</v>
      </c>
      <c r="BN239" s="1">
        <v>1563</v>
      </c>
      <c r="BO239" s="1">
        <v>1589</v>
      </c>
      <c r="BP239" s="1">
        <v>1579</v>
      </c>
      <c r="BQ239" s="1">
        <v>1605</v>
      </c>
      <c r="BR239" s="1">
        <v>1629</v>
      </c>
      <c r="BS239" s="1">
        <v>1600</v>
      </c>
      <c r="BT239" s="1">
        <v>1575</v>
      </c>
      <c r="BU239" s="1">
        <v>1600</v>
      </c>
      <c r="BV239" s="1">
        <v>1583</v>
      </c>
      <c r="BW239" s="1">
        <v>1517</v>
      </c>
      <c r="BX239" s="1">
        <v>1504</v>
      </c>
      <c r="BY239" s="1">
        <v>1454</v>
      </c>
      <c r="BZ239" s="1">
        <v>1492</v>
      </c>
    </row>
    <row r="240" spans="1:78">
      <c r="A240" s="62" t="s">
        <v>453</v>
      </c>
      <c r="B240" s="1" t="str">
        <f>銘柄管理!C240</f>
        <v>ダイトロン</v>
      </c>
      <c r="C240" s="1">
        <f>_xll.RssMarket("7609","高値")</f>
        <v>4390</v>
      </c>
      <c r="E240" s="1">
        <v>4280</v>
      </c>
      <c r="F240" s="1">
        <v>3630</v>
      </c>
      <c r="G240" s="1">
        <v>3365</v>
      </c>
      <c r="H240" s="1">
        <v>3170</v>
      </c>
      <c r="I240" s="1">
        <v>3275</v>
      </c>
      <c r="J240" s="1">
        <v>3350</v>
      </c>
      <c r="K240" s="1">
        <v>3520</v>
      </c>
      <c r="M240" s="1">
        <v>3600</v>
      </c>
      <c r="N240" s="1">
        <v>3610</v>
      </c>
      <c r="O240" s="1">
        <v>3440</v>
      </c>
      <c r="P240" s="1">
        <v>3370</v>
      </c>
      <c r="Q240" s="1">
        <v>3505</v>
      </c>
      <c r="R240" s="1">
        <v>3390</v>
      </c>
      <c r="S240" s="1">
        <v>3590</v>
      </c>
      <c r="T240" s="1">
        <v>3565</v>
      </c>
      <c r="U240" s="1">
        <v>3500</v>
      </c>
      <c r="V240" s="1">
        <v>3515</v>
      </c>
      <c r="W240" s="1">
        <v>3640</v>
      </c>
      <c r="X240" s="1">
        <v>3710</v>
      </c>
      <c r="Y240" s="1">
        <v>3670</v>
      </c>
      <c r="Z240" s="1">
        <v>3735</v>
      </c>
      <c r="AA240" s="1">
        <v>3795</v>
      </c>
      <c r="AB240" s="1">
        <v>3720</v>
      </c>
      <c r="AC240" s="1">
        <v>3710</v>
      </c>
      <c r="AD240" s="1">
        <v>3795</v>
      </c>
      <c r="AE240" s="1">
        <v>3835</v>
      </c>
      <c r="AF240" s="1">
        <v>3865</v>
      </c>
      <c r="AG240" s="1">
        <v>3960</v>
      </c>
      <c r="AH240" s="1">
        <v>3990</v>
      </c>
      <c r="AI240" s="1">
        <v>3930</v>
      </c>
      <c r="AJ240" s="1">
        <v>3885</v>
      </c>
      <c r="AK240" s="1">
        <v>3650</v>
      </c>
      <c r="AL240" s="1">
        <v>3630</v>
      </c>
      <c r="AM240" s="1">
        <v>3640</v>
      </c>
      <c r="AN240" s="1">
        <v>3540</v>
      </c>
      <c r="AO240" s="1">
        <v>3435</v>
      </c>
      <c r="AP240" s="1">
        <v>3560</v>
      </c>
      <c r="AQ240" s="1">
        <v>3650</v>
      </c>
      <c r="AR240" s="1">
        <v>3785</v>
      </c>
      <c r="AS240" s="1">
        <v>3795</v>
      </c>
      <c r="AT240" s="1">
        <v>3730</v>
      </c>
      <c r="AU240" s="1">
        <v>3615</v>
      </c>
      <c r="AV240" s="1">
        <v>3655</v>
      </c>
      <c r="AW240" s="1">
        <v>3580</v>
      </c>
      <c r="AX240" s="1">
        <v>3700</v>
      </c>
      <c r="AY240" s="1">
        <v>3690</v>
      </c>
      <c r="AZ240" s="1">
        <v>3680</v>
      </c>
      <c r="BA240" s="1">
        <v>3625</v>
      </c>
      <c r="BB240" s="1">
        <v>3535</v>
      </c>
      <c r="BC240" s="1">
        <v>3875</v>
      </c>
      <c r="BD240" s="1">
        <v>3910</v>
      </c>
      <c r="BE240" s="1">
        <v>4075</v>
      </c>
      <c r="BF240" s="1">
        <v>4090</v>
      </c>
      <c r="BG240" s="1">
        <v>3895</v>
      </c>
      <c r="BH240" s="1">
        <v>3985</v>
      </c>
      <c r="BI240" s="1">
        <v>4015</v>
      </c>
      <c r="BJ240" s="1">
        <v>3975</v>
      </c>
      <c r="BK240" s="1">
        <v>3420</v>
      </c>
      <c r="BL240" s="1">
        <v>3205</v>
      </c>
      <c r="BM240" s="1">
        <v>2941</v>
      </c>
      <c r="BN240" s="1">
        <v>2908</v>
      </c>
      <c r="BO240" s="1">
        <v>2917</v>
      </c>
      <c r="BP240" s="1">
        <v>2906</v>
      </c>
      <c r="BQ240" s="1">
        <v>2864</v>
      </c>
      <c r="BR240" s="1">
        <v>2882</v>
      </c>
      <c r="BS240" s="1">
        <v>2912</v>
      </c>
      <c r="BT240" s="1">
        <v>2886</v>
      </c>
      <c r="BU240" s="1">
        <v>2957</v>
      </c>
      <c r="BV240" s="1">
        <v>2961</v>
      </c>
      <c r="BW240" s="1">
        <v>2987</v>
      </c>
      <c r="BX240" s="1">
        <v>2930</v>
      </c>
      <c r="BY240" s="1">
        <v>2855</v>
      </c>
      <c r="BZ240" s="1">
        <v>2823</v>
      </c>
    </row>
    <row r="241" spans="1:78">
      <c r="A241" s="62" t="s">
        <v>454</v>
      </c>
      <c r="B241" s="1" t="str">
        <f>銘柄管理!C241</f>
        <v>イトーキ</v>
      </c>
      <c r="C241" s="1">
        <f>_xll.RssMarket("7972","高値")</f>
        <v>2920</v>
      </c>
      <c r="E241" s="1">
        <v>2925</v>
      </c>
      <c r="F241" s="1">
        <v>2940</v>
      </c>
      <c r="G241" s="1">
        <v>2971</v>
      </c>
      <c r="H241" s="1">
        <v>2918</v>
      </c>
      <c r="I241" s="1">
        <v>2944</v>
      </c>
      <c r="J241" s="1">
        <v>2954</v>
      </c>
      <c r="K241" s="1">
        <v>2946</v>
      </c>
      <c r="L241" s="1">
        <v>2870</v>
      </c>
      <c r="M241" s="1">
        <v>2855</v>
      </c>
      <c r="N241" s="1">
        <v>2887</v>
      </c>
      <c r="O241" s="1">
        <v>2878</v>
      </c>
      <c r="P241" s="1">
        <v>2810</v>
      </c>
      <c r="Q241" s="1">
        <v>2876</v>
      </c>
      <c r="R241" s="1">
        <v>2850</v>
      </c>
      <c r="S241" s="1">
        <v>2832</v>
      </c>
      <c r="T241" s="1">
        <v>2875</v>
      </c>
      <c r="U241" s="1">
        <v>2865</v>
      </c>
      <c r="V241" s="1">
        <v>2955</v>
      </c>
      <c r="W241" s="1">
        <v>2892</v>
      </c>
      <c r="X241" s="1">
        <v>2863</v>
      </c>
      <c r="Y241" s="1">
        <v>2740</v>
      </c>
      <c r="Z241" s="1">
        <v>2656</v>
      </c>
      <c r="AA241" s="1">
        <v>2655</v>
      </c>
      <c r="AB241" s="1">
        <v>2687</v>
      </c>
      <c r="AC241" s="1">
        <v>2666</v>
      </c>
      <c r="AD241" s="1">
        <v>2638</v>
      </c>
      <c r="AE241" s="1">
        <v>2605</v>
      </c>
      <c r="AF241" s="1">
        <v>2581</v>
      </c>
      <c r="AG241" s="1">
        <v>2585</v>
      </c>
      <c r="AH241" s="1">
        <v>2599</v>
      </c>
      <c r="AI241" s="1">
        <v>2530</v>
      </c>
      <c r="AJ241" s="1">
        <v>2494</v>
      </c>
      <c r="AK241" s="1">
        <v>2470</v>
      </c>
      <c r="AL241" s="1">
        <v>2477</v>
      </c>
      <c r="AM241" s="1">
        <v>2485</v>
      </c>
      <c r="AN241" s="1">
        <v>2454</v>
      </c>
      <c r="AO241" s="1">
        <v>2429</v>
      </c>
      <c r="AP241" s="1">
        <v>2430</v>
      </c>
      <c r="AQ241" s="1">
        <v>2428</v>
      </c>
      <c r="AR241" s="1">
        <v>2460</v>
      </c>
      <c r="AS241" s="1">
        <v>2434</v>
      </c>
      <c r="AT241" s="1">
        <v>2477</v>
      </c>
      <c r="AU241" s="1">
        <v>2486</v>
      </c>
      <c r="AV241" s="1">
        <v>2620</v>
      </c>
      <c r="AW241" s="1">
        <v>2700</v>
      </c>
      <c r="AX241" s="1">
        <v>2757</v>
      </c>
      <c r="AY241" s="1">
        <v>2639</v>
      </c>
      <c r="AZ241" s="1">
        <v>2649</v>
      </c>
      <c r="BA241" s="1">
        <v>2699</v>
      </c>
      <c r="BB241" s="1">
        <v>2719</v>
      </c>
      <c r="BC241" s="1">
        <v>2813</v>
      </c>
      <c r="BD241" s="1">
        <v>2725</v>
      </c>
      <c r="BE241" s="1">
        <v>2801</v>
      </c>
      <c r="BF241" s="1">
        <v>2827</v>
      </c>
      <c r="BG241" s="1">
        <v>2833</v>
      </c>
      <c r="BH241" s="1">
        <v>2837</v>
      </c>
      <c r="BI241" s="1">
        <v>2922</v>
      </c>
      <c r="BJ241" s="1">
        <v>2964</v>
      </c>
      <c r="BK241" s="1">
        <v>3295</v>
      </c>
      <c r="BL241" s="1">
        <v>3160</v>
      </c>
      <c r="BM241" s="1">
        <v>3220</v>
      </c>
      <c r="BN241" s="1">
        <v>3300</v>
      </c>
      <c r="BO241" s="1">
        <v>3270</v>
      </c>
      <c r="BP241" s="1">
        <v>3225</v>
      </c>
      <c r="BQ241" s="1">
        <v>3240</v>
      </c>
      <c r="BR241" s="1">
        <v>3325</v>
      </c>
      <c r="BS241" s="1">
        <v>3370</v>
      </c>
      <c r="BT241" s="1">
        <v>3355</v>
      </c>
      <c r="BU241" s="1">
        <v>3335</v>
      </c>
      <c r="BV241" s="1">
        <v>3380</v>
      </c>
      <c r="BW241" s="1">
        <v>3600</v>
      </c>
      <c r="BX241" s="1">
        <v>3620</v>
      </c>
      <c r="BY241" s="1">
        <v>3585</v>
      </c>
      <c r="BZ241" s="1">
        <v>3535</v>
      </c>
    </row>
    <row r="242" spans="1:78">
      <c r="A242" s="62" t="s">
        <v>455</v>
      </c>
      <c r="B242" s="1" t="str">
        <f>銘柄管理!C242</f>
        <v>オキサイド</v>
      </c>
      <c r="C242" s="1">
        <f>_xll.RssMarket("6521","高値")</f>
        <v>3280</v>
      </c>
      <c r="E242" s="1">
        <v>3100</v>
      </c>
      <c r="F242" s="1">
        <v>3045</v>
      </c>
      <c r="G242" s="1">
        <v>2966</v>
      </c>
      <c r="H242" s="1">
        <v>2838</v>
      </c>
      <c r="I242" s="1">
        <v>2970</v>
      </c>
      <c r="J242" s="1">
        <v>3120</v>
      </c>
      <c r="K242" s="1">
        <v>3260</v>
      </c>
      <c r="L242" s="1">
        <v>3365</v>
      </c>
      <c r="M242" s="1">
        <v>3450</v>
      </c>
      <c r="N242" s="1">
        <v>3500</v>
      </c>
      <c r="O242" s="1">
        <v>3475</v>
      </c>
      <c r="P242" s="1">
        <v>3580</v>
      </c>
      <c r="Q242" s="1">
        <v>3985</v>
      </c>
      <c r="R242" s="1">
        <v>4230</v>
      </c>
      <c r="S242" s="1">
        <v>4475</v>
      </c>
      <c r="T242" s="1">
        <v>4440</v>
      </c>
      <c r="U242" s="1">
        <v>4330</v>
      </c>
      <c r="V242" s="1">
        <v>4170</v>
      </c>
      <c r="W242" s="1">
        <v>4465</v>
      </c>
      <c r="X242" s="1">
        <v>4565</v>
      </c>
      <c r="Y242" s="1">
        <v>4585</v>
      </c>
      <c r="Z242" s="1">
        <v>4530</v>
      </c>
      <c r="AA242" s="1">
        <v>4885</v>
      </c>
      <c r="AB242" s="1">
        <v>4760</v>
      </c>
      <c r="AC242" s="1">
        <v>4845</v>
      </c>
      <c r="AD242" s="1">
        <v>4905</v>
      </c>
      <c r="AE242" s="1">
        <v>5280</v>
      </c>
      <c r="AF242" s="1">
        <v>5360</v>
      </c>
      <c r="AG242" s="1">
        <v>5290</v>
      </c>
      <c r="AH242" s="1">
        <v>5280</v>
      </c>
      <c r="AI242" s="1">
        <v>5210</v>
      </c>
      <c r="AJ242" s="1">
        <v>4795</v>
      </c>
      <c r="AK242" s="1">
        <v>4900</v>
      </c>
      <c r="AL242" s="1">
        <v>4800</v>
      </c>
      <c r="AM242" s="1">
        <v>4610</v>
      </c>
      <c r="AN242" s="1">
        <v>4575</v>
      </c>
      <c r="AO242" s="1">
        <v>4455</v>
      </c>
      <c r="AP242" s="1">
        <v>4730</v>
      </c>
      <c r="AQ242" s="1">
        <v>4935</v>
      </c>
      <c r="AR242" s="1">
        <v>5170</v>
      </c>
      <c r="AS242" s="1">
        <v>5000</v>
      </c>
      <c r="AT242" s="1">
        <v>5380</v>
      </c>
      <c r="AU242" s="1">
        <v>5290</v>
      </c>
      <c r="AV242" s="1">
        <v>5940</v>
      </c>
      <c r="AW242" s="1">
        <v>6180</v>
      </c>
      <c r="AX242" s="1">
        <v>5950</v>
      </c>
      <c r="AY242" s="1">
        <v>6450</v>
      </c>
      <c r="AZ242" s="1">
        <v>6440</v>
      </c>
      <c r="BA242" s="1">
        <v>5940</v>
      </c>
      <c r="BB242" s="1">
        <v>6000</v>
      </c>
      <c r="BC242" s="1">
        <v>6710</v>
      </c>
      <c r="BD242" s="1">
        <v>6800</v>
      </c>
      <c r="BE242" s="1">
        <v>6520</v>
      </c>
      <c r="BF242" s="1">
        <v>6890</v>
      </c>
      <c r="BG242" s="1">
        <v>6390</v>
      </c>
      <c r="BH242" s="1">
        <v>7420</v>
      </c>
      <c r="BI242" s="1">
        <v>7050</v>
      </c>
      <c r="BJ242" s="1">
        <v>6210</v>
      </c>
      <c r="BK242" s="1">
        <v>5350</v>
      </c>
      <c r="BL242" s="1">
        <v>4835</v>
      </c>
      <c r="BM242" s="1">
        <v>4840</v>
      </c>
      <c r="BN242" s="1">
        <v>4755</v>
      </c>
      <c r="BO242" s="1">
        <v>4835</v>
      </c>
      <c r="BP242" s="1">
        <v>4850</v>
      </c>
      <c r="BQ242" s="1">
        <v>4935</v>
      </c>
      <c r="BR242" s="1">
        <v>5220</v>
      </c>
      <c r="BS242" s="1">
        <v>5090</v>
      </c>
      <c r="BT242" s="1">
        <v>4425</v>
      </c>
      <c r="BU242" s="1">
        <v>4485</v>
      </c>
      <c r="BV242" s="1">
        <v>4555</v>
      </c>
      <c r="BW242" s="1">
        <v>5290</v>
      </c>
      <c r="BX242" s="1">
        <v>5640</v>
      </c>
      <c r="BY242" s="1">
        <v>5070</v>
      </c>
      <c r="BZ242" s="1">
        <v>4725</v>
      </c>
    </row>
    <row r="243" spans="1:78">
      <c r="A243" s="62" t="s">
        <v>456</v>
      </c>
      <c r="B243" s="1" t="str">
        <f>銘柄管理!C243</f>
        <v>クオルテック</v>
      </c>
      <c r="C243" s="1">
        <f>_xll.RssMarket("9165","高値")</f>
        <v>1790</v>
      </c>
      <c r="E243" s="1">
        <v>1756</v>
      </c>
      <c r="F243" s="1">
        <v>1750</v>
      </c>
      <c r="G243" s="1">
        <v>1741</v>
      </c>
      <c r="H243" s="1">
        <v>1742</v>
      </c>
      <c r="I243" s="1">
        <v>1716</v>
      </c>
      <c r="J243" s="1">
        <v>1715</v>
      </c>
      <c r="K243" s="1">
        <v>1717</v>
      </c>
      <c r="L243" s="1">
        <v>1710</v>
      </c>
      <c r="M243" s="1">
        <v>1753</v>
      </c>
      <c r="N243" s="1">
        <v>1756</v>
      </c>
      <c r="O243" s="1">
        <v>1714</v>
      </c>
      <c r="P243" s="1">
        <v>1713</v>
      </c>
      <c r="Q243" s="1">
        <v>1745</v>
      </c>
      <c r="R243" s="1">
        <v>1772</v>
      </c>
      <c r="S243" s="1">
        <v>1785</v>
      </c>
      <c r="T243" s="1">
        <v>1808</v>
      </c>
      <c r="U243" s="1">
        <v>1773</v>
      </c>
      <c r="V243" s="1">
        <v>1756</v>
      </c>
      <c r="W243" s="1">
        <v>1761</v>
      </c>
      <c r="X243" s="1">
        <v>1804</v>
      </c>
      <c r="Y243" s="1">
        <v>1777</v>
      </c>
      <c r="Z243" s="1">
        <v>1770</v>
      </c>
      <c r="AA243" s="1">
        <v>1800</v>
      </c>
      <c r="AB243" s="1">
        <v>1780</v>
      </c>
      <c r="AC243" s="1">
        <v>1769</v>
      </c>
      <c r="AD243" s="1">
        <v>1766</v>
      </c>
      <c r="AE243" s="1">
        <v>1782</v>
      </c>
      <c r="AF243" s="1">
        <v>1795</v>
      </c>
      <c r="AG243" s="1">
        <v>1820</v>
      </c>
      <c r="AH243" s="1">
        <v>1849</v>
      </c>
      <c r="AI243" s="1">
        <v>1746</v>
      </c>
      <c r="AJ243" s="1">
        <v>1741</v>
      </c>
      <c r="AK243" s="1">
        <v>1772</v>
      </c>
      <c r="AL243" s="1">
        <v>1723</v>
      </c>
      <c r="AM243" s="1">
        <v>1740</v>
      </c>
      <c r="AN243" s="1">
        <v>1725</v>
      </c>
      <c r="AO243" s="1">
        <v>1690</v>
      </c>
      <c r="AP243" s="1">
        <v>1714</v>
      </c>
      <c r="AQ243" s="1">
        <v>1761</v>
      </c>
      <c r="AR243" s="1">
        <v>1876</v>
      </c>
      <c r="AS243" s="1">
        <v>1879</v>
      </c>
      <c r="AT243" s="1">
        <v>1839</v>
      </c>
      <c r="AU243" s="1">
        <v>1818</v>
      </c>
      <c r="AV243" s="1">
        <v>1910</v>
      </c>
      <c r="AW243" s="1">
        <v>1964</v>
      </c>
      <c r="AX243" s="1">
        <v>2171</v>
      </c>
      <c r="AY243" s="1">
        <v>2350</v>
      </c>
      <c r="AZ243" s="1">
        <v>2005</v>
      </c>
      <c r="BA243" s="1">
        <v>1825</v>
      </c>
      <c r="BB243" s="1">
        <v>1917</v>
      </c>
      <c r="BC243" s="1">
        <v>1850</v>
      </c>
      <c r="BD243" s="1">
        <v>1847</v>
      </c>
      <c r="BE243" s="1">
        <v>1799</v>
      </c>
      <c r="BF243" s="1">
        <v>1786</v>
      </c>
      <c r="BG243" s="1">
        <v>1777</v>
      </c>
      <c r="BH243" s="1">
        <v>1850</v>
      </c>
      <c r="BI243" s="1">
        <v>1864</v>
      </c>
      <c r="BJ243" s="1">
        <v>1959</v>
      </c>
      <c r="BK243" s="1">
        <v>1611</v>
      </c>
      <c r="BL243" s="1">
        <v>1490</v>
      </c>
      <c r="BM243" s="1">
        <v>1479</v>
      </c>
      <c r="BN243" s="1">
        <v>1470</v>
      </c>
      <c r="BO243" s="1">
        <v>1480</v>
      </c>
      <c r="BP243" s="1">
        <v>1469</v>
      </c>
      <c r="BQ243" s="1">
        <v>1469</v>
      </c>
      <c r="BR243" s="1">
        <v>1470</v>
      </c>
      <c r="BS243" s="1">
        <v>1477</v>
      </c>
      <c r="BT243" s="1">
        <v>1472</v>
      </c>
      <c r="BU243" s="1">
        <v>1477</v>
      </c>
      <c r="BV243" s="1">
        <v>1472</v>
      </c>
      <c r="BW243" s="1">
        <v>1457</v>
      </c>
      <c r="BX243" s="1">
        <v>1446</v>
      </c>
      <c r="BY243" s="1">
        <v>1437</v>
      </c>
      <c r="BZ243" s="1">
        <v>1448</v>
      </c>
    </row>
    <row r="244" spans="1:78">
      <c r="A244" s="62" t="s">
        <v>457</v>
      </c>
      <c r="B244" s="1" t="str">
        <f>銘柄管理!C244</f>
        <v>デンソー</v>
      </c>
      <c r="C244" s="1">
        <f>_xll.RssMarket("6902","高値")</f>
        <v>1918</v>
      </c>
      <c r="E244" s="1">
        <v>1927.5</v>
      </c>
      <c r="F244" s="1">
        <v>1972.5</v>
      </c>
      <c r="G244" s="1">
        <v>2195</v>
      </c>
      <c r="H244" s="1">
        <v>2218</v>
      </c>
      <c r="I244" s="1">
        <v>2210</v>
      </c>
      <c r="J244" s="1">
        <v>2083</v>
      </c>
      <c r="K244" s="1">
        <v>2060</v>
      </c>
      <c r="L244" s="1">
        <v>1980.5</v>
      </c>
      <c r="M244" s="1">
        <v>1998.5</v>
      </c>
      <c r="N244" s="1">
        <v>2002.5</v>
      </c>
      <c r="O244" s="1">
        <v>2006.5</v>
      </c>
      <c r="P244" s="1">
        <v>1983.5</v>
      </c>
      <c r="Q244" s="1">
        <v>1963</v>
      </c>
      <c r="R244" s="1">
        <v>1951</v>
      </c>
      <c r="S244" s="1">
        <v>1946</v>
      </c>
      <c r="T244" s="1">
        <v>1958.5</v>
      </c>
      <c r="U244" s="1">
        <v>1937</v>
      </c>
      <c r="V244" s="1">
        <v>1986</v>
      </c>
      <c r="W244" s="1">
        <v>2018</v>
      </c>
      <c r="X244" s="1">
        <v>1999</v>
      </c>
      <c r="Y244" s="1">
        <v>1981.5</v>
      </c>
      <c r="Z244" s="1">
        <v>1939</v>
      </c>
      <c r="AA244" s="1">
        <v>1888</v>
      </c>
      <c r="AB244" s="1">
        <v>1897</v>
      </c>
      <c r="AC244" s="1">
        <v>1894</v>
      </c>
      <c r="AD244" s="1">
        <v>1881</v>
      </c>
      <c r="AE244" s="1">
        <v>1890</v>
      </c>
      <c r="AF244" s="1">
        <v>1896</v>
      </c>
      <c r="AG244" s="1">
        <v>1901.5</v>
      </c>
      <c r="AH244" s="1">
        <v>1905.5</v>
      </c>
      <c r="AI244" s="1">
        <v>1933</v>
      </c>
      <c r="AJ244" s="1">
        <v>1939</v>
      </c>
      <c r="AK244" s="1">
        <v>1923</v>
      </c>
      <c r="AL244" s="1">
        <v>1902</v>
      </c>
      <c r="AM244" s="1">
        <v>1923</v>
      </c>
      <c r="AN244" s="1">
        <v>1863.5</v>
      </c>
      <c r="AO244" s="1">
        <v>1842</v>
      </c>
      <c r="AP244" s="1">
        <v>1925</v>
      </c>
      <c r="AQ244" s="1">
        <v>1931</v>
      </c>
      <c r="AR244" s="1">
        <v>1914.5</v>
      </c>
      <c r="AS244" s="1">
        <v>1941</v>
      </c>
      <c r="AT244" s="1">
        <v>1942.5</v>
      </c>
      <c r="AU244" s="1">
        <v>1873</v>
      </c>
      <c r="AV244" s="1">
        <v>1927.5</v>
      </c>
      <c r="AW244" s="1">
        <v>1904.5</v>
      </c>
      <c r="AX244" s="1">
        <v>1894</v>
      </c>
      <c r="AY244" s="1">
        <v>1865.5</v>
      </c>
      <c r="AZ244" s="1">
        <v>1851</v>
      </c>
      <c r="BA244" s="1">
        <v>1869</v>
      </c>
      <c r="BB244" s="1">
        <v>1872.5</v>
      </c>
      <c r="BC244" s="1">
        <v>1870</v>
      </c>
      <c r="BD244" s="1">
        <v>1908</v>
      </c>
      <c r="BE244" s="1">
        <v>1958.5</v>
      </c>
      <c r="BF244" s="1">
        <v>1910</v>
      </c>
      <c r="BG244" s="1">
        <v>1928</v>
      </c>
      <c r="BH244" s="1">
        <v>1896</v>
      </c>
      <c r="BI244" s="1">
        <v>1914</v>
      </c>
      <c r="BJ244" s="1">
        <v>1948.5</v>
      </c>
      <c r="BK244" s="1">
        <v>1927</v>
      </c>
      <c r="BL244" s="1">
        <v>1903.5</v>
      </c>
      <c r="BM244" s="1">
        <v>1899.5</v>
      </c>
      <c r="BN244" s="1">
        <v>1945</v>
      </c>
      <c r="BO244" s="1">
        <v>1942</v>
      </c>
      <c r="BP244" s="1">
        <v>1900</v>
      </c>
      <c r="BQ244" s="1">
        <v>1923.5</v>
      </c>
      <c r="BR244" s="1">
        <v>1941</v>
      </c>
      <c r="BS244" s="1">
        <v>1972</v>
      </c>
      <c r="BT244" s="1">
        <v>1962.5</v>
      </c>
      <c r="BU244" s="1">
        <v>1942.5</v>
      </c>
      <c r="BV244" s="1">
        <v>1950</v>
      </c>
      <c r="BW244" s="1">
        <v>1988</v>
      </c>
      <c r="BX244" s="1">
        <v>1941</v>
      </c>
      <c r="BY244" s="1">
        <v>1932.5</v>
      </c>
      <c r="BZ244" s="1">
        <v>1965.5</v>
      </c>
    </row>
    <row r="245" spans="1:78">
      <c r="A245" s="62" t="s">
        <v>458</v>
      </c>
      <c r="B245" s="1" t="str">
        <f>銘柄管理!C245</f>
        <v>グローバルウェイ</v>
      </c>
      <c r="C245" s="1">
        <f>_xll.RssMarket("3936","高値")</f>
        <v>164</v>
      </c>
    </row>
    <row r="246" spans="1:78">
      <c r="A246" s="62" t="s">
        <v>459</v>
      </c>
      <c r="B246" s="1" t="str">
        <f>銘柄管理!C246</f>
        <v>エノモト</v>
      </c>
      <c r="C246" s="1">
        <f>_xll.RssMarket("6928","高値")</f>
        <v>2680</v>
      </c>
      <c r="E246" s="1">
        <v>2569</v>
      </c>
      <c r="F246" s="1">
        <v>2466</v>
      </c>
      <c r="G246" s="1">
        <v>2388</v>
      </c>
      <c r="H246" s="1">
        <v>2271</v>
      </c>
      <c r="I246" s="1">
        <v>2369</v>
      </c>
      <c r="J246" s="1">
        <v>2514</v>
      </c>
      <c r="K246" s="1">
        <v>2571</v>
      </c>
      <c r="L246" s="1">
        <v>2615</v>
      </c>
      <c r="M246" s="1">
        <v>2640</v>
      </c>
      <c r="N246" s="1">
        <v>2652</v>
      </c>
      <c r="O246" s="1">
        <v>2618</v>
      </c>
      <c r="P246" s="1">
        <v>2735</v>
      </c>
      <c r="Q246" s="1">
        <v>2878</v>
      </c>
      <c r="R246" s="1">
        <v>2887</v>
      </c>
      <c r="S246" s="1">
        <v>2940</v>
      </c>
      <c r="T246" s="1">
        <v>2949</v>
      </c>
      <c r="U246" s="1">
        <v>2864</v>
      </c>
      <c r="V246" s="1">
        <v>2806</v>
      </c>
      <c r="W246" s="1">
        <v>2922</v>
      </c>
      <c r="X246" s="1">
        <v>2944</v>
      </c>
      <c r="Y246" s="1">
        <v>2917</v>
      </c>
      <c r="Z246" s="1">
        <v>3000</v>
      </c>
      <c r="AA246" s="1">
        <v>3110</v>
      </c>
      <c r="AB246" s="1">
        <v>3135</v>
      </c>
      <c r="AC246" s="1">
        <v>3165</v>
      </c>
      <c r="AD246" s="1">
        <v>3325</v>
      </c>
      <c r="AE246" s="1">
        <v>3485</v>
      </c>
      <c r="AF246" s="1">
        <v>3470</v>
      </c>
      <c r="AG246" s="1">
        <v>3535</v>
      </c>
      <c r="AH246" s="1">
        <v>3620</v>
      </c>
      <c r="AI246" s="1">
        <v>3590</v>
      </c>
      <c r="AJ246" s="1">
        <v>3500</v>
      </c>
      <c r="AK246" s="1">
        <v>3400</v>
      </c>
      <c r="AL246" s="1">
        <v>3385</v>
      </c>
      <c r="AM246" s="1">
        <v>3355</v>
      </c>
      <c r="AN246" s="1">
        <v>3390</v>
      </c>
      <c r="AO246" s="1">
        <v>3385</v>
      </c>
      <c r="AP246" s="1">
        <v>3530</v>
      </c>
      <c r="AQ246" s="1">
        <v>3495</v>
      </c>
      <c r="AR246" s="1">
        <v>3690</v>
      </c>
      <c r="AS246" s="1">
        <v>3720</v>
      </c>
      <c r="AT246" s="1">
        <v>3820</v>
      </c>
      <c r="AU246" s="1">
        <v>3880</v>
      </c>
      <c r="AV246" s="1">
        <v>3905</v>
      </c>
      <c r="AW246" s="1">
        <v>3735</v>
      </c>
      <c r="AX246" s="1">
        <v>3745</v>
      </c>
      <c r="AY246" s="1">
        <v>3700</v>
      </c>
      <c r="AZ246" s="1">
        <v>3670</v>
      </c>
      <c r="BA246" s="1">
        <v>3580</v>
      </c>
      <c r="BB246" s="1">
        <v>3520</v>
      </c>
      <c r="BC246" s="1">
        <v>3560</v>
      </c>
      <c r="BD246" s="1">
        <v>3560</v>
      </c>
      <c r="BE246" s="1">
        <v>3680</v>
      </c>
      <c r="BF246" s="1">
        <v>3620</v>
      </c>
      <c r="BG246" s="1">
        <v>3540</v>
      </c>
      <c r="BH246" s="1">
        <v>3620</v>
      </c>
      <c r="BI246" s="1">
        <v>3980</v>
      </c>
      <c r="BJ246" s="1">
        <v>3620</v>
      </c>
      <c r="BK246" s="1">
        <v>3655</v>
      </c>
      <c r="BL246" s="1">
        <v>3470</v>
      </c>
      <c r="BM246" s="1">
        <v>3305</v>
      </c>
      <c r="BN246" s="1">
        <v>3235</v>
      </c>
      <c r="BO246" s="1">
        <v>3165</v>
      </c>
      <c r="BP246" s="1">
        <v>3210</v>
      </c>
      <c r="BQ246" s="1">
        <v>3230</v>
      </c>
      <c r="BR246" s="1">
        <v>3230</v>
      </c>
      <c r="BS246" s="1">
        <v>3295</v>
      </c>
      <c r="BT246" s="1">
        <v>3270</v>
      </c>
      <c r="BU246" s="1">
        <v>3335</v>
      </c>
      <c r="BV246" s="1">
        <v>3370</v>
      </c>
      <c r="BW246" s="1">
        <v>3345</v>
      </c>
      <c r="BX246" s="1">
        <v>3245</v>
      </c>
      <c r="BY246" s="1">
        <v>3160</v>
      </c>
      <c r="BZ246" s="1">
        <v>3200</v>
      </c>
    </row>
    <row r="247" spans="1:78">
      <c r="A247" s="62" t="s">
        <v>460</v>
      </c>
      <c r="B247" s="1" t="str">
        <f>銘柄管理!C247</f>
        <v>三菱製鋼</v>
      </c>
      <c r="C247" s="1">
        <f>_xll.RssMarket("5632","高値")</f>
        <v>2259</v>
      </c>
      <c r="E247" s="1">
        <v>2196</v>
      </c>
      <c r="F247" s="1">
        <v>2180</v>
      </c>
      <c r="G247" s="1">
        <v>2196</v>
      </c>
      <c r="H247" s="1">
        <v>2159</v>
      </c>
      <c r="I247" s="1">
        <v>2140</v>
      </c>
      <c r="J247" s="1">
        <v>2198</v>
      </c>
      <c r="K247" s="1">
        <v>2215</v>
      </c>
      <c r="M247" s="1">
        <v>2193</v>
      </c>
      <c r="N247" s="1">
        <v>2184</v>
      </c>
      <c r="O247" s="1">
        <v>2155</v>
      </c>
      <c r="P247" s="1">
        <v>2147</v>
      </c>
      <c r="Q247" s="1">
        <v>2200</v>
      </c>
      <c r="R247" s="1">
        <v>2155</v>
      </c>
      <c r="S247" s="1">
        <v>2144</v>
      </c>
      <c r="T247" s="1">
        <v>2133</v>
      </c>
      <c r="U247" s="1">
        <v>2138</v>
      </c>
      <c r="V247" s="1">
        <v>2171</v>
      </c>
      <c r="W247" s="1">
        <v>2230</v>
      </c>
      <c r="X247" s="1">
        <v>2244</v>
      </c>
      <c r="Y247" s="1">
        <v>2208</v>
      </c>
      <c r="Z247" s="1">
        <v>2170</v>
      </c>
      <c r="AA247" s="1">
        <v>2170</v>
      </c>
      <c r="AB247" s="1">
        <v>2197</v>
      </c>
      <c r="AC247" s="1">
        <v>2224</v>
      </c>
      <c r="AD247" s="1">
        <v>2230</v>
      </c>
      <c r="AE247" s="1">
        <v>2262</v>
      </c>
      <c r="AF247" s="1">
        <v>2292</v>
      </c>
      <c r="AG247" s="1">
        <v>2430</v>
      </c>
      <c r="AH247" s="1">
        <v>2425</v>
      </c>
      <c r="AI247" s="1">
        <v>2347</v>
      </c>
      <c r="AJ247" s="1">
        <v>2292</v>
      </c>
      <c r="AK247" s="1">
        <v>2185</v>
      </c>
      <c r="AL247" s="1">
        <v>2207</v>
      </c>
      <c r="AM247" s="1">
        <v>2215</v>
      </c>
      <c r="AN247" s="1">
        <v>2188</v>
      </c>
      <c r="AO247" s="1">
        <v>2111</v>
      </c>
      <c r="AP247" s="1">
        <v>2123</v>
      </c>
      <c r="AQ247" s="1">
        <v>2111</v>
      </c>
      <c r="AR247" s="1">
        <v>2157</v>
      </c>
      <c r="AS247" s="1">
        <v>2117</v>
      </c>
      <c r="AT247" s="1">
        <v>2137</v>
      </c>
      <c r="AU247" s="1">
        <v>2115</v>
      </c>
      <c r="AV247" s="1">
        <v>2195</v>
      </c>
      <c r="AW247" s="1">
        <v>2142</v>
      </c>
      <c r="AX247" s="1">
        <v>2170</v>
      </c>
      <c r="AY247" s="1">
        <v>2169</v>
      </c>
      <c r="AZ247" s="1">
        <v>2158</v>
      </c>
      <c r="BA247" s="1">
        <v>2122</v>
      </c>
      <c r="BB247" s="1">
        <v>2061</v>
      </c>
      <c r="BC247" s="1">
        <v>2094</v>
      </c>
      <c r="BD247" s="1">
        <v>2145</v>
      </c>
      <c r="BE247" s="1">
        <v>2210</v>
      </c>
      <c r="BF247" s="1">
        <v>2077</v>
      </c>
      <c r="BG247" s="1">
        <v>2020</v>
      </c>
      <c r="BH247" s="1">
        <v>1915</v>
      </c>
      <c r="BI247" s="1">
        <v>1908</v>
      </c>
      <c r="BJ247" s="1">
        <v>1853</v>
      </c>
      <c r="BK247" s="1">
        <v>1857</v>
      </c>
      <c r="BL247" s="1">
        <v>1814</v>
      </c>
      <c r="BM247" s="1">
        <v>1808</v>
      </c>
      <c r="BN247" s="1">
        <v>1824</v>
      </c>
      <c r="BO247" s="1">
        <v>1796</v>
      </c>
      <c r="BP247" s="1">
        <v>1811</v>
      </c>
      <c r="BQ247" s="1">
        <v>1816</v>
      </c>
      <c r="BR247" s="1">
        <v>1833</v>
      </c>
      <c r="BS247" s="1">
        <v>1851</v>
      </c>
      <c r="BT247" s="1">
        <v>1845</v>
      </c>
      <c r="BU247" s="1">
        <v>1841</v>
      </c>
      <c r="BV247" s="1">
        <v>1848</v>
      </c>
      <c r="BW247" s="1">
        <v>1847</v>
      </c>
      <c r="BX247" s="1">
        <v>1821</v>
      </c>
      <c r="BY247" s="1">
        <v>1809</v>
      </c>
      <c r="BZ247" s="1">
        <v>1834</v>
      </c>
    </row>
    <row r="248" spans="1:78">
      <c r="A248" s="62" t="s">
        <v>461</v>
      </c>
      <c r="B248" s="1" t="str">
        <f>銘柄管理!C248</f>
        <v>リクルートホールディングス</v>
      </c>
      <c r="C248" s="1">
        <f>_xll.RssMarket("6098","高値")</f>
        <v>12765</v>
      </c>
      <c r="E248" s="1">
        <v>12545</v>
      </c>
      <c r="F248" s="1">
        <v>12490</v>
      </c>
      <c r="G248" s="1">
        <v>12645</v>
      </c>
      <c r="H248" s="1">
        <v>13320</v>
      </c>
      <c r="I248" s="1">
        <v>13270</v>
      </c>
      <c r="J248" s="1">
        <v>12790</v>
      </c>
      <c r="K248" s="1">
        <v>12645</v>
      </c>
      <c r="L248" s="1">
        <v>12120</v>
      </c>
      <c r="M248" s="1">
        <v>12395</v>
      </c>
      <c r="N248" s="1">
        <v>12575</v>
      </c>
      <c r="O248" s="1">
        <v>12920</v>
      </c>
      <c r="P248" s="1">
        <v>12880</v>
      </c>
      <c r="Q248" s="1">
        <v>12580</v>
      </c>
      <c r="R248" s="1">
        <v>12885</v>
      </c>
      <c r="S248" s="1">
        <v>12370</v>
      </c>
      <c r="T248" s="1">
        <v>12610</v>
      </c>
      <c r="U248" s="1">
        <v>12615</v>
      </c>
      <c r="V248" s="1">
        <v>12425</v>
      </c>
      <c r="W248" s="1">
        <v>12395</v>
      </c>
      <c r="X248" s="1">
        <v>11940</v>
      </c>
      <c r="Y248" s="1">
        <v>12195</v>
      </c>
      <c r="Z248" s="1">
        <v>12040</v>
      </c>
      <c r="AA248" s="1">
        <v>11935</v>
      </c>
      <c r="AB248" s="1">
        <v>11670</v>
      </c>
      <c r="AC248" s="1">
        <v>11375</v>
      </c>
      <c r="AD248" s="1">
        <v>11240</v>
      </c>
      <c r="AE248" s="1">
        <v>11435</v>
      </c>
      <c r="AF248" s="1">
        <v>11270</v>
      </c>
      <c r="AG248" s="1">
        <v>11300</v>
      </c>
      <c r="AH248" s="1">
        <v>11230</v>
      </c>
      <c r="AI248" s="1">
        <v>11105</v>
      </c>
      <c r="AJ248" s="1">
        <v>11385</v>
      </c>
      <c r="AK248" s="1">
        <v>10800</v>
      </c>
      <c r="AL248" s="1">
        <v>10815</v>
      </c>
      <c r="AM248" s="1">
        <v>10980</v>
      </c>
      <c r="AN248" s="1">
        <v>11140</v>
      </c>
      <c r="AO248" s="1">
        <v>11410</v>
      </c>
      <c r="AP248" s="1">
        <v>11755</v>
      </c>
      <c r="AQ248" s="1">
        <v>10845</v>
      </c>
      <c r="AR248" s="1">
        <v>10915</v>
      </c>
      <c r="AS248" s="1">
        <v>10775</v>
      </c>
      <c r="AT248" s="1">
        <v>11015</v>
      </c>
      <c r="AU248" s="1">
        <v>11190</v>
      </c>
      <c r="AV248" s="1">
        <v>10855</v>
      </c>
      <c r="AW248" s="1">
        <v>10275</v>
      </c>
      <c r="AX248" s="1">
        <v>10100</v>
      </c>
      <c r="AY248" s="1">
        <v>9819</v>
      </c>
      <c r="AZ248" s="1">
        <v>9817</v>
      </c>
      <c r="BA248" s="1">
        <v>9747</v>
      </c>
      <c r="BB248" s="1">
        <v>10010</v>
      </c>
      <c r="BC248" s="1">
        <v>9912</v>
      </c>
      <c r="BD248" s="1">
        <v>9320</v>
      </c>
      <c r="BE248" s="1">
        <v>7842</v>
      </c>
      <c r="BF248" s="1">
        <v>7837</v>
      </c>
      <c r="BG248" s="1">
        <v>7846</v>
      </c>
      <c r="BH248" s="1">
        <v>7722</v>
      </c>
      <c r="BI248" s="1">
        <v>7871</v>
      </c>
      <c r="BJ248" s="1">
        <v>7987</v>
      </c>
      <c r="BK248" s="1">
        <v>7592</v>
      </c>
      <c r="BL248" s="1">
        <v>7387</v>
      </c>
      <c r="BM248" s="1">
        <v>7400</v>
      </c>
      <c r="BN248" s="1">
        <v>7481</v>
      </c>
      <c r="BO248" s="1">
        <v>7435</v>
      </c>
      <c r="BP248" s="1">
        <v>7451</v>
      </c>
      <c r="BQ248" s="1">
        <v>7682</v>
      </c>
      <c r="BR248" s="1">
        <v>8011</v>
      </c>
      <c r="BS248" s="1">
        <v>7860</v>
      </c>
      <c r="BT248" s="1">
        <v>7627</v>
      </c>
      <c r="BU248" s="1">
        <v>7614</v>
      </c>
      <c r="BV248" s="1">
        <v>7345</v>
      </c>
      <c r="BW248" s="1">
        <v>7163</v>
      </c>
      <c r="BX248" s="1">
        <v>7140</v>
      </c>
      <c r="BY248" s="1">
        <v>7113</v>
      </c>
      <c r="BZ248" s="1">
        <v>7161</v>
      </c>
    </row>
    <row r="249" spans="1:78">
      <c r="A249" s="62" t="s">
        <v>462</v>
      </c>
      <c r="B249" s="1" t="str">
        <f>銘柄管理!C249</f>
        <v>荏原製作所</v>
      </c>
      <c r="C249" s="1">
        <f>_xll.RssMarket("6361","高値")</f>
        <v>6027</v>
      </c>
      <c r="E249" s="1">
        <v>5870</v>
      </c>
      <c r="F249" s="1">
        <v>5595</v>
      </c>
      <c r="G249" s="1">
        <v>5653</v>
      </c>
      <c r="H249" s="1">
        <v>5111</v>
      </c>
      <c r="I249" s="1">
        <v>5255</v>
      </c>
      <c r="J249" s="1">
        <v>5350</v>
      </c>
      <c r="K249" s="1">
        <v>5762</v>
      </c>
      <c r="L249" s="1">
        <v>5820</v>
      </c>
      <c r="M249" s="1">
        <v>5852</v>
      </c>
      <c r="N249" s="1">
        <v>5854</v>
      </c>
      <c r="O249" s="1">
        <v>5587</v>
      </c>
      <c r="P249" s="1">
        <v>5705</v>
      </c>
      <c r="Q249" s="1">
        <v>6288</v>
      </c>
      <c r="R249" s="1">
        <v>5885</v>
      </c>
      <c r="S249" s="1">
        <v>6247</v>
      </c>
      <c r="T249" s="1">
        <v>6225</v>
      </c>
      <c r="U249" s="1">
        <v>5954</v>
      </c>
      <c r="V249" s="1">
        <v>6045</v>
      </c>
      <c r="W249" s="1">
        <v>6299</v>
      </c>
      <c r="X249" s="1">
        <v>6270</v>
      </c>
      <c r="Y249" s="1">
        <v>6098</v>
      </c>
      <c r="Z249" s="1">
        <v>6195</v>
      </c>
      <c r="AA249" s="1">
        <v>6444</v>
      </c>
      <c r="AB249" s="1">
        <v>6316</v>
      </c>
      <c r="AC249" s="1">
        <v>6232</v>
      </c>
      <c r="AD249" s="1">
        <v>6523</v>
      </c>
      <c r="AE249" s="1">
        <v>6513</v>
      </c>
      <c r="AF249" s="1">
        <v>6480</v>
      </c>
      <c r="AG249" s="1">
        <v>6814</v>
      </c>
      <c r="AH249" s="1">
        <v>6825</v>
      </c>
      <c r="AI249" s="1">
        <v>6890</v>
      </c>
      <c r="AJ249" s="1">
        <v>6774</v>
      </c>
      <c r="AK249" s="1">
        <v>6527</v>
      </c>
      <c r="AL249" s="1">
        <v>6300</v>
      </c>
      <c r="AM249" s="1">
        <v>6204</v>
      </c>
      <c r="AN249" s="1">
        <v>5609</v>
      </c>
      <c r="AO249" s="1">
        <v>5316</v>
      </c>
      <c r="AP249" s="1">
        <v>5388</v>
      </c>
      <c r="AQ249" s="1">
        <v>5184</v>
      </c>
      <c r="AR249" s="1">
        <v>5553</v>
      </c>
      <c r="AS249" s="1">
        <v>5613</v>
      </c>
      <c r="AT249" s="1">
        <v>5782</v>
      </c>
      <c r="AU249" s="1">
        <v>5700</v>
      </c>
      <c r="AV249" s="1">
        <v>5683</v>
      </c>
      <c r="AW249" s="1">
        <v>5625</v>
      </c>
      <c r="AX249" s="1">
        <v>5875</v>
      </c>
      <c r="AY249" s="1">
        <v>5830</v>
      </c>
      <c r="AZ249" s="1">
        <v>5465</v>
      </c>
      <c r="BA249" s="1">
        <v>5160</v>
      </c>
      <c r="BB249" s="1">
        <v>5055</v>
      </c>
      <c r="BC249" s="1">
        <v>5454</v>
      </c>
      <c r="BD249" s="1">
        <v>5650</v>
      </c>
      <c r="BE249" s="1">
        <v>5892</v>
      </c>
      <c r="BF249" s="1">
        <v>5895</v>
      </c>
      <c r="BG249" s="1">
        <v>5778</v>
      </c>
      <c r="BH249" s="1">
        <v>6073</v>
      </c>
      <c r="BI249" s="1">
        <v>5955</v>
      </c>
      <c r="BJ249" s="1">
        <v>5863</v>
      </c>
      <c r="BK249" s="1">
        <v>5942</v>
      </c>
      <c r="BL249" s="1">
        <v>5356</v>
      </c>
      <c r="BM249" s="1">
        <v>5538</v>
      </c>
      <c r="BN249" s="1">
        <v>5563</v>
      </c>
      <c r="BO249" s="1">
        <v>5477</v>
      </c>
      <c r="BP249" s="1">
        <v>5461</v>
      </c>
      <c r="BQ249" s="1">
        <v>5400</v>
      </c>
      <c r="BR249" s="1">
        <v>5471</v>
      </c>
      <c r="BS249" s="1">
        <v>5205</v>
      </c>
      <c r="BT249" s="1">
        <v>5185</v>
      </c>
      <c r="BU249" s="1">
        <v>5115</v>
      </c>
      <c r="BV249" s="1">
        <v>5244</v>
      </c>
      <c r="BW249" s="1">
        <v>5280</v>
      </c>
      <c r="BX249" s="1">
        <v>5278</v>
      </c>
      <c r="BY249" s="1">
        <v>5150</v>
      </c>
      <c r="BZ249" s="1">
        <v>5197</v>
      </c>
    </row>
    <row r="250" spans="1:78">
      <c r="A250" s="62" t="s">
        <v>463</v>
      </c>
      <c r="B250" s="1" t="str">
        <f>銘柄管理!C250</f>
        <v>情報戦略テクノロジー</v>
      </c>
      <c r="C250" s="1">
        <f>_xll.RssMarket("155A","高値")</f>
        <v>860</v>
      </c>
      <c r="E250" s="1">
        <v>836</v>
      </c>
      <c r="F250" s="1">
        <v>836</v>
      </c>
      <c r="G250" s="1">
        <v>838</v>
      </c>
      <c r="H250" s="1">
        <v>830</v>
      </c>
      <c r="I250" s="1">
        <v>837</v>
      </c>
      <c r="J250" s="1">
        <v>854</v>
      </c>
      <c r="K250" s="1">
        <v>863</v>
      </c>
      <c r="M250" s="1">
        <v>873</v>
      </c>
      <c r="N250" s="1">
        <v>876</v>
      </c>
      <c r="O250" s="1">
        <v>873</v>
      </c>
      <c r="P250" s="1">
        <v>887</v>
      </c>
      <c r="Q250" s="1">
        <v>917</v>
      </c>
      <c r="R250" s="1">
        <v>920</v>
      </c>
      <c r="S250" s="1">
        <v>917</v>
      </c>
      <c r="T250" s="1">
        <v>909</v>
      </c>
      <c r="U250" s="1">
        <v>907</v>
      </c>
      <c r="V250" s="1">
        <v>910</v>
      </c>
      <c r="W250" s="1">
        <v>924</v>
      </c>
      <c r="X250" s="1">
        <v>927</v>
      </c>
      <c r="Y250" s="1">
        <v>895</v>
      </c>
      <c r="Z250" s="1">
        <v>890</v>
      </c>
      <c r="AA250" s="1">
        <v>883</v>
      </c>
      <c r="AB250" s="1">
        <v>885</v>
      </c>
      <c r="AC250" s="1">
        <v>861</v>
      </c>
      <c r="AD250" s="1">
        <v>875</v>
      </c>
      <c r="AE250" s="1">
        <v>877</v>
      </c>
      <c r="AF250" s="1">
        <v>876</v>
      </c>
      <c r="AG250" s="1">
        <v>923</v>
      </c>
      <c r="AH250" s="1">
        <v>932</v>
      </c>
      <c r="AI250" s="1">
        <v>911</v>
      </c>
      <c r="AJ250" s="1">
        <v>897</v>
      </c>
      <c r="AK250" s="1">
        <v>878</v>
      </c>
      <c r="AL250" s="1">
        <v>847</v>
      </c>
      <c r="AM250" s="1">
        <v>854</v>
      </c>
      <c r="AN250" s="1">
        <v>873</v>
      </c>
      <c r="AO250" s="1">
        <v>889</v>
      </c>
      <c r="AP250" s="1">
        <v>889</v>
      </c>
      <c r="AQ250" s="1">
        <v>850</v>
      </c>
      <c r="AR250" s="1">
        <v>882</v>
      </c>
      <c r="AS250" s="1">
        <v>864</v>
      </c>
      <c r="AT250" s="1">
        <v>889</v>
      </c>
      <c r="AU250" s="1">
        <v>838</v>
      </c>
      <c r="AV250" s="1">
        <v>908</v>
      </c>
      <c r="AW250" s="1">
        <v>881</v>
      </c>
      <c r="AX250" s="1">
        <v>880</v>
      </c>
      <c r="AY250" s="1">
        <v>880</v>
      </c>
      <c r="AZ250" s="1">
        <v>854</v>
      </c>
      <c r="BA250" s="1">
        <v>869</v>
      </c>
      <c r="BB250" s="1">
        <v>877</v>
      </c>
      <c r="BC250" s="1">
        <v>923</v>
      </c>
      <c r="BD250" s="1">
        <v>913</v>
      </c>
      <c r="BE250" s="1">
        <v>889</v>
      </c>
      <c r="BF250" s="1">
        <v>782</v>
      </c>
      <c r="BG250" s="1">
        <v>788</v>
      </c>
      <c r="BH250" s="1">
        <v>809</v>
      </c>
      <c r="BI250" s="1">
        <v>825</v>
      </c>
      <c r="BJ250" s="1">
        <v>834</v>
      </c>
      <c r="BK250" s="1">
        <v>823</v>
      </c>
      <c r="BL250" s="1">
        <v>806</v>
      </c>
      <c r="BM250" s="1">
        <v>813</v>
      </c>
      <c r="BN250" s="1">
        <v>822</v>
      </c>
      <c r="BO250" s="1">
        <v>825</v>
      </c>
      <c r="BP250" s="1">
        <v>836</v>
      </c>
      <c r="BQ250" s="1">
        <v>864</v>
      </c>
      <c r="BR250" s="1">
        <v>862</v>
      </c>
      <c r="BS250" s="1">
        <v>865</v>
      </c>
      <c r="BT250" s="1">
        <v>849</v>
      </c>
      <c r="BU250" s="1">
        <v>850</v>
      </c>
      <c r="BV250" s="1">
        <v>851</v>
      </c>
      <c r="BW250" s="1">
        <v>845</v>
      </c>
      <c r="BX250" s="1">
        <v>820</v>
      </c>
      <c r="BY250" s="1">
        <v>824</v>
      </c>
      <c r="BZ250" s="1">
        <v>847</v>
      </c>
    </row>
    <row r="251" spans="1:78">
      <c r="A251" s="62" t="s">
        <v>464</v>
      </c>
      <c r="B251" s="1" t="str">
        <f>銘柄管理!C251</f>
        <v>ＴＥＲＲＡＤＲＯＮＥ</v>
      </c>
      <c r="C251" s="1">
        <f>_xll.RssMarket("278A","高値")</f>
        <v>14300</v>
      </c>
      <c r="E251" s="1">
        <v>14390</v>
      </c>
      <c r="F251" s="1">
        <v>12000</v>
      </c>
      <c r="G251" s="1">
        <v>11040</v>
      </c>
      <c r="H251" s="1">
        <v>10540</v>
      </c>
      <c r="I251" s="1">
        <v>10750</v>
      </c>
      <c r="J251" s="1">
        <v>13170</v>
      </c>
      <c r="K251" s="1">
        <v>13400</v>
      </c>
      <c r="L251" s="1">
        <v>13740</v>
      </c>
      <c r="M251" s="1">
        <v>15420</v>
      </c>
      <c r="N251" s="1">
        <v>16560</v>
      </c>
      <c r="O251" s="1">
        <v>16100</v>
      </c>
      <c r="P251" s="1">
        <v>13830</v>
      </c>
      <c r="Q251" s="1">
        <v>13500</v>
      </c>
      <c r="R251" s="1">
        <v>11550</v>
      </c>
      <c r="S251" s="1">
        <v>12210</v>
      </c>
      <c r="T251" s="1">
        <v>10870</v>
      </c>
      <c r="U251" s="1">
        <v>9650</v>
      </c>
      <c r="V251" s="1">
        <v>9150</v>
      </c>
      <c r="W251" s="1">
        <v>10030</v>
      </c>
      <c r="X251" s="1">
        <v>9890</v>
      </c>
      <c r="Y251" s="1">
        <v>8450</v>
      </c>
      <c r="Z251" s="1">
        <v>8200</v>
      </c>
      <c r="AA251" s="1">
        <v>7980</v>
      </c>
      <c r="AB251" s="1">
        <v>7890</v>
      </c>
      <c r="AC251" s="1">
        <v>7970</v>
      </c>
      <c r="AD251" s="1">
        <v>7990</v>
      </c>
      <c r="AE251" s="1">
        <v>8200</v>
      </c>
      <c r="AF251" s="1">
        <v>8300</v>
      </c>
      <c r="AG251" s="1">
        <v>8820</v>
      </c>
      <c r="AH251" s="1">
        <v>9420</v>
      </c>
      <c r="AI251" s="1">
        <v>8450</v>
      </c>
      <c r="AJ251" s="1">
        <v>8570</v>
      </c>
      <c r="AK251" s="1">
        <v>10120</v>
      </c>
      <c r="AL251" s="1">
        <v>8750</v>
      </c>
      <c r="AM251" s="1">
        <v>7950</v>
      </c>
      <c r="AN251" s="1">
        <v>8820</v>
      </c>
      <c r="AO251" s="1">
        <v>8880</v>
      </c>
      <c r="AP251" s="1">
        <v>9710</v>
      </c>
      <c r="AQ251" s="1">
        <v>9150</v>
      </c>
      <c r="AR251" s="1">
        <v>8800</v>
      </c>
      <c r="AS251" s="1">
        <v>8600</v>
      </c>
      <c r="AT251" s="1">
        <v>8800</v>
      </c>
      <c r="AU251" s="1">
        <v>9110</v>
      </c>
      <c r="AV251" s="1">
        <v>10750</v>
      </c>
      <c r="AW251" s="1">
        <v>10600</v>
      </c>
      <c r="AX251" s="1">
        <v>9780</v>
      </c>
      <c r="AY251" s="1">
        <v>11300</v>
      </c>
      <c r="AZ251" s="1">
        <v>11480</v>
      </c>
      <c r="BA251" s="1">
        <v>11580</v>
      </c>
      <c r="BB251" s="1">
        <v>12560</v>
      </c>
      <c r="BC251" s="1">
        <v>14410</v>
      </c>
      <c r="BD251" s="1">
        <v>12900</v>
      </c>
      <c r="BE251" s="1">
        <v>12930</v>
      </c>
      <c r="BF251" s="1">
        <v>13200</v>
      </c>
      <c r="BG251" s="1">
        <v>12270</v>
      </c>
      <c r="BH251" s="1">
        <v>19610</v>
      </c>
      <c r="BI251" s="1">
        <v>16400</v>
      </c>
      <c r="BJ251" s="1">
        <v>14530</v>
      </c>
      <c r="BK251" s="1">
        <v>13660</v>
      </c>
      <c r="BL251" s="1">
        <v>10770</v>
      </c>
      <c r="BM251" s="1">
        <v>9270</v>
      </c>
      <c r="BN251" s="1">
        <v>7920</v>
      </c>
      <c r="BO251" s="1">
        <v>8050</v>
      </c>
      <c r="BP251" s="1">
        <v>8480</v>
      </c>
      <c r="BQ251" s="1">
        <v>8640</v>
      </c>
      <c r="BR251" s="1">
        <v>7220</v>
      </c>
      <c r="BS251" s="1">
        <v>6790</v>
      </c>
      <c r="BT251" s="1">
        <v>6900</v>
      </c>
      <c r="BU251" s="1">
        <v>6950</v>
      </c>
      <c r="BV251" s="1">
        <v>7000</v>
      </c>
      <c r="BW251" s="1">
        <v>6020</v>
      </c>
      <c r="BX251" s="1">
        <v>6190</v>
      </c>
      <c r="BY251" s="1">
        <v>5660</v>
      </c>
      <c r="BZ251" s="1">
        <v>4965</v>
      </c>
    </row>
    <row r="252" spans="1:78">
      <c r="A252" s="62" t="s">
        <v>465</v>
      </c>
      <c r="B252" s="1" t="str">
        <f>銘柄管理!C252</f>
        <v>ＭＩＣ</v>
      </c>
      <c r="C252" s="1">
        <f>_xll.RssMarket("300A","高値")</f>
        <v>3020</v>
      </c>
      <c r="E252" s="1">
        <v>3010</v>
      </c>
      <c r="F252" s="1">
        <v>3000</v>
      </c>
      <c r="G252" s="1">
        <v>3040</v>
      </c>
      <c r="H252" s="1">
        <v>3020</v>
      </c>
      <c r="I252" s="1">
        <v>3010</v>
      </c>
      <c r="J252" s="1">
        <v>2979</v>
      </c>
      <c r="K252" s="1">
        <v>2974</v>
      </c>
      <c r="M252" s="1">
        <v>3005</v>
      </c>
      <c r="N252" s="1">
        <v>2951</v>
      </c>
      <c r="O252" s="1">
        <v>2938</v>
      </c>
      <c r="P252" s="1">
        <v>2909</v>
      </c>
      <c r="Q252" s="1">
        <v>2896</v>
      </c>
      <c r="R252" s="1">
        <v>2895</v>
      </c>
      <c r="S252" s="1">
        <v>2906</v>
      </c>
      <c r="T252" s="1">
        <v>2925</v>
      </c>
      <c r="U252" s="1">
        <v>2906</v>
      </c>
      <c r="V252" s="1">
        <v>2916</v>
      </c>
      <c r="W252" s="1">
        <v>2932</v>
      </c>
      <c r="X252" s="1">
        <v>2944</v>
      </c>
      <c r="Y252" s="1">
        <v>2967</v>
      </c>
      <c r="Z252" s="1">
        <v>3015</v>
      </c>
      <c r="AA252" s="1">
        <v>2990</v>
      </c>
      <c r="AB252" s="1">
        <v>2945</v>
      </c>
      <c r="AC252" s="1">
        <v>2930</v>
      </c>
      <c r="AD252" s="1">
        <v>2846</v>
      </c>
      <c r="AE252" s="1">
        <v>2808</v>
      </c>
      <c r="AF252" s="1">
        <v>2806</v>
      </c>
      <c r="AG252" s="1">
        <v>2809</v>
      </c>
      <c r="AH252" s="1">
        <v>2833</v>
      </c>
      <c r="AI252" s="1">
        <v>2812</v>
      </c>
      <c r="AJ252" s="1">
        <v>2847</v>
      </c>
      <c r="AK252" s="1">
        <v>2874</v>
      </c>
      <c r="AL252" s="1">
        <v>2835</v>
      </c>
      <c r="AM252" s="1">
        <v>2918</v>
      </c>
      <c r="AN252" s="1">
        <v>2867</v>
      </c>
      <c r="AO252" s="1">
        <v>2797</v>
      </c>
      <c r="AP252" s="1">
        <v>2821</v>
      </c>
      <c r="AQ252" s="1">
        <v>2799</v>
      </c>
      <c r="AR252" s="1">
        <v>2845</v>
      </c>
      <c r="AS252" s="1">
        <v>2845</v>
      </c>
      <c r="AT252" s="1">
        <v>2842</v>
      </c>
      <c r="AU252" s="1">
        <v>2848</v>
      </c>
      <c r="AV252" s="1">
        <v>2899</v>
      </c>
      <c r="AW252" s="1">
        <v>2887</v>
      </c>
      <c r="AX252" s="1">
        <v>2871</v>
      </c>
      <c r="AY252" s="1">
        <v>2918</v>
      </c>
      <c r="AZ252" s="1">
        <v>2940</v>
      </c>
      <c r="BA252" s="1">
        <v>2938</v>
      </c>
      <c r="BB252" s="1">
        <v>2934</v>
      </c>
      <c r="BC252" s="1">
        <v>2926</v>
      </c>
      <c r="BD252" s="1">
        <v>2930</v>
      </c>
      <c r="BE252" s="1">
        <v>3040</v>
      </c>
      <c r="BF252" s="1">
        <v>2800</v>
      </c>
      <c r="BG252" s="1">
        <v>2821</v>
      </c>
      <c r="BH252" s="1">
        <v>2815</v>
      </c>
      <c r="BI252" s="1">
        <v>2818</v>
      </c>
      <c r="BJ252" s="1">
        <v>2792</v>
      </c>
      <c r="BK252" s="1">
        <v>2811</v>
      </c>
      <c r="BL252" s="1">
        <v>2795</v>
      </c>
      <c r="BM252" s="1">
        <v>2885</v>
      </c>
      <c r="BN252" s="1">
        <v>2849</v>
      </c>
      <c r="BO252" s="1">
        <v>2851</v>
      </c>
      <c r="BP252" s="1">
        <v>2953</v>
      </c>
      <c r="BQ252" s="1">
        <v>3070</v>
      </c>
      <c r="BR252" s="1">
        <v>3110</v>
      </c>
      <c r="BS252" s="1">
        <v>3085</v>
      </c>
      <c r="BT252" s="1">
        <v>3045</v>
      </c>
      <c r="BU252" s="1">
        <v>3045</v>
      </c>
      <c r="BV252" s="1">
        <v>3055</v>
      </c>
      <c r="BW252" s="1">
        <v>2953</v>
      </c>
      <c r="BX252" s="1">
        <v>2955</v>
      </c>
      <c r="BY252" s="1">
        <v>2910</v>
      </c>
      <c r="BZ252" s="1">
        <v>2980</v>
      </c>
    </row>
    <row r="253" spans="1:78">
      <c r="A253" s="62" t="s">
        <v>466</v>
      </c>
      <c r="B253" s="1" t="str">
        <f>銘柄管理!C253</f>
        <v>サイボウズ</v>
      </c>
      <c r="C253" s="1">
        <f>_xll.RssMarket("4776","高値")</f>
        <v>2732</v>
      </c>
      <c r="E253" s="1">
        <v>2745</v>
      </c>
      <c r="F253" s="1">
        <v>2722</v>
      </c>
      <c r="G253" s="1">
        <v>2725</v>
      </c>
      <c r="H253" s="1">
        <v>2922</v>
      </c>
      <c r="I253" s="1">
        <v>2858</v>
      </c>
      <c r="J253" s="1">
        <v>2690</v>
      </c>
      <c r="K253" s="1">
        <v>2626</v>
      </c>
      <c r="L253" s="1">
        <v>2500</v>
      </c>
      <c r="M253" s="1">
        <v>2503</v>
      </c>
      <c r="N253" s="1">
        <v>2569</v>
      </c>
      <c r="O253" s="1">
        <v>2642</v>
      </c>
      <c r="P253" s="1">
        <v>2645</v>
      </c>
      <c r="Q253" s="1">
        <v>2578</v>
      </c>
      <c r="R253" s="1">
        <v>2646</v>
      </c>
      <c r="S253" s="1">
        <v>2626</v>
      </c>
      <c r="T253" s="1">
        <v>2654</v>
      </c>
      <c r="U253" s="1">
        <v>2636</v>
      </c>
      <c r="V253" s="1">
        <v>2645</v>
      </c>
      <c r="W253" s="1">
        <v>2639</v>
      </c>
      <c r="X253" s="1">
        <v>2580</v>
      </c>
      <c r="Y253" s="1">
        <v>2568</v>
      </c>
      <c r="Z253" s="1">
        <v>2490</v>
      </c>
      <c r="AA253" s="1">
        <v>2310</v>
      </c>
      <c r="AB253" s="1">
        <v>2348</v>
      </c>
      <c r="AC253" s="1">
        <v>2356</v>
      </c>
      <c r="AD253" s="1">
        <v>2145</v>
      </c>
      <c r="AE253" s="1">
        <v>2229</v>
      </c>
      <c r="AF253" s="1">
        <v>2262</v>
      </c>
      <c r="AG253" s="1">
        <v>2286</v>
      </c>
      <c r="AH253" s="1">
        <v>2350</v>
      </c>
      <c r="AI253" s="1">
        <v>2390</v>
      </c>
      <c r="AJ253" s="1">
        <v>2386</v>
      </c>
      <c r="AK253" s="1">
        <v>2340</v>
      </c>
      <c r="AL253" s="1">
        <v>2353</v>
      </c>
      <c r="AM253" s="1">
        <v>2359</v>
      </c>
      <c r="AN253" s="1">
        <v>2317</v>
      </c>
      <c r="AO253" s="1">
        <v>2400</v>
      </c>
      <c r="AP253" s="1">
        <v>2372</v>
      </c>
      <c r="AQ253" s="1">
        <v>2470</v>
      </c>
      <c r="AR253" s="1">
        <v>2477</v>
      </c>
      <c r="AS253" s="1">
        <v>2439</v>
      </c>
      <c r="AT253" s="1">
        <v>2570</v>
      </c>
      <c r="AU253" s="1">
        <v>2670</v>
      </c>
      <c r="AV253" s="1">
        <v>2642</v>
      </c>
      <c r="AW253" s="1">
        <v>2606</v>
      </c>
      <c r="AX253" s="1">
        <v>2586</v>
      </c>
      <c r="AY253" s="1">
        <v>2601</v>
      </c>
      <c r="AZ253" s="1">
        <v>2525</v>
      </c>
      <c r="BA253" s="1">
        <v>2563</v>
      </c>
      <c r="BB253" s="1">
        <v>2502</v>
      </c>
      <c r="BC253" s="1">
        <v>2458</v>
      </c>
      <c r="BD253" s="1">
        <v>2434</v>
      </c>
      <c r="BE253" s="1">
        <v>2396</v>
      </c>
      <c r="BF253" s="1">
        <v>2163</v>
      </c>
      <c r="BG253" s="1">
        <v>2197</v>
      </c>
      <c r="BH253" s="1">
        <v>2166</v>
      </c>
      <c r="BI253" s="1">
        <v>2190</v>
      </c>
      <c r="BJ253" s="1">
        <v>2199</v>
      </c>
      <c r="BK253" s="1">
        <v>2121</v>
      </c>
      <c r="BL253" s="1">
        <v>2120</v>
      </c>
      <c r="BM253" s="1">
        <v>2106</v>
      </c>
      <c r="BN253" s="1">
        <v>2130</v>
      </c>
      <c r="BO253" s="1">
        <v>2138</v>
      </c>
      <c r="BP253" s="1">
        <v>2133</v>
      </c>
      <c r="BQ253" s="1">
        <v>2144</v>
      </c>
      <c r="BR253" s="1">
        <v>2175</v>
      </c>
      <c r="BS253" s="1">
        <v>2210</v>
      </c>
      <c r="BT253" s="1">
        <v>2268</v>
      </c>
      <c r="BU253" s="1">
        <v>2337</v>
      </c>
      <c r="BV253" s="1">
        <v>2274</v>
      </c>
      <c r="BW253" s="1">
        <v>2122</v>
      </c>
      <c r="BX253" s="1">
        <v>2072</v>
      </c>
      <c r="BY253" s="1">
        <v>1989</v>
      </c>
      <c r="BZ253" s="1">
        <v>2018</v>
      </c>
    </row>
    <row r="254" spans="1:78">
      <c r="A254" s="62" t="s">
        <v>467</v>
      </c>
      <c r="B254" s="1" t="str">
        <f>銘柄管理!C254</f>
        <v>トレンドマイクロ</v>
      </c>
      <c r="C254" s="1">
        <f>_xll.RssMarket("4704","高値")</f>
        <v>6543</v>
      </c>
      <c r="E254" s="1">
        <v>6549</v>
      </c>
      <c r="F254" s="1">
        <v>6442</v>
      </c>
      <c r="G254" s="1">
        <v>6507</v>
      </c>
      <c r="H254" s="1">
        <v>6913</v>
      </c>
      <c r="I254" s="1">
        <v>6860</v>
      </c>
      <c r="J254" s="1">
        <v>6656</v>
      </c>
      <c r="K254" s="1">
        <v>6518</v>
      </c>
      <c r="L254" s="1">
        <v>6269</v>
      </c>
      <c r="M254" s="1">
        <v>6245</v>
      </c>
      <c r="N254" s="1">
        <v>6332</v>
      </c>
      <c r="O254" s="1">
        <v>6550</v>
      </c>
      <c r="P254" s="1">
        <v>6657</v>
      </c>
      <c r="Q254" s="1">
        <v>6450</v>
      </c>
      <c r="R254" s="1">
        <v>6446</v>
      </c>
      <c r="S254" s="1">
        <v>6269</v>
      </c>
      <c r="T254" s="1">
        <v>6318</v>
      </c>
      <c r="U254" s="1">
        <v>6275</v>
      </c>
      <c r="V254" s="1">
        <v>6366</v>
      </c>
      <c r="W254" s="1">
        <v>6411</v>
      </c>
      <c r="X254" s="1">
        <v>6372</v>
      </c>
      <c r="Y254" s="1">
        <v>6565</v>
      </c>
      <c r="Z254" s="1">
        <v>6344</v>
      </c>
      <c r="AA254" s="1">
        <v>6030</v>
      </c>
      <c r="AB254" s="1">
        <v>6110</v>
      </c>
      <c r="AC254" s="1">
        <v>6064</v>
      </c>
      <c r="AD254" s="1">
        <v>5634</v>
      </c>
      <c r="AE254" s="1">
        <v>5722</v>
      </c>
      <c r="AF254" s="1">
        <v>5673</v>
      </c>
      <c r="AG254" s="1">
        <v>5636</v>
      </c>
      <c r="AH254" s="1">
        <v>5745</v>
      </c>
      <c r="AI254" s="1">
        <v>5881</v>
      </c>
      <c r="AJ254" s="1">
        <v>5909</v>
      </c>
      <c r="AK254" s="1">
        <v>5852</v>
      </c>
      <c r="AL254" s="1">
        <v>5876</v>
      </c>
      <c r="AM254" s="1">
        <v>6003</v>
      </c>
      <c r="AN254" s="1">
        <v>6200</v>
      </c>
      <c r="AO254" s="1">
        <v>6261</v>
      </c>
      <c r="AP254" s="1">
        <v>6263</v>
      </c>
      <c r="AQ254" s="1">
        <v>6571</v>
      </c>
      <c r="AR254" s="1">
        <v>6900</v>
      </c>
      <c r="AS254" s="1">
        <v>6451</v>
      </c>
      <c r="AT254" s="1">
        <v>6375</v>
      </c>
      <c r="AU254" s="1">
        <v>6575</v>
      </c>
      <c r="AV254" s="1">
        <v>6232</v>
      </c>
      <c r="AW254" s="1">
        <v>6085</v>
      </c>
      <c r="AX254" s="1">
        <v>6166</v>
      </c>
      <c r="AY254" s="1">
        <v>6371</v>
      </c>
      <c r="AZ254" s="1">
        <v>6235</v>
      </c>
      <c r="BA254" s="1">
        <v>6007</v>
      </c>
      <c r="BB254" s="1">
        <v>6125</v>
      </c>
      <c r="BC254" s="1">
        <v>6138</v>
      </c>
      <c r="BD254" s="1">
        <v>5913</v>
      </c>
      <c r="BE254" s="1">
        <v>5681</v>
      </c>
      <c r="BF254" s="1">
        <v>5560</v>
      </c>
      <c r="BG254" s="1">
        <v>5775</v>
      </c>
      <c r="BH254" s="1">
        <v>5696</v>
      </c>
      <c r="BI254" s="1">
        <v>5746</v>
      </c>
      <c r="BJ254" s="1">
        <v>5776</v>
      </c>
      <c r="BK254" s="1">
        <v>5538</v>
      </c>
      <c r="BL254" s="1">
        <v>5452</v>
      </c>
      <c r="BM254" s="1">
        <v>5558</v>
      </c>
      <c r="BN254" s="1">
        <v>5627</v>
      </c>
      <c r="BO254" s="1">
        <v>5673</v>
      </c>
      <c r="BP254" s="1">
        <v>5700</v>
      </c>
      <c r="BQ254" s="1">
        <v>5880</v>
      </c>
      <c r="BR254" s="1">
        <v>6115</v>
      </c>
      <c r="BS254" s="1">
        <v>5986</v>
      </c>
      <c r="BT254" s="1">
        <v>6002</v>
      </c>
      <c r="BU254" s="1">
        <v>6092</v>
      </c>
      <c r="BV254" s="1">
        <v>6294</v>
      </c>
      <c r="BW254" s="1">
        <v>5591</v>
      </c>
      <c r="BX254" s="1">
        <v>5390</v>
      </c>
      <c r="BY254" s="1">
        <v>5166</v>
      </c>
      <c r="BZ254" s="1">
        <v>5284</v>
      </c>
    </row>
    <row r="255" spans="1:78">
      <c r="A255" s="62" t="s">
        <v>468</v>
      </c>
      <c r="B255" s="1" t="str">
        <f>銘柄管理!C255</f>
        <v>栗田工業</v>
      </c>
      <c r="C255" s="1">
        <f>_xll.RssMarket("6370","高値")</f>
        <v>9190</v>
      </c>
      <c r="E255" s="1">
        <v>9050</v>
      </c>
      <c r="F255" s="1">
        <v>8746</v>
      </c>
      <c r="G255" s="1">
        <v>8868</v>
      </c>
      <c r="H255" s="1">
        <v>8419</v>
      </c>
      <c r="I255" s="1">
        <v>8423</v>
      </c>
      <c r="J255" s="1">
        <v>8759</v>
      </c>
      <c r="K255" s="1">
        <v>8990</v>
      </c>
      <c r="L255" s="1">
        <v>9030</v>
      </c>
      <c r="M255" s="1">
        <v>9092</v>
      </c>
      <c r="N255" s="1">
        <v>9232</v>
      </c>
      <c r="O255" s="1">
        <v>8856</v>
      </c>
      <c r="P255" s="1">
        <v>8854</v>
      </c>
      <c r="Q255" s="1">
        <v>9270</v>
      </c>
      <c r="R255" s="1">
        <v>9065</v>
      </c>
      <c r="S255" s="1">
        <v>9321</v>
      </c>
      <c r="T255" s="1">
        <v>9211</v>
      </c>
      <c r="U255" s="1">
        <v>9113</v>
      </c>
      <c r="V255" s="1">
        <v>8992</v>
      </c>
      <c r="W255" s="1">
        <v>9443</v>
      </c>
      <c r="X255" s="1">
        <v>9656</v>
      </c>
      <c r="Y255" s="1">
        <v>9398</v>
      </c>
      <c r="Z255" s="1">
        <v>9414</v>
      </c>
      <c r="AA255" s="1">
        <v>9511</v>
      </c>
      <c r="AB255" s="1">
        <v>9304</v>
      </c>
      <c r="AC255" s="1">
        <v>9150</v>
      </c>
      <c r="AD255" s="1">
        <v>9373</v>
      </c>
      <c r="AE255" s="1">
        <v>9614</v>
      </c>
      <c r="AF255" s="1">
        <v>9389</v>
      </c>
      <c r="AG255" s="1">
        <v>9613</v>
      </c>
      <c r="AH255" s="1">
        <v>9642</v>
      </c>
      <c r="AI255" s="1">
        <v>9919</v>
      </c>
      <c r="AJ255" s="1">
        <v>9650</v>
      </c>
      <c r="AK255" s="1">
        <v>9450</v>
      </c>
      <c r="AL255" s="1">
        <v>9213</v>
      </c>
      <c r="AM255" s="1">
        <v>8766</v>
      </c>
      <c r="AN255" s="1">
        <v>8559</v>
      </c>
      <c r="AO255" s="1">
        <v>8146</v>
      </c>
      <c r="AP255" s="1">
        <v>8351</v>
      </c>
      <c r="AQ255" s="1">
        <v>8387</v>
      </c>
      <c r="AR255" s="1">
        <v>8870</v>
      </c>
      <c r="AS255" s="1">
        <v>8866</v>
      </c>
      <c r="AT255" s="1">
        <v>8981</v>
      </c>
      <c r="AU255" s="1">
        <v>8600</v>
      </c>
      <c r="AV255" s="1">
        <v>8892</v>
      </c>
      <c r="AW255" s="1">
        <v>8789</v>
      </c>
      <c r="AX255" s="1">
        <v>9227</v>
      </c>
      <c r="AY255" s="1">
        <v>8972</v>
      </c>
      <c r="AZ255" s="1">
        <v>8792</v>
      </c>
      <c r="BA255" s="1">
        <v>8647</v>
      </c>
      <c r="BB255" s="1">
        <v>8705</v>
      </c>
      <c r="BC255" s="1">
        <v>8961</v>
      </c>
      <c r="BD255" s="1">
        <v>9024</v>
      </c>
      <c r="BE255" s="1">
        <v>9508</v>
      </c>
      <c r="BF255" s="1">
        <v>9318</v>
      </c>
      <c r="BG255" s="1">
        <v>9000</v>
      </c>
      <c r="BH255" s="1">
        <v>9257</v>
      </c>
      <c r="BI255" s="1">
        <v>9063</v>
      </c>
      <c r="BJ255" s="1">
        <v>8648</v>
      </c>
      <c r="BK255" s="1">
        <v>8410</v>
      </c>
      <c r="BL255" s="1">
        <v>8333</v>
      </c>
      <c r="BM255" s="1">
        <v>8573</v>
      </c>
      <c r="BN255" s="1">
        <v>8514</v>
      </c>
      <c r="BO255" s="1">
        <v>8303</v>
      </c>
      <c r="BP255" s="1">
        <v>7954</v>
      </c>
      <c r="BQ255" s="1">
        <v>7976</v>
      </c>
      <c r="BR255" s="1">
        <v>8064</v>
      </c>
      <c r="BS255" s="1">
        <v>8200</v>
      </c>
      <c r="BT255" s="1">
        <v>8224</v>
      </c>
      <c r="BU255" s="1">
        <v>8120</v>
      </c>
      <c r="BV255" s="1">
        <v>8002</v>
      </c>
      <c r="BW255" s="1">
        <v>8080</v>
      </c>
      <c r="BX255" s="1">
        <v>8214</v>
      </c>
      <c r="BY255" s="1">
        <v>8144</v>
      </c>
      <c r="BZ255" s="1">
        <v>8163</v>
      </c>
    </row>
    <row r="256" spans="1:78">
      <c r="A256" s="62" t="s">
        <v>469</v>
      </c>
      <c r="B256" s="1" t="str">
        <f>銘柄管理!C256</f>
        <v>名村造船所</v>
      </c>
      <c r="C256" s="1">
        <f>_xll.RssMarket("7014","高値")</f>
        <v>4340</v>
      </c>
      <c r="E256" s="1">
        <v>4230</v>
      </c>
      <c r="F256" s="1">
        <v>4210</v>
      </c>
      <c r="G256" s="1">
        <v>4475</v>
      </c>
      <c r="H256" s="1">
        <v>4315</v>
      </c>
      <c r="I256" s="1">
        <v>4440</v>
      </c>
      <c r="J256" s="1">
        <v>4605</v>
      </c>
      <c r="K256" s="1">
        <v>4520</v>
      </c>
      <c r="L256" s="1">
        <v>4410</v>
      </c>
      <c r="M256" s="1">
        <v>4270</v>
      </c>
      <c r="N256" s="1">
        <v>4270</v>
      </c>
      <c r="O256" s="1">
        <v>3925</v>
      </c>
      <c r="P256" s="1">
        <v>3785</v>
      </c>
      <c r="Q256" s="1">
        <v>4050</v>
      </c>
      <c r="R256" s="1">
        <v>3935</v>
      </c>
      <c r="S256" s="1">
        <v>3925</v>
      </c>
      <c r="T256" s="1">
        <v>3885</v>
      </c>
      <c r="U256" s="1">
        <v>3905</v>
      </c>
      <c r="V256" s="1">
        <v>4245</v>
      </c>
      <c r="W256" s="1">
        <v>4395</v>
      </c>
      <c r="X256" s="1">
        <v>4185</v>
      </c>
      <c r="Y256" s="1">
        <v>3710</v>
      </c>
      <c r="Z256" s="1">
        <v>3680</v>
      </c>
      <c r="AA256" s="1">
        <v>3615</v>
      </c>
      <c r="AB256" s="1">
        <v>3645</v>
      </c>
      <c r="AC256" s="1">
        <v>3755</v>
      </c>
      <c r="AD256" s="1">
        <v>3730</v>
      </c>
      <c r="AE256" s="1">
        <v>3775</v>
      </c>
      <c r="AF256" s="1">
        <v>3755</v>
      </c>
      <c r="AG256" s="1">
        <v>3905</v>
      </c>
      <c r="AH256" s="1">
        <v>3865</v>
      </c>
      <c r="AI256" s="1">
        <v>3890</v>
      </c>
      <c r="AJ256" s="1">
        <v>4015</v>
      </c>
      <c r="AK256" s="1">
        <v>3965</v>
      </c>
      <c r="AL256" s="1">
        <v>3865</v>
      </c>
      <c r="AM256" s="1">
        <v>3850</v>
      </c>
      <c r="AN256" s="1">
        <v>3625</v>
      </c>
      <c r="AO256" s="1">
        <v>3510</v>
      </c>
      <c r="AP256" s="1">
        <v>3550</v>
      </c>
      <c r="AQ256" s="1">
        <v>3655</v>
      </c>
      <c r="AR256" s="1">
        <v>3735</v>
      </c>
      <c r="AS256" s="1">
        <v>3545</v>
      </c>
      <c r="AT256" s="1">
        <v>3645</v>
      </c>
      <c r="AU256" s="1">
        <v>3490</v>
      </c>
      <c r="AV256" s="1">
        <v>3800</v>
      </c>
      <c r="AW256" s="1">
        <v>4110</v>
      </c>
      <c r="AX256" s="1">
        <v>4295</v>
      </c>
      <c r="AY256" s="1">
        <v>4080</v>
      </c>
      <c r="AZ256" s="1">
        <v>3895</v>
      </c>
      <c r="BA256" s="1">
        <v>3825</v>
      </c>
      <c r="BB256" s="1">
        <v>3895</v>
      </c>
      <c r="BC256" s="1">
        <v>4110</v>
      </c>
      <c r="BD256" s="1">
        <v>4380</v>
      </c>
      <c r="BE256" s="1">
        <v>4375</v>
      </c>
      <c r="BF256" s="1">
        <v>4030</v>
      </c>
      <c r="BG256" s="1">
        <v>4140</v>
      </c>
      <c r="BH256" s="1">
        <v>4100</v>
      </c>
      <c r="BI256" s="1">
        <v>4055</v>
      </c>
      <c r="BJ256" s="1">
        <v>4070</v>
      </c>
      <c r="BK256" s="1">
        <v>4140</v>
      </c>
      <c r="BL256" s="1">
        <v>4060</v>
      </c>
      <c r="BM256" s="1">
        <v>4060</v>
      </c>
      <c r="BN256" s="1">
        <v>4150</v>
      </c>
      <c r="BO256" s="1">
        <v>4180</v>
      </c>
      <c r="BP256" s="1">
        <v>4105</v>
      </c>
      <c r="BQ256" s="1">
        <v>4320</v>
      </c>
      <c r="BR256" s="1">
        <v>4435</v>
      </c>
      <c r="BS256" s="1">
        <v>4110</v>
      </c>
      <c r="BT256" s="1">
        <v>4140</v>
      </c>
      <c r="BU256" s="1">
        <v>4105</v>
      </c>
      <c r="BV256" s="1">
        <v>4115</v>
      </c>
      <c r="BW256" s="1">
        <v>4195</v>
      </c>
      <c r="BX256" s="1">
        <v>4205</v>
      </c>
      <c r="BY256" s="1">
        <v>4170</v>
      </c>
      <c r="BZ256" s="1">
        <v>4320</v>
      </c>
    </row>
    <row r="257" spans="1:78">
      <c r="A257" s="62" t="s">
        <v>470</v>
      </c>
      <c r="B257" s="1" t="str">
        <f>銘柄管理!C257</f>
        <v>イノテック</v>
      </c>
      <c r="C257" s="1">
        <f>_xll.RssMarket("9880","高値")</f>
        <v>3800</v>
      </c>
      <c r="E257" s="1">
        <v>3610</v>
      </c>
      <c r="F257" s="1">
        <v>3485</v>
      </c>
      <c r="G257" s="1">
        <v>3445</v>
      </c>
      <c r="H257" s="1">
        <v>3165</v>
      </c>
      <c r="I257" s="1">
        <v>3135</v>
      </c>
      <c r="J257" s="1">
        <v>3250</v>
      </c>
      <c r="K257" s="1">
        <v>3315</v>
      </c>
      <c r="L257" s="1">
        <v>3370</v>
      </c>
      <c r="M257" s="1">
        <v>3455</v>
      </c>
      <c r="N257" s="1">
        <v>3470</v>
      </c>
      <c r="O257" s="1">
        <v>3350</v>
      </c>
      <c r="P257" s="1">
        <v>3335</v>
      </c>
      <c r="Q257" s="1">
        <v>3570</v>
      </c>
      <c r="R257" s="1">
        <v>3515</v>
      </c>
      <c r="S257" s="1">
        <v>3645</v>
      </c>
      <c r="T257" s="1">
        <v>3660</v>
      </c>
      <c r="U257" s="1">
        <v>3690</v>
      </c>
      <c r="V257" s="1">
        <v>3635</v>
      </c>
      <c r="W257" s="1">
        <v>3820</v>
      </c>
      <c r="X257" s="1">
        <v>3865</v>
      </c>
      <c r="Y257" s="1">
        <v>3865</v>
      </c>
      <c r="Z257" s="1">
        <v>3860</v>
      </c>
      <c r="AA257" s="1">
        <v>4120</v>
      </c>
      <c r="AB257" s="1">
        <v>4025</v>
      </c>
      <c r="AC257" s="1">
        <v>4060</v>
      </c>
      <c r="AD257" s="1">
        <v>4250</v>
      </c>
      <c r="AE257" s="1">
        <v>4460</v>
      </c>
      <c r="AF257" s="1">
        <v>4370</v>
      </c>
      <c r="AG257" s="1">
        <v>4600</v>
      </c>
      <c r="AH257" s="1">
        <v>4625</v>
      </c>
      <c r="AI257" s="1">
        <v>4370</v>
      </c>
      <c r="AJ257" s="1">
        <v>4385</v>
      </c>
      <c r="AK257" s="1">
        <v>4195</v>
      </c>
      <c r="AL257" s="1">
        <v>4135</v>
      </c>
      <c r="AM257" s="1">
        <v>4210</v>
      </c>
      <c r="AN257" s="1">
        <v>4195</v>
      </c>
      <c r="AO257" s="1">
        <v>4095</v>
      </c>
      <c r="AP257" s="1">
        <v>4235</v>
      </c>
      <c r="AQ257" s="1">
        <v>4260</v>
      </c>
      <c r="AR257" s="1">
        <v>4545</v>
      </c>
      <c r="AS257" s="1">
        <v>4600</v>
      </c>
      <c r="AT257" s="1">
        <v>4495</v>
      </c>
      <c r="AU257" s="1">
        <v>4365</v>
      </c>
      <c r="AV257" s="1">
        <v>4360</v>
      </c>
      <c r="AW257" s="1">
        <v>4340</v>
      </c>
      <c r="AX257" s="1">
        <v>4680</v>
      </c>
      <c r="AY257" s="1">
        <v>4670</v>
      </c>
      <c r="AZ257" s="1">
        <v>4490</v>
      </c>
      <c r="BA257" s="1">
        <v>4465</v>
      </c>
      <c r="BB257" s="1">
        <v>4250</v>
      </c>
      <c r="BC257" s="1">
        <v>4760</v>
      </c>
      <c r="BD257" s="1">
        <v>4540</v>
      </c>
      <c r="BE257" s="1">
        <v>4045</v>
      </c>
      <c r="BF257" s="1">
        <v>3460</v>
      </c>
      <c r="BG257" s="1">
        <v>3315</v>
      </c>
      <c r="BH257" s="1">
        <v>3445</v>
      </c>
      <c r="BI257" s="1">
        <v>3445</v>
      </c>
      <c r="BJ257" s="1">
        <v>3220</v>
      </c>
      <c r="BK257" s="1">
        <v>3325</v>
      </c>
      <c r="BL257" s="1">
        <v>2850</v>
      </c>
      <c r="BM257" s="1">
        <v>2879</v>
      </c>
      <c r="BN257" s="1">
        <v>2814</v>
      </c>
      <c r="BO257" s="1">
        <v>2805</v>
      </c>
      <c r="BP257" s="1">
        <v>2756</v>
      </c>
      <c r="BQ257" s="1">
        <v>2728</v>
      </c>
      <c r="BR257" s="1">
        <v>2758</v>
      </c>
      <c r="BS257" s="1">
        <v>2803</v>
      </c>
      <c r="BT257" s="1">
        <v>2826</v>
      </c>
      <c r="BU257" s="1">
        <v>2899</v>
      </c>
      <c r="BV257" s="1">
        <v>2939</v>
      </c>
      <c r="BW257" s="1">
        <v>2910</v>
      </c>
      <c r="BX257" s="1">
        <v>2711</v>
      </c>
      <c r="BY257" s="1">
        <v>2631</v>
      </c>
      <c r="BZ257" s="1">
        <v>2613</v>
      </c>
    </row>
    <row r="258" spans="1:78">
      <c r="A258" s="62" t="s">
        <v>471</v>
      </c>
      <c r="B258" s="1" t="str">
        <f>銘柄管理!C258</f>
        <v>カバー</v>
      </c>
      <c r="C258" s="1">
        <f>_xll.RssMarket("5253","高値")</f>
        <v>1528</v>
      </c>
      <c r="E258" s="1">
        <v>1509</v>
      </c>
      <c r="F258" s="1">
        <v>1471</v>
      </c>
      <c r="G258" s="1">
        <v>1520</v>
      </c>
      <c r="H258" s="1">
        <v>1602</v>
      </c>
      <c r="I258" s="1">
        <v>1602</v>
      </c>
      <c r="J258" s="1">
        <v>1700</v>
      </c>
      <c r="K258" s="1">
        <v>1650</v>
      </c>
      <c r="M258" s="1">
        <v>1724</v>
      </c>
      <c r="N258" s="1">
        <v>1714</v>
      </c>
      <c r="O258" s="1">
        <v>1746</v>
      </c>
      <c r="P258" s="1">
        <v>1688</v>
      </c>
      <c r="Q258" s="1">
        <v>1702</v>
      </c>
      <c r="R258" s="1">
        <v>1698</v>
      </c>
      <c r="S258" s="1">
        <v>1651</v>
      </c>
      <c r="T258" s="1">
        <v>1645</v>
      </c>
      <c r="U258" s="1">
        <v>1649</v>
      </c>
      <c r="V258" s="1">
        <v>1677</v>
      </c>
      <c r="W258" s="1">
        <v>1655</v>
      </c>
      <c r="X258" s="1">
        <v>1629</v>
      </c>
      <c r="Y258" s="1">
        <v>1561</v>
      </c>
      <c r="Z258" s="1">
        <v>1469</v>
      </c>
      <c r="AA258" s="1">
        <v>1366</v>
      </c>
      <c r="AB258" s="1">
        <v>1377</v>
      </c>
      <c r="AC258" s="1">
        <v>1370</v>
      </c>
      <c r="AD258" s="1">
        <v>1220</v>
      </c>
      <c r="AE258" s="1">
        <v>1197</v>
      </c>
      <c r="AF258" s="1">
        <v>1218</v>
      </c>
      <c r="AG258" s="1">
        <v>1279</v>
      </c>
      <c r="AH258" s="1">
        <v>1314</v>
      </c>
      <c r="AI258" s="1">
        <v>1380</v>
      </c>
      <c r="AJ258" s="1">
        <v>1470</v>
      </c>
      <c r="AK258" s="1">
        <v>1458</v>
      </c>
      <c r="AL258" s="1">
        <v>1443</v>
      </c>
      <c r="AM258" s="1">
        <v>1460</v>
      </c>
      <c r="AN258" s="1">
        <v>1522</v>
      </c>
      <c r="AO258" s="1">
        <v>1538</v>
      </c>
      <c r="AP258" s="1">
        <v>1620</v>
      </c>
      <c r="AQ258" s="1">
        <v>1642</v>
      </c>
      <c r="AR258" s="1">
        <v>1685</v>
      </c>
      <c r="AS258" s="1">
        <v>1669</v>
      </c>
      <c r="AT258" s="1">
        <v>1657</v>
      </c>
      <c r="AU258" s="1">
        <v>1639</v>
      </c>
      <c r="AV258" s="1">
        <v>1647</v>
      </c>
      <c r="AW258" s="1">
        <v>1596</v>
      </c>
      <c r="AX258" s="1">
        <v>1621</v>
      </c>
      <c r="AY258" s="1">
        <v>1764</v>
      </c>
      <c r="AZ258" s="1">
        <v>1832</v>
      </c>
      <c r="BA258" s="1">
        <v>1765</v>
      </c>
      <c r="BB258" s="1">
        <v>1700</v>
      </c>
      <c r="BC258" s="1">
        <v>1708</v>
      </c>
      <c r="BD258" s="1">
        <v>1585</v>
      </c>
      <c r="BE258" s="1">
        <v>1529</v>
      </c>
      <c r="BF258" s="1">
        <v>1447</v>
      </c>
      <c r="BG258" s="1">
        <v>1452</v>
      </c>
      <c r="BH258" s="1">
        <v>1417</v>
      </c>
      <c r="BI258" s="1">
        <v>1453</v>
      </c>
      <c r="BJ258" s="1">
        <v>1450</v>
      </c>
      <c r="BK258" s="1">
        <v>1428</v>
      </c>
      <c r="BL258" s="1">
        <v>1436</v>
      </c>
      <c r="BM258" s="1">
        <v>1385</v>
      </c>
      <c r="BN258" s="1">
        <v>1394</v>
      </c>
      <c r="BO258" s="1">
        <v>1373</v>
      </c>
      <c r="BP258" s="1">
        <v>1408</v>
      </c>
      <c r="BQ258" s="1">
        <v>1430</v>
      </c>
      <c r="BR258" s="1">
        <v>1452</v>
      </c>
      <c r="BS258" s="1">
        <v>1458</v>
      </c>
      <c r="BT258" s="1">
        <v>1475</v>
      </c>
      <c r="BU258" s="1">
        <v>1474</v>
      </c>
      <c r="BV258" s="1">
        <v>1504</v>
      </c>
      <c r="BW258" s="1">
        <v>1482</v>
      </c>
      <c r="BX258" s="1">
        <v>1449</v>
      </c>
      <c r="BY258" s="1">
        <v>1432</v>
      </c>
      <c r="BZ258" s="1">
        <v>1473</v>
      </c>
    </row>
    <row r="259" spans="1:78">
      <c r="A259" s="62" t="s">
        <v>472</v>
      </c>
      <c r="B259" s="1" t="str">
        <f>銘柄管理!C259</f>
        <v>商船三井</v>
      </c>
      <c r="C259" s="1">
        <f>_xll.RssMarket("9104","高値")</f>
        <v>6023</v>
      </c>
      <c r="E259" s="1">
        <v>6064</v>
      </c>
      <c r="F259" s="1">
        <v>5833</v>
      </c>
      <c r="G259" s="1">
        <v>5974</v>
      </c>
      <c r="H259" s="1">
        <v>5955</v>
      </c>
      <c r="I259" s="1">
        <v>5984</v>
      </c>
      <c r="J259" s="1">
        <v>5895</v>
      </c>
      <c r="K259" s="1">
        <v>6022</v>
      </c>
      <c r="L259" s="1">
        <v>5881</v>
      </c>
      <c r="M259" s="1">
        <v>5820</v>
      </c>
      <c r="N259" s="1">
        <v>5784</v>
      </c>
      <c r="O259" s="1">
        <v>5690</v>
      </c>
      <c r="P259" s="1">
        <v>5688</v>
      </c>
      <c r="Q259" s="1">
        <v>5617</v>
      </c>
      <c r="R259" s="1">
        <v>5505</v>
      </c>
      <c r="S259" s="1">
        <v>5398</v>
      </c>
      <c r="T259" s="1">
        <v>5460</v>
      </c>
      <c r="U259" s="1">
        <v>5550</v>
      </c>
      <c r="V259" s="1">
        <v>5491</v>
      </c>
      <c r="W259" s="1">
        <v>5344</v>
      </c>
      <c r="X259" s="1">
        <v>5395</v>
      </c>
      <c r="Y259" s="1">
        <v>5277</v>
      </c>
      <c r="Z259" s="1">
        <v>5123</v>
      </c>
      <c r="AA259" s="1">
        <v>5215</v>
      </c>
      <c r="AB259" s="1">
        <v>5290</v>
      </c>
      <c r="AC259" s="1">
        <v>5296</v>
      </c>
      <c r="AD259" s="1">
        <v>5301</v>
      </c>
      <c r="AE259" s="1">
        <v>5380</v>
      </c>
      <c r="AF259" s="1">
        <v>5447</v>
      </c>
      <c r="AG259" s="1">
        <v>5342</v>
      </c>
      <c r="AH259" s="1">
        <v>5333</v>
      </c>
      <c r="AI259" s="1">
        <v>5345</v>
      </c>
      <c r="AJ259" s="1">
        <v>5420</v>
      </c>
      <c r="AK259" s="1">
        <v>5532</v>
      </c>
      <c r="AL259" s="1">
        <v>5750</v>
      </c>
      <c r="AM259" s="1">
        <v>5811</v>
      </c>
      <c r="AN259" s="1">
        <v>5785</v>
      </c>
      <c r="AO259" s="1">
        <v>5815</v>
      </c>
      <c r="AP259" s="1">
        <v>5878</v>
      </c>
      <c r="AQ259" s="1">
        <v>5849</v>
      </c>
      <c r="AR259" s="1">
        <v>5856</v>
      </c>
      <c r="AS259" s="1">
        <v>5608</v>
      </c>
      <c r="AT259" s="1">
        <v>5485</v>
      </c>
      <c r="AU259" s="1">
        <v>5509</v>
      </c>
      <c r="AV259" s="1">
        <v>5532</v>
      </c>
      <c r="AW259" s="1">
        <v>5508</v>
      </c>
      <c r="AX259" s="1">
        <v>5581</v>
      </c>
      <c r="AY259" s="1">
        <v>5693</v>
      </c>
      <c r="AZ259" s="1">
        <v>5705</v>
      </c>
      <c r="BA259" s="1">
        <v>5828</v>
      </c>
      <c r="BB259" s="1">
        <v>5810</v>
      </c>
      <c r="BC259" s="1">
        <v>5888</v>
      </c>
      <c r="BD259" s="1">
        <v>5942</v>
      </c>
      <c r="BE259" s="1">
        <v>5925</v>
      </c>
      <c r="BF259" s="1">
        <v>5901</v>
      </c>
      <c r="BG259" s="1">
        <v>5989</v>
      </c>
      <c r="BH259" s="1">
        <v>5971</v>
      </c>
      <c r="BI259" s="1">
        <v>5898</v>
      </c>
      <c r="BJ259" s="1">
        <v>5810</v>
      </c>
      <c r="BK259" s="1">
        <v>5980</v>
      </c>
      <c r="BL259" s="1">
        <v>5992</v>
      </c>
      <c r="BM259" s="1">
        <v>6127</v>
      </c>
      <c r="BN259" s="1">
        <v>6039</v>
      </c>
      <c r="BO259" s="1">
        <v>5950</v>
      </c>
      <c r="BP259" s="1">
        <v>6187</v>
      </c>
      <c r="BQ259" s="1">
        <v>6155</v>
      </c>
      <c r="BR259" s="1">
        <v>6156</v>
      </c>
      <c r="BS259" s="1">
        <v>6140</v>
      </c>
      <c r="BT259" s="1">
        <v>6284</v>
      </c>
      <c r="BU259" s="1">
        <v>6419</v>
      </c>
      <c r="BV259" s="1">
        <v>6433</v>
      </c>
      <c r="BW259" s="1">
        <v>6448</v>
      </c>
      <c r="BX259" s="1">
        <v>6475</v>
      </c>
      <c r="BY259" s="1">
        <v>6596</v>
      </c>
      <c r="BZ259" s="1">
        <v>6604</v>
      </c>
    </row>
    <row r="260" spans="1:78">
      <c r="A260" s="62" t="s">
        <v>473</v>
      </c>
      <c r="B260" s="1" t="str">
        <f>銘柄管理!C260</f>
        <v>千代田化工建</v>
      </c>
      <c r="C260" s="1">
        <f>_xll.RssMarket("6366","高値")</f>
        <v>710</v>
      </c>
      <c r="E260" s="1">
        <v>679</v>
      </c>
      <c r="F260" s="1">
        <v>655</v>
      </c>
      <c r="G260" s="1">
        <v>665</v>
      </c>
      <c r="H260" s="1">
        <v>648</v>
      </c>
      <c r="I260" s="1">
        <v>703</v>
      </c>
      <c r="J260" s="1">
        <v>734</v>
      </c>
      <c r="K260" s="1">
        <v>726</v>
      </c>
      <c r="L260" s="1">
        <v>707</v>
      </c>
      <c r="M260" s="1">
        <v>708</v>
      </c>
      <c r="N260" s="1">
        <v>716</v>
      </c>
      <c r="O260" s="1">
        <v>695</v>
      </c>
      <c r="P260" s="1">
        <v>664</v>
      </c>
      <c r="Q260" s="1">
        <v>702</v>
      </c>
      <c r="R260" s="1">
        <v>677</v>
      </c>
      <c r="S260" s="1">
        <v>691</v>
      </c>
      <c r="T260" s="1">
        <v>695</v>
      </c>
      <c r="U260" s="1">
        <v>701</v>
      </c>
      <c r="V260" s="1">
        <v>734</v>
      </c>
      <c r="W260" s="1">
        <v>760</v>
      </c>
      <c r="X260" s="1">
        <v>755</v>
      </c>
      <c r="Y260" s="1">
        <v>699</v>
      </c>
      <c r="Z260" s="1">
        <v>695</v>
      </c>
      <c r="AA260" s="1">
        <v>678</v>
      </c>
      <c r="AB260" s="1">
        <v>690</v>
      </c>
      <c r="AC260" s="1">
        <v>686</v>
      </c>
      <c r="AD260" s="1">
        <v>683</v>
      </c>
      <c r="AE260" s="1">
        <v>733</v>
      </c>
      <c r="AF260" s="1">
        <v>740</v>
      </c>
      <c r="AG260" s="1">
        <v>737</v>
      </c>
      <c r="AH260" s="1">
        <v>747</v>
      </c>
      <c r="AI260" s="1">
        <v>795</v>
      </c>
      <c r="AJ260" s="1">
        <v>818</v>
      </c>
      <c r="AK260" s="1">
        <v>821</v>
      </c>
      <c r="AL260" s="1">
        <v>770</v>
      </c>
      <c r="AM260" s="1">
        <v>837</v>
      </c>
      <c r="AN260" s="1">
        <v>730</v>
      </c>
      <c r="AO260" s="1">
        <v>669</v>
      </c>
      <c r="AP260" s="1">
        <v>699</v>
      </c>
      <c r="AQ260" s="1">
        <v>718</v>
      </c>
      <c r="AR260" s="1">
        <v>743</v>
      </c>
      <c r="AS260" s="1">
        <v>731</v>
      </c>
      <c r="AT260" s="1">
        <v>733</v>
      </c>
      <c r="AU260" s="1">
        <v>726</v>
      </c>
      <c r="AV260" s="1">
        <v>770</v>
      </c>
      <c r="AW260" s="1">
        <v>776</v>
      </c>
      <c r="AX260" s="1">
        <v>835</v>
      </c>
      <c r="AY260" s="1">
        <v>868</v>
      </c>
      <c r="AZ260" s="1">
        <v>750</v>
      </c>
      <c r="BA260" s="1">
        <v>740</v>
      </c>
      <c r="BB260" s="1">
        <v>757</v>
      </c>
      <c r="BC260" s="1">
        <v>785</v>
      </c>
      <c r="BD260" s="1">
        <v>817</v>
      </c>
      <c r="BE260" s="1">
        <v>842</v>
      </c>
      <c r="BF260" s="1">
        <v>856</v>
      </c>
      <c r="BG260" s="1">
        <v>859</v>
      </c>
      <c r="BH260" s="1">
        <v>833</v>
      </c>
      <c r="BI260" s="1">
        <v>994</v>
      </c>
      <c r="BJ260" s="1">
        <v>1008</v>
      </c>
      <c r="BK260" s="1">
        <v>1059</v>
      </c>
      <c r="BL260" s="1">
        <v>1025</v>
      </c>
      <c r="BM260" s="1">
        <v>1071</v>
      </c>
      <c r="BN260" s="1">
        <v>1074</v>
      </c>
      <c r="BO260" s="1">
        <v>1060</v>
      </c>
      <c r="BP260" s="1">
        <v>1074</v>
      </c>
      <c r="BQ260" s="1">
        <v>1083</v>
      </c>
      <c r="BR260" s="1">
        <v>1072</v>
      </c>
      <c r="BS260" s="1">
        <v>1116</v>
      </c>
      <c r="BT260" s="1">
        <v>1173</v>
      </c>
      <c r="BU260" s="1">
        <v>1226</v>
      </c>
      <c r="BV260" s="1">
        <v>1190</v>
      </c>
      <c r="BW260" s="1">
        <v>1193</v>
      </c>
      <c r="BX260" s="1">
        <v>1178</v>
      </c>
      <c r="BY260" s="1">
        <v>1163</v>
      </c>
      <c r="BZ260" s="1">
        <v>1213</v>
      </c>
    </row>
    <row r="261" spans="1:78">
      <c r="A261" s="62" t="s">
        <v>474</v>
      </c>
      <c r="B261" s="1" t="str">
        <f>銘柄管理!C261</f>
        <v>旭ダイヤモンド</v>
      </c>
      <c r="C261" s="1">
        <f>_xll.RssMarket("6140","高値")</f>
        <v>1219</v>
      </c>
      <c r="E261" s="1">
        <v>1140</v>
      </c>
      <c r="F261" s="1">
        <v>1107</v>
      </c>
      <c r="G261" s="1">
        <v>1122</v>
      </c>
      <c r="H261" s="1">
        <v>1073</v>
      </c>
      <c r="I261" s="1">
        <v>1085</v>
      </c>
      <c r="J261" s="1">
        <v>1133</v>
      </c>
      <c r="K261" s="1">
        <v>1146</v>
      </c>
      <c r="M261" s="1">
        <v>1158</v>
      </c>
      <c r="N261" s="1">
        <v>1169</v>
      </c>
      <c r="O261" s="1">
        <v>1174</v>
      </c>
      <c r="P261" s="1">
        <v>1190</v>
      </c>
      <c r="Q261" s="1">
        <v>1242</v>
      </c>
      <c r="R261" s="1">
        <v>1187</v>
      </c>
      <c r="S261" s="1">
        <v>1197</v>
      </c>
      <c r="T261" s="1">
        <v>1203</v>
      </c>
      <c r="U261" s="1">
        <v>1199</v>
      </c>
      <c r="V261" s="1">
        <v>1192</v>
      </c>
      <c r="W261" s="1">
        <v>1245</v>
      </c>
      <c r="X261" s="1">
        <v>1273</v>
      </c>
      <c r="Y261" s="1">
        <v>1249</v>
      </c>
      <c r="Z261" s="1">
        <v>1234</v>
      </c>
      <c r="AA261" s="1">
        <v>1245</v>
      </c>
      <c r="AB261" s="1">
        <v>1240</v>
      </c>
      <c r="AC261" s="1">
        <v>1238</v>
      </c>
      <c r="AD261" s="1">
        <v>1240</v>
      </c>
      <c r="AE261" s="1">
        <v>1244</v>
      </c>
      <c r="AF261" s="1">
        <v>1250</v>
      </c>
      <c r="AG261" s="1">
        <v>1345</v>
      </c>
      <c r="AH261" s="1">
        <v>1345</v>
      </c>
      <c r="AI261" s="1">
        <v>1359</v>
      </c>
      <c r="AJ261" s="1">
        <v>1337</v>
      </c>
      <c r="AK261" s="1">
        <v>1348</v>
      </c>
      <c r="AL261" s="1">
        <v>1329</v>
      </c>
      <c r="AM261" s="1">
        <v>1319</v>
      </c>
      <c r="AN261" s="1">
        <v>1263</v>
      </c>
      <c r="AO261" s="1">
        <v>1221</v>
      </c>
      <c r="AP261" s="1">
        <v>1260</v>
      </c>
      <c r="AQ261" s="1">
        <v>1315</v>
      </c>
      <c r="AR261" s="1">
        <v>1353</v>
      </c>
      <c r="AS261" s="1">
        <v>1329</v>
      </c>
      <c r="AT261" s="1">
        <v>1346</v>
      </c>
      <c r="AU261" s="1">
        <v>1358</v>
      </c>
      <c r="AV261" s="1">
        <v>1385</v>
      </c>
      <c r="AW261" s="1">
        <v>1368</v>
      </c>
      <c r="AX261" s="1">
        <v>1439</v>
      </c>
      <c r="AY261" s="1">
        <v>1399</v>
      </c>
      <c r="AZ261" s="1">
        <v>1380</v>
      </c>
      <c r="BA261" s="1">
        <v>1320</v>
      </c>
      <c r="BB261" s="1">
        <v>1295</v>
      </c>
      <c r="BC261" s="1">
        <v>1316</v>
      </c>
      <c r="BD261" s="1">
        <v>1318</v>
      </c>
      <c r="BE261" s="1">
        <v>1387</v>
      </c>
      <c r="BF261" s="1">
        <v>1417</v>
      </c>
      <c r="BG261" s="1">
        <v>1397</v>
      </c>
      <c r="BH261" s="1">
        <v>1372</v>
      </c>
      <c r="BI261" s="1">
        <v>1348</v>
      </c>
      <c r="BJ261" s="1">
        <v>1336</v>
      </c>
      <c r="BK261" s="1">
        <v>1327</v>
      </c>
      <c r="BL261" s="1">
        <v>1301</v>
      </c>
      <c r="BM261" s="1">
        <v>1305</v>
      </c>
      <c r="BN261" s="1">
        <v>1319</v>
      </c>
      <c r="BO261" s="1">
        <v>1324</v>
      </c>
      <c r="BP261" s="1">
        <v>1352</v>
      </c>
      <c r="BQ261" s="1">
        <v>1331</v>
      </c>
      <c r="BR261" s="1">
        <v>1325</v>
      </c>
      <c r="BS261" s="1">
        <v>1363</v>
      </c>
      <c r="BT261" s="1">
        <v>1430</v>
      </c>
      <c r="BU261" s="1">
        <v>1339</v>
      </c>
      <c r="BV261" s="1">
        <v>1192</v>
      </c>
      <c r="BW261" s="1">
        <v>1202</v>
      </c>
      <c r="BX261" s="1">
        <v>1186</v>
      </c>
      <c r="BY261" s="1">
        <v>1181</v>
      </c>
      <c r="BZ261" s="1">
        <v>1194</v>
      </c>
    </row>
    <row r="262" spans="1:78">
      <c r="A262" s="62" t="s">
        <v>475</v>
      </c>
      <c r="B262" s="1" t="str">
        <f>銘柄管理!C262</f>
        <v>住石ホールディングス</v>
      </c>
      <c r="C262" s="1">
        <f>_xll.RssMarket("1514","高値")</f>
        <v>605</v>
      </c>
      <c r="E262" s="1">
        <v>604</v>
      </c>
      <c r="F262" s="1">
        <v>606</v>
      </c>
      <c r="G262" s="1">
        <v>582</v>
      </c>
      <c r="H262" s="1">
        <v>577</v>
      </c>
      <c r="I262" s="1">
        <v>586</v>
      </c>
      <c r="J262" s="1">
        <v>592</v>
      </c>
      <c r="K262" s="1">
        <v>602</v>
      </c>
      <c r="L262" s="1">
        <v>607</v>
      </c>
      <c r="M262" s="1">
        <v>607</v>
      </c>
      <c r="N262" s="1">
        <v>603</v>
      </c>
      <c r="O262" s="1">
        <v>586</v>
      </c>
      <c r="P262" s="1">
        <v>583</v>
      </c>
      <c r="Q262" s="1">
        <v>593</v>
      </c>
      <c r="R262" s="1">
        <v>592</v>
      </c>
      <c r="S262" s="1">
        <v>587</v>
      </c>
      <c r="T262" s="1">
        <v>587</v>
      </c>
      <c r="U262" s="1">
        <v>566</v>
      </c>
      <c r="V262" s="1">
        <v>560</v>
      </c>
      <c r="W262" s="1">
        <v>585</v>
      </c>
      <c r="X262" s="1">
        <v>586</v>
      </c>
      <c r="Y262" s="1">
        <v>550</v>
      </c>
      <c r="Z262" s="1">
        <v>550</v>
      </c>
      <c r="AA262" s="1">
        <v>529</v>
      </c>
      <c r="AB262" s="1">
        <v>529</v>
      </c>
      <c r="AC262" s="1">
        <v>537</v>
      </c>
      <c r="AD262" s="1">
        <v>528</v>
      </c>
      <c r="AE262" s="1">
        <v>532</v>
      </c>
      <c r="AF262" s="1">
        <v>544</v>
      </c>
      <c r="AG262" s="1">
        <v>554</v>
      </c>
      <c r="AH262" s="1">
        <v>559</v>
      </c>
      <c r="AI262" s="1">
        <v>534</v>
      </c>
      <c r="AJ262" s="1">
        <v>561</v>
      </c>
      <c r="AK262" s="1">
        <v>566</v>
      </c>
      <c r="AL262" s="1">
        <v>555</v>
      </c>
      <c r="AM262" s="1">
        <v>557</v>
      </c>
      <c r="AN262" s="1">
        <v>560</v>
      </c>
      <c r="AO262" s="1">
        <v>555</v>
      </c>
      <c r="AP262" s="1">
        <v>561</v>
      </c>
      <c r="AQ262" s="1">
        <v>583</v>
      </c>
      <c r="AR262" s="1">
        <v>588</v>
      </c>
      <c r="AS262" s="1">
        <v>569</v>
      </c>
      <c r="AT262" s="1">
        <v>569</v>
      </c>
      <c r="AU262" s="1">
        <v>571</v>
      </c>
      <c r="AV262" s="1">
        <v>595</v>
      </c>
      <c r="AW262" s="1">
        <v>615</v>
      </c>
      <c r="AX262" s="1">
        <v>629</v>
      </c>
      <c r="AY262" s="1">
        <v>606</v>
      </c>
      <c r="AZ262" s="1">
        <v>612</v>
      </c>
      <c r="BA262" s="1">
        <v>605</v>
      </c>
      <c r="BB262" s="1">
        <v>617</v>
      </c>
      <c r="BC262" s="1">
        <v>634</v>
      </c>
      <c r="BD262" s="1">
        <v>681</v>
      </c>
      <c r="BE262" s="1">
        <v>725</v>
      </c>
      <c r="BF262" s="1">
        <v>731</v>
      </c>
      <c r="BG262" s="1">
        <v>742</v>
      </c>
      <c r="BH262" s="1">
        <v>753</v>
      </c>
      <c r="BI262" s="1">
        <v>755</v>
      </c>
      <c r="BJ262" s="1">
        <v>760</v>
      </c>
      <c r="BK262" s="1">
        <v>755</v>
      </c>
      <c r="BL262" s="1">
        <v>766</v>
      </c>
      <c r="BM262" s="1">
        <v>795</v>
      </c>
      <c r="BN262" s="1">
        <v>784</v>
      </c>
      <c r="BO262" s="1">
        <v>784</v>
      </c>
      <c r="BP262" s="1">
        <v>818</v>
      </c>
      <c r="BQ262" s="1">
        <v>847</v>
      </c>
      <c r="BR262" s="1">
        <v>872</v>
      </c>
      <c r="BS262" s="1">
        <v>870</v>
      </c>
      <c r="BT262" s="1">
        <v>876</v>
      </c>
      <c r="BU262" s="1">
        <v>878</v>
      </c>
      <c r="BV262" s="1">
        <v>902</v>
      </c>
      <c r="BW262" s="1">
        <v>856</v>
      </c>
      <c r="BX262" s="1">
        <v>856</v>
      </c>
      <c r="BY262" s="1">
        <v>886</v>
      </c>
      <c r="BZ262" s="1">
        <v>880</v>
      </c>
    </row>
    <row r="263" spans="1:78">
      <c r="A263" s="62" t="s">
        <v>476</v>
      </c>
      <c r="B263" s="1" t="str">
        <f>銘柄管理!C263</f>
        <v>日本製鋼所</v>
      </c>
      <c r="C263" s="1">
        <f>_xll.RssMarket("5631","高値")</f>
        <v>7843</v>
      </c>
      <c r="E263" s="1">
        <v>7770</v>
      </c>
      <c r="F263" s="1">
        <v>7602</v>
      </c>
      <c r="G263" s="1">
        <v>7755</v>
      </c>
      <c r="H263" s="1">
        <v>7410</v>
      </c>
      <c r="I263" s="1">
        <v>7512</v>
      </c>
      <c r="J263" s="1">
        <v>7711</v>
      </c>
      <c r="K263" s="1">
        <v>7872</v>
      </c>
      <c r="L263" s="1">
        <v>7850</v>
      </c>
      <c r="M263" s="1">
        <v>7815</v>
      </c>
      <c r="N263" s="1">
        <v>7633</v>
      </c>
      <c r="O263" s="1">
        <v>7558</v>
      </c>
      <c r="P263" s="1">
        <v>7759</v>
      </c>
      <c r="Q263" s="1">
        <v>7848</v>
      </c>
      <c r="R263" s="1">
        <v>7749</v>
      </c>
      <c r="S263" s="1">
        <v>7892</v>
      </c>
      <c r="T263" s="1">
        <v>8061</v>
      </c>
      <c r="U263" s="1">
        <v>8150</v>
      </c>
      <c r="V263" s="1">
        <v>8647</v>
      </c>
      <c r="W263" s="1">
        <v>8697</v>
      </c>
      <c r="X263" s="1">
        <v>8550</v>
      </c>
      <c r="Y263" s="1">
        <v>8100</v>
      </c>
      <c r="Z263" s="1">
        <v>8078</v>
      </c>
      <c r="AA263" s="1">
        <v>7977</v>
      </c>
      <c r="AB263" s="1">
        <v>7840</v>
      </c>
      <c r="AC263" s="1">
        <v>7929</v>
      </c>
      <c r="AD263" s="1">
        <v>7968</v>
      </c>
      <c r="AE263" s="1">
        <v>8024</v>
      </c>
      <c r="AF263" s="1">
        <v>8157</v>
      </c>
      <c r="AG263" s="1">
        <v>8280</v>
      </c>
      <c r="AH263" s="1">
        <v>8190</v>
      </c>
      <c r="AI263" s="1">
        <v>8317</v>
      </c>
      <c r="AJ263" s="1">
        <v>8618</v>
      </c>
      <c r="AK263" s="1">
        <v>8479</v>
      </c>
      <c r="AL263" s="1">
        <v>7883</v>
      </c>
      <c r="AM263" s="1">
        <v>7963</v>
      </c>
      <c r="AN263" s="1">
        <v>7628</v>
      </c>
      <c r="AO263" s="1">
        <v>7173</v>
      </c>
      <c r="AP263" s="1">
        <v>7320</v>
      </c>
      <c r="AQ263" s="1">
        <v>7786</v>
      </c>
      <c r="AR263" s="1">
        <v>8143</v>
      </c>
      <c r="AS263" s="1">
        <v>7466</v>
      </c>
      <c r="AT263" s="1">
        <v>7438</v>
      </c>
      <c r="AU263" s="1">
        <v>7451</v>
      </c>
      <c r="AV263" s="1">
        <v>7922</v>
      </c>
      <c r="AW263" s="1">
        <v>8210</v>
      </c>
      <c r="AX263" s="1">
        <v>8450</v>
      </c>
      <c r="AY263" s="1">
        <v>8122</v>
      </c>
      <c r="AZ263" s="1">
        <v>7965</v>
      </c>
      <c r="BA263" s="1">
        <v>8085</v>
      </c>
      <c r="BB263" s="1">
        <v>8179</v>
      </c>
      <c r="BC263" s="1">
        <v>8141</v>
      </c>
      <c r="BD263" s="1">
        <v>7901</v>
      </c>
      <c r="BE263" s="1">
        <v>8253</v>
      </c>
      <c r="BF263" s="1">
        <v>8870</v>
      </c>
      <c r="BG263" s="1">
        <v>8928</v>
      </c>
      <c r="BH263" s="1">
        <v>9169</v>
      </c>
      <c r="BI263" s="1">
        <v>9387</v>
      </c>
      <c r="BJ263" s="1">
        <v>9375</v>
      </c>
      <c r="BK263" s="1">
        <v>9432</v>
      </c>
      <c r="BL263" s="1">
        <v>9530</v>
      </c>
      <c r="BM263" s="1">
        <v>9768</v>
      </c>
      <c r="BN263" s="1">
        <v>9880</v>
      </c>
      <c r="BO263" s="1">
        <v>9807</v>
      </c>
      <c r="BP263" s="1">
        <v>9973</v>
      </c>
      <c r="BQ263" s="1">
        <v>9837</v>
      </c>
      <c r="BR263" s="1">
        <v>9525</v>
      </c>
      <c r="BS263" s="1">
        <v>9545</v>
      </c>
      <c r="BT263" s="1">
        <v>9292</v>
      </c>
      <c r="BU263" s="1">
        <v>9245</v>
      </c>
      <c r="BV263" s="1">
        <v>9376</v>
      </c>
      <c r="BW263" s="1">
        <v>9850</v>
      </c>
      <c r="BX263" s="1">
        <v>9916</v>
      </c>
      <c r="BY263" s="1">
        <v>9862</v>
      </c>
      <c r="BZ263" s="1">
        <v>10005</v>
      </c>
    </row>
    <row r="264" spans="1:78">
      <c r="A264" s="62" t="s">
        <v>477</v>
      </c>
      <c r="B264" s="1" t="str">
        <f>銘柄管理!C264</f>
        <v>ジーエス・ユアサコーポ</v>
      </c>
      <c r="C264" s="1">
        <f>_xll.RssMarket("6674","高値")</f>
        <v>6012</v>
      </c>
      <c r="E264" s="1">
        <v>5769</v>
      </c>
      <c r="F264" s="1">
        <v>5564</v>
      </c>
      <c r="G264" s="1">
        <v>5673</v>
      </c>
      <c r="H264" s="1">
        <v>5386</v>
      </c>
      <c r="I264" s="1">
        <v>5439</v>
      </c>
      <c r="J264" s="1">
        <v>5678</v>
      </c>
      <c r="K264" s="1">
        <v>5850</v>
      </c>
      <c r="L264" s="1">
        <v>5973</v>
      </c>
      <c r="M264" s="1">
        <v>6117</v>
      </c>
      <c r="N264" s="1">
        <v>6149</v>
      </c>
      <c r="O264" s="1">
        <v>5820</v>
      </c>
      <c r="P264" s="1">
        <v>5855</v>
      </c>
      <c r="Q264" s="1">
        <v>6126</v>
      </c>
      <c r="R264" s="1">
        <v>6008</v>
      </c>
      <c r="S264" s="1">
        <v>6324</v>
      </c>
      <c r="T264" s="1">
        <v>6362</v>
      </c>
      <c r="U264" s="1">
        <v>6251</v>
      </c>
      <c r="V264" s="1">
        <v>6392</v>
      </c>
      <c r="W264" s="1">
        <v>6652</v>
      </c>
      <c r="X264" s="1">
        <v>6825</v>
      </c>
      <c r="Y264" s="1">
        <v>6798</v>
      </c>
      <c r="Z264" s="1">
        <v>6794</v>
      </c>
      <c r="AA264" s="1">
        <v>6788</v>
      </c>
      <c r="AB264" s="1">
        <v>6711</v>
      </c>
      <c r="AC264" s="1">
        <v>6774</v>
      </c>
      <c r="AD264" s="1">
        <v>7125</v>
      </c>
      <c r="AE264" s="1">
        <v>7447</v>
      </c>
      <c r="AF264" s="1">
        <v>7267</v>
      </c>
      <c r="AG264" s="1">
        <v>7603</v>
      </c>
      <c r="AH264" s="1">
        <v>7899</v>
      </c>
      <c r="AI264" s="1">
        <v>7108</v>
      </c>
      <c r="AJ264" s="1">
        <v>6786</v>
      </c>
      <c r="AK264" s="1">
        <v>6880</v>
      </c>
      <c r="AL264" s="1">
        <v>6750</v>
      </c>
      <c r="AM264" s="1">
        <v>6432</v>
      </c>
      <c r="AN264" s="1">
        <v>6536</v>
      </c>
      <c r="AO264" s="1">
        <v>6357</v>
      </c>
      <c r="AP264" s="1">
        <v>6819</v>
      </c>
      <c r="AQ264" s="1">
        <v>6940</v>
      </c>
      <c r="AR264" s="1">
        <v>7466</v>
      </c>
      <c r="AS264" s="1">
        <v>7600</v>
      </c>
      <c r="AT264" s="1">
        <v>7542</v>
      </c>
      <c r="AU264" s="1">
        <v>7070</v>
      </c>
      <c r="AV264" s="1">
        <v>6790</v>
      </c>
      <c r="AW264" s="1">
        <v>6471</v>
      </c>
      <c r="AX264" s="1">
        <v>6524</v>
      </c>
      <c r="AY264" s="1">
        <v>6373</v>
      </c>
      <c r="AZ264" s="1">
        <v>6244</v>
      </c>
      <c r="BA264" s="1">
        <v>6184</v>
      </c>
      <c r="BB264" s="1">
        <v>6336</v>
      </c>
      <c r="BC264" s="1">
        <v>6420</v>
      </c>
      <c r="BD264" s="1">
        <v>6432</v>
      </c>
      <c r="BE264" s="1">
        <v>6712</v>
      </c>
      <c r="BF264" s="1">
        <v>6515</v>
      </c>
      <c r="BG264" s="1">
        <v>6948</v>
      </c>
      <c r="BH264" s="1">
        <v>6841</v>
      </c>
      <c r="BI264" s="1">
        <v>6863</v>
      </c>
      <c r="BJ264" s="1">
        <v>6635</v>
      </c>
      <c r="BK264" s="1">
        <v>6670</v>
      </c>
      <c r="BL264" s="1">
        <v>6392</v>
      </c>
      <c r="BM264" s="1">
        <v>6362</v>
      </c>
      <c r="BN264" s="1">
        <v>6200</v>
      </c>
      <c r="BO264" s="1">
        <v>6361</v>
      </c>
      <c r="BP264" s="1">
        <v>6323</v>
      </c>
      <c r="BQ264" s="1">
        <v>6437</v>
      </c>
      <c r="BR264" s="1">
        <v>6536</v>
      </c>
      <c r="BS264" s="1">
        <v>6820</v>
      </c>
      <c r="BT264" s="1">
        <v>6801</v>
      </c>
      <c r="BU264" s="1">
        <v>6813</v>
      </c>
      <c r="BV264" s="1">
        <v>6846</v>
      </c>
      <c r="BW264" s="1">
        <v>6812</v>
      </c>
      <c r="BX264" s="1">
        <v>6688</v>
      </c>
      <c r="BY264" s="1">
        <v>6436</v>
      </c>
      <c r="BZ264" s="1">
        <v>6331</v>
      </c>
    </row>
    <row r="265" spans="1:78">
      <c r="A265" s="62" t="s">
        <v>478</v>
      </c>
      <c r="B265" s="1" t="str">
        <f>銘柄管理!C265</f>
        <v>ＦＤＫ</v>
      </c>
      <c r="C265" s="1">
        <f>_xll.RssMarket("6955","高値")</f>
        <v>401</v>
      </c>
      <c r="E265" s="1">
        <v>394</v>
      </c>
      <c r="F265" s="1">
        <v>387</v>
      </c>
      <c r="G265" s="1">
        <v>399</v>
      </c>
      <c r="H265" s="1">
        <v>394</v>
      </c>
      <c r="I265" s="1">
        <v>397</v>
      </c>
      <c r="J265" s="1">
        <v>410</v>
      </c>
      <c r="K265" s="1">
        <v>410</v>
      </c>
      <c r="M265" s="1">
        <v>420</v>
      </c>
      <c r="N265" s="1">
        <v>425</v>
      </c>
      <c r="O265" s="1">
        <v>413</v>
      </c>
      <c r="P265" s="1">
        <v>411</v>
      </c>
      <c r="Q265" s="1">
        <v>434</v>
      </c>
      <c r="R265" s="1">
        <v>443</v>
      </c>
      <c r="S265" s="1">
        <v>449</v>
      </c>
      <c r="T265" s="1">
        <v>448</v>
      </c>
      <c r="U265" s="1">
        <v>435</v>
      </c>
      <c r="V265" s="1">
        <v>444</v>
      </c>
      <c r="W265" s="1">
        <v>457</v>
      </c>
      <c r="X265" s="1">
        <v>489</v>
      </c>
      <c r="Y265" s="1">
        <v>499</v>
      </c>
      <c r="Z265" s="1">
        <v>501</v>
      </c>
      <c r="AA265" s="1">
        <v>502</v>
      </c>
      <c r="AB265" s="1">
        <v>507</v>
      </c>
      <c r="AC265" s="1">
        <v>510</v>
      </c>
      <c r="AD265" s="1">
        <v>520</v>
      </c>
      <c r="AE265" s="1">
        <v>535</v>
      </c>
      <c r="AF265" s="1">
        <v>526</v>
      </c>
      <c r="AG265" s="1">
        <v>560</v>
      </c>
      <c r="AH265" s="1">
        <v>552</v>
      </c>
      <c r="AI265" s="1">
        <v>521</v>
      </c>
      <c r="AJ265" s="1">
        <v>527</v>
      </c>
      <c r="AK265" s="1">
        <v>536</v>
      </c>
      <c r="AL265" s="1">
        <v>520</v>
      </c>
      <c r="AM265" s="1">
        <v>517</v>
      </c>
      <c r="AN265" s="1">
        <v>523</v>
      </c>
      <c r="AO265" s="1">
        <v>517</v>
      </c>
      <c r="AP265" s="1">
        <v>600</v>
      </c>
      <c r="AQ265" s="1">
        <v>674</v>
      </c>
      <c r="AR265" s="1">
        <v>574</v>
      </c>
      <c r="AS265" s="1">
        <v>549</v>
      </c>
      <c r="AT265" s="1">
        <v>517</v>
      </c>
      <c r="AU265" s="1">
        <v>470</v>
      </c>
      <c r="AV265" s="1">
        <v>451</v>
      </c>
      <c r="AW265" s="1">
        <v>452</v>
      </c>
      <c r="AX265" s="1">
        <v>434</v>
      </c>
      <c r="AY265" s="1">
        <v>416</v>
      </c>
      <c r="AZ265" s="1">
        <v>418</v>
      </c>
      <c r="BA265" s="1">
        <v>415</v>
      </c>
      <c r="BB265" s="1">
        <v>420</v>
      </c>
      <c r="BC265" s="1">
        <v>422</v>
      </c>
      <c r="BD265" s="1">
        <v>418</v>
      </c>
      <c r="BE265" s="1">
        <v>437</v>
      </c>
      <c r="BF265" s="1">
        <v>434</v>
      </c>
      <c r="BG265" s="1">
        <v>436</v>
      </c>
      <c r="BH265" s="1">
        <v>442</v>
      </c>
      <c r="BI265" s="1">
        <v>443</v>
      </c>
      <c r="BJ265" s="1">
        <v>459</v>
      </c>
      <c r="BK265" s="1">
        <v>479</v>
      </c>
      <c r="BL265" s="1">
        <v>434</v>
      </c>
      <c r="BM265" s="1">
        <v>447</v>
      </c>
      <c r="BN265" s="1">
        <v>454</v>
      </c>
      <c r="BO265" s="1">
        <v>460</v>
      </c>
      <c r="BP265" s="1">
        <v>456</v>
      </c>
      <c r="BQ265" s="1">
        <v>456</v>
      </c>
      <c r="BR265" s="1">
        <v>450</v>
      </c>
      <c r="BS265" s="1">
        <v>465</v>
      </c>
      <c r="BT265" s="1">
        <v>462</v>
      </c>
      <c r="BU265" s="1">
        <v>461</v>
      </c>
      <c r="BV265" s="1">
        <v>469</v>
      </c>
      <c r="BW265" s="1">
        <v>466</v>
      </c>
      <c r="BX265" s="1">
        <v>460</v>
      </c>
      <c r="BY265" s="1">
        <v>454</v>
      </c>
      <c r="BZ265" s="1">
        <v>484</v>
      </c>
    </row>
    <row r="266" spans="1:78">
      <c r="A266" s="62" t="s">
        <v>479</v>
      </c>
      <c r="B266" s="1" t="str">
        <f>銘柄管理!C266</f>
        <v>インフォメティス</v>
      </c>
      <c r="C266" s="1">
        <f>_xll.RssMarket("281A","高値")</f>
        <v>476</v>
      </c>
      <c r="E266" s="1">
        <v>477</v>
      </c>
      <c r="F266" s="1">
        <v>459</v>
      </c>
      <c r="G266" s="1">
        <v>431</v>
      </c>
      <c r="H266" s="1">
        <v>424</v>
      </c>
      <c r="I266" s="1">
        <v>429</v>
      </c>
      <c r="J266" s="1">
        <v>446</v>
      </c>
      <c r="K266" s="1">
        <v>460</v>
      </c>
      <c r="L266" s="1">
        <v>529</v>
      </c>
      <c r="M266" s="1">
        <v>475</v>
      </c>
      <c r="N266" s="1">
        <v>480</v>
      </c>
      <c r="O266" s="1">
        <v>475</v>
      </c>
      <c r="P266" s="1">
        <v>470</v>
      </c>
      <c r="Q266" s="1">
        <v>518</v>
      </c>
      <c r="R266" s="1">
        <v>527</v>
      </c>
      <c r="S266" s="1">
        <v>538</v>
      </c>
      <c r="T266" s="1">
        <v>525</v>
      </c>
      <c r="U266" s="1">
        <v>499</v>
      </c>
      <c r="V266" s="1">
        <v>519</v>
      </c>
      <c r="W266" s="1">
        <v>652</v>
      </c>
      <c r="X266" s="1">
        <v>652</v>
      </c>
      <c r="Y266" s="1">
        <v>629</v>
      </c>
      <c r="Z266" s="1">
        <v>691</v>
      </c>
      <c r="AA266" s="1">
        <v>666</v>
      </c>
      <c r="AB266" s="1">
        <v>713</v>
      </c>
      <c r="AC266" s="1">
        <v>750</v>
      </c>
      <c r="AD266" s="1">
        <v>735</v>
      </c>
      <c r="AE266" s="1">
        <v>798</v>
      </c>
      <c r="AF266" s="1">
        <v>737</v>
      </c>
      <c r="AG266" s="1">
        <v>673</v>
      </c>
      <c r="AH266" s="1">
        <v>623</v>
      </c>
      <c r="AI266" s="1">
        <v>620</v>
      </c>
      <c r="AJ266" s="1">
        <v>663</v>
      </c>
      <c r="AK266" s="1">
        <v>657</v>
      </c>
      <c r="AL266" s="1">
        <v>728</v>
      </c>
      <c r="AM266" s="1">
        <v>634</v>
      </c>
      <c r="AN266" s="1">
        <v>566</v>
      </c>
      <c r="AO266" s="1">
        <v>572</v>
      </c>
      <c r="AP266" s="1">
        <v>555</v>
      </c>
      <c r="AQ266" s="1">
        <v>601</v>
      </c>
      <c r="AR266" s="1">
        <v>645</v>
      </c>
      <c r="AS266" s="1">
        <v>705</v>
      </c>
      <c r="AT266" s="1">
        <v>709</v>
      </c>
      <c r="AU266" s="1">
        <v>740</v>
      </c>
      <c r="AV266" s="1">
        <v>859</v>
      </c>
      <c r="AW266" s="1">
        <v>891</v>
      </c>
      <c r="AX266" s="1">
        <v>897</v>
      </c>
      <c r="AY266" s="1">
        <v>923</v>
      </c>
      <c r="AZ266" s="1">
        <v>823</v>
      </c>
      <c r="BA266" s="1">
        <v>788</v>
      </c>
      <c r="BB266" s="1">
        <v>841</v>
      </c>
      <c r="BC266" s="1">
        <v>932</v>
      </c>
      <c r="BD266" s="1">
        <v>850</v>
      </c>
      <c r="BE266" s="1">
        <v>860</v>
      </c>
      <c r="BF266" s="1">
        <v>771</v>
      </c>
      <c r="BG266" s="1">
        <v>772</v>
      </c>
      <c r="BH266" s="1">
        <v>840</v>
      </c>
      <c r="BI266" s="1">
        <v>842</v>
      </c>
      <c r="BJ266" s="1">
        <v>819</v>
      </c>
      <c r="BK266" s="1">
        <v>762</v>
      </c>
      <c r="BL266" s="1">
        <v>752</v>
      </c>
      <c r="BM266" s="1">
        <v>730</v>
      </c>
      <c r="BN266" s="1">
        <v>785</v>
      </c>
      <c r="BO266" s="1">
        <v>849</v>
      </c>
      <c r="BP266" s="1">
        <v>822</v>
      </c>
      <c r="BQ266" s="1">
        <v>822</v>
      </c>
      <c r="BR266" s="1">
        <v>885</v>
      </c>
      <c r="BS266" s="1">
        <v>1060</v>
      </c>
      <c r="BT266" s="1">
        <v>958</v>
      </c>
      <c r="BU266" s="1">
        <v>857</v>
      </c>
      <c r="BV266" s="1">
        <v>840</v>
      </c>
      <c r="BW266" s="1">
        <v>780</v>
      </c>
      <c r="BX266" s="1">
        <v>764</v>
      </c>
      <c r="BY266" s="1">
        <v>718</v>
      </c>
      <c r="BZ266" s="1">
        <v>743</v>
      </c>
    </row>
    <row r="267" spans="1:78">
      <c r="A267" s="62" t="s">
        <v>480</v>
      </c>
      <c r="B267" s="1" t="str">
        <f>銘柄管理!C267</f>
        <v>日本ギア工業</v>
      </c>
      <c r="C267" s="1">
        <f>_xll.RssMarket("6356","高値")</f>
        <v>1388</v>
      </c>
      <c r="E267" s="1">
        <v>1347</v>
      </c>
      <c r="F267" s="1">
        <v>1305</v>
      </c>
      <c r="G267" s="1">
        <v>1396</v>
      </c>
      <c r="H267" s="1">
        <v>1285</v>
      </c>
      <c r="I267" s="1">
        <v>1312</v>
      </c>
      <c r="J267" s="1">
        <v>1386</v>
      </c>
      <c r="K267" s="1">
        <v>1400</v>
      </c>
      <c r="L267" s="1">
        <v>1418</v>
      </c>
      <c r="M267" s="1">
        <v>1421</v>
      </c>
      <c r="N267" s="1">
        <v>1438</v>
      </c>
      <c r="O267" s="1">
        <v>1411</v>
      </c>
      <c r="P267" s="1">
        <v>1514</v>
      </c>
      <c r="Q267" s="1">
        <v>1579</v>
      </c>
      <c r="R267" s="1">
        <v>1574</v>
      </c>
      <c r="S267" s="1">
        <v>1545</v>
      </c>
      <c r="T267" s="1">
        <v>1509</v>
      </c>
      <c r="U267" s="1">
        <v>1549</v>
      </c>
      <c r="V267" s="1">
        <v>1570</v>
      </c>
      <c r="W267" s="1">
        <v>1715</v>
      </c>
      <c r="X267" s="1">
        <v>1895</v>
      </c>
      <c r="Y267" s="1">
        <v>1668</v>
      </c>
      <c r="Z267" s="1">
        <v>1567</v>
      </c>
      <c r="AA267" s="1">
        <v>1515</v>
      </c>
      <c r="AB267" s="1">
        <v>1520</v>
      </c>
      <c r="AC267" s="1">
        <v>1579</v>
      </c>
      <c r="AD267" s="1">
        <v>1509</v>
      </c>
      <c r="AE267" s="1">
        <v>1530</v>
      </c>
      <c r="AF267" s="1">
        <v>1544</v>
      </c>
      <c r="AG267" s="1">
        <v>1593</v>
      </c>
      <c r="AH267" s="1">
        <v>1609</v>
      </c>
      <c r="AI267" s="1">
        <v>1570</v>
      </c>
      <c r="AJ267" s="1">
        <v>1606</v>
      </c>
      <c r="AK267" s="1">
        <v>1678</v>
      </c>
      <c r="AL267" s="1">
        <v>1445</v>
      </c>
      <c r="AM267" s="1">
        <v>1460</v>
      </c>
      <c r="AN267" s="1">
        <v>1475</v>
      </c>
      <c r="AO267" s="1">
        <v>1391</v>
      </c>
      <c r="AP267" s="1">
        <v>1555</v>
      </c>
      <c r="AQ267" s="1">
        <v>1534</v>
      </c>
      <c r="AR267" s="1">
        <v>1653</v>
      </c>
      <c r="AS267" s="1">
        <v>1507</v>
      </c>
      <c r="AT267" s="1">
        <v>1530</v>
      </c>
      <c r="AU267" s="1">
        <v>1515</v>
      </c>
      <c r="AV267" s="1">
        <v>1741</v>
      </c>
      <c r="AW267" s="1">
        <v>1728</v>
      </c>
      <c r="AX267" s="1">
        <v>1845</v>
      </c>
      <c r="AY267" s="1">
        <v>1594</v>
      </c>
      <c r="AZ267" s="1">
        <v>1509</v>
      </c>
      <c r="BA267" s="1">
        <v>1395</v>
      </c>
      <c r="BB267" s="1">
        <v>1415</v>
      </c>
      <c r="BC267" s="1">
        <v>1473</v>
      </c>
      <c r="BD267" s="1">
        <v>1511</v>
      </c>
      <c r="BE267" s="1">
        <v>1439</v>
      </c>
      <c r="BF267" s="1">
        <v>1514</v>
      </c>
      <c r="BG267" s="1">
        <v>1680</v>
      </c>
      <c r="BH267" s="1">
        <v>1591</v>
      </c>
      <c r="BI267" s="1">
        <v>1550</v>
      </c>
      <c r="BJ267" s="1">
        <v>1542</v>
      </c>
      <c r="BK267" s="1">
        <v>1507</v>
      </c>
      <c r="BL267" s="1">
        <v>1628</v>
      </c>
      <c r="BM267" s="1">
        <v>1743</v>
      </c>
      <c r="BN267" s="1">
        <v>1764</v>
      </c>
      <c r="BO267" s="1">
        <v>1693</v>
      </c>
      <c r="BP267" s="1">
        <v>1768</v>
      </c>
      <c r="BQ267" s="1">
        <v>1526</v>
      </c>
      <c r="BR267" s="1">
        <v>1269</v>
      </c>
      <c r="BS267" s="1">
        <v>1326</v>
      </c>
      <c r="BT267" s="1">
        <v>1362</v>
      </c>
      <c r="BU267" s="1">
        <v>1365</v>
      </c>
      <c r="BV267" s="1">
        <v>1406</v>
      </c>
      <c r="BW267" s="1">
        <v>1368</v>
      </c>
      <c r="BX267" s="1">
        <v>1352</v>
      </c>
      <c r="BY267" s="1">
        <v>1315</v>
      </c>
      <c r="BZ267" s="1">
        <v>1364</v>
      </c>
    </row>
    <row r="268" spans="1:78">
      <c r="A268" s="62" t="s">
        <v>481</v>
      </c>
      <c r="B268" s="1" t="str">
        <f>銘柄管理!C268</f>
        <v>助川電気工業</v>
      </c>
      <c r="C268" s="1">
        <f>_xll.RssMarket("7711","高値")</f>
        <v>4630</v>
      </c>
      <c r="E268" s="1">
        <v>4495</v>
      </c>
      <c r="F268" s="1">
        <v>4355</v>
      </c>
      <c r="G268" s="1">
        <v>4340</v>
      </c>
      <c r="H268" s="1">
        <v>4220</v>
      </c>
      <c r="I268" s="1">
        <v>4270</v>
      </c>
      <c r="J268" s="1">
        <v>4450</v>
      </c>
      <c r="K268" s="1">
        <v>4530</v>
      </c>
      <c r="M268" s="1">
        <v>4830</v>
      </c>
      <c r="N268" s="1">
        <v>4810</v>
      </c>
      <c r="O268" s="1">
        <v>4640</v>
      </c>
      <c r="P268" s="1">
        <v>4865</v>
      </c>
      <c r="Q268" s="1">
        <v>5220</v>
      </c>
      <c r="R268" s="1">
        <v>5160</v>
      </c>
      <c r="S268" s="1">
        <v>4860</v>
      </c>
      <c r="T268" s="1">
        <v>4820</v>
      </c>
      <c r="U268" s="1">
        <v>4900</v>
      </c>
      <c r="V268" s="1">
        <v>5070</v>
      </c>
      <c r="W268" s="1">
        <v>5250</v>
      </c>
      <c r="X268" s="1">
        <v>5190</v>
      </c>
      <c r="Y268" s="1">
        <v>5050</v>
      </c>
      <c r="Z268" s="1">
        <v>4985</v>
      </c>
      <c r="AA268" s="1">
        <v>4915</v>
      </c>
      <c r="AB268" s="1">
        <v>4975</v>
      </c>
      <c r="AC268" s="1">
        <v>5070</v>
      </c>
      <c r="AD268" s="1">
        <v>5030</v>
      </c>
      <c r="AE268" s="1">
        <v>5180</v>
      </c>
      <c r="AF268" s="1">
        <v>5180</v>
      </c>
      <c r="AG268" s="1">
        <v>5460</v>
      </c>
      <c r="AH268" s="1">
        <v>5840</v>
      </c>
      <c r="AI268" s="1">
        <v>5690</v>
      </c>
      <c r="AJ268" s="1">
        <v>5740</v>
      </c>
      <c r="AK268" s="1">
        <v>5650</v>
      </c>
      <c r="AL268" s="1">
        <v>4985</v>
      </c>
      <c r="AM268" s="1">
        <v>4940</v>
      </c>
      <c r="AN268" s="1">
        <v>4880</v>
      </c>
      <c r="AO268" s="1">
        <v>4655</v>
      </c>
      <c r="AP268" s="1">
        <v>4840</v>
      </c>
      <c r="AQ268" s="1">
        <v>5240</v>
      </c>
      <c r="AR268" s="1">
        <v>5720</v>
      </c>
      <c r="AS268" s="1">
        <v>5140</v>
      </c>
      <c r="AT268" s="1">
        <v>5240</v>
      </c>
      <c r="AU268" s="1">
        <v>5340</v>
      </c>
      <c r="AV268" s="1">
        <v>5450</v>
      </c>
      <c r="AW268" s="1">
        <v>5510</v>
      </c>
      <c r="AX268" s="1">
        <v>5980</v>
      </c>
      <c r="AY268" s="1">
        <v>5560</v>
      </c>
      <c r="AZ268" s="1">
        <v>5370</v>
      </c>
      <c r="BA268" s="1">
        <v>5180</v>
      </c>
      <c r="BB268" s="1">
        <v>5210</v>
      </c>
      <c r="BC268" s="1">
        <v>5440</v>
      </c>
      <c r="BD268" s="1">
        <v>5470</v>
      </c>
      <c r="BE268" s="1">
        <v>5610</v>
      </c>
      <c r="BF268" s="1">
        <v>5710</v>
      </c>
      <c r="BG268" s="1">
        <v>5730</v>
      </c>
      <c r="BH268" s="1">
        <v>5860</v>
      </c>
      <c r="BI268" s="1">
        <v>6070</v>
      </c>
      <c r="BJ268" s="1">
        <v>6200</v>
      </c>
      <c r="BK268" s="1">
        <v>6830</v>
      </c>
      <c r="BL268" s="1">
        <v>6010</v>
      </c>
      <c r="BM268" s="1">
        <v>6110</v>
      </c>
      <c r="BN268" s="1">
        <v>6220</v>
      </c>
      <c r="BO268" s="1">
        <v>6380</v>
      </c>
      <c r="BP268" s="1">
        <v>6640</v>
      </c>
      <c r="BQ268" s="1">
        <v>6720</v>
      </c>
      <c r="BR268" s="1">
        <v>6620</v>
      </c>
      <c r="BS268" s="1">
        <v>6390</v>
      </c>
      <c r="BT268" s="1">
        <v>6450</v>
      </c>
      <c r="BU268" s="1">
        <v>6370</v>
      </c>
      <c r="BV268" s="1">
        <v>6470</v>
      </c>
      <c r="BW268" s="1">
        <v>6350</v>
      </c>
      <c r="BX268" s="1">
        <v>6420</v>
      </c>
      <c r="BY268" s="1">
        <v>6400</v>
      </c>
      <c r="BZ268" s="1">
        <v>6490</v>
      </c>
    </row>
    <row r="269" spans="1:78">
      <c r="A269" s="62" t="s">
        <v>482</v>
      </c>
      <c r="B269" s="1" t="str">
        <f>銘柄管理!C269</f>
        <v>日機装</v>
      </c>
      <c r="C269" s="1">
        <f>_xll.RssMarket("6376","高値")</f>
        <v>4090</v>
      </c>
      <c r="E269" s="1">
        <v>3985</v>
      </c>
      <c r="F269" s="1">
        <v>3805</v>
      </c>
      <c r="G269" s="1">
        <v>3810</v>
      </c>
      <c r="H269" s="1">
        <v>3640</v>
      </c>
      <c r="I269" s="1">
        <v>3740</v>
      </c>
      <c r="J269" s="1">
        <v>3995</v>
      </c>
      <c r="K269" s="1">
        <v>4095</v>
      </c>
      <c r="L269" s="1">
        <v>4020</v>
      </c>
      <c r="M269" s="1">
        <v>4095</v>
      </c>
      <c r="N269" s="1">
        <v>4165</v>
      </c>
      <c r="O269" s="1">
        <v>4155</v>
      </c>
      <c r="P269" s="1">
        <v>3880</v>
      </c>
      <c r="Q269" s="1">
        <v>3930</v>
      </c>
      <c r="R269" s="1">
        <v>3810</v>
      </c>
      <c r="S269" s="1">
        <v>3720</v>
      </c>
      <c r="T269" s="1">
        <v>3790</v>
      </c>
      <c r="U269" s="1">
        <v>3810</v>
      </c>
      <c r="V269" s="1">
        <v>3915</v>
      </c>
      <c r="W269" s="1">
        <v>4090</v>
      </c>
      <c r="X269" s="1">
        <v>4200</v>
      </c>
      <c r="Y269" s="1">
        <v>4085</v>
      </c>
      <c r="Z269" s="1">
        <v>4030</v>
      </c>
      <c r="AA269" s="1">
        <v>4135</v>
      </c>
      <c r="AB269" s="1">
        <v>4230</v>
      </c>
      <c r="AC269" s="1">
        <v>4240</v>
      </c>
      <c r="AD269" s="1">
        <v>4295</v>
      </c>
      <c r="AE269" s="1">
        <v>4215</v>
      </c>
      <c r="AF269" s="1">
        <v>4060</v>
      </c>
      <c r="AG269" s="1">
        <v>4160</v>
      </c>
      <c r="AH269" s="1">
        <v>4090</v>
      </c>
      <c r="AI269" s="1">
        <v>4010</v>
      </c>
      <c r="AJ269" s="1">
        <v>4080</v>
      </c>
      <c r="AK269" s="1">
        <v>3970</v>
      </c>
      <c r="AL269" s="1">
        <v>3780</v>
      </c>
      <c r="AM269" s="1">
        <v>3900</v>
      </c>
      <c r="AN269" s="1">
        <v>3695</v>
      </c>
      <c r="AO269" s="1">
        <v>3600</v>
      </c>
      <c r="AP269" s="1">
        <v>3665</v>
      </c>
      <c r="AQ269" s="1">
        <v>3295</v>
      </c>
      <c r="AR269" s="1">
        <v>3345</v>
      </c>
      <c r="AS269" s="1">
        <v>3215</v>
      </c>
      <c r="AT269" s="1">
        <v>3200</v>
      </c>
      <c r="AU269" s="1">
        <v>3300</v>
      </c>
      <c r="AV269" s="1">
        <v>3340</v>
      </c>
      <c r="AW269" s="1">
        <v>3300</v>
      </c>
      <c r="AX269" s="1">
        <v>3530</v>
      </c>
      <c r="AY269" s="1">
        <v>3475</v>
      </c>
      <c r="AZ269" s="1">
        <v>3250</v>
      </c>
      <c r="BA269" s="1">
        <v>3120</v>
      </c>
      <c r="BB269" s="1">
        <v>2941</v>
      </c>
      <c r="BC269" s="1">
        <v>3100</v>
      </c>
      <c r="BD269" s="1">
        <v>3050</v>
      </c>
      <c r="BE269" s="1">
        <v>2939</v>
      </c>
      <c r="BF269" s="1">
        <v>2687</v>
      </c>
      <c r="BG269" s="1">
        <v>2682</v>
      </c>
      <c r="BH269" s="1">
        <v>2739</v>
      </c>
      <c r="BI269" s="1">
        <v>2693</v>
      </c>
      <c r="BJ269" s="1">
        <v>2664</v>
      </c>
      <c r="BK269" s="1">
        <v>2717</v>
      </c>
      <c r="BL269" s="1">
        <v>2673</v>
      </c>
      <c r="BM269" s="1">
        <v>2683</v>
      </c>
      <c r="BN269" s="1">
        <v>2634</v>
      </c>
      <c r="BO269" s="1">
        <v>2680</v>
      </c>
      <c r="BP269" s="1">
        <v>2694</v>
      </c>
      <c r="BQ269" s="1">
        <v>2588</v>
      </c>
      <c r="BR269" s="1">
        <v>2581</v>
      </c>
      <c r="BS269" s="1">
        <v>2670</v>
      </c>
      <c r="BT269" s="1">
        <v>2680</v>
      </c>
      <c r="BU269" s="1">
        <v>2734</v>
      </c>
      <c r="BV269" s="1">
        <v>2778</v>
      </c>
      <c r="BW269" s="1">
        <v>2890</v>
      </c>
      <c r="BX269" s="1">
        <v>2899</v>
      </c>
      <c r="BY269" s="1">
        <v>2845</v>
      </c>
      <c r="BZ269" s="1">
        <v>2840</v>
      </c>
    </row>
    <row r="270" spans="1:78">
      <c r="A270" s="62" t="s">
        <v>483</v>
      </c>
      <c r="B270" s="1" t="str">
        <f>銘柄管理!C270</f>
        <v>明海グループ</v>
      </c>
      <c r="C270" s="1">
        <f>_xll.RssMarket("9115","高値")</f>
        <v>877</v>
      </c>
      <c r="E270" s="1">
        <v>864</v>
      </c>
      <c r="F270" s="1">
        <v>822</v>
      </c>
      <c r="G270" s="1">
        <v>815</v>
      </c>
      <c r="H270" s="1">
        <v>792</v>
      </c>
      <c r="I270" s="1">
        <v>894</v>
      </c>
      <c r="J270" s="1">
        <v>908</v>
      </c>
      <c r="K270" s="1">
        <v>924</v>
      </c>
      <c r="L270" s="1">
        <v>900</v>
      </c>
      <c r="M270" s="1">
        <v>898</v>
      </c>
      <c r="N270" s="1">
        <v>894</v>
      </c>
      <c r="O270" s="1">
        <v>841</v>
      </c>
      <c r="P270" s="1">
        <v>842</v>
      </c>
      <c r="Q270" s="1">
        <v>865</v>
      </c>
      <c r="R270" s="1">
        <v>834</v>
      </c>
      <c r="S270" s="1">
        <v>830</v>
      </c>
      <c r="T270" s="1">
        <v>844</v>
      </c>
      <c r="U270" s="1">
        <v>847</v>
      </c>
      <c r="V270" s="1">
        <v>830</v>
      </c>
      <c r="W270" s="1">
        <v>849</v>
      </c>
      <c r="X270" s="1">
        <v>861</v>
      </c>
      <c r="Y270" s="1">
        <v>841</v>
      </c>
      <c r="Z270" s="1">
        <v>840</v>
      </c>
      <c r="AA270" s="1">
        <v>822</v>
      </c>
      <c r="AB270" s="1">
        <v>814</v>
      </c>
      <c r="AC270" s="1">
        <v>829</v>
      </c>
      <c r="AD270" s="1">
        <v>800</v>
      </c>
      <c r="AE270" s="1">
        <v>800</v>
      </c>
      <c r="AF270" s="1">
        <v>818</v>
      </c>
      <c r="AG270" s="1">
        <v>840</v>
      </c>
      <c r="AH270" s="1">
        <v>781</v>
      </c>
      <c r="AI270" s="1">
        <v>790</v>
      </c>
      <c r="AJ270" s="1">
        <v>814</v>
      </c>
      <c r="AK270" s="1">
        <v>839</v>
      </c>
      <c r="AL270" s="1">
        <v>848</v>
      </c>
      <c r="AM270" s="1">
        <v>853</v>
      </c>
      <c r="AN270" s="1">
        <v>905</v>
      </c>
      <c r="AO270" s="1">
        <v>919</v>
      </c>
      <c r="AP270" s="1">
        <v>940</v>
      </c>
      <c r="AQ270" s="1">
        <v>989</v>
      </c>
      <c r="AR270" s="1">
        <v>1017</v>
      </c>
      <c r="AS270" s="1">
        <v>1011</v>
      </c>
      <c r="AT270" s="1">
        <v>1066</v>
      </c>
      <c r="AU270" s="1">
        <v>1070</v>
      </c>
      <c r="AV270" s="1">
        <v>1145</v>
      </c>
      <c r="AW270" s="1">
        <v>1170</v>
      </c>
      <c r="AX270" s="1">
        <v>1197</v>
      </c>
      <c r="AY270" s="1">
        <v>1198</v>
      </c>
      <c r="AZ270" s="1">
        <v>1156</v>
      </c>
      <c r="BA270" s="1">
        <v>1147</v>
      </c>
      <c r="BB270" s="1">
        <v>1146</v>
      </c>
      <c r="BC270" s="1">
        <v>1208</v>
      </c>
      <c r="BD270" s="1">
        <v>1247</v>
      </c>
      <c r="BE270" s="1">
        <v>1253</v>
      </c>
      <c r="BF270" s="1">
        <v>1272</v>
      </c>
      <c r="BG270" s="1">
        <v>1232</v>
      </c>
      <c r="BH270" s="1">
        <v>1278</v>
      </c>
      <c r="BI270" s="1">
        <v>1278</v>
      </c>
      <c r="BJ270" s="1">
        <v>1303</v>
      </c>
      <c r="BK270" s="1">
        <v>1335</v>
      </c>
      <c r="BL270" s="1">
        <v>1313</v>
      </c>
      <c r="BM270" s="1">
        <v>1277</v>
      </c>
      <c r="BN270" s="1">
        <v>1281</v>
      </c>
      <c r="BO270" s="1">
        <v>1217</v>
      </c>
      <c r="BP270" s="1">
        <v>1209</v>
      </c>
      <c r="BQ270" s="1">
        <v>1245</v>
      </c>
      <c r="BR270" s="1">
        <v>1253</v>
      </c>
      <c r="BS270" s="1">
        <v>1300</v>
      </c>
      <c r="BT270" s="1">
        <v>1313</v>
      </c>
      <c r="BU270" s="1">
        <v>1313</v>
      </c>
      <c r="BV270" s="1">
        <v>1315</v>
      </c>
      <c r="BW270" s="1">
        <v>1377</v>
      </c>
      <c r="BX270" s="1">
        <v>1340</v>
      </c>
      <c r="BY270" s="1">
        <v>1450</v>
      </c>
      <c r="BZ270" s="1">
        <v>1330</v>
      </c>
    </row>
    <row r="271" spans="1:78">
      <c r="A271" s="62" t="s">
        <v>484</v>
      </c>
      <c r="B271" s="1" t="str">
        <f>銘柄管理!C271</f>
        <v>三菱製紙</v>
      </c>
      <c r="C271" s="1">
        <f>_xll.RssMarket("3864","高値")</f>
        <v>1189</v>
      </c>
      <c r="E271" s="1">
        <v>1160</v>
      </c>
      <c r="F271" s="1">
        <v>1150</v>
      </c>
      <c r="G271" s="1">
        <v>1144</v>
      </c>
      <c r="H271" s="1">
        <v>1122</v>
      </c>
      <c r="I271" s="1">
        <v>1124</v>
      </c>
      <c r="J271" s="1">
        <v>1140</v>
      </c>
      <c r="K271" s="1">
        <v>1154</v>
      </c>
      <c r="L271" s="1">
        <v>1197</v>
      </c>
      <c r="M271" s="1">
        <v>1210</v>
      </c>
      <c r="N271" s="1">
        <v>1186</v>
      </c>
      <c r="O271" s="1">
        <v>1226</v>
      </c>
      <c r="P271" s="1">
        <v>1100</v>
      </c>
      <c r="Q271" s="1">
        <v>1118</v>
      </c>
      <c r="R271" s="1">
        <v>1087</v>
      </c>
      <c r="S271" s="1">
        <v>1070</v>
      </c>
      <c r="T271" s="1">
        <v>1017</v>
      </c>
      <c r="U271" s="1">
        <v>1012</v>
      </c>
      <c r="V271" s="1">
        <v>1022</v>
      </c>
      <c r="W271" s="1">
        <v>1023</v>
      </c>
      <c r="X271" s="1">
        <v>1027</v>
      </c>
      <c r="Y271" s="1">
        <v>1018</v>
      </c>
      <c r="Z271" s="1">
        <v>1020</v>
      </c>
      <c r="AA271" s="1">
        <v>1027</v>
      </c>
      <c r="AB271" s="1">
        <v>1029</v>
      </c>
      <c r="AC271" s="1">
        <v>1048</v>
      </c>
      <c r="AD271" s="1">
        <v>1054</v>
      </c>
      <c r="AE271" s="1">
        <v>1044</v>
      </c>
      <c r="AF271" s="1">
        <v>1036</v>
      </c>
      <c r="AG271" s="1">
        <v>1048</v>
      </c>
      <c r="AH271" s="1">
        <v>1041</v>
      </c>
      <c r="AI271" s="1">
        <v>1050</v>
      </c>
      <c r="AJ271" s="1">
        <v>1077</v>
      </c>
      <c r="AK271" s="1">
        <v>1087</v>
      </c>
      <c r="AL271" s="1">
        <v>1091</v>
      </c>
      <c r="AM271" s="1">
        <v>1106</v>
      </c>
      <c r="AN271" s="1">
        <v>1078</v>
      </c>
      <c r="AO271" s="1">
        <v>1070</v>
      </c>
      <c r="AP271" s="1">
        <v>1081</v>
      </c>
      <c r="AQ271" s="1">
        <v>1058</v>
      </c>
      <c r="AR271" s="1">
        <v>1061</v>
      </c>
      <c r="AS271" s="1">
        <v>1063</v>
      </c>
      <c r="AT271" s="1">
        <v>1072</v>
      </c>
      <c r="AU271" s="1">
        <v>1064</v>
      </c>
      <c r="AV271" s="1">
        <v>1137</v>
      </c>
      <c r="AW271" s="1">
        <v>1136</v>
      </c>
      <c r="AX271" s="1">
        <v>1117</v>
      </c>
      <c r="AY271" s="1">
        <v>1106</v>
      </c>
      <c r="AZ271" s="1">
        <v>1119</v>
      </c>
      <c r="BA271" s="1">
        <v>1090</v>
      </c>
      <c r="BB271" s="1">
        <v>1038</v>
      </c>
      <c r="BC271" s="1">
        <v>1079</v>
      </c>
      <c r="BD271" s="1">
        <v>1038</v>
      </c>
      <c r="BE271" s="1">
        <v>1017</v>
      </c>
      <c r="BF271" s="1">
        <v>941</v>
      </c>
      <c r="BG271" s="1">
        <v>931</v>
      </c>
      <c r="BH271" s="1">
        <v>945</v>
      </c>
      <c r="BI271" s="1">
        <v>949</v>
      </c>
      <c r="BJ271" s="1">
        <v>953</v>
      </c>
      <c r="BK271" s="1">
        <v>941</v>
      </c>
      <c r="BL271" s="1">
        <v>939</v>
      </c>
      <c r="BM271" s="1">
        <v>943</v>
      </c>
      <c r="BN271" s="1">
        <v>952</v>
      </c>
      <c r="BO271" s="1">
        <v>967</v>
      </c>
      <c r="BP271" s="1">
        <v>961</v>
      </c>
      <c r="BQ271" s="1">
        <v>965</v>
      </c>
      <c r="BR271" s="1">
        <v>991</v>
      </c>
      <c r="BS271" s="1">
        <v>987</v>
      </c>
      <c r="BT271" s="1">
        <v>996</v>
      </c>
      <c r="BU271" s="1">
        <v>998</v>
      </c>
      <c r="BV271" s="1">
        <v>995</v>
      </c>
      <c r="BW271" s="1">
        <v>951</v>
      </c>
      <c r="BX271" s="1">
        <v>932</v>
      </c>
      <c r="BY271" s="1">
        <v>934</v>
      </c>
      <c r="BZ271" s="1">
        <v>923</v>
      </c>
    </row>
    <row r="272" spans="1:78">
      <c r="A272" s="62" t="s">
        <v>485</v>
      </c>
      <c r="B272" s="1" t="str">
        <f>銘柄管理!C272</f>
        <v>日本ケミコン</v>
      </c>
      <c r="C272" s="1">
        <f>_xll.RssMarket("6997","高値")</f>
        <v>3565</v>
      </c>
      <c r="E272" s="1">
        <v>3305</v>
      </c>
      <c r="F272" s="1">
        <v>3250</v>
      </c>
      <c r="G272" s="1">
        <v>3130</v>
      </c>
      <c r="H272" s="1">
        <v>2775</v>
      </c>
      <c r="I272" s="1">
        <v>2881</v>
      </c>
      <c r="J272" s="1">
        <v>3010</v>
      </c>
      <c r="K272" s="1">
        <v>3325</v>
      </c>
      <c r="L272" s="1">
        <v>3375</v>
      </c>
      <c r="M272" s="1">
        <v>3430</v>
      </c>
      <c r="N272" s="1">
        <v>3510</v>
      </c>
      <c r="O272" s="1">
        <v>3220</v>
      </c>
      <c r="P272" s="1">
        <v>3375</v>
      </c>
      <c r="Q272" s="1">
        <v>3735</v>
      </c>
      <c r="R272" s="1">
        <v>3710</v>
      </c>
      <c r="S272" s="1">
        <v>4130</v>
      </c>
      <c r="T272" s="1">
        <v>4140</v>
      </c>
      <c r="U272" s="1">
        <v>4080</v>
      </c>
      <c r="V272" s="1">
        <v>4480</v>
      </c>
      <c r="W272" s="1">
        <v>4905</v>
      </c>
      <c r="X272" s="1">
        <v>5550</v>
      </c>
      <c r="Y272" s="1">
        <v>5600</v>
      </c>
      <c r="Z272" s="1">
        <v>5620</v>
      </c>
      <c r="AA272" s="1">
        <v>5900</v>
      </c>
      <c r="AB272" s="1">
        <v>5650</v>
      </c>
      <c r="AC272" s="1">
        <v>5870</v>
      </c>
      <c r="AD272" s="1">
        <v>6100</v>
      </c>
      <c r="AE272" s="1">
        <v>6180</v>
      </c>
      <c r="AF272" s="1">
        <v>6090</v>
      </c>
      <c r="AG272" s="1">
        <v>6040</v>
      </c>
      <c r="AH272" s="1">
        <v>6190</v>
      </c>
      <c r="AI272" s="1">
        <v>5940</v>
      </c>
      <c r="AJ272" s="1">
        <v>5690</v>
      </c>
      <c r="AK272" s="1">
        <v>5240</v>
      </c>
      <c r="AL272" s="1">
        <v>4800</v>
      </c>
      <c r="AM272" s="1">
        <v>4790</v>
      </c>
      <c r="AN272" s="1">
        <v>4545</v>
      </c>
      <c r="AO272" s="1">
        <v>4225</v>
      </c>
      <c r="AP272" s="1">
        <v>4420</v>
      </c>
      <c r="AQ272" s="1">
        <v>4730</v>
      </c>
      <c r="AR272" s="1">
        <v>5160</v>
      </c>
      <c r="AS272" s="1">
        <v>5130</v>
      </c>
      <c r="AT272" s="1">
        <v>5020</v>
      </c>
      <c r="AU272" s="1">
        <v>5670</v>
      </c>
      <c r="AV272" s="1">
        <v>5080</v>
      </c>
      <c r="AW272" s="1">
        <v>4380</v>
      </c>
      <c r="AX272" s="1">
        <v>4210</v>
      </c>
      <c r="AY272" s="1">
        <v>4065</v>
      </c>
      <c r="AZ272" s="1">
        <v>3425</v>
      </c>
      <c r="BA272" s="1">
        <v>3110</v>
      </c>
      <c r="BB272" s="1">
        <v>3110</v>
      </c>
      <c r="BC272" s="1">
        <v>3080</v>
      </c>
      <c r="BD272" s="1">
        <v>3120</v>
      </c>
      <c r="BE272" s="1">
        <v>3550</v>
      </c>
      <c r="BF272" s="1">
        <v>3540</v>
      </c>
      <c r="BG272" s="1">
        <v>3205</v>
      </c>
      <c r="BH272" s="1">
        <v>3300</v>
      </c>
      <c r="BI272" s="1">
        <v>3300</v>
      </c>
      <c r="BJ272" s="1">
        <v>3255</v>
      </c>
      <c r="BK272" s="1">
        <v>3140</v>
      </c>
      <c r="BL272" s="1">
        <v>2670</v>
      </c>
      <c r="BM272" s="1">
        <v>2741</v>
      </c>
      <c r="BN272" s="1">
        <v>2462</v>
      </c>
      <c r="BO272" s="1">
        <v>2397</v>
      </c>
      <c r="BP272" s="1">
        <v>2350</v>
      </c>
      <c r="BQ272" s="1">
        <v>2454</v>
      </c>
      <c r="BR272" s="1">
        <v>2457</v>
      </c>
      <c r="BS272" s="1">
        <v>2494</v>
      </c>
      <c r="BT272" s="1">
        <v>2484</v>
      </c>
      <c r="BU272" s="1">
        <v>2277</v>
      </c>
      <c r="BV272" s="1">
        <v>2290</v>
      </c>
      <c r="BW272" s="1">
        <v>2074</v>
      </c>
      <c r="BX272" s="1">
        <v>1958</v>
      </c>
      <c r="BY272" s="1">
        <v>1769</v>
      </c>
      <c r="BZ272" s="1">
        <v>1718</v>
      </c>
    </row>
    <row r="273" spans="1:78">
      <c r="A273" s="62" t="s">
        <v>486</v>
      </c>
      <c r="B273" s="1" t="str">
        <f>銘柄管理!C273</f>
        <v>ＨＵグループＨＤ</v>
      </c>
      <c r="C273" s="1">
        <f>_xll.RssMarket("4544","高値")</f>
        <v>3355</v>
      </c>
      <c r="E273" s="1">
        <v>3364</v>
      </c>
      <c r="F273" s="1">
        <v>3400</v>
      </c>
      <c r="G273" s="1">
        <v>3469</v>
      </c>
      <c r="H273" s="1">
        <v>3592</v>
      </c>
      <c r="I273" s="1">
        <v>3612</v>
      </c>
      <c r="J273" s="1">
        <v>3496</v>
      </c>
      <c r="K273" s="1">
        <v>3434</v>
      </c>
      <c r="L273" s="1">
        <v>3349</v>
      </c>
      <c r="M273" s="1">
        <v>3323</v>
      </c>
      <c r="N273" s="1">
        <v>3372</v>
      </c>
      <c r="O273" s="1">
        <v>3408</v>
      </c>
      <c r="P273" s="1">
        <v>3409</v>
      </c>
      <c r="Q273" s="1">
        <v>3375</v>
      </c>
      <c r="R273" s="1">
        <v>3383</v>
      </c>
      <c r="S273" s="1">
        <v>3400</v>
      </c>
      <c r="T273" s="1">
        <v>3397</v>
      </c>
      <c r="U273" s="1">
        <v>3487</v>
      </c>
      <c r="V273" s="1">
        <v>3523</v>
      </c>
      <c r="W273" s="1">
        <v>3470</v>
      </c>
      <c r="X273" s="1">
        <v>3450</v>
      </c>
      <c r="Y273" s="1">
        <v>3431</v>
      </c>
      <c r="Z273" s="1">
        <v>3415</v>
      </c>
      <c r="AA273" s="1">
        <v>3304</v>
      </c>
      <c r="AB273" s="1">
        <v>3300</v>
      </c>
      <c r="AC273" s="1">
        <v>3354</v>
      </c>
      <c r="AD273" s="1">
        <v>3245</v>
      </c>
      <c r="AE273" s="1">
        <v>3239</v>
      </c>
      <c r="AF273" s="1">
        <v>3205</v>
      </c>
      <c r="AG273" s="1">
        <v>3172</v>
      </c>
      <c r="AH273" s="1">
        <v>3185</v>
      </c>
      <c r="AI273" s="1">
        <v>3173</v>
      </c>
      <c r="AJ273" s="1">
        <v>3189</v>
      </c>
      <c r="AK273" s="1">
        <v>3251</v>
      </c>
      <c r="AL273" s="1">
        <v>3257</v>
      </c>
      <c r="AM273" s="1">
        <v>3392</v>
      </c>
      <c r="AN273" s="1">
        <v>3439</v>
      </c>
      <c r="AO273" s="1">
        <v>3479</v>
      </c>
      <c r="AP273" s="1">
        <v>3485</v>
      </c>
      <c r="AQ273" s="1">
        <v>3366</v>
      </c>
      <c r="AR273" s="1">
        <v>3419</v>
      </c>
      <c r="AS273" s="1">
        <v>3298</v>
      </c>
      <c r="AT273" s="1">
        <v>3339</v>
      </c>
      <c r="AU273" s="1">
        <v>3164</v>
      </c>
      <c r="AV273" s="1">
        <v>3210</v>
      </c>
      <c r="AW273" s="1">
        <v>3168</v>
      </c>
      <c r="AX273" s="1">
        <v>3173</v>
      </c>
      <c r="AY273" s="1">
        <v>3195</v>
      </c>
      <c r="AZ273" s="1">
        <v>3195</v>
      </c>
      <c r="BA273" s="1">
        <v>3251</v>
      </c>
      <c r="BB273" s="1">
        <v>3264</v>
      </c>
      <c r="BC273" s="1">
        <v>3256</v>
      </c>
      <c r="BD273" s="1">
        <v>3224</v>
      </c>
      <c r="BE273" s="1">
        <v>3235</v>
      </c>
      <c r="BF273" s="1">
        <v>3274</v>
      </c>
      <c r="BG273" s="1">
        <v>3161</v>
      </c>
      <c r="BH273" s="1">
        <v>3147</v>
      </c>
      <c r="BI273" s="1">
        <v>3130</v>
      </c>
      <c r="BJ273" s="1">
        <v>3188</v>
      </c>
      <c r="BK273" s="1">
        <v>3173</v>
      </c>
      <c r="BL273" s="1">
        <v>3111</v>
      </c>
      <c r="BM273" s="1">
        <v>3141</v>
      </c>
      <c r="BN273" s="1">
        <v>3281</v>
      </c>
      <c r="BO273" s="1">
        <v>3285</v>
      </c>
      <c r="BP273" s="1">
        <v>3202</v>
      </c>
      <c r="BQ273" s="1">
        <v>3194</v>
      </c>
      <c r="BR273" s="1">
        <v>3180</v>
      </c>
      <c r="BS273" s="1">
        <v>3188</v>
      </c>
      <c r="BT273" s="1">
        <v>3174</v>
      </c>
      <c r="BU273" s="1">
        <v>3189</v>
      </c>
      <c r="BV273" s="1">
        <v>3200</v>
      </c>
      <c r="BW273" s="1">
        <v>3212</v>
      </c>
      <c r="BX273" s="1">
        <v>3169</v>
      </c>
      <c r="BY273" s="1">
        <v>3143</v>
      </c>
      <c r="BZ273" s="1">
        <v>3216</v>
      </c>
    </row>
    <row r="274" spans="1:78">
      <c r="A274" s="62" t="s">
        <v>487</v>
      </c>
      <c r="B274" s="1" t="str">
        <f>銘柄管理!C274</f>
        <v>東亜ディーケーケー</v>
      </c>
      <c r="C274" s="1">
        <f>_xll.RssMarket("6848","高値")</f>
        <v>862</v>
      </c>
      <c r="E274" s="1">
        <v>859</v>
      </c>
      <c r="F274" s="1">
        <v>862</v>
      </c>
      <c r="G274" s="1">
        <v>859</v>
      </c>
      <c r="H274" s="1">
        <v>854</v>
      </c>
      <c r="I274" s="1">
        <v>855</v>
      </c>
      <c r="J274" s="1">
        <v>854</v>
      </c>
      <c r="K274" s="1">
        <v>857</v>
      </c>
      <c r="M274" s="1">
        <v>855</v>
      </c>
      <c r="N274" s="1">
        <v>858</v>
      </c>
      <c r="O274" s="1">
        <v>856</v>
      </c>
      <c r="P274" s="1">
        <v>856</v>
      </c>
      <c r="Q274" s="1">
        <v>857</v>
      </c>
      <c r="R274" s="1">
        <v>861</v>
      </c>
      <c r="S274" s="1">
        <v>860</v>
      </c>
      <c r="T274" s="1">
        <v>856</v>
      </c>
      <c r="U274" s="1">
        <v>856</v>
      </c>
      <c r="V274" s="1">
        <v>874</v>
      </c>
      <c r="W274" s="1">
        <v>874</v>
      </c>
      <c r="X274" s="1">
        <v>866</v>
      </c>
      <c r="Y274" s="1">
        <v>864</v>
      </c>
      <c r="Z274" s="1">
        <v>854</v>
      </c>
      <c r="AA274" s="1">
        <v>874</v>
      </c>
      <c r="AB274" s="1">
        <v>876</v>
      </c>
      <c r="AC274" s="1">
        <v>868</v>
      </c>
      <c r="AD274" s="1">
        <v>858</v>
      </c>
      <c r="AE274" s="1">
        <v>865</v>
      </c>
      <c r="AF274" s="1">
        <v>866</v>
      </c>
      <c r="AG274" s="1">
        <v>886</v>
      </c>
      <c r="AH274" s="1">
        <v>888</v>
      </c>
      <c r="AI274" s="1">
        <v>865</v>
      </c>
      <c r="AJ274" s="1">
        <v>863</v>
      </c>
      <c r="AK274" s="1">
        <v>871</v>
      </c>
      <c r="AL274" s="1">
        <v>859</v>
      </c>
      <c r="AM274" s="1">
        <v>859</v>
      </c>
      <c r="AN274" s="1">
        <v>877</v>
      </c>
      <c r="AO274" s="1">
        <v>878</v>
      </c>
      <c r="AP274" s="1">
        <v>857</v>
      </c>
      <c r="AQ274" s="1">
        <v>867</v>
      </c>
      <c r="AR274" s="1">
        <v>886</v>
      </c>
      <c r="AS274" s="1">
        <v>861</v>
      </c>
      <c r="AT274" s="1">
        <v>878</v>
      </c>
      <c r="AU274" s="1">
        <v>870</v>
      </c>
      <c r="AV274" s="1">
        <v>864</v>
      </c>
      <c r="AW274" s="1">
        <v>865</v>
      </c>
      <c r="AX274" s="1">
        <v>869</v>
      </c>
      <c r="AY274" s="1">
        <v>865</v>
      </c>
      <c r="AZ274" s="1">
        <v>865</v>
      </c>
      <c r="BA274" s="1">
        <v>862</v>
      </c>
      <c r="BB274" s="1">
        <v>875</v>
      </c>
      <c r="BC274" s="1">
        <v>878</v>
      </c>
      <c r="BD274" s="1">
        <v>877</v>
      </c>
      <c r="BE274" s="1">
        <v>871</v>
      </c>
      <c r="BF274" s="1">
        <v>880</v>
      </c>
      <c r="BG274" s="1">
        <v>881</v>
      </c>
      <c r="BH274" s="1">
        <v>880</v>
      </c>
      <c r="BI274" s="1">
        <v>883</v>
      </c>
      <c r="BJ274" s="1">
        <v>880</v>
      </c>
      <c r="BK274" s="1">
        <v>877</v>
      </c>
      <c r="BL274" s="1">
        <v>868</v>
      </c>
      <c r="BM274" s="1">
        <v>883</v>
      </c>
      <c r="BN274" s="1">
        <v>876</v>
      </c>
      <c r="BO274" s="1">
        <v>880</v>
      </c>
      <c r="BP274" s="1">
        <v>881</v>
      </c>
      <c r="BQ274" s="1">
        <v>883</v>
      </c>
      <c r="BR274" s="1">
        <v>884</v>
      </c>
      <c r="BS274" s="1">
        <v>880</v>
      </c>
      <c r="BT274" s="1">
        <v>888</v>
      </c>
      <c r="BU274" s="1">
        <v>879</v>
      </c>
      <c r="BV274" s="1">
        <v>874</v>
      </c>
      <c r="BW274" s="1">
        <v>875</v>
      </c>
      <c r="BX274" s="1">
        <v>875</v>
      </c>
      <c r="BY274" s="1">
        <v>878</v>
      </c>
      <c r="BZ274" s="1">
        <v>882</v>
      </c>
    </row>
    <row r="275" spans="1:78">
      <c r="A275" s="62" t="s">
        <v>488</v>
      </c>
      <c r="B275" s="1" t="str">
        <f>銘柄管理!C275</f>
        <v>大紀アルミニウム</v>
      </c>
      <c r="C275" s="1">
        <f>_xll.RssMarket("5702","高値")</f>
        <v>1607</v>
      </c>
      <c r="E275" s="1">
        <v>1546</v>
      </c>
      <c r="F275" s="1">
        <v>1545</v>
      </c>
      <c r="G275" s="1">
        <v>1500</v>
      </c>
      <c r="H275" s="1">
        <v>1469</v>
      </c>
      <c r="I275" s="1">
        <v>1471</v>
      </c>
      <c r="J275" s="1">
        <v>1486</v>
      </c>
      <c r="K275" s="1">
        <v>1510</v>
      </c>
      <c r="L275" s="1">
        <v>1506</v>
      </c>
      <c r="M275" s="1">
        <v>1517</v>
      </c>
      <c r="N275" s="1">
        <v>1504</v>
      </c>
      <c r="O275" s="1">
        <v>1487</v>
      </c>
      <c r="P275" s="1">
        <v>1494</v>
      </c>
      <c r="Q275" s="1">
        <v>1526</v>
      </c>
      <c r="R275" s="1">
        <v>1515</v>
      </c>
      <c r="S275" s="1">
        <v>1509</v>
      </c>
      <c r="T275" s="1">
        <v>1487</v>
      </c>
      <c r="U275" s="1">
        <v>1477</v>
      </c>
      <c r="V275" s="1">
        <v>1489</v>
      </c>
      <c r="W275" s="1">
        <v>1523</v>
      </c>
      <c r="X275" s="1">
        <v>1536</v>
      </c>
      <c r="Y275" s="1">
        <v>1520</v>
      </c>
      <c r="Z275" s="1">
        <v>1510</v>
      </c>
      <c r="AA275" s="1">
        <v>1507</v>
      </c>
      <c r="AB275" s="1">
        <v>1506</v>
      </c>
      <c r="AC275" s="1">
        <v>1536</v>
      </c>
      <c r="AD275" s="1">
        <v>1541</v>
      </c>
      <c r="AE275" s="1">
        <v>1599</v>
      </c>
      <c r="AF275" s="1">
        <v>1639</v>
      </c>
      <c r="AG275" s="1">
        <v>1664</v>
      </c>
      <c r="AH275" s="1">
        <v>1682</v>
      </c>
      <c r="AI275" s="1">
        <v>1682</v>
      </c>
      <c r="AJ275" s="1">
        <v>1745</v>
      </c>
      <c r="AK275" s="1">
        <v>1753</v>
      </c>
      <c r="AL275" s="1">
        <v>1798</v>
      </c>
      <c r="AM275" s="1">
        <v>1877</v>
      </c>
      <c r="AN275" s="1">
        <v>1880</v>
      </c>
      <c r="AO275" s="1">
        <v>1831</v>
      </c>
      <c r="AP275" s="1">
        <v>1861</v>
      </c>
      <c r="AQ275" s="1">
        <v>1879</v>
      </c>
      <c r="AR275" s="1">
        <v>1938</v>
      </c>
      <c r="AS275" s="1">
        <v>1958</v>
      </c>
      <c r="AT275" s="1">
        <v>2039</v>
      </c>
      <c r="AU275" s="1">
        <v>1965</v>
      </c>
      <c r="AV275" s="1">
        <v>2017</v>
      </c>
      <c r="AW275" s="1">
        <v>1973</v>
      </c>
      <c r="AX275" s="1">
        <v>2074</v>
      </c>
      <c r="AY275" s="1">
        <v>1997</v>
      </c>
      <c r="AZ275" s="1">
        <v>1922</v>
      </c>
      <c r="BA275" s="1">
        <v>1877</v>
      </c>
      <c r="BB275" s="1">
        <v>1821</v>
      </c>
      <c r="BC275" s="1">
        <v>1839</v>
      </c>
      <c r="BD275" s="1">
        <v>1840</v>
      </c>
      <c r="BE275" s="1">
        <v>1899</v>
      </c>
      <c r="BF275" s="1">
        <v>1941</v>
      </c>
      <c r="BG275" s="1">
        <v>1609</v>
      </c>
      <c r="BH275" s="1">
        <v>1627</v>
      </c>
      <c r="BI275" s="1">
        <v>1621</v>
      </c>
      <c r="BJ275" s="1">
        <v>1613</v>
      </c>
      <c r="BK275" s="1">
        <v>1544</v>
      </c>
      <c r="BL275" s="1">
        <v>1508</v>
      </c>
      <c r="BM275" s="1">
        <v>1524</v>
      </c>
      <c r="BN275" s="1">
        <v>1491</v>
      </c>
      <c r="BO275" s="1">
        <v>1467</v>
      </c>
      <c r="BP275" s="1">
        <v>1468</v>
      </c>
      <c r="BQ275" s="1">
        <v>1491</v>
      </c>
      <c r="BR275" s="1">
        <v>1497</v>
      </c>
      <c r="BS275" s="1">
        <v>1545</v>
      </c>
      <c r="BT275" s="1">
        <v>1520</v>
      </c>
      <c r="BU275" s="1">
        <v>1556</v>
      </c>
      <c r="BV275" s="1">
        <v>1578</v>
      </c>
      <c r="BW275" s="1">
        <v>1612</v>
      </c>
      <c r="BX275" s="1">
        <v>1619</v>
      </c>
      <c r="BY275" s="1">
        <v>1580</v>
      </c>
      <c r="BZ275" s="1">
        <v>1598</v>
      </c>
    </row>
    <row r="276" spans="1:78">
      <c r="A276" s="62" t="s">
        <v>489</v>
      </c>
      <c r="B276" s="1" t="str">
        <f>銘柄管理!C276</f>
        <v>河合楽器</v>
      </c>
      <c r="C276" s="1">
        <f>_xll.RssMarket("7952","高値")</f>
        <v>3625</v>
      </c>
      <c r="E276" s="1">
        <v>3625</v>
      </c>
      <c r="F276" s="1">
        <v>3560</v>
      </c>
      <c r="G276" s="1">
        <v>3520</v>
      </c>
      <c r="H276" s="1">
        <v>3420</v>
      </c>
      <c r="I276" s="1">
        <v>3405</v>
      </c>
      <c r="J276" s="1">
        <v>3465</v>
      </c>
      <c r="K276" s="1">
        <v>3320</v>
      </c>
      <c r="L276" s="1">
        <v>3305</v>
      </c>
      <c r="M276" s="1">
        <v>3300</v>
      </c>
      <c r="N276" s="1">
        <v>3310</v>
      </c>
      <c r="O276" s="1">
        <v>3300</v>
      </c>
      <c r="P276" s="1">
        <v>3320</v>
      </c>
      <c r="Q276" s="1">
        <v>3205</v>
      </c>
      <c r="R276" s="1">
        <v>3260</v>
      </c>
      <c r="S276" s="1">
        <v>3220</v>
      </c>
      <c r="T276" s="1">
        <v>3260</v>
      </c>
      <c r="U276" s="1">
        <v>3220</v>
      </c>
      <c r="V276" s="1">
        <v>3265</v>
      </c>
      <c r="W276" s="1">
        <v>3295</v>
      </c>
      <c r="X276" s="1">
        <v>3300</v>
      </c>
      <c r="Y276" s="1">
        <v>3265</v>
      </c>
      <c r="Z276" s="1">
        <v>3270</v>
      </c>
      <c r="AA276" s="1">
        <v>3320</v>
      </c>
      <c r="AB276" s="1">
        <v>3235</v>
      </c>
      <c r="AC276" s="1">
        <v>3380</v>
      </c>
      <c r="AD276" s="1">
        <v>3385</v>
      </c>
      <c r="AE276" s="1">
        <v>3360</v>
      </c>
      <c r="AF276" s="1">
        <v>3340</v>
      </c>
      <c r="AG276" s="1">
        <v>3335</v>
      </c>
      <c r="AH276" s="1">
        <v>3370</v>
      </c>
      <c r="AI276" s="1">
        <v>3385</v>
      </c>
      <c r="AJ276" s="1">
        <v>3300</v>
      </c>
      <c r="AK276" s="1">
        <v>3340</v>
      </c>
      <c r="AL276" s="1">
        <v>3295</v>
      </c>
      <c r="AM276" s="1">
        <v>3220</v>
      </c>
      <c r="AN276" s="1">
        <v>3050</v>
      </c>
      <c r="AO276" s="1">
        <v>3090</v>
      </c>
      <c r="AP276" s="1">
        <v>3245</v>
      </c>
      <c r="AQ276" s="1">
        <v>3230</v>
      </c>
      <c r="AR276" s="1">
        <v>3240</v>
      </c>
      <c r="AS276" s="1">
        <v>3235</v>
      </c>
      <c r="AT276" s="1">
        <v>3245</v>
      </c>
      <c r="AU276" s="1">
        <v>3250</v>
      </c>
      <c r="AV276" s="1">
        <v>3320</v>
      </c>
      <c r="AW276" s="1">
        <v>3240</v>
      </c>
      <c r="AX276" s="1">
        <v>3055</v>
      </c>
      <c r="AY276" s="1">
        <v>3035</v>
      </c>
      <c r="AZ276" s="1">
        <v>2993</v>
      </c>
      <c r="BA276" s="1">
        <v>2984</v>
      </c>
      <c r="BB276" s="1">
        <v>3100</v>
      </c>
      <c r="BC276" s="1">
        <v>3155</v>
      </c>
      <c r="BD276" s="1">
        <v>3170</v>
      </c>
      <c r="BE276" s="1">
        <v>3225</v>
      </c>
      <c r="BF276" s="1">
        <v>3015</v>
      </c>
      <c r="BG276" s="1">
        <v>3000</v>
      </c>
      <c r="BH276" s="1">
        <v>2959</v>
      </c>
      <c r="BI276" s="1">
        <v>2828</v>
      </c>
      <c r="BJ276" s="1">
        <v>2783</v>
      </c>
      <c r="BK276" s="1">
        <v>2840</v>
      </c>
      <c r="BL276" s="1">
        <v>2794</v>
      </c>
      <c r="BM276" s="1">
        <v>2801</v>
      </c>
      <c r="BN276" s="1">
        <v>2876</v>
      </c>
      <c r="BO276" s="1">
        <v>2834</v>
      </c>
      <c r="BP276" s="1">
        <v>2899</v>
      </c>
      <c r="BQ276" s="1">
        <v>3020</v>
      </c>
      <c r="BR276" s="1">
        <v>3090</v>
      </c>
      <c r="BS276" s="1">
        <v>3100</v>
      </c>
      <c r="BT276" s="1">
        <v>3070</v>
      </c>
      <c r="BU276" s="1">
        <v>3130</v>
      </c>
      <c r="BV276" s="1">
        <v>3155</v>
      </c>
      <c r="BW276" s="1">
        <v>3070</v>
      </c>
      <c r="BX276" s="1">
        <v>3035</v>
      </c>
      <c r="BY276" s="1">
        <v>3045</v>
      </c>
      <c r="BZ276" s="1">
        <v>3045</v>
      </c>
    </row>
    <row r="277" spans="1:78">
      <c r="A277" s="62" t="s">
        <v>490</v>
      </c>
      <c r="B277" s="1" t="str">
        <f>銘柄管理!C277</f>
        <v>グンゼ</v>
      </c>
      <c r="C277" s="1">
        <f>_xll.RssMarket("3002","高値")</f>
        <v>4090</v>
      </c>
      <c r="E277" s="1">
        <v>4030</v>
      </c>
      <c r="F277" s="1">
        <v>4040</v>
      </c>
      <c r="G277" s="1">
        <v>4090</v>
      </c>
      <c r="H277" s="1">
        <v>4075</v>
      </c>
      <c r="I277" s="1">
        <v>4080</v>
      </c>
      <c r="J277" s="1">
        <v>4075</v>
      </c>
      <c r="K277" s="1">
        <v>4065</v>
      </c>
      <c r="M277" s="1">
        <v>3985</v>
      </c>
      <c r="N277" s="1">
        <v>4000</v>
      </c>
      <c r="O277" s="1">
        <v>4005</v>
      </c>
      <c r="P277" s="1">
        <v>4000</v>
      </c>
      <c r="Q277" s="1">
        <v>4005</v>
      </c>
      <c r="R277" s="1">
        <v>4005</v>
      </c>
      <c r="S277" s="1">
        <v>3995</v>
      </c>
      <c r="T277" s="1">
        <v>4075</v>
      </c>
      <c r="U277" s="1">
        <v>4045</v>
      </c>
      <c r="V277" s="1">
        <v>4055</v>
      </c>
      <c r="W277" s="1">
        <v>4070</v>
      </c>
      <c r="X277" s="1">
        <v>4040</v>
      </c>
      <c r="Y277" s="1">
        <v>4020</v>
      </c>
      <c r="Z277" s="1">
        <v>3965</v>
      </c>
      <c r="AA277" s="1">
        <v>3880</v>
      </c>
      <c r="AB277" s="1">
        <v>3895</v>
      </c>
      <c r="AC277" s="1">
        <v>3875</v>
      </c>
      <c r="AD277" s="1">
        <v>3875</v>
      </c>
      <c r="AE277" s="1">
        <v>3880</v>
      </c>
      <c r="AF277" s="1">
        <v>3835</v>
      </c>
      <c r="AG277" s="1">
        <v>3850</v>
      </c>
      <c r="AH277" s="1">
        <v>3850</v>
      </c>
      <c r="AI277" s="1">
        <v>3865</v>
      </c>
      <c r="AJ277" s="1">
        <v>3865</v>
      </c>
      <c r="AK277" s="1">
        <v>3835</v>
      </c>
      <c r="AL277" s="1">
        <v>3820</v>
      </c>
      <c r="AM277" s="1">
        <v>3865</v>
      </c>
      <c r="AN277" s="1">
        <v>3880</v>
      </c>
      <c r="AO277" s="1">
        <v>3750</v>
      </c>
      <c r="AP277" s="1">
        <v>3780</v>
      </c>
      <c r="AQ277" s="1">
        <v>3700</v>
      </c>
      <c r="AR277" s="1">
        <v>3745</v>
      </c>
      <c r="AS277" s="1">
        <v>3695</v>
      </c>
      <c r="AT277" s="1">
        <v>3710</v>
      </c>
      <c r="AU277" s="1">
        <v>3690</v>
      </c>
      <c r="AV277" s="1">
        <v>3745</v>
      </c>
      <c r="AW277" s="1">
        <v>3710</v>
      </c>
      <c r="AX277" s="1">
        <v>3725</v>
      </c>
      <c r="AY277" s="1">
        <v>3675</v>
      </c>
      <c r="AZ277" s="1">
        <v>3695</v>
      </c>
      <c r="BA277" s="1">
        <v>3705</v>
      </c>
      <c r="BB277" s="1">
        <v>3725</v>
      </c>
      <c r="BC277" s="1">
        <v>3735</v>
      </c>
      <c r="BD277" s="1">
        <v>3740</v>
      </c>
      <c r="BE277" s="1">
        <v>3765</v>
      </c>
      <c r="BF277" s="1">
        <v>3825</v>
      </c>
      <c r="BG277" s="1">
        <v>3615</v>
      </c>
      <c r="BH277" s="1">
        <v>3635</v>
      </c>
      <c r="BI277" s="1">
        <v>3645</v>
      </c>
      <c r="BJ277" s="1">
        <v>3630</v>
      </c>
      <c r="BK277" s="1">
        <v>3640</v>
      </c>
      <c r="BL277" s="1">
        <v>3630</v>
      </c>
      <c r="BM277" s="1">
        <v>3670</v>
      </c>
      <c r="BN277" s="1">
        <v>3710</v>
      </c>
      <c r="BO277" s="1">
        <v>3685</v>
      </c>
      <c r="BP277" s="1">
        <v>3730</v>
      </c>
      <c r="BQ277" s="1">
        <v>3730</v>
      </c>
      <c r="BR277" s="1">
        <v>3830</v>
      </c>
      <c r="BS277" s="1">
        <v>3950</v>
      </c>
      <c r="BT277" s="1">
        <v>3950</v>
      </c>
      <c r="BU277" s="1">
        <v>3940</v>
      </c>
      <c r="BV277" s="1">
        <v>3935</v>
      </c>
      <c r="BW277" s="1">
        <v>3915</v>
      </c>
      <c r="BX277" s="1">
        <v>3930</v>
      </c>
      <c r="BY277" s="1">
        <v>3955</v>
      </c>
      <c r="BZ277" s="1">
        <v>3995</v>
      </c>
    </row>
    <row r="278" spans="1:78">
      <c r="A278" s="62" t="s">
        <v>491</v>
      </c>
      <c r="B278" s="1" t="str">
        <f>銘柄管理!C278</f>
        <v>ゴールドクレスト</v>
      </c>
      <c r="C278" s="1">
        <f>_xll.RssMarket("8871","高値")</f>
        <v>3260</v>
      </c>
      <c r="E278" s="1">
        <v>3290</v>
      </c>
      <c r="F278" s="1">
        <v>3325</v>
      </c>
      <c r="G278" s="1">
        <v>3335</v>
      </c>
      <c r="H278" s="1">
        <v>3375</v>
      </c>
      <c r="I278" s="1">
        <v>3420</v>
      </c>
      <c r="J278" s="1">
        <v>3405</v>
      </c>
      <c r="K278" s="1">
        <v>3400</v>
      </c>
      <c r="M278" s="1">
        <v>3365</v>
      </c>
      <c r="N278" s="1">
        <v>3385</v>
      </c>
      <c r="O278" s="1">
        <v>3385</v>
      </c>
      <c r="P278" s="1">
        <v>3405</v>
      </c>
      <c r="Q278" s="1">
        <v>3395</v>
      </c>
      <c r="R278" s="1">
        <v>3405</v>
      </c>
      <c r="S278" s="1">
        <v>3365</v>
      </c>
      <c r="T278" s="1">
        <v>3375</v>
      </c>
      <c r="U278" s="1">
        <v>3380</v>
      </c>
      <c r="V278" s="1">
        <v>3450</v>
      </c>
      <c r="W278" s="1">
        <v>3385</v>
      </c>
      <c r="X278" s="1">
        <v>3340</v>
      </c>
      <c r="Y278" s="1">
        <v>3325</v>
      </c>
      <c r="Z278" s="1">
        <v>3310</v>
      </c>
      <c r="AA278" s="1">
        <v>3305</v>
      </c>
      <c r="AB278" s="1">
        <v>3340</v>
      </c>
      <c r="AC278" s="1">
        <v>3340</v>
      </c>
      <c r="AD278" s="1">
        <v>3275</v>
      </c>
      <c r="AE278" s="1">
        <v>3250</v>
      </c>
      <c r="AF278" s="1">
        <v>3250</v>
      </c>
      <c r="AG278" s="1">
        <v>3255</v>
      </c>
      <c r="AH278" s="1">
        <v>3290</v>
      </c>
      <c r="AI278" s="1">
        <v>3290</v>
      </c>
      <c r="AJ278" s="1">
        <v>3265</v>
      </c>
      <c r="AK278" s="1">
        <v>3345</v>
      </c>
      <c r="AL278" s="1">
        <v>3350</v>
      </c>
      <c r="AM278" s="1">
        <v>3420</v>
      </c>
      <c r="AN278" s="1">
        <v>3370</v>
      </c>
      <c r="AO278" s="1">
        <v>3375</v>
      </c>
      <c r="AP278" s="1">
        <v>3350</v>
      </c>
      <c r="AQ278" s="1">
        <v>3300</v>
      </c>
      <c r="AR278" s="1">
        <v>3280</v>
      </c>
      <c r="AS278" s="1">
        <v>3300</v>
      </c>
      <c r="AT278" s="1">
        <v>3400</v>
      </c>
      <c r="AU278" s="1">
        <v>3480</v>
      </c>
      <c r="AV278" s="1">
        <v>3645</v>
      </c>
      <c r="AW278" s="1">
        <v>3605</v>
      </c>
      <c r="AX278" s="1">
        <v>3670</v>
      </c>
      <c r="AY278" s="1">
        <v>3515</v>
      </c>
      <c r="AZ278" s="1">
        <v>3585</v>
      </c>
      <c r="BA278" s="1">
        <v>3620</v>
      </c>
      <c r="BB278" s="1">
        <v>3665</v>
      </c>
      <c r="BC278" s="1">
        <v>3770</v>
      </c>
      <c r="BD278" s="1">
        <v>3725</v>
      </c>
      <c r="BE278" s="1">
        <v>3850</v>
      </c>
      <c r="BF278" s="1">
        <v>3320</v>
      </c>
      <c r="BG278" s="1">
        <v>3360</v>
      </c>
      <c r="BH278" s="1">
        <v>3350</v>
      </c>
      <c r="BI278" s="1">
        <v>3335</v>
      </c>
      <c r="BJ278" s="1">
        <v>3340</v>
      </c>
      <c r="BK278" s="1">
        <v>3365</v>
      </c>
      <c r="BL278" s="1">
        <v>3355</v>
      </c>
      <c r="BM278" s="1">
        <v>3340</v>
      </c>
      <c r="BN278" s="1">
        <v>3375</v>
      </c>
      <c r="BO278" s="1">
        <v>3370</v>
      </c>
      <c r="BP278" s="1">
        <v>3325</v>
      </c>
      <c r="BQ278" s="1">
        <v>3335</v>
      </c>
      <c r="BR278" s="1">
        <v>3400</v>
      </c>
      <c r="BS278" s="1">
        <v>3440</v>
      </c>
      <c r="BT278" s="1">
        <v>3445</v>
      </c>
      <c r="BU278" s="1">
        <v>3485</v>
      </c>
      <c r="BV278" s="1">
        <v>3495</v>
      </c>
      <c r="BW278" s="1">
        <v>3505</v>
      </c>
      <c r="BX278" s="1">
        <v>3500</v>
      </c>
      <c r="BY278" s="1">
        <v>3510</v>
      </c>
      <c r="BZ278" s="1">
        <v>3550</v>
      </c>
    </row>
    <row r="279" spans="1:78">
      <c r="A279" s="62" t="s">
        <v>492</v>
      </c>
      <c r="B279" s="1" t="str">
        <f>銘柄管理!C279</f>
        <v>アバールデータ</v>
      </c>
      <c r="C279" s="1">
        <f>_xll.RssMarket("6918","高値")</f>
        <v>3365</v>
      </c>
      <c r="E279" s="1">
        <v>3230</v>
      </c>
      <c r="F279" s="1">
        <v>3150</v>
      </c>
      <c r="G279" s="1">
        <v>3160</v>
      </c>
      <c r="H279" s="1">
        <v>3005</v>
      </c>
      <c r="I279" s="1">
        <v>3110</v>
      </c>
      <c r="J279" s="1">
        <v>3125</v>
      </c>
      <c r="K279" s="1">
        <v>3225</v>
      </c>
      <c r="M279" s="1">
        <v>3360</v>
      </c>
      <c r="N279" s="1">
        <v>3330</v>
      </c>
      <c r="O279" s="1">
        <v>3215</v>
      </c>
      <c r="P279" s="1">
        <v>3200</v>
      </c>
      <c r="Q279" s="1">
        <v>3330</v>
      </c>
      <c r="R279" s="1">
        <v>3250</v>
      </c>
      <c r="S279" s="1">
        <v>3330</v>
      </c>
      <c r="T279" s="1">
        <v>3380</v>
      </c>
      <c r="U279" s="1">
        <v>3190</v>
      </c>
      <c r="V279" s="1">
        <v>3210</v>
      </c>
      <c r="W279" s="1">
        <v>3350</v>
      </c>
      <c r="X279" s="1">
        <v>3470</v>
      </c>
      <c r="Y279" s="1">
        <v>3395</v>
      </c>
      <c r="Z279" s="1">
        <v>3380</v>
      </c>
      <c r="AA279" s="1">
        <v>3465</v>
      </c>
      <c r="AB279" s="1">
        <v>3320</v>
      </c>
      <c r="AC279" s="1">
        <v>3330</v>
      </c>
      <c r="AD279" s="1">
        <v>3390</v>
      </c>
      <c r="AE279" s="1">
        <v>3485</v>
      </c>
      <c r="AF279" s="1">
        <v>3460</v>
      </c>
      <c r="AG279" s="1">
        <v>3525</v>
      </c>
      <c r="AH279" s="1">
        <v>3595</v>
      </c>
      <c r="AI279" s="1">
        <v>3500</v>
      </c>
      <c r="AJ279" s="1">
        <v>3500</v>
      </c>
      <c r="AK279" s="1">
        <v>3345</v>
      </c>
      <c r="AL279" s="1">
        <v>3335</v>
      </c>
      <c r="AM279" s="1">
        <v>3240</v>
      </c>
      <c r="AN279" s="1">
        <v>3130</v>
      </c>
      <c r="AO279" s="1">
        <v>2978</v>
      </c>
      <c r="AP279" s="1">
        <v>3070</v>
      </c>
      <c r="AQ279" s="1">
        <v>3090</v>
      </c>
      <c r="AR279" s="1">
        <v>3295</v>
      </c>
      <c r="AS279" s="1">
        <v>3350</v>
      </c>
      <c r="AT279" s="1">
        <v>3430</v>
      </c>
      <c r="AU279" s="1">
        <v>3530</v>
      </c>
      <c r="AV279" s="1">
        <v>3570</v>
      </c>
      <c r="AW279" s="1">
        <v>3565</v>
      </c>
      <c r="AX279" s="1">
        <v>3430</v>
      </c>
      <c r="AY279" s="1">
        <v>3515</v>
      </c>
      <c r="AZ279" s="1">
        <v>3505</v>
      </c>
      <c r="BA279" s="1">
        <v>3485</v>
      </c>
      <c r="BB279" s="1">
        <v>3525</v>
      </c>
      <c r="BC279" s="1">
        <v>3750</v>
      </c>
      <c r="BD279" s="1">
        <v>3790</v>
      </c>
      <c r="BE279" s="1">
        <v>3615</v>
      </c>
      <c r="BF279" s="1">
        <v>3645</v>
      </c>
      <c r="BG279" s="1">
        <v>3665</v>
      </c>
      <c r="BH279" s="1">
        <v>3750</v>
      </c>
      <c r="BI279" s="1">
        <v>3700</v>
      </c>
      <c r="BJ279" s="1">
        <v>3330</v>
      </c>
      <c r="BK279" s="1">
        <v>3320</v>
      </c>
      <c r="BL279" s="1">
        <v>3140</v>
      </c>
      <c r="BM279" s="1">
        <v>2944</v>
      </c>
      <c r="BN279" s="1">
        <v>3000</v>
      </c>
      <c r="BO279" s="1">
        <v>3050</v>
      </c>
      <c r="BP279" s="1">
        <v>3070</v>
      </c>
      <c r="BQ279" s="1">
        <v>3030</v>
      </c>
      <c r="BR279" s="1">
        <v>3100</v>
      </c>
      <c r="BS279" s="1">
        <v>3075</v>
      </c>
      <c r="BT279" s="1">
        <v>2980</v>
      </c>
      <c r="BU279" s="1">
        <v>2875</v>
      </c>
      <c r="BV279" s="1">
        <v>2854</v>
      </c>
      <c r="BW279" s="1">
        <v>2896</v>
      </c>
      <c r="BX279" s="1">
        <v>2894</v>
      </c>
      <c r="BY279" s="1">
        <v>2814</v>
      </c>
      <c r="BZ279" s="1">
        <v>2786</v>
      </c>
    </row>
    <row r="280" spans="1:78">
      <c r="A280" s="62" t="s">
        <v>493</v>
      </c>
      <c r="B280" s="1" t="str">
        <f>銘柄管理!C280</f>
        <v>ヨシタケ</v>
      </c>
      <c r="C280" s="1">
        <f>_xll.RssMarket("6488","高値")</f>
        <v>996</v>
      </c>
      <c r="E280" s="1">
        <v>994</v>
      </c>
      <c r="F280" s="1">
        <v>997</v>
      </c>
      <c r="G280" s="1">
        <v>1000</v>
      </c>
      <c r="H280" s="1">
        <v>990</v>
      </c>
      <c r="I280" s="1">
        <v>986</v>
      </c>
      <c r="J280" s="1">
        <v>986</v>
      </c>
      <c r="K280" s="1">
        <v>985</v>
      </c>
      <c r="L280" s="1">
        <v>986</v>
      </c>
      <c r="M280" s="1">
        <v>986</v>
      </c>
      <c r="N280" s="1">
        <v>987</v>
      </c>
      <c r="O280" s="1">
        <v>980</v>
      </c>
      <c r="P280" s="1">
        <v>976</v>
      </c>
      <c r="Q280" s="1">
        <v>983</v>
      </c>
      <c r="R280" s="1">
        <v>983</v>
      </c>
      <c r="S280" s="1">
        <v>980</v>
      </c>
      <c r="T280" s="1">
        <v>971</v>
      </c>
      <c r="U280" s="1">
        <v>967</v>
      </c>
      <c r="V280" s="1">
        <v>962</v>
      </c>
      <c r="W280" s="1">
        <v>970</v>
      </c>
      <c r="X280" s="1">
        <v>966</v>
      </c>
      <c r="Y280" s="1">
        <v>975</v>
      </c>
      <c r="Z280" s="1">
        <v>968</v>
      </c>
      <c r="AA280" s="1">
        <v>945</v>
      </c>
      <c r="AB280" s="1">
        <v>940</v>
      </c>
      <c r="AC280" s="1">
        <v>939</v>
      </c>
      <c r="AD280" s="1">
        <v>936</v>
      </c>
      <c r="AE280" s="1">
        <v>937</v>
      </c>
      <c r="AF280" s="1">
        <v>942</v>
      </c>
      <c r="AG280" s="1">
        <v>948</v>
      </c>
      <c r="AH280" s="1">
        <v>947</v>
      </c>
      <c r="AI280" s="1">
        <v>939</v>
      </c>
      <c r="AJ280" s="1">
        <v>930</v>
      </c>
      <c r="AK280" s="1">
        <v>930</v>
      </c>
      <c r="AL280" s="1">
        <v>920</v>
      </c>
      <c r="AM280" s="1">
        <v>921</v>
      </c>
      <c r="AN280" s="1">
        <v>921</v>
      </c>
      <c r="AO280" s="1">
        <v>920</v>
      </c>
      <c r="AP280" s="1">
        <v>931</v>
      </c>
      <c r="AQ280" s="1">
        <v>933</v>
      </c>
      <c r="AR280" s="1">
        <v>939</v>
      </c>
      <c r="AS280" s="1">
        <v>938</v>
      </c>
      <c r="AT280" s="1">
        <v>939</v>
      </c>
      <c r="AU280" s="1">
        <v>931</v>
      </c>
      <c r="AV280" s="1">
        <v>933</v>
      </c>
      <c r="AW280" s="1">
        <v>939</v>
      </c>
      <c r="AX280" s="1">
        <v>943</v>
      </c>
      <c r="AY280" s="1">
        <v>960</v>
      </c>
      <c r="AZ280" s="1">
        <v>972</v>
      </c>
      <c r="BA280" s="1">
        <v>973</v>
      </c>
      <c r="BB280" s="1">
        <v>967</v>
      </c>
      <c r="BC280" s="1">
        <v>980</v>
      </c>
      <c r="BD280" s="1">
        <v>988</v>
      </c>
      <c r="BE280" s="1">
        <v>995</v>
      </c>
      <c r="BF280" s="1">
        <v>1014</v>
      </c>
      <c r="BG280" s="1">
        <v>938</v>
      </c>
      <c r="BH280" s="1">
        <v>940</v>
      </c>
      <c r="BI280" s="1">
        <v>947</v>
      </c>
      <c r="BJ280" s="1">
        <v>946</v>
      </c>
      <c r="BK280" s="1">
        <v>935</v>
      </c>
      <c r="BL280" s="1">
        <v>943</v>
      </c>
      <c r="BM280" s="1">
        <v>944</v>
      </c>
      <c r="BN280" s="1">
        <v>944</v>
      </c>
      <c r="BO280" s="1">
        <v>940</v>
      </c>
      <c r="BP280" s="1">
        <v>940</v>
      </c>
      <c r="BQ280" s="1">
        <v>934</v>
      </c>
      <c r="BR280" s="1">
        <v>935</v>
      </c>
      <c r="BS280" s="1">
        <v>953</v>
      </c>
      <c r="BT280" s="1">
        <v>959</v>
      </c>
      <c r="BU280" s="1">
        <v>960</v>
      </c>
      <c r="BV280" s="1">
        <v>956</v>
      </c>
      <c r="BW280" s="1">
        <v>946</v>
      </c>
      <c r="BX280" s="1">
        <v>948</v>
      </c>
      <c r="BY280" s="1">
        <v>945</v>
      </c>
      <c r="BZ280" s="1">
        <v>945</v>
      </c>
    </row>
    <row r="281" spans="1:78">
      <c r="A281" s="62" t="s">
        <v>494</v>
      </c>
      <c r="B281" s="1" t="str">
        <f>銘柄管理!C281</f>
        <v>高島</v>
      </c>
      <c r="C281" s="1">
        <f>_xll.RssMarket("8007","高値")</f>
        <v>797</v>
      </c>
      <c r="E281" s="1">
        <v>802</v>
      </c>
      <c r="F281" s="1">
        <v>813</v>
      </c>
      <c r="G281" s="1">
        <v>818</v>
      </c>
      <c r="H281" s="1">
        <v>817</v>
      </c>
      <c r="I281" s="1">
        <v>815</v>
      </c>
      <c r="J281" s="1">
        <v>814</v>
      </c>
      <c r="K281" s="1">
        <v>805</v>
      </c>
      <c r="L281" s="1">
        <v>798</v>
      </c>
      <c r="M281" s="1">
        <v>799</v>
      </c>
      <c r="N281" s="1">
        <v>796</v>
      </c>
      <c r="O281" s="1">
        <v>793</v>
      </c>
      <c r="P281" s="1">
        <v>788</v>
      </c>
      <c r="Q281" s="1">
        <v>790</v>
      </c>
      <c r="R281" s="1">
        <v>782</v>
      </c>
      <c r="S281" s="1">
        <v>790</v>
      </c>
      <c r="T281" s="1">
        <v>784</v>
      </c>
      <c r="U281" s="1">
        <v>775</v>
      </c>
      <c r="V281" s="1">
        <v>776</v>
      </c>
      <c r="W281" s="1">
        <v>777</v>
      </c>
      <c r="X281" s="1">
        <v>774</v>
      </c>
      <c r="Y281" s="1">
        <v>765</v>
      </c>
      <c r="Z281" s="1">
        <v>763</v>
      </c>
      <c r="AA281" s="1">
        <v>765</v>
      </c>
      <c r="AB281" s="1">
        <v>768</v>
      </c>
      <c r="AC281" s="1">
        <v>765</v>
      </c>
      <c r="AD281" s="1">
        <v>752</v>
      </c>
      <c r="AE281" s="1">
        <v>753</v>
      </c>
      <c r="AF281" s="1">
        <v>750</v>
      </c>
      <c r="AG281" s="1">
        <v>749</v>
      </c>
      <c r="AH281" s="1">
        <v>756</v>
      </c>
      <c r="AI281" s="1">
        <v>751</v>
      </c>
      <c r="AJ281" s="1">
        <v>753</v>
      </c>
      <c r="AK281" s="1">
        <v>761</v>
      </c>
      <c r="AL281" s="1">
        <v>765</v>
      </c>
      <c r="AM281" s="1">
        <v>763</v>
      </c>
      <c r="AN281" s="1">
        <v>746</v>
      </c>
      <c r="AO281" s="1">
        <v>740</v>
      </c>
      <c r="AP281" s="1">
        <v>744</v>
      </c>
      <c r="AQ281" s="1">
        <v>740</v>
      </c>
      <c r="AR281" s="1">
        <v>744</v>
      </c>
      <c r="AS281" s="1">
        <v>735</v>
      </c>
      <c r="AT281" s="1">
        <v>734</v>
      </c>
      <c r="AU281" s="1">
        <v>729</v>
      </c>
      <c r="AV281" s="1">
        <v>767</v>
      </c>
      <c r="AW281" s="1">
        <v>765</v>
      </c>
      <c r="AX281" s="1">
        <v>755</v>
      </c>
      <c r="AY281" s="1">
        <v>750</v>
      </c>
      <c r="AZ281" s="1">
        <v>748</v>
      </c>
      <c r="BA281" s="1">
        <v>746</v>
      </c>
      <c r="BB281" s="1">
        <v>745</v>
      </c>
      <c r="BC281" s="1">
        <v>758</v>
      </c>
      <c r="BD281" s="1">
        <v>770</v>
      </c>
      <c r="BE281" s="1">
        <v>802</v>
      </c>
      <c r="BF281" s="1">
        <v>785</v>
      </c>
      <c r="BG281" s="1">
        <v>777</v>
      </c>
      <c r="BH281" s="1">
        <v>779</v>
      </c>
      <c r="BI281" s="1">
        <v>782</v>
      </c>
      <c r="BJ281" s="1">
        <v>789</v>
      </c>
      <c r="BK281" s="1">
        <v>796</v>
      </c>
      <c r="BL281" s="1">
        <v>794</v>
      </c>
      <c r="BM281" s="1">
        <v>799</v>
      </c>
      <c r="BN281" s="1">
        <v>798</v>
      </c>
      <c r="BO281" s="1">
        <v>774</v>
      </c>
      <c r="BP281" s="1">
        <v>777</v>
      </c>
      <c r="BQ281" s="1">
        <v>776</v>
      </c>
      <c r="BR281" s="1">
        <v>787</v>
      </c>
      <c r="BS281" s="1">
        <v>797</v>
      </c>
      <c r="BT281" s="1">
        <v>805</v>
      </c>
      <c r="BU281" s="1">
        <v>812</v>
      </c>
      <c r="BV281" s="1">
        <v>816</v>
      </c>
      <c r="BW281" s="1">
        <v>821</v>
      </c>
      <c r="BX281" s="1">
        <v>818</v>
      </c>
      <c r="BY281" s="1">
        <v>820</v>
      </c>
      <c r="BZ281" s="1">
        <v>830</v>
      </c>
    </row>
    <row r="282" spans="1:78">
      <c r="A282" s="62" t="s">
        <v>495</v>
      </c>
      <c r="B282" s="1" t="str">
        <f>銘柄管理!C282</f>
        <v>ニチバン</v>
      </c>
      <c r="C282" s="1">
        <f>_xll.RssMarket("4218","高値")</f>
        <v>1955</v>
      </c>
      <c r="E282" s="1">
        <v>1941</v>
      </c>
      <c r="F282" s="1">
        <v>1946</v>
      </c>
      <c r="G282" s="1">
        <v>1967</v>
      </c>
      <c r="H282" s="1">
        <v>1977</v>
      </c>
      <c r="I282" s="1">
        <v>1980</v>
      </c>
      <c r="J282" s="1">
        <v>1947</v>
      </c>
      <c r="K282" s="1">
        <v>1935</v>
      </c>
      <c r="L282" s="1">
        <v>1916</v>
      </c>
      <c r="M282" s="1">
        <v>1920</v>
      </c>
      <c r="N282" s="1">
        <v>1928</v>
      </c>
      <c r="O282" s="1">
        <v>1950</v>
      </c>
      <c r="P282" s="1">
        <v>1935</v>
      </c>
      <c r="Q282" s="1">
        <v>1916</v>
      </c>
      <c r="R282" s="1">
        <v>1924</v>
      </c>
      <c r="S282" s="1">
        <v>1915</v>
      </c>
      <c r="T282" s="1">
        <v>1912</v>
      </c>
      <c r="U282" s="1">
        <v>1922</v>
      </c>
      <c r="V282" s="1">
        <v>1923</v>
      </c>
      <c r="W282" s="1">
        <v>1914</v>
      </c>
      <c r="X282" s="1">
        <v>1908</v>
      </c>
      <c r="Y282" s="1">
        <v>1907</v>
      </c>
      <c r="Z282" s="1">
        <v>1903</v>
      </c>
      <c r="AA282" s="1">
        <v>1897</v>
      </c>
      <c r="AB282" s="1">
        <v>1889</v>
      </c>
      <c r="AC282" s="1">
        <v>1895</v>
      </c>
      <c r="AD282" s="1">
        <v>1873</v>
      </c>
      <c r="AE282" s="1">
        <v>1861</v>
      </c>
      <c r="AF282" s="1">
        <v>1850</v>
      </c>
      <c r="AG282" s="1">
        <v>1842</v>
      </c>
      <c r="AH282" s="1">
        <v>1838</v>
      </c>
      <c r="AI282" s="1">
        <v>1858</v>
      </c>
      <c r="AJ282" s="1">
        <v>1850</v>
      </c>
      <c r="AK282" s="1">
        <v>1855</v>
      </c>
      <c r="AL282" s="1">
        <v>1845</v>
      </c>
      <c r="AM282" s="1">
        <v>1848</v>
      </c>
      <c r="AN282" s="1">
        <v>1850</v>
      </c>
      <c r="AO282" s="1">
        <v>1841</v>
      </c>
      <c r="AP282" s="1">
        <v>1829</v>
      </c>
      <c r="AQ282" s="1">
        <v>1822</v>
      </c>
      <c r="AR282" s="1">
        <v>1811</v>
      </c>
      <c r="AS282" s="1">
        <v>1816</v>
      </c>
      <c r="AT282" s="1">
        <v>1813</v>
      </c>
      <c r="AU282" s="1">
        <v>1818</v>
      </c>
      <c r="AV282" s="1">
        <v>1852</v>
      </c>
      <c r="AW282" s="1">
        <v>1866</v>
      </c>
      <c r="AX282" s="1">
        <v>1865</v>
      </c>
      <c r="AY282" s="1">
        <v>1875</v>
      </c>
      <c r="AZ282" s="1">
        <v>1874</v>
      </c>
      <c r="BA282" s="1">
        <v>1875</v>
      </c>
      <c r="BB282" s="1">
        <v>1881</v>
      </c>
      <c r="BC282" s="1">
        <v>1897</v>
      </c>
      <c r="BD282" s="1">
        <v>1900</v>
      </c>
      <c r="BE282" s="1">
        <v>1914</v>
      </c>
      <c r="BF282" s="1">
        <v>1920</v>
      </c>
      <c r="BG282" s="1">
        <v>1854</v>
      </c>
      <c r="BH282" s="1">
        <v>1833</v>
      </c>
      <c r="BI282" s="1">
        <v>1830</v>
      </c>
      <c r="BJ282" s="1">
        <v>1846</v>
      </c>
      <c r="BK282" s="1">
        <v>1857</v>
      </c>
      <c r="BL282" s="1">
        <v>1838</v>
      </c>
      <c r="BM282" s="1">
        <v>1825</v>
      </c>
      <c r="BN282" s="1">
        <v>1825</v>
      </c>
      <c r="BO282" s="1">
        <v>1825</v>
      </c>
      <c r="BP282" s="1">
        <v>1846</v>
      </c>
      <c r="BQ282" s="1">
        <v>1857</v>
      </c>
      <c r="BR282" s="1">
        <v>1883</v>
      </c>
      <c r="BS282" s="1">
        <v>1889</v>
      </c>
      <c r="BT282" s="1">
        <v>1898</v>
      </c>
      <c r="BU282" s="1">
        <v>1893</v>
      </c>
      <c r="BV282" s="1">
        <v>1897</v>
      </c>
      <c r="BW282" s="1">
        <v>1895</v>
      </c>
      <c r="BX282" s="1">
        <v>1898</v>
      </c>
      <c r="BY282" s="1">
        <v>1898</v>
      </c>
      <c r="BZ282" s="1">
        <v>1913</v>
      </c>
    </row>
    <row r="283" spans="1:78">
      <c r="A283" s="62" t="s">
        <v>496</v>
      </c>
      <c r="B283" s="1" t="str">
        <f>銘柄管理!C283</f>
        <v>ＳＣＲＥＥＮホールディングス</v>
      </c>
      <c r="C283" s="1">
        <f>_xll.RssMarket("7735","高値")</f>
        <v>13900</v>
      </c>
      <c r="E283" s="1">
        <v>13175</v>
      </c>
      <c r="F283" s="1">
        <v>12535</v>
      </c>
      <c r="G283" s="1">
        <v>13800</v>
      </c>
      <c r="H283" s="1">
        <v>12445</v>
      </c>
      <c r="I283" s="1">
        <v>13270</v>
      </c>
      <c r="J283" s="1">
        <v>14735</v>
      </c>
      <c r="K283" s="1">
        <v>16215</v>
      </c>
      <c r="L283" s="1">
        <v>16795</v>
      </c>
      <c r="M283" s="1">
        <v>17355</v>
      </c>
      <c r="N283" s="1">
        <v>17695</v>
      </c>
      <c r="O283" s="1">
        <v>17070</v>
      </c>
      <c r="P283" s="1">
        <v>17445</v>
      </c>
      <c r="Q283" s="1">
        <v>19020</v>
      </c>
      <c r="R283" s="1">
        <v>18240</v>
      </c>
      <c r="S283" s="1">
        <v>18690</v>
      </c>
      <c r="T283" s="1">
        <v>18530</v>
      </c>
      <c r="U283" s="1">
        <v>18055</v>
      </c>
      <c r="V283" s="1">
        <v>17490</v>
      </c>
      <c r="W283" s="1">
        <v>18020</v>
      </c>
      <c r="X283" s="1">
        <v>19065</v>
      </c>
      <c r="Y283" s="1">
        <v>18945</v>
      </c>
      <c r="Z283" s="1">
        <v>18870</v>
      </c>
      <c r="AA283" s="1">
        <v>19770</v>
      </c>
      <c r="AB283" s="1">
        <v>18350</v>
      </c>
      <c r="AC283" s="1">
        <v>16875</v>
      </c>
      <c r="AD283" s="1">
        <v>17815</v>
      </c>
      <c r="AE283" s="1">
        <v>17640</v>
      </c>
      <c r="AF283" s="1">
        <v>16830</v>
      </c>
      <c r="AG283" s="1">
        <v>17495</v>
      </c>
      <c r="AH283" s="1">
        <v>17455</v>
      </c>
      <c r="AI283" s="1">
        <v>17160</v>
      </c>
      <c r="AJ283" s="1">
        <v>16550</v>
      </c>
      <c r="AK283" s="1">
        <v>15375</v>
      </c>
      <c r="AL283" s="1">
        <v>15720</v>
      </c>
      <c r="AM283" s="1">
        <v>14985</v>
      </c>
      <c r="AN283" s="1">
        <v>14225</v>
      </c>
      <c r="AO283" s="1">
        <v>13080</v>
      </c>
      <c r="AP283" s="1">
        <v>13690</v>
      </c>
      <c r="AQ283" s="1">
        <v>11940</v>
      </c>
      <c r="AR283" s="1">
        <v>13075</v>
      </c>
      <c r="AS283" s="1">
        <v>13465</v>
      </c>
      <c r="AT283" s="1">
        <v>13420</v>
      </c>
      <c r="AU283" s="1">
        <v>11370</v>
      </c>
      <c r="AV283" s="1">
        <v>11290</v>
      </c>
      <c r="AW283" s="1">
        <v>11215</v>
      </c>
      <c r="AX283" s="1">
        <v>11550</v>
      </c>
      <c r="AY283" s="1">
        <v>11180</v>
      </c>
      <c r="AZ283" s="1">
        <v>11105</v>
      </c>
      <c r="BA283" s="1">
        <v>10990</v>
      </c>
      <c r="BB283" s="1">
        <v>10730</v>
      </c>
      <c r="BC283" s="1">
        <v>11035</v>
      </c>
      <c r="BD283" s="1">
        <v>11405</v>
      </c>
      <c r="BE283" s="1">
        <v>12525</v>
      </c>
      <c r="BF283" s="1">
        <v>13155</v>
      </c>
      <c r="BG283" s="1">
        <v>11460</v>
      </c>
      <c r="BH283" s="1">
        <v>11630</v>
      </c>
      <c r="BI283" s="1">
        <v>11675</v>
      </c>
      <c r="BJ283" s="1">
        <v>11380</v>
      </c>
      <c r="BK283" s="1">
        <v>11325</v>
      </c>
      <c r="BL283" s="1">
        <v>10680</v>
      </c>
      <c r="BM283" s="1">
        <v>10450</v>
      </c>
      <c r="BN283" s="1">
        <v>10795</v>
      </c>
      <c r="BO283" s="1">
        <v>11070</v>
      </c>
      <c r="BP283" s="1">
        <v>10730</v>
      </c>
      <c r="BQ283" s="1">
        <v>10765</v>
      </c>
      <c r="BR283" s="1">
        <v>10625</v>
      </c>
      <c r="BS283" s="1">
        <v>10920</v>
      </c>
      <c r="BT283" s="1">
        <v>10815</v>
      </c>
      <c r="BU283" s="1">
        <v>11120</v>
      </c>
      <c r="BV283" s="1">
        <v>11310</v>
      </c>
      <c r="BW283" s="1">
        <v>11370</v>
      </c>
      <c r="BX283" s="1">
        <v>11230</v>
      </c>
      <c r="BY283" s="1">
        <v>10815</v>
      </c>
      <c r="BZ283" s="1">
        <v>10780</v>
      </c>
    </row>
    <row r="284" spans="1:78">
      <c r="A284" s="62" t="s">
        <v>497</v>
      </c>
      <c r="B284" s="1" t="str">
        <f>銘柄管理!C284</f>
        <v>データセクション</v>
      </c>
      <c r="C284" s="1">
        <f>_xll.RssMarket("3905","高値")</f>
        <v>2278</v>
      </c>
      <c r="E284" s="1">
        <v>2407</v>
      </c>
      <c r="F284" s="1">
        <v>2251</v>
      </c>
      <c r="G284" s="1">
        <v>2193</v>
      </c>
      <c r="H284" s="1">
        <v>1960</v>
      </c>
      <c r="I284" s="1">
        <v>2109</v>
      </c>
      <c r="J284" s="1">
        <v>2283</v>
      </c>
      <c r="K284" s="1">
        <v>2331</v>
      </c>
      <c r="L284" s="1">
        <v>2389</v>
      </c>
      <c r="M284" s="1">
        <v>2520</v>
      </c>
      <c r="N284" s="1">
        <v>2597</v>
      </c>
      <c r="O284" s="1">
        <v>2618</v>
      </c>
      <c r="P284" s="1">
        <v>2605</v>
      </c>
      <c r="Q284" s="1">
        <v>2998</v>
      </c>
      <c r="R284" s="1">
        <v>2877</v>
      </c>
      <c r="S284" s="1">
        <v>3090</v>
      </c>
      <c r="T284" s="1">
        <v>3000</v>
      </c>
      <c r="U284" s="1">
        <v>2936</v>
      </c>
      <c r="V284" s="1">
        <v>2838</v>
      </c>
      <c r="W284" s="1">
        <v>3080</v>
      </c>
      <c r="X284" s="1">
        <v>3305</v>
      </c>
      <c r="Y284" s="1">
        <v>3225</v>
      </c>
      <c r="Z284" s="1">
        <v>3360</v>
      </c>
      <c r="AA284" s="1">
        <v>3545</v>
      </c>
      <c r="AB284" s="1">
        <v>3750</v>
      </c>
      <c r="AC284" s="1">
        <v>4275</v>
      </c>
      <c r="AD284" s="1">
        <v>4680</v>
      </c>
      <c r="AE284" s="1">
        <v>5010</v>
      </c>
      <c r="AF284" s="1">
        <v>4905</v>
      </c>
      <c r="AG284" s="1">
        <v>5110</v>
      </c>
      <c r="AH284" s="1">
        <v>5410</v>
      </c>
      <c r="AI284" s="1">
        <v>5950</v>
      </c>
      <c r="AJ284" s="1">
        <v>5360</v>
      </c>
      <c r="AK284" s="1">
        <v>5030</v>
      </c>
      <c r="AL284" s="1">
        <v>5240</v>
      </c>
      <c r="AM284" s="1">
        <v>5100</v>
      </c>
      <c r="AN284" s="1">
        <v>4645</v>
      </c>
      <c r="AO284" s="1">
        <v>4715</v>
      </c>
      <c r="AP284" s="1">
        <v>4470</v>
      </c>
      <c r="AQ284" s="1">
        <v>5040</v>
      </c>
      <c r="AR284" s="1">
        <v>5740</v>
      </c>
      <c r="AS284" s="1">
        <v>5690</v>
      </c>
      <c r="AT284" s="1">
        <v>5060</v>
      </c>
      <c r="AU284" s="1">
        <v>4865</v>
      </c>
      <c r="AV284" s="1">
        <v>6140</v>
      </c>
      <c r="AW284" s="1">
        <v>5140</v>
      </c>
      <c r="AX284" s="1">
        <v>4820</v>
      </c>
      <c r="AY284" s="1">
        <v>5000</v>
      </c>
      <c r="AZ284" s="1">
        <v>4800</v>
      </c>
      <c r="BA284" s="1">
        <v>4100</v>
      </c>
      <c r="BB284" s="1">
        <v>3465</v>
      </c>
      <c r="BC284" s="1">
        <v>3345</v>
      </c>
      <c r="BD284" s="1">
        <v>2843</v>
      </c>
      <c r="BE284" s="1">
        <v>2465</v>
      </c>
      <c r="BF284" s="1">
        <v>2367</v>
      </c>
      <c r="BG284" s="1">
        <v>2318</v>
      </c>
      <c r="BH284" s="1">
        <v>2498</v>
      </c>
      <c r="BI284" s="1">
        <v>2550</v>
      </c>
      <c r="BJ284" s="1">
        <v>2089</v>
      </c>
      <c r="BK284" s="1">
        <v>1689</v>
      </c>
      <c r="BL284" s="1">
        <v>1509</v>
      </c>
      <c r="BM284" s="1">
        <v>1515</v>
      </c>
      <c r="BN284" s="1">
        <v>1503</v>
      </c>
      <c r="BO284" s="1">
        <v>1478</v>
      </c>
      <c r="BP284" s="1">
        <v>1519</v>
      </c>
      <c r="BQ284" s="1">
        <v>1545</v>
      </c>
      <c r="BR284" s="1">
        <v>1590</v>
      </c>
      <c r="BS284" s="1">
        <v>1673</v>
      </c>
      <c r="BT284" s="1">
        <v>1648</v>
      </c>
      <c r="BU284" s="1">
        <v>1619</v>
      </c>
      <c r="BV284" s="1">
        <v>1680</v>
      </c>
      <c r="BW284" s="1">
        <v>1509</v>
      </c>
      <c r="BX284" s="1">
        <v>1451</v>
      </c>
      <c r="BY284" s="1">
        <v>1369</v>
      </c>
      <c r="BZ284" s="1">
        <v>1418</v>
      </c>
    </row>
    <row r="285" spans="1:78">
      <c r="A285" s="62" t="s">
        <v>498</v>
      </c>
      <c r="B285" s="1" t="str">
        <f>銘柄管理!C285</f>
        <v>トリドールホールディングス</v>
      </c>
      <c r="C285" s="1">
        <f>_xll.RssMarket("3397","高値")</f>
        <v>4168</v>
      </c>
      <c r="E285" s="1">
        <v>4325</v>
      </c>
      <c r="F285" s="1">
        <v>4367</v>
      </c>
      <c r="G285" s="1">
        <v>4421</v>
      </c>
      <c r="H285" s="1">
        <v>4660</v>
      </c>
      <c r="I285" s="1">
        <v>4597</v>
      </c>
      <c r="J285" s="1">
        <v>4310</v>
      </c>
      <c r="K285" s="1">
        <v>4198</v>
      </c>
      <c r="L285" s="1">
        <v>4098</v>
      </c>
      <c r="M285" s="1">
        <v>4057</v>
      </c>
      <c r="N285" s="1">
        <v>4160</v>
      </c>
      <c r="O285" s="1">
        <v>4225</v>
      </c>
      <c r="P285" s="1">
        <v>4224</v>
      </c>
      <c r="Q285" s="1">
        <v>4123</v>
      </c>
      <c r="R285" s="1">
        <v>4167</v>
      </c>
      <c r="S285" s="1">
        <v>4038</v>
      </c>
      <c r="T285" s="1">
        <v>4012</v>
      </c>
      <c r="U285" s="1">
        <v>4111</v>
      </c>
      <c r="V285" s="1">
        <v>4054</v>
      </c>
      <c r="W285" s="1">
        <v>3997</v>
      </c>
      <c r="X285" s="1">
        <v>3907</v>
      </c>
      <c r="Y285" s="1">
        <v>3959</v>
      </c>
      <c r="Z285" s="1">
        <v>3910</v>
      </c>
      <c r="AA285" s="1">
        <v>3844</v>
      </c>
      <c r="AB285" s="1">
        <v>3900</v>
      </c>
      <c r="AC285" s="1">
        <v>3889</v>
      </c>
      <c r="AD285" s="1">
        <v>3781</v>
      </c>
      <c r="AE285" s="1">
        <v>3787</v>
      </c>
      <c r="AF285" s="1">
        <v>3693</v>
      </c>
      <c r="AG285" s="1">
        <v>3600</v>
      </c>
      <c r="AH285" s="1">
        <v>3614</v>
      </c>
      <c r="AI285" s="1">
        <v>3603</v>
      </c>
      <c r="AJ285" s="1">
        <v>3653</v>
      </c>
      <c r="AK285" s="1">
        <v>3742</v>
      </c>
      <c r="AL285" s="1">
        <v>3754</v>
      </c>
      <c r="AM285" s="1">
        <v>3820</v>
      </c>
      <c r="AN285" s="1">
        <v>3913</v>
      </c>
      <c r="AO285" s="1">
        <v>3923</v>
      </c>
      <c r="AP285" s="1">
        <v>3869</v>
      </c>
      <c r="AQ285" s="1">
        <v>3809</v>
      </c>
      <c r="AR285" s="1">
        <v>3755</v>
      </c>
      <c r="AS285" s="1">
        <v>3822</v>
      </c>
      <c r="AT285" s="1">
        <v>3869</v>
      </c>
      <c r="AU285" s="1">
        <v>3853</v>
      </c>
      <c r="AV285" s="1">
        <v>3841</v>
      </c>
      <c r="AW285" s="1">
        <v>3790</v>
      </c>
      <c r="AX285" s="1">
        <v>3739</v>
      </c>
      <c r="AY285" s="1">
        <v>3913</v>
      </c>
      <c r="AZ285" s="1">
        <v>3858</v>
      </c>
      <c r="BA285" s="1">
        <v>3897</v>
      </c>
      <c r="BB285" s="1">
        <v>3925</v>
      </c>
      <c r="BC285" s="1">
        <v>3864</v>
      </c>
      <c r="BD285" s="1">
        <v>3806</v>
      </c>
      <c r="BE285" s="1">
        <v>3965</v>
      </c>
      <c r="BF285" s="1">
        <v>3980</v>
      </c>
      <c r="BG285" s="1">
        <v>4030</v>
      </c>
      <c r="BH285" s="1">
        <v>3950</v>
      </c>
      <c r="BI285" s="1">
        <v>3975</v>
      </c>
      <c r="BJ285" s="1">
        <v>4052</v>
      </c>
      <c r="BK285" s="1">
        <v>4014</v>
      </c>
      <c r="BL285" s="1">
        <v>4039</v>
      </c>
      <c r="BM285" s="1">
        <v>4099</v>
      </c>
      <c r="BN285" s="1">
        <v>4108</v>
      </c>
      <c r="BO285" s="1">
        <v>4106</v>
      </c>
      <c r="BP285" s="1">
        <v>4100</v>
      </c>
      <c r="BQ285" s="1">
        <v>4139</v>
      </c>
      <c r="BR285" s="1">
        <v>4169</v>
      </c>
      <c r="BS285" s="1">
        <v>4230</v>
      </c>
      <c r="BT285" s="1">
        <v>4215</v>
      </c>
      <c r="BU285" s="1">
        <v>4212</v>
      </c>
      <c r="BV285" s="1">
        <v>4320</v>
      </c>
      <c r="BW285" s="1">
        <v>4272</v>
      </c>
      <c r="BX285" s="1">
        <v>4277</v>
      </c>
      <c r="BY285" s="1">
        <v>4330</v>
      </c>
      <c r="BZ285" s="1">
        <v>4365</v>
      </c>
    </row>
    <row r="286" spans="1:78">
      <c r="A286" s="62" t="s">
        <v>499</v>
      </c>
      <c r="B286" s="1" t="str">
        <f>銘柄管理!C286</f>
        <v>ＳＵＢＡＲＵ</v>
      </c>
      <c r="C286" s="1">
        <f>_xll.RssMarket("7270","高値")</f>
        <v>2653.5</v>
      </c>
      <c r="E286" s="1">
        <v>2633.5</v>
      </c>
      <c r="F286" s="1">
        <v>2670</v>
      </c>
      <c r="G286" s="1">
        <v>2771.5</v>
      </c>
      <c r="H286" s="1">
        <v>2881.5</v>
      </c>
      <c r="I286" s="1">
        <v>2850</v>
      </c>
      <c r="J286" s="1">
        <v>2709</v>
      </c>
      <c r="K286" s="1">
        <v>2663.5</v>
      </c>
      <c r="L286" s="1">
        <v>2594</v>
      </c>
      <c r="M286" s="1">
        <v>2611.5</v>
      </c>
      <c r="N286" s="1">
        <v>2624</v>
      </c>
      <c r="O286" s="1">
        <v>2601.5</v>
      </c>
      <c r="P286" s="1">
        <v>2544.5</v>
      </c>
      <c r="Q286" s="1">
        <v>2503</v>
      </c>
      <c r="R286" s="1">
        <v>2507.5</v>
      </c>
      <c r="S286" s="1">
        <v>2521</v>
      </c>
      <c r="T286" s="1">
        <v>2510.5</v>
      </c>
      <c r="U286" s="1">
        <v>2512</v>
      </c>
      <c r="V286" s="1">
        <v>2570</v>
      </c>
      <c r="W286" s="1">
        <v>2608.5</v>
      </c>
      <c r="X286" s="1">
        <v>2616</v>
      </c>
      <c r="Y286" s="1">
        <v>2562</v>
      </c>
      <c r="Z286" s="1">
        <v>2518</v>
      </c>
      <c r="AA286" s="1">
        <v>2436</v>
      </c>
      <c r="AB286" s="1">
        <v>2426</v>
      </c>
      <c r="AC286" s="1">
        <v>2430</v>
      </c>
      <c r="AD286" s="1">
        <v>2407</v>
      </c>
      <c r="AE286" s="1">
        <v>2421</v>
      </c>
      <c r="AF286" s="1">
        <v>2416</v>
      </c>
      <c r="AG286" s="1">
        <v>2442.5</v>
      </c>
      <c r="AH286" s="1">
        <v>2465.5</v>
      </c>
      <c r="AI286" s="1">
        <v>2524</v>
      </c>
      <c r="AJ286" s="1">
        <v>2595.5</v>
      </c>
      <c r="AK286" s="1">
        <v>2601.5</v>
      </c>
      <c r="AL286" s="1">
        <v>2564.5</v>
      </c>
      <c r="AM286" s="1">
        <v>2585</v>
      </c>
      <c r="AN286" s="1">
        <v>2533.5</v>
      </c>
      <c r="AO286" s="1">
        <v>2512</v>
      </c>
      <c r="AP286" s="1">
        <v>2582</v>
      </c>
      <c r="AQ286" s="1">
        <v>2535</v>
      </c>
      <c r="AR286" s="1">
        <v>2501</v>
      </c>
      <c r="AS286" s="1">
        <v>2523.5</v>
      </c>
      <c r="AT286" s="1">
        <v>2492</v>
      </c>
      <c r="AU286" s="1">
        <v>2448.5</v>
      </c>
      <c r="AV286" s="1">
        <v>2488</v>
      </c>
      <c r="AW286" s="1">
        <v>2487.5</v>
      </c>
      <c r="AX286" s="1">
        <v>2470</v>
      </c>
      <c r="AY286" s="1">
        <v>2497.5</v>
      </c>
      <c r="AZ286" s="1">
        <v>2489</v>
      </c>
      <c r="BA286" s="1">
        <v>2507.5</v>
      </c>
      <c r="BB286" s="1">
        <v>2471.5</v>
      </c>
      <c r="BC286" s="1">
        <v>2451</v>
      </c>
      <c r="BD286" s="1">
        <v>2461.5</v>
      </c>
      <c r="BE286" s="1">
        <v>2717.5</v>
      </c>
      <c r="BF286" s="1">
        <v>2402</v>
      </c>
      <c r="BG286" s="1">
        <v>2348.5</v>
      </c>
      <c r="BH286" s="1">
        <v>2326</v>
      </c>
      <c r="BI286" s="1">
        <v>2389.5</v>
      </c>
      <c r="BJ286" s="1">
        <v>2398.5</v>
      </c>
      <c r="BK286" s="1">
        <v>2379.5</v>
      </c>
      <c r="BL286" s="1">
        <v>2381</v>
      </c>
      <c r="BM286" s="1">
        <v>2377.5</v>
      </c>
      <c r="BN286" s="1">
        <v>2490.5</v>
      </c>
      <c r="BO286" s="1">
        <v>2461</v>
      </c>
      <c r="BP286" s="1">
        <v>2498</v>
      </c>
      <c r="BQ286" s="1">
        <v>2522</v>
      </c>
      <c r="BR286" s="1">
        <v>2537.5</v>
      </c>
      <c r="BS286" s="1">
        <v>2571.5</v>
      </c>
      <c r="BT286" s="1">
        <v>2576.5</v>
      </c>
      <c r="BU286" s="1">
        <v>2565.5</v>
      </c>
      <c r="BV286" s="1">
        <v>2578</v>
      </c>
      <c r="BW286" s="1">
        <v>2538</v>
      </c>
      <c r="BX286" s="1">
        <v>2548</v>
      </c>
      <c r="BY286" s="1">
        <v>2529.5</v>
      </c>
      <c r="BZ286" s="1">
        <v>2558</v>
      </c>
    </row>
    <row r="287" spans="1:78">
      <c r="A287" s="62" t="s">
        <v>500</v>
      </c>
      <c r="B287" s="1" t="str">
        <f>銘柄管理!C287</f>
        <v>サン電子</v>
      </c>
      <c r="C287" s="1">
        <f>_xll.RssMarket("6736","高値")</f>
        <v>11350</v>
      </c>
      <c r="E287" s="1">
        <v>10690</v>
      </c>
      <c r="F287" s="1">
        <v>9870</v>
      </c>
      <c r="G287" s="1">
        <v>9960</v>
      </c>
      <c r="H287" s="1">
        <v>9220</v>
      </c>
      <c r="I287" s="1">
        <v>9620</v>
      </c>
      <c r="J287" s="1">
        <v>9710</v>
      </c>
      <c r="K287" s="1">
        <v>10120</v>
      </c>
      <c r="L287" s="1">
        <v>9260</v>
      </c>
      <c r="M287" s="1">
        <v>9210</v>
      </c>
      <c r="N287" s="1">
        <v>9280</v>
      </c>
      <c r="O287" s="1">
        <v>9460</v>
      </c>
      <c r="P287" s="1">
        <v>9100</v>
      </c>
      <c r="Q287" s="1">
        <v>9200</v>
      </c>
      <c r="R287" s="1">
        <v>9690</v>
      </c>
      <c r="S287" s="1">
        <v>9980</v>
      </c>
      <c r="T287" s="1">
        <v>10850</v>
      </c>
      <c r="U287" s="1">
        <v>10940</v>
      </c>
      <c r="V287" s="1">
        <v>11410</v>
      </c>
      <c r="W287" s="1">
        <v>12850</v>
      </c>
      <c r="X287" s="1">
        <v>10880</v>
      </c>
      <c r="Y287" s="1">
        <v>9600</v>
      </c>
      <c r="Z287" s="1">
        <v>9680</v>
      </c>
      <c r="AA287" s="1">
        <v>8860</v>
      </c>
      <c r="AB287" s="1">
        <v>8820</v>
      </c>
      <c r="AC287" s="1">
        <v>9110</v>
      </c>
      <c r="AD287" s="1">
        <v>9150</v>
      </c>
      <c r="AE287" s="1">
        <v>8930</v>
      </c>
      <c r="AF287" s="1">
        <v>9150</v>
      </c>
      <c r="AG287" s="1">
        <v>9200</v>
      </c>
      <c r="AH287" s="1">
        <v>9240</v>
      </c>
      <c r="AI287" s="1">
        <v>9200</v>
      </c>
      <c r="AJ287" s="1">
        <v>9290</v>
      </c>
      <c r="AK287" s="1">
        <v>9250</v>
      </c>
      <c r="AL287" s="1">
        <v>9250</v>
      </c>
      <c r="AM287" s="1">
        <v>9170</v>
      </c>
      <c r="AN287" s="1">
        <v>8890</v>
      </c>
      <c r="AO287" s="1">
        <v>9060</v>
      </c>
      <c r="AP287" s="1">
        <v>9270</v>
      </c>
      <c r="AQ287" s="1">
        <v>8730</v>
      </c>
      <c r="AR287" s="1">
        <v>8760</v>
      </c>
      <c r="AS287" s="1">
        <v>9090</v>
      </c>
      <c r="AT287" s="1">
        <v>9250</v>
      </c>
      <c r="AU287" s="1">
        <v>9500</v>
      </c>
      <c r="AV287" s="1">
        <v>9320</v>
      </c>
      <c r="AW287" s="1">
        <v>9240</v>
      </c>
      <c r="AX287" s="1">
        <v>9320</v>
      </c>
      <c r="AY287" s="1">
        <v>9340</v>
      </c>
      <c r="AZ287" s="1">
        <v>9420</v>
      </c>
      <c r="BA287" s="1">
        <v>9800</v>
      </c>
      <c r="BB287" s="1">
        <v>9030</v>
      </c>
      <c r="BC287" s="1">
        <v>9690</v>
      </c>
      <c r="BD287" s="1">
        <v>9720</v>
      </c>
      <c r="BE287" s="1">
        <v>9120</v>
      </c>
      <c r="BF287" s="1">
        <v>8760</v>
      </c>
      <c r="BG287" s="1">
        <v>8600</v>
      </c>
      <c r="BH287" s="1">
        <v>8920</v>
      </c>
      <c r="BI287" s="1">
        <v>9070</v>
      </c>
      <c r="BJ287" s="1">
        <v>8830</v>
      </c>
      <c r="BK287" s="1">
        <v>8630</v>
      </c>
      <c r="BL287" s="1">
        <v>8660</v>
      </c>
      <c r="BM287" s="1">
        <v>8690</v>
      </c>
      <c r="BN287" s="1">
        <v>8340</v>
      </c>
      <c r="BO287" s="1">
        <v>8310</v>
      </c>
      <c r="BP287" s="1">
        <v>8180</v>
      </c>
      <c r="BQ287" s="1">
        <v>8240</v>
      </c>
      <c r="BR287" s="1">
        <v>8360</v>
      </c>
      <c r="BS287" s="1">
        <v>8050</v>
      </c>
      <c r="BT287" s="1">
        <v>8210</v>
      </c>
      <c r="BU287" s="1">
        <v>8440</v>
      </c>
      <c r="BV287" s="1">
        <v>8010</v>
      </c>
      <c r="BW287" s="1">
        <v>7840</v>
      </c>
      <c r="BX287" s="1">
        <v>8000</v>
      </c>
      <c r="BY287" s="1">
        <v>8220</v>
      </c>
      <c r="BZ287" s="1">
        <v>8850</v>
      </c>
    </row>
    <row r="288" spans="1:78">
      <c r="A288" s="62" t="s">
        <v>501</v>
      </c>
      <c r="B288" s="1" t="str">
        <f>銘柄管理!C288</f>
        <v>紀文食品</v>
      </c>
      <c r="C288" s="1">
        <f>_xll.RssMarket("2933","高値")</f>
        <v>1094</v>
      </c>
      <c r="E288" s="1">
        <v>1105</v>
      </c>
      <c r="F288" s="1">
        <v>1106</v>
      </c>
      <c r="G288" s="1">
        <v>1109</v>
      </c>
      <c r="H288" s="1">
        <v>1118</v>
      </c>
      <c r="I288" s="1">
        <v>1119</v>
      </c>
      <c r="J288" s="1">
        <v>1097</v>
      </c>
      <c r="K288" s="1">
        <v>1094</v>
      </c>
      <c r="M288" s="1">
        <v>1087</v>
      </c>
      <c r="N288" s="1">
        <v>1087</v>
      </c>
      <c r="O288" s="1">
        <v>1093</v>
      </c>
      <c r="P288" s="1">
        <v>1093</v>
      </c>
      <c r="Q288" s="1">
        <v>1088</v>
      </c>
      <c r="R288" s="1">
        <v>1086</v>
      </c>
      <c r="S288" s="1">
        <v>1085</v>
      </c>
      <c r="T288" s="1">
        <v>1083</v>
      </c>
      <c r="U288" s="1">
        <v>1083</v>
      </c>
      <c r="V288" s="1">
        <v>1085</v>
      </c>
      <c r="W288" s="1">
        <v>1079</v>
      </c>
      <c r="X288" s="1">
        <v>1074</v>
      </c>
      <c r="Y288" s="1">
        <v>1076</v>
      </c>
      <c r="Z288" s="1">
        <v>1074</v>
      </c>
      <c r="AA288" s="1">
        <v>1069</v>
      </c>
      <c r="AB288" s="1">
        <v>1074</v>
      </c>
      <c r="AC288" s="1">
        <v>1080</v>
      </c>
      <c r="AD288" s="1">
        <v>1068</v>
      </c>
      <c r="AE288" s="1">
        <v>1063</v>
      </c>
      <c r="AF288" s="1">
        <v>1068</v>
      </c>
      <c r="AG288" s="1">
        <v>1062</v>
      </c>
      <c r="AH288" s="1">
        <v>1067</v>
      </c>
      <c r="AI288" s="1">
        <v>1065</v>
      </c>
      <c r="AJ288" s="1">
        <v>1059</v>
      </c>
      <c r="AK288" s="1">
        <v>1057</v>
      </c>
      <c r="AL288" s="1">
        <v>1050</v>
      </c>
      <c r="AM288" s="1">
        <v>1053</v>
      </c>
      <c r="AN288" s="1">
        <v>1054</v>
      </c>
      <c r="AO288" s="1">
        <v>1051</v>
      </c>
      <c r="AP288" s="1">
        <v>1051</v>
      </c>
      <c r="AQ288" s="1">
        <v>1048</v>
      </c>
      <c r="AR288" s="1">
        <v>1041</v>
      </c>
      <c r="AS288" s="1">
        <v>1029</v>
      </c>
      <c r="AT288" s="1">
        <v>1028</v>
      </c>
      <c r="AU288" s="1">
        <v>1027</v>
      </c>
      <c r="AV288" s="1">
        <v>1049</v>
      </c>
      <c r="AW288" s="1">
        <v>1047</v>
      </c>
      <c r="AX288" s="1">
        <v>1038</v>
      </c>
      <c r="AY288" s="1">
        <v>1043</v>
      </c>
      <c r="AZ288" s="1">
        <v>1046</v>
      </c>
      <c r="BA288" s="1">
        <v>1048</v>
      </c>
      <c r="BB288" s="1">
        <v>1050</v>
      </c>
      <c r="BC288" s="1">
        <v>1048</v>
      </c>
      <c r="BD288" s="1">
        <v>1059</v>
      </c>
      <c r="BE288" s="1">
        <v>1042</v>
      </c>
      <c r="BF288" s="1">
        <v>1033</v>
      </c>
      <c r="BG288" s="1">
        <v>1037</v>
      </c>
      <c r="BH288" s="1">
        <v>1033</v>
      </c>
      <c r="BI288" s="1">
        <v>1029</v>
      </c>
      <c r="BJ288" s="1">
        <v>1034</v>
      </c>
      <c r="BK288" s="1">
        <v>1039</v>
      </c>
      <c r="BL288" s="1">
        <v>1041</v>
      </c>
      <c r="BM288" s="1">
        <v>1032</v>
      </c>
      <c r="BN288" s="1">
        <v>1028</v>
      </c>
      <c r="BO288" s="1">
        <v>1033</v>
      </c>
      <c r="BP288" s="1">
        <v>1044</v>
      </c>
      <c r="BQ288" s="1">
        <v>1041</v>
      </c>
      <c r="BR288" s="1">
        <v>1052</v>
      </c>
      <c r="BS288" s="1">
        <v>1065</v>
      </c>
      <c r="BT288" s="1">
        <v>1066</v>
      </c>
      <c r="BU288" s="1">
        <v>1064</v>
      </c>
      <c r="BV288" s="1">
        <v>1062</v>
      </c>
      <c r="BW288" s="1">
        <v>1058</v>
      </c>
      <c r="BX288" s="1">
        <v>1059</v>
      </c>
      <c r="BY288" s="1">
        <v>1064</v>
      </c>
      <c r="BZ288" s="1">
        <v>1064</v>
      </c>
    </row>
    <row r="289" spans="1:78">
      <c r="A289" s="62" t="s">
        <v>502</v>
      </c>
      <c r="B289" s="1" t="str">
        <f>銘柄管理!C289</f>
        <v>関東電化</v>
      </c>
      <c r="C289" s="1">
        <f>_xll.RssMarket("4047","高値")</f>
        <v>3065</v>
      </c>
      <c r="E289" s="1">
        <v>2868</v>
      </c>
      <c r="F289" s="1">
        <v>2807</v>
      </c>
      <c r="G289" s="1">
        <v>2755</v>
      </c>
      <c r="H289" s="1">
        <v>2534</v>
      </c>
      <c r="I289" s="1">
        <v>2596</v>
      </c>
      <c r="J289" s="1">
        <v>2663</v>
      </c>
      <c r="K289" s="1">
        <v>2830</v>
      </c>
      <c r="L289" s="1">
        <v>2906</v>
      </c>
      <c r="M289" s="1">
        <v>2965</v>
      </c>
      <c r="N289" s="1">
        <v>3060</v>
      </c>
      <c r="O289" s="1">
        <v>2829</v>
      </c>
      <c r="P289" s="1">
        <v>2827</v>
      </c>
      <c r="Q289" s="1">
        <v>3095</v>
      </c>
      <c r="R289" s="1">
        <v>3075</v>
      </c>
      <c r="S289" s="1">
        <v>3105</v>
      </c>
      <c r="T289" s="1">
        <v>3195</v>
      </c>
      <c r="U289" s="1">
        <v>3140</v>
      </c>
      <c r="V289" s="1">
        <v>3225</v>
      </c>
      <c r="W289" s="1">
        <v>3370</v>
      </c>
      <c r="X289" s="1">
        <v>3610</v>
      </c>
      <c r="Y289" s="1">
        <v>3480</v>
      </c>
      <c r="Z289" s="1">
        <v>3480</v>
      </c>
      <c r="AA289" s="1">
        <v>3655</v>
      </c>
      <c r="AB289" s="1">
        <v>3650</v>
      </c>
      <c r="AC289" s="1">
        <v>3715</v>
      </c>
      <c r="AD289" s="1">
        <v>3935</v>
      </c>
      <c r="AE289" s="1">
        <v>4120</v>
      </c>
      <c r="AF289" s="1">
        <v>3945</v>
      </c>
      <c r="AG289" s="1">
        <v>3950</v>
      </c>
      <c r="AH289" s="1">
        <v>4140</v>
      </c>
      <c r="AI289" s="1">
        <v>4080</v>
      </c>
      <c r="AJ289" s="1">
        <v>4025</v>
      </c>
      <c r="AK289" s="1">
        <v>3965</v>
      </c>
      <c r="AL289" s="1">
        <v>3870</v>
      </c>
      <c r="AM289" s="1">
        <v>4170</v>
      </c>
      <c r="AN289" s="1">
        <v>4270</v>
      </c>
      <c r="AO289" s="1">
        <v>4025</v>
      </c>
      <c r="AP289" s="1">
        <v>4165</v>
      </c>
      <c r="AQ289" s="1">
        <v>3985</v>
      </c>
      <c r="AR289" s="1">
        <v>4400</v>
      </c>
      <c r="AS289" s="1">
        <v>4405</v>
      </c>
      <c r="AT289" s="1">
        <v>3860</v>
      </c>
      <c r="AU289" s="1">
        <v>3565</v>
      </c>
      <c r="AV289" s="1">
        <v>3775</v>
      </c>
      <c r="AW289" s="1">
        <v>3485</v>
      </c>
      <c r="AX289" s="1">
        <v>3550</v>
      </c>
      <c r="AY289" s="1">
        <v>3490</v>
      </c>
      <c r="AZ289" s="1">
        <v>3125</v>
      </c>
      <c r="BA289" s="1">
        <v>2970</v>
      </c>
      <c r="BB289" s="1">
        <v>2775</v>
      </c>
      <c r="BC289" s="1">
        <v>2940</v>
      </c>
      <c r="BD289" s="1">
        <v>2550</v>
      </c>
      <c r="BE289" s="1">
        <v>2148</v>
      </c>
      <c r="BF289" s="1">
        <v>2187</v>
      </c>
      <c r="BG289" s="1">
        <v>2120</v>
      </c>
      <c r="BH289" s="1">
        <v>2029</v>
      </c>
      <c r="BI289" s="1">
        <v>1914</v>
      </c>
      <c r="BJ289" s="1">
        <v>1864</v>
      </c>
      <c r="BK289" s="1">
        <v>1860</v>
      </c>
      <c r="BL289" s="1">
        <v>1719</v>
      </c>
      <c r="BM289" s="1">
        <v>1694</v>
      </c>
      <c r="BN289" s="1">
        <v>1700</v>
      </c>
      <c r="BO289" s="1">
        <v>1679</v>
      </c>
      <c r="BP289" s="1">
        <v>1660</v>
      </c>
      <c r="BQ289" s="1">
        <v>1661</v>
      </c>
      <c r="BR289" s="1">
        <v>1671</v>
      </c>
      <c r="BS289" s="1">
        <v>1681</v>
      </c>
      <c r="BT289" s="1">
        <v>1654</v>
      </c>
      <c r="BU289" s="1">
        <v>1665</v>
      </c>
      <c r="BV289" s="1">
        <v>1687</v>
      </c>
      <c r="BW289" s="1">
        <v>1764</v>
      </c>
      <c r="BX289" s="1">
        <v>1709</v>
      </c>
      <c r="BY289" s="1">
        <v>1653</v>
      </c>
      <c r="BZ289" s="1">
        <v>1635</v>
      </c>
    </row>
    <row r="290" spans="1:78">
      <c r="A290" s="62" t="s">
        <v>503</v>
      </c>
      <c r="B290" s="1" t="str">
        <f>銘柄管理!C290</f>
        <v>ＹＵＳＨＩＮ</v>
      </c>
      <c r="C290" s="1">
        <f>_xll.RssMarket("6482","高値")</f>
        <v>687</v>
      </c>
      <c r="E290" s="1">
        <v>681</v>
      </c>
      <c r="F290" s="1">
        <v>668</v>
      </c>
      <c r="G290" s="1">
        <v>694</v>
      </c>
      <c r="H290" s="1">
        <v>678</v>
      </c>
      <c r="I290" s="1">
        <v>671</v>
      </c>
      <c r="J290" s="1">
        <v>686</v>
      </c>
      <c r="K290" s="1">
        <v>695</v>
      </c>
      <c r="L290" s="1">
        <v>694</v>
      </c>
      <c r="M290" s="1">
        <v>694</v>
      </c>
      <c r="N290" s="1">
        <v>697</v>
      </c>
      <c r="O290" s="1">
        <v>695</v>
      </c>
      <c r="P290" s="1">
        <v>678</v>
      </c>
      <c r="Q290" s="1">
        <v>671</v>
      </c>
      <c r="R290" s="1">
        <v>674</v>
      </c>
      <c r="S290" s="1">
        <v>689</v>
      </c>
      <c r="T290" s="1">
        <v>691</v>
      </c>
      <c r="U290" s="1">
        <v>693</v>
      </c>
      <c r="V290" s="1">
        <v>702</v>
      </c>
      <c r="W290" s="1">
        <v>708</v>
      </c>
      <c r="X290" s="1">
        <v>716</v>
      </c>
      <c r="Y290" s="1">
        <v>693</v>
      </c>
      <c r="Z290" s="1">
        <v>709</v>
      </c>
      <c r="AA290" s="1">
        <v>700</v>
      </c>
      <c r="AB290" s="1">
        <v>702</v>
      </c>
      <c r="AC290" s="1">
        <v>713</v>
      </c>
      <c r="AD290" s="1">
        <v>720</v>
      </c>
      <c r="AE290" s="1">
        <v>721</v>
      </c>
      <c r="AF290" s="1">
        <v>726</v>
      </c>
      <c r="AG290" s="1">
        <v>746</v>
      </c>
      <c r="AH290" s="1">
        <v>755</v>
      </c>
      <c r="AI290" s="1">
        <v>754</v>
      </c>
      <c r="AJ290" s="1">
        <v>785</v>
      </c>
      <c r="AK290" s="1">
        <v>780</v>
      </c>
      <c r="AL290" s="1">
        <v>713</v>
      </c>
      <c r="AM290" s="1">
        <v>704</v>
      </c>
      <c r="AN290" s="1">
        <v>684</v>
      </c>
      <c r="AO290" s="1">
        <v>675</v>
      </c>
      <c r="AP290" s="1">
        <v>689</v>
      </c>
      <c r="AQ290" s="1">
        <v>667</v>
      </c>
      <c r="AR290" s="1">
        <v>673</v>
      </c>
      <c r="AS290" s="1">
        <v>671</v>
      </c>
      <c r="AT290" s="1">
        <v>662</v>
      </c>
      <c r="AU290" s="1">
        <v>658</v>
      </c>
      <c r="AV290" s="1">
        <v>678</v>
      </c>
      <c r="AW290" s="1">
        <v>681</v>
      </c>
      <c r="AX290" s="1">
        <v>678</v>
      </c>
      <c r="AY290" s="1">
        <v>722</v>
      </c>
      <c r="AZ290" s="1">
        <v>721</v>
      </c>
      <c r="BA290" s="1">
        <v>714</v>
      </c>
      <c r="BB290" s="1">
        <v>712</v>
      </c>
      <c r="BC290" s="1">
        <v>736</v>
      </c>
      <c r="BD290" s="1">
        <v>746</v>
      </c>
      <c r="BE290" s="1">
        <v>755</v>
      </c>
      <c r="BF290" s="1">
        <v>756</v>
      </c>
      <c r="BG290" s="1">
        <v>735</v>
      </c>
      <c r="BH290" s="1">
        <v>744</v>
      </c>
      <c r="BI290" s="1">
        <v>703</v>
      </c>
      <c r="BJ290" s="1">
        <v>686</v>
      </c>
      <c r="BK290" s="1">
        <v>695</v>
      </c>
      <c r="BL290" s="1">
        <v>681</v>
      </c>
      <c r="BM290" s="1">
        <v>669</v>
      </c>
      <c r="BN290" s="1">
        <v>669</v>
      </c>
      <c r="BO290" s="1">
        <v>663</v>
      </c>
      <c r="BP290" s="1">
        <v>672</v>
      </c>
      <c r="BQ290" s="1">
        <v>671</v>
      </c>
      <c r="BR290" s="1">
        <v>680</v>
      </c>
      <c r="BS290" s="1">
        <v>685</v>
      </c>
      <c r="BT290" s="1">
        <v>680</v>
      </c>
      <c r="BU290" s="1">
        <v>678</v>
      </c>
      <c r="BV290" s="1">
        <v>685</v>
      </c>
      <c r="BW290" s="1">
        <v>689</v>
      </c>
      <c r="BX290" s="1">
        <v>686</v>
      </c>
      <c r="BY290" s="1">
        <v>686</v>
      </c>
      <c r="BZ290" s="1">
        <v>688</v>
      </c>
    </row>
    <row r="291" spans="1:78">
      <c r="A291" s="62" t="s">
        <v>504</v>
      </c>
      <c r="B291" s="1" t="str">
        <f>銘柄管理!C291</f>
        <v>電気興業</v>
      </c>
      <c r="C291" s="1">
        <f>_xll.RssMarket("6706","高値")</f>
        <v>3205</v>
      </c>
      <c r="E291" s="1">
        <v>3110</v>
      </c>
      <c r="F291" s="1">
        <v>3110</v>
      </c>
      <c r="G291" s="1">
        <v>3130</v>
      </c>
      <c r="H291" s="1">
        <v>3090</v>
      </c>
      <c r="I291" s="1">
        <v>3030</v>
      </c>
      <c r="J291" s="1">
        <v>3010</v>
      </c>
      <c r="K291" s="1">
        <v>3045</v>
      </c>
      <c r="M291" s="1">
        <v>3025</v>
      </c>
      <c r="N291" s="1">
        <v>3055</v>
      </c>
      <c r="O291" s="1">
        <v>2939</v>
      </c>
      <c r="P291" s="1">
        <v>2976</v>
      </c>
      <c r="Q291" s="1">
        <v>3045</v>
      </c>
      <c r="R291" s="1">
        <v>3020</v>
      </c>
      <c r="S291" s="1">
        <v>3085</v>
      </c>
      <c r="T291" s="1">
        <v>3095</v>
      </c>
      <c r="U291" s="1">
        <v>3090</v>
      </c>
      <c r="V291" s="1">
        <v>2999</v>
      </c>
      <c r="W291" s="1">
        <v>3055</v>
      </c>
      <c r="X291" s="1">
        <v>3045</v>
      </c>
      <c r="Y291" s="1">
        <v>3045</v>
      </c>
      <c r="Z291" s="1">
        <v>3110</v>
      </c>
      <c r="AA291" s="1">
        <v>3065</v>
      </c>
      <c r="AB291" s="1">
        <v>3160</v>
      </c>
      <c r="AC291" s="1">
        <v>3125</v>
      </c>
      <c r="AD291" s="1">
        <v>3145</v>
      </c>
      <c r="AE291" s="1">
        <v>3155</v>
      </c>
      <c r="AF291" s="1">
        <v>3140</v>
      </c>
      <c r="AG291" s="1">
        <v>3225</v>
      </c>
      <c r="AH291" s="1">
        <v>3295</v>
      </c>
      <c r="AI291" s="1">
        <v>3225</v>
      </c>
      <c r="AJ291" s="1">
        <v>3180</v>
      </c>
      <c r="AK291" s="1">
        <v>3240</v>
      </c>
      <c r="AL291" s="1">
        <v>3275</v>
      </c>
      <c r="AM291" s="1">
        <v>3300</v>
      </c>
      <c r="AN291" s="1">
        <v>3245</v>
      </c>
      <c r="AO291" s="1">
        <v>3290</v>
      </c>
      <c r="AP291" s="1">
        <v>3385</v>
      </c>
      <c r="AQ291" s="1">
        <v>3435</v>
      </c>
      <c r="AR291" s="1">
        <v>3505</v>
      </c>
      <c r="AS291" s="1">
        <v>3500</v>
      </c>
      <c r="AT291" s="1">
        <v>3545</v>
      </c>
      <c r="AU291" s="1">
        <v>3515</v>
      </c>
      <c r="AV291" s="1">
        <v>3580</v>
      </c>
      <c r="AW291" s="1">
        <v>3520</v>
      </c>
      <c r="AX291" s="1">
        <v>3510</v>
      </c>
      <c r="AY291" s="1">
        <v>3535</v>
      </c>
      <c r="AZ291" s="1">
        <v>3440</v>
      </c>
      <c r="BA291" s="1">
        <v>3485</v>
      </c>
      <c r="BB291" s="1">
        <v>3430</v>
      </c>
      <c r="BC291" s="1">
        <v>3490</v>
      </c>
      <c r="BD291" s="1">
        <v>3545</v>
      </c>
      <c r="BE291" s="1">
        <v>3500</v>
      </c>
      <c r="BF291" s="1">
        <v>3515</v>
      </c>
      <c r="BG291" s="1">
        <v>3515</v>
      </c>
      <c r="BH291" s="1">
        <v>3565</v>
      </c>
      <c r="BI291" s="1">
        <v>3455</v>
      </c>
      <c r="BJ291" s="1">
        <v>3435</v>
      </c>
      <c r="BK291" s="1">
        <v>3500</v>
      </c>
      <c r="BL291" s="1">
        <v>3360</v>
      </c>
      <c r="BM291" s="1">
        <v>3335</v>
      </c>
      <c r="BN291" s="1">
        <v>3345</v>
      </c>
      <c r="BO291" s="1">
        <v>3325</v>
      </c>
      <c r="BP291" s="1">
        <v>3340</v>
      </c>
      <c r="BQ291" s="1">
        <v>3330</v>
      </c>
      <c r="BR291" s="1">
        <v>3320</v>
      </c>
      <c r="BS291" s="1">
        <v>3335</v>
      </c>
      <c r="BT291" s="1">
        <v>3340</v>
      </c>
      <c r="BU291" s="1">
        <v>3330</v>
      </c>
      <c r="BV291" s="1">
        <v>3305</v>
      </c>
      <c r="BW291" s="1">
        <v>3335</v>
      </c>
      <c r="BX291" s="1">
        <v>3250</v>
      </c>
      <c r="BY291" s="1">
        <v>3175</v>
      </c>
      <c r="BZ291" s="1">
        <v>3115</v>
      </c>
    </row>
    <row r="292" spans="1:78">
      <c r="A292" s="62" t="s">
        <v>505</v>
      </c>
      <c r="B292" s="1" t="str">
        <f>銘柄管理!C292</f>
        <v>新光商事</v>
      </c>
      <c r="C292" s="1">
        <f>_xll.RssMarket("8141","高値")</f>
        <v>1569</v>
      </c>
      <c r="E292" s="1">
        <v>1580</v>
      </c>
      <c r="F292" s="1">
        <v>1569</v>
      </c>
      <c r="G292" s="1">
        <v>1565</v>
      </c>
      <c r="H292" s="1">
        <v>1573</v>
      </c>
      <c r="I292" s="1">
        <v>1580</v>
      </c>
      <c r="J292" s="1">
        <v>1581</v>
      </c>
      <c r="K292" s="1">
        <v>1587</v>
      </c>
      <c r="M292" s="1">
        <v>1590</v>
      </c>
      <c r="N292" s="1">
        <v>1590</v>
      </c>
      <c r="O292" s="1">
        <v>1598</v>
      </c>
      <c r="P292" s="1">
        <v>1616</v>
      </c>
      <c r="Q292" s="1">
        <v>1625</v>
      </c>
      <c r="R292" s="1">
        <v>1593</v>
      </c>
      <c r="S292" s="1">
        <v>1589</v>
      </c>
      <c r="T292" s="1">
        <v>1589</v>
      </c>
      <c r="U292" s="1">
        <v>1591</v>
      </c>
      <c r="V292" s="1">
        <v>1591</v>
      </c>
      <c r="W292" s="1">
        <v>1590</v>
      </c>
      <c r="X292" s="1">
        <v>1594</v>
      </c>
      <c r="Y292" s="1">
        <v>1592</v>
      </c>
      <c r="Z292" s="1">
        <v>1592</v>
      </c>
      <c r="AA292" s="1">
        <v>1591</v>
      </c>
      <c r="AB292" s="1">
        <v>1593</v>
      </c>
      <c r="AC292" s="1">
        <v>1585</v>
      </c>
      <c r="AD292" s="1">
        <v>1577</v>
      </c>
      <c r="AE292" s="1">
        <v>1578</v>
      </c>
      <c r="AF292" s="1">
        <v>1580</v>
      </c>
      <c r="AG292" s="1">
        <v>1605</v>
      </c>
      <c r="AH292" s="1">
        <v>1599</v>
      </c>
      <c r="AI292" s="1">
        <v>1583</v>
      </c>
      <c r="AJ292" s="1">
        <v>1585</v>
      </c>
      <c r="AK292" s="1">
        <v>1584</v>
      </c>
      <c r="AL292" s="1">
        <v>1581</v>
      </c>
      <c r="AM292" s="1">
        <v>1582</v>
      </c>
      <c r="AN292" s="1">
        <v>1584</v>
      </c>
      <c r="AO292" s="1">
        <v>1582</v>
      </c>
      <c r="AP292" s="1">
        <v>1584</v>
      </c>
      <c r="AQ292" s="1">
        <v>1585</v>
      </c>
      <c r="AR292" s="1">
        <v>1588</v>
      </c>
      <c r="AS292" s="1">
        <v>1590</v>
      </c>
      <c r="AT292" s="1">
        <v>1580</v>
      </c>
      <c r="AU292" s="1">
        <v>1580</v>
      </c>
      <c r="AV292" s="1">
        <v>1579</v>
      </c>
      <c r="AW292" s="1">
        <v>1584</v>
      </c>
      <c r="AX292" s="1">
        <v>1601</v>
      </c>
      <c r="AY292" s="1">
        <v>1606</v>
      </c>
      <c r="AZ292" s="1">
        <v>1616</v>
      </c>
      <c r="BA292" s="1">
        <v>1617</v>
      </c>
      <c r="BB292" s="1">
        <v>1613</v>
      </c>
      <c r="BC292" s="1">
        <v>1620</v>
      </c>
      <c r="BD292" s="1">
        <v>1642</v>
      </c>
      <c r="BE292" s="1">
        <v>1565</v>
      </c>
      <c r="BF292" s="1">
        <v>1606</v>
      </c>
      <c r="BG292" s="1">
        <v>1638</v>
      </c>
      <c r="BH292" s="1">
        <v>1717</v>
      </c>
      <c r="BI292" s="1">
        <v>1772</v>
      </c>
      <c r="BJ292" s="1">
        <v>1719</v>
      </c>
      <c r="BK292" s="1">
        <v>1772</v>
      </c>
      <c r="BL292" s="1">
        <v>1671</v>
      </c>
      <c r="BM292" s="1">
        <v>1662</v>
      </c>
      <c r="BN292" s="1">
        <v>1601</v>
      </c>
      <c r="BO292" s="1">
        <v>1554</v>
      </c>
      <c r="BP292" s="1">
        <v>1565</v>
      </c>
      <c r="BQ292" s="1">
        <v>1599</v>
      </c>
      <c r="BR292" s="1">
        <v>1584</v>
      </c>
      <c r="BS292" s="1">
        <v>1583</v>
      </c>
      <c r="BT292" s="1">
        <v>1570</v>
      </c>
      <c r="BU292" s="1">
        <v>1497</v>
      </c>
      <c r="BV292" s="1">
        <v>1491</v>
      </c>
      <c r="BW292" s="1">
        <v>1434</v>
      </c>
      <c r="BX292" s="1">
        <v>1470</v>
      </c>
      <c r="BY292" s="1">
        <v>1483</v>
      </c>
      <c r="BZ292" s="1">
        <v>1421</v>
      </c>
    </row>
    <row r="293" spans="1:78">
      <c r="A293" s="62" t="s">
        <v>506</v>
      </c>
      <c r="B293" s="1" t="str">
        <f>銘柄管理!C293</f>
        <v>山形銀行</v>
      </c>
      <c r="C293" s="1">
        <f>_xll.RssMarket("8344","高値")</f>
        <v>4030</v>
      </c>
      <c r="E293" s="1">
        <v>4005</v>
      </c>
      <c r="F293" s="1">
        <v>3805</v>
      </c>
      <c r="G293" s="1">
        <v>3865</v>
      </c>
      <c r="H293" s="1">
        <v>3790</v>
      </c>
      <c r="I293" s="1">
        <v>4015</v>
      </c>
      <c r="J293" s="1">
        <v>4150</v>
      </c>
      <c r="K293" s="1">
        <v>4220</v>
      </c>
      <c r="L293" s="1">
        <v>4030</v>
      </c>
      <c r="M293" s="1">
        <v>4070</v>
      </c>
      <c r="N293" s="1">
        <v>3890</v>
      </c>
      <c r="O293" s="1">
        <v>3810</v>
      </c>
      <c r="P293" s="1">
        <v>3900</v>
      </c>
      <c r="Q293" s="1">
        <v>3930</v>
      </c>
      <c r="R293" s="1">
        <v>3780</v>
      </c>
      <c r="S293" s="1">
        <v>3790</v>
      </c>
      <c r="T293" s="1">
        <v>3865</v>
      </c>
      <c r="U293" s="1">
        <v>3850</v>
      </c>
      <c r="V293" s="1">
        <v>3935</v>
      </c>
      <c r="W293" s="1">
        <v>4245</v>
      </c>
      <c r="X293" s="1">
        <v>4050</v>
      </c>
      <c r="Y293" s="1">
        <v>4010</v>
      </c>
      <c r="Z293" s="1">
        <v>3875</v>
      </c>
      <c r="AA293" s="1">
        <v>3610</v>
      </c>
      <c r="AB293" s="1">
        <v>3550</v>
      </c>
      <c r="AC293" s="1">
        <v>3455</v>
      </c>
      <c r="AD293" s="1">
        <v>3385</v>
      </c>
      <c r="AE293" s="1">
        <v>3345</v>
      </c>
      <c r="AF293" s="1">
        <v>3355</v>
      </c>
      <c r="AG293" s="1">
        <v>3465</v>
      </c>
      <c r="AH293" s="1">
        <v>3395</v>
      </c>
      <c r="AI293" s="1">
        <v>3485</v>
      </c>
      <c r="AJ293" s="1">
        <v>3545</v>
      </c>
      <c r="AK293" s="1">
        <v>3660</v>
      </c>
      <c r="AL293" s="1">
        <v>3580</v>
      </c>
      <c r="AM293" s="1">
        <v>3600</v>
      </c>
      <c r="AN293" s="1">
        <v>3540</v>
      </c>
      <c r="AO293" s="1">
        <v>3445</v>
      </c>
      <c r="AP293" s="1">
        <v>3430</v>
      </c>
      <c r="AQ293" s="1">
        <v>3075</v>
      </c>
      <c r="AR293" s="1">
        <v>3105</v>
      </c>
      <c r="AS293" s="1">
        <v>3080</v>
      </c>
      <c r="AT293" s="1">
        <v>3065</v>
      </c>
      <c r="AU293" s="1">
        <v>3060</v>
      </c>
      <c r="AV293" s="1">
        <v>3175</v>
      </c>
      <c r="AW293" s="1">
        <v>3115</v>
      </c>
      <c r="AX293" s="1">
        <v>3105</v>
      </c>
      <c r="AY293" s="1">
        <v>3025</v>
      </c>
      <c r="AZ293" s="1">
        <v>3165</v>
      </c>
      <c r="BA293" s="1">
        <v>3150</v>
      </c>
      <c r="BB293" s="1">
        <v>3010</v>
      </c>
      <c r="BC293" s="1">
        <v>2980</v>
      </c>
      <c r="BD293" s="1">
        <v>2891</v>
      </c>
      <c r="BE293" s="1">
        <v>2678</v>
      </c>
      <c r="BF293" s="1">
        <v>2637</v>
      </c>
      <c r="BG293" s="1">
        <v>2616</v>
      </c>
      <c r="BH293" s="1">
        <v>2586</v>
      </c>
      <c r="BI293" s="1">
        <v>2552</v>
      </c>
      <c r="BJ293" s="1">
        <v>2570</v>
      </c>
      <c r="BK293" s="1">
        <v>2627</v>
      </c>
      <c r="BL293" s="1">
        <v>2545</v>
      </c>
      <c r="BM293" s="1">
        <v>2545</v>
      </c>
      <c r="BN293" s="1">
        <v>2563</v>
      </c>
      <c r="BO293" s="1">
        <v>2413</v>
      </c>
      <c r="BP293" s="1">
        <v>2482</v>
      </c>
      <c r="BQ293" s="1">
        <v>2521</v>
      </c>
      <c r="BR293" s="1">
        <v>2630</v>
      </c>
      <c r="BS293" s="1">
        <v>2736</v>
      </c>
      <c r="BT293" s="1">
        <v>2799</v>
      </c>
      <c r="BU293" s="1">
        <v>2807</v>
      </c>
      <c r="BV293" s="1">
        <v>2797</v>
      </c>
      <c r="BW293" s="1">
        <v>2780</v>
      </c>
      <c r="BX293" s="1">
        <v>2706</v>
      </c>
      <c r="BY293" s="1">
        <v>2702</v>
      </c>
      <c r="BZ293" s="1">
        <v>2729</v>
      </c>
    </row>
    <row r="294" spans="1:78">
      <c r="A294" s="62" t="s">
        <v>507</v>
      </c>
      <c r="B294" s="1" t="str">
        <f>銘柄管理!C294</f>
        <v>小野建</v>
      </c>
      <c r="C294" s="1">
        <f>_xll.RssMarket("7414","高値")</f>
        <v>1415</v>
      </c>
      <c r="E294" s="1">
        <v>1423</v>
      </c>
      <c r="F294" s="1">
        <v>1433</v>
      </c>
      <c r="G294" s="1">
        <v>1464</v>
      </c>
      <c r="H294" s="1">
        <v>1468</v>
      </c>
      <c r="I294" s="1">
        <v>1468</v>
      </c>
      <c r="J294" s="1">
        <v>1446</v>
      </c>
      <c r="K294" s="1">
        <v>1447</v>
      </c>
      <c r="M294" s="1">
        <v>1435</v>
      </c>
      <c r="N294" s="1">
        <v>1432</v>
      </c>
      <c r="O294" s="1">
        <v>1421</v>
      </c>
      <c r="P294" s="1">
        <v>1424</v>
      </c>
      <c r="Q294" s="1">
        <v>1430</v>
      </c>
      <c r="R294" s="1">
        <v>1393</v>
      </c>
      <c r="S294" s="1">
        <v>1395</v>
      </c>
      <c r="T294" s="1">
        <v>1389</v>
      </c>
      <c r="U294" s="1">
        <v>1381</v>
      </c>
      <c r="V294" s="1">
        <v>1384</v>
      </c>
      <c r="W294" s="1">
        <v>1378</v>
      </c>
      <c r="X294" s="1">
        <v>1375</v>
      </c>
      <c r="Y294" s="1">
        <v>1357</v>
      </c>
      <c r="Z294" s="1">
        <v>1348</v>
      </c>
      <c r="AA294" s="1">
        <v>1337</v>
      </c>
      <c r="AB294" s="1">
        <v>1341</v>
      </c>
      <c r="AC294" s="1">
        <v>1348</v>
      </c>
      <c r="AD294" s="1">
        <v>1332</v>
      </c>
      <c r="AE294" s="1">
        <v>1331</v>
      </c>
      <c r="AF294" s="1">
        <v>1338</v>
      </c>
      <c r="AG294" s="1">
        <v>1331</v>
      </c>
      <c r="AH294" s="1">
        <v>1332</v>
      </c>
      <c r="AI294" s="1">
        <v>1339</v>
      </c>
      <c r="AJ294" s="1">
        <v>1343</v>
      </c>
      <c r="AK294" s="1">
        <v>1344</v>
      </c>
      <c r="AL294" s="1">
        <v>1329</v>
      </c>
      <c r="AM294" s="1">
        <v>1332</v>
      </c>
      <c r="AN294" s="1">
        <v>1323</v>
      </c>
      <c r="AO294" s="1">
        <v>1315</v>
      </c>
      <c r="AP294" s="1">
        <v>1311</v>
      </c>
      <c r="AQ294" s="1">
        <v>1325</v>
      </c>
      <c r="AR294" s="1">
        <v>1333</v>
      </c>
      <c r="AS294" s="1">
        <v>1315</v>
      </c>
      <c r="AT294" s="1">
        <v>1317</v>
      </c>
      <c r="AU294" s="1">
        <v>1312</v>
      </c>
      <c r="AV294" s="1">
        <v>1360</v>
      </c>
      <c r="AW294" s="1">
        <v>1346</v>
      </c>
      <c r="AX294" s="1">
        <v>1343</v>
      </c>
      <c r="AY294" s="1">
        <v>1329</v>
      </c>
      <c r="AZ294" s="1">
        <v>1331</v>
      </c>
      <c r="BA294" s="1">
        <v>1339</v>
      </c>
      <c r="BB294" s="1">
        <v>1349</v>
      </c>
      <c r="BC294" s="1">
        <v>1351</v>
      </c>
      <c r="BD294" s="1">
        <v>1379</v>
      </c>
      <c r="BE294" s="1">
        <v>1463</v>
      </c>
      <c r="BF294" s="1">
        <v>1446</v>
      </c>
      <c r="BG294" s="1">
        <v>1448</v>
      </c>
      <c r="BH294" s="1">
        <v>1455</v>
      </c>
      <c r="BI294" s="1">
        <v>1437</v>
      </c>
      <c r="BJ294" s="1">
        <v>1447</v>
      </c>
      <c r="BK294" s="1">
        <v>1448</v>
      </c>
      <c r="BL294" s="1">
        <v>1415</v>
      </c>
      <c r="BM294" s="1">
        <v>1396</v>
      </c>
      <c r="BN294" s="1">
        <v>1402</v>
      </c>
      <c r="BO294" s="1">
        <v>1388</v>
      </c>
      <c r="BP294" s="1">
        <v>1390</v>
      </c>
      <c r="BQ294" s="1">
        <v>1385</v>
      </c>
      <c r="BR294" s="1">
        <v>1399</v>
      </c>
      <c r="BS294" s="1">
        <v>1413</v>
      </c>
      <c r="BT294" s="1">
        <v>1410</v>
      </c>
      <c r="BU294" s="1">
        <v>1407</v>
      </c>
      <c r="BV294" s="1">
        <v>1419</v>
      </c>
      <c r="BW294" s="1">
        <v>1425</v>
      </c>
      <c r="BX294" s="1">
        <v>1418</v>
      </c>
      <c r="BY294" s="1">
        <v>1423</v>
      </c>
      <c r="BZ294" s="1">
        <v>1432</v>
      </c>
    </row>
    <row r="295" spans="1:78">
      <c r="A295" s="62" t="s">
        <v>508</v>
      </c>
      <c r="B295" s="1" t="str">
        <f>銘柄管理!C295</f>
        <v>ＣＫＤ</v>
      </c>
      <c r="C295" s="1">
        <f>_xll.RssMarket("6407","高値")</f>
        <v>6790</v>
      </c>
      <c r="E295" s="1">
        <v>6380</v>
      </c>
      <c r="F295" s="1">
        <v>5960</v>
      </c>
      <c r="G295" s="1">
        <v>6240</v>
      </c>
      <c r="H295" s="1">
        <v>5420</v>
      </c>
      <c r="I295" s="1">
        <v>5600</v>
      </c>
      <c r="J295" s="1">
        <v>6140</v>
      </c>
      <c r="K295" s="1">
        <v>6350</v>
      </c>
      <c r="M295" s="1">
        <v>6880</v>
      </c>
      <c r="N295" s="1">
        <v>6930</v>
      </c>
      <c r="O295" s="1">
        <v>6630</v>
      </c>
      <c r="P295" s="1">
        <v>6420</v>
      </c>
      <c r="Q295" s="1">
        <v>7280</v>
      </c>
      <c r="R295" s="1">
        <v>6750</v>
      </c>
      <c r="S295" s="1">
        <v>7350</v>
      </c>
      <c r="T295" s="1">
        <v>7370</v>
      </c>
      <c r="U295" s="1">
        <v>7010</v>
      </c>
      <c r="V295" s="1">
        <v>6990</v>
      </c>
      <c r="W295" s="1">
        <v>7370</v>
      </c>
      <c r="X295" s="1">
        <v>7660</v>
      </c>
      <c r="Y295" s="1">
        <v>7580</v>
      </c>
      <c r="Z295" s="1">
        <v>7670</v>
      </c>
      <c r="AA295" s="1">
        <v>7920</v>
      </c>
      <c r="AB295" s="1">
        <v>7620</v>
      </c>
      <c r="AC295" s="1">
        <v>7530</v>
      </c>
      <c r="AD295" s="1">
        <v>7840</v>
      </c>
      <c r="AE295" s="1">
        <v>8120</v>
      </c>
      <c r="AF295" s="1">
        <v>7660</v>
      </c>
      <c r="AG295" s="1">
        <v>8330</v>
      </c>
      <c r="AH295" s="1">
        <v>8210</v>
      </c>
      <c r="AI295" s="1">
        <v>8130</v>
      </c>
      <c r="AJ295" s="1">
        <v>8090</v>
      </c>
      <c r="AK295" s="1">
        <v>7540</v>
      </c>
      <c r="AL295" s="1">
        <v>7560</v>
      </c>
      <c r="AM295" s="1">
        <v>7450</v>
      </c>
      <c r="AN295" s="1">
        <v>6910</v>
      </c>
      <c r="AO295" s="1">
        <v>6200</v>
      </c>
      <c r="AP295" s="1">
        <v>6320</v>
      </c>
      <c r="AQ295" s="1">
        <v>5990</v>
      </c>
      <c r="AR295" s="1">
        <v>6370</v>
      </c>
      <c r="AS295" s="1">
        <v>6540</v>
      </c>
      <c r="AT295" s="1">
        <v>6630</v>
      </c>
      <c r="AU295" s="1">
        <v>6420</v>
      </c>
      <c r="AV295" s="1">
        <v>6760</v>
      </c>
      <c r="AW295" s="1">
        <v>6800</v>
      </c>
      <c r="AX295" s="1">
        <v>7100</v>
      </c>
      <c r="AY295" s="1">
        <v>7240</v>
      </c>
      <c r="AZ295" s="1">
        <v>7340</v>
      </c>
      <c r="BA295" s="1">
        <v>6420</v>
      </c>
      <c r="BB295" s="1">
        <v>6100</v>
      </c>
      <c r="BC295" s="1">
        <v>6200</v>
      </c>
      <c r="BD295" s="1">
        <v>6600</v>
      </c>
      <c r="BE295" s="1">
        <v>7470</v>
      </c>
      <c r="BF295" s="1">
        <v>7170</v>
      </c>
      <c r="BG295" s="1">
        <v>6960</v>
      </c>
      <c r="BH295" s="1">
        <v>7170</v>
      </c>
      <c r="BI295" s="1">
        <v>6820</v>
      </c>
      <c r="BJ295" s="1">
        <v>6650</v>
      </c>
      <c r="BK295" s="1">
        <v>6950</v>
      </c>
      <c r="BL295" s="1">
        <v>6100</v>
      </c>
      <c r="BM295" s="1">
        <v>6110</v>
      </c>
      <c r="BN295" s="1">
        <v>5870</v>
      </c>
      <c r="BO295" s="1">
        <v>5900</v>
      </c>
      <c r="BP295" s="1">
        <v>5580</v>
      </c>
      <c r="BQ295" s="1">
        <v>5810</v>
      </c>
      <c r="BR295" s="1">
        <v>5810</v>
      </c>
      <c r="BS295" s="1">
        <v>5690</v>
      </c>
      <c r="BT295" s="1">
        <v>5760</v>
      </c>
      <c r="BU295" s="1">
        <v>5700</v>
      </c>
      <c r="BV295" s="1">
        <v>5790</v>
      </c>
      <c r="BW295" s="1">
        <v>5860</v>
      </c>
      <c r="BX295" s="1">
        <v>5870</v>
      </c>
      <c r="BY295" s="1">
        <v>6010</v>
      </c>
      <c r="BZ295" s="1">
        <v>5620</v>
      </c>
    </row>
    <row r="296" spans="1:78">
      <c r="A296" s="62" t="s">
        <v>509</v>
      </c>
      <c r="B296" s="1" t="str">
        <f>銘柄管理!C296</f>
        <v>ベルトラ</v>
      </c>
      <c r="C296" s="1">
        <f>_xll.RssMarket("7048","高値")</f>
        <v>160</v>
      </c>
      <c r="E296" s="1">
        <v>160</v>
      </c>
      <c r="F296" s="1">
        <v>164</v>
      </c>
      <c r="G296" s="1">
        <v>162</v>
      </c>
      <c r="H296" s="1">
        <v>160</v>
      </c>
      <c r="I296" s="1">
        <v>158</v>
      </c>
      <c r="J296" s="1">
        <v>163</v>
      </c>
      <c r="K296" s="1">
        <v>162</v>
      </c>
      <c r="M296" s="1">
        <v>160</v>
      </c>
      <c r="N296" s="1">
        <v>166</v>
      </c>
      <c r="O296" s="1">
        <v>180</v>
      </c>
      <c r="P296" s="1">
        <v>180</v>
      </c>
      <c r="Q296" s="1">
        <v>184</v>
      </c>
      <c r="R296" s="1">
        <v>182</v>
      </c>
      <c r="S296" s="1">
        <v>179</v>
      </c>
      <c r="T296" s="1">
        <v>177</v>
      </c>
      <c r="U296" s="1">
        <v>167</v>
      </c>
      <c r="V296" s="1">
        <v>166</v>
      </c>
      <c r="W296" s="1">
        <v>168</v>
      </c>
      <c r="X296" s="1">
        <v>175</v>
      </c>
      <c r="Y296" s="1">
        <v>173</v>
      </c>
      <c r="Z296" s="1">
        <v>173</v>
      </c>
      <c r="AA296" s="1">
        <v>166</v>
      </c>
      <c r="AB296" s="1">
        <v>168</v>
      </c>
      <c r="AC296" s="1">
        <v>168</v>
      </c>
      <c r="AD296" s="1">
        <v>169</v>
      </c>
      <c r="AE296" s="1">
        <v>180</v>
      </c>
      <c r="AF296" s="1">
        <v>196</v>
      </c>
      <c r="AG296" s="1">
        <v>219</v>
      </c>
      <c r="AH296" s="1">
        <v>174</v>
      </c>
      <c r="AI296" s="1">
        <v>161</v>
      </c>
      <c r="AJ296" s="1">
        <v>158</v>
      </c>
      <c r="AK296" s="1">
        <v>133</v>
      </c>
      <c r="AL296" s="1">
        <v>129</v>
      </c>
      <c r="AM296" s="1">
        <v>163</v>
      </c>
      <c r="AN296" s="1">
        <v>119</v>
      </c>
      <c r="AO296" s="1">
        <v>121</v>
      </c>
      <c r="AP296" s="1">
        <v>124</v>
      </c>
      <c r="AQ296" s="1">
        <v>129</v>
      </c>
      <c r="AR296" s="1">
        <v>133</v>
      </c>
      <c r="AS296" s="1">
        <v>128</v>
      </c>
      <c r="AT296" s="1">
        <v>130</v>
      </c>
      <c r="AU296" s="1">
        <v>132</v>
      </c>
      <c r="AV296" s="1">
        <v>136</v>
      </c>
      <c r="AW296" s="1">
        <v>136</v>
      </c>
      <c r="AX296" s="1">
        <v>137</v>
      </c>
      <c r="AY296" s="1">
        <v>143</v>
      </c>
      <c r="AZ296" s="1">
        <v>145</v>
      </c>
      <c r="BA296" s="1">
        <v>145</v>
      </c>
      <c r="BB296" s="1">
        <v>147</v>
      </c>
      <c r="BC296" s="1">
        <v>150</v>
      </c>
      <c r="BD296" s="1">
        <v>151</v>
      </c>
      <c r="BE296" s="1">
        <v>154</v>
      </c>
      <c r="BF296" s="1">
        <v>163</v>
      </c>
      <c r="BG296" s="1">
        <v>165</v>
      </c>
      <c r="BH296" s="1">
        <v>164</v>
      </c>
      <c r="BI296" s="1">
        <v>166</v>
      </c>
      <c r="BJ296" s="1">
        <v>165</v>
      </c>
      <c r="BK296" s="1">
        <v>163</v>
      </c>
      <c r="BL296" s="1">
        <v>163</v>
      </c>
      <c r="BM296" s="1">
        <v>162</v>
      </c>
      <c r="BN296" s="1">
        <v>166</v>
      </c>
      <c r="BO296" s="1">
        <v>165</v>
      </c>
      <c r="BP296" s="1">
        <v>167</v>
      </c>
      <c r="BQ296" s="1">
        <v>171</v>
      </c>
      <c r="BR296" s="1">
        <v>178</v>
      </c>
      <c r="BS296" s="1">
        <v>186</v>
      </c>
      <c r="BT296" s="1">
        <v>190</v>
      </c>
      <c r="BU296" s="1">
        <v>190</v>
      </c>
      <c r="BV296" s="1">
        <v>182</v>
      </c>
      <c r="BW296" s="1">
        <v>179</v>
      </c>
      <c r="BX296" s="1">
        <v>176</v>
      </c>
      <c r="BY296" s="1">
        <v>174</v>
      </c>
      <c r="BZ296" s="1">
        <v>178</v>
      </c>
    </row>
    <row r="297" spans="1:78">
      <c r="A297" s="62" t="s">
        <v>510</v>
      </c>
      <c r="B297" s="1" t="str">
        <f>銘柄管理!C297</f>
        <v>長谷工コーポレーシヨン</v>
      </c>
      <c r="C297" s="1">
        <f>_xll.RssMarket("1808","高値")</f>
        <v>2670</v>
      </c>
      <c r="E297" s="1">
        <v>2736</v>
      </c>
      <c r="F297" s="1">
        <v>2778.5</v>
      </c>
      <c r="G297" s="1">
        <v>2823</v>
      </c>
      <c r="H297" s="1">
        <v>2882</v>
      </c>
      <c r="I297" s="1">
        <v>2902.5</v>
      </c>
      <c r="J297" s="1">
        <v>2860</v>
      </c>
      <c r="K297" s="1">
        <v>2856</v>
      </c>
      <c r="L297" s="1">
        <v>2775</v>
      </c>
      <c r="M297" s="1">
        <v>2797</v>
      </c>
      <c r="N297" s="1">
        <v>2822.5</v>
      </c>
      <c r="O297" s="1">
        <v>2854.5</v>
      </c>
      <c r="P297" s="1">
        <v>2858</v>
      </c>
      <c r="Q297" s="1">
        <v>2835.5</v>
      </c>
      <c r="R297" s="1">
        <v>2820</v>
      </c>
      <c r="S297" s="1">
        <v>2824.5</v>
      </c>
      <c r="T297" s="1">
        <v>2876.5</v>
      </c>
      <c r="U297" s="1">
        <v>2829.5</v>
      </c>
      <c r="V297" s="1">
        <v>2894.5</v>
      </c>
      <c r="W297" s="1">
        <v>2898</v>
      </c>
      <c r="X297" s="1">
        <v>2898</v>
      </c>
      <c r="Y297" s="1">
        <v>2870.5</v>
      </c>
      <c r="Z297" s="1">
        <v>2826</v>
      </c>
      <c r="AA297" s="1">
        <v>2843.5</v>
      </c>
      <c r="AB297" s="1">
        <v>2874</v>
      </c>
      <c r="AC297" s="1">
        <v>2894</v>
      </c>
      <c r="AD297" s="1">
        <v>2858.5</v>
      </c>
      <c r="AE297" s="1">
        <v>2782</v>
      </c>
      <c r="AF297" s="1">
        <v>2760</v>
      </c>
      <c r="AG297" s="1">
        <v>2772</v>
      </c>
      <c r="AH297" s="1">
        <v>2739</v>
      </c>
      <c r="AI297" s="1">
        <v>2730</v>
      </c>
      <c r="AJ297" s="1">
        <v>2714</v>
      </c>
      <c r="AK297" s="1">
        <v>2743</v>
      </c>
      <c r="AL297" s="1">
        <v>2729.5</v>
      </c>
      <c r="AM297" s="1">
        <v>2762</v>
      </c>
      <c r="AN297" s="1">
        <v>2770</v>
      </c>
      <c r="AO297" s="1">
        <v>2763</v>
      </c>
      <c r="AP297" s="1">
        <v>2732</v>
      </c>
      <c r="AQ297" s="1">
        <v>2659</v>
      </c>
      <c r="AR297" s="1">
        <v>2672.5</v>
      </c>
      <c r="AS297" s="1">
        <v>2648.5</v>
      </c>
      <c r="AT297" s="1">
        <v>2644</v>
      </c>
      <c r="AU297" s="1">
        <v>2638</v>
      </c>
      <c r="AV297" s="1">
        <v>2741</v>
      </c>
      <c r="AW297" s="1">
        <v>2730.5</v>
      </c>
      <c r="AX297" s="1">
        <v>2721</v>
      </c>
      <c r="AY297" s="1">
        <v>2724.5</v>
      </c>
      <c r="AZ297" s="1">
        <v>2745</v>
      </c>
      <c r="BA297" s="1">
        <v>2769.5</v>
      </c>
      <c r="BB297" s="1">
        <v>2790</v>
      </c>
      <c r="BC297" s="1">
        <v>2871</v>
      </c>
      <c r="BD297" s="1">
        <v>2897.5</v>
      </c>
      <c r="BE297" s="1">
        <v>2728</v>
      </c>
      <c r="BF297" s="1">
        <v>2790</v>
      </c>
      <c r="BG297" s="1">
        <v>2822</v>
      </c>
      <c r="BH297" s="1">
        <v>2827</v>
      </c>
      <c r="BI297" s="1">
        <v>2790</v>
      </c>
      <c r="BJ297" s="1">
        <v>2780</v>
      </c>
      <c r="BK297" s="1">
        <v>2799</v>
      </c>
      <c r="BL297" s="1">
        <v>2748.5</v>
      </c>
      <c r="BM297" s="1">
        <v>2801</v>
      </c>
      <c r="BN297" s="1">
        <v>2818</v>
      </c>
      <c r="BO297" s="1">
        <v>2743.5</v>
      </c>
      <c r="BP297" s="1">
        <v>2727</v>
      </c>
      <c r="BQ297" s="1">
        <v>2749</v>
      </c>
      <c r="BR297" s="1">
        <v>2767.5</v>
      </c>
      <c r="BS297" s="1">
        <v>2816</v>
      </c>
      <c r="BT297" s="1">
        <v>2839</v>
      </c>
      <c r="BU297" s="1">
        <v>2782.5</v>
      </c>
      <c r="BV297" s="1">
        <v>2833.5</v>
      </c>
      <c r="BW297" s="1">
        <v>2765.5</v>
      </c>
      <c r="BX297" s="1">
        <v>2884.5</v>
      </c>
      <c r="BY297" s="1">
        <v>2915.5</v>
      </c>
      <c r="BZ297" s="1">
        <v>2931.5</v>
      </c>
    </row>
    <row r="298" spans="1:78">
      <c r="A298" s="62" t="s">
        <v>511</v>
      </c>
      <c r="B298" s="1" t="str">
        <f>銘柄管理!C298</f>
        <v>ＵＢＥ</v>
      </c>
      <c r="C298" s="1">
        <f>_xll.RssMarket("4208","高値")</f>
        <v>3239</v>
      </c>
      <c r="E298" s="1">
        <v>3179</v>
      </c>
      <c r="F298" s="1">
        <v>3185</v>
      </c>
      <c r="G298" s="1">
        <v>3202</v>
      </c>
      <c r="H298" s="1">
        <v>3203</v>
      </c>
      <c r="I298" s="1">
        <v>3230</v>
      </c>
      <c r="J298" s="1">
        <v>3310</v>
      </c>
      <c r="K298" s="1">
        <v>3329</v>
      </c>
      <c r="M298" s="1">
        <v>3279</v>
      </c>
      <c r="N298" s="1">
        <v>3283</v>
      </c>
      <c r="O298" s="1">
        <v>3248</v>
      </c>
      <c r="P298" s="1">
        <v>3263</v>
      </c>
      <c r="Q298" s="1">
        <v>3290</v>
      </c>
      <c r="R298" s="1">
        <v>3227</v>
      </c>
      <c r="S298" s="1">
        <v>3188</v>
      </c>
      <c r="T298" s="1">
        <v>3191</v>
      </c>
      <c r="U298" s="1">
        <v>3182</v>
      </c>
      <c r="V298" s="1">
        <v>3213</v>
      </c>
      <c r="W298" s="1">
        <v>3270</v>
      </c>
      <c r="X298" s="1">
        <v>3279</v>
      </c>
      <c r="Y298" s="1">
        <v>3244</v>
      </c>
      <c r="Z298" s="1">
        <v>3210</v>
      </c>
      <c r="AA298" s="1">
        <v>3203</v>
      </c>
      <c r="AB298" s="1">
        <v>3208</v>
      </c>
      <c r="AC298" s="1">
        <v>3180</v>
      </c>
      <c r="AD298" s="1">
        <v>3193</v>
      </c>
      <c r="AE298" s="1">
        <v>3188</v>
      </c>
      <c r="AF298" s="1">
        <v>3151</v>
      </c>
      <c r="AG298" s="1">
        <v>3223</v>
      </c>
      <c r="AH298" s="1">
        <v>3238</v>
      </c>
      <c r="AI298" s="1">
        <v>3321</v>
      </c>
      <c r="AJ298" s="1">
        <v>3350</v>
      </c>
      <c r="AK298" s="1">
        <v>3200</v>
      </c>
      <c r="AL298" s="1">
        <v>3244</v>
      </c>
      <c r="AM298" s="1">
        <v>3214</v>
      </c>
      <c r="AN298" s="1">
        <v>3090</v>
      </c>
      <c r="AO298" s="1">
        <v>3015</v>
      </c>
      <c r="AP298" s="1">
        <v>3028</v>
      </c>
      <c r="AQ298" s="1">
        <v>2955</v>
      </c>
      <c r="AR298" s="1">
        <v>2955</v>
      </c>
      <c r="AS298" s="1">
        <v>2992</v>
      </c>
      <c r="AT298" s="1">
        <v>3006</v>
      </c>
      <c r="AU298" s="1">
        <v>2951.5</v>
      </c>
      <c r="AV298" s="1">
        <v>3004</v>
      </c>
      <c r="AW298" s="1">
        <v>2984.5</v>
      </c>
      <c r="AX298" s="1">
        <v>3051</v>
      </c>
      <c r="AY298" s="1">
        <v>3044</v>
      </c>
      <c r="AZ298" s="1">
        <v>3049</v>
      </c>
      <c r="BA298" s="1">
        <v>3067</v>
      </c>
      <c r="BB298" s="1">
        <v>2890.5</v>
      </c>
      <c r="BC298" s="1">
        <v>2425.5</v>
      </c>
      <c r="BD298" s="1">
        <v>2418</v>
      </c>
      <c r="BE298" s="1">
        <v>2450</v>
      </c>
      <c r="BF298" s="1">
        <v>2501</v>
      </c>
      <c r="BG298" s="1">
        <v>2361.5</v>
      </c>
      <c r="BH298" s="1">
        <v>2362</v>
      </c>
      <c r="BI298" s="1">
        <v>2394</v>
      </c>
      <c r="BJ298" s="1">
        <v>2396.5</v>
      </c>
      <c r="BK298" s="1">
        <v>2412.5</v>
      </c>
      <c r="BL298" s="1">
        <v>2383.5</v>
      </c>
      <c r="BM298" s="1">
        <v>2374</v>
      </c>
      <c r="BN298" s="1">
        <v>2397.5</v>
      </c>
      <c r="BO298" s="1">
        <v>2376.5</v>
      </c>
      <c r="BP298" s="1">
        <v>2370</v>
      </c>
      <c r="BQ298" s="1">
        <v>2363</v>
      </c>
      <c r="BR298" s="1">
        <v>2411.5</v>
      </c>
      <c r="BS298" s="1">
        <v>2427.5</v>
      </c>
      <c r="BT298" s="1">
        <v>2457</v>
      </c>
      <c r="BU298" s="1">
        <v>2454</v>
      </c>
      <c r="BV298" s="1">
        <v>2437.5</v>
      </c>
      <c r="BW298" s="1">
        <v>2437.5</v>
      </c>
      <c r="BX298" s="1">
        <v>2438</v>
      </c>
      <c r="BY298" s="1">
        <v>2448</v>
      </c>
      <c r="BZ298" s="1">
        <v>2489</v>
      </c>
    </row>
    <row r="299" spans="1:78">
      <c r="A299" s="62" t="s">
        <v>512</v>
      </c>
      <c r="B299" s="1" t="str">
        <f>銘柄管理!C299</f>
        <v>アストロスケールホールディンク</v>
      </c>
      <c r="C299" s="1">
        <f>_xll.RssMarket("186A","高値")</f>
        <v>1193</v>
      </c>
      <c r="E299" s="1">
        <v>1144</v>
      </c>
      <c r="F299" s="1">
        <v>1045</v>
      </c>
      <c r="G299" s="1">
        <v>1022</v>
      </c>
      <c r="H299" s="1">
        <v>1020</v>
      </c>
      <c r="I299" s="1">
        <v>1021</v>
      </c>
      <c r="J299" s="1">
        <v>1021</v>
      </c>
      <c r="K299" s="1">
        <v>1037</v>
      </c>
      <c r="L299" s="1">
        <v>1092</v>
      </c>
      <c r="M299" s="1">
        <v>1092</v>
      </c>
      <c r="N299" s="1">
        <v>1074</v>
      </c>
      <c r="O299" s="1">
        <v>1005</v>
      </c>
      <c r="P299" s="1">
        <v>1004</v>
      </c>
      <c r="Q299" s="1">
        <v>1120</v>
      </c>
      <c r="R299" s="1">
        <v>1094</v>
      </c>
      <c r="S299" s="1">
        <v>1214</v>
      </c>
      <c r="T299" s="1">
        <v>1128</v>
      </c>
      <c r="U299" s="1">
        <v>1133</v>
      </c>
      <c r="V299" s="1">
        <v>1127</v>
      </c>
      <c r="W299" s="1">
        <v>1210</v>
      </c>
      <c r="X299" s="1">
        <v>1262</v>
      </c>
      <c r="Y299" s="1">
        <v>1224</v>
      </c>
      <c r="Z299" s="1">
        <v>1166</v>
      </c>
      <c r="AA299" s="1">
        <v>1195</v>
      </c>
      <c r="AB299" s="1">
        <v>1225</v>
      </c>
      <c r="AC299" s="1">
        <v>1161</v>
      </c>
      <c r="AD299" s="1">
        <v>1197</v>
      </c>
      <c r="AE299" s="1">
        <v>1192</v>
      </c>
      <c r="AF299" s="1">
        <v>1223</v>
      </c>
      <c r="AG299" s="1">
        <v>1290</v>
      </c>
      <c r="AH299" s="1">
        <v>1358</v>
      </c>
      <c r="AI299" s="1">
        <v>1285</v>
      </c>
      <c r="AJ299" s="1">
        <v>1409</v>
      </c>
      <c r="AK299" s="1">
        <v>1454</v>
      </c>
      <c r="AL299" s="1">
        <v>1478</v>
      </c>
      <c r="AM299" s="1">
        <v>1676</v>
      </c>
      <c r="AN299" s="1">
        <v>1975</v>
      </c>
      <c r="AO299" s="1">
        <v>1819</v>
      </c>
      <c r="AP299" s="1">
        <v>1837</v>
      </c>
      <c r="AQ299" s="1">
        <v>2150</v>
      </c>
      <c r="AR299" s="1">
        <v>2220</v>
      </c>
      <c r="AS299" s="1">
        <v>1997</v>
      </c>
      <c r="AT299" s="1">
        <v>2245</v>
      </c>
      <c r="AU299" s="1">
        <v>2200</v>
      </c>
      <c r="AV299" s="1">
        <v>2958</v>
      </c>
      <c r="AW299" s="1">
        <v>2993</v>
      </c>
      <c r="AX299" s="1">
        <v>3015</v>
      </c>
      <c r="AY299" s="1">
        <v>2852</v>
      </c>
      <c r="AZ299" s="1">
        <v>2352</v>
      </c>
      <c r="BA299" s="1">
        <v>2079</v>
      </c>
      <c r="BB299" s="1">
        <v>2148</v>
      </c>
      <c r="BC299" s="1">
        <v>2170</v>
      </c>
      <c r="BD299" s="1">
        <v>2100</v>
      </c>
      <c r="BE299" s="1">
        <v>2048</v>
      </c>
      <c r="BF299" s="1">
        <v>1899</v>
      </c>
      <c r="BG299" s="1">
        <v>1854</v>
      </c>
      <c r="BH299" s="1">
        <v>1866</v>
      </c>
      <c r="BI299" s="1">
        <v>1810</v>
      </c>
      <c r="BJ299" s="1">
        <v>1570</v>
      </c>
      <c r="BK299" s="1">
        <v>1437</v>
      </c>
      <c r="BL299" s="1">
        <v>1347</v>
      </c>
      <c r="BM299" s="1">
        <v>1311</v>
      </c>
      <c r="BN299" s="1">
        <v>1320</v>
      </c>
      <c r="BO299" s="1">
        <v>1334</v>
      </c>
      <c r="BP299" s="1">
        <v>1405</v>
      </c>
      <c r="BQ299" s="1">
        <v>1459</v>
      </c>
      <c r="BR299" s="1">
        <v>1484</v>
      </c>
      <c r="BS299" s="1">
        <v>1500</v>
      </c>
      <c r="BT299" s="1">
        <v>1493</v>
      </c>
      <c r="BU299" s="1">
        <v>1422</v>
      </c>
      <c r="BV299" s="1">
        <v>1409</v>
      </c>
      <c r="BW299" s="1">
        <v>1435</v>
      </c>
      <c r="BX299" s="1">
        <v>1420</v>
      </c>
      <c r="BY299" s="1">
        <v>1352</v>
      </c>
      <c r="BZ299" s="1">
        <v>1373</v>
      </c>
    </row>
    <row r="300" spans="1:78">
      <c r="A300" s="62" t="s">
        <v>513</v>
      </c>
      <c r="B300" s="1" t="str">
        <f>銘柄管理!C300</f>
        <v>浜松ホトニクス</v>
      </c>
      <c r="C300" s="1">
        <f>_xll.RssMarket("6965","高値")</f>
        <v>2559</v>
      </c>
      <c r="E300" s="1">
        <v>2419</v>
      </c>
      <c r="F300" s="1">
        <v>2347</v>
      </c>
      <c r="G300" s="1">
        <v>2347</v>
      </c>
      <c r="H300" s="1">
        <v>2225</v>
      </c>
      <c r="I300" s="1">
        <v>2228</v>
      </c>
      <c r="J300" s="1">
        <v>2304.5</v>
      </c>
      <c r="K300" s="1">
        <v>2372</v>
      </c>
      <c r="M300" s="1">
        <v>2488</v>
      </c>
      <c r="N300" s="1">
        <v>2445</v>
      </c>
      <c r="O300" s="1">
        <v>2352</v>
      </c>
      <c r="P300" s="1">
        <v>2368</v>
      </c>
      <c r="Q300" s="1">
        <v>2522</v>
      </c>
      <c r="R300" s="1">
        <v>2455.5</v>
      </c>
      <c r="S300" s="1">
        <v>2551.5</v>
      </c>
      <c r="T300" s="1">
        <v>2551</v>
      </c>
      <c r="U300" s="1">
        <v>2476</v>
      </c>
      <c r="V300" s="1">
        <v>2508</v>
      </c>
      <c r="W300" s="1">
        <v>2568.5</v>
      </c>
      <c r="X300" s="1">
        <v>2682</v>
      </c>
      <c r="Y300" s="1">
        <v>2669</v>
      </c>
      <c r="Z300" s="1">
        <v>2724</v>
      </c>
      <c r="AA300" s="1">
        <v>2757.5</v>
      </c>
      <c r="AB300" s="1">
        <v>2703.5</v>
      </c>
      <c r="AC300" s="1">
        <v>2661</v>
      </c>
      <c r="AD300" s="1">
        <v>2741</v>
      </c>
      <c r="AE300" s="1">
        <v>2765.5</v>
      </c>
      <c r="AF300" s="1">
        <v>2746</v>
      </c>
      <c r="AG300" s="1">
        <v>2837.5</v>
      </c>
      <c r="AH300" s="1">
        <v>2887</v>
      </c>
      <c r="AI300" s="1">
        <v>2864</v>
      </c>
      <c r="AJ300" s="1">
        <v>2843.5</v>
      </c>
      <c r="AK300" s="1">
        <v>2794.5</v>
      </c>
      <c r="AL300" s="1">
        <v>2669.5</v>
      </c>
      <c r="AM300" s="1">
        <v>2676</v>
      </c>
      <c r="AN300" s="1">
        <v>2587</v>
      </c>
      <c r="AO300" s="1">
        <v>2428</v>
      </c>
      <c r="AP300" s="1">
        <v>2504</v>
      </c>
      <c r="AQ300" s="1">
        <v>2696.5</v>
      </c>
      <c r="AR300" s="1">
        <v>2912.5</v>
      </c>
      <c r="AS300" s="1">
        <v>2964</v>
      </c>
      <c r="AT300" s="1">
        <v>2915</v>
      </c>
      <c r="AU300" s="1">
        <v>2855</v>
      </c>
      <c r="AV300" s="1">
        <v>2997</v>
      </c>
      <c r="AW300" s="1">
        <v>2824</v>
      </c>
      <c r="AX300" s="1">
        <v>2941.5</v>
      </c>
      <c r="AY300" s="1">
        <v>3100</v>
      </c>
      <c r="AZ300" s="1">
        <v>2923</v>
      </c>
      <c r="BA300" s="1">
        <v>2759</v>
      </c>
      <c r="BB300" s="1">
        <v>2668.5</v>
      </c>
      <c r="BC300" s="1">
        <v>2829.5</v>
      </c>
      <c r="BD300" s="1">
        <v>2875</v>
      </c>
      <c r="BE300" s="1">
        <v>2657</v>
      </c>
      <c r="BF300" s="1">
        <v>2241</v>
      </c>
      <c r="BG300" s="1">
        <v>2162.5</v>
      </c>
      <c r="BH300" s="1">
        <v>2239.5</v>
      </c>
      <c r="BI300" s="1">
        <v>2245</v>
      </c>
      <c r="BJ300" s="1">
        <v>2207.5</v>
      </c>
      <c r="BK300" s="1">
        <v>2163</v>
      </c>
      <c r="BL300" s="1">
        <v>2034.5</v>
      </c>
      <c r="BM300" s="1">
        <v>2062</v>
      </c>
      <c r="BN300" s="1">
        <v>2047</v>
      </c>
      <c r="BO300" s="1">
        <v>2068.5</v>
      </c>
      <c r="BP300" s="1">
        <v>1942</v>
      </c>
      <c r="BQ300" s="1">
        <v>1967.5</v>
      </c>
      <c r="BR300" s="1">
        <v>1963</v>
      </c>
      <c r="BS300" s="1">
        <v>1972</v>
      </c>
      <c r="BT300" s="1">
        <v>1986.5</v>
      </c>
      <c r="BU300" s="1">
        <v>1994</v>
      </c>
      <c r="BV300" s="1">
        <v>1977</v>
      </c>
      <c r="BW300" s="1">
        <v>1956.5</v>
      </c>
      <c r="BX300" s="1">
        <v>1973</v>
      </c>
      <c r="BY300" s="1">
        <v>1961.5</v>
      </c>
      <c r="BZ300" s="1">
        <v>1970.5</v>
      </c>
    </row>
    <row r="301" spans="1:78">
      <c r="A301" s="62" t="s">
        <v>514</v>
      </c>
      <c r="B301" s="1" t="str">
        <f>銘柄管理!C301</f>
        <v>三菱化工機</v>
      </c>
      <c r="C301" s="1">
        <f>_xll.RssMarket("6331","高値")</f>
        <v>3280</v>
      </c>
      <c r="E301" s="1">
        <v>3180</v>
      </c>
      <c r="F301" s="1">
        <v>3105</v>
      </c>
      <c r="G301" s="1">
        <v>3345</v>
      </c>
      <c r="H301" s="1">
        <v>3150</v>
      </c>
      <c r="I301" s="1">
        <v>3235</v>
      </c>
      <c r="J301" s="1">
        <v>3395</v>
      </c>
      <c r="K301" s="1">
        <v>3405</v>
      </c>
      <c r="L301" s="1">
        <v>3425</v>
      </c>
      <c r="M301" s="1">
        <v>3420</v>
      </c>
      <c r="N301" s="1">
        <v>3380</v>
      </c>
      <c r="O301" s="1">
        <v>3275</v>
      </c>
      <c r="P301" s="1">
        <v>3300</v>
      </c>
      <c r="Q301" s="1">
        <v>3490</v>
      </c>
      <c r="R301" s="1">
        <v>3430</v>
      </c>
      <c r="S301" s="1">
        <v>3610</v>
      </c>
      <c r="T301" s="1">
        <v>3620</v>
      </c>
      <c r="U301" s="1">
        <v>3630</v>
      </c>
      <c r="V301" s="1">
        <v>3855</v>
      </c>
      <c r="W301" s="1">
        <v>4010</v>
      </c>
      <c r="X301" s="1">
        <v>4015</v>
      </c>
      <c r="Y301" s="1">
        <v>3825</v>
      </c>
      <c r="Z301" s="1">
        <v>3795</v>
      </c>
      <c r="AA301" s="1">
        <v>3785</v>
      </c>
      <c r="AB301" s="1">
        <v>3795</v>
      </c>
      <c r="AC301" s="1">
        <v>3865</v>
      </c>
      <c r="AD301" s="1">
        <v>3895</v>
      </c>
      <c r="AE301" s="1">
        <v>3975</v>
      </c>
      <c r="AF301" s="1">
        <v>3945</v>
      </c>
      <c r="AG301" s="1">
        <v>4180</v>
      </c>
      <c r="AH301" s="1">
        <v>4145</v>
      </c>
      <c r="AI301" s="1">
        <v>4090</v>
      </c>
      <c r="AJ301" s="1">
        <v>4120</v>
      </c>
      <c r="AK301" s="1">
        <v>4100</v>
      </c>
      <c r="AL301" s="1">
        <v>3910</v>
      </c>
      <c r="AM301" s="1">
        <v>3840</v>
      </c>
      <c r="AN301" s="1">
        <v>3740</v>
      </c>
      <c r="AO301" s="1">
        <v>3645</v>
      </c>
      <c r="AP301" s="1">
        <v>3720</v>
      </c>
      <c r="AQ301" s="1">
        <v>3590</v>
      </c>
      <c r="AR301" s="1">
        <v>3635</v>
      </c>
      <c r="AS301" s="1">
        <v>3720</v>
      </c>
      <c r="AT301" s="1">
        <v>3680</v>
      </c>
      <c r="AU301" s="1">
        <v>3450</v>
      </c>
      <c r="AV301" s="1">
        <v>3690</v>
      </c>
      <c r="AW301" s="1">
        <v>3705</v>
      </c>
      <c r="AX301" s="1">
        <v>3800</v>
      </c>
      <c r="AY301" s="1">
        <v>3525</v>
      </c>
      <c r="AZ301" s="1">
        <v>3560</v>
      </c>
      <c r="BA301" s="1">
        <v>3560</v>
      </c>
      <c r="BB301" s="1">
        <v>3610</v>
      </c>
      <c r="BC301" s="1">
        <v>3880</v>
      </c>
      <c r="BD301" s="1">
        <v>3845</v>
      </c>
      <c r="BE301" s="1">
        <v>3675</v>
      </c>
      <c r="BF301" s="1">
        <v>3385</v>
      </c>
      <c r="BG301" s="1">
        <v>3345</v>
      </c>
      <c r="BH301" s="1">
        <v>3350</v>
      </c>
      <c r="BI301" s="1">
        <v>3320</v>
      </c>
      <c r="BJ301" s="1">
        <v>3295</v>
      </c>
      <c r="BK301" s="1">
        <v>3345</v>
      </c>
      <c r="BL301" s="1">
        <v>3310</v>
      </c>
      <c r="BM301" s="1">
        <v>3225</v>
      </c>
      <c r="BN301" s="1">
        <v>3280</v>
      </c>
      <c r="BO301" s="1">
        <v>3320</v>
      </c>
      <c r="BP301" s="1">
        <v>3235</v>
      </c>
      <c r="BQ301" s="1">
        <v>3185</v>
      </c>
      <c r="BR301" s="1">
        <v>3065</v>
      </c>
      <c r="BS301" s="1">
        <v>3065</v>
      </c>
      <c r="BT301" s="1">
        <v>3065</v>
      </c>
      <c r="BU301" s="1">
        <v>3060</v>
      </c>
      <c r="BV301" s="1">
        <v>3075</v>
      </c>
      <c r="BW301" s="1">
        <v>3150</v>
      </c>
      <c r="BX301" s="1">
        <v>3140</v>
      </c>
      <c r="BY301" s="1">
        <v>3175</v>
      </c>
      <c r="BZ301" s="1">
        <v>3255</v>
      </c>
    </row>
    <row r="302" spans="1:78">
      <c r="A302" s="62" t="s">
        <v>515</v>
      </c>
      <c r="B302" s="1" t="str">
        <f>銘柄管理!C302</f>
        <v>ＨＯＹＡ</v>
      </c>
      <c r="C302" s="1">
        <f>_xll.RssMarket("7741","高値")</f>
        <v>26925</v>
      </c>
      <c r="E302" s="1">
        <v>25925</v>
      </c>
      <c r="F302" s="1">
        <v>25275</v>
      </c>
      <c r="G302" s="1">
        <v>25330</v>
      </c>
      <c r="H302" s="1">
        <v>24375</v>
      </c>
      <c r="I302" s="1">
        <v>24035</v>
      </c>
      <c r="J302" s="1">
        <v>24625</v>
      </c>
      <c r="K302" s="1">
        <v>24880</v>
      </c>
      <c r="L302" s="1">
        <v>24690</v>
      </c>
      <c r="M302" s="1">
        <v>25155</v>
      </c>
      <c r="N302" s="1">
        <v>25585</v>
      </c>
      <c r="O302" s="1">
        <v>25630</v>
      </c>
      <c r="P302" s="1">
        <v>25215</v>
      </c>
      <c r="Q302" s="1">
        <v>25925</v>
      </c>
      <c r="R302" s="1">
        <v>25965</v>
      </c>
      <c r="S302" s="1">
        <v>25515</v>
      </c>
      <c r="T302" s="1">
        <v>25370</v>
      </c>
      <c r="U302" s="1">
        <v>24820</v>
      </c>
      <c r="V302" s="1">
        <v>25405</v>
      </c>
      <c r="W302" s="1">
        <v>26055</v>
      </c>
      <c r="X302" s="1">
        <v>26100</v>
      </c>
      <c r="Y302" s="1">
        <v>26190</v>
      </c>
      <c r="Z302" s="1">
        <v>25925</v>
      </c>
      <c r="AA302" s="1">
        <v>26265</v>
      </c>
      <c r="AB302" s="1">
        <v>26255</v>
      </c>
      <c r="AC302" s="1">
        <v>25805</v>
      </c>
      <c r="AD302" s="1">
        <v>26710</v>
      </c>
      <c r="AE302" s="1">
        <v>26850</v>
      </c>
      <c r="AF302" s="1">
        <v>26510</v>
      </c>
      <c r="AG302" s="1">
        <v>27230</v>
      </c>
      <c r="AH302" s="1">
        <v>27355</v>
      </c>
      <c r="AI302" s="1">
        <v>28880</v>
      </c>
      <c r="AJ302" s="1">
        <v>28720</v>
      </c>
      <c r="AK302" s="1">
        <v>27685</v>
      </c>
      <c r="AL302" s="1">
        <v>27255</v>
      </c>
      <c r="AM302" s="1">
        <v>26975</v>
      </c>
      <c r="AN302" s="1">
        <v>26545</v>
      </c>
      <c r="AO302" s="1">
        <v>25920</v>
      </c>
      <c r="AP302" s="1">
        <v>25750</v>
      </c>
      <c r="AQ302" s="1">
        <v>25800</v>
      </c>
      <c r="AR302" s="1">
        <v>26395</v>
      </c>
      <c r="AS302" s="1">
        <v>27495</v>
      </c>
      <c r="AT302" s="1">
        <v>27575</v>
      </c>
      <c r="AU302" s="1">
        <v>26385</v>
      </c>
      <c r="AV302" s="1">
        <v>27510</v>
      </c>
      <c r="AW302" s="1">
        <v>27400</v>
      </c>
      <c r="AX302" s="1">
        <v>27835</v>
      </c>
      <c r="AY302" s="1">
        <v>26455</v>
      </c>
      <c r="AZ302" s="1">
        <v>26885</v>
      </c>
      <c r="BA302" s="1">
        <v>27130</v>
      </c>
      <c r="BB302" s="1">
        <v>26970</v>
      </c>
      <c r="BC302" s="1">
        <v>27700</v>
      </c>
      <c r="BD302" s="1">
        <v>28050</v>
      </c>
      <c r="BE302" s="1">
        <v>28465</v>
      </c>
      <c r="BF302" s="1">
        <v>28135</v>
      </c>
      <c r="BG302" s="1">
        <v>27825</v>
      </c>
      <c r="BH302" s="1">
        <v>27870</v>
      </c>
      <c r="BI302" s="1">
        <v>27585</v>
      </c>
      <c r="BJ302" s="1">
        <v>27940</v>
      </c>
      <c r="BK302" s="1">
        <v>28345</v>
      </c>
      <c r="BL302" s="1">
        <v>29200</v>
      </c>
      <c r="BM302" s="1">
        <v>29700</v>
      </c>
      <c r="BN302" s="1">
        <v>29380</v>
      </c>
      <c r="BO302" s="1">
        <v>29260</v>
      </c>
      <c r="BP302" s="1">
        <v>28670</v>
      </c>
      <c r="BQ302" s="1">
        <v>28700</v>
      </c>
      <c r="BR302" s="1">
        <v>29185</v>
      </c>
      <c r="BS302" s="1">
        <v>29555</v>
      </c>
      <c r="BT302" s="1">
        <v>29795</v>
      </c>
      <c r="BU302" s="1">
        <v>29840</v>
      </c>
      <c r="BV302" s="1">
        <v>30030</v>
      </c>
      <c r="BW302" s="1">
        <v>30400</v>
      </c>
      <c r="BX302" s="1">
        <v>29770</v>
      </c>
      <c r="BY302" s="1">
        <v>29390</v>
      </c>
      <c r="BZ302" s="1">
        <v>30030</v>
      </c>
    </row>
    <row r="303" spans="1:78">
      <c r="A303" s="62" t="s">
        <v>876</v>
      </c>
      <c r="B303" s="1" t="str">
        <f>銘柄管理!C303</f>
        <v>ＮＦ日経２２５</v>
      </c>
      <c r="C303" s="1">
        <f>_xll.RssMarket("1321","高値")</f>
        <v>68430</v>
      </c>
      <c r="E303" s="1">
        <v>66460</v>
      </c>
      <c r="F303" s="1">
        <v>66110</v>
      </c>
      <c r="G303" s="1">
        <v>67710</v>
      </c>
      <c r="H303" s="1">
        <v>65120</v>
      </c>
      <c r="I303" s="1">
        <v>65360</v>
      </c>
      <c r="J303" s="1">
        <v>65690</v>
      </c>
      <c r="K303" s="1">
        <v>67540</v>
      </c>
      <c r="L303" s="1">
        <v>67900</v>
      </c>
      <c r="M303" s="1">
        <v>69320</v>
      </c>
      <c r="N303" s="1">
        <v>69920</v>
      </c>
      <c r="O303" s="1">
        <v>68450</v>
      </c>
      <c r="P303" s="1">
        <v>68010</v>
      </c>
      <c r="Q303" s="1">
        <v>71190</v>
      </c>
      <c r="R303" s="1">
        <v>70160</v>
      </c>
      <c r="S303" s="1">
        <v>71490</v>
      </c>
      <c r="T303" s="1">
        <v>71770</v>
      </c>
      <c r="U303" s="1">
        <v>70850</v>
      </c>
      <c r="V303" s="1">
        <v>70880</v>
      </c>
      <c r="W303" s="1">
        <v>72500</v>
      </c>
      <c r="X303" s="1">
        <v>73660</v>
      </c>
      <c r="Y303" s="1">
        <v>73140</v>
      </c>
      <c r="Z303" s="1">
        <v>73180</v>
      </c>
      <c r="AA303" s="1">
        <v>75310</v>
      </c>
      <c r="AB303" s="1">
        <v>73960</v>
      </c>
      <c r="AC303" s="1">
        <v>72950</v>
      </c>
      <c r="AD303" s="1">
        <v>74610</v>
      </c>
      <c r="AE303" s="1">
        <v>75920</v>
      </c>
      <c r="AF303" s="1">
        <v>73460</v>
      </c>
      <c r="AG303" s="1">
        <v>76090</v>
      </c>
      <c r="AH303" s="1">
        <v>76330</v>
      </c>
      <c r="AI303" s="1">
        <v>75500</v>
      </c>
      <c r="AJ303" s="1">
        <v>74690</v>
      </c>
      <c r="AK303" s="1">
        <v>73360</v>
      </c>
      <c r="AL303" s="1">
        <v>73210</v>
      </c>
      <c r="AM303" s="1">
        <v>72880</v>
      </c>
      <c r="AN303" s="1">
        <v>70150</v>
      </c>
      <c r="AO303" s="1">
        <v>67390</v>
      </c>
      <c r="AP303" s="1">
        <v>68120</v>
      </c>
      <c r="AQ303" s="1">
        <v>67760</v>
      </c>
      <c r="AR303" s="1">
        <v>70100</v>
      </c>
      <c r="AS303" s="1">
        <v>71040</v>
      </c>
      <c r="AT303" s="1">
        <v>71950</v>
      </c>
      <c r="AU303" s="1">
        <v>70300</v>
      </c>
      <c r="AV303" s="1">
        <v>69580</v>
      </c>
      <c r="AW303" s="1">
        <v>68180</v>
      </c>
      <c r="AX303" s="1">
        <v>69540</v>
      </c>
      <c r="AY303" s="1">
        <v>68410</v>
      </c>
      <c r="AZ303" s="1">
        <v>66360</v>
      </c>
      <c r="BA303" s="1">
        <v>64900</v>
      </c>
      <c r="BB303" s="1">
        <v>63270</v>
      </c>
      <c r="BC303" s="1">
        <v>64320</v>
      </c>
      <c r="BD303" s="1">
        <v>64640</v>
      </c>
      <c r="BE303" s="1">
        <v>66150</v>
      </c>
      <c r="BF303" s="1">
        <v>66740</v>
      </c>
      <c r="BG303" s="1">
        <v>66260</v>
      </c>
      <c r="BH303" s="1">
        <v>66130</v>
      </c>
      <c r="BI303" s="1">
        <v>66400</v>
      </c>
      <c r="BJ303" s="1">
        <v>65630</v>
      </c>
      <c r="BK303" s="1">
        <v>66110</v>
      </c>
      <c r="BL303" s="1">
        <v>62470</v>
      </c>
      <c r="BM303" s="1">
        <v>62240</v>
      </c>
      <c r="BN303" s="1">
        <v>63230</v>
      </c>
      <c r="BO303" s="1">
        <v>63690</v>
      </c>
      <c r="BP303" s="1">
        <v>62480</v>
      </c>
      <c r="BQ303" s="1">
        <v>62950</v>
      </c>
      <c r="BR303" s="1">
        <v>62440</v>
      </c>
      <c r="BS303" s="1">
        <v>62350</v>
      </c>
      <c r="BT303" s="1">
        <v>61900</v>
      </c>
      <c r="BU303" s="1">
        <v>62130</v>
      </c>
      <c r="BV303" s="1">
        <v>62430</v>
      </c>
      <c r="BW303" s="1">
        <v>61360</v>
      </c>
      <c r="BX303" s="1">
        <v>60640</v>
      </c>
      <c r="BY303" s="1">
        <v>59370</v>
      </c>
      <c r="BZ303" s="1">
        <v>59640</v>
      </c>
    </row>
    <row r="304" spans="1:78">
      <c r="A304" s="62" t="s">
        <v>878</v>
      </c>
      <c r="B304" s="1" t="str">
        <f>銘柄管理!C304</f>
        <v>きんでん</v>
      </c>
      <c r="C304" s="1">
        <f>_xll.RssMarket("1944","高値")</f>
        <v>7350</v>
      </c>
      <c r="E304" s="1">
        <v>7179</v>
      </c>
      <c r="F304" s="1">
        <v>7089</v>
      </c>
      <c r="G304" s="1">
        <v>7583</v>
      </c>
      <c r="H304" s="1">
        <v>7390</v>
      </c>
      <c r="I304" s="1">
        <v>7655</v>
      </c>
      <c r="J304" s="1">
        <v>7862</v>
      </c>
      <c r="K304" s="1">
        <v>7838</v>
      </c>
      <c r="L304" s="1">
        <v>7520</v>
      </c>
      <c r="M304" s="1">
        <v>7512</v>
      </c>
      <c r="N304" s="1">
        <v>7434</v>
      </c>
      <c r="O304" s="1">
        <v>7260</v>
      </c>
      <c r="P304" s="1">
        <v>7347</v>
      </c>
      <c r="Q304" s="1">
        <v>7564</v>
      </c>
      <c r="R304" s="1">
        <v>7450</v>
      </c>
      <c r="S304" s="1">
        <v>7675</v>
      </c>
      <c r="T304" s="1">
        <v>7880</v>
      </c>
      <c r="U304" s="1">
        <v>7883</v>
      </c>
      <c r="V304" s="1">
        <v>8130</v>
      </c>
      <c r="W304" s="1">
        <v>8246</v>
      </c>
      <c r="X304" s="1">
        <v>8107</v>
      </c>
      <c r="Y304" s="1">
        <v>7980</v>
      </c>
      <c r="Z304" s="1">
        <v>7930</v>
      </c>
      <c r="AA304" s="1">
        <v>8077</v>
      </c>
      <c r="AB304" s="1">
        <v>8094</v>
      </c>
      <c r="AC304" s="1">
        <v>8189</v>
      </c>
      <c r="AD304" s="1">
        <v>8263</v>
      </c>
      <c r="AE304" s="1">
        <v>8500</v>
      </c>
      <c r="AF304" s="1">
        <v>8412</v>
      </c>
      <c r="AG304" s="1">
        <v>8572</v>
      </c>
      <c r="AH304" s="1">
        <v>8382</v>
      </c>
      <c r="AI304" s="1">
        <v>8317</v>
      </c>
      <c r="AJ304" s="1">
        <v>8060</v>
      </c>
      <c r="AK304" s="1">
        <v>7829</v>
      </c>
      <c r="AL304" s="1">
        <v>7375</v>
      </c>
      <c r="AM304" s="1">
        <v>7342</v>
      </c>
      <c r="AN304" s="1">
        <v>6982</v>
      </c>
      <c r="AO304" s="1">
        <v>6844</v>
      </c>
      <c r="AP304" s="1">
        <v>7214</v>
      </c>
      <c r="AQ304" s="1">
        <v>6816</v>
      </c>
      <c r="AR304" s="1">
        <v>6672</v>
      </c>
      <c r="AS304" s="1">
        <v>6608</v>
      </c>
      <c r="AT304" s="1">
        <v>6804</v>
      </c>
      <c r="AU304" s="1">
        <v>6817</v>
      </c>
      <c r="AV304" s="1">
        <v>7261</v>
      </c>
      <c r="AW304" s="1">
        <v>7305</v>
      </c>
      <c r="AX304" s="1">
        <v>7342</v>
      </c>
      <c r="AY304" s="1">
        <v>7244</v>
      </c>
      <c r="AZ304" s="1">
        <v>6930</v>
      </c>
      <c r="BA304" s="1">
        <v>6948</v>
      </c>
      <c r="BB304" s="1">
        <v>7050</v>
      </c>
      <c r="BC304" s="1">
        <v>7050</v>
      </c>
      <c r="BD304" s="1">
        <v>7440</v>
      </c>
      <c r="BE304" s="1">
        <v>7815</v>
      </c>
      <c r="BF304" s="1">
        <v>8005</v>
      </c>
      <c r="BG304" s="1">
        <v>8207</v>
      </c>
      <c r="BH304" s="1">
        <v>8422</v>
      </c>
      <c r="BI304" s="1">
        <v>8386</v>
      </c>
      <c r="BJ304" s="1">
        <v>8422</v>
      </c>
      <c r="BK304" s="1">
        <v>8525</v>
      </c>
      <c r="BL304" s="1">
        <v>8324</v>
      </c>
      <c r="BM304" s="1">
        <v>8382</v>
      </c>
      <c r="BN304" s="1">
        <v>7932</v>
      </c>
      <c r="BO304" s="1">
        <v>7094</v>
      </c>
      <c r="BP304" s="1">
        <v>7241</v>
      </c>
      <c r="BQ304" s="1">
        <v>7189</v>
      </c>
      <c r="BR304" s="1">
        <v>7042</v>
      </c>
      <c r="BS304" s="1">
        <v>7124</v>
      </c>
      <c r="BT304" s="1">
        <v>7196</v>
      </c>
      <c r="BU304" s="1">
        <v>7150</v>
      </c>
      <c r="BV304" s="1">
        <v>7148</v>
      </c>
      <c r="BW304" s="1">
        <v>7369</v>
      </c>
      <c r="BX304" s="1">
        <v>7498</v>
      </c>
      <c r="BY304" s="1">
        <v>7449</v>
      </c>
      <c r="BZ304" s="1">
        <v>7500</v>
      </c>
    </row>
    <row r="305" spans="1:78">
      <c r="A305" s="62" t="s">
        <v>1039</v>
      </c>
      <c r="B305" s="1" t="str">
        <f>銘柄管理!C305</f>
        <v>パンパシフィックＨＤ</v>
      </c>
      <c r="C305" s="1">
        <f>_xll.RssMarket("7532","高値")</f>
        <v>888.7</v>
      </c>
      <c r="E305" s="1">
        <v>899.9</v>
      </c>
      <c r="F305" s="1">
        <v>906.9</v>
      </c>
      <c r="G305" s="1">
        <v>928.9</v>
      </c>
      <c r="H305" s="1">
        <v>973</v>
      </c>
      <c r="I305" s="1">
        <v>984.5</v>
      </c>
      <c r="J305" s="1">
        <v>927.8</v>
      </c>
      <c r="K305" s="1">
        <v>894</v>
      </c>
      <c r="L305" s="1">
        <v>871</v>
      </c>
      <c r="M305" s="1">
        <v>862</v>
      </c>
      <c r="N305" s="1">
        <v>869.4</v>
      </c>
      <c r="O305" s="1">
        <v>895.9</v>
      </c>
      <c r="P305" s="1">
        <v>903.9</v>
      </c>
      <c r="Q305" s="1">
        <v>874.5</v>
      </c>
      <c r="R305" s="1">
        <v>890.6</v>
      </c>
      <c r="S305" s="1">
        <v>873.5</v>
      </c>
      <c r="T305" s="1">
        <v>867.6</v>
      </c>
      <c r="U305" s="1">
        <v>877.8</v>
      </c>
      <c r="V305" s="1">
        <v>882.6</v>
      </c>
      <c r="W305" s="1">
        <v>869.8</v>
      </c>
      <c r="X305" s="1">
        <v>852.7</v>
      </c>
      <c r="Y305" s="1">
        <v>847.6</v>
      </c>
      <c r="Z305" s="1">
        <v>829.5</v>
      </c>
      <c r="AA305" s="1">
        <v>818.1</v>
      </c>
      <c r="AB305" s="1">
        <v>854</v>
      </c>
      <c r="AC305" s="1">
        <v>846.4</v>
      </c>
      <c r="AD305" s="1">
        <v>828</v>
      </c>
      <c r="AE305" s="1">
        <v>831</v>
      </c>
      <c r="AF305" s="1">
        <v>832</v>
      </c>
      <c r="AG305" s="1">
        <v>824.4</v>
      </c>
      <c r="AH305" s="1">
        <v>822.3</v>
      </c>
      <c r="AI305" s="1">
        <v>828.7</v>
      </c>
      <c r="AJ305" s="1">
        <v>845.4</v>
      </c>
      <c r="AK305" s="1">
        <v>852.4</v>
      </c>
      <c r="AL305" s="1">
        <v>836.3</v>
      </c>
      <c r="AM305" s="1">
        <v>858.6</v>
      </c>
      <c r="AN305" s="1">
        <v>869.7</v>
      </c>
      <c r="AO305" s="1">
        <v>893.5</v>
      </c>
      <c r="AP305" s="1">
        <v>851.8</v>
      </c>
      <c r="AQ305" s="1">
        <v>856</v>
      </c>
      <c r="AR305" s="1">
        <v>843.7</v>
      </c>
      <c r="AS305" s="1">
        <v>844.4</v>
      </c>
      <c r="AT305" s="1">
        <v>829.4</v>
      </c>
      <c r="AU305" s="1">
        <v>833.5</v>
      </c>
      <c r="AV305" s="1">
        <v>907.4</v>
      </c>
      <c r="AW305" s="1">
        <v>861.9</v>
      </c>
      <c r="AX305" s="1">
        <v>819.4</v>
      </c>
      <c r="AY305" s="1">
        <v>865</v>
      </c>
      <c r="AZ305" s="1">
        <v>878.4</v>
      </c>
      <c r="BA305" s="1">
        <v>873.2</v>
      </c>
      <c r="BB305" s="1">
        <v>895.5</v>
      </c>
      <c r="BC305" s="1">
        <v>889.8</v>
      </c>
      <c r="BD305" s="1">
        <v>888.5</v>
      </c>
      <c r="BE305" s="1">
        <v>871.3</v>
      </c>
      <c r="BF305" s="1">
        <v>875.2</v>
      </c>
      <c r="BG305" s="1">
        <v>895.3</v>
      </c>
      <c r="BH305" s="1">
        <v>903.5</v>
      </c>
      <c r="BI305" s="1">
        <v>915.5</v>
      </c>
      <c r="BJ305" s="1">
        <v>897.8</v>
      </c>
      <c r="BK305" s="1">
        <v>892.2</v>
      </c>
      <c r="BL305" s="1">
        <v>899.9</v>
      </c>
      <c r="BM305" s="1">
        <v>890.3</v>
      </c>
      <c r="BN305" s="1">
        <v>910.5</v>
      </c>
      <c r="BO305" s="1">
        <v>920.6</v>
      </c>
      <c r="BP305" s="1">
        <v>921.6</v>
      </c>
      <c r="BQ305" s="1">
        <v>945.7</v>
      </c>
      <c r="BR305" s="1">
        <v>956.5</v>
      </c>
      <c r="BS305" s="1">
        <v>962.3</v>
      </c>
      <c r="BT305" s="1">
        <v>959.3</v>
      </c>
      <c r="BU305" s="1">
        <v>963.1</v>
      </c>
      <c r="BV305" s="1">
        <v>972.2</v>
      </c>
      <c r="BW305" s="1">
        <v>971.9</v>
      </c>
      <c r="BX305" s="1">
        <v>964.5</v>
      </c>
      <c r="BY305" s="1">
        <v>969</v>
      </c>
      <c r="BZ305" s="1">
        <v>952.6</v>
      </c>
    </row>
    <row r="306" spans="1:78">
      <c r="A306" s="64"/>
    </row>
    <row r="307" spans="1:78">
      <c r="A307" s="64"/>
    </row>
    <row r="308" spans="1:78">
      <c r="A308" s="64"/>
    </row>
    <row r="309" spans="1:78">
      <c r="A309" s="64"/>
    </row>
    <row r="310" spans="1:78">
      <c r="A310" s="64"/>
    </row>
    <row r="311" spans="1:78">
      <c r="A311" s="64"/>
    </row>
    <row r="312" spans="1:78">
      <c r="A312" s="64"/>
    </row>
    <row r="313" spans="1:78">
      <c r="A313" s="64"/>
    </row>
    <row r="314" spans="1:78">
      <c r="A314" s="64"/>
    </row>
    <row r="315" spans="1:78">
      <c r="A315" s="64"/>
    </row>
    <row r="316" spans="1:78">
      <c r="A316" s="64"/>
    </row>
    <row r="317" spans="1:78">
      <c r="A317" s="64"/>
    </row>
    <row r="318" spans="1:78">
      <c r="A318" s="64"/>
    </row>
    <row r="319" spans="1:78">
      <c r="A319" s="64"/>
    </row>
    <row r="320" spans="1:78">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WKq/0LF+FJmwbgrnVIfy1vjoeG3I6YlWsUlFwn0zqrMCL0JWrI4BCSHloHgTJpCdydH3kBmUMivGUbx40zNr/g==" saltValue="xBRXtTew+cfeG3Obod7c4g=="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CZ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104" ht="30" customHeight="1">
      <c r="A1" s="866" t="s">
        <v>0</v>
      </c>
      <c r="B1" s="848"/>
      <c r="C1" s="848"/>
      <c r="D1" s="848"/>
      <c r="E1" s="848"/>
      <c r="F1" s="848"/>
      <c r="G1" s="848"/>
      <c r="H1" s="848"/>
      <c r="I1" s="848"/>
      <c r="J1" s="848"/>
      <c r="K1" s="848"/>
      <c r="L1" s="848"/>
      <c r="M1" s="848"/>
      <c r="N1" s="848"/>
      <c r="O1" s="848"/>
      <c r="P1" s="848"/>
      <c r="Q1" s="848"/>
      <c r="R1" s="848"/>
      <c r="S1" s="848"/>
      <c r="T1" s="848"/>
      <c r="U1" s="848"/>
      <c r="V1" s="848"/>
      <c r="W1" s="848"/>
      <c r="X1" s="848"/>
      <c r="Y1" s="848"/>
      <c r="Z1" s="848"/>
      <c r="AA1" s="848"/>
      <c r="AB1" s="848"/>
      <c r="AC1" s="848"/>
      <c r="AD1" s="848"/>
      <c r="AE1" s="848"/>
      <c r="AF1" s="848"/>
      <c r="AG1" s="848"/>
      <c r="AH1" s="848"/>
      <c r="AI1" s="848"/>
      <c r="AJ1" s="848"/>
      <c r="AK1" s="848"/>
      <c r="AL1" s="848"/>
      <c r="AM1" s="848"/>
      <c r="AN1" s="848"/>
      <c r="AO1" s="848"/>
      <c r="AP1" s="848"/>
      <c r="AQ1" s="848"/>
      <c r="AR1" s="848"/>
      <c r="AS1" s="848"/>
      <c r="AT1" s="848"/>
      <c r="AU1" s="848"/>
      <c r="AV1" s="848"/>
      <c r="AW1" s="848"/>
      <c r="AX1" s="848"/>
      <c r="AY1" s="848"/>
      <c r="AZ1" s="848"/>
      <c r="BA1" s="848"/>
      <c r="BB1" s="848"/>
      <c r="BC1" s="848"/>
      <c r="BD1" s="848"/>
      <c r="BE1" s="848"/>
      <c r="BF1" s="848"/>
      <c r="BG1" s="848"/>
      <c r="BH1" s="848"/>
      <c r="BI1" s="848"/>
      <c r="BJ1" s="848"/>
      <c r="BK1" s="848"/>
      <c r="BL1" s="848"/>
    </row>
    <row r="2" spans="1:10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104" ht="14.1" customHeight="1">
      <c r="A3" s="177" t="s">
        <v>5</v>
      </c>
      <c r="B3" s="178"/>
      <c r="C3" s="205" t="s">
        <v>6</v>
      </c>
      <c r="D3" s="178"/>
      <c r="E3" s="179">
        <v>46238</v>
      </c>
      <c r="F3" s="179">
        <v>46237</v>
      </c>
      <c r="G3" s="179">
        <v>46234</v>
      </c>
      <c r="H3" s="179">
        <v>46233</v>
      </c>
      <c r="I3" s="179">
        <v>46232</v>
      </c>
      <c r="J3" s="179">
        <v>46231</v>
      </c>
      <c r="K3" s="179">
        <v>46230</v>
      </c>
      <c r="L3" s="179">
        <v>46229</v>
      </c>
      <c r="M3" s="179">
        <v>46226</v>
      </c>
      <c r="N3" s="179">
        <v>46225</v>
      </c>
      <c r="O3" s="179">
        <v>46224</v>
      </c>
      <c r="P3" s="179">
        <v>46220</v>
      </c>
      <c r="Q3" s="179">
        <v>46218</v>
      </c>
      <c r="R3" s="179">
        <v>46217</v>
      </c>
      <c r="S3" s="179">
        <v>46216</v>
      </c>
      <c r="T3" s="179">
        <v>46213</v>
      </c>
      <c r="U3" s="179">
        <v>46212</v>
      </c>
      <c r="V3" s="179">
        <v>46211</v>
      </c>
      <c r="W3" s="179">
        <v>46210</v>
      </c>
      <c r="X3" s="179">
        <v>46209</v>
      </c>
      <c r="Y3" s="179">
        <v>46206</v>
      </c>
      <c r="Z3" s="179">
        <v>46205</v>
      </c>
      <c r="AA3" s="179">
        <v>46204</v>
      </c>
      <c r="AB3" s="179">
        <v>46203</v>
      </c>
      <c r="AC3" s="179">
        <v>46202</v>
      </c>
      <c r="AD3" s="179">
        <v>46199</v>
      </c>
      <c r="AE3" s="179">
        <v>46198</v>
      </c>
      <c r="AF3" s="179">
        <v>46197</v>
      </c>
      <c r="AG3" s="179">
        <v>46196</v>
      </c>
      <c r="AH3" s="179">
        <v>46195</v>
      </c>
      <c r="AI3" s="179">
        <v>46192</v>
      </c>
      <c r="AJ3" s="179">
        <v>46191</v>
      </c>
      <c r="AK3" s="179">
        <v>46190</v>
      </c>
      <c r="AL3" s="179">
        <v>46189</v>
      </c>
      <c r="AM3" s="179">
        <v>46188</v>
      </c>
      <c r="AN3" s="179">
        <v>46185</v>
      </c>
      <c r="AO3" s="179">
        <v>46184</v>
      </c>
      <c r="AP3" s="179">
        <v>46183</v>
      </c>
      <c r="AQ3" s="179">
        <v>46181</v>
      </c>
      <c r="AR3" s="179">
        <v>46178</v>
      </c>
      <c r="AS3" s="179">
        <v>46177</v>
      </c>
      <c r="AT3" s="179">
        <v>46176</v>
      </c>
      <c r="AU3" s="179">
        <v>46175</v>
      </c>
      <c r="AV3" s="179">
        <v>46171</v>
      </c>
      <c r="AW3" s="179">
        <v>46170</v>
      </c>
      <c r="AX3" s="179">
        <v>46169</v>
      </c>
      <c r="AY3" s="179">
        <v>46167</v>
      </c>
      <c r="AZ3" s="179">
        <v>46164</v>
      </c>
      <c r="BA3" s="179">
        <v>46163</v>
      </c>
      <c r="BB3" s="179">
        <v>46162</v>
      </c>
      <c r="BC3" s="179">
        <v>46161</v>
      </c>
      <c r="BD3" s="179">
        <v>46160</v>
      </c>
      <c r="BE3" s="179">
        <v>46157</v>
      </c>
      <c r="BF3" s="179">
        <v>46156</v>
      </c>
      <c r="BG3" s="179">
        <v>46155</v>
      </c>
      <c r="BH3" s="179">
        <v>46154</v>
      </c>
      <c r="BI3" s="179">
        <v>46153</v>
      </c>
      <c r="BJ3" s="179">
        <v>46150</v>
      </c>
      <c r="BK3" s="179">
        <v>46149</v>
      </c>
      <c r="BL3" s="179">
        <v>46143</v>
      </c>
      <c r="BM3" s="895">
        <v>46142</v>
      </c>
      <c r="BN3" s="895">
        <v>46140</v>
      </c>
      <c r="BO3" s="895">
        <v>46139</v>
      </c>
      <c r="BP3" s="895">
        <v>46136</v>
      </c>
      <c r="BQ3" s="895">
        <v>46135</v>
      </c>
      <c r="BR3" s="895">
        <v>46134</v>
      </c>
      <c r="BS3" s="895">
        <v>46133</v>
      </c>
      <c r="BT3" s="895">
        <v>46132</v>
      </c>
      <c r="BU3" s="895">
        <v>46129</v>
      </c>
      <c r="BV3" s="895">
        <v>46128</v>
      </c>
      <c r="BW3" s="895">
        <v>46127</v>
      </c>
      <c r="BX3" s="895">
        <v>46126</v>
      </c>
      <c r="BY3" s="895">
        <v>46125</v>
      </c>
      <c r="BZ3" s="895">
        <v>46122</v>
      </c>
      <c r="CA3" s="895"/>
      <c r="CB3" s="895"/>
      <c r="CC3" s="895"/>
      <c r="CD3" s="895"/>
      <c r="CE3" s="895"/>
      <c r="CF3" s="895"/>
      <c r="CG3" s="895"/>
      <c r="CH3" s="895"/>
      <c r="CI3" s="895"/>
      <c r="CJ3" s="895"/>
      <c r="CK3" s="895"/>
      <c r="CL3" s="895"/>
      <c r="CM3" s="895"/>
      <c r="CN3" s="895"/>
      <c r="CO3" s="895"/>
      <c r="CP3" s="895"/>
      <c r="CQ3" s="895"/>
      <c r="CR3" s="895"/>
      <c r="CS3" s="895"/>
      <c r="CT3" s="895"/>
      <c r="CU3" s="895"/>
      <c r="CV3" s="895"/>
      <c r="CW3" s="895"/>
      <c r="CX3" s="895"/>
      <c r="CY3" s="895"/>
      <c r="CZ3" s="895"/>
    </row>
    <row r="4" spans="1:10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15.9" customHeight="1">
      <c r="A5" s="24" t="str">
        <f>IF(銘柄管理!B5="","",銘柄管理!B5)</f>
        <v>TOPX</v>
      </c>
      <c r="B5" s="41">
        <f>IF(銘柄管理!C5="","",銘柄管理!C5)</f>
        <v>4037.09</v>
      </c>
      <c r="C5" s="42">
        <f t="array" ref="C5">_xll.RssIndexMarket("TOPX", "安値")</f>
        <v>3980.38</v>
      </c>
      <c r="D5" s="43">
        <f>IF(OR(C5=0,E5=0),"",C5-E5)</f>
        <v>54.050000000000182</v>
      </c>
      <c r="E5" s="20">
        <v>3926.33</v>
      </c>
      <c r="F5" s="20">
        <v>3880.3</v>
      </c>
      <c r="G5" s="20">
        <v>3951.22</v>
      </c>
      <c r="H5" s="20">
        <v>3918.87</v>
      </c>
      <c r="I5" s="20">
        <v>3931.58</v>
      </c>
      <c r="J5" s="20">
        <v>3944.71</v>
      </c>
      <c r="K5" s="20">
        <v>4018.73</v>
      </c>
      <c r="L5" s="20">
        <v>3993.3</v>
      </c>
      <c r="M5" s="20">
        <v>4033.39</v>
      </c>
      <c r="N5" s="20">
        <v>4017.02</v>
      </c>
      <c r="O5" s="20">
        <v>3930.17</v>
      </c>
      <c r="P5" s="20">
        <v>3859.13</v>
      </c>
      <c r="Q5" s="20">
        <v>4035.73</v>
      </c>
      <c r="R5" s="20">
        <v>3984.49</v>
      </c>
      <c r="S5" s="20">
        <v>3986.18</v>
      </c>
      <c r="T5" s="20">
        <v>4030.28</v>
      </c>
      <c r="U5" s="20">
        <v>3995.49</v>
      </c>
      <c r="V5" s="20">
        <v>4006.43</v>
      </c>
      <c r="W5" s="20">
        <v>4055.32</v>
      </c>
      <c r="X5" s="20">
        <v>4067.71</v>
      </c>
      <c r="Y5" s="20">
        <v>4002.27</v>
      </c>
      <c r="Z5" s="20">
        <v>4001.69</v>
      </c>
      <c r="AA5" s="20">
        <v>3998.13</v>
      </c>
      <c r="AB5" s="20">
        <v>3972.49</v>
      </c>
      <c r="AC5" s="20">
        <v>3940.45</v>
      </c>
      <c r="AD5" s="20">
        <v>3931.13</v>
      </c>
      <c r="AE5" s="20">
        <v>3987.08</v>
      </c>
      <c r="AF5" s="20">
        <v>3938.94</v>
      </c>
      <c r="AG5" s="20">
        <v>3990.38</v>
      </c>
      <c r="AH5" s="20">
        <v>4028.61</v>
      </c>
      <c r="AI5" s="20">
        <v>4018.69</v>
      </c>
      <c r="AJ5" s="20">
        <v>4028.43</v>
      </c>
      <c r="AK5" s="20">
        <v>3989.06</v>
      </c>
      <c r="AL5" s="20">
        <v>3980.34</v>
      </c>
      <c r="AM5" s="20">
        <v>3927.17</v>
      </c>
      <c r="AN5" s="20">
        <v>3859.97</v>
      </c>
      <c r="AO5" s="20">
        <v>3766</v>
      </c>
      <c r="AP5" s="21">
        <v>3828.49</v>
      </c>
      <c r="AQ5" s="21">
        <v>3820.06</v>
      </c>
      <c r="AR5" s="21">
        <v>3931.13</v>
      </c>
      <c r="AS5" s="21">
        <v>3932.81</v>
      </c>
      <c r="AT5" s="21">
        <v>3943.25</v>
      </c>
      <c r="AU5" s="21">
        <v>3874.88</v>
      </c>
      <c r="AV5" s="21">
        <v>3914.77</v>
      </c>
      <c r="AW5" s="21">
        <v>3864.22</v>
      </c>
      <c r="AX5" s="21">
        <v>3917.49</v>
      </c>
      <c r="AY5" s="21">
        <v>3891.62</v>
      </c>
      <c r="AZ5" s="21">
        <v>3855.77</v>
      </c>
      <c r="BA5" s="21">
        <v>3816.66</v>
      </c>
      <c r="BB5" s="21">
        <v>3764.5</v>
      </c>
      <c r="BC5" s="21">
        <v>3833.64</v>
      </c>
      <c r="BD5" s="21">
        <v>3814.22</v>
      </c>
      <c r="BE5" s="21">
        <v>3830.54</v>
      </c>
      <c r="BF5" s="21">
        <v>3877.44</v>
      </c>
      <c r="BG5" s="21"/>
      <c r="BH5" s="21"/>
      <c r="BI5" s="21"/>
      <c r="BJ5" s="21"/>
      <c r="BK5" s="21"/>
      <c r="BL5" s="21"/>
    </row>
    <row r="6" spans="1:104" ht="15.9" customHeight="1">
      <c r="A6" s="65" t="s">
        <v>7</v>
      </c>
      <c r="B6" s="41" t="s">
        <v>8</v>
      </c>
      <c r="C6" s="45">
        <f>_xll.RssMarket("5706","安値")</f>
        <v>33370</v>
      </c>
      <c r="D6" s="16">
        <f t="shared" ref="D6:D37" si="0">C6-E6</f>
        <v>2930</v>
      </c>
      <c r="E6" s="20">
        <v>30440</v>
      </c>
      <c r="F6" s="20">
        <v>29610</v>
      </c>
      <c r="G6" s="20">
        <v>30110</v>
      </c>
      <c r="H6" s="20">
        <v>24950</v>
      </c>
      <c r="I6" s="20">
        <v>24780</v>
      </c>
      <c r="J6" s="20">
        <v>27720</v>
      </c>
      <c r="K6" s="20">
        <v>30240</v>
      </c>
      <c r="L6" s="20">
        <v>31380</v>
      </c>
      <c r="M6" s="20">
        <v>33320</v>
      </c>
      <c r="N6" s="20">
        <v>33390</v>
      </c>
      <c r="O6" s="20">
        <v>29335</v>
      </c>
      <c r="P6" s="20">
        <v>28595</v>
      </c>
      <c r="Q6" s="20">
        <v>33750</v>
      </c>
      <c r="R6" s="20">
        <v>33260</v>
      </c>
      <c r="S6" s="20">
        <v>34460</v>
      </c>
      <c r="T6" s="20">
        <v>36120</v>
      </c>
      <c r="U6" s="20">
        <v>34280</v>
      </c>
      <c r="V6" s="20">
        <v>33700</v>
      </c>
      <c r="W6" s="20">
        <v>35270</v>
      </c>
      <c r="X6" s="20">
        <v>37160</v>
      </c>
      <c r="Y6" s="20">
        <v>36190</v>
      </c>
      <c r="Z6" s="20">
        <v>38080</v>
      </c>
      <c r="AA6" s="20">
        <v>42180</v>
      </c>
      <c r="AB6" s="20">
        <v>41700</v>
      </c>
      <c r="AC6" s="20">
        <v>40360</v>
      </c>
      <c r="AD6" s="20">
        <v>41950</v>
      </c>
      <c r="AE6" s="20">
        <v>45440</v>
      </c>
      <c r="AF6" s="20">
        <v>45110</v>
      </c>
      <c r="AG6" s="20">
        <v>45730</v>
      </c>
      <c r="AH6" s="20">
        <v>49650</v>
      </c>
      <c r="AI6" s="20">
        <v>47110</v>
      </c>
      <c r="AJ6" s="20">
        <v>46990</v>
      </c>
      <c r="AK6" s="20">
        <v>46090</v>
      </c>
      <c r="AL6" s="20">
        <v>44990</v>
      </c>
      <c r="AM6" s="20">
        <v>44610</v>
      </c>
      <c r="AN6" s="20">
        <v>40530</v>
      </c>
      <c r="AO6" s="20">
        <v>35040</v>
      </c>
      <c r="AP6" s="21">
        <v>36240</v>
      </c>
      <c r="AQ6" s="21">
        <v>40040</v>
      </c>
      <c r="AR6" s="21">
        <v>42530</v>
      </c>
      <c r="AS6" s="21">
        <v>45100</v>
      </c>
      <c r="AT6" s="21">
        <v>47220</v>
      </c>
      <c r="AU6" s="21">
        <v>48260</v>
      </c>
      <c r="AV6" s="21">
        <v>48810</v>
      </c>
      <c r="AW6" s="21">
        <v>47830</v>
      </c>
      <c r="AX6" s="21">
        <v>51630</v>
      </c>
      <c r="AY6" s="21">
        <v>50080</v>
      </c>
      <c r="AZ6" s="21">
        <v>47080</v>
      </c>
      <c r="BA6" s="21">
        <v>44570</v>
      </c>
      <c r="BB6" s="21">
        <v>43020</v>
      </c>
      <c r="BC6" s="21">
        <v>43900</v>
      </c>
      <c r="BD6" s="21">
        <v>45210</v>
      </c>
      <c r="BE6" s="21">
        <v>45280</v>
      </c>
      <c r="BF6" s="21">
        <v>47900</v>
      </c>
      <c r="BG6" s="21">
        <v>49810</v>
      </c>
      <c r="BH6" s="21">
        <v>49640</v>
      </c>
      <c r="BI6" s="21">
        <v>50300</v>
      </c>
      <c r="BJ6" s="21">
        <v>47320</v>
      </c>
      <c r="BK6" s="21">
        <v>45500</v>
      </c>
      <c r="BL6" s="21">
        <v>41050</v>
      </c>
      <c r="BM6" s="1">
        <v>40560</v>
      </c>
      <c r="BN6" s="1">
        <v>39380</v>
      </c>
      <c r="BO6" s="1">
        <v>37120</v>
      </c>
      <c r="BP6" s="1">
        <v>37620</v>
      </c>
      <c r="BQ6" s="1">
        <v>36400</v>
      </c>
      <c r="BR6" s="1">
        <v>36230</v>
      </c>
      <c r="BS6" s="1">
        <v>35770</v>
      </c>
      <c r="BT6" s="1">
        <v>35400</v>
      </c>
      <c r="BU6" s="1">
        <v>36390</v>
      </c>
      <c r="BV6" s="1">
        <v>35730</v>
      </c>
      <c r="BW6" s="1">
        <v>35380</v>
      </c>
      <c r="BX6" s="1">
        <v>37950</v>
      </c>
      <c r="BY6" s="1">
        <v>35470</v>
      </c>
      <c r="BZ6" s="1">
        <v>34800</v>
      </c>
    </row>
    <row r="7" spans="1:104" ht="15.9" customHeight="1">
      <c r="A7" s="65" t="s">
        <v>9</v>
      </c>
      <c r="B7" s="41" t="s">
        <v>10</v>
      </c>
      <c r="C7" s="45">
        <f>_xll.RssMarket("5423","安値")</f>
        <v>1689</v>
      </c>
      <c r="D7" s="16">
        <f t="shared" si="0"/>
        <v>11</v>
      </c>
      <c r="E7" s="20">
        <v>1678</v>
      </c>
      <c r="F7" s="20">
        <v>1694</v>
      </c>
      <c r="G7" s="20">
        <v>1750</v>
      </c>
      <c r="H7" s="20">
        <v>1737</v>
      </c>
      <c r="I7" s="20">
        <v>1761</v>
      </c>
      <c r="J7" s="20">
        <v>1736</v>
      </c>
      <c r="K7" s="20">
        <v>1690</v>
      </c>
      <c r="L7" s="20">
        <v>1680</v>
      </c>
      <c r="M7" s="20">
        <v>1703</v>
      </c>
      <c r="N7" s="20">
        <v>1700</v>
      </c>
      <c r="O7" s="20">
        <v>1692</v>
      </c>
      <c r="P7" s="20">
        <v>1579</v>
      </c>
      <c r="Q7" s="20">
        <v>1753</v>
      </c>
      <c r="R7" s="20">
        <v>1701</v>
      </c>
      <c r="S7" s="20">
        <v>1718</v>
      </c>
      <c r="T7" s="20">
        <v>1707</v>
      </c>
      <c r="U7" s="20">
        <v>1711</v>
      </c>
      <c r="V7" s="20">
        <v>1744</v>
      </c>
      <c r="W7" s="20">
        <v>1731</v>
      </c>
      <c r="X7" s="20">
        <v>1740</v>
      </c>
      <c r="Y7" s="20">
        <v>1719</v>
      </c>
      <c r="Z7" s="20">
        <v>1701</v>
      </c>
      <c r="AA7" s="20">
        <v>1676</v>
      </c>
      <c r="AB7" s="20">
        <v>1682</v>
      </c>
      <c r="AC7" s="20">
        <v>1674</v>
      </c>
      <c r="AD7" s="20">
        <v>1661</v>
      </c>
      <c r="AE7" s="20">
        <v>1677</v>
      </c>
      <c r="AF7" s="20">
        <v>1706</v>
      </c>
      <c r="AG7" s="20">
        <v>1739</v>
      </c>
      <c r="AH7" s="20">
        <v>1763</v>
      </c>
      <c r="AI7" s="20">
        <v>1731</v>
      </c>
      <c r="AJ7" s="20">
        <v>1759</v>
      </c>
      <c r="AK7" s="20">
        <v>1749</v>
      </c>
      <c r="AL7" s="20">
        <v>1722</v>
      </c>
      <c r="AM7" s="20">
        <v>1713</v>
      </c>
      <c r="AN7" s="20">
        <v>1703</v>
      </c>
      <c r="AO7" s="20">
        <v>1645</v>
      </c>
      <c r="AP7" s="21">
        <v>1664</v>
      </c>
      <c r="AQ7" s="21">
        <v>1683</v>
      </c>
      <c r="AR7" s="21">
        <v>1686</v>
      </c>
      <c r="AS7" s="21">
        <v>1696</v>
      </c>
      <c r="AT7" s="21">
        <v>1681</v>
      </c>
      <c r="AU7" s="21">
        <v>1663</v>
      </c>
      <c r="AV7" s="21">
        <v>1696</v>
      </c>
      <c r="AW7" s="21">
        <v>1688</v>
      </c>
      <c r="AX7" s="21">
        <v>1697</v>
      </c>
      <c r="AY7" s="21">
        <v>1700</v>
      </c>
      <c r="AZ7" s="21">
        <v>1725</v>
      </c>
      <c r="BA7" s="21">
        <v>1709</v>
      </c>
      <c r="BB7" s="21">
        <v>1694</v>
      </c>
      <c r="BC7" s="21">
        <v>1740</v>
      </c>
      <c r="BD7" s="21">
        <v>1782</v>
      </c>
      <c r="BE7" s="21">
        <v>1816</v>
      </c>
      <c r="BF7" s="21">
        <v>1717</v>
      </c>
      <c r="BG7" s="21">
        <v>1661</v>
      </c>
      <c r="BH7" s="21">
        <v>1660</v>
      </c>
      <c r="BI7" s="21">
        <v>1642</v>
      </c>
      <c r="BJ7" s="21">
        <v>1653</v>
      </c>
      <c r="BK7" s="21">
        <v>1664</v>
      </c>
      <c r="BL7" s="21">
        <v>1659</v>
      </c>
      <c r="BM7" s="1">
        <v>1662</v>
      </c>
      <c r="BN7" s="1">
        <v>1651</v>
      </c>
      <c r="BO7" s="1">
        <v>1605</v>
      </c>
      <c r="BP7" s="1">
        <v>1616</v>
      </c>
      <c r="BQ7" s="1">
        <v>1736</v>
      </c>
      <c r="BR7" s="1">
        <v>1786</v>
      </c>
      <c r="BS7" s="1">
        <v>1783</v>
      </c>
      <c r="BT7" s="1">
        <v>1758</v>
      </c>
      <c r="BU7" s="1">
        <v>1748</v>
      </c>
      <c r="BV7" s="1">
        <v>1741</v>
      </c>
      <c r="BW7" s="1">
        <v>1707</v>
      </c>
      <c r="BX7" s="1">
        <v>1714</v>
      </c>
      <c r="BY7" s="1">
        <v>1700</v>
      </c>
      <c r="BZ7" s="1">
        <v>1736</v>
      </c>
    </row>
    <row r="8" spans="1:104" ht="15.9" customHeight="1">
      <c r="A8" s="65" t="s">
        <v>11</v>
      </c>
      <c r="B8" s="41" t="s">
        <v>12</v>
      </c>
      <c r="C8" s="45">
        <f>_xll.RssMarket("5713","安値")</f>
        <v>8233</v>
      </c>
      <c r="D8" s="16">
        <f t="shared" si="0"/>
        <v>422</v>
      </c>
      <c r="E8" s="22">
        <v>7811</v>
      </c>
      <c r="F8" s="22">
        <v>7705</v>
      </c>
      <c r="G8" s="22">
        <v>7782</v>
      </c>
      <c r="H8" s="22">
        <v>7134</v>
      </c>
      <c r="I8" s="22">
        <v>6969</v>
      </c>
      <c r="J8" s="22">
        <v>7300</v>
      </c>
      <c r="K8" s="22">
        <v>7506</v>
      </c>
      <c r="L8" s="22">
        <v>7405</v>
      </c>
      <c r="M8" s="22">
        <v>7754</v>
      </c>
      <c r="N8" s="22">
        <v>7455</v>
      </c>
      <c r="O8" s="22">
        <v>6923</v>
      </c>
      <c r="P8" s="22">
        <v>6578</v>
      </c>
      <c r="Q8" s="22">
        <v>7261</v>
      </c>
      <c r="R8" s="22">
        <v>6922</v>
      </c>
      <c r="S8" s="22">
        <v>7023</v>
      </c>
      <c r="T8" s="22">
        <v>7224</v>
      </c>
      <c r="U8" s="22">
        <v>7103</v>
      </c>
      <c r="V8" s="22">
        <v>7294</v>
      </c>
      <c r="W8" s="22">
        <v>7396</v>
      </c>
      <c r="X8" s="22">
        <v>7856</v>
      </c>
      <c r="Y8" s="22">
        <v>7581</v>
      </c>
      <c r="Z8" s="22">
        <v>7401</v>
      </c>
      <c r="AA8" s="22">
        <v>7303</v>
      </c>
      <c r="AB8" s="22">
        <v>7432</v>
      </c>
      <c r="AC8" s="22">
        <v>7227</v>
      </c>
      <c r="AD8" s="22">
        <v>7498</v>
      </c>
      <c r="AE8" s="22">
        <v>7637</v>
      </c>
      <c r="AF8" s="22">
        <v>7844</v>
      </c>
      <c r="AG8" s="22">
        <v>8214</v>
      </c>
      <c r="AH8" s="22">
        <v>8486</v>
      </c>
      <c r="AI8" s="22">
        <v>8580</v>
      </c>
      <c r="AJ8" s="22">
        <v>9001</v>
      </c>
      <c r="AK8" s="22">
        <v>8779</v>
      </c>
      <c r="AL8" s="22">
        <v>8863</v>
      </c>
      <c r="AM8" s="22">
        <v>8851</v>
      </c>
      <c r="AN8" s="22">
        <v>8215</v>
      </c>
      <c r="AO8" s="22">
        <v>7477</v>
      </c>
      <c r="AP8" s="21">
        <v>7597</v>
      </c>
      <c r="AQ8" s="21">
        <v>7881</v>
      </c>
      <c r="AR8" s="21">
        <v>8509</v>
      </c>
      <c r="AS8" s="21">
        <v>8617</v>
      </c>
      <c r="AT8" s="21">
        <v>9000</v>
      </c>
      <c r="AU8" s="21">
        <v>8413</v>
      </c>
      <c r="AV8" s="21">
        <v>8810</v>
      </c>
      <c r="AW8" s="21">
        <v>8691</v>
      </c>
      <c r="AX8" s="21">
        <v>9580</v>
      </c>
      <c r="AY8" s="21">
        <v>9681</v>
      </c>
      <c r="AZ8" s="21">
        <v>9363</v>
      </c>
      <c r="BA8" s="21">
        <v>9003</v>
      </c>
      <c r="BB8" s="21">
        <v>8872</v>
      </c>
      <c r="BC8" s="21">
        <v>9088</v>
      </c>
      <c r="BD8" s="21">
        <v>9538</v>
      </c>
      <c r="BE8" s="21">
        <v>10110</v>
      </c>
      <c r="BF8" s="21">
        <v>10560</v>
      </c>
      <c r="BG8" s="21">
        <v>10620</v>
      </c>
      <c r="BH8" s="21">
        <v>10565</v>
      </c>
      <c r="BI8" s="21">
        <v>9532</v>
      </c>
      <c r="BJ8" s="21">
        <v>10030</v>
      </c>
      <c r="BK8" s="21">
        <v>9845</v>
      </c>
      <c r="BL8" s="21">
        <v>9259</v>
      </c>
      <c r="BM8" s="1">
        <v>9306</v>
      </c>
      <c r="BN8" s="1">
        <v>9631</v>
      </c>
      <c r="BO8" s="1">
        <v>9305</v>
      </c>
      <c r="BP8" s="1">
        <v>9663</v>
      </c>
      <c r="BQ8" s="1">
        <v>9558</v>
      </c>
      <c r="BR8" s="1">
        <v>9826</v>
      </c>
      <c r="BS8" s="1">
        <v>10030</v>
      </c>
      <c r="BT8" s="1">
        <v>10005</v>
      </c>
      <c r="BU8" s="1">
        <v>10150</v>
      </c>
      <c r="BV8" s="1">
        <v>10530</v>
      </c>
      <c r="BW8" s="1">
        <v>10440</v>
      </c>
      <c r="BX8" s="1">
        <v>10130</v>
      </c>
      <c r="BY8" s="1">
        <v>9755</v>
      </c>
      <c r="BZ8" s="1">
        <v>9820</v>
      </c>
    </row>
    <row r="9" spans="1:104" ht="15.9" customHeight="1">
      <c r="A9" s="65" t="s">
        <v>13</v>
      </c>
      <c r="B9" s="41" t="s">
        <v>14</v>
      </c>
      <c r="C9" s="45">
        <f>_xll.RssMarket("5711","安値")</f>
        <v>4230</v>
      </c>
      <c r="D9" s="16">
        <f t="shared" si="0"/>
        <v>125</v>
      </c>
      <c r="E9" s="21">
        <v>4105</v>
      </c>
      <c r="F9" s="21">
        <v>3970</v>
      </c>
      <c r="G9" s="21">
        <v>4030</v>
      </c>
      <c r="H9" s="21">
        <v>3894</v>
      </c>
      <c r="I9" s="21">
        <v>3825</v>
      </c>
      <c r="J9" s="21">
        <v>4012</v>
      </c>
      <c r="K9" s="21">
        <v>4114</v>
      </c>
      <c r="L9" s="21">
        <v>4139</v>
      </c>
      <c r="M9" s="21">
        <v>4247</v>
      </c>
      <c r="N9" s="21">
        <v>4189</v>
      </c>
      <c r="O9" s="21">
        <v>3999</v>
      </c>
      <c r="P9" s="21">
        <v>3854</v>
      </c>
      <c r="Q9" s="21">
        <v>4186</v>
      </c>
      <c r="R9" s="21">
        <v>3958</v>
      </c>
      <c r="S9" s="21">
        <v>3987</v>
      </c>
      <c r="T9" s="21">
        <v>3974</v>
      </c>
      <c r="U9" s="21">
        <v>3927</v>
      </c>
      <c r="V9" s="21">
        <v>4242</v>
      </c>
      <c r="W9" s="21">
        <v>4339</v>
      </c>
      <c r="X9" s="21">
        <v>4531</v>
      </c>
      <c r="Y9" s="21">
        <v>4403</v>
      </c>
      <c r="Z9" s="21">
        <v>4369</v>
      </c>
      <c r="AA9" s="21">
        <v>4289</v>
      </c>
      <c r="AB9" s="21">
        <v>4235</v>
      </c>
      <c r="AC9" s="21">
        <v>4160</v>
      </c>
      <c r="AD9" s="21">
        <v>4291</v>
      </c>
      <c r="AE9" s="21">
        <v>4403</v>
      </c>
      <c r="AF9" s="21">
        <v>4505</v>
      </c>
      <c r="AG9" s="21">
        <v>4581</v>
      </c>
      <c r="AH9" s="21">
        <v>4830</v>
      </c>
      <c r="AI9" s="21">
        <v>4794</v>
      </c>
      <c r="AJ9" s="21">
        <v>4837</v>
      </c>
      <c r="AK9" s="21">
        <v>4842</v>
      </c>
      <c r="AL9" s="21">
        <v>4898</v>
      </c>
      <c r="AM9" s="21">
        <v>4883</v>
      </c>
      <c r="AN9" s="21">
        <v>4510</v>
      </c>
      <c r="AO9" s="21">
        <v>4276</v>
      </c>
      <c r="AP9" s="21">
        <v>4448</v>
      </c>
      <c r="AQ9" s="21">
        <v>4537</v>
      </c>
      <c r="AR9" s="21">
        <v>4850</v>
      </c>
      <c r="AS9" s="21">
        <v>4950</v>
      </c>
      <c r="AT9" s="21">
        <v>5087</v>
      </c>
      <c r="AU9" s="21">
        <v>4920</v>
      </c>
      <c r="AV9" s="21">
        <v>5048</v>
      </c>
      <c r="AW9" s="21">
        <v>5036</v>
      </c>
      <c r="AX9" s="21">
        <v>5260</v>
      </c>
      <c r="AY9" s="21">
        <v>5132</v>
      </c>
      <c r="AZ9" s="21">
        <v>5036</v>
      </c>
      <c r="BA9" s="21">
        <v>4782</v>
      </c>
      <c r="BB9" s="21">
        <v>4691</v>
      </c>
      <c r="BC9" s="21">
        <v>4903</v>
      </c>
      <c r="BD9" s="21">
        <v>5035</v>
      </c>
      <c r="BE9" s="21">
        <v>5321</v>
      </c>
      <c r="BF9" s="21">
        <v>5285</v>
      </c>
      <c r="BG9" s="21">
        <v>5833</v>
      </c>
      <c r="BH9" s="21">
        <v>5560</v>
      </c>
      <c r="BI9" s="21">
        <v>5511</v>
      </c>
      <c r="BJ9" s="21">
        <v>5284</v>
      </c>
      <c r="BK9" s="21">
        <v>5243</v>
      </c>
      <c r="BL9" s="21">
        <v>5010</v>
      </c>
      <c r="BM9" s="1">
        <v>4990</v>
      </c>
      <c r="BN9" s="1">
        <v>5145</v>
      </c>
      <c r="BO9" s="1">
        <v>5076</v>
      </c>
      <c r="BP9" s="1">
        <v>5229</v>
      </c>
      <c r="BQ9" s="1">
        <v>5209</v>
      </c>
      <c r="BR9" s="1">
        <v>5358</v>
      </c>
      <c r="BS9" s="1">
        <v>5500</v>
      </c>
      <c r="BT9" s="1">
        <v>5473</v>
      </c>
      <c r="BU9" s="1">
        <v>5523</v>
      </c>
      <c r="BV9" s="1">
        <v>5678</v>
      </c>
      <c r="BW9" s="1">
        <v>5557</v>
      </c>
      <c r="BX9" s="1">
        <v>5586</v>
      </c>
      <c r="BY9" s="1">
        <v>5390</v>
      </c>
      <c r="BZ9" s="1">
        <v>5505</v>
      </c>
    </row>
    <row r="10" spans="1:104" ht="15.9" customHeight="1">
      <c r="A10" s="65" t="s">
        <v>15</v>
      </c>
      <c r="B10" s="41" t="s">
        <v>16</v>
      </c>
      <c r="C10" s="45">
        <f>_xll.RssMarket("5714","安値")</f>
        <v>8330</v>
      </c>
      <c r="D10" s="16">
        <f t="shared" si="0"/>
        <v>237</v>
      </c>
      <c r="E10" s="21">
        <v>8093</v>
      </c>
      <c r="F10" s="21">
        <v>7907</v>
      </c>
      <c r="G10" s="21">
        <v>8010</v>
      </c>
      <c r="H10" s="21">
        <v>7818</v>
      </c>
      <c r="I10" s="21">
        <v>7685</v>
      </c>
      <c r="J10" s="21">
        <v>7977</v>
      </c>
      <c r="K10" s="21">
        <v>8229</v>
      </c>
      <c r="L10" s="21">
        <v>8180</v>
      </c>
      <c r="M10" s="21">
        <v>8466</v>
      </c>
      <c r="N10" s="21">
        <v>8428</v>
      </c>
      <c r="O10" s="21">
        <v>7906</v>
      </c>
      <c r="P10" s="21">
        <v>7725</v>
      </c>
      <c r="Q10" s="21">
        <v>8354</v>
      </c>
      <c r="R10" s="21">
        <v>8116</v>
      </c>
      <c r="S10" s="21">
        <v>8171</v>
      </c>
      <c r="T10" s="21">
        <v>8347</v>
      </c>
      <c r="U10" s="21">
        <v>8220</v>
      </c>
      <c r="V10" s="21">
        <v>8403</v>
      </c>
      <c r="W10" s="21">
        <v>8547</v>
      </c>
      <c r="X10" s="21">
        <v>8821</v>
      </c>
      <c r="Y10" s="21">
        <v>8667</v>
      </c>
      <c r="Z10" s="21">
        <v>8596</v>
      </c>
      <c r="AA10" s="21">
        <v>8530</v>
      </c>
      <c r="AB10" s="21">
        <v>8526</v>
      </c>
      <c r="AC10" s="21">
        <v>8510</v>
      </c>
      <c r="AD10" s="21">
        <v>8602</v>
      </c>
      <c r="AE10" s="21">
        <v>8728</v>
      </c>
      <c r="AF10" s="21">
        <v>8774</v>
      </c>
      <c r="AG10" s="21">
        <v>9172</v>
      </c>
      <c r="AH10" s="21">
        <v>9477</v>
      </c>
      <c r="AI10" s="21">
        <v>9369</v>
      </c>
      <c r="AJ10" s="21">
        <v>9702</v>
      </c>
      <c r="AK10" s="21">
        <v>9615</v>
      </c>
      <c r="AL10" s="21">
        <v>9685</v>
      </c>
      <c r="AM10" s="21">
        <v>9652</v>
      </c>
      <c r="AN10" s="21">
        <v>9139</v>
      </c>
      <c r="AO10" s="21">
        <v>8656</v>
      </c>
      <c r="AP10" s="21">
        <v>8910</v>
      </c>
      <c r="AQ10" s="21">
        <v>9165</v>
      </c>
      <c r="AR10" s="21">
        <v>9800</v>
      </c>
      <c r="AS10" s="21">
        <v>9710</v>
      </c>
      <c r="AT10" s="21">
        <v>10230</v>
      </c>
      <c r="AU10" s="21">
        <v>9886</v>
      </c>
      <c r="AV10" s="21">
        <v>10270</v>
      </c>
      <c r="AW10" s="21">
        <v>10285</v>
      </c>
      <c r="AX10" s="21">
        <v>10605</v>
      </c>
      <c r="AY10" s="21">
        <v>10720</v>
      </c>
      <c r="AZ10" s="21">
        <v>10240</v>
      </c>
      <c r="BA10" s="21">
        <v>10020</v>
      </c>
      <c r="BB10" s="21">
        <v>9897</v>
      </c>
      <c r="BC10" s="21">
        <v>10300</v>
      </c>
      <c r="BD10" s="21">
        <v>11120</v>
      </c>
      <c r="BE10" s="21">
        <v>11390</v>
      </c>
      <c r="BF10" s="21">
        <v>9914</v>
      </c>
      <c r="BG10" s="21">
        <v>10200</v>
      </c>
      <c r="BH10" s="21">
        <v>10260</v>
      </c>
      <c r="BI10" s="21">
        <v>10270</v>
      </c>
      <c r="BJ10" s="21">
        <v>9729</v>
      </c>
      <c r="BK10" s="21">
        <v>9573</v>
      </c>
      <c r="BL10" s="21">
        <v>9390</v>
      </c>
      <c r="BM10" s="1">
        <v>9356</v>
      </c>
      <c r="BN10" s="1">
        <v>9506</v>
      </c>
      <c r="BO10" s="1">
        <v>9378</v>
      </c>
      <c r="BP10" s="1">
        <v>9524</v>
      </c>
      <c r="BQ10" s="1">
        <v>9543</v>
      </c>
      <c r="BR10" s="1">
        <v>9650</v>
      </c>
      <c r="BS10" s="1">
        <v>9838</v>
      </c>
      <c r="BT10" s="1">
        <v>9724</v>
      </c>
      <c r="BU10" s="1">
        <v>9916</v>
      </c>
      <c r="BV10" s="1">
        <v>10065</v>
      </c>
      <c r="BW10" s="1">
        <v>9920</v>
      </c>
      <c r="BX10" s="1">
        <v>9781</v>
      </c>
      <c r="BY10" s="1">
        <v>9582</v>
      </c>
      <c r="BZ10" s="1">
        <v>9718</v>
      </c>
    </row>
    <row r="11" spans="1:104" ht="15.9" customHeight="1">
      <c r="A11" s="65" t="s">
        <v>17</v>
      </c>
      <c r="B11" s="41" t="s">
        <v>18</v>
      </c>
      <c r="C11" s="45">
        <f>_xll.RssMarket("6701","安値")</f>
        <v>4635</v>
      </c>
      <c r="D11" s="16">
        <f t="shared" si="0"/>
        <v>75</v>
      </c>
      <c r="E11" s="21">
        <v>4560</v>
      </c>
      <c r="F11" s="21">
        <v>4615</v>
      </c>
      <c r="G11" s="21">
        <v>4660</v>
      </c>
      <c r="H11" s="21">
        <v>4795</v>
      </c>
      <c r="I11" s="21">
        <v>4419</v>
      </c>
      <c r="J11" s="21">
        <v>4379</v>
      </c>
      <c r="K11" s="21">
        <v>4298</v>
      </c>
      <c r="L11" s="21">
        <v>4191</v>
      </c>
      <c r="M11" s="21">
        <v>4218</v>
      </c>
      <c r="N11" s="21">
        <v>4271</v>
      </c>
      <c r="O11" s="21">
        <v>4402</v>
      </c>
      <c r="P11" s="21">
        <v>4346</v>
      </c>
      <c r="Q11" s="21">
        <v>4218</v>
      </c>
      <c r="R11" s="21">
        <v>4359</v>
      </c>
      <c r="S11" s="21">
        <v>4282</v>
      </c>
      <c r="T11" s="21">
        <v>4306</v>
      </c>
      <c r="U11" s="21">
        <v>4260</v>
      </c>
      <c r="V11" s="21">
        <v>4300</v>
      </c>
      <c r="W11" s="21">
        <v>4288</v>
      </c>
      <c r="X11" s="21">
        <v>4216</v>
      </c>
      <c r="Y11" s="21">
        <v>4125</v>
      </c>
      <c r="Z11" s="21">
        <v>4150</v>
      </c>
      <c r="AA11" s="21">
        <v>3912</v>
      </c>
      <c r="AB11" s="21">
        <v>3925</v>
      </c>
      <c r="AC11" s="21">
        <v>3916</v>
      </c>
      <c r="AD11" s="21">
        <v>3682</v>
      </c>
      <c r="AE11" s="21">
        <v>3754</v>
      </c>
      <c r="AF11" s="21">
        <v>3722</v>
      </c>
      <c r="AG11" s="21">
        <v>3657</v>
      </c>
      <c r="AH11" s="21">
        <v>3709</v>
      </c>
      <c r="AI11" s="21">
        <v>3685</v>
      </c>
      <c r="AJ11" s="21">
        <v>3868</v>
      </c>
      <c r="AK11" s="21">
        <v>3796</v>
      </c>
      <c r="AL11" s="21">
        <v>3773</v>
      </c>
      <c r="AM11" s="21">
        <v>3818</v>
      </c>
      <c r="AN11" s="21">
        <v>3862</v>
      </c>
      <c r="AO11" s="21">
        <v>3970</v>
      </c>
      <c r="AP11" s="21">
        <v>3921</v>
      </c>
      <c r="AQ11" s="21">
        <v>4060</v>
      </c>
      <c r="AR11" s="21">
        <v>4208</v>
      </c>
      <c r="AS11" s="21">
        <v>4178</v>
      </c>
      <c r="AT11" s="21">
        <v>4187</v>
      </c>
      <c r="AU11" s="21">
        <v>4282</v>
      </c>
      <c r="AV11" s="21">
        <v>4076</v>
      </c>
      <c r="AW11" s="21">
        <v>4058</v>
      </c>
      <c r="AX11" s="21">
        <v>4002</v>
      </c>
      <c r="AY11" s="21">
        <v>4036</v>
      </c>
      <c r="AZ11" s="21">
        <v>4065</v>
      </c>
      <c r="BA11" s="21">
        <v>4118</v>
      </c>
      <c r="BB11" s="21">
        <v>4055</v>
      </c>
      <c r="BC11" s="21">
        <v>4236</v>
      </c>
      <c r="BD11" s="21">
        <v>4093</v>
      </c>
      <c r="BE11" s="21">
        <v>3961</v>
      </c>
      <c r="BF11" s="21">
        <v>3988</v>
      </c>
      <c r="BG11" s="21">
        <v>4169</v>
      </c>
      <c r="BH11" s="21">
        <v>4058</v>
      </c>
      <c r="BI11" s="21">
        <v>4073</v>
      </c>
      <c r="BJ11" s="21">
        <v>4095</v>
      </c>
      <c r="BK11" s="21">
        <v>3989</v>
      </c>
      <c r="BL11" s="21">
        <v>3960</v>
      </c>
      <c r="BM11" s="1">
        <v>4027</v>
      </c>
      <c r="BN11" s="1">
        <v>4425</v>
      </c>
      <c r="BO11" s="1">
        <v>4577</v>
      </c>
      <c r="BP11" s="1">
        <v>4452</v>
      </c>
      <c r="BQ11" s="1">
        <v>4258</v>
      </c>
      <c r="BR11" s="1">
        <v>4411</v>
      </c>
      <c r="BS11" s="1">
        <v>4385</v>
      </c>
      <c r="BT11" s="1">
        <v>4276</v>
      </c>
      <c r="BU11" s="1">
        <v>4328</v>
      </c>
      <c r="BV11" s="1">
        <v>4300</v>
      </c>
      <c r="BW11" s="1">
        <v>4156</v>
      </c>
      <c r="BX11" s="1">
        <v>4043</v>
      </c>
      <c r="BY11" s="1">
        <v>3792</v>
      </c>
      <c r="BZ11" s="1">
        <v>3860</v>
      </c>
    </row>
    <row r="12" spans="1:104" ht="15.9" customHeight="1">
      <c r="A12" s="65" t="s">
        <v>19</v>
      </c>
      <c r="B12" s="41" t="s">
        <v>20</v>
      </c>
      <c r="C12" s="45">
        <f>_xll.RssMarket("1605","安値")</f>
        <v>3385</v>
      </c>
      <c r="D12" s="16">
        <f t="shared" si="0"/>
        <v>-81</v>
      </c>
      <c r="E12" s="21">
        <v>3466</v>
      </c>
      <c r="F12" s="21">
        <v>3430</v>
      </c>
      <c r="G12" s="21">
        <v>3588</v>
      </c>
      <c r="H12" s="21">
        <v>3589</v>
      </c>
      <c r="I12" s="21">
        <v>3555</v>
      </c>
      <c r="J12" s="21">
        <v>3534</v>
      </c>
      <c r="K12" s="21">
        <v>3650</v>
      </c>
      <c r="L12" s="21">
        <v>3691</v>
      </c>
      <c r="M12" s="21">
        <v>3610</v>
      </c>
      <c r="N12" s="21">
        <v>3563</v>
      </c>
      <c r="O12" s="21">
        <v>3495</v>
      </c>
      <c r="P12" s="21">
        <v>3375</v>
      </c>
      <c r="Q12" s="21">
        <v>3424</v>
      </c>
      <c r="R12" s="21">
        <v>3452</v>
      </c>
      <c r="S12" s="21">
        <v>3359</v>
      </c>
      <c r="T12" s="21">
        <v>3345</v>
      </c>
      <c r="U12" s="21">
        <v>3391</v>
      </c>
      <c r="V12" s="21">
        <v>3324</v>
      </c>
      <c r="W12" s="21">
        <v>3261</v>
      </c>
      <c r="X12" s="21">
        <v>3240</v>
      </c>
      <c r="Y12" s="21">
        <v>3215</v>
      </c>
      <c r="Z12" s="21">
        <v>3192</v>
      </c>
      <c r="AA12" s="21">
        <v>3194</v>
      </c>
      <c r="AB12" s="21">
        <v>3230</v>
      </c>
      <c r="AC12" s="21">
        <v>3278</v>
      </c>
      <c r="AD12" s="21">
        <v>3296</v>
      </c>
      <c r="AE12" s="21">
        <v>3258</v>
      </c>
      <c r="AF12" s="21">
        <v>3386</v>
      </c>
      <c r="AG12" s="21">
        <v>3420</v>
      </c>
      <c r="AH12" s="21">
        <v>3442</v>
      </c>
      <c r="AI12" s="21">
        <v>3371</v>
      </c>
      <c r="AJ12" s="21">
        <v>3402</v>
      </c>
      <c r="AK12" s="21">
        <v>3293</v>
      </c>
      <c r="AL12" s="21">
        <v>3361</v>
      </c>
      <c r="AM12" s="21">
        <v>3468</v>
      </c>
      <c r="AN12" s="21">
        <v>3518</v>
      </c>
      <c r="AO12" s="21">
        <v>3561</v>
      </c>
      <c r="AP12" s="21">
        <v>3450</v>
      </c>
      <c r="AQ12" s="21">
        <v>3604</v>
      </c>
      <c r="AR12" s="21">
        <v>3639</v>
      </c>
      <c r="AS12" s="21">
        <v>3585</v>
      </c>
      <c r="AT12" s="21">
        <v>3649</v>
      </c>
      <c r="AU12" s="21">
        <v>3428</v>
      </c>
      <c r="AV12" s="21">
        <v>3578</v>
      </c>
      <c r="AW12" s="21">
        <v>3588</v>
      </c>
      <c r="AX12" s="21">
        <v>3643</v>
      </c>
      <c r="AY12" s="21">
        <v>3640</v>
      </c>
      <c r="AZ12" s="21">
        <v>3778</v>
      </c>
      <c r="BA12" s="21">
        <v>3859</v>
      </c>
      <c r="BB12" s="21">
        <v>3952</v>
      </c>
      <c r="BC12" s="21">
        <v>3948</v>
      </c>
      <c r="BD12" s="21">
        <v>3913</v>
      </c>
      <c r="BE12" s="21">
        <v>3788</v>
      </c>
      <c r="BF12" s="21">
        <v>3811</v>
      </c>
      <c r="BG12" s="21">
        <v>3921</v>
      </c>
      <c r="BH12" s="21">
        <v>3900</v>
      </c>
      <c r="BI12" s="21">
        <v>3776</v>
      </c>
      <c r="BJ12" s="21">
        <v>3719</v>
      </c>
      <c r="BK12" s="21">
        <v>3821</v>
      </c>
      <c r="BL12" s="21">
        <v>4043</v>
      </c>
      <c r="BM12" s="1">
        <v>4063</v>
      </c>
      <c r="BN12" s="1">
        <v>3985</v>
      </c>
      <c r="BO12" s="1">
        <v>3882</v>
      </c>
      <c r="BP12" s="1">
        <v>3969</v>
      </c>
      <c r="BQ12" s="1">
        <v>3840</v>
      </c>
      <c r="BR12" s="1">
        <v>3805</v>
      </c>
      <c r="BS12" s="1">
        <v>3785</v>
      </c>
      <c r="BT12" s="1">
        <v>3831</v>
      </c>
      <c r="BU12" s="1">
        <v>3908</v>
      </c>
      <c r="BV12" s="1">
        <v>3948</v>
      </c>
      <c r="BW12" s="1">
        <v>3990</v>
      </c>
      <c r="BX12" s="1">
        <v>4094</v>
      </c>
      <c r="BY12" s="1">
        <v>4237</v>
      </c>
      <c r="BZ12" s="1">
        <v>4122</v>
      </c>
    </row>
    <row r="13" spans="1:104" ht="15.9" customHeight="1">
      <c r="A13" s="65" t="s">
        <v>21</v>
      </c>
      <c r="B13" s="41" t="s">
        <v>22</v>
      </c>
      <c r="C13" s="45">
        <f>_xll.RssMarket("5703","安値")</f>
        <v>2811</v>
      </c>
      <c r="D13" s="16">
        <f t="shared" si="0"/>
        <v>73</v>
      </c>
      <c r="E13" s="21">
        <v>2738</v>
      </c>
      <c r="F13" s="21">
        <v>2633</v>
      </c>
      <c r="G13" s="21">
        <v>2626</v>
      </c>
      <c r="H13" s="21">
        <v>2554</v>
      </c>
      <c r="I13" s="21">
        <v>2530</v>
      </c>
      <c r="J13" s="21">
        <v>2601</v>
      </c>
      <c r="K13" s="21">
        <v>2628</v>
      </c>
      <c r="L13" s="21">
        <v>2636</v>
      </c>
      <c r="M13" s="21">
        <v>2693</v>
      </c>
      <c r="N13" s="21">
        <v>2692</v>
      </c>
      <c r="O13" s="21">
        <v>2644</v>
      </c>
      <c r="P13" s="21">
        <v>2591</v>
      </c>
      <c r="Q13" s="21">
        <v>2726</v>
      </c>
      <c r="R13" s="21">
        <v>2645</v>
      </c>
      <c r="S13" s="21">
        <v>2659</v>
      </c>
      <c r="T13" s="21">
        <v>2662</v>
      </c>
      <c r="U13" s="21">
        <v>2617</v>
      </c>
      <c r="V13" s="21">
        <v>2620</v>
      </c>
      <c r="W13" s="21">
        <v>2681</v>
      </c>
      <c r="X13" s="21">
        <v>2733</v>
      </c>
      <c r="Y13" s="21">
        <v>2708</v>
      </c>
      <c r="Z13" s="21">
        <v>2701</v>
      </c>
      <c r="AA13" s="21">
        <v>2717</v>
      </c>
      <c r="AB13" s="21">
        <v>2719</v>
      </c>
      <c r="AC13" s="21">
        <v>2745</v>
      </c>
      <c r="AD13" s="21">
        <v>2790</v>
      </c>
      <c r="AE13" s="21">
        <v>2817</v>
      </c>
      <c r="AF13" s="21">
        <v>2858</v>
      </c>
      <c r="AG13" s="21">
        <v>2910</v>
      </c>
      <c r="AH13" s="21">
        <v>2996</v>
      </c>
      <c r="AI13" s="21">
        <v>2960</v>
      </c>
      <c r="AJ13" s="21">
        <v>2960</v>
      </c>
      <c r="AK13" s="21">
        <v>2945</v>
      </c>
      <c r="AL13" s="21">
        <v>2999</v>
      </c>
      <c r="AM13" s="21">
        <v>3075</v>
      </c>
      <c r="AN13" s="21">
        <v>3015</v>
      </c>
      <c r="AO13" s="21">
        <v>2893</v>
      </c>
      <c r="AP13" s="21">
        <v>3040</v>
      </c>
      <c r="AQ13" s="21">
        <v>3090</v>
      </c>
      <c r="AR13" s="21">
        <v>3115</v>
      </c>
      <c r="AS13" s="21">
        <v>3145</v>
      </c>
      <c r="AT13" s="21">
        <v>3215</v>
      </c>
      <c r="AU13" s="21">
        <v>3045</v>
      </c>
      <c r="AV13" s="21">
        <v>3150</v>
      </c>
      <c r="AW13" s="21">
        <v>3040</v>
      </c>
      <c r="AX13" s="21">
        <v>3195</v>
      </c>
      <c r="AY13" s="21">
        <v>3145</v>
      </c>
      <c r="AZ13" s="21">
        <v>3035</v>
      </c>
      <c r="BA13" s="21">
        <v>3030</v>
      </c>
      <c r="BB13" s="21">
        <v>3000</v>
      </c>
      <c r="BC13" s="21">
        <v>3035</v>
      </c>
      <c r="BD13" s="21">
        <v>3010</v>
      </c>
      <c r="BE13" s="21">
        <v>3025</v>
      </c>
      <c r="BF13" s="21">
        <v>2907</v>
      </c>
      <c r="BG13" s="21">
        <v>2911</v>
      </c>
      <c r="BH13" s="21">
        <v>2901</v>
      </c>
      <c r="BI13" s="21">
        <v>2869</v>
      </c>
      <c r="BJ13" s="21">
        <v>2820</v>
      </c>
      <c r="BK13" s="21">
        <v>2856</v>
      </c>
      <c r="BL13" s="21">
        <v>2703</v>
      </c>
      <c r="BM13" s="1">
        <v>2788</v>
      </c>
      <c r="BN13" s="1">
        <v>2838</v>
      </c>
      <c r="BO13" s="1">
        <v>2838</v>
      </c>
      <c r="BP13" s="1">
        <v>2831</v>
      </c>
      <c r="BQ13" s="1">
        <v>2809</v>
      </c>
      <c r="BR13" s="1">
        <v>2898</v>
      </c>
      <c r="BS13" s="1">
        <v>2954</v>
      </c>
      <c r="BT13" s="1">
        <v>2934</v>
      </c>
      <c r="BU13" s="1">
        <v>2979</v>
      </c>
      <c r="BV13" s="1">
        <v>3015</v>
      </c>
      <c r="BW13" s="1">
        <v>3000</v>
      </c>
      <c r="BX13" s="1">
        <v>3020</v>
      </c>
      <c r="BY13" s="1">
        <v>2959</v>
      </c>
      <c r="BZ13" s="1">
        <v>2964</v>
      </c>
    </row>
    <row r="14" spans="1:104" ht="15.9" customHeight="1">
      <c r="A14" s="65" t="s">
        <v>23</v>
      </c>
      <c r="B14" s="41" t="s">
        <v>24</v>
      </c>
      <c r="C14" s="45">
        <f>_xll.RssMarket("8002","安値")</f>
        <v>4788</v>
      </c>
      <c r="D14" s="16">
        <f t="shared" si="0"/>
        <v>-38</v>
      </c>
      <c r="E14" s="21">
        <v>4826</v>
      </c>
      <c r="F14" s="21">
        <v>4985</v>
      </c>
      <c r="G14" s="21">
        <v>5137</v>
      </c>
      <c r="H14" s="21">
        <v>5109</v>
      </c>
      <c r="I14" s="21">
        <v>5120</v>
      </c>
      <c r="J14" s="21">
        <v>5228</v>
      </c>
      <c r="K14" s="21">
        <v>5376</v>
      </c>
      <c r="L14" s="21">
        <v>5320</v>
      </c>
      <c r="M14" s="21">
        <v>5261</v>
      </c>
      <c r="N14" s="21">
        <v>5198</v>
      </c>
      <c r="O14" s="21">
        <v>5019</v>
      </c>
      <c r="P14" s="21">
        <v>4901</v>
      </c>
      <c r="Q14" s="21">
        <v>4999</v>
      </c>
      <c r="R14" s="21">
        <v>4837</v>
      </c>
      <c r="S14" s="21">
        <v>4810</v>
      </c>
      <c r="T14" s="21">
        <v>4833</v>
      </c>
      <c r="U14" s="21">
        <v>4873</v>
      </c>
      <c r="V14" s="21">
        <v>4961</v>
      </c>
      <c r="W14" s="21">
        <v>5033</v>
      </c>
      <c r="X14" s="21">
        <v>4915</v>
      </c>
      <c r="Y14" s="21">
        <v>4837</v>
      </c>
      <c r="Z14" s="21">
        <v>4772</v>
      </c>
      <c r="AA14" s="21">
        <v>4630</v>
      </c>
      <c r="AB14" s="21">
        <v>4664</v>
      </c>
      <c r="AC14" s="21">
        <v>4677</v>
      </c>
      <c r="AD14" s="21">
        <v>4612</v>
      </c>
      <c r="AE14" s="21">
        <v>4570</v>
      </c>
      <c r="AF14" s="21">
        <v>4647</v>
      </c>
      <c r="AG14" s="21">
        <v>4789</v>
      </c>
      <c r="AH14" s="21">
        <v>4830</v>
      </c>
      <c r="AI14" s="21">
        <v>4805</v>
      </c>
      <c r="AJ14" s="21">
        <v>4909</v>
      </c>
      <c r="AK14" s="21">
        <v>4886</v>
      </c>
      <c r="AL14" s="21">
        <v>4900</v>
      </c>
      <c r="AM14" s="21">
        <v>4994</v>
      </c>
      <c r="AN14" s="21">
        <v>4848</v>
      </c>
      <c r="AO14" s="21">
        <v>4713</v>
      </c>
      <c r="AP14" s="21">
        <v>4747</v>
      </c>
      <c r="AQ14" s="21">
        <v>4820</v>
      </c>
      <c r="AR14" s="21">
        <v>4983</v>
      </c>
      <c r="AS14" s="21">
        <v>4947</v>
      </c>
      <c r="AT14" s="21">
        <v>4873</v>
      </c>
      <c r="AU14" s="21">
        <v>4823</v>
      </c>
      <c r="AV14" s="21">
        <v>5135</v>
      </c>
      <c r="AW14" s="21">
        <v>5150</v>
      </c>
      <c r="AX14" s="21">
        <v>5220</v>
      </c>
      <c r="AY14" s="21">
        <v>5216</v>
      </c>
      <c r="AZ14" s="21">
        <v>5235</v>
      </c>
      <c r="BA14" s="21">
        <v>5322</v>
      </c>
      <c r="BB14" s="21">
        <v>5287</v>
      </c>
      <c r="BC14" s="21">
        <v>5525</v>
      </c>
      <c r="BD14" s="21">
        <v>5596</v>
      </c>
      <c r="BE14" s="21">
        <v>5792</v>
      </c>
      <c r="BF14" s="21">
        <v>5800</v>
      </c>
      <c r="BG14" s="21">
        <v>5551</v>
      </c>
      <c r="BH14" s="21">
        <v>5433</v>
      </c>
      <c r="BI14" s="21">
        <v>5351</v>
      </c>
      <c r="BJ14" s="21">
        <v>5366</v>
      </c>
      <c r="BK14" s="21">
        <v>5375</v>
      </c>
      <c r="BL14" s="21">
        <v>5744</v>
      </c>
      <c r="BM14" s="1">
        <v>5956</v>
      </c>
      <c r="BN14" s="1">
        <v>5966</v>
      </c>
      <c r="BO14" s="1">
        <v>5822</v>
      </c>
      <c r="BP14" s="1">
        <v>5916</v>
      </c>
      <c r="BQ14" s="1">
        <v>5792</v>
      </c>
      <c r="BR14" s="1">
        <v>5832</v>
      </c>
      <c r="BS14" s="1">
        <v>5852</v>
      </c>
      <c r="BT14" s="1">
        <v>5872</v>
      </c>
      <c r="BU14" s="1">
        <v>5838</v>
      </c>
      <c r="BV14" s="1">
        <v>5899</v>
      </c>
      <c r="BW14" s="1">
        <v>5882</v>
      </c>
      <c r="BX14" s="1">
        <v>5902</v>
      </c>
      <c r="BY14" s="1">
        <v>5861</v>
      </c>
      <c r="BZ14" s="1">
        <v>5892</v>
      </c>
    </row>
    <row r="15" spans="1:104" ht="15.9" customHeight="1">
      <c r="A15" s="65" t="s">
        <v>25</v>
      </c>
      <c r="B15" s="41" t="s">
        <v>26</v>
      </c>
      <c r="C15" s="45">
        <f>_xll.RssMarket("5021","安値")</f>
        <v>3755</v>
      </c>
      <c r="D15" s="16">
        <f t="shared" si="0"/>
        <v>-30</v>
      </c>
      <c r="E15" s="21">
        <v>3785</v>
      </c>
      <c r="F15" s="21">
        <v>3802</v>
      </c>
      <c r="G15" s="21">
        <v>3950</v>
      </c>
      <c r="H15" s="21">
        <v>3932</v>
      </c>
      <c r="I15" s="21">
        <v>3942</v>
      </c>
      <c r="J15" s="21">
        <v>3939</v>
      </c>
      <c r="K15" s="21">
        <v>3950</v>
      </c>
      <c r="L15" s="21">
        <v>3933</v>
      </c>
      <c r="M15" s="21">
        <v>3906</v>
      </c>
      <c r="N15" s="21">
        <v>3894</v>
      </c>
      <c r="O15" s="21">
        <v>3872</v>
      </c>
      <c r="P15" s="21">
        <v>3753</v>
      </c>
      <c r="Q15" s="21">
        <v>3843</v>
      </c>
      <c r="R15" s="21">
        <v>3859</v>
      </c>
      <c r="S15" s="21">
        <v>3843</v>
      </c>
      <c r="T15" s="21">
        <v>3850</v>
      </c>
      <c r="U15" s="21">
        <v>3832</v>
      </c>
      <c r="V15" s="21">
        <v>3817</v>
      </c>
      <c r="W15" s="21">
        <v>3878</v>
      </c>
      <c r="X15" s="21">
        <v>3901</v>
      </c>
      <c r="Y15" s="21">
        <v>3851</v>
      </c>
      <c r="Z15" s="21">
        <v>3840</v>
      </c>
      <c r="AA15" s="21">
        <v>3758</v>
      </c>
      <c r="AB15" s="21">
        <v>3755</v>
      </c>
      <c r="AC15" s="21">
        <v>3705</v>
      </c>
      <c r="AD15" s="21">
        <v>3698</v>
      </c>
      <c r="AE15" s="21">
        <v>3646</v>
      </c>
      <c r="AF15" s="21">
        <v>3677</v>
      </c>
      <c r="AG15" s="21">
        <v>3682</v>
      </c>
      <c r="AH15" s="21">
        <v>3678</v>
      </c>
      <c r="AI15" s="21">
        <v>3687</v>
      </c>
      <c r="AJ15" s="21">
        <v>3641</v>
      </c>
      <c r="AK15" s="21">
        <v>3617</v>
      </c>
      <c r="AL15" s="21">
        <v>3622</v>
      </c>
      <c r="AM15" s="21">
        <v>3600</v>
      </c>
      <c r="AN15" s="21">
        <v>3503</v>
      </c>
      <c r="AO15" s="21">
        <v>3451</v>
      </c>
      <c r="AP15" s="21">
        <v>3452</v>
      </c>
      <c r="AQ15" s="21">
        <v>3533</v>
      </c>
      <c r="AR15" s="21">
        <v>3595</v>
      </c>
      <c r="AS15" s="21">
        <v>3636</v>
      </c>
      <c r="AT15" s="21">
        <v>3701</v>
      </c>
      <c r="AU15" s="21">
        <v>3634</v>
      </c>
      <c r="AV15" s="21">
        <v>3676</v>
      </c>
      <c r="AW15" s="21">
        <v>3635</v>
      </c>
      <c r="AX15" s="21">
        <v>3630</v>
      </c>
      <c r="AY15" s="21">
        <v>3676</v>
      </c>
      <c r="AZ15" s="21">
        <v>3675</v>
      </c>
      <c r="BA15" s="21">
        <v>3689</v>
      </c>
      <c r="BB15" s="21">
        <v>3705</v>
      </c>
      <c r="BC15" s="21">
        <v>3732</v>
      </c>
      <c r="BD15" s="21">
        <v>3733</v>
      </c>
      <c r="BE15" s="21">
        <v>3778</v>
      </c>
      <c r="BF15" s="21">
        <v>3737</v>
      </c>
      <c r="BG15" s="21">
        <v>3760</v>
      </c>
      <c r="BH15" s="21">
        <v>3952</v>
      </c>
      <c r="BI15" s="21">
        <v>3925</v>
      </c>
      <c r="BJ15" s="21">
        <v>3868</v>
      </c>
      <c r="BK15" s="21">
        <v>3853</v>
      </c>
      <c r="BL15" s="21">
        <v>3938</v>
      </c>
      <c r="BM15" s="1">
        <v>3919</v>
      </c>
      <c r="BN15" s="1">
        <v>3895</v>
      </c>
      <c r="BO15" s="1">
        <v>3831</v>
      </c>
      <c r="BP15" s="1">
        <v>3906</v>
      </c>
      <c r="BQ15" s="1">
        <v>3863</v>
      </c>
      <c r="BR15" s="1">
        <v>4067</v>
      </c>
      <c r="BS15" s="1">
        <v>4185</v>
      </c>
      <c r="BT15" s="1">
        <v>4228</v>
      </c>
      <c r="BU15" s="1">
        <v>4342</v>
      </c>
      <c r="BV15" s="1">
        <v>4356</v>
      </c>
      <c r="BW15" s="1">
        <v>4330</v>
      </c>
      <c r="BX15" s="1">
        <v>4303</v>
      </c>
      <c r="BY15" s="1">
        <v>4350</v>
      </c>
      <c r="BZ15" s="1">
        <v>4419</v>
      </c>
    </row>
    <row r="16" spans="1:104" ht="15.9" customHeight="1">
      <c r="A16" s="65" t="s">
        <v>27</v>
      </c>
      <c r="B16" s="41" t="s">
        <v>28</v>
      </c>
      <c r="C16" s="45">
        <f>_xll.RssMarket("8058","安値")</f>
        <v>4643</v>
      </c>
      <c r="D16" s="16">
        <f t="shared" si="0"/>
        <v>47</v>
      </c>
      <c r="E16" s="21">
        <v>4596</v>
      </c>
      <c r="F16" s="21">
        <v>4581</v>
      </c>
      <c r="G16" s="21">
        <v>4731</v>
      </c>
      <c r="H16" s="21">
        <v>4736</v>
      </c>
      <c r="I16" s="21">
        <v>4750</v>
      </c>
      <c r="J16" s="21">
        <v>4710</v>
      </c>
      <c r="K16" s="21">
        <v>4841</v>
      </c>
      <c r="L16" s="21">
        <v>4883</v>
      </c>
      <c r="M16" s="21">
        <v>4840</v>
      </c>
      <c r="N16" s="21">
        <v>4772</v>
      </c>
      <c r="O16" s="21">
        <v>4513</v>
      </c>
      <c r="P16" s="21">
        <v>4374</v>
      </c>
      <c r="Q16" s="21">
        <v>4530</v>
      </c>
      <c r="R16" s="21">
        <v>4435</v>
      </c>
      <c r="S16" s="21">
        <v>4404</v>
      </c>
      <c r="T16" s="21">
        <v>4361</v>
      </c>
      <c r="U16" s="21">
        <v>4380</v>
      </c>
      <c r="V16" s="21">
        <v>4464</v>
      </c>
      <c r="W16" s="21">
        <v>4495</v>
      </c>
      <c r="X16" s="21">
        <v>4446</v>
      </c>
      <c r="Y16" s="21">
        <v>4455</v>
      </c>
      <c r="Z16" s="21">
        <v>4368</v>
      </c>
      <c r="AA16" s="21">
        <v>4286</v>
      </c>
      <c r="AB16" s="21">
        <v>4338</v>
      </c>
      <c r="AC16" s="21">
        <v>4393</v>
      </c>
      <c r="AD16" s="21">
        <v>4363</v>
      </c>
      <c r="AE16" s="21">
        <v>4385</v>
      </c>
      <c r="AF16" s="21">
        <v>4508</v>
      </c>
      <c r="AG16" s="21">
        <v>4565</v>
      </c>
      <c r="AH16" s="21">
        <v>4498</v>
      </c>
      <c r="AI16" s="21">
        <v>4450</v>
      </c>
      <c r="AJ16" s="21">
        <v>4570</v>
      </c>
      <c r="AK16" s="21">
        <v>4595</v>
      </c>
      <c r="AL16" s="21">
        <v>4588</v>
      </c>
      <c r="AM16" s="21">
        <v>4728</v>
      </c>
      <c r="AN16" s="21">
        <v>4610</v>
      </c>
      <c r="AO16" s="21">
        <v>4522</v>
      </c>
      <c r="AP16" s="21">
        <v>4575</v>
      </c>
      <c r="AQ16" s="21">
        <v>4760</v>
      </c>
      <c r="AR16" s="21">
        <v>4855</v>
      </c>
      <c r="AS16" s="21">
        <v>4871</v>
      </c>
      <c r="AT16" s="21">
        <v>4931</v>
      </c>
      <c r="AU16" s="21">
        <v>4864</v>
      </c>
      <c r="AV16" s="21">
        <v>4966</v>
      </c>
      <c r="AW16" s="21">
        <v>5003</v>
      </c>
      <c r="AX16" s="21">
        <v>5093</v>
      </c>
      <c r="AY16" s="21">
        <v>5283</v>
      </c>
      <c r="AZ16" s="21">
        <v>5290</v>
      </c>
      <c r="BA16" s="21">
        <v>5345</v>
      </c>
      <c r="BB16" s="21">
        <v>5362</v>
      </c>
      <c r="BC16" s="21">
        <v>5492</v>
      </c>
      <c r="BD16" s="21">
        <v>5500</v>
      </c>
      <c r="BE16" s="21">
        <v>5780</v>
      </c>
      <c r="BF16" s="21">
        <v>5774</v>
      </c>
      <c r="BG16" s="21">
        <v>5625</v>
      </c>
      <c r="BH16" s="21">
        <v>5301</v>
      </c>
      <c r="BI16" s="21">
        <v>5175</v>
      </c>
      <c r="BJ16" s="21">
        <v>5169</v>
      </c>
      <c r="BK16" s="21">
        <v>5108</v>
      </c>
      <c r="BL16" s="21">
        <v>4842</v>
      </c>
      <c r="BM16" s="1">
        <v>4867</v>
      </c>
      <c r="BN16" s="1">
        <v>4835</v>
      </c>
      <c r="BO16" s="1">
        <v>4738</v>
      </c>
      <c r="BP16" s="1">
        <v>4824</v>
      </c>
      <c r="BQ16" s="1">
        <v>4693</v>
      </c>
      <c r="BR16" s="1">
        <v>4744</v>
      </c>
      <c r="BS16" s="1">
        <v>4844</v>
      </c>
      <c r="BT16" s="1">
        <v>4891</v>
      </c>
      <c r="BU16" s="1">
        <v>4938</v>
      </c>
      <c r="BV16" s="1">
        <v>5002</v>
      </c>
      <c r="BW16" s="1">
        <v>4977</v>
      </c>
      <c r="BX16" s="1">
        <v>5182</v>
      </c>
      <c r="BY16" s="1">
        <v>5255</v>
      </c>
      <c r="BZ16" s="1">
        <v>5307</v>
      </c>
    </row>
    <row r="17" spans="1:78" ht="15.9" customHeight="1">
      <c r="A17" s="65" t="s">
        <v>29</v>
      </c>
      <c r="B17" s="41" t="s">
        <v>30</v>
      </c>
      <c r="C17" s="45">
        <f>_xll.RssMarket("5333","安値")</f>
        <v>5702</v>
      </c>
      <c r="D17" s="16">
        <f t="shared" si="0"/>
        <v>194</v>
      </c>
      <c r="E17" s="21">
        <v>5508</v>
      </c>
      <c r="F17" s="21">
        <v>5367</v>
      </c>
      <c r="G17" s="21">
        <v>5585</v>
      </c>
      <c r="H17" s="21">
        <v>5090</v>
      </c>
      <c r="I17" s="21">
        <v>5050</v>
      </c>
      <c r="J17" s="21">
        <v>5486</v>
      </c>
      <c r="K17" s="21">
        <v>5935</v>
      </c>
      <c r="L17" s="21">
        <v>5996</v>
      </c>
      <c r="M17" s="21">
        <v>6152</v>
      </c>
      <c r="N17" s="21">
        <v>6188</v>
      </c>
      <c r="O17" s="21">
        <v>5876</v>
      </c>
      <c r="P17" s="21">
        <v>5814</v>
      </c>
      <c r="Q17" s="21">
        <v>6607</v>
      </c>
      <c r="R17" s="21">
        <v>6417</v>
      </c>
      <c r="S17" s="21">
        <v>6623</v>
      </c>
      <c r="T17" s="21">
        <v>7023</v>
      </c>
      <c r="U17" s="21">
        <v>6966</v>
      </c>
      <c r="V17" s="21">
        <v>6742</v>
      </c>
      <c r="W17" s="21">
        <v>7110</v>
      </c>
      <c r="X17" s="21">
        <v>7217</v>
      </c>
      <c r="Y17" s="21">
        <v>7052</v>
      </c>
      <c r="Z17" s="21">
        <v>7236</v>
      </c>
      <c r="AA17" s="21">
        <v>7593</v>
      </c>
      <c r="AB17" s="21">
        <v>7432</v>
      </c>
      <c r="AC17" s="21">
        <v>7175</v>
      </c>
      <c r="AD17" s="21">
        <v>7450</v>
      </c>
      <c r="AE17" s="21">
        <v>7586</v>
      </c>
      <c r="AF17" s="21">
        <v>7284</v>
      </c>
      <c r="AG17" s="21">
        <v>7410</v>
      </c>
      <c r="AH17" s="21">
        <v>7372</v>
      </c>
      <c r="AI17" s="21">
        <v>7329</v>
      </c>
      <c r="AJ17" s="21">
        <v>6978</v>
      </c>
      <c r="AK17" s="21">
        <v>6706</v>
      </c>
      <c r="AL17" s="21">
        <v>6619</v>
      </c>
      <c r="AM17" s="21">
        <v>6383</v>
      </c>
      <c r="AN17" s="21">
        <v>6106</v>
      </c>
      <c r="AO17" s="21">
        <v>5551</v>
      </c>
      <c r="AP17" s="21">
        <v>5913</v>
      </c>
      <c r="AQ17" s="21">
        <v>5966</v>
      </c>
      <c r="AR17" s="21">
        <v>6386</v>
      </c>
      <c r="AS17" s="21">
        <v>6184</v>
      </c>
      <c r="AT17" s="21">
        <v>6265</v>
      </c>
      <c r="AU17" s="21">
        <v>6063</v>
      </c>
      <c r="AV17" s="21">
        <v>6103</v>
      </c>
      <c r="AW17" s="21">
        <v>5862</v>
      </c>
      <c r="AX17" s="21">
        <v>6069</v>
      </c>
      <c r="AY17" s="21">
        <v>5906</v>
      </c>
      <c r="AZ17" s="21">
        <v>5755</v>
      </c>
      <c r="BA17" s="21">
        <v>5543</v>
      </c>
      <c r="BB17" s="21">
        <v>5292</v>
      </c>
      <c r="BC17" s="21">
        <v>5470</v>
      </c>
      <c r="BD17" s="21">
        <v>5570</v>
      </c>
      <c r="BE17" s="21">
        <v>5613</v>
      </c>
      <c r="BF17" s="21">
        <v>5707</v>
      </c>
      <c r="BG17" s="21">
        <v>5521</v>
      </c>
      <c r="BH17" s="21">
        <v>5534</v>
      </c>
      <c r="BI17" s="21">
        <v>5444</v>
      </c>
      <c r="BJ17" s="21">
        <v>5218</v>
      </c>
      <c r="BK17" s="21">
        <v>5245</v>
      </c>
      <c r="BL17" s="21">
        <v>4887</v>
      </c>
      <c r="BM17" s="1">
        <v>4563</v>
      </c>
      <c r="BN17" s="1">
        <v>4613</v>
      </c>
      <c r="BO17" s="1">
        <v>4422</v>
      </c>
      <c r="BP17" s="1">
        <v>4386</v>
      </c>
      <c r="BQ17" s="1">
        <v>4322</v>
      </c>
      <c r="BR17" s="1">
        <v>4426</v>
      </c>
      <c r="BS17" s="1">
        <v>4530</v>
      </c>
      <c r="BT17" s="1">
        <v>4510</v>
      </c>
      <c r="BU17" s="1">
        <v>4473</v>
      </c>
      <c r="BV17" s="1">
        <v>4423</v>
      </c>
      <c r="BW17" s="1">
        <v>4420</v>
      </c>
      <c r="BX17" s="1">
        <v>4422</v>
      </c>
      <c r="BY17" s="1">
        <v>4381</v>
      </c>
      <c r="BZ17" s="1">
        <v>4411</v>
      </c>
    </row>
    <row r="18" spans="1:78" ht="15.9" customHeight="1">
      <c r="A18" s="65" t="s">
        <v>31</v>
      </c>
      <c r="B18" s="41" t="s">
        <v>32</v>
      </c>
      <c r="C18" s="45">
        <f>_xll.RssMarket("1662","安値")</f>
        <v>1673</v>
      </c>
      <c r="D18" s="16">
        <f t="shared" si="0"/>
        <v>-18</v>
      </c>
      <c r="E18" s="21">
        <v>1691</v>
      </c>
      <c r="F18" s="21">
        <v>1665</v>
      </c>
      <c r="G18" s="21">
        <v>1753</v>
      </c>
      <c r="H18" s="21">
        <v>1736</v>
      </c>
      <c r="I18" s="21">
        <v>1725</v>
      </c>
      <c r="J18" s="21">
        <v>1711</v>
      </c>
      <c r="K18" s="21">
        <v>1709</v>
      </c>
      <c r="L18" s="21"/>
      <c r="M18" s="21">
        <v>1733</v>
      </c>
      <c r="N18" s="21">
        <v>1717</v>
      </c>
      <c r="O18" s="21">
        <v>1701</v>
      </c>
      <c r="P18" s="21">
        <v>1653</v>
      </c>
      <c r="Q18" s="21">
        <v>1691</v>
      </c>
      <c r="R18" s="21">
        <v>1701</v>
      </c>
      <c r="S18" s="21">
        <v>1661</v>
      </c>
      <c r="T18" s="21">
        <v>1655</v>
      </c>
      <c r="U18" s="21">
        <v>1671</v>
      </c>
      <c r="V18" s="21">
        <v>1662</v>
      </c>
      <c r="W18" s="21">
        <v>1640</v>
      </c>
      <c r="X18" s="21">
        <v>1611</v>
      </c>
      <c r="Y18" s="21">
        <v>1601</v>
      </c>
      <c r="Z18" s="21">
        <v>1590</v>
      </c>
      <c r="AA18" s="21">
        <v>1561</v>
      </c>
      <c r="AB18" s="21">
        <v>1592</v>
      </c>
      <c r="AC18" s="21">
        <v>1594</v>
      </c>
      <c r="AD18" s="21">
        <v>1579</v>
      </c>
      <c r="AE18" s="21">
        <v>1567</v>
      </c>
      <c r="AF18" s="21">
        <v>1607</v>
      </c>
      <c r="AG18" s="21">
        <v>1600</v>
      </c>
      <c r="AH18" s="21">
        <v>1616</v>
      </c>
      <c r="AI18" s="21">
        <v>1595</v>
      </c>
      <c r="AJ18" s="21">
        <v>1633</v>
      </c>
      <c r="AK18" s="21">
        <v>1621</v>
      </c>
      <c r="AL18" s="21">
        <v>1628</v>
      </c>
      <c r="AM18" s="21">
        <v>1635</v>
      </c>
      <c r="AN18" s="21">
        <v>1627</v>
      </c>
      <c r="AO18" s="21">
        <v>1646</v>
      </c>
      <c r="AP18" s="21">
        <v>1631</v>
      </c>
      <c r="AQ18" s="21">
        <v>1702</v>
      </c>
      <c r="AR18" s="21">
        <v>1718</v>
      </c>
      <c r="AS18" s="21">
        <v>1708</v>
      </c>
      <c r="AT18" s="21">
        <v>1741</v>
      </c>
      <c r="AU18" s="21">
        <v>1744</v>
      </c>
      <c r="AV18" s="21">
        <v>1789</v>
      </c>
      <c r="AW18" s="21">
        <v>1832</v>
      </c>
      <c r="AX18" s="21">
        <v>1839</v>
      </c>
      <c r="AY18" s="21">
        <v>1808</v>
      </c>
      <c r="AZ18" s="21">
        <v>1867</v>
      </c>
      <c r="BA18" s="21">
        <v>1878</v>
      </c>
      <c r="BB18" s="21">
        <v>1982</v>
      </c>
      <c r="BC18" s="21">
        <v>1933</v>
      </c>
      <c r="BD18" s="21">
        <v>1924</v>
      </c>
      <c r="BE18" s="21">
        <v>1919</v>
      </c>
      <c r="BF18" s="21">
        <v>1933</v>
      </c>
      <c r="BG18" s="21">
        <v>1972</v>
      </c>
      <c r="BH18" s="21">
        <v>2169</v>
      </c>
      <c r="BI18" s="21">
        <v>2130</v>
      </c>
      <c r="BJ18" s="21">
        <v>2084</v>
      </c>
      <c r="BK18" s="21">
        <v>2050</v>
      </c>
      <c r="BL18" s="21">
        <v>2196</v>
      </c>
      <c r="BM18" s="1">
        <v>2235</v>
      </c>
      <c r="BN18" s="1">
        <v>2191</v>
      </c>
      <c r="BO18" s="1">
        <v>2151</v>
      </c>
      <c r="BP18" s="1">
        <v>2246</v>
      </c>
      <c r="BQ18" s="1">
        <v>2182</v>
      </c>
      <c r="BR18" s="1">
        <v>2126</v>
      </c>
      <c r="BS18" s="1">
        <v>2095</v>
      </c>
      <c r="BT18" s="1">
        <v>2130</v>
      </c>
      <c r="BU18" s="1">
        <v>2336</v>
      </c>
      <c r="BV18" s="1">
        <v>2374</v>
      </c>
      <c r="BW18" s="1">
        <v>2396</v>
      </c>
      <c r="BX18" s="1">
        <v>2365</v>
      </c>
      <c r="BY18" s="1">
        <v>2474</v>
      </c>
      <c r="BZ18" s="1">
        <v>2378</v>
      </c>
    </row>
    <row r="19" spans="1:78" ht="15.9" customHeight="1">
      <c r="A19" s="65" t="s">
        <v>33</v>
      </c>
      <c r="B19" s="41" t="s">
        <v>34</v>
      </c>
      <c r="C19" s="45">
        <f>_xll.RssMarket("8411","安値")</f>
        <v>8137</v>
      </c>
      <c r="D19" s="16">
        <f t="shared" si="0"/>
        <v>169</v>
      </c>
      <c r="E19" s="21">
        <v>7968</v>
      </c>
      <c r="F19" s="21">
        <v>7857</v>
      </c>
      <c r="G19" s="21">
        <v>8003</v>
      </c>
      <c r="H19" s="21">
        <v>7761</v>
      </c>
      <c r="I19" s="21">
        <v>7866</v>
      </c>
      <c r="J19" s="21">
        <v>8166</v>
      </c>
      <c r="K19" s="21">
        <v>8516</v>
      </c>
      <c r="L19" s="21">
        <v>8613</v>
      </c>
      <c r="M19" s="21">
        <v>8531</v>
      </c>
      <c r="N19" s="21">
        <v>8341</v>
      </c>
      <c r="O19" s="21">
        <v>7924</v>
      </c>
      <c r="P19" s="21">
        <v>7790</v>
      </c>
      <c r="Q19" s="21">
        <v>8411</v>
      </c>
      <c r="R19" s="21">
        <v>8286</v>
      </c>
      <c r="S19" s="21">
        <v>8357</v>
      </c>
      <c r="T19" s="21">
        <v>8229</v>
      </c>
      <c r="U19" s="21">
        <v>8108</v>
      </c>
      <c r="V19" s="21">
        <v>8151</v>
      </c>
      <c r="W19" s="21">
        <v>8227</v>
      </c>
      <c r="X19" s="21">
        <v>8046</v>
      </c>
      <c r="Y19" s="21">
        <v>7907</v>
      </c>
      <c r="Z19" s="21">
        <v>7931</v>
      </c>
      <c r="AA19" s="21">
        <v>7750</v>
      </c>
      <c r="AB19" s="21">
        <v>7662</v>
      </c>
      <c r="AC19" s="21">
        <v>7639</v>
      </c>
      <c r="AD19" s="21">
        <v>7679</v>
      </c>
      <c r="AE19" s="21">
        <v>7698</v>
      </c>
      <c r="AF19" s="21">
        <v>7637</v>
      </c>
      <c r="AG19" s="21">
        <v>7820</v>
      </c>
      <c r="AH19" s="21">
        <v>7808</v>
      </c>
      <c r="AI19" s="21">
        <v>7848</v>
      </c>
      <c r="AJ19" s="21">
        <v>8094</v>
      </c>
      <c r="AK19" s="21">
        <v>7902</v>
      </c>
      <c r="AL19" s="21">
        <v>7702</v>
      </c>
      <c r="AM19" s="21">
        <v>7717</v>
      </c>
      <c r="AN19" s="21">
        <v>7510</v>
      </c>
      <c r="AO19" s="21">
        <v>7322</v>
      </c>
      <c r="AP19" s="21">
        <v>7555</v>
      </c>
      <c r="AQ19" s="21">
        <v>7437</v>
      </c>
      <c r="AR19" s="21">
        <v>7698</v>
      </c>
      <c r="AS19" s="21">
        <v>7472</v>
      </c>
      <c r="AT19" s="21">
        <v>7389</v>
      </c>
      <c r="AU19" s="21">
        <v>7064</v>
      </c>
      <c r="AV19" s="21">
        <v>7045</v>
      </c>
      <c r="AW19" s="21">
        <v>6996</v>
      </c>
      <c r="AX19" s="21">
        <v>7178</v>
      </c>
      <c r="AY19" s="21">
        <v>7194</v>
      </c>
      <c r="AZ19" s="21">
        <v>7302</v>
      </c>
      <c r="BA19" s="21">
        <v>7138</v>
      </c>
      <c r="BB19" s="21">
        <v>6844</v>
      </c>
      <c r="BC19" s="21">
        <v>6685</v>
      </c>
      <c r="BD19" s="21">
        <v>6379</v>
      </c>
      <c r="BE19" s="21">
        <v>6827</v>
      </c>
      <c r="BF19" s="21">
        <v>6971</v>
      </c>
      <c r="BG19" s="21">
        <v>6920</v>
      </c>
      <c r="BH19" s="21">
        <v>6833</v>
      </c>
      <c r="BI19" s="21">
        <v>6774</v>
      </c>
      <c r="BJ19" s="21">
        <v>6624</v>
      </c>
      <c r="BK19" s="21">
        <v>6791</v>
      </c>
      <c r="BL19" s="21">
        <v>6584</v>
      </c>
      <c r="BM19" s="1">
        <v>6609</v>
      </c>
      <c r="BN19" s="1">
        <v>6598</v>
      </c>
      <c r="BO19" s="1">
        <v>6350</v>
      </c>
      <c r="BP19" s="1">
        <v>6389</v>
      </c>
      <c r="BQ19" s="1">
        <v>6467</v>
      </c>
      <c r="BR19" s="1">
        <v>6552</v>
      </c>
      <c r="BS19" s="1">
        <v>6625</v>
      </c>
      <c r="BT19" s="1">
        <v>6775</v>
      </c>
      <c r="BU19" s="1">
        <v>6700</v>
      </c>
      <c r="BV19" s="1">
        <v>6872</v>
      </c>
      <c r="BW19" s="1">
        <v>6904</v>
      </c>
      <c r="BX19" s="1">
        <v>6728</v>
      </c>
      <c r="BY19" s="1">
        <v>6701</v>
      </c>
      <c r="BZ19" s="1">
        <v>6711</v>
      </c>
    </row>
    <row r="20" spans="1:78" ht="15.9" customHeight="1">
      <c r="A20" s="65" t="s">
        <v>35</v>
      </c>
      <c r="B20" s="41" t="s">
        <v>36</v>
      </c>
      <c r="C20" s="45">
        <f>_xll.RssMarket("5541","安値")</f>
        <v>2485</v>
      </c>
      <c r="D20" s="16">
        <f t="shared" si="0"/>
        <v>70</v>
      </c>
      <c r="E20" s="21">
        <v>2415</v>
      </c>
      <c r="F20" s="21">
        <v>2398</v>
      </c>
      <c r="G20" s="21">
        <v>2380</v>
      </c>
      <c r="H20" s="21">
        <v>2322</v>
      </c>
      <c r="I20" s="21">
        <v>2313</v>
      </c>
      <c r="J20" s="21">
        <v>2301</v>
      </c>
      <c r="K20" s="21">
        <v>2339</v>
      </c>
      <c r="L20" s="21"/>
      <c r="M20" s="21">
        <v>2296</v>
      </c>
      <c r="N20" s="21">
        <v>2300</v>
      </c>
      <c r="O20" s="21">
        <v>2255</v>
      </c>
      <c r="P20" s="21">
        <v>2222</v>
      </c>
      <c r="Q20" s="21">
        <v>2266</v>
      </c>
      <c r="R20" s="21">
        <v>2218</v>
      </c>
      <c r="S20" s="21">
        <v>2214</v>
      </c>
      <c r="T20" s="21">
        <v>2221</v>
      </c>
      <c r="U20" s="21">
        <v>2203</v>
      </c>
      <c r="V20" s="21">
        <v>2218</v>
      </c>
      <c r="W20" s="21">
        <v>2271</v>
      </c>
      <c r="X20" s="21">
        <v>2325</v>
      </c>
      <c r="Y20" s="21">
        <v>2245</v>
      </c>
      <c r="Z20" s="21">
        <v>2232</v>
      </c>
      <c r="AA20" s="21">
        <v>2181</v>
      </c>
      <c r="AB20" s="21">
        <v>2143</v>
      </c>
      <c r="AC20" s="21">
        <v>2128</v>
      </c>
      <c r="AD20" s="21">
        <v>2138</v>
      </c>
      <c r="AE20" s="21">
        <v>2158</v>
      </c>
      <c r="AF20" s="21">
        <v>2190</v>
      </c>
      <c r="AG20" s="21">
        <v>2215</v>
      </c>
      <c r="AH20" s="21">
        <v>2246</v>
      </c>
      <c r="AI20" s="21">
        <v>2245</v>
      </c>
      <c r="AJ20" s="21">
        <v>2268</v>
      </c>
      <c r="AK20" s="21">
        <v>2257</v>
      </c>
      <c r="AL20" s="21">
        <v>2262</v>
      </c>
      <c r="AM20" s="21">
        <v>2249</v>
      </c>
      <c r="AN20" s="21">
        <v>2118</v>
      </c>
      <c r="AO20" s="21">
        <v>2061</v>
      </c>
      <c r="AP20" s="21">
        <v>2115</v>
      </c>
      <c r="AQ20" s="21">
        <v>2164</v>
      </c>
      <c r="AR20" s="21">
        <v>2234</v>
      </c>
      <c r="AS20" s="21">
        <v>2250</v>
      </c>
      <c r="AT20" s="21">
        <v>2250</v>
      </c>
      <c r="AU20" s="21">
        <v>2182</v>
      </c>
      <c r="AV20" s="21">
        <v>2275</v>
      </c>
      <c r="AW20" s="21">
        <v>2212</v>
      </c>
      <c r="AX20" s="21">
        <v>2272</v>
      </c>
      <c r="AY20" s="21">
        <v>2205</v>
      </c>
      <c r="AZ20" s="21">
        <v>2140</v>
      </c>
      <c r="BA20" s="21">
        <v>2120</v>
      </c>
      <c r="BB20" s="21">
        <v>2116</v>
      </c>
      <c r="BC20" s="21">
        <v>2180</v>
      </c>
      <c r="BD20" s="21">
        <v>2245</v>
      </c>
      <c r="BE20" s="21">
        <v>2363</v>
      </c>
      <c r="BF20" s="21">
        <v>2373</v>
      </c>
      <c r="BG20" s="21">
        <v>2370</v>
      </c>
      <c r="BH20" s="21">
        <v>2215</v>
      </c>
      <c r="BI20" s="21">
        <v>2623</v>
      </c>
      <c r="BJ20" s="21">
        <v>2563</v>
      </c>
      <c r="BK20" s="21">
        <v>2605</v>
      </c>
      <c r="BL20" s="21">
        <v>2522</v>
      </c>
      <c r="BM20" s="1">
        <v>2491</v>
      </c>
      <c r="BN20" s="1">
        <v>2429</v>
      </c>
      <c r="BO20" s="1">
        <v>2356</v>
      </c>
      <c r="BP20" s="1">
        <v>2430</v>
      </c>
      <c r="BQ20" s="1">
        <v>2440</v>
      </c>
      <c r="BR20" s="1">
        <v>2477</v>
      </c>
      <c r="BS20" s="1">
        <v>2530</v>
      </c>
      <c r="BT20" s="1">
        <v>2515</v>
      </c>
      <c r="BU20" s="1">
        <v>2582</v>
      </c>
      <c r="BV20" s="1">
        <v>2660</v>
      </c>
      <c r="BW20" s="1">
        <v>2626</v>
      </c>
      <c r="BX20" s="1">
        <v>2619</v>
      </c>
      <c r="BY20" s="1">
        <v>2585</v>
      </c>
      <c r="BZ20" s="1">
        <v>2644</v>
      </c>
    </row>
    <row r="21" spans="1:78" ht="15.9" customHeight="1">
      <c r="A21" s="65" t="s">
        <v>37</v>
      </c>
      <c r="B21" s="41" t="s">
        <v>38</v>
      </c>
      <c r="C21" s="45">
        <f>_xll.RssMarket("5332","安値")</f>
        <v>6344</v>
      </c>
      <c r="D21" s="16">
        <f t="shared" si="0"/>
        <v>249</v>
      </c>
      <c r="E21" s="21">
        <v>6095</v>
      </c>
      <c r="F21" s="21">
        <v>6100</v>
      </c>
      <c r="G21" s="21">
        <v>6920</v>
      </c>
      <c r="H21" s="21">
        <v>6562</v>
      </c>
      <c r="I21" s="21">
        <v>6577</v>
      </c>
      <c r="J21" s="21">
        <v>6918</v>
      </c>
      <c r="K21" s="21">
        <v>7352</v>
      </c>
      <c r="L21" s="21"/>
      <c r="M21" s="21">
        <v>7524</v>
      </c>
      <c r="N21" s="21">
        <v>7565</v>
      </c>
      <c r="O21" s="21">
        <v>7365</v>
      </c>
      <c r="P21" s="21">
        <v>7229</v>
      </c>
      <c r="Q21" s="21">
        <v>7765</v>
      </c>
      <c r="R21" s="21">
        <v>7686</v>
      </c>
      <c r="S21" s="21">
        <v>7775</v>
      </c>
      <c r="T21" s="21">
        <v>8040</v>
      </c>
      <c r="U21" s="21">
        <v>8040</v>
      </c>
      <c r="V21" s="21">
        <v>8042</v>
      </c>
      <c r="W21" s="21">
        <v>8325</v>
      </c>
      <c r="X21" s="21">
        <v>8458</v>
      </c>
      <c r="Y21" s="21">
        <v>8202</v>
      </c>
      <c r="Z21" s="21">
        <v>8330</v>
      </c>
      <c r="AA21" s="21">
        <v>8236</v>
      </c>
      <c r="AB21" s="21">
        <v>8387</v>
      </c>
      <c r="AC21" s="21">
        <v>8260</v>
      </c>
      <c r="AD21" s="21">
        <v>8473</v>
      </c>
      <c r="AE21" s="21">
        <v>8693</v>
      </c>
      <c r="AF21" s="21">
        <v>8590</v>
      </c>
      <c r="AG21" s="21">
        <v>8838</v>
      </c>
      <c r="AH21" s="21">
        <v>8663</v>
      </c>
      <c r="AI21" s="21">
        <v>8330</v>
      </c>
      <c r="AJ21" s="21">
        <v>8177</v>
      </c>
      <c r="AK21" s="21">
        <v>7938</v>
      </c>
      <c r="AL21" s="21">
        <v>8105</v>
      </c>
      <c r="AM21" s="21">
        <v>7887</v>
      </c>
      <c r="AN21" s="21">
        <v>7590</v>
      </c>
      <c r="AO21" s="21">
        <v>7120</v>
      </c>
      <c r="AP21" s="21">
        <v>7397</v>
      </c>
      <c r="AQ21" s="21">
        <v>7463</v>
      </c>
      <c r="AR21" s="21">
        <v>7803</v>
      </c>
      <c r="AS21" s="21">
        <v>7898</v>
      </c>
      <c r="AT21" s="21">
        <v>7445</v>
      </c>
      <c r="AU21" s="21">
        <v>7110</v>
      </c>
      <c r="AV21" s="21">
        <v>7430</v>
      </c>
      <c r="AW21" s="21">
        <v>7231</v>
      </c>
      <c r="AX21" s="21">
        <v>7172</v>
      </c>
      <c r="AY21" s="21">
        <v>6815</v>
      </c>
      <c r="AZ21" s="21">
        <v>6637</v>
      </c>
      <c r="BA21" s="21">
        <v>6523</v>
      </c>
      <c r="BB21" s="21">
        <v>6308</v>
      </c>
      <c r="BC21" s="21">
        <v>6663</v>
      </c>
      <c r="BD21" s="21">
        <v>6855</v>
      </c>
      <c r="BE21" s="21">
        <v>7044</v>
      </c>
      <c r="BF21" s="21">
        <v>6933</v>
      </c>
      <c r="BG21" s="21">
        <v>6810</v>
      </c>
      <c r="BH21" s="21">
        <v>6857</v>
      </c>
      <c r="BI21" s="21">
        <v>7104</v>
      </c>
      <c r="BJ21" s="21">
        <v>6741</v>
      </c>
      <c r="BK21" s="21">
        <v>6614</v>
      </c>
      <c r="BL21" s="21">
        <v>6015</v>
      </c>
      <c r="BM21" s="1">
        <v>5377</v>
      </c>
      <c r="BN21" s="1">
        <v>5364</v>
      </c>
      <c r="BO21" s="1">
        <v>5352</v>
      </c>
      <c r="BP21" s="1">
        <v>5265</v>
      </c>
      <c r="BQ21" s="1">
        <v>5182</v>
      </c>
      <c r="BR21" s="1">
        <v>5218</v>
      </c>
      <c r="BS21" s="1">
        <v>5384</v>
      </c>
      <c r="BT21" s="1">
        <v>5532</v>
      </c>
      <c r="BU21" s="1">
        <v>5507</v>
      </c>
      <c r="BV21" s="1">
        <v>5432</v>
      </c>
      <c r="BW21" s="1">
        <v>5464</v>
      </c>
      <c r="BX21" s="1">
        <v>5385</v>
      </c>
      <c r="BY21" s="1">
        <v>5226</v>
      </c>
      <c r="BZ21" s="1">
        <v>5686</v>
      </c>
    </row>
    <row r="22" spans="1:78" ht="15.9" customHeight="1">
      <c r="A22" s="65" t="s">
        <v>39</v>
      </c>
      <c r="B22" s="41" t="s">
        <v>40</v>
      </c>
      <c r="C22" s="45">
        <f>_xll.RssMarket("8725","安値")</f>
        <v>4737</v>
      </c>
      <c r="D22" s="16">
        <f t="shared" si="0"/>
        <v>-5</v>
      </c>
      <c r="E22" s="21">
        <v>4742</v>
      </c>
      <c r="F22" s="21">
        <v>4702</v>
      </c>
      <c r="G22" s="21">
        <v>4897</v>
      </c>
      <c r="H22" s="21">
        <v>4922</v>
      </c>
      <c r="I22" s="21">
        <v>4935</v>
      </c>
      <c r="J22" s="21">
        <v>5000</v>
      </c>
      <c r="K22" s="21">
        <v>4913</v>
      </c>
      <c r="L22" s="21">
        <v>4781</v>
      </c>
      <c r="M22" s="21">
        <v>4788</v>
      </c>
      <c r="N22" s="21">
        <v>4715</v>
      </c>
      <c r="O22" s="21">
        <v>4569</v>
      </c>
      <c r="P22" s="21">
        <v>4473</v>
      </c>
      <c r="Q22" s="21">
        <v>4526</v>
      </c>
      <c r="R22" s="21">
        <v>4442</v>
      </c>
      <c r="S22" s="21">
        <v>4395</v>
      </c>
      <c r="T22" s="21">
        <v>4413</v>
      </c>
      <c r="U22" s="21">
        <v>4447</v>
      </c>
      <c r="V22" s="21">
        <v>4495</v>
      </c>
      <c r="W22" s="21">
        <v>4502</v>
      </c>
      <c r="X22" s="21">
        <v>4438</v>
      </c>
      <c r="Y22" s="21">
        <v>4401</v>
      </c>
      <c r="Z22" s="21">
        <v>4281</v>
      </c>
      <c r="AA22" s="21">
        <v>4228</v>
      </c>
      <c r="AB22" s="21">
        <v>4225</v>
      </c>
      <c r="AC22" s="21">
        <v>4204</v>
      </c>
      <c r="AD22" s="21">
        <v>4210</v>
      </c>
      <c r="AE22" s="21">
        <v>4222</v>
      </c>
      <c r="AF22" s="21">
        <v>4437</v>
      </c>
      <c r="AG22" s="21">
        <v>4606</v>
      </c>
      <c r="AH22" s="21">
        <v>4501</v>
      </c>
      <c r="AI22" s="21">
        <v>4510</v>
      </c>
      <c r="AJ22" s="21">
        <v>4534</v>
      </c>
      <c r="AK22" s="21">
        <v>4554</v>
      </c>
      <c r="AL22" s="21">
        <v>4556</v>
      </c>
      <c r="AM22" s="21">
        <v>4597</v>
      </c>
      <c r="AN22" s="21">
        <v>4596</v>
      </c>
      <c r="AO22" s="21">
        <v>4516</v>
      </c>
      <c r="AP22" s="21">
        <v>4569</v>
      </c>
      <c r="AQ22" s="21">
        <v>4339</v>
      </c>
      <c r="AR22" s="21">
        <v>4299</v>
      </c>
      <c r="AS22" s="21">
        <v>4224</v>
      </c>
      <c r="AT22" s="21">
        <v>4294</v>
      </c>
      <c r="AU22" s="21">
        <v>4169</v>
      </c>
      <c r="AV22" s="21">
        <v>4209</v>
      </c>
      <c r="AW22" s="21">
        <v>4219</v>
      </c>
      <c r="AX22" s="21">
        <v>4197</v>
      </c>
      <c r="AY22" s="21">
        <v>4153</v>
      </c>
      <c r="AZ22" s="21">
        <v>4182</v>
      </c>
      <c r="BA22" s="21">
        <v>4286</v>
      </c>
      <c r="BB22" s="21">
        <v>4356</v>
      </c>
      <c r="BC22" s="21">
        <v>4403</v>
      </c>
      <c r="BD22" s="21">
        <v>4401</v>
      </c>
      <c r="BE22" s="21">
        <v>4356</v>
      </c>
      <c r="BF22" s="21">
        <v>4360</v>
      </c>
      <c r="BG22" s="21">
        <v>4294</v>
      </c>
      <c r="BH22" s="21">
        <v>4150</v>
      </c>
      <c r="BI22" s="21">
        <v>3958</v>
      </c>
      <c r="BJ22" s="21">
        <v>3941</v>
      </c>
      <c r="BK22" s="21">
        <v>3970</v>
      </c>
      <c r="BL22" s="21">
        <v>3961</v>
      </c>
      <c r="BM22" s="1">
        <v>3960</v>
      </c>
      <c r="BN22" s="1">
        <v>3939</v>
      </c>
      <c r="BO22" s="1">
        <v>3886</v>
      </c>
      <c r="BP22" s="1">
        <v>3946</v>
      </c>
      <c r="BQ22" s="1">
        <v>3916</v>
      </c>
      <c r="BR22" s="1">
        <v>3996</v>
      </c>
      <c r="BS22" s="1">
        <v>4014</v>
      </c>
      <c r="BT22" s="1">
        <v>4026</v>
      </c>
      <c r="BU22" s="1">
        <v>4052</v>
      </c>
      <c r="BV22" s="1">
        <v>4082</v>
      </c>
      <c r="BW22" s="1">
        <v>4033</v>
      </c>
      <c r="BX22" s="1">
        <v>4024</v>
      </c>
      <c r="BY22" s="1">
        <v>4035</v>
      </c>
      <c r="BZ22" s="1">
        <v>4069</v>
      </c>
    </row>
    <row r="23" spans="1:78" ht="15.9" customHeight="1">
      <c r="A23" s="65" t="s">
        <v>41</v>
      </c>
      <c r="B23" s="41" t="s">
        <v>42</v>
      </c>
      <c r="C23" s="45">
        <f>_xll.RssMarket("8795","安値")</f>
        <v>4973</v>
      </c>
      <c r="D23" s="16">
        <f t="shared" si="0"/>
        <v>34</v>
      </c>
      <c r="E23" s="21">
        <v>4939</v>
      </c>
      <c r="F23" s="21">
        <v>4868</v>
      </c>
      <c r="G23" s="21">
        <v>5026</v>
      </c>
      <c r="H23" s="21">
        <v>4933</v>
      </c>
      <c r="I23" s="21">
        <v>4954</v>
      </c>
      <c r="J23" s="21">
        <v>5032</v>
      </c>
      <c r="K23" s="21">
        <v>5107</v>
      </c>
      <c r="L23" s="21"/>
      <c r="M23" s="21">
        <v>5024</v>
      </c>
      <c r="N23" s="21">
        <v>4967</v>
      </c>
      <c r="O23" s="21">
        <v>4845</v>
      </c>
      <c r="P23" s="21">
        <v>4726</v>
      </c>
      <c r="Q23" s="21">
        <v>4993</v>
      </c>
      <c r="R23" s="21">
        <v>4867</v>
      </c>
      <c r="S23" s="21">
        <v>4878</v>
      </c>
      <c r="T23" s="21">
        <v>4906</v>
      </c>
      <c r="U23" s="21">
        <v>4865</v>
      </c>
      <c r="V23" s="21">
        <v>4901</v>
      </c>
      <c r="W23" s="21">
        <v>4947</v>
      </c>
      <c r="X23" s="21">
        <v>4910</v>
      </c>
      <c r="Y23" s="21">
        <v>4853</v>
      </c>
      <c r="Z23" s="21">
        <v>4807</v>
      </c>
      <c r="AA23" s="21">
        <v>4778</v>
      </c>
      <c r="AB23" s="21">
        <v>4703</v>
      </c>
      <c r="AC23" s="21">
        <v>4615</v>
      </c>
      <c r="AD23" s="21">
        <v>4640</v>
      </c>
      <c r="AE23" s="21">
        <v>4628</v>
      </c>
      <c r="AF23" s="21">
        <v>4565</v>
      </c>
      <c r="AG23" s="21">
        <v>4902</v>
      </c>
      <c r="AH23" s="21">
        <v>4801</v>
      </c>
      <c r="AI23" s="21">
        <v>4878</v>
      </c>
      <c r="AJ23" s="21">
        <v>4811</v>
      </c>
      <c r="AK23" s="21">
        <v>4718</v>
      </c>
      <c r="AL23" s="21">
        <v>4761</v>
      </c>
      <c r="AM23" s="21">
        <v>4789</v>
      </c>
      <c r="AN23" s="21">
        <v>4648</v>
      </c>
      <c r="AO23" s="21">
        <v>4598</v>
      </c>
      <c r="AP23" s="21">
        <v>4654</v>
      </c>
      <c r="AQ23" s="21">
        <v>4351</v>
      </c>
      <c r="AR23" s="21">
        <v>4356</v>
      </c>
      <c r="AS23" s="21">
        <v>4091</v>
      </c>
      <c r="AT23" s="21">
        <v>4130</v>
      </c>
      <c r="AU23" s="21">
        <v>4110</v>
      </c>
      <c r="AV23" s="21">
        <v>4022</v>
      </c>
      <c r="AW23" s="21">
        <v>4054</v>
      </c>
      <c r="AX23" s="21">
        <v>4079</v>
      </c>
      <c r="AY23" s="21">
        <v>4030</v>
      </c>
      <c r="AZ23" s="21">
        <v>4069</v>
      </c>
      <c r="BA23" s="21">
        <v>4056</v>
      </c>
      <c r="BB23" s="21">
        <v>4077</v>
      </c>
      <c r="BC23" s="21">
        <v>4114</v>
      </c>
      <c r="BD23" s="21">
        <v>3900</v>
      </c>
      <c r="BE23" s="21">
        <v>3754</v>
      </c>
      <c r="BF23" s="21">
        <v>3943</v>
      </c>
      <c r="BG23" s="21">
        <v>3936</v>
      </c>
      <c r="BH23" s="21">
        <v>3945</v>
      </c>
      <c r="BI23" s="21">
        <v>3861</v>
      </c>
      <c r="BJ23" s="21">
        <v>3838</v>
      </c>
      <c r="BK23" s="21">
        <v>3821</v>
      </c>
      <c r="BL23" s="21">
        <v>3727</v>
      </c>
      <c r="BM23" s="1">
        <v>3707</v>
      </c>
      <c r="BN23" s="1">
        <v>3671</v>
      </c>
      <c r="BO23" s="1">
        <v>3606</v>
      </c>
      <c r="BP23" s="1">
        <v>3679</v>
      </c>
      <c r="BQ23" s="1">
        <v>3657</v>
      </c>
      <c r="BR23" s="1">
        <v>3728</v>
      </c>
      <c r="BS23" s="1">
        <v>3820</v>
      </c>
      <c r="BT23" s="1">
        <v>3914</v>
      </c>
      <c r="BU23" s="1">
        <v>4000</v>
      </c>
      <c r="BV23" s="1">
        <v>4020</v>
      </c>
      <c r="BW23" s="1">
        <v>4012</v>
      </c>
      <c r="BX23" s="1">
        <v>4026</v>
      </c>
      <c r="BY23" s="1">
        <v>3980</v>
      </c>
      <c r="BZ23" s="1">
        <v>4013</v>
      </c>
    </row>
    <row r="24" spans="1:78" ht="15.9" customHeight="1">
      <c r="A24" s="65" t="s">
        <v>43</v>
      </c>
      <c r="B24" s="41" t="s">
        <v>44</v>
      </c>
      <c r="C24" s="45">
        <f>_xll.RssMarket("5019","安値")</f>
        <v>1231</v>
      </c>
      <c r="D24" s="16">
        <f t="shared" si="0"/>
        <v>-14.5</v>
      </c>
      <c r="E24" s="21">
        <v>1245.5</v>
      </c>
      <c r="F24" s="21">
        <v>1254.5</v>
      </c>
      <c r="G24" s="21">
        <v>1298.5</v>
      </c>
      <c r="H24" s="21">
        <v>1301.5</v>
      </c>
      <c r="I24" s="21">
        <v>1306.5</v>
      </c>
      <c r="J24" s="21">
        <v>1292</v>
      </c>
      <c r="K24" s="21">
        <v>1308</v>
      </c>
      <c r="L24" s="21">
        <v>1326.5</v>
      </c>
      <c r="M24" s="21">
        <v>1312</v>
      </c>
      <c r="N24" s="21">
        <v>1281</v>
      </c>
      <c r="O24" s="21">
        <v>1272.5</v>
      </c>
      <c r="P24" s="21">
        <v>1235</v>
      </c>
      <c r="Q24" s="21">
        <v>1269.5</v>
      </c>
      <c r="R24" s="21">
        <v>1247</v>
      </c>
      <c r="S24" s="21">
        <v>1241.5</v>
      </c>
      <c r="T24" s="21">
        <v>1232</v>
      </c>
      <c r="U24" s="21">
        <v>1228.5</v>
      </c>
      <c r="V24" s="21">
        <v>1231</v>
      </c>
      <c r="W24" s="21">
        <v>1228.5</v>
      </c>
      <c r="X24" s="21">
        <v>1216</v>
      </c>
      <c r="Y24" s="21">
        <v>1207</v>
      </c>
      <c r="Z24" s="21">
        <v>1186.5</v>
      </c>
      <c r="AA24" s="21">
        <v>1175.5</v>
      </c>
      <c r="AB24" s="21">
        <v>1189</v>
      </c>
      <c r="AC24" s="21">
        <v>1204</v>
      </c>
      <c r="AD24" s="21">
        <v>1209</v>
      </c>
      <c r="AE24" s="21">
        <v>1203.5</v>
      </c>
      <c r="AF24" s="21">
        <v>1229.5</v>
      </c>
      <c r="AG24" s="21">
        <v>1244.5</v>
      </c>
      <c r="AH24" s="21">
        <v>1237.5</v>
      </c>
      <c r="AI24" s="21">
        <v>1216.5</v>
      </c>
      <c r="AJ24" s="21">
        <v>1243.5</v>
      </c>
      <c r="AK24" s="21">
        <v>1251</v>
      </c>
      <c r="AL24" s="21">
        <v>1287.5</v>
      </c>
      <c r="AM24" s="21">
        <v>1318.5</v>
      </c>
      <c r="AN24" s="21">
        <v>1301</v>
      </c>
      <c r="AO24" s="21">
        <v>1333</v>
      </c>
      <c r="AP24" s="21">
        <v>1320.5</v>
      </c>
      <c r="AQ24" s="21">
        <v>1336.5</v>
      </c>
      <c r="AR24" s="21">
        <v>1373</v>
      </c>
      <c r="AS24" s="21">
        <v>1386</v>
      </c>
      <c r="AT24" s="21">
        <v>1360.5</v>
      </c>
      <c r="AU24" s="21">
        <v>1318</v>
      </c>
      <c r="AV24" s="21">
        <v>1296</v>
      </c>
      <c r="AW24" s="21">
        <v>1300</v>
      </c>
      <c r="AX24" s="21">
        <v>1305.5</v>
      </c>
      <c r="AY24" s="21">
        <v>1302.5</v>
      </c>
      <c r="AZ24" s="21">
        <v>1320.5</v>
      </c>
      <c r="BA24" s="21">
        <v>1336.5</v>
      </c>
      <c r="BB24" s="21">
        <v>1370.5</v>
      </c>
      <c r="BC24" s="21">
        <v>1352.5</v>
      </c>
      <c r="BD24" s="21">
        <v>1365.5</v>
      </c>
      <c r="BE24" s="21">
        <v>1404.5</v>
      </c>
      <c r="BF24" s="21">
        <v>1366</v>
      </c>
      <c r="BG24" s="21">
        <v>1319</v>
      </c>
      <c r="BH24" s="21">
        <v>1370.5</v>
      </c>
      <c r="BI24" s="21">
        <v>1323</v>
      </c>
      <c r="BJ24" s="21">
        <v>1326.5</v>
      </c>
      <c r="BK24" s="21">
        <v>1339.5</v>
      </c>
      <c r="BL24" s="21">
        <v>1325.5</v>
      </c>
      <c r="BM24" s="1">
        <v>1335.5</v>
      </c>
      <c r="BN24" s="1">
        <v>1326.5</v>
      </c>
      <c r="BO24" s="1">
        <v>1300</v>
      </c>
      <c r="BP24" s="1">
        <v>1335.5</v>
      </c>
      <c r="BQ24" s="1">
        <v>1324</v>
      </c>
      <c r="BR24" s="1">
        <v>1385</v>
      </c>
      <c r="BS24" s="1">
        <v>1411.5</v>
      </c>
      <c r="BT24" s="1">
        <v>1443</v>
      </c>
      <c r="BU24" s="1">
        <v>1487.5</v>
      </c>
      <c r="BV24" s="1">
        <v>1505</v>
      </c>
      <c r="BW24" s="1">
        <v>1498</v>
      </c>
      <c r="BX24" s="1">
        <v>1495</v>
      </c>
      <c r="BY24" s="1">
        <v>1538</v>
      </c>
      <c r="BZ24" s="1">
        <v>1537</v>
      </c>
    </row>
    <row r="25" spans="1:78" ht="15.9" customHeight="1">
      <c r="A25" s="65" t="s">
        <v>45</v>
      </c>
      <c r="B25" s="41" t="s">
        <v>46</v>
      </c>
      <c r="C25" s="45">
        <f>_xll.RssMarket("8053","安値")</f>
        <v>1657.5</v>
      </c>
      <c r="D25" s="16">
        <f t="shared" si="0"/>
        <v>1657.5</v>
      </c>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row>
    <row r="26" spans="1:78" ht="15.9" customHeight="1">
      <c r="A26" s="65" t="s">
        <v>47</v>
      </c>
      <c r="B26" s="41" t="s">
        <v>48</v>
      </c>
      <c r="C26" s="45">
        <f>_xll.RssMarket("8591","安値")</f>
        <v>6384</v>
      </c>
      <c r="D26" s="16">
        <f t="shared" si="0"/>
        <v>112</v>
      </c>
      <c r="E26" s="21">
        <v>6272</v>
      </c>
      <c r="F26" s="21">
        <v>6157</v>
      </c>
      <c r="G26" s="21">
        <v>6300</v>
      </c>
      <c r="H26" s="21">
        <v>6274</v>
      </c>
      <c r="I26" s="21">
        <v>6358</v>
      </c>
      <c r="J26" s="21">
        <v>6361</v>
      </c>
      <c r="K26" s="21">
        <v>6550</v>
      </c>
      <c r="L26" s="21">
        <v>6513</v>
      </c>
      <c r="M26" s="21">
        <v>6583</v>
      </c>
      <c r="N26" s="21">
        <v>6492</v>
      </c>
      <c r="O26" s="21">
        <v>6212</v>
      </c>
      <c r="P26" s="21">
        <v>6115</v>
      </c>
      <c r="Q26" s="21">
        <v>6509</v>
      </c>
      <c r="R26" s="21">
        <v>6321</v>
      </c>
      <c r="S26" s="21">
        <v>6364</v>
      </c>
      <c r="T26" s="21">
        <v>6419</v>
      </c>
      <c r="U26" s="21">
        <v>6311</v>
      </c>
      <c r="V26" s="21">
        <v>6326</v>
      </c>
      <c r="W26" s="21">
        <v>6417</v>
      </c>
      <c r="X26" s="21">
        <v>6332</v>
      </c>
      <c r="Y26" s="21">
        <v>6209</v>
      </c>
      <c r="Z26" s="21">
        <v>6187</v>
      </c>
      <c r="AA26" s="21">
        <v>6145</v>
      </c>
      <c r="AB26" s="21">
        <v>6128</v>
      </c>
      <c r="AC26" s="21">
        <v>6077</v>
      </c>
      <c r="AD26" s="21">
        <v>6109</v>
      </c>
      <c r="AE26" s="21">
        <v>6091</v>
      </c>
      <c r="AF26" s="21">
        <v>6144</v>
      </c>
      <c r="AG26" s="21">
        <v>6333</v>
      </c>
      <c r="AH26" s="21">
        <v>6280</v>
      </c>
      <c r="AI26" s="21">
        <v>6306</v>
      </c>
      <c r="AJ26" s="21">
        <v>6375</v>
      </c>
      <c r="AK26" s="21">
        <v>6280</v>
      </c>
      <c r="AL26" s="21">
        <v>6168</v>
      </c>
      <c r="AM26" s="21">
        <v>6142</v>
      </c>
      <c r="AN26" s="21">
        <v>6056</v>
      </c>
      <c r="AO26" s="21">
        <v>5961</v>
      </c>
      <c r="AP26" s="21">
        <v>6145</v>
      </c>
      <c r="AQ26" s="21">
        <v>6014</v>
      </c>
      <c r="AR26" s="21">
        <v>6113</v>
      </c>
      <c r="AS26" s="21">
        <v>6211</v>
      </c>
      <c r="AT26" s="21">
        <v>6215</v>
      </c>
      <c r="AU26" s="21">
        <v>6047</v>
      </c>
      <c r="AV26" s="21">
        <v>6087</v>
      </c>
      <c r="AW26" s="21">
        <v>6042</v>
      </c>
      <c r="AX26" s="21">
        <v>6156</v>
      </c>
      <c r="AY26" s="21">
        <v>6187</v>
      </c>
      <c r="AZ26" s="21">
        <v>6156</v>
      </c>
      <c r="BA26" s="21">
        <v>6210</v>
      </c>
      <c r="BB26" s="21">
        <v>5960</v>
      </c>
      <c r="BC26" s="21">
        <v>5797</v>
      </c>
      <c r="BD26" s="21">
        <v>5716</v>
      </c>
      <c r="BE26" s="21">
        <v>5724</v>
      </c>
      <c r="BF26" s="21">
        <v>5782</v>
      </c>
      <c r="BG26" s="21">
        <v>5875</v>
      </c>
      <c r="BH26" s="21">
        <v>5801</v>
      </c>
      <c r="BI26" s="21">
        <v>5338</v>
      </c>
      <c r="BJ26" s="21">
        <v>5247</v>
      </c>
      <c r="BK26" s="21">
        <v>5181</v>
      </c>
      <c r="BL26" s="21">
        <v>5164</v>
      </c>
      <c r="BM26" s="1">
        <v>5112</v>
      </c>
      <c r="BN26" s="1">
        <v>5261</v>
      </c>
      <c r="BO26" s="1">
        <v>4768</v>
      </c>
      <c r="BP26" s="1">
        <v>4805</v>
      </c>
      <c r="BQ26" s="1">
        <v>4811</v>
      </c>
      <c r="BR26" s="1">
        <v>4881</v>
      </c>
      <c r="BS26" s="1">
        <v>4947</v>
      </c>
      <c r="BT26" s="1">
        <v>5005</v>
      </c>
      <c r="BU26" s="1">
        <v>4978</v>
      </c>
      <c r="BV26" s="1">
        <v>5052</v>
      </c>
      <c r="BW26" s="1">
        <v>5015</v>
      </c>
      <c r="BX26" s="1">
        <v>4891</v>
      </c>
      <c r="BY26" s="1">
        <v>4801</v>
      </c>
      <c r="BZ26" s="1">
        <v>4866</v>
      </c>
    </row>
    <row r="27" spans="1:78" ht="15.9" customHeight="1">
      <c r="A27" s="65" t="s">
        <v>49</v>
      </c>
      <c r="B27" s="41" t="s">
        <v>50</v>
      </c>
      <c r="C27" s="45">
        <f>_xll.RssMarket("3401","安値")</f>
        <v>1612</v>
      </c>
      <c r="D27" s="16">
        <f t="shared" si="0"/>
        <v>1612</v>
      </c>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row>
    <row r="28" spans="1:78" ht="15.9" customHeight="1">
      <c r="A28" s="65" t="s">
        <v>51</v>
      </c>
      <c r="B28" s="41" t="s">
        <v>52</v>
      </c>
      <c r="C28" s="45">
        <f>_xll.RssMarket("3436","安値")</f>
        <v>3696</v>
      </c>
      <c r="D28" s="16">
        <f t="shared" si="0"/>
        <v>-2576</v>
      </c>
      <c r="E28" s="21">
        <v>6272</v>
      </c>
      <c r="F28" s="21">
        <v>6157</v>
      </c>
      <c r="G28" s="21">
        <v>6300</v>
      </c>
      <c r="H28" s="21">
        <v>6274</v>
      </c>
      <c r="I28" s="21">
        <v>6358</v>
      </c>
      <c r="J28" s="21">
        <v>6361</v>
      </c>
      <c r="K28" s="21">
        <v>6550</v>
      </c>
      <c r="L28" s="21">
        <v>3552</v>
      </c>
      <c r="M28" s="21">
        <v>6583</v>
      </c>
      <c r="N28" s="21">
        <v>6492</v>
      </c>
      <c r="O28" s="21">
        <v>6212</v>
      </c>
      <c r="P28" s="21">
        <v>6115</v>
      </c>
      <c r="Q28" s="21">
        <v>6509</v>
      </c>
      <c r="R28" s="21">
        <v>6321</v>
      </c>
      <c r="S28" s="21">
        <v>6364</v>
      </c>
      <c r="T28" s="21">
        <v>6419</v>
      </c>
      <c r="U28" s="21">
        <v>6311</v>
      </c>
      <c r="V28" s="21">
        <v>6326</v>
      </c>
      <c r="W28" s="21">
        <v>6417</v>
      </c>
      <c r="X28" s="21">
        <v>6332</v>
      </c>
      <c r="Y28" s="21">
        <v>6209</v>
      </c>
      <c r="Z28" s="21">
        <v>6187</v>
      </c>
      <c r="AA28" s="21">
        <v>6145</v>
      </c>
      <c r="AB28" s="21">
        <v>6128</v>
      </c>
      <c r="AC28" s="21">
        <v>6077</v>
      </c>
      <c r="AD28" s="21">
        <v>6109</v>
      </c>
      <c r="AE28" s="21">
        <v>6091</v>
      </c>
      <c r="AF28" s="21">
        <v>6144</v>
      </c>
      <c r="AG28" s="21">
        <v>6333</v>
      </c>
      <c r="AH28" s="21">
        <v>6280</v>
      </c>
      <c r="AI28" s="21">
        <v>6306</v>
      </c>
      <c r="AJ28" s="21">
        <v>6375</v>
      </c>
      <c r="AK28" s="21">
        <v>6280</v>
      </c>
      <c r="AL28" s="21">
        <v>6168</v>
      </c>
      <c r="AM28" s="21">
        <v>6142</v>
      </c>
      <c r="AN28" s="21">
        <v>6056</v>
      </c>
      <c r="AO28" s="21">
        <v>5961</v>
      </c>
      <c r="AP28" s="21">
        <v>6145</v>
      </c>
      <c r="AQ28" s="21">
        <v>6014</v>
      </c>
      <c r="AR28" s="21">
        <v>6113</v>
      </c>
      <c r="AS28" s="21">
        <v>6211</v>
      </c>
      <c r="AT28" s="21">
        <v>6215</v>
      </c>
      <c r="AU28" s="21">
        <v>6047</v>
      </c>
      <c r="AV28" s="21">
        <v>6087</v>
      </c>
      <c r="AW28" s="21">
        <v>6042</v>
      </c>
      <c r="AX28" s="21">
        <v>6156</v>
      </c>
      <c r="AY28" s="21">
        <v>6187</v>
      </c>
      <c r="AZ28" s="21">
        <v>6156</v>
      </c>
      <c r="BA28" s="21">
        <v>6210</v>
      </c>
      <c r="BB28" s="21">
        <v>5960</v>
      </c>
      <c r="BC28" s="21">
        <v>5797</v>
      </c>
      <c r="BD28" s="21">
        <v>5716</v>
      </c>
      <c r="BE28" s="21">
        <v>5724</v>
      </c>
      <c r="BF28" s="21">
        <v>5782</v>
      </c>
      <c r="BG28" s="21">
        <v>5875</v>
      </c>
      <c r="BH28" s="21">
        <v>5801</v>
      </c>
      <c r="BI28" s="21">
        <v>5338</v>
      </c>
      <c r="BJ28" s="21">
        <v>5247</v>
      </c>
      <c r="BK28" s="21">
        <v>5181</v>
      </c>
      <c r="BL28" s="21">
        <v>5164</v>
      </c>
      <c r="BM28" s="1">
        <v>5112</v>
      </c>
      <c r="BN28" s="1">
        <v>5261</v>
      </c>
      <c r="BO28" s="1">
        <v>4768</v>
      </c>
      <c r="BP28" s="1">
        <v>4805</v>
      </c>
      <c r="BQ28" s="1">
        <v>4811</v>
      </c>
      <c r="BR28" s="1">
        <v>4881</v>
      </c>
      <c r="BS28" s="1">
        <v>4947</v>
      </c>
      <c r="BT28" s="1">
        <v>5005</v>
      </c>
      <c r="BU28" s="1">
        <v>4978</v>
      </c>
      <c r="BV28" s="1">
        <v>5052</v>
      </c>
      <c r="BW28" s="1">
        <v>5015</v>
      </c>
      <c r="BX28" s="1">
        <v>4891</v>
      </c>
      <c r="BY28" s="1">
        <v>4801</v>
      </c>
      <c r="BZ28" s="1">
        <v>4866</v>
      </c>
    </row>
    <row r="29" spans="1:78" ht="15.9" customHeight="1">
      <c r="A29" s="65" t="s">
        <v>53</v>
      </c>
      <c r="B29" s="41" t="s">
        <v>54</v>
      </c>
      <c r="C29" s="45">
        <f>_xll.RssMarket("5020","安値")</f>
        <v>1273.5</v>
      </c>
      <c r="D29" s="16">
        <f t="shared" si="0"/>
        <v>-3</v>
      </c>
      <c r="E29" s="21">
        <v>1276.5</v>
      </c>
      <c r="F29" s="21">
        <v>1266.5</v>
      </c>
      <c r="G29" s="21">
        <v>1307</v>
      </c>
      <c r="H29" s="21">
        <v>1301.5</v>
      </c>
      <c r="I29" s="21">
        <v>1296</v>
      </c>
      <c r="J29" s="21">
        <v>1288</v>
      </c>
      <c r="K29" s="21">
        <v>1311.5</v>
      </c>
      <c r="L29" s="21">
        <v>1320</v>
      </c>
      <c r="M29" s="21">
        <v>1316.5</v>
      </c>
      <c r="N29" s="21">
        <v>1286.5</v>
      </c>
      <c r="O29" s="21">
        <v>1273.5</v>
      </c>
      <c r="P29" s="21">
        <v>1229</v>
      </c>
      <c r="Q29" s="21">
        <v>1271</v>
      </c>
      <c r="R29" s="21">
        <v>1249.5</v>
      </c>
      <c r="S29" s="21">
        <v>1244</v>
      </c>
      <c r="T29" s="21">
        <v>1240.5</v>
      </c>
      <c r="U29" s="21">
        <v>1246</v>
      </c>
      <c r="V29" s="21">
        <v>1241.5</v>
      </c>
      <c r="W29" s="21">
        <v>1245</v>
      </c>
      <c r="X29" s="21">
        <v>1225</v>
      </c>
      <c r="Y29" s="21">
        <v>1216.5</v>
      </c>
      <c r="Z29" s="21">
        <v>1203</v>
      </c>
      <c r="AA29" s="21">
        <v>1191.5</v>
      </c>
      <c r="AB29" s="21">
        <v>1179.5</v>
      </c>
      <c r="AC29" s="21">
        <v>1182</v>
      </c>
      <c r="AD29" s="21">
        <v>1190</v>
      </c>
      <c r="AE29" s="21">
        <v>1188</v>
      </c>
      <c r="AF29" s="21">
        <v>1199.5</v>
      </c>
      <c r="AG29" s="21">
        <v>1238.5</v>
      </c>
      <c r="AH29" s="21">
        <v>1249</v>
      </c>
      <c r="AI29" s="21">
        <v>1192.5</v>
      </c>
      <c r="AJ29" s="21">
        <v>1220</v>
      </c>
      <c r="AK29" s="21">
        <v>1228.5</v>
      </c>
      <c r="AL29" s="21">
        <v>1219</v>
      </c>
      <c r="AM29" s="21">
        <v>1228</v>
      </c>
      <c r="AN29" s="21">
        <v>1217</v>
      </c>
      <c r="AO29" s="21">
        <v>1201</v>
      </c>
      <c r="AP29" s="21">
        <v>1202</v>
      </c>
      <c r="AQ29" s="21">
        <v>1225.5</v>
      </c>
      <c r="AR29" s="21">
        <v>1271.5</v>
      </c>
      <c r="AS29" s="21">
        <v>1283</v>
      </c>
      <c r="AT29" s="21">
        <v>1305.5</v>
      </c>
      <c r="AU29" s="21">
        <v>1242.5</v>
      </c>
      <c r="AV29" s="21">
        <v>1280.5</v>
      </c>
      <c r="AW29" s="21">
        <v>1279</v>
      </c>
      <c r="AX29" s="21">
        <v>1290</v>
      </c>
      <c r="AY29" s="21">
        <v>1277</v>
      </c>
      <c r="AZ29" s="21">
        <v>1282.5</v>
      </c>
      <c r="BA29" s="21">
        <v>1295.5</v>
      </c>
      <c r="BB29" s="21">
        <v>1305.5</v>
      </c>
      <c r="BC29" s="21">
        <v>1340.5</v>
      </c>
      <c r="BD29" s="21">
        <v>1358</v>
      </c>
      <c r="BE29" s="21">
        <v>1350</v>
      </c>
      <c r="BF29" s="21">
        <v>1266</v>
      </c>
      <c r="BG29" s="21">
        <v>1335.5</v>
      </c>
      <c r="BH29" s="21">
        <v>1343.5</v>
      </c>
      <c r="BI29" s="21">
        <v>1280.5</v>
      </c>
      <c r="BJ29" s="21">
        <v>1266.5</v>
      </c>
      <c r="BK29" s="21">
        <v>1311</v>
      </c>
      <c r="BL29" s="21">
        <v>1278.5</v>
      </c>
      <c r="BM29" s="1">
        <v>1276</v>
      </c>
      <c r="BN29" s="1">
        <v>1285</v>
      </c>
      <c r="BO29" s="1">
        <v>1257.5</v>
      </c>
      <c r="BP29" s="1">
        <v>1284.5</v>
      </c>
      <c r="BQ29" s="1">
        <v>1287</v>
      </c>
      <c r="BR29" s="1">
        <v>1310</v>
      </c>
      <c r="BS29" s="1">
        <v>1325.5</v>
      </c>
      <c r="BT29" s="1">
        <v>1328.5</v>
      </c>
      <c r="BU29" s="1">
        <v>1375</v>
      </c>
      <c r="BV29" s="1">
        <v>1406.5</v>
      </c>
      <c r="BW29" s="1">
        <v>1402.5</v>
      </c>
      <c r="BX29" s="1">
        <v>1392.5</v>
      </c>
      <c r="BY29" s="1">
        <v>1426.5</v>
      </c>
      <c r="BZ29" s="1">
        <v>1416.5</v>
      </c>
    </row>
    <row r="30" spans="1:78" ht="15.9" customHeight="1">
      <c r="A30" s="65" t="s">
        <v>55</v>
      </c>
      <c r="B30" s="41" t="s">
        <v>56</v>
      </c>
      <c r="C30" s="45">
        <f>_xll.RssMarket("6254","安値")</f>
        <v>4240</v>
      </c>
      <c r="D30" s="16">
        <f t="shared" si="0"/>
        <v>295</v>
      </c>
      <c r="E30" s="21">
        <v>3945</v>
      </c>
      <c r="F30" s="21">
        <v>3780</v>
      </c>
      <c r="G30" s="21">
        <v>3755</v>
      </c>
      <c r="H30" s="21">
        <v>3380</v>
      </c>
      <c r="I30" s="21">
        <v>3390</v>
      </c>
      <c r="J30" s="21">
        <v>3680</v>
      </c>
      <c r="K30" s="21">
        <v>4045</v>
      </c>
      <c r="L30" s="21">
        <v>4075</v>
      </c>
      <c r="M30" s="21">
        <v>4185</v>
      </c>
      <c r="N30" s="21">
        <v>4090</v>
      </c>
      <c r="O30" s="21">
        <v>3820</v>
      </c>
      <c r="P30" s="21">
        <v>3700</v>
      </c>
      <c r="Q30" s="21">
        <v>4280</v>
      </c>
      <c r="R30" s="21">
        <v>4155</v>
      </c>
      <c r="S30" s="21">
        <v>4330</v>
      </c>
      <c r="T30" s="21">
        <v>4510</v>
      </c>
      <c r="U30" s="21">
        <v>4235</v>
      </c>
      <c r="V30" s="21">
        <v>4190</v>
      </c>
      <c r="W30" s="21">
        <v>4360</v>
      </c>
      <c r="X30" s="21">
        <v>4630</v>
      </c>
      <c r="Y30" s="21">
        <v>4530</v>
      </c>
      <c r="Z30" s="21">
        <v>4665</v>
      </c>
      <c r="AA30" s="21">
        <v>5060</v>
      </c>
      <c r="AB30" s="21">
        <v>4810</v>
      </c>
      <c r="AC30" s="21">
        <v>4435</v>
      </c>
      <c r="AD30" s="21">
        <v>4535</v>
      </c>
      <c r="AE30" s="21">
        <v>4810</v>
      </c>
      <c r="AF30" s="21">
        <v>4675</v>
      </c>
      <c r="AG30" s="21">
        <v>5010</v>
      </c>
      <c r="AH30" s="21">
        <v>4840</v>
      </c>
      <c r="AI30" s="21">
        <v>4715</v>
      </c>
      <c r="AJ30" s="21">
        <v>4940</v>
      </c>
      <c r="AK30" s="21">
        <v>4495</v>
      </c>
      <c r="AL30" s="21">
        <v>4485</v>
      </c>
      <c r="AM30" s="21">
        <v>4525</v>
      </c>
      <c r="AN30" s="21">
        <v>4090</v>
      </c>
      <c r="AO30" s="21">
        <v>3695</v>
      </c>
      <c r="AP30" s="21">
        <v>3915</v>
      </c>
      <c r="AQ30" s="21">
        <v>3905</v>
      </c>
      <c r="AR30" s="21">
        <v>4180</v>
      </c>
      <c r="AS30" s="21">
        <v>4290</v>
      </c>
      <c r="AT30" s="21">
        <v>4245</v>
      </c>
      <c r="AU30" s="21">
        <v>4200</v>
      </c>
      <c r="AV30" s="21">
        <v>4575</v>
      </c>
      <c r="AW30" s="21">
        <v>4485</v>
      </c>
      <c r="AX30" s="21">
        <v>4625</v>
      </c>
      <c r="AY30" s="21">
        <v>5090</v>
      </c>
      <c r="AZ30" s="21">
        <v>4710</v>
      </c>
      <c r="BA30" s="21">
        <v>4475</v>
      </c>
      <c r="BB30" s="21">
        <v>4375</v>
      </c>
      <c r="BC30" s="21">
        <v>4595</v>
      </c>
      <c r="BD30" s="21">
        <v>4710</v>
      </c>
      <c r="BE30" s="21">
        <v>4750</v>
      </c>
      <c r="BF30" s="21">
        <v>4265</v>
      </c>
      <c r="BG30" s="21">
        <v>4260</v>
      </c>
      <c r="BH30" s="21">
        <v>4415</v>
      </c>
      <c r="BI30" s="21">
        <v>4510</v>
      </c>
      <c r="BJ30" s="21">
        <v>4005</v>
      </c>
      <c r="BK30" s="21">
        <v>3900</v>
      </c>
      <c r="BL30" s="21">
        <v>3620</v>
      </c>
      <c r="BM30" s="1">
        <v>3655</v>
      </c>
      <c r="BN30" s="1">
        <v>3665</v>
      </c>
      <c r="BO30" s="1">
        <v>3620</v>
      </c>
      <c r="BP30" s="1">
        <v>3630</v>
      </c>
      <c r="BQ30" s="1">
        <v>3600</v>
      </c>
      <c r="BR30" s="1">
        <v>3660</v>
      </c>
      <c r="BS30" s="1">
        <v>3795</v>
      </c>
      <c r="BT30" s="1">
        <v>3785</v>
      </c>
      <c r="BU30" s="1">
        <v>3660</v>
      </c>
      <c r="BV30" s="1">
        <v>3655</v>
      </c>
      <c r="BW30" s="1">
        <v>3565</v>
      </c>
      <c r="BX30" s="1">
        <v>3590</v>
      </c>
      <c r="BY30" s="1">
        <v>3500</v>
      </c>
      <c r="BZ30" s="1">
        <v>3455</v>
      </c>
    </row>
    <row r="31" spans="1:78" ht="15.9" customHeight="1">
      <c r="A31" s="65" t="s">
        <v>57</v>
      </c>
      <c r="B31" s="41" t="s">
        <v>58</v>
      </c>
      <c r="C31" s="45">
        <f>_xll.RssMarket("8309","安値")</f>
        <v>1621</v>
      </c>
      <c r="D31" s="16">
        <f t="shared" si="0"/>
        <v>1621</v>
      </c>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row>
    <row r="32" spans="1:78" ht="15.9" customHeight="1">
      <c r="A32" s="65" t="s">
        <v>59</v>
      </c>
      <c r="B32" s="41" t="s">
        <v>60</v>
      </c>
      <c r="C32" s="45">
        <f>_xll.RssMarket("3863","安値")</f>
        <v>1317</v>
      </c>
      <c r="D32" s="16">
        <f t="shared" si="0"/>
        <v>-1</v>
      </c>
      <c r="E32" s="21">
        <v>1318</v>
      </c>
      <c r="F32" s="21">
        <v>1290</v>
      </c>
      <c r="G32" s="21">
        <v>1376</v>
      </c>
      <c r="H32" s="21">
        <v>1422</v>
      </c>
      <c r="I32" s="21">
        <v>1451</v>
      </c>
      <c r="J32" s="21">
        <v>1473</v>
      </c>
      <c r="K32" s="21">
        <v>1490</v>
      </c>
      <c r="L32" s="21">
        <v>1496</v>
      </c>
      <c r="M32" s="21">
        <v>1512</v>
      </c>
      <c r="N32" s="21">
        <v>1490</v>
      </c>
      <c r="O32" s="21">
        <v>1464</v>
      </c>
      <c r="P32" s="21">
        <v>1442</v>
      </c>
      <c r="Q32" s="21">
        <v>1344</v>
      </c>
      <c r="R32" s="21">
        <v>1345</v>
      </c>
      <c r="S32" s="21">
        <v>1319</v>
      </c>
      <c r="T32" s="21">
        <v>1298</v>
      </c>
      <c r="U32" s="21">
        <v>1316</v>
      </c>
      <c r="V32" s="21">
        <v>1334</v>
      </c>
      <c r="W32" s="21">
        <v>1325</v>
      </c>
      <c r="X32" s="21">
        <v>1307</v>
      </c>
      <c r="Y32" s="21">
        <v>1306</v>
      </c>
      <c r="Z32" s="21">
        <v>1307</v>
      </c>
      <c r="AA32" s="21">
        <v>1273</v>
      </c>
      <c r="AB32" s="21">
        <v>1264</v>
      </c>
      <c r="AC32" s="21">
        <v>1254</v>
      </c>
      <c r="AD32" s="21">
        <v>1238</v>
      </c>
      <c r="AE32" s="21">
        <v>1201</v>
      </c>
      <c r="AF32" s="21">
        <v>1191</v>
      </c>
      <c r="AG32" s="21">
        <v>1184</v>
      </c>
      <c r="AH32" s="21">
        <v>1191</v>
      </c>
      <c r="AI32" s="21">
        <v>1163</v>
      </c>
      <c r="AJ32" s="21">
        <v>1190</v>
      </c>
      <c r="AK32" s="21">
        <v>1241</v>
      </c>
      <c r="AL32" s="21">
        <v>1219</v>
      </c>
      <c r="AM32" s="21">
        <v>1223</v>
      </c>
      <c r="AN32" s="21">
        <v>1204</v>
      </c>
      <c r="AO32" s="21">
        <v>1189</v>
      </c>
      <c r="AP32" s="21">
        <v>1207</v>
      </c>
      <c r="AQ32" s="21">
        <v>1214</v>
      </c>
      <c r="AR32" s="21">
        <v>1173</v>
      </c>
      <c r="AS32" s="21">
        <v>1145</v>
      </c>
      <c r="AT32" s="21">
        <v>1172</v>
      </c>
      <c r="AU32" s="21">
        <v>1194</v>
      </c>
      <c r="AV32" s="21">
        <v>1259</v>
      </c>
      <c r="AW32" s="21">
        <v>1339</v>
      </c>
      <c r="AX32" s="21">
        <v>1318</v>
      </c>
      <c r="AY32" s="21">
        <v>1359</v>
      </c>
      <c r="AZ32" s="21">
        <v>1353</v>
      </c>
      <c r="BA32" s="21">
        <v>1368</v>
      </c>
      <c r="BB32" s="21">
        <v>1348</v>
      </c>
      <c r="BC32" s="21">
        <v>1428</v>
      </c>
      <c r="BD32" s="21">
        <v>1414</v>
      </c>
      <c r="BE32" s="21">
        <v>1421</v>
      </c>
      <c r="BF32" s="21">
        <v>1456</v>
      </c>
      <c r="BG32" s="21">
        <v>1463</v>
      </c>
      <c r="BH32" s="21">
        <v>1445</v>
      </c>
      <c r="BI32" s="21">
        <v>1422</v>
      </c>
      <c r="BJ32" s="21">
        <v>1399</v>
      </c>
      <c r="BK32" s="21">
        <v>1372</v>
      </c>
      <c r="BL32" s="21">
        <v>1300</v>
      </c>
      <c r="BM32" s="1">
        <v>1247</v>
      </c>
      <c r="BN32" s="1">
        <v>1251</v>
      </c>
      <c r="BO32" s="1">
        <v>1288</v>
      </c>
      <c r="BP32" s="1">
        <v>1416</v>
      </c>
      <c r="BQ32" s="1">
        <v>1332</v>
      </c>
      <c r="BR32" s="1">
        <v>1481</v>
      </c>
      <c r="BS32" s="1">
        <v>1457</v>
      </c>
      <c r="BT32" s="1">
        <v>1437</v>
      </c>
      <c r="BU32" s="1">
        <v>1405</v>
      </c>
      <c r="BV32" s="1">
        <v>1372</v>
      </c>
      <c r="BW32" s="1">
        <v>1332</v>
      </c>
      <c r="BX32" s="1">
        <v>1311</v>
      </c>
      <c r="BY32" s="1">
        <v>1315</v>
      </c>
      <c r="BZ32" s="1">
        <v>1307</v>
      </c>
    </row>
    <row r="33" spans="1:78" ht="15.9" customHeight="1">
      <c r="A33" s="65" t="s">
        <v>61</v>
      </c>
      <c r="B33" s="41" t="s">
        <v>62</v>
      </c>
      <c r="C33" s="45">
        <f>_xll.RssMarket("8601","安値")</f>
        <v>1782</v>
      </c>
      <c r="D33" s="16">
        <f t="shared" si="0"/>
        <v>21.5</v>
      </c>
      <c r="E33" s="21">
        <v>1760.5</v>
      </c>
      <c r="F33" s="21">
        <v>1741.5</v>
      </c>
      <c r="G33" s="21">
        <v>1764</v>
      </c>
      <c r="H33" s="21">
        <v>1777.5</v>
      </c>
      <c r="I33" s="21">
        <v>1809.5</v>
      </c>
      <c r="J33" s="21">
        <v>1813</v>
      </c>
      <c r="K33" s="21">
        <v>1856.5</v>
      </c>
      <c r="L33" s="21">
        <v>1842</v>
      </c>
      <c r="M33" s="21">
        <v>1849</v>
      </c>
      <c r="N33" s="21">
        <v>1834</v>
      </c>
      <c r="O33" s="21">
        <v>1788.5</v>
      </c>
      <c r="P33" s="21">
        <v>1744</v>
      </c>
      <c r="Q33" s="21">
        <v>1826.5</v>
      </c>
      <c r="R33" s="21">
        <v>1765.5</v>
      </c>
      <c r="S33" s="21">
        <v>1776</v>
      </c>
      <c r="T33" s="21">
        <v>1738.5</v>
      </c>
      <c r="U33" s="21">
        <v>1717</v>
      </c>
      <c r="V33" s="21">
        <v>1751.5</v>
      </c>
      <c r="W33" s="21">
        <v>1727</v>
      </c>
      <c r="X33" s="21">
        <v>1685.5</v>
      </c>
      <c r="Y33" s="21">
        <v>1654</v>
      </c>
      <c r="Z33" s="21">
        <v>1620</v>
      </c>
      <c r="AA33" s="21">
        <v>1600</v>
      </c>
      <c r="AB33" s="21">
        <v>1591.5</v>
      </c>
      <c r="AC33" s="21">
        <v>1581.5</v>
      </c>
      <c r="AD33" s="21">
        <v>1589</v>
      </c>
      <c r="AE33" s="21">
        <v>1572.5</v>
      </c>
      <c r="AF33" s="21">
        <v>1569.5</v>
      </c>
      <c r="AG33" s="21">
        <v>1587.5</v>
      </c>
      <c r="AH33" s="21">
        <v>1581</v>
      </c>
      <c r="AI33" s="21">
        <v>1588</v>
      </c>
      <c r="AJ33" s="21">
        <v>1608.5</v>
      </c>
      <c r="AK33" s="21">
        <v>1593</v>
      </c>
      <c r="AL33" s="21">
        <v>1568</v>
      </c>
      <c r="AM33" s="21">
        <v>1591.5</v>
      </c>
      <c r="AN33" s="21">
        <v>1546.5</v>
      </c>
      <c r="AO33" s="21">
        <v>1518</v>
      </c>
      <c r="AP33" s="21">
        <v>1548.5</v>
      </c>
      <c r="AQ33" s="21">
        <v>1516.5</v>
      </c>
      <c r="AR33" s="21">
        <v>1542</v>
      </c>
      <c r="AS33" s="21">
        <v>1522.5</v>
      </c>
      <c r="AT33" s="21">
        <v>1495</v>
      </c>
      <c r="AU33" s="21">
        <v>1478</v>
      </c>
      <c r="AV33" s="21">
        <v>1476.5</v>
      </c>
      <c r="AW33" s="21">
        <v>1446</v>
      </c>
      <c r="AX33" s="21">
        <v>1442.5</v>
      </c>
      <c r="AY33" s="21">
        <v>1471</v>
      </c>
      <c r="AZ33" s="21">
        <v>1482</v>
      </c>
      <c r="BA33" s="21">
        <v>1494</v>
      </c>
      <c r="BB33" s="21">
        <v>1468</v>
      </c>
      <c r="BC33" s="21">
        <v>1479.5</v>
      </c>
      <c r="BD33" s="21">
        <v>1460.5</v>
      </c>
      <c r="BE33" s="21">
        <v>1474</v>
      </c>
      <c r="BF33" s="21">
        <v>1478</v>
      </c>
      <c r="BG33" s="21">
        <v>1464</v>
      </c>
      <c r="BH33" s="21">
        <v>1453</v>
      </c>
      <c r="BI33" s="21">
        <v>1439</v>
      </c>
      <c r="BJ33" s="21">
        <v>1437</v>
      </c>
      <c r="BK33" s="21">
        <v>1452.5</v>
      </c>
      <c r="BL33" s="21">
        <v>1423.5</v>
      </c>
      <c r="BM33" s="1">
        <v>1425</v>
      </c>
      <c r="BN33" s="1">
        <v>1412.5</v>
      </c>
      <c r="BO33" s="1">
        <v>1480</v>
      </c>
      <c r="BP33" s="1">
        <v>1490</v>
      </c>
      <c r="BQ33" s="1">
        <v>1491</v>
      </c>
      <c r="BR33" s="1">
        <v>1498.5</v>
      </c>
      <c r="BS33" s="1">
        <v>1519</v>
      </c>
      <c r="BT33" s="1">
        <v>1517</v>
      </c>
      <c r="BU33" s="1">
        <v>1526</v>
      </c>
      <c r="BV33" s="1">
        <v>1559</v>
      </c>
      <c r="BW33" s="1">
        <v>1565.5</v>
      </c>
      <c r="BX33" s="1">
        <v>1545.5</v>
      </c>
      <c r="BY33" s="1">
        <v>1524</v>
      </c>
      <c r="BZ33" s="1">
        <v>1540</v>
      </c>
    </row>
    <row r="34" spans="1:78" ht="15.9" customHeight="1">
      <c r="A34" s="65" t="s">
        <v>63</v>
      </c>
      <c r="B34" s="41" t="s">
        <v>64</v>
      </c>
      <c r="C34" s="45">
        <f>_xll.RssMarket("5233","安値")</f>
        <v>4026</v>
      </c>
      <c r="D34" s="16">
        <f t="shared" si="0"/>
        <v>101</v>
      </c>
      <c r="E34" s="21">
        <v>3925</v>
      </c>
      <c r="F34" s="21">
        <v>3915</v>
      </c>
      <c r="G34" s="21">
        <v>4070</v>
      </c>
      <c r="H34" s="21">
        <v>4150</v>
      </c>
      <c r="I34" s="21">
        <v>4160</v>
      </c>
      <c r="J34" s="21">
        <v>4136</v>
      </c>
      <c r="K34" s="21">
        <v>4102</v>
      </c>
      <c r="L34" s="21">
        <v>4116</v>
      </c>
      <c r="M34" s="21">
        <v>4122</v>
      </c>
      <c r="N34" s="21">
        <v>4145</v>
      </c>
      <c r="O34" s="21">
        <v>3935</v>
      </c>
      <c r="P34" s="21">
        <v>3875</v>
      </c>
      <c r="Q34" s="21">
        <v>3952</v>
      </c>
      <c r="R34" s="21">
        <v>3882</v>
      </c>
      <c r="S34" s="21">
        <v>3822</v>
      </c>
      <c r="T34" s="21">
        <v>3883</v>
      </c>
      <c r="U34" s="21">
        <v>3938</v>
      </c>
      <c r="V34" s="21">
        <v>3998</v>
      </c>
      <c r="W34" s="21">
        <v>4061</v>
      </c>
      <c r="X34" s="21">
        <v>4074</v>
      </c>
      <c r="Y34" s="21">
        <v>4001</v>
      </c>
      <c r="Z34" s="21">
        <v>3898</v>
      </c>
      <c r="AA34" s="21">
        <v>3866</v>
      </c>
      <c r="AB34" s="21">
        <v>3971</v>
      </c>
      <c r="AC34" s="21">
        <v>4018</v>
      </c>
      <c r="AD34" s="21">
        <v>4080</v>
      </c>
      <c r="AE34" s="21">
        <v>4089</v>
      </c>
      <c r="AF34" s="21">
        <v>4067</v>
      </c>
      <c r="AG34" s="21">
        <v>4124</v>
      </c>
      <c r="AH34" s="21">
        <v>4190</v>
      </c>
      <c r="AI34" s="21">
        <v>4280</v>
      </c>
      <c r="AJ34" s="21">
        <v>4344</v>
      </c>
      <c r="AK34" s="21">
        <v>4302</v>
      </c>
      <c r="AL34" s="21">
        <v>4370</v>
      </c>
      <c r="AM34" s="21">
        <v>4301</v>
      </c>
      <c r="AN34" s="21">
        <v>4097</v>
      </c>
      <c r="AO34" s="21">
        <v>4000</v>
      </c>
      <c r="AP34" s="21">
        <v>4115</v>
      </c>
      <c r="AQ34" s="21">
        <v>4204</v>
      </c>
      <c r="AR34" s="21">
        <v>4322</v>
      </c>
      <c r="AS34" s="21">
        <v>4361</v>
      </c>
      <c r="AT34" s="21">
        <v>4381</v>
      </c>
      <c r="AU34" s="21">
        <v>4291</v>
      </c>
      <c r="AV34" s="21">
        <v>4475</v>
      </c>
      <c r="AW34" s="21">
        <v>4213</v>
      </c>
      <c r="AX34" s="21">
        <v>4171</v>
      </c>
      <c r="AY34" s="21">
        <v>4048</v>
      </c>
      <c r="AZ34" s="21">
        <v>4113</v>
      </c>
      <c r="BA34" s="21">
        <v>4028</v>
      </c>
      <c r="BB34" s="21">
        <v>3918</v>
      </c>
      <c r="BC34" s="21">
        <v>3883</v>
      </c>
      <c r="BD34" s="21">
        <v>3803</v>
      </c>
      <c r="BE34" s="21">
        <v>3959</v>
      </c>
      <c r="BF34" s="21">
        <v>4059</v>
      </c>
      <c r="BG34" s="21">
        <v>4053</v>
      </c>
      <c r="BH34" s="21">
        <v>3627</v>
      </c>
      <c r="BI34" s="21">
        <v>3541</v>
      </c>
      <c r="BJ34" s="21">
        <v>3600</v>
      </c>
      <c r="BK34" s="21">
        <v>3608</v>
      </c>
      <c r="BL34" s="21">
        <v>3518</v>
      </c>
      <c r="BM34" s="1">
        <v>3523</v>
      </c>
      <c r="BN34" s="1">
        <v>3601</v>
      </c>
      <c r="BO34" s="1">
        <v>3537</v>
      </c>
      <c r="BP34" s="1">
        <v>3519</v>
      </c>
      <c r="BQ34" s="1">
        <v>3486</v>
      </c>
      <c r="BR34" s="1">
        <v>3601</v>
      </c>
      <c r="BS34" s="1">
        <v>3657</v>
      </c>
      <c r="BT34" s="1">
        <v>3661</v>
      </c>
      <c r="BU34" s="1">
        <v>3646</v>
      </c>
      <c r="BV34" s="1">
        <v>3665</v>
      </c>
      <c r="BW34" s="1">
        <v>3664</v>
      </c>
      <c r="BX34" s="1">
        <v>3691</v>
      </c>
      <c r="BY34" s="1">
        <v>3672</v>
      </c>
      <c r="BZ34" s="1">
        <v>3669</v>
      </c>
    </row>
    <row r="35" spans="1:78" ht="15.9" customHeight="1">
      <c r="A35" s="65" t="s">
        <v>65</v>
      </c>
      <c r="B35" s="41" t="s">
        <v>66</v>
      </c>
      <c r="C35" s="45">
        <f>_xll.RssMarket("8308","安値")</f>
        <v>2183.5</v>
      </c>
      <c r="D35" s="16">
        <f t="shared" si="0"/>
        <v>-8</v>
      </c>
      <c r="E35" s="21">
        <v>2191.5</v>
      </c>
      <c r="F35" s="21">
        <v>2166.5</v>
      </c>
      <c r="G35" s="21">
        <v>2158</v>
      </c>
      <c r="H35" s="21">
        <v>2153</v>
      </c>
      <c r="I35" s="21">
        <v>2174.5</v>
      </c>
      <c r="J35" s="21">
        <v>2259.5</v>
      </c>
      <c r="K35" s="21">
        <v>2344</v>
      </c>
      <c r="L35" s="21">
        <v>2318</v>
      </c>
      <c r="M35" s="21">
        <v>2306</v>
      </c>
      <c r="N35" s="21">
        <v>2287.5</v>
      </c>
      <c r="O35" s="21">
        <v>2219</v>
      </c>
      <c r="P35" s="21">
        <v>2197</v>
      </c>
      <c r="Q35" s="21">
        <v>2358.5</v>
      </c>
      <c r="R35" s="21">
        <v>2324.5</v>
      </c>
      <c r="S35" s="21">
        <v>2340</v>
      </c>
      <c r="T35" s="21">
        <v>2316.5</v>
      </c>
      <c r="U35" s="21">
        <v>2332</v>
      </c>
      <c r="V35" s="21">
        <v>2316.5</v>
      </c>
      <c r="W35" s="21">
        <v>2314.5</v>
      </c>
      <c r="X35" s="21">
        <v>2231.5</v>
      </c>
      <c r="Y35" s="21">
        <v>2185</v>
      </c>
      <c r="Z35" s="21">
        <v>2145</v>
      </c>
      <c r="AA35" s="21">
        <v>2085</v>
      </c>
      <c r="AB35" s="21">
        <v>2106</v>
      </c>
      <c r="AC35" s="21">
        <v>2074</v>
      </c>
      <c r="AD35" s="21">
        <v>2078.5</v>
      </c>
      <c r="AE35" s="21">
        <v>2098</v>
      </c>
      <c r="AF35" s="21">
        <v>2108.5</v>
      </c>
      <c r="AG35" s="21">
        <v>2162</v>
      </c>
      <c r="AH35" s="21">
        <v>2150</v>
      </c>
      <c r="AI35" s="21">
        <v>2193</v>
      </c>
      <c r="AJ35" s="21">
        <v>2206</v>
      </c>
      <c r="AK35" s="21">
        <v>2160.5</v>
      </c>
      <c r="AL35" s="21">
        <v>2108.5</v>
      </c>
      <c r="AM35" s="21">
        <v>2201</v>
      </c>
      <c r="AN35" s="21">
        <v>2135.5</v>
      </c>
      <c r="AO35" s="21">
        <v>2089.5</v>
      </c>
      <c r="AP35" s="21">
        <v>2124</v>
      </c>
      <c r="AQ35" s="21">
        <v>2043.5</v>
      </c>
      <c r="AR35" s="21">
        <v>2117</v>
      </c>
      <c r="AS35" s="21">
        <v>2049</v>
      </c>
      <c r="AT35" s="21">
        <v>2033.5</v>
      </c>
      <c r="AU35" s="21">
        <v>1958</v>
      </c>
      <c r="AV35" s="21">
        <v>2032</v>
      </c>
      <c r="AW35" s="21">
        <v>2003</v>
      </c>
      <c r="AX35" s="21">
        <v>2023</v>
      </c>
      <c r="AY35" s="21">
        <v>2096.5</v>
      </c>
      <c r="AZ35" s="21">
        <v>2099.5</v>
      </c>
      <c r="BA35" s="21">
        <v>2068</v>
      </c>
      <c r="BB35" s="21">
        <v>2016</v>
      </c>
      <c r="BC35" s="21">
        <v>2033</v>
      </c>
      <c r="BD35" s="21">
        <v>2016.5</v>
      </c>
      <c r="BE35" s="21">
        <v>2006</v>
      </c>
      <c r="BF35" s="21">
        <v>2032.5</v>
      </c>
      <c r="BG35" s="21">
        <v>2022.5</v>
      </c>
      <c r="BH35" s="21">
        <v>1996.5</v>
      </c>
      <c r="BI35" s="21">
        <v>1933.5</v>
      </c>
      <c r="BJ35" s="21">
        <v>1916.5</v>
      </c>
      <c r="BK35" s="21">
        <v>1980</v>
      </c>
      <c r="BL35" s="21">
        <v>1892.5</v>
      </c>
      <c r="BM35" s="1">
        <v>1885</v>
      </c>
      <c r="BN35" s="1">
        <v>1851</v>
      </c>
      <c r="BO35" s="1">
        <v>1786</v>
      </c>
      <c r="BP35" s="1">
        <v>1810</v>
      </c>
      <c r="BQ35" s="1">
        <v>1796</v>
      </c>
      <c r="BR35" s="1">
        <v>1854</v>
      </c>
      <c r="BS35" s="1">
        <v>1905</v>
      </c>
      <c r="BT35" s="1">
        <v>1948.5</v>
      </c>
      <c r="BU35" s="1">
        <v>1926</v>
      </c>
      <c r="BV35" s="1">
        <v>1909.5</v>
      </c>
      <c r="BW35" s="1">
        <v>1904.5</v>
      </c>
      <c r="BX35" s="1">
        <v>1857.5</v>
      </c>
      <c r="BY35" s="1">
        <v>1871</v>
      </c>
      <c r="BZ35" s="1">
        <v>1883</v>
      </c>
    </row>
    <row r="36" spans="1:78" ht="15.9" customHeight="1">
      <c r="A36" s="65" t="s">
        <v>67</v>
      </c>
      <c r="B36" s="41" t="s">
        <v>68</v>
      </c>
      <c r="C36" s="45">
        <f>_xll.RssMarket("5938","安値")</f>
        <v>1719</v>
      </c>
      <c r="D36" s="16">
        <f t="shared" si="0"/>
        <v>14</v>
      </c>
      <c r="E36" s="21">
        <v>1705</v>
      </c>
      <c r="F36" s="21">
        <v>1689</v>
      </c>
      <c r="G36" s="21">
        <v>1711.5</v>
      </c>
      <c r="H36" s="21">
        <v>1868.5</v>
      </c>
      <c r="I36" s="21">
        <v>1900.5</v>
      </c>
      <c r="J36" s="21">
        <v>1888</v>
      </c>
      <c r="K36" s="21">
        <v>1830</v>
      </c>
      <c r="L36" s="21">
        <v>1807</v>
      </c>
      <c r="M36" s="21">
        <v>1840.5</v>
      </c>
      <c r="N36" s="21">
        <v>1817</v>
      </c>
      <c r="O36" s="21">
        <v>1856</v>
      </c>
      <c r="P36" s="21">
        <v>1863</v>
      </c>
      <c r="Q36" s="21">
        <v>1870</v>
      </c>
      <c r="R36" s="21">
        <v>1843.5</v>
      </c>
      <c r="S36" s="21">
        <v>1828</v>
      </c>
      <c r="T36" s="21">
        <v>1834</v>
      </c>
      <c r="U36" s="21">
        <v>1858</v>
      </c>
      <c r="V36" s="21">
        <v>1866</v>
      </c>
      <c r="W36" s="21">
        <v>1876</v>
      </c>
      <c r="X36" s="21">
        <v>1864</v>
      </c>
      <c r="Y36" s="21">
        <v>1832.5</v>
      </c>
      <c r="Z36" s="21">
        <v>1796</v>
      </c>
      <c r="AA36" s="21">
        <v>1784.5</v>
      </c>
      <c r="AB36" s="21">
        <v>1790.5</v>
      </c>
      <c r="AC36" s="21">
        <v>1765.5</v>
      </c>
      <c r="AD36" s="21">
        <v>1754.5</v>
      </c>
      <c r="AE36" s="21">
        <v>1739.5</v>
      </c>
      <c r="AF36" s="21">
        <v>1695</v>
      </c>
      <c r="AG36" s="21">
        <v>1706.5</v>
      </c>
      <c r="AH36" s="21">
        <v>1723</v>
      </c>
      <c r="AI36" s="21">
        <v>1718.5</v>
      </c>
      <c r="AJ36" s="21">
        <v>1703.5</v>
      </c>
      <c r="AK36" s="21">
        <v>1717</v>
      </c>
      <c r="AL36" s="21">
        <v>1727.5</v>
      </c>
      <c r="AM36" s="21">
        <v>1726.5</v>
      </c>
      <c r="AN36" s="21">
        <v>1721</v>
      </c>
      <c r="AO36" s="21">
        <v>1704</v>
      </c>
      <c r="AP36" s="21">
        <v>1711.5</v>
      </c>
      <c r="AQ36" s="21">
        <v>1701</v>
      </c>
      <c r="AR36" s="21">
        <v>1693.5</v>
      </c>
      <c r="AS36" s="21">
        <v>1690.5</v>
      </c>
      <c r="AT36" s="21">
        <v>1677.5</v>
      </c>
      <c r="AU36" s="21">
        <v>1652</v>
      </c>
      <c r="AV36" s="21">
        <v>1686.5</v>
      </c>
      <c r="AW36" s="21">
        <v>1670.5</v>
      </c>
      <c r="AX36" s="21">
        <v>1648</v>
      </c>
      <c r="AY36" s="21">
        <v>1644</v>
      </c>
      <c r="AZ36" s="21">
        <v>1630</v>
      </c>
      <c r="BA36" s="21">
        <v>1635</v>
      </c>
      <c r="BB36" s="21">
        <v>1616.5</v>
      </c>
      <c r="BC36" s="21">
        <v>1646</v>
      </c>
      <c r="BD36" s="21">
        <v>1633.5</v>
      </c>
      <c r="BE36" s="21">
        <v>1655</v>
      </c>
      <c r="BF36" s="21">
        <v>1651</v>
      </c>
      <c r="BG36" s="21">
        <v>1673</v>
      </c>
      <c r="BH36" s="21">
        <v>1669.5</v>
      </c>
      <c r="BI36" s="21">
        <v>1662.5</v>
      </c>
      <c r="BJ36" s="21">
        <v>1669.5</v>
      </c>
      <c r="BK36" s="21">
        <v>1639</v>
      </c>
      <c r="BL36" s="21">
        <v>1605</v>
      </c>
      <c r="BM36" s="1">
        <v>1571.5</v>
      </c>
      <c r="BN36" s="1">
        <v>1604</v>
      </c>
      <c r="BO36" s="1">
        <v>1595.5</v>
      </c>
      <c r="BP36" s="1">
        <v>1608</v>
      </c>
      <c r="BQ36" s="1">
        <v>1585</v>
      </c>
      <c r="BR36" s="1">
        <v>1615</v>
      </c>
      <c r="BS36" s="1">
        <v>1636</v>
      </c>
      <c r="BT36" s="1">
        <v>1628</v>
      </c>
      <c r="BU36" s="1">
        <v>1615</v>
      </c>
      <c r="BV36" s="1">
        <v>1616.5</v>
      </c>
      <c r="BW36" s="1">
        <v>1610</v>
      </c>
      <c r="BX36" s="1">
        <v>1598</v>
      </c>
      <c r="BY36" s="1">
        <v>1589</v>
      </c>
      <c r="BZ36" s="1">
        <v>1655</v>
      </c>
    </row>
    <row r="37" spans="1:78" ht="15.9" customHeight="1">
      <c r="A37" s="65" t="s">
        <v>69</v>
      </c>
      <c r="B37" s="41" t="s">
        <v>70</v>
      </c>
      <c r="C37" s="45">
        <f>_xll.RssMarket("8570","安値")</f>
        <v>1528</v>
      </c>
      <c r="D37" s="16">
        <f t="shared" si="0"/>
        <v>4</v>
      </c>
      <c r="E37" s="21">
        <v>1524</v>
      </c>
      <c r="F37" s="21">
        <v>1519.5</v>
      </c>
      <c r="G37" s="21">
        <v>1551.5</v>
      </c>
      <c r="H37" s="21">
        <v>1552.5</v>
      </c>
      <c r="I37" s="21">
        <v>1556</v>
      </c>
      <c r="J37" s="21">
        <v>1563</v>
      </c>
      <c r="K37" s="21">
        <v>1562</v>
      </c>
      <c r="L37" s="21">
        <v>1547</v>
      </c>
      <c r="M37" s="21">
        <v>1558.5</v>
      </c>
      <c r="N37" s="21">
        <v>1556.5</v>
      </c>
      <c r="O37" s="21">
        <v>1535.5</v>
      </c>
      <c r="P37" s="21">
        <v>1515.5</v>
      </c>
      <c r="Q37" s="21">
        <v>1535</v>
      </c>
      <c r="R37" s="21">
        <v>1521</v>
      </c>
      <c r="S37" s="21">
        <v>1535</v>
      </c>
      <c r="T37" s="21">
        <v>1508</v>
      </c>
      <c r="U37" s="21">
        <v>1505</v>
      </c>
      <c r="V37" s="21">
        <v>1515.5</v>
      </c>
      <c r="W37" s="21">
        <v>1521.5</v>
      </c>
      <c r="X37" s="21">
        <v>1502</v>
      </c>
      <c r="Y37" s="21">
        <v>1481</v>
      </c>
      <c r="Z37" s="21">
        <v>1474.5</v>
      </c>
      <c r="AA37" s="21">
        <v>1462</v>
      </c>
      <c r="AB37" s="21">
        <v>1463.5</v>
      </c>
      <c r="AC37" s="21">
        <v>1461.5</v>
      </c>
      <c r="AD37" s="21">
        <v>1458</v>
      </c>
      <c r="AE37" s="21">
        <v>1444</v>
      </c>
      <c r="AF37" s="21">
        <v>1443</v>
      </c>
      <c r="AG37" s="21">
        <v>1443</v>
      </c>
      <c r="AH37" s="21">
        <v>1446.5</v>
      </c>
      <c r="AI37" s="21">
        <v>1466.5</v>
      </c>
      <c r="AJ37" s="21">
        <v>1473.5</v>
      </c>
      <c r="AK37" s="21">
        <v>1491.5</v>
      </c>
      <c r="AL37" s="21">
        <v>1485</v>
      </c>
      <c r="AM37" s="21">
        <v>1508</v>
      </c>
      <c r="AN37" s="21">
        <v>1493</v>
      </c>
      <c r="AO37" s="21">
        <v>1488</v>
      </c>
      <c r="AP37" s="21">
        <v>1486</v>
      </c>
      <c r="AQ37" s="21">
        <v>1442</v>
      </c>
      <c r="AR37" s="21">
        <v>1441</v>
      </c>
      <c r="AS37" s="21">
        <v>1427.5</v>
      </c>
      <c r="AT37" s="21">
        <v>1447</v>
      </c>
      <c r="AU37" s="21">
        <v>1413.5</v>
      </c>
      <c r="AV37" s="21">
        <v>1496</v>
      </c>
      <c r="AW37" s="21">
        <v>1506</v>
      </c>
      <c r="AX37" s="21">
        <v>1526.5</v>
      </c>
      <c r="AY37" s="21">
        <v>1541</v>
      </c>
      <c r="AZ37" s="21">
        <v>1550</v>
      </c>
      <c r="BA37" s="21">
        <v>1584</v>
      </c>
      <c r="BB37" s="21">
        <v>1562</v>
      </c>
      <c r="BC37" s="21">
        <v>1563</v>
      </c>
      <c r="BD37" s="21">
        <v>1560</v>
      </c>
      <c r="BE37" s="21">
        <v>1545.5</v>
      </c>
      <c r="BF37" s="21">
        <v>1547.5</v>
      </c>
      <c r="BG37" s="21">
        <v>1554.5</v>
      </c>
      <c r="BH37" s="21">
        <v>1545.5</v>
      </c>
      <c r="BI37" s="21">
        <v>1515</v>
      </c>
      <c r="BJ37" s="21">
        <v>1499.5</v>
      </c>
      <c r="BK37" s="21">
        <v>1551.5</v>
      </c>
      <c r="BL37" s="21">
        <v>1532.5</v>
      </c>
      <c r="BM37" s="1">
        <v>1531</v>
      </c>
      <c r="BN37" s="1">
        <v>1531.5</v>
      </c>
      <c r="BO37" s="1">
        <v>1521.5</v>
      </c>
      <c r="BP37" s="1">
        <v>1544.5</v>
      </c>
      <c r="BQ37" s="1">
        <v>1538</v>
      </c>
      <c r="BR37" s="1">
        <v>1536.5</v>
      </c>
      <c r="BS37" s="1">
        <v>1537</v>
      </c>
      <c r="BT37" s="1">
        <v>1558.5</v>
      </c>
      <c r="BU37" s="1">
        <v>1564.5</v>
      </c>
      <c r="BV37" s="1">
        <v>1609.5</v>
      </c>
      <c r="BW37" s="1">
        <v>1606</v>
      </c>
      <c r="BX37" s="1">
        <v>1586</v>
      </c>
      <c r="BY37" s="1">
        <v>1516</v>
      </c>
      <c r="BZ37" s="1">
        <v>1523</v>
      </c>
    </row>
    <row r="38" spans="1:78" ht="15.9" customHeight="1">
      <c r="A38" s="65" t="s">
        <v>71</v>
      </c>
      <c r="B38" s="41" t="s">
        <v>72</v>
      </c>
      <c r="C38" s="45">
        <f>_xll.RssMarket("5406","安値")</f>
        <v>1927.5</v>
      </c>
      <c r="D38" s="16">
        <f t="shared" ref="D38:D69" si="1">C38-E38</f>
        <v>-117.5</v>
      </c>
      <c r="E38" s="21">
        <v>2045</v>
      </c>
      <c r="F38" s="21">
        <v>2001.5</v>
      </c>
      <c r="G38" s="21">
        <v>2061</v>
      </c>
      <c r="H38" s="21">
        <v>2043</v>
      </c>
      <c r="I38" s="21">
        <v>2026.5</v>
      </c>
      <c r="J38" s="21">
        <v>1984</v>
      </c>
      <c r="K38" s="21">
        <v>1997.5</v>
      </c>
      <c r="L38" s="21">
        <v>1965</v>
      </c>
      <c r="M38" s="21">
        <v>1977</v>
      </c>
      <c r="N38" s="21">
        <v>1963.5</v>
      </c>
      <c r="O38" s="21">
        <v>1945</v>
      </c>
      <c r="P38" s="21">
        <v>1912</v>
      </c>
      <c r="Q38" s="21">
        <v>1914.5</v>
      </c>
      <c r="R38" s="21">
        <v>1876</v>
      </c>
      <c r="S38" s="21">
        <v>1836.5</v>
      </c>
      <c r="T38" s="21">
        <v>1860</v>
      </c>
      <c r="U38" s="21">
        <v>1868.5</v>
      </c>
      <c r="V38" s="21">
        <v>1880.5</v>
      </c>
      <c r="W38" s="21">
        <v>1906</v>
      </c>
      <c r="X38" s="21">
        <v>1906</v>
      </c>
      <c r="Y38" s="21">
        <v>1875</v>
      </c>
      <c r="Z38" s="21">
        <v>1789</v>
      </c>
      <c r="AA38" s="21">
        <v>1841</v>
      </c>
      <c r="AB38" s="21">
        <v>1855.5</v>
      </c>
      <c r="AC38" s="21">
        <v>1858</v>
      </c>
      <c r="AD38" s="21">
        <v>1865.5</v>
      </c>
      <c r="AE38" s="21">
        <v>1868</v>
      </c>
      <c r="AF38" s="21">
        <v>1873.5</v>
      </c>
      <c r="AG38" s="21">
        <v>1891.5</v>
      </c>
      <c r="AH38" s="21">
        <v>1942.5</v>
      </c>
      <c r="AI38" s="21">
        <v>1965</v>
      </c>
      <c r="AJ38" s="21">
        <v>1950.5</v>
      </c>
      <c r="AK38" s="21">
        <v>1973</v>
      </c>
      <c r="AL38" s="21">
        <v>1981.5</v>
      </c>
      <c r="AM38" s="21">
        <v>1953</v>
      </c>
      <c r="AN38" s="21">
        <v>1918.5</v>
      </c>
      <c r="AO38" s="21">
        <v>1860</v>
      </c>
      <c r="AP38" s="21">
        <v>1888</v>
      </c>
      <c r="AQ38" s="21">
        <v>1884</v>
      </c>
      <c r="AR38" s="21">
        <v>1932.5</v>
      </c>
      <c r="AS38" s="21">
        <v>1933</v>
      </c>
      <c r="AT38" s="21">
        <v>1953</v>
      </c>
      <c r="AU38" s="21">
        <v>1929</v>
      </c>
      <c r="AV38" s="21">
        <v>1952.5</v>
      </c>
      <c r="AW38" s="21">
        <v>1933</v>
      </c>
      <c r="AX38" s="21">
        <v>1965.5</v>
      </c>
      <c r="AY38" s="21">
        <v>1934</v>
      </c>
      <c r="AZ38" s="21">
        <v>1930</v>
      </c>
      <c r="BA38" s="21">
        <v>1900.5</v>
      </c>
      <c r="BB38" s="21">
        <v>1857</v>
      </c>
      <c r="BC38" s="21">
        <v>1885</v>
      </c>
      <c r="BD38" s="21">
        <v>1873.5</v>
      </c>
      <c r="BE38" s="21">
        <v>1939.5</v>
      </c>
      <c r="BF38" s="21">
        <v>1961.5</v>
      </c>
      <c r="BG38" s="21">
        <v>1960.5</v>
      </c>
      <c r="BH38" s="21">
        <v>1955</v>
      </c>
      <c r="BI38" s="21">
        <v>1912</v>
      </c>
      <c r="BJ38" s="21">
        <v>1914</v>
      </c>
      <c r="BK38" s="21">
        <v>1974</v>
      </c>
      <c r="BL38" s="21">
        <v>1895</v>
      </c>
      <c r="BM38" s="1">
        <v>1877</v>
      </c>
      <c r="BN38" s="1">
        <v>1870</v>
      </c>
      <c r="BO38" s="1">
        <v>1840</v>
      </c>
      <c r="BP38" s="1">
        <v>1843</v>
      </c>
      <c r="BQ38" s="1">
        <v>1839</v>
      </c>
      <c r="BR38" s="1">
        <v>1870.5</v>
      </c>
      <c r="BS38" s="1">
        <v>1904</v>
      </c>
      <c r="BT38" s="1">
        <v>1927.5</v>
      </c>
      <c r="BU38" s="1">
        <v>1919</v>
      </c>
      <c r="BV38" s="1">
        <v>1941</v>
      </c>
      <c r="BW38" s="1">
        <v>1933.5</v>
      </c>
      <c r="BX38" s="1">
        <v>1944</v>
      </c>
      <c r="BY38" s="1">
        <v>1931</v>
      </c>
      <c r="BZ38" s="1">
        <v>1950.5</v>
      </c>
    </row>
    <row r="39" spans="1:78" ht="15.9" customHeight="1">
      <c r="A39" s="65" t="s">
        <v>73</v>
      </c>
      <c r="B39" s="41" t="s">
        <v>74</v>
      </c>
      <c r="C39" s="45">
        <f>_xll.RssMarket("8593","安値")</f>
        <v>1405</v>
      </c>
      <c r="D39" s="16">
        <f t="shared" si="1"/>
        <v>-2</v>
      </c>
      <c r="E39" s="21">
        <v>1407</v>
      </c>
      <c r="F39" s="21">
        <v>1404</v>
      </c>
      <c r="G39" s="21">
        <v>1458.5</v>
      </c>
      <c r="H39" s="21">
        <v>1476.5</v>
      </c>
      <c r="I39" s="21">
        <v>1484</v>
      </c>
      <c r="J39" s="21">
        <v>1453</v>
      </c>
      <c r="K39" s="21">
        <v>1444</v>
      </c>
      <c r="L39" s="21">
        <v>1423.5</v>
      </c>
      <c r="M39" s="21">
        <v>1432.5</v>
      </c>
      <c r="N39" s="21">
        <v>1425.5</v>
      </c>
      <c r="O39" s="21">
        <v>1400</v>
      </c>
      <c r="P39" s="21">
        <v>1380</v>
      </c>
      <c r="Q39" s="21">
        <v>1406.5</v>
      </c>
      <c r="R39" s="21">
        <v>1385.5</v>
      </c>
      <c r="S39" s="21">
        <v>1369.5</v>
      </c>
      <c r="T39" s="21">
        <v>1360.5</v>
      </c>
      <c r="U39" s="21">
        <v>1362.5</v>
      </c>
      <c r="V39" s="21">
        <v>1378.5</v>
      </c>
      <c r="W39" s="21">
        <v>1379</v>
      </c>
      <c r="X39" s="21">
        <v>1345</v>
      </c>
      <c r="Y39" s="21">
        <v>1346</v>
      </c>
      <c r="Z39" s="21">
        <v>1318.5</v>
      </c>
      <c r="AA39" s="21">
        <v>1301.5</v>
      </c>
      <c r="AB39" s="21">
        <v>1314</v>
      </c>
      <c r="AC39" s="21">
        <v>1310</v>
      </c>
      <c r="AD39" s="21">
        <v>1301</v>
      </c>
      <c r="AE39" s="21">
        <v>1293</v>
      </c>
      <c r="AF39" s="21">
        <v>1290</v>
      </c>
      <c r="AG39" s="21">
        <v>1289</v>
      </c>
      <c r="AH39" s="21">
        <v>1289</v>
      </c>
      <c r="AI39" s="21">
        <v>1300.5</v>
      </c>
      <c r="AJ39" s="21">
        <v>1305</v>
      </c>
      <c r="AK39" s="21">
        <v>1318.5</v>
      </c>
      <c r="AL39" s="21">
        <v>1310</v>
      </c>
      <c r="AM39" s="21">
        <v>1326.5</v>
      </c>
      <c r="AN39" s="21">
        <v>1307</v>
      </c>
      <c r="AO39" s="21">
        <v>1303</v>
      </c>
      <c r="AP39" s="21">
        <v>1313.5</v>
      </c>
      <c r="AQ39" s="21">
        <v>1267</v>
      </c>
      <c r="AR39" s="21">
        <v>1272</v>
      </c>
      <c r="AS39" s="21">
        <v>1254</v>
      </c>
      <c r="AT39" s="21">
        <v>1249</v>
      </c>
      <c r="AU39" s="21">
        <v>1239.5</v>
      </c>
      <c r="AV39" s="21">
        <v>1301.5</v>
      </c>
      <c r="AW39" s="21">
        <v>1300.5</v>
      </c>
      <c r="AX39" s="21">
        <v>1308</v>
      </c>
      <c r="AY39" s="21">
        <v>1305.5</v>
      </c>
      <c r="AZ39" s="21">
        <v>1311</v>
      </c>
      <c r="BA39" s="21">
        <v>1333</v>
      </c>
      <c r="BB39" s="21">
        <v>1333</v>
      </c>
      <c r="BC39" s="21">
        <v>1337</v>
      </c>
      <c r="BD39" s="21">
        <v>1321.5</v>
      </c>
      <c r="BE39" s="21">
        <v>1410.5</v>
      </c>
      <c r="BF39" s="21">
        <v>1418</v>
      </c>
      <c r="BG39" s="21">
        <v>1430.5</v>
      </c>
      <c r="BH39" s="21">
        <v>1424</v>
      </c>
      <c r="BI39" s="21">
        <v>1401</v>
      </c>
      <c r="BJ39" s="21">
        <v>1397.5</v>
      </c>
      <c r="BK39" s="21">
        <v>1393</v>
      </c>
      <c r="BL39" s="21">
        <v>1400</v>
      </c>
      <c r="BM39" s="1">
        <v>1412</v>
      </c>
      <c r="BN39" s="1">
        <v>1421.5</v>
      </c>
      <c r="BO39" s="1">
        <v>1398</v>
      </c>
      <c r="BP39" s="1">
        <v>1400.5</v>
      </c>
      <c r="BQ39" s="1">
        <v>1399</v>
      </c>
      <c r="BR39" s="1">
        <v>1411</v>
      </c>
      <c r="BS39" s="1">
        <v>1432</v>
      </c>
      <c r="BT39" s="1">
        <v>1446</v>
      </c>
      <c r="BU39" s="1">
        <v>1460</v>
      </c>
      <c r="BV39" s="1">
        <v>1466</v>
      </c>
      <c r="BW39" s="1">
        <v>1462</v>
      </c>
      <c r="BX39" s="1">
        <v>1459.5</v>
      </c>
      <c r="BY39" s="1">
        <v>1456</v>
      </c>
      <c r="BZ39" s="1">
        <v>1467</v>
      </c>
    </row>
    <row r="40" spans="1:78" ht="15.9" customHeight="1">
      <c r="A40" s="65" t="s">
        <v>75</v>
      </c>
      <c r="B40" s="41" t="s">
        <v>76</v>
      </c>
      <c r="C40" s="45">
        <f>_xll.RssMarket("8604","安値")</f>
        <v>1531.5</v>
      </c>
      <c r="D40" s="16">
        <f t="shared" si="1"/>
        <v>38</v>
      </c>
      <c r="E40" s="21">
        <v>1493.5</v>
      </c>
      <c r="F40" s="21">
        <v>1455.5</v>
      </c>
      <c r="G40" s="21">
        <v>1483</v>
      </c>
      <c r="H40" s="21">
        <v>1459</v>
      </c>
      <c r="I40" s="21">
        <v>1545</v>
      </c>
      <c r="J40" s="21">
        <v>1555</v>
      </c>
      <c r="K40" s="21">
        <v>1597</v>
      </c>
      <c r="L40" s="21">
        <v>1591.5</v>
      </c>
      <c r="M40" s="21">
        <v>1591</v>
      </c>
      <c r="N40" s="21">
        <v>1579.5</v>
      </c>
      <c r="O40" s="21">
        <v>1515.5</v>
      </c>
      <c r="P40" s="21">
        <v>1496.5</v>
      </c>
      <c r="Q40" s="21">
        <v>1581.5</v>
      </c>
      <c r="R40" s="21">
        <v>1538.5</v>
      </c>
      <c r="S40" s="21">
        <v>1542.5</v>
      </c>
      <c r="T40" s="21">
        <v>1523</v>
      </c>
      <c r="U40" s="21">
        <v>1500.5</v>
      </c>
      <c r="V40" s="21">
        <v>1516</v>
      </c>
      <c r="W40" s="21">
        <v>1504</v>
      </c>
      <c r="X40" s="21">
        <v>1467</v>
      </c>
      <c r="Y40" s="21">
        <v>1452</v>
      </c>
      <c r="Z40" s="21">
        <v>1436</v>
      </c>
      <c r="AA40" s="21">
        <v>1420</v>
      </c>
      <c r="AB40" s="21">
        <v>1402</v>
      </c>
      <c r="AC40" s="21">
        <v>1396</v>
      </c>
      <c r="AD40" s="21">
        <v>1415.5</v>
      </c>
      <c r="AE40" s="21">
        <v>1400.5</v>
      </c>
      <c r="AF40" s="21">
        <v>1396</v>
      </c>
      <c r="AG40" s="21">
        <v>1401</v>
      </c>
      <c r="AH40" s="21">
        <v>1403</v>
      </c>
      <c r="AI40" s="21">
        <v>1397.5</v>
      </c>
      <c r="AJ40" s="21">
        <v>1417</v>
      </c>
      <c r="AK40" s="21">
        <v>1428.5</v>
      </c>
      <c r="AL40" s="21">
        <v>1371.5</v>
      </c>
      <c r="AM40" s="21">
        <v>1399.5</v>
      </c>
      <c r="AN40" s="21">
        <v>1351</v>
      </c>
      <c r="AO40" s="21">
        <v>1333.5</v>
      </c>
      <c r="AP40" s="21">
        <v>1377</v>
      </c>
      <c r="AQ40" s="21">
        <v>1328.5</v>
      </c>
      <c r="AR40" s="21">
        <v>1360.5</v>
      </c>
      <c r="AS40" s="21">
        <v>1336.5</v>
      </c>
      <c r="AT40" s="21">
        <v>1321.5</v>
      </c>
      <c r="AU40" s="21">
        <v>1285</v>
      </c>
      <c r="AV40" s="21">
        <v>1260.5</v>
      </c>
      <c r="AW40" s="21">
        <v>1237</v>
      </c>
      <c r="AX40" s="21">
        <v>1247.5</v>
      </c>
      <c r="AY40" s="21">
        <v>1264.5</v>
      </c>
      <c r="AZ40" s="21">
        <v>1287</v>
      </c>
      <c r="BA40" s="21">
        <v>1263.5</v>
      </c>
      <c r="BB40" s="21">
        <v>1239.5</v>
      </c>
      <c r="BC40" s="21">
        <v>1256</v>
      </c>
      <c r="BD40" s="21">
        <v>1248</v>
      </c>
      <c r="BE40" s="21">
        <v>1256.5</v>
      </c>
      <c r="BF40" s="21">
        <v>1259</v>
      </c>
      <c r="BG40" s="21">
        <v>1242.5</v>
      </c>
      <c r="BH40" s="21">
        <v>1219</v>
      </c>
      <c r="BI40" s="21">
        <v>1210.5</v>
      </c>
      <c r="BJ40" s="21">
        <v>1213.5</v>
      </c>
      <c r="BK40" s="21">
        <v>1224.5</v>
      </c>
      <c r="BL40" s="21">
        <v>1214</v>
      </c>
      <c r="BM40" s="1">
        <v>1236</v>
      </c>
      <c r="BN40" s="1">
        <v>1248</v>
      </c>
      <c r="BO40" s="1">
        <v>1227</v>
      </c>
      <c r="BP40" s="1">
        <v>1306</v>
      </c>
      <c r="BQ40" s="1">
        <v>1315.5</v>
      </c>
      <c r="BR40" s="1">
        <v>1325</v>
      </c>
      <c r="BS40" s="1">
        <v>1334.5</v>
      </c>
      <c r="BT40" s="1">
        <v>1333.5</v>
      </c>
      <c r="BU40" s="1">
        <v>1329.5</v>
      </c>
      <c r="BV40" s="1">
        <v>1382</v>
      </c>
      <c r="BW40" s="1">
        <v>1351</v>
      </c>
      <c r="BX40" s="1">
        <v>1316.5</v>
      </c>
      <c r="BY40" s="1">
        <v>1295</v>
      </c>
      <c r="BZ40" s="1">
        <v>1305</v>
      </c>
    </row>
    <row r="41" spans="1:78" ht="15.9" customHeight="1">
      <c r="A41" s="65" t="s">
        <v>77</v>
      </c>
      <c r="B41" s="41" t="s">
        <v>78</v>
      </c>
      <c r="C41" s="45">
        <f>_xll.RssMarket("3861","安値")</f>
        <v>842.5</v>
      </c>
      <c r="D41" s="16">
        <f t="shared" si="1"/>
        <v>-21.799999999999955</v>
      </c>
      <c r="E41" s="21">
        <v>864.3</v>
      </c>
      <c r="F41" s="21">
        <v>851</v>
      </c>
      <c r="G41" s="21">
        <v>873.6</v>
      </c>
      <c r="H41" s="21">
        <v>879.1</v>
      </c>
      <c r="I41" s="21">
        <v>877.5</v>
      </c>
      <c r="J41" s="21">
        <v>873.1</v>
      </c>
      <c r="K41" s="21">
        <v>869.9</v>
      </c>
      <c r="L41" s="21">
        <v>853</v>
      </c>
      <c r="M41" s="21">
        <v>861</v>
      </c>
      <c r="N41" s="21">
        <v>848.8</v>
      </c>
      <c r="O41" s="21">
        <v>844</v>
      </c>
      <c r="P41" s="21">
        <v>836.2</v>
      </c>
      <c r="Q41" s="21">
        <v>821</v>
      </c>
      <c r="R41" s="21">
        <v>814.2</v>
      </c>
      <c r="S41" s="21">
        <v>814.5</v>
      </c>
      <c r="T41" s="21">
        <v>815</v>
      </c>
      <c r="U41" s="21">
        <v>820.2</v>
      </c>
      <c r="V41" s="21">
        <v>825</v>
      </c>
      <c r="W41" s="21">
        <v>821.5</v>
      </c>
      <c r="X41" s="21">
        <v>816</v>
      </c>
      <c r="Y41" s="21">
        <v>813.8</v>
      </c>
      <c r="Z41" s="21">
        <v>802.5</v>
      </c>
      <c r="AA41" s="21">
        <v>790.5</v>
      </c>
      <c r="AB41" s="21">
        <v>795.4</v>
      </c>
      <c r="AC41" s="21">
        <v>790.7</v>
      </c>
      <c r="AD41" s="21">
        <v>782.4</v>
      </c>
      <c r="AE41" s="21">
        <v>778.1</v>
      </c>
      <c r="AF41" s="21">
        <v>771.3</v>
      </c>
      <c r="AG41" s="21">
        <v>785</v>
      </c>
      <c r="AH41" s="21">
        <v>789.6</v>
      </c>
      <c r="AI41" s="21">
        <v>787.6</v>
      </c>
      <c r="AJ41" s="21">
        <v>797.6</v>
      </c>
      <c r="AK41" s="21">
        <v>796.8</v>
      </c>
      <c r="AL41" s="21">
        <v>787.2</v>
      </c>
      <c r="AM41" s="21">
        <v>797.3</v>
      </c>
      <c r="AN41" s="21">
        <v>783.7</v>
      </c>
      <c r="AO41" s="21">
        <v>776.7</v>
      </c>
      <c r="AP41" s="21">
        <v>770.2</v>
      </c>
      <c r="AQ41" s="21">
        <v>770.5</v>
      </c>
      <c r="AR41" s="21">
        <v>768.8</v>
      </c>
      <c r="AS41" s="21">
        <v>774</v>
      </c>
      <c r="AT41" s="21">
        <v>766.6</v>
      </c>
      <c r="AU41" s="21">
        <v>754.5</v>
      </c>
      <c r="AV41" s="21">
        <v>779.6</v>
      </c>
      <c r="AW41" s="21">
        <v>785.5</v>
      </c>
      <c r="AX41" s="21">
        <v>768.6</v>
      </c>
      <c r="AY41" s="21">
        <v>771</v>
      </c>
      <c r="AZ41" s="21">
        <v>777.1</v>
      </c>
      <c r="BA41" s="21">
        <v>793.2</v>
      </c>
      <c r="BB41" s="21">
        <v>799</v>
      </c>
      <c r="BC41" s="21">
        <v>809.1</v>
      </c>
      <c r="BD41" s="21">
        <v>810</v>
      </c>
      <c r="BE41" s="21">
        <v>805.7</v>
      </c>
      <c r="BF41" s="21">
        <v>833.7</v>
      </c>
      <c r="BG41" s="21">
        <v>830.9</v>
      </c>
      <c r="BH41" s="21">
        <v>820</v>
      </c>
      <c r="BI41" s="21">
        <v>817.6</v>
      </c>
      <c r="BJ41" s="21">
        <v>826.9</v>
      </c>
      <c r="BK41" s="21">
        <v>821.5</v>
      </c>
      <c r="BL41" s="21">
        <v>818.2</v>
      </c>
      <c r="BM41" s="1">
        <v>813.3</v>
      </c>
      <c r="BN41" s="1">
        <v>815.2</v>
      </c>
      <c r="BO41" s="1">
        <v>815.2</v>
      </c>
      <c r="BP41" s="1">
        <v>818.8</v>
      </c>
      <c r="BQ41" s="1">
        <v>815</v>
      </c>
      <c r="BR41" s="1">
        <v>833.6</v>
      </c>
      <c r="BS41" s="1">
        <v>835.7</v>
      </c>
      <c r="BT41" s="1">
        <v>839.5</v>
      </c>
      <c r="BU41" s="1">
        <v>842.1</v>
      </c>
      <c r="BV41" s="1">
        <v>848</v>
      </c>
      <c r="BW41" s="1">
        <v>844.2</v>
      </c>
      <c r="BX41" s="1">
        <v>850</v>
      </c>
      <c r="BY41" s="1">
        <v>847.7</v>
      </c>
      <c r="BZ41" s="1">
        <v>848.4</v>
      </c>
    </row>
    <row r="42" spans="1:78" ht="15.9" customHeight="1">
      <c r="A42" s="65" t="s">
        <v>79</v>
      </c>
      <c r="B42" s="41" t="s">
        <v>80</v>
      </c>
      <c r="C42" s="45">
        <f>_xll.RssMarket("5947","安値")</f>
        <v>3463</v>
      </c>
      <c r="D42" s="16">
        <f t="shared" si="1"/>
        <v>-17</v>
      </c>
      <c r="E42" s="21">
        <v>3480</v>
      </c>
      <c r="F42" s="21">
        <v>3517</v>
      </c>
      <c r="G42" s="21">
        <v>3580</v>
      </c>
      <c r="H42" s="21">
        <v>3722</v>
      </c>
      <c r="I42" s="21">
        <v>3704</v>
      </c>
      <c r="J42" s="21">
        <v>3660</v>
      </c>
      <c r="K42" s="21">
        <v>3557</v>
      </c>
      <c r="L42" s="21">
        <v>3528</v>
      </c>
      <c r="M42" s="21">
        <v>3545</v>
      </c>
      <c r="N42" s="21">
        <v>3566</v>
      </c>
      <c r="O42" s="21">
        <v>3619</v>
      </c>
      <c r="P42" s="21">
        <v>3613</v>
      </c>
      <c r="Q42" s="21">
        <v>3571</v>
      </c>
      <c r="R42" s="21">
        <v>3570</v>
      </c>
      <c r="S42" s="21">
        <v>3531</v>
      </c>
      <c r="T42" s="21">
        <v>3543</v>
      </c>
      <c r="U42" s="21">
        <v>3563</v>
      </c>
      <c r="V42" s="21">
        <v>3621</v>
      </c>
      <c r="W42" s="21">
        <v>3630</v>
      </c>
      <c r="X42" s="21">
        <v>3589</v>
      </c>
      <c r="Y42" s="21">
        <v>3591</v>
      </c>
      <c r="Z42" s="21">
        <v>3554</v>
      </c>
      <c r="AA42" s="21">
        <v>3550</v>
      </c>
      <c r="AB42" s="21">
        <v>3536</v>
      </c>
      <c r="AC42" s="21">
        <v>3575</v>
      </c>
      <c r="AD42" s="21">
        <v>3553</v>
      </c>
      <c r="AE42" s="21">
        <v>3533</v>
      </c>
      <c r="AF42" s="21">
        <v>3464</v>
      </c>
      <c r="AG42" s="21">
        <v>3470</v>
      </c>
      <c r="AH42" s="21">
        <v>3423</v>
      </c>
      <c r="AI42" s="21">
        <v>3421</v>
      </c>
      <c r="AJ42" s="21">
        <v>3420</v>
      </c>
      <c r="AK42" s="21">
        <v>3428</v>
      </c>
      <c r="AL42" s="21">
        <v>3392</v>
      </c>
      <c r="AM42" s="21">
        <v>3461</v>
      </c>
      <c r="AN42" s="21">
        <v>3483</v>
      </c>
      <c r="AO42" s="21">
        <v>3500</v>
      </c>
      <c r="AP42" s="21">
        <v>3522</v>
      </c>
      <c r="AQ42" s="21">
        <v>3455</v>
      </c>
      <c r="AR42" s="21">
        <v>3450</v>
      </c>
      <c r="AS42" s="21">
        <v>3377</v>
      </c>
      <c r="AT42" s="21">
        <v>3326</v>
      </c>
      <c r="AU42" s="21">
        <v>3251</v>
      </c>
      <c r="AV42" s="21">
        <v>3393</v>
      </c>
      <c r="AW42" s="21">
        <v>3405</v>
      </c>
      <c r="AX42" s="21">
        <v>3403</v>
      </c>
      <c r="AY42" s="21">
        <v>3420</v>
      </c>
      <c r="AZ42" s="21">
        <v>3475</v>
      </c>
      <c r="BA42" s="21">
        <v>3528</v>
      </c>
      <c r="BB42" s="21">
        <v>3522</v>
      </c>
      <c r="BC42" s="21">
        <v>3510</v>
      </c>
      <c r="BD42" s="21">
        <v>3427</v>
      </c>
      <c r="BE42" s="21">
        <v>3394</v>
      </c>
      <c r="BF42" s="21">
        <v>3322</v>
      </c>
      <c r="BG42" s="21">
        <v>3322</v>
      </c>
      <c r="BH42" s="21">
        <v>3211</v>
      </c>
      <c r="BI42" s="21">
        <v>3553</v>
      </c>
      <c r="BJ42" s="21">
        <v>3574</v>
      </c>
      <c r="BK42" s="21">
        <v>3647</v>
      </c>
      <c r="BL42" s="21">
        <v>3553</v>
      </c>
      <c r="BM42" s="1">
        <v>3507</v>
      </c>
      <c r="BN42" s="1">
        <v>3536</v>
      </c>
      <c r="BO42" s="1">
        <v>3492</v>
      </c>
      <c r="BP42" s="1">
        <v>3481</v>
      </c>
      <c r="BQ42" s="1">
        <v>3478</v>
      </c>
      <c r="BR42" s="1">
        <v>3479</v>
      </c>
      <c r="BS42" s="1">
        <v>3486</v>
      </c>
      <c r="BT42" s="1">
        <v>3518</v>
      </c>
      <c r="BU42" s="1">
        <v>3492</v>
      </c>
      <c r="BV42" s="1">
        <v>3523</v>
      </c>
      <c r="BW42" s="1">
        <v>3568</v>
      </c>
      <c r="BX42" s="1">
        <v>3557</v>
      </c>
      <c r="BY42" s="1">
        <v>3697</v>
      </c>
      <c r="BZ42" s="1">
        <v>3720</v>
      </c>
    </row>
    <row r="43" spans="1:78" ht="15.9" customHeight="1">
      <c r="A43" s="65" t="s">
        <v>81</v>
      </c>
      <c r="B43" s="41" t="s">
        <v>82</v>
      </c>
      <c r="C43" s="45">
        <f>_xll.RssMarket("8750","安値")</f>
        <v>1880</v>
      </c>
      <c r="D43" s="16">
        <f t="shared" si="1"/>
        <v>11.5</v>
      </c>
      <c r="E43" s="21">
        <v>1868.5</v>
      </c>
      <c r="F43" s="21">
        <v>1835.5</v>
      </c>
      <c r="G43" s="21">
        <v>1892.5</v>
      </c>
      <c r="H43" s="21">
        <v>1872</v>
      </c>
      <c r="I43" s="21">
        <v>1894.5</v>
      </c>
      <c r="J43" s="21">
        <v>1894.5</v>
      </c>
      <c r="K43" s="21">
        <v>1921.5</v>
      </c>
      <c r="L43" s="21"/>
      <c r="M43" s="21">
        <v>1877.5</v>
      </c>
      <c r="N43" s="21">
        <v>1860</v>
      </c>
      <c r="O43" s="21">
        <v>1804</v>
      </c>
      <c r="P43" s="21">
        <v>1775.5</v>
      </c>
      <c r="Q43" s="21">
        <v>1861.5</v>
      </c>
      <c r="R43" s="21">
        <v>1810.5</v>
      </c>
      <c r="S43" s="21">
        <v>1828</v>
      </c>
      <c r="T43" s="21">
        <v>1845</v>
      </c>
      <c r="U43" s="21">
        <v>1838</v>
      </c>
      <c r="V43" s="21">
        <v>1850.5</v>
      </c>
      <c r="W43" s="21">
        <v>1853.5</v>
      </c>
      <c r="X43" s="21">
        <v>1840</v>
      </c>
      <c r="Y43" s="21">
        <v>1819</v>
      </c>
      <c r="Z43" s="21">
        <v>1804</v>
      </c>
      <c r="AA43" s="21">
        <v>1767</v>
      </c>
      <c r="AB43" s="21">
        <v>1743</v>
      </c>
      <c r="AC43" s="21">
        <v>1715</v>
      </c>
      <c r="AD43" s="21">
        <v>1708.5</v>
      </c>
      <c r="AE43" s="21">
        <v>1688</v>
      </c>
      <c r="AF43" s="21">
        <v>1722.5</v>
      </c>
      <c r="AG43" s="21">
        <v>1803.5</v>
      </c>
      <c r="AH43" s="21">
        <v>1790</v>
      </c>
      <c r="AI43" s="21">
        <v>1800</v>
      </c>
      <c r="AJ43" s="21">
        <v>1786.5</v>
      </c>
      <c r="AK43" s="21">
        <v>1788.5</v>
      </c>
      <c r="AL43" s="21">
        <v>1756.5</v>
      </c>
      <c r="AM43" s="21">
        <v>1758.5</v>
      </c>
      <c r="AN43" s="21">
        <v>1734.5</v>
      </c>
      <c r="AO43" s="21">
        <v>1704</v>
      </c>
      <c r="AP43" s="21">
        <v>1726</v>
      </c>
      <c r="AQ43" s="21">
        <v>1623</v>
      </c>
      <c r="AR43" s="21">
        <v>1657</v>
      </c>
      <c r="AS43" s="21">
        <v>1606</v>
      </c>
      <c r="AT43" s="21">
        <v>1626.5</v>
      </c>
      <c r="AU43" s="21">
        <v>1587</v>
      </c>
      <c r="AV43" s="21">
        <v>1605</v>
      </c>
      <c r="AW43" s="21">
        <v>1615</v>
      </c>
      <c r="AX43" s="21">
        <v>1648.5</v>
      </c>
      <c r="AY43" s="21">
        <v>1640</v>
      </c>
      <c r="AZ43" s="21">
        <v>1625.5</v>
      </c>
      <c r="BA43" s="21">
        <v>1632</v>
      </c>
      <c r="BB43" s="21">
        <v>1619</v>
      </c>
      <c r="BC43" s="21">
        <v>1594.5</v>
      </c>
      <c r="BD43" s="21">
        <v>1594</v>
      </c>
      <c r="BE43" s="21">
        <v>1474</v>
      </c>
      <c r="BF43" s="21">
        <v>1479.5</v>
      </c>
      <c r="BG43" s="21">
        <v>1476</v>
      </c>
      <c r="BH43" s="21">
        <v>1471.5</v>
      </c>
      <c r="BI43" s="21">
        <v>1421.5</v>
      </c>
      <c r="BJ43" s="21">
        <v>1416</v>
      </c>
      <c r="BK43" s="21">
        <v>1433</v>
      </c>
      <c r="BL43" s="21">
        <v>1408.5</v>
      </c>
      <c r="BM43" s="1">
        <v>1411</v>
      </c>
      <c r="BN43" s="1">
        <v>1395</v>
      </c>
      <c r="BO43" s="1">
        <v>1371</v>
      </c>
      <c r="BP43" s="1">
        <v>1396.5</v>
      </c>
      <c r="BQ43" s="1">
        <v>1391</v>
      </c>
      <c r="BR43" s="1">
        <v>1424</v>
      </c>
      <c r="BS43" s="1">
        <v>1439</v>
      </c>
      <c r="BT43" s="1">
        <v>1446.5</v>
      </c>
      <c r="BU43" s="1">
        <v>1454</v>
      </c>
      <c r="BV43" s="1">
        <v>1490</v>
      </c>
      <c r="BW43" s="1">
        <v>1481</v>
      </c>
      <c r="BX43" s="1">
        <v>1476</v>
      </c>
      <c r="BY43" s="1">
        <v>1463</v>
      </c>
      <c r="BZ43" s="1">
        <v>1482</v>
      </c>
    </row>
    <row r="44" spans="1:78" ht="15.9" customHeight="1">
      <c r="A44" s="65" t="s">
        <v>83</v>
      </c>
      <c r="B44" s="41" t="s">
        <v>84</v>
      </c>
      <c r="C44" s="45">
        <f>_xll.RssMarket("3402","安値")</f>
        <v>1150.5</v>
      </c>
      <c r="D44" s="16">
        <f t="shared" si="1"/>
        <v>23.5</v>
      </c>
      <c r="E44" s="21">
        <v>1127</v>
      </c>
      <c r="F44" s="21">
        <v>1105</v>
      </c>
      <c r="G44" s="21">
        <v>1135.5</v>
      </c>
      <c r="H44" s="21">
        <v>1138.5</v>
      </c>
      <c r="I44" s="21">
        <v>1140.5</v>
      </c>
      <c r="J44" s="21">
        <v>1141</v>
      </c>
      <c r="K44" s="21">
        <v>1160</v>
      </c>
      <c r="L44" s="21">
        <v>1153.5</v>
      </c>
      <c r="M44" s="21">
        <v>1170</v>
      </c>
      <c r="N44" s="21">
        <v>1163.5</v>
      </c>
      <c r="O44" s="21">
        <v>1153</v>
      </c>
      <c r="P44" s="21">
        <v>1127.5</v>
      </c>
      <c r="Q44" s="21">
        <v>1156.5</v>
      </c>
      <c r="R44" s="21">
        <v>1124</v>
      </c>
      <c r="S44" s="21">
        <v>1128.5</v>
      </c>
      <c r="T44" s="21">
        <v>1137</v>
      </c>
      <c r="U44" s="21">
        <v>1139.5</v>
      </c>
      <c r="V44" s="21">
        <v>1146</v>
      </c>
      <c r="W44" s="21">
        <v>1140</v>
      </c>
      <c r="X44" s="21">
        <v>1166.5</v>
      </c>
      <c r="Y44" s="21">
        <v>1139</v>
      </c>
      <c r="Z44" s="21">
        <v>1121</v>
      </c>
      <c r="AA44" s="21">
        <v>1113</v>
      </c>
      <c r="AB44" s="21">
        <v>1116</v>
      </c>
      <c r="AC44" s="21">
        <v>1124.5</v>
      </c>
      <c r="AD44" s="21">
        <v>1128.5</v>
      </c>
      <c r="AE44" s="21">
        <v>1152.5</v>
      </c>
      <c r="AF44" s="21">
        <v>1126</v>
      </c>
      <c r="AG44" s="21">
        <v>1136.5</v>
      </c>
      <c r="AH44" s="21">
        <v>1145</v>
      </c>
      <c r="AI44" s="21">
        <v>1154.5</v>
      </c>
      <c r="AJ44" s="21">
        <v>1180</v>
      </c>
      <c r="AK44" s="21">
        <v>1170</v>
      </c>
      <c r="AL44" s="21">
        <v>1172</v>
      </c>
      <c r="AM44" s="21">
        <v>1188.5</v>
      </c>
      <c r="AN44" s="21">
        <v>1126</v>
      </c>
      <c r="AO44" s="21">
        <v>1097.5</v>
      </c>
      <c r="AP44" s="21">
        <v>1091.5</v>
      </c>
      <c r="AQ44" s="21">
        <v>1081.5</v>
      </c>
      <c r="AR44" s="21">
        <v>1092</v>
      </c>
      <c r="AS44" s="21">
        <v>1100</v>
      </c>
      <c r="AT44" s="21">
        <v>1152</v>
      </c>
      <c r="AU44" s="21">
        <v>1107.5</v>
      </c>
      <c r="AV44" s="21">
        <v>1138</v>
      </c>
      <c r="AW44" s="21">
        <v>1116.5</v>
      </c>
      <c r="AX44" s="21">
        <v>1140.5</v>
      </c>
      <c r="AY44" s="21">
        <v>1099</v>
      </c>
      <c r="AZ44" s="21">
        <v>1079.5</v>
      </c>
      <c r="BA44" s="21">
        <v>1084</v>
      </c>
      <c r="BB44" s="21">
        <v>1056</v>
      </c>
      <c r="BC44" s="21">
        <v>1071.5</v>
      </c>
      <c r="BD44" s="21">
        <v>1074.5</v>
      </c>
      <c r="BE44" s="21">
        <v>1142</v>
      </c>
      <c r="BF44" s="21">
        <v>1158</v>
      </c>
      <c r="BG44" s="21">
        <v>1102</v>
      </c>
      <c r="BH44" s="21">
        <v>1129.5</v>
      </c>
      <c r="BI44" s="21">
        <v>1119</v>
      </c>
      <c r="BJ44" s="21">
        <v>1110.5</v>
      </c>
      <c r="BK44" s="21">
        <v>1118.5</v>
      </c>
      <c r="BL44" s="21">
        <v>1104</v>
      </c>
      <c r="BM44" s="1">
        <v>1101.5</v>
      </c>
      <c r="BN44" s="1">
        <v>1123</v>
      </c>
      <c r="BO44" s="1">
        <v>1094</v>
      </c>
      <c r="BP44" s="1">
        <v>1105</v>
      </c>
      <c r="BQ44" s="1">
        <v>1100.5</v>
      </c>
      <c r="BR44" s="1">
        <v>1121</v>
      </c>
      <c r="BS44" s="1">
        <v>1145</v>
      </c>
      <c r="BT44" s="1">
        <v>1145.5</v>
      </c>
      <c r="BU44" s="1">
        <v>1153</v>
      </c>
      <c r="BV44" s="1">
        <v>1143</v>
      </c>
      <c r="BW44" s="1">
        <v>1143.5</v>
      </c>
      <c r="BX44" s="1">
        <v>1145</v>
      </c>
      <c r="BY44" s="1">
        <v>1150</v>
      </c>
      <c r="BZ44" s="1">
        <v>1161</v>
      </c>
    </row>
    <row r="45" spans="1:78" ht="15.9" customHeight="1">
      <c r="A45" s="65" t="s">
        <v>85</v>
      </c>
      <c r="B45" s="41" t="s">
        <v>86</v>
      </c>
      <c r="C45" s="45">
        <f>_xll.RssMarket("8306","安値")</f>
        <v>3449</v>
      </c>
      <c r="D45" s="16">
        <f t="shared" si="1"/>
        <v>5</v>
      </c>
      <c r="E45" s="21">
        <v>3444</v>
      </c>
      <c r="F45" s="21">
        <v>3426</v>
      </c>
      <c r="G45" s="21">
        <v>3523</v>
      </c>
      <c r="H45" s="21">
        <v>3514</v>
      </c>
      <c r="I45" s="21">
        <v>3560</v>
      </c>
      <c r="J45" s="21">
        <v>3630</v>
      </c>
      <c r="K45" s="21">
        <v>3760</v>
      </c>
      <c r="L45" s="21">
        <v>3676</v>
      </c>
      <c r="M45" s="21">
        <v>3625</v>
      </c>
      <c r="N45" s="21">
        <v>3573</v>
      </c>
      <c r="O45" s="21">
        <v>3473</v>
      </c>
      <c r="P45" s="21">
        <v>3411</v>
      </c>
      <c r="Q45" s="21">
        <v>3642</v>
      </c>
      <c r="R45" s="21">
        <v>3501</v>
      </c>
      <c r="S45" s="21">
        <v>3486</v>
      </c>
      <c r="T45" s="21">
        <v>3410</v>
      </c>
      <c r="U45" s="21">
        <v>3381</v>
      </c>
      <c r="V45" s="21">
        <v>3401</v>
      </c>
      <c r="W45" s="21">
        <v>3426</v>
      </c>
      <c r="X45" s="21">
        <v>3294</v>
      </c>
      <c r="Y45" s="21">
        <v>3298</v>
      </c>
      <c r="Z45" s="21">
        <v>3255</v>
      </c>
      <c r="AA45" s="21">
        <v>3215</v>
      </c>
      <c r="AB45" s="21">
        <v>3207</v>
      </c>
      <c r="AC45" s="21">
        <v>3180</v>
      </c>
      <c r="AD45" s="21">
        <v>3220</v>
      </c>
      <c r="AE45" s="21">
        <v>3211</v>
      </c>
      <c r="AF45" s="21">
        <v>3201</v>
      </c>
      <c r="AG45" s="21">
        <v>3265</v>
      </c>
      <c r="AH45" s="21">
        <v>3239</v>
      </c>
      <c r="AI45" s="21">
        <v>3258</v>
      </c>
      <c r="AJ45" s="21">
        <v>3317</v>
      </c>
      <c r="AK45" s="21">
        <v>3260</v>
      </c>
      <c r="AL45" s="21">
        <v>3186</v>
      </c>
      <c r="AM45" s="21">
        <v>3225</v>
      </c>
      <c r="AN45" s="21">
        <v>3129</v>
      </c>
      <c r="AO45" s="21">
        <v>3080</v>
      </c>
      <c r="AP45" s="21">
        <v>3171</v>
      </c>
      <c r="AQ45" s="21">
        <v>3135</v>
      </c>
      <c r="AR45" s="21">
        <v>3202</v>
      </c>
      <c r="AS45" s="21">
        <v>3081</v>
      </c>
      <c r="AT45" s="21">
        <v>3052</v>
      </c>
      <c r="AU45" s="21">
        <v>2972.5</v>
      </c>
      <c r="AV45" s="21">
        <v>2984</v>
      </c>
      <c r="AW45" s="21">
        <v>2964</v>
      </c>
      <c r="AX45" s="21">
        <v>3017</v>
      </c>
      <c r="AY45" s="21">
        <v>3043</v>
      </c>
      <c r="AZ45" s="21">
        <v>3073</v>
      </c>
      <c r="BA45" s="21">
        <v>3067</v>
      </c>
      <c r="BB45" s="21">
        <v>3024</v>
      </c>
      <c r="BC45" s="21">
        <v>3026</v>
      </c>
      <c r="BD45" s="21">
        <v>2973</v>
      </c>
      <c r="BE45" s="21">
        <v>2877.5</v>
      </c>
      <c r="BF45" s="21">
        <v>2875</v>
      </c>
      <c r="BG45" s="21">
        <v>2863</v>
      </c>
      <c r="BH45" s="21">
        <v>2846</v>
      </c>
      <c r="BI45" s="21">
        <v>2801.5</v>
      </c>
      <c r="BJ45" s="21">
        <v>2788</v>
      </c>
      <c r="BK45" s="21">
        <v>2817.5</v>
      </c>
      <c r="BL45" s="21">
        <v>2754</v>
      </c>
      <c r="BM45" s="1">
        <v>2785</v>
      </c>
      <c r="BN45" s="1">
        <v>2796.5</v>
      </c>
      <c r="BO45" s="1">
        <v>2715</v>
      </c>
      <c r="BP45" s="1">
        <v>2740</v>
      </c>
      <c r="BQ45" s="1">
        <v>2728</v>
      </c>
      <c r="BR45" s="1">
        <v>2772</v>
      </c>
      <c r="BS45" s="1">
        <v>2830.5</v>
      </c>
      <c r="BT45" s="1">
        <v>2866</v>
      </c>
      <c r="BU45" s="1">
        <v>2847</v>
      </c>
      <c r="BV45" s="1">
        <v>2932</v>
      </c>
      <c r="BW45" s="1">
        <v>2865</v>
      </c>
      <c r="BX45" s="1">
        <v>2825</v>
      </c>
      <c r="BY45" s="1">
        <v>2829</v>
      </c>
      <c r="BZ45" s="1">
        <v>2842</v>
      </c>
    </row>
    <row r="46" spans="1:78" ht="15.9" customHeight="1">
      <c r="A46" s="65" t="s">
        <v>87</v>
      </c>
      <c r="B46" s="41" t="s">
        <v>88</v>
      </c>
      <c r="C46" s="45">
        <f>_xll.RssMarket("5401","安値")</f>
        <v>655.9</v>
      </c>
      <c r="D46" s="16">
        <f t="shared" si="1"/>
        <v>13.399999999999977</v>
      </c>
      <c r="E46" s="21">
        <v>642.5</v>
      </c>
      <c r="F46" s="21">
        <v>628.20000000000005</v>
      </c>
      <c r="G46" s="21">
        <v>642.70000000000005</v>
      </c>
      <c r="H46" s="21">
        <v>648.70000000000005</v>
      </c>
      <c r="I46" s="21">
        <v>645.6</v>
      </c>
      <c r="J46" s="21">
        <v>641</v>
      </c>
      <c r="K46" s="21">
        <v>622.9</v>
      </c>
      <c r="L46" s="21"/>
      <c r="M46" s="21">
        <v>598.29999999999995</v>
      </c>
      <c r="N46" s="21">
        <v>590.9</v>
      </c>
      <c r="O46" s="21">
        <v>586.29999999999995</v>
      </c>
      <c r="P46" s="21">
        <v>579.4</v>
      </c>
      <c r="Q46" s="21">
        <v>569.5</v>
      </c>
      <c r="R46" s="21">
        <v>559.29999999999995</v>
      </c>
      <c r="S46" s="21">
        <v>553.1</v>
      </c>
      <c r="T46" s="21">
        <v>549.9</v>
      </c>
      <c r="U46" s="21">
        <v>552.1</v>
      </c>
      <c r="V46" s="21">
        <v>554.20000000000005</v>
      </c>
      <c r="W46" s="21">
        <v>555.6</v>
      </c>
      <c r="X46" s="21">
        <v>552.29999999999995</v>
      </c>
      <c r="Y46" s="21">
        <v>546.9</v>
      </c>
      <c r="Z46" s="21">
        <v>530.5</v>
      </c>
      <c r="AA46" s="21">
        <v>531</v>
      </c>
      <c r="AB46" s="21">
        <v>536.1</v>
      </c>
      <c r="AC46" s="21">
        <v>541.6</v>
      </c>
      <c r="AD46" s="21">
        <v>539.5</v>
      </c>
      <c r="AE46" s="21">
        <v>545.29999999999995</v>
      </c>
      <c r="AF46" s="21">
        <v>544.6</v>
      </c>
      <c r="AG46" s="21">
        <v>550.1</v>
      </c>
      <c r="AH46" s="21">
        <v>558</v>
      </c>
      <c r="AI46" s="21">
        <v>558</v>
      </c>
      <c r="AJ46" s="21">
        <v>558.29999999999995</v>
      </c>
      <c r="AK46" s="21">
        <v>556.6</v>
      </c>
      <c r="AL46" s="21">
        <v>564.5</v>
      </c>
      <c r="AM46" s="21">
        <v>556.4</v>
      </c>
      <c r="AN46" s="21">
        <v>540.1</v>
      </c>
      <c r="AO46" s="21">
        <v>531.1</v>
      </c>
      <c r="AP46" s="21">
        <v>535.4</v>
      </c>
      <c r="AQ46" s="21">
        <v>533.29999999999995</v>
      </c>
      <c r="AR46" s="21">
        <v>543.5</v>
      </c>
      <c r="AS46" s="21">
        <v>537.9</v>
      </c>
      <c r="AT46" s="21">
        <v>538.1</v>
      </c>
      <c r="AU46" s="21">
        <v>536.4</v>
      </c>
      <c r="AV46" s="21">
        <v>565</v>
      </c>
      <c r="AW46" s="21">
        <v>559.6</v>
      </c>
      <c r="AX46" s="21">
        <v>556.4</v>
      </c>
      <c r="AY46" s="21">
        <v>550.4</v>
      </c>
      <c r="AZ46" s="21">
        <v>547.29999999999995</v>
      </c>
      <c r="BA46" s="21">
        <v>542.5</v>
      </c>
      <c r="BB46" s="21">
        <v>539</v>
      </c>
      <c r="BC46" s="21">
        <v>547.29999999999995</v>
      </c>
      <c r="BD46" s="21">
        <v>548.79999999999995</v>
      </c>
      <c r="BE46" s="21">
        <v>550.20000000000005</v>
      </c>
      <c r="BF46" s="21">
        <v>553.4</v>
      </c>
      <c r="BG46" s="21">
        <v>555.20000000000005</v>
      </c>
      <c r="BH46" s="21">
        <v>553.4</v>
      </c>
      <c r="BI46" s="21">
        <v>559.79999999999995</v>
      </c>
      <c r="BJ46" s="21">
        <v>568.1</v>
      </c>
      <c r="BK46" s="21">
        <v>577.70000000000005</v>
      </c>
      <c r="BL46" s="21">
        <v>566.29999999999995</v>
      </c>
      <c r="BM46" s="1">
        <v>570.70000000000005</v>
      </c>
      <c r="BN46" s="1">
        <v>571.1</v>
      </c>
      <c r="BO46" s="1">
        <v>568.6</v>
      </c>
      <c r="BP46" s="1">
        <v>571.29999999999995</v>
      </c>
      <c r="BQ46" s="1">
        <v>577.6</v>
      </c>
      <c r="BR46" s="1">
        <v>586.79999999999995</v>
      </c>
      <c r="BS46" s="1">
        <v>592.20000000000005</v>
      </c>
      <c r="BT46" s="1">
        <v>595.5</v>
      </c>
      <c r="BU46" s="1">
        <v>590.6</v>
      </c>
      <c r="BV46" s="1">
        <v>594.79999999999995</v>
      </c>
      <c r="BW46" s="1">
        <v>595.1</v>
      </c>
      <c r="BX46" s="1">
        <v>592</v>
      </c>
      <c r="BY46" s="1">
        <v>592.79999999999995</v>
      </c>
      <c r="BZ46" s="1">
        <v>597.29999999999995</v>
      </c>
    </row>
    <row r="47" spans="1:78" ht="15.9" customHeight="1">
      <c r="A47" s="65" t="s">
        <v>89</v>
      </c>
      <c r="B47" s="41" t="s">
        <v>90</v>
      </c>
      <c r="C47" s="45">
        <f>_xll.RssMarket("8572","安値")</f>
        <v>473</v>
      </c>
      <c r="D47" s="16">
        <f t="shared" si="1"/>
        <v>3.8000000000000114</v>
      </c>
      <c r="E47" s="21">
        <v>469.2</v>
      </c>
      <c r="F47" s="21">
        <v>470.7</v>
      </c>
      <c r="G47" s="21">
        <v>476.3</v>
      </c>
      <c r="H47" s="21">
        <v>482.8</v>
      </c>
      <c r="I47" s="21">
        <v>489.5</v>
      </c>
      <c r="J47" s="21">
        <v>488</v>
      </c>
      <c r="K47" s="21">
        <v>485</v>
      </c>
      <c r="L47" s="21">
        <v>483.5</v>
      </c>
      <c r="M47" s="21">
        <v>487.1</v>
      </c>
      <c r="N47" s="21">
        <v>486.2</v>
      </c>
      <c r="O47" s="21">
        <v>485.1</v>
      </c>
      <c r="P47" s="21">
        <v>479.3</v>
      </c>
      <c r="Q47" s="21">
        <v>485.6</v>
      </c>
      <c r="R47" s="21">
        <v>480.5</v>
      </c>
      <c r="S47" s="21">
        <v>480.5</v>
      </c>
      <c r="T47" s="21">
        <v>480</v>
      </c>
      <c r="U47" s="21">
        <v>480.9</v>
      </c>
      <c r="V47" s="21">
        <v>482.2</v>
      </c>
      <c r="W47" s="21">
        <v>481</v>
      </c>
      <c r="X47" s="21">
        <v>470.3</v>
      </c>
      <c r="Y47" s="21">
        <v>464.1</v>
      </c>
      <c r="Z47" s="21">
        <v>455.8</v>
      </c>
      <c r="AA47" s="21">
        <v>450.4</v>
      </c>
      <c r="AB47" s="21">
        <v>452.5</v>
      </c>
      <c r="AC47" s="21">
        <v>451.9</v>
      </c>
      <c r="AD47" s="21">
        <v>444</v>
      </c>
      <c r="AE47" s="21">
        <v>445.1</v>
      </c>
      <c r="AF47" s="21">
        <v>443.4</v>
      </c>
      <c r="AG47" s="21">
        <v>446.1</v>
      </c>
      <c r="AH47" s="21">
        <v>444.9</v>
      </c>
      <c r="AI47" s="21">
        <v>444.3</v>
      </c>
      <c r="AJ47" s="21">
        <v>444.7</v>
      </c>
      <c r="AK47" s="21">
        <v>449</v>
      </c>
      <c r="AL47" s="21">
        <v>446.3</v>
      </c>
      <c r="AM47" s="21">
        <v>453.2</v>
      </c>
      <c r="AN47" s="21">
        <v>446.4</v>
      </c>
      <c r="AO47" s="21">
        <v>446.8</v>
      </c>
      <c r="AP47" s="21">
        <v>448.5</v>
      </c>
      <c r="AQ47" s="21">
        <v>440.5</v>
      </c>
      <c r="AR47" s="21">
        <v>445</v>
      </c>
      <c r="AS47" s="21">
        <v>441.8</v>
      </c>
      <c r="AT47" s="21">
        <v>445.9</v>
      </c>
      <c r="AU47" s="21">
        <v>444.3</v>
      </c>
      <c r="AV47" s="21">
        <v>466.4</v>
      </c>
      <c r="AW47" s="21">
        <v>464.3</v>
      </c>
      <c r="AX47" s="21">
        <v>463.4</v>
      </c>
      <c r="AY47" s="21">
        <v>461.1</v>
      </c>
      <c r="AZ47" s="21">
        <v>463.6</v>
      </c>
      <c r="BA47" s="21">
        <v>460.3</v>
      </c>
      <c r="BB47" s="21">
        <v>458.1</v>
      </c>
      <c r="BC47" s="21">
        <v>459.8</v>
      </c>
      <c r="BD47" s="21">
        <v>455.6</v>
      </c>
      <c r="BE47" s="21">
        <v>457</v>
      </c>
      <c r="BF47" s="21">
        <v>454.3</v>
      </c>
      <c r="BG47" s="21">
        <v>451.3</v>
      </c>
      <c r="BH47" s="21">
        <v>489.3</v>
      </c>
      <c r="BI47" s="21">
        <v>488</v>
      </c>
      <c r="BJ47" s="21">
        <v>491.2</v>
      </c>
      <c r="BK47" s="21">
        <v>490.9</v>
      </c>
      <c r="BL47" s="21">
        <v>490.6</v>
      </c>
      <c r="BM47" s="1">
        <v>496.1</v>
      </c>
      <c r="BN47" s="1">
        <v>495.4</v>
      </c>
      <c r="BO47" s="1">
        <v>495.3</v>
      </c>
      <c r="BP47" s="1">
        <v>496</v>
      </c>
      <c r="BQ47" s="1">
        <v>499.1</v>
      </c>
      <c r="BR47" s="1">
        <v>510.8</v>
      </c>
      <c r="BS47" s="1">
        <v>501.5</v>
      </c>
      <c r="BT47" s="1">
        <v>481.1</v>
      </c>
      <c r="BU47" s="1">
        <v>481.1</v>
      </c>
      <c r="BV47" s="1">
        <v>478.4</v>
      </c>
      <c r="BW47" s="1">
        <v>476.6</v>
      </c>
      <c r="BX47" s="1">
        <v>472.4</v>
      </c>
      <c r="BY47" s="1">
        <v>467.6</v>
      </c>
      <c r="BZ47" s="1">
        <v>470</v>
      </c>
    </row>
    <row r="48" spans="1:78" ht="15.9" customHeight="1">
      <c r="A48" s="65" t="s">
        <v>91</v>
      </c>
      <c r="B48" s="41" t="s">
        <v>92</v>
      </c>
      <c r="C48" s="45">
        <f>_xll.RssMarket("3941","安値")</f>
        <v>1492</v>
      </c>
      <c r="D48" s="16">
        <f t="shared" si="1"/>
        <v>14</v>
      </c>
      <c r="E48" s="21">
        <v>1478</v>
      </c>
      <c r="F48" s="21">
        <v>1462</v>
      </c>
      <c r="G48" s="21">
        <v>1486.5</v>
      </c>
      <c r="H48" s="21">
        <v>1501</v>
      </c>
      <c r="I48" s="21">
        <v>1479.5</v>
      </c>
      <c r="J48" s="21">
        <v>1498</v>
      </c>
      <c r="K48" s="21">
        <v>1476</v>
      </c>
      <c r="L48" s="21">
        <v>1440</v>
      </c>
      <c r="M48" s="21">
        <v>1463</v>
      </c>
      <c r="N48" s="21">
        <v>1451</v>
      </c>
      <c r="O48" s="21">
        <v>1436.5</v>
      </c>
      <c r="P48" s="21">
        <v>1415</v>
      </c>
      <c r="Q48" s="21">
        <v>1422.5</v>
      </c>
      <c r="R48" s="21">
        <v>1399</v>
      </c>
      <c r="S48" s="21">
        <v>1399</v>
      </c>
      <c r="T48" s="21">
        <v>1402</v>
      </c>
      <c r="U48" s="21">
        <v>1400.5</v>
      </c>
      <c r="V48" s="21">
        <v>1401</v>
      </c>
      <c r="W48" s="21">
        <v>1413.5</v>
      </c>
      <c r="X48" s="21">
        <v>1410</v>
      </c>
      <c r="Y48" s="21">
        <v>1401</v>
      </c>
      <c r="Z48" s="21">
        <v>1396</v>
      </c>
      <c r="AA48" s="21">
        <v>1402</v>
      </c>
      <c r="AB48" s="21">
        <v>1397.5</v>
      </c>
      <c r="AC48" s="21">
        <v>1429.5</v>
      </c>
      <c r="AD48" s="21">
        <v>1408</v>
      </c>
      <c r="AE48" s="21">
        <v>1400</v>
      </c>
      <c r="AF48" s="21">
        <v>1393</v>
      </c>
      <c r="AG48" s="21">
        <v>1390</v>
      </c>
      <c r="AH48" s="21">
        <v>1398.5</v>
      </c>
      <c r="AI48" s="21">
        <v>1417.5</v>
      </c>
      <c r="AJ48" s="21">
        <v>1403</v>
      </c>
      <c r="AK48" s="21">
        <v>1400</v>
      </c>
      <c r="AL48" s="21">
        <v>1400</v>
      </c>
      <c r="AM48" s="21">
        <v>1391</v>
      </c>
      <c r="AN48" s="21">
        <v>1374</v>
      </c>
      <c r="AO48" s="21">
        <v>1351</v>
      </c>
      <c r="AP48" s="21">
        <v>1386</v>
      </c>
      <c r="AQ48" s="21">
        <v>1351</v>
      </c>
      <c r="AR48" s="21">
        <v>1383.5</v>
      </c>
      <c r="AS48" s="21">
        <v>1360.5</v>
      </c>
      <c r="AT48" s="21">
        <v>1394.5</v>
      </c>
      <c r="AU48" s="21">
        <v>1370</v>
      </c>
      <c r="AV48" s="21">
        <v>1422.5</v>
      </c>
      <c r="AW48" s="21">
        <v>1405.5</v>
      </c>
      <c r="AX48" s="21">
        <v>1400.5</v>
      </c>
      <c r="AY48" s="21">
        <v>1379.5</v>
      </c>
      <c r="AZ48" s="21">
        <v>1390.5</v>
      </c>
      <c r="BA48" s="21">
        <v>1397.5</v>
      </c>
      <c r="BB48" s="21">
        <v>1376.5</v>
      </c>
      <c r="BC48" s="21">
        <v>1390.5</v>
      </c>
      <c r="BD48" s="21">
        <v>1372.5</v>
      </c>
      <c r="BE48" s="21">
        <v>1380</v>
      </c>
      <c r="BF48" s="21">
        <v>1251.5</v>
      </c>
      <c r="BG48" s="21">
        <v>1227.5</v>
      </c>
      <c r="BH48" s="21">
        <v>1214</v>
      </c>
      <c r="BI48" s="21">
        <v>1216.5</v>
      </c>
      <c r="BJ48" s="21">
        <v>1223.5</v>
      </c>
      <c r="BK48" s="21">
        <v>1212.5</v>
      </c>
      <c r="BL48" s="21">
        <v>1204.5</v>
      </c>
      <c r="BM48" s="1">
        <v>1217</v>
      </c>
      <c r="BN48" s="1">
        <v>1252.5</v>
      </c>
      <c r="BO48" s="1">
        <v>1266</v>
      </c>
      <c r="BP48" s="1">
        <v>1263</v>
      </c>
      <c r="BQ48" s="1">
        <v>1260.5</v>
      </c>
      <c r="BR48" s="1">
        <v>1290</v>
      </c>
      <c r="BS48" s="1">
        <v>1281.5</v>
      </c>
      <c r="BT48" s="1">
        <v>1252</v>
      </c>
      <c r="BU48" s="1">
        <v>1245.5</v>
      </c>
      <c r="BV48" s="1">
        <v>1255</v>
      </c>
      <c r="BW48" s="1">
        <v>1253.5</v>
      </c>
      <c r="BX48" s="1">
        <v>1258.5</v>
      </c>
      <c r="BY48" s="1">
        <v>1259</v>
      </c>
      <c r="BZ48" s="1">
        <v>1264.5</v>
      </c>
    </row>
    <row r="49" spans="1:78" ht="15.9" customHeight="1">
      <c r="A49" s="65" t="s">
        <v>93</v>
      </c>
      <c r="B49" s="41" t="s">
        <v>94</v>
      </c>
      <c r="C49" s="45">
        <f>_xll.RssMarket("5929","安値")</f>
        <v>3516</v>
      </c>
      <c r="D49" s="16">
        <f t="shared" si="1"/>
        <v>30</v>
      </c>
      <c r="E49" s="21">
        <v>3486</v>
      </c>
      <c r="F49" s="21">
        <v>3464</v>
      </c>
      <c r="G49" s="21">
        <v>3258</v>
      </c>
      <c r="H49" s="21">
        <v>3889</v>
      </c>
      <c r="I49" s="21">
        <v>3925</v>
      </c>
      <c r="J49" s="21">
        <v>3875</v>
      </c>
      <c r="K49" s="21">
        <v>3808</v>
      </c>
      <c r="L49" s="21"/>
      <c r="M49" s="21">
        <v>3754</v>
      </c>
      <c r="N49" s="21">
        <v>3748</v>
      </c>
      <c r="O49" s="21">
        <v>3769</v>
      </c>
      <c r="P49" s="21">
        <v>3712</v>
      </c>
      <c r="Q49" s="21">
        <v>3689</v>
      </c>
      <c r="R49" s="21">
        <v>3672</v>
      </c>
      <c r="S49" s="21">
        <v>3637</v>
      </c>
      <c r="T49" s="21">
        <v>3656</v>
      </c>
      <c r="U49" s="21">
        <v>3682</v>
      </c>
      <c r="V49" s="21">
        <v>3682</v>
      </c>
      <c r="W49" s="21">
        <v>3852</v>
      </c>
      <c r="X49" s="21">
        <v>3833</v>
      </c>
      <c r="Y49" s="21">
        <v>3803</v>
      </c>
      <c r="Z49" s="21">
        <v>3742</v>
      </c>
      <c r="AA49" s="21">
        <v>3700</v>
      </c>
      <c r="AB49" s="21">
        <v>3768</v>
      </c>
      <c r="AC49" s="21">
        <v>3780</v>
      </c>
      <c r="AD49" s="21">
        <v>3711</v>
      </c>
      <c r="AE49" s="21">
        <v>3687</v>
      </c>
      <c r="AF49" s="21">
        <v>3632</v>
      </c>
      <c r="AG49" s="21">
        <v>3653</v>
      </c>
      <c r="AH49" s="21">
        <v>3655</v>
      </c>
      <c r="AI49" s="21">
        <v>3672</v>
      </c>
      <c r="AJ49" s="21">
        <v>3709</v>
      </c>
      <c r="AK49" s="21">
        <v>3698</v>
      </c>
      <c r="AL49" s="21">
        <v>3642</v>
      </c>
      <c r="AM49" s="21">
        <v>3666</v>
      </c>
      <c r="AN49" s="21">
        <v>3599</v>
      </c>
      <c r="AO49" s="21">
        <v>3544</v>
      </c>
      <c r="AP49" s="21">
        <v>3577</v>
      </c>
      <c r="AQ49" s="21">
        <v>3467</v>
      </c>
      <c r="AR49" s="21">
        <v>3502</v>
      </c>
      <c r="AS49" s="21">
        <v>3429</v>
      </c>
      <c r="AT49" s="21">
        <v>3306</v>
      </c>
      <c r="AU49" s="21">
        <v>3326</v>
      </c>
      <c r="AV49" s="21">
        <v>3512</v>
      </c>
      <c r="AW49" s="21">
        <v>3400</v>
      </c>
      <c r="AX49" s="21">
        <v>3307</v>
      </c>
      <c r="AY49" s="21">
        <v>3279</v>
      </c>
      <c r="AZ49" s="21">
        <v>3258</v>
      </c>
      <c r="BA49" s="21">
        <v>3297</v>
      </c>
      <c r="BB49" s="21">
        <v>3265</v>
      </c>
      <c r="BC49" s="21">
        <v>3303</v>
      </c>
      <c r="BD49" s="21">
        <v>3315</v>
      </c>
      <c r="BE49" s="21">
        <v>3430</v>
      </c>
      <c r="BF49" s="21">
        <v>3445</v>
      </c>
      <c r="BG49" s="21">
        <v>3462</v>
      </c>
      <c r="BH49" s="21">
        <v>3508</v>
      </c>
      <c r="BI49" s="21">
        <v>3591</v>
      </c>
      <c r="BJ49" s="21">
        <v>3599</v>
      </c>
      <c r="BK49" s="21">
        <v>3547</v>
      </c>
      <c r="BL49" s="21">
        <v>3529</v>
      </c>
      <c r="BM49" s="1">
        <v>3545</v>
      </c>
      <c r="BN49" s="1">
        <v>3625</v>
      </c>
      <c r="BO49" s="1">
        <v>3578</v>
      </c>
      <c r="BP49" s="1">
        <v>3578</v>
      </c>
      <c r="BQ49" s="1">
        <v>3587</v>
      </c>
      <c r="BR49" s="1">
        <v>3624</v>
      </c>
      <c r="BS49" s="1">
        <v>3623</v>
      </c>
      <c r="BT49" s="1">
        <v>3615</v>
      </c>
      <c r="BU49" s="1">
        <v>3599</v>
      </c>
      <c r="BV49" s="1">
        <v>3632</v>
      </c>
      <c r="BW49" s="1">
        <v>3707</v>
      </c>
      <c r="BX49" s="1">
        <v>3677</v>
      </c>
      <c r="BY49" s="1">
        <v>3644</v>
      </c>
      <c r="BZ49" s="1">
        <v>3660</v>
      </c>
    </row>
    <row r="50" spans="1:78" ht="15.9" customHeight="1">
      <c r="A50" s="65" t="s">
        <v>95</v>
      </c>
      <c r="B50" s="41" t="s">
        <v>96</v>
      </c>
      <c r="C50" s="45">
        <f>_xll.RssMarket("8316","安値")</f>
        <v>6474</v>
      </c>
      <c r="D50" s="16">
        <f t="shared" si="1"/>
        <v>-36</v>
      </c>
      <c r="E50" s="21">
        <v>6510</v>
      </c>
      <c r="F50" s="21">
        <v>6420</v>
      </c>
      <c r="G50" s="21">
        <v>6694</v>
      </c>
      <c r="H50" s="21">
        <v>6666</v>
      </c>
      <c r="I50" s="21">
        <v>6731</v>
      </c>
      <c r="J50" s="21">
        <v>6923</v>
      </c>
      <c r="K50" s="21">
        <v>7130</v>
      </c>
      <c r="L50" s="21">
        <v>7055</v>
      </c>
      <c r="M50" s="21">
        <v>6999</v>
      </c>
      <c r="N50" s="21">
        <v>6972</v>
      </c>
      <c r="O50" s="21">
        <v>6734</v>
      </c>
      <c r="P50" s="21">
        <v>6576</v>
      </c>
      <c r="Q50" s="21">
        <v>6976</v>
      </c>
      <c r="R50" s="21">
        <v>6843</v>
      </c>
      <c r="S50" s="21">
        <v>6883</v>
      </c>
      <c r="T50" s="21">
        <v>6772</v>
      </c>
      <c r="U50" s="21">
        <v>6702</v>
      </c>
      <c r="V50" s="21">
        <v>6785</v>
      </c>
      <c r="W50" s="21">
        <v>6812</v>
      </c>
      <c r="X50" s="21">
        <v>6632</v>
      </c>
      <c r="Y50" s="21">
        <v>6583</v>
      </c>
      <c r="Z50" s="21">
        <v>6469</v>
      </c>
      <c r="AA50" s="21">
        <v>6346</v>
      </c>
      <c r="AB50" s="21">
        <v>6329</v>
      </c>
      <c r="AC50" s="21">
        <v>6287</v>
      </c>
      <c r="AD50" s="21">
        <v>6311</v>
      </c>
      <c r="AE50" s="21">
        <v>6320</v>
      </c>
      <c r="AF50" s="21">
        <v>6338</v>
      </c>
      <c r="AG50" s="21">
        <v>6458</v>
      </c>
      <c r="AH50" s="21">
        <v>6456</v>
      </c>
      <c r="AI50" s="21">
        <v>6471</v>
      </c>
      <c r="AJ50" s="21">
        <v>6573</v>
      </c>
      <c r="AK50" s="21">
        <v>6450</v>
      </c>
      <c r="AL50" s="21">
        <v>6363</v>
      </c>
      <c r="AM50" s="21">
        <v>6495</v>
      </c>
      <c r="AN50" s="21">
        <v>6309</v>
      </c>
      <c r="AO50" s="21">
        <v>6077</v>
      </c>
      <c r="AP50" s="21">
        <v>6207</v>
      </c>
      <c r="AQ50" s="21">
        <v>6028</v>
      </c>
      <c r="AR50" s="21">
        <v>6213</v>
      </c>
      <c r="AS50" s="21">
        <v>6005</v>
      </c>
      <c r="AT50" s="21">
        <v>6012</v>
      </c>
      <c r="AU50" s="21">
        <v>5794</v>
      </c>
      <c r="AV50" s="21">
        <v>5819</v>
      </c>
      <c r="AW50" s="21">
        <v>5810</v>
      </c>
      <c r="AX50" s="21">
        <v>5933</v>
      </c>
      <c r="AY50" s="21">
        <v>5970</v>
      </c>
      <c r="AZ50" s="21">
        <v>5978</v>
      </c>
      <c r="BA50" s="21">
        <v>6031</v>
      </c>
      <c r="BB50" s="21">
        <v>5842</v>
      </c>
      <c r="BC50" s="21">
        <v>5845</v>
      </c>
      <c r="BD50" s="21">
        <v>5703</v>
      </c>
      <c r="BE50" s="21">
        <v>5630</v>
      </c>
      <c r="BF50" s="21">
        <v>5644</v>
      </c>
      <c r="BG50" s="21">
        <v>5795</v>
      </c>
      <c r="BH50" s="21">
        <v>5676</v>
      </c>
      <c r="BI50" s="21">
        <v>5553</v>
      </c>
      <c r="BJ50" s="21">
        <v>5498</v>
      </c>
      <c r="BK50" s="21">
        <v>5574</v>
      </c>
      <c r="BL50" s="21">
        <v>5431</v>
      </c>
      <c r="BM50" s="1">
        <v>5420</v>
      </c>
      <c r="BN50" s="1">
        <v>5437</v>
      </c>
      <c r="BO50" s="1">
        <v>5268</v>
      </c>
      <c r="BP50" s="1">
        <v>5298</v>
      </c>
      <c r="BQ50" s="1">
        <v>5297</v>
      </c>
      <c r="BR50" s="1">
        <v>5388</v>
      </c>
      <c r="BS50" s="1">
        <v>5452</v>
      </c>
      <c r="BT50" s="1">
        <v>5568</v>
      </c>
      <c r="BU50" s="1">
        <v>5559</v>
      </c>
      <c r="BV50" s="1">
        <v>5660</v>
      </c>
      <c r="BW50" s="1">
        <v>5611</v>
      </c>
      <c r="BX50" s="1">
        <v>5522</v>
      </c>
      <c r="BY50" s="1">
        <v>5520</v>
      </c>
      <c r="BZ50" s="1">
        <v>5536</v>
      </c>
    </row>
    <row r="51" spans="1:78" ht="15.9" customHeight="1">
      <c r="A51" s="65" t="s">
        <v>97</v>
      </c>
      <c r="B51" s="41" t="s">
        <v>98</v>
      </c>
      <c r="C51" s="45">
        <f>_xll.RssMarket("5449","安値")</f>
        <v>2491</v>
      </c>
      <c r="D51" s="16">
        <f t="shared" si="1"/>
        <v>157</v>
      </c>
      <c r="E51" s="21">
        <v>2334</v>
      </c>
      <c r="F51" s="21">
        <v>2314</v>
      </c>
      <c r="G51" s="21">
        <v>2424</v>
      </c>
      <c r="H51" s="21">
        <v>2795</v>
      </c>
      <c r="I51" s="21">
        <v>2722</v>
      </c>
      <c r="J51" s="21">
        <v>2707</v>
      </c>
      <c r="K51" s="21">
        <v>2629</v>
      </c>
      <c r="L51" s="21">
        <v>2590</v>
      </c>
      <c r="M51" s="21">
        <v>2588</v>
      </c>
      <c r="N51" s="21">
        <v>2540</v>
      </c>
      <c r="O51" s="21">
        <v>2563</v>
      </c>
      <c r="P51" s="21">
        <v>2525</v>
      </c>
      <c r="Q51" s="21">
        <v>2471</v>
      </c>
      <c r="R51" s="21">
        <v>2475</v>
      </c>
      <c r="S51" s="21">
        <v>2511</v>
      </c>
      <c r="T51" s="21">
        <v>2491</v>
      </c>
      <c r="U51" s="21">
        <v>2442</v>
      </c>
      <c r="V51" s="21">
        <v>2476</v>
      </c>
      <c r="W51" s="21">
        <v>2390</v>
      </c>
      <c r="X51" s="21">
        <v>2377</v>
      </c>
      <c r="Y51" s="21">
        <v>2345</v>
      </c>
      <c r="Z51" s="21">
        <v>2284</v>
      </c>
      <c r="AA51" s="21">
        <v>2255</v>
      </c>
      <c r="AB51" s="21">
        <v>2264</v>
      </c>
      <c r="AC51" s="21">
        <v>2342</v>
      </c>
      <c r="AD51" s="21">
        <v>2284</v>
      </c>
      <c r="AE51" s="21">
        <v>2284</v>
      </c>
      <c r="AF51" s="21">
        <v>2301</v>
      </c>
      <c r="AG51" s="21">
        <v>2330</v>
      </c>
      <c r="AH51" s="21">
        <v>2308</v>
      </c>
      <c r="AI51" s="21">
        <v>2293</v>
      </c>
      <c r="AJ51" s="21">
        <v>2221</v>
      </c>
      <c r="AK51" s="21">
        <v>2238</v>
      </c>
      <c r="AL51" s="21">
        <v>2373</v>
      </c>
      <c r="AM51" s="21">
        <v>2363</v>
      </c>
      <c r="AN51" s="21">
        <v>2320</v>
      </c>
      <c r="AO51" s="21">
        <v>2284</v>
      </c>
      <c r="AP51" s="21">
        <v>2314</v>
      </c>
      <c r="AQ51" s="21">
        <v>2245</v>
      </c>
      <c r="AR51" s="21">
        <v>2335</v>
      </c>
      <c r="AS51" s="21">
        <v>2280</v>
      </c>
      <c r="AT51" s="21">
        <v>2321</v>
      </c>
      <c r="AU51" s="21">
        <v>2307</v>
      </c>
      <c r="AV51" s="21">
        <v>2557</v>
      </c>
      <c r="AW51" s="21">
        <v>2557</v>
      </c>
      <c r="AX51" s="21">
        <v>2552</v>
      </c>
      <c r="AY51" s="21">
        <v>2381</v>
      </c>
      <c r="AZ51" s="21">
        <v>2325</v>
      </c>
      <c r="BA51" s="21">
        <v>2308</v>
      </c>
      <c r="BB51" s="21">
        <v>2239</v>
      </c>
      <c r="BC51" s="21">
        <v>2245</v>
      </c>
      <c r="BD51" s="21">
        <v>2251</v>
      </c>
      <c r="BE51" s="21">
        <v>2318</v>
      </c>
      <c r="BF51" s="21">
        <v>2311</v>
      </c>
      <c r="BG51" s="21">
        <v>2288</v>
      </c>
      <c r="BH51" s="21">
        <v>2469</v>
      </c>
      <c r="BI51" s="21">
        <v>2505</v>
      </c>
      <c r="BJ51" s="21">
        <v>2489</v>
      </c>
      <c r="BK51" s="21">
        <v>2518</v>
      </c>
      <c r="BL51" s="21">
        <v>2429</v>
      </c>
      <c r="BM51" s="1">
        <v>2443</v>
      </c>
      <c r="BN51" s="1">
        <v>2353</v>
      </c>
      <c r="BO51" s="1">
        <v>2306</v>
      </c>
      <c r="BP51" s="1">
        <v>2284</v>
      </c>
      <c r="BQ51" s="1">
        <v>2297</v>
      </c>
      <c r="BR51" s="1">
        <v>2348</v>
      </c>
      <c r="BS51" s="1">
        <v>2384</v>
      </c>
      <c r="BT51" s="1">
        <v>2424</v>
      </c>
      <c r="BU51" s="1">
        <v>2383</v>
      </c>
      <c r="BV51" s="1">
        <v>2405</v>
      </c>
      <c r="BW51" s="1">
        <v>2435</v>
      </c>
      <c r="BX51" s="1">
        <v>2368</v>
      </c>
      <c r="BY51" s="1">
        <v>2364</v>
      </c>
      <c r="BZ51" s="1">
        <v>2481</v>
      </c>
    </row>
    <row r="52" spans="1:78" ht="15.9" customHeight="1">
      <c r="A52" s="65" t="s">
        <v>99</v>
      </c>
      <c r="B52" s="41" t="s">
        <v>100</v>
      </c>
      <c r="C52" s="45">
        <f>_xll.RssMarket("8766","安値")</f>
        <v>7696</v>
      </c>
      <c r="D52" s="16">
        <f t="shared" si="1"/>
        <v>3</v>
      </c>
      <c r="E52" s="21">
        <v>7693</v>
      </c>
      <c r="F52" s="21">
        <v>7709</v>
      </c>
      <c r="G52" s="21">
        <v>8033</v>
      </c>
      <c r="H52" s="21">
        <v>8092</v>
      </c>
      <c r="I52" s="21">
        <v>8196</v>
      </c>
      <c r="J52" s="21">
        <v>8112</v>
      </c>
      <c r="K52" s="21">
        <v>8073</v>
      </c>
      <c r="L52" s="21">
        <v>7944</v>
      </c>
      <c r="M52" s="21">
        <v>7921</v>
      </c>
      <c r="N52" s="21">
        <v>7847</v>
      </c>
      <c r="O52" s="21">
        <v>7640</v>
      </c>
      <c r="P52" s="21">
        <v>7461</v>
      </c>
      <c r="Q52" s="21">
        <v>7734</v>
      </c>
      <c r="R52" s="21">
        <v>7611</v>
      </c>
      <c r="S52" s="21">
        <v>7450</v>
      </c>
      <c r="T52" s="21">
        <v>7569</v>
      </c>
      <c r="U52" s="21">
        <v>7648</v>
      </c>
      <c r="V52" s="21">
        <v>7690</v>
      </c>
      <c r="W52" s="21">
        <v>7716</v>
      </c>
      <c r="X52" s="21">
        <v>7560</v>
      </c>
      <c r="Y52" s="21">
        <v>7546</v>
      </c>
      <c r="Z52" s="21">
        <v>7222</v>
      </c>
      <c r="AA52" s="21">
        <v>7074</v>
      </c>
      <c r="AB52" s="21">
        <v>7202</v>
      </c>
      <c r="AC52" s="21">
        <v>7077</v>
      </c>
      <c r="AD52" s="21">
        <v>6798</v>
      </c>
      <c r="AE52" s="21">
        <v>6847</v>
      </c>
      <c r="AF52" s="21">
        <v>6970</v>
      </c>
      <c r="AG52" s="21">
        <v>7288</v>
      </c>
      <c r="AH52" s="21">
        <v>7120</v>
      </c>
      <c r="AI52" s="21">
        <v>7186</v>
      </c>
      <c r="AJ52" s="21">
        <v>7260</v>
      </c>
      <c r="AK52" s="21">
        <v>7252</v>
      </c>
      <c r="AL52" s="21">
        <v>7190</v>
      </c>
      <c r="AM52" s="21">
        <v>7210</v>
      </c>
      <c r="AN52" s="21">
        <v>7310</v>
      </c>
      <c r="AO52" s="21">
        <v>7326</v>
      </c>
      <c r="AP52" s="21">
        <v>7368</v>
      </c>
      <c r="AQ52" s="21">
        <v>6952</v>
      </c>
      <c r="AR52" s="21">
        <v>6960</v>
      </c>
      <c r="AS52" s="21">
        <v>6891</v>
      </c>
      <c r="AT52" s="21">
        <v>7043</v>
      </c>
      <c r="AU52" s="21">
        <v>6976</v>
      </c>
      <c r="AV52" s="21">
        <v>7075</v>
      </c>
      <c r="AW52" s="21">
        <v>7141</v>
      </c>
      <c r="AX52" s="21">
        <v>7322</v>
      </c>
      <c r="AY52" s="21">
        <v>7306</v>
      </c>
      <c r="AZ52" s="21">
        <v>7316</v>
      </c>
      <c r="BA52" s="21">
        <v>7623</v>
      </c>
      <c r="BB52" s="21">
        <v>7808</v>
      </c>
      <c r="BC52" s="21">
        <v>7795</v>
      </c>
      <c r="BD52" s="21">
        <v>7592</v>
      </c>
      <c r="BE52" s="21">
        <v>7512</v>
      </c>
      <c r="BF52" s="21">
        <v>7321</v>
      </c>
      <c r="BG52" s="21">
        <v>7145</v>
      </c>
      <c r="BH52" s="21">
        <v>7125</v>
      </c>
      <c r="BI52" s="21">
        <v>6950</v>
      </c>
      <c r="BJ52" s="21">
        <v>7030</v>
      </c>
      <c r="BK52" s="21">
        <v>7166</v>
      </c>
      <c r="BL52" s="21">
        <v>7048</v>
      </c>
      <c r="BM52" s="1">
        <v>7125</v>
      </c>
      <c r="BN52" s="1">
        <v>7152</v>
      </c>
      <c r="BO52" s="1">
        <v>7081</v>
      </c>
      <c r="BP52" s="1">
        <v>7097</v>
      </c>
      <c r="BQ52" s="1">
        <v>6934</v>
      </c>
      <c r="BR52" s="1">
        <v>7106</v>
      </c>
      <c r="BS52" s="1">
        <v>7159</v>
      </c>
      <c r="BT52" s="1">
        <v>7033</v>
      </c>
      <c r="BU52" s="1">
        <v>6839</v>
      </c>
      <c r="BV52" s="1">
        <v>6894</v>
      </c>
      <c r="BW52" s="1">
        <v>6822</v>
      </c>
      <c r="BX52" s="1">
        <v>6913</v>
      </c>
      <c r="BY52" s="1">
        <v>6996</v>
      </c>
      <c r="BZ52" s="1">
        <v>7025</v>
      </c>
    </row>
    <row r="53" spans="1:78" ht="15.9" customHeight="1">
      <c r="A53" s="65" t="s">
        <v>101</v>
      </c>
      <c r="B53" s="41" t="s">
        <v>102</v>
      </c>
      <c r="C53" s="45">
        <f>_xll.RssMarket("5201","安値")</f>
        <v>5611</v>
      </c>
      <c r="D53" s="16">
        <f t="shared" si="1"/>
        <v>30</v>
      </c>
      <c r="E53" s="21">
        <v>5581</v>
      </c>
      <c r="F53" s="21">
        <v>5882</v>
      </c>
      <c r="G53" s="21">
        <v>5980</v>
      </c>
      <c r="H53" s="21">
        <v>5948</v>
      </c>
      <c r="I53" s="21">
        <v>5951</v>
      </c>
      <c r="J53" s="21">
        <v>6024</v>
      </c>
      <c r="K53" s="21">
        <v>6144</v>
      </c>
      <c r="L53" s="21">
        <v>6132</v>
      </c>
      <c r="M53" s="21">
        <v>6282</v>
      </c>
      <c r="N53" s="21">
        <v>6312</v>
      </c>
      <c r="O53" s="21">
        <v>6110</v>
      </c>
      <c r="P53" s="21">
        <v>5997</v>
      </c>
      <c r="Q53" s="21">
        <v>6417</v>
      </c>
      <c r="R53" s="21">
        <v>6262</v>
      </c>
      <c r="S53" s="21">
        <v>6293</v>
      </c>
      <c r="T53" s="21">
        <v>6389</v>
      </c>
      <c r="U53" s="21">
        <v>6422</v>
      </c>
      <c r="V53" s="21">
        <v>6393</v>
      </c>
      <c r="W53" s="21">
        <v>6475</v>
      </c>
      <c r="X53" s="21">
        <v>6678</v>
      </c>
      <c r="Y53" s="21">
        <v>6715</v>
      </c>
      <c r="Z53" s="21">
        <v>6740</v>
      </c>
      <c r="AA53" s="21">
        <v>6851</v>
      </c>
      <c r="AB53" s="21">
        <v>6861</v>
      </c>
      <c r="AC53" s="21">
        <v>6851</v>
      </c>
      <c r="AD53" s="21">
        <v>7060</v>
      </c>
      <c r="AE53" s="21">
        <v>7221</v>
      </c>
      <c r="AF53" s="21">
        <v>7090</v>
      </c>
      <c r="AG53" s="21">
        <v>7250</v>
      </c>
      <c r="AH53" s="21">
        <v>7520</v>
      </c>
      <c r="AI53" s="21">
        <v>7561</v>
      </c>
      <c r="AJ53" s="21">
        <v>7373</v>
      </c>
      <c r="AK53" s="21">
        <v>7190</v>
      </c>
      <c r="AL53" s="21">
        <v>7270</v>
      </c>
      <c r="AM53" s="21">
        <v>7156</v>
      </c>
      <c r="AN53" s="21">
        <v>6986</v>
      </c>
      <c r="AO53" s="21">
        <v>6636</v>
      </c>
      <c r="AP53" s="21">
        <v>6907</v>
      </c>
      <c r="AQ53" s="21">
        <v>7130</v>
      </c>
      <c r="AR53" s="21">
        <v>7659</v>
      </c>
      <c r="AS53" s="21">
        <v>7659</v>
      </c>
      <c r="AT53" s="21">
        <v>7519</v>
      </c>
      <c r="AU53" s="21">
        <v>6990</v>
      </c>
      <c r="AV53" s="21">
        <v>6840</v>
      </c>
      <c r="AW53" s="21">
        <v>6772</v>
      </c>
      <c r="AX53" s="21">
        <v>7011</v>
      </c>
      <c r="AY53" s="21">
        <v>6480</v>
      </c>
      <c r="AZ53" s="21">
        <v>6225</v>
      </c>
      <c r="BA53" s="21">
        <v>6067</v>
      </c>
      <c r="BB53" s="21">
        <v>5992</v>
      </c>
      <c r="BC53" s="21">
        <v>6177</v>
      </c>
      <c r="BD53" s="21">
        <v>5861</v>
      </c>
      <c r="BE53" s="21">
        <v>5923</v>
      </c>
      <c r="BF53" s="21">
        <v>6020</v>
      </c>
      <c r="BG53" s="21">
        <v>5929</v>
      </c>
      <c r="BH53" s="21">
        <v>5623</v>
      </c>
      <c r="BI53" s="21">
        <v>5573</v>
      </c>
      <c r="BJ53" s="21">
        <v>5512</v>
      </c>
      <c r="BK53" s="21">
        <v>5550</v>
      </c>
      <c r="BL53" s="21">
        <v>5470</v>
      </c>
      <c r="BM53" s="1">
        <v>5559</v>
      </c>
      <c r="BN53" s="1">
        <v>5697</v>
      </c>
      <c r="BO53" s="1">
        <v>5577</v>
      </c>
      <c r="BP53" s="1">
        <v>5616</v>
      </c>
      <c r="BQ53" s="1">
        <v>5546</v>
      </c>
      <c r="BR53" s="1">
        <v>5662</v>
      </c>
      <c r="BS53" s="1">
        <v>5739</v>
      </c>
      <c r="BT53" s="1">
        <v>5727</v>
      </c>
      <c r="BU53" s="1">
        <v>5669</v>
      </c>
      <c r="BV53" s="1">
        <v>5642</v>
      </c>
      <c r="BW53" s="1">
        <v>5585</v>
      </c>
      <c r="BX53" s="1">
        <v>5627</v>
      </c>
      <c r="BY53" s="1">
        <v>5682</v>
      </c>
      <c r="BZ53" s="1">
        <v>5827</v>
      </c>
    </row>
    <row r="54" spans="1:78" ht="15.9" customHeight="1">
      <c r="A54" s="65" t="s">
        <v>103</v>
      </c>
      <c r="B54" s="41" t="s">
        <v>104</v>
      </c>
      <c r="C54" s="45">
        <f>_xll.RssMarket("8630","安値")</f>
        <v>6852</v>
      </c>
      <c r="D54" s="16">
        <f t="shared" si="1"/>
        <v>89</v>
      </c>
      <c r="E54" s="21">
        <v>6763</v>
      </c>
      <c r="F54" s="21">
        <v>6740</v>
      </c>
      <c r="G54" s="21">
        <v>7060</v>
      </c>
      <c r="H54" s="21">
        <v>7162</v>
      </c>
      <c r="I54" s="21">
        <v>7234</v>
      </c>
      <c r="J54" s="21">
        <v>7180</v>
      </c>
      <c r="K54" s="21">
        <v>7062</v>
      </c>
      <c r="L54" s="21">
        <v>6938</v>
      </c>
      <c r="M54" s="21">
        <v>6866</v>
      </c>
      <c r="N54" s="21">
        <v>6794</v>
      </c>
      <c r="O54" s="21">
        <v>6720</v>
      </c>
      <c r="P54" s="21">
        <v>6580</v>
      </c>
      <c r="Q54" s="21">
        <v>6613</v>
      </c>
      <c r="R54" s="21">
        <v>6470</v>
      </c>
      <c r="S54" s="21">
        <v>6468</v>
      </c>
      <c r="T54" s="21">
        <v>6488</v>
      </c>
      <c r="U54" s="21">
        <v>6544</v>
      </c>
      <c r="V54" s="21">
        <v>6672</v>
      </c>
      <c r="W54" s="21">
        <v>6642</v>
      </c>
      <c r="X54" s="21">
        <v>6607</v>
      </c>
      <c r="Y54" s="21">
        <v>6584</v>
      </c>
      <c r="Z54" s="21">
        <v>6326</v>
      </c>
      <c r="AA54" s="21">
        <v>6214</v>
      </c>
      <c r="AB54" s="21">
        <v>6210</v>
      </c>
      <c r="AC54" s="21">
        <v>6107</v>
      </c>
      <c r="AD54" s="21">
        <v>6063</v>
      </c>
      <c r="AE54" s="21">
        <v>6050</v>
      </c>
      <c r="AF54" s="21">
        <v>6098</v>
      </c>
      <c r="AG54" s="21">
        <v>6320</v>
      </c>
      <c r="AH54" s="21">
        <v>6232</v>
      </c>
      <c r="AI54" s="21">
        <v>6292</v>
      </c>
      <c r="AJ54" s="21">
        <v>6250</v>
      </c>
      <c r="AK54" s="21">
        <v>6194</v>
      </c>
      <c r="AL54" s="21">
        <v>6169</v>
      </c>
      <c r="AM54" s="21">
        <v>6150</v>
      </c>
      <c r="AN54" s="21">
        <v>6040</v>
      </c>
      <c r="AO54" s="21">
        <v>6112</v>
      </c>
      <c r="AP54" s="21">
        <v>6115</v>
      </c>
      <c r="AQ54" s="21">
        <v>5880</v>
      </c>
      <c r="AR54" s="21">
        <v>5827</v>
      </c>
      <c r="AS54" s="21">
        <v>5736</v>
      </c>
      <c r="AT54" s="21">
        <v>5870</v>
      </c>
      <c r="AU54" s="21">
        <v>5868</v>
      </c>
      <c r="AV54" s="21">
        <v>5777</v>
      </c>
      <c r="AW54" s="21">
        <v>5813</v>
      </c>
      <c r="AX54" s="21">
        <v>5843</v>
      </c>
      <c r="AY54" s="21">
        <v>5523</v>
      </c>
      <c r="AZ54" s="21">
        <v>5568</v>
      </c>
      <c r="BA54" s="21">
        <v>5562</v>
      </c>
      <c r="BB54" s="21">
        <v>6145</v>
      </c>
      <c r="BC54" s="21">
        <v>6286</v>
      </c>
      <c r="BD54" s="21">
        <v>6053</v>
      </c>
      <c r="BE54" s="21">
        <v>6007</v>
      </c>
      <c r="BF54" s="21">
        <v>5977</v>
      </c>
      <c r="BG54" s="21">
        <v>5965</v>
      </c>
      <c r="BH54" s="21">
        <v>5789</v>
      </c>
      <c r="BI54" s="21">
        <v>5670</v>
      </c>
      <c r="BJ54" s="21">
        <v>5717</v>
      </c>
      <c r="BK54" s="21">
        <v>5774</v>
      </c>
      <c r="BL54" s="21">
        <v>5615</v>
      </c>
      <c r="BM54" s="1">
        <v>5676</v>
      </c>
      <c r="BN54" s="1">
        <v>5704</v>
      </c>
      <c r="BO54" s="1">
        <v>5620</v>
      </c>
      <c r="BP54" s="1">
        <v>5805</v>
      </c>
      <c r="BQ54" s="1">
        <v>5734</v>
      </c>
      <c r="BR54" s="1">
        <v>5820</v>
      </c>
      <c r="BS54" s="1">
        <v>5870</v>
      </c>
      <c r="BT54" s="1">
        <v>5872</v>
      </c>
      <c r="BU54" s="1">
        <v>5898</v>
      </c>
      <c r="BV54" s="1">
        <v>5950</v>
      </c>
      <c r="BW54" s="1">
        <v>5884</v>
      </c>
      <c r="BX54" s="1">
        <v>5875</v>
      </c>
      <c r="BY54" s="1">
        <v>5878</v>
      </c>
      <c r="BZ54" s="1">
        <v>5967</v>
      </c>
    </row>
    <row r="55" spans="1:78" ht="15.9" customHeight="1">
      <c r="A55" s="65" t="s">
        <v>105</v>
      </c>
      <c r="B55" s="41" t="s">
        <v>106</v>
      </c>
      <c r="C55" s="45">
        <f>_xll.RssMarket("5901","安値")</f>
        <v>3990</v>
      </c>
      <c r="D55" s="16">
        <f t="shared" si="1"/>
        <v>35</v>
      </c>
      <c r="E55" s="21">
        <v>3955</v>
      </c>
      <c r="F55" s="21">
        <v>3956</v>
      </c>
      <c r="G55" s="21">
        <v>3998</v>
      </c>
      <c r="H55" s="21">
        <v>4097</v>
      </c>
      <c r="I55" s="21">
        <v>4119</v>
      </c>
      <c r="J55" s="21">
        <v>4104</v>
      </c>
      <c r="K55" s="21">
        <v>4078</v>
      </c>
      <c r="L55" s="21">
        <v>4021</v>
      </c>
      <c r="M55" s="21">
        <v>4025</v>
      </c>
      <c r="N55" s="21">
        <v>4064</v>
      </c>
      <c r="O55" s="21">
        <v>4055</v>
      </c>
      <c r="P55" s="21">
        <v>3986</v>
      </c>
      <c r="Q55" s="21">
        <v>3991</v>
      </c>
      <c r="R55" s="21">
        <v>3981</v>
      </c>
      <c r="S55" s="21">
        <v>3981</v>
      </c>
      <c r="T55" s="21">
        <v>4026</v>
      </c>
      <c r="U55" s="21">
        <v>4006</v>
      </c>
      <c r="V55" s="21">
        <v>4090</v>
      </c>
      <c r="W55" s="21">
        <v>4128</v>
      </c>
      <c r="X55" s="21">
        <v>4110</v>
      </c>
      <c r="Y55" s="21">
        <v>4091</v>
      </c>
      <c r="Z55" s="21">
        <v>4060</v>
      </c>
      <c r="AA55" s="21">
        <v>4024</v>
      </c>
      <c r="AB55" s="21">
        <v>4057</v>
      </c>
      <c r="AC55" s="21">
        <v>4091</v>
      </c>
      <c r="AD55" s="21">
        <v>4073</v>
      </c>
      <c r="AE55" s="21">
        <v>4079</v>
      </c>
      <c r="AF55" s="21">
        <v>4038</v>
      </c>
      <c r="AG55" s="21">
        <v>4083</v>
      </c>
      <c r="AH55" s="21">
        <v>4076</v>
      </c>
      <c r="AI55" s="21">
        <v>3987</v>
      </c>
      <c r="AJ55" s="21">
        <v>4050</v>
      </c>
      <c r="AK55" s="21">
        <v>3964</v>
      </c>
      <c r="AL55" s="21">
        <v>3958</v>
      </c>
      <c r="AM55" s="21">
        <v>3945</v>
      </c>
      <c r="AN55" s="21">
        <v>3861</v>
      </c>
      <c r="AO55" s="21">
        <v>3791</v>
      </c>
      <c r="AP55" s="21">
        <v>3804</v>
      </c>
      <c r="AQ55" s="21">
        <v>3753</v>
      </c>
      <c r="AR55" s="21">
        <v>3741</v>
      </c>
      <c r="AS55" s="21">
        <v>3786</v>
      </c>
      <c r="AT55" s="21">
        <v>3750</v>
      </c>
      <c r="AU55" s="21">
        <v>3762</v>
      </c>
      <c r="AV55" s="21">
        <v>3870</v>
      </c>
      <c r="AW55" s="21">
        <v>3813</v>
      </c>
      <c r="AX55" s="21">
        <v>3885</v>
      </c>
      <c r="AY55" s="21">
        <v>3925</v>
      </c>
      <c r="AZ55" s="21">
        <v>3961</v>
      </c>
      <c r="BA55" s="21">
        <v>4088</v>
      </c>
      <c r="BB55" s="21">
        <v>3952</v>
      </c>
      <c r="BC55" s="21">
        <v>3884</v>
      </c>
      <c r="BD55" s="21">
        <v>3740</v>
      </c>
      <c r="BE55" s="21">
        <v>3512</v>
      </c>
      <c r="BF55" s="21">
        <v>3393</v>
      </c>
      <c r="BG55" s="21">
        <v>3369</v>
      </c>
      <c r="BH55" s="21">
        <v>3357</v>
      </c>
      <c r="BI55" s="21">
        <v>3380</v>
      </c>
      <c r="BJ55" s="21">
        <v>3531</v>
      </c>
      <c r="BK55" s="21">
        <v>3437</v>
      </c>
      <c r="BL55" s="21">
        <v>3305</v>
      </c>
      <c r="BM55" s="1">
        <v>3116</v>
      </c>
      <c r="BN55" s="1">
        <v>3150</v>
      </c>
      <c r="BO55" s="1">
        <v>3132</v>
      </c>
      <c r="BP55" s="1">
        <v>3175</v>
      </c>
      <c r="BQ55" s="1">
        <v>3173</v>
      </c>
      <c r="BR55" s="1">
        <v>3288</v>
      </c>
      <c r="BS55" s="1">
        <v>3372</v>
      </c>
      <c r="BT55" s="1">
        <v>3335</v>
      </c>
      <c r="BU55" s="1">
        <v>3312</v>
      </c>
      <c r="BV55" s="1">
        <v>3409</v>
      </c>
      <c r="BW55" s="1">
        <v>3364</v>
      </c>
      <c r="BX55" s="1">
        <v>3331</v>
      </c>
      <c r="BY55" s="1">
        <v>3403</v>
      </c>
      <c r="BZ55" s="1">
        <v>3471</v>
      </c>
    </row>
    <row r="56" spans="1:78" ht="15.9" customHeight="1">
      <c r="A56" s="65" t="s">
        <v>107</v>
      </c>
      <c r="B56" s="41" t="s">
        <v>108</v>
      </c>
      <c r="C56" s="45">
        <f>_xll.RssMarket("9412","安値")</f>
        <v>2235</v>
      </c>
      <c r="D56" s="16">
        <f t="shared" si="1"/>
        <v>94</v>
      </c>
      <c r="E56" s="21">
        <v>2141</v>
      </c>
      <c r="F56" s="21">
        <v>2061</v>
      </c>
      <c r="G56" s="21">
        <v>2066</v>
      </c>
      <c r="H56" s="21">
        <v>2014</v>
      </c>
      <c r="I56" s="21">
        <v>2007</v>
      </c>
      <c r="J56" s="21">
        <v>2093</v>
      </c>
      <c r="K56" s="21">
        <v>2171</v>
      </c>
      <c r="L56" s="21">
        <v>2180</v>
      </c>
      <c r="M56" s="21">
        <v>2240</v>
      </c>
      <c r="N56" s="21">
        <v>2288</v>
      </c>
      <c r="O56" s="21">
        <v>2243</v>
      </c>
      <c r="P56" s="21">
        <v>2226</v>
      </c>
      <c r="Q56" s="21">
        <v>2417</v>
      </c>
      <c r="R56" s="21">
        <v>2435</v>
      </c>
      <c r="S56" s="21">
        <v>2452</v>
      </c>
      <c r="T56" s="21">
        <v>2523</v>
      </c>
      <c r="U56" s="21">
        <v>2529</v>
      </c>
      <c r="V56" s="21">
        <v>2554</v>
      </c>
      <c r="W56" s="21">
        <v>2551</v>
      </c>
      <c r="X56" s="21">
        <v>2645</v>
      </c>
      <c r="Y56" s="21">
        <v>2645</v>
      </c>
      <c r="Z56" s="21">
        <v>2565</v>
      </c>
      <c r="AA56" s="21">
        <v>2529</v>
      </c>
      <c r="AB56" s="21">
        <v>2615</v>
      </c>
      <c r="AC56" s="21">
        <v>2469</v>
      </c>
      <c r="AD56" s="21">
        <v>2431</v>
      </c>
      <c r="AE56" s="21">
        <v>2592</v>
      </c>
      <c r="AF56" s="21">
        <v>2741</v>
      </c>
      <c r="AG56" s="21">
        <v>2859</v>
      </c>
      <c r="AH56" s="21">
        <v>3070</v>
      </c>
      <c r="AI56" s="21">
        <v>3135</v>
      </c>
      <c r="AJ56" s="21">
        <v>3275</v>
      </c>
      <c r="AK56" s="21">
        <v>3295</v>
      </c>
      <c r="AL56" s="21">
        <v>3240</v>
      </c>
      <c r="AM56" s="21">
        <v>3195</v>
      </c>
      <c r="AN56" s="21">
        <v>3345</v>
      </c>
      <c r="AO56" s="21">
        <v>3085</v>
      </c>
      <c r="AP56" s="21">
        <v>3105</v>
      </c>
      <c r="AQ56" s="21">
        <v>3350</v>
      </c>
      <c r="AR56" s="21">
        <v>3525</v>
      </c>
      <c r="AS56" s="21">
        <v>3290</v>
      </c>
      <c r="AT56" s="21">
        <v>3570</v>
      </c>
      <c r="AU56" s="21">
        <v>3595</v>
      </c>
      <c r="AV56" s="21">
        <v>4435</v>
      </c>
      <c r="AW56" s="21">
        <v>4265</v>
      </c>
      <c r="AX56" s="21">
        <v>4425</v>
      </c>
      <c r="AY56" s="21">
        <v>4365</v>
      </c>
      <c r="AZ56" s="21">
        <v>4050</v>
      </c>
      <c r="BA56" s="21">
        <v>4090</v>
      </c>
      <c r="BB56" s="21">
        <v>3865</v>
      </c>
      <c r="BC56" s="21">
        <v>4035</v>
      </c>
      <c r="BD56" s="21">
        <v>3980</v>
      </c>
      <c r="BE56" s="21">
        <v>4085</v>
      </c>
      <c r="BF56" s="21">
        <v>4135</v>
      </c>
      <c r="BG56" s="21">
        <v>3835</v>
      </c>
      <c r="BH56" s="21">
        <v>3750</v>
      </c>
      <c r="BI56" s="21">
        <v>3705</v>
      </c>
      <c r="BJ56" s="21">
        <v>3500</v>
      </c>
      <c r="BK56" s="21">
        <v>3470</v>
      </c>
      <c r="BL56" s="21">
        <v>3490</v>
      </c>
      <c r="BM56" s="1">
        <v>3330</v>
      </c>
      <c r="BN56" s="1">
        <v>3085</v>
      </c>
      <c r="BO56" s="1">
        <v>3060</v>
      </c>
      <c r="BP56" s="1">
        <v>3140</v>
      </c>
      <c r="BQ56" s="1">
        <v>3100</v>
      </c>
      <c r="BR56" s="1">
        <v>3170</v>
      </c>
      <c r="BS56" s="1">
        <v>3260</v>
      </c>
      <c r="BT56" s="1">
        <v>3270</v>
      </c>
      <c r="BU56" s="1">
        <v>3215</v>
      </c>
      <c r="BV56" s="1">
        <v>3170</v>
      </c>
      <c r="BW56" s="1">
        <v>3125</v>
      </c>
      <c r="BX56" s="1">
        <v>3055</v>
      </c>
      <c r="BY56" s="1">
        <v>2980</v>
      </c>
      <c r="BZ56" s="1">
        <v>3040</v>
      </c>
    </row>
    <row r="57" spans="1:78" ht="15.9" customHeight="1">
      <c r="A57" s="65" t="s">
        <v>109</v>
      </c>
      <c r="B57" s="41" t="s">
        <v>110</v>
      </c>
      <c r="C57" s="45">
        <f>_xll.RssMarket("6203","安値")</f>
        <v>1405</v>
      </c>
      <c r="D57" s="16">
        <f t="shared" si="1"/>
        <v>40</v>
      </c>
      <c r="E57" s="21">
        <v>1365</v>
      </c>
      <c r="F57" s="21">
        <v>1350</v>
      </c>
      <c r="G57" s="21">
        <v>1344</v>
      </c>
      <c r="H57" s="21">
        <v>1296</v>
      </c>
      <c r="I57" s="21">
        <v>1298</v>
      </c>
      <c r="J57" s="21">
        <v>1362</v>
      </c>
      <c r="K57" s="21">
        <v>1400</v>
      </c>
      <c r="L57" s="21">
        <v>1420</v>
      </c>
      <c r="M57" s="21">
        <v>1426</v>
      </c>
      <c r="N57" s="21">
        <v>1421</v>
      </c>
      <c r="O57" s="21">
        <v>1386</v>
      </c>
      <c r="P57" s="21">
        <v>1372</v>
      </c>
      <c r="Q57" s="21">
        <v>1522</v>
      </c>
      <c r="R57" s="21">
        <v>1532</v>
      </c>
      <c r="S57" s="21">
        <v>1542</v>
      </c>
      <c r="T57" s="21">
        <v>1573</v>
      </c>
      <c r="U57" s="21">
        <v>1557</v>
      </c>
      <c r="V57" s="21">
        <v>1584</v>
      </c>
      <c r="W57" s="21">
        <v>1651</v>
      </c>
      <c r="X57" s="21">
        <v>1641</v>
      </c>
      <c r="Y57" s="21">
        <v>1576</v>
      </c>
      <c r="Z57" s="21">
        <v>1500</v>
      </c>
      <c r="AA57" s="21">
        <v>1500</v>
      </c>
      <c r="AB57" s="21">
        <v>1485</v>
      </c>
      <c r="AC57" s="21">
        <v>1515</v>
      </c>
      <c r="AD57" s="21">
        <v>1558</v>
      </c>
      <c r="AE57" s="21">
        <v>1530</v>
      </c>
      <c r="AF57" s="21">
        <v>1547</v>
      </c>
      <c r="AG57" s="21">
        <v>1594</v>
      </c>
      <c r="AH57" s="21">
        <v>1610</v>
      </c>
      <c r="AI57" s="21">
        <v>1592</v>
      </c>
      <c r="AJ57" s="21">
        <v>1635</v>
      </c>
      <c r="AK57" s="21">
        <v>1570</v>
      </c>
      <c r="AL57" s="21">
        <v>1480</v>
      </c>
      <c r="AM57" s="21">
        <v>1530</v>
      </c>
      <c r="AN57" s="21">
        <v>1500</v>
      </c>
      <c r="AO57" s="21">
        <v>1543</v>
      </c>
      <c r="AP57" s="21">
        <v>1625</v>
      </c>
      <c r="AQ57" s="21">
        <v>1700</v>
      </c>
      <c r="AR57" s="21">
        <v>1688</v>
      </c>
      <c r="AS57" s="21">
        <v>1683</v>
      </c>
      <c r="AT57" s="21">
        <v>1820</v>
      </c>
      <c r="AU57" s="21">
        <v>1802</v>
      </c>
      <c r="AV57" s="21">
        <v>1704</v>
      </c>
      <c r="AW57" s="21">
        <v>1450</v>
      </c>
      <c r="AX57" s="21">
        <v>1340</v>
      </c>
      <c r="AY57" s="21">
        <v>1349</v>
      </c>
      <c r="AZ57" s="21">
        <v>1327</v>
      </c>
      <c r="BA57" s="21">
        <v>1297</v>
      </c>
      <c r="BB57" s="21">
        <v>1262</v>
      </c>
      <c r="BC57" s="21">
        <v>1298</v>
      </c>
      <c r="BD57" s="21">
        <v>1272</v>
      </c>
      <c r="BE57" s="21">
        <v>1319</v>
      </c>
      <c r="BF57" s="21">
        <v>1380</v>
      </c>
      <c r="BG57" s="21">
        <v>1406</v>
      </c>
      <c r="BH57" s="21">
        <v>1450</v>
      </c>
      <c r="BI57" s="21">
        <v>1491</v>
      </c>
      <c r="BJ57" s="21">
        <v>1441</v>
      </c>
      <c r="BK57" s="21">
        <v>1530</v>
      </c>
      <c r="BL57" s="21">
        <v>1503</v>
      </c>
      <c r="BM57" s="1">
        <v>1482</v>
      </c>
      <c r="BN57" s="1">
        <v>1496</v>
      </c>
      <c r="BO57" s="1">
        <v>1459</v>
      </c>
      <c r="BP57" s="1">
        <v>1457</v>
      </c>
      <c r="BQ57" s="1">
        <v>1468</v>
      </c>
      <c r="BR57" s="1">
        <v>1417</v>
      </c>
      <c r="BS57" s="1">
        <v>1334</v>
      </c>
      <c r="BT57" s="1">
        <v>1357</v>
      </c>
      <c r="BU57" s="1">
        <v>1339</v>
      </c>
      <c r="BV57" s="1">
        <v>1336</v>
      </c>
      <c r="BW57" s="1">
        <v>1389</v>
      </c>
      <c r="BX57" s="1">
        <v>1445</v>
      </c>
      <c r="BY57" s="1">
        <v>1446</v>
      </c>
      <c r="BZ57" s="1">
        <v>1468</v>
      </c>
    </row>
    <row r="58" spans="1:78" ht="15.9" customHeight="1">
      <c r="A58" s="65" t="s">
        <v>111</v>
      </c>
      <c r="B58" s="41" t="s">
        <v>112</v>
      </c>
      <c r="C58" s="45">
        <f>_xll.RssMarket("4676","安値")</f>
        <v>3934</v>
      </c>
      <c r="D58" s="16">
        <f t="shared" si="1"/>
        <v>83</v>
      </c>
      <c r="E58" s="21">
        <v>3851</v>
      </c>
      <c r="F58" s="21">
        <v>3856</v>
      </c>
      <c r="G58" s="21">
        <v>3981</v>
      </c>
      <c r="H58" s="21">
        <v>4136</v>
      </c>
      <c r="I58" s="21">
        <v>4157</v>
      </c>
      <c r="J58" s="21">
        <v>4131</v>
      </c>
      <c r="K58" s="21">
        <v>4063</v>
      </c>
      <c r="L58" s="21">
        <v>3975</v>
      </c>
      <c r="M58" s="21">
        <v>4003</v>
      </c>
      <c r="N58" s="21">
        <v>4038</v>
      </c>
      <c r="O58" s="21">
        <v>4062</v>
      </c>
      <c r="P58" s="21">
        <v>3989</v>
      </c>
      <c r="Q58" s="21">
        <v>4164</v>
      </c>
      <c r="R58" s="21">
        <v>4132</v>
      </c>
      <c r="S58" s="21">
        <v>4097</v>
      </c>
      <c r="T58" s="21">
        <v>4080</v>
      </c>
      <c r="U58" s="21">
        <v>4007</v>
      </c>
      <c r="V58" s="21">
        <v>4065</v>
      </c>
      <c r="W58" s="21">
        <v>4074</v>
      </c>
      <c r="X58" s="21">
        <v>3985</v>
      </c>
      <c r="Y58" s="21">
        <v>3966</v>
      </c>
      <c r="Z58" s="21">
        <v>3967</v>
      </c>
      <c r="AA58" s="21">
        <v>3864</v>
      </c>
      <c r="AB58" s="21">
        <v>3821</v>
      </c>
      <c r="AC58" s="21">
        <v>3806</v>
      </c>
      <c r="AD58" s="21">
        <v>3835</v>
      </c>
      <c r="AE58" s="21">
        <v>3826</v>
      </c>
      <c r="AF58" s="21">
        <v>3796</v>
      </c>
      <c r="AG58" s="21">
        <v>3871</v>
      </c>
      <c r="AH58" s="21">
        <v>3976</v>
      </c>
      <c r="AI58" s="21">
        <v>3914</v>
      </c>
      <c r="AJ58" s="21">
        <v>3960</v>
      </c>
      <c r="AK58" s="21">
        <v>3999</v>
      </c>
      <c r="AL58" s="21">
        <v>3952</v>
      </c>
      <c r="AM58" s="21">
        <v>4026</v>
      </c>
      <c r="AN58" s="21">
        <v>4014</v>
      </c>
      <c r="AO58" s="21">
        <v>4037</v>
      </c>
      <c r="AP58" s="21">
        <v>4092</v>
      </c>
      <c r="AQ58" s="21">
        <v>4089</v>
      </c>
      <c r="AR58" s="21">
        <v>4033</v>
      </c>
      <c r="AS58" s="21">
        <v>3787</v>
      </c>
      <c r="AT58" s="21">
        <v>3793</v>
      </c>
      <c r="AU58" s="21">
        <v>3792</v>
      </c>
      <c r="AV58" s="21">
        <v>3703</v>
      </c>
      <c r="AW58" s="21">
        <v>3721</v>
      </c>
      <c r="AX58" s="21">
        <v>3639</v>
      </c>
      <c r="AY58" s="21">
        <v>3686</v>
      </c>
      <c r="AZ58" s="21">
        <v>3799</v>
      </c>
      <c r="BA58" s="21">
        <v>3758</v>
      </c>
      <c r="BB58" s="21">
        <v>3767</v>
      </c>
      <c r="BC58" s="21">
        <v>3721</v>
      </c>
      <c r="BD58" s="21">
        <v>3615</v>
      </c>
      <c r="BE58" s="21">
        <v>3753</v>
      </c>
      <c r="BF58" s="21">
        <v>3728</v>
      </c>
      <c r="BG58" s="21">
        <v>3635</v>
      </c>
      <c r="BH58" s="21">
        <v>3861</v>
      </c>
      <c r="BI58" s="21">
        <v>3862</v>
      </c>
      <c r="BJ58" s="21">
        <v>3874</v>
      </c>
      <c r="BK58" s="21">
        <v>3850</v>
      </c>
      <c r="BL58" s="21">
        <v>3826</v>
      </c>
      <c r="BM58" s="1">
        <v>3728</v>
      </c>
      <c r="BN58" s="1">
        <v>3868</v>
      </c>
      <c r="BO58" s="1">
        <v>3925</v>
      </c>
      <c r="BP58" s="1">
        <v>3932</v>
      </c>
      <c r="BQ58" s="1">
        <v>3901</v>
      </c>
      <c r="BR58" s="1">
        <v>3867</v>
      </c>
      <c r="BS58" s="1">
        <v>3931</v>
      </c>
      <c r="BT58" s="1">
        <v>3831</v>
      </c>
      <c r="BU58" s="1">
        <v>3761</v>
      </c>
      <c r="BV58" s="1">
        <v>3718</v>
      </c>
      <c r="BW58" s="1">
        <v>4148</v>
      </c>
      <c r="BX58" s="1">
        <v>4171</v>
      </c>
      <c r="BY58" s="1">
        <v>4170</v>
      </c>
      <c r="BZ58" s="1">
        <v>4244</v>
      </c>
    </row>
    <row r="59" spans="1:78" ht="15.9" customHeight="1">
      <c r="A59" s="65" t="s">
        <v>113</v>
      </c>
      <c r="B59" s="41" t="s">
        <v>114</v>
      </c>
      <c r="C59" s="45">
        <f>_xll.RssMarket("1961","安値")</f>
        <v>2282</v>
      </c>
      <c r="D59" s="16">
        <f t="shared" si="1"/>
        <v>54</v>
      </c>
      <c r="E59" s="21">
        <v>2228</v>
      </c>
      <c r="F59" s="21">
        <v>2182</v>
      </c>
      <c r="G59" s="21">
        <v>2291</v>
      </c>
      <c r="H59" s="21">
        <v>2127</v>
      </c>
      <c r="I59" s="21">
        <v>2172</v>
      </c>
      <c r="J59" s="21">
        <v>2329</v>
      </c>
      <c r="K59" s="21">
        <v>2372</v>
      </c>
      <c r="L59" s="21">
        <v>2350</v>
      </c>
      <c r="M59" s="21">
        <v>2429</v>
      </c>
      <c r="N59" s="21">
        <v>2475</v>
      </c>
      <c r="O59" s="21">
        <v>2407</v>
      </c>
      <c r="P59" s="21">
        <v>2426</v>
      </c>
      <c r="Q59" s="21">
        <v>2566</v>
      </c>
      <c r="R59" s="21">
        <v>2452</v>
      </c>
      <c r="S59" s="21">
        <v>2542</v>
      </c>
      <c r="T59" s="21">
        <v>2645</v>
      </c>
      <c r="U59" s="21">
        <v>2617</v>
      </c>
      <c r="V59" s="21">
        <v>2640</v>
      </c>
      <c r="W59" s="21">
        <v>2787</v>
      </c>
      <c r="X59" s="21">
        <v>2796</v>
      </c>
      <c r="Y59" s="21">
        <v>2712</v>
      </c>
      <c r="Z59" s="21">
        <v>2764</v>
      </c>
      <c r="AA59" s="21">
        <v>2853</v>
      </c>
      <c r="AB59" s="21">
        <v>2958</v>
      </c>
      <c r="AC59" s="21">
        <v>3030</v>
      </c>
      <c r="AD59" s="21">
        <v>3080</v>
      </c>
      <c r="AE59" s="21">
        <v>3065</v>
      </c>
      <c r="AF59" s="21">
        <v>2979</v>
      </c>
      <c r="AG59" s="21">
        <v>3025</v>
      </c>
      <c r="AH59" s="21">
        <v>3020</v>
      </c>
      <c r="AI59" s="21">
        <v>3005</v>
      </c>
      <c r="AJ59" s="21">
        <v>2719</v>
      </c>
      <c r="AK59" s="21">
        <v>2639</v>
      </c>
      <c r="AL59" s="21">
        <v>2556</v>
      </c>
      <c r="AM59" s="21">
        <v>2578</v>
      </c>
      <c r="AN59" s="21">
        <v>2453</v>
      </c>
      <c r="AO59" s="21">
        <v>2383</v>
      </c>
      <c r="AP59" s="21">
        <v>2450</v>
      </c>
      <c r="AQ59" s="21">
        <v>2254</v>
      </c>
      <c r="AR59" s="21">
        <v>2287</v>
      </c>
      <c r="AS59" s="21">
        <v>2180</v>
      </c>
      <c r="AT59" s="21">
        <v>2116</v>
      </c>
      <c r="AU59" s="21">
        <v>2114</v>
      </c>
      <c r="AV59" s="21">
        <v>2235</v>
      </c>
      <c r="AW59" s="21">
        <v>2196</v>
      </c>
      <c r="AX59" s="21">
        <v>2227</v>
      </c>
      <c r="AY59" s="21">
        <v>2198</v>
      </c>
      <c r="AZ59" s="21">
        <v>2170</v>
      </c>
      <c r="BA59" s="21">
        <v>2171</v>
      </c>
      <c r="BB59" s="21">
        <v>2221</v>
      </c>
      <c r="BC59" s="21">
        <v>2387</v>
      </c>
      <c r="BD59" s="21">
        <v>2388</v>
      </c>
      <c r="BE59" s="21">
        <v>2529</v>
      </c>
      <c r="BF59" s="21">
        <v>2486</v>
      </c>
      <c r="BG59" s="21">
        <v>2592</v>
      </c>
      <c r="BH59" s="21">
        <v>2636</v>
      </c>
      <c r="BI59" s="21">
        <v>2531</v>
      </c>
      <c r="BJ59" s="21">
        <v>2474</v>
      </c>
      <c r="BK59" s="21">
        <v>2498</v>
      </c>
      <c r="BL59" s="21">
        <v>2352</v>
      </c>
      <c r="BM59" s="1">
        <v>2350</v>
      </c>
      <c r="BN59" s="1">
        <v>2264</v>
      </c>
      <c r="BO59" s="1">
        <v>2280</v>
      </c>
      <c r="BP59" s="1">
        <v>2266.6666</v>
      </c>
      <c r="BQ59" s="1">
        <v>2216.6666</v>
      </c>
      <c r="BR59" s="1">
        <v>2320</v>
      </c>
      <c r="BS59" s="1">
        <v>2350</v>
      </c>
      <c r="BT59" s="1">
        <v>2326.6666</v>
      </c>
      <c r="BU59" s="1">
        <v>2356.6666</v>
      </c>
      <c r="BV59" s="1">
        <v>2360</v>
      </c>
      <c r="BW59" s="1">
        <v>2436.6666</v>
      </c>
      <c r="BX59" s="1">
        <v>2636.6666</v>
      </c>
      <c r="BY59" s="1">
        <v>2700</v>
      </c>
      <c r="BZ59" s="1">
        <v>2680</v>
      </c>
    </row>
    <row r="60" spans="1:78" ht="15.9" customHeight="1">
      <c r="A60" s="65" t="s">
        <v>115</v>
      </c>
      <c r="B60" s="41" t="s">
        <v>116</v>
      </c>
      <c r="C60" s="45">
        <f>_xll.RssMarket("3107","安値")</f>
        <v>3618</v>
      </c>
      <c r="D60" s="16">
        <f t="shared" si="1"/>
        <v>76</v>
      </c>
      <c r="E60" s="21">
        <v>3542</v>
      </c>
      <c r="F60" s="21">
        <v>3485</v>
      </c>
      <c r="G60" s="21">
        <v>3538</v>
      </c>
      <c r="H60" s="21">
        <v>3559</v>
      </c>
      <c r="I60" s="21">
        <v>3602</v>
      </c>
      <c r="J60" s="21">
        <v>3555</v>
      </c>
      <c r="K60" s="21">
        <v>3515</v>
      </c>
      <c r="L60" s="21">
        <v>3424</v>
      </c>
      <c r="M60" s="21">
        <v>3439</v>
      </c>
      <c r="N60" s="21">
        <v>3454</v>
      </c>
      <c r="O60" s="21">
        <v>3416</v>
      </c>
      <c r="P60" s="21">
        <v>3365</v>
      </c>
      <c r="Q60" s="21">
        <v>3377</v>
      </c>
      <c r="R60" s="21">
        <v>3336</v>
      </c>
      <c r="S60" s="21">
        <v>3326</v>
      </c>
      <c r="T60" s="21">
        <v>3373</v>
      </c>
      <c r="U60" s="21">
        <v>3390</v>
      </c>
      <c r="V60" s="21">
        <v>3394</v>
      </c>
      <c r="W60" s="21">
        <v>3447</v>
      </c>
      <c r="X60" s="21">
        <v>3498</v>
      </c>
      <c r="Y60" s="21">
        <v>3469</v>
      </c>
      <c r="Z60" s="21">
        <v>3419</v>
      </c>
      <c r="AA60" s="21">
        <v>3408</v>
      </c>
      <c r="AB60" s="21">
        <v>3449</v>
      </c>
      <c r="AC60" s="21">
        <v>3412</v>
      </c>
      <c r="AD60" s="21">
        <v>3409</v>
      </c>
      <c r="AE60" s="21">
        <v>3347</v>
      </c>
      <c r="AF60" s="21">
        <v>3318</v>
      </c>
      <c r="AG60" s="21">
        <v>3320</v>
      </c>
      <c r="AH60" s="21">
        <v>3316</v>
      </c>
      <c r="AI60" s="21">
        <v>3311</v>
      </c>
      <c r="AJ60" s="21">
        <v>3309</v>
      </c>
      <c r="AK60" s="21">
        <v>3325</v>
      </c>
      <c r="AL60" s="21">
        <v>3394</v>
      </c>
      <c r="AM60" s="21">
        <v>3412</v>
      </c>
      <c r="AN60" s="21">
        <v>3411</v>
      </c>
      <c r="AO60" s="21">
        <v>3392</v>
      </c>
      <c r="AP60" s="21">
        <v>3408</v>
      </c>
      <c r="AQ60" s="21">
        <v>3461</v>
      </c>
      <c r="AR60" s="21">
        <v>3458</v>
      </c>
      <c r="AS60" s="21">
        <v>3451</v>
      </c>
      <c r="AT60" s="21">
        <v>3534</v>
      </c>
      <c r="AU60" s="21">
        <v>3500</v>
      </c>
      <c r="AV60" s="21">
        <v>3396</v>
      </c>
      <c r="AW60" s="21">
        <v>3346</v>
      </c>
      <c r="AX60" s="21">
        <v>3328</v>
      </c>
      <c r="AY60" s="21">
        <v>3329</v>
      </c>
      <c r="AZ60" s="21">
        <v>3481</v>
      </c>
      <c r="BA60" s="21">
        <v>3523</v>
      </c>
      <c r="BB60" s="21">
        <v>3477</v>
      </c>
      <c r="BC60" s="21">
        <v>3489</v>
      </c>
      <c r="BD60" s="21">
        <v>3451</v>
      </c>
      <c r="BE60" s="21">
        <v>3381</v>
      </c>
      <c r="BF60" s="21">
        <v>3401</v>
      </c>
      <c r="BG60" s="21">
        <v>3386</v>
      </c>
      <c r="BH60" s="21">
        <v>3363</v>
      </c>
      <c r="BI60" s="21">
        <v>3372</v>
      </c>
      <c r="BJ60" s="21">
        <v>3303</v>
      </c>
      <c r="BK60" s="21">
        <v>3211</v>
      </c>
      <c r="BL60" s="21">
        <v>3136</v>
      </c>
      <c r="BM60" s="1">
        <v>3149</v>
      </c>
      <c r="BN60" s="1">
        <v>3181</v>
      </c>
      <c r="BO60" s="1">
        <v>3122</v>
      </c>
      <c r="BP60" s="1">
        <v>3091</v>
      </c>
      <c r="BQ60" s="1">
        <v>3064</v>
      </c>
      <c r="BR60" s="1">
        <v>3060</v>
      </c>
      <c r="BS60" s="1">
        <v>3083</v>
      </c>
      <c r="BT60" s="1">
        <v>3109</v>
      </c>
      <c r="BU60" s="1">
        <v>3163</v>
      </c>
      <c r="BV60" s="1">
        <v>3165</v>
      </c>
      <c r="BW60" s="1">
        <v>3150</v>
      </c>
      <c r="BX60" s="1">
        <v>3127</v>
      </c>
      <c r="BY60" s="1">
        <v>3071</v>
      </c>
      <c r="BZ60" s="1">
        <v>3098</v>
      </c>
    </row>
    <row r="61" spans="1:78" ht="15.9" customHeight="1">
      <c r="A61" s="65" t="s">
        <v>117</v>
      </c>
      <c r="B61" s="41" t="s">
        <v>118</v>
      </c>
      <c r="C61" s="45">
        <f>_xll.RssMarket("4045","安値")</f>
        <v>1826.5</v>
      </c>
      <c r="D61" s="16">
        <f t="shared" si="1"/>
        <v>18</v>
      </c>
      <c r="E61" s="21">
        <v>1808.5</v>
      </c>
      <c r="F61" s="21">
        <v>1787.5</v>
      </c>
      <c r="G61" s="21">
        <v>1755</v>
      </c>
      <c r="H61" s="21">
        <v>1768</v>
      </c>
      <c r="I61" s="21">
        <v>1772.5</v>
      </c>
      <c r="J61" s="21">
        <v>1780.5</v>
      </c>
      <c r="K61" s="21">
        <v>1775</v>
      </c>
      <c r="L61" s="21">
        <v>1743</v>
      </c>
      <c r="M61" s="21">
        <v>1761.5</v>
      </c>
      <c r="N61" s="21">
        <v>1757</v>
      </c>
      <c r="O61" s="21">
        <v>1729</v>
      </c>
      <c r="P61" s="21">
        <v>1702</v>
      </c>
      <c r="Q61" s="21">
        <v>1739.5</v>
      </c>
      <c r="R61" s="21">
        <v>1709</v>
      </c>
      <c r="S61" s="21">
        <v>1702.5</v>
      </c>
      <c r="T61" s="21">
        <v>1723.5</v>
      </c>
      <c r="U61" s="21">
        <v>1735</v>
      </c>
      <c r="V61" s="21">
        <v>1737</v>
      </c>
      <c r="W61" s="21">
        <v>1755</v>
      </c>
      <c r="X61" s="21">
        <v>1768</v>
      </c>
      <c r="Y61" s="21">
        <v>1745</v>
      </c>
      <c r="Z61" s="21">
        <v>1740.5</v>
      </c>
      <c r="AA61" s="21">
        <v>1734.5</v>
      </c>
      <c r="AB61" s="21">
        <v>1736</v>
      </c>
      <c r="AC61" s="21">
        <v>1731.5</v>
      </c>
      <c r="AD61" s="21">
        <v>1764</v>
      </c>
      <c r="AE61" s="21">
        <v>1777.5</v>
      </c>
      <c r="AF61" s="21">
        <v>1727</v>
      </c>
      <c r="AG61" s="21">
        <v>1740.5</v>
      </c>
      <c r="AH61" s="21">
        <v>1759</v>
      </c>
      <c r="AI61" s="21">
        <v>1755</v>
      </c>
      <c r="AJ61" s="21">
        <v>1763</v>
      </c>
      <c r="AK61" s="21">
        <v>1749</v>
      </c>
      <c r="AL61" s="21">
        <v>1745.5</v>
      </c>
      <c r="AM61" s="21">
        <v>1750</v>
      </c>
      <c r="AN61" s="21">
        <v>1722</v>
      </c>
      <c r="AO61" s="21">
        <v>1683</v>
      </c>
      <c r="AP61" s="21">
        <v>1688.5</v>
      </c>
      <c r="AQ61" s="21">
        <v>1700</v>
      </c>
      <c r="AR61" s="21">
        <v>1728</v>
      </c>
      <c r="AS61" s="21">
        <v>1729.5</v>
      </c>
      <c r="AT61" s="21">
        <v>1738</v>
      </c>
      <c r="AU61" s="21">
        <v>1705.5</v>
      </c>
      <c r="AV61" s="21">
        <v>1748</v>
      </c>
      <c r="AW61" s="21">
        <v>1725</v>
      </c>
      <c r="AX61" s="21">
        <v>1722</v>
      </c>
      <c r="AY61" s="21">
        <v>1720</v>
      </c>
      <c r="AZ61" s="21">
        <v>1705</v>
      </c>
      <c r="BA61" s="21">
        <v>1698.5</v>
      </c>
      <c r="BB61" s="21">
        <v>1681</v>
      </c>
      <c r="BC61" s="21">
        <v>1717</v>
      </c>
      <c r="BD61" s="21">
        <v>1734.5</v>
      </c>
      <c r="BE61" s="21">
        <v>1733</v>
      </c>
      <c r="BF61" s="21">
        <v>1747</v>
      </c>
      <c r="BG61" s="21">
        <v>1723.5</v>
      </c>
      <c r="BH61" s="21">
        <v>1718</v>
      </c>
      <c r="BI61" s="21">
        <v>1715</v>
      </c>
      <c r="BJ61" s="21">
        <v>1707</v>
      </c>
      <c r="BK61" s="21">
        <v>1724.5</v>
      </c>
      <c r="BL61" s="21">
        <v>1690</v>
      </c>
      <c r="BM61" s="1">
        <v>1666</v>
      </c>
      <c r="BN61" s="1">
        <v>1663.5</v>
      </c>
      <c r="BO61" s="1">
        <v>1708</v>
      </c>
      <c r="BP61" s="1">
        <v>1743.5</v>
      </c>
      <c r="BQ61" s="1">
        <v>1751</v>
      </c>
      <c r="BR61" s="1">
        <v>1748.5</v>
      </c>
      <c r="BS61" s="1">
        <v>1790</v>
      </c>
      <c r="BT61" s="1">
        <v>1783.5</v>
      </c>
      <c r="BU61" s="1">
        <v>1796</v>
      </c>
      <c r="BV61" s="1">
        <v>1783</v>
      </c>
      <c r="BW61" s="1">
        <v>1782.5</v>
      </c>
      <c r="BX61" s="1">
        <v>1772.5</v>
      </c>
      <c r="BY61" s="1">
        <v>1770.5</v>
      </c>
      <c r="BZ61" s="1">
        <v>1780.5</v>
      </c>
    </row>
    <row r="62" spans="1:78" ht="15.9" customHeight="1">
      <c r="A62" s="65" t="s">
        <v>119</v>
      </c>
      <c r="B62" s="41" t="s">
        <v>120</v>
      </c>
      <c r="C62" s="45">
        <f>_xll.RssMarket("5857","安値")</f>
        <v>3160</v>
      </c>
      <c r="D62" s="16">
        <f t="shared" si="1"/>
        <v>135</v>
      </c>
      <c r="E62" s="21">
        <v>3025</v>
      </c>
      <c r="F62" s="21">
        <v>2964</v>
      </c>
      <c r="G62" s="21">
        <v>3015</v>
      </c>
      <c r="H62" s="21">
        <v>2965</v>
      </c>
      <c r="I62" s="21">
        <v>2947</v>
      </c>
      <c r="J62" s="21">
        <v>3005</v>
      </c>
      <c r="K62" s="21">
        <v>3075</v>
      </c>
      <c r="L62" s="21">
        <v>3060</v>
      </c>
      <c r="M62" s="21">
        <v>3100</v>
      </c>
      <c r="N62" s="21">
        <v>3035</v>
      </c>
      <c r="O62" s="21">
        <v>2946</v>
      </c>
      <c r="P62" s="21">
        <v>2863</v>
      </c>
      <c r="Q62" s="21">
        <v>3030</v>
      </c>
      <c r="R62" s="21">
        <v>2949</v>
      </c>
      <c r="S62" s="21">
        <v>2938</v>
      </c>
      <c r="T62" s="21">
        <v>2930</v>
      </c>
      <c r="U62" s="21">
        <v>2924</v>
      </c>
      <c r="V62" s="21">
        <v>2967</v>
      </c>
      <c r="W62" s="21">
        <v>3000</v>
      </c>
      <c r="X62" s="21">
        <v>3055</v>
      </c>
      <c r="Y62" s="21">
        <v>2951</v>
      </c>
      <c r="Z62" s="21">
        <v>2921</v>
      </c>
      <c r="AA62" s="21">
        <v>2907</v>
      </c>
      <c r="AB62" s="21">
        <v>2907</v>
      </c>
      <c r="AC62" s="21">
        <v>2880</v>
      </c>
      <c r="AD62" s="21">
        <v>2838</v>
      </c>
      <c r="AE62" s="21">
        <v>2860</v>
      </c>
      <c r="AF62" s="21">
        <v>3060</v>
      </c>
      <c r="AG62" s="21">
        <v>3100</v>
      </c>
      <c r="AH62" s="21">
        <v>3190</v>
      </c>
      <c r="AI62" s="21">
        <v>3150</v>
      </c>
      <c r="AJ62" s="21">
        <v>3175</v>
      </c>
      <c r="AK62" s="21">
        <v>3190</v>
      </c>
      <c r="AL62" s="21">
        <v>3155</v>
      </c>
      <c r="AM62" s="21">
        <v>3135</v>
      </c>
      <c r="AN62" s="21">
        <v>2947</v>
      </c>
      <c r="AO62" s="21">
        <v>2865</v>
      </c>
      <c r="AP62" s="21">
        <v>2982</v>
      </c>
      <c r="AQ62" s="21">
        <v>3010</v>
      </c>
      <c r="AR62" s="21">
        <v>3150</v>
      </c>
      <c r="AS62" s="21">
        <v>3130</v>
      </c>
      <c r="AT62" s="21">
        <v>3230</v>
      </c>
      <c r="AU62" s="21">
        <v>3085</v>
      </c>
      <c r="AV62" s="21">
        <v>3260</v>
      </c>
      <c r="AW62" s="21">
        <v>3185</v>
      </c>
      <c r="AX62" s="21">
        <v>3305</v>
      </c>
      <c r="AY62" s="21">
        <v>3445</v>
      </c>
      <c r="AZ62" s="21">
        <v>3430</v>
      </c>
      <c r="BA62" s="21">
        <v>3420</v>
      </c>
      <c r="BB62" s="21">
        <v>3420</v>
      </c>
      <c r="BC62" s="21">
        <v>3660</v>
      </c>
      <c r="BD62" s="21">
        <v>3695</v>
      </c>
      <c r="BE62" s="21">
        <v>3840</v>
      </c>
      <c r="BF62" s="21">
        <v>3860</v>
      </c>
      <c r="BG62" s="21">
        <v>3835</v>
      </c>
      <c r="BH62" s="21">
        <v>3855</v>
      </c>
      <c r="BI62" s="21">
        <v>3845</v>
      </c>
      <c r="BJ62" s="21">
        <v>3880</v>
      </c>
      <c r="BK62" s="21">
        <v>3690</v>
      </c>
      <c r="BL62" s="21">
        <v>3485</v>
      </c>
      <c r="BM62" s="1">
        <v>3470</v>
      </c>
      <c r="BN62" s="1">
        <v>3610</v>
      </c>
      <c r="BO62" s="1">
        <v>3555</v>
      </c>
      <c r="BP62" s="1">
        <v>3625</v>
      </c>
      <c r="BQ62" s="1">
        <v>3640</v>
      </c>
      <c r="BR62" s="1">
        <v>3755</v>
      </c>
      <c r="BS62" s="1">
        <v>3925</v>
      </c>
      <c r="BT62" s="1">
        <v>3720</v>
      </c>
      <c r="BU62" s="1">
        <v>3775</v>
      </c>
      <c r="BV62" s="1">
        <v>3735</v>
      </c>
      <c r="BW62" s="1">
        <v>3730</v>
      </c>
      <c r="BX62" s="1">
        <v>3710</v>
      </c>
      <c r="BY62" s="1">
        <v>3650</v>
      </c>
      <c r="BZ62" s="1">
        <v>3670</v>
      </c>
    </row>
    <row r="63" spans="1:78" ht="15.9" customHeight="1">
      <c r="A63" s="65" t="s">
        <v>121</v>
      </c>
      <c r="B63" s="41" t="s">
        <v>122</v>
      </c>
      <c r="C63" s="45">
        <f>_xll.RssMarket("8281","安値")</f>
        <v>1067</v>
      </c>
      <c r="D63" s="16">
        <f t="shared" si="1"/>
        <v>-7</v>
      </c>
      <c r="E63" s="21">
        <v>1074</v>
      </c>
      <c r="F63" s="21">
        <v>1078</v>
      </c>
      <c r="G63" s="21">
        <v>1096</v>
      </c>
      <c r="H63" s="21">
        <v>1115</v>
      </c>
      <c r="I63" s="21">
        <v>1116</v>
      </c>
      <c r="J63" s="21">
        <v>1107</v>
      </c>
      <c r="K63" s="21">
        <v>1103</v>
      </c>
      <c r="L63" s="21"/>
      <c r="M63" s="21">
        <v>1091</v>
      </c>
      <c r="N63" s="21">
        <v>1092</v>
      </c>
      <c r="O63" s="21">
        <v>1107</v>
      </c>
      <c r="P63" s="21">
        <v>1099</v>
      </c>
      <c r="Q63" s="21">
        <v>1093</v>
      </c>
      <c r="R63" s="21">
        <v>1085</v>
      </c>
      <c r="S63" s="21">
        <v>1078</v>
      </c>
      <c r="T63" s="21">
        <v>1085</v>
      </c>
      <c r="U63" s="21">
        <v>1093</v>
      </c>
      <c r="V63" s="21">
        <v>1107</v>
      </c>
      <c r="W63" s="21">
        <v>1103</v>
      </c>
      <c r="X63" s="21">
        <v>1080</v>
      </c>
      <c r="Y63" s="21">
        <v>1068</v>
      </c>
      <c r="Z63" s="21">
        <v>1063</v>
      </c>
      <c r="AA63" s="21">
        <v>1042</v>
      </c>
      <c r="AB63" s="21">
        <v>1052</v>
      </c>
      <c r="AC63" s="21">
        <v>1060</v>
      </c>
      <c r="AD63" s="21">
        <v>1059</v>
      </c>
      <c r="AE63" s="21">
        <v>1035</v>
      </c>
      <c r="AF63" s="21">
        <v>1025</v>
      </c>
      <c r="AG63" s="21">
        <v>1018</v>
      </c>
      <c r="AH63" s="21">
        <v>1024</v>
      </c>
      <c r="AI63" s="21">
        <v>1035</v>
      </c>
      <c r="AJ63" s="21">
        <v>1038</v>
      </c>
      <c r="AK63" s="21">
        <v>1050</v>
      </c>
      <c r="AL63" s="21">
        <v>1044</v>
      </c>
      <c r="AM63" s="21">
        <v>1061</v>
      </c>
      <c r="AN63" s="21">
        <v>1052</v>
      </c>
      <c r="AO63" s="21">
        <v>1048</v>
      </c>
      <c r="AP63" s="21">
        <v>1036</v>
      </c>
      <c r="AQ63" s="21">
        <v>1020</v>
      </c>
      <c r="AR63" s="21">
        <v>1018</v>
      </c>
      <c r="AS63" s="21">
        <v>999</v>
      </c>
      <c r="AT63" s="21">
        <v>1006</v>
      </c>
      <c r="AU63" s="21">
        <v>1013</v>
      </c>
      <c r="AV63" s="21">
        <v>1058</v>
      </c>
      <c r="AW63" s="21">
        <v>1040</v>
      </c>
      <c r="AX63" s="21">
        <v>1029</v>
      </c>
      <c r="AY63" s="21">
        <v>1029</v>
      </c>
      <c r="AZ63" s="21">
        <v>1041</v>
      </c>
      <c r="BA63" s="21">
        <v>1044</v>
      </c>
      <c r="BB63" s="21">
        <v>1035</v>
      </c>
      <c r="BC63" s="21">
        <v>1021</v>
      </c>
      <c r="BD63" s="21">
        <v>990</v>
      </c>
      <c r="BE63" s="21">
        <v>960</v>
      </c>
      <c r="BF63" s="21">
        <v>954</v>
      </c>
      <c r="BG63" s="21">
        <v>957</v>
      </c>
      <c r="BH63" s="21">
        <v>954</v>
      </c>
      <c r="BI63" s="21">
        <v>959</v>
      </c>
      <c r="BJ63" s="21">
        <v>962</v>
      </c>
      <c r="BK63" s="21">
        <v>951</v>
      </c>
      <c r="BL63" s="21">
        <v>984</v>
      </c>
      <c r="BM63" s="1">
        <v>986</v>
      </c>
      <c r="BN63" s="1">
        <v>990</v>
      </c>
      <c r="BO63" s="1">
        <v>987</v>
      </c>
      <c r="BP63" s="1">
        <v>991</v>
      </c>
      <c r="BQ63" s="1">
        <v>997</v>
      </c>
      <c r="BR63" s="1">
        <v>1006</v>
      </c>
      <c r="BS63" s="1">
        <v>1020</v>
      </c>
      <c r="BT63" s="1">
        <v>1020</v>
      </c>
      <c r="BU63" s="1">
        <v>1015</v>
      </c>
      <c r="BV63" s="1">
        <v>1015</v>
      </c>
      <c r="BW63" s="1">
        <v>1013</v>
      </c>
      <c r="BX63" s="1">
        <v>1004</v>
      </c>
      <c r="BY63" s="1">
        <v>1001</v>
      </c>
      <c r="BZ63" s="1">
        <v>1008</v>
      </c>
    </row>
    <row r="64" spans="1:78" ht="15.9" customHeight="1">
      <c r="A64" s="65" t="s">
        <v>123</v>
      </c>
      <c r="B64" s="41" t="s">
        <v>124</v>
      </c>
      <c r="C64" s="45">
        <f>_xll.RssMarket("4540","安値")</f>
        <v>3702</v>
      </c>
      <c r="D64" s="16">
        <f t="shared" si="1"/>
        <v>-49</v>
      </c>
      <c r="E64" s="21">
        <v>3751</v>
      </c>
      <c r="F64" s="21">
        <v>3730</v>
      </c>
      <c r="G64" s="21">
        <v>3817</v>
      </c>
      <c r="H64" s="21">
        <v>3904</v>
      </c>
      <c r="I64" s="21">
        <v>3926</v>
      </c>
      <c r="J64" s="21">
        <v>3906</v>
      </c>
      <c r="K64" s="21">
        <v>3810</v>
      </c>
      <c r="L64" s="21">
        <v>3777</v>
      </c>
      <c r="M64" s="21">
        <v>3792</v>
      </c>
      <c r="N64" s="21">
        <v>3843</v>
      </c>
      <c r="O64" s="21">
        <v>3871</v>
      </c>
      <c r="P64" s="21">
        <v>3814</v>
      </c>
      <c r="Q64" s="21">
        <v>3848</v>
      </c>
      <c r="R64" s="21">
        <v>3824</v>
      </c>
      <c r="S64" s="21">
        <v>3810</v>
      </c>
      <c r="T64" s="21">
        <v>3775</v>
      </c>
      <c r="U64" s="21">
        <v>3765</v>
      </c>
      <c r="V64" s="21">
        <v>3786</v>
      </c>
      <c r="W64" s="21">
        <v>3775</v>
      </c>
      <c r="X64" s="21">
        <v>3756</v>
      </c>
      <c r="Y64" s="21">
        <v>3745</v>
      </c>
      <c r="Z64" s="21">
        <v>3711</v>
      </c>
      <c r="AA64" s="21">
        <v>3696</v>
      </c>
      <c r="AB64" s="21">
        <v>3698</v>
      </c>
      <c r="AC64" s="21">
        <v>3700</v>
      </c>
      <c r="AD64" s="21">
        <v>3701</v>
      </c>
      <c r="AE64" s="21">
        <v>3697</v>
      </c>
      <c r="AF64" s="21">
        <v>3723</v>
      </c>
      <c r="AG64" s="21">
        <v>3710</v>
      </c>
      <c r="AH64" s="21">
        <v>3709</v>
      </c>
      <c r="AI64" s="21">
        <v>3712</v>
      </c>
      <c r="AJ64" s="21">
        <v>3713</v>
      </c>
      <c r="AK64" s="21">
        <v>3703</v>
      </c>
      <c r="AL64" s="21">
        <v>3687</v>
      </c>
      <c r="AM64" s="21">
        <v>3716</v>
      </c>
      <c r="AN64" s="21">
        <v>3715</v>
      </c>
      <c r="AO64" s="21">
        <v>3727</v>
      </c>
      <c r="AP64" s="21">
        <v>3700</v>
      </c>
      <c r="AQ64" s="21">
        <v>3661</v>
      </c>
      <c r="AR64" s="21">
        <v>3670</v>
      </c>
      <c r="AS64" s="21">
        <v>3705</v>
      </c>
      <c r="AT64" s="21">
        <v>3672</v>
      </c>
      <c r="AU64" s="21">
        <v>3677</v>
      </c>
      <c r="AV64" s="21">
        <v>3784</v>
      </c>
      <c r="AW64" s="21">
        <v>3736</v>
      </c>
      <c r="AX64" s="21">
        <v>3723</v>
      </c>
      <c r="AY64" s="21">
        <v>3720</v>
      </c>
      <c r="AZ64" s="21">
        <v>3796</v>
      </c>
      <c r="BA64" s="21">
        <v>3895</v>
      </c>
      <c r="BB64" s="21">
        <v>3898</v>
      </c>
      <c r="BC64" s="21">
        <v>3821</v>
      </c>
      <c r="BD64" s="21">
        <v>3780</v>
      </c>
      <c r="BE64" s="21">
        <v>3750</v>
      </c>
      <c r="BF64" s="21">
        <v>3668</v>
      </c>
      <c r="BG64" s="21">
        <v>3536</v>
      </c>
      <c r="BH64" s="21">
        <v>3513</v>
      </c>
      <c r="BI64" s="21">
        <v>3557</v>
      </c>
      <c r="BJ64" s="21">
        <v>3569</v>
      </c>
      <c r="BK64" s="21">
        <v>3591</v>
      </c>
      <c r="BL64" s="21">
        <v>3615</v>
      </c>
      <c r="BM64" s="1">
        <v>3628</v>
      </c>
      <c r="BN64" s="1">
        <v>3630</v>
      </c>
      <c r="BO64" s="1">
        <v>3679</v>
      </c>
      <c r="BP64" s="1">
        <v>3659</v>
      </c>
      <c r="BQ64" s="1">
        <v>3667</v>
      </c>
      <c r="BR64" s="1">
        <v>3664</v>
      </c>
      <c r="BS64" s="1">
        <v>3715</v>
      </c>
      <c r="BT64" s="1">
        <v>3742</v>
      </c>
      <c r="BU64" s="1">
        <v>3748</v>
      </c>
      <c r="BV64" s="1">
        <v>3753</v>
      </c>
      <c r="BW64" s="1">
        <v>3750</v>
      </c>
      <c r="BX64" s="1">
        <v>3735</v>
      </c>
      <c r="BY64" s="1">
        <v>3752</v>
      </c>
      <c r="BZ64" s="1">
        <v>3778</v>
      </c>
    </row>
    <row r="65" spans="1:78" ht="15.9" customHeight="1">
      <c r="A65" s="65" t="s">
        <v>125</v>
      </c>
      <c r="B65" s="41" t="s">
        <v>126</v>
      </c>
      <c r="C65" s="45">
        <f>_xll.RssMarket("9984","安値")</f>
        <v>5605</v>
      </c>
      <c r="D65" s="16">
        <f t="shared" si="1"/>
        <v>487</v>
      </c>
      <c r="E65" s="21">
        <v>5118</v>
      </c>
      <c r="F65" s="21">
        <v>5060</v>
      </c>
      <c r="G65" s="21">
        <v>5228</v>
      </c>
      <c r="H65" s="21">
        <v>4500</v>
      </c>
      <c r="I65" s="21">
        <v>4580</v>
      </c>
      <c r="J65" s="21">
        <v>4982</v>
      </c>
      <c r="K65" s="21">
        <v>5219</v>
      </c>
      <c r="L65" s="21">
        <v>5411</v>
      </c>
      <c r="M65" s="21">
        <v>5687</v>
      </c>
      <c r="N65" s="21">
        <v>5690</v>
      </c>
      <c r="O65" s="21">
        <v>5364</v>
      </c>
      <c r="P65" s="21">
        <v>5191</v>
      </c>
      <c r="Q65" s="21">
        <v>6311</v>
      </c>
      <c r="R65" s="21">
        <v>6018</v>
      </c>
      <c r="S65" s="21">
        <v>6231</v>
      </c>
      <c r="T65" s="21">
        <v>6004</v>
      </c>
      <c r="U65" s="21">
        <v>5724</v>
      </c>
      <c r="V65" s="21">
        <v>5567</v>
      </c>
      <c r="W65" s="21">
        <v>5691</v>
      </c>
      <c r="X65" s="21">
        <v>5866</v>
      </c>
      <c r="Y65" s="21">
        <v>5831</v>
      </c>
      <c r="Z65" s="21">
        <v>5741</v>
      </c>
      <c r="AA65" s="21">
        <v>5975</v>
      </c>
      <c r="AB65" s="21">
        <v>5711</v>
      </c>
      <c r="AC65" s="21">
        <v>5828</v>
      </c>
      <c r="AD65" s="21">
        <v>6114</v>
      </c>
      <c r="AE65" s="21">
        <v>6401</v>
      </c>
      <c r="AF65" s="21">
        <v>6356</v>
      </c>
      <c r="AG65" s="21">
        <v>6500</v>
      </c>
      <c r="AH65" s="21">
        <v>7104</v>
      </c>
      <c r="AI65" s="21">
        <v>7087</v>
      </c>
      <c r="AJ65" s="21">
        <v>7051</v>
      </c>
      <c r="AK65" s="21">
        <v>6730</v>
      </c>
      <c r="AL65" s="21">
        <v>6854</v>
      </c>
      <c r="AM65" s="21">
        <v>7010</v>
      </c>
      <c r="AN65" s="21">
        <v>6373</v>
      </c>
      <c r="AO65" s="21">
        <v>5977</v>
      </c>
      <c r="AP65" s="21">
        <v>6315</v>
      </c>
      <c r="AQ65" s="21">
        <v>6641</v>
      </c>
      <c r="AR65" s="21">
        <v>7105</v>
      </c>
      <c r="AS65" s="21">
        <v>7363</v>
      </c>
      <c r="AT65" s="21">
        <v>8180</v>
      </c>
      <c r="AU65" s="21">
        <v>8261</v>
      </c>
      <c r="AV65" s="21">
        <v>7321</v>
      </c>
      <c r="AW65" s="21">
        <v>6861</v>
      </c>
      <c r="AX65" s="21">
        <v>7262</v>
      </c>
      <c r="AY65" s="21">
        <v>6642</v>
      </c>
      <c r="AZ65" s="21">
        <v>6614</v>
      </c>
      <c r="BA65" s="21">
        <v>5700</v>
      </c>
      <c r="BB65" s="21">
        <v>4880</v>
      </c>
      <c r="BC65" s="21">
        <v>5278</v>
      </c>
      <c r="BD65" s="21">
        <v>5430</v>
      </c>
      <c r="BE65" s="21">
        <v>5686</v>
      </c>
      <c r="BF65" s="21">
        <v>5714</v>
      </c>
      <c r="BG65" s="21">
        <v>5781</v>
      </c>
      <c r="BH65" s="21">
        <v>5812</v>
      </c>
      <c r="BI65" s="21">
        <v>5700</v>
      </c>
      <c r="BJ65" s="21">
        <v>6008</v>
      </c>
      <c r="BK65" s="21">
        <v>5887</v>
      </c>
      <c r="BL65" s="21">
        <v>5249</v>
      </c>
      <c r="BM65" s="1">
        <v>4956</v>
      </c>
      <c r="BN65" s="1">
        <v>5227</v>
      </c>
      <c r="BO65" s="1">
        <v>5800</v>
      </c>
      <c r="BP65" s="1">
        <v>5743</v>
      </c>
      <c r="BQ65" s="1">
        <v>5664</v>
      </c>
      <c r="BR65" s="1">
        <v>5114</v>
      </c>
      <c r="BS65" s="1">
        <v>4892</v>
      </c>
      <c r="BT65" s="1">
        <v>4556</v>
      </c>
      <c r="BU65" s="1">
        <v>4493</v>
      </c>
      <c r="BV65" s="1">
        <v>4437</v>
      </c>
      <c r="BW65" s="1">
        <v>4346</v>
      </c>
      <c r="BX65" s="1">
        <v>3903</v>
      </c>
      <c r="BY65" s="1">
        <v>3648</v>
      </c>
      <c r="BZ65" s="1">
        <v>3711</v>
      </c>
    </row>
    <row r="66" spans="1:78" ht="15.9" customHeight="1">
      <c r="A66" s="65" t="s">
        <v>127</v>
      </c>
      <c r="B66" s="41" t="s">
        <v>128</v>
      </c>
      <c r="C66" s="44">
        <f>_xll.RssMarket("4063","安値")</f>
        <v>6004</v>
      </c>
      <c r="D66" s="16">
        <f t="shared" si="1"/>
        <v>154</v>
      </c>
      <c r="E66" s="21">
        <v>5850</v>
      </c>
      <c r="F66" s="21">
        <v>5674</v>
      </c>
      <c r="G66" s="21">
        <v>5800</v>
      </c>
      <c r="H66" s="21">
        <v>5696</v>
      </c>
      <c r="I66" s="21">
        <v>5636</v>
      </c>
      <c r="J66" s="21">
        <v>5846</v>
      </c>
      <c r="K66" s="21">
        <v>6137</v>
      </c>
      <c r="L66" s="21">
        <v>6603</v>
      </c>
      <c r="M66" s="21">
        <v>6943</v>
      </c>
      <c r="N66" s="21">
        <v>7072</v>
      </c>
      <c r="O66" s="21">
        <v>7086</v>
      </c>
      <c r="P66" s="21">
        <v>6984</v>
      </c>
      <c r="Q66" s="21">
        <v>7482</v>
      </c>
      <c r="R66" s="21">
        <v>7256</v>
      </c>
      <c r="S66" s="21">
        <v>7309</v>
      </c>
      <c r="T66" s="21">
        <v>7216</v>
      </c>
      <c r="U66" s="21">
        <v>6890</v>
      </c>
      <c r="V66" s="21">
        <v>6920</v>
      </c>
      <c r="W66" s="21">
        <v>7115</v>
      </c>
      <c r="X66" s="21">
        <v>7050</v>
      </c>
      <c r="Y66" s="21">
        <v>6789</v>
      </c>
      <c r="Z66" s="21">
        <v>6992</v>
      </c>
      <c r="AA66" s="21">
        <v>6975</v>
      </c>
      <c r="AB66" s="21">
        <v>6932</v>
      </c>
      <c r="AC66" s="21">
        <v>6733</v>
      </c>
      <c r="AD66" s="21">
        <v>6835</v>
      </c>
      <c r="AE66" s="21">
        <v>7074</v>
      </c>
      <c r="AF66" s="21">
        <v>6955</v>
      </c>
      <c r="AG66" s="21">
        <v>7216</v>
      </c>
      <c r="AH66" s="21">
        <v>7139</v>
      </c>
      <c r="AI66" s="21">
        <v>7294</v>
      </c>
      <c r="AJ66" s="21">
        <v>7407</v>
      </c>
      <c r="AK66" s="21">
        <v>7372</v>
      </c>
      <c r="AL66" s="21">
        <v>7435</v>
      </c>
      <c r="AM66" s="21">
        <v>7393</v>
      </c>
      <c r="AN66" s="21">
        <v>7025</v>
      </c>
      <c r="AO66" s="21">
        <v>6473</v>
      </c>
      <c r="AP66" s="21">
        <v>6570</v>
      </c>
      <c r="AQ66" s="21">
        <v>6783</v>
      </c>
      <c r="AR66" s="21">
        <v>7233</v>
      </c>
      <c r="AS66" s="21">
        <v>7492</v>
      </c>
      <c r="AT66" s="21">
        <v>7526</v>
      </c>
      <c r="AU66" s="21">
        <v>7194</v>
      </c>
      <c r="AV66" s="21">
        <v>7451</v>
      </c>
      <c r="AW66" s="21">
        <v>7233</v>
      </c>
      <c r="AX66" s="21">
        <v>7219</v>
      </c>
      <c r="AY66" s="21">
        <v>6996</v>
      </c>
      <c r="AZ66" s="21">
        <v>6834</v>
      </c>
      <c r="BA66" s="21">
        <v>6857</v>
      </c>
      <c r="BB66" s="21">
        <v>6766</v>
      </c>
      <c r="BC66" s="21">
        <v>6928</v>
      </c>
      <c r="BD66" s="21">
        <v>6945</v>
      </c>
      <c r="BE66" s="21">
        <v>7040</v>
      </c>
      <c r="BF66" s="21">
        <v>7363</v>
      </c>
      <c r="BG66" s="21">
        <v>7334</v>
      </c>
      <c r="BH66" s="21">
        <v>7455</v>
      </c>
      <c r="BI66" s="21">
        <v>7509</v>
      </c>
      <c r="BJ66" s="21">
        <v>7451</v>
      </c>
      <c r="BK66" s="21">
        <v>7509</v>
      </c>
      <c r="BL66" s="21">
        <v>7054</v>
      </c>
      <c r="BM66" s="1">
        <v>7076</v>
      </c>
      <c r="BN66" s="1">
        <v>6940</v>
      </c>
      <c r="BO66" s="1">
        <v>6780</v>
      </c>
      <c r="BP66" s="1">
        <v>6722</v>
      </c>
      <c r="BQ66" s="1">
        <v>6584</v>
      </c>
      <c r="BR66" s="1">
        <v>6634</v>
      </c>
      <c r="BS66" s="1">
        <v>6733</v>
      </c>
      <c r="BT66" s="1">
        <v>6730</v>
      </c>
      <c r="BU66" s="1">
        <v>6772</v>
      </c>
      <c r="BV66" s="1">
        <v>6654</v>
      </c>
      <c r="BW66" s="1">
        <v>6725</v>
      </c>
      <c r="BX66" s="1">
        <v>6573</v>
      </c>
      <c r="BY66" s="1">
        <v>6552</v>
      </c>
      <c r="BZ66" s="1">
        <v>6490</v>
      </c>
    </row>
    <row r="67" spans="1:78" ht="15.9" customHeight="1">
      <c r="A67" s="65" t="s">
        <v>129</v>
      </c>
      <c r="B67" s="41" t="s">
        <v>130</v>
      </c>
      <c r="C67" s="45">
        <f>_xll.RssMarket("4536","安値")</f>
        <v>1845</v>
      </c>
      <c r="D67" s="16">
        <f t="shared" si="1"/>
        <v>18.5</v>
      </c>
      <c r="E67" s="21">
        <v>1826.5</v>
      </c>
      <c r="F67" s="21">
        <v>1844</v>
      </c>
      <c r="G67" s="21">
        <v>1858.5</v>
      </c>
      <c r="H67" s="21">
        <v>1933.5</v>
      </c>
      <c r="I67" s="21">
        <v>1968</v>
      </c>
      <c r="J67" s="21">
        <v>1952</v>
      </c>
      <c r="K67" s="21">
        <v>1951</v>
      </c>
      <c r="L67" s="21"/>
      <c r="M67" s="21">
        <v>1950.5</v>
      </c>
      <c r="N67" s="21">
        <v>1987</v>
      </c>
      <c r="O67" s="21">
        <v>2014</v>
      </c>
      <c r="P67" s="21">
        <v>2018</v>
      </c>
      <c r="Q67" s="21">
        <v>2095</v>
      </c>
      <c r="R67" s="21">
        <v>2115.5</v>
      </c>
      <c r="S67" s="21">
        <v>2122.5</v>
      </c>
      <c r="T67" s="21">
        <v>2120</v>
      </c>
      <c r="U67" s="21">
        <v>2160.5</v>
      </c>
      <c r="V67" s="21">
        <v>2145</v>
      </c>
      <c r="W67" s="21">
        <v>2218.5</v>
      </c>
      <c r="X67" s="21">
        <v>2211</v>
      </c>
      <c r="Y67" s="21">
        <v>2195</v>
      </c>
      <c r="Z67" s="21">
        <v>2134</v>
      </c>
      <c r="AA67" s="21">
        <v>2100</v>
      </c>
      <c r="AB67" s="21">
        <v>2123.5</v>
      </c>
      <c r="AC67" s="21">
        <v>2133</v>
      </c>
      <c r="AD67" s="21">
        <v>2114.5</v>
      </c>
      <c r="AE67" s="21">
        <v>2042</v>
      </c>
      <c r="AF67" s="21">
        <v>1952.5</v>
      </c>
      <c r="AG67" s="21">
        <v>1901</v>
      </c>
      <c r="AH67" s="21">
        <v>1855</v>
      </c>
      <c r="AI67" s="21">
        <v>1835</v>
      </c>
      <c r="AJ67" s="21">
        <v>1878</v>
      </c>
      <c r="AK67" s="21">
        <v>1863.5</v>
      </c>
      <c r="AL67" s="21">
        <v>1883</v>
      </c>
      <c r="AM67" s="21">
        <v>1899</v>
      </c>
      <c r="AN67" s="21">
        <v>1882.5</v>
      </c>
      <c r="AO67" s="21">
        <v>1916.5</v>
      </c>
      <c r="AP67" s="21">
        <v>1942</v>
      </c>
      <c r="AQ67" s="21">
        <v>1936</v>
      </c>
      <c r="AR67" s="21">
        <v>1903</v>
      </c>
      <c r="AS67" s="21">
        <v>1856</v>
      </c>
      <c r="AT67" s="21">
        <v>1829</v>
      </c>
      <c r="AU67" s="21">
        <v>1841</v>
      </c>
      <c r="AV67" s="21">
        <v>1887</v>
      </c>
      <c r="AW67" s="21">
        <v>1879</v>
      </c>
      <c r="AX67" s="21">
        <v>1882</v>
      </c>
      <c r="AY67" s="21">
        <v>1919.5</v>
      </c>
      <c r="AZ67" s="21">
        <v>1875</v>
      </c>
      <c r="BA67" s="21">
        <v>1872</v>
      </c>
      <c r="BB67" s="21">
        <v>1890.5</v>
      </c>
      <c r="BC67" s="21">
        <v>1799</v>
      </c>
      <c r="BD67" s="21">
        <v>1820</v>
      </c>
      <c r="BE67" s="21">
        <v>1829</v>
      </c>
      <c r="BF67" s="21">
        <v>1791</v>
      </c>
      <c r="BG67" s="21">
        <v>1652.5</v>
      </c>
      <c r="BH67" s="21">
        <v>1561.5</v>
      </c>
      <c r="BI67" s="21">
        <v>1602.5</v>
      </c>
      <c r="BJ67" s="21">
        <v>1588</v>
      </c>
      <c r="BK67" s="21">
        <v>1622</v>
      </c>
      <c r="BL67" s="21">
        <v>1611</v>
      </c>
      <c r="BM67" s="1">
        <v>1595.5</v>
      </c>
      <c r="BN67" s="1">
        <v>1631</v>
      </c>
      <c r="BO67" s="1">
        <v>1643</v>
      </c>
      <c r="BP67" s="1">
        <v>1664.5</v>
      </c>
      <c r="BQ67" s="1">
        <v>1649</v>
      </c>
      <c r="BR67" s="1">
        <v>1679.5</v>
      </c>
      <c r="BS67" s="1">
        <v>1712.5</v>
      </c>
      <c r="BT67" s="1">
        <v>1747</v>
      </c>
      <c r="BU67" s="1">
        <v>1772</v>
      </c>
      <c r="BV67" s="1">
        <v>1772.5</v>
      </c>
      <c r="BW67" s="1">
        <v>1790.5</v>
      </c>
      <c r="BX67" s="1">
        <v>1789</v>
      </c>
      <c r="BY67" s="1">
        <v>1803</v>
      </c>
      <c r="BZ67" s="1">
        <v>1826.5</v>
      </c>
    </row>
    <row r="68" spans="1:78" ht="15.9" customHeight="1">
      <c r="A68" s="65" t="s">
        <v>131</v>
      </c>
      <c r="B68" s="41" t="s">
        <v>132</v>
      </c>
      <c r="C68" s="45">
        <f>_xll.RssMarket("6503","安値")</f>
        <v>5678</v>
      </c>
      <c r="D68" s="16">
        <f t="shared" si="1"/>
        <v>178</v>
      </c>
      <c r="E68" s="21">
        <v>5500</v>
      </c>
      <c r="F68" s="21">
        <v>5357</v>
      </c>
      <c r="G68" s="21">
        <v>5531</v>
      </c>
      <c r="H68" s="21">
        <v>5071</v>
      </c>
      <c r="I68" s="21">
        <v>5050</v>
      </c>
      <c r="J68" s="21">
        <v>5291</v>
      </c>
      <c r="K68" s="21">
        <v>5552</v>
      </c>
      <c r="L68" s="21">
        <v>5586</v>
      </c>
      <c r="M68" s="21">
        <v>5673</v>
      </c>
      <c r="N68" s="21">
        <v>5629</v>
      </c>
      <c r="O68" s="21">
        <v>5306</v>
      </c>
      <c r="P68" s="21">
        <v>5203</v>
      </c>
      <c r="Q68" s="21">
        <v>5609</v>
      </c>
      <c r="R68" s="21">
        <v>5512</v>
      </c>
      <c r="S68" s="21">
        <v>5598</v>
      </c>
      <c r="T68" s="21">
        <v>5800</v>
      </c>
      <c r="U68" s="21">
        <v>5722</v>
      </c>
      <c r="V68" s="21">
        <v>5699</v>
      </c>
      <c r="W68" s="21">
        <v>5896</v>
      </c>
      <c r="X68" s="21">
        <v>5938</v>
      </c>
      <c r="Y68" s="21">
        <v>5795</v>
      </c>
      <c r="Z68" s="21">
        <v>5845</v>
      </c>
      <c r="AA68" s="21">
        <v>5888</v>
      </c>
      <c r="AB68" s="21">
        <v>5782</v>
      </c>
      <c r="AC68" s="21">
        <v>5724</v>
      </c>
      <c r="AD68" s="21">
        <v>5790</v>
      </c>
      <c r="AE68" s="21">
        <v>5927</v>
      </c>
      <c r="AF68" s="21">
        <v>5882</v>
      </c>
      <c r="AG68" s="21">
        <v>6087</v>
      </c>
      <c r="AH68" s="21">
        <v>6065</v>
      </c>
      <c r="AI68" s="21">
        <v>6023</v>
      </c>
      <c r="AJ68" s="21">
        <v>6040</v>
      </c>
      <c r="AK68" s="21">
        <v>5790</v>
      </c>
      <c r="AL68" s="21">
        <v>5820</v>
      </c>
      <c r="AM68" s="21">
        <v>5676</v>
      </c>
      <c r="AN68" s="21">
        <v>5455</v>
      </c>
      <c r="AO68" s="21">
        <v>5225</v>
      </c>
      <c r="AP68" s="21">
        <v>5471</v>
      </c>
      <c r="AQ68" s="21">
        <v>5490</v>
      </c>
      <c r="AR68" s="21">
        <v>5797</v>
      </c>
      <c r="AS68" s="21">
        <v>5908</v>
      </c>
      <c r="AT68" s="21">
        <v>6030</v>
      </c>
      <c r="AU68" s="21">
        <v>5867</v>
      </c>
      <c r="AV68" s="21">
        <v>6290</v>
      </c>
      <c r="AW68" s="21">
        <v>6320</v>
      </c>
      <c r="AX68" s="21">
        <v>6488</v>
      </c>
      <c r="AY68" s="21">
        <v>6392</v>
      </c>
      <c r="AZ68" s="21">
        <v>6080</v>
      </c>
      <c r="BA68" s="21">
        <v>5957</v>
      </c>
      <c r="BB68" s="21">
        <v>5623</v>
      </c>
      <c r="BC68" s="21">
        <v>6018</v>
      </c>
      <c r="BD68" s="21">
        <v>6200</v>
      </c>
      <c r="BE68" s="21">
        <v>6296</v>
      </c>
      <c r="BF68" s="21">
        <v>6382</v>
      </c>
      <c r="BG68" s="21">
        <v>6296</v>
      </c>
      <c r="BH68" s="21">
        <v>6373</v>
      </c>
      <c r="BI68" s="21">
        <v>6382</v>
      </c>
      <c r="BJ68" s="21">
        <v>6401</v>
      </c>
      <c r="BK68" s="21">
        <v>6349</v>
      </c>
      <c r="BL68" s="21">
        <v>6061</v>
      </c>
      <c r="BM68" s="1">
        <v>6115</v>
      </c>
      <c r="BN68" s="1">
        <v>5955</v>
      </c>
      <c r="BO68" s="1">
        <v>5943</v>
      </c>
      <c r="BP68" s="1">
        <v>5814</v>
      </c>
      <c r="BQ68" s="1">
        <v>5739</v>
      </c>
      <c r="BR68" s="1">
        <v>5845</v>
      </c>
      <c r="BS68" s="1">
        <v>6028</v>
      </c>
      <c r="BT68" s="1">
        <v>5866</v>
      </c>
      <c r="BU68" s="1">
        <v>5799</v>
      </c>
      <c r="BV68" s="1">
        <v>5878</v>
      </c>
      <c r="BW68" s="1">
        <v>5777</v>
      </c>
      <c r="BX68" s="1">
        <v>5835</v>
      </c>
      <c r="BY68" s="1">
        <v>5704</v>
      </c>
      <c r="BZ68" s="1">
        <v>5664</v>
      </c>
    </row>
    <row r="69" spans="1:78" ht="15.9" customHeight="1">
      <c r="A69" s="65" t="s">
        <v>133</v>
      </c>
      <c r="B69" s="41" t="s">
        <v>134</v>
      </c>
      <c r="C69" s="45">
        <f>_xll.RssMarket("4980","安値")</f>
        <v>3170</v>
      </c>
      <c r="D69" s="16">
        <f t="shared" si="1"/>
        <v>-183</v>
      </c>
      <c r="E69" s="21">
        <v>3353</v>
      </c>
      <c r="F69" s="21">
        <v>3246</v>
      </c>
      <c r="G69" s="21">
        <v>3265</v>
      </c>
      <c r="H69" s="21">
        <v>3100</v>
      </c>
      <c r="I69" s="21">
        <v>3088</v>
      </c>
      <c r="J69" s="21">
        <v>3344</v>
      </c>
      <c r="K69" s="21">
        <v>3494</v>
      </c>
      <c r="L69" s="21">
        <v>3484</v>
      </c>
      <c r="M69" s="21">
        <v>3680</v>
      </c>
      <c r="N69" s="21">
        <v>3679</v>
      </c>
      <c r="O69" s="21">
        <v>3465</v>
      </c>
      <c r="P69" s="21">
        <v>3402</v>
      </c>
      <c r="Q69" s="21">
        <v>3870</v>
      </c>
      <c r="R69" s="21">
        <v>3788</v>
      </c>
      <c r="S69" s="21">
        <v>3891</v>
      </c>
      <c r="T69" s="21">
        <v>4139</v>
      </c>
      <c r="U69" s="21">
        <v>3982</v>
      </c>
      <c r="V69" s="21">
        <v>3887</v>
      </c>
      <c r="W69" s="21">
        <v>4013</v>
      </c>
      <c r="X69" s="21">
        <v>4176</v>
      </c>
      <c r="Y69" s="21">
        <v>3971</v>
      </c>
      <c r="Z69" s="21">
        <v>4025</v>
      </c>
      <c r="AA69" s="21">
        <v>4185</v>
      </c>
      <c r="AB69" s="21">
        <v>4178</v>
      </c>
      <c r="AC69" s="21">
        <v>4160</v>
      </c>
      <c r="AD69" s="21">
        <v>4354</v>
      </c>
      <c r="AE69" s="21">
        <v>4850</v>
      </c>
      <c r="AF69" s="21">
        <v>4817</v>
      </c>
      <c r="AG69" s="21">
        <v>4819</v>
      </c>
      <c r="AH69" s="21">
        <v>4872</v>
      </c>
      <c r="AI69" s="21">
        <v>4683</v>
      </c>
      <c r="AJ69" s="21">
        <v>4582</v>
      </c>
      <c r="AK69" s="21">
        <v>4361</v>
      </c>
      <c r="AL69" s="21">
        <v>4280</v>
      </c>
      <c r="AM69" s="21">
        <v>4122</v>
      </c>
      <c r="AN69" s="21">
        <v>3950</v>
      </c>
      <c r="AO69" s="21">
        <v>3567</v>
      </c>
      <c r="AP69" s="21">
        <v>3653</v>
      </c>
      <c r="AQ69" s="21">
        <v>3886</v>
      </c>
      <c r="AR69" s="21">
        <v>4217</v>
      </c>
      <c r="AS69" s="21">
        <v>4232</v>
      </c>
      <c r="AT69" s="21">
        <v>4448</v>
      </c>
      <c r="AU69" s="21">
        <v>4300</v>
      </c>
      <c r="AV69" s="21">
        <v>3965</v>
      </c>
      <c r="AW69" s="21">
        <v>3913</v>
      </c>
      <c r="AX69" s="21">
        <v>3965</v>
      </c>
      <c r="AY69" s="21">
        <v>4126</v>
      </c>
      <c r="AZ69" s="21">
        <v>4081</v>
      </c>
      <c r="BA69" s="21">
        <v>3795</v>
      </c>
      <c r="BB69" s="21">
        <v>3512</v>
      </c>
      <c r="BC69" s="21">
        <v>3750</v>
      </c>
      <c r="BD69" s="21">
        <v>4056</v>
      </c>
      <c r="BE69" s="21">
        <v>3849</v>
      </c>
      <c r="BF69" s="21">
        <v>3149</v>
      </c>
      <c r="BG69" s="21">
        <v>2573.5</v>
      </c>
      <c r="BH69" s="21">
        <v>2656</v>
      </c>
      <c r="BI69" s="21">
        <v>2697</v>
      </c>
      <c r="BJ69" s="21">
        <v>2601</v>
      </c>
      <c r="BK69" s="21">
        <v>2555</v>
      </c>
      <c r="BL69" s="21">
        <v>2435</v>
      </c>
      <c r="BM69" s="1">
        <v>2436.5</v>
      </c>
      <c r="BN69" s="1">
        <v>2452</v>
      </c>
      <c r="BO69" s="1">
        <v>2463</v>
      </c>
      <c r="BP69" s="1">
        <v>2415.5</v>
      </c>
      <c r="BQ69" s="1">
        <v>2359.5</v>
      </c>
      <c r="BR69" s="1">
        <v>2443.5</v>
      </c>
      <c r="BS69" s="1">
        <v>2413</v>
      </c>
      <c r="BT69" s="1">
        <v>2436</v>
      </c>
      <c r="BU69" s="1">
        <v>2392.5</v>
      </c>
      <c r="BV69" s="1">
        <v>2383</v>
      </c>
      <c r="BW69" s="1">
        <v>2355</v>
      </c>
      <c r="BX69" s="1">
        <v>2352.5</v>
      </c>
      <c r="BY69" s="1">
        <v>2302</v>
      </c>
      <c r="BZ69" s="1">
        <v>2348</v>
      </c>
    </row>
    <row r="70" spans="1:78" ht="15.9" customHeight="1">
      <c r="A70" s="65" t="s">
        <v>135</v>
      </c>
      <c r="B70" s="41" t="s">
        <v>136</v>
      </c>
      <c r="C70" s="45">
        <f>_xll.RssMarket("9424","安値")</f>
        <v>113</v>
      </c>
      <c r="D70" s="16">
        <f t="shared" ref="D70:D101" si="2">C70-E70</f>
        <v>-1</v>
      </c>
      <c r="E70" s="21">
        <v>114</v>
      </c>
      <c r="F70" s="21">
        <v>113</v>
      </c>
      <c r="G70" s="21">
        <v>112</v>
      </c>
      <c r="H70" s="21">
        <v>111</v>
      </c>
      <c r="I70" s="21">
        <v>112</v>
      </c>
      <c r="J70" s="21">
        <v>112</v>
      </c>
      <c r="K70" s="21">
        <v>110</v>
      </c>
      <c r="L70" s="21"/>
      <c r="M70" s="21">
        <v>111</v>
      </c>
      <c r="N70" s="21">
        <v>112</v>
      </c>
      <c r="O70" s="21">
        <v>113</v>
      </c>
      <c r="P70" s="21">
        <v>112</v>
      </c>
      <c r="Q70" s="21">
        <v>115</v>
      </c>
      <c r="R70" s="21">
        <v>115</v>
      </c>
      <c r="S70" s="21">
        <v>113</v>
      </c>
      <c r="T70" s="21">
        <v>109</v>
      </c>
      <c r="U70" s="21">
        <v>109</v>
      </c>
      <c r="V70" s="21">
        <v>110</v>
      </c>
      <c r="W70" s="21">
        <v>111</v>
      </c>
      <c r="X70" s="21">
        <v>109</v>
      </c>
      <c r="Y70" s="21">
        <v>107</v>
      </c>
      <c r="Z70" s="21">
        <v>105</v>
      </c>
      <c r="AA70" s="21">
        <v>104</v>
      </c>
      <c r="AB70" s="21">
        <v>106</v>
      </c>
      <c r="AC70" s="21">
        <v>107</v>
      </c>
      <c r="AD70" s="21">
        <v>106</v>
      </c>
      <c r="AE70" s="21">
        <v>106</v>
      </c>
      <c r="AF70" s="21">
        <v>106</v>
      </c>
      <c r="AG70" s="21">
        <v>106</v>
      </c>
      <c r="AH70" s="21">
        <v>112</v>
      </c>
      <c r="AI70" s="21">
        <v>113</v>
      </c>
      <c r="AJ70" s="21">
        <v>113</v>
      </c>
      <c r="AK70" s="21">
        <v>113</v>
      </c>
      <c r="AL70" s="21">
        <v>112</v>
      </c>
      <c r="AM70" s="21">
        <v>111</v>
      </c>
      <c r="AN70" s="21">
        <v>111</v>
      </c>
      <c r="AO70" s="21">
        <v>111</v>
      </c>
      <c r="AP70" s="21">
        <v>112</v>
      </c>
      <c r="AQ70" s="21">
        <v>111</v>
      </c>
      <c r="AR70" s="21">
        <v>114</v>
      </c>
      <c r="AS70" s="21">
        <v>113</v>
      </c>
      <c r="AT70" s="21">
        <v>113</v>
      </c>
      <c r="AU70" s="21">
        <v>111</v>
      </c>
      <c r="AV70" s="21">
        <v>113</v>
      </c>
      <c r="AW70" s="21">
        <v>113</v>
      </c>
      <c r="AX70" s="21">
        <v>113</v>
      </c>
      <c r="AY70" s="21">
        <v>120</v>
      </c>
      <c r="AZ70" s="21">
        <v>121</v>
      </c>
      <c r="BA70" s="21">
        <v>120</v>
      </c>
      <c r="BB70" s="21">
        <v>121</v>
      </c>
      <c r="BC70" s="21">
        <v>122</v>
      </c>
      <c r="BD70" s="21">
        <v>121</v>
      </c>
      <c r="BE70" s="21">
        <v>124</v>
      </c>
      <c r="BF70" s="21">
        <v>124</v>
      </c>
      <c r="BG70" s="21">
        <v>125</v>
      </c>
      <c r="BH70" s="21">
        <v>126</v>
      </c>
      <c r="BI70" s="21">
        <v>126</v>
      </c>
      <c r="BJ70" s="21">
        <v>123</v>
      </c>
      <c r="BK70" s="21">
        <v>124</v>
      </c>
      <c r="BL70" s="21">
        <v>124</v>
      </c>
      <c r="BM70" s="1">
        <v>123</v>
      </c>
      <c r="BN70" s="1">
        <v>123</v>
      </c>
      <c r="BO70" s="1">
        <v>124</v>
      </c>
      <c r="BP70" s="1">
        <v>125</v>
      </c>
      <c r="BQ70" s="1">
        <v>124</v>
      </c>
      <c r="BR70" s="1">
        <v>128</v>
      </c>
      <c r="BS70" s="1">
        <v>129</v>
      </c>
      <c r="BT70" s="1">
        <v>128</v>
      </c>
      <c r="BU70" s="1">
        <v>130</v>
      </c>
      <c r="BV70" s="1">
        <v>131</v>
      </c>
      <c r="BW70" s="1">
        <v>126</v>
      </c>
      <c r="BX70" s="1">
        <v>125</v>
      </c>
      <c r="BY70" s="1">
        <v>124</v>
      </c>
      <c r="BZ70" s="1">
        <v>126</v>
      </c>
    </row>
    <row r="71" spans="1:78" ht="15.9" customHeight="1">
      <c r="A71" s="65" t="s">
        <v>137</v>
      </c>
      <c r="B71" s="41" t="s">
        <v>138</v>
      </c>
      <c r="C71" s="45">
        <f>_xll.RssMarket("3854","安値")</f>
        <v>2201</v>
      </c>
      <c r="D71" s="16">
        <f t="shared" si="2"/>
        <v>2</v>
      </c>
      <c r="E71" s="21">
        <v>2199</v>
      </c>
      <c r="F71" s="21">
        <v>2208</v>
      </c>
      <c r="G71" s="21">
        <v>2250</v>
      </c>
      <c r="H71" s="21">
        <v>2306</v>
      </c>
      <c r="I71" s="21">
        <v>2303</v>
      </c>
      <c r="J71" s="21">
        <v>2286</v>
      </c>
      <c r="K71" s="21">
        <v>2244</v>
      </c>
      <c r="L71" s="21">
        <v>2215</v>
      </c>
      <c r="M71" s="21">
        <v>2250</v>
      </c>
      <c r="N71" s="21">
        <v>2277</v>
      </c>
      <c r="O71" s="21">
        <v>2327</v>
      </c>
      <c r="P71" s="21">
        <v>2343</v>
      </c>
      <c r="Q71" s="21">
        <v>2366</v>
      </c>
      <c r="R71" s="21">
        <v>2375</v>
      </c>
      <c r="S71" s="21">
        <v>2403</v>
      </c>
      <c r="T71" s="21">
        <v>2412</v>
      </c>
      <c r="U71" s="21">
        <v>2436</v>
      </c>
      <c r="V71" s="21">
        <v>2463</v>
      </c>
      <c r="W71" s="21">
        <v>2339</v>
      </c>
      <c r="X71" s="21">
        <v>2317</v>
      </c>
      <c r="Y71" s="21">
        <v>2256</v>
      </c>
      <c r="Z71" s="21">
        <v>2208</v>
      </c>
      <c r="AA71" s="21">
        <v>2197</v>
      </c>
      <c r="AB71" s="21">
        <v>2199</v>
      </c>
      <c r="AC71" s="21">
        <v>2154</v>
      </c>
      <c r="AD71" s="21">
        <v>2120</v>
      </c>
      <c r="AE71" s="21">
        <v>2123</v>
      </c>
      <c r="AF71" s="21">
        <v>2156</v>
      </c>
      <c r="AG71" s="21">
        <v>2150</v>
      </c>
      <c r="AH71" s="21">
        <v>2171</v>
      </c>
      <c r="AI71" s="21">
        <v>2155</v>
      </c>
      <c r="AJ71" s="21">
        <v>2172</v>
      </c>
      <c r="AK71" s="21">
        <v>2159</v>
      </c>
      <c r="AL71" s="21">
        <v>2160</v>
      </c>
      <c r="AM71" s="21">
        <v>2198</v>
      </c>
      <c r="AN71" s="21">
        <v>2210</v>
      </c>
      <c r="AO71" s="21">
        <v>2250</v>
      </c>
      <c r="AP71" s="21">
        <v>2390</v>
      </c>
      <c r="AQ71" s="21">
        <v>2414</v>
      </c>
      <c r="AR71" s="21">
        <v>2490</v>
      </c>
      <c r="AS71" s="21">
        <v>2460</v>
      </c>
      <c r="AT71" s="21">
        <v>2600</v>
      </c>
      <c r="AU71" s="21">
        <v>2551</v>
      </c>
      <c r="AV71" s="21">
        <v>2551</v>
      </c>
      <c r="AW71" s="21">
        <v>2516</v>
      </c>
      <c r="AX71" s="21">
        <v>2471</v>
      </c>
      <c r="AY71" s="21">
        <v>2496</v>
      </c>
      <c r="AZ71" s="21">
        <v>2476</v>
      </c>
      <c r="BA71" s="21">
        <v>2446</v>
      </c>
      <c r="BB71" s="21">
        <v>2425</v>
      </c>
      <c r="BC71" s="21">
        <v>2405</v>
      </c>
      <c r="BD71" s="21">
        <v>2384</v>
      </c>
      <c r="BE71" s="21">
        <v>2325</v>
      </c>
      <c r="BF71" s="21">
        <v>2307</v>
      </c>
      <c r="BG71" s="21">
        <v>2363</v>
      </c>
      <c r="BH71" s="21">
        <v>2368</v>
      </c>
      <c r="BI71" s="21">
        <v>2391</v>
      </c>
      <c r="BJ71" s="21">
        <v>2371</v>
      </c>
      <c r="BK71" s="21">
        <v>2360</v>
      </c>
      <c r="BL71" s="21">
        <v>2334</v>
      </c>
      <c r="BM71" s="1">
        <v>2370</v>
      </c>
      <c r="BN71" s="1">
        <v>2384</v>
      </c>
      <c r="BO71" s="1">
        <v>2382</v>
      </c>
      <c r="BP71" s="1">
        <v>2395</v>
      </c>
      <c r="BQ71" s="1">
        <v>2412</v>
      </c>
      <c r="BR71" s="1">
        <v>2427</v>
      </c>
      <c r="BS71" s="1">
        <v>2436</v>
      </c>
      <c r="BT71" s="1">
        <v>2420</v>
      </c>
      <c r="BU71" s="1">
        <v>2395</v>
      </c>
      <c r="BV71" s="1">
        <v>2381</v>
      </c>
      <c r="BW71" s="1">
        <v>2398</v>
      </c>
      <c r="BX71" s="1">
        <v>2371</v>
      </c>
      <c r="BY71" s="1">
        <v>2320</v>
      </c>
      <c r="BZ71" s="1">
        <v>2341</v>
      </c>
    </row>
    <row r="72" spans="1:78" ht="15.9" customHeight="1">
      <c r="A72" s="65" t="s">
        <v>139</v>
      </c>
      <c r="B72" s="41" t="s">
        <v>140</v>
      </c>
      <c r="C72" s="45">
        <f>_xll.RssMarket("6027","安値")</f>
        <v>2305</v>
      </c>
      <c r="D72" s="16">
        <f t="shared" si="2"/>
        <v>50</v>
      </c>
      <c r="E72" s="21">
        <v>2255</v>
      </c>
      <c r="F72" s="21">
        <v>2277</v>
      </c>
      <c r="G72" s="21">
        <v>2291</v>
      </c>
      <c r="H72" s="21">
        <v>2253</v>
      </c>
      <c r="I72" s="21">
        <v>2211</v>
      </c>
      <c r="J72" s="21">
        <v>2268</v>
      </c>
      <c r="K72" s="21">
        <v>2204</v>
      </c>
      <c r="L72" s="21">
        <v>2169</v>
      </c>
      <c r="M72" s="21">
        <v>2203</v>
      </c>
      <c r="N72" s="21">
        <v>2286</v>
      </c>
      <c r="O72" s="21">
        <v>2307</v>
      </c>
      <c r="P72" s="21">
        <v>2356</v>
      </c>
      <c r="Q72" s="21">
        <v>2360</v>
      </c>
      <c r="R72" s="21">
        <v>2350</v>
      </c>
      <c r="S72" s="21">
        <v>2351</v>
      </c>
      <c r="T72" s="21">
        <v>2372</v>
      </c>
      <c r="U72" s="21">
        <v>2340</v>
      </c>
      <c r="V72" s="21">
        <v>2411</v>
      </c>
      <c r="W72" s="21">
        <v>2406</v>
      </c>
      <c r="X72" s="21">
        <v>2370</v>
      </c>
      <c r="Y72" s="21">
        <v>2370</v>
      </c>
      <c r="Z72" s="21">
        <v>2362</v>
      </c>
      <c r="AA72" s="21">
        <v>2293</v>
      </c>
      <c r="AB72" s="21">
        <v>2205</v>
      </c>
      <c r="AC72" s="21">
        <v>2057</v>
      </c>
      <c r="AD72" s="21">
        <v>2000</v>
      </c>
      <c r="AE72" s="21">
        <v>1998</v>
      </c>
      <c r="AF72" s="21">
        <v>2062</v>
      </c>
      <c r="AG72" s="21">
        <v>2086</v>
      </c>
      <c r="AH72" s="21">
        <v>2180</v>
      </c>
      <c r="AI72" s="21">
        <v>2115</v>
      </c>
      <c r="AJ72" s="21">
        <v>2120</v>
      </c>
      <c r="AK72" s="21">
        <v>2097</v>
      </c>
      <c r="AL72" s="21">
        <v>2083</v>
      </c>
      <c r="AM72" s="21">
        <v>2080</v>
      </c>
      <c r="AN72" s="21">
        <v>2105</v>
      </c>
      <c r="AO72" s="21">
        <v>2104</v>
      </c>
      <c r="AP72" s="21">
        <v>2143</v>
      </c>
      <c r="AQ72" s="21">
        <v>2200</v>
      </c>
      <c r="AR72" s="21">
        <v>2249</v>
      </c>
      <c r="AS72" s="21">
        <v>2212</v>
      </c>
      <c r="AT72" s="21">
        <v>2235</v>
      </c>
      <c r="AU72" s="21">
        <v>2305</v>
      </c>
      <c r="AV72" s="21">
        <v>2406</v>
      </c>
      <c r="AW72" s="21">
        <v>2394</v>
      </c>
      <c r="AX72" s="21">
        <v>2430</v>
      </c>
      <c r="AY72" s="21">
        <v>2486</v>
      </c>
      <c r="AZ72" s="21">
        <v>2539</v>
      </c>
      <c r="BA72" s="21">
        <v>2554</v>
      </c>
      <c r="BB72" s="21">
        <v>2562</v>
      </c>
      <c r="BC72" s="21">
        <v>2733</v>
      </c>
      <c r="BD72" s="21">
        <v>2667</v>
      </c>
      <c r="BE72" s="21">
        <v>2623</v>
      </c>
      <c r="BF72" s="21">
        <v>2598</v>
      </c>
      <c r="BG72" s="21">
        <v>2643</v>
      </c>
      <c r="BH72" s="21">
        <v>2657</v>
      </c>
      <c r="BI72" s="21">
        <v>2731</v>
      </c>
      <c r="BJ72" s="21">
        <v>2646</v>
      </c>
      <c r="BK72" s="21">
        <v>2550</v>
      </c>
      <c r="BL72" s="21">
        <v>2470</v>
      </c>
      <c r="BM72" s="1">
        <v>2461</v>
      </c>
      <c r="BN72" s="1">
        <v>2412</v>
      </c>
      <c r="BO72" s="1">
        <v>2410</v>
      </c>
      <c r="BP72" s="1">
        <v>2500</v>
      </c>
      <c r="BQ72" s="1">
        <v>2560</v>
      </c>
      <c r="BR72" s="1">
        <v>2580</v>
      </c>
      <c r="BS72" s="1">
        <v>2557</v>
      </c>
      <c r="BT72" s="1">
        <v>2558</v>
      </c>
      <c r="BU72" s="1">
        <v>2570</v>
      </c>
      <c r="BV72" s="1">
        <v>2635</v>
      </c>
      <c r="BW72" s="1">
        <v>2609</v>
      </c>
      <c r="BX72" s="1">
        <v>2573</v>
      </c>
      <c r="BY72" s="1">
        <v>2480</v>
      </c>
      <c r="BZ72" s="1">
        <v>2565</v>
      </c>
    </row>
    <row r="73" spans="1:78" ht="15.9" customHeight="1">
      <c r="A73" s="65" t="s">
        <v>141</v>
      </c>
      <c r="B73" s="41" t="s">
        <v>142</v>
      </c>
      <c r="C73" s="45">
        <f>_xll.RssMarket("7806","安値")</f>
        <v>7120</v>
      </c>
      <c r="D73" s="16">
        <f t="shared" si="2"/>
        <v>-280</v>
      </c>
      <c r="E73" s="21">
        <v>7400</v>
      </c>
      <c r="F73" s="21">
        <v>7350</v>
      </c>
      <c r="G73" s="21">
        <v>7170</v>
      </c>
      <c r="H73" s="21">
        <v>7140</v>
      </c>
      <c r="I73" s="21">
        <v>7110</v>
      </c>
      <c r="J73" s="21">
        <v>7510</v>
      </c>
      <c r="K73" s="21">
        <v>7480</v>
      </c>
      <c r="L73" s="21">
        <v>7600</v>
      </c>
      <c r="M73" s="21">
        <v>7560</v>
      </c>
      <c r="N73" s="21">
        <v>7670</v>
      </c>
      <c r="O73" s="21">
        <v>7420</v>
      </c>
      <c r="P73" s="21">
        <v>7310</v>
      </c>
      <c r="Q73" s="21">
        <v>7230</v>
      </c>
      <c r="R73" s="21">
        <v>7230</v>
      </c>
      <c r="S73" s="21">
        <v>7230</v>
      </c>
      <c r="T73" s="21">
        <v>7320</v>
      </c>
      <c r="U73" s="21">
        <v>7460</v>
      </c>
      <c r="V73" s="21">
        <v>7860</v>
      </c>
      <c r="W73" s="21">
        <v>8060</v>
      </c>
      <c r="X73" s="21">
        <v>8030</v>
      </c>
      <c r="Y73" s="21">
        <v>7960</v>
      </c>
      <c r="Z73" s="21">
        <v>7530</v>
      </c>
      <c r="AA73" s="21">
        <v>7340</v>
      </c>
      <c r="AB73" s="21">
        <v>7370</v>
      </c>
      <c r="AC73" s="21">
        <v>7200</v>
      </c>
      <c r="AD73" s="21">
        <v>7190</v>
      </c>
      <c r="AE73" s="21">
        <v>7410</v>
      </c>
      <c r="AF73" s="21">
        <v>7270</v>
      </c>
      <c r="AG73" s="21">
        <v>7320</v>
      </c>
      <c r="AH73" s="21">
        <v>7540</v>
      </c>
      <c r="AI73" s="21">
        <v>7560</v>
      </c>
      <c r="AJ73" s="21">
        <v>7370</v>
      </c>
      <c r="AK73" s="21">
        <v>7150</v>
      </c>
      <c r="AL73" s="21">
        <v>7030</v>
      </c>
      <c r="AM73" s="21">
        <v>6940</v>
      </c>
      <c r="AN73" s="21">
        <v>6970</v>
      </c>
      <c r="AO73" s="21">
        <v>6800</v>
      </c>
      <c r="AP73" s="21">
        <v>6930</v>
      </c>
      <c r="AQ73" s="21">
        <v>6680</v>
      </c>
      <c r="AR73" s="21">
        <v>6750</v>
      </c>
      <c r="AS73" s="21">
        <v>6650</v>
      </c>
      <c r="AT73" s="21">
        <v>7000</v>
      </c>
      <c r="AU73" s="21">
        <v>6880</v>
      </c>
      <c r="AV73" s="21">
        <v>7310</v>
      </c>
      <c r="AW73" s="21">
        <v>7000</v>
      </c>
      <c r="AX73" s="21">
        <v>6970</v>
      </c>
      <c r="AY73" s="21">
        <v>6260</v>
      </c>
      <c r="AZ73" s="21">
        <v>6150</v>
      </c>
      <c r="BA73" s="21">
        <v>6300</v>
      </c>
      <c r="BB73" s="21">
        <v>6340</v>
      </c>
      <c r="BC73" s="21">
        <v>6210</v>
      </c>
      <c r="BD73" s="21">
        <v>6240</v>
      </c>
      <c r="BE73" s="21">
        <v>6620</v>
      </c>
      <c r="BF73" s="21">
        <v>6760</v>
      </c>
      <c r="BG73" s="21">
        <v>6540</v>
      </c>
      <c r="BH73" s="21">
        <v>6080</v>
      </c>
      <c r="BI73" s="21">
        <v>6280</v>
      </c>
      <c r="BJ73" s="21">
        <v>6160</v>
      </c>
      <c r="BK73" s="21">
        <v>6050</v>
      </c>
      <c r="BL73" s="21">
        <v>5800</v>
      </c>
      <c r="BM73" s="1">
        <v>5720</v>
      </c>
      <c r="BN73" s="1">
        <v>5910</v>
      </c>
      <c r="BO73" s="1">
        <v>5960</v>
      </c>
      <c r="BP73" s="1">
        <v>6220</v>
      </c>
      <c r="BQ73" s="1">
        <v>6350</v>
      </c>
      <c r="BR73" s="1">
        <v>6450</v>
      </c>
      <c r="BS73" s="1">
        <v>6470</v>
      </c>
      <c r="BT73" s="1">
        <v>6520</v>
      </c>
      <c r="BU73" s="1">
        <v>6430</v>
      </c>
      <c r="BV73" s="1">
        <v>6330</v>
      </c>
      <c r="BW73" s="1">
        <v>6280</v>
      </c>
      <c r="BX73" s="1">
        <v>6190</v>
      </c>
      <c r="BY73" s="1">
        <v>5900</v>
      </c>
      <c r="BZ73" s="1">
        <v>5950</v>
      </c>
    </row>
    <row r="74" spans="1:78" ht="15.9" customHeight="1">
      <c r="A74" s="65" t="s">
        <v>143</v>
      </c>
      <c r="B74" s="41" t="s">
        <v>144</v>
      </c>
      <c r="C74" s="45">
        <f>_xll.RssMarket("9202","安値")</f>
        <v>3103</v>
      </c>
      <c r="D74" s="16">
        <f t="shared" si="2"/>
        <v>25</v>
      </c>
      <c r="E74" s="21">
        <v>3078</v>
      </c>
      <c r="F74" s="21">
        <v>3058</v>
      </c>
      <c r="G74" s="21">
        <v>3087</v>
      </c>
      <c r="H74" s="21">
        <v>3098</v>
      </c>
      <c r="I74" s="21">
        <v>3111</v>
      </c>
      <c r="J74" s="21">
        <v>3080</v>
      </c>
      <c r="K74" s="21">
        <v>2991.5</v>
      </c>
      <c r="L74" s="21">
        <v>2883</v>
      </c>
      <c r="M74" s="21">
        <v>2978.5</v>
      </c>
      <c r="N74" s="21">
        <v>2994</v>
      </c>
      <c r="O74" s="21">
        <v>3025</v>
      </c>
      <c r="P74" s="21">
        <v>2995</v>
      </c>
      <c r="Q74" s="21">
        <v>2998</v>
      </c>
      <c r="R74" s="21">
        <v>3009</v>
      </c>
      <c r="S74" s="21">
        <v>2991</v>
      </c>
      <c r="T74" s="21">
        <v>3002</v>
      </c>
      <c r="U74" s="21">
        <v>3038</v>
      </c>
      <c r="V74" s="21">
        <v>3090</v>
      </c>
      <c r="W74" s="21">
        <v>3140</v>
      </c>
      <c r="X74" s="21">
        <v>3112</v>
      </c>
      <c r="Y74" s="21">
        <v>3107</v>
      </c>
      <c r="Z74" s="21">
        <v>3030</v>
      </c>
      <c r="AA74" s="21">
        <v>2933.5</v>
      </c>
      <c r="AB74" s="21">
        <v>2958.5</v>
      </c>
      <c r="AC74" s="21">
        <v>2984.5</v>
      </c>
      <c r="AD74" s="21">
        <v>2981</v>
      </c>
      <c r="AE74" s="21">
        <v>2986.5</v>
      </c>
      <c r="AF74" s="21">
        <v>2910</v>
      </c>
      <c r="AG74" s="21">
        <v>2916</v>
      </c>
      <c r="AH74" s="21">
        <v>2900.5</v>
      </c>
      <c r="AI74" s="21">
        <v>2943</v>
      </c>
      <c r="AJ74" s="21">
        <v>2979</v>
      </c>
      <c r="AK74" s="21">
        <v>3026</v>
      </c>
      <c r="AL74" s="21">
        <v>2988</v>
      </c>
      <c r="AM74" s="21">
        <v>2920</v>
      </c>
      <c r="AN74" s="21">
        <v>2810</v>
      </c>
      <c r="AO74" s="21">
        <v>2780.5</v>
      </c>
      <c r="AP74" s="21">
        <v>2788</v>
      </c>
      <c r="AQ74" s="21">
        <v>2783.5</v>
      </c>
      <c r="AR74" s="21">
        <v>2818</v>
      </c>
      <c r="AS74" s="21">
        <v>2795.5</v>
      </c>
      <c r="AT74" s="21">
        <v>2797</v>
      </c>
      <c r="AU74" s="21">
        <v>2844</v>
      </c>
      <c r="AV74" s="21">
        <v>2920.5</v>
      </c>
      <c r="AW74" s="21">
        <v>2871</v>
      </c>
      <c r="AX74" s="21">
        <v>2858.5</v>
      </c>
      <c r="AY74" s="21">
        <v>2804.5</v>
      </c>
      <c r="AZ74" s="21">
        <v>2770.5</v>
      </c>
      <c r="BA74" s="21">
        <v>2762</v>
      </c>
      <c r="BB74" s="21">
        <v>2700</v>
      </c>
      <c r="BC74" s="21">
        <v>2727</v>
      </c>
      <c r="BD74" s="21">
        <v>2717</v>
      </c>
      <c r="BE74" s="21">
        <v>2731.5</v>
      </c>
      <c r="BF74" s="21">
        <v>2763</v>
      </c>
      <c r="BG74" s="21">
        <v>2765.5</v>
      </c>
      <c r="BH74" s="21">
        <v>2772</v>
      </c>
      <c r="BI74" s="21">
        <v>2805</v>
      </c>
      <c r="BJ74" s="21">
        <v>2828.5</v>
      </c>
      <c r="BK74" s="21">
        <v>2734.5</v>
      </c>
      <c r="BL74" s="21">
        <v>2623</v>
      </c>
      <c r="BM74" s="1">
        <v>2582</v>
      </c>
      <c r="BN74" s="1">
        <v>2603</v>
      </c>
      <c r="BO74" s="1">
        <v>2666</v>
      </c>
      <c r="BP74" s="1">
        <v>2690</v>
      </c>
      <c r="BQ74" s="1">
        <v>2713</v>
      </c>
      <c r="BR74" s="1">
        <v>2814.5</v>
      </c>
      <c r="BS74" s="1">
        <v>2852.5</v>
      </c>
      <c r="BT74" s="1">
        <v>2845</v>
      </c>
      <c r="BU74" s="1">
        <v>2820</v>
      </c>
      <c r="BV74" s="1">
        <v>2858.5</v>
      </c>
      <c r="BW74" s="1">
        <v>2847.5</v>
      </c>
      <c r="BX74" s="1">
        <v>2845.5</v>
      </c>
      <c r="BY74" s="1">
        <v>2844.5</v>
      </c>
      <c r="BZ74" s="1">
        <v>2882</v>
      </c>
    </row>
    <row r="75" spans="1:78" ht="15.9" customHeight="1">
      <c r="A75" s="65" t="s">
        <v>145</v>
      </c>
      <c r="B75" s="41" t="s">
        <v>146</v>
      </c>
      <c r="C75" s="45">
        <f>_xll.RssMarket("7846","安値")</f>
        <v>1758.5</v>
      </c>
      <c r="D75" s="16">
        <f t="shared" si="2"/>
        <v>1758.5</v>
      </c>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row>
    <row r="76" spans="1:78" ht="15.9" customHeight="1">
      <c r="A76" s="65" t="s">
        <v>147</v>
      </c>
      <c r="B76" s="41" t="s">
        <v>148</v>
      </c>
      <c r="C76" s="45">
        <f>_xll.RssMarket("2802","安値")</f>
        <v>5127</v>
      </c>
      <c r="D76" s="16">
        <f t="shared" si="2"/>
        <v>291</v>
      </c>
      <c r="E76" s="21">
        <v>4836</v>
      </c>
      <c r="F76" s="21">
        <v>4791</v>
      </c>
      <c r="G76" s="21">
        <v>4927</v>
      </c>
      <c r="H76" s="21">
        <v>4721</v>
      </c>
      <c r="I76" s="21">
        <v>4760</v>
      </c>
      <c r="J76" s="21">
        <v>4840</v>
      </c>
      <c r="K76" s="21">
        <v>5025</v>
      </c>
      <c r="L76" s="21">
        <v>4978</v>
      </c>
      <c r="M76" s="21">
        <v>5085</v>
      </c>
      <c r="N76" s="21">
        <v>5248</v>
      </c>
      <c r="O76" s="21">
        <v>5215</v>
      </c>
      <c r="P76" s="21">
        <v>5114</v>
      </c>
      <c r="Q76" s="21">
        <v>5536</v>
      </c>
      <c r="R76" s="21">
        <v>5515</v>
      </c>
      <c r="S76" s="21">
        <v>5575</v>
      </c>
      <c r="T76" s="21">
        <v>5633</v>
      </c>
      <c r="U76" s="21">
        <v>5715</v>
      </c>
      <c r="V76" s="21">
        <v>5683</v>
      </c>
      <c r="W76" s="21">
        <v>5810</v>
      </c>
      <c r="X76" s="21">
        <v>6046</v>
      </c>
      <c r="Y76" s="21">
        <v>5947</v>
      </c>
      <c r="Z76" s="21">
        <v>6015</v>
      </c>
      <c r="AA76" s="21">
        <v>6003</v>
      </c>
      <c r="AB76" s="21">
        <v>5778</v>
      </c>
      <c r="AC76" s="21">
        <v>5667</v>
      </c>
      <c r="AD76" s="21">
        <v>5657</v>
      </c>
      <c r="AE76" s="21">
        <v>5621</v>
      </c>
      <c r="AF76" s="21">
        <v>5400</v>
      </c>
      <c r="AG76" s="21">
        <v>5652</v>
      </c>
      <c r="AH76" s="21">
        <v>5719</v>
      </c>
      <c r="AI76" s="21">
        <v>5726</v>
      </c>
      <c r="AJ76" s="21">
        <v>5379</v>
      </c>
      <c r="AK76" s="21">
        <v>5084</v>
      </c>
      <c r="AL76" s="21">
        <v>4979</v>
      </c>
      <c r="AM76" s="21">
        <v>5052</v>
      </c>
      <c r="AN76" s="21">
        <v>5095</v>
      </c>
      <c r="AO76" s="21">
        <v>4845</v>
      </c>
      <c r="AP76" s="21">
        <v>4674</v>
      </c>
      <c r="AQ76" s="21">
        <v>4674</v>
      </c>
      <c r="AR76" s="21">
        <v>4936</v>
      </c>
      <c r="AS76" s="21">
        <v>5095</v>
      </c>
      <c r="AT76" s="21">
        <v>5147</v>
      </c>
      <c r="AU76" s="21">
        <v>5144</v>
      </c>
      <c r="AV76" s="21">
        <v>5101</v>
      </c>
      <c r="AW76" s="21">
        <v>5110</v>
      </c>
      <c r="AX76" s="21">
        <v>5261</v>
      </c>
      <c r="AY76" s="21">
        <v>5195</v>
      </c>
      <c r="AZ76" s="21">
        <v>5183</v>
      </c>
      <c r="BA76" s="21">
        <v>5021</v>
      </c>
      <c r="BB76" s="21">
        <v>5006</v>
      </c>
      <c r="BC76" s="21">
        <v>5165</v>
      </c>
      <c r="BD76" s="21">
        <v>5103</v>
      </c>
      <c r="BE76" s="21">
        <v>5252</v>
      </c>
      <c r="BF76" s="21">
        <v>5521</v>
      </c>
      <c r="BG76" s="21">
        <v>5338</v>
      </c>
      <c r="BH76" s="21">
        <v>5425</v>
      </c>
      <c r="BI76" s="21">
        <v>5088</v>
      </c>
      <c r="BJ76" s="21">
        <v>4712</v>
      </c>
      <c r="BK76" s="21">
        <v>4739</v>
      </c>
      <c r="BL76" s="21">
        <v>4792</v>
      </c>
      <c r="BM76" s="1">
        <v>4906</v>
      </c>
      <c r="BN76" s="1">
        <v>4750</v>
      </c>
      <c r="BO76" s="1">
        <v>4726</v>
      </c>
      <c r="BP76" s="1">
        <v>4699</v>
      </c>
      <c r="BQ76" s="1">
        <v>4565</v>
      </c>
      <c r="BR76" s="1">
        <v>4621</v>
      </c>
      <c r="BS76" s="1">
        <v>4600</v>
      </c>
      <c r="BT76" s="1">
        <v>4582</v>
      </c>
      <c r="BU76" s="1">
        <v>4574</v>
      </c>
      <c r="BV76" s="1">
        <v>4623</v>
      </c>
      <c r="BW76" s="1">
        <v>4636</v>
      </c>
      <c r="BX76" s="1">
        <v>4596</v>
      </c>
      <c r="BY76" s="1">
        <v>4565</v>
      </c>
      <c r="BZ76" s="1">
        <v>4652</v>
      </c>
    </row>
    <row r="77" spans="1:78" ht="15.9" customHeight="1">
      <c r="A77" s="65" t="s">
        <v>149</v>
      </c>
      <c r="B77" s="41" t="s">
        <v>150</v>
      </c>
      <c r="C77" s="45">
        <f>_xll.RssMarket("7203","安値")</f>
        <v>2869.5</v>
      </c>
      <c r="D77" s="16">
        <f t="shared" si="2"/>
        <v>-1.5</v>
      </c>
      <c r="E77" s="21">
        <v>2871</v>
      </c>
      <c r="F77" s="21">
        <v>2885.5</v>
      </c>
      <c r="G77" s="21">
        <v>3021</v>
      </c>
      <c r="H77" s="21">
        <v>3106</v>
      </c>
      <c r="I77" s="21">
        <v>3059</v>
      </c>
      <c r="J77" s="21">
        <v>2934.5</v>
      </c>
      <c r="K77" s="21">
        <v>2915</v>
      </c>
      <c r="L77" s="21">
        <v>2877.5</v>
      </c>
      <c r="M77" s="21">
        <v>2913.5</v>
      </c>
      <c r="N77" s="21">
        <v>2897.5</v>
      </c>
      <c r="O77" s="21">
        <v>2893.5</v>
      </c>
      <c r="P77" s="21">
        <v>2857</v>
      </c>
      <c r="Q77" s="21">
        <v>2837</v>
      </c>
      <c r="R77" s="21">
        <v>2815.5</v>
      </c>
      <c r="S77" s="21">
        <v>2794</v>
      </c>
      <c r="T77" s="21">
        <v>2817.5</v>
      </c>
      <c r="U77" s="21">
        <v>2817</v>
      </c>
      <c r="V77" s="21">
        <v>2884</v>
      </c>
      <c r="W77" s="21">
        <v>2925</v>
      </c>
      <c r="X77" s="21">
        <v>2839</v>
      </c>
      <c r="Y77" s="21">
        <v>2813</v>
      </c>
      <c r="Z77" s="21">
        <v>2750</v>
      </c>
      <c r="AA77" s="21">
        <v>2715</v>
      </c>
      <c r="AB77" s="21">
        <v>2708</v>
      </c>
      <c r="AC77" s="21">
        <v>2745</v>
      </c>
      <c r="AD77" s="21">
        <v>2696.5</v>
      </c>
      <c r="AE77" s="21">
        <v>2689</v>
      </c>
      <c r="AF77" s="21">
        <v>2686</v>
      </c>
      <c r="AG77" s="21">
        <v>2706</v>
      </c>
      <c r="AH77" s="21">
        <v>2741.5</v>
      </c>
      <c r="AI77" s="21">
        <v>2755</v>
      </c>
      <c r="AJ77" s="21">
        <v>2774.5</v>
      </c>
      <c r="AK77" s="21">
        <v>2803.5</v>
      </c>
      <c r="AL77" s="21">
        <v>2826.5</v>
      </c>
      <c r="AM77" s="21">
        <v>2830</v>
      </c>
      <c r="AN77" s="21">
        <v>2756.5</v>
      </c>
      <c r="AO77" s="21">
        <v>2718.5</v>
      </c>
      <c r="AP77" s="21">
        <v>2787.5</v>
      </c>
      <c r="AQ77" s="21">
        <v>2795.5</v>
      </c>
      <c r="AR77" s="21">
        <v>2837</v>
      </c>
      <c r="AS77" s="21">
        <v>2835</v>
      </c>
      <c r="AT77" s="21">
        <v>2833</v>
      </c>
      <c r="AU77" s="21">
        <v>2805</v>
      </c>
      <c r="AV77" s="21">
        <v>3022</v>
      </c>
      <c r="AW77" s="21">
        <v>3023</v>
      </c>
      <c r="AX77" s="21">
        <v>2998.5</v>
      </c>
      <c r="AY77" s="21">
        <v>3006</v>
      </c>
      <c r="AZ77" s="21">
        <v>2975.5</v>
      </c>
      <c r="BA77" s="21">
        <v>2961</v>
      </c>
      <c r="BB77" s="21">
        <v>2942</v>
      </c>
      <c r="BC77" s="21">
        <v>2931</v>
      </c>
      <c r="BD77" s="21">
        <v>2940</v>
      </c>
      <c r="BE77" s="21">
        <v>2987.5</v>
      </c>
      <c r="BF77" s="21">
        <v>2943</v>
      </c>
      <c r="BG77" s="21">
        <v>2879</v>
      </c>
      <c r="BH77" s="21">
        <v>2820</v>
      </c>
      <c r="BI77" s="21">
        <v>2798</v>
      </c>
      <c r="BJ77" s="21">
        <v>2874</v>
      </c>
      <c r="BK77" s="21">
        <v>2978</v>
      </c>
      <c r="BL77" s="21">
        <v>2971</v>
      </c>
      <c r="BM77" s="1">
        <v>2997</v>
      </c>
      <c r="BN77" s="1">
        <v>3079</v>
      </c>
      <c r="BO77" s="1">
        <v>3057</v>
      </c>
      <c r="BP77" s="1">
        <v>3062</v>
      </c>
      <c r="BQ77" s="1">
        <v>3111</v>
      </c>
      <c r="BR77" s="1">
        <v>3191</v>
      </c>
      <c r="BS77" s="1">
        <v>3280</v>
      </c>
      <c r="BT77" s="1">
        <v>3380</v>
      </c>
      <c r="BU77" s="1">
        <v>3343</v>
      </c>
      <c r="BV77" s="1">
        <v>3392</v>
      </c>
      <c r="BW77" s="1">
        <v>3344</v>
      </c>
      <c r="BX77" s="1">
        <v>3288</v>
      </c>
      <c r="BY77" s="1">
        <v>3280</v>
      </c>
      <c r="BZ77" s="1">
        <v>3295</v>
      </c>
    </row>
    <row r="78" spans="1:78" ht="15.9" customHeight="1">
      <c r="A78" s="65" t="s">
        <v>151</v>
      </c>
      <c r="B78" s="41" t="s">
        <v>152</v>
      </c>
      <c r="C78" s="45">
        <f>_xll.RssMarket("6954","安値")</f>
        <v>6327</v>
      </c>
      <c r="D78" s="16">
        <f t="shared" si="2"/>
        <v>326</v>
      </c>
      <c r="E78" s="21">
        <v>6001</v>
      </c>
      <c r="F78" s="21">
        <v>5808</v>
      </c>
      <c r="G78" s="21">
        <v>6959</v>
      </c>
      <c r="H78" s="21">
        <v>6360</v>
      </c>
      <c r="I78" s="21">
        <v>6223</v>
      </c>
      <c r="J78" s="21">
        <v>6321</v>
      </c>
      <c r="K78" s="21">
        <v>6641</v>
      </c>
      <c r="L78" s="21">
        <v>6577</v>
      </c>
      <c r="M78" s="21">
        <v>6861</v>
      </c>
      <c r="N78" s="21">
        <v>6856</v>
      </c>
      <c r="O78" s="21">
        <v>6473</v>
      </c>
      <c r="P78" s="21">
        <v>6394</v>
      </c>
      <c r="Q78" s="21">
        <v>6792</v>
      </c>
      <c r="R78" s="21">
        <v>6674</v>
      </c>
      <c r="S78" s="21">
        <v>6856</v>
      </c>
      <c r="T78" s="21">
        <v>7037</v>
      </c>
      <c r="U78" s="21">
        <v>6765</v>
      </c>
      <c r="V78" s="21">
        <v>6700</v>
      </c>
      <c r="W78" s="21">
        <v>7048</v>
      </c>
      <c r="X78" s="21">
        <v>7318</v>
      </c>
      <c r="Y78" s="21">
        <v>6994</v>
      </c>
      <c r="Z78" s="21">
        <v>7082</v>
      </c>
      <c r="AA78" s="21">
        <v>7363</v>
      </c>
      <c r="AB78" s="21">
        <v>7170</v>
      </c>
      <c r="AC78" s="21">
        <v>6853</v>
      </c>
      <c r="AD78" s="21">
        <v>6995</v>
      </c>
      <c r="AE78" s="21">
        <v>7279</v>
      </c>
      <c r="AF78" s="21">
        <v>7261</v>
      </c>
      <c r="AG78" s="21">
        <v>7457</v>
      </c>
      <c r="AH78" s="21">
        <v>7705</v>
      </c>
      <c r="AI78" s="21">
        <v>7364</v>
      </c>
      <c r="AJ78" s="21">
        <v>7538</v>
      </c>
      <c r="AK78" s="21">
        <v>7223</v>
      </c>
      <c r="AL78" s="21">
        <v>7275</v>
      </c>
      <c r="AM78" s="21">
        <v>7047</v>
      </c>
      <c r="AN78" s="21">
        <v>6914</v>
      </c>
      <c r="AO78" s="21">
        <v>6290</v>
      </c>
      <c r="AP78" s="21">
        <v>6674</v>
      </c>
      <c r="AQ78" s="21">
        <v>6974</v>
      </c>
      <c r="AR78" s="21">
        <v>7441</v>
      </c>
      <c r="AS78" s="21">
        <v>7645</v>
      </c>
      <c r="AT78" s="21">
        <v>7665</v>
      </c>
      <c r="AU78" s="21">
        <v>7453</v>
      </c>
      <c r="AV78" s="21">
        <v>7892</v>
      </c>
      <c r="AW78" s="21">
        <v>7841</v>
      </c>
      <c r="AX78" s="21">
        <v>8154</v>
      </c>
      <c r="AY78" s="21">
        <v>8300</v>
      </c>
      <c r="AZ78" s="21">
        <v>8013</v>
      </c>
      <c r="BA78" s="21">
        <v>7469</v>
      </c>
      <c r="BB78" s="21">
        <v>7279</v>
      </c>
      <c r="BC78" s="21">
        <v>7620</v>
      </c>
      <c r="BD78" s="21">
        <v>7933</v>
      </c>
      <c r="BE78" s="21">
        <v>8085</v>
      </c>
      <c r="BF78" s="21">
        <v>8036</v>
      </c>
      <c r="BG78" s="21">
        <v>7501</v>
      </c>
      <c r="BH78" s="21">
        <v>7570</v>
      </c>
      <c r="BI78" s="21">
        <v>7380</v>
      </c>
      <c r="BJ78" s="21">
        <v>7093</v>
      </c>
      <c r="BK78" s="21">
        <v>7076</v>
      </c>
      <c r="BL78" s="21">
        <v>6693</v>
      </c>
      <c r="BM78" s="1">
        <v>6690</v>
      </c>
      <c r="BN78" s="1">
        <v>6937</v>
      </c>
      <c r="BO78" s="1">
        <v>6715</v>
      </c>
      <c r="BP78" s="1">
        <v>6158</v>
      </c>
      <c r="BQ78" s="1">
        <v>6227</v>
      </c>
      <c r="BR78" s="1">
        <v>6415</v>
      </c>
      <c r="BS78" s="1">
        <v>6427</v>
      </c>
      <c r="BT78" s="1">
        <v>6229</v>
      </c>
      <c r="BU78" s="1">
        <v>6210</v>
      </c>
      <c r="BV78" s="1">
        <v>6138</v>
      </c>
      <c r="BW78" s="1">
        <v>6092</v>
      </c>
      <c r="BX78" s="1">
        <v>6201</v>
      </c>
      <c r="BY78" s="1">
        <v>6092</v>
      </c>
      <c r="BZ78" s="1">
        <v>5950</v>
      </c>
    </row>
    <row r="79" spans="1:78" ht="15.9" customHeight="1">
      <c r="A79" s="65" t="s">
        <v>153</v>
      </c>
      <c r="B79" s="41" t="s">
        <v>154</v>
      </c>
      <c r="C79" s="45">
        <f>_xll.RssMarket("6479","安値")</f>
        <v>3913</v>
      </c>
      <c r="D79" s="16">
        <f t="shared" si="2"/>
        <v>161</v>
      </c>
      <c r="E79" s="21">
        <v>3752</v>
      </c>
      <c r="F79" s="21">
        <v>3620</v>
      </c>
      <c r="G79" s="21">
        <v>3687</v>
      </c>
      <c r="H79" s="21">
        <v>3435</v>
      </c>
      <c r="I79" s="21">
        <v>3429</v>
      </c>
      <c r="J79" s="21">
        <v>3646</v>
      </c>
      <c r="K79" s="21">
        <v>3814</v>
      </c>
      <c r="L79" s="21">
        <v>3835</v>
      </c>
      <c r="M79" s="21">
        <v>3959</v>
      </c>
      <c r="N79" s="21">
        <v>3933</v>
      </c>
      <c r="O79" s="21">
        <v>3787</v>
      </c>
      <c r="P79" s="21">
        <v>3682</v>
      </c>
      <c r="Q79" s="21">
        <v>4120</v>
      </c>
      <c r="R79" s="21">
        <v>4047</v>
      </c>
      <c r="S79" s="21">
        <v>4153</v>
      </c>
      <c r="T79" s="21">
        <v>4353</v>
      </c>
      <c r="U79" s="21">
        <v>4307</v>
      </c>
      <c r="V79" s="21">
        <v>4240</v>
      </c>
      <c r="W79" s="21">
        <v>4322</v>
      </c>
      <c r="X79" s="21">
        <v>4477</v>
      </c>
      <c r="Y79" s="21">
        <v>4588</v>
      </c>
      <c r="Z79" s="21">
        <v>4665</v>
      </c>
      <c r="AA79" s="21">
        <v>4787</v>
      </c>
      <c r="AB79" s="21">
        <v>4710</v>
      </c>
      <c r="AC79" s="21">
        <v>4628</v>
      </c>
      <c r="AD79" s="21">
        <v>4789</v>
      </c>
      <c r="AE79" s="21">
        <v>5045</v>
      </c>
      <c r="AF79" s="21">
        <v>4842</v>
      </c>
      <c r="AG79" s="21">
        <v>4928</v>
      </c>
      <c r="AH79" s="21">
        <v>4757</v>
      </c>
      <c r="AI79" s="21">
        <v>4547</v>
      </c>
      <c r="AJ79" s="21">
        <v>4584</v>
      </c>
      <c r="AK79" s="21">
        <v>4553</v>
      </c>
      <c r="AL79" s="21">
        <v>4516</v>
      </c>
      <c r="AM79" s="21">
        <v>4392</v>
      </c>
      <c r="AN79" s="21">
        <v>4211</v>
      </c>
      <c r="AO79" s="21">
        <v>4090</v>
      </c>
      <c r="AP79" s="21">
        <v>4367</v>
      </c>
      <c r="AQ79" s="21">
        <v>4480</v>
      </c>
      <c r="AR79" s="21">
        <v>4768</v>
      </c>
      <c r="AS79" s="21">
        <v>4791</v>
      </c>
      <c r="AT79" s="21">
        <v>4766</v>
      </c>
      <c r="AU79" s="21">
        <v>4452</v>
      </c>
      <c r="AV79" s="21">
        <v>4433</v>
      </c>
      <c r="AW79" s="21">
        <v>4152</v>
      </c>
      <c r="AX79" s="21">
        <v>4211</v>
      </c>
      <c r="AY79" s="21">
        <v>4002</v>
      </c>
      <c r="AZ79" s="21">
        <v>3932</v>
      </c>
      <c r="BA79" s="21">
        <v>3731</v>
      </c>
      <c r="BB79" s="21">
        <v>3682</v>
      </c>
      <c r="BC79" s="21">
        <v>3791</v>
      </c>
      <c r="BD79" s="21">
        <v>3799</v>
      </c>
      <c r="BE79" s="21">
        <v>3904</v>
      </c>
      <c r="BF79" s="21">
        <v>3912</v>
      </c>
      <c r="BG79" s="21">
        <v>3610</v>
      </c>
      <c r="BH79" s="21">
        <v>3487</v>
      </c>
      <c r="BI79" s="21">
        <v>3323</v>
      </c>
      <c r="BJ79" s="21">
        <v>3252</v>
      </c>
      <c r="BK79" s="21">
        <v>3129</v>
      </c>
      <c r="BL79" s="21">
        <v>3071</v>
      </c>
      <c r="BM79" s="1">
        <v>3073</v>
      </c>
      <c r="BN79" s="1">
        <v>3037</v>
      </c>
      <c r="BO79" s="1">
        <v>3062</v>
      </c>
      <c r="BP79" s="1">
        <v>3046</v>
      </c>
      <c r="BQ79" s="1">
        <v>2993</v>
      </c>
      <c r="BR79" s="1">
        <v>3063</v>
      </c>
      <c r="BS79" s="1">
        <v>3084</v>
      </c>
      <c r="BT79" s="1">
        <v>3025</v>
      </c>
      <c r="BU79" s="1">
        <v>2949.5</v>
      </c>
      <c r="BV79" s="1">
        <v>2906</v>
      </c>
      <c r="BW79" s="1">
        <v>2835</v>
      </c>
      <c r="BX79" s="1">
        <v>2849</v>
      </c>
      <c r="BY79" s="1">
        <v>2812</v>
      </c>
      <c r="BZ79" s="1">
        <v>2730</v>
      </c>
    </row>
    <row r="80" spans="1:78" ht="15.9" customHeight="1">
      <c r="A80" s="65" t="s">
        <v>155</v>
      </c>
      <c r="B80" s="41" t="s">
        <v>156</v>
      </c>
      <c r="C80" s="45">
        <f>_xll.RssMarket("1833","安値")</f>
        <v>5710</v>
      </c>
      <c r="D80" s="16">
        <f t="shared" si="2"/>
        <v>0</v>
      </c>
      <c r="E80" s="21">
        <v>5710</v>
      </c>
      <c r="F80" s="21">
        <v>5680</v>
      </c>
      <c r="G80" s="21">
        <v>5750</v>
      </c>
      <c r="H80" s="21">
        <v>5730</v>
      </c>
      <c r="I80" s="21">
        <v>5710</v>
      </c>
      <c r="J80" s="21">
        <v>5780</v>
      </c>
      <c r="K80" s="21">
        <v>5780</v>
      </c>
      <c r="L80" s="21"/>
      <c r="M80" s="21">
        <v>5680</v>
      </c>
      <c r="N80" s="21">
        <v>5660</v>
      </c>
      <c r="O80" s="21">
        <v>5600</v>
      </c>
      <c r="P80" s="21">
        <v>5530</v>
      </c>
      <c r="Q80" s="21">
        <v>5610</v>
      </c>
      <c r="R80" s="21">
        <v>5590</v>
      </c>
      <c r="S80" s="21">
        <v>5560</v>
      </c>
      <c r="T80" s="21">
        <v>5640</v>
      </c>
      <c r="U80" s="21">
        <v>5670</v>
      </c>
      <c r="V80" s="21">
        <v>5680</v>
      </c>
      <c r="W80" s="21">
        <v>5770</v>
      </c>
      <c r="X80" s="21">
        <v>5690</v>
      </c>
      <c r="Y80" s="21">
        <v>5670</v>
      </c>
      <c r="Z80" s="21">
        <v>5650</v>
      </c>
      <c r="AA80" s="21">
        <v>5610</v>
      </c>
      <c r="AB80" s="21">
        <v>5620</v>
      </c>
      <c r="AC80" s="21">
        <v>5640</v>
      </c>
      <c r="AD80" s="21">
        <v>5570</v>
      </c>
      <c r="AE80" s="21">
        <v>5580</v>
      </c>
      <c r="AF80" s="21">
        <v>5620</v>
      </c>
      <c r="AG80" s="21">
        <v>5600</v>
      </c>
      <c r="AH80" s="21">
        <v>5610</v>
      </c>
      <c r="AI80" s="21">
        <v>5670</v>
      </c>
      <c r="AJ80" s="21">
        <v>5740</v>
      </c>
      <c r="AK80" s="21">
        <v>5700</v>
      </c>
      <c r="AL80" s="21">
        <v>5680</v>
      </c>
      <c r="AM80" s="21">
        <v>5730</v>
      </c>
      <c r="AN80" s="21">
        <v>5600</v>
      </c>
      <c r="AO80" s="21">
        <v>5470</v>
      </c>
      <c r="AP80" s="21">
        <v>5500</v>
      </c>
      <c r="AQ80" s="21">
        <v>5430</v>
      </c>
      <c r="AR80" s="21">
        <v>5530</v>
      </c>
      <c r="AS80" s="21">
        <v>5460</v>
      </c>
      <c r="AT80" s="21">
        <v>5500</v>
      </c>
      <c r="AU80" s="21">
        <v>5420</v>
      </c>
      <c r="AV80" s="21">
        <v>5510</v>
      </c>
      <c r="AW80" s="21">
        <v>5490</v>
      </c>
      <c r="AX80" s="21">
        <v>5510</v>
      </c>
      <c r="AY80" s="21">
        <v>5490</v>
      </c>
      <c r="AZ80" s="21">
        <v>5450</v>
      </c>
      <c r="BA80" s="21">
        <v>5560</v>
      </c>
      <c r="BB80" s="21">
        <v>5520</v>
      </c>
      <c r="BC80" s="21">
        <v>5680</v>
      </c>
      <c r="BD80" s="21">
        <v>5550</v>
      </c>
      <c r="BE80" s="21">
        <v>5870</v>
      </c>
      <c r="BF80" s="21">
        <v>5980</v>
      </c>
      <c r="BG80" s="21">
        <v>6140</v>
      </c>
      <c r="BH80" s="21">
        <v>6200</v>
      </c>
      <c r="BI80" s="21">
        <v>6030</v>
      </c>
      <c r="BJ80" s="21">
        <v>6010</v>
      </c>
      <c r="BK80" s="21">
        <v>6160</v>
      </c>
      <c r="BL80" s="21">
        <v>6100</v>
      </c>
      <c r="BM80" s="1">
        <v>6020</v>
      </c>
      <c r="BN80" s="1">
        <v>6000</v>
      </c>
      <c r="BO80" s="1">
        <v>5880</v>
      </c>
      <c r="BP80" s="1">
        <v>5960</v>
      </c>
      <c r="BQ80" s="1">
        <v>5900</v>
      </c>
      <c r="BR80" s="1">
        <v>6010</v>
      </c>
      <c r="BS80" s="1">
        <v>6100</v>
      </c>
      <c r="BT80" s="1">
        <v>6080</v>
      </c>
      <c r="BU80" s="1">
        <v>6110</v>
      </c>
      <c r="BV80" s="1">
        <v>6190</v>
      </c>
      <c r="BW80" s="1">
        <v>6230</v>
      </c>
      <c r="BX80" s="1">
        <v>6230</v>
      </c>
      <c r="BY80" s="1">
        <v>6190</v>
      </c>
      <c r="BZ80" s="1">
        <v>6280</v>
      </c>
    </row>
    <row r="81" spans="1:78" ht="15.9" customHeight="1">
      <c r="A81" s="65" t="s">
        <v>157</v>
      </c>
      <c r="B81" s="41" t="s">
        <v>158</v>
      </c>
      <c r="C81" s="45">
        <f>_xll.RssMarket("6841","安値")</f>
        <v>5253</v>
      </c>
      <c r="D81" s="16">
        <f t="shared" si="2"/>
        <v>-400</v>
      </c>
      <c r="E81" s="21">
        <v>5653</v>
      </c>
      <c r="F81" s="21">
        <v>5570</v>
      </c>
      <c r="G81" s="21">
        <v>5580</v>
      </c>
      <c r="H81" s="21">
        <v>5481</v>
      </c>
      <c r="I81" s="21">
        <v>5472</v>
      </c>
      <c r="J81" s="21">
        <v>5628</v>
      </c>
      <c r="K81" s="21">
        <v>5881</v>
      </c>
      <c r="L81" s="21">
        <v>5680</v>
      </c>
      <c r="M81" s="21">
        <v>5720</v>
      </c>
      <c r="N81" s="21">
        <v>5678</v>
      </c>
      <c r="O81" s="21">
        <v>5496</v>
      </c>
      <c r="P81" s="21">
        <v>5326</v>
      </c>
      <c r="Q81" s="21">
        <v>5519</v>
      </c>
      <c r="R81" s="21">
        <v>5387</v>
      </c>
      <c r="S81" s="21">
        <v>5535</v>
      </c>
      <c r="T81" s="21">
        <v>5440</v>
      </c>
      <c r="U81" s="21">
        <v>5401</v>
      </c>
      <c r="V81" s="21">
        <v>5431</v>
      </c>
      <c r="W81" s="21">
        <v>5637</v>
      </c>
      <c r="X81" s="21">
        <v>5806</v>
      </c>
      <c r="Y81" s="21">
        <v>5530</v>
      </c>
      <c r="Z81" s="21">
        <v>5449</v>
      </c>
      <c r="AA81" s="21">
        <v>5646</v>
      </c>
      <c r="AB81" s="21">
        <v>5532</v>
      </c>
      <c r="AC81" s="21">
        <v>5420</v>
      </c>
      <c r="AD81" s="21">
        <v>5443</v>
      </c>
      <c r="AE81" s="21">
        <v>5480</v>
      </c>
      <c r="AF81" s="21">
        <v>5445</v>
      </c>
      <c r="AG81" s="21">
        <v>5535</v>
      </c>
      <c r="AH81" s="21">
        <v>5412</v>
      </c>
      <c r="AI81" s="21">
        <v>5374</v>
      </c>
      <c r="AJ81" s="21">
        <v>5380</v>
      </c>
      <c r="AK81" s="21">
        <v>5150</v>
      </c>
      <c r="AL81" s="21">
        <v>5131</v>
      </c>
      <c r="AM81" s="21">
        <v>5044</v>
      </c>
      <c r="AN81" s="21">
        <v>4848</v>
      </c>
      <c r="AO81" s="21">
        <v>4584</v>
      </c>
      <c r="AP81" s="21">
        <v>4735</v>
      </c>
      <c r="AQ81" s="21">
        <v>4890</v>
      </c>
      <c r="AR81" s="21">
        <v>5169</v>
      </c>
      <c r="AS81" s="21">
        <v>5274</v>
      </c>
      <c r="AT81" s="21">
        <v>5195</v>
      </c>
      <c r="AU81" s="21">
        <v>5053</v>
      </c>
      <c r="AV81" s="21">
        <v>4877</v>
      </c>
      <c r="AW81" s="21">
        <v>4832</v>
      </c>
      <c r="AX81" s="21">
        <v>4899</v>
      </c>
      <c r="AY81" s="21">
        <v>4895</v>
      </c>
      <c r="AZ81" s="21">
        <v>4820</v>
      </c>
      <c r="BA81" s="21">
        <v>4669</v>
      </c>
      <c r="BB81" s="21">
        <v>4607</v>
      </c>
      <c r="BC81" s="21">
        <v>4760</v>
      </c>
      <c r="BD81" s="21">
        <v>4820</v>
      </c>
      <c r="BE81" s="21">
        <v>4937</v>
      </c>
      <c r="BF81" s="21">
        <v>5093</v>
      </c>
      <c r="BG81" s="21">
        <v>5112</v>
      </c>
      <c r="BH81" s="21">
        <v>5116</v>
      </c>
      <c r="BI81" s="21">
        <v>5175</v>
      </c>
      <c r="BJ81" s="21">
        <v>5058</v>
      </c>
      <c r="BK81" s="21">
        <v>5528</v>
      </c>
      <c r="BL81" s="21">
        <v>5376</v>
      </c>
      <c r="BM81" s="1">
        <v>5376</v>
      </c>
      <c r="BN81" s="1">
        <v>5374</v>
      </c>
      <c r="BO81" s="1">
        <v>5247</v>
      </c>
      <c r="BP81" s="1">
        <v>5214</v>
      </c>
      <c r="BQ81" s="1">
        <v>5218</v>
      </c>
      <c r="BR81" s="1">
        <v>5436</v>
      </c>
      <c r="BS81" s="1">
        <v>5509</v>
      </c>
      <c r="BT81" s="1">
        <v>5415</v>
      </c>
      <c r="BU81" s="1">
        <v>5371</v>
      </c>
      <c r="BV81" s="1">
        <v>5399</v>
      </c>
      <c r="BW81" s="1">
        <v>5375</v>
      </c>
      <c r="BX81" s="1">
        <v>5597</v>
      </c>
      <c r="BY81" s="1">
        <v>5526</v>
      </c>
      <c r="BZ81" s="1">
        <v>5609</v>
      </c>
    </row>
    <row r="82" spans="1:78" ht="15.9" customHeight="1">
      <c r="A82" s="65" t="s">
        <v>159</v>
      </c>
      <c r="B82" s="41" t="s">
        <v>160</v>
      </c>
      <c r="C82" s="45">
        <f>_xll.RssMarket("7167","安値")</f>
        <v>1479</v>
      </c>
      <c r="D82" s="16">
        <f t="shared" si="2"/>
        <v>9</v>
      </c>
      <c r="E82" s="21">
        <v>1470</v>
      </c>
      <c r="F82" s="21">
        <v>1432</v>
      </c>
      <c r="G82" s="21">
        <v>1460.5</v>
      </c>
      <c r="H82" s="21">
        <v>1451.5</v>
      </c>
      <c r="I82" s="21">
        <v>1459.5</v>
      </c>
      <c r="J82" s="21">
        <v>1509</v>
      </c>
      <c r="K82" s="21">
        <v>1525</v>
      </c>
      <c r="L82" s="21">
        <v>1484</v>
      </c>
      <c r="M82" s="21">
        <v>1486.5</v>
      </c>
      <c r="N82" s="21">
        <v>1478</v>
      </c>
      <c r="O82" s="21">
        <v>1430</v>
      </c>
      <c r="P82" s="21">
        <v>1408</v>
      </c>
      <c r="Q82" s="21">
        <v>1507</v>
      </c>
      <c r="R82" s="21">
        <v>1496</v>
      </c>
      <c r="S82" s="21">
        <v>1527</v>
      </c>
      <c r="T82" s="21">
        <v>1536.5</v>
      </c>
      <c r="U82" s="21">
        <v>1536</v>
      </c>
      <c r="V82" s="21">
        <v>1529.5</v>
      </c>
      <c r="W82" s="21">
        <v>1527</v>
      </c>
      <c r="X82" s="21">
        <v>1487.5</v>
      </c>
      <c r="Y82" s="21">
        <v>1483</v>
      </c>
      <c r="Z82" s="21">
        <v>1447.5</v>
      </c>
      <c r="AA82" s="21">
        <v>1413</v>
      </c>
      <c r="AB82" s="21">
        <v>1412</v>
      </c>
      <c r="AC82" s="21">
        <v>1395.5</v>
      </c>
      <c r="AD82" s="21">
        <v>1389</v>
      </c>
      <c r="AE82" s="21">
        <v>1380.5</v>
      </c>
      <c r="AF82" s="21">
        <v>1375</v>
      </c>
      <c r="AG82" s="21">
        <v>1410</v>
      </c>
      <c r="AH82" s="21">
        <v>1388.5</v>
      </c>
      <c r="AI82" s="21">
        <v>1403.5</v>
      </c>
      <c r="AJ82" s="21">
        <v>1407.5</v>
      </c>
      <c r="AK82" s="21">
        <v>1388.5</v>
      </c>
      <c r="AL82" s="21">
        <v>1381</v>
      </c>
      <c r="AM82" s="21">
        <v>1413.5</v>
      </c>
      <c r="AN82" s="21">
        <v>1386</v>
      </c>
      <c r="AO82" s="21">
        <v>1348.5</v>
      </c>
      <c r="AP82" s="21">
        <v>1368.5</v>
      </c>
      <c r="AQ82" s="21">
        <v>1325.5</v>
      </c>
      <c r="AR82" s="21">
        <v>1353.5</v>
      </c>
      <c r="AS82" s="21">
        <v>1285.5</v>
      </c>
      <c r="AT82" s="21">
        <v>1309</v>
      </c>
      <c r="AU82" s="21">
        <v>1255</v>
      </c>
      <c r="AV82" s="21">
        <v>1328</v>
      </c>
      <c r="AW82" s="21">
        <v>1338.5</v>
      </c>
      <c r="AX82" s="21">
        <v>1354</v>
      </c>
      <c r="AY82" s="21">
        <v>1378.5</v>
      </c>
      <c r="AZ82" s="21">
        <v>1389.5</v>
      </c>
      <c r="BA82" s="21">
        <v>1405.5</v>
      </c>
      <c r="BB82" s="21">
        <v>1367</v>
      </c>
      <c r="BC82" s="21">
        <v>1357.5</v>
      </c>
      <c r="BD82" s="21">
        <v>1350.5</v>
      </c>
      <c r="BE82" s="21">
        <v>1360.5</v>
      </c>
      <c r="BF82" s="21">
        <v>1353</v>
      </c>
      <c r="BG82" s="21">
        <v>1336.5</v>
      </c>
      <c r="BH82" s="21">
        <v>1332.5</v>
      </c>
      <c r="BI82" s="21">
        <v>1300</v>
      </c>
      <c r="BJ82" s="21">
        <v>1279</v>
      </c>
      <c r="BK82" s="21">
        <v>1320</v>
      </c>
      <c r="BL82" s="21">
        <v>1277</v>
      </c>
      <c r="BM82" s="1">
        <v>1269</v>
      </c>
      <c r="BN82" s="1">
        <v>1242</v>
      </c>
      <c r="BO82" s="1">
        <v>1192</v>
      </c>
      <c r="BP82" s="1">
        <v>1210</v>
      </c>
      <c r="BQ82" s="1">
        <v>1215.5</v>
      </c>
      <c r="BR82" s="1">
        <v>1237.5</v>
      </c>
      <c r="BS82" s="1">
        <v>1281.5</v>
      </c>
      <c r="BT82" s="1">
        <v>1317</v>
      </c>
      <c r="BU82" s="1">
        <v>1339</v>
      </c>
      <c r="BV82" s="1">
        <v>1355</v>
      </c>
      <c r="BW82" s="1">
        <v>1350.5</v>
      </c>
      <c r="BX82" s="1">
        <v>1333.5</v>
      </c>
      <c r="BY82" s="1">
        <v>1331.5</v>
      </c>
      <c r="BZ82" s="1">
        <v>1352</v>
      </c>
    </row>
    <row r="83" spans="1:78" ht="15.9" customHeight="1">
      <c r="A83" s="65" t="s">
        <v>161</v>
      </c>
      <c r="B83" s="41" t="s">
        <v>162</v>
      </c>
      <c r="C83" s="45">
        <f>_xll.RssMarket("1925","安値")</f>
        <v>4484</v>
      </c>
      <c r="D83" s="16">
        <f t="shared" si="2"/>
        <v>-44</v>
      </c>
      <c r="E83" s="21">
        <v>4528</v>
      </c>
      <c r="F83" s="21">
        <v>4554</v>
      </c>
      <c r="G83" s="21">
        <v>4665</v>
      </c>
      <c r="H83" s="21">
        <v>4783</v>
      </c>
      <c r="I83" s="21">
        <v>4789</v>
      </c>
      <c r="J83" s="21">
        <v>4723</v>
      </c>
      <c r="K83" s="21">
        <v>4601</v>
      </c>
      <c r="L83" s="21">
        <v>4520</v>
      </c>
      <c r="M83" s="21">
        <v>4537</v>
      </c>
      <c r="N83" s="21">
        <v>4555</v>
      </c>
      <c r="O83" s="21">
        <v>4599</v>
      </c>
      <c r="P83" s="21">
        <v>4582</v>
      </c>
      <c r="Q83" s="21">
        <v>4577</v>
      </c>
      <c r="R83" s="21">
        <v>4530</v>
      </c>
      <c r="S83" s="21">
        <v>4481</v>
      </c>
      <c r="T83" s="21">
        <v>4493</v>
      </c>
      <c r="U83" s="21">
        <v>4487</v>
      </c>
      <c r="V83" s="21">
        <v>4545</v>
      </c>
      <c r="W83" s="21">
        <v>4546</v>
      </c>
      <c r="X83" s="21">
        <v>4491</v>
      </c>
      <c r="Y83" s="21">
        <v>4480</v>
      </c>
      <c r="Z83" s="21">
        <v>4400</v>
      </c>
      <c r="AA83" s="21">
        <v>4366</v>
      </c>
      <c r="AB83" s="21">
        <v>4417</v>
      </c>
      <c r="AC83" s="21">
        <v>4407</v>
      </c>
      <c r="AD83" s="21">
        <v>4340</v>
      </c>
      <c r="AE83" s="21">
        <v>4340</v>
      </c>
      <c r="AF83" s="21">
        <v>4287</v>
      </c>
      <c r="AG83" s="21">
        <v>4275</v>
      </c>
      <c r="AH83" s="21">
        <v>4226</v>
      </c>
      <c r="AI83" s="21">
        <v>4319</v>
      </c>
      <c r="AJ83" s="21">
        <v>4319</v>
      </c>
      <c r="AK83" s="21">
        <v>4358</v>
      </c>
      <c r="AL83" s="21">
        <v>4304</v>
      </c>
      <c r="AM83" s="21">
        <v>4349</v>
      </c>
      <c r="AN83" s="21">
        <v>4285</v>
      </c>
      <c r="AO83" s="21">
        <v>4272</v>
      </c>
      <c r="AP83" s="21">
        <v>4297</v>
      </c>
      <c r="AQ83" s="21">
        <v>4180</v>
      </c>
      <c r="AR83" s="21">
        <v>4191</v>
      </c>
      <c r="AS83" s="21">
        <v>4208</v>
      </c>
      <c r="AT83" s="21">
        <v>4164</v>
      </c>
      <c r="AU83" s="21">
        <v>4081</v>
      </c>
      <c r="AV83" s="21">
        <v>4334</v>
      </c>
      <c r="AW83" s="21">
        <v>4374</v>
      </c>
      <c r="AX83" s="21">
        <v>4394</v>
      </c>
      <c r="AY83" s="21">
        <v>4405</v>
      </c>
      <c r="AZ83" s="21">
        <v>4407</v>
      </c>
      <c r="BA83" s="21">
        <v>4453</v>
      </c>
      <c r="BB83" s="21">
        <v>4480</v>
      </c>
      <c r="BC83" s="21">
        <v>4501</v>
      </c>
      <c r="BD83" s="21">
        <v>4462</v>
      </c>
      <c r="BE83" s="21">
        <v>4509</v>
      </c>
      <c r="BF83" s="21">
        <v>4475</v>
      </c>
      <c r="BG83" s="21">
        <v>4754</v>
      </c>
      <c r="BH83" s="21">
        <v>4749</v>
      </c>
      <c r="BI83" s="21">
        <v>4744</v>
      </c>
      <c r="BJ83" s="21">
        <v>4744</v>
      </c>
      <c r="BK83" s="21">
        <v>4747</v>
      </c>
      <c r="BL83" s="21">
        <v>4746</v>
      </c>
      <c r="BM83" s="1">
        <v>4730</v>
      </c>
      <c r="BN83" s="1">
        <v>4783</v>
      </c>
      <c r="BO83" s="1">
        <v>4740</v>
      </c>
      <c r="BP83" s="1">
        <v>4777</v>
      </c>
      <c r="BQ83" s="1">
        <v>4811</v>
      </c>
      <c r="BR83" s="1">
        <v>4818</v>
      </c>
      <c r="BS83" s="1">
        <v>4896</v>
      </c>
      <c r="BT83" s="1">
        <v>4856</v>
      </c>
      <c r="BU83" s="1">
        <v>4852</v>
      </c>
      <c r="BV83" s="1">
        <v>4905</v>
      </c>
      <c r="BW83" s="1">
        <v>4880</v>
      </c>
      <c r="BX83" s="1">
        <v>4876</v>
      </c>
      <c r="BY83" s="1">
        <v>4904</v>
      </c>
      <c r="BZ83" s="1">
        <v>4973</v>
      </c>
    </row>
    <row r="84" spans="1:78" ht="15.9" customHeight="1">
      <c r="A84" s="65" t="s">
        <v>163</v>
      </c>
      <c r="B84" s="41" t="s">
        <v>164</v>
      </c>
      <c r="C84" s="45">
        <f>_xll.RssMarket("5411","安値")</f>
        <v>1758</v>
      </c>
      <c r="D84" s="16">
        <f t="shared" si="2"/>
        <v>-8.5</v>
      </c>
      <c r="E84" s="21">
        <v>1766.5</v>
      </c>
      <c r="F84" s="21">
        <v>1745</v>
      </c>
      <c r="G84" s="21">
        <v>1802</v>
      </c>
      <c r="H84" s="21">
        <v>1815.5</v>
      </c>
      <c r="I84" s="21">
        <v>1794.5</v>
      </c>
      <c r="J84" s="21">
        <v>1757</v>
      </c>
      <c r="K84" s="21">
        <v>1750</v>
      </c>
      <c r="L84" s="21">
        <v>1705.5</v>
      </c>
      <c r="M84" s="21">
        <v>1699</v>
      </c>
      <c r="N84" s="21">
        <v>1709.5</v>
      </c>
      <c r="O84" s="21">
        <v>1711.5</v>
      </c>
      <c r="P84" s="21">
        <v>1684.5</v>
      </c>
      <c r="Q84" s="21">
        <v>1663.5</v>
      </c>
      <c r="R84" s="21">
        <v>1633</v>
      </c>
      <c r="S84" s="21">
        <v>1616.5</v>
      </c>
      <c r="T84" s="21">
        <v>1609</v>
      </c>
      <c r="U84" s="21">
        <v>1615.5</v>
      </c>
      <c r="V84" s="21">
        <v>1638.5</v>
      </c>
      <c r="W84" s="21">
        <v>1643</v>
      </c>
      <c r="X84" s="21">
        <v>1611.5</v>
      </c>
      <c r="Y84" s="21">
        <v>1585</v>
      </c>
      <c r="Z84" s="21">
        <v>1554.5</v>
      </c>
      <c r="AA84" s="21">
        <v>1546</v>
      </c>
      <c r="AB84" s="21">
        <v>1544.5</v>
      </c>
      <c r="AC84" s="21">
        <v>1547</v>
      </c>
      <c r="AD84" s="21">
        <v>1535</v>
      </c>
      <c r="AE84" s="21">
        <v>1546</v>
      </c>
      <c r="AF84" s="21">
        <v>1554.5</v>
      </c>
      <c r="AG84" s="21">
        <v>1561.5</v>
      </c>
      <c r="AH84" s="21">
        <v>1592</v>
      </c>
      <c r="AI84" s="21">
        <v>1613.5</v>
      </c>
      <c r="AJ84" s="21">
        <v>1622</v>
      </c>
      <c r="AK84" s="21">
        <v>1630.5</v>
      </c>
      <c r="AL84" s="21">
        <v>1641.5</v>
      </c>
      <c r="AM84" s="21">
        <v>1624.5</v>
      </c>
      <c r="AN84" s="21">
        <v>1590</v>
      </c>
      <c r="AO84" s="21">
        <v>1556</v>
      </c>
      <c r="AP84" s="21">
        <v>1557.5</v>
      </c>
      <c r="AQ84" s="21">
        <v>1573.5</v>
      </c>
      <c r="AR84" s="21">
        <v>1599</v>
      </c>
      <c r="AS84" s="21">
        <v>1587</v>
      </c>
      <c r="AT84" s="21">
        <v>1591.5</v>
      </c>
      <c r="AU84" s="21">
        <v>1596</v>
      </c>
      <c r="AV84" s="21">
        <v>1683</v>
      </c>
      <c r="AW84" s="21">
        <v>1663.5</v>
      </c>
      <c r="AX84" s="21">
        <v>1650.5</v>
      </c>
      <c r="AY84" s="21">
        <v>1626</v>
      </c>
      <c r="AZ84" s="21">
        <v>1634.5</v>
      </c>
      <c r="BA84" s="21">
        <v>1645.5</v>
      </c>
      <c r="BB84" s="21">
        <v>1630.5</v>
      </c>
      <c r="BC84" s="21">
        <v>1658</v>
      </c>
      <c r="BD84" s="21">
        <v>1649</v>
      </c>
      <c r="BE84" s="21">
        <v>1664</v>
      </c>
      <c r="BF84" s="21">
        <v>1688.5</v>
      </c>
      <c r="BG84" s="21">
        <v>1694.5</v>
      </c>
      <c r="BH84" s="21">
        <v>1670.5</v>
      </c>
      <c r="BI84" s="21">
        <v>1676</v>
      </c>
      <c r="BJ84" s="21">
        <v>1695</v>
      </c>
      <c r="BK84" s="21">
        <v>1712.5</v>
      </c>
      <c r="BL84" s="21">
        <v>1701</v>
      </c>
      <c r="BM84" s="1">
        <v>1685.5</v>
      </c>
      <c r="BN84" s="1">
        <v>1675</v>
      </c>
      <c r="BO84" s="1">
        <v>1667</v>
      </c>
      <c r="BP84" s="1">
        <v>1679.5</v>
      </c>
      <c r="BQ84" s="1">
        <v>1691</v>
      </c>
      <c r="BR84" s="1">
        <v>1715</v>
      </c>
      <c r="BS84" s="1">
        <v>1747.5</v>
      </c>
      <c r="BT84" s="1">
        <v>1771.5</v>
      </c>
      <c r="BU84" s="1">
        <v>1795.5</v>
      </c>
      <c r="BV84" s="1">
        <v>1821</v>
      </c>
      <c r="BW84" s="1">
        <v>1818</v>
      </c>
      <c r="BX84" s="1">
        <v>1815.5</v>
      </c>
      <c r="BY84" s="1">
        <v>1835</v>
      </c>
      <c r="BZ84" s="1">
        <v>1858.5</v>
      </c>
    </row>
    <row r="85" spans="1:78" ht="15.9" customHeight="1">
      <c r="A85" s="65" t="s">
        <v>165</v>
      </c>
      <c r="B85" s="41" t="s">
        <v>166</v>
      </c>
      <c r="C85" s="45">
        <f>_xll.RssMarket("7182","安値")</f>
        <v>3081</v>
      </c>
      <c r="D85" s="16">
        <f t="shared" si="2"/>
        <v>15</v>
      </c>
      <c r="E85" s="21">
        <v>3066</v>
      </c>
      <c r="F85" s="21">
        <v>2978</v>
      </c>
      <c r="G85" s="21">
        <v>3066</v>
      </c>
      <c r="H85" s="21">
        <v>3107</v>
      </c>
      <c r="I85" s="21">
        <v>3134</v>
      </c>
      <c r="J85" s="21">
        <v>3256</v>
      </c>
      <c r="K85" s="21">
        <v>3364</v>
      </c>
      <c r="L85" s="21">
        <v>3383</v>
      </c>
      <c r="M85" s="21">
        <v>3386</v>
      </c>
      <c r="N85" s="21">
        <v>3364</v>
      </c>
      <c r="O85" s="21">
        <v>3145</v>
      </c>
      <c r="P85" s="21">
        <v>3096</v>
      </c>
      <c r="Q85" s="21">
        <v>3288</v>
      </c>
      <c r="R85" s="21">
        <v>3251</v>
      </c>
      <c r="S85" s="21">
        <v>3281</v>
      </c>
      <c r="T85" s="21">
        <v>3254</v>
      </c>
      <c r="U85" s="21">
        <v>3270</v>
      </c>
      <c r="V85" s="21">
        <v>3272</v>
      </c>
      <c r="W85" s="21">
        <v>3303</v>
      </c>
      <c r="X85" s="21">
        <v>3194</v>
      </c>
      <c r="Y85" s="21">
        <v>3156</v>
      </c>
      <c r="Z85" s="21">
        <v>3114</v>
      </c>
      <c r="AA85" s="21">
        <v>3074</v>
      </c>
      <c r="AB85" s="21">
        <v>3063</v>
      </c>
      <c r="AC85" s="21">
        <v>3031</v>
      </c>
      <c r="AD85" s="21">
        <v>3046</v>
      </c>
      <c r="AE85" s="21">
        <v>3042</v>
      </c>
      <c r="AF85" s="21">
        <v>3072</v>
      </c>
      <c r="AG85" s="21">
        <v>3210</v>
      </c>
      <c r="AH85" s="21">
        <v>3183</v>
      </c>
      <c r="AI85" s="21">
        <v>3186</v>
      </c>
      <c r="AJ85" s="21">
        <v>3215</v>
      </c>
      <c r="AK85" s="21">
        <v>3125</v>
      </c>
      <c r="AL85" s="21">
        <v>3110</v>
      </c>
      <c r="AM85" s="21">
        <v>3198</v>
      </c>
      <c r="AN85" s="21">
        <v>3152</v>
      </c>
      <c r="AO85" s="21">
        <v>3060</v>
      </c>
      <c r="AP85" s="21">
        <v>3164</v>
      </c>
      <c r="AQ85" s="21">
        <v>3049</v>
      </c>
      <c r="AR85" s="21">
        <v>3145</v>
      </c>
      <c r="AS85" s="21">
        <v>3104</v>
      </c>
      <c r="AT85" s="21">
        <v>3108</v>
      </c>
      <c r="AU85" s="21">
        <v>2952.5</v>
      </c>
      <c r="AV85" s="21">
        <v>2968</v>
      </c>
      <c r="AW85" s="21">
        <v>2901</v>
      </c>
      <c r="AX85" s="21">
        <v>2968</v>
      </c>
      <c r="AY85" s="21">
        <v>3061</v>
      </c>
      <c r="AZ85" s="21">
        <v>3104</v>
      </c>
      <c r="BA85" s="21">
        <v>3140</v>
      </c>
      <c r="BB85" s="21">
        <v>3021</v>
      </c>
      <c r="BC85" s="21">
        <v>2991.5</v>
      </c>
      <c r="BD85" s="21">
        <v>2859</v>
      </c>
      <c r="BE85" s="21">
        <v>2766.5</v>
      </c>
      <c r="BF85" s="21">
        <v>2816</v>
      </c>
      <c r="BG85" s="21">
        <v>2812.5</v>
      </c>
      <c r="BH85" s="21">
        <v>2802</v>
      </c>
      <c r="BI85" s="21">
        <v>2735</v>
      </c>
      <c r="BJ85" s="21">
        <v>2700.5</v>
      </c>
      <c r="BK85" s="21">
        <v>2730.5</v>
      </c>
      <c r="BL85" s="21">
        <v>2620</v>
      </c>
      <c r="BM85" s="1">
        <v>2613.5</v>
      </c>
      <c r="BN85" s="1">
        <v>2546.5</v>
      </c>
      <c r="BO85" s="1">
        <v>2461.5</v>
      </c>
      <c r="BP85" s="1">
        <v>2460.5</v>
      </c>
      <c r="BQ85" s="1">
        <v>2513</v>
      </c>
      <c r="BR85" s="1">
        <v>2538.5</v>
      </c>
      <c r="BS85" s="1">
        <v>2600</v>
      </c>
      <c r="BT85" s="1">
        <v>2697.5</v>
      </c>
      <c r="BU85" s="1">
        <v>2731.5</v>
      </c>
      <c r="BV85" s="1">
        <v>2772.5</v>
      </c>
      <c r="BW85" s="1">
        <v>2753.5</v>
      </c>
      <c r="BX85" s="1">
        <v>2701</v>
      </c>
      <c r="BY85" s="1">
        <v>2685.5</v>
      </c>
      <c r="BZ85" s="1">
        <v>2698.5</v>
      </c>
    </row>
    <row r="86" spans="1:78" ht="15.9" customHeight="1">
      <c r="A86" s="65" t="s">
        <v>167</v>
      </c>
      <c r="B86" s="41" t="s">
        <v>168</v>
      </c>
      <c r="C86" s="45">
        <f>_xll.RssMarket("1963","安値")</f>
        <v>2302.5</v>
      </c>
      <c r="D86" s="16">
        <f t="shared" si="2"/>
        <v>58.5</v>
      </c>
      <c r="E86" s="21">
        <v>2244</v>
      </c>
      <c r="F86" s="21">
        <v>2193</v>
      </c>
      <c r="G86" s="21">
        <v>2237</v>
      </c>
      <c r="H86" s="21">
        <v>2200</v>
      </c>
      <c r="I86" s="21">
        <v>2184</v>
      </c>
      <c r="J86" s="21">
        <v>2274.5</v>
      </c>
      <c r="K86" s="21">
        <v>2285</v>
      </c>
      <c r="L86" s="21"/>
      <c r="M86" s="21">
        <v>2288.5</v>
      </c>
      <c r="N86" s="21">
        <v>2275.5</v>
      </c>
      <c r="O86" s="21">
        <v>2199</v>
      </c>
      <c r="P86" s="21">
        <v>2149</v>
      </c>
      <c r="Q86" s="21">
        <v>2295</v>
      </c>
      <c r="R86" s="21">
        <v>2261.5</v>
      </c>
      <c r="S86" s="21">
        <v>2296.5</v>
      </c>
      <c r="T86" s="21">
        <v>2315.5</v>
      </c>
      <c r="U86" s="21">
        <v>2313.5</v>
      </c>
      <c r="V86" s="21">
        <v>2342</v>
      </c>
      <c r="W86" s="21">
        <v>2474</v>
      </c>
      <c r="X86" s="21">
        <v>2519</v>
      </c>
      <c r="Y86" s="21">
        <v>2442.5</v>
      </c>
      <c r="Z86" s="21">
        <v>2470.5</v>
      </c>
      <c r="AA86" s="21">
        <v>2468</v>
      </c>
      <c r="AB86" s="21">
        <v>2485</v>
      </c>
      <c r="AC86" s="21">
        <v>2524</v>
      </c>
      <c r="AD86" s="21">
        <v>2494</v>
      </c>
      <c r="AE86" s="21">
        <v>2538.5</v>
      </c>
      <c r="AF86" s="21">
        <v>2530</v>
      </c>
      <c r="AG86" s="21">
        <v>2609</v>
      </c>
      <c r="AH86" s="21">
        <v>2597.5</v>
      </c>
      <c r="AI86" s="21">
        <v>2679</v>
      </c>
      <c r="AJ86" s="21">
        <v>2764</v>
      </c>
      <c r="AK86" s="21">
        <v>2673.5</v>
      </c>
      <c r="AL86" s="21">
        <v>2622.5</v>
      </c>
      <c r="AM86" s="21">
        <v>2659.5</v>
      </c>
      <c r="AN86" s="21">
        <v>2512</v>
      </c>
      <c r="AO86" s="21">
        <v>2416.5</v>
      </c>
      <c r="AP86" s="21">
        <v>2495</v>
      </c>
      <c r="AQ86" s="21">
        <v>2525.5</v>
      </c>
      <c r="AR86" s="21">
        <v>2589</v>
      </c>
      <c r="AS86" s="21">
        <v>2580.5</v>
      </c>
      <c r="AT86" s="21">
        <v>2615</v>
      </c>
      <c r="AU86" s="21">
        <v>2560</v>
      </c>
      <c r="AV86" s="21">
        <v>2636.5</v>
      </c>
      <c r="AW86" s="21">
        <v>2623</v>
      </c>
      <c r="AX86" s="21">
        <v>2712</v>
      </c>
      <c r="AY86" s="21">
        <v>2767</v>
      </c>
      <c r="AZ86" s="21">
        <v>2683</v>
      </c>
      <c r="BA86" s="21">
        <v>2613.5</v>
      </c>
      <c r="BB86" s="21">
        <v>2597.5</v>
      </c>
      <c r="BC86" s="21">
        <v>2591</v>
      </c>
      <c r="BD86" s="21">
        <v>2512.5</v>
      </c>
      <c r="BE86" s="21">
        <v>2614</v>
      </c>
      <c r="BF86" s="21">
        <v>2380</v>
      </c>
      <c r="BG86" s="21">
        <v>2343.5</v>
      </c>
      <c r="BH86" s="21">
        <v>2406</v>
      </c>
      <c r="BI86" s="21">
        <v>2392.5</v>
      </c>
      <c r="BJ86" s="21">
        <v>2436</v>
      </c>
      <c r="BK86" s="21">
        <v>2399</v>
      </c>
      <c r="BL86" s="21">
        <v>2342</v>
      </c>
      <c r="BM86" s="1">
        <v>2363</v>
      </c>
      <c r="BN86" s="1">
        <v>2368</v>
      </c>
      <c r="BO86" s="1">
        <v>2276</v>
      </c>
      <c r="BP86" s="1">
        <v>2331.5</v>
      </c>
      <c r="BQ86" s="1">
        <v>2264</v>
      </c>
      <c r="BR86" s="1">
        <v>2313</v>
      </c>
      <c r="BS86" s="1">
        <v>2376.5</v>
      </c>
      <c r="BT86" s="1">
        <v>2423.5</v>
      </c>
      <c r="BU86" s="1">
        <v>2506</v>
      </c>
      <c r="BV86" s="1">
        <v>2497</v>
      </c>
      <c r="BW86" s="1">
        <v>2569</v>
      </c>
      <c r="BX86" s="1">
        <v>2604.5</v>
      </c>
      <c r="BY86" s="1">
        <v>2688.5</v>
      </c>
      <c r="BZ86" s="1">
        <v>2758</v>
      </c>
    </row>
    <row r="87" spans="1:78" ht="15.9" customHeight="1">
      <c r="A87" s="65" t="s">
        <v>169</v>
      </c>
      <c r="B87" s="41" t="s">
        <v>170</v>
      </c>
      <c r="C87" s="45">
        <f>_xll.RssMarket("2914","安値")</f>
        <v>6671</v>
      </c>
      <c r="D87" s="16">
        <f t="shared" si="2"/>
        <v>-148</v>
      </c>
      <c r="E87" s="21">
        <v>6819</v>
      </c>
      <c r="F87" s="21">
        <v>6870</v>
      </c>
      <c r="G87" s="21">
        <v>7000</v>
      </c>
      <c r="H87" s="21">
        <v>6619</v>
      </c>
      <c r="I87" s="21">
        <v>6630</v>
      </c>
      <c r="J87" s="21">
        <v>6550</v>
      </c>
      <c r="K87" s="21">
        <v>6466</v>
      </c>
      <c r="L87" s="21">
        <v>6362</v>
      </c>
      <c r="M87" s="21">
        <v>6368</v>
      </c>
      <c r="N87" s="21">
        <v>6325</v>
      </c>
      <c r="O87" s="21">
        <v>6315</v>
      </c>
      <c r="P87" s="21">
        <v>6240</v>
      </c>
      <c r="Q87" s="21">
        <v>6085</v>
      </c>
      <c r="R87" s="21">
        <v>6115</v>
      </c>
      <c r="S87" s="21">
        <v>6049</v>
      </c>
      <c r="T87" s="21">
        <v>6105</v>
      </c>
      <c r="U87" s="21">
        <v>6124</v>
      </c>
      <c r="V87" s="21">
        <v>6166</v>
      </c>
      <c r="W87" s="21">
        <v>6105</v>
      </c>
      <c r="X87" s="21">
        <v>6063</v>
      </c>
      <c r="Y87" s="21">
        <v>6046</v>
      </c>
      <c r="Z87" s="21">
        <v>5996</v>
      </c>
      <c r="AA87" s="21">
        <v>5964</v>
      </c>
      <c r="AB87" s="21">
        <v>5968</v>
      </c>
      <c r="AC87" s="21">
        <v>5941</v>
      </c>
      <c r="AD87" s="21">
        <v>5946</v>
      </c>
      <c r="AE87" s="21">
        <v>5923</v>
      </c>
      <c r="AF87" s="21">
        <v>5918</v>
      </c>
      <c r="AG87" s="21">
        <v>5893</v>
      </c>
      <c r="AH87" s="21">
        <v>5941</v>
      </c>
      <c r="AI87" s="21">
        <v>6021</v>
      </c>
      <c r="AJ87" s="21">
        <v>6046</v>
      </c>
      <c r="AK87" s="21">
        <v>6071</v>
      </c>
      <c r="AL87" s="21">
        <v>6040</v>
      </c>
      <c r="AM87" s="21">
        <v>6063</v>
      </c>
      <c r="AN87" s="21">
        <v>6177</v>
      </c>
      <c r="AO87" s="21">
        <v>6222</v>
      </c>
      <c r="AP87" s="21">
        <v>6101</v>
      </c>
      <c r="AQ87" s="21">
        <v>6002</v>
      </c>
      <c r="AR87" s="21">
        <v>5971</v>
      </c>
      <c r="AS87" s="21">
        <v>6025</v>
      </c>
      <c r="AT87" s="21">
        <v>6083</v>
      </c>
      <c r="AU87" s="21">
        <v>6022</v>
      </c>
      <c r="AV87" s="21">
        <v>6088</v>
      </c>
      <c r="AW87" s="21">
        <v>6090</v>
      </c>
      <c r="AX87" s="21">
        <v>6062</v>
      </c>
      <c r="AY87" s="21">
        <v>6060</v>
      </c>
      <c r="AZ87" s="21">
        <v>6126</v>
      </c>
      <c r="BA87" s="21">
        <v>6233</v>
      </c>
      <c r="BB87" s="21">
        <v>6308</v>
      </c>
      <c r="BC87" s="21">
        <v>6325</v>
      </c>
      <c r="BD87" s="21">
        <v>6313</v>
      </c>
      <c r="BE87" s="21">
        <v>6236</v>
      </c>
      <c r="BF87" s="21">
        <v>6172</v>
      </c>
      <c r="BG87" s="21">
        <v>6056</v>
      </c>
      <c r="BH87" s="21">
        <v>6044</v>
      </c>
      <c r="BI87" s="21">
        <v>5990</v>
      </c>
      <c r="BJ87" s="21">
        <v>5769</v>
      </c>
      <c r="BK87" s="21">
        <v>5831</v>
      </c>
      <c r="BL87" s="21">
        <v>5795</v>
      </c>
      <c r="BM87" s="1">
        <v>5751</v>
      </c>
      <c r="BN87" s="1">
        <v>5696</v>
      </c>
      <c r="BO87" s="1">
        <v>5735</v>
      </c>
      <c r="BP87" s="1">
        <v>5822</v>
      </c>
      <c r="BQ87" s="1">
        <v>5695</v>
      </c>
      <c r="BR87" s="1">
        <v>5646</v>
      </c>
      <c r="BS87" s="1">
        <v>5757</v>
      </c>
      <c r="BT87" s="1">
        <v>5790</v>
      </c>
      <c r="BU87" s="1">
        <v>5800</v>
      </c>
      <c r="BV87" s="1">
        <v>5826</v>
      </c>
      <c r="BW87" s="1">
        <v>5867</v>
      </c>
      <c r="BX87" s="1">
        <v>5874</v>
      </c>
      <c r="BY87" s="1">
        <v>5935</v>
      </c>
      <c r="BZ87" s="1">
        <v>5971</v>
      </c>
    </row>
    <row r="88" spans="1:78" ht="15.9" customHeight="1">
      <c r="A88" s="65" t="s">
        <v>171</v>
      </c>
      <c r="B88" s="41" t="s">
        <v>172</v>
      </c>
      <c r="C88" s="45">
        <f>_xll.RssMarket("3003","安値")</f>
        <v>1699</v>
      </c>
      <c r="D88" s="16">
        <f t="shared" si="2"/>
        <v>-4.5</v>
      </c>
      <c r="E88" s="21">
        <v>1703.5</v>
      </c>
      <c r="F88" s="21">
        <v>1704</v>
      </c>
      <c r="G88" s="21">
        <v>1753.5</v>
      </c>
      <c r="H88" s="21">
        <v>1819</v>
      </c>
      <c r="I88" s="21">
        <v>1841</v>
      </c>
      <c r="J88" s="21">
        <v>1793</v>
      </c>
      <c r="K88" s="21">
        <v>1779</v>
      </c>
      <c r="L88" s="21">
        <v>1759</v>
      </c>
      <c r="M88" s="21">
        <v>1770</v>
      </c>
      <c r="N88" s="21">
        <v>1795</v>
      </c>
      <c r="O88" s="21">
        <v>1815.5</v>
      </c>
      <c r="P88" s="21">
        <v>1783</v>
      </c>
      <c r="Q88" s="21">
        <v>1781.5</v>
      </c>
      <c r="R88" s="21">
        <v>1753</v>
      </c>
      <c r="S88" s="21">
        <v>1755.5</v>
      </c>
      <c r="T88" s="21">
        <v>1744</v>
      </c>
      <c r="U88" s="21">
        <v>1746.5</v>
      </c>
      <c r="V88" s="21">
        <v>1779.5</v>
      </c>
      <c r="W88" s="21">
        <v>1755</v>
      </c>
      <c r="X88" s="21">
        <v>1737.5</v>
      </c>
      <c r="Y88" s="21">
        <v>1726.5</v>
      </c>
      <c r="Z88" s="21">
        <v>1688</v>
      </c>
      <c r="AA88" s="21">
        <v>1657.5</v>
      </c>
      <c r="AB88" s="21">
        <v>1694.5</v>
      </c>
      <c r="AC88" s="21">
        <v>1692</v>
      </c>
      <c r="AD88" s="21">
        <v>1699.5</v>
      </c>
      <c r="AE88" s="21">
        <v>1690.5</v>
      </c>
      <c r="AF88" s="21">
        <v>1687.5</v>
      </c>
      <c r="AG88" s="21">
        <v>1670</v>
      </c>
      <c r="AH88" s="21">
        <v>1672.5</v>
      </c>
      <c r="AI88" s="21">
        <v>1689</v>
      </c>
      <c r="AJ88" s="21">
        <v>1695</v>
      </c>
      <c r="AK88" s="21">
        <v>1702.5</v>
      </c>
      <c r="AL88" s="21">
        <v>1698.5</v>
      </c>
      <c r="AM88" s="21">
        <v>1733</v>
      </c>
      <c r="AN88" s="21">
        <v>1711</v>
      </c>
      <c r="AO88" s="21">
        <v>1715.5</v>
      </c>
      <c r="AP88" s="21">
        <v>1689.5</v>
      </c>
      <c r="AQ88" s="21">
        <v>1654</v>
      </c>
      <c r="AR88" s="21">
        <v>1647.5</v>
      </c>
      <c r="AS88" s="21">
        <v>1630</v>
      </c>
      <c r="AT88" s="21">
        <v>1643</v>
      </c>
      <c r="AU88" s="21">
        <v>1620.5</v>
      </c>
      <c r="AV88" s="21">
        <v>1671</v>
      </c>
      <c r="AW88" s="21">
        <v>1655</v>
      </c>
      <c r="AX88" s="21">
        <v>1662.5</v>
      </c>
      <c r="AY88" s="21">
        <v>1653</v>
      </c>
      <c r="AZ88" s="21">
        <v>1641</v>
      </c>
      <c r="BA88" s="21">
        <v>1732.5</v>
      </c>
      <c r="BB88" s="21">
        <v>1716</v>
      </c>
      <c r="BC88" s="21">
        <v>1730</v>
      </c>
      <c r="BD88" s="21">
        <v>1712.5</v>
      </c>
      <c r="BE88" s="21">
        <v>1742</v>
      </c>
      <c r="BF88" s="21">
        <v>1744</v>
      </c>
      <c r="BG88" s="21">
        <v>1795</v>
      </c>
      <c r="BH88" s="21">
        <v>1790</v>
      </c>
      <c r="BI88" s="21">
        <v>1782.5</v>
      </c>
      <c r="BJ88" s="21">
        <v>1785</v>
      </c>
      <c r="BK88" s="21">
        <v>1788</v>
      </c>
      <c r="BL88" s="21">
        <v>1763</v>
      </c>
      <c r="BM88" s="1">
        <v>1762.5</v>
      </c>
      <c r="BN88" s="1">
        <v>1777</v>
      </c>
      <c r="BO88" s="1">
        <v>1742.5</v>
      </c>
      <c r="BP88" s="1">
        <v>1810.5</v>
      </c>
      <c r="BQ88" s="1">
        <v>1810.5</v>
      </c>
      <c r="BR88" s="1">
        <v>1818</v>
      </c>
      <c r="BS88" s="1">
        <v>1862.5</v>
      </c>
      <c r="BT88" s="1">
        <v>1890.5</v>
      </c>
      <c r="BU88" s="1">
        <v>1883.5</v>
      </c>
      <c r="BV88" s="1">
        <v>1888</v>
      </c>
      <c r="BW88" s="1">
        <v>1891</v>
      </c>
      <c r="BX88" s="1">
        <v>1882</v>
      </c>
      <c r="BY88" s="1">
        <v>1869</v>
      </c>
      <c r="BZ88" s="1">
        <v>1877</v>
      </c>
    </row>
    <row r="89" spans="1:78" ht="15.9" customHeight="1">
      <c r="A89" s="65" t="s">
        <v>173</v>
      </c>
      <c r="B89" s="41" t="s">
        <v>174</v>
      </c>
      <c r="C89" s="45">
        <f>_xll.RssMarket("5892","安値")</f>
        <v>2120</v>
      </c>
      <c r="D89" s="16">
        <f t="shared" si="2"/>
        <v>8</v>
      </c>
      <c r="E89" s="21">
        <v>2112</v>
      </c>
      <c r="F89" s="21">
        <v>2060</v>
      </c>
      <c r="G89" s="21">
        <v>2062</v>
      </c>
      <c r="H89" s="21">
        <v>2023</v>
      </c>
      <c r="I89" s="21">
        <v>2002</v>
      </c>
      <c r="J89" s="21">
        <v>2001</v>
      </c>
      <c r="K89" s="21">
        <v>1974</v>
      </c>
      <c r="L89" s="21">
        <v>1904</v>
      </c>
      <c r="M89" s="21">
        <v>1947</v>
      </c>
      <c r="N89" s="21">
        <v>1975</v>
      </c>
      <c r="O89" s="21">
        <v>2012</v>
      </c>
      <c r="P89" s="21">
        <v>1974</v>
      </c>
      <c r="Q89" s="21">
        <v>2046</v>
      </c>
      <c r="R89" s="21">
        <v>2010</v>
      </c>
      <c r="S89" s="21">
        <v>2033</v>
      </c>
      <c r="T89" s="21">
        <v>2038</v>
      </c>
      <c r="U89" s="21">
        <v>2031</v>
      </c>
      <c r="V89" s="21">
        <v>2040</v>
      </c>
      <c r="W89" s="21">
        <v>2077</v>
      </c>
      <c r="X89" s="21">
        <v>2080</v>
      </c>
      <c r="Y89" s="21">
        <v>2055</v>
      </c>
      <c r="Z89" s="21">
        <v>2024</v>
      </c>
      <c r="AA89" s="21">
        <v>2004</v>
      </c>
      <c r="AB89" s="21">
        <v>2000</v>
      </c>
      <c r="AC89" s="21">
        <v>2010</v>
      </c>
      <c r="AD89" s="21">
        <v>1946</v>
      </c>
      <c r="AE89" s="21">
        <v>1982</v>
      </c>
      <c r="AF89" s="21">
        <v>1969</v>
      </c>
      <c r="AG89" s="21">
        <v>1998</v>
      </c>
      <c r="AH89" s="21">
        <v>2021</v>
      </c>
      <c r="AI89" s="21">
        <v>2002</v>
      </c>
      <c r="AJ89" s="21">
        <v>2072</v>
      </c>
      <c r="AK89" s="21">
        <v>2046</v>
      </c>
      <c r="AL89" s="21">
        <v>1935</v>
      </c>
      <c r="AM89" s="21">
        <v>1925</v>
      </c>
      <c r="AN89" s="21">
        <v>1979</v>
      </c>
      <c r="AO89" s="21">
        <v>2081</v>
      </c>
      <c r="AP89" s="21">
        <v>2162</v>
      </c>
      <c r="AQ89" s="21">
        <v>2183</v>
      </c>
      <c r="AR89" s="21">
        <v>2229</v>
      </c>
      <c r="AS89" s="21">
        <v>2105</v>
      </c>
      <c r="AT89" s="21">
        <v>2081</v>
      </c>
      <c r="AU89" s="21">
        <v>2100</v>
      </c>
      <c r="AV89" s="21">
        <v>2268</v>
      </c>
      <c r="AW89" s="21">
        <v>2268</v>
      </c>
      <c r="AX89" s="21">
        <v>2373</v>
      </c>
      <c r="AY89" s="21">
        <v>2340</v>
      </c>
      <c r="AZ89" s="21">
        <v>2371</v>
      </c>
      <c r="BA89" s="21">
        <v>2425</v>
      </c>
      <c r="BB89" s="21">
        <v>2505</v>
      </c>
      <c r="BC89" s="21">
        <v>2557</v>
      </c>
      <c r="BD89" s="21">
        <v>2447</v>
      </c>
      <c r="BE89" s="21">
        <v>2384</v>
      </c>
      <c r="BF89" s="21">
        <v>1946</v>
      </c>
      <c r="BG89" s="21">
        <v>1936</v>
      </c>
      <c r="BH89" s="21">
        <v>1863</v>
      </c>
      <c r="BI89" s="21">
        <v>1923</v>
      </c>
      <c r="BJ89" s="21">
        <v>1951</v>
      </c>
      <c r="BK89" s="21">
        <v>1939</v>
      </c>
      <c r="BL89" s="21">
        <v>1947</v>
      </c>
      <c r="BM89" s="1">
        <v>1902</v>
      </c>
      <c r="BN89" s="1">
        <v>1991</v>
      </c>
      <c r="BO89" s="1">
        <v>2040</v>
      </c>
      <c r="BP89" s="1">
        <v>2049</v>
      </c>
      <c r="BQ89" s="1">
        <v>2057</v>
      </c>
      <c r="BR89" s="1">
        <v>2149</v>
      </c>
      <c r="BS89" s="1">
        <v>2180</v>
      </c>
      <c r="BT89" s="1">
        <v>2167</v>
      </c>
      <c r="BU89" s="1">
        <v>2186</v>
      </c>
      <c r="BV89" s="1">
        <v>2185</v>
      </c>
      <c r="BW89" s="1">
        <v>2189</v>
      </c>
      <c r="BX89" s="1">
        <v>2213</v>
      </c>
      <c r="BY89" s="1">
        <v>2155</v>
      </c>
      <c r="BZ89" s="1">
        <v>2135</v>
      </c>
    </row>
    <row r="90" spans="1:78" ht="15.9" customHeight="1">
      <c r="A90" s="65" t="s">
        <v>175</v>
      </c>
      <c r="B90" s="41" t="s">
        <v>176</v>
      </c>
      <c r="C90" s="45">
        <f>_xll.RssMarket("6323","安値")</f>
        <v>4372</v>
      </c>
      <c r="D90" s="16">
        <f t="shared" si="2"/>
        <v>342</v>
      </c>
      <c r="E90" s="21">
        <v>4030</v>
      </c>
      <c r="F90" s="21">
        <v>3838</v>
      </c>
      <c r="G90" s="21">
        <v>3754</v>
      </c>
      <c r="H90" s="21">
        <v>3320</v>
      </c>
      <c r="I90" s="21">
        <v>3331</v>
      </c>
      <c r="J90" s="21">
        <v>3812</v>
      </c>
      <c r="K90" s="21">
        <v>4251</v>
      </c>
      <c r="L90" s="21">
        <v>4395</v>
      </c>
      <c r="M90" s="21">
        <v>4587</v>
      </c>
      <c r="N90" s="21">
        <v>4496</v>
      </c>
      <c r="O90" s="21">
        <v>4200</v>
      </c>
      <c r="P90" s="21">
        <v>4200</v>
      </c>
      <c r="Q90" s="21">
        <v>4501</v>
      </c>
      <c r="R90" s="21">
        <v>4275</v>
      </c>
      <c r="S90" s="21">
        <v>4575</v>
      </c>
      <c r="T90" s="21">
        <v>4593</v>
      </c>
      <c r="U90" s="21">
        <v>4471</v>
      </c>
      <c r="V90" s="21">
        <v>4203</v>
      </c>
      <c r="W90" s="21">
        <v>4363</v>
      </c>
      <c r="X90" s="21">
        <v>4622</v>
      </c>
      <c r="Y90" s="21">
        <v>4331</v>
      </c>
      <c r="Z90" s="21">
        <v>4637</v>
      </c>
      <c r="AA90" s="21">
        <v>4967</v>
      </c>
      <c r="AB90" s="21">
        <v>4539</v>
      </c>
      <c r="AC90" s="21">
        <v>4317</v>
      </c>
      <c r="AD90" s="21">
        <v>4484</v>
      </c>
      <c r="AE90" s="21">
        <v>4624</v>
      </c>
      <c r="AF90" s="21">
        <v>4355</v>
      </c>
      <c r="AG90" s="21">
        <v>4580</v>
      </c>
      <c r="AH90" s="21">
        <v>4900</v>
      </c>
      <c r="AI90" s="21">
        <v>4790</v>
      </c>
      <c r="AJ90" s="21">
        <v>4535</v>
      </c>
      <c r="AK90" s="21">
        <v>4305</v>
      </c>
      <c r="AL90" s="21">
        <v>4375</v>
      </c>
      <c r="AM90" s="21">
        <v>4286</v>
      </c>
      <c r="AN90" s="21">
        <v>4060</v>
      </c>
      <c r="AO90" s="21">
        <v>3659</v>
      </c>
      <c r="AP90" s="21">
        <v>3788</v>
      </c>
      <c r="AQ90" s="21">
        <v>3807</v>
      </c>
      <c r="AR90" s="21">
        <v>4002</v>
      </c>
      <c r="AS90" s="21">
        <v>4213</v>
      </c>
      <c r="AT90" s="21">
        <v>3959</v>
      </c>
      <c r="AU90" s="21">
        <v>3616</v>
      </c>
      <c r="AV90" s="21">
        <v>3843</v>
      </c>
      <c r="AW90" s="21">
        <v>3742</v>
      </c>
      <c r="AX90" s="21">
        <v>3854</v>
      </c>
      <c r="AY90" s="21">
        <v>3982</v>
      </c>
      <c r="AZ90" s="21">
        <v>3755</v>
      </c>
      <c r="BA90" s="21">
        <v>3604</v>
      </c>
      <c r="BB90" s="21">
        <v>3421</v>
      </c>
      <c r="BC90" s="21">
        <v>3538</v>
      </c>
      <c r="BD90" s="21">
        <v>3633</v>
      </c>
      <c r="BE90" s="21">
        <v>3688</v>
      </c>
      <c r="BF90" s="21">
        <v>3995</v>
      </c>
      <c r="BG90" s="21">
        <v>3882</v>
      </c>
      <c r="BH90" s="21">
        <v>3971</v>
      </c>
      <c r="BI90" s="21">
        <v>3952</v>
      </c>
      <c r="BJ90" s="21">
        <v>3857</v>
      </c>
      <c r="BK90" s="21">
        <v>3896</v>
      </c>
      <c r="BL90" s="21">
        <v>3695</v>
      </c>
      <c r="BM90" s="1">
        <v>3643</v>
      </c>
      <c r="BN90" s="1">
        <v>3820</v>
      </c>
      <c r="BO90" s="1">
        <v>3868</v>
      </c>
      <c r="BP90" s="1">
        <v>3556</v>
      </c>
      <c r="BQ90" s="1">
        <v>3491</v>
      </c>
      <c r="BR90" s="1">
        <v>3523</v>
      </c>
      <c r="BS90" s="1">
        <v>3582</v>
      </c>
      <c r="BT90" s="1">
        <v>3624</v>
      </c>
      <c r="BU90" s="1">
        <v>3615</v>
      </c>
      <c r="BV90" s="1">
        <v>3697</v>
      </c>
      <c r="BW90" s="1">
        <v>3759</v>
      </c>
      <c r="BX90" s="1">
        <v>3895</v>
      </c>
      <c r="BY90" s="1">
        <v>3841</v>
      </c>
      <c r="BZ90" s="1">
        <v>3666</v>
      </c>
    </row>
    <row r="91" spans="1:78" ht="15.9" customHeight="1">
      <c r="A91" s="65" t="s">
        <v>177</v>
      </c>
      <c r="B91" s="41" t="s">
        <v>178</v>
      </c>
      <c r="C91" s="45">
        <f>_xll.RssMarket("6501","安値")</f>
        <v>5314</v>
      </c>
      <c r="D91" s="16">
        <f t="shared" si="2"/>
        <v>2</v>
      </c>
      <c r="E91" s="21">
        <v>5312</v>
      </c>
      <c r="F91" s="21">
        <v>5167</v>
      </c>
      <c r="G91" s="21">
        <v>5170</v>
      </c>
      <c r="H91" s="21">
        <v>4990</v>
      </c>
      <c r="I91" s="21">
        <v>4885</v>
      </c>
      <c r="J91" s="21">
        <v>4797</v>
      </c>
      <c r="K91" s="21">
        <v>4910</v>
      </c>
      <c r="L91" s="21">
        <v>4795</v>
      </c>
      <c r="M91" s="21">
        <v>4813</v>
      </c>
      <c r="N91" s="21">
        <v>4762</v>
      </c>
      <c r="O91" s="21">
        <v>4675</v>
      </c>
      <c r="P91" s="21">
        <v>4616</v>
      </c>
      <c r="Q91" s="21">
        <v>4651</v>
      </c>
      <c r="R91" s="21">
        <v>4714</v>
      </c>
      <c r="S91" s="21">
        <v>4686</v>
      </c>
      <c r="T91" s="21">
        <v>4686</v>
      </c>
      <c r="U91" s="21">
        <v>4703</v>
      </c>
      <c r="V91" s="21">
        <v>4769</v>
      </c>
      <c r="W91" s="21">
        <v>4790</v>
      </c>
      <c r="X91" s="21">
        <v>4682</v>
      </c>
      <c r="Y91" s="21">
        <v>4571</v>
      </c>
      <c r="Z91" s="21">
        <v>4520</v>
      </c>
      <c r="AA91" s="21">
        <v>4476</v>
      </c>
      <c r="AB91" s="21">
        <v>4422</v>
      </c>
      <c r="AC91" s="21">
        <v>4435</v>
      </c>
      <c r="AD91" s="21">
        <v>4478</v>
      </c>
      <c r="AE91" s="21">
        <v>4554</v>
      </c>
      <c r="AF91" s="21">
        <v>4632</v>
      </c>
      <c r="AG91" s="21">
        <v>4750</v>
      </c>
      <c r="AH91" s="21">
        <v>4702</v>
      </c>
      <c r="AI91" s="21">
        <v>4690</v>
      </c>
      <c r="AJ91" s="21">
        <v>4680</v>
      </c>
      <c r="AK91" s="21">
        <v>4670</v>
      </c>
      <c r="AL91" s="21">
        <v>4646</v>
      </c>
      <c r="AM91" s="21">
        <v>4703</v>
      </c>
      <c r="AN91" s="21">
        <v>4585</v>
      </c>
      <c r="AO91" s="21">
        <v>4579</v>
      </c>
      <c r="AP91" s="21">
        <v>4782</v>
      </c>
      <c r="AQ91" s="21">
        <v>4968</v>
      </c>
      <c r="AR91" s="21">
        <v>5141</v>
      </c>
      <c r="AS91" s="21">
        <v>5131</v>
      </c>
      <c r="AT91" s="21">
        <v>5129</v>
      </c>
      <c r="AU91" s="21">
        <v>4987</v>
      </c>
      <c r="AV91" s="21">
        <v>5166</v>
      </c>
      <c r="AW91" s="21">
        <v>4962</v>
      </c>
      <c r="AX91" s="21">
        <v>4955</v>
      </c>
      <c r="AY91" s="21">
        <v>5000</v>
      </c>
      <c r="AZ91" s="21">
        <v>4995</v>
      </c>
      <c r="BA91" s="21">
        <v>4882</v>
      </c>
      <c r="BB91" s="21">
        <v>4814</v>
      </c>
      <c r="BC91" s="21">
        <v>4863</v>
      </c>
      <c r="BD91" s="21">
        <v>4723</v>
      </c>
      <c r="BE91" s="21">
        <v>4683</v>
      </c>
      <c r="BF91" s="21">
        <v>4646</v>
      </c>
      <c r="BG91" s="21">
        <v>4702</v>
      </c>
      <c r="BH91" s="21">
        <v>4812</v>
      </c>
      <c r="BI91" s="21">
        <v>4795</v>
      </c>
      <c r="BJ91" s="21">
        <v>4806</v>
      </c>
      <c r="BK91" s="21">
        <v>4850</v>
      </c>
      <c r="BL91" s="21">
        <v>4775</v>
      </c>
      <c r="BM91" s="1">
        <v>4828</v>
      </c>
      <c r="BN91" s="1">
        <v>4990</v>
      </c>
      <c r="BO91" s="1">
        <v>5258</v>
      </c>
      <c r="BP91" s="1">
        <v>5095</v>
      </c>
      <c r="BQ91" s="1">
        <v>5130</v>
      </c>
      <c r="BR91" s="1">
        <v>5034</v>
      </c>
      <c r="BS91" s="1">
        <v>5097</v>
      </c>
      <c r="BT91" s="1">
        <v>5117</v>
      </c>
      <c r="BU91" s="1">
        <v>5109</v>
      </c>
      <c r="BV91" s="1">
        <v>5157</v>
      </c>
      <c r="BW91" s="1">
        <v>5025</v>
      </c>
      <c r="BX91" s="1">
        <v>4855</v>
      </c>
      <c r="BY91" s="1">
        <v>4826</v>
      </c>
      <c r="BZ91" s="1">
        <v>4770</v>
      </c>
    </row>
    <row r="92" spans="1:78" ht="15.9" customHeight="1">
      <c r="A92" s="65" t="s">
        <v>179</v>
      </c>
      <c r="B92" s="41" t="s">
        <v>180</v>
      </c>
      <c r="C92" s="45">
        <f>_xll.RssMarket("6134","安値")</f>
        <v>7933</v>
      </c>
      <c r="D92" s="16">
        <f t="shared" si="2"/>
        <v>-22</v>
      </c>
      <c r="E92" s="21">
        <v>7955</v>
      </c>
      <c r="F92" s="21">
        <v>7056</v>
      </c>
      <c r="G92" s="21">
        <v>7013</v>
      </c>
      <c r="H92" s="21">
        <v>6340</v>
      </c>
      <c r="I92" s="21">
        <v>6234</v>
      </c>
      <c r="J92" s="21">
        <v>6692</v>
      </c>
      <c r="K92" s="21">
        <v>7311</v>
      </c>
      <c r="L92" s="21">
        <v>7293</v>
      </c>
      <c r="M92" s="21">
        <v>7511</v>
      </c>
      <c r="N92" s="21">
        <v>7404</v>
      </c>
      <c r="O92" s="21">
        <v>7110</v>
      </c>
      <c r="P92" s="21">
        <v>6933</v>
      </c>
      <c r="Q92" s="21">
        <v>7696</v>
      </c>
      <c r="R92" s="21">
        <v>7412</v>
      </c>
      <c r="S92" s="21">
        <v>7764</v>
      </c>
      <c r="T92" s="21">
        <v>8020</v>
      </c>
      <c r="U92" s="21">
        <v>7661</v>
      </c>
      <c r="V92" s="21">
        <v>7511</v>
      </c>
      <c r="W92" s="21">
        <v>7771</v>
      </c>
      <c r="X92" s="21">
        <v>8457</v>
      </c>
      <c r="Y92" s="21">
        <v>8081</v>
      </c>
      <c r="Z92" s="21">
        <v>8303</v>
      </c>
      <c r="AA92" s="21">
        <v>8649</v>
      </c>
      <c r="AB92" s="21">
        <v>8021</v>
      </c>
      <c r="AC92" s="21">
        <v>7623</v>
      </c>
      <c r="AD92" s="21">
        <v>7867</v>
      </c>
      <c r="AE92" s="21">
        <v>8343</v>
      </c>
      <c r="AF92" s="21">
        <v>8034</v>
      </c>
      <c r="AG92" s="21">
        <v>8142</v>
      </c>
      <c r="AH92" s="21">
        <v>8420</v>
      </c>
      <c r="AI92" s="21">
        <v>8379</v>
      </c>
      <c r="AJ92" s="21">
        <v>8287</v>
      </c>
      <c r="AK92" s="21">
        <v>8162</v>
      </c>
      <c r="AL92" s="21">
        <v>8135</v>
      </c>
      <c r="AM92" s="21">
        <v>7827</v>
      </c>
      <c r="AN92" s="21">
        <v>7530</v>
      </c>
      <c r="AO92" s="21">
        <v>6890</v>
      </c>
      <c r="AP92" s="21">
        <v>7180</v>
      </c>
      <c r="AQ92" s="21">
        <v>6879</v>
      </c>
      <c r="AR92" s="21">
        <v>7462</v>
      </c>
      <c r="AS92" s="21">
        <v>7509</v>
      </c>
      <c r="AT92" s="21">
        <v>7788</v>
      </c>
      <c r="AU92" s="21">
        <v>7637</v>
      </c>
      <c r="AV92" s="21">
        <v>7938</v>
      </c>
      <c r="AW92" s="21">
        <v>7568</v>
      </c>
      <c r="AX92" s="21">
        <v>7760</v>
      </c>
      <c r="AY92" s="21">
        <v>7980</v>
      </c>
      <c r="AZ92" s="21">
        <v>7652</v>
      </c>
      <c r="BA92" s="21">
        <v>7550</v>
      </c>
      <c r="BB92" s="21">
        <v>7051</v>
      </c>
      <c r="BC92" s="21">
        <v>7385</v>
      </c>
      <c r="BD92" s="21">
        <v>7735</v>
      </c>
      <c r="BE92" s="21">
        <v>7694</v>
      </c>
      <c r="BF92" s="21">
        <v>7001</v>
      </c>
      <c r="BG92" s="21">
        <v>6712</v>
      </c>
      <c r="BH92" s="21">
        <v>6751</v>
      </c>
      <c r="BI92" s="21">
        <v>6559</v>
      </c>
      <c r="BJ92" s="21">
        <v>6227</v>
      </c>
      <c r="BK92" s="21">
        <v>6188</v>
      </c>
      <c r="BL92" s="21">
        <v>6000</v>
      </c>
      <c r="BM92" s="1">
        <v>5867</v>
      </c>
      <c r="BN92" s="1">
        <v>5970</v>
      </c>
      <c r="BO92" s="1">
        <v>5875</v>
      </c>
      <c r="BP92" s="1">
        <v>5739</v>
      </c>
      <c r="BQ92" s="1">
        <v>5659</v>
      </c>
      <c r="BR92" s="1">
        <v>5893</v>
      </c>
      <c r="BS92" s="1">
        <v>5851</v>
      </c>
      <c r="BT92" s="1">
        <v>5698</v>
      </c>
      <c r="BU92" s="1">
        <v>5625</v>
      </c>
      <c r="BV92" s="1">
        <v>5721</v>
      </c>
      <c r="BW92" s="1">
        <v>5678</v>
      </c>
      <c r="BX92" s="1">
        <v>5618</v>
      </c>
      <c r="BY92" s="1">
        <v>5416</v>
      </c>
      <c r="BZ92" s="1">
        <v>5390</v>
      </c>
    </row>
    <row r="93" spans="1:78" ht="15.9" customHeight="1">
      <c r="A93" s="65" t="s">
        <v>181</v>
      </c>
      <c r="B93" s="41" t="s">
        <v>182</v>
      </c>
      <c r="C93" s="45">
        <f>_xll.RssMarket("7746","安値")</f>
        <v>733</v>
      </c>
      <c r="D93" s="16">
        <f t="shared" si="2"/>
        <v>14</v>
      </c>
      <c r="E93" s="21">
        <v>719</v>
      </c>
      <c r="F93" s="21">
        <v>709</v>
      </c>
      <c r="G93" s="21">
        <v>705</v>
      </c>
      <c r="H93" s="21">
        <v>704</v>
      </c>
      <c r="I93" s="21">
        <v>701</v>
      </c>
      <c r="J93" s="21">
        <v>735</v>
      </c>
      <c r="K93" s="21">
        <v>754</v>
      </c>
      <c r="L93" s="21">
        <v>751</v>
      </c>
      <c r="M93" s="21">
        <v>758</v>
      </c>
      <c r="N93" s="21">
        <v>755</v>
      </c>
      <c r="O93" s="21">
        <v>730</v>
      </c>
      <c r="P93" s="21">
        <v>731</v>
      </c>
      <c r="Q93" s="21">
        <v>788</v>
      </c>
      <c r="R93" s="21">
        <v>778</v>
      </c>
      <c r="S93" s="21">
        <v>773</v>
      </c>
      <c r="T93" s="21">
        <v>762</v>
      </c>
      <c r="U93" s="21">
        <v>757</v>
      </c>
      <c r="V93" s="21">
        <v>785</v>
      </c>
      <c r="W93" s="21">
        <v>820</v>
      </c>
      <c r="X93" s="21">
        <v>837</v>
      </c>
      <c r="Y93" s="21">
        <v>826</v>
      </c>
      <c r="Z93" s="21">
        <v>852</v>
      </c>
      <c r="AA93" s="21">
        <v>870</v>
      </c>
      <c r="AB93" s="21">
        <v>904</v>
      </c>
      <c r="AC93" s="21">
        <v>856</v>
      </c>
      <c r="AD93" s="21">
        <v>758</v>
      </c>
      <c r="AE93" s="21">
        <v>755</v>
      </c>
      <c r="AF93" s="21">
        <v>753</v>
      </c>
      <c r="AG93" s="21">
        <v>768</v>
      </c>
      <c r="AH93" s="21">
        <v>786</v>
      </c>
      <c r="AI93" s="21">
        <v>786</v>
      </c>
      <c r="AJ93" s="21">
        <v>815</v>
      </c>
      <c r="AK93" s="21">
        <v>811</v>
      </c>
      <c r="AL93" s="21">
        <v>718</v>
      </c>
      <c r="AM93" s="21">
        <v>737</v>
      </c>
      <c r="AN93" s="21">
        <v>702</v>
      </c>
      <c r="AO93" s="21">
        <v>660</v>
      </c>
      <c r="AP93" s="21">
        <v>680</v>
      </c>
      <c r="AQ93" s="21">
        <v>722</v>
      </c>
      <c r="AR93" s="21">
        <v>751</v>
      </c>
      <c r="AS93" s="21">
        <v>755</v>
      </c>
      <c r="AT93" s="21">
        <v>763</v>
      </c>
      <c r="AU93" s="21">
        <v>760</v>
      </c>
      <c r="AV93" s="21">
        <v>818</v>
      </c>
      <c r="AW93" s="21">
        <v>817</v>
      </c>
      <c r="AX93" s="21">
        <v>850</v>
      </c>
      <c r="AY93" s="21">
        <v>880</v>
      </c>
      <c r="AZ93" s="21">
        <v>877</v>
      </c>
      <c r="BA93" s="21">
        <v>920</v>
      </c>
      <c r="BB93" s="21">
        <v>958</v>
      </c>
      <c r="BC93" s="21">
        <v>925</v>
      </c>
      <c r="BD93" s="21">
        <v>829</v>
      </c>
      <c r="BE93" s="21">
        <v>746</v>
      </c>
      <c r="BF93" s="21">
        <v>760</v>
      </c>
      <c r="BG93" s="21">
        <v>761</v>
      </c>
      <c r="BH93" s="21">
        <v>758</v>
      </c>
      <c r="BI93" s="21">
        <v>820</v>
      </c>
      <c r="BJ93" s="21">
        <v>840</v>
      </c>
      <c r="BK93" s="21">
        <v>833</v>
      </c>
      <c r="BL93" s="21">
        <v>805</v>
      </c>
      <c r="BM93" s="1">
        <v>850</v>
      </c>
      <c r="BN93" s="1">
        <v>920</v>
      </c>
      <c r="BO93" s="1">
        <v>917</v>
      </c>
      <c r="BP93" s="1">
        <v>955</v>
      </c>
      <c r="BQ93" s="1">
        <v>976</v>
      </c>
      <c r="BR93" s="1">
        <v>985</v>
      </c>
      <c r="BS93" s="1">
        <v>983</v>
      </c>
      <c r="BT93" s="1">
        <v>949</v>
      </c>
      <c r="BU93" s="1">
        <v>938</v>
      </c>
      <c r="BV93" s="1">
        <v>958</v>
      </c>
      <c r="BW93" s="1">
        <v>969</v>
      </c>
      <c r="BX93" s="1">
        <v>972</v>
      </c>
      <c r="BY93" s="1">
        <v>952</v>
      </c>
      <c r="BZ93" s="1">
        <v>1010</v>
      </c>
    </row>
    <row r="94" spans="1:78" ht="15.9" customHeight="1">
      <c r="A94" s="65" t="s">
        <v>183</v>
      </c>
      <c r="B94" s="41" t="s">
        <v>184</v>
      </c>
      <c r="C94" s="45">
        <f>_xll.RssMarket("3407","安値")</f>
        <v>1605</v>
      </c>
      <c r="D94" s="16">
        <f t="shared" si="2"/>
        <v>46.5</v>
      </c>
      <c r="E94" s="21">
        <v>1558.5</v>
      </c>
      <c r="F94" s="21">
        <v>1618.5</v>
      </c>
      <c r="G94" s="21">
        <v>1710</v>
      </c>
      <c r="H94" s="21">
        <v>1785.5</v>
      </c>
      <c r="I94" s="21">
        <v>1794</v>
      </c>
      <c r="J94" s="21">
        <v>1800</v>
      </c>
      <c r="K94" s="21">
        <v>1844.5</v>
      </c>
      <c r="L94" s="21">
        <v>1837.5</v>
      </c>
      <c r="M94" s="21">
        <v>1846</v>
      </c>
      <c r="N94" s="21">
        <v>1852.5</v>
      </c>
      <c r="O94" s="21">
        <v>1827</v>
      </c>
      <c r="P94" s="21">
        <v>1804</v>
      </c>
      <c r="Q94" s="21">
        <v>1868</v>
      </c>
      <c r="R94" s="21">
        <v>1813.5</v>
      </c>
      <c r="S94" s="21">
        <v>1815.5</v>
      </c>
      <c r="T94" s="21">
        <v>1831.5</v>
      </c>
      <c r="U94" s="21">
        <v>1831.5</v>
      </c>
      <c r="V94" s="21">
        <v>1832</v>
      </c>
      <c r="W94" s="21">
        <v>1867.5</v>
      </c>
      <c r="X94" s="21">
        <v>1850.5</v>
      </c>
      <c r="Y94" s="21">
        <v>1775</v>
      </c>
      <c r="Z94" s="21">
        <v>1761.5</v>
      </c>
      <c r="AA94" s="21">
        <v>1765</v>
      </c>
      <c r="AB94" s="21">
        <v>1776</v>
      </c>
      <c r="AC94" s="21">
        <v>1782.5</v>
      </c>
      <c r="AD94" s="21">
        <v>1779</v>
      </c>
      <c r="AE94" s="21">
        <v>1788.5</v>
      </c>
      <c r="AF94" s="21">
        <v>1750.5</v>
      </c>
      <c r="AG94" s="21">
        <v>1778.5</v>
      </c>
      <c r="AH94" s="21">
        <v>1795.5</v>
      </c>
      <c r="AI94" s="21">
        <v>1785</v>
      </c>
      <c r="AJ94" s="21">
        <v>1774</v>
      </c>
      <c r="AK94" s="21">
        <v>1750</v>
      </c>
      <c r="AL94" s="21">
        <v>1730</v>
      </c>
      <c r="AM94" s="21">
        <v>1756</v>
      </c>
      <c r="AN94" s="21">
        <v>1770</v>
      </c>
      <c r="AO94" s="21">
        <v>1707.5</v>
      </c>
      <c r="AP94" s="21">
        <v>1732</v>
      </c>
      <c r="AQ94" s="21">
        <v>1727</v>
      </c>
      <c r="AR94" s="21">
        <v>1762.5</v>
      </c>
      <c r="AS94" s="21">
        <v>1745</v>
      </c>
      <c r="AT94" s="21">
        <v>1743</v>
      </c>
      <c r="AU94" s="21">
        <v>1700.5</v>
      </c>
      <c r="AV94" s="21">
        <v>1765</v>
      </c>
      <c r="AW94" s="21">
        <v>1707</v>
      </c>
      <c r="AX94" s="21">
        <v>1742.5</v>
      </c>
      <c r="AY94" s="21">
        <v>1741</v>
      </c>
      <c r="AZ94" s="21">
        <v>1695.5</v>
      </c>
      <c r="BA94" s="21">
        <v>1680.5</v>
      </c>
      <c r="BB94" s="21">
        <v>1671.5</v>
      </c>
      <c r="BC94" s="21">
        <v>1678.5</v>
      </c>
      <c r="BD94" s="21">
        <v>1667</v>
      </c>
      <c r="BE94" s="21">
        <v>1705.5</v>
      </c>
      <c r="BF94" s="21">
        <v>1708</v>
      </c>
      <c r="BG94" s="21">
        <v>1645.5</v>
      </c>
      <c r="BH94" s="21">
        <v>1541</v>
      </c>
      <c r="BI94" s="21">
        <v>1516.5</v>
      </c>
      <c r="BJ94" s="21">
        <v>1506.5</v>
      </c>
      <c r="BK94" s="21">
        <v>1537</v>
      </c>
      <c r="BL94" s="21">
        <v>1503.5</v>
      </c>
      <c r="BM94" s="1">
        <v>1508.5</v>
      </c>
      <c r="BN94" s="1">
        <v>1527</v>
      </c>
      <c r="BO94" s="1">
        <v>1505</v>
      </c>
      <c r="BP94" s="1">
        <v>1508</v>
      </c>
      <c r="BQ94" s="1">
        <v>1488</v>
      </c>
      <c r="BR94" s="1">
        <v>1528</v>
      </c>
      <c r="BS94" s="1">
        <v>1558.5</v>
      </c>
      <c r="BT94" s="1">
        <v>1556.5</v>
      </c>
      <c r="BU94" s="1">
        <v>1591</v>
      </c>
      <c r="BV94" s="1">
        <v>1560</v>
      </c>
      <c r="BW94" s="1">
        <v>1540.5</v>
      </c>
      <c r="BX94" s="1">
        <v>1564</v>
      </c>
      <c r="BY94" s="1">
        <v>1601</v>
      </c>
      <c r="BZ94" s="1">
        <v>1634</v>
      </c>
    </row>
    <row r="95" spans="1:78" ht="15.9" customHeight="1">
      <c r="A95" s="65" t="s">
        <v>185</v>
      </c>
      <c r="B95" s="41" t="s">
        <v>186</v>
      </c>
      <c r="C95" s="45">
        <f>_xll.RssMarket("4008","安値")</f>
        <v>1240</v>
      </c>
      <c r="D95" s="16">
        <f t="shared" si="2"/>
        <v>25</v>
      </c>
      <c r="E95" s="2">
        <v>1215</v>
      </c>
      <c r="F95" s="30">
        <v>1199</v>
      </c>
      <c r="G95" s="30">
        <v>1218</v>
      </c>
      <c r="H95" s="30">
        <v>1206</v>
      </c>
      <c r="I95" s="30">
        <v>1195</v>
      </c>
      <c r="J95" s="30">
        <v>1227</v>
      </c>
      <c r="K95" s="30">
        <v>1277</v>
      </c>
      <c r="L95" s="30"/>
      <c r="M95" s="30">
        <v>1287</v>
      </c>
      <c r="N95" s="30">
        <v>1291</v>
      </c>
      <c r="O95" s="30">
        <v>1267</v>
      </c>
      <c r="P95" s="30">
        <v>1242</v>
      </c>
      <c r="Q95" s="30">
        <v>1293</v>
      </c>
      <c r="R95" s="30">
        <v>1263</v>
      </c>
      <c r="S95" s="30">
        <v>1259</v>
      </c>
      <c r="T95" s="30">
        <v>1265</v>
      </c>
      <c r="U95" s="30">
        <v>1275</v>
      </c>
      <c r="V95" s="30">
        <v>1287</v>
      </c>
      <c r="W95" s="30">
        <v>1307</v>
      </c>
      <c r="X95" s="30">
        <v>1343</v>
      </c>
      <c r="Y95" s="30">
        <v>1307</v>
      </c>
      <c r="Z95" s="30">
        <v>1295</v>
      </c>
      <c r="AA95" s="30">
        <v>1275</v>
      </c>
      <c r="AB95" s="30">
        <v>1258</v>
      </c>
      <c r="AC95" s="30">
        <v>1263</v>
      </c>
      <c r="AD95" s="30">
        <v>1281</v>
      </c>
      <c r="AE95" s="30">
        <v>1278</v>
      </c>
      <c r="AF95" s="30">
        <v>1256</v>
      </c>
      <c r="AG95" s="30">
        <v>1289</v>
      </c>
      <c r="AH95" s="30">
        <v>1325</v>
      </c>
      <c r="AI95" s="30">
        <v>1302</v>
      </c>
      <c r="AJ95" s="30">
        <v>1312</v>
      </c>
      <c r="AK95" s="30">
        <v>1317</v>
      </c>
      <c r="AL95" s="30">
        <v>1313</v>
      </c>
      <c r="AM95" s="30">
        <v>1305</v>
      </c>
      <c r="AN95" s="30">
        <v>1277</v>
      </c>
      <c r="AO95" s="30">
        <v>1226</v>
      </c>
      <c r="AP95" s="30">
        <v>1250</v>
      </c>
      <c r="AQ95" s="30">
        <v>1236</v>
      </c>
      <c r="AR95" s="30">
        <v>1265</v>
      </c>
      <c r="AS95" s="30">
        <v>1270</v>
      </c>
      <c r="AT95" s="30">
        <v>1297</v>
      </c>
      <c r="AU95" s="30">
        <v>1233</v>
      </c>
      <c r="AV95" s="30">
        <v>1320</v>
      </c>
      <c r="AW95" s="30">
        <v>1297</v>
      </c>
      <c r="AX95" s="30">
        <v>1260</v>
      </c>
      <c r="AY95" s="30">
        <v>1265</v>
      </c>
      <c r="AZ95" s="30">
        <v>1240</v>
      </c>
      <c r="BA95" s="30">
        <v>1231</v>
      </c>
      <c r="BB95" s="30">
        <v>1201</v>
      </c>
      <c r="BC95" s="30">
        <v>1218</v>
      </c>
      <c r="BD95" s="30">
        <v>1237</v>
      </c>
      <c r="BE95" s="30">
        <v>1228</v>
      </c>
      <c r="BF95" s="30">
        <v>1229</v>
      </c>
      <c r="BG95" s="30">
        <v>1201</v>
      </c>
      <c r="BH95" s="30">
        <v>1151</v>
      </c>
      <c r="BI95" s="30">
        <v>1204</v>
      </c>
      <c r="BJ95" s="30">
        <v>1189</v>
      </c>
      <c r="BK95" s="30">
        <v>1206</v>
      </c>
      <c r="BL95" s="30">
        <v>1182</v>
      </c>
      <c r="BM95" s="1">
        <v>1183</v>
      </c>
      <c r="BN95" s="1">
        <v>1191</v>
      </c>
      <c r="BO95" s="1">
        <v>1184</v>
      </c>
      <c r="BP95" s="1">
        <v>1193</v>
      </c>
      <c r="BQ95" s="1">
        <v>1181</v>
      </c>
      <c r="BR95" s="1">
        <v>1196</v>
      </c>
      <c r="BS95" s="1">
        <v>1239</v>
      </c>
      <c r="BT95" s="1">
        <v>1267</v>
      </c>
      <c r="BU95" s="1">
        <v>1264</v>
      </c>
      <c r="BV95" s="1">
        <v>1274</v>
      </c>
      <c r="BW95" s="1">
        <v>1277</v>
      </c>
      <c r="BX95" s="1">
        <v>1257</v>
      </c>
      <c r="BY95" s="1">
        <v>1244</v>
      </c>
      <c r="BZ95" s="1">
        <v>1251</v>
      </c>
    </row>
    <row r="96" spans="1:78" ht="15.9" customHeight="1">
      <c r="A96" s="65" t="s">
        <v>187</v>
      </c>
      <c r="B96" s="41" t="s">
        <v>188</v>
      </c>
      <c r="C96" s="45">
        <f>_xll.RssMarket("4062","安値")</f>
        <v>19155</v>
      </c>
      <c r="D96" s="16">
        <f t="shared" si="2"/>
        <v>3420</v>
      </c>
      <c r="E96" s="30">
        <v>15735</v>
      </c>
      <c r="F96" s="30">
        <v>15165</v>
      </c>
      <c r="G96" s="30">
        <v>16650</v>
      </c>
      <c r="H96" s="30">
        <v>13095</v>
      </c>
      <c r="I96" s="30">
        <v>12980</v>
      </c>
      <c r="J96" s="30">
        <v>14470</v>
      </c>
      <c r="K96" s="30">
        <v>16420</v>
      </c>
      <c r="L96" s="30">
        <v>16825</v>
      </c>
      <c r="M96" s="30">
        <v>17790</v>
      </c>
      <c r="N96" s="30">
        <v>17965</v>
      </c>
      <c r="O96" s="30">
        <v>15930</v>
      </c>
      <c r="P96" s="30">
        <v>14860</v>
      </c>
      <c r="Q96" s="30">
        <v>17805</v>
      </c>
      <c r="R96" s="30">
        <v>17030</v>
      </c>
      <c r="S96" s="30">
        <v>18145</v>
      </c>
      <c r="T96" s="30">
        <v>19945</v>
      </c>
      <c r="U96" s="30">
        <v>19180</v>
      </c>
      <c r="V96" s="30">
        <v>18635</v>
      </c>
      <c r="W96" s="30">
        <v>19670</v>
      </c>
      <c r="X96" s="30">
        <v>20915</v>
      </c>
      <c r="Y96" s="30">
        <v>20900</v>
      </c>
      <c r="Z96" s="30">
        <v>22955</v>
      </c>
      <c r="AA96" s="30">
        <v>25125</v>
      </c>
      <c r="AB96" s="30">
        <v>23315</v>
      </c>
      <c r="AC96" s="30">
        <v>22055</v>
      </c>
      <c r="AD96" s="30">
        <v>23975</v>
      </c>
      <c r="AE96" s="30">
        <v>24625</v>
      </c>
      <c r="AF96" s="30">
        <v>23860</v>
      </c>
      <c r="AG96" s="30">
        <v>24375</v>
      </c>
      <c r="AH96" s="30">
        <v>24205</v>
      </c>
      <c r="AI96" s="30">
        <v>24545</v>
      </c>
      <c r="AJ96" s="30">
        <v>23850</v>
      </c>
      <c r="AK96" s="30">
        <v>21860</v>
      </c>
      <c r="AL96" s="30">
        <v>22250</v>
      </c>
      <c r="AM96" s="30">
        <v>20565</v>
      </c>
      <c r="AN96" s="30">
        <v>18905</v>
      </c>
      <c r="AO96" s="30">
        <v>16505</v>
      </c>
      <c r="AP96" s="30">
        <v>17110</v>
      </c>
      <c r="AQ96" s="30">
        <v>16120</v>
      </c>
      <c r="AR96" s="30">
        <v>17950</v>
      </c>
      <c r="AS96" s="30">
        <v>19965</v>
      </c>
      <c r="AT96" s="30">
        <v>21125</v>
      </c>
      <c r="AU96" s="30">
        <v>20265</v>
      </c>
      <c r="AV96" s="30">
        <v>19505</v>
      </c>
      <c r="AW96" s="30">
        <v>19135</v>
      </c>
      <c r="AX96" s="30">
        <v>20110</v>
      </c>
      <c r="AY96" s="30">
        <v>19535</v>
      </c>
      <c r="AZ96" s="30">
        <v>17960</v>
      </c>
      <c r="BA96" s="30">
        <v>16975</v>
      </c>
      <c r="BB96" s="30">
        <v>14650</v>
      </c>
      <c r="BC96" s="30">
        <v>15005</v>
      </c>
      <c r="BD96" s="30">
        <v>14970</v>
      </c>
      <c r="BE96" s="30">
        <v>15280</v>
      </c>
      <c r="BF96" s="30">
        <v>16625</v>
      </c>
      <c r="BG96" s="30">
        <v>15865</v>
      </c>
      <c r="BH96" s="30">
        <v>15235</v>
      </c>
      <c r="BI96" s="30">
        <v>15200</v>
      </c>
      <c r="BJ96" s="30">
        <v>14820</v>
      </c>
      <c r="BK96" s="30">
        <v>14805</v>
      </c>
      <c r="BL96" s="30">
        <v>13035</v>
      </c>
      <c r="BM96" s="1">
        <v>13070</v>
      </c>
      <c r="BN96" s="1">
        <v>12355</v>
      </c>
      <c r="BO96" s="1">
        <v>12200</v>
      </c>
      <c r="BP96" s="1">
        <v>12090</v>
      </c>
      <c r="BQ96" s="1">
        <v>10870</v>
      </c>
      <c r="BR96" s="1">
        <v>10395</v>
      </c>
      <c r="BS96" s="1">
        <v>9769</v>
      </c>
      <c r="BT96" s="1">
        <v>9068</v>
      </c>
      <c r="BU96" s="1">
        <v>9228</v>
      </c>
      <c r="BV96" s="1">
        <v>9401</v>
      </c>
      <c r="BW96" s="1">
        <v>9215</v>
      </c>
      <c r="BX96" s="1">
        <v>9672</v>
      </c>
      <c r="BY96" s="1">
        <v>9252</v>
      </c>
      <c r="BZ96" s="1">
        <v>9772</v>
      </c>
    </row>
    <row r="97" spans="1:78" ht="15.9" customHeight="1">
      <c r="A97" s="65" t="s">
        <v>189</v>
      </c>
      <c r="B97" s="41" t="s">
        <v>190</v>
      </c>
      <c r="C97" s="45">
        <f>_xll.RssMarket("4182","安値")</f>
        <v>4539</v>
      </c>
      <c r="D97" s="16">
        <f t="shared" si="2"/>
        <v>349</v>
      </c>
      <c r="E97" s="30">
        <v>4190</v>
      </c>
      <c r="F97" s="30">
        <v>4084</v>
      </c>
      <c r="G97" s="30">
        <v>4185</v>
      </c>
      <c r="H97" s="30">
        <v>3711</v>
      </c>
      <c r="I97" s="30">
        <v>3744</v>
      </c>
      <c r="J97" s="30">
        <v>3973</v>
      </c>
      <c r="K97" s="30">
        <v>4251</v>
      </c>
      <c r="L97" s="30">
        <v>4349</v>
      </c>
      <c r="M97" s="30">
        <v>4530</v>
      </c>
      <c r="N97" s="30">
        <v>4525</v>
      </c>
      <c r="O97" s="30">
        <v>4280</v>
      </c>
      <c r="P97" s="30">
        <v>4168</v>
      </c>
      <c r="Q97" s="30">
        <v>4640</v>
      </c>
      <c r="R97" s="30">
        <v>4433</v>
      </c>
      <c r="S97" s="30">
        <v>4496</v>
      </c>
      <c r="T97" s="30">
        <v>4660</v>
      </c>
      <c r="U97" s="30">
        <v>4600</v>
      </c>
      <c r="V97" s="30">
        <v>4544</v>
      </c>
      <c r="W97" s="30">
        <v>4626</v>
      </c>
      <c r="X97" s="30">
        <v>4757</v>
      </c>
      <c r="Y97" s="30">
        <v>4660</v>
      </c>
      <c r="Z97" s="30">
        <v>4822</v>
      </c>
      <c r="AA97" s="30">
        <v>5071</v>
      </c>
      <c r="AB97" s="30">
        <v>4978</v>
      </c>
      <c r="AC97" s="30">
        <v>4898</v>
      </c>
      <c r="AD97" s="30">
        <v>5021</v>
      </c>
      <c r="AE97" s="30">
        <v>5224</v>
      </c>
      <c r="AF97" s="30">
        <v>5159</v>
      </c>
      <c r="AG97" s="30">
        <v>5325</v>
      </c>
      <c r="AH97" s="30">
        <v>5418</v>
      </c>
      <c r="AI97" s="30">
        <v>5358</v>
      </c>
      <c r="AJ97" s="30">
        <v>5222</v>
      </c>
      <c r="AK97" s="30">
        <v>4945</v>
      </c>
      <c r="AL97" s="30">
        <v>5012</v>
      </c>
      <c r="AM97" s="30">
        <v>4961</v>
      </c>
      <c r="AN97" s="30">
        <v>4744</v>
      </c>
      <c r="AO97" s="30">
        <v>4200</v>
      </c>
      <c r="AP97" s="30">
        <v>4406</v>
      </c>
      <c r="AQ97" s="30">
        <v>4640</v>
      </c>
      <c r="AR97" s="30">
        <v>4916</v>
      </c>
      <c r="AS97" s="30">
        <v>5203</v>
      </c>
      <c r="AT97" s="30">
        <v>5325</v>
      </c>
      <c r="AU97" s="30">
        <v>5119</v>
      </c>
      <c r="AV97" s="30">
        <v>5450</v>
      </c>
      <c r="AW97" s="30">
        <v>5212</v>
      </c>
      <c r="AX97" s="30">
        <v>5283</v>
      </c>
      <c r="AY97" s="30">
        <v>5217</v>
      </c>
      <c r="AZ97" s="30">
        <v>4946</v>
      </c>
      <c r="BA97" s="30">
        <v>4742</v>
      </c>
      <c r="BB97" s="30">
        <v>4389</v>
      </c>
      <c r="BC97" s="30">
        <v>4466</v>
      </c>
      <c r="BD97" s="30">
        <v>4443</v>
      </c>
      <c r="BE97" s="30">
        <v>4594</v>
      </c>
      <c r="BF97" s="30">
        <v>4799</v>
      </c>
      <c r="BG97" s="30">
        <v>4650</v>
      </c>
      <c r="BH97" s="30">
        <v>4795</v>
      </c>
      <c r="BI97" s="30">
        <v>4590</v>
      </c>
      <c r="BJ97" s="30">
        <v>4477</v>
      </c>
      <c r="BK97" s="30">
        <v>4445</v>
      </c>
      <c r="BL97" s="30">
        <v>4296</v>
      </c>
      <c r="BM97" s="1">
        <v>4335</v>
      </c>
      <c r="BN97" s="1">
        <v>4320</v>
      </c>
      <c r="BO97" s="1">
        <v>4251</v>
      </c>
      <c r="BP97" s="1">
        <v>4351</v>
      </c>
      <c r="BQ97" s="1">
        <v>4212</v>
      </c>
      <c r="BR97" s="1">
        <v>4268</v>
      </c>
      <c r="BS97" s="1">
        <v>4279</v>
      </c>
      <c r="BT97" s="1">
        <v>4231</v>
      </c>
      <c r="BU97" s="1">
        <v>4166</v>
      </c>
      <c r="BV97" s="1">
        <v>4156</v>
      </c>
      <c r="BW97" s="1">
        <v>4119</v>
      </c>
      <c r="BX97" s="1">
        <v>4190</v>
      </c>
      <c r="BY97" s="1">
        <v>4083</v>
      </c>
      <c r="BZ97" s="1">
        <v>4160</v>
      </c>
    </row>
    <row r="98" spans="1:78" ht="15.9" customHeight="1">
      <c r="A98" s="65" t="s">
        <v>191</v>
      </c>
      <c r="B98" s="41" t="s">
        <v>192</v>
      </c>
      <c r="C98" s="45">
        <f>_xll.RssMarket("4188","安値")</f>
        <v>1123</v>
      </c>
      <c r="D98" s="16">
        <f t="shared" si="2"/>
        <v>18.5</v>
      </c>
      <c r="E98" s="30">
        <v>1104.5</v>
      </c>
      <c r="F98" s="30">
        <v>1100.5</v>
      </c>
      <c r="G98" s="30">
        <v>1101.5</v>
      </c>
      <c r="H98" s="30">
        <v>1129</v>
      </c>
      <c r="I98" s="30">
        <v>1129</v>
      </c>
      <c r="J98" s="30">
        <v>1159.5</v>
      </c>
      <c r="K98" s="30">
        <v>1197.5</v>
      </c>
      <c r="L98" s="30"/>
      <c r="M98" s="30">
        <v>1201.5</v>
      </c>
      <c r="N98" s="30">
        <v>1191.5</v>
      </c>
      <c r="O98" s="30">
        <v>1180</v>
      </c>
      <c r="P98" s="30">
        <v>1144.5</v>
      </c>
      <c r="Q98" s="30">
        <v>1203</v>
      </c>
      <c r="R98" s="30">
        <v>1163</v>
      </c>
      <c r="S98" s="30">
        <v>1156</v>
      </c>
      <c r="T98" s="30">
        <v>1156.5</v>
      </c>
      <c r="U98" s="30">
        <v>1155</v>
      </c>
      <c r="V98" s="30">
        <v>1160.5</v>
      </c>
      <c r="W98" s="30">
        <v>1181</v>
      </c>
      <c r="X98" s="30">
        <v>1172.5</v>
      </c>
      <c r="Y98" s="30">
        <v>1126.5</v>
      </c>
      <c r="Z98" s="30">
        <v>1104</v>
      </c>
      <c r="AA98" s="30">
        <v>1109</v>
      </c>
      <c r="AB98" s="30">
        <v>1102.5</v>
      </c>
      <c r="AC98" s="30">
        <v>1105.5</v>
      </c>
      <c r="AD98" s="30">
        <v>1071</v>
      </c>
      <c r="AE98" s="30">
        <v>1088.5</v>
      </c>
      <c r="AF98" s="30">
        <v>1062.5</v>
      </c>
      <c r="AG98" s="30">
        <v>1081</v>
      </c>
      <c r="AH98" s="30">
        <v>1090.5</v>
      </c>
      <c r="AI98" s="30">
        <v>1089.5</v>
      </c>
      <c r="AJ98" s="30">
        <v>1120</v>
      </c>
      <c r="AK98" s="30">
        <v>1093</v>
      </c>
      <c r="AL98" s="30">
        <v>1103</v>
      </c>
      <c r="AM98" s="30">
        <v>1120</v>
      </c>
      <c r="AN98" s="30">
        <v>1055.5</v>
      </c>
      <c r="AO98" s="30">
        <v>999</v>
      </c>
      <c r="AP98" s="30">
        <v>1010</v>
      </c>
      <c r="AQ98" s="30">
        <v>1020</v>
      </c>
      <c r="AR98" s="30">
        <v>1052</v>
      </c>
      <c r="AS98" s="30">
        <v>1080</v>
      </c>
      <c r="AT98" s="30">
        <v>1078.5</v>
      </c>
      <c r="AU98" s="30">
        <v>1056.5</v>
      </c>
      <c r="AV98" s="30">
        <v>1117.5</v>
      </c>
      <c r="AW98" s="30">
        <v>1077.5</v>
      </c>
      <c r="AX98" s="30">
        <v>1109.5</v>
      </c>
      <c r="AY98" s="30">
        <v>1041.5</v>
      </c>
      <c r="AZ98" s="30">
        <v>1004</v>
      </c>
      <c r="BA98" s="30">
        <v>999.2</v>
      </c>
      <c r="BB98" s="30">
        <v>986.9</v>
      </c>
      <c r="BC98" s="30">
        <v>1005</v>
      </c>
      <c r="BD98" s="30">
        <v>991.8</v>
      </c>
      <c r="BE98" s="30">
        <v>985.9</v>
      </c>
      <c r="BF98" s="30">
        <v>1000.5</v>
      </c>
      <c r="BG98" s="30">
        <v>928.6</v>
      </c>
      <c r="BH98" s="30">
        <v>919.4</v>
      </c>
      <c r="BI98" s="30">
        <v>910.1</v>
      </c>
      <c r="BJ98" s="30">
        <v>902</v>
      </c>
      <c r="BK98" s="30">
        <v>913.8</v>
      </c>
      <c r="BL98" s="30">
        <v>896.2</v>
      </c>
      <c r="BM98" s="1">
        <v>898.1</v>
      </c>
      <c r="BN98" s="1">
        <v>910.6</v>
      </c>
      <c r="BO98" s="1">
        <v>899.4</v>
      </c>
      <c r="BP98" s="1">
        <v>909.6</v>
      </c>
      <c r="BQ98" s="1">
        <v>901.6</v>
      </c>
      <c r="BR98" s="1">
        <v>937</v>
      </c>
      <c r="BS98" s="1">
        <v>965</v>
      </c>
      <c r="BT98" s="1">
        <v>960.3</v>
      </c>
      <c r="BU98" s="1">
        <v>983.5</v>
      </c>
      <c r="BV98" s="1">
        <v>992.8</v>
      </c>
      <c r="BW98" s="1">
        <v>991</v>
      </c>
      <c r="BX98" s="1">
        <v>963.9</v>
      </c>
      <c r="BY98" s="1">
        <v>964</v>
      </c>
      <c r="BZ98" s="1">
        <v>982.8</v>
      </c>
    </row>
    <row r="99" spans="1:78" ht="15.9" customHeight="1">
      <c r="A99" s="65" t="s">
        <v>193</v>
      </c>
      <c r="B99" s="41" t="s">
        <v>194</v>
      </c>
      <c r="C99" s="45">
        <f>_xll.RssMarket("4523","安値")</f>
        <v>4476</v>
      </c>
      <c r="D99" s="16">
        <f t="shared" si="2"/>
        <v>-90</v>
      </c>
      <c r="E99" s="30">
        <v>4566</v>
      </c>
      <c r="F99" s="30">
        <v>4538</v>
      </c>
      <c r="G99" s="30">
        <v>4805</v>
      </c>
      <c r="H99" s="30">
        <v>4897</v>
      </c>
      <c r="I99" s="30">
        <v>4846</v>
      </c>
      <c r="J99" s="30">
        <v>4750</v>
      </c>
      <c r="K99" s="30">
        <v>4636</v>
      </c>
      <c r="L99" s="30">
        <v>4563</v>
      </c>
      <c r="M99" s="30">
        <v>4515</v>
      </c>
      <c r="N99" s="30">
        <v>4440</v>
      </c>
      <c r="O99" s="30">
        <v>4452</v>
      </c>
      <c r="P99" s="30">
        <v>4379</v>
      </c>
      <c r="Q99" s="30">
        <v>4238</v>
      </c>
      <c r="R99" s="30">
        <v>4310</v>
      </c>
      <c r="S99" s="30">
        <v>4222</v>
      </c>
      <c r="T99" s="30">
        <v>4252</v>
      </c>
      <c r="U99" s="30">
        <v>4263</v>
      </c>
      <c r="V99" s="30">
        <v>4295</v>
      </c>
      <c r="W99" s="30">
        <v>4269</v>
      </c>
      <c r="X99" s="30">
        <v>4280</v>
      </c>
      <c r="Y99" s="30">
        <v>4242</v>
      </c>
      <c r="Z99" s="30">
        <v>4114</v>
      </c>
      <c r="AA99" s="30">
        <v>4050</v>
      </c>
      <c r="AB99" s="30">
        <v>4110</v>
      </c>
      <c r="AC99" s="30">
        <v>4006</v>
      </c>
      <c r="AD99" s="30">
        <v>3940</v>
      </c>
      <c r="AE99" s="30">
        <v>3881</v>
      </c>
      <c r="AF99" s="30">
        <v>3876</v>
      </c>
      <c r="AG99" s="30">
        <v>3894</v>
      </c>
      <c r="AH99" s="30">
        <v>3822</v>
      </c>
      <c r="AI99" s="30">
        <v>3872</v>
      </c>
      <c r="AJ99" s="30">
        <v>3881</v>
      </c>
      <c r="AK99" s="30">
        <v>3813</v>
      </c>
      <c r="AL99" s="30">
        <v>3719</v>
      </c>
      <c r="AM99" s="30">
        <v>3779</v>
      </c>
      <c r="AN99" s="30">
        <v>3725</v>
      </c>
      <c r="AO99" s="30">
        <v>3660</v>
      </c>
      <c r="AP99" s="30">
        <v>3706</v>
      </c>
      <c r="AQ99" s="30">
        <v>3772</v>
      </c>
      <c r="AR99" s="30">
        <v>3767</v>
      </c>
      <c r="AS99" s="30">
        <v>3785</v>
      </c>
      <c r="AT99" s="30">
        <v>3719</v>
      </c>
      <c r="AU99" s="30">
        <v>3737</v>
      </c>
      <c r="AV99" s="30">
        <v>3901</v>
      </c>
      <c r="AW99" s="30">
        <v>3901</v>
      </c>
      <c r="AX99" s="30">
        <v>3973</v>
      </c>
      <c r="AY99" s="30">
        <v>4120</v>
      </c>
      <c r="AZ99" s="30">
        <v>4157</v>
      </c>
      <c r="BA99" s="30">
        <v>4206</v>
      </c>
      <c r="BB99" s="30">
        <v>4231</v>
      </c>
      <c r="BC99" s="30">
        <v>4426</v>
      </c>
      <c r="BD99" s="30">
        <v>4351</v>
      </c>
      <c r="BE99" s="30">
        <v>4615</v>
      </c>
      <c r="BF99" s="30">
        <v>4664</v>
      </c>
      <c r="BG99" s="30">
        <v>4653</v>
      </c>
      <c r="BH99" s="30">
        <v>4639</v>
      </c>
      <c r="BI99" s="30">
        <v>4511</v>
      </c>
      <c r="BJ99" s="30">
        <v>4638</v>
      </c>
      <c r="BK99" s="30">
        <v>4640</v>
      </c>
      <c r="BL99" s="30">
        <v>4600</v>
      </c>
      <c r="BM99" s="1">
        <v>4583</v>
      </c>
      <c r="BN99" s="1">
        <v>4539</v>
      </c>
      <c r="BO99" s="1">
        <v>4554</v>
      </c>
      <c r="BP99" s="1">
        <v>4715</v>
      </c>
      <c r="BQ99" s="1">
        <v>4729</v>
      </c>
      <c r="BR99" s="1">
        <v>4825</v>
      </c>
      <c r="BS99" s="1">
        <v>4808</v>
      </c>
      <c r="BT99" s="1">
        <v>4863</v>
      </c>
      <c r="BU99" s="1">
        <v>4891</v>
      </c>
      <c r="BV99" s="1">
        <v>5020</v>
      </c>
      <c r="BW99" s="1">
        <v>4890</v>
      </c>
      <c r="BX99" s="1">
        <v>4850</v>
      </c>
      <c r="BY99" s="1">
        <v>4935</v>
      </c>
      <c r="BZ99" s="1">
        <v>5016</v>
      </c>
    </row>
    <row r="100" spans="1:78" ht="15.9" customHeight="1">
      <c r="A100" s="65" t="s">
        <v>195</v>
      </c>
      <c r="B100" s="41" t="s">
        <v>196</v>
      </c>
      <c r="C100" s="45">
        <f>_xll.RssMarket("4528","安値")</f>
        <v>2264.5</v>
      </c>
      <c r="D100" s="16">
        <f t="shared" si="2"/>
        <v>-25.5</v>
      </c>
      <c r="E100" s="30">
        <v>2290</v>
      </c>
      <c r="F100" s="30">
        <v>2287</v>
      </c>
      <c r="G100" s="30">
        <v>2324</v>
      </c>
      <c r="H100" s="30">
        <v>2404</v>
      </c>
      <c r="I100" s="30">
        <v>2426.5</v>
      </c>
      <c r="J100" s="30">
        <v>2408.5</v>
      </c>
      <c r="K100" s="30">
        <v>2406</v>
      </c>
      <c r="L100" s="30"/>
      <c r="M100" s="30">
        <v>2378</v>
      </c>
      <c r="N100" s="30">
        <v>2384</v>
      </c>
      <c r="O100" s="30">
        <v>2394.5</v>
      </c>
      <c r="P100" s="30">
        <v>2354</v>
      </c>
      <c r="Q100" s="30">
        <v>2364.5</v>
      </c>
      <c r="R100" s="30">
        <v>2389</v>
      </c>
      <c r="S100" s="30">
        <v>2386</v>
      </c>
      <c r="T100" s="30">
        <v>2422</v>
      </c>
      <c r="U100" s="30">
        <v>2434.5</v>
      </c>
      <c r="V100" s="30">
        <v>2449</v>
      </c>
      <c r="W100" s="30">
        <v>2423</v>
      </c>
      <c r="X100" s="30">
        <v>2425.5</v>
      </c>
      <c r="Y100" s="30">
        <v>2408.5</v>
      </c>
      <c r="Z100" s="30">
        <v>2352</v>
      </c>
      <c r="AA100" s="30">
        <v>2336</v>
      </c>
      <c r="AB100" s="30">
        <v>2379</v>
      </c>
      <c r="AC100" s="30">
        <v>2377</v>
      </c>
      <c r="AD100" s="30">
        <v>2326</v>
      </c>
      <c r="AE100" s="30">
        <v>2337.5</v>
      </c>
      <c r="AF100" s="30">
        <v>2323</v>
      </c>
      <c r="AG100" s="30">
        <v>2321</v>
      </c>
      <c r="AH100" s="30">
        <v>2318.5</v>
      </c>
      <c r="AI100" s="30">
        <v>2208</v>
      </c>
      <c r="AJ100" s="30">
        <v>2248</v>
      </c>
      <c r="AK100" s="30">
        <v>2240</v>
      </c>
      <c r="AL100" s="30">
        <v>2245.5</v>
      </c>
      <c r="AM100" s="30">
        <v>2263.5</v>
      </c>
      <c r="AN100" s="30">
        <v>2187.5</v>
      </c>
      <c r="AO100" s="30">
        <v>2186.5</v>
      </c>
      <c r="AP100" s="30">
        <v>2189</v>
      </c>
      <c r="AQ100" s="30">
        <v>2221</v>
      </c>
      <c r="AR100" s="30">
        <v>2186.5</v>
      </c>
      <c r="AS100" s="30">
        <v>2157</v>
      </c>
      <c r="AT100" s="30">
        <v>2114.5</v>
      </c>
      <c r="AU100" s="30">
        <v>2207</v>
      </c>
      <c r="AV100" s="30">
        <v>2385</v>
      </c>
      <c r="AW100" s="30">
        <v>2362</v>
      </c>
      <c r="AX100" s="30">
        <v>2270.5</v>
      </c>
      <c r="AY100" s="30">
        <v>2428.5</v>
      </c>
      <c r="AZ100" s="30">
        <v>2466.5</v>
      </c>
      <c r="BA100" s="30">
        <v>2443.5</v>
      </c>
      <c r="BB100" s="30">
        <v>2415</v>
      </c>
      <c r="BC100" s="30">
        <v>2393.5</v>
      </c>
      <c r="BD100" s="30">
        <v>2432.5</v>
      </c>
      <c r="BE100" s="30">
        <v>2518</v>
      </c>
      <c r="BF100" s="30">
        <v>2508.5</v>
      </c>
      <c r="BG100" s="30">
        <v>2489.5</v>
      </c>
      <c r="BH100" s="30">
        <v>2454.5</v>
      </c>
      <c r="BI100" s="30">
        <v>2420.5</v>
      </c>
      <c r="BJ100" s="30">
        <v>2251</v>
      </c>
      <c r="BK100" s="30">
        <v>2292.5</v>
      </c>
      <c r="BL100" s="30">
        <v>2268.5</v>
      </c>
      <c r="BM100" s="1">
        <v>2260</v>
      </c>
      <c r="BN100" s="1">
        <v>2272</v>
      </c>
      <c r="BO100" s="1">
        <v>2294</v>
      </c>
      <c r="BP100" s="1">
        <v>2316</v>
      </c>
      <c r="BQ100" s="1">
        <v>2281</v>
      </c>
      <c r="BR100" s="1">
        <v>2304.5</v>
      </c>
      <c r="BS100" s="1">
        <v>2356.5</v>
      </c>
      <c r="BT100" s="1">
        <v>2398.5</v>
      </c>
      <c r="BU100" s="1">
        <v>2399</v>
      </c>
      <c r="BV100" s="1">
        <v>2444</v>
      </c>
      <c r="BW100" s="1">
        <v>2435.5</v>
      </c>
      <c r="BX100" s="1">
        <v>2470</v>
      </c>
      <c r="BY100" s="1">
        <v>2492</v>
      </c>
      <c r="BZ100" s="1">
        <v>2507</v>
      </c>
    </row>
    <row r="101" spans="1:78" ht="15.9" customHeight="1">
      <c r="A101" s="65" t="s">
        <v>197</v>
      </c>
      <c r="B101" s="41" t="s">
        <v>198</v>
      </c>
      <c r="C101" s="45">
        <f>_xll.RssMarket("4661","安値")</f>
        <v>2847</v>
      </c>
      <c r="D101" s="16">
        <f t="shared" si="2"/>
        <v>-86</v>
      </c>
      <c r="E101" s="30">
        <v>2933</v>
      </c>
      <c r="F101" s="30">
        <v>3015</v>
      </c>
      <c r="G101" s="30">
        <v>2991</v>
      </c>
      <c r="H101" s="30">
        <v>2908</v>
      </c>
      <c r="I101" s="30">
        <v>2876</v>
      </c>
      <c r="J101" s="30">
        <v>2843.5</v>
      </c>
      <c r="K101" s="30">
        <v>2708</v>
      </c>
      <c r="L101" s="30"/>
      <c r="M101" s="30">
        <v>2606.5</v>
      </c>
      <c r="N101" s="30">
        <v>2582</v>
      </c>
      <c r="O101" s="30">
        <v>2721</v>
      </c>
      <c r="P101" s="30">
        <v>2709.5</v>
      </c>
      <c r="Q101" s="30">
        <v>2612.5</v>
      </c>
      <c r="R101" s="30">
        <v>2672.5</v>
      </c>
      <c r="S101" s="30">
        <v>2597</v>
      </c>
      <c r="T101" s="30">
        <v>2581.5</v>
      </c>
      <c r="U101" s="30">
        <v>2546</v>
      </c>
      <c r="V101" s="30">
        <v>2584.5</v>
      </c>
      <c r="W101" s="30">
        <v>2537.5</v>
      </c>
      <c r="X101" s="30">
        <v>2502</v>
      </c>
      <c r="Y101" s="30">
        <v>2538</v>
      </c>
      <c r="Z101" s="30">
        <v>2455.5</v>
      </c>
      <c r="AA101" s="30">
        <v>2405.5</v>
      </c>
      <c r="AB101" s="30">
        <v>2462</v>
      </c>
      <c r="AC101" s="30">
        <v>2405</v>
      </c>
      <c r="AD101" s="30">
        <v>2376</v>
      </c>
      <c r="AE101" s="30">
        <v>2347</v>
      </c>
      <c r="AF101" s="30">
        <v>2358</v>
      </c>
      <c r="AG101" s="30">
        <v>2301</v>
      </c>
      <c r="AH101" s="30">
        <v>2308.5</v>
      </c>
      <c r="AI101" s="30">
        <v>2277.5</v>
      </c>
      <c r="AJ101" s="30">
        <v>2244</v>
      </c>
      <c r="AK101" s="30">
        <v>2260.5</v>
      </c>
      <c r="AL101" s="30">
        <v>2242</v>
      </c>
      <c r="AM101" s="30">
        <v>2220</v>
      </c>
      <c r="AN101" s="30">
        <v>2239.5</v>
      </c>
      <c r="AO101" s="30">
        <v>2284</v>
      </c>
      <c r="AP101" s="30">
        <v>2211.5</v>
      </c>
      <c r="AQ101" s="30">
        <v>2189</v>
      </c>
      <c r="AR101" s="30">
        <v>2180.5</v>
      </c>
      <c r="AS101" s="30">
        <v>2171.5</v>
      </c>
      <c r="AT101" s="30">
        <v>2139</v>
      </c>
      <c r="AU101" s="30">
        <v>2173.5</v>
      </c>
      <c r="AV101" s="30">
        <v>2257</v>
      </c>
      <c r="AW101" s="30">
        <v>2213.5</v>
      </c>
      <c r="AX101" s="30">
        <v>2116</v>
      </c>
      <c r="AY101" s="30">
        <v>2103</v>
      </c>
      <c r="AZ101" s="30">
        <v>2111</v>
      </c>
      <c r="BA101" s="30">
        <v>2141.5</v>
      </c>
      <c r="BB101" s="30">
        <v>2199</v>
      </c>
      <c r="BC101" s="30">
        <v>2141.5</v>
      </c>
      <c r="BD101" s="30">
        <v>2115.5</v>
      </c>
      <c r="BE101" s="30">
        <v>2128</v>
      </c>
      <c r="BF101" s="30">
        <v>2131</v>
      </c>
      <c r="BG101" s="30">
        <v>2159</v>
      </c>
      <c r="BH101" s="30">
        <v>2168</v>
      </c>
      <c r="BI101" s="30">
        <v>2162</v>
      </c>
      <c r="BJ101" s="30">
        <v>2223</v>
      </c>
      <c r="BK101" s="30">
        <v>2144</v>
      </c>
      <c r="BL101" s="30">
        <v>2191</v>
      </c>
      <c r="BM101" s="1">
        <v>2188</v>
      </c>
      <c r="BN101" s="1">
        <v>2395</v>
      </c>
      <c r="BO101" s="1">
        <v>2378</v>
      </c>
      <c r="BP101" s="1">
        <v>2390</v>
      </c>
      <c r="BQ101" s="1">
        <v>2481.5</v>
      </c>
      <c r="BR101" s="1">
        <v>2577.5</v>
      </c>
      <c r="BS101" s="1">
        <v>2613</v>
      </c>
      <c r="BT101" s="1">
        <v>2640</v>
      </c>
      <c r="BU101" s="1">
        <v>2615</v>
      </c>
      <c r="BV101" s="1">
        <v>2638.5</v>
      </c>
      <c r="BW101" s="1">
        <v>2556.5</v>
      </c>
      <c r="BX101" s="1">
        <v>2548</v>
      </c>
      <c r="BY101" s="1">
        <v>2579</v>
      </c>
      <c r="BZ101" s="1">
        <v>2584</v>
      </c>
    </row>
    <row r="102" spans="1:78" ht="15.9" customHeight="1">
      <c r="A102" s="65" t="s">
        <v>199</v>
      </c>
      <c r="B102" s="41" t="s">
        <v>200</v>
      </c>
      <c r="C102" s="45">
        <f>_xll.RssMarket("5802","安値")</f>
        <v>2294</v>
      </c>
      <c r="D102" s="16">
        <f t="shared" ref="D102:D133" si="3">C102-E102</f>
        <v>2294</v>
      </c>
      <c r="E102" s="30"/>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78" ht="15.9" customHeight="1">
      <c r="A103" s="65" t="s">
        <v>201</v>
      </c>
      <c r="B103" s="41" t="s">
        <v>202</v>
      </c>
      <c r="C103" s="45">
        <f>_xll.RssMarket("5803","安値")</f>
        <v>4799</v>
      </c>
      <c r="D103" s="16">
        <f t="shared" si="3"/>
        <v>531</v>
      </c>
      <c r="E103" s="30">
        <v>4268</v>
      </c>
      <c r="F103" s="30">
        <v>4008</v>
      </c>
      <c r="G103" s="30">
        <v>4130</v>
      </c>
      <c r="H103" s="30">
        <v>3690</v>
      </c>
      <c r="I103" s="30">
        <v>3665</v>
      </c>
      <c r="J103" s="30">
        <v>4013</v>
      </c>
      <c r="K103" s="30">
        <v>4233</v>
      </c>
      <c r="L103" s="30">
        <v>4511</v>
      </c>
      <c r="M103" s="30">
        <v>4652</v>
      </c>
      <c r="N103" s="30">
        <v>4741</v>
      </c>
      <c r="O103" s="30">
        <v>4472</v>
      </c>
      <c r="P103" s="30">
        <v>4280</v>
      </c>
      <c r="Q103" s="30">
        <v>4834</v>
      </c>
      <c r="R103" s="30">
        <v>4564</v>
      </c>
      <c r="S103" s="30">
        <v>4915</v>
      </c>
      <c r="T103" s="30">
        <v>5095</v>
      </c>
      <c r="U103" s="30">
        <v>4904</v>
      </c>
      <c r="V103" s="30">
        <v>4816</v>
      </c>
      <c r="W103" s="30">
        <v>5050</v>
      </c>
      <c r="X103" s="30">
        <v>5221</v>
      </c>
      <c r="Y103" s="30">
        <v>5006</v>
      </c>
      <c r="Z103" s="30">
        <v>5361</v>
      </c>
      <c r="AA103" s="30">
        <v>5802</v>
      </c>
      <c r="AB103" s="30">
        <v>6039</v>
      </c>
      <c r="AC103" s="30">
        <v>5611</v>
      </c>
      <c r="AD103" s="30">
        <v>6066</v>
      </c>
      <c r="AE103" s="30">
        <v>6302</v>
      </c>
      <c r="AF103" s="30">
        <v>6138</v>
      </c>
      <c r="AG103" s="30">
        <v>6314</v>
      </c>
      <c r="AH103" s="30">
        <v>6161</v>
      </c>
      <c r="AI103" s="30">
        <v>5161</v>
      </c>
      <c r="AJ103" s="30">
        <v>4461</v>
      </c>
      <c r="AK103" s="30">
        <v>4562</v>
      </c>
      <c r="AL103" s="30">
        <v>4308</v>
      </c>
      <c r="AM103" s="30">
        <v>4301</v>
      </c>
      <c r="AN103" s="30">
        <v>4136</v>
      </c>
      <c r="AO103" s="30">
        <v>3888</v>
      </c>
      <c r="AP103" s="30">
        <v>4118</v>
      </c>
      <c r="AQ103" s="30">
        <v>4337</v>
      </c>
      <c r="AR103" s="30">
        <v>4523</v>
      </c>
      <c r="AS103" s="30">
        <v>4610</v>
      </c>
      <c r="AT103" s="30">
        <v>4745</v>
      </c>
      <c r="AU103" s="30">
        <v>4351</v>
      </c>
      <c r="AV103" s="30">
        <v>4668</v>
      </c>
      <c r="AW103" s="30">
        <v>4803</v>
      </c>
      <c r="AX103" s="30">
        <v>5035</v>
      </c>
      <c r="AY103" s="30">
        <v>5151</v>
      </c>
      <c r="AZ103" s="30">
        <v>4558</v>
      </c>
      <c r="BA103" s="30">
        <v>4315</v>
      </c>
      <c r="BB103" s="30">
        <v>4156</v>
      </c>
      <c r="BC103" s="30">
        <v>4660</v>
      </c>
      <c r="BD103" s="30">
        <v>5580</v>
      </c>
      <c r="BE103" s="30">
        <v>5725</v>
      </c>
      <c r="BF103" s="30">
        <v>6355</v>
      </c>
      <c r="BG103" s="30">
        <v>7303</v>
      </c>
      <c r="BH103" s="30">
        <v>7085</v>
      </c>
      <c r="BI103" s="30">
        <v>6634</v>
      </c>
      <c r="BJ103" s="30">
        <v>6262</v>
      </c>
      <c r="BK103" s="30">
        <v>6225</v>
      </c>
      <c r="BL103" s="30">
        <v>5803</v>
      </c>
      <c r="BM103" s="1">
        <v>5916</v>
      </c>
      <c r="BN103" s="1">
        <v>6120</v>
      </c>
      <c r="BO103" s="1">
        <v>5993</v>
      </c>
      <c r="BP103" s="1">
        <v>5894</v>
      </c>
      <c r="BQ103" s="1">
        <v>5780</v>
      </c>
      <c r="BR103" s="1">
        <v>5688</v>
      </c>
      <c r="BS103" s="1">
        <v>5574</v>
      </c>
      <c r="BT103" s="1">
        <v>5523</v>
      </c>
      <c r="BU103" s="1">
        <v>5756</v>
      </c>
      <c r="BV103" s="1">
        <v>5550</v>
      </c>
      <c r="BW103" s="1">
        <v>5625</v>
      </c>
      <c r="BX103" s="1">
        <v>5782</v>
      </c>
      <c r="BY103" s="1">
        <v>5647</v>
      </c>
      <c r="BZ103" s="1">
        <v>5173</v>
      </c>
    </row>
    <row r="104" spans="1:78" ht="15.9" customHeight="1">
      <c r="A104" s="65" t="s">
        <v>203</v>
      </c>
      <c r="B104" s="41" t="s">
        <v>204</v>
      </c>
      <c r="C104" s="45">
        <f>_xll.RssMarket("6178","安値")</f>
        <v>2316.5</v>
      </c>
      <c r="D104" s="16">
        <f t="shared" si="3"/>
        <v>10</v>
      </c>
      <c r="E104" s="30">
        <v>2306.5</v>
      </c>
      <c r="F104" s="30">
        <v>2267.5</v>
      </c>
      <c r="G104" s="30">
        <v>2375</v>
      </c>
      <c r="H104" s="30">
        <v>2401.5</v>
      </c>
      <c r="I104" s="30">
        <v>2448.5</v>
      </c>
      <c r="J104" s="30">
        <v>2448</v>
      </c>
      <c r="K104" s="30">
        <v>2495.5</v>
      </c>
      <c r="L104" s="30">
        <v>2426</v>
      </c>
      <c r="M104" s="30">
        <v>2435</v>
      </c>
      <c r="N104" s="30">
        <v>2400.5</v>
      </c>
      <c r="O104" s="30">
        <v>2334.5</v>
      </c>
      <c r="P104" s="30">
        <v>2313.5</v>
      </c>
      <c r="Q104" s="30">
        <v>2367.5</v>
      </c>
      <c r="R104" s="30">
        <v>2321</v>
      </c>
      <c r="S104" s="30">
        <v>2324</v>
      </c>
      <c r="T104" s="30">
        <v>2218</v>
      </c>
      <c r="U104" s="30">
        <v>2338.5</v>
      </c>
      <c r="V104" s="30">
        <v>2338.5</v>
      </c>
      <c r="W104" s="30">
        <v>2331</v>
      </c>
      <c r="X104" s="30">
        <v>2275</v>
      </c>
      <c r="Y104" s="30">
        <v>2250.5</v>
      </c>
      <c r="Z104" s="30">
        <v>2196</v>
      </c>
      <c r="AA104" s="30">
        <v>2157</v>
      </c>
      <c r="AB104" s="30">
        <v>2148</v>
      </c>
      <c r="AC104" s="30">
        <v>2129.5</v>
      </c>
      <c r="AD104" s="30">
        <v>2148</v>
      </c>
      <c r="AE104" s="30">
        <v>2170</v>
      </c>
      <c r="AF104" s="30">
        <v>2212</v>
      </c>
      <c r="AG104" s="30">
        <v>2207</v>
      </c>
      <c r="AH104" s="30">
        <v>2194.5</v>
      </c>
      <c r="AI104" s="30">
        <v>2201</v>
      </c>
      <c r="AJ104" s="30">
        <v>2203.5</v>
      </c>
      <c r="AK104" s="30">
        <v>2196.5</v>
      </c>
      <c r="AL104" s="30">
        <v>2213.5</v>
      </c>
      <c r="AM104" s="30">
        <v>2280</v>
      </c>
      <c r="AN104" s="30">
        <v>2257</v>
      </c>
      <c r="AO104" s="30">
        <v>2182.5</v>
      </c>
      <c r="AP104" s="30">
        <v>2189.5</v>
      </c>
      <c r="AQ104" s="30">
        <v>2095.5</v>
      </c>
      <c r="AR104" s="30">
        <v>2106</v>
      </c>
      <c r="AS104" s="30">
        <v>2078.5</v>
      </c>
      <c r="AT104" s="30">
        <v>2062.5</v>
      </c>
      <c r="AU104" s="30">
        <v>1992.5</v>
      </c>
      <c r="AV104" s="30">
        <v>2037</v>
      </c>
      <c r="AW104" s="30">
        <v>1995</v>
      </c>
      <c r="AX104" s="30">
        <v>2051</v>
      </c>
      <c r="AY104" s="30">
        <v>2056.5</v>
      </c>
      <c r="AZ104" s="30">
        <v>2088.5</v>
      </c>
      <c r="BA104" s="30">
        <v>2097</v>
      </c>
      <c r="BB104" s="30">
        <v>2068</v>
      </c>
      <c r="BC104" s="30">
        <v>2051</v>
      </c>
      <c r="BD104" s="30">
        <v>1986.5</v>
      </c>
      <c r="BE104" s="30">
        <v>1935.5</v>
      </c>
      <c r="BF104" s="30">
        <v>1929</v>
      </c>
      <c r="BG104" s="30">
        <v>1895</v>
      </c>
      <c r="BH104" s="30">
        <v>1869.5</v>
      </c>
      <c r="BI104" s="30">
        <v>1844</v>
      </c>
      <c r="BJ104" s="30">
        <v>1824</v>
      </c>
      <c r="BK104" s="30">
        <v>1829.5</v>
      </c>
      <c r="BL104" s="30">
        <v>1789</v>
      </c>
      <c r="BM104" s="1">
        <v>1787.5</v>
      </c>
      <c r="BN104" s="1">
        <v>1766.5</v>
      </c>
      <c r="BO104" s="1">
        <v>1740</v>
      </c>
      <c r="BP104" s="1">
        <v>1761.5</v>
      </c>
      <c r="BQ104" s="1">
        <v>1752.5</v>
      </c>
      <c r="BR104" s="1">
        <v>1788.5</v>
      </c>
      <c r="BS104" s="1">
        <v>1812.5</v>
      </c>
      <c r="BT104" s="1">
        <v>1858.5</v>
      </c>
      <c r="BU104" s="1">
        <v>1869</v>
      </c>
      <c r="BV104" s="1">
        <v>1880</v>
      </c>
      <c r="BW104" s="1">
        <v>1850</v>
      </c>
      <c r="BX104" s="1">
        <v>1836</v>
      </c>
      <c r="BY104" s="1">
        <v>1825</v>
      </c>
      <c r="BZ104" s="1">
        <v>1852</v>
      </c>
    </row>
    <row r="105" spans="1:78" ht="15.9" customHeight="1">
      <c r="A105" s="65" t="s">
        <v>205</v>
      </c>
      <c r="B105" s="41" t="s">
        <v>206</v>
      </c>
      <c r="C105" s="45">
        <f>_xll.RssMarket("6925","安値")</f>
        <v>4245</v>
      </c>
      <c r="D105" s="16">
        <f t="shared" si="3"/>
        <v>401</v>
      </c>
      <c r="E105" s="30">
        <v>3844</v>
      </c>
      <c r="F105" s="30">
        <v>3720</v>
      </c>
      <c r="G105" s="30">
        <v>3744</v>
      </c>
      <c r="H105" s="30">
        <v>3516</v>
      </c>
      <c r="I105" s="30">
        <v>3513</v>
      </c>
      <c r="J105" s="30">
        <v>3792</v>
      </c>
      <c r="K105" s="30">
        <v>4067</v>
      </c>
      <c r="L105" s="30">
        <v>4086</v>
      </c>
      <c r="M105" s="30">
        <v>4209</v>
      </c>
      <c r="N105" s="30">
        <v>4094</v>
      </c>
      <c r="O105" s="30">
        <v>3822</v>
      </c>
      <c r="P105" s="30">
        <v>3729</v>
      </c>
      <c r="Q105" s="30">
        <v>4126</v>
      </c>
      <c r="R105" s="30">
        <v>4005</v>
      </c>
      <c r="S105" s="30">
        <v>4151</v>
      </c>
      <c r="T105" s="30">
        <v>4363</v>
      </c>
      <c r="U105" s="30">
        <v>4195</v>
      </c>
      <c r="V105" s="30">
        <v>4130</v>
      </c>
      <c r="W105" s="30">
        <v>4335</v>
      </c>
      <c r="X105" s="30">
        <v>4476</v>
      </c>
      <c r="Y105" s="30">
        <v>4438</v>
      </c>
      <c r="Z105" s="30">
        <v>4610</v>
      </c>
      <c r="AA105" s="30">
        <v>4817</v>
      </c>
      <c r="AB105" s="30">
        <v>4286</v>
      </c>
      <c r="AC105" s="30">
        <v>4181</v>
      </c>
      <c r="AD105" s="30">
        <v>4287</v>
      </c>
      <c r="AE105" s="30">
        <v>4458</v>
      </c>
      <c r="AF105" s="30">
        <v>4351</v>
      </c>
      <c r="AG105" s="30">
        <v>4523</v>
      </c>
      <c r="AH105" s="30">
        <v>4652</v>
      </c>
      <c r="AI105" s="30">
        <v>4608</v>
      </c>
      <c r="AJ105" s="30">
        <v>4630</v>
      </c>
      <c r="AK105" s="30">
        <v>4405</v>
      </c>
      <c r="AL105" s="30">
        <v>4235</v>
      </c>
      <c r="AM105" s="30">
        <v>4145</v>
      </c>
      <c r="AN105" s="30">
        <v>3960</v>
      </c>
      <c r="AO105" s="30">
        <v>3771</v>
      </c>
      <c r="AP105" s="30">
        <v>3917</v>
      </c>
      <c r="AQ105" s="30">
        <v>3883</v>
      </c>
      <c r="AR105" s="30">
        <v>4160</v>
      </c>
      <c r="AS105" s="30">
        <v>4036</v>
      </c>
      <c r="AT105" s="30">
        <v>4048</v>
      </c>
      <c r="AU105" s="30">
        <v>3914</v>
      </c>
      <c r="AV105" s="30">
        <v>4133</v>
      </c>
      <c r="AW105" s="30">
        <v>4016</v>
      </c>
      <c r="AX105" s="30">
        <v>4143</v>
      </c>
      <c r="AY105" s="30">
        <v>4084</v>
      </c>
      <c r="AZ105" s="30">
        <v>4027</v>
      </c>
      <c r="BA105" s="30">
        <v>3812</v>
      </c>
      <c r="BB105" s="30">
        <v>3756</v>
      </c>
      <c r="BC105" s="30">
        <v>3889</v>
      </c>
      <c r="BD105" s="30">
        <v>4154</v>
      </c>
      <c r="BE105" s="30">
        <v>4239</v>
      </c>
      <c r="BF105" s="30">
        <v>3410</v>
      </c>
      <c r="BG105" s="30">
        <v>3415</v>
      </c>
      <c r="BH105" s="30">
        <v>3436</v>
      </c>
      <c r="BI105" s="30">
        <v>3370</v>
      </c>
      <c r="BJ105" s="30">
        <v>3326</v>
      </c>
      <c r="BK105" s="30">
        <v>3199</v>
      </c>
      <c r="BL105" s="30">
        <v>3095</v>
      </c>
      <c r="BM105" s="1">
        <v>3080</v>
      </c>
      <c r="BN105" s="1">
        <v>3071</v>
      </c>
      <c r="BO105" s="1">
        <v>3136</v>
      </c>
      <c r="BP105" s="1">
        <v>3192</v>
      </c>
      <c r="BQ105" s="1">
        <v>3098</v>
      </c>
      <c r="BR105" s="1">
        <v>3152</v>
      </c>
      <c r="BS105" s="1">
        <v>3191</v>
      </c>
      <c r="BT105" s="1">
        <v>3120</v>
      </c>
      <c r="BU105" s="1">
        <v>3133</v>
      </c>
      <c r="BV105" s="1">
        <v>3294</v>
      </c>
      <c r="BW105" s="1">
        <v>3282</v>
      </c>
      <c r="BX105" s="1">
        <v>3251</v>
      </c>
      <c r="BY105" s="1">
        <v>3216</v>
      </c>
      <c r="BZ105" s="1">
        <v>3207</v>
      </c>
    </row>
    <row r="106" spans="1:78" ht="15.9" customHeight="1">
      <c r="A106" s="65" t="s">
        <v>207</v>
      </c>
      <c r="B106" s="41" t="s">
        <v>208</v>
      </c>
      <c r="C106" s="45">
        <f>_xll.RssMarket("7021","安値")</f>
        <v>2050</v>
      </c>
      <c r="D106" s="16">
        <f t="shared" si="3"/>
        <v>20</v>
      </c>
      <c r="E106" s="30">
        <v>2030</v>
      </c>
      <c r="F106" s="30">
        <v>1991</v>
      </c>
      <c r="G106" s="30">
        <v>1950</v>
      </c>
      <c r="H106" s="30">
        <v>1970</v>
      </c>
      <c r="I106" s="30">
        <v>1977</v>
      </c>
      <c r="J106" s="30">
        <v>1955</v>
      </c>
      <c r="K106" s="30">
        <v>1936</v>
      </c>
      <c r="L106" s="30">
        <v>1901</v>
      </c>
      <c r="M106" s="30">
        <v>1890</v>
      </c>
      <c r="N106" s="30">
        <v>1851</v>
      </c>
      <c r="O106" s="30">
        <v>1867</v>
      </c>
      <c r="P106" s="30">
        <v>1840</v>
      </c>
      <c r="Q106" s="30">
        <v>1836</v>
      </c>
      <c r="R106" s="30">
        <v>1849</v>
      </c>
      <c r="S106" s="30">
        <v>1825</v>
      </c>
      <c r="T106" s="30">
        <v>1825</v>
      </c>
      <c r="U106" s="30">
        <v>1825</v>
      </c>
      <c r="V106" s="30">
        <v>1813</v>
      </c>
      <c r="W106" s="30">
        <v>1821</v>
      </c>
      <c r="X106" s="30">
        <v>1808</v>
      </c>
      <c r="Y106" s="30">
        <v>1788</v>
      </c>
      <c r="Z106" s="30">
        <v>1791</v>
      </c>
      <c r="AA106" s="30">
        <v>1785</v>
      </c>
      <c r="AB106" s="30">
        <v>1785</v>
      </c>
      <c r="AC106" s="30">
        <v>1775</v>
      </c>
      <c r="AD106" s="30">
        <v>1775</v>
      </c>
      <c r="AE106" s="30">
        <v>1771</v>
      </c>
      <c r="AF106" s="30">
        <v>1770</v>
      </c>
      <c r="AG106" s="30">
        <v>1761</v>
      </c>
      <c r="AH106" s="30">
        <v>1760</v>
      </c>
      <c r="AI106" s="30">
        <v>1753</v>
      </c>
      <c r="AJ106" s="30">
        <v>1751</v>
      </c>
      <c r="AK106" s="30">
        <v>1800</v>
      </c>
      <c r="AL106" s="30">
        <v>1780</v>
      </c>
      <c r="AM106" s="30">
        <v>1780</v>
      </c>
      <c r="AN106" s="30">
        <v>1764</v>
      </c>
      <c r="AO106" s="30">
        <v>1746</v>
      </c>
      <c r="AP106" s="30">
        <v>1800</v>
      </c>
      <c r="AQ106" s="30">
        <v>1763</v>
      </c>
      <c r="AR106" s="30">
        <v>1759</v>
      </c>
      <c r="AS106" s="30">
        <v>1749</v>
      </c>
      <c r="AT106" s="30">
        <v>1754</v>
      </c>
      <c r="AU106" s="30">
        <v>1800</v>
      </c>
      <c r="AV106" s="30">
        <v>1854</v>
      </c>
      <c r="AW106" s="30">
        <v>1854</v>
      </c>
      <c r="AX106" s="30">
        <v>1835</v>
      </c>
      <c r="AY106" s="30">
        <v>1805</v>
      </c>
      <c r="AZ106" s="30">
        <v>1797</v>
      </c>
      <c r="BA106" s="30">
        <v>1809</v>
      </c>
      <c r="BB106" s="30">
        <v>1812</v>
      </c>
      <c r="BC106" s="30">
        <v>1878</v>
      </c>
      <c r="BD106" s="30">
        <v>1877</v>
      </c>
      <c r="BE106" s="30">
        <v>1971</v>
      </c>
      <c r="BF106" s="30">
        <v>2155</v>
      </c>
      <c r="BG106" s="30">
        <v>2118</v>
      </c>
      <c r="BH106" s="30">
        <v>2151</v>
      </c>
      <c r="BI106" s="30">
        <v>2121</v>
      </c>
      <c r="BJ106" s="30">
        <v>2101</v>
      </c>
      <c r="BK106" s="30">
        <v>2142</v>
      </c>
      <c r="BL106" s="30">
        <v>2129</v>
      </c>
      <c r="BM106" s="1">
        <v>2151</v>
      </c>
      <c r="BN106" s="1">
        <v>2127</v>
      </c>
      <c r="BO106" s="1">
        <v>2212</v>
      </c>
      <c r="BP106" s="1">
        <v>2251</v>
      </c>
      <c r="BQ106" s="1">
        <v>2249</v>
      </c>
      <c r="BR106" s="1">
        <v>2289</v>
      </c>
      <c r="BS106" s="1">
        <v>2312</v>
      </c>
      <c r="BT106" s="1">
        <v>2308</v>
      </c>
      <c r="BU106" s="1">
        <v>2313</v>
      </c>
      <c r="BV106" s="1">
        <v>2334</v>
      </c>
      <c r="BW106" s="1">
        <v>2335</v>
      </c>
      <c r="BX106" s="1">
        <v>2306</v>
      </c>
      <c r="BY106" s="1">
        <v>2314</v>
      </c>
      <c r="BZ106" s="1">
        <v>2298</v>
      </c>
    </row>
    <row r="107" spans="1:78" ht="15.9" customHeight="1">
      <c r="A107" s="65" t="s">
        <v>209</v>
      </c>
      <c r="B107" s="41" t="s">
        <v>210</v>
      </c>
      <c r="C107" s="45">
        <f>_xll.RssMarket("7729","安値")</f>
        <v>17625</v>
      </c>
      <c r="D107" s="16">
        <f t="shared" si="3"/>
        <v>675</v>
      </c>
      <c r="E107" s="30">
        <v>16950</v>
      </c>
      <c r="F107" s="30">
        <v>16670</v>
      </c>
      <c r="G107" s="30">
        <v>16560</v>
      </c>
      <c r="H107" s="30">
        <v>14715</v>
      </c>
      <c r="I107" s="30">
        <v>14390</v>
      </c>
      <c r="J107" s="30">
        <v>15965</v>
      </c>
      <c r="K107" s="30">
        <v>17315</v>
      </c>
      <c r="L107" s="30">
        <v>17275</v>
      </c>
      <c r="M107" s="30">
        <v>18390</v>
      </c>
      <c r="N107" s="30">
        <v>18195</v>
      </c>
      <c r="O107" s="30">
        <v>16770</v>
      </c>
      <c r="P107" s="30">
        <v>16420</v>
      </c>
      <c r="Q107" s="30">
        <v>18325</v>
      </c>
      <c r="R107" s="30">
        <v>17610</v>
      </c>
      <c r="S107" s="30">
        <v>18625</v>
      </c>
      <c r="T107" s="30">
        <v>18350</v>
      </c>
      <c r="U107" s="30">
        <v>17595</v>
      </c>
      <c r="V107" s="30">
        <v>17095</v>
      </c>
      <c r="W107" s="30">
        <v>17720</v>
      </c>
      <c r="X107" s="30">
        <v>18300</v>
      </c>
      <c r="Y107" s="30">
        <v>18050</v>
      </c>
      <c r="Z107" s="30">
        <v>19110</v>
      </c>
      <c r="AA107" s="30">
        <v>20520</v>
      </c>
      <c r="AB107" s="30">
        <v>19300</v>
      </c>
      <c r="AC107" s="30">
        <v>18370</v>
      </c>
      <c r="AD107" s="30">
        <v>18840</v>
      </c>
      <c r="AE107" s="30">
        <v>19365</v>
      </c>
      <c r="AF107" s="30">
        <v>18355</v>
      </c>
      <c r="AG107" s="30">
        <v>18900</v>
      </c>
      <c r="AH107" s="30">
        <v>19935</v>
      </c>
      <c r="AI107" s="30">
        <v>19900</v>
      </c>
      <c r="AJ107" s="30">
        <v>19785</v>
      </c>
      <c r="AK107" s="30">
        <v>18485</v>
      </c>
      <c r="AL107" s="30">
        <v>19190</v>
      </c>
      <c r="AM107" s="30">
        <v>19085</v>
      </c>
      <c r="AN107" s="30">
        <v>18300</v>
      </c>
      <c r="AO107" s="30">
        <v>16235</v>
      </c>
      <c r="AP107" s="30">
        <v>16925</v>
      </c>
      <c r="AQ107" s="30">
        <v>15850</v>
      </c>
      <c r="AR107" s="30">
        <v>17290</v>
      </c>
      <c r="AS107" s="30">
        <v>17310</v>
      </c>
      <c r="AT107" s="30">
        <v>16975</v>
      </c>
      <c r="AU107" s="30">
        <v>16240</v>
      </c>
      <c r="AV107" s="30">
        <v>17190</v>
      </c>
      <c r="AW107" s="30">
        <v>17135</v>
      </c>
      <c r="AX107" s="30">
        <v>17665</v>
      </c>
      <c r="AY107" s="30">
        <v>17580</v>
      </c>
      <c r="AZ107" s="30">
        <v>16555</v>
      </c>
      <c r="BA107" s="30">
        <v>16235</v>
      </c>
      <c r="BB107" s="30">
        <v>15260</v>
      </c>
      <c r="BC107" s="30">
        <v>15475</v>
      </c>
      <c r="BD107" s="30">
        <v>16075</v>
      </c>
      <c r="BE107" s="30">
        <v>16425</v>
      </c>
      <c r="BF107" s="30">
        <v>17560</v>
      </c>
      <c r="BG107" s="30">
        <v>18510</v>
      </c>
      <c r="BH107" s="30">
        <v>18710</v>
      </c>
      <c r="BI107" s="30">
        <v>18780</v>
      </c>
      <c r="BJ107" s="30">
        <v>17740</v>
      </c>
      <c r="BK107" s="30">
        <v>18255</v>
      </c>
      <c r="BL107" s="30">
        <v>17130</v>
      </c>
      <c r="BM107" s="1">
        <v>17095</v>
      </c>
      <c r="BN107" s="1">
        <v>17140</v>
      </c>
      <c r="BO107" s="1">
        <v>17225</v>
      </c>
      <c r="BP107" s="1">
        <v>16905</v>
      </c>
      <c r="BQ107" s="1">
        <v>16745</v>
      </c>
      <c r="BR107" s="1">
        <v>16460</v>
      </c>
      <c r="BS107" s="1">
        <v>16270</v>
      </c>
      <c r="BT107" s="1">
        <v>16205</v>
      </c>
      <c r="BU107" s="1">
        <v>16400</v>
      </c>
      <c r="BV107" s="1">
        <v>16510</v>
      </c>
      <c r="BW107" s="1">
        <v>16300</v>
      </c>
      <c r="BX107" s="1">
        <v>15905</v>
      </c>
      <c r="BY107" s="1">
        <v>15415</v>
      </c>
      <c r="BZ107" s="1">
        <v>15605</v>
      </c>
    </row>
    <row r="108" spans="1:78" ht="15.9" customHeight="1">
      <c r="A108" s="65" t="s">
        <v>211</v>
      </c>
      <c r="B108" s="41" t="s">
        <v>212</v>
      </c>
      <c r="C108" s="45">
        <f>_xll.RssMarket("8424","安値")</f>
        <v>4356</v>
      </c>
      <c r="D108" s="16">
        <f t="shared" si="3"/>
        <v>-6</v>
      </c>
      <c r="E108" s="30">
        <v>4362</v>
      </c>
      <c r="F108" s="30">
        <v>4390</v>
      </c>
      <c r="G108" s="30">
        <v>4445</v>
      </c>
      <c r="H108" s="30">
        <v>4464</v>
      </c>
      <c r="I108" s="30">
        <v>4498</v>
      </c>
      <c r="J108" s="30">
        <v>4482</v>
      </c>
      <c r="K108" s="30">
        <v>4463</v>
      </c>
      <c r="L108" s="30">
        <v>4372</v>
      </c>
      <c r="M108" s="30">
        <v>4403</v>
      </c>
      <c r="N108" s="30">
        <v>4402</v>
      </c>
      <c r="O108" s="30">
        <v>4354</v>
      </c>
      <c r="P108" s="30">
        <v>4312</v>
      </c>
      <c r="Q108" s="30">
        <v>4346</v>
      </c>
      <c r="R108" s="30">
        <v>4289</v>
      </c>
      <c r="S108" s="30">
        <v>4262</v>
      </c>
      <c r="T108" s="30">
        <v>4256</v>
      </c>
      <c r="U108" s="30">
        <v>4228</v>
      </c>
      <c r="V108" s="30">
        <v>4260</v>
      </c>
      <c r="W108" s="30">
        <v>4260</v>
      </c>
      <c r="X108" s="30">
        <v>4188</v>
      </c>
      <c r="Y108" s="30">
        <v>4188</v>
      </c>
      <c r="Z108" s="30">
        <v>4174</v>
      </c>
      <c r="AA108" s="30">
        <v>4162</v>
      </c>
      <c r="AB108" s="30">
        <v>4220</v>
      </c>
      <c r="AC108" s="30">
        <v>4208</v>
      </c>
      <c r="AD108" s="30">
        <v>4215</v>
      </c>
      <c r="AE108" s="30">
        <v>4194</v>
      </c>
      <c r="AF108" s="30">
        <v>4175</v>
      </c>
      <c r="AG108" s="30">
        <v>4167</v>
      </c>
      <c r="AH108" s="30">
        <v>4205</v>
      </c>
      <c r="AI108" s="30">
        <v>4199</v>
      </c>
      <c r="AJ108" s="30">
        <v>4228</v>
      </c>
      <c r="AK108" s="30">
        <v>4236</v>
      </c>
      <c r="AL108" s="30">
        <v>4236</v>
      </c>
      <c r="AM108" s="30">
        <v>4295</v>
      </c>
      <c r="AN108" s="30">
        <v>4228</v>
      </c>
      <c r="AO108" s="30">
        <v>4263</v>
      </c>
      <c r="AP108" s="30">
        <v>4253</v>
      </c>
      <c r="AQ108" s="30">
        <v>4101</v>
      </c>
      <c r="AR108" s="30">
        <v>4072</v>
      </c>
      <c r="AS108" s="30">
        <v>4060</v>
      </c>
      <c r="AT108" s="30">
        <v>4036</v>
      </c>
      <c r="AU108" s="30">
        <v>4016</v>
      </c>
      <c r="AV108" s="30">
        <v>4154</v>
      </c>
      <c r="AW108" s="30">
        <v>4158</v>
      </c>
      <c r="AX108" s="30">
        <v>4151</v>
      </c>
      <c r="AY108" s="30">
        <v>4205</v>
      </c>
      <c r="AZ108" s="30">
        <v>4255</v>
      </c>
      <c r="BA108" s="30">
        <v>4351</v>
      </c>
      <c r="BB108" s="30">
        <v>4310</v>
      </c>
      <c r="BC108" s="30">
        <v>4324</v>
      </c>
      <c r="BD108" s="30">
        <v>4304</v>
      </c>
      <c r="BE108" s="30">
        <v>4342</v>
      </c>
      <c r="BF108" s="30">
        <v>4308</v>
      </c>
      <c r="BG108" s="30">
        <v>4303</v>
      </c>
      <c r="BH108" s="30">
        <v>4270</v>
      </c>
      <c r="BI108" s="30">
        <v>4267</v>
      </c>
      <c r="BJ108" s="30">
        <v>4251</v>
      </c>
      <c r="BK108" s="30">
        <v>4300</v>
      </c>
      <c r="BL108" s="30">
        <v>4245</v>
      </c>
      <c r="BM108" s="1">
        <v>4298</v>
      </c>
      <c r="BN108" s="1">
        <v>4261</v>
      </c>
      <c r="BO108" s="1">
        <v>4234</v>
      </c>
      <c r="BP108" s="1">
        <v>4237</v>
      </c>
      <c r="BQ108" s="1">
        <v>4217</v>
      </c>
      <c r="BR108" s="1">
        <v>4239</v>
      </c>
      <c r="BS108" s="1">
        <v>4258</v>
      </c>
      <c r="BT108" s="1">
        <v>4303</v>
      </c>
      <c r="BU108" s="1">
        <v>4326</v>
      </c>
      <c r="BV108" s="1">
        <v>4329</v>
      </c>
      <c r="BW108" s="1">
        <v>4311</v>
      </c>
      <c r="BX108" s="1">
        <v>4302</v>
      </c>
      <c r="BY108" s="1">
        <v>4314</v>
      </c>
      <c r="BZ108" s="1">
        <v>4338</v>
      </c>
    </row>
    <row r="109" spans="1:78" ht="15.9" customHeight="1">
      <c r="A109" s="65" t="s">
        <v>213</v>
      </c>
      <c r="B109" s="41" t="s">
        <v>214</v>
      </c>
      <c r="C109" s="45">
        <f>_xll.RssMarket("9020","安値")</f>
        <v>3351</v>
      </c>
      <c r="D109" s="16">
        <f t="shared" si="3"/>
        <v>-31</v>
      </c>
      <c r="E109" s="30">
        <v>3382</v>
      </c>
      <c r="F109" s="30">
        <v>3407</v>
      </c>
      <c r="G109" s="30">
        <v>3650</v>
      </c>
      <c r="H109" s="30">
        <v>3780</v>
      </c>
      <c r="I109" s="30">
        <v>3802</v>
      </c>
      <c r="J109" s="30">
        <v>3754</v>
      </c>
      <c r="K109" s="30">
        <v>3639</v>
      </c>
      <c r="L109" s="30">
        <v>3548</v>
      </c>
      <c r="M109" s="30">
        <v>3550</v>
      </c>
      <c r="N109" s="30">
        <v>3555</v>
      </c>
      <c r="O109" s="30">
        <v>3631</v>
      </c>
      <c r="P109" s="30">
        <v>3593</v>
      </c>
      <c r="Q109" s="30">
        <v>3531</v>
      </c>
      <c r="R109" s="30">
        <v>3558</v>
      </c>
      <c r="S109" s="30">
        <v>3469</v>
      </c>
      <c r="T109" s="30">
        <v>3457</v>
      </c>
      <c r="U109" s="30">
        <v>3474</v>
      </c>
      <c r="V109" s="30">
        <v>3536</v>
      </c>
      <c r="W109" s="30">
        <v>3489</v>
      </c>
      <c r="X109" s="30">
        <v>3460</v>
      </c>
      <c r="Y109" s="30">
        <v>3451</v>
      </c>
      <c r="Z109" s="30">
        <v>3338</v>
      </c>
      <c r="AA109" s="30">
        <v>3295</v>
      </c>
      <c r="AB109" s="30">
        <v>3408</v>
      </c>
      <c r="AC109" s="30">
        <v>3400</v>
      </c>
      <c r="AD109" s="30">
        <v>3338</v>
      </c>
      <c r="AE109" s="30">
        <v>3332</v>
      </c>
      <c r="AF109" s="30">
        <v>3352</v>
      </c>
      <c r="AG109" s="30">
        <v>3306</v>
      </c>
      <c r="AH109" s="30">
        <v>3314</v>
      </c>
      <c r="AI109" s="30">
        <v>3320</v>
      </c>
      <c r="AJ109" s="30">
        <v>3313</v>
      </c>
      <c r="AK109" s="30">
        <v>3336</v>
      </c>
      <c r="AL109" s="30">
        <v>3356</v>
      </c>
      <c r="AM109" s="30">
        <v>3362</v>
      </c>
      <c r="AN109" s="30">
        <v>3389</v>
      </c>
      <c r="AO109" s="30">
        <v>3414</v>
      </c>
      <c r="AP109" s="30">
        <v>3373</v>
      </c>
      <c r="AQ109" s="30">
        <v>3345</v>
      </c>
      <c r="AR109" s="30">
        <v>3279</v>
      </c>
      <c r="AS109" s="30">
        <v>3243</v>
      </c>
      <c r="AT109" s="30">
        <v>3262</v>
      </c>
      <c r="AU109" s="30">
        <v>3292</v>
      </c>
      <c r="AV109" s="30">
        <v>3412</v>
      </c>
      <c r="AW109" s="30">
        <v>3444</v>
      </c>
      <c r="AX109" s="30">
        <v>3458</v>
      </c>
      <c r="AY109" s="30">
        <v>3518</v>
      </c>
      <c r="AZ109" s="30">
        <v>3603</v>
      </c>
      <c r="BA109" s="30">
        <v>3692</v>
      </c>
      <c r="BB109" s="30">
        <v>3729</v>
      </c>
      <c r="BC109" s="30">
        <v>3730</v>
      </c>
      <c r="BD109" s="30">
        <v>3682</v>
      </c>
      <c r="BE109" s="30">
        <v>3657</v>
      </c>
      <c r="BF109" s="30">
        <v>3661</v>
      </c>
      <c r="BG109" s="30">
        <v>3744</v>
      </c>
      <c r="BH109" s="30">
        <v>3588</v>
      </c>
      <c r="BI109" s="30">
        <v>3611</v>
      </c>
      <c r="BJ109" s="30">
        <v>3600</v>
      </c>
      <c r="BK109" s="30">
        <v>3567</v>
      </c>
      <c r="BL109" s="30">
        <v>3602</v>
      </c>
      <c r="BM109" s="1">
        <v>3277</v>
      </c>
      <c r="BN109" s="1">
        <v>3415</v>
      </c>
      <c r="BO109" s="1">
        <v>3391</v>
      </c>
      <c r="BP109" s="1">
        <v>3418</v>
      </c>
      <c r="BQ109" s="1">
        <v>3476</v>
      </c>
      <c r="BR109" s="1">
        <v>3511</v>
      </c>
      <c r="BS109" s="1">
        <v>3487</v>
      </c>
      <c r="BT109" s="1">
        <v>3491</v>
      </c>
      <c r="BU109" s="1">
        <v>3475</v>
      </c>
      <c r="BV109" s="1">
        <v>3525</v>
      </c>
      <c r="BW109" s="1">
        <v>3525</v>
      </c>
      <c r="BX109" s="1">
        <v>3505</v>
      </c>
      <c r="BY109" s="1">
        <v>3559</v>
      </c>
      <c r="BZ109" s="1">
        <v>3545</v>
      </c>
    </row>
    <row r="110" spans="1:78" ht="15.9" customHeight="1">
      <c r="A110" s="65" t="s">
        <v>215</v>
      </c>
      <c r="B110" s="41" t="s">
        <v>216</v>
      </c>
      <c r="C110" s="45">
        <f>_xll.RssMarket("9069","安値")</f>
        <v>2190</v>
      </c>
      <c r="D110" s="16">
        <f t="shared" si="3"/>
        <v>5.5</v>
      </c>
      <c r="E110" s="30">
        <v>2184.5</v>
      </c>
      <c r="F110" s="30">
        <v>2172</v>
      </c>
      <c r="G110" s="30">
        <v>2193</v>
      </c>
      <c r="H110" s="30">
        <v>2214</v>
      </c>
      <c r="I110" s="30">
        <v>2196.5</v>
      </c>
      <c r="J110" s="30">
        <v>2195.5</v>
      </c>
      <c r="K110" s="30">
        <v>2179.5</v>
      </c>
      <c r="L110" s="30">
        <v>2141</v>
      </c>
      <c r="M110" s="30">
        <v>2160</v>
      </c>
      <c r="N110" s="30">
        <v>2187</v>
      </c>
      <c r="O110" s="30">
        <v>2201</v>
      </c>
      <c r="P110" s="30">
        <v>2132</v>
      </c>
      <c r="Q110" s="30">
        <v>2114</v>
      </c>
      <c r="R110" s="30">
        <v>2101</v>
      </c>
      <c r="S110" s="30">
        <v>2064</v>
      </c>
      <c r="T110" s="30">
        <v>2032</v>
      </c>
      <c r="U110" s="30">
        <v>2018</v>
      </c>
      <c r="V110" s="30">
        <v>2004</v>
      </c>
      <c r="W110" s="30">
        <v>1986</v>
      </c>
      <c r="X110" s="30">
        <v>1976.5</v>
      </c>
      <c r="Y110" s="30">
        <v>1952.5</v>
      </c>
      <c r="Z110" s="30">
        <v>1903</v>
      </c>
      <c r="AA110" s="30">
        <v>1899</v>
      </c>
      <c r="AB110" s="30">
        <v>1927</v>
      </c>
      <c r="AC110" s="30">
        <v>1922</v>
      </c>
      <c r="AD110" s="30">
        <v>1898.5</v>
      </c>
      <c r="AE110" s="30">
        <v>1884</v>
      </c>
      <c r="AF110" s="30">
        <v>1865.5</v>
      </c>
      <c r="AG110" s="30">
        <v>1889.5</v>
      </c>
      <c r="AH110" s="30">
        <v>1878.5</v>
      </c>
      <c r="AI110" s="30">
        <v>1872</v>
      </c>
      <c r="AJ110" s="30">
        <v>1888.5</v>
      </c>
      <c r="AK110" s="30">
        <v>1898</v>
      </c>
      <c r="AL110" s="30">
        <v>1932.5</v>
      </c>
      <c r="AM110" s="30">
        <v>1933.5</v>
      </c>
      <c r="AN110" s="30">
        <v>1908</v>
      </c>
      <c r="AO110" s="30">
        <v>1896.5</v>
      </c>
      <c r="AP110" s="30">
        <v>1940</v>
      </c>
      <c r="AQ110" s="30">
        <v>1900</v>
      </c>
      <c r="AR110" s="30">
        <v>1897.5</v>
      </c>
      <c r="AS110" s="30">
        <v>1880.5</v>
      </c>
      <c r="AT110" s="30">
        <v>1873</v>
      </c>
      <c r="AU110" s="30">
        <v>1860</v>
      </c>
      <c r="AV110" s="30">
        <v>1902.5</v>
      </c>
      <c r="AW110" s="30">
        <v>1892.5</v>
      </c>
      <c r="AX110" s="30">
        <v>1897.5</v>
      </c>
      <c r="AY110" s="30">
        <v>1922</v>
      </c>
      <c r="AZ110" s="30">
        <v>1938.5</v>
      </c>
      <c r="BA110" s="30">
        <v>1992.5</v>
      </c>
      <c r="BB110" s="30">
        <v>1987.5</v>
      </c>
      <c r="BC110" s="30">
        <v>2004</v>
      </c>
      <c r="BD110" s="30">
        <v>1979</v>
      </c>
      <c r="BE110" s="30">
        <v>1986.5</v>
      </c>
      <c r="BF110" s="30">
        <v>1901</v>
      </c>
      <c r="BG110" s="30">
        <v>1829.5</v>
      </c>
      <c r="BH110" s="30">
        <v>1808</v>
      </c>
      <c r="BI110" s="30">
        <v>1847.5</v>
      </c>
      <c r="BJ110" s="30">
        <v>1847</v>
      </c>
      <c r="BK110" s="30">
        <v>1812</v>
      </c>
      <c r="BL110" s="30">
        <v>1824.5</v>
      </c>
      <c r="BM110" s="1">
        <v>1834</v>
      </c>
      <c r="BN110" s="1">
        <v>1834.5</v>
      </c>
      <c r="BO110" s="1">
        <v>1802.5</v>
      </c>
      <c r="BP110" s="1">
        <v>1847</v>
      </c>
      <c r="BQ110" s="1">
        <v>1863</v>
      </c>
      <c r="BR110" s="1">
        <v>1882.5</v>
      </c>
      <c r="BS110" s="1">
        <v>1900</v>
      </c>
      <c r="BT110" s="1">
        <v>1891</v>
      </c>
      <c r="BU110" s="1">
        <v>1884.5</v>
      </c>
      <c r="BV110" s="1">
        <v>1888.5</v>
      </c>
      <c r="BW110" s="1">
        <v>1887</v>
      </c>
      <c r="BX110" s="1">
        <v>1870.5</v>
      </c>
      <c r="BY110" s="1">
        <v>1863</v>
      </c>
      <c r="BZ110" s="1">
        <v>1867.5</v>
      </c>
    </row>
    <row r="111" spans="1:78" ht="15.9" customHeight="1">
      <c r="A111" s="65" t="s">
        <v>217</v>
      </c>
      <c r="B111" s="41" t="s">
        <v>218</v>
      </c>
      <c r="C111" s="45">
        <f>_xll.RssMarket("9227","安値")</f>
        <v>865</v>
      </c>
      <c r="D111" s="16">
        <f t="shared" si="3"/>
        <v>19</v>
      </c>
      <c r="E111" s="30">
        <v>846</v>
      </c>
      <c r="F111" s="30">
        <v>818</v>
      </c>
      <c r="G111" s="30">
        <v>837</v>
      </c>
      <c r="H111" s="30">
        <v>864</v>
      </c>
      <c r="I111" s="30">
        <v>841</v>
      </c>
      <c r="J111" s="30">
        <v>787</v>
      </c>
      <c r="K111" s="30">
        <v>787</v>
      </c>
      <c r="L111" s="30"/>
      <c r="M111" s="30">
        <v>801</v>
      </c>
      <c r="N111" s="30">
        <v>810</v>
      </c>
      <c r="O111" s="30">
        <v>773</v>
      </c>
      <c r="P111" s="30">
        <v>753</v>
      </c>
      <c r="Q111" s="30">
        <v>827</v>
      </c>
      <c r="R111" s="30">
        <v>825</v>
      </c>
      <c r="S111" s="30">
        <v>827</v>
      </c>
      <c r="T111" s="30">
        <v>860</v>
      </c>
      <c r="U111" s="30">
        <v>861</v>
      </c>
      <c r="V111" s="30">
        <v>904</v>
      </c>
      <c r="W111" s="30">
        <v>933</v>
      </c>
      <c r="X111" s="30">
        <v>930</v>
      </c>
      <c r="Y111" s="30">
        <v>920</v>
      </c>
      <c r="Z111" s="30">
        <v>922</v>
      </c>
      <c r="AA111" s="30">
        <v>912</v>
      </c>
      <c r="AB111" s="30">
        <v>884</v>
      </c>
      <c r="AC111" s="30">
        <v>871</v>
      </c>
      <c r="AD111" s="30">
        <v>874</v>
      </c>
      <c r="AE111" s="30">
        <v>884</v>
      </c>
      <c r="AF111" s="30">
        <v>883</v>
      </c>
      <c r="AG111" s="30">
        <v>892</v>
      </c>
      <c r="AH111" s="30">
        <v>890</v>
      </c>
      <c r="AI111" s="30">
        <v>884</v>
      </c>
      <c r="AJ111" s="30">
        <v>870</v>
      </c>
      <c r="AK111" s="30">
        <v>868</v>
      </c>
      <c r="AL111" s="30">
        <v>862</v>
      </c>
      <c r="AM111" s="30">
        <v>882</v>
      </c>
      <c r="AN111" s="30">
        <v>851</v>
      </c>
      <c r="AO111" s="30">
        <v>834</v>
      </c>
      <c r="AP111" s="30">
        <v>851</v>
      </c>
      <c r="AQ111" s="30">
        <v>882</v>
      </c>
      <c r="AR111" s="30">
        <v>885</v>
      </c>
      <c r="AS111" s="30">
        <v>878</v>
      </c>
      <c r="AT111" s="30">
        <v>903</v>
      </c>
      <c r="AU111" s="30">
        <v>890</v>
      </c>
      <c r="AV111" s="30">
        <v>1025</v>
      </c>
      <c r="AW111" s="30">
        <v>1087</v>
      </c>
      <c r="AX111" s="30">
        <v>1133</v>
      </c>
      <c r="AY111" s="30">
        <v>1093</v>
      </c>
      <c r="AZ111" s="30">
        <v>943</v>
      </c>
      <c r="BA111" s="30">
        <v>767</v>
      </c>
      <c r="BB111" s="30">
        <v>750</v>
      </c>
      <c r="BC111" s="30">
        <v>797</v>
      </c>
      <c r="BD111" s="30">
        <v>797</v>
      </c>
      <c r="BE111" s="30">
        <v>809</v>
      </c>
      <c r="BF111" s="30">
        <v>791</v>
      </c>
      <c r="BG111" s="30">
        <v>840</v>
      </c>
      <c r="BH111" s="30">
        <v>960</v>
      </c>
      <c r="BI111" s="30">
        <v>980</v>
      </c>
      <c r="BJ111" s="30">
        <v>987</v>
      </c>
      <c r="BK111" s="30">
        <v>1004</v>
      </c>
      <c r="BL111" s="30">
        <v>1018</v>
      </c>
      <c r="BM111" s="1">
        <v>1018</v>
      </c>
      <c r="BN111" s="1">
        <v>1030</v>
      </c>
      <c r="BO111" s="1">
        <v>1030</v>
      </c>
      <c r="BP111" s="1">
        <v>1062</v>
      </c>
      <c r="BQ111" s="1">
        <v>1082</v>
      </c>
      <c r="BR111" s="1">
        <v>1125</v>
      </c>
      <c r="BS111" s="1">
        <v>1166</v>
      </c>
      <c r="BT111" s="1">
        <v>1098</v>
      </c>
      <c r="BU111" s="1">
        <v>1019</v>
      </c>
      <c r="BV111" s="1">
        <v>1028</v>
      </c>
      <c r="BW111" s="1">
        <v>995</v>
      </c>
      <c r="BX111" s="1">
        <v>988</v>
      </c>
      <c r="BY111" s="1">
        <v>939</v>
      </c>
      <c r="BZ111" s="1">
        <v>945</v>
      </c>
    </row>
    <row r="112" spans="1:78" ht="15.9" customHeight="1">
      <c r="A112" s="65" t="s">
        <v>219</v>
      </c>
      <c r="B112" s="41" t="s">
        <v>220</v>
      </c>
      <c r="C112" s="45">
        <f>_xll.RssMarket("9348","安値")</f>
        <v>412</v>
      </c>
      <c r="D112" s="16">
        <f t="shared" si="3"/>
        <v>8</v>
      </c>
      <c r="E112" s="30">
        <v>404</v>
      </c>
      <c r="F112" s="30">
        <v>398</v>
      </c>
      <c r="G112" s="30">
        <v>404</v>
      </c>
      <c r="H112" s="30">
        <v>404</v>
      </c>
      <c r="I112" s="30">
        <v>397</v>
      </c>
      <c r="J112" s="30">
        <v>405</v>
      </c>
      <c r="K112" s="30">
        <v>411</v>
      </c>
      <c r="L112" s="30"/>
      <c r="M112" s="30">
        <v>412</v>
      </c>
      <c r="N112" s="30">
        <v>412</v>
      </c>
      <c r="O112" s="30">
        <v>407</v>
      </c>
      <c r="P112" s="30">
        <v>406</v>
      </c>
      <c r="Q112" s="30">
        <v>438</v>
      </c>
      <c r="R112" s="30">
        <v>435</v>
      </c>
      <c r="S112" s="30">
        <v>440</v>
      </c>
      <c r="T112" s="30">
        <v>445</v>
      </c>
      <c r="U112" s="30">
        <v>508</v>
      </c>
      <c r="V112" s="30">
        <v>426</v>
      </c>
      <c r="W112" s="30">
        <v>440</v>
      </c>
      <c r="X112" s="30">
        <v>446</v>
      </c>
      <c r="Y112" s="30">
        <v>437</v>
      </c>
      <c r="Z112" s="30">
        <v>433</v>
      </c>
      <c r="AA112" s="30">
        <v>435</v>
      </c>
      <c r="AB112" s="30">
        <v>439</v>
      </c>
      <c r="AC112" s="30">
        <v>431</v>
      </c>
      <c r="AD112" s="30">
        <v>428</v>
      </c>
      <c r="AE112" s="30">
        <v>433</v>
      </c>
      <c r="AF112" s="30">
        <v>433</v>
      </c>
      <c r="AG112" s="30">
        <v>433</v>
      </c>
      <c r="AH112" s="30">
        <v>450</v>
      </c>
      <c r="AI112" s="30">
        <v>434</v>
      </c>
      <c r="AJ112" s="30">
        <v>465</v>
      </c>
      <c r="AK112" s="30">
        <v>468</v>
      </c>
      <c r="AL112" s="30">
        <v>466</v>
      </c>
      <c r="AM112" s="30">
        <v>495</v>
      </c>
      <c r="AN112" s="30">
        <v>543</v>
      </c>
      <c r="AO112" s="30">
        <v>555</v>
      </c>
      <c r="AP112" s="30">
        <v>568</v>
      </c>
      <c r="AQ112" s="30">
        <v>576</v>
      </c>
      <c r="AR112" s="30">
        <v>585</v>
      </c>
      <c r="AS112" s="30">
        <v>554</v>
      </c>
      <c r="AT112" s="30">
        <v>562</v>
      </c>
      <c r="AU112" s="30">
        <v>561</v>
      </c>
      <c r="AV112" s="30">
        <v>651</v>
      </c>
      <c r="AW112" s="30">
        <v>600</v>
      </c>
      <c r="AX112" s="30">
        <v>590</v>
      </c>
      <c r="AY112" s="30">
        <v>563</v>
      </c>
      <c r="AZ112" s="30">
        <v>510</v>
      </c>
      <c r="BA112" s="30">
        <v>493</v>
      </c>
      <c r="BB112" s="30">
        <v>493</v>
      </c>
      <c r="BC112" s="30">
        <v>507</v>
      </c>
      <c r="BD112" s="30">
        <v>485</v>
      </c>
      <c r="BE112" s="30">
        <v>498</v>
      </c>
      <c r="BF112" s="30">
        <v>493</v>
      </c>
      <c r="BG112" s="30">
        <v>484</v>
      </c>
      <c r="BH112" s="30">
        <v>488</v>
      </c>
      <c r="BI112" s="30">
        <v>507</v>
      </c>
      <c r="BJ112" s="30">
        <v>482</v>
      </c>
      <c r="BK112" s="30">
        <v>471</v>
      </c>
      <c r="BL112" s="30">
        <v>463</v>
      </c>
      <c r="BM112" s="1">
        <v>463</v>
      </c>
      <c r="BN112" s="1">
        <v>463</v>
      </c>
      <c r="BO112" s="1">
        <v>461</v>
      </c>
      <c r="BP112" s="1">
        <v>471</v>
      </c>
      <c r="BQ112" s="1">
        <v>469</v>
      </c>
      <c r="BR112" s="1">
        <v>484</v>
      </c>
      <c r="BS112" s="1">
        <v>475</v>
      </c>
      <c r="BT112" s="1">
        <v>493</v>
      </c>
      <c r="BU112" s="1">
        <v>492</v>
      </c>
      <c r="BV112" s="1">
        <v>487</v>
      </c>
      <c r="BW112" s="1">
        <v>498</v>
      </c>
      <c r="BX112" s="1">
        <v>492</v>
      </c>
      <c r="BY112" s="1">
        <v>492</v>
      </c>
      <c r="BZ112" s="1">
        <v>459</v>
      </c>
    </row>
    <row r="113" spans="1:78" ht="15.9" customHeight="1">
      <c r="A113" s="65" t="s">
        <v>221</v>
      </c>
      <c r="B113" s="41" t="s">
        <v>222</v>
      </c>
      <c r="C113" s="45">
        <f>_xll.RssMarket("9449","安値")</f>
        <v>4151</v>
      </c>
      <c r="D113" s="16">
        <f t="shared" si="3"/>
        <v>19</v>
      </c>
      <c r="E113" s="30">
        <v>4132</v>
      </c>
      <c r="F113" s="30">
        <v>4032</v>
      </c>
      <c r="G113" s="30">
        <v>4096</v>
      </c>
      <c r="H113" s="30">
        <v>4154</v>
      </c>
      <c r="I113" s="30">
        <v>4120</v>
      </c>
      <c r="J113" s="30">
        <v>4081</v>
      </c>
      <c r="K113" s="30">
        <v>3987</v>
      </c>
      <c r="L113" s="30">
        <v>3860</v>
      </c>
      <c r="M113" s="30">
        <v>3896</v>
      </c>
      <c r="N113" s="30">
        <v>3916</v>
      </c>
      <c r="O113" s="30">
        <v>4023</v>
      </c>
      <c r="P113" s="30">
        <v>4003</v>
      </c>
      <c r="Q113" s="30">
        <v>3951</v>
      </c>
      <c r="R113" s="30">
        <v>3912</v>
      </c>
      <c r="S113" s="30">
        <v>3870</v>
      </c>
      <c r="T113" s="30">
        <v>3800</v>
      </c>
      <c r="U113" s="30">
        <v>3731</v>
      </c>
      <c r="V113" s="30">
        <v>3741</v>
      </c>
      <c r="W113" s="30">
        <v>3651</v>
      </c>
      <c r="X113" s="30">
        <v>3586</v>
      </c>
      <c r="Y113" s="30">
        <v>3571</v>
      </c>
      <c r="Z113" s="30">
        <v>3443</v>
      </c>
      <c r="AA113" s="30">
        <v>3343</v>
      </c>
      <c r="AB113" s="30">
        <v>3339</v>
      </c>
      <c r="AC113" s="30">
        <v>3312</v>
      </c>
      <c r="AD113" s="30">
        <v>3200</v>
      </c>
      <c r="AE113" s="30">
        <v>3205</v>
      </c>
      <c r="AF113" s="30">
        <v>3183</v>
      </c>
      <c r="AG113" s="30">
        <v>3242</v>
      </c>
      <c r="AH113" s="30">
        <v>3407</v>
      </c>
      <c r="AI113" s="30">
        <v>2974</v>
      </c>
      <c r="AJ113" s="30">
        <v>3057</v>
      </c>
      <c r="AK113" s="30">
        <v>3063</v>
      </c>
      <c r="AL113" s="30">
        <v>3042</v>
      </c>
      <c r="AM113" s="30">
        <v>3080</v>
      </c>
      <c r="AN113" s="30">
        <v>3053</v>
      </c>
      <c r="AO113" s="30">
        <v>3105</v>
      </c>
      <c r="AP113" s="30">
        <v>3132</v>
      </c>
      <c r="AQ113" s="30">
        <v>3120</v>
      </c>
      <c r="AR113" s="30">
        <v>3212</v>
      </c>
      <c r="AS113" s="30">
        <v>3221</v>
      </c>
      <c r="AT113" s="30">
        <v>3141</v>
      </c>
      <c r="AU113" s="30">
        <v>3304</v>
      </c>
      <c r="AV113" s="30">
        <v>3285</v>
      </c>
      <c r="AW113" s="30">
        <v>3242</v>
      </c>
      <c r="AX113" s="30">
        <v>3294</v>
      </c>
      <c r="AY113" s="30">
        <v>3310</v>
      </c>
      <c r="AZ113" s="30">
        <v>3293</v>
      </c>
      <c r="BA113" s="30">
        <v>3260</v>
      </c>
      <c r="BB113" s="30">
        <v>3294</v>
      </c>
      <c r="BC113" s="30">
        <v>3264</v>
      </c>
      <c r="BD113" s="30">
        <v>3217</v>
      </c>
      <c r="BE113" s="30">
        <v>3051</v>
      </c>
      <c r="BF113" s="30">
        <v>3067</v>
      </c>
      <c r="BG113" s="30">
        <v>3115</v>
      </c>
      <c r="BH113" s="30">
        <v>3109</v>
      </c>
      <c r="BI113" s="30">
        <v>3150</v>
      </c>
      <c r="BJ113" s="30">
        <v>3075</v>
      </c>
      <c r="BK113" s="30">
        <v>3034</v>
      </c>
      <c r="BL113" s="30">
        <v>3012</v>
      </c>
      <c r="BM113" s="1">
        <v>3012</v>
      </c>
      <c r="BN113" s="1">
        <v>3097</v>
      </c>
      <c r="BO113" s="1">
        <v>3072</v>
      </c>
      <c r="BP113" s="1">
        <v>3101</v>
      </c>
      <c r="BQ113" s="1">
        <v>3168</v>
      </c>
      <c r="BR113" s="1">
        <v>3261</v>
      </c>
      <c r="BS113" s="1">
        <v>3222</v>
      </c>
      <c r="BT113" s="1">
        <v>3219</v>
      </c>
      <c r="BU113" s="1">
        <v>3230</v>
      </c>
      <c r="BV113" s="1">
        <v>3185</v>
      </c>
      <c r="BW113" s="1">
        <v>3037</v>
      </c>
      <c r="BX113" s="1">
        <v>3011</v>
      </c>
      <c r="BY113" s="1">
        <v>2927</v>
      </c>
      <c r="BZ113" s="1">
        <v>2955</v>
      </c>
    </row>
    <row r="114" spans="1:78" ht="15.9" customHeight="1">
      <c r="A114" s="65" t="s">
        <v>223</v>
      </c>
      <c r="B114" s="41" t="s">
        <v>224</v>
      </c>
      <c r="C114" s="45">
        <f>_xll.RssMarket("9501","安値")</f>
        <v>518.79999999999995</v>
      </c>
      <c r="D114" s="16">
        <f t="shared" si="3"/>
        <v>1.2999999999999545</v>
      </c>
      <c r="E114" s="30">
        <v>517.5</v>
      </c>
      <c r="F114" s="30">
        <v>485.8</v>
      </c>
      <c r="G114" s="30">
        <v>520</v>
      </c>
      <c r="H114" s="30">
        <v>498.4</v>
      </c>
      <c r="I114" s="30">
        <v>521.9</v>
      </c>
      <c r="J114" s="30">
        <v>514.79999999999995</v>
      </c>
      <c r="K114" s="30">
        <v>522.29999999999995</v>
      </c>
      <c r="L114" s="30">
        <v>508.1</v>
      </c>
      <c r="M114" s="30">
        <v>505.5</v>
      </c>
      <c r="N114" s="30">
        <v>492.6</v>
      </c>
      <c r="O114" s="30">
        <v>497.1</v>
      </c>
      <c r="P114" s="30">
        <v>490.1</v>
      </c>
      <c r="Q114" s="30">
        <v>499.7</v>
      </c>
      <c r="R114" s="30">
        <v>484</v>
      </c>
      <c r="S114" s="30">
        <v>477.5</v>
      </c>
      <c r="T114" s="30">
        <v>472</v>
      </c>
      <c r="U114" s="30">
        <v>462.3</v>
      </c>
      <c r="V114" s="30">
        <v>459.8</v>
      </c>
      <c r="W114" s="30">
        <v>456</v>
      </c>
      <c r="X114" s="30">
        <v>465.5</v>
      </c>
      <c r="Y114" s="30">
        <v>458.4</v>
      </c>
      <c r="Z114" s="30">
        <v>450.5</v>
      </c>
      <c r="AA114" s="30">
        <v>442.8</v>
      </c>
      <c r="AB114" s="30">
        <v>458.3</v>
      </c>
      <c r="AC114" s="30">
        <v>458.3</v>
      </c>
      <c r="AD114" s="30">
        <v>450.9</v>
      </c>
      <c r="AE114" s="30">
        <v>466.7</v>
      </c>
      <c r="AF114" s="30">
        <v>450.4</v>
      </c>
      <c r="AG114" s="30">
        <v>462</v>
      </c>
      <c r="AH114" s="30">
        <v>473</v>
      </c>
      <c r="AI114" s="30">
        <v>505.6</v>
      </c>
      <c r="AJ114" s="30">
        <v>499.5</v>
      </c>
      <c r="AK114" s="30">
        <v>507.4</v>
      </c>
      <c r="AL114" s="30">
        <v>512.20000000000005</v>
      </c>
      <c r="AM114" s="30">
        <v>521.29999999999995</v>
      </c>
      <c r="AN114" s="30">
        <v>495.1</v>
      </c>
      <c r="AO114" s="30">
        <v>489.4</v>
      </c>
      <c r="AP114" s="30">
        <v>506.3</v>
      </c>
      <c r="AQ114" s="30">
        <v>518.4</v>
      </c>
      <c r="AR114" s="30">
        <v>527</v>
      </c>
      <c r="AS114" s="30">
        <v>536</v>
      </c>
      <c r="AT114" s="30">
        <v>563.70000000000005</v>
      </c>
      <c r="AU114" s="30">
        <v>539.20000000000005</v>
      </c>
      <c r="AV114" s="30">
        <v>553</v>
      </c>
      <c r="AW114" s="30">
        <v>551.5</v>
      </c>
      <c r="AX114" s="30">
        <v>567</v>
      </c>
      <c r="AY114" s="30">
        <v>551</v>
      </c>
      <c r="AZ114" s="30">
        <v>548.1</v>
      </c>
      <c r="BA114" s="30">
        <v>550.79999999999995</v>
      </c>
      <c r="BB114" s="30">
        <v>543.4</v>
      </c>
      <c r="BC114" s="30">
        <v>569.6</v>
      </c>
      <c r="BD114" s="30">
        <v>556.70000000000005</v>
      </c>
      <c r="BE114" s="30">
        <v>588.70000000000005</v>
      </c>
      <c r="BF114" s="30">
        <v>608.9</v>
      </c>
      <c r="BG114" s="30">
        <v>608.79999999999995</v>
      </c>
      <c r="BH114" s="30">
        <v>642</v>
      </c>
      <c r="BI114" s="30">
        <v>631.29999999999995</v>
      </c>
      <c r="BJ114" s="30">
        <v>616.70000000000005</v>
      </c>
      <c r="BK114" s="30">
        <v>602.4</v>
      </c>
      <c r="BL114" s="30">
        <v>581.1</v>
      </c>
      <c r="BM114" s="1">
        <v>586.4</v>
      </c>
      <c r="BN114" s="1">
        <v>581.5</v>
      </c>
      <c r="BO114" s="1">
        <v>578.9</v>
      </c>
      <c r="BP114" s="1">
        <v>577</v>
      </c>
      <c r="BQ114" s="1">
        <v>584.70000000000005</v>
      </c>
      <c r="BR114" s="1">
        <v>588.70000000000005</v>
      </c>
      <c r="BS114" s="1">
        <v>600.9</v>
      </c>
      <c r="BT114" s="1">
        <v>609.4</v>
      </c>
      <c r="BU114" s="1">
        <v>624</v>
      </c>
      <c r="BV114" s="1">
        <v>620.70000000000005</v>
      </c>
      <c r="BW114" s="1">
        <v>628</v>
      </c>
      <c r="BX114" s="1">
        <v>643.4</v>
      </c>
      <c r="BY114" s="1">
        <v>637.9</v>
      </c>
      <c r="BZ114" s="1">
        <v>663.5</v>
      </c>
    </row>
    <row r="115" spans="1:78" ht="15.9" customHeight="1">
      <c r="A115" s="65" t="s">
        <v>225</v>
      </c>
      <c r="B115" s="41" t="s">
        <v>226</v>
      </c>
      <c r="C115" s="45">
        <f>_xll.RssMarket("9531","安値")</f>
        <v>5901</v>
      </c>
      <c r="D115" s="16">
        <f t="shared" si="3"/>
        <v>-137</v>
      </c>
      <c r="E115" s="30">
        <v>6038</v>
      </c>
      <c r="F115" s="30">
        <v>6007</v>
      </c>
      <c r="G115" s="30">
        <v>6059</v>
      </c>
      <c r="H115" s="30">
        <v>6150</v>
      </c>
      <c r="I115" s="30">
        <v>6190</v>
      </c>
      <c r="J115" s="30">
        <v>6182</v>
      </c>
      <c r="K115" s="30">
        <v>6175</v>
      </c>
      <c r="L115" s="30">
        <v>6108</v>
      </c>
      <c r="M115" s="30">
        <v>6126</v>
      </c>
      <c r="N115" s="30">
        <v>6089</v>
      </c>
      <c r="O115" s="30">
        <v>6095</v>
      </c>
      <c r="P115" s="30">
        <v>6035</v>
      </c>
      <c r="Q115" s="30">
        <v>6025</v>
      </c>
      <c r="R115" s="30">
        <v>5973</v>
      </c>
      <c r="S115" s="30">
        <v>5905</v>
      </c>
      <c r="T115" s="30">
        <v>5952</v>
      </c>
      <c r="U115" s="30">
        <v>6068</v>
      </c>
      <c r="V115" s="30">
        <v>6092</v>
      </c>
      <c r="W115" s="30">
        <v>6070</v>
      </c>
      <c r="X115" s="30">
        <v>6028</v>
      </c>
      <c r="Y115" s="30">
        <v>6021</v>
      </c>
      <c r="Z115" s="30">
        <v>5977</v>
      </c>
      <c r="AA115" s="30">
        <v>5896</v>
      </c>
      <c r="AB115" s="30">
        <v>6102</v>
      </c>
      <c r="AC115" s="30">
        <v>6066</v>
      </c>
      <c r="AD115" s="30">
        <v>5968</v>
      </c>
      <c r="AE115" s="30">
        <v>6010</v>
      </c>
      <c r="AF115" s="30">
        <v>6089</v>
      </c>
      <c r="AG115" s="30">
        <v>6095</v>
      </c>
      <c r="AH115" s="30">
        <v>6157</v>
      </c>
      <c r="AI115" s="30">
        <v>6077</v>
      </c>
      <c r="AJ115" s="30">
        <v>6141</v>
      </c>
      <c r="AK115" s="30">
        <v>6138</v>
      </c>
      <c r="AL115" s="30">
        <v>6178</v>
      </c>
      <c r="AM115" s="30">
        <v>6241</v>
      </c>
      <c r="AN115" s="30">
        <v>6268</v>
      </c>
      <c r="AO115" s="30">
        <v>6286</v>
      </c>
      <c r="AP115" s="30">
        <v>6273</v>
      </c>
      <c r="AQ115" s="30">
        <v>6100</v>
      </c>
      <c r="AR115" s="30">
        <v>6163</v>
      </c>
      <c r="AS115" s="30">
        <v>6171</v>
      </c>
      <c r="AT115" s="30">
        <v>6246</v>
      </c>
      <c r="AU115" s="30">
        <v>6033</v>
      </c>
      <c r="AV115" s="30">
        <v>6196</v>
      </c>
      <c r="AW115" s="30">
        <v>6258</v>
      </c>
      <c r="AX115" s="30">
        <v>6406</v>
      </c>
      <c r="AY115" s="30">
        <v>6396</v>
      </c>
      <c r="AZ115" s="30">
        <v>6501</v>
      </c>
      <c r="BA115" s="30">
        <v>6618</v>
      </c>
      <c r="BB115" s="30">
        <v>6401</v>
      </c>
      <c r="BC115" s="30">
        <v>6663</v>
      </c>
      <c r="BD115" s="30">
        <v>6480</v>
      </c>
      <c r="BE115" s="30">
        <v>6607</v>
      </c>
      <c r="BF115" s="30">
        <v>6517</v>
      </c>
      <c r="BG115" s="30">
        <v>6573</v>
      </c>
      <c r="BH115" s="30">
        <v>6623</v>
      </c>
      <c r="BI115" s="30">
        <v>6550</v>
      </c>
      <c r="BJ115" s="30">
        <v>6530</v>
      </c>
      <c r="BK115" s="30">
        <v>6615</v>
      </c>
      <c r="BL115" s="30">
        <v>6419</v>
      </c>
      <c r="BM115" s="1">
        <v>6552</v>
      </c>
      <c r="BN115" s="1">
        <v>6543</v>
      </c>
      <c r="BO115" s="1">
        <v>6372</v>
      </c>
      <c r="BP115" s="1">
        <v>6392</v>
      </c>
      <c r="BQ115" s="1">
        <v>6360</v>
      </c>
      <c r="BR115" s="1">
        <v>6460</v>
      </c>
      <c r="BS115" s="1">
        <v>6559</v>
      </c>
      <c r="BT115" s="1">
        <v>6627</v>
      </c>
      <c r="BU115" s="1">
        <v>6913</v>
      </c>
      <c r="BV115" s="1">
        <v>6972</v>
      </c>
      <c r="BW115" s="1">
        <v>6918</v>
      </c>
      <c r="BX115" s="1">
        <v>6920</v>
      </c>
      <c r="BY115" s="1">
        <v>7054</v>
      </c>
      <c r="BZ115" s="1">
        <v>7225</v>
      </c>
    </row>
    <row r="116" spans="1:78" ht="15.9" customHeight="1">
      <c r="A116" s="65" t="s">
        <v>227</v>
      </c>
      <c r="B116" s="41" t="s">
        <v>228</v>
      </c>
      <c r="C116" s="45">
        <f>_xll.RssMarket("9882","安値")</f>
        <v>1707</v>
      </c>
      <c r="D116" s="16">
        <f t="shared" si="3"/>
        <v>-9</v>
      </c>
      <c r="E116" s="30">
        <v>1716</v>
      </c>
      <c r="F116" s="30">
        <v>1706</v>
      </c>
      <c r="G116" s="30">
        <v>1800</v>
      </c>
      <c r="H116" s="30">
        <v>1868</v>
      </c>
      <c r="I116" s="30">
        <v>1846</v>
      </c>
      <c r="J116" s="30">
        <v>1829</v>
      </c>
      <c r="K116" s="30">
        <v>1795</v>
      </c>
      <c r="L116" s="30">
        <v>1765</v>
      </c>
      <c r="M116" s="30">
        <v>1782</v>
      </c>
      <c r="N116" s="30">
        <v>1795</v>
      </c>
      <c r="O116" s="30">
        <v>1816</v>
      </c>
      <c r="P116" s="30">
        <v>1807</v>
      </c>
      <c r="Q116" s="30">
        <v>1809</v>
      </c>
      <c r="R116" s="30">
        <v>1805</v>
      </c>
      <c r="S116" s="30">
        <v>1806</v>
      </c>
      <c r="T116" s="30">
        <v>1814</v>
      </c>
      <c r="U116" s="30">
        <v>1822</v>
      </c>
      <c r="V116" s="30">
        <v>1820</v>
      </c>
      <c r="W116" s="30">
        <v>1814</v>
      </c>
      <c r="X116" s="30">
        <v>1770</v>
      </c>
      <c r="Y116" s="30">
        <v>1769</v>
      </c>
      <c r="Z116" s="30">
        <v>1741</v>
      </c>
      <c r="AA116" s="30">
        <v>1737</v>
      </c>
      <c r="AB116" s="30">
        <v>1742</v>
      </c>
      <c r="AC116" s="30">
        <v>1765</v>
      </c>
      <c r="AD116" s="30">
        <v>1745</v>
      </c>
      <c r="AE116" s="30">
        <v>1748</v>
      </c>
      <c r="AF116" s="30">
        <v>1731</v>
      </c>
      <c r="AG116" s="30">
        <v>1735</v>
      </c>
      <c r="AH116" s="30">
        <v>1737</v>
      </c>
      <c r="AI116" s="30">
        <v>1740</v>
      </c>
      <c r="AJ116" s="30">
        <v>1738</v>
      </c>
      <c r="AK116" s="30">
        <v>1735</v>
      </c>
      <c r="AL116" s="30">
        <v>1711</v>
      </c>
      <c r="AM116" s="30">
        <v>1731</v>
      </c>
      <c r="AN116" s="30">
        <v>1721</v>
      </c>
      <c r="AO116" s="30">
        <v>1698</v>
      </c>
      <c r="AP116" s="30">
        <v>1700</v>
      </c>
      <c r="AQ116" s="30">
        <v>1663</v>
      </c>
      <c r="AR116" s="30">
        <v>1655</v>
      </c>
      <c r="AS116" s="30">
        <v>1643</v>
      </c>
      <c r="AT116" s="30">
        <v>1618</v>
      </c>
      <c r="AU116" s="30">
        <v>1601</v>
      </c>
      <c r="AV116" s="30">
        <v>1625</v>
      </c>
      <c r="AW116" s="30">
        <v>1622</v>
      </c>
      <c r="AX116" s="30">
        <v>1613</v>
      </c>
      <c r="AY116" s="30">
        <v>1605</v>
      </c>
      <c r="AZ116" s="30">
        <v>1612</v>
      </c>
      <c r="BA116" s="30">
        <v>1622</v>
      </c>
      <c r="BB116" s="30">
        <v>1608</v>
      </c>
      <c r="BC116" s="30">
        <v>1625</v>
      </c>
      <c r="BD116" s="30">
        <v>1611</v>
      </c>
      <c r="BE116" s="30">
        <v>1595</v>
      </c>
      <c r="BF116" s="30">
        <v>1585</v>
      </c>
      <c r="BG116" s="30">
        <v>1613</v>
      </c>
      <c r="BH116" s="30">
        <v>1633</v>
      </c>
      <c r="BI116" s="30">
        <v>1622</v>
      </c>
      <c r="BJ116" s="30">
        <v>1487</v>
      </c>
      <c r="BK116" s="30">
        <v>1502</v>
      </c>
      <c r="BL116" s="30">
        <v>1503</v>
      </c>
      <c r="BM116" s="1">
        <v>1502</v>
      </c>
      <c r="BN116" s="1">
        <v>1504</v>
      </c>
      <c r="BO116" s="1">
        <v>1504</v>
      </c>
      <c r="BP116" s="1">
        <v>1506</v>
      </c>
      <c r="BQ116" s="1">
        <v>1509</v>
      </c>
      <c r="BR116" s="1">
        <v>1538</v>
      </c>
      <c r="BS116" s="1">
        <v>1561</v>
      </c>
      <c r="BT116" s="1">
        <v>1555</v>
      </c>
      <c r="BU116" s="1">
        <v>1554</v>
      </c>
      <c r="BV116" s="1">
        <v>1549</v>
      </c>
      <c r="BW116" s="1">
        <v>1553</v>
      </c>
      <c r="BX116" s="1">
        <v>1561</v>
      </c>
      <c r="BY116" s="1">
        <v>1565</v>
      </c>
      <c r="BZ116" s="1">
        <v>1590</v>
      </c>
    </row>
    <row r="117" spans="1:78" ht="15.9" customHeight="1">
      <c r="A117" s="65" t="s">
        <v>229</v>
      </c>
      <c r="B117" s="41" t="s">
        <v>230</v>
      </c>
      <c r="C117" s="45">
        <f>_xll.RssMarket("5838","安値")</f>
        <v>5291</v>
      </c>
      <c r="D117" s="16">
        <f t="shared" si="3"/>
        <v>-23</v>
      </c>
      <c r="E117" s="30">
        <v>5314</v>
      </c>
      <c r="F117" s="30">
        <v>5192</v>
      </c>
      <c r="G117" s="30">
        <v>5268</v>
      </c>
      <c r="H117" s="30">
        <v>5238</v>
      </c>
      <c r="I117" s="30">
        <v>5418</v>
      </c>
      <c r="J117" s="30">
        <v>5440</v>
      </c>
      <c r="K117" s="30">
        <v>5543</v>
      </c>
      <c r="L117" s="30">
        <v>5550</v>
      </c>
      <c r="M117" s="30">
        <v>5544</v>
      </c>
      <c r="N117" s="30">
        <v>5270</v>
      </c>
      <c r="O117" s="30">
        <v>5269</v>
      </c>
      <c r="P117" s="30">
        <v>5173</v>
      </c>
      <c r="Q117" s="30">
        <v>5637</v>
      </c>
      <c r="R117" s="30">
        <v>5734</v>
      </c>
      <c r="S117" s="30">
        <v>5670</v>
      </c>
      <c r="T117" s="30">
        <v>5731</v>
      </c>
      <c r="U117" s="30">
        <v>5691</v>
      </c>
      <c r="V117" s="30">
        <v>5697</v>
      </c>
      <c r="W117" s="30">
        <v>5519</v>
      </c>
      <c r="X117" s="30">
        <v>5314</v>
      </c>
      <c r="Y117" s="30">
        <v>5290</v>
      </c>
      <c r="Z117" s="30">
        <v>5123</v>
      </c>
      <c r="AA117" s="30">
        <v>5083</v>
      </c>
      <c r="AB117" s="30">
        <v>5109</v>
      </c>
      <c r="AC117" s="30">
        <v>5032</v>
      </c>
      <c r="AD117" s="30">
        <v>4980</v>
      </c>
      <c r="AE117" s="30">
        <v>4961</v>
      </c>
      <c r="AF117" s="30">
        <v>4995</v>
      </c>
      <c r="AG117" s="30">
        <v>5020</v>
      </c>
      <c r="AH117" s="30">
        <v>4998</v>
      </c>
      <c r="AI117" s="30">
        <v>5084</v>
      </c>
      <c r="AJ117" s="30">
        <v>5145</v>
      </c>
      <c r="AK117" s="30">
        <v>5158</v>
      </c>
      <c r="AL117" s="30">
        <v>5102</v>
      </c>
      <c r="AM117" s="30">
        <v>5085</v>
      </c>
      <c r="AN117" s="30">
        <v>5051</v>
      </c>
      <c r="AO117" s="30">
        <v>4938</v>
      </c>
      <c r="AP117" s="30">
        <v>4688</v>
      </c>
      <c r="AQ117" s="30">
        <v>4764</v>
      </c>
      <c r="AR117" s="30">
        <v>4903</v>
      </c>
      <c r="AS117" s="30">
        <v>4742</v>
      </c>
      <c r="AT117" s="30">
        <v>4500</v>
      </c>
      <c r="AU117" s="30">
        <v>4390</v>
      </c>
      <c r="AV117" s="30">
        <v>4653</v>
      </c>
      <c r="AW117" s="30">
        <v>4751</v>
      </c>
      <c r="AX117" s="30">
        <v>4782</v>
      </c>
      <c r="AY117" s="30">
        <v>4821</v>
      </c>
      <c r="AZ117" s="30">
        <v>4779</v>
      </c>
      <c r="BA117" s="30">
        <v>5480</v>
      </c>
      <c r="BB117" s="30">
        <v>6463</v>
      </c>
      <c r="BC117" s="30">
        <v>6611</v>
      </c>
      <c r="BD117" s="30">
        <v>6234</v>
      </c>
      <c r="BE117" s="30">
        <v>5902</v>
      </c>
      <c r="BF117" s="30">
        <v>5998</v>
      </c>
      <c r="BG117" s="30">
        <v>5997</v>
      </c>
      <c r="BH117" s="30">
        <v>6198</v>
      </c>
      <c r="BI117" s="30">
        <v>6193</v>
      </c>
      <c r="BJ117" s="30">
        <v>6128</v>
      </c>
      <c r="BK117" s="30">
        <v>6191</v>
      </c>
      <c r="BL117" s="30">
        <v>6183</v>
      </c>
      <c r="BM117" s="1">
        <v>6195</v>
      </c>
      <c r="BN117" s="1">
        <v>6136</v>
      </c>
      <c r="BO117" s="1">
        <v>6062</v>
      </c>
      <c r="BP117" s="1">
        <v>6110</v>
      </c>
      <c r="BQ117" s="1">
        <v>6040</v>
      </c>
      <c r="BR117" s="1">
        <v>6061</v>
      </c>
      <c r="BS117" s="1">
        <v>6411</v>
      </c>
      <c r="BT117" s="1">
        <v>6488</v>
      </c>
      <c r="BU117" s="1">
        <v>6552</v>
      </c>
      <c r="BV117" s="1">
        <v>6656</v>
      </c>
      <c r="BW117" s="1">
        <v>6724</v>
      </c>
      <c r="BX117" s="1">
        <v>6731</v>
      </c>
      <c r="BY117" s="1">
        <v>6621</v>
      </c>
      <c r="BZ117" s="1">
        <v>6662</v>
      </c>
    </row>
    <row r="118" spans="1:78" ht="15.9" customHeight="1">
      <c r="A118" s="65" t="s">
        <v>231</v>
      </c>
      <c r="B118" s="41" t="s">
        <v>232</v>
      </c>
      <c r="C118" s="45">
        <f>_xll.RssMarket("5844","安値")</f>
        <v>4535</v>
      </c>
      <c r="D118" s="16">
        <f t="shared" si="3"/>
        <v>53</v>
      </c>
      <c r="E118" s="30">
        <v>4482</v>
      </c>
      <c r="F118" s="30">
        <v>4375</v>
      </c>
      <c r="G118" s="30">
        <v>4430</v>
      </c>
      <c r="H118" s="30">
        <v>4402</v>
      </c>
      <c r="I118" s="30">
        <v>4439</v>
      </c>
      <c r="J118" s="30">
        <v>4578</v>
      </c>
      <c r="K118" s="30">
        <v>4572</v>
      </c>
      <c r="L118" s="30">
        <v>4583</v>
      </c>
      <c r="M118" s="30">
        <v>4562</v>
      </c>
      <c r="N118" s="30">
        <v>4509</v>
      </c>
      <c r="O118" s="30">
        <v>4397</v>
      </c>
      <c r="P118" s="30">
        <v>4300</v>
      </c>
      <c r="Q118" s="30">
        <v>4697</v>
      </c>
      <c r="R118" s="30">
        <v>4645</v>
      </c>
      <c r="S118" s="30">
        <v>4651</v>
      </c>
      <c r="T118" s="30">
        <v>4643</v>
      </c>
      <c r="U118" s="30">
        <v>4715</v>
      </c>
      <c r="V118" s="30">
        <v>4717</v>
      </c>
      <c r="W118" s="30">
        <v>4719</v>
      </c>
      <c r="X118" s="30">
        <v>4641</v>
      </c>
      <c r="Y118" s="30">
        <v>4626</v>
      </c>
      <c r="Z118" s="30">
        <v>4573</v>
      </c>
      <c r="AA118" s="30">
        <v>4525</v>
      </c>
      <c r="AB118" s="30">
        <v>4465</v>
      </c>
      <c r="AC118" s="30">
        <v>4411</v>
      </c>
      <c r="AD118" s="30">
        <v>4446</v>
      </c>
      <c r="AE118" s="30">
        <v>4473</v>
      </c>
      <c r="AF118" s="30">
        <v>4529</v>
      </c>
      <c r="AG118" s="30">
        <v>4628</v>
      </c>
      <c r="AH118" s="30">
        <v>4791</v>
      </c>
      <c r="AI118" s="30">
        <v>4661</v>
      </c>
      <c r="AJ118" s="30">
        <v>4600</v>
      </c>
      <c r="AK118" s="30">
        <v>4519</v>
      </c>
      <c r="AL118" s="30">
        <v>4375</v>
      </c>
      <c r="AM118" s="30">
        <v>4485</v>
      </c>
      <c r="AN118" s="30">
        <v>4456</v>
      </c>
      <c r="AO118" s="30">
        <v>4390</v>
      </c>
      <c r="AP118" s="30">
        <v>4485</v>
      </c>
      <c r="AQ118" s="30">
        <v>4511</v>
      </c>
      <c r="AR118" s="30">
        <v>4580</v>
      </c>
      <c r="AS118" s="30">
        <v>4268</v>
      </c>
      <c r="AT118" s="30">
        <v>4271</v>
      </c>
      <c r="AU118" s="30">
        <v>4193</v>
      </c>
      <c r="AV118" s="30">
        <v>4312</v>
      </c>
      <c r="AW118" s="30">
        <v>4386</v>
      </c>
      <c r="AX118" s="30">
        <v>4437</v>
      </c>
      <c r="AY118" s="30">
        <v>4489</v>
      </c>
      <c r="AZ118" s="30">
        <v>4430</v>
      </c>
      <c r="BA118" s="30">
        <v>4443</v>
      </c>
      <c r="BB118" s="30">
        <v>4344</v>
      </c>
      <c r="BC118" s="30">
        <v>4366</v>
      </c>
      <c r="BD118" s="30">
        <v>4282</v>
      </c>
      <c r="BE118" s="30">
        <v>4231</v>
      </c>
      <c r="BF118" s="30">
        <v>4380</v>
      </c>
      <c r="BG118" s="30">
        <v>4393</v>
      </c>
      <c r="BH118" s="30">
        <v>4381</v>
      </c>
      <c r="BI118" s="30">
        <v>4341</v>
      </c>
      <c r="BJ118" s="30">
        <v>4338</v>
      </c>
      <c r="BK118" s="30">
        <v>4396</v>
      </c>
      <c r="BL118" s="30">
        <v>4285</v>
      </c>
      <c r="BM118" s="1">
        <v>4251</v>
      </c>
      <c r="BN118" s="1">
        <v>4218</v>
      </c>
      <c r="BO118" s="1">
        <v>4143</v>
      </c>
      <c r="BP118" s="1">
        <v>4227</v>
      </c>
      <c r="BQ118" s="1">
        <v>4126</v>
      </c>
      <c r="BR118" s="1">
        <v>4258</v>
      </c>
      <c r="BS118" s="1">
        <v>4305</v>
      </c>
      <c r="BT118" s="1">
        <v>4292</v>
      </c>
      <c r="BU118" s="1">
        <v>4361</v>
      </c>
      <c r="BV118" s="1">
        <v>4392</v>
      </c>
      <c r="BW118" s="1">
        <v>4350</v>
      </c>
      <c r="BX118" s="1">
        <v>4315</v>
      </c>
      <c r="BY118" s="1">
        <v>4295</v>
      </c>
      <c r="BZ118" s="1">
        <v>4330</v>
      </c>
    </row>
    <row r="119" spans="1:78" ht="15.9" customHeight="1">
      <c r="A119" s="65" t="s">
        <v>233</v>
      </c>
      <c r="B119" s="41" t="s">
        <v>234</v>
      </c>
      <c r="C119" s="45">
        <f>_xll.RssMarket("9404","安値")</f>
        <v>2753</v>
      </c>
      <c r="D119" s="16">
        <f t="shared" si="3"/>
        <v>-15</v>
      </c>
      <c r="E119" s="30">
        <v>2768</v>
      </c>
      <c r="F119" s="30">
        <v>2804</v>
      </c>
      <c r="G119" s="30">
        <v>2890.5</v>
      </c>
      <c r="H119" s="30">
        <v>2988</v>
      </c>
      <c r="I119" s="30">
        <v>2981</v>
      </c>
      <c r="J119" s="30">
        <v>2925</v>
      </c>
      <c r="K119" s="30">
        <v>2861.5</v>
      </c>
      <c r="L119" s="30">
        <v>2785.5</v>
      </c>
      <c r="M119" s="30">
        <v>2793</v>
      </c>
      <c r="N119" s="30">
        <v>2832</v>
      </c>
      <c r="O119" s="30">
        <v>2869</v>
      </c>
      <c r="P119" s="30">
        <v>2876</v>
      </c>
      <c r="Q119" s="30">
        <v>2854</v>
      </c>
      <c r="R119" s="30">
        <v>2875.5</v>
      </c>
      <c r="S119" s="30">
        <v>2865</v>
      </c>
      <c r="T119" s="30">
        <v>2870</v>
      </c>
      <c r="U119" s="30">
        <v>2885</v>
      </c>
      <c r="V119" s="30">
        <v>2914</v>
      </c>
      <c r="W119" s="30">
        <v>2890</v>
      </c>
      <c r="X119" s="30">
        <v>2856</v>
      </c>
      <c r="Y119" s="30">
        <v>2844</v>
      </c>
      <c r="Z119" s="30">
        <v>2839</v>
      </c>
      <c r="AA119" s="30">
        <v>2775.5</v>
      </c>
      <c r="AB119" s="30">
        <v>2751.5</v>
      </c>
      <c r="AC119" s="30">
        <v>2695</v>
      </c>
      <c r="AD119" s="30">
        <v>2652</v>
      </c>
      <c r="AE119" s="30">
        <v>2697.5</v>
      </c>
      <c r="AF119" s="30">
        <v>2705</v>
      </c>
      <c r="AG119" s="30">
        <v>2683</v>
      </c>
      <c r="AH119" s="30">
        <v>2745.5</v>
      </c>
      <c r="AI119" s="30">
        <v>2770</v>
      </c>
      <c r="AJ119" s="30">
        <v>2816</v>
      </c>
      <c r="AK119" s="30">
        <v>2834</v>
      </c>
      <c r="AL119" s="30">
        <v>2812</v>
      </c>
      <c r="AM119" s="30">
        <v>2816.5</v>
      </c>
      <c r="AN119" s="30">
        <v>2806.5</v>
      </c>
      <c r="AO119" s="30">
        <v>2858</v>
      </c>
      <c r="AP119" s="30">
        <v>2857.5</v>
      </c>
      <c r="AQ119" s="30">
        <v>2811.5</v>
      </c>
      <c r="AR119" s="30">
        <v>2780.5</v>
      </c>
      <c r="AS119" s="30">
        <v>2749.5</v>
      </c>
      <c r="AT119" s="30">
        <v>2716</v>
      </c>
      <c r="AU119" s="30">
        <v>2782</v>
      </c>
      <c r="AV119" s="30">
        <v>2836</v>
      </c>
      <c r="AW119" s="30">
        <v>2838.5</v>
      </c>
      <c r="AX119" s="30">
        <v>2829</v>
      </c>
      <c r="AY119" s="30">
        <v>2825.5</v>
      </c>
      <c r="AZ119" s="30">
        <v>2874</v>
      </c>
      <c r="BA119" s="30">
        <v>2917.5</v>
      </c>
      <c r="BB119" s="30">
        <v>2909.5</v>
      </c>
      <c r="BC119" s="30">
        <v>2873.5</v>
      </c>
      <c r="BD119" s="30">
        <v>2860</v>
      </c>
      <c r="BE119" s="30">
        <v>2790</v>
      </c>
      <c r="BF119" s="30">
        <v>2880.5</v>
      </c>
      <c r="BG119" s="30">
        <v>2934</v>
      </c>
      <c r="BH119" s="30">
        <v>2922.5</v>
      </c>
      <c r="BI119" s="30">
        <v>2924</v>
      </c>
      <c r="BJ119" s="30">
        <v>2951.5</v>
      </c>
      <c r="BK119" s="30">
        <v>2971.5</v>
      </c>
      <c r="BL119" s="30">
        <v>2936</v>
      </c>
      <c r="BM119" s="1">
        <v>2935.5</v>
      </c>
      <c r="BN119" s="1">
        <v>3000</v>
      </c>
      <c r="BO119" s="1">
        <v>2975.5</v>
      </c>
      <c r="BP119" s="1">
        <v>2954</v>
      </c>
      <c r="BQ119" s="1">
        <v>2990.5</v>
      </c>
      <c r="BR119" s="1">
        <v>3057</v>
      </c>
      <c r="BS119" s="1">
        <v>3111</v>
      </c>
      <c r="BT119" s="1">
        <v>3150</v>
      </c>
      <c r="BU119" s="1">
        <v>3155</v>
      </c>
      <c r="BV119" s="1">
        <v>3136</v>
      </c>
      <c r="BW119" s="1">
        <v>3152</v>
      </c>
      <c r="BX119" s="1">
        <v>3128</v>
      </c>
      <c r="BY119" s="1">
        <v>3098</v>
      </c>
      <c r="BZ119" s="1">
        <v>3109</v>
      </c>
    </row>
    <row r="120" spans="1:78" ht="15.9" customHeight="1">
      <c r="A120" s="65" t="s">
        <v>235</v>
      </c>
      <c r="B120" s="41" t="s">
        <v>236</v>
      </c>
      <c r="C120" s="45">
        <f>_xll.RssMarket("6744","安値")</f>
        <v>4545</v>
      </c>
      <c r="D120" s="16">
        <f t="shared" si="3"/>
        <v>110</v>
      </c>
      <c r="E120" s="30">
        <v>4435</v>
      </c>
      <c r="F120" s="30">
        <v>4370</v>
      </c>
      <c r="G120" s="30">
        <v>4340</v>
      </c>
      <c r="H120" s="30">
        <v>4310</v>
      </c>
      <c r="I120" s="30">
        <v>4355</v>
      </c>
      <c r="J120" s="30">
        <v>4320</v>
      </c>
      <c r="K120" s="30">
        <v>4320</v>
      </c>
      <c r="L120" s="30"/>
      <c r="M120" s="30">
        <v>4235</v>
      </c>
      <c r="N120" s="30">
        <v>4265</v>
      </c>
      <c r="O120" s="30">
        <v>4205</v>
      </c>
      <c r="P120" s="30">
        <v>4050</v>
      </c>
      <c r="Q120" s="30">
        <v>4250</v>
      </c>
      <c r="R120" s="30">
        <v>4230</v>
      </c>
      <c r="S120" s="30">
        <v>4210</v>
      </c>
      <c r="T120" s="30">
        <v>4260</v>
      </c>
      <c r="U120" s="30">
        <v>4280</v>
      </c>
      <c r="V120" s="30">
        <v>4265</v>
      </c>
      <c r="W120" s="30">
        <v>4375</v>
      </c>
      <c r="X120" s="30">
        <v>4360</v>
      </c>
      <c r="Y120" s="30">
        <v>4235</v>
      </c>
      <c r="Z120" s="30">
        <v>4095</v>
      </c>
      <c r="AA120" s="30">
        <v>4080</v>
      </c>
      <c r="AB120" s="30">
        <v>4090</v>
      </c>
      <c r="AC120" s="30">
        <v>4090</v>
      </c>
      <c r="AD120" s="30">
        <v>4075</v>
      </c>
      <c r="AE120" s="30">
        <v>4135</v>
      </c>
      <c r="AF120" s="30">
        <v>4160</v>
      </c>
      <c r="AG120" s="30">
        <v>4165</v>
      </c>
      <c r="AH120" s="30">
        <v>4205</v>
      </c>
      <c r="AI120" s="30">
        <v>4195</v>
      </c>
      <c r="AJ120" s="30">
        <v>4200</v>
      </c>
      <c r="AK120" s="30">
        <v>4155</v>
      </c>
      <c r="AL120" s="30">
        <v>4180</v>
      </c>
      <c r="AM120" s="30">
        <v>4195</v>
      </c>
      <c r="AN120" s="30">
        <v>4185</v>
      </c>
      <c r="AO120" s="30">
        <v>4165</v>
      </c>
      <c r="AP120" s="30">
        <v>4260</v>
      </c>
      <c r="AQ120" s="30">
        <v>4310</v>
      </c>
      <c r="AR120" s="30">
        <v>4490</v>
      </c>
      <c r="AS120" s="30">
        <v>4480</v>
      </c>
      <c r="AT120" s="30">
        <v>4505</v>
      </c>
      <c r="AU120" s="30">
        <v>4540</v>
      </c>
      <c r="AV120" s="30">
        <v>4780</v>
      </c>
      <c r="AW120" s="30">
        <v>4695</v>
      </c>
      <c r="AX120" s="30">
        <v>4770</v>
      </c>
      <c r="AY120" s="30">
        <v>4700</v>
      </c>
      <c r="AZ120" s="30">
        <v>4575</v>
      </c>
      <c r="BA120" s="30">
        <v>4575</v>
      </c>
      <c r="BB120" s="30">
        <v>4505</v>
      </c>
      <c r="BC120" s="30">
        <v>4635</v>
      </c>
      <c r="BD120" s="30">
        <v>4640</v>
      </c>
      <c r="BE120" s="30">
        <v>4620</v>
      </c>
      <c r="BF120" s="30">
        <v>4330</v>
      </c>
      <c r="BG120" s="30">
        <v>4220</v>
      </c>
      <c r="BH120" s="30">
        <v>4250</v>
      </c>
      <c r="BI120" s="30">
        <v>4320</v>
      </c>
      <c r="BJ120" s="30">
        <v>4275</v>
      </c>
      <c r="BK120" s="30">
        <v>4255</v>
      </c>
      <c r="BL120" s="30">
        <v>4090</v>
      </c>
      <c r="BM120" s="1">
        <v>4005</v>
      </c>
      <c r="BN120" s="1">
        <v>3970</v>
      </c>
      <c r="BO120" s="1">
        <v>3855</v>
      </c>
      <c r="BP120" s="1">
        <v>3885</v>
      </c>
      <c r="BQ120" s="1">
        <v>3930</v>
      </c>
      <c r="BR120" s="1">
        <v>4010</v>
      </c>
      <c r="BS120" s="1">
        <v>4035</v>
      </c>
      <c r="BT120" s="1">
        <v>4050</v>
      </c>
      <c r="BU120" s="1">
        <v>4080</v>
      </c>
      <c r="BV120" s="1">
        <v>4215</v>
      </c>
      <c r="BW120" s="1">
        <v>4260</v>
      </c>
      <c r="BX120" s="1">
        <v>4360</v>
      </c>
      <c r="BY120" s="1">
        <v>4365</v>
      </c>
      <c r="BZ120" s="1">
        <v>4375</v>
      </c>
    </row>
    <row r="121" spans="1:78" ht="15.9" customHeight="1">
      <c r="A121" s="65" t="s">
        <v>237</v>
      </c>
      <c r="B121" s="41" t="s">
        <v>238</v>
      </c>
      <c r="C121" s="45">
        <f>_xll.RssMarket("7685","安値")</f>
        <v>2972</v>
      </c>
      <c r="D121" s="16">
        <f t="shared" si="3"/>
        <v>18</v>
      </c>
      <c r="E121" s="30">
        <v>2954</v>
      </c>
      <c r="F121" s="30">
        <v>2910</v>
      </c>
      <c r="G121" s="30">
        <v>2910</v>
      </c>
      <c r="H121" s="30">
        <v>2926</v>
      </c>
      <c r="I121" s="30">
        <v>2996</v>
      </c>
      <c r="J121" s="30">
        <v>3050</v>
      </c>
      <c r="K121" s="30">
        <v>3015</v>
      </c>
      <c r="L121" s="30"/>
      <c r="M121" s="30">
        <v>3085</v>
      </c>
      <c r="N121" s="30">
        <v>3190</v>
      </c>
      <c r="O121" s="30">
        <v>2980</v>
      </c>
      <c r="P121" s="30">
        <v>3350</v>
      </c>
      <c r="Q121" s="30">
        <v>3450</v>
      </c>
      <c r="R121" s="30">
        <v>3485</v>
      </c>
      <c r="S121" s="30">
        <v>3505</v>
      </c>
      <c r="T121" s="30">
        <v>3450</v>
      </c>
      <c r="U121" s="30">
        <v>3560</v>
      </c>
      <c r="V121" s="30">
        <v>3540</v>
      </c>
      <c r="W121" s="30">
        <v>3405</v>
      </c>
      <c r="X121" s="30">
        <v>3400</v>
      </c>
      <c r="Y121" s="30">
        <v>3450</v>
      </c>
      <c r="Z121" s="30">
        <v>3335</v>
      </c>
      <c r="AA121" s="30">
        <v>3265</v>
      </c>
      <c r="AB121" s="30">
        <v>3225</v>
      </c>
      <c r="AC121" s="30">
        <v>3310</v>
      </c>
      <c r="AD121" s="30">
        <v>3250</v>
      </c>
      <c r="AE121" s="30">
        <v>3400</v>
      </c>
      <c r="AF121" s="30">
        <v>3570</v>
      </c>
      <c r="AG121" s="30">
        <v>3515</v>
      </c>
      <c r="AH121" s="30">
        <v>3410</v>
      </c>
      <c r="AI121" s="30">
        <v>3430</v>
      </c>
      <c r="AJ121" s="30">
        <v>3480</v>
      </c>
      <c r="AK121" s="30">
        <v>3500</v>
      </c>
      <c r="AL121" s="30">
        <v>3570</v>
      </c>
      <c r="AM121" s="30">
        <v>3500</v>
      </c>
      <c r="AN121" s="30">
        <v>3680</v>
      </c>
      <c r="AO121" s="30">
        <v>3680</v>
      </c>
      <c r="AP121" s="30">
        <v>3650</v>
      </c>
      <c r="AQ121" s="30">
        <v>3530</v>
      </c>
      <c r="AR121" s="30">
        <v>3705</v>
      </c>
      <c r="AS121" s="30">
        <v>3670</v>
      </c>
      <c r="AT121" s="30">
        <v>3855</v>
      </c>
      <c r="AU121" s="30">
        <v>3815</v>
      </c>
      <c r="AV121" s="30">
        <v>3990</v>
      </c>
      <c r="AW121" s="30">
        <v>3785</v>
      </c>
      <c r="AX121" s="30">
        <v>3790</v>
      </c>
      <c r="AY121" s="30">
        <v>3700</v>
      </c>
      <c r="AZ121" s="30">
        <v>3570</v>
      </c>
      <c r="BA121" s="30">
        <v>3605</v>
      </c>
      <c r="BB121" s="30">
        <v>3725</v>
      </c>
      <c r="BC121" s="30">
        <v>3330</v>
      </c>
      <c r="BD121" s="30">
        <v>3300</v>
      </c>
      <c r="BE121" s="30">
        <v>3300</v>
      </c>
      <c r="BF121" s="30">
        <v>3300</v>
      </c>
      <c r="BG121" s="30">
        <v>2960</v>
      </c>
      <c r="BH121" s="30">
        <v>3075</v>
      </c>
      <c r="BI121" s="30">
        <v>3295</v>
      </c>
      <c r="BJ121" s="30">
        <v>3195</v>
      </c>
      <c r="BK121" s="30">
        <v>3075</v>
      </c>
      <c r="BL121" s="30">
        <v>3160</v>
      </c>
      <c r="BM121" s="1">
        <v>3210</v>
      </c>
      <c r="BN121" s="1">
        <v>3100</v>
      </c>
      <c r="BO121" s="1">
        <v>3070</v>
      </c>
      <c r="BP121" s="1">
        <v>3105</v>
      </c>
      <c r="BQ121" s="1">
        <v>3230</v>
      </c>
      <c r="BR121" s="1">
        <v>3240</v>
      </c>
      <c r="BS121" s="1">
        <v>3370</v>
      </c>
      <c r="BT121" s="1">
        <v>3320</v>
      </c>
      <c r="BU121" s="1">
        <v>3510</v>
      </c>
      <c r="BV121" s="1">
        <v>3605</v>
      </c>
      <c r="BW121" s="1">
        <v>3565</v>
      </c>
      <c r="BX121" s="1">
        <v>3445</v>
      </c>
      <c r="BY121" s="1">
        <v>3390</v>
      </c>
      <c r="BZ121" s="1">
        <v>3370</v>
      </c>
    </row>
    <row r="122" spans="1:78" ht="15.9" customHeight="1">
      <c r="A122" s="65" t="s">
        <v>239</v>
      </c>
      <c r="B122" s="41" t="s">
        <v>240</v>
      </c>
      <c r="C122" s="45">
        <f>_xll.RssMarket("8334","安値")</f>
        <v>2496.5</v>
      </c>
      <c r="D122" s="16">
        <f t="shared" si="3"/>
        <v>15</v>
      </c>
      <c r="E122" s="30">
        <v>2481.5</v>
      </c>
      <c r="F122" s="30">
        <v>2440</v>
      </c>
      <c r="G122" s="30">
        <v>2462</v>
      </c>
      <c r="H122" s="30">
        <v>2442.5</v>
      </c>
      <c r="I122" s="30">
        <v>2460.5</v>
      </c>
      <c r="J122" s="30">
        <v>2571</v>
      </c>
      <c r="K122" s="30">
        <v>2616</v>
      </c>
      <c r="L122" s="30">
        <v>2544.5</v>
      </c>
      <c r="M122" s="30">
        <v>2565</v>
      </c>
      <c r="N122" s="30">
        <v>2543.5</v>
      </c>
      <c r="O122" s="30">
        <v>2447</v>
      </c>
      <c r="P122" s="30">
        <v>2407</v>
      </c>
      <c r="Q122" s="30">
        <v>2572</v>
      </c>
      <c r="R122" s="30">
        <v>2513</v>
      </c>
      <c r="S122" s="30">
        <v>2497</v>
      </c>
      <c r="T122" s="30">
        <v>2478.5</v>
      </c>
      <c r="U122" s="30">
        <v>2469</v>
      </c>
      <c r="V122" s="30">
        <v>2442</v>
      </c>
      <c r="W122" s="30">
        <v>2436</v>
      </c>
      <c r="X122" s="30">
        <v>2408</v>
      </c>
      <c r="Y122" s="30">
        <v>2400</v>
      </c>
      <c r="Z122" s="30">
        <v>2377</v>
      </c>
      <c r="AA122" s="30">
        <v>2336.5</v>
      </c>
      <c r="AB122" s="30">
        <v>2324</v>
      </c>
      <c r="AC122" s="30">
        <v>2314</v>
      </c>
      <c r="AD122" s="30">
        <v>2313.5</v>
      </c>
      <c r="AE122" s="30">
        <v>2289.5</v>
      </c>
      <c r="AF122" s="30">
        <v>2276</v>
      </c>
      <c r="AG122" s="30">
        <v>2307</v>
      </c>
      <c r="AH122" s="30">
        <v>2285</v>
      </c>
      <c r="AI122" s="30">
        <v>2271</v>
      </c>
      <c r="AJ122" s="30">
        <v>2304.5</v>
      </c>
      <c r="AK122" s="30">
        <v>2307</v>
      </c>
      <c r="AL122" s="30">
        <v>2285</v>
      </c>
      <c r="AM122" s="30">
        <v>2358</v>
      </c>
      <c r="AN122" s="30">
        <v>2323.5</v>
      </c>
      <c r="AO122" s="30">
        <v>2269.5</v>
      </c>
      <c r="AP122" s="30">
        <v>2302</v>
      </c>
      <c r="AQ122" s="30">
        <v>2227</v>
      </c>
      <c r="AR122" s="30">
        <v>2254</v>
      </c>
      <c r="AS122" s="30">
        <v>2151</v>
      </c>
      <c r="AT122" s="30">
        <v>2166.5</v>
      </c>
      <c r="AU122" s="30">
        <v>2093</v>
      </c>
      <c r="AV122" s="30">
        <v>2207</v>
      </c>
      <c r="AW122" s="30">
        <v>2190.5</v>
      </c>
      <c r="AX122" s="30">
        <v>2231</v>
      </c>
      <c r="AY122" s="30">
        <v>2272</v>
      </c>
      <c r="AZ122" s="30">
        <v>2295</v>
      </c>
      <c r="BA122" s="30">
        <v>2337</v>
      </c>
      <c r="BB122" s="30">
        <v>2267</v>
      </c>
      <c r="BC122" s="30">
        <v>2274.5</v>
      </c>
      <c r="BD122" s="30">
        <v>2205</v>
      </c>
      <c r="BE122" s="30">
        <v>2178</v>
      </c>
      <c r="BF122" s="30">
        <v>2174</v>
      </c>
      <c r="BG122" s="30">
        <v>2169</v>
      </c>
      <c r="BH122" s="30">
        <v>2171.5</v>
      </c>
      <c r="BI122" s="30">
        <v>2169</v>
      </c>
      <c r="BJ122" s="30">
        <v>2120.5</v>
      </c>
      <c r="BK122" s="30">
        <v>2189.5</v>
      </c>
      <c r="BL122" s="30">
        <v>2102</v>
      </c>
      <c r="BM122" s="1">
        <v>2113.5</v>
      </c>
      <c r="BN122" s="1">
        <v>2052</v>
      </c>
      <c r="BO122" s="1">
        <v>1970</v>
      </c>
      <c r="BP122" s="1">
        <v>2005</v>
      </c>
      <c r="BQ122" s="1">
        <v>2014.5</v>
      </c>
      <c r="BR122" s="1">
        <v>2046.5</v>
      </c>
      <c r="BS122" s="1">
        <v>2113</v>
      </c>
      <c r="BT122" s="1">
        <v>2180</v>
      </c>
      <c r="BU122" s="1">
        <v>2214</v>
      </c>
      <c r="BV122" s="1">
        <v>2250</v>
      </c>
      <c r="BW122" s="1">
        <v>2246</v>
      </c>
      <c r="BX122" s="1">
        <v>2225</v>
      </c>
      <c r="BY122" s="1">
        <v>2245.5</v>
      </c>
      <c r="BZ122" s="1">
        <v>2266</v>
      </c>
    </row>
    <row r="123" spans="1:78" ht="15.9" customHeight="1">
      <c r="A123" s="65" t="s">
        <v>241</v>
      </c>
      <c r="B123" s="41" t="s">
        <v>242</v>
      </c>
      <c r="C123" s="45">
        <f>_xll.RssMarket("8359","安値")</f>
        <v>2482</v>
      </c>
      <c r="D123" s="16">
        <f t="shared" si="3"/>
        <v>20</v>
      </c>
      <c r="E123" s="30">
        <v>2462</v>
      </c>
      <c r="F123" s="30">
        <v>2397.5</v>
      </c>
      <c r="G123" s="30">
        <v>2476.5</v>
      </c>
      <c r="H123" s="30">
        <v>2469</v>
      </c>
      <c r="I123" s="30">
        <v>2478</v>
      </c>
      <c r="J123" s="30">
        <v>2594.5</v>
      </c>
      <c r="K123" s="30">
        <v>2650.5</v>
      </c>
      <c r="L123" s="30">
        <v>2600</v>
      </c>
      <c r="M123" s="30">
        <v>2620.5</v>
      </c>
      <c r="N123" s="30">
        <v>2564</v>
      </c>
      <c r="O123" s="30">
        <v>2461.5</v>
      </c>
      <c r="P123" s="30">
        <v>2412.5</v>
      </c>
      <c r="Q123" s="30">
        <v>2575</v>
      </c>
      <c r="R123" s="30">
        <v>2536.5</v>
      </c>
      <c r="S123" s="30">
        <v>2553</v>
      </c>
      <c r="T123" s="30">
        <v>2551</v>
      </c>
      <c r="U123" s="30">
        <v>2544.5</v>
      </c>
      <c r="V123" s="30">
        <v>2548</v>
      </c>
      <c r="W123" s="30">
        <v>2549</v>
      </c>
      <c r="X123" s="30">
        <v>2505</v>
      </c>
      <c r="Y123" s="30">
        <v>2480</v>
      </c>
      <c r="Z123" s="30">
        <v>2428.5</v>
      </c>
      <c r="AA123" s="30">
        <v>2390</v>
      </c>
      <c r="AB123" s="30">
        <v>2384</v>
      </c>
      <c r="AC123" s="30">
        <v>2361.5</v>
      </c>
      <c r="AD123" s="30">
        <v>2364.5</v>
      </c>
      <c r="AE123" s="30">
        <v>2328.5</v>
      </c>
      <c r="AF123" s="30">
        <v>2345</v>
      </c>
      <c r="AG123" s="30">
        <v>2387.5</v>
      </c>
      <c r="AH123" s="30">
        <v>2320</v>
      </c>
      <c r="AI123" s="30">
        <v>2307</v>
      </c>
      <c r="AJ123" s="30">
        <v>2290</v>
      </c>
      <c r="AK123" s="30">
        <v>2287</v>
      </c>
      <c r="AL123" s="30">
        <v>2313.5</v>
      </c>
      <c r="AM123" s="30">
        <v>2380</v>
      </c>
      <c r="AN123" s="30">
        <v>2336.5</v>
      </c>
      <c r="AO123" s="30">
        <v>2296.5</v>
      </c>
      <c r="AP123" s="30">
        <v>2331</v>
      </c>
      <c r="AQ123" s="30">
        <v>2314</v>
      </c>
      <c r="AR123" s="30">
        <v>2379</v>
      </c>
      <c r="AS123" s="30">
        <v>2262.5</v>
      </c>
      <c r="AT123" s="30">
        <v>2296</v>
      </c>
      <c r="AU123" s="30">
        <v>2235.5</v>
      </c>
      <c r="AV123" s="30">
        <v>2286</v>
      </c>
      <c r="AW123" s="30">
        <v>2248</v>
      </c>
      <c r="AX123" s="30">
        <v>2257</v>
      </c>
      <c r="AY123" s="30">
        <v>2325</v>
      </c>
      <c r="AZ123" s="30">
        <v>2318</v>
      </c>
      <c r="BA123" s="30">
        <v>2335</v>
      </c>
      <c r="BB123" s="30">
        <v>2260.5</v>
      </c>
      <c r="BC123" s="30">
        <v>2230</v>
      </c>
      <c r="BD123" s="30">
        <v>2205</v>
      </c>
      <c r="BE123" s="30">
        <v>2334.5</v>
      </c>
      <c r="BF123" s="30">
        <v>2320</v>
      </c>
      <c r="BG123" s="30">
        <v>2314</v>
      </c>
      <c r="BH123" s="30">
        <v>2293.5</v>
      </c>
      <c r="BI123" s="30">
        <v>2209</v>
      </c>
      <c r="BJ123" s="30">
        <v>2159.5</v>
      </c>
      <c r="BK123" s="30">
        <v>2137</v>
      </c>
      <c r="BL123" s="30">
        <v>2069.5</v>
      </c>
      <c r="BM123" s="1">
        <v>2088</v>
      </c>
      <c r="BN123" s="1">
        <v>2044.5</v>
      </c>
      <c r="BO123" s="1">
        <v>1964</v>
      </c>
      <c r="BP123" s="1">
        <v>2016.5</v>
      </c>
      <c r="BQ123" s="1">
        <v>1981.5</v>
      </c>
      <c r="BR123" s="1">
        <v>2000.5</v>
      </c>
      <c r="BS123" s="1">
        <v>2026.5</v>
      </c>
      <c r="BT123" s="1">
        <v>2080</v>
      </c>
      <c r="BU123" s="1">
        <v>2085</v>
      </c>
      <c r="BV123" s="1">
        <v>2102</v>
      </c>
      <c r="BW123" s="1">
        <v>2074.5</v>
      </c>
      <c r="BX123" s="1">
        <v>2048.5</v>
      </c>
      <c r="BY123" s="1">
        <v>2063</v>
      </c>
      <c r="BZ123" s="1">
        <v>2105</v>
      </c>
    </row>
    <row r="124" spans="1:78" ht="15.9" customHeight="1">
      <c r="A124" s="65" t="s">
        <v>243</v>
      </c>
      <c r="B124" s="41" t="s">
        <v>244</v>
      </c>
      <c r="C124" s="45">
        <f>_xll.RssMarket("8801","安値")</f>
        <v>1473.5</v>
      </c>
      <c r="D124" s="16">
        <f t="shared" si="3"/>
        <v>0.5</v>
      </c>
      <c r="E124" s="30">
        <v>1473</v>
      </c>
      <c r="F124" s="30">
        <v>1479</v>
      </c>
      <c r="G124" s="30">
        <v>1553.5</v>
      </c>
      <c r="H124" s="30">
        <v>1600</v>
      </c>
      <c r="I124" s="30">
        <v>1585</v>
      </c>
      <c r="J124" s="30">
        <v>1574</v>
      </c>
      <c r="K124" s="30">
        <v>1559.5</v>
      </c>
      <c r="L124" s="30">
        <v>1526</v>
      </c>
      <c r="M124" s="30">
        <v>1535</v>
      </c>
      <c r="N124" s="30">
        <v>1540</v>
      </c>
      <c r="O124" s="30">
        <v>1542.5</v>
      </c>
      <c r="P124" s="30">
        <v>1534.5</v>
      </c>
      <c r="Q124" s="30">
        <v>1540</v>
      </c>
      <c r="R124" s="30">
        <v>1510</v>
      </c>
      <c r="S124" s="30">
        <v>1508</v>
      </c>
      <c r="T124" s="30">
        <v>1504.5</v>
      </c>
      <c r="U124" s="30">
        <v>1504.5</v>
      </c>
      <c r="V124" s="30">
        <v>1544.5</v>
      </c>
      <c r="W124" s="30">
        <v>1558.5</v>
      </c>
      <c r="X124" s="30">
        <v>1541.5</v>
      </c>
      <c r="Y124" s="30">
        <v>1529.5</v>
      </c>
      <c r="Z124" s="30">
        <v>1484</v>
      </c>
      <c r="AA124" s="30">
        <v>1457</v>
      </c>
      <c r="AB124" s="30">
        <v>1499</v>
      </c>
      <c r="AC124" s="30">
        <v>1487</v>
      </c>
      <c r="AD124" s="30">
        <v>1430</v>
      </c>
      <c r="AE124" s="30">
        <v>1467</v>
      </c>
      <c r="AF124" s="30">
        <v>1448</v>
      </c>
      <c r="AG124" s="30">
        <v>1446.5</v>
      </c>
      <c r="AH124" s="30">
        <v>1473</v>
      </c>
      <c r="AI124" s="30">
        <v>1475</v>
      </c>
      <c r="AJ124" s="30">
        <v>1481</v>
      </c>
      <c r="AK124" s="30">
        <v>1516.5</v>
      </c>
      <c r="AL124" s="30">
        <v>1527</v>
      </c>
      <c r="AM124" s="30">
        <v>1563</v>
      </c>
      <c r="AN124" s="30">
        <v>1548</v>
      </c>
      <c r="AO124" s="30">
        <v>1533.5</v>
      </c>
      <c r="AP124" s="30">
        <v>1505.5</v>
      </c>
      <c r="AQ124" s="30">
        <v>1443.5</v>
      </c>
      <c r="AR124" s="30">
        <v>1480</v>
      </c>
      <c r="AS124" s="30">
        <v>1450</v>
      </c>
      <c r="AT124" s="30">
        <v>1476.5</v>
      </c>
      <c r="AU124" s="30">
        <v>1455</v>
      </c>
      <c r="AV124" s="30">
        <v>1498.5</v>
      </c>
      <c r="AW124" s="30">
        <v>1496.5</v>
      </c>
      <c r="AX124" s="30">
        <v>1530.5</v>
      </c>
      <c r="AY124" s="30">
        <v>1500.5</v>
      </c>
      <c r="AZ124" s="30">
        <v>1461.5</v>
      </c>
      <c r="BA124" s="30">
        <v>1520</v>
      </c>
      <c r="BB124" s="30">
        <v>1497</v>
      </c>
      <c r="BC124" s="30">
        <v>1512</v>
      </c>
      <c r="BD124" s="30">
        <v>1498</v>
      </c>
      <c r="BE124" s="30">
        <v>1489.5</v>
      </c>
      <c r="BF124" s="30">
        <v>1528</v>
      </c>
      <c r="BG124" s="30">
        <v>1661</v>
      </c>
      <c r="BH124" s="30">
        <v>1663</v>
      </c>
      <c r="BI124" s="30">
        <v>1650</v>
      </c>
      <c r="BJ124" s="30">
        <v>1646.5</v>
      </c>
      <c r="BK124" s="30">
        <v>1699</v>
      </c>
      <c r="BL124" s="30">
        <v>1674.5</v>
      </c>
      <c r="BM124" s="1">
        <v>1687</v>
      </c>
      <c r="BN124" s="1">
        <v>1702.5</v>
      </c>
      <c r="BO124" s="1">
        <v>1681.5</v>
      </c>
      <c r="BP124" s="1">
        <v>1696</v>
      </c>
      <c r="BQ124" s="1">
        <v>1716</v>
      </c>
      <c r="BR124" s="1">
        <v>1710</v>
      </c>
      <c r="BS124" s="1">
        <v>1741.5</v>
      </c>
      <c r="BT124" s="1">
        <v>1745.5</v>
      </c>
      <c r="BU124" s="1">
        <v>1728</v>
      </c>
      <c r="BV124" s="1">
        <v>1747.5</v>
      </c>
      <c r="BW124" s="1">
        <v>1773.5</v>
      </c>
      <c r="BX124" s="1">
        <v>1747</v>
      </c>
      <c r="BY124" s="1">
        <v>1700</v>
      </c>
      <c r="BZ124" s="1">
        <v>1710</v>
      </c>
    </row>
    <row r="125" spans="1:78" ht="15.9" customHeight="1">
      <c r="A125" s="65" t="s">
        <v>245</v>
      </c>
      <c r="B125" s="41" t="s">
        <v>246</v>
      </c>
      <c r="C125" s="45">
        <f>_xll.RssMarket("8934","安値")</f>
        <v>2414</v>
      </c>
      <c r="D125" s="16">
        <f t="shared" si="3"/>
        <v>8</v>
      </c>
      <c r="E125" s="30">
        <v>2406</v>
      </c>
      <c r="F125" s="30">
        <v>2431</v>
      </c>
      <c r="G125" s="30">
        <v>2498</v>
      </c>
      <c r="H125" s="30">
        <v>2528</v>
      </c>
      <c r="I125" s="30">
        <v>2531</v>
      </c>
      <c r="J125" s="30">
        <v>2545</v>
      </c>
      <c r="K125" s="30">
        <v>2505</v>
      </c>
      <c r="L125" s="30">
        <v>2471</v>
      </c>
      <c r="M125" s="30">
        <v>2501</v>
      </c>
      <c r="N125" s="30">
        <v>2527</v>
      </c>
      <c r="O125" s="30">
        <v>2519</v>
      </c>
      <c r="P125" s="30">
        <v>2498</v>
      </c>
      <c r="Q125" s="30">
        <v>2529</v>
      </c>
      <c r="R125" s="30">
        <v>2483</v>
      </c>
      <c r="S125" s="30">
        <v>2461</v>
      </c>
      <c r="T125" s="30">
        <v>2479</v>
      </c>
      <c r="U125" s="30">
        <v>2498</v>
      </c>
      <c r="V125" s="30">
        <v>2521</v>
      </c>
      <c r="W125" s="30">
        <v>2500</v>
      </c>
      <c r="X125" s="30">
        <v>2475</v>
      </c>
      <c r="Y125" s="30">
        <v>2431</v>
      </c>
      <c r="Z125" s="30">
        <v>2412</v>
      </c>
      <c r="AA125" s="30">
        <v>2385</v>
      </c>
      <c r="AB125" s="30">
        <v>2429</v>
      </c>
      <c r="AC125" s="30">
        <v>2410</v>
      </c>
      <c r="AD125" s="30">
        <v>2364</v>
      </c>
      <c r="AE125" s="30">
        <v>2339</v>
      </c>
      <c r="AF125" s="30">
        <v>2333</v>
      </c>
      <c r="AG125" s="30">
        <v>2327</v>
      </c>
      <c r="AH125" s="30">
        <v>2329</v>
      </c>
      <c r="AI125" s="30">
        <v>2330</v>
      </c>
      <c r="AJ125" s="30">
        <v>2325</v>
      </c>
      <c r="AK125" s="30">
        <v>2353</v>
      </c>
      <c r="AL125" s="30">
        <v>2352</v>
      </c>
      <c r="AM125" s="30">
        <v>2383</v>
      </c>
      <c r="AN125" s="30">
        <v>2349</v>
      </c>
      <c r="AO125" s="30">
        <v>2326</v>
      </c>
      <c r="AP125" s="30">
        <v>2375</v>
      </c>
      <c r="AQ125" s="30">
        <v>2288</v>
      </c>
      <c r="AR125" s="30">
        <v>2297</v>
      </c>
      <c r="AS125" s="30">
        <v>2245</v>
      </c>
      <c r="AT125" s="30">
        <v>2251</v>
      </c>
      <c r="AU125" s="30">
        <v>2195</v>
      </c>
      <c r="AV125" s="30">
        <v>2360</v>
      </c>
      <c r="AW125" s="30">
        <v>2321</v>
      </c>
      <c r="AX125" s="30">
        <v>2320</v>
      </c>
      <c r="AY125" s="30">
        <v>2339</v>
      </c>
      <c r="AZ125" s="30">
        <v>2320</v>
      </c>
      <c r="BA125" s="30">
        <v>2372</v>
      </c>
      <c r="BB125" s="30">
        <v>2330</v>
      </c>
      <c r="BC125" s="30">
        <v>2412</v>
      </c>
      <c r="BD125" s="30">
        <v>2390</v>
      </c>
      <c r="BE125" s="30">
        <v>2443</v>
      </c>
      <c r="BF125" s="30">
        <v>2413</v>
      </c>
      <c r="BG125" s="30">
        <v>2413</v>
      </c>
      <c r="BH125" s="30">
        <v>2407</v>
      </c>
      <c r="BI125" s="30">
        <v>2539</v>
      </c>
      <c r="BJ125" s="30">
        <v>2560</v>
      </c>
      <c r="BK125" s="30">
        <v>2621</v>
      </c>
      <c r="BL125" s="30">
        <v>2634</v>
      </c>
      <c r="BM125" s="1">
        <v>2675</v>
      </c>
      <c r="BN125" s="1">
        <v>2620</v>
      </c>
      <c r="BO125" s="1">
        <v>2612</v>
      </c>
      <c r="BP125" s="1">
        <v>2626</v>
      </c>
      <c r="BQ125" s="1">
        <v>2660</v>
      </c>
      <c r="BR125" s="1">
        <v>2710</v>
      </c>
      <c r="BS125" s="1">
        <v>2736</v>
      </c>
      <c r="BT125" s="1">
        <v>2729</v>
      </c>
      <c r="BU125" s="1">
        <v>2785</v>
      </c>
      <c r="BV125" s="1">
        <v>2790</v>
      </c>
      <c r="BW125" s="1">
        <v>2815</v>
      </c>
      <c r="BX125" s="1">
        <v>2814</v>
      </c>
      <c r="BY125" s="1">
        <v>2810</v>
      </c>
      <c r="BZ125" s="1">
        <v>2766</v>
      </c>
    </row>
    <row r="126" spans="1:78" ht="15.9" customHeight="1">
      <c r="A126" s="65" t="s">
        <v>247</v>
      </c>
      <c r="B126" s="41" t="s">
        <v>248</v>
      </c>
      <c r="C126" s="45">
        <f>_xll.RssMarket("9416","安値")</f>
        <v>1009</v>
      </c>
      <c r="D126" s="16">
        <f t="shared" si="3"/>
        <v>1</v>
      </c>
      <c r="E126" s="30">
        <v>1008</v>
      </c>
      <c r="F126" s="30">
        <v>1015</v>
      </c>
      <c r="G126" s="30">
        <v>1020</v>
      </c>
      <c r="H126" s="30">
        <v>1031</v>
      </c>
      <c r="I126" s="30">
        <v>1026</v>
      </c>
      <c r="J126" s="30">
        <v>1017</v>
      </c>
      <c r="K126" s="30">
        <v>996</v>
      </c>
      <c r="L126" s="30">
        <v>979</v>
      </c>
      <c r="M126" s="30">
        <v>987</v>
      </c>
      <c r="N126" s="30">
        <v>994</v>
      </c>
      <c r="O126" s="30">
        <v>1001</v>
      </c>
      <c r="P126" s="30">
        <v>993</v>
      </c>
      <c r="Q126" s="30">
        <v>1006</v>
      </c>
      <c r="R126" s="30">
        <v>1016</v>
      </c>
      <c r="S126" s="30">
        <v>1011</v>
      </c>
      <c r="T126" s="30">
        <v>1008</v>
      </c>
      <c r="U126" s="30">
        <v>995</v>
      </c>
      <c r="V126" s="30">
        <v>1003</v>
      </c>
      <c r="W126" s="30">
        <v>1009</v>
      </c>
      <c r="X126" s="30">
        <v>998</v>
      </c>
      <c r="Y126" s="30">
        <v>984</v>
      </c>
      <c r="Z126" s="30">
        <v>970</v>
      </c>
      <c r="AA126" s="30">
        <v>949</v>
      </c>
      <c r="AB126" s="30">
        <v>967</v>
      </c>
      <c r="AC126" s="30">
        <v>969</v>
      </c>
      <c r="AD126" s="30">
        <v>966</v>
      </c>
      <c r="AE126" s="30">
        <v>975</v>
      </c>
      <c r="AF126" s="30">
        <v>978</v>
      </c>
      <c r="AG126" s="30">
        <v>985</v>
      </c>
      <c r="AH126" s="30">
        <v>1006</v>
      </c>
      <c r="AI126" s="30">
        <v>1021</v>
      </c>
      <c r="AJ126" s="30">
        <v>1017</v>
      </c>
      <c r="AK126" s="30">
        <v>1012</v>
      </c>
      <c r="AL126" s="30">
        <v>1009</v>
      </c>
      <c r="AM126" s="30">
        <v>1013</v>
      </c>
      <c r="AN126" s="30">
        <v>1001</v>
      </c>
      <c r="AO126" s="30">
        <v>1001</v>
      </c>
      <c r="AP126" s="30">
        <v>1005</v>
      </c>
      <c r="AQ126" s="30">
        <v>1020</v>
      </c>
      <c r="AR126" s="30">
        <v>1010</v>
      </c>
      <c r="AS126" s="30">
        <v>1002</v>
      </c>
      <c r="AT126" s="30">
        <v>1007</v>
      </c>
      <c r="AU126" s="30">
        <v>1007</v>
      </c>
      <c r="AV126" s="30">
        <v>1056</v>
      </c>
      <c r="AW126" s="30">
        <v>1044</v>
      </c>
      <c r="AX126" s="30">
        <v>1046</v>
      </c>
      <c r="AY126" s="30">
        <v>1060</v>
      </c>
      <c r="AZ126" s="30">
        <v>1008</v>
      </c>
      <c r="BA126" s="30">
        <v>1015</v>
      </c>
      <c r="BB126" s="30">
        <v>1000</v>
      </c>
      <c r="BC126" s="30">
        <v>1004</v>
      </c>
      <c r="BD126" s="30">
        <v>1000</v>
      </c>
      <c r="BE126" s="30">
        <v>994</v>
      </c>
      <c r="BF126" s="30">
        <v>1091</v>
      </c>
      <c r="BG126" s="30">
        <v>1089</v>
      </c>
      <c r="BH126" s="30">
        <v>1094</v>
      </c>
      <c r="BI126" s="30">
        <v>1105</v>
      </c>
      <c r="BJ126" s="30">
        <v>1104</v>
      </c>
      <c r="BK126" s="30">
        <v>1100</v>
      </c>
      <c r="BL126" s="30">
        <v>1085</v>
      </c>
      <c r="BM126" s="1">
        <v>1083</v>
      </c>
      <c r="BN126" s="1">
        <v>1093</v>
      </c>
      <c r="BO126" s="1">
        <v>1082</v>
      </c>
      <c r="BP126" s="1">
        <v>1075</v>
      </c>
      <c r="BQ126" s="1">
        <v>1100</v>
      </c>
      <c r="BR126" s="1">
        <v>1114</v>
      </c>
      <c r="BS126" s="1">
        <v>1140</v>
      </c>
      <c r="BT126" s="1">
        <v>1155</v>
      </c>
      <c r="BU126" s="1">
        <v>1179</v>
      </c>
      <c r="BV126" s="1">
        <v>1190</v>
      </c>
      <c r="BW126" s="1">
        <v>1194</v>
      </c>
      <c r="BX126" s="1">
        <v>1186</v>
      </c>
      <c r="BY126" s="1">
        <v>1185</v>
      </c>
      <c r="BZ126" s="1">
        <v>1193</v>
      </c>
    </row>
    <row r="127" spans="1:78" ht="15.9" customHeight="1">
      <c r="A127" s="65" t="s">
        <v>249</v>
      </c>
      <c r="B127" s="41" t="s">
        <v>250</v>
      </c>
      <c r="C127" s="45">
        <f>_xll.RssMarket("9532","安値")</f>
        <v>5266</v>
      </c>
      <c r="D127" s="16">
        <f t="shared" si="3"/>
        <v>-66</v>
      </c>
      <c r="E127" s="30">
        <v>5332</v>
      </c>
      <c r="F127" s="30">
        <v>5304</v>
      </c>
      <c r="G127" s="30">
        <v>5474</v>
      </c>
      <c r="H127" s="30">
        <v>5340</v>
      </c>
      <c r="I127" s="30">
        <v>5491</v>
      </c>
      <c r="J127" s="30">
        <v>5479</v>
      </c>
      <c r="K127" s="30">
        <v>5493</v>
      </c>
      <c r="L127" s="30">
        <v>5398</v>
      </c>
      <c r="M127" s="30">
        <v>5392</v>
      </c>
      <c r="N127" s="30">
        <v>5337</v>
      </c>
      <c r="O127" s="30">
        <v>5373</v>
      </c>
      <c r="P127" s="30">
        <v>5315</v>
      </c>
      <c r="Q127" s="30">
        <v>5343</v>
      </c>
      <c r="R127" s="30">
        <v>5300</v>
      </c>
      <c r="S127" s="30">
        <v>5264</v>
      </c>
      <c r="T127" s="30">
        <v>5353</v>
      </c>
      <c r="U127" s="30">
        <v>5354</v>
      </c>
      <c r="V127" s="30">
        <v>5493</v>
      </c>
      <c r="W127" s="30">
        <v>5430</v>
      </c>
      <c r="X127" s="30">
        <v>5366</v>
      </c>
      <c r="Y127" s="30">
        <v>5354</v>
      </c>
      <c r="Z127" s="30">
        <v>5277</v>
      </c>
      <c r="AA127" s="30">
        <v>5289</v>
      </c>
      <c r="AB127" s="30">
        <v>5430</v>
      </c>
      <c r="AC127" s="30">
        <v>5406</v>
      </c>
      <c r="AD127" s="30">
        <v>5350</v>
      </c>
      <c r="AE127" s="30">
        <v>5349</v>
      </c>
      <c r="AF127" s="30">
        <v>5393</v>
      </c>
      <c r="AG127" s="30">
        <v>5401</v>
      </c>
      <c r="AH127" s="30">
        <v>5374</v>
      </c>
      <c r="AI127" s="30">
        <v>5304</v>
      </c>
      <c r="AJ127" s="30">
        <v>5422</v>
      </c>
      <c r="AK127" s="30">
        <v>5420</v>
      </c>
      <c r="AL127" s="30">
        <v>5450</v>
      </c>
      <c r="AM127" s="30">
        <v>5493</v>
      </c>
      <c r="AN127" s="30">
        <v>5589</v>
      </c>
      <c r="AO127" s="30">
        <v>5497</v>
      </c>
      <c r="AP127" s="30">
        <v>5476</v>
      </c>
      <c r="AQ127" s="30">
        <v>5421</v>
      </c>
      <c r="AR127" s="30">
        <v>5454</v>
      </c>
      <c r="AS127" s="30">
        <v>5410</v>
      </c>
      <c r="AT127" s="30">
        <v>5475</v>
      </c>
      <c r="AU127" s="30">
        <v>5241</v>
      </c>
      <c r="AV127" s="30">
        <v>5270</v>
      </c>
      <c r="AW127" s="30">
        <v>5362</v>
      </c>
      <c r="AX127" s="30">
        <v>5455</v>
      </c>
      <c r="AY127" s="30">
        <v>5556</v>
      </c>
      <c r="AZ127" s="30">
        <v>5601</v>
      </c>
      <c r="BA127" s="30">
        <v>5659</v>
      </c>
      <c r="BB127" s="30">
        <v>5705</v>
      </c>
      <c r="BC127" s="30">
        <v>5726</v>
      </c>
      <c r="BD127" s="30">
        <v>5570</v>
      </c>
      <c r="BE127" s="30">
        <v>5654</v>
      </c>
      <c r="BF127" s="30">
        <v>5696</v>
      </c>
      <c r="BG127" s="30">
        <v>5677</v>
      </c>
      <c r="BH127" s="30">
        <v>5594</v>
      </c>
      <c r="BI127" s="30">
        <v>5560</v>
      </c>
      <c r="BJ127" s="30">
        <v>5540</v>
      </c>
      <c r="BK127" s="30">
        <v>5650</v>
      </c>
      <c r="BL127" s="30">
        <v>5626</v>
      </c>
      <c r="BM127" s="1">
        <v>5590</v>
      </c>
      <c r="BN127" s="1">
        <v>5803</v>
      </c>
      <c r="BO127" s="1">
        <v>5766</v>
      </c>
      <c r="BP127" s="1">
        <v>5795</v>
      </c>
      <c r="BQ127" s="1">
        <v>5745</v>
      </c>
      <c r="BR127" s="1">
        <v>5815</v>
      </c>
      <c r="BS127" s="1">
        <v>5927</v>
      </c>
      <c r="BT127" s="1">
        <v>5958</v>
      </c>
      <c r="BU127" s="1">
        <v>6105</v>
      </c>
      <c r="BV127" s="1">
        <v>6142</v>
      </c>
      <c r="BW127" s="1">
        <v>6179</v>
      </c>
      <c r="BX127" s="1">
        <v>6192</v>
      </c>
      <c r="BY127" s="1">
        <v>6218</v>
      </c>
      <c r="BZ127" s="1">
        <v>6448</v>
      </c>
    </row>
    <row r="128" spans="1:78" ht="15.9" customHeight="1">
      <c r="A128" s="65" t="s">
        <v>251</v>
      </c>
      <c r="B128" s="41" t="s">
        <v>252</v>
      </c>
      <c r="C128" s="45">
        <f>_xll.RssMarket("6330","安値")</f>
        <v>2011</v>
      </c>
      <c r="D128" s="16">
        <f t="shared" si="3"/>
        <v>121</v>
      </c>
      <c r="E128" s="30">
        <v>1890</v>
      </c>
      <c r="F128" s="30">
        <v>1885</v>
      </c>
      <c r="G128" s="30">
        <v>1898</v>
      </c>
      <c r="H128" s="30">
        <v>1851</v>
      </c>
      <c r="I128" s="30">
        <v>1870</v>
      </c>
      <c r="J128" s="30">
        <v>1974</v>
      </c>
      <c r="K128" s="30">
        <v>1971</v>
      </c>
      <c r="L128" s="30"/>
      <c r="M128" s="30">
        <v>1866</v>
      </c>
      <c r="N128" s="30">
        <v>1850</v>
      </c>
      <c r="O128" s="30">
        <v>1733</v>
      </c>
      <c r="P128" s="30">
        <v>1712</v>
      </c>
      <c r="Q128" s="30">
        <v>1893</v>
      </c>
      <c r="R128" s="30">
        <v>1895</v>
      </c>
      <c r="S128" s="30">
        <v>1908</v>
      </c>
      <c r="T128" s="30">
        <v>1935</v>
      </c>
      <c r="U128" s="30">
        <v>1935</v>
      </c>
      <c r="V128" s="30">
        <v>1973</v>
      </c>
      <c r="W128" s="30">
        <v>2041</v>
      </c>
      <c r="X128" s="30">
        <v>2073</v>
      </c>
      <c r="Y128" s="30">
        <v>1976</v>
      </c>
      <c r="Z128" s="30">
        <v>1944</v>
      </c>
      <c r="AA128" s="30">
        <v>1913</v>
      </c>
      <c r="AB128" s="30">
        <v>1981</v>
      </c>
      <c r="AC128" s="30">
        <v>2040</v>
      </c>
      <c r="AD128" s="30">
        <v>1903</v>
      </c>
      <c r="AE128" s="30">
        <v>1875</v>
      </c>
      <c r="AF128" s="30">
        <v>1863</v>
      </c>
      <c r="AG128" s="30">
        <v>1886</v>
      </c>
      <c r="AH128" s="30">
        <v>2004</v>
      </c>
      <c r="AI128" s="30">
        <v>2037</v>
      </c>
      <c r="AJ128" s="30">
        <v>2107</v>
      </c>
      <c r="AK128" s="30">
        <v>2091</v>
      </c>
      <c r="AL128" s="30">
        <v>1985</v>
      </c>
      <c r="AM128" s="30">
        <v>1987</v>
      </c>
      <c r="AN128" s="30">
        <v>1844</v>
      </c>
      <c r="AO128" s="30">
        <v>1790</v>
      </c>
      <c r="AP128" s="30">
        <v>1878</v>
      </c>
      <c r="AQ128" s="30">
        <v>1960</v>
      </c>
      <c r="AR128" s="30">
        <v>1940</v>
      </c>
      <c r="AS128" s="30">
        <v>1946</v>
      </c>
      <c r="AT128" s="30">
        <v>1864</v>
      </c>
      <c r="AU128" s="30">
        <v>1830</v>
      </c>
      <c r="AV128" s="30">
        <v>2009</v>
      </c>
      <c r="AW128" s="30">
        <v>2056</v>
      </c>
      <c r="AX128" s="30">
        <v>2072</v>
      </c>
      <c r="AY128" s="30">
        <v>2127</v>
      </c>
      <c r="AZ128" s="30">
        <v>2004</v>
      </c>
      <c r="BA128" s="30">
        <v>1990</v>
      </c>
      <c r="BB128" s="30">
        <v>1966</v>
      </c>
      <c r="BC128" s="30">
        <v>2064</v>
      </c>
      <c r="BD128" s="30">
        <v>2014</v>
      </c>
      <c r="BE128" s="30">
        <v>2020</v>
      </c>
      <c r="BF128" s="30">
        <v>2085</v>
      </c>
      <c r="BG128" s="30">
        <v>2133</v>
      </c>
      <c r="BH128" s="30">
        <v>2158</v>
      </c>
      <c r="BI128" s="30">
        <v>2220</v>
      </c>
      <c r="BJ128" s="30">
        <v>2237</v>
      </c>
      <c r="BK128" s="30">
        <v>2266</v>
      </c>
      <c r="BL128" s="30">
        <v>2254</v>
      </c>
      <c r="BM128" s="1">
        <v>2266</v>
      </c>
      <c r="BN128" s="1">
        <v>2300</v>
      </c>
      <c r="BO128" s="1">
        <v>2270</v>
      </c>
      <c r="BP128" s="1">
        <v>2329</v>
      </c>
      <c r="BQ128" s="1">
        <v>2348</v>
      </c>
      <c r="BR128" s="1">
        <v>2424</v>
      </c>
      <c r="BS128" s="1">
        <v>2533</v>
      </c>
      <c r="BT128" s="1">
        <v>2551</v>
      </c>
      <c r="BU128" s="1">
        <v>2455</v>
      </c>
      <c r="BV128" s="1">
        <v>2348</v>
      </c>
      <c r="BW128" s="1">
        <v>2281</v>
      </c>
      <c r="BX128" s="1">
        <v>2161</v>
      </c>
      <c r="BY128" s="1">
        <v>2265</v>
      </c>
      <c r="BZ128" s="1">
        <v>2281</v>
      </c>
    </row>
    <row r="129" spans="1:78" ht="15.9" customHeight="1">
      <c r="A129" s="65" t="s">
        <v>253</v>
      </c>
      <c r="B129" s="41" t="s">
        <v>254</v>
      </c>
      <c r="C129" s="45">
        <f>_xll.RssMarket("4082","安値")</f>
        <v>1853</v>
      </c>
      <c r="D129" s="16">
        <f t="shared" si="3"/>
        <v>59</v>
      </c>
      <c r="E129" s="30">
        <v>1794</v>
      </c>
      <c r="F129" s="30">
        <v>1714</v>
      </c>
      <c r="G129" s="30">
        <v>1717</v>
      </c>
      <c r="H129" s="30">
        <v>1668</v>
      </c>
      <c r="I129" s="30">
        <v>1648</v>
      </c>
      <c r="J129" s="30">
        <v>1760</v>
      </c>
      <c r="K129" s="30">
        <v>1826</v>
      </c>
      <c r="L129" s="30">
        <v>1787</v>
      </c>
      <c r="M129" s="30">
        <v>1819</v>
      </c>
      <c r="N129" s="30">
        <v>1819</v>
      </c>
      <c r="O129" s="30">
        <v>1731</v>
      </c>
      <c r="P129" s="30">
        <v>1702</v>
      </c>
      <c r="Q129" s="30">
        <v>1914</v>
      </c>
      <c r="R129" s="30">
        <v>1909</v>
      </c>
      <c r="S129" s="30">
        <v>1881</v>
      </c>
      <c r="T129" s="30">
        <v>1946</v>
      </c>
      <c r="U129" s="30">
        <v>1950</v>
      </c>
      <c r="V129" s="30">
        <v>1992</v>
      </c>
      <c r="W129" s="30">
        <v>2000</v>
      </c>
      <c r="X129" s="30">
        <v>2055</v>
      </c>
      <c r="Y129" s="30">
        <v>1993</v>
      </c>
      <c r="Z129" s="30">
        <v>2010</v>
      </c>
      <c r="AA129" s="30">
        <v>2001</v>
      </c>
      <c r="AB129" s="30">
        <v>2010</v>
      </c>
      <c r="AC129" s="30">
        <v>2032</v>
      </c>
      <c r="AD129" s="30">
        <v>2010</v>
      </c>
      <c r="AE129" s="30">
        <v>2025</v>
      </c>
      <c r="AF129" s="30">
        <v>1993</v>
      </c>
      <c r="AG129" s="30">
        <v>1993</v>
      </c>
      <c r="AH129" s="30">
        <v>2050</v>
      </c>
      <c r="AI129" s="30">
        <v>2008</v>
      </c>
      <c r="AJ129" s="30">
        <v>1996</v>
      </c>
      <c r="AK129" s="30">
        <v>1941</v>
      </c>
      <c r="AL129" s="30">
        <v>1919</v>
      </c>
      <c r="AM129" s="30">
        <v>1936</v>
      </c>
      <c r="AN129" s="30">
        <v>1839</v>
      </c>
      <c r="AO129" s="30">
        <v>1765</v>
      </c>
      <c r="AP129" s="30">
        <v>1815</v>
      </c>
      <c r="AQ129" s="30">
        <v>1928</v>
      </c>
      <c r="AR129" s="30">
        <v>2041</v>
      </c>
      <c r="AS129" s="30">
        <v>2089</v>
      </c>
      <c r="AT129" s="30">
        <v>2135</v>
      </c>
      <c r="AU129" s="30">
        <v>2087</v>
      </c>
      <c r="AV129" s="30">
        <v>2236</v>
      </c>
      <c r="AW129" s="30">
        <v>2150</v>
      </c>
      <c r="AX129" s="30">
        <v>2153</v>
      </c>
      <c r="AY129" s="30">
        <v>2016</v>
      </c>
      <c r="AZ129" s="30">
        <v>1975</v>
      </c>
      <c r="BA129" s="30">
        <v>1935</v>
      </c>
      <c r="BB129" s="30">
        <v>1927</v>
      </c>
      <c r="BC129" s="30">
        <v>2133</v>
      </c>
      <c r="BD129" s="30">
        <v>2105</v>
      </c>
      <c r="BE129" s="30">
        <v>2111</v>
      </c>
      <c r="BF129" s="30">
        <v>2480</v>
      </c>
      <c r="BG129" s="30">
        <v>2583</v>
      </c>
      <c r="BH129" s="30">
        <v>2520</v>
      </c>
      <c r="BI129" s="30">
        <v>2484</v>
      </c>
      <c r="BJ129" s="30">
        <v>2388</v>
      </c>
      <c r="BK129" s="30">
        <v>2338</v>
      </c>
      <c r="BL129" s="30">
        <v>2239</v>
      </c>
      <c r="BM129" s="1">
        <v>2285</v>
      </c>
      <c r="BN129" s="1">
        <v>2241</v>
      </c>
      <c r="BO129" s="1">
        <v>2227</v>
      </c>
      <c r="BP129" s="1">
        <v>2290</v>
      </c>
      <c r="BQ129" s="1">
        <v>2251</v>
      </c>
      <c r="BR129" s="1">
        <v>2305</v>
      </c>
      <c r="BS129" s="1">
        <v>2341</v>
      </c>
      <c r="BT129" s="1">
        <v>2314</v>
      </c>
      <c r="BU129" s="1">
        <v>2202</v>
      </c>
      <c r="BV129" s="1">
        <v>2140</v>
      </c>
      <c r="BW129" s="1">
        <v>2072</v>
      </c>
      <c r="BX129" s="1">
        <v>2046</v>
      </c>
      <c r="BY129" s="1">
        <v>2031</v>
      </c>
      <c r="BZ129" s="1">
        <v>2065</v>
      </c>
    </row>
    <row r="130" spans="1:78" ht="15.9" customHeight="1">
      <c r="A130" s="65" t="s">
        <v>255</v>
      </c>
      <c r="B130" s="41" t="s">
        <v>256</v>
      </c>
      <c r="C130" s="45">
        <f>_xll.RssMarket("4519","安値")</f>
        <v>6601</v>
      </c>
      <c r="D130" s="16">
        <f t="shared" si="3"/>
        <v>26</v>
      </c>
      <c r="E130" s="30">
        <v>6575</v>
      </c>
      <c r="F130" s="30">
        <v>6608</v>
      </c>
      <c r="G130" s="30">
        <v>6873</v>
      </c>
      <c r="H130" s="30">
        <v>6910</v>
      </c>
      <c r="I130" s="30">
        <v>6922</v>
      </c>
      <c r="J130" s="30">
        <v>6941</v>
      </c>
      <c r="K130" s="30">
        <v>6795</v>
      </c>
      <c r="L130" s="30"/>
      <c r="M130" s="30">
        <v>7163</v>
      </c>
      <c r="N130" s="30">
        <v>7303</v>
      </c>
      <c r="O130" s="30">
        <v>7246</v>
      </c>
      <c r="P130" s="30">
        <v>7210</v>
      </c>
      <c r="Q130" s="30">
        <v>7105</v>
      </c>
      <c r="R130" s="30">
        <v>7168</v>
      </c>
      <c r="S130" s="30">
        <v>7136</v>
      </c>
      <c r="T130" s="30">
        <v>7312</v>
      </c>
      <c r="U130" s="30">
        <v>7313</v>
      </c>
      <c r="V130" s="30">
        <v>7345</v>
      </c>
      <c r="W130" s="30">
        <v>7545</v>
      </c>
      <c r="X130" s="30">
        <v>7514</v>
      </c>
      <c r="Y130" s="30">
        <v>7641</v>
      </c>
      <c r="Z130" s="30">
        <v>7265</v>
      </c>
      <c r="AA130" s="30">
        <v>7249</v>
      </c>
      <c r="AB130" s="30">
        <v>7488</v>
      </c>
      <c r="AC130" s="30">
        <v>7441</v>
      </c>
      <c r="AD130" s="30">
        <v>7434</v>
      </c>
      <c r="AE130" s="30">
        <v>7463</v>
      </c>
      <c r="AF130" s="30">
        <v>7466</v>
      </c>
      <c r="AG130" s="30">
        <v>7434</v>
      </c>
      <c r="AH130" s="30">
        <v>7442</v>
      </c>
      <c r="AI130" s="30">
        <v>7386</v>
      </c>
      <c r="AJ130" s="30">
        <v>7480</v>
      </c>
      <c r="AK130" s="30">
        <v>7532</v>
      </c>
      <c r="AL130" s="30">
        <v>7442</v>
      </c>
      <c r="AM130" s="30">
        <v>7376</v>
      </c>
      <c r="AN130" s="30">
        <v>7390</v>
      </c>
      <c r="AO130" s="30">
        <v>7270</v>
      </c>
      <c r="AP130" s="30">
        <v>7331</v>
      </c>
      <c r="AQ130" s="30">
        <v>7430</v>
      </c>
      <c r="AR130" s="30">
        <v>7504</v>
      </c>
      <c r="AS130" s="30">
        <v>7357</v>
      </c>
      <c r="AT130" s="30">
        <v>7387</v>
      </c>
      <c r="AU130" s="30">
        <v>7488</v>
      </c>
      <c r="AV130" s="30">
        <v>7677</v>
      </c>
      <c r="AW130" s="30">
        <v>7726</v>
      </c>
      <c r="AX130" s="30">
        <v>7625</v>
      </c>
      <c r="AY130" s="30">
        <v>8003</v>
      </c>
      <c r="AZ130" s="30">
        <v>7795</v>
      </c>
      <c r="BA130" s="30">
        <v>7815</v>
      </c>
      <c r="BB130" s="30">
        <v>7864</v>
      </c>
      <c r="BC130" s="30">
        <v>7843</v>
      </c>
      <c r="BD130" s="30">
        <v>7787</v>
      </c>
      <c r="BE130" s="30">
        <v>7925</v>
      </c>
      <c r="BF130" s="30">
        <v>7777</v>
      </c>
      <c r="BG130" s="30">
        <v>7691</v>
      </c>
      <c r="BH130" s="30">
        <v>7752</v>
      </c>
      <c r="BI130" s="30">
        <v>7740</v>
      </c>
      <c r="BJ130" s="30">
        <v>7865</v>
      </c>
      <c r="BK130" s="30">
        <v>7727</v>
      </c>
      <c r="BL130" s="30">
        <v>8245</v>
      </c>
      <c r="BM130" s="1">
        <v>7833</v>
      </c>
      <c r="BN130" s="1">
        <v>7570</v>
      </c>
      <c r="BO130" s="1">
        <v>7402</v>
      </c>
      <c r="BP130" s="1">
        <v>8702</v>
      </c>
      <c r="BQ130" s="1">
        <v>8681</v>
      </c>
      <c r="BR130" s="1">
        <v>8663</v>
      </c>
      <c r="BS130" s="1">
        <v>8467</v>
      </c>
      <c r="BT130" s="1">
        <v>8580</v>
      </c>
      <c r="BU130" s="1">
        <v>8306</v>
      </c>
      <c r="BV130" s="1">
        <v>8583</v>
      </c>
      <c r="BW130" s="1">
        <v>8511</v>
      </c>
      <c r="BX130" s="1">
        <v>8425</v>
      </c>
      <c r="BY130" s="1">
        <v>8512</v>
      </c>
      <c r="BZ130" s="1">
        <v>8538</v>
      </c>
    </row>
    <row r="131" spans="1:78" ht="15.9" customHeight="1">
      <c r="A131" s="65" t="s">
        <v>257</v>
      </c>
      <c r="B131" s="41" t="s">
        <v>258</v>
      </c>
      <c r="C131" s="45">
        <f>_xll.RssMarket("2160","安値")</f>
        <v>2526</v>
      </c>
      <c r="D131" s="16">
        <f t="shared" si="3"/>
        <v>40</v>
      </c>
      <c r="E131" s="30">
        <v>2486</v>
      </c>
      <c r="F131" s="30">
        <v>2446</v>
      </c>
      <c r="G131" s="30">
        <v>2396</v>
      </c>
      <c r="H131" s="30">
        <v>2250</v>
      </c>
      <c r="I131" s="30">
        <v>2275</v>
      </c>
      <c r="J131" s="30">
        <v>2443</v>
      </c>
      <c r="K131" s="30">
        <v>2562</v>
      </c>
      <c r="L131" s="30">
        <v>2539</v>
      </c>
      <c r="M131" s="30">
        <v>2491</v>
      </c>
      <c r="N131" s="30">
        <v>2492</v>
      </c>
      <c r="O131" s="30">
        <v>2435</v>
      </c>
      <c r="P131" s="30">
        <v>2396</v>
      </c>
      <c r="Q131" s="30">
        <v>2542</v>
      </c>
      <c r="R131" s="30">
        <v>2562</v>
      </c>
      <c r="S131" s="30">
        <v>2550</v>
      </c>
      <c r="T131" s="30">
        <v>2569</v>
      </c>
      <c r="U131" s="30">
        <v>2566</v>
      </c>
      <c r="V131" s="30">
        <v>2598</v>
      </c>
      <c r="W131" s="30">
        <v>2811</v>
      </c>
      <c r="X131" s="30">
        <v>2812</v>
      </c>
      <c r="Y131" s="30">
        <v>2814</v>
      </c>
      <c r="Z131" s="30">
        <v>2800</v>
      </c>
      <c r="AA131" s="30">
        <v>2746</v>
      </c>
      <c r="AB131" s="30">
        <v>2741</v>
      </c>
      <c r="AC131" s="30">
        <v>2602</v>
      </c>
      <c r="AD131" s="30">
        <v>2492</v>
      </c>
      <c r="AE131" s="30">
        <v>2509</v>
      </c>
      <c r="AF131" s="30">
        <v>2495</v>
      </c>
      <c r="AG131" s="30">
        <v>2454</v>
      </c>
      <c r="AH131" s="30">
        <v>2464</v>
      </c>
      <c r="AI131" s="30">
        <v>2481</v>
      </c>
      <c r="AJ131" s="30">
        <v>2557</v>
      </c>
      <c r="AK131" s="30">
        <v>2500</v>
      </c>
      <c r="AL131" s="30">
        <v>2428</v>
      </c>
      <c r="AM131" s="30">
        <v>2463</v>
      </c>
      <c r="AN131" s="30">
        <v>2482</v>
      </c>
      <c r="AO131" s="30">
        <v>2589</v>
      </c>
      <c r="AP131" s="30">
        <v>2661</v>
      </c>
      <c r="AQ131" s="30">
        <v>2763</v>
      </c>
      <c r="AR131" s="30">
        <v>2779</v>
      </c>
      <c r="AS131" s="30">
        <v>2600</v>
      </c>
      <c r="AT131" s="30">
        <v>2477</v>
      </c>
      <c r="AU131" s="30">
        <v>2501</v>
      </c>
      <c r="AV131" s="30">
        <v>2533</v>
      </c>
      <c r="AW131" s="30">
        <v>2495</v>
      </c>
      <c r="AX131" s="30">
        <v>2631</v>
      </c>
      <c r="AY131" s="30">
        <v>2784</v>
      </c>
      <c r="AZ131" s="30">
        <v>2813</v>
      </c>
      <c r="BA131" s="30">
        <v>2779</v>
      </c>
      <c r="BB131" s="30">
        <v>2706</v>
      </c>
      <c r="BC131" s="30">
        <v>2673</v>
      </c>
      <c r="BD131" s="30">
        <v>2668</v>
      </c>
      <c r="BE131" s="30">
        <v>2905</v>
      </c>
      <c r="BF131" s="30">
        <v>3005</v>
      </c>
      <c r="BG131" s="30">
        <v>3105</v>
      </c>
      <c r="BH131" s="30">
        <v>2953</v>
      </c>
      <c r="BI131" s="30">
        <v>2955</v>
      </c>
      <c r="BJ131" s="30">
        <v>2962</v>
      </c>
      <c r="BK131" s="30">
        <v>3055</v>
      </c>
      <c r="BL131" s="30">
        <v>2952</v>
      </c>
      <c r="BM131" s="1">
        <v>2920</v>
      </c>
      <c r="BN131" s="1">
        <v>3100</v>
      </c>
      <c r="BO131" s="1">
        <v>3090</v>
      </c>
      <c r="BP131" s="1">
        <v>3060</v>
      </c>
      <c r="BQ131" s="1">
        <v>3110</v>
      </c>
      <c r="BR131" s="1">
        <v>3260</v>
      </c>
      <c r="BS131" s="1">
        <v>3380</v>
      </c>
      <c r="BT131" s="1">
        <v>3355</v>
      </c>
      <c r="BU131" s="1">
        <v>3290</v>
      </c>
      <c r="BV131" s="1">
        <v>3340</v>
      </c>
      <c r="BW131" s="1">
        <v>3220</v>
      </c>
      <c r="BX131" s="1">
        <v>3175</v>
      </c>
      <c r="BY131" s="1">
        <v>3055</v>
      </c>
      <c r="BZ131" s="1">
        <v>3150</v>
      </c>
    </row>
    <row r="132" spans="1:78" ht="15.9" customHeight="1">
      <c r="A132" s="65" t="s">
        <v>259</v>
      </c>
      <c r="B132" s="41" t="s">
        <v>260</v>
      </c>
      <c r="C132" s="45">
        <f>_xll.RssMarket("6227","安値")</f>
        <v>7080</v>
      </c>
      <c r="D132" s="16">
        <f t="shared" si="3"/>
        <v>770</v>
      </c>
      <c r="E132" s="30">
        <v>6310</v>
      </c>
      <c r="F132" s="30">
        <v>6310</v>
      </c>
      <c r="G132" s="30">
        <v>6220</v>
      </c>
      <c r="H132" s="30">
        <v>5490</v>
      </c>
      <c r="I132" s="30">
        <v>5440</v>
      </c>
      <c r="J132" s="30">
        <v>5920</v>
      </c>
      <c r="K132" s="30">
        <v>6620</v>
      </c>
      <c r="L132" s="30"/>
      <c r="M132" s="30">
        <v>6830</v>
      </c>
      <c r="N132" s="30">
        <v>6470</v>
      </c>
      <c r="O132" s="30">
        <v>6520</v>
      </c>
      <c r="P132" s="30">
        <v>6510</v>
      </c>
      <c r="Q132" s="30">
        <v>7370</v>
      </c>
      <c r="R132" s="30">
        <v>7100</v>
      </c>
      <c r="S132" s="30">
        <v>6800</v>
      </c>
      <c r="T132" s="30">
        <v>6790</v>
      </c>
      <c r="U132" s="30">
        <v>5650</v>
      </c>
      <c r="V132" s="30">
        <v>5580</v>
      </c>
      <c r="W132" s="30">
        <v>5930</v>
      </c>
      <c r="X132" s="30">
        <v>6260</v>
      </c>
      <c r="Y132" s="30">
        <v>6630</v>
      </c>
      <c r="Z132" s="30">
        <v>6620</v>
      </c>
      <c r="AA132" s="30">
        <v>7050</v>
      </c>
      <c r="AB132" s="30">
        <v>6580</v>
      </c>
      <c r="AC132" s="30">
        <v>6260</v>
      </c>
      <c r="AD132" s="30">
        <v>6330</v>
      </c>
      <c r="AE132" s="30">
        <v>7370</v>
      </c>
      <c r="AF132" s="30">
        <v>6850</v>
      </c>
      <c r="AG132" s="30">
        <v>7230</v>
      </c>
      <c r="AH132" s="30">
        <v>7090</v>
      </c>
      <c r="AI132" s="30">
        <v>6880</v>
      </c>
      <c r="AJ132" s="30">
        <v>7210</v>
      </c>
      <c r="AK132" s="30">
        <v>7920</v>
      </c>
      <c r="AL132" s="30">
        <v>7730</v>
      </c>
      <c r="AM132" s="30">
        <v>8030</v>
      </c>
      <c r="AN132" s="30">
        <v>6700</v>
      </c>
      <c r="AO132" s="30">
        <v>6400</v>
      </c>
      <c r="AP132" s="30">
        <v>6820</v>
      </c>
      <c r="AQ132" s="30">
        <v>6440</v>
      </c>
      <c r="AR132" s="30">
        <v>6200</v>
      </c>
      <c r="AS132" s="30">
        <v>5820</v>
      </c>
      <c r="AT132" s="30">
        <v>5930</v>
      </c>
      <c r="AU132" s="30">
        <v>5660</v>
      </c>
      <c r="AV132" s="30">
        <v>5380</v>
      </c>
      <c r="AW132" s="30">
        <v>5240</v>
      </c>
      <c r="AX132" s="30">
        <v>5470</v>
      </c>
      <c r="AY132" s="30">
        <v>5800</v>
      </c>
      <c r="AZ132" s="30">
        <v>5560</v>
      </c>
      <c r="BA132" s="30">
        <v>6060</v>
      </c>
      <c r="BB132" s="30">
        <v>6350</v>
      </c>
      <c r="BC132" s="30">
        <v>6510</v>
      </c>
      <c r="BD132" s="30">
        <v>6560</v>
      </c>
      <c r="BE132" s="30">
        <v>6120</v>
      </c>
      <c r="BF132" s="30">
        <v>6560</v>
      </c>
      <c r="BG132" s="30">
        <v>6410</v>
      </c>
      <c r="BH132" s="30">
        <v>6440</v>
      </c>
      <c r="BI132" s="30">
        <v>6320</v>
      </c>
      <c r="BJ132" s="30">
        <v>6490</v>
      </c>
      <c r="BK132" s="30">
        <v>6440</v>
      </c>
      <c r="BL132" s="30">
        <v>6080</v>
      </c>
      <c r="BM132" s="1">
        <v>6040</v>
      </c>
      <c r="BN132" s="1">
        <v>6100</v>
      </c>
      <c r="BO132" s="1">
        <v>6240</v>
      </c>
      <c r="BP132" s="1">
        <v>6420</v>
      </c>
      <c r="BQ132" s="1">
        <v>6160</v>
      </c>
      <c r="BR132" s="1">
        <v>6630</v>
      </c>
      <c r="BS132" s="1">
        <v>6870</v>
      </c>
      <c r="BT132" s="1">
        <v>7470</v>
      </c>
      <c r="BU132" s="1">
        <v>7800</v>
      </c>
      <c r="BV132" s="1">
        <v>8020</v>
      </c>
      <c r="BW132" s="1">
        <v>7750</v>
      </c>
      <c r="BX132" s="1">
        <v>6960</v>
      </c>
      <c r="BY132" s="1">
        <v>6000</v>
      </c>
      <c r="BZ132" s="1">
        <v>5980</v>
      </c>
    </row>
    <row r="133" spans="1:78" ht="15.9" customHeight="1">
      <c r="A133" s="65" t="s">
        <v>261</v>
      </c>
      <c r="B133" s="41" t="s">
        <v>262</v>
      </c>
      <c r="C133" s="45">
        <f>_xll.RssMarket("6327","安値")</f>
        <v>3215</v>
      </c>
      <c r="D133" s="16">
        <f t="shared" si="3"/>
        <v>379</v>
      </c>
      <c r="E133" s="30">
        <v>2836</v>
      </c>
      <c r="F133" s="30">
        <v>2660</v>
      </c>
      <c r="G133" s="30">
        <v>2791</v>
      </c>
      <c r="H133" s="30">
        <v>2615</v>
      </c>
      <c r="I133" s="30">
        <v>2615</v>
      </c>
      <c r="J133" s="30">
        <v>2941</v>
      </c>
      <c r="K133" s="30">
        <v>3540</v>
      </c>
      <c r="L133" s="30"/>
      <c r="M133" s="30">
        <v>3965</v>
      </c>
      <c r="N133" s="30">
        <v>4030</v>
      </c>
      <c r="O133" s="30">
        <v>3650</v>
      </c>
      <c r="P133" s="30">
        <v>3870</v>
      </c>
      <c r="Q133" s="30">
        <v>5120</v>
      </c>
      <c r="R133" s="30">
        <v>4840</v>
      </c>
      <c r="S133" s="30">
        <v>5180</v>
      </c>
      <c r="T133" s="30">
        <v>5330</v>
      </c>
      <c r="U133" s="30">
        <v>4815</v>
      </c>
      <c r="V133" s="30">
        <v>5060</v>
      </c>
      <c r="W133" s="30">
        <v>5760</v>
      </c>
      <c r="X133" s="30">
        <v>6740</v>
      </c>
      <c r="Y133" s="30">
        <v>6520</v>
      </c>
      <c r="Z133" s="30">
        <v>7600</v>
      </c>
      <c r="AA133" s="30">
        <v>8070</v>
      </c>
      <c r="AB133" s="30">
        <v>6900</v>
      </c>
      <c r="AC133" s="30">
        <v>5910</v>
      </c>
      <c r="AD133" s="30">
        <v>6250</v>
      </c>
      <c r="AE133" s="30">
        <v>5440</v>
      </c>
      <c r="AF133" s="30">
        <v>5400</v>
      </c>
      <c r="AG133" s="30">
        <v>5500</v>
      </c>
      <c r="AH133" s="30">
        <v>5360</v>
      </c>
      <c r="AI133" s="30">
        <v>5150</v>
      </c>
      <c r="AJ133" s="30">
        <v>5260</v>
      </c>
      <c r="AK133" s="30">
        <v>4450</v>
      </c>
      <c r="AL133" s="30">
        <v>3920</v>
      </c>
      <c r="AM133" s="30">
        <v>3195</v>
      </c>
      <c r="AN133" s="30">
        <v>2990</v>
      </c>
      <c r="AO133" s="30">
        <v>2863</v>
      </c>
      <c r="AP133" s="30">
        <v>3015</v>
      </c>
      <c r="AQ133" s="30">
        <v>3305</v>
      </c>
      <c r="AR133" s="30">
        <v>3455</v>
      </c>
      <c r="AS133" s="30">
        <v>3820</v>
      </c>
      <c r="AT133" s="30">
        <v>4470</v>
      </c>
      <c r="AU133" s="30">
        <v>4385</v>
      </c>
      <c r="AV133" s="30">
        <v>4615</v>
      </c>
      <c r="AW133" s="30">
        <v>3675</v>
      </c>
      <c r="AX133" s="30">
        <v>3520</v>
      </c>
      <c r="AY133" s="30">
        <v>2920</v>
      </c>
      <c r="AZ133" s="30">
        <v>2396</v>
      </c>
      <c r="BA133" s="30">
        <v>2260</v>
      </c>
      <c r="BB133" s="30">
        <v>2240</v>
      </c>
      <c r="BC133" s="30">
        <v>2363</v>
      </c>
      <c r="BD133" s="30">
        <v>2452</v>
      </c>
      <c r="BE133" s="30">
        <v>2510</v>
      </c>
      <c r="BF133" s="30">
        <v>2441</v>
      </c>
      <c r="BG133" s="30">
        <v>2597</v>
      </c>
      <c r="BH133" s="30">
        <v>2855</v>
      </c>
      <c r="BI133" s="30">
        <v>3260</v>
      </c>
      <c r="BJ133" s="30">
        <v>3080</v>
      </c>
      <c r="BK133" s="30">
        <v>2887</v>
      </c>
      <c r="BL133" s="30">
        <v>2716</v>
      </c>
      <c r="BM133" s="1">
        <v>2585</v>
      </c>
      <c r="BN133" s="1">
        <v>2169</v>
      </c>
      <c r="BO133" s="1">
        <v>2048</v>
      </c>
      <c r="BP133" s="1">
        <v>2043</v>
      </c>
      <c r="BQ133" s="1">
        <v>2040</v>
      </c>
      <c r="BR133" s="1">
        <v>2124</v>
      </c>
      <c r="BS133" s="1">
        <v>1998</v>
      </c>
      <c r="BT133" s="1">
        <v>1996</v>
      </c>
      <c r="BU133" s="1">
        <v>2020</v>
      </c>
      <c r="BV133" s="1">
        <v>2011</v>
      </c>
      <c r="BW133" s="1">
        <v>1995</v>
      </c>
      <c r="BX133" s="1">
        <v>1965</v>
      </c>
      <c r="BY133" s="1">
        <v>1887</v>
      </c>
      <c r="BZ133" s="1">
        <v>1826</v>
      </c>
    </row>
    <row r="134" spans="1:78" ht="15.9" customHeight="1">
      <c r="A134" s="65" t="s">
        <v>263</v>
      </c>
      <c r="B134" s="41" t="s">
        <v>264</v>
      </c>
      <c r="C134" s="45">
        <f>_xll.RssMarket("3110","安値")</f>
        <v>3350</v>
      </c>
      <c r="D134" s="16">
        <f t="shared" ref="D134:D141" si="4">C134-E134</f>
        <v>3350</v>
      </c>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78" ht="15.9" customHeight="1">
      <c r="A135" s="65" t="s">
        <v>265</v>
      </c>
      <c r="B135" s="41" t="s">
        <v>266</v>
      </c>
      <c r="C135" s="45">
        <f>_xll.RssMarket("6232","安値")</f>
        <v>1731</v>
      </c>
      <c r="D135" s="16">
        <f t="shared" si="4"/>
        <v>-1105</v>
      </c>
      <c r="E135" s="30">
        <v>2836</v>
      </c>
      <c r="F135" s="30">
        <v>2660</v>
      </c>
      <c r="G135" s="30">
        <v>2791</v>
      </c>
      <c r="H135" s="30">
        <v>2615</v>
      </c>
      <c r="I135" s="30">
        <v>2615</v>
      </c>
      <c r="J135" s="30">
        <v>2941</v>
      </c>
      <c r="K135" s="30">
        <v>3540</v>
      </c>
      <c r="L135" s="30">
        <v>1734</v>
      </c>
      <c r="M135" s="30">
        <v>3965</v>
      </c>
      <c r="N135" s="30">
        <v>4030</v>
      </c>
      <c r="O135" s="30">
        <v>3650</v>
      </c>
      <c r="P135" s="30">
        <v>3870</v>
      </c>
      <c r="Q135" s="30">
        <v>5120</v>
      </c>
      <c r="R135" s="30">
        <v>4840</v>
      </c>
      <c r="S135" s="30">
        <v>5180</v>
      </c>
      <c r="T135" s="30">
        <v>5330</v>
      </c>
      <c r="U135" s="30">
        <v>4815</v>
      </c>
      <c r="V135" s="30">
        <v>5060</v>
      </c>
      <c r="W135" s="30">
        <v>5760</v>
      </c>
      <c r="X135" s="30">
        <v>6740</v>
      </c>
      <c r="Y135" s="30">
        <v>6520</v>
      </c>
      <c r="Z135" s="30">
        <v>7600</v>
      </c>
      <c r="AA135" s="30">
        <v>8070</v>
      </c>
      <c r="AB135" s="30">
        <v>6900</v>
      </c>
      <c r="AC135" s="30">
        <v>5910</v>
      </c>
      <c r="AD135" s="30">
        <v>6250</v>
      </c>
      <c r="AE135" s="30">
        <v>5440</v>
      </c>
      <c r="AF135" s="30">
        <v>5400</v>
      </c>
      <c r="AG135" s="30">
        <v>5500</v>
      </c>
      <c r="AH135" s="30">
        <v>5360</v>
      </c>
      <c r="AI135" s="30">
        <v>5150</v>
      </c>
      <c r="AJ135" s="30">
        <v>5260</v>
      </c>
      <c r="AK135" s="30">
        <v>4450</v>
      </c>
      <c r="AL135" s="30">
        <v>3920</v>
      </c>
      <c r="AM135" s="30">
        <v>3195</v>
      </c>
      <c r="AN135" s="30">
        <v>2990</v>
      </c>
      <c r="AO135" s="30">
        <v>2863</v>
      </c>
      <c r="AP135" s="30">
        <v>3015</v>
      </c>
      <c r="AQ135" s="30">
        <v>3305</v>
      </c>
      <c r="AR135" s="30">
        <v>3455</v>
      </c>
      <c r="AS135" s="30">
        <v>3820</v>
      </c>
      <c r="AT135" s="30">
        <v>4470</v>
      </c>
      <c r="AU135" s="30">
        <v>4385</v>
      </c>
      <c r="AV135" s="30">
        <v>4615</v>
      </c>
      <c r="AW135" s="30">
        <v>3675</v>
      </c>
      <c r="AX135" s="30">
        <v>3520</v>
      </c>
      <c r="AY135" s="30">
        <v>2920</v>
      </c>
      <c r="AZ135" s="30">
        <v>2396</v>
      </c>
      <c r="BA135" s="30">
        <v>2260</v>
      </c>
      <c r="BB135" s="30">
        <v>2240</v>
      </c>
      <c r="BC135" s="30">
        <v>2363</v>
      </c>
      <c r="BD135" s="30">
        <v>2452</v>
      </c>
      <c r="BE135" s="30">
        <v>2510</v>
      </c>
      <c r="BF135" s="30">
        <v>2441</v>
      </c>
      <c r="BG135" s="30">
        <v>2597</v>
      </c>
      <c r="BH135" s="30">
        <v>2855</v>
      </c>
      <c r="BI135" s="30">
        <v>3260</v>
      </c>
      <c r="BJ135" s="30">
        <v>3080</v>
      </c>
      <c r="BK135" s="30">
        <v>2887</v>
      </c>
      <c r="BL135" s="30">
        <v>2716</v>
      </c>
      <c r="BM135" s="1">
        <v>2585</v>
      </c>
      <c r="BN135" s="1">
        <v>2169</v>
      </c>
      <c r="BO135" s="1">
        <v>2048</v>
      </c>
      <c r="BP135" s="1">
        <v>2043</v>
      </c>
      <c r="BQ135" s="1">
        <v>2040</v>
      </c>
      <c r="BR135" s="1">
        <v>2124</v>
      </c>
      <c r="BS135" s="1">
        <v>1998</v>
      </c>
      <c r="BT135" s="1">
        <v>1996</v>
      </c>
      <c r="BU135" s="1">
        <v>2020</v>
      </c>
      <c r="BV135" s="1">
        <v>2011</v>
      </c>
      <c r="BW135" s="1">
        <v>1995</v>
      </c>
      <c r="BX135" s="1">
        <v>1965</v>
      </c>
      <c r="BY135" s="1">
        <v>1887</v>
      </c>
      <c r="BZ135" s="1">
        <v>1826</v>
      </c>
    </row>
    <row r="136" spans="1:78" ht="15.9" customHeight="1">
      <c r="A136" s="65" t="s">
        <v>267</v>
      </c>
      <c r="B136" s="41" t="s">
        <v>268</v>
      </c>
      <c r="C136" s="45">
        <f>_xll.RssMarket("7794","安値")</f>
        <v>871</v>
      </c>
      <c r="D136" s="16">
        <f t="shared" si="4"/>
        <v>22</v>
      </c>
      <c r="E136" s="30">
        <v>849</v>
      </c>
      <c r="F136" s="30">
        <v>820</v>
      </c>
      <c r="G136" s="30">
        <v>820</v>
      </c>
      <c r="H136" s="30">
        <v>812</v>
      </c>
      <c r="I136" s="30">
        <v>827</v>
      </c>
      <c r="J136" s="30">
        <v>885</v>
      </c>
      <c r="K136" s="30">
        <v>898</v>
      </c>
      <c r="L136" s="30"/>
      <c r="M136" s="30">
        <v>935</v>
      </c>
      <c r="N136" s="30">
        <v>919</v>
      </c>
      <c r="O136" s="30">
        <v>897</v>
      </c>
      <c r="P136" s="30">
        <v>884</v>
      </c>
      <c r="Q136" s="30">
        <v>1003</v>
      </c>
      <c r="R136" s="30">
        <v>1007</v>
      </c>
      <c r="S136" s="30">
        <v>1032</v>
      </c>
      <c r="T136" s="30">
        <v>1051</v>
      </c>
      <c r="U136" s="30">
        <v>1054</v>
      </c>
      <c r="V136" s="30">
        <v>1072</v>
      </c>
      <c r="W136" s="30">
        <v>1094</v>
      </c>
      <c r="X136" s="30">
        <v>1158</v>
      </c>
      <c r="Y136" s="30">
        <v>1184</v>
      </c>
      <c r="Z136" s="30">
        <v>1189</v>
      </c>
      <c r="AA136" s="30">
        <v>1186</v>
      </c>
      <c r="AB136" s="30">
        <v>1125</v>
      </c>
      <c r="AC136" s="30">
        <v>1060</v>
      </c>
      <c r="AD136" s="30">
        <v>1015</v>
      </c>
      <c r="AE136" s="30">
        <v>1033</v>
      </c>
      <c r="AF136" s="30">
        <v>1043</v>
      </c>
      <c r="AG136" s="30">
        <v>1102</v>
      </c>
      <c r="AH136" s="30">
        <v>1105</v>
      </c>
      <c r="AI136" s="30">
        <v>1068</v>
      </c>
      <c r="AJ136" s="30">
        <v>1060</v>
      </c>
      <c r="AK136" s="30">
        <v>1062</v>
      </c>
      <c r="AL136" s="30">
        <v>1050</v>
      </c>
      <c r="AM136" s="30">
        <v>1073</v>
      </c>
      <c r="AN136" s="30">
        <v>1070</v>
      </c>
      <c r="AO136" s="30">
        <v>1048</v>
      </c>
      <c r="AP136" s="30">
        <v>1077</v>
      </c>
      <c r="AQ136" s="30">
        <v>1040</v>
      </c>
      <c r="AR136" s="30">
        <v>1005</v>
      </c>
      <c r="AS136" s="30">
        <v>976</v>
      </c>
      <c r="AT136" s="30">
        <v>1070</v>
      </c>
      <c r="AU136" s="30">
        <v>1073</v>
      </c>
      <c r="AV136" s="30">
        <v>1120</v>
      </c>
      <c r="AW136" s="30">
        <v>1261</v>
      </c>
      <c r="AX136" s="30">
        <v>1088</v>
      </c>
      <c r="AY136" s="30">
        <v>1133</v>
      </c>
      <c r="AZ136" s="30">
        <v>1081</v>
      </c>
      <c r="BA136" s="30">
        <v>1050</v>
      </c>
      <c r="BB136" s="30">
        <v>1062</v>
      </c>
      <c r="BC136" s="30">
        <v>1108</v>
      </c>
      <c r="BD136" s="30">
        <v>1085</v>
      </c>
      <c r="BE136" s="30">
        <v>1095</v>
      </c>
      <c r="BF136" s="30">
        <v>1116</v>
      </c>
      <c r="BG136" s="30">
        <v>1310</v>
      </c>
      <c r="BH136" s="30">
        <v>1318</v>
      </c>
      <c r="BI136" s="30">
        <v>1400</v>
      </c>
      <c r="BJ136" s="30">
        <v>1302</v>
      </c>
      <c r="BK136" s="30">
        <v>1280</v>
      </c>
      <c r="BL136" s="30">
        <v>1282</v>
      </c>
      <c r="BM136" s="1">
        <v>1307</v>
      </c>
      <c r="BN136" s="1">
        <v>1302</v>
      </c>
      <c r="BO136" s="1">
        <v>1325</v>
      </c>
      <c r="BP136" s="1">
        <v>1391</v>
      </c>
      <c r="BQ136" s="1">
        <v>1411</v>
      </c>
      <c r="BR136" s="1">
        <v>1458</v>
      </c>
      <c r="BS136" s="1">
        <v>1450</v>
      </c>
      <c r="BT136" s="1">
        <v>1504</v>
      </c>
      <c r="BU136" s="1">
        <v>1215</v>
      </c>
      <c r="BV136" s="1">
        <v>1183</v>
      </c>
      <c r="BW136" s="1">
        <v>1166</v>
      </c>
      <c r="BX136" s="1">
        <v>1181</v>
      </c>
      <c r="BY136" s="1">
        <v>1165</v>
      </c>
      <c r="BZ136" s="1">
        <v>1182</v>
      </c>
    </row>
    <row r="137" spans="1:78" ht="15.9" customHeight="1">
      <c r="A137" s="65" t="s">
        <v>269</v>
      </c>
      <c r="B137" s="41" t="s">
        <v>270</v>
      </c>
      <c r="C137" s="45">
        <f>_xll.RssMarket("6085","安値")</f>
        <v>74</v>
      </c>
      <c r="D137" s="16">
        <f t="shared" si="4"/>
        <v>5</v>
      </c>
      <c r="E137" s="30">
        <v>69</v>
      </c>
      <c r="F137" s="30">
        <v>68</v>
      </c>
      <c r="G137" s="30">
        <v>85</v>
      </c>
      <c r="H137" s="30">
        <v>84</v>
      </c>
      <c r="I137" s="30">
        <v>84</v>
      </c>
      <c r="J137" s="30">
        <v>97</v>
      </c>
      <c r="K137" s="30">
        <v>106</v>
      </c>
      <c r="L137" s="30"/>
      <c r="M137" s="30">
        <v>110</v>
      </c>
      <c r="N137" s="30">
        <v>126</v>
      </c>
      <c r="O137" s="30">
        <v>166</v>
      </c>
      <c r="P137" s="30">
        <v>151</v>
      </c>
      <c r="Q137" s="30">
        <v>198</v>
      </c>
      <c r="R137" s="30">
        <v>203</v>
      </c>
      <c r="S137" s="30">
        <v>199</v>
      </c>
      <c r="T137" s="30">
        <v>218</v>
      </c>
      <c r="U137" s="30">
        <v>212</v>
      </c>
      <c r="V137" s="30">
        <v>226</v>
      </c>
      <c r="W137" s="30">
        <v>250</v>
      </c>
      <c r="X137" s="30">
        <v>233</v>
      </c>
      <c r="Y137" s="30">
        <v>205</v>
      </c>
      <c r="Z137" s="30">
        <v>237</v>
      </c>
      <c r="AA137" s="30">
        <v>237</v>
      </c>
      <c r="AB137" s="30">
        <v>265</v>
      </c>
      <c r="AC137" s="30">
        <v>270</v>
      </c>
      <c r="AD137" s="30">
        <v>291</v>
      </c>
      <c r="AE137" s="30">
        <v>291</v>
      </c>
      <c r="AF137" s="30">
        <v>298</v>
      </c>
      <c r="AG137" s="30">
        <v>300</v>
      </c>
      <c r="AH137" s="30">
        <v>324</v>
      </c>
      <c r="AI137" s="30">
        <v>312</v>
      </c>
      <c r="AJ137" s="30">
        <v>321</v>
      </c>
      <c r="AK137" s="30">
        <v>308</v>
      </c>
      <c r="AL137" s="30">
        <v>301</v>
      </c>
      <c r="AM137" s="30">
        <v>301</v>
      </c>
      <c r="AN137" s="30">
        <v>324</v>
      </c>
      <c r="AO137" s="30">
        <v>383</v>
      </c>
      <c r="AP137" s="30">
        <v>370</v>
      </c>
      <c r="AQ137" s="30">
        <v>293</v>
      </c>
      <c r="AR137" s="30">
        <v>266</v>
      </c>
      <c r="AS137" s="30">
        <v>228</v>
      </c>
      <c r="AT137" s="30">
        <v>224</v>
      </c>
      <c r="AU137" s="30">
        <v>281</v>
      </c>
      <c r="AV137" s="30">
        <v>303</v>
      </c>
      <c r="AW137" s="30">
        <v>343</v>
      </c>
      <c r="AX137" s="30">
        <v>423</v>
      </c>
      <c r="AY137" s="30">
        <v>503</v>
      </c>
      <c r="AZ137" s="30">
        <v>445</v>
      </c>
      <c r="BA137" s="30">
        <v>412</v>
      </c>
      <c r="BB137" s="30">
        <v>405</v>
      </c>
      <c r="BC137" s="30">
        <v>463</v>
      </c>
      <c r="BD137" s="30">
        <v>520</v>
      </c>
      <c r="BE137" s="30">
        <v>493</v>
      </c>
      <c r="BF137" s="30">
        <v>498</v>
      </c>
      <c r="BG137" s="30">
        <v>471</v>
      </c>
      <c r="BH137" s="30">
        <v>540</v>
      </c>
      <c r="BI137" s="30">
        <v>521</v>
      </c>
      <c r="BJ137" s="30">
        <v>550</v>
      </c>
      <c r="BK137" s="30">
        <v>536</v>
      </c>
      <c r="BL137" s="30">
        <v>515</v>
      </c>
      <c r="BM137" s="1">
        <v>554</v>
      </c>
      <c r="BN137" s="1">
        <v>551</v>
      </c>
      <c r="BO137" s="1">
        <v>510</v>
      </c>
      <c r="BP137" s="1">
        <v>460</v>
      </c>
      <c r="BQ137" s="1">
        <v>415</v>
      </c>
      <c r="BR137" s="1">
        <v>393</v>
      </c>
      <c r="BS137" s="1">
        <v>370</v>
      </c>
      <c r="BT137" s="1">
        <v>364</v>
      </c>
      <c r="BU137" s="1">
        <v>340</v>
      </c>
      <c r="BV137" s="1">
        <v>296.5</v>
      </c>
      <c r="BW137" s="1">
        <v>277.5</v>
      </c>
      <c r="BX137" s="1">
        <v>285.3</v>
      </c>
      <c r="BY137" s="1">
        <v>270.10000000000002</v>
      </c>
      <c r="BZ137" s="1">
        <v>251</v>
      </c>
    </row>
    <row r="138" spans="1:78" ht="15.9" customHeight="1">
      <c r="A138" s="65" t="s">
        <v>271</v>
      </c>
      <c r="B138" s="41" t="s">
        <v>272</v>
      </c>
      <c r="C138" s="45">
        <f>_xll.RssMarket("3103","安値")</f>
        <v>914</v>
      </c>
      <c r="D138" s="16">
        <f t="shared" si="4"/>
        <v>52</v>
      </c>
      <c r="E138" s="30">
        <v>862</v>
      </c>
      <c r="F138" s="30">
        <v>804</v>
      </c>
      <c r="G138" s="30">
        <v>810</v>
      </c>
      <c r="H138" s="30">
        <v>741</v>
      </c>
      <c r="I138" s="30">
        <v>744</v>
      </c>
      <c r="J138" s="30">
        <v>816</v>
      </c>
      <c r="K138" s="30">
        <v>826</v>
      </c>
      <c r="L138" s="30">
        <v>818</v>
      </c>
      <c r="M138" s="30">
        <v>887</v>
      </c>
      <c r="N138" s="30">
        <v>888</v>
      </c>
      <c r="O138" s="30">
        <v>832</v>
      </c>
      <c r="P138" s="30">
        <v>834</v>
      </c>
      <c r="Q138" s="30">
        <v>902</v>
      </c>
      <c r="R138" s="30">
        <v>853</v>
      </c>
      <c r="S138" s="30">
        <v>873</v>
      </c>
      <c r="T138" s="30">
        <v>932</v>
      </c>
      <c r="U138" s="30">
        <v>909</v>
      </c>
      <c r="V138" s="30">
        <v>930</v>
      </c>
      <c r="W138" s="30">
        <v>977</v>
      </c>
      <c r="X138" s="30">
        <v>1002</v>
      </c>
      <c r="Y138" s="30">
        <v>965</v>
      </c>
      <c r="Z138" s="30">
        <v>980</v>
      </c>
      <c r="AA138" s="30">
        <v>967</v>
      </c>
      <c r="AB138" s="30">
        <v>1007</v>
      </c>
      <c r="AC138" s="30">
        <v>1001</v>
      </c>
      <c r="AD138" s="30">
        <v>1009</v>
      </c>
      <c r="AE138" s="30">
        <v>1035</v>
      </c>
      <c r="AF138" s="30">
        <v>1041</v>
      </c>
      <c r="AG138" s="30">
        <v>1096</v>
      </c>
      <c r="AH138" s="30">
        <v>1123</v>
      </c>
      <c r="AI138" s="30">
        <v>1090</v>
      </c>
      <c r="AJ138" s="30">
        <v>1152</v>
      </c>
      <c r="AK138" s="30">
        <v>1125</v>
      </c>
      <c r="AL138" s="30">
        <v>1096</v>
      </c>
      <c r="AM138" s="30">
        <v>1131</v>
      </c>
      <c r="AN138" s="30">
        <v>1006</v>
      </c>
      <c r="AO138" s="30">
        <v>1121</v>
      </c>
      <c r="AP138" s="30">
        <v>1180</v>
      </c>
      <c r="AQ138" s="30">
        <v>1145</v>
      </c>
      <c r="AR138" s="30">
        <v>1177</v>
      </c>
      <c r="AS138" s="30">
        <v>1165</v>
      </c>
      <c r="AT138" s="30">
        <v>1193</v>
      </c>
      <c r="AU138" s="30">
        <v>1181</v>
      </c>
      <c r="AV138" s="30">
        <v>1312</v>
      </c>
      <c r="AW138" s="30">
        <v>1354</v>
      </c>
      <c r="AX138" s="30">
        <v>1406</v>
      </c>
      <c r="AY138" s="30">
        <v>1500</v>
      </c>
      <c r="AZ138" s="30">
        <v>1254</v>
      </c>
      <c r="BA138" s="30">
        <v>1234</v>
      </c>
      <c r="BB138" s="30">
        <v>1283</v>
      </c>
      <c r="BC138" s="30">
        <v>1303</v>
      </c>
      <c r="BD138" s="30">
        <v>1315</v>
      </c>
      <c r="BE138" s="30">
        <v>1415</v>
      </c>
      <c r="BF138" s="30">
        <v>1815</v>
      </c>
      <c r="BG138" s="30">
        <v>2136</v>
      </c>
      <c r="BH138" s="30">
        <v>2240</v>
      </c>
      <c r="BI138" s="30">
        <v>2294</v>
      </c>
      <c r="BJ138" s="30">
        <v>2373</v>
      </c>
      <c r="BK138" s="30">
        <v>2200</v>
      </c>
      <c r="BL138" s="30">
        <v>2310</v>
      </c>
      <c r="BM138" s="1">
        <v>2214</v>
      </c>
      <c r="BN138" s="1">
        <v>2180</v>
      </c>
      <c r="BO138" s="1">
        <v>2185</v>
      </c>
      <c r="BP138" s="1">
        <v>2524</v>
      </c>
      <c r="BQ138" s="1">
        <v>2657</v>
      </c>
      <c r="BR138" s="1">
        <v>2662</v>
      </c>
      <c r="BS138" s="1">
        <v>3045</v>
      </c>
      <c r="BT138" s="1">
        <v>3155</v>
      </c>
      <c r="BU138" s="1">
        <v>2656</v>
      </c>
      <c r="BV138" s="1">
        <v>2111</v>
      </c>
      <c r="BW138" s="1">
        <v>1781</v>
      </c>
      <c r="BX138" s="1">
        <v>1900</v>
      </c>
      <c r="BY138" s="1">
        <v>1417</v>
      </c>
      <c r="BZ138" s="1">
        <v>1160</v>
      </c>
    </row>
    <row r="139" spans="1:78" ht="15.9" customHeight="1">
      <c r="A139" s="65" t="s">
        <v>273</v>
      </c>
      <c r="B139" s="41" t="s">
        <v>274</v>
      </c>
      <c r="C139" s="45">
        <f>_xll.RssMarket("4422","安値")</f>
        <v>542</v>
      </c>
      <c r="D139" s="16">
        <f t="shared" si="4"/>
        <v>21</v>
      </c>
      <c r="E139" s="30">
        <v>521</v>
      </c>
      <c r="F139" s="30">
        <v>501</v>
      </c>
      <c r="G139" s="30">
        <v>492</v>
      </c>
      <c r="H139" s="30">
        <v>468</v>
      </c>
      <c r="I139" s="30">
        <v>474</v>
      </c>
      <c r="J139" s="30">
        <v>508</v>
      </c>
      <c r="K139" s="30">
        <v>532</v>
      </c>
      <c r="L139" s="30">
        <v>517</v>
      </c>
      <c r="M139" s="30">
        <v>530</v>
      </c>
      <c r="N139" s="30">
        <v>535</v>
      </c>
      <c r="O139" s="30">
        <v>517</v>
      </c>
      <c r="P139" s="30">
        <v>504</v>
      </c>
      <c r="Q139" s="30">
        <v>542</v>
      </c>
      <c r="R139" s="30">
        <v>535</v>
      </c>
      <c r="S139" s="30">
        <v>543</v>
      </c>
      <c r="T139" s="30">
        <v>553</v>
      </c>
      <c r="U139" s="30">
        <v>555</v>
      </c>
      <c r="V139" s="30">
        <v>547</v>
      </c>
      <c r="W139" s="30">
        <v>564</v>
      </c>
      <c r="X139" s="30">
        <v>580</v>
      </c>
      <c r="Y139" s="30">
        <v>554</v>
      </c>
      <c r="Z139" s="30">
        <v>553</v>
      </c>
      <c r="AA139" s="30">
        <v>550</v>
      </c>
      <c r="AB139" s="30">
        <v>554</v>
      </c>
      <c r="AC139" s="30">
        <v>559</v>
      </c>
      <c r="AD139" s="30">
        <v>550</v>
      </c>
      <c r="AE139" s="30">
        <v>544</v>
      </c>
      <c r="AF139" s="30">
        <v>550</v>
      </c>
      <c r="AG139" s="30">
        <v>575</v>
      </c>
      <c r="AH139" s="30">
        <v>590</v>
      </c>
      <c r="AI139" s="30">
        <v>588</v>
      </c>
      <c r="AJ139" s="30">
        <v>607</v>
      </c>
      <c r="AK139" s="30">
        <v>632</v>
      </c>
      <c r="AL139" s="30">
        <v>619</v>
      </c>
      <c r="AM139" s="30">
        <v>612</v>
      </c>
      <c r="AN139" s="30">
        <v>628</v>
      </c>
      <c r="AO139" s="30">
        <v>720</v>
      </c>
      <c r="AP139" s="30">
        <v>706</v>
      </c>
      <c r="AQ139" s="30">
        <v>687</v>
      </c>
      <c r="AR139" s="30">
        <v>665</v>
      </c>
      <c r="AS139" s="30">
        <v>657</v>
      </c>
      <c r="AT139" s="30">
        <v>668</v>
      </c>
      <c r="AU139" s="30">
        <v>678</v>
      </c>
      <c r="AV139" s="30">
        <v>692</v>
      </c>
      <c r="AW139" s="30">
        <v>708</v>
      </c>
      <c r="AX139" s="30">
        <v>733</v>
      </c>
      <c r="AY139" s="30">
        <v>792</v>
      </c>
      <c r="AZ139" s="30">
        <v>757</v>
      </c>
      <c r="BA139" s="30">
        <v>751</v>
      </c>
      <c r="BB139" s="30">
        <v>752</v>
      </c>
      <c r="BC139" s="30">
        <v>800</v>
      </c>
      <c r="BD139" s="30">
        <v>828</v>
      </c>
      <c r="BE139" s="30">
        <v>828</v>
      </c>
      <c r="BF139" s="30">
        <v>859</v>
      </c>
      <c r="BG139" s="30">
        <v>935</v>
      </c>
      <c r="BH139" s="30">
        <v>982</v>
      </c>
      <c r="BI139" s="30">
        <v>905</v>
      </c>
      <c r="BJ139" s="30">
        <v>986</v>
      </c>
      <c r="BK139" s="30">
        <v>963</v>
      </c>
      <c r="BL139" s="30">
        <v>975</v>
      </c>
      <c r="BM139" s="1">
        <v>1045</v>
      </c>
      <c r="BN139" s="1">
        <v>1122</v>
      </c>
      <c r="BO139" s="1">
        <v>1172</v>
      </c>
      <c r="BP139" s="1">
        <v>1248</v>
      </c>
      <c r="BQ139" s="1">
        <v>1155</v>
      </c>
      <c r="BR139" s="1">
        <v>1094</v>
      </c>
      <c r="BS139" s="1">
        <v>1262</v>
      </c>
      <c r="BT139" s="1">
        <v>1325</v>
      </c>
      <c r="BU139" s="1">
        <v>1073</v>
      </c>
      <c r="BV139" s="1">
        <v>962</v>
      </c>
      <c r="BW139" s="1">
        <v>894</v>
      </c>
      <c r="BX139" s="1">
        <v>972</v>
      </c>
      <c r="BY139" s="1">
        <v>1050</v>
      </c>
      <c r="BZ139" s="1">
        <v>812</v>
      </c>
    </row>
    <row r="140" spans="1:78" ht="15.9" customHeight="1">
      <c r="A140" s="65" t="s">
        <v>275</v>
      </c>
      <c r="B140" s="41" t="s">
        <v>276</v>
      </c>
      <c r="C140" s="45">
        <f>_xll.RssMarket("6740","安値")</f>
        <v>46</v>
      </c>
      <c r="D140" s="16">
        <f t="shared" si="4"/>
        <v>1</v>
      </c>
      <c r="E140" s="30">
        <v>45</v>
      </c>
      <c r="F140" s="30">
        <v>46</v>
      </c>
      <c r="G140" s="30">
        <v>46</v>
      </c>
      <c r="H140" s="30">
        <v>43</v>
      </c>
      <c r="I140" s="30">
        <v>44</v>
      </c>
      <c r="J140" s="30">
        <v>46</v>
      </c>
      <c r="K140" s="30">
        <v>47</v>
      </c>
      <c r="L140" s="30"/>
      <c r="M140" s="30">
        <v>46</v>
      </c>
      <c r="N140" s="30">
        <v>46</v>
      </c>
      <c r="O140" s="30">
        <v>46</v>
      </c>
      <c r="P140" s="30">
        <v>45</v>
      </c>
      <c r="Q140" s="30">
        <v>50</v>
      </c>
      <c r="R140" s="30">
        <v>51</v>
      </c>
      <c r="S140" s="30">
        <v>51</v>
      </c>
      <c r="T140" s="30">
        <v>50</v>
      </c>
      <c r="U140" s="30">
        <v>50</v>
      </c>
      <c r="V140" s="30">
        <v>51</v>
      </c>
      <c r="W140" s="30">
        <v>52</v>
      </c>
      <c r="X140" s="30">
        <v>53</v>
      </c>
      <c r="Y140" s="30">
        <v>51</v>
      </c>
      <c r="Z140" s="30">
        <v>51</v>
      </c>
      <c r="AA140" s="30">
        <v>54</v>
      </c>
      <c r="AB140" s="30">
        <v>54</v>
      </c>
      <c r="AC140" s="30">
        <v>55</v>
      </c>
      <c r="AD140" s="30">
        <v>54</v>
      </c>
      <c r="AE140" s="30">
        <v>55</v>
      </c>
      <c r="AF140" s="30">
        <v>49</v>
      </c>
      <c r="AG140" s="30">
        <v>49</v>
      </c>
      <c r="AH140" s="30">
        <v>51</v>
      </c>
      <c r="AI140" s="30">
        <v>49</v>
      </c>
      <c r="AJ140" s="30">
        <v>49</v>
      </c>
      <c r="AK140" s="30">
        <v>44</v>
      </c>
      <c r="AL140" s="30">
        <v>44</v>
      </c>
      <c r="AM140" s="30">
        <v>48</v>
      </c>
      <c r="AN140" s="30">
        <v>51</v>
      </c>
      <c r="AO140" s="30">
        <v>52</v>
      </c>
      <c r="AP140" s="30">
        <v>53</v>
      </c>
      <c r="AQ140" s="30">
        <v>50</v>
      </c>
      <c r="AR140" s="30">
        <v>52</v>
      </c>
      <c r="AS140" s="30">
        <v>52</v>
      </c>
      <c r="AT140" s="30">
        <v>51</v>
      </c>
      <c r="AU140" s="30">
        <v>53</v>
      </c>
      <c r="AV140" s="30">
        <v>54</v>
      </c>
      <c r="AW140" s="30">
        <v>50</v>
      </c>
      <c r="AX140" s="30">
        <v>55</v>
      </c>
      <c r="AY140" s="30">
        <v>62</v>
      </c>
      <c r="AZ140" s="30">
        <v>62</v>
      </c>
      <c r="BA140" s="30">
        <v>61</v>
      </c>
      <c r="BB140" s="30">
        <v>62</v>
      </c>
      <c r="BC140" s="30">
        <v>66</v>
      </c>
      <c r="BD140" s="30">
        <v>65</v>
      </c>
      <c r="BE140" s="30">
        <v>68</v>
      </c>
      <c r="BF140" s="30">
        <v>70</v>
      </c>
      <c r="BG140" s="30">
        <v>71</v>
      </c>
      <c r="BH140" s="30">
        <v>75</v>
      </c>
      <c r="BI140" s="30">
        <v>77</v>
      </c>
      <c r="BJ140" s="30">
        <v>80</v>
      </c>
      <c r="BK140" s="30">
        <v>86</v>
      </c>
      <c r="BL140" s="30">
        <v>87</v>
      </c>
      <c r="BM140" s="1">
        <v>99</v>
      </c>
      <c r="BN140" s="1">
        <v>91</v>
      </c>
      <c r="BO140" s="1">
        <v>91</v>
      </c>
      <c r="BP140" s="1">
        <v>93</v>
      </c>
      <c r="BQ140" s="1">
        <v>94</v>
      </c>
      <c r="BR140" s="1">
        <v>100</v>
      </c>
      <c r="BS140" s="1">
        <v>103</v>
      </c>
      <c r="BT140" s="1">
        <v>110</v>
      </c>
      <c r="BU140" s="1">
        <v>100</v>
      </c>
      <c r="BV140" s="1">
        <v>96</v>
      </c>
      <c r="BW140" s="1">
        <v>91</v>
      </c>
      <c r="BX140" s="1">
        <v>81</v>
      </c>
      <c r="BY140" s="1">
        <v>77</v>
      </c>
      <c r="BZ140" s="1">
        <v>82</v>
      </c>
    </row>
    <row r="141" spans="1:78" ht="15.9" customHeight="1">
      <c r="A141" s="65" t="s">
        <v>277</v>
      </c>
      <c r="B141" s="41" t="s">
        <v>278</v>
      </c>
      <c r="C141" s="45">
        <f>_xll.RssMarket("6613","安値")</f>
        <v>1757</v>
      </c>
      <c r="D141" s="16">
        <f t="shared" si="4"/>
        <v>260</v>
      </c>
      <c r="E141" s="30">
        <v>1497</v>
      </c>
      <c r="F141" s="30">
        <v>1437</v>
      </c>
      <c r="G141" s="30">
        <v>1475</v>
      </c>
      <c r="H141" s="30">
        <v>1246</v>
      </c>
      <c r="I141" s="30">
        <v>1208</v>
      </c>
      <c r="J141" s="30">
        <v>1382</v>
      </c>
      <c r="K141" s="30">
        <v>1511</v>
      </c>
      <c r="L141" s="30">
        <v>1626</v>
      </c>
      <c r="M141" s="30">
        <v>1671</v>
      </c>
      <c r="N141" s="30">
        <v>1645</v>
      </c>
      <c r="O141" s="30">
        <v>1617</v>
      </c>
      <c r="P141" s="30">
        <v>1600</v>
      </c>
      <c r="Q141" s="30">
        <v>2370</v>
      </c>
      <c r="R141" s="30">
        <v>2360</v>
      </c>
      <c r="S141" s="30">
        <v>2261</v>
      </c>
      <c r="T141" s="30">
        <v>2501</v>
      </c>
      <c r="U141" s="30">
        <v>2535</v>
      </c>
      <c r="V141" s="30">
        <v>2488</v>
      </c>
      <c r="W141" s="30">
        <v>2572</v>
      </c>
      <c r="X141" s="30">
        <v>2628</v>
      </c>
      <c r="Y141" s="30">
        <v>2423</v>
      </c>
      <c r="Z141" s="30">
        <v>2578</v>
      </c>
      <c r="AA141" s="30">
        <v>2752</v>
      </c>
      <c r="AB141" s="30">
        <v>2700</v>
      </c>
      <c r="AC141" s="30">
        <v>2602</v>
      </c>
      <c r="AD141" s="30">
        <v>2766</v>
      </c>
      <c r="AE141" s="30">
        <v>2822</v>
      </c>
      <c r="AF141" s="30">
        <v>2704</v>
      </c>
      <c r="AG141" s="30">
        <v>2843</v>
      </c>
      <c r="AH141" s="30">
        <v>2906</v>
      </c>
      <c r="AI141" s="30">
        <v>2470</v>
      </c>
      <c r="AJ141" s="30">
        <v>2410</v>
      </c>
      <c r="AK141" s="30">
        <v>2335</v>
      </c>
      <c r="AL141" s="30">
        <v>2613</v>
      </c>
      <c r="AM141" s="30">
        <v>2730</v>
      </c>
      <c r="AN141" s="30">
        <v>2387</v>
      </c>
      <c r="AO141" s="30">
        <v>2250</v>
      </c>
      <c r="AP141" s="30">
        <v>2280</v>
      </c>
      <c r="AQ141" s="30">
        <v>2338</v>
      </c>
      <c r="AR141" s="30">
        <v>2381</v>
      </c>
      <c r="AS141" s="30">
        <v>2433</v>
      </c>
      <c r="AT141" s="30">
        <v>2540</v>
      </c>
      <c r="AU141" s="30">
        <v>2642</v>
      </c>
      <c r="AV141" s="30">
        <v>2266</v>
      </c>
      <c r="AW141" s="30">
        <v>2400</v>
      </c>
      <c r="AX141" s="30">
        <v>2620</v>
      </c>
      <c r="AY141" s="30">
        <v>3130</v>
      </c>
      <c r="AZ141" s="30">
        <v>2570</v>
      </c>
      <c r="BA141" s="30">
        <v>2406</v>
      </c>
      <c r="BB141" s="30">
        <v>2203</v>
      </c>
      <c r="BC141" s="30">
        <v>2024</v>
      </c>
      <c r="BD141" s="30">
        <v>1836</v>
      </c>
      <c r="BE141" s="30">
        <v>1671</v>
      </c>
      <c r="BF141" s="30">
        <v>1547</v>
      </c>
      <c r="BG141" s="30">
        <v>1565</v>
      </c>
      <c r="BH141" s="30">
        <v>1641</v>
      </c>
      <c r="BI141" s="30">
        <v>1684</v>
      </c>
      <c r="BJ141" s="30">
        <v>1490</v>
      </c>
      <c r="BK141" s="30">
        <v>1458</v>
      </c>
      <c r="BL141" s="30">
        <v>1415</v>
      </c>
      <c r="BM141" s="1">
        <v>1390</v>
      </c>
      <c r="BN141" s="1">
        <v>1450</v>
      </c>
      <c r="BO141" s="1">
        <v>1317</v>
      </c>
      <c r="BP141" s="1">
        <v>1446</v>
      </c>
      <c r="BQ141" s="1">
        <v>1449</v>
      </c>
      <c r="BR141" s="1">
        <v>1474</v>
      </c>
      <c r="BS141" s="1">
        <v>1538</v>
      </c>
      <c r="BT141" s="1">
        <v>1275</v>
      </c>
      <c r="BU141" s="1">
        <v>1270</v>
      </c>
      <c r="BV141" s="1">
        <v>1313</v>
      </c>
      <c r="BW141" s="1">
        <v>1315</v>
      </c>
      <c r="BX141" s="1">
        <v>1255</v>
      </c>
      <c r="BY141" s="1">
        <v>1079</v>
      </c>
      <c r="BZ141" s="1">
        <v>999</v>
      </c>
    </row>
    <row r="142" spans="1:78" ht="15.9" customHeight="1">
      <c r="A142" s="65" t="s">
        <v>279</v>
      </c>
      <c r="B142" s="41" t="str">
        <f>銘柄管理!C142</f>
        <v>第一三共</v>
      </c>
      <c r="C142" s="45">
        <f>_xll.RssMarket("4568","安値")</f>
        <v>2508</v>
      </c>
      <c r="D142" s="16"/>
      <c r="E142" s="30">
        <v>2500</v>
      </c>
      <c r="F142" s="30">
        <v>2541</v>
      </c>
      <c r="G142" s="30">
        <v>2562</v>
      </c>
      <c r="H142" s="30">
        <v>2830</v>
      </c>
      <c r="I142" s="30">
        <v>2828</v>
      </c>
      <c r="J142" s="30">
        <v>2845.5</v>
      </c>
      <c r="K142" s="30">
        <v>2776.5</v>
      </c>
      <c r="L142" s="30">
        <v>2725.5</v>
      </c>
      <c r="M142" s="30">
        <v>2744</v>
      </c>
      <c r="N142" s="30">
        <v>2751</v>
      </c>
      <c r="O142" s="30">
        <v>2800.5</v>
      </c>
      <c r="P142" s="30">
        <v>2742</v>
      </c>
      <c r="Q142" s="30">
        <v>2636.5</v>
      </c>
      <c r="R142" s="30">
        <v>2672</v>
      </c>
      <c r="S142" s="30">
        <v>2671</v>
      </c>
      <c r="T142" s="30">
        <v>2697</v>
      </c>
      <c r="U142" s="30">
        <v>2682.5</v>
      </c>
      <c r="V142" s="30">
        <v>2689</v>
      </c>
      <c r="W142" s="30">
        <v>2715.5</v>
      </c>
      <c r="X142" s="30">
        <v>2674.5</v>
      </c>
      <c r="Y142" s="30">
        <v>2638.5</v>
      </c>
      <c r="Z142" s="30">
        <v>2576.5</v>
      </c>
      <c r="AA142" s="30">
        <v>2565</v>
      </c>
      <c r="AB142" s="30">
        <v>2564</v>
      </c>
      <c r="AC142" s="30">
        <v>2590.5</v>
      </c>
      <c r="AD142" s="30">
        <v>2531.5</v>
      </c>
      <c r="AE142" s="30">
        <v>2510.5</v>
      </c>
      <c r="AF142" s="30">
        <v>2490.5</v>
      </c>
      <c r="AG142" s="30">
        <v>2499</v>
      </c>
      <c r="AH142" s="30">
        <v>2519</v>
      </c>
      <c r="AI142" s="30">
        <v>2537</v>
      </c>
      <c r="AJ142" s="30">
        <v>2635</v>
      </c>
      <c r="AK142" s="30">
        <v>2545</v>
      </c>
      <c r="AL142" s="30">
        <v>2489.5</v>
      </c>
      <c r="AM142" s="30">
        <v>2534.5</v>
      </c>
      <c r="AN142" s="30">
        <v>2487.5</v>
      </c>
      <c r="AO142" s="30">
        <v>2472</v>
      </c>
      <c r="AP142" s="30">
        <v>2436</v>
      </c>
      <c r="AQ142" s="30">
        <v>2488</v>
      </c>
      <c r="AR142" s="30">
        <v>2390</v>
      </c>
      <c r="AS142" s="30">
        <v>2392</v>
      </c>
      <c r="AT142" s="30">
        <v>2488</v>
      </c>
      <c r="AU142" s="30">
        <v>2548</v>
      </c>
      <c r="AV142" s="30">
        <v>2700.5</v>
      </c>
      <c r="AW142" s="30">
        <v>2655</v>
      </c>
      <c r="AX142" s="30">
        <v>2668</v>
      </c>
      <c r="AY142" s="30">
        <v>2680</v>
      </c>
      <c r="AZ142" s="30">
        <v>2617.5</v>
      </c>
      <c r="BA142" s="30">
        <v>2617</v>
      </c>
      <c r="BB142" s="30">
        <v>2558</v>
      </c>
      <c r="BC142" s="30">
        <v>2573</v>
      </c>
      <c r="BD142" s="30">
        <v>2586</v>
      </c>
      <c r="BE142" s="30">
        <v>2531.5</v>
      </c>
      <c r="BF142" s="30">
        <v>2560.5</v>
      </c>
      <c r="BG142" s="30">
        <v>2673.5</v>
      </c>
      <c r="BH142" s="30">
        <v>2655.5</v>
      </c>
      <c r="BI142" s="30">
        <v>2560</v>
      </c>
      <c r="BJ142" s="30">
        <v>2552</v>
      </c>
      <c r="BK142" s="30">
        <v>2443</v>
      </c>
      <c r="BL142" s="30">
        <v>2567.5</v>
      </c>
      <c r="BM142" s="1">
        <v>2559</v>
      </c>
      <c r="BN142" s="1">
        <v>2545.5</v>
      </c>
      <c r="BO142" s="1">
        <v>2463</v>
      </c>
      <c r="BP142" s="1">
        <v>2488</v>
      </c>
      <c r="BQ142" s="1">
        <v>2775</v>
      </c>
      <c r="BR142" s="1">
        <v>2817</v>
      </c>
      <c r="BS142" s="1">
        <v>2906.5</v>
      </c>
      <c r="BT142" s="1">
        <v>2920</v>
      </c>
      <c r="BU142" s="1">
        <v>2865.5</v>
      </c>
      <c r="BV142" s="1">
        <v>2837.5</v>
      </c>
      <c r="BW142" s="1">
        <v>2739</v>
      </c>
      <c r="BX142" s="1">
        <v>2704.5</v>
      </c>
      <c r="BY142" s="1">
        <v>2727</v>
      </c>
      <c r="BZ142" s="1">
        <v>2753.5</v>
      </c>
    </row>
    <row r="143" spans="1:78" ht="15.9" customHeight="1">
      <c r="A143" s="65" t="s">
        <v>280</v>
      </c>
      <c r="B143" s="41" t="s">
        <v>281</v>
      </c>
      <c r="C143" s="45">
        <f>_xll.RssMarket("6522","安値")</f>
        <v>1653</v>
      </c>
      <c r="D143" s="16">
        <f t="shared" ref="D143:D188" si="5">C143-E143</f>
        <v>193</v>
      </c>
      <c r="E143" s="30">
        <v>1460</v>
      </c>
      <c r="F143" s="30">
        <v>1454</v>
      </c>
      <c r="G143" s="30">
        <v>1500</v>
      </c>
      <c r="H143" s="30">
        <v>1490</v>
      </c>
      <c r="I143" s="30">
        <v>1429</v>
      </c>
      <c r="J143" s="30">
        <v>1422</v>
      </c>
      <c r="K143" s="30">
        <v>1591</v>
      </c>
      <c r="L143" s="30">
        <v>1482</v>
      </c>
      <c r="M143" s="30">
        <v>1426</v>
      </c>
      <c r="N143" s="30">
        <v>1311</v>
      </c>
      <c r="O143" s="30">
        <v>1228</v>
      </c>
      <c r="P143" s="30">
        <v>1291</v>
      </c>
      <c r="Q143" s="30">
        <v>1711</v>
      </c>
      <c r="R143" s="30">
        <v>1811</v>
      </c>
      <c r="S143" s="30">
        <v>1953</v>
      </c>
      <c r="T143" s="30">
        <v>1818</v>
      </c>
      <c r="U143" s="30">
        <v>1900</v>
      </c>
      <c r="V143" s="30">
        <v>2181</v>
      </c>
      <c r="W143" s="30">
        <v>2096</v>
      </c>
      <c r="X143" s="30">
        <v>1687</v>
      </c>
      <c r="Y143" s="30">
        <v>1760</v>
      </c>
      <c r="Z143" s="30">
        <v>1581</v>
      </c>
      <c r="AA143" s="30">
        <v>1361</v>
      </c>
      <c r="AB143" s="30">
        <v>996</v>
      </c>
      <c r="AC143" s="30">
        <v>968</v>
      </c>
      <c r="AD143" s="30">
        <v>941</v>
      </c>
      <c r="AE143" s="30">
        <v>1007</v>
      </c>
      <c r="AF143" s="30">
        <v>1030</v>
      </c>
      <c r="AG143" s="30">
        <v>1033</v>
      </c>
      <c r="AH143" s="30">
        <v>929</v>
      </c>
      <c r="AI143" s="30">
        <v>843</v>
      </c>
      <c r="AJ143" s="30">
        <v>727</v>
      </c>
      <c r="AK143" s="30">
        <v>716</v>
      </c>
      <c r="AL143" s="30">
        <v>705</v>
      </c>
      <c r="AM143" s="30">
        <v>693</v>
      </c>
      <c r="AN143" s="30">
        <v>683</v>
      </c>
      <c r="AO143" s="30">
        <v>724</v>
      </c>
      <c r="AP143" s="30">
        <v>726</v>
      </c>
      <c r="AQ143" s="30">
        <v>720</v>
      </c>
      <c r="AR143" s="30">
        <v>751</v>
      </c>
      <c r="AS143" s="30">
        <v>765</v>
      </c>
      <c r="AT143" s="30">
        <v>776</v>
      </c>
      <c r="AU143" s="30">
        <v>795</v>
      </c>
      <c r="AV143" s="30">
        <v>789</v>
      </c>
      <c r="AW143" s="30">
        <v>771</v>
      </c>
      <c r="AX143" s="30">
        <v>804</v>
      </c>
      <c r="AY143" s="30">
        <v>934</v>
      </c>
      <c r="AZ143" s="30">
        <v>920</v>
      </c>
      <c r="BA143" s="30">
        <v>910</v>
      </c>
      <c r="BB143" s="30">
        <v>940</v>
      </c>
      <c r="BC143" s="30">
        <v>987</v>
      </c>
      <c r="BD143" s="30">
        <v>965</v>
      </c>
      <c r="BE143" s="30">
        <v>1000</v>
      </c>
      <c r="BF143" s="30">
        <v>1003</v>
      </c>
      <c r="BG143" s="30">
        <v>1013</v>
      </c>
      <c r="BH143" s="30">
        <v>1056</v>
      </c>
      <c r="BI143" s="30">
        <v>1156</v>
      </c>
      <c r="BJ143" s="30">
        <v>1187</v>
      </c>
      <c r="BK143" s="30">
        <v>1129</v>
      </c>
      <c r="BL143" s="30">
        <v>1109</v>
      </c>
      <c r="BM143" s="1">
        <v>1121</v>
      </c>
      <c r="BN143" s="1">
        <v>1156</v>
      </c>
      <c r="BO143" s="1">
        <v>1151</v>
      </c>
      <c r="BP143" s="1">
        <v>1157</v>
      </c>
      <c r="BQ143" s="1">
        <v>1210</v>
      </c>
      <c r="BR143" s="1">
        <v>1320</v>
      </c>
      <c r="BS143" s="1">
        <v>1026</v>
      </c>
      <c r="BT143" s="1">
        <v>1011</v>
      </c>
      <c r="BU143" s="1">
        <v>1023</v>
      </c>
      <c r="BV143" s="1">
        <v>941</v>
      </c>
      <c r="BW143" s="1">
        <v>893</v>
      </c>
      <c r="BX143" s="1">
        <v>996</v>
      </c>
      <c r="BY143" s="1">
        <v>971</v>
      </c>
      <c r="BZ143" s="1">
        <v>975</v>
      </c>
    </row>
    <row r="144" spans="1:78" ht="15.9" customHeight="1">
      <c r="A144" s="65" t="s">
        <v>282</v>
      </c>
      <c r="B144" s="41" t="s">
        <v>283</v>
      </c>
      <c r="C144" s="45">
        <f>_xll.RssMarket("6777","安値")</f>
        <v>20320</v>
      </c>
      <c r="D144" s="16">
        <f t="shared" si="5"/>
        <v>2120</v>
      </c>
      <c r="E144" s="30">
        <v>18200</v>
      </c>
      <c r="F144" s="30">
        <v>16660</v>
      </c>
      <c r="G144" s="30">
        <v>16740</v>
      </c>
      <c r="H144" s="30">
        <v>15120</v>
      </c>
      <c r="I144" s="30">
        <v>14830</v>
      </c>
      <c r="J144" s="30">
        <v>16450</v>
      </c>
      <c r="K144" s="30">
        <v>17710</v>
      </c>
      <c r="L144" s="30"/>
      <c r="M144" s="30">
        <v>18880</v>
      </c>
      <c r="N144" s="30">
        <v>19090</v>
      </c>
      <c r="O144" s="30">
        <v>17680</v>
      </c>
      <c r="P144" s="30">
        <v>17680</v>
      </c>
      <c r="Q144" s="30">
        <v>21070</v>
      </c>
      <c r="R144" s="30">
        <v>20000</v>
      </c>
      <c r="S144" s="30">
        <v>20380</v>
      </c>
      <c r="T144" s="30">
        <v>20710</v>
      </c>
      <c r="U144" s="30">
        <v>20290</v>
      </c>
      <c r="V144" s="30">
        <v>19870</v>
      </c>
      <c r="W144" s="30">
        <v>21010</v>
      </c>
      <c r="X144" s="30">
        <v>22660</v>
      </c>
      <c r="Y144" s="30">
        <v>21430</v>
      </c>
      <c r="Z144" s="30">
        <v>23400</v>
      </c>
      <c r="AA144" s="30">
        <v>25510</v>
      </c>
      <c r="AB144" s="30">
        <v>26260</v>
      </c>
      <c r="AC144" s="30">
        <v>24920</v>
      </c>
      <c r="AD144" s="30">
        <v>27040</v>
      </c>
      <c r="AE144" s="30">
        <v>27200</v>
      </c>
      <c r="AF144" s="30">
        <v>26760</v>
      </c>
      <c r="AG144" s="30">
        <v>27180</v>
      </c>
      <c r="AH144" s="30">
        <v>28800</v>
      </c>
      <c r="AI144" s="30">
        <v>28500</v>
      </c>
      <c r="AJ144" s="30">
        <v>26510</v>
      </c>
      <c r="AK144" s="30">
        <v>25600</v>
      </c>
      <c r="AL144" s="30">
        <v>25690</v>
      </c>
      <c r="AM144" s="30">
        <v>24520</v>
      </c>
      <c r="AN144" s="30">
        <v>22850</v>
      </c>
      <c r="AO144" s="30">
        <v>22070</v>
      </c>
      <c r="AP144" s="30">
        <v>23320</v>
      </c>
      <c r="AQ144" s="30">
        <v>21710</v>
      </c>
      <c r="AR144" s="30">
        <v>24600</v>
      </c>
      <c r="AS144" s="30">
        <v>25300</v>
      </c>
      <c r="AT144" s="30">
        <v>26120</v>
      </c>
      <c r="AU144" s="30">
        <v>23910</v>
      </c>
      <c r="AV144" s="30">
        <v>24120</v>
      </c>
      <c r="AW144" s="30">
        <v>23900</v>
      </c>
      <c r="AX144" s="30">
        <v>24270</v>
      </c>
      <c r="AY144" s="30">
        <v>28250</v>
      </c>
      <c r="AZ144" s="30">
        <v>26990</v>
      </c>
      <c r="BA144" s="30">
        <v>25720</v>
      </c>
      <c r="BB144" s="30">
        <v>26450</v>
      </c>
      <c r="BC144" s="30">
        <v>27620</v>
      </c>
      <c r="BD144" s="30">
        <v>31250</v>
      </c>
      <c r="BE144" s="30">
        <v>28940</v>
      </c>
      <c r="BF144" s="30">
        <v>31950</v>
      </c>
      <c r="BG144" s="30">
        <v>29700</v>
      </c>
      <c r="BH144" s="30">
        <v>29000</v>
      </c>
      <c r="BI144" s="30">
        <v>27050</v>
      </c>
      <c r="BJ144" s="30">
        <v>26450</v>
      </c>
      <c r="BK144" s="30">
        <v>27550</v>
      </c>
      <c r="BL144" s="30">
        <v>27140</v>
      </c>
      <c r="BM144" s="1">
        <v>27830</v>
      </c>
      <c r="BN144" s="1">
        <v>27860</v>
      </c>
      <c r="BO144" s="1">
        <v>27110</v>
      </c>
      <c r="BP144" s="1">
        <v>27850</v>
      </c>
      <c r="BQ144" s="1">
        <v>29430</v>
      </c>
      <c r="BR144" s="1">
        <v>28600</v>
      </c>
      <c r="BS144" s="1">
        <v>28540</v>
      </c>
      <c r="BT144" s="1">
        <v>26250</v>
      </c>
      <c r="BU144" s="1">
        <v>24120</v>
      </c>
      <c r="BV144" s="1">
        <v>23600</v>
      </c>
      <c r="BW144" s="1">
        <v>24350</v>
      </c>
      <c r="BX144" s="1">
        <v>24230</v>
      </c>
      <c r="BY144" s="1">
        <v>21410</v>
      </c>
      <c r="BZ144" s="1">
        <v>20650</v>
      </c>
    </row>
    <row r="145" spans="1:78" ht="15.9" customHeight="1">
      <c r="A145" s="65" t="s">
        <v>284</v>
      </c>
      <c r="B145" s="41" t="s">
        <v>285</v>
      </c>
      <c r="C145" s="45">
        <f>_xll.RssMarket("6787","安値")</f>
        <v>22980</v>
      </c>
      <c r="D145" s="16">
        <f t="shared" si="5"/>
        <v>1440</v>
      </c>
      <c r="E145" s="30">
        <v>21540</v>
      </c>
      <c r="F145" s="30">
        <v>19900</v>
      </c>
      <c r="G145" s="30">
        <v>20520</v>
      </c>
      <c r="H145" s="30">
        <v>18250</v>
      </c>
      <c r="I145" s="30">
        <v>17830</v>
      </c>
      <c r="J145" s="30">
        <v>20610</v>
      </c>
      <c r="K145" s="30">
        <v>21860</v>
      </c>
      <c r="L145" s="30">
        <v>22690</v>
      </c>
      <c r="M145" s="30">
        <v>23650</v>
      </c>
      <c r="N145" s="30">
        <v>24100</v>
      </c>
      <c r="O145" s="30">
        <v>22260</v>
      </c>
      <c r="P145" s="30">
        <v>21810</v>
      </c>
      <c r="Q145" s="30">
        <v>25710</v>
      </c>
      <c r="R145" s="30">
        <v>24690</v>
      </c>
      <c r="S145" s="30">
        <v>25540</v>
      </c>
      <c r="T145" s="30">
        <v>25930</v>
      </c>
      <c r="U145" s="30">
        <v>25300</v>
      </c>
      <c r="V145" s="30">
        <v>25140</v>
      </c>
      <c r="W145" s="30">
        <v>25950</v>
      </c>
      <c r="X145" s="30">
        <v>27260</v>
      </c>
      <c r="Y145" s="30">
        <v>27010</v>
      </c>
      <c r="Z145" s="30">
        <v>27620</v>
      </c>
      <c r="AA145" s="30">
        <v>28560</v>
      </c>
      <c r="AB145" s="30">
        <v>29920</v>
      </c>
      <c r="AC145" s="30">
        <v>30000</v>
      </c>
      <c r="AD145" s="30">
        <v>29840</v>
      </c>
      <c r="AE145" s="30">
        <v>31350</v>
      </c>
      <c r="AF145" s="30">
        <v>31750</v>
      </c>
      <c r="AG145" s="30">
        <v>32550</v>
      </c>
      <c r="AH145" s="30">
        <v>37050</v>
      </c>
      <c r="AI145" s="30">
        <v>37400</v>
      </c>
      <c r="AJ145" s="30">
        <v>34950</v>
      </c>
      <c r="AK145" s="30">
        <v>33600</v>
      </c>
      <c r="AL145" s="30">
        <v>30150</v>
      </c>
      <c r="AM145" s="30">
        <v>30400</v>
      </c>
      <c r="AN145" s="30">
        <v>29860</v>
      </c>
      <c r="AO145" s="30">
        <v>29160</v>
      </c>
      <c r="AP145" s="30">
        <v>30600</v>
      </c>
      <c r="AQ145" s="30">
        <v>32500</v>
      </c>
      <c r="AR145" s="30">
        <v>34150</v>
      </c>
      <c r="AS145" s="30">
        <v>35400</v>
      </c>
      <c r="AT145" s="30">
        <v>37100</v>
      </c>
      <c r="AU145" s="30">
        <v>36400</v>
      </c>
      <c r="AV145" s="30">
        <v>37100</v>
      </c>
      <c r="AW145" s="30">
        <v>36450</v>
      </c>
      <c r="AX145" s="30">
        <v>37150</v>
      </c>
      <c r="AY145" s="30">
        <v>41500</v>
      </c>
      <c r="AZ145" s="30">
        <v>40300</v>
      </c>
      <c r="BA145" s="30">
        <v>36500</v>
      </c>
      <c r="BB145" s="30">
        <v>34300</v>
      </c>
      <c r="BC145" s="30">
        <v>36400</v>
      </c>
      <c r="BD145" s="30">
        <v>36400</v>
      </c>
      <c r="BE145" s="30">
        <v>35300</v>
      </c>
      <c r="BF145" s="30">
        <v>38650</v>
      </c>
      <c r="BG145" s="30">
        <v>29220</v>
      </c>
      <c r="BH145" s="30">
        <v>30650</v>
      </c>
      <c r="BI145" s="30">
        <v>31500</v>
      </c>
      <c r="BJ145" s="30">
        <v>30550</v>
      </c>
      <c r="BK145" s="30">
        <v>30950</v>
      </c>
      <c r="BL145" s="30">
        <v>29520</v>
      </c>
      <c r="BM145" s="1">
        <v>30600</v>
      </c>
      <c r="BN145" s="1">
        <v>30150</v>
      </c>
      <c r="BO145" s="1">
        <v>29560</v>
      </c>
      <c r="BP145" s="1">
        <v>28770</v>
      </c>
      <c r="BQ145" s="1">
        <v>27720</v>
      </c>
      <c r="BR145" s="1">
        <v>28070</v>
      </c>
      <c r="BS145" s="1">
        <v>27300</v>
      </c>
      <c r="BT145" s="1">
        <v>27010</v>
      </c>
      <c r="BU145" s="1">
        <v>28480</v>
      </c>
      <c r="BV145" s="1">
        <v>27910</v>
      </c>
      <c r="BW145" s="1">
        <v>27720</v>
      </c>
      <c r="BX145" s="1">
        <v>27580</v>
      </c>
      <c r="BY145" s="1">
        <v>25300</v>
      </c>
      <c r="BZ145" s="1">
        <v>26410</v>
      </c>
    </row>
    <row r="146" spans="1:78" ht="15.9" customHeight="1">
      <c r="A146" s="65" t="s">
        <v>286</v>
      </c>
      <c r="B146" s="41" t="s">
        <v>287</v>
      </c>
      <c r="C146" s="45">
        <f>_xll.RssMarket("4888","安値")</f>
        <v>314</v>
      </c>
      <c r="D146" s="16">
        <f t="shared" si="5"/>
        <v>3</v>
      </c>
      <c r="E146" s="30">
        <v>311</v>
      </c>
      <c r="F146" s="30">
        <v>295</v>
      </c>
      <c r="G146" s="30">
        <v>297</v>
      </c>
      <c r="H146" s="30">
        <v>294</v>
      </c>
      <c r="I146" s="30">
        <v>299</v>
      </c>
      <c r="J146" s="30">
        <v>309</v>
      </c>
      <c r="K146" s="30">
        <v>306</v>
      </c>
      <c r="L146" s="30">
        <v>300</v>
      </c>
      <c r="M146" s="30">
        <v>305</v>
      </c>
      <c r="N146" s="30">
        <v>303</v>
      </c>
      <c r="O146" s="30">
        <v>303</v>
      </c>
      <c r="P146" s="30">
        <v>295</v>
      </c>
      <c r="Q146" s="30">
        <v>320</v>
      </c>
      <c r="R146" s="30">
        <v>320</v>
      </c>
      <c r="S146" s="30">
        <v>320</v>
      </c>
      <c r="T146" s="30">
        <v>303</v>
      </c>
      <c r="U146" s="30">
        <v>301</v>
      </c>
      <c r="V146" s="30">
        <v>300</v>
      </c>
      <c r="W146" s="30">
        <v>306</v>
      </c>
      <c r="X146" s="30">
        <v>309</v>
      </c>
      <c r="Y146" s="30">
        <v>300</v>
      </c>
      <c r="Z146" s="30">
        <v>302</v>
      </c>
      <c r="AA146" s="30">
        <v>298</v>
      </c>
      <c r="AB146" s="30">
        <v>306</v>
      </c>
      <c r="AC146" s="30">
        <v>304</v>
      </c>
      <c r="AD146" s="30">
        <v>297</v>
      </c>
      <c r="AE146" s="30">
        <v>312</v>
      </c>
      <c r="AF146" s="30">
        <v>313</v>
      </c>
      <c r="AG146" s="30">
        <v>315</v>
      </c>
      <c r="AH146" s="30">
        <v>327</v>
      </c>
      <c r="AI146" s="30">
        <v>346</v>
      </c>
      <c r="AJ146" s="30">
        <v>348</v>
      </c>
      <c r="AK146" s="30">
        <v>333</v>
      </c>
      <c r="AL146" s="30">
        <v>322</v>
      </c>
      <c r="AM146" s="30">
        <v>325</v>
      </c>
      <c r="AN146" s="30">
        <v>321</v>
      </c>
      <c r="AO146" s="30">
        <v>299</v>
      </c>
      <c r="AP146" s="30">
        <v>303</v>
      </c>
      <c r="AQ146" s="30">
        <v>288</v>
      </c>
      <c r="AR146" s="30">
        <v>340</v>
      </c>
      <c r="AS146" s="30">
        <v>341</v>
      </c>
      <c r="AT146" s="30">
        <v>330</v>
      </c>
      <c r="AU146" s="30">
        <v>328</v>
      </c>
      <c r="AV146" s="30">
        <v>352</v>
      </c>
      <c r="AW146" s="30">
        <v>378</v>
      </c>
      <c r="AX146" s="30">
        <v>363</v>
      </c>
      <c r="AY146" s="30">
        <v>429</v>
      </c>
      <c r="AZ146" s="30">
        <v>438</v>
      </c>
      <c r="BA146" s="30">
        <v>419</v>
      </c>
      <c r="BB146" s="30">
        <v>403</v>
      </c>
      <c r="BC146" s="30">
        <v>425</v>
      </c>
      <c r="BD146" s="30">
        <v>408</v>
      </c>
      <c r="BE146" s="30">
        <v>405</v>
      </c>
      <c r="BF146" s="30">
        <v>399</v>
      </c>
      <c r="BG146" s="30">
        <v>461</v>
      </c>
      <c r="BH146" s="30">
        <v>469</v>
      </c>
      <c r="BI146" s="30">
        <v>466</v>
      </c>
      <c r="BJ146" s="30">
        <v>518</v>
      </c>
      <c r="BK146" s="30">
        <v>513</v>
      </c>
      <c r="BL146" s="30">
        <v>520</v>
      </c>
      <c r="BM146" s="1">
        <v>500</v>
      </c>
      <c r="BN146" s="1">
        <v>510</v>
      </c>
      <c r="BO146" s="1">
        <v>525</v>
      </c>
      <c r="BP146" s="1">
        <v>531</v>
      </c>
      <c r="BQ146" s="1">
        <v>519</v>
      </c>
      <c r="BR146" s="1">
        <v>558</v>
      </c>
      <c r="BS146" s="1">
        <v>620</v>
      </c>
      <c r="BT146" s="1">
        <v>709</v>
      </c>
      <c r="BU146" s="1">
        <v>709</v>
      </c>
      <c r="BV146" s="1">
        <v>670</v>
      </c>
      <c r="BW146" s="1">
        <v>650</v>
      </c>
      <c r="BX146" s="1">
        <v>702</v>
      </c>
      <c r="BY146" s="1">
        <v>686</v>
      </c>
      <c r="BZ146" s="1">
        <v>707</v>
      </c>
    </row>
    <row r="147" spans="1:78" ht="15.9" customHeight="1">
      <c r="A147" s="65" t="s">
        <v>288</v>
      </c>
      <c r="B147" s="41" t="s">
        <v>289</v>
      </c>
      <c r="C147" s="45">
        <f>_xll.RssMarket("6387","安値")</f>
        <v>9460</v>
      </c>
      <c r="D147" s="16">
        <f t="shared" si="5"/>
        <v>940</v>
      </c>
      <c r="E147" s="30">
        <v>8520</v>
      </c>
      <c r="F147" s="30">
        <v>8000</v>
      </c>
      <c r="G147" s="30">
        <v>8200</v>
      </c>
      <c r="H147" s="30">
        <v>7130</v>
      </c>
      <c r="I147" s="30">
        <v>7310</v>
      </c>
      <c r="J147" s="30">
        <v>8300</v>
      </c>
      <c r="K147" s="30">
        <v>9260</v>
      </c>
      <c r="L147" s="30"/>
      <c r="M147" s="30">
        <v>10080</v>
      </c>
      <c r="N147" s="30">
        <v>10360</v>
      </c>
      <c r="O147" s="30">
        <v>9640</v>
      </c>
      <c r="P147" s="30">
        <v>9430</v>
      </c>
      <c r="Q147" s="30">
        <v>11900</v>
      </c>
      <c r="R147" s="30">
        <v>11910</v>
      </c>
      <c r="S147" s="30">
        <v>12530</v>
      </c>
      <c r="T147" s="30">
        <v>12280</v>
      </c>
      <c r="U147" s="30">
        <v>11560</v>
      </c>
      <c r="V147" s="30">
        <v>11170</v>
      </c>
      <c r="W147" s="30">
        <v>11530</v>
      </c>
      <c r="X147" s="30">
        <v>11990</v>
      </c>
      <c r="Y147" s="30">
        <v>12510</v>
      </c>
      <c r="Z147" s="30">
        <v>12830</v>
      </c>
      <c r="AA147" s="30">
        <v>13660</v>
      </c>
      <c r="AB147" s="30">
        <v>13710</v>
      </c>
      <c r="AC147" s="30">
        <v>13020</v>
      </c>
      <c r="AD147" s="30">
        <v>13510</v>
      </c>
      <c r="AE147" s="30">
        <v>14230</v>
      </c>
      <c r="AF147" s="30">
        <v>13910</v>
      </c>
      <c r="AG147" s="30">
        <v>14590</v>
      </c>
      <c r="AH147" s="30">
        <v>14610</v>
      </c>
      <c r="AI147" s="30">
        <v>14250</v>
      </c>
      <c r="AJ147" s="30">
        <v>15180</v>
      </c>
      <c r="AK147" s="30">
        <v>14700</v>
      </c>
      <c r="AL147" s="30">
        <v>15120</v>
      </c>
      <c r="AM147" s="30">
        <v>13670</v>
      </c>
      <c r="AN147" s="30">
        <v>11760</v>
      </c>
      <c r="AO147" s="30">
        <v>10840</v>
      </c>
      <c r="AP147" s="30">
        <v>11620</v>
      </c>
      <c r="AQ147" s="30">
        <v>11060</v>
      </c>
      <c r="AR147" s="30">
        <v>11820</v>
      </c>
      <c r="AS147" s="30">
        <v>12110</v>
      </c>
      <c r="AT147" s="30">
        <v>12220</v>
      </c>
      <c r="AU147" s="30">
        <v>10510</v>
      </c>
      <c r="AV147" s="30">
        <v>10080</v>
      </c>
      <c r="AW147" s="30">
        <v>9900</v>
      </c>
      <c r="AX147" s="30">
        <v>10390</v>
      </c>
      <c r="AY147" s="30">
        <v>11580</v>
      </c>
      <c r="AZ147" s="30">
        <v>10910</v>
      </c>
      <c r="BA147" s="30">
        <v>10500</v>
      </c>
      <c r="BB147" s="30">
        <v>10520</v>
      </c>
      <c r="BC147" s="30">
        <v>10910</v>
      </c>
      <c r="BD147" s="30">
        <v>11870</v>
      </c>
      <c r="BE147" s="30">
        <v>11890</v>
      </c>
      <c r="BF147" s="30">
        <v>13130</v>
      </c>
      <c r="BG147" s="30">
        <v>12340</v>
      </c>
      <c r="BH147" s="30">
        <v>12210</v>
      </c>
      <c r="BI147" s="30">
        <v>12800</v>
      </c>
      <c r="BJ147" s="30">
        <v>12880</v>
      </c>
      <c r="BK147" s="30">
        <v>12520</v>
      </c>
      <c r="BL147" s="30">
        <v>11240</v>
      </c>
      <c r="BM147" s="1">
        <v>11120</v>
      </c>
      <c r="BN147" s="1">
        <v>10840</v>
      </c>
      <c r="BO147" s="1">
        <v>10620</v>
      </c>
      <c r="BP147" s="1">
        <v>10550</v>
      </c>
      <c r="BQ147" s="1">
        <v>10380</v>
      </c>
      <c r="BR147" s="1">
        <v>9350</v>
      </c>
      <c r="BS147" s="1">
        <v>9400</v>
      </c>
      <c r="BT147" s="1">
        <v>9400</v>
      </c>
      <c r="BU147" s="1">
        <v>9600</v>
      </c>
      <c r="BV147" s="1">
        <v>9760</v>
      </c>
      <c r="BW147" s="1">
        <v>9600</v>
      </c>
      <c r="BX147" s="1">
        <v>10180</v>
      </c>
      <c r="BY147" s="1">
        <v>9090</v>
      </c>
      <c r="BZ147" s="1">
        <v>8980</v>
      </c>
    </row>
    <row r="148" spans="1:78" ht="15.9" customHeight="1">
      <c r="A148" s="65" t="s">
        <v>290</v>
      </c>
      <c r="B148" s="41" t="s">
        <v>291</v>
      </c>
      <c r="C148" s="45">
        <f>_xll.RssMarket("6838","安値")</f>
        <v>1457</v>
      </c>
      <c r="D148" s="16">
        <f t="shared" si="5"/>
        <v>87</v>
      </c>
      <c r="E148" s="30">
        <v>1370</v>
      </c>
      <c r="F148" s="30">
        <v>1254</v>
      </c>
      <c r="G148" s="30">
        <v>1249</v>
      </c>
      <c r="H148" s="30">
        <v>1168</v>
      </c>
      <c r="I148" s="30">
        <v>1161</v>
      </c>
      <c r="J148" s="30">
        <v>1234</v>
      </c>
      <c r="K148" s="30">
        <v>1347</v>
      </c>
      <c r="L148" s="30">
        <v>1329</v>
      </c>
      <c r="M148" s="30">
        <v>1385</v>
      </c>
      <c r="N148" s="30">
        <v>1370</v>
      </c>
      <c r="O148" s="30">
        <v>1318</v>
      </c>
      <c r="P148" s="30">
        <v>1300</v>
      </c>
      <c r="Q148" s="30">
        <v>1430</v>
      </c>
      <c r="R148" s="30">
        <v>1400</v>
      </c>
      <c r="S148" s="30">
        <v>1453</v>
      </c>
      <c r="T148" s="30">
        <v>1525</v>
      </c>
      <c r="U148" s="30">
        <v>1491</v>
      </c>
      <c r="V148" s="30">
        <v>1521</v>
      </c>
      <c r="W148" s="30">
        <v>1631</v>
      </c>
      <c r="X148" s="30">
        <v>1723</v>
      </c>
      <c r="Y148" s="30">
        <v>1665</v>
      </c>
      <c r="Z148" s="30">
        <v>1682</v>
      </c>
      <c r="AA148" s="30">
        <v>1678</v>
      </c>
      <c r="AB148" s="30">
        <v>1736</v>
      </c>
      <c r="AC148" s="30">
        <v>1750</v>
      </c>
      <c r="AD148" s="30">
        <v>1883</v>
      </c>
      <c r="AE148" s="30">
        <v>1912</v>
      </c>
      <c r="AF148" s="30">
        <v>1877</v>
      </c>
      <c r="AG148" s="30">
        <v>1980</v>
      </c>
      <c r="AH148" s="30">
        <v>2001</v>
      </c>
      <c r="AI148" s="30">
        <v>1940</v>
      </c>
      <c r="AJ148" s="30">
        <v>2086</v>
      </c>
      <c r="AK148" s="30">
        <v>2122</v>
      </c>
      <c r="AL148" s="30">
        <v>2280</v>
      </c>
      <c r="AM148" s="30">
        <v>1788</v>
      </c>
      <c r="AN148" s="30">
        <v>1720</v>
      </c>
      <c r="AO148" s="30">
        <v>1655</v>
      </c>
      <c r="AP148" s="30">
        <v>1800</v>
      </c>
      <c r="AQ148" s="30">
        <v>2086</v>
      </c>
      <c r="AR148" s="30">
        <v>2320</v>
      </c>
      <c r="AS148" s="30">
        <v>2220</v>
      </c>
      <c r="AT148" s="30">
        <v>2235</v>
      </c>
      <c r="AU148" s="30">
        <v>2144</v>
      </c>
      <c r="AV148" s="30">
        <v>2062</v>
      </c>
      <c r="AW148" s="30">
        <v>2080</v>
      </c>
      <c r="AX148" s="30">
        <v>2201</v>
      </c>
      <c r="AY148" s="30">
        <v>2029</v>
      </c>
      <c r="AZ148" s="30">
        <v>1950</v>
      </c>
      <c r="BA148" s="30">
        <v>1788</v>
      </c>
      <c r="BB148" s="30">
        <v>1870</v>
      </c>
      <c r="BC148" s="30">
        <v>1932</v>
      </c>
      <c r="BD148" s="30">
        <v>1984</v>
      </c>
      <c r="BE148" s="30">
        <v>1930</v>
      </c>
      <c r="BF148" s="30">
        <v>1873</v>
      </c>
      <c r="BG148" s="30">
        <v>1911</v>
      </c>
      <c r="BH148" s="30">
        <v>1954</v>
      </c>
      <c r="BI148" s="30">
        <v>1941</v>
      </c>
      <c r="BJ148" s="30">
        <v>1714</v>
      </c>
      <c r="BK148" s="30">
        <v>1663</v>
      </c>
      <c r="BL148" s="30">
        <v>1623</v>
      </c>
      <c r="BM148" s="1">
        <v>1583</v>
      </c>
      <c r="BN148" s="1">
        <v>1581</v>
      </c>
      <c r="BO148" s="1">
        <v>1571</v>
      </c>
      <c r="BP148" s="1">
        <v>1700</v>
      </c>
      <c r="BQ148" s="1">
        <v>1757</v>
      </c>
      <c r="BR148" s="1">
        <v>1722</v>
      </c>
      <c r="BS148" s="1">
        <v>1704</v>
      </c>
      <c r="BT148" s="1">
        <v>1615</v>
      </c>
      <c r="BU148" s="1">
        <v>1391</v>
      </c>
      <c r="BV148" s="1">
        <v>1268</v>
      </c>
      <c r="BW148" s="1">
        <v>1257</v>
      </c>
      <c r="BX148" s="1">
        <v>1278</v>
      </c>
      <c r="BY148" s="1">
        <v>1265</v>
      </c>
      <c r="BZ148" s="1">
        <v>1262</v>
      </c>
    </row>
    <row r="149" spans="1:78" ht="15.9" customHeight="1">
      <c r="A149" s="65" t="s">
        <v>292</v>
      </c>
      <c r="B149" s="41" t="s">
        <v>293</v>
      </c>
      <c r="C149" s="45">
        <f>_xll.RssMarket("7375","安値")</f>
        <v>1134</v>
      </c>
      <c r="D149" s="16">
        <f t="shared" si="5"/>
        <v>1134</v>
      </c>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78" ht="15.9" customHeight="1">
      <c r="A150" s="65" t="s">
        <v>294</v>
      </c>
      <c r="B150" s="41" t="s">
        <v>295</v>
      </c>
      <c r="C150" s="45">
        <f>_xll.RssMarket("4307","安値")</f>
        <v>4486</v>
      </c>
      <c r="D150" s="16">
        <f t="shared" si="5"/>
        <v>-76</v>
      </c>
      <c r="E150" s="30">
        <v>4562</v>
      </c>
      <c r="F150" s="30">
        <v>4583</v>
      </c>
      <c r="G150" s="30">
        <v>4650</v>
      </c>
      <c r="H150" s="30">
        <v>5424</v>
      </c>
      <c r="I150" s="30">
        <v>5332</v>
      </c>
      <c r="J150" s="30">
        <v>5192</v>
      </c>
      <c r="K150" s="30">
        <v>4986</v>
      </c>
      <c r="L150" s="30">
        <v>4871</v>
      </c>
      <c r="M150" s="30">
        <v>4868</v>
      </c>
      <c r="N150" s="30">
        <v>4901</v>
      </c>
      <c r="O150" s="30">
        <v>5056</v>
      </c>
      <c r="P150" s="30">
        <v>5050</v>
      </c>
      <c r="Q150" s="30">
        <v>4787</v>
      </c>
      <c r="R150" s="30">
        <v>5063</v>
      </c>
      <c r="S150" s="30">
        <v>4926</v>
      </c>
      <c r="T150" s="30">
        <v>4973</v>
      </c>
      <c r="U150" s="30">
        <v>4910</v>
      </c>
      <c r="V150" s="30">
        <v>5000</v>
      </c>
      <c r="W150" s="30">
        <v>5050</v>
      </c>
      <c r="X150" s="30">
        <v>4850</v>
      </c>
      <c r="Y150" s="30">
        <v>4884</v>
      </c>
      <c r="Z150" s="30">
        <v>4836</v>
      </c>
      <c r="AA150" s="30">
        <v>4510</v>
      </c>
      <c r="AB150" s="30">
        <v>4546</v>
      </c>
      <c r="AC150" s="30">
        <v>4473</v>
      </c>
      <c r="AD150" s="30">
        <v>4201</v>
      </c>
      <c r="AE150" s="30">
        <v>4253</v>
      </c>
      <c r="AF150" s="30">
        <v>4281</v>
      </c>
      <c r="AG150" s="30">
        <v>4144</v>
      </c>
      <c r="AH150" s="30">
        <v>4228</v>
      </c>
      <c r="AI150" s="30">
        <v>4358</v>
      </c>
      <c r="AJ150" s="30">
        <v>4551</v>
      </c>
      <c r="AK150" s="30">
        <v>4475</v>
      </c>
      <c r="AL150" s="30">
        <v>4401</v>
      </c>
      <c r="AM150" s="30">
        <v>4550</v>
      </c>
      <c r="AN150" s="30">
        <v>4464</v>
      </c>
      <c r="AO150" s="30">
        <v>4562</v>
      </c>
      <c r="AP150" s="30">
        <v>4605</v>
      </c>
      <c r="AQ150" s="30">
        <v>4692</v>
      </c>
      <c r="AR150" s="30">
        <v>4780</v>
      </c>
      <c r="AS150" s="30">
        <v>4638</v>
      </c>
      <c r="AT150" s="30">
        <v>4780</v>
      </c>
      <c r="AU150" s="30">
        <v>5009</v>
      </c>
      <c r="AV150" s="30">
        <v>4938</v>
      </c>
      <c r="AW150" s="30">
        <v>4700</v>
      </c>
      <c r="AX150" s="30">
        <v>4570</v>
      </c>
      <c r="AY150" s="30">
        <v>4532</v>
      </c>
      <c r="AZ150" s="30">
        <v>4571</v>
      </c>
      <c r="BA150" s="30">
        <v>4653</v>
      </c>
      <c r="BB150" s="30">
        <v>4668</v>
      </c>
      <c r="BC150" s="30">
        <v>4640</v>
      </c>
      <c r="BD150" s="30">
        <v>4415</v>
      </c>
      <c r="BE150" s="30">
        <v>4201</v>
      </c>
      <c r="BF150" s="30">
        <v>4126</v>
      </c>
      <c r="BG150" s="30">
        <v>4230</v>
      </c>
      <c r="BH150" s="30">
        <v>4148</v>
      </c>
      <c r="BI150" s="30">
        <v>4280</v>
      </c>
      <c r="BJ150" s="30">
        <v>4270</v>
      </c>
      <c r="BK150" s="30">
        <v>4113</v>
      </c>
      <c r="BL150" s="30">
        <v>4054</v>
      </c>
      <c r="BM150" s="1">
        <v>4098</v>
      </c>
      <c r="BN150" s="1">
        <v>4286</v>
      </c>
      <c r="BO150" s="1">
        <v>4357</v>
      </c>
      <c r="BP150" s="1">
        <v>4974</v>
      </c>
      <c r="BQ150" s="1">
        <v>4951</v>
      </c>
      <c r="BR150" s="1">
        <v>5050</v>
      </c>
      <c r="BS150" s="1">
        <v>4967</v>
      </c>
      <c r="BT150" s="1">
        <v>4926</v>
      </c>
      <c r="BU150" s="1">
        <v>4885</v>
      </c>
      <c r="BV150" s="1">
        <v>4861</v>
      </c>
      <c r="BW150" s="1">
        <v>4757</v>
      </c>
      <c r="BX150" s="1">
        <v>4613</v>
      </c>
      <c r="BY150" s="1">
        <v>4374</v>
      </c>
      <c r="BZ150" s="1">
        <v>4392</v>
      </c>
    </row>
    <row r="151" spans="1:78" ht="15.9" customHeight="1">
      <c r="A151" s="65" t="s">
        <v>296</v>
      </c>
      <c r="B151" s="41" t="s">
        <v>297</v>
      </c>
      <c r="C151" s="45">
        <f>_xll.RssMarket("6516","安値")</f>
        <v>5920</v>
      </c>
      <c r="D151" s="16">
        <f t="shared" si="5"/>
        <v>400</v>
      </c>
      <c r="E151" s="30">
        <v>5520</v>
      </c>
      <c r="F151" s="30">
        <v>5210</v>
      </c>
      <c r="G151" s="30">
        <v>5490</v>
      </c>
      <c r="H151" s="30">
        <v>5000</v>
      </c>
      <c r="I151" s="30">
        <v>5040</v>
      </c>
      <c r="J151" s="30">
        <v>5400</v>
      </c>
      <c r="K151" s="30">
        <v>5580</v>
      </c>
      <c r="L151" s="30"/>
      <c r="M151" s="30">
        <v>5720</v>
      </c>
      <c r="N151" s="30">
        <v>5710</v>
      </c>
      <c r="O151" s="30">
        <v>5420</v>
      </c>
      <c r="P151" s="30">
        <v>5280</v>
      </c>
      <c r="Q151" s="30">
        <v>5810</v>
      </c>
      <c r="R151" s="30">
        <v>5720</v>
      </c>
      <c r="S151" s="30">
        <v>5860</v>
      </c>
      <c r="T151" s="30">
        <v>6010</v>
      </c>
      <c r="U151" s="30">
        <v>5850</v>
      </c>
      <c r="V151" s="30">
        <v>5920</v>
      </c>
      <c r="W151" s="30">
        <v>6070</v>
      </c>
      <c r="X151" s="30">
        <v>6300</v>
      </c>
      <c r="Y151" s="30">
        <v>6370</v>
      </c>
      <c r="Z151" s="30">
        <v>6300</v>
      </c>
      <c r="AA151" s="30">
        <v>6540</v>
      </c>
      <c r="AB151" s="30">
        <v>6460</v>
      </c>
      <c r="AC151" s="30">
        <v>6480</v>
      </c>
      <c r="AD151" s="30">
        <v>6740</v>
      </c>
      <c r="AE151" s="30">
        <v>7050</v>
      </c>
      <c r="AF151" s="30">
        <v>6910</v>
      </c>
      <c r="AG151" s="30">
        <v>7000</v>
      </c>
      <c r="AH151" s="30">
        <v>6820</v>
      </c>
      <c r="AI151" s="30">
        <v>6720</v>
      </c>
      <c r="AJ151" s="30">
        <v>6760</v>
      </c>
      <c r="AK151" s="30">
        <v>6430</v>
      </c>
      <c r="AL151" s="30">
        <v>6500</v>
      </c>
      <c r="AM151" s="30">
        <v>6490</v>
      </c>
      <c r="AN151" s="30">
        <v>6220</v>
      </c>
      <c r="AO151" s="30">
        <v>6000</v>
      </c>
      <c r="AP151" s="30">
        <v>6180</v>
      </c>
      <c r="AQ151" s="30">
        <v>6230</v>
      </c>
      <c r="AR151" s="30">
        <v>6470</v>
      </c>
      <c r="AS151" s="30">
        <v>6600</v>
      </c>
      <c r="AT151" s="30">
        <v>6430</v>
      </c>
      <c r="AU151" s="30">
        <v>6290</v>
      </c>
      <c r="AV151" s="30">
        <v>6700</v>
      </c>
      <c r="AW151" s="30">
        <v>6570</v>
      </c>
      <c r="AX151" s="30">
        <v>6790</v>
      </c>
      <c r="AY151" s="30">
        <v>7020</v>
      </c>
      <c r="AZ151" s="30">
        <v>7080</v>
      </c>
      <c r="BA151" s="30">
        <v>6960</v>
      </c>
      <c r="BB151" s="30">
        <v>6740</v>
      </c>
      <c r="BC151" s="30">
        <v>6960</v>
      </c>
      <c r="BD151" s="30">
        <v>7240</v>
      </c>
      <c r="BE151" s="30">
        <v>7280</v>
      </c>
      <c r="BF151" s="30">
        <v>7460</v>
      </c>
      <c r="BG151" s="30">
        <v>7390</v>
      </c>
      <c r="BH151" s="30">
        <v>7320</v>
      </c>
      <c r="BI151" s="30">
        <v>7380</v>
      </c>
      <c r="BJ151" s="30">
        <v>7070</v>
      </c>
      <c r="BK151" s="30">
        <v>7010</v>
      </c>
      <c r="BL151" s="30">
        <v>6650</v>
      </c>
      <c r="BM151" s="1">
        <v>6900</v>
      </c>
      <c r="BN151" s="1">
        <v>6740</v>
      </c>
      <c r="BO151" s="1">
        <v>5630</v>
      </c>
      <c r="BP151" s="1">
        <v>5190</v>
      </c>
      <c r="BQ151" s="1">
        <v>5110</v>
      </c>
      <c r="BR151" s="1">
        <v>5130</v>
      </c>
      <c r="BS151" s="1">
        <v>5210</v>
      </c>
      <c r="BT151" s="1">
        <v>5100</v>
      </c>
      <c r="BU151" s="1">
        <v>5100</v>
      </c>
      <c r="BV151" s="1">
        <v>5170</v>
      </c>
      <c r="BW151" s="1">
        <v>5160</v>
      </c>
      <c r="BX151" s="1">
        <v>5060</v>
      </c>
      <c r="BY151" s="1">
        <v>4960</v>
      </c>
      <c r="BZ151" s="1">
        <v>4940</v>
      </c>
    </row>
    <row r="152" spans="1:78" ht="15.9" customHeight="1">
      <c r="A152" s="65" t="s">
        <v>298</v>
      </c>
      <c r="B152" s="41" t="s">
        <v>299</v>
      </c>
      <c r="C152" s="45">
        <f>_xll.RssMarket("7381","安値")</f>
        <v>1138</v>
      </c>
      <c r="D152" s="16">
        <f t="shared" si="5"/>
        <v>23</v>
      </c>
      <c r="E152" s="30">
        <v>1115</v>
      </c>
      <c r="F152" s="30">
        <v>1071</v>
      </c>
      <c r="G152" s="30">
        <v>1057</v>
      </c>
      <c r="H152" s="30">
        <v>1040</v>
      </c>
      <c r="I152" s="30">
        <v>1063</v>
      </c>
      <c r="J152" s="30">
        <v>1137</v>
      </c>
      <c r="K152" s="30">
        <v>1151</v>
      </c>
      <c r="L152" s="30">
        <v>1136</v>
      </c>
      <c r="M152" s="30">
        <v>1154</v>
      </c>
      <c r="N152" s="30">
        <v>1141</v>
      </c>
      <c r="O152" s="30">
        <v>1061</v>
      </c>
      <c r="P152" s="30">
        <v>1054</v>
      </c>
      <c r="Q152" s="30">
        <v>1087</v>
      </c>
      <c r="R152" s="30">
        <v>1048</v>
      </c>
      <c r="S152" s="30">
        <v>1038</v>
      </c>
      <c r="T152" s="30">
        <v>1030</v>
      </c>
      <c r="U152" s="30">
        <v>1034</v>
      </c>
      <c r="V152" s="30">
        <v>1063</v>
      </c>
      <c r="W152" s="30">
        <v>1053</v>
      </c>
      <c r="X152" s="30">
        <v>1038</v>
      </c>
      <c r="Y152" s="30">
        <v>1017</v>
      </c>
      <c r="Z152" s="30">
        <v>1029</v>
      </c>
      <c r="AA152" s="30">
        <v>1021</v>
      </c>
      <c r="AB152" s="30">
        <v>1010</v>
      </c>
      <c r="AC152" s="30">
        <v>978</v>
      </c>
      <c r="AD152" s="30">
        <v>967</v>
      </c>
      <c r="AE152" s="30">
        <v>945</v>
      </c>
      <c r="AF152" s="30">
        <v>944</v>
      </c>
      <c r="AG152" s="30">
        <v>949</v>
      </c>
      <c r="AH152" s="30">
        <v>951</v>
      </c>
      <c r="AI152" s="30">
        <v>945</v>
      </c>
      <c r="AJ152" s="30">
        <v>970</v>
      </c>
      <c r="AK152" s="30">
        <v>975</v>
      </c>
      <c r="AL152" s="30">
        <v>975</v>
      </c>
      <c r="AM152" s="30">
        <v>1003</v>
      </c>
      <c r="AN152" s="30">
        <v>983</v>
      </c>
      <c r="AO152" s="30">
        <v>956</v>
      </c>
      <c r="AP152" s="30">
        <v>976</v>
      </c>
      <c r="AQ152" s="30">
        <v>969</v>
      </c>
      <c r="AR152" s="30">
        <v>1028</v>
      </c>
      <c r="AS152" s="30">
        <v>1002</v>
      </c>
      <c r="AT152" s="30">
        <v>1011</v>
      </c>
      <c r="AU152" s="30">
        <v>967</v>
      </c>
      <c r="AV152" s="30">
        <v>1034</v>
      </c>
      <c r="AW152" s="30">
        <v>1010</v>
      </c>
      <c r="AX152" s="30">
        <v>1038</v>
      </c>
      <c r="AY152" s="30">
        <v>1038</v>
      </c>
      <c r="AZ152" s="30">
        <v>1052</v>
      </c>
      <c r="BA152" s="30">
        <v>1047</v>
      </c>
      <c r="BB152" s="30">
        <v>1008</v>
      </c>
      <c r="BC152" s="30">
        <v>1009</v>
      </c>
      <c r="BD152" s="30">
        <v>1024</v>
      </c>
      <c r="BE152" s="30">
        <v>1033</v>
      </c>
      <c r="BF152" s="30">
        <v>1020</v>
      </c>
      <c r="BG152" s="30">
        <v>1011</v>
      </c>
      <c r="BH152" s="30">
        <v>1003</v>
      </c>
      <c r="BI152" s="30">
        <v>997</v>
      </c>
      <c r="BJ152" s="30">
        <v>986</v>
      </c>
      <c r="BK152" s="30">
        <v>975</v>
      </c>
      <c r="BL152" s="30">
        <v>937</v>
      </c>
      <c r="BM152" s="1">
        <v>921</v>
      </c>
      <c r="BN152" s="1">
        <v>907</v>
      </c>
      <c r="BO152" s="1">
        <v>896</v>
      </c>
      <c r="BP152" s="1">
        <v>900</v>
      </c>
      <c r="BQ152" s="1">
        <v>909</v>
      </c>
      <c r="BR152" s="1">
        <v>923</v>
      </c>
      <c r="BS152" s="1">
        <v>964</v>
      </c>
      <c r="BT152" s="1">
        <v>997</v>
      </c>
      <c r="BU152" s="1">
        <v>1009</v>
      </c>
      <c r="BV152" s="1">
        <v>1034</v>
      </c>
      <c r="BW152" s="1">
        <v>1029</v>
      </c>
      <c r="BX152" s="1">
        <v>1012</v>
      </c>
      <c r="BY152" s="1">
        <v>1008</v>
      </c>
      <c r="BZ152" s="1">
        <v>1021</v>
      </c>
    </row>
    <row r="153" spans="1:78" ht="15.9" customHeight="1">
      <c r="A153" s="65" t="s">
        <v>300</v>
      </c>
      <c r="B153" s="41" t="s">
        <v>301</v>
      </c>
      <c r="C153" s="45">
        <f>_xll.RssMarket("4417","安値")</f>
        <v>4150</v>
      </c>
      <c r="D153" s="16">
        <f t="shared" si="5"/>
        <v>120</v>
      </c>
      <c r="E153" s="30">
        <v>4030</v>
      </c>
      <c r="F153" s="30">
        <v>4100</v>
      </c>
      <c r="G153" s="30">
        <v>4285</v>
      </c>
      <c r="H153" s="30">
        <v>4370</v>
      </c>
      <c r="I153" s="30">
        <v>4405</v>
      </c>
      <c r="J153" s="30">
        <v>4340</v>
      </c>
      <c r="K153" s="30">
        <v>4285</v>
      </c>
      <c r="L153" s="30">
        <v>4155</v>
      </c>
      <c r="M153" s="30">
        <v>4075</v>
      </c>
      <c r="N153" s="30">
        <v>4265</v>
      </c>
      <c r="O153" s="30">
        <v>4205</v>
      </c>
      <c r="P153" s="30">
        <v>4310</v>
      </c>
      <c r="Q153" s="30">
        <v>4180</v>
      </c>
      <c r="R153" s="30">
        <v>4010</v>
      </c>
      <c r="S153" s="30">
        <v>3840</v>
      </c>
      <c r="T153" s="30">
        <v>3860</v>
      </c>
      <c r="U153" s="30">
        <v>3885</v>
      </c>
      <c r="V153" s="30">
        <v>3815</v>
      </c>
      <c r="W153" s="30">
        <v>3910</v>
      </c>
      <c r="X153" s="30">
        <v>4150</v>
      </c>
      <c r="Y153" s="30">
        <v>4115</v>
      </c>
      <c r="Z153" s="30">
        <v>3840</v>
      </c>
      <c r="AA153" s="30">
        <v>3780</v>
      </c>
      <c r="AB153" s="30">
        <v>3730</v>
      </c>
      <c r="AC153" s="30">
        <v>3500</v>
      </c>
      <c r="AD153" s="30">
        <v>3190</v>
      </c>
      <c r="AE153" s="30">
        <v>3185</v>
      </c>
      <c r="AF153" s="30">
        <v>3140</v>
      </c>
      <c r="AG153" s="30">
        <v>3120</v>
      </c>
      <c r="AH153" s="30">
        <v>3240</v>
      </c>
      <c r="AI153" s="30">
        <v>3215</v>
      </c>
      <c r="AJ153" s="30">
        <v>3225</v>
      </c>
      <c r="AK153" s="30">
        <v>3070</v>
      </c>
      <c r="AL153" s="30">
        <v>3030</v>
      </c>
      <c r="AM153" s="30">
        <v>3055</v>
      </c>
      <c r="AN153" s="30">
        <v>2958</v>
      </c>
      <c r="AO153" s="30">
        <v>2958</v>
      </c>
      <c r="AP153" s="30">
        <v>3075</v>
      </c>
      <c r="AQ153" s="30">
        <v>2958</v>
      </c>
      <c r="AR153" s="30">
        <v>3040</v>
      </c>
      <c r="AS153" s="30">
        <v>2991</v>
      </c>
      <c r="AT153" s="30">
        <v>3115</v>
      </c>
      <c r="AU153" s="30">
        <v>3230</v>
      </c>
      <c r="AV153" s="30">
        <v>3285</v>
      </c>
      <c r="AW153" s="30">
        <v>3165</v>
      </c>
      <c r="AX153" s="30">
        <v>3280</v>
      </c>
      <c r="AY153" s="30">
        <v>3260</v>
      </c>
      <c r="AZ153" s="30">
        <v>3080</v>
      </c>
      <c r="BA153" s="30">
        <v>2988</v>
      </c>
      <c r="BB153" s="30">
        <v>2851</v>
      </c>
      <c r="BC153" s="30">
        <v>2839</v>
      </c>
      <c r="BD153" s="30">
        <v>2710</v>
      </c>
      <c r="BE153" s="30">
        <v>2702</v>
      </c>
      <c r="BF153" s="30">
        <v>2721</v>
      </c>
      <c r="BG153" s="30">
        <v>2914</v>
      </c>
      <c r="BH153" s="30">
        <v>2881</v>
      </c>
      <c r="BI153" s="30">
        <v>2836</v>
      </c>
      <c r="BJ153" s="30">
        <v>2705</v>
      </c>
      <c r="BK153" s="30">
        <v>2678</v>
      </c>
      <c r="BL153" s="30">
        <v>2660</v>
      </c>
      <c r="BM153" s="1">
        <v>2411</v>
      </c>
      <c r="BN153" s="1">
        <v>2452</v>
      </c>
      <c r="BO153" s="1">
        <v>2450</v>
      </c>
      <c r="BP153" s="1">
        <v>2450</v>
      </c>
      <c r="BQ153" s="1">
        <v>2438</v>
      </c>
      <c r="BR153" s="1">
        <v>2440</v>
      </c>
      <c r="BS153" s="1">
        <v>2423</v>
      </c>
      <c r="BT153" s="1">
        <v>2483</v>
      </c>
      <c r="BU153" s="1">
        <v>2464</v>
      </c>
      <c r="BV153" s="1">
        <v>2456</v>
      </c>
      <c r="BW153" s="1">
        <v>2281</v>
      </c>
      <c r="BX153" s="1">
        <v>2228</v>
      </c>
      <c r="BY153" s="1">
        <v>2232</v>
      </c>
      <c r="BZ153" s="1">
        <v>2450</v>
      </c>
    </row>
    <row r="154" spans="1:78" ht="15.9" customHeight="1">
      <c r="A154" s="65" t="s">
        <v>302</v>
      </c>
      <c r="B154" s="41" t="s">
        <v>303</v>
      </c>
      <c r="C154" s="45">
        <f>_xll.RssMarket("6981","安値")</f>
        <v>7305</v>
      </c>
      <c r="D154" s="16">
        <f t="shared" si="5"/>
        <v>535</v>
      </c>
      <c r="E154" s="30">
        <v>6770</v>
      </c>
      <c r="F154" s="30">
        <v>6923</v>
      </c>
      <c r="G154" s="30">
        <v>7416</v>
      </c>
      <c r="H154" s="30">
        <v>6022</v>
      </c>
      <c r="I154" s="30">
        <v>5861</v>
      </c>
      <c r="J154" s="30">
        <v>7000</v>
      </c>
      <c r="K154" s="30">
        <v>7963</v>
      </c>
      <c r="L154" s="30">
        <v>8030</v>
      </c>
      <c r="M154" s="30">
        <v>8507</v>
      </c>
      <c r="N154" s="30">
        <v>8225</v>
      </c>
      <c r="O154" s="30">
        <v>7336</v>
      </c>
      <c r="P154" s="30">
        <v>7270</v>
      </c>
      <c r="Q154" s="30">
        <v>8745</v>
      </c>
      <c r="R154" s="30">
        <v>8469</v>
      </c>
      <c r="S154" s="30">
        <v>8795</v>
      </c>
      <c r="T154" s="30">
        <v>9582</v>
      </c>
      <c r="U154" s="30">
        <v>9265</v>
      </c>
      <c r="V154" s="30">
        <v>8823</v>
      </c>
      <c r="W154" s="30">
        <v>9181</v>
      </c>
      <c r="X154" s="30">
        <v>9901</v>
      </c>
      <c r="Y154" s="30">
        <v>9951</v>
      </c>
      <c r="Z154" s="30">
        <v>10765</v>
      </c>
      <c r="AA154" s="30">
        <v>11530</v>
      </c>
      <c r="AB154" s="30">
        <v>10450</v>
      </c>
      <c r="AC154" s="30">
        <v>10355</v>
      </c>
      <c r="AD154" s="30">
        <v>10580</v>
      </c>
      <c r="AE154" s="30">
        <v>11125</v>
      </c>
      <c r="AF154" s="30">
        <v>10780</v>
      </c>
      <c r="AG154" s="30">
        <v>11005</v>
      </c>
      <c r="AH154" s="30">
        <v>12120</v>
      </c>
      <c r="AI154" s="30">
        <v>11280</v>
      </c>
      <c r="AJ154" s="30">
        <v>11715</v>
      </c>
      <c r="AK154" s="30">
        <v>10200</v>
      </c>
      <c r="AL154" s="30">
        <v>10320</v>
      </c>
      <c r="AM154" s="30">
        <v>9415</v>
      </c>
      <c r="AN154" s="30">
        <v>8521</v>
      </c>
      <c r="AO154" s="30">
        <v>8083</v>
      </c>
      <c r="AP154" s="30">
        <v>8550</v>
      </c>
      <c r="AQ154" s="30">
        <v>8624</v>
      </c>
      <c r="AR154" s="30">
        <v>9225</v>
      </c>
      <c r="AS154" s="30">
        <v>9858</v>
      </c>
      <c r="AT154" s="30">
        <v>9928</v>
      </c>
      <c r="AU154" s="30">
        <v>9700</v>
      </c>
      <c r="AV154" s="30">
        <v>9033</v>
      </c>
      <c r="AW154" s="30">
        <v>7700</v>
      </c>
      <c r="AX154" s="30">
        <v>7750</v>
      </c>
      <c r="AY154" s="30">
        <v>7315</v>
      </c>
      <c r="AZ154" s="30">
        <v>6659</v>
      </c>
      <c r="BA154" s="30">
        <v>6316</v>
      </c>
      <c r="BB154" s="30">
        <v>5825</v>
      </c>
      <c r="BC154" s="30">
        <v>6128</v>
      </c>
      <c r="BD154" s="30">
        <v>5930</v>
      </c>
      <c r="BE154" s="30">
        <v>6035</v>
      </c>
      <c r="BF154" s="30">
        <v>6138</v>
      </c>
      <c r="BG154" s="30">
        <v>5900</v>
      </c>
      <c r="BH154" s="30">
        <v>6040</v>
      </c>
      <c r="BI154" s="30">
        <v>5808</v>
      </c>
      <c r="BJ154" s="30">
        <v>5551</v>
      </c>
      <c r="BK154" s="30">
        <v>5398</v>
      </c>
      <c r="BL154" s="30">
        <v>4905</v>
      </c>
      <c r="BM154" s="1">
        <v>4750</v>
      </c>
      <c r="BN154" s="1">
        <v>4810</v>
      </c>
      <c r="BO154" s="1">
        <v>4770</v>
      </c>
      <c r="BP154" s="1">
        <v>4890</v>
      </c>
      <c r="BQ154" s="1">
        <v>4672</v>
      </c>
      <c r="BR154" s="1">
        <v>4821</v>
      </c>
      <c r="BS154" s="1">
        <v>4736</v>
      </c>
      <c r="BT154" s="1">
        <v>4658</v>
      </c>
      <c r="BU154" s="1">
        <v>4600</v>
      </c>
      <c r="BV154" s="1">
        <v>4537</v>
      </c>
      <c r="BW154" s="1">
        <v>4431</v>
      </c>
      <c r="BX154" s="1">
        <v>4205</v>
      </c>
      <c r="BY154" s="1">
        <v>4042</v>
      </c>
      <c r="BZ154" s="1">
        <v>3975</v>
      </c>
    </row>
    <row r="155" spans="1:78" ht="15.9" customHeight="1">
      <c r="A155" s="65" t="s">
        <v>304</v>
      </c>
      <c r="B155" s="41" t="s">
        <v>305</v>
      </c>
      <c r="C155" s="45">
        <f>_xll.RssMarket("6754","安値")</f>
        <v>3630</v>
      </c>
      <c r="D155" s="16">
        <f t="shared" si="5"/>
        <v>186</v>
      </c>
      <c r="E155" s="30">
        <v>3444</v>
      </c>
      <c r="F155" s="30">
        <v>3428</v>
      </c>
      <c r="G155" s="30">
        <v>3428</v>
      </c>
      <c r="H155" s="30">
        <v>3387</v>
      </c>
      <c r="I155" s="30">
        <v>3344</v>
      </c>
      <c r="J155" s="30">
        <v>3621</v>
      </c>
      <c r="K155" s="30">
        <v>3798</v>
      </c>
      <c r="L155" s="30"/>
      <c r="M155" s="30">
        <v>3910</v>
      </c>
      <c r="N155" s="30">
        <v>3902</v>
      </c>
      <c r="O155" s="30">
        <v>3611</v>
      </c>
      <c r="P155" s="30">
        <v>3533</v>
      </c>
      <c r="Q155" s="30">
        <v>4056</v>
      </c>
      <c r="R155" s="30">
        <v>3913</v>
      </c>
      <c r="S155" s="30">
        <v>4026</v>
      </c>
      <c r="T155" s="30">
        <v>4149</v>
      </c>
      <c r="U155" s="30">
        <v>4035</v>
      </c>
      <c r="V155" s="30">
        <v>3919</v>
      </c>
      <c r="W155" s="30">
        <v>4052</v>
      </c>
      <c r="X155" s="30">
        <v>4141</v>
      </c>
      <c r="Y155" s="30">
        <v>4245</v>
      </c>
      <c r="Z155" s="30">
        <v>4401</v>
      </c>
      <c r="AA155" s="30">
        <v>4590</v>
      </c>
      <c r="AB155" s="30">
        <v>4268</v>
      </c>
      <c r="AC155" s="30">
        <v>4166</v>
      </c>
      <c r="AD155" s="30">
        <v>4270</v>
      </c>
      <c r="AE155" s="30">
        <v>4503</v>
      </c>
      <c r="AF155" s="30">
        <v>4357</v>
      </c>
      <c r="AG155" s="30">
        <v>4449</v>
      </c>
      <c r="AH155" s="30">
        <v>4245</v>
      </c>
      <c r="AI155" s="30">
        <v>4196</v>
      </c>
      <c r="AJ155" s="30">
        <v>4010</v>
      </c>
      <c r="AK155" s="30">
        <v>3968</v>
      </c>
      <c r="AL155" s="30">
        <v>3935</v>
      </c>
      <c r="AM155" s="30">
        <v>3931</v>
      </c>
      <c r="AN155" s="30">
        <v>3865</v>
      </c>
      <c r="AO155" s="30">
        <v>3621</v>
      </c>
      <c r="AP155" s="30">
        <v>3749</v>
      </c>
      <c r="AQ155" s="30">
        <v>4180</v>
      </c>
      <c r="AR155" s="30">
        <v>4402</v>
      </c>
      <c r="AS155" s="30">
        <v>4603</v>
      </c>
      <c r="AT155" s="30">
        <v>4619</v>
      </c>
      <c r="AU155" s="30">
        <v>4401</v>
      </c>
      <c r="AV155" s="30">
        <v>4434</v>
      </c>
      <c r="AW155" s="30">
        <v>4429</v>
      </c>
      <c r="AX155" s="30">
        <v>4546</v>
      </c>
      <c r="AY155" s="30">
        <v>4621</v>
      </c>
      <c r="AZ155" s="30">
        <v>4511</v>
      </c>
      <c r="BA155" s="30">
        <v>4340</v>
      </c>
      <c r="BB155" s="30">
        <v>4090</v>
      </c>
      <c r="BC155" s="30">
        <v>4054</v>
      </c>
      <c r="BD155" s="30">
        <v>4111</v>
      </c>
      <c r="BE155" s="30">
        <v>4181</v>
      </c>
      <c r="BF155" s="30">
        <v>4140</v>
      </c>
      <c r="BG155" s="30">
        <v>3969</v>
      </c>
      <c r="BH155" s="30">
        <v>3993</v>
      </c>
      <c r="BI155" s="30">
        <v>4122</v>
      </c>
      <c r="BJ155" s="30">
        <v>4003</v>
      </c>
      <c r="BK155" s="30">
        <v>3914</v>
      </c>
      <c r="BL155" s="30">
        <v>3821</v>
      </c>
      <c r="BM155" s="1">
        <v>3902</v>
      </c>
      <c r="BN155" s="1">
        <v>3870</v>
      </c>
      <c r="BO155" s="1">
        <v>3613</v>
      </c>
      <c r="BP155" s="1">
        <v>3569</v>
      </c>
      <c r="BQ155" s="1">
        <v>3524</v>
      </c>
      <c r="BR155" s="1">
        <v>3521</v>
      </c>
      <c r="BS155" s="1">
        <v>3529</v>
      </c>
      <c r="BT155" s="1">
        <v>3373</v>
      </c>
      <c r="BU155" s="1">
        <v>3400</v>
      </c>
      <c r="BV155" s="1">
        <v>3337</v>
      </c>
      <c r="BW155" s="1">
        <v>3381</v>
      </c>
      <c r="BX155" s="1">
        <v>3374</v>
      </c>
      <c r="BY155" s="1">
        <v>3341</v>
      </c>
      <c r="BZ155" s="1">
        <v>3252</v>
      </c>
    </row>
    <row r="156" spans="1:78" ht="15.9" customHeight="1">
      <c r="A156" s="65" t="s">
        <v>306</v>
      </c>
      <c r="B156" s="41" t="s">
        <v>307</v>
      </c>
      <c r="C156" s="45">
        <f>_xll.RssMarket("4088","安値")</f>
        <v>2520</v>
      </c>
      <c r="D156" s="16">
        <f t="shared" si="5"/>
        <v>8</v>
      </c>
      <c r="E156" s="30">
        <v>2512</v>
      </c>
      <c r="F156" s="30">
        <v>2493</v>
      </c>
      <c r="G156" s="30">
        <v>2494</v>
      </c>
      <c r="H156" s="30">
        <v>2526</v>
      </c>
      <c r="I156" s="30">
        <v>2566</v>
      </c>
      <c r="J156" s="30">
        <v>2582</v>
      </c>
      <c r="K156" s="30">
        <v>2591</v>
      </c>
      <c r="L156" s="30">
        <v>2545</v>
      </c>
      <c r="M156" s="30">
        <v>2544</v>
      </c>
      <c r="N156" s="30">
        <v>2547</v>
      </c>
      <c r="O156" s="30">
        <v>2480</v>
      </c>
      <c r="P156" s="30">
        <v>2496</v>
      </c>
      <c r="Q156" s="30">
        <v>2542</v>
      </c>
      <c r="R156" s="30">
        <v>2512</v>
      </c>
      <c r="S156" s="30">
        <v>2501</v>
      </c>
      <c r="T156" s="30">
        <v>2543</v>
      </c>
      <c r="U156" s="30">
        <v>2600</v>
      </c>
      <c r="V156" s="30">
        <v>2654</v>
      </c>
      <c r="W156" s="30">
        <v>2715</v>
      </c>
      <c r="X156" s="30">
        <v>2751</v>
      </c>
      <c r="Y156" s="30">
        <v>2687</v>
      </c>
      <c r="Z156" s="30">
        <v>2737</v>
      </c>
      <c r="AA156" s="30">
        <v>2736</v>
      </c>
      <c r="AB156" s="30">
        <v>2759</v>
      </c>
      <c r="AC156" s="30">
        <v>2732</v>
      </c>
      <c r="AD156" s="30">
        <v>2745</v>
      </c>
      <c r="AE156" s="30">
        <v>2740</v>
      </c>
      <c r="AF156" s="30">
        <v>2622</v>
      </c>
      <c r="AG156" s="30">
        <v>2596</v>
      </c>
      <c r="AH156" s="30">
        <v>2451</v>
      </c>
      <c r="AI156" s="30">
        <v>2458</v>
      </c>
      <c r="AJ156" s="30">
        <v>2445</v>
      </c>
      <c r="AK156" s="30">
        <v>2478</v>
      </c>
      <c r="AL156" s="30">
        <v>2517</v>
      </c>
      <c r="AM156" s="30">
        <v>2441</v>
      </c>
      <c r="AN156" s="30">
        <v>2386</v>
      </c>
      <c r="AO156" s="30">
        <v>2393</v>
      </c>
      <c r="AP156" s="30">
        <v>2436</v>
      </c>
      <c r="AQ156" s="30">
        <v>2416</v>
      </c>
      <c r="AR156" s="30">
        <v>2420</v>
      </c>
      <c r="AS156" s="30">
        <v>2460</v>
      </c>
      <c r="AT156" s="30">
        <v>2447</v>
      </c>
      <c r="AU156" s="30">
        <v>2430</v>
      </c>
      <c r="AV156" s="30">
        <v>2562</v>
      </c>
      <c r="AW156" s="30">
        <v>2551</v>
      </c>
      <c r="AX156" s="30">
        <v>2554</v>
      </c>
      <c r="AY156" s="30">
        <v>2513</v>
      </c>
      <c r="AZ156" s="30">
        <v>2556</v>
      </c>
      <c r="BA156" s="30">
        <v>2481</v>
      </c>
      <c r="BB156" s="30">
        <v>2456</v>
      </c>
      <c r="BC156" s="30">
        <v>2402</v>
      </c>
      <c r="BD156" s="30">
        <v>2270</v>
      </c>
      <c r="BE156" s="30">
        <v>2166</v>
      </c>
      <c r="BF156" s="30">
        <v>2100</v>
      </c>
      <c r="BG156" s="30">
        <v>2044</v>
      </c>
      <c r="BH156" s="30">
        <v>1966</v>
      </c>
      <c r="BI156" s="30">
        <v>1903</v>
      </c>
      <c r="BJ156" s="30">
        <v>1894</v>
      </c>
      <c r="BK156" s="30">
        <v>1856.5</v>
      </c>
      <c r="BL156" s="30">
        <v>1718.5</v>
      </c>
      <c r="BM156" s="1">
        <v>2207.5</v>
      </c>
      <c r="BN156" s="1">
        <v>2231.5</v>
      </c>
      <c r="BO156" s="1">
        <v>2210.5</v>
      </c>
      <c r="BP156" s="1">
        <v>2211.5</v>
      </c>
      <c r="BQ156" s="1">
        <v>2176</v>
      </c>
      <c r="BR156" s="1">
        <v>2215.5</v>
      </c>
      <c r="BS156" s="1">
        <v>2254</v>
      </c>
      <c r="BT156" s="1">
        <v>2248.5</v>
      </c>
      <c r="BU156" s="1">
        <v>2253</v>
      </c>
      <c r="BV156" s="1">
        <v>2289</v>
      </c>
      <c r="BW156" s="1">
        <v>2276</v>
      </c>
      <c r="BX156" s="1">
        <v>2243</v>
      </c>
      <c r="BY156" s="1">
        <v>2219</v>
      </c>
      <c r="BZ156" s="1">
        <v>2220</v>
      </c>
    </row>
    <row r="157" spans="1:78" ht="15.9" customHeight="1">
      <c r="A157" s="65" t="s">
        <v>308</v>
      </c>
      <c r="B157" s="41" t="s">
        <v>309</v>
      </c>
      <c r="C157" s="45">
        <f>_xll.RssMarket("4091","安値")</f>
        <v>5800</v>
      </c>
      <c r="D157" s="16">
        <f t="shared" si="5"/>
        <v>181</v>
      </c>
      <c r="E157" s="30">
        <v>5619</v>
      </c>
      <c r="F157" s="30">
        <v>5521</v>
      </c>
      <c r="G157" s="30">
        <v>5731</v>
      </c>
      <c r="H157" s="30">
        <v>5739</v>
      </c>
      <c r="I157" s="30">
        <v>5616</v>
      </c>
      <c r="J157" s="30">
        <v>5825</v>
      </c>
      <c r="K157" s="30">
        <v>5906</v>
      </c>
      <c r="L157" s="30">
        <v>5772</v>
      </c>
      <c r="M157" s="30">
        <v>5906</v>
      </c>
      <c r="N157" s="30">
        <v>5960</v>
      </c>
      <c r="O157" s="30">
        <v>5988</v>
      </c>
      <c r="P157" s="30">
        <v>5946</v>
      </c>
      <c r="Q157" s="30">
        <v>6070</v>
      </c>
      <c r="R157" s="30">
        <v>5970</v>
      </c>
      <c r="S157" s="30">
        <v>5970</v>
      </c>
      <c r="T157" s="30">
        <v>6063</v>
      </c>
      <c r="U157" s="30">
        <v>6075</v>
      </c>
      <c r="V157" s="30">
        <v>6145</v>
      </c>
      <c r="W157" s="30">
        <v>6141</v>
      </c>
      <c r="X157" s="30">
        <v>6255</v>
      </c>
      <c r="Y157" s="30">
        <v>6126</v>
      </c>
      <c r="Z157" s="30">
        <v>6070</v>
      </c>
      <c r="AA157" s="30">
        <v>5878</v>
      </c>
      <c r="AB157" s="30">
        <v>5850</v>
      </c>
      <c r="AC157" s="30">
        <v>5863</v>
      </c>
      <c r="AD157" s="30">
        <v>5838</v>
      </c>
      <c r="AE157" s="30">
        <v>5616</v>
      </c>
      <c r="AF157" s="30">
        <v>5531</v>
      </c>
      <c r="AG157" s="30">
        <v>5495</v>
      </c>
      <c r="AH157" s="30">
        <v>5468</v>
      </c>
      <c r="AI157" s="30">
        <v>5501</v>
      </c>
      <c r="AJ157" s="30">
        <v>5533</v>
      </c>
      <c r="AK157" s="30">
        <v>5480</v>
      </c>
      <c r="AL157" s="30">
        <v>5522</v>
      </c>
      <c r="AM157" s="30">
        <v>5462</v>
      </c>
      <c r="AN157" s="30">
        <v>5293</v>
      </c>
      <c r="AO157" s="30">
        <v>5164</v>
      </c>
      <c r="AP157" s="30">
        <v>5248</v>
      </c>
      <c r="AQ157" s="30">
        <v>5334</v>
      </c>
      <c r="AR157" s="30">
        <v>5550</v>
      </c>
      <c r="AS157" s="30">
        <v>5581</v>
      </c>
      <c r="AT157" s="30">
        <v>5657</v>
      </c>
      <c r="AU157" s="30">
        <v>5693</v>
      </c>
      <c r="AV157" s="30">
        <v>6150</v>
      </c>
      <c r="AW157" s="30">
        <v>6203</v>
      </c>
      <c r="AX157" s="30">
        <v>6319</v>
      </c>
      <c r="AY157" s="30">
        <v>6227</v>
      </c>
      <c r="AZ157" s="30">
        <v>6100</v>
      </c>
      <c r="BA157" s="30">
        <v>5820</v>
      </c>
      <c r="BB157" s="30">
        <v>5799</v>
      </c>
      <c r="BC157" s="30">
        <v>5879</v>
      </c>
      <c r="BD157" s="30">
        <v>5927</v>
      </c>
      <c r="BE157" s="30">
        <v>6077</v>
      </c>
      <c r="BF157" s="30">
        <v>5966</v>
      </c>
      <c r="BG157" s="30">
        <v>5709</v>
      </c>
      <c r="BH157" s="30">
        <v>5650</v>
      </c>
      <c r="BI157" s="30">
        <v>5680</v>
      </c>
      <c r="BJ157" s="30">
        <v>5538</v>
      </c>
      <c r="BK157" s="30">
        <v>5468</v>
      </c>
      <c r="BL157" s="30">
        <v>5485</v>
      </c>
      <c r="BM157" s="1">
        <v>5492</v>
      </c>
      <c r="BN157" s="1">
        <v>5615</v>
      </c>
      <c r="BO157" s="1">
        <v>5569</v>
      </c>
      <c r="BP157" s="1">
        <v>5597</v>
      </c>
      <c r="BQ157" s="1">
        <v>5600</v>
      </c>
      <c r="BR157" s="1">
        <v>5637</v>
      </c>
      <c r="BS157" s="1">
        <v>5772</v>
      </c>
      <c r="BT157" s="1">
        <v>5731</v>
      </c>
      <c r="BU157" s="1">
        <v>5886</v>
      </c>
      <c r="BV157" s="1">
        <v>5845</v>
      </c>
      <c r="BW157" s="1">
        <v>5759</v>
      </c>
      <c r="BX157" s="1">
        <v>5898</v>
      </c>
      <c r="BY157" s="1">
        <v>5783</v>
      </c>
      <c r="BZ157" s="1">
        <v>5846</v>
      </c>
    </row>
    <row r="158" spans="1:78" ht="15.9" customHeight="1">
      <c r="A158" s="65" t="s">
        <v>310</v>
      </c>
      <c r="B158" s="41" t="s">
        <v>311</v>
      </c>
      <c r="C158" s="45">
        <f>_xll.RssMarket("6857","安値")</f>
        <v>32390</v>
      </c>
      <c r="D158" s="16">
        <f t="shared" si="5"/>
        <v>2310</v>
      </c>
      <c r="E158" s="30">
        <v>30080</v>
      </c>
      <c r="F158" s="30">
        <v>31100</v>
      </c>
      <c r="G158" s="30">
        <v>31570</v>
      </c>
      <c r="H158" s="30">
        <v>27380</v>
      </c>
      <c r="I158" s="30">
        <v>24135</v>
      </c>
      <c r="J158" s="30">
        <v>25250</v>
      </c>
      <c r="K158" s="30">
        <v>27800</v>
      </c>
      <c r="L158" s="30">
        <v>28445</v>
      </c>
      <c r="M158" s="30">
        <v>30320</v>
      </c>
      <c r="N158" s="30">
        <v>29535</v>
      </c>
      <c r="O158" s="30">
        <v>27530</v>
      </c>
      <c r="P158" s="30">
        <v>26000</v>
      </c>
      <c r="Q158" s="30">
        <v>29730</v>
      </c>
      <c r="R158" s="30">
        <v>28230</v>
      </c>
      <c r="S158" s="30">
        <v>28415</v>
      </c>
      <c r="T158" s="30">
        <v>29640</v>
      </c>
      <c r="U158" s="30">
        <v>28785</v>
      </c>
      <c r="V158" s="30">
        <v>27545</v>
      </c>
      <c r="W158" s="30">
        <v>28625</v>
      </c>
      <c r="X158" s="30">
        <v>28735</v>
      </c>
      <c r="Y158" s="30">
        <v>27665</v>
      </c>
      <c r="Z158" s="30">
        <v>28815</v>
      </c>
      <c r="AA158" s="30">
        <v>32000</v>
      </c>
      <c r="AB158" s="30">
        <v>31510</v>
      </c>
      <c r="AC158" s="30">
        <v>30450</v>
      </c>
      <c r="AD158" s="30">
        <v>31720</v>
      </c>
      <c r="AE158" s="30">
        <v>32820</v>
      </c>
      <c r="AF158" s="30">
        <v>30420</v>
      </c>
      <c r="AG158" s="30">
        <v>31430</v>
      </c>
      <c r="AH158" s="30">
        <v>31120</v>
      </c>
      <c r="AI158" s="30">
        <v>31070</v>
      </c>
      <c r="AJ158" s="30">
        <v>29720</v>
      </c>
      <c r="AK158" s="30">
        <v>29585</v>
      </c>
      <c r="AL158" s="30">
        <v>29510</v>
      </c>
      <c r="AM158" s="30">
        <v>28450</v>
      </c>
      <c r="AN158" s="30">
        <v>26940</v>
      </c>
      <c r="AO158" s="30">
        <v>24150</v>
      </c>
      <c r="AP158" s="30">
        <v>24910</v>
      </c>
      <c r="AQ158" s="30">
        <v>24860</v>
      </c>
      <c r="AR158" s="30">
        <v>26415</v>
      </c>
      <c r="AS158" s="30">
        <v>27160</v>
      </c>
      <c r="AT158" s="30">
        <v>26620</v>
      </c>
      <c r="AU158" s="30">
        <v>25275</v>
      </c>
      <c r="AV158" s="30">
        <v>25670</v>
      </c>
      <c r="AW158" s="30">
        <v>25915</v>
      </c>
      <c r="AX158" s="30">
        <v>27015</v>
      </c>
      <c r="AY158" s="30">
        <v>27150</v>
      </c>
      <c r="AZ158" s="30">
        <v>26460</v>
      </c>
      <c r="BA158" s="30">
        <v>25995</v>
      </c>
      <c r="BB158" s="30">
        <v>25020</v>
      </c>
      <c r="BC158" s="30">
        <v>24860</v>
      </c>
      <c r="BD158" s="30">
        <v>25475</v>
      </c>
      <c r="BE158" s="30">
        <v>26140</v>
      </c>
      <c r="BF158" s="30">
        <v>28360</v>
      </c>
      <c r="BG158" s="30">
        <v>27665</v>
      </c>
      <c r="BH158" s="30">
        <v>28335</v>
      </c>
      <c r="BI158" s="30">
        <v>28780</v>
      </c>
      <c r="BJ158" s="30">
        <v>29310</v>
      </c>
      <c r="BK158" s="30">
        <v>29715</v>
      </c>
      <c r="BL158" s="30">
        <v>27800</v>
      </c>
      <c r="BM158" s="1">
        <v>28190</v>
      </c>
      <c r="BN158" s="1">
        <v>29335</v>
      </c>
      <c r="BO158" s="1">
        <v>29390</v>
      </c>
      <c r="BP158" s="1">
        <v>27920</v>
      </c>
      <c r="BQ158" s="1">
        <v>27615</v>
      </c>
      <c r="BR158" s="1">
        <v>27050</v>
      </c>
      <c r="BS158" s="1">
        <v>27120</v>
      </c>
      <c r="BT158" s="1">
        <v>27100</v>
      </c>
      <c r="BU158" s="1">
        <v>27870</v>
      </c>
      <c r="BV158" s="1">
        <v>27710</v>
      </c>
      <c r="BW158" s="1">
        <v>27440</v>
      </c>
      <c r="BX158" s="1">
        <v>25860</v>
      </c>
      <c r="BY158" s="1">
        <v>24545</v>
      </c>
      <c r="BZ158" s="1">
        <v>24990</v>
      </c>
    </row>
    <row r="159" spans="1:78" ht="15.9" customHeight="1">
      <c r="A159" s="65" t="s">
        <v>312</v>
      </c>
      <c r="B159" s="41" t="s">
        <v>313</v>
      </c>
      <c r="C159" s="45">
        <f>_xll.RssMarket("3891","安値")</f>
        <v>7140</v>
      </c>
      <c r="D159" s="16">
        <f t="shared" si="5"/>
        <v>400</v>
      </c>
      <c r="E159" s="30">
        <v>6740</v>
      </c>
      <c r="F159" s="30">
        <v>6460</v>
      </c>
      <c r="G159" s="30">
        <v>6370</v>
      </c>
      <c r="H159" s="30">
        <v>5340</v>
      </c>
      <c r="I159" s="30">
        <v>5310</v>
      </c>
      <c r="J159" s="30">
        <v>6010</v>
      </c>
      <c r="K159" s="30">
        <v>6680</v>
      </c>
      <c r="L159" s="30">
        <v>6940</v>
      </c>
      <c r="M159" s="30">
        <v>7250</v>
      </c>
      <c r="N159" s="30">
        <v>7420</v>
      </c>
      <c r="O159" s="30">
        <v>6760</v>
      </c>
      <c r="P159" s="30">
        <v>6600</v>
      </c>
      <c r="Q159" s="30">
        <v>7570</v>
      </c>
      <c r="R159" s="30">
        <v>7190</v>
      </c>
      <c r="S159" s="30">
        <v>7450</v>
      </c>
      <c r="T159" s="30">
        <v>7990</v>
      </c>
      <c r="U159" s="30">
        <v>7550</v>
      </c>
      <c r="V159" s="30">
        <v>7690</v>
      </c>
      <c r="W159" s="30">
        <v>8070</v>
      </c>
      <c r="X159" s="30">
        <v>8520</v>
      </c>
      <c r="Y159" s="30">
        <v>8520</v>
      </c>
      <c r="Z159" s="30">
        <v>9320</v>
      </c>
      <c r="AA159" s="30">
        <v>10060</v>
      </c>
      <c r="AB159" s="30">
        <v>9670</v>
      </c>
      <c r="AC159" s="30">
        <v>9480</v>
      </c>
      <c r="AD159" s="30">
        <v>9820</v>
      </c>
      <c r="AE159" s="30">
        <v>9680</v>
      </c>
      <c r="AF159" s="30">
        <v>9400</v>
      </c>
      <c r="AG159" s="30">
        <v>9520</v>
      </c>
      <c r="AH159" s="30">
        <v>10080</v>
      </c>
      <c r="AI159" s="30">
        <v>10220</v>
      </c>
      <c r="AJ159" s="30">
        <v>9720</v>
      </c>
      <c r="AK159" s="30">
        <v>8780</v>
      </c>
      <c r="AL159" s="30">
        <v>8300</v>
      </c>
      <c r="AM159" s="30">
        <v>8580</v>
      </c>
      <c r="AN159" s="30">
        <v>8370</v>
      </c>
      <c r="AO159" s="30">
        <v>8090</v>
      </c>
      <c r="AP159" s="30">
        <v>8980</v>
      </c>
      <c r="AQ159" s="30">
        <v>8100</v>
      </c>
      <c r="AR159" s="30">
        <v>8140</v>
      </c>
      <c r="AS159" s="30">
        <v>8030</v>
      </c>
      <c r="AT159" s="30">
        <v>8020</v>
      </c>
      <c r="AU159" s="30">
        <v>7690</v>
      </c>
      <c r="AV159" s="30">
        <v>7170</v>
      </c>
      <c r="AW159" s="30">
        <v>6660</v>
      </c>
      <c r="AX159" s="30">
        <v>6870</v>
      </c>
      <c r="AY159" s="30">
        <v>7420</v>
      </c>
      <c r="AZ159" s="30">
        <v>6980</v>
      </c>
      <c r="BA159" s="30">
        <v>6680</v>
      </c>
      <c r="BB159" s="30">
        <v>6070</v>
      </c>
      <c r="BC159" s="30">
        <v>6410</v>
      </c>
      <c r="BD159" s="30">
        <v>6110</v>
      </c>
      <c r="BE159" s="30">
        <v>5960</v>
      </c>
      <c r="BF159" s="30">
        <v>6190</v>
      </c>
      <c r="BG159" s="30">
        <v>6300</v>
      </c>
      <c r="BH159" s="30">
        <v>6260</v>
      </c>
      <c r="BI159" s="30">
        <v>6420</v>
      </c>
      <c r="BJ159" s="30">
        <v>6270</v>
      </c>
      <c r="BK159" s="30">
        <v>6180</v>
      </c>
      <c r="BL159" s="30">
        <v>6050</v>
      </c>
      <c r="BM159" s="1">
        <v>6210</v>
      </c>
      <c r="BN159" s="1">
        <v>6080</v>
      </c>
      <c r="BO159" s="1">
        <v>5860</v>
      </c>
      <c r="BP159" s="1">
        <v>4350</v>
      </c>
      <c r="BQ159" s="1">
        <v>4290</v>
      </c>
      <c r="BR159" s="1">
        <v>4425</v>
      </c>
      <c r="BS159" s="1">
        <v>4405</v>
      </c>
      <c r="BT159" s="1">
        <v>4280</v>
      </c>
      <c r="BU159" s="1">
        <v>4275</v>
      </c>
      <c r="BV159" s="1">
        <v>4450</v>
      </c>
      <c r="BW159" s="1">
        <v>4415</v>
      </c>
      <c r="BX159" s="1">
        <v>4230</v>
      </c>
      <c r="BY159" s="1">
        <v>4045</v>
      </c>
      <c r="BZ159" s="1">
        <v>4025</v>
      </c>
    </row>
    <row r="160" spans="1:78" ht="15.9" customHeight="1">
      <c r="A160" s="65" t="s">
        <v>314</v>
      </c>
      <c r="B160" s="41" t="s">
        <v>315</v>
      </c>
      <c r="C160" s="45">
        <f>_xll.RssMarket("4373","安値")</f>
        <v>1060</v>
      </c>
      <c r="D160" s="16">
        <f t="shared" si="5"/>
        <v>-7</v>
      </c>
      <c r="E160" s="30">
        <v>1067</v>
      </c>
      <c r="F160" s="30">
        <v>1080</v>
      </c>
      <c r="G160" s="30">
        <v>1123</v>
      </c>
      <c r="H160" s="30">
        <v>1148</v>
      </c>
      <c r="I160" s="30">
        <v>1114</v>
      </c>
      <c r="J160" s="30">
        <v>1128</v>
      </c>
      <c r="K160" s="30">
        <v>1080</v>
      </c>
      <c r="L160" s="30">
        <v>1030</v>
      </c>
      <c r="M160" s="30">
        <v>1002</v>
      </c>
      <c r="N160" s="30">
        <v>1042</v>
      </c>
      <c r="O160" s="30">
        <v>1067</v>
      </c>
      <c r="P160" s="30">
        <v>1045</v>
      </c>
      <c r="Q160" s="30">
        <v>1005</v>
      </c>
      <c r="R160" s="30">
        <v>1041</v>
      </c>
      <c r="S160" s="30">
        <v>1030</v>
      </c>
      <c r="T160" s="30">
        <v>1046</v>
      </c>
      <c r="U160" s="30">
        <v>1036</v>
      </c>
      <c r="V160" s="30">
        <v>1035</v>
      </c>
      <c r="W160" s="30">
        <v>1036</v>
      </c>
      <c r="X160" s="30">
        <v>1012</v>
      </c>
      <c r="Y160" s="30">
        <v>998</v>
      </c>
      <c r="Z160" s="30">
        <v>968</v>
      </c>
      <c r="AA160" s="30">
        <v>930</v>
      </c>
      <c r="AB160" s="30">
        <v>937</v>
      </c>
      <c r="AC160" s="30">
        <v>926</v>
      </c>
      <c r="AD160" s="30">
        <v>896</v>
      </c>
      <c r="AE160" s="30">
        <v>914</v>
      </c>
      <c r="AF160" s="30">
        <v>895</v>
      </c>
      <c r="AG160" s="30">
        <v>908</v>
      </c>
      <c r="AH160" s="30">
        <v>928</v>
      </c>
      <c r="AI160" s="30">
        <v>909</v>
      </c>
      <c r="AJ160" s="30">
        <v>934</v>
      </c>
      <c r="AK160" s="30">
        <v>950</v>
      </c>
      <c r="AL160" s="30">
        <v>934</v>
      </c>
      <c r="AM160" s="30">
        <v>960</v>
      </c>
      <c r="AN160" s="30">
        <v>975</v>
      </c>
      <c r="AO160" s="30">
        <v>1013</v>
      </c>
      <c r="AP160" s="30">
        <v>1029</v>
      </c>
      <c r="AQ160" s="30">
        <v>1063</v>
      </c>
      <c r="AR160" s="30">
        <v>1075</v>
      </c>
      <c r="AS160" s="30">
        <v>1075</v>
      </c>
      <c r="AT160" s="30">
        <v>1077</v>
      </c>
      <c r="AU160" s="30">
        <v>1108</v>
      </c>
      <c r="AV160" s="30">
        <v>1039</v>
      </c>
      <c r="AW160" s="30">
        <v>1020</v>
      </c>
      <c r="AX160" s="30">
        <v>996</v>
      </c>
      <c r="AY160" s="30">
        <v>1007</v>
      </c>
      <c r="AZ160" s="30">
        <v>1013</v>
      </c>
      <c r="BA160" s="30">
        <v>1000</v>
      </c>
      <c r="BB160" s="30">
        <v>985</v>
      </c>
      <c r="BC160" s="30">
        <v>1008</v>
      </c>
      <c r="BD160" s="30">
        <v>941</v>
      </c>
      <c r="BE160" s="30">
        <v>932</v>
      </c>
      <c r="BF160" s="30">
        <v>931</v>
      </c>
      <c r="BG160" s="30">
        <v>947</v>
      </c>
      <c r="BH160" s="30">
        <v>942</v>
      </c>
      <c r="BI160" s="30">
        <v>925</v>
      </c>
      <c r="BJ160" s="30">
        <v>915</v>
      </c>
      <c r="BK160" s="30">
        <v>889</v>
      </c>
      <c r="BL160" s="30">
        <v>867</v>
      </c>
      <c r="BM160" s="1">
        <v>868</v>
      </c>
      <c r="BN160" s="1">
        <v>870</v>
      </c>
      <c r="BO160" s="1">
        <v>876</v>
      </c>
      <c r="BP160" s="1">
        <v>905</v>
      </c>
      <c r="BQ160" s="1">
        <v>923</v>
      </c>
      <c r="BR160" s="1">
        <v>944</v>
      </c>
      <c r="BS160" s="1">
        <v>927</v>
      </c>
      <c r="BT160" s="1">
        <v>939</v>
      </c>
      <c r="BU160" s="1">
        <v>899</v>
      </c>
      <c r="BV160" s="1">
        <v>899</v>
      </c>
      <c r="BW160" s="1">
        <v>862</v>
      </c>
      <c r="BX160" s="1">
        <v>836</v>
      </c>
      <c r="BY160" s="1">
        <v>802</v>
      </c>
      <c r="BZ160" s="1">
        <v>809</v>
      </c>
    </row>
    <row r="161" spans="1:78" ht="15.9" customHeight="1">
      <c r="A161" s="65" t="s">
        <v>316</v>
      </c>
      <c r="B161" s="41" t="s">
        <v>317</v>
      </c>
      <c r="C161" s="45">
        <f>_xll.RssMarket("8892","安値")</f>
        <v>1066</v>
      </c>
      <c r="D161" s="16">
        <f t="shared" si="5"/>
        <v>4</v>
      </c>
      <c r="E161" s="30">
        <v>1062</v>
      </c>
      <c r="F161" s="30">
        <v>1047</v>
      </c>
      <c r="G161" s="30">
        <v>1072</v>
      </c>
      <c r="H161" s="30">
        <v>1084</v>
      </c>
      <c r="I161" s="30">
        <v>1060</v>
      </c>
      <c r="J161" s="30">
        <v>1112</v>
      </c>
      <c r="K161" s="30">
        <v>1100</v>
      </c>
      <c r="L161" s="30"/>
      <c r="M161" s="30">
        <v>1096</v>
      </c>
      <c r="N161" s="30">
        <v>1108</v>
      </c>
      <c r="O161" s="30">
        <v>1106</v>
      </c>
      <c r="P161" s="30">
        <v>1098</v>
      </c>
      <c r="Q161" s="30">
        <v>1115</v>
      </c>
      <c r="R161" s="30">
        <v>1117</v>
      </c>
      <c r="S161" s="30">
        <v>1111</v>
      </c>
      <c r="T161" s="30">
        <v>1113</v>
      </c>
      <c r="U161" s="30">
        <v>1100</v>
      </c>
      <c r="V161" s="30">
        <v>1098</v>
      </c>
      <c r="W161" s="30">
        <v>1095</v>
      </c>
      <c r="X161" s="30">
        <v>1096</v>
      </c>
      <c r="Y161" s="30">
        <v>1090</v>
      </c>
      <c r="Z161" s="30">
        <v>1077</v>
      </c>
      <c r="AA161" s="30">
        <v>1072</v>
      </c>
      <c r="AB161" s="30">
        <v>1077</v>
      </c>
      <c r="AC161" s="30">
        <v>1064</v>
      </c>
      <c r="AD161" s="30">
        <v>1056</v>
      </c>
      <c r="AE161" s="30">
        <v>1055</v>
      </c>
      <c r="AF161" s="30">
        <v>1050</v>
      </c>
      <c r="AG161" s="30">
        <v>1055</v>
      </c>
      <c r="AH161" s="30">
        <v>1056</v>
      </c>
      <c r="AI161" s="30">
        <v>1062</v>
      </c>
      <c r="AJ161" s="30">
        <v>1070</v>
      </c>
      <c r="AK161" s="30">
        <v>1077</v>
      </c>
      <c r="AL161" s="30">
        <v>1093</v>
      </c>
      <c r="AM161" s="30">
        <v>1107</v>
      </c>
      <c r="AN161" s="30">
        <v>1090</v>
      </c>
      <c r="AO161" s="30">
        <v>1087</v>
      </c>
      <c r="AP161" s="30">
        <v>1092</v>
      </c>
      <c r="AQ161" s="30">
        <v>1077</v>
      </c>
      <c r="AR161" s="30">
        <v>1069</v>
      </c>
      <c r="AS161" s="30">
        <v>1060</v>
      </c>
      <c r="AT161" s="30">
        <v>1066</v>
      </c>
      <c r="AU161" s="30">
        <v>1058</v>
      </c>
      <c r="AV161" s="30">
        <v>1087</v>
      </c>
      <c r="AW161" s="30">
        <v>1096</v>
      </c>
      <c r="AX161" s="30">
        <v>1094</v>
      </c>
      <c r="AY161" s="30">
        <v>1100</v>
      </c>
      <c r="AZ161" s="30">
        <v>1107</v>
      </c>
      <c r="BA161" s="30">
        <v>1129</v>
      </c>
      <c r="BB161" s="30">
        <v>1104</v>
      </c>
      <c r="BC161" s="30">
        <v>1130</v>
      </c>
      <c r="BD161" s="30">
        <v>1107</v>
      </c>
      <c r="BE161" s="30">
        <v>1124</v>
      </c>
      <c r="BF161" s="30">
        <v>1146</v>
      </c>
      <c r="BG161" s="30">
        <v>1155</v>
      </c>
      <c r="BH161" s="30">
        <v>1166</v>
      </c>
      <c r="BI161" s="30">
        <v>1160</v>
      </c>
      <c r="BJ161" s="30">
        <v>1152</v>
      </c>
      <c r="BK161" s="30">
        <v>1150</v>
      </c>
      <c r="BL161" s="30">
        <v>1156</v>
      </c>
      <c r="BM161" s="1">
        <v>1163</v>
      </c>
      <c r="BN161" s="1">
        <v>1179</v>
      </c>
      <c r="BO161" s="1">
        <v>1140</v>
      </c>
      <c r="BP161" s="1">
        <v>1126</v>
      </c>
      <c r="BQ161" s="1">
        <v>1121</v>
      </c>
      <c r="BR161" s="1">
        <v>1123</v>
      </c>
      <c r="BS161" s="1">
        <v>1136</v>
      </c>
      <c r="BT161" s="1">
        <v>1135</v>
      </c>
      <c r="BU161" s="1">
        <v>1128</v>
      </c>
      <c r="BV161" s="1">
        <v>1135</v>
      </c>
      <c r="BW161" s="1">
        <v>1138</v>
      </c>
      <c r="BX161" s="1">
        <v>1121</v>
      </c>
      <c r="BY161" s="1">
        <v>1121</v>
      </c>
      <c r="BZ161" s="1">
        <v>1120</v>
      </c>
    </row>
    <row r="162" spans="1:78" ht="15.9" customHeight="1">
      <c r="A162" s="65" t="s">
        <v>318</v>
      </c>
      <c r="B162" s="41" t="s">
        <v>319</v>
      </c>
      <c r="C162" s="45">
        <f>_xll.RssMarket("9687","安値")</f>
        <v>4375</v>
      </c>
      <c r="D162" s="16">
        <f t="shared" si="5"/>
        <v>0</v>
      </c>
      <c r="E162" s="30">
        <v>4375</v>
      </c>
      <c r="F162" s="30">
        <v>4420</v>
      </c>
      <c r="G162" s="30">
        <v>4450</v>
      </c>
      <c r="H162" s="30">
        <v>4445</v>
      </c>
      <c r="I162" s="30">
        <v>4445</v>
      </c>
      <c r="J162" s="30">
        <v>4560</v>
      </c>
      <c r="K162" s="30">
        <v>4615</v>
      </c>
      <c r="L162" s="30"/>
      <c r="M162" s="30">
        <v>4435</v>
      </c>
      <c r="N162" s="30">
        <v>4420</v>
      </c>
      <c r="O162" s="30">
        <v>4390</v>
      </c>
      <c r="P162" s="30">
        <v>4355</v>
      </c>
      <c r="Q162" s="30">
        <v>4395</v>
      </c>
      <c r="R162" s="30">
        <v>4380</v>
      </c>
      <c r="S162" s="30">
        <v>4375</v>
      </c>
      <c r="T162" s="30">
        <v>4375</v>
      </c>
      <c r="U162" s="30">
        <v>4335</v>
      </c>
      <c r="V162" s="30">
        <v>4350</v>
      </c>
      <c r="W162" s="30">
        <v>4315</v>
      </c>
      <c r="X162" s="30">
        <v>4350</v>
      </c>
      <c r="Y162" s="30">
        <v>4355</v>
      </c>
      <c r="Z162" s="30">
        <v>4350</v>
      </c>
      <c r="AA162" s="30">
        <v>4310</v>
      </c>
      <c r="AB162" s="30">
        <v>4300</v>
      </c>
      <c r="AC162" s="30">
        <v>4310</v>
      </c>
      <c r="AD162" s="30">
        <v>4310</v>
      </c>
      <c r="AE162" s="30">
        <v>4370</v>
      </c>
      <c r="AF162" s="30">
        <v>4355</v>
      </c>
      <c r="AG162" s="30">
        <v>4335</v>
      </c>
      <c r="AH162" s="30">
        <v>4330</v>
      </c>
      <c r="AI162" s="30">
        <v>4245</v>
      </c>
      <c r="AJ162" s="30">
        <v>4315</v>
      </c>
      <c r="AK162" s="30">
        <v>4325</v>
      </c>
      <c r="AL162" s="30">
        <v>4295</v>
      </c>
      <c r="AM162" s="30">
        <v>4295</v>
      </c>
      <c r="AN162" s="30">
        <v>4290</v>
      </c>
      <c r="AO162" s="30">
        <v>4260</v>
      </c>
      <c r="AP162" s="30">
        <v>4300</v>
      </c>
      <c r="AQ162" s="30">
        <v>4300</v>
      </c>
      <c r="AR162" s="30">
        <v>4335</v>
      </c>
      <c r="AS162" s="30">
        <v>4335</v>
      </c>
      <c r="AT162" s="30">
        <v>4325</v>
      </c>
      <c r="AU162" s="30">
        <v>4325</v>
      </c>
      <c r="AV162" s="30">
        <v>4325</v>
      </c>
      <c r="AW162" s="30">
        <v>4325</v>
      </c>
      <c r="AX162" s="30">
        <v>4330</v>
      </c>
      <c r="AY162" s="30">
        <v>4350</v>
      </c>
      <c r="AZ162" s="30">
        <v>4355</v>
      </c>
      <c r="BA162" s="30">
        <v>4350</v>
      </c>
      <c r="BB162" s="30">
        <v>4350</v>
      </c>
      <c r="BC162" s="30">
        <v>4330</v>
      </c>
      <c r="BD162" s="30">
        <v>4305</v>
      </c>
      <c r="BE162" s="30">
        <v>4290</v>
      </c>
      <c r="BF162" s="30">
        <v>4330</v>
      </c>
      <c r="BG162" s="30">
        <v>4335</v>
      </c>
      <c r="BH162" s="30">
        <v>4350</v>
      </c>
      <c r="BI162" s="30">
        <v>4350</v>
      </c>
      <c r="BJ162" s="30">
        <v>4390</v>
      </c>
      <c r="BK162" s="30">
        <v>4360</v>
      </c>
      <c r="BL162" s="30">
        <v>4210</v>
      </c>
      <c r="BM162" s="1">
        <v>4350</v>
      </c>
      <c r="BN162" s="1">
        <v>4350</v>
      </c>
      <c r="BO162" s="1">
        <v>4335</v>
      </c>
      <c r="BP162" s="1">
        <v>4315</v>
      </c>
      <c r="BQ162" s="1">
        <v>4350</v>
      </c>
      <c r="BR162" s="1">
        <v>4350</v>
      </c>
      <c r="BS162" s="1">
        <v>4350</v>
      </c>
      <c r="BT162" s="1">
        <v>4350</v>
      </c>
      <c r="BU162" s="1">
        <v>4360</v>
      </c>
      <c r="BV162" s="1">
        <v>4315</v>
      </c>
      <c r="BW162" s="1">
        <v>4250</v>
      </c>
      <c r="BX162" s="1">
        <v>4320</v>
      </c>
      <c r="BY162" s="1">
        <v>4350</v>
      </c>
      <c r="BZ162" s="1">
        <v>4375</v>
      </c>
    </row>
    <row r="163" spans="1:78" ht="15.9" customHeight="1">
      <c r="A163" s="65" t="s">
        <v>320</v>
      </c>
      <c r="B163" s="41" t="s">
        <v>321</v>
      </c>
      <c r="C163" s="45">
        <f>_xll.RssMarket("1930","安値")</f>
        <v>1484</v>
      </c>
      <c r="D163" s="16">
        <f t="shared" si="5"/>
        <v>23</v>
      </c>
      <c r="E163" s="30">
        <v>1461</v>
      </c>
      <c r="F163" s="30">
        <v>1435</v>
      </c>
      <c r="G163" s="30">
        <v>1459</v>
      </c>
      <c r="H163" s="30">
        <v>1431</v>
      </c>
      <c r="I163" s="30">
        <v>1459</v>
      </c>
      <c r="J163" s="30">
        <v>1467</v>
      </c>
      <c r="K163" s="30">
        <v>1596</v>
      </c>
      <c r="L163" s="30">
        <v>1581</v>
      </c>
      <c r="M163" s="30">
        <v>1584</v>
      </c>
      <c r="N163" s="30">
        <v>1580</v>
      </c>
      <c r="O163" s="30">
        <v>1558</v>
      </c>
      <c r="P163" s="30">
        <v>1529</v>
      </c>
      <c r="Q163" s="30">
        <v>1588</v>
      </c>
      <c r="R163" s="30">
        <v>1569</v>
      </c>
      <c r="S163" s="30">
        <v>1580</v>
      </c>
      <c r="T163" s="30">
        <v>1627</v>
      </c>
      <c r="U163" s="30">
        <v>1606</v>
      </c>
      <c r="V163" s="30">
        <v>1613</v>
      </c>
      <c r="W163" s="30">
        <v>1637</v>
      </c>
      <c r="X163" s="30">
        <v>1659</v>
      </c>
      <c r="Y163" s="30">
        <v>1643</v>
      </c>
      <c r="Z163" s="30">
        <v>1654</v>
      </c>
      <c r="AA163" s="30">
        <v>1663</v>
      </c>
      <c r="AB163" s="30">
        <v>1646</v>
      </c>
      <c r="AC163" s="30">
        <v>1675</v>
      </c>
      <c r="AD163" s="30">
        <v>1695</v>
      </c>
      <c r="AE163" s="30">
        <v>1680</v>
      </c>
      <c r="AF163" s="30">
        <v>1659</v>
      </c>
      <c r="AG163" s="30">
        <v>1693</v>
      </c>
      <c r="AH163" s="30">
        <v>1689</v>
      </c>
      <c r="AI163" s="30">
        <v>1696</v>
      </c>
      <c r="AJ163" s="30">
        <v>1700</v>
      </c>
      <c r="AK163" s="30">
        <v>1664</v>
      </c>
      <c r="AL163" s="30">
        <v>1651</v>
      </c>
      <c r="AM163" s="30">
        <v>1655</v>
      </c>
      <c r="AN163" s="30">
        <v>1585</v>
      </c>
      <c r="AO163" s="30">
        <v>1548</v>
      </c>
      <c r="AP163" s="30">
        <v>1577</v>
      </c>
      <c r="AQ163" s="30">
        <v>1561</v>
      </c>
      <c r="AR163" s="30">
        <v>1567</v>
      </c>
      <c r="AS163" s="30">
        <v>1551</v>
      </c>
      <c r="AT163" s="30">
        <v>1560</v>
      </c>
      <c r="AU163" s="30">
        <v>1538</v>
      </c>
      <c r="AV163" s="30">
        <v>1677</v>
      </c>
      <c r="AW163" s="30">
        <v>1654</v>
      </c>
      <c r="AX163" s="30">
        <v>1681</v>
      </c>
      <c r="AY163" s="30">
        <v>1644</v>
      </c>
      <c r="AZ163" s="30">
        <v>1582</v>
      </c>
      <c r="BA163" s="30">
        <v>1590</v>
      </c>
      <c r="BB163" s="30">
        <v>1565</v>
      </c>
      <c r="BC163" s="30">
        <v>1600</v>
      </c>
      <c r="BD163" s="30">
        <v>1585</v>
      </c>
      <c r="BE163" s="30">
        <v>1647</v>
      </c>
      <c r="BF163" s="30">
        <v>1683</v>
      </c>
      <c r="BG163" s="30">
        <v>1739</v>
      </c>
      <c r="BH163" s="30">
        <v>1721</v>
      </c>
      <c r="BI163" s="30">
        <v>1692</v>
      </c>
      <c r="BJ163" s="30">
        <v>1635</v>
      </c>
      <c r="BK163" s="30">
        <v>1665</v>
      </c>
      <c r="BL163" s="30">
        <v>1688</v>
      </c>
      <c r="BM163" s="1">
        <v>1616</v>
      </c>
      <c r="BN163" s="1">
        <v>1454</v>
      </c>
      <c r="BO163" s="1">
        <v>1438</v>
      </c>
      <c r="BP163" s="1">
        <v>1434</v>
      </c>
      <c r="BQ163" s="1">
        <v>1423</v>
      </c>
      <c r="BR163" s="1">
        <v>1437</v>
      </c>
      <c r="BS163" s="1">
        <v>1468</v>
      </c>
      <c r="BT163" s="1">
        <v>1452</v>
      </c>
      <c r="BU163" s="1">
        <v>1452</v>
      </c>
      <c r="BV163" s="1">
        <v>1451</v>
      </c>
      <c r="BW163" s="1">
        <v>1438</v>
      </c>
      <c r="BX163" s="1">
        <v>1439</v>
      </c>
      <c r="BY163" s="1">
        <v>1434</v>
      </c>
      <c r="BZ163" s="1">
        <v>1468</v>
      </c>
    </row>
    <row r="164" spans="1:78" ht="15.9" customHeight="1">
      <c r="A164" s="65" t="s">
        <v>322</v>
      </c>
      <c r="B164" s="41" t="s">
        <v>323</v>
      </c>
      <c r="C164" s="45">
        <f>_xll.RssMarket("8704","安値")</f>
        <v>1304</v>
      </c>
      <c r="D164" s="16">
        <f t="shared" si="5"/>
        <v>12</v>
      </c>
      <c r="E164" s="30">
        <v>1292</v>
      </c>
      <c r="F164" s="30">
        <v>1255</v>
      </c>
      <c r="G164" s="30">
        <v>1225</v>
      </c>
      <c r="H164" s="30">
        <v>1172</v>
      </c>
      <c r="I164" s="30">
        <v>1196</v>
      </c>
      <c r="J164" s="30">
        <v>1228</v>
      </c>
      <c r="K164" s="30">
        <v>1248</v>
      </c>
      <c r="L164" s="30">
        <v>1259</v>
      </c>
      <c r="M164" s="30">
        <v>1241</v>
      </c>
      <c r="N164" s="30">
        <v>1241</v>
      </c>
      <c r="O164" s="30">
        <v>1245</v>
      </c>
      <c r="P164" s="30">
        <v>1225</v>
      </c>
      <c r="Q164" s="30">
        <v>1274</v>
      </c>
      <c r="R164" s="30">
        <v>1227</v>
      </c>
      <c r="S164" s="30">
        <v>1231</v>
      </c>
      <c r="T164" s="30">
        <v>1225</v>
      </c>
      <c r="U164" s="30">
        <v>1206</v>
      </c>
      <c r="V164" s="30">
        <v>1213</v>
      </c>
      <c r="W164" s="30">
        <v>1241</v>
      </c>
      <c r="X164" s="30">
        <v>1217</v>
      </c>
      <c r="Y164" s="30">
        <v>1215</v>
      </c>
      <c r="Z164" s="30">
        <v>1210</v>
      </c>
      <c r="AA164" s="30">
        <v>1182</v>
      </c>
      <c r="AB164" s="30">
        <v>1127</v>
      </c>
      <c r="AC164" s="30">
        <v>1116</v>
      </c>
      <c r="AD164" s="30">
        <v>1139</v>
      </c>
      <c r="AE164" s="30">
        <v>1155</v>
      </c>
      <c r="AF164" s="30">
        <v>1149</v>
      </c>
      <c r="AG164" s="30">
        <v>1198</v>
      </c>
      <c r="AH164" s="30">
        <v>1155</v>
      </c>
      <c r="AI164" s="30">
        <v>1153</v>
      </c>
      <c r="AJ164" s="30">
        <v>1168</v>
      </c>
      <c r="AK164" s="30">
        <v>1145</v>
      </c>
      <c r="AL164" s="30">
        <v>1137</v>
      </c>
      <c r="AM164" s="30">
        <v>1158</v>
      </c>
      <c r="AN164" s="30">
        <v>1113</v>
      </c>
      <c r="AO164" s="30">
        <v>1050</v>
      </c>
      <c r="AP164" s="30">
        <v>1091</v>
      </c>
      <c r="AQ164" s="30">
        <v>1103</v>
      </c>
      <c r="AR164" s="30">
        <v>1111</v>
      </c>
      <c r="AS164" s="30">
        <v>1105</v>
      </c>
      <c r="AT164" s="30">
        <v>1174</v>
      </c>
      <c r="AU164" s="30">
        <v>1158</v>
      </c>
      <c r="AV164" s="30">
        <v>1148</v>
      </c>
      <c r="AW164" s="30">
        <v>1121</v>
      </c>
      <c r="AX164" s="30">
        <v>1136</v>
      </c>
      <c r="AY164" s="30">
        <v>1129</v>
      </c>
      <c r="AZ164" s="30">
        <v>1117</v>
      </c>
      <c r="BA164" s="30">
        <v>1120</v>
      </c>
      <c r="BB164" s="30">
        <v>1087</v>
      </c>
      <c r="BC164" s="30">
        <v>1131</v>
      </c>
      <c r="BD164" s="30">
        <v>1135</v>
      </c>
      <c r="BE164" s="30">
        <v>1151</v>
      </c>
      <c r="BF164" s="30">
        <v>1169</v>
      </c>
      <c r="BG164" s="30">
        <v>1174</v>
      </c>
      <c r="BH164" s="30">
        <v>1208</v>
      </c>
      <c r="BI164" s="30">
        <v>1197</v>
      </c>
      <c r="BJ164" s="30">
        <v>1155</v>
      </c>
      <c r="BK164" s="30">
        <v>1130</v>
      </c>
      <c r="BL164" s="30">
        <v>1096</v>
      </c>
      <c r="BM164" s="1">
        <v>1038</v>
      </c>
      <c r="BN164" s="1">
        <v>1025</v>
      </c>
      <c r="BO164" s="1">
        <v>1013</v>
      </c>
      <c r="BP164" s="1">
        <v>1015</v>
      </c>
      <c r="BQ164" s="1">
        <v>1024</v>
      </c>
      <c r="BR164" s="1">
        <v>1037</v>
      </c>
      <c r="BS164" s="1">
        <v>1055</v>
      </c>
      <c r="BT164" s="1">
        <v>1038</v>
      </c>
      <c r="BU164" s="1">
        <v>1042</v>
      </c>
      <c r="BV164" s="1">
        <v>1045</v>
      </c>
      <c r="BW164" s="1">
        <v>1034</v>
      </c>
      <c r="BX164" s="1">
        <v>1028</v>
      </c>
      <c r="BY164" s="1">
        <v>1027</v>
      </c>
      <c r="BZ164" s="1">
        <v>1042</v>
      </c>
    </row>
    <row r="165" spans="1:78" ht="15.9" customHeight="1">
      <c r="A165" s="65" t="s">
        <v>324</v>
      </c>
      <c r="B165" s="41" t="s">
        <v>325</v>
      </c>
      <c r="C165" s="45">
        <f>_xll.RssMarket("4733","安値")</f>
        <v>7756</v>
      </c>
      <c r="D165" s="16">
        <f t="shared" si="5"/>
        <v>138</v>
      </c>
      <c r="E165" s="30">
        <v>7618</v>
      </c>
      <c r="F165" s="30">
        <v>7764</v>
      </c>
      <c r="G165" s="30">
        <v>7889</v>
      </c>
      <c r="H165" s="30">
        <v>8241</v>
      </c>
      <c r="I165" s="30">
        <v>7952</v>
      </c>
      <c r="J165" s="30">
        <v>7887</v>
      </c>
      <c r="K165" s="30">
        <v>7718</v>
      </c>
      <c r="L165" s="30">
        <v>7257</v>
      </c>
      <c r="M165" s="30">
        <v>6626</v>
      </c>
      <c r="N165" s="30">
        <v>6455</v>
      </c>
      <c r="O165" s="30">
        <v>6584</v>
      </c>
      <c r="P165" s="30">
        <v>6563</v>
      </c>
      <c r="Q165" s="30">
        <v>6411</v>
      </c>
      <c r="R165" s="30">
        <v>6598</v>
      </c>
      <c r="S165" s="30">
        <v>6516</v>
      </c>
      <c r="T165" s="30">
        <v>6485</v>
      </c>
      <c r="U165" s="30">
        <v>6418</v>
      </c>
      <c r="V165" s="30">
        <v>6505</v>
      </c>
      <c r="W165" s="30">
        <v>6506</v>
      </c>
      <c r="X165" s="30">
        <v>6429</v>
      </c>
      <c r="Y165" s="30">
        <v>6425</v>
      </c>
      <c r="Z165" s="30">
        <v>6230</v>
      </c>
      <c r="AA165" s="30">
        <v>5975</v>
      </c>
      <c r="AB165" s="30">
        <v>6074</v>
      </c>
      <c r="AC165" s="30">
        <v>5999</v>
      </c>
      <c r="AD165" s="30">
        <v>5706</v>
      </c>
      <c r="AE165" s="30">
        <v>5697</v>
      </c>
      <c r="AF165" s="30">
        <v>5666</v>
      </c>
      <c r="AG165" s="30">
        <v>5564</v>
      </c>
      <c r="AH165" s="30">
        <v>5650</v>
      </c>
      <c r="AI165" s="30">
        <v>5643</v>
      </c>
      <c r="AJ165" s="30">
        <v>5842</v>
      </c>
      <c r="AK165" s="30">
        <v>5824</v>
      </c>
      <c r="AL165" s="30">
        <v>5796</v>
      </c>
      <c r="AM165" s="30">
        <v>5870</v>
      </c>
      <c r="AN165" s="30">
        <v>5785</v>
      </c>
      <c r="AO165" s="30">
        <v>5880</v>
      </c>
      <c r="AP165" s="30">
        <v>5874</v>
      </c>
      <c r="AQ165" s="30">
        <v>5977</v>
      </c>
      <c r="AR165" s="30">
        <v>6006</v>
      </c>
      <c r="AS165" s="30">
        <v>5961</v>
      </c>
      <c r="AT165" s="30">
        <v>6130</v>
      </c>
      <c r="AU165" s="30">
        <v>6369</v>
      </c>
      <c r="AV165" s="30">
        <v>6071</v>
      </c>
      <c r="AW165" s="30">
        <v>6040</v>
      </c>
      <c r="AX165" s="30">
        <v>5965</v>
      </c>
      <c r="AY165" s="30">
        <v>5897</v>
      </c>
      <c r="AZ165" s="30">
        <v>6033</v>
      </c>
      <c r="BA165" s="30">
        <v>6038</v>
      </c>
      <c r="BB165" s="30">
        <v>6086</v>
      </c>
      <c r="BC165" s="30">
        <v>6137</v>
      </c>
      <c r="BD165" s="30">
        <v>6059</v>
      </c>
      <c r="BE165" s="30">
        <v>5940</v>
      </c>
      <c r="BF165" s="30">
        <v>5943</v>
      </c>
      <c r="BG165" s="30">
        <v>6042</v>
      </c>
      <c r="BH165" s="30">
        <v>6016</v>
      </c>
      <c r="BI165" s="30">
        <v>6153</v>
      </c>
      <c r="BJ165" s="30">
        <v>6191</v>
      </c>
      <c r="BK165" s="30">
        <v>6055</v>
      </c>
      <c r="BL165" s="30">
        <v>6029</v>
      </c>
      <c r="BM165" s="1">
        <v>6121</v>
      </c>
      <c r="BN165" s="1">
        <v>6156</v>
      </c>
      <c r="BO165" s="1">
        <v>6144</v>
      </c>
      <c r="BP165" s="1">
        <v>6167</v>
      </c>
      <c r="BQ165" s="1">
        <v>6231</v>
      </c>
      <c r="BR165" s="1">
        <v>6694</v>
      </c>
      <c r="BS165" s="1">
        <v>6293</v>
      </c>
      <c r="BT165" s="1">
        <v>6671</v>
      </c>
      <c r="BU165" s="1">
        <v>6619</v>
      </c>
      <c r="BV165" s="1">
        <v>6598</v>
      </c>
      <c r="BW165" s="1">
        <v>6584</v>
      </c>
      <c r="BX165" s="1">
        <v>6510</v>
      </c>
      <c r="BY165" s="1">
        <v>6087</v>
      </c>
      <c r="BZ165" s="1">
        <v>6121</v>
      </c>
    </row>
    <row r="166" spans="1:78" ht="15.9" customHeight="1">
      <c r="A166" s="65" t="s">
        <v>326</v>
      </c>
      <c r="B166" s="41" t="s">
        <v>327</v>
      </c>
      <c r="C166" s="45">
        <f>_xll.RssMarket("9733","安値")</f>
        <v>2289</v>
      </c>
      <c r="D166" s="16">
        <f t="shared" si="5"/>
        <v>-2</v>
      </c>
      <c r="E166" s="30">
        <v>2291</v>
      </c>
      <c r="F166" s="30">
        <v>2312</v>
      </c>
      <c r="G166" s="30">
        <v>2326</v>
      </c>
      <c r="H166" s="30">
        <v>2321</v>
      </c>
      <c r="I166" s="30">
        <v>2307</v>
      </c>
      <c r="J166" s="30">
        <v>2296</v>
      </c>
      <c r="K166" s="30">
        <v>2272</v>
      </c>
      <c r="L166" s="30">
        <v>2201</v>
      </c>
      <c r="M166" s="30">
        <v>2332</v>
      </c>
      <c r="N166" s="30">
        <v>2344</v>
      </c>
      <c r="O166" s="30">
        <v>2332</v>
      </c>
      <c r="P166" s="30">
        <v>2326</v>
      </c>
      <c r="Q166" s="30">
        <v>2337</v>
      </c>
      <c r="R166" s="30">
        <v>2349</v>
      </c>
      <c r="S166" s="30">
        <v>2361</v>
      </c>
      <c r="T166" s="30">
        <v>2356</v>
      </c>
      <c r="U166" s="30">
        <v>2362</v>
      </c>
      <c r="V166" s="30">
        <v>2386</v>
      </c>
      <c r="W166" s="30">
        <v>2389</v>
      </c>
      <c r="X166" s="30">
        <v>2354</v>
      </c>
      <c r="Y166" s="30">
        <v>2328</v>
      </c>
      <c r="Z166" s="30">
        <v>2310</v>
      </c>
      <c r="AA166" s="30">
        <v>2291</v>
      </c>
      <c r="AB166" s="30">
        <v>2284</v>
      </c>
      <c r="AC166" s="30">
        <v>2278</v>
      </c>
      <c r="AD166" s="30">
        <v>2212</v>
      </c>
      <c r="AE166" s="30">
        <v>2204</v>
      </c>
      <c r="AF166" s="30">
        <v>2208</v>
      </c>
      <c r="AG166" s="30">
        <v>2201</v>
      </c>
      <c r="AH166" s="30">
        <v>2201</v>
      </c>
      <c r="AI166" s="30">
        <v>2188</v>
      </c>
      <c r="AJ166" s="30">
        <v>2195</v>
      </c>
      <c r="AK166" s="30">
        <v>2201</v>
      </c>
      <c r="AL166" s="30">
        <v>2203</v>
      </c>
      <c r="AM166" s="30">
        <v>2222</v>
      </c>
      <c r="AN166" s="30">
        <v>2215</v>
      </c>
      <c r="AO166" s="30">
        <v>2196</v>
      </c>
      <c r="AP166" s="30">
        <v>2223</v>
      </c>
      <c r="AQ166" s="30">
        <v>2169</v>
      </c>
      <c r="AR166" s="30">
        <v>2187</v>
      </c>
      <c r="AS166" s="30">
        <v>2180</v>
      </c>
      <c r="AT166" s="30">
        <v>2191</v>
      </c>
      <c r="AU166" s="30">
        <v>2200</v>
      </c>
      <c r="AV166" s="30">
        <v>2266</v>
      </c>
      <c r="AW166" s="30">
        <v>2241</v>
      </c>
      <c r="AX166" s="30">
        <v>2225</v>
      </c>
      <c r="AY166" s="30">
        <v>2269</v>
      </c>
      <c r="AZ166" s="30">
        <v>2279</v>
      </c>
      <c r="BA166" s="30">
        <v>2290</v>
      </c>
      <c r="BB166" s="30">
        <v>2290</v>
      </c>
      <c r="BC166" s="30">
        <v>2275</v>
      </c>
      <c r="BD166" s="30">
        <v>2267</v>
      </c>
      <c r="BE166" s="30">
        <v>2261</v>
      </c>
      <c r="BF166" s="30">
        <v>2264</v>
      </c>
      <c r="BG166" s="30">
        <v>2260</v>
      </c>
      <c r="BH166" s="30">
        <v>2263</v>
      </c>
      <c r="BI166" s="30">
        <v>2280</v>
      </c>
      <c r="BJ166" s="30">
        <v>2263</v>
      </c>
      <c r="BK166" s="30">
        <v>2273</v>
      </c>
      <c r="BL166" s="30">
        <v>2275</v>
      </c>
      <c r="BM166" s="1">
        <v>2300</v>
      </c>
      <c r="BN166" s="1">
        <v>2297</v>
      </c>
      <c r="BO166" s="1">
        <v>2286</v>
      </c>
      <c r="BP166" s="1">
        <v>2311</v>
      </c>
      <c r="BQ166" s="1">
        <v>2339</v>
      </c>
      <c r="BR166" s="1">
        <v>2351</v>
      </c>
      <c r="BS166" s="1">
        <v>2358</v>
      </c>
      <c r="BT166" s="1">
        <v>2405</v>
      </c>
      <c r="BU166" s="1">
        <v>2447</v>
      </c>
      <c r="BV166" s="1">
        <v>2427</v>
      </c>
      <c r="BW166" s="1">
        <v>2412</v>
      </c>
      <c r="BX166" s="1">
        <v>2481</v>
      </c>
      <c r="BY166" s="1">
        <v>2496</v>
      </c>
      <c r="BZ166" s="1">
        <v>2493</v>
      </c>
    </row>
    <row r="167" spans="1:78" ht="15.9" customHeight="1">
      <c r="A167" s="65" t="s">
        <v>328</v>
      </c>
      <c r="B167" s="41" t="s">
        <v>329</v>
      </c>
      <c r="C167" s="45">
        <f>_xll.RssMarket("9551","安値")</f>
        <v>3235</v>
      </c>
      <c r="D167" s="16">
        <f t="shared" si="5"/>
        <v>95</v>
      </c>
      <c r="E167" s="30">
        <v>3140</v>
      </c>
      <c r="F167" s="30">
        <v>3000</v>
      </c>
      <c r="G167" s="30">
        <v>3030</v>
      </c>
      <c r="H167" s="30">
        <v>2838</v>
      </c>
      <c r="I167" s="30">
        <v>2996</v>
      </c>
      <c r="J167" s="30">
        <v>3065</v>
      </c>
      <c r="K167" s="30">
        <v>3140</v>
      </c>
      <c r="L167" s="30"/>
      <c r="M167" s="30">
        <v>3200</v>
      </c>
      <c r="N167" s="30">
        <v>3205</v>
      </c>
      <c r="O167" s="30">
        <v>3100</v>
      </c>
      <c r="P167" s="30">
        <v>3040</v>
      </c>
      <c r="Q167" s="30">
        <v>3175</v>
      </c>
      <c r="R167" s="30">
        <v>3160</v>
      </c>
      <c r="S167" s="30">
        <v>3180</v>
      </c>
      <c r="T167" s="30">
        <v>3220</v>
      </c>
      <c r="U167" s="30">
        <v>3210</v>
      </c>
      <c r="V167" s="30">
        <v>3175</v>
      </c>
      <c r="W167" s="30">
        <v>3265</v>
      </c>
      <c r="X167" s="30">
        <v>3310</v>
      </c>
      <c r="Y167" s="30">
        <v>3260</v>
      </c>
      <c r="Z167" s="30">
        <v>3285</v>
      </c>
      <c r="AA167" s="30">
        <v>3320</v>
      </c>
      <c r="AB167" s="30">
        <v>3310</v>
      </c>
      <c r="AC167" s="30">
        <v>3345</v>
      </c>
      <c r="AD167" s="30">
        <v>3535</v>
      </c>
      <c r="AE167" s="30">
        <v>3555</v>
      </c>
      <c r="AF167" s="30">
        <v>3455</v>
      </c>
      <c r="AG167" s="30">
        <v>3480</v>
      </c>
      <c r="AH167" s="30">
        <v>3460</v>
      </c>
      <c r="AI167" s="30">
        <v>3450</v>
      </c>
      <c r="AJ167" s="30">
        <v>3435</v>
      </c>
      <c r="AK167" s="30">
        <v>3350</v>
      </c>
      <c r="AL167" s="30">
        <v>3320</v>
      </c>
      <c r="AM167" s="30">
        <v>3205</v>
      </c>
      <c r="AN167" s="30">
        <v>3130</v>
      </c>
      <c r="AO167" s="30">
        <v>3045</v>
      </c>
      <c r="AP167" s="30">
        <v>3125</v>
      </c>
      <c r="AQ167" s="30">
        <v>3190</v>
      </c>
      <c r="AR167" s="30">
        <v>3280</v>
      </c>
      <c r="AS167" s="30">
        <v>3235</v>
      </c>
      <c r="AT167" s="30">
        <v>3265</v>
      </c>
      <c r="AU167" s="30">
        <v>3205</v>
      </c>
      <c r="AV167" s="30">
        <v>3525</v>
      </c>
      <c r="AW167" s="30">
        <v>3200</v>
      </c>
      <c r="AX167" s="30">
        <v>3225</v>
      </c>
      <c r="AY167" s="30">
        <v>3265</v>
      </c>
      <c r="AZ167" s="30">
        <v>3235</v>
      </c>
      <c r="BA167" s="30">
        <v>3255</v>
      </c>
      <c r="BB167" s="30">
        <v>3195</v>
      </c>
      <c r="BC167" s="30">
        <v>3260</v>
      </c>
      <c r="BD167" s="30">
        <v>3335</v>
      </c>
      <c r="BE167" s="30">
        <v>3450</v>
      </c>
      <c r="BF167" s="30">
        <v>3410</v>
      </c>
      <c r="BG167" s="30">
        <v>3380</v>
      </c>
      <c r="BH167" s="30">
        <v>3345</v>
      </c>
      <c r="BI167" s="30">
        <v>3415</v>
      </c>
      <c r="BJ167" s="30">
        <v>3370</v>
      </c>
      <c r="BK167" s="30">
        <v>3400</v>
      </c>
      <c r="BL167" s="30">
        <v>3355</v>
      </c>
      <c r="BM167" s="1">
        <v>3325</v>
      </c>
      <c r="BN167" s="1">
        <v>3315</v>
      </c>
      <c r="BO167" s="1">
        <v>3255</v>
      </c>
      <c r="BP167" s="1">
        <v>3580</v>
      </c>
      <c r="BQ167" s="1">
        <v>3545</v>
      </c>
      <c r="BR167" s="1">
        <v>3610</v>
      </c>
      <c r="BS167" s="1">
        <v>3640</v>
      </c>
      <c r="BT167" s="1">
        <v>3680</v>
      </c>
      <c r="BU167" s="1">
        <v>3685</v>
      </c>
      <c r="BV167" s="1">
        <v>3665</v>
      </c>
      <c r="BW167" s="1">
        <v>3645</v>
      </c>
      <c r="BX167" s="1">
        <v>3670</v>
      </c>
      <c r="BY167" s="1">
        <v>3595</v>
      </c>
      <c r="BZ167" s="1">
        <v>3655</v>
      </c>
    </row>
    <row r="168" spans="1:78" ht="15.9" customHeight="1">
      <c r="A168" s="65" t="s">
        <v>330</v>
      </c>
      <c r="B168" s="41" t="s">
        <v>331</v>
      </c>
      <c r="C168" s="45">
        <f>_xll.RssMarket("2359","安値")</f>
        <v>2016</v>
      </c>
      <c r="D168" s="16">
        <f t="shared" si="5"/>
        <v>5</v>
      </c>
      <c r="E168" s="30">
        <v>2011</v>
      </c>
      <c r="F168" s="30">
        <v>1999</v>
      </c>
      <c r="G168" s="30">
        <v>2022</v>
      </c>
      <c r="H168" s="30">
        <v>2013</v>
      </c>
      <c r="I168" s="30">
        <v>2019</v>
      </c>
      <c r="J168" s="30">
        <v>1996</v>
      </c>
      <c r="K168" s="30">
        <v>1985</v>
      </c>
      <c r="L168" s="30"/>
      <c r="M168" s="30">
        <v>1982</v>
      </c>
      <c r="N168" s="30">
        <v>1976</v>
      </c>
      <c r="O168" s="30">
        <v>1983</v>
      </c>
      <c r="P168" s="30">
        <v>1966</v>
      </c>
      <c r="Q168" s="30">
        <v>2000</v>
      </c>
      <c r="R168" s="30">
        <v>1995</v>
      </c>
      <c r="S168" s="30">
        <v>1984</v>
      </c>
      <c r="T168" s="30">
        <v>1955</v>
      </c>
      <c r="U168" s="30">
        <v>1948</v>
      </c>
      <c r="V168" s="30">
        <v>1951</v>
      </c>
      <c r="W168" s="30">
        <v>1955</v>
      </c>
      <c r="X168" s="30">
        <v>1949</v>
      </c>
      <c r="Y168" s="30">
        <v>1937</v>
      </c>
      <c r="Z168" s="30">
        <v>1940</v>
      </c>
      <c r="AA168" s="30">
        <v>1924</v>
      </c>
      <c r="AB168" s="30">
        <v>1952</v>
      </c>
      <c r="AC168" s="30">
        <v>1969</v>
      </c>
      <c r="AD168" s="30">
        <v>1999</v>
      </c>
      <c r="AE168" s="30">
        <v>2004</v>
      </c>
      <c r="AF168" s="30">
        <v>2019</v>
      </c>
      <c r="AG168" s="30">
        <v>2010</v>
      </c>
      <c r="AH168" s="30">
        <v>2030</v>
      </c>
      <c r="AI168" s="30">
        <v>2026</v>
      </c>
      <c r="AJ168" s="30">
        <v>2020</v>
      </c>
      <c r="AK168" s="30">
        <v>2007</v>
      </c>
      <c r="AL168" s="30">
        <v>1979</v>
      </c>
      <c r="AM168" s="30">
        <v>2008</v>
      </c>
      <c r="AN168" s="30">
        <v>1991</v>
      </c>
      <c r="AO168" s="30">
        <v>2005</v>
      </c>
      <c r="AP168" s="30">
        <v>2017</v>
      </c>
      <c r="AQ168" s="30">
        <v>2024</v>
      </c>
      <c r="AR168" s="30">
        <v>2059</v>
      </c>
      <c r="AS168" s="30">
        <v>2020</v>
      </c>
      <c r="AT168" s="30">
        <v>2016</v>
      </c>
      <c r="AU168" s="30">
        <v>2015</v>
      </c>
      <c r="AV168" s="30">
        <v>2020</v>
      </c>
      <c r="AW168" s="30">
        <v>2014</v>
      </c>
      <c r="AX168" s="30">
        <v>2013</v>
      </c>
      <c r="AY168" s="30">
        <v>2075</v>
      </c>
      <c r="AZ168" s="30">
        <v>2081</v>
      </c>
      <c r="BA168" s="30">
        <v>2102</v>
      </c>
      <c r="BB168" s="30">
        <v>2075</v>
      </c>
      <c r="BC168" s="30">
        <v>2050</v>
      </c>
      <c r="BD168" s="30">
        <v>2035</v>
      </c>
      <c r="BE168" s="30">
        <v>2041</v>
      </c>
      <c r="BF168" s="30">
        <v>2042</v>
      </c>
      <c r="BG168" s="30">
        <v>2015</v>
      </c>
      <c r="BH168" s="30">
        <v>2009</v>
      </c>
      <c r="BI168" s="30">
        <v>1990</v>
      </c>
      <c r="BJ168" s="30">
        <v>1993</v>
      </c>
      <c r="BK168" s="30">
        <v>1983</v>
      </c>
      <c r="BL168" s="30">
        <v>2013</v>
      </c>
      <c r="BM168" s="1">
        <v>2010</v>
      </c>
      <c r="BN168" s="1">
        <v>2165</v>
      </c>
      <c r="BO168" s="1">
        <v>2144</v>
      </c>
      <c r="BP168" s="1">
        <v>2137</v>
      </c>
      <c r="BQ168" s="1">
        <v>2137</v>
      </c>
      <c r="BR168" s="1">
        <v>2206</v>
      </c>
      <c r="BS168" s="1">
        <v>2235</v>
      </c>
      <c r="BT168" s="1">
        <v>2239</v>
      </c>
      <c r="BU168" s="1">
        <v>2248</v>
      </c>
      <c r="BV168" s="1">
        <v>2232</v>
      </c>
      <c r="BW168" s="1">
        <v>2241</v>
      </c>
      <c r="BX168" s="1">
        <v>2215</v>
      </c>
      <c r="BY168" s="1">
        <v>2210</v>
      </c>
      <c r="BZ168" s="1">
        <v>2236</v>
      </c>
    </row>
    <row r="169" spans="1:78" ht="15.9" customHeight="1">
      <c r="A169" s="65" t="s">
        <v>332</v>
      </c>
      <c r="B169" s="41" t="s">
        <v>333</v>
      </c>
      <c r="C169" s="45">
        <f>_xll.RssMarket("8103","安値")</f>
        <v>886</v>
      </c>
      <c r="D169" s="16">
        <f t="shared" si="5"/>
        <v>1</v>
      </c>
      <c r="E169" s="30">
        <v>885</v>
      </c>
      <c r="F169" s="30">
        <v>877</v>
      </c>
      <c r="G169" s="30">
        <v>887</v>
      </c>
      <c r="H169" s="30">
        <v>917</v>
      </c>
      <c r="I169" s="30">
        <v>914</v>
      </c>
      <c r="J169" s="30">
        <v>909</v>
      </c>
      <c r="K169" s="30">
        <v>910</v>
      </c>
      <c r="L169" s="30">
        <v>900</v>
      </c>
      <c r="M169" s="30">
        <v>908</v>
      </c>
      <c r="N169" s="30">
        <v>905</v>
      </c>
      <c r="O169" s="30">
        <v>893</v>
      </c>
      <c r="P169" s="30">
        <v>889</v>
      </c>
      <c r="Q169" s="30">
        <v>905</v>
      </c>
      <c r="R169" s="30">
        <v>897</v>
      </c>
      <c r="S169" s="30">
        <v>898</v>
      </c>
      <c r="T169" s="30">
        <v>909</v>
      </c>
      <c r="U169" s="30">
        <v>905</v>
      </c>
      <c r="V169" s="30">
        <v>908</v>
      </c>
      <c r="W169" s="30">
        <v>910</v>
      </c>
      <c r="X169" s="30">
        <v>906</v>
      </c>
      <c r="Y169" s="30">
        <v>890</v>
      </c>
      <c r="Z169" s="30">
        <v>883</v>
      </c>
      <c r="AA169" s="30">
        <v>876</v>
      </c>
      <c r="AB169" s="30">
        <v>868</v>
      </c>
      <c r="AC169" s="30">
        <v>865</v>
      </c>
      <c r="AD169" s="30">
        <v>855</v>
      </c>
      <c r="AE169" s="30">
        <v>860</v>
      </c>
      <c r="AF169" s="30">
        <v>853</v>
      </c>
      <c r="AG169" s="30">
        <v>869</v>
      </c>
      <c r="AH169" s="30">
        <v>869</v>
      </c>
      <c r="AI169" s="30">
        <v>867</v>
      </c>
      <c r="AJ169" s="30">
        <v>868</v>
      </c>
      <c r="AK169" s="30">
        <v>872</v>
      </c>
      <c r="AL169" s="30">
        <v>872</v>
      </c>
      <c r="AM169" s="30">
        <v>872</v>
      </c>
      <c r="AN169" s="30">
        <v>861</v>
      </c>
      <c r="AO169" s="30">
        <v>853</v>
      </c>
      <c r="AP169" s="30">
        <v>854</v>
      </c>
      <c r="AQ169" s="30">
        <v>862</v>
      </c>
      <c r="AR169" s="30">
        <v>879</v>
      </c>
      <c r="AS169" s="30">
        <v>876</v>
      </c>
      <c r="AT169" s="30">
        <v>870</v>
      </c>
      <c r="AU169" s="30">
        <v>864</v>
      </c>
      <c r="AV169" s="30">
        <v>880</v>
      </c>
      <c r="AW169" s="30">
        <v>875</v>
      </c>
      <c r="AX169" s="30">
        <v>880</v>
      </c>
      <c r="AY169" s="30">
        <v>903</v>
      </c>
      <c r="AZ169" s="30">
        <v>891</v>
      </c>
      <c r="BA169" s="30">
        <v>884</v>
      </c>
      <c r="BB169" s="30">
        <v>876</v>
      </c>
      <c r="BC169" s="30">
        <v>903</v>
      </c>
      <c r="BD169" s="30">
        <v>887</v>
      </c>
      <c r="BE169" s="30">
        <v>892</v>
      </c>
      <c r="BF169" s="30">
        <v>900</v>
      </c>
      <c r="BG169" s="30">
        <v>879</v>
      </c>
      <c r="BH169" s="30">
        <v>877</v>
      </c>
      <c r="BI169" s="30">
        <v>885</v>
      </c>
      <c r="BJ169" s="30">
        <v>878</v>
      </c>
      <c r="BK169" s="30">
        <v>857</v>
      </c>
      <c r="BL169" s="30">
        <v>832</v>
      </c>
      <c r="BM169" s="1">
        <v>752</v>
      </c>
      <c r="BN169" s="1">
        <v>764</v>
      </c>
      <c r="BO169" s="1">
        <v>760</v>
      </c>
      <c r="BP169" s="1">
        <v>762</v>
      </c>
      <c r="BQ169" s="1">
        <v>758</v>
      </c>
      <c r="BR169" s="1">
        <v>764</v>
      </c>
      <c r="BS169" s="1">
        <v>773</v>
      </c>
      <c r="BT169" s="1">
        <v>778</v>
      </c>
      <c r="BU169" s="1">
        <v>778</v>
      </c>
      <c r="BV169" s="1">
        <v>773</v>
      </c>
      <c r="BW169" s="1">
        <v>773</v>
      </c>
      <c r="BX169" s="1">
        <v>777</v>
      </c>
      <c r="BY169" s="1">
        <v>785</v>
      </c>
      <c r="BZ169" s="1">
        <v>795</v>
      </c>
    </row>
    <row r="170" spans="1:78" ht="15.9" customHeight="1">
      <c r="A170" s="65" t="s">
        <v>334</v>
      </c>
      <c r="B170" s="41" t="s">
        <v>335</v>
      </c>
      <c r="C170" s="45">
        <f>_xll.RssMarket("4709","安値")</f>
        <v>1007</v>
      </c>
      <c r="D170" s="16">
        <f t="shared" si="5"/>
        <v>0</v>
      </c>
      <c r="E170" s="30">
        <v>1007</v>
      </c>
      <c r="F170" s="30">
        <v>1000</v>
      </c>
      <c r="G170" s="30">
        <v>999</v>
      </c>
      <c r="H170" s="30">
        <v>1142</v>
      </c>
      <c r="I170" s="30">
        <v>1133</v>
      </c>
      <c r="J170" s="30">
        <v>1121</v>
      </c>
      <c r="K170" s="30">
        <v>1114</v>
      </c>
      <c r="L170" s="30">
        <v>1087</v>
      </c>
      <c r="M170" s="30">
        <v>1091</v>
      </c>
      <c r="N170" s="30">
        <v>1090</v>
      </c>
      <c r="O170" s="30">
        <v>1104</v>
      </c>
      <c r="P170" s="30">
        <v>1110</v>
      </c>
      <c r="Q170" s="30">
        <v>1114</v>
      </c>
      <c r="R170" s="30">
        <v>1105</v>
      </c>
      <c r="S170" s="30">
        <v>1099</v>
      </c>
      <c r="T170" s="30">
        <v>1095</v>
      </c>
      <c r="U170" s="30">
        <v>1089</v>
      </c>
      <c r="V170" s="30">
        <v>1081</v>
      </c>
      <c r="W170" s="30">
        <v>1078</v>
      </c>
      <c r="X170" s="30">
        <v>1064</v>
      </c>
      <c r="Y170" s="30">
        <v>1062</v>
      </c>
      <c r="Z170" s="30">
        <v>1057</v>
      </c>
      <c r="AA170" s="30">
        <v>1051</v>
      </c>
      <c r="AB170" s="30">
        <v>1058</v>
      </c>
      <c r="AC170" s="30">
        <v>1059</v>
      </c>
      <c r="AD170" s="30">
        <v>1044</v>
      </c>
      <c r="AE170" s="30">
        <v>1030</v>
      </c>
      <c r="AF170" s="30">
        <v>1037</v>
      </c>
      <c r="AG170" s="30">
        <v>1039</v>
      </c>
      <c r="AH170" s="30">
        <v>1050</v>
      </c>
      <c r="AI170" s="30">
        <v>1042</v>
      </c>
      <c r="AJ170" s="30">
        <v>1064</v>
      </c>
      <c r="AK170" s="30">
        <v>1091</v>
      </c>
      <c r="AL170" s="30">
        <v>1068</v>
      </c>
      <c r="AM170" s="30">
        <v>1061</v>
      </c>
      <c r="AN170" s="30">
        <v>1035</v>
      </c>
      <c r="AO170" s="30">
        <v>1054</v>
      </c>
      <c r="AP170" s="30">
        <v>1042</v>
      </c>
      <c r="AQ170" s="30">
        <v>995</v>
      </c>
      <c r="AR170" s="30">
        <v>998</v>
      </c>
      <c r="AS170" s="30">
        <v>981</v>
      </c>
      <c r="AT170" s="30">
        <v>990</v>
      </c>
      <c r="AU170" s="30">
        <v>1015</v>
      </c>
      <c r="AV170" s="30">
        <v>1020</v>
      </c>
      <c r="AW170" s="30">
        <v>1001</v>
      </c>
      <c r="AX170" s="30">
        <v>996</v>
      </c>
      <c r="AY170" s="30">
        <v>1019</v>
      </c>
      <c r="AZ170" s="30">
        <v>1033</v>
      </c>
      <c r="BA170" s="30">
        <v>1045</v>
      </c>
      <c r="BB170" s="30">
        <v>1022</v>
      </c>
      <c r="BC170" s="30">
        <v>1017</v>
      </c>
      <c r="BD170" s="30">
        <v>1016</v>
      </c>
      <c r="BE170" s="30">
        <v>1018</v>
      </c>
      <c r="BF170" s="30">
        <v>1007</v>
      </c>
      <c r="BG170" s="30">
        <v>1060</v>
      </c>
      <c r="BH170" s="30">
        <v>1066</v>
      </c>
      <c r="BI170" s="30">
        <v>1044</v>
      </c>
      <c r="BJ170" s="30">
        <v>1015</v>
      </c>
      <c r="BK170" s="30">
        <v>1035</v>
      </c>
      <c r="BL170" s="30">
        <v>1006</v>
      </c>
      <c r="BM170" s="1">
        <v>885</v>
      </c>
      <c r="BN170" s="1">
        <v>892</v>
      </c>
      <c r="BO170" s="1">
        <v>883</v>
      </c>
      <c r="BP170" s="1">
        <v>881</v>
      </c>
      <c r="BQ170" s="1">
        <v>881</v>
      </c>
      <c r="BR170" s="1">
        <v>905</v>
      </c>
      <c r="BS170" s="1">
        <v>919</v>
      </c>
      <c r="BT170" s="1">
        <v>917</v>
      </c>
      <c r="BU170" s="1">
        <v>932</v>
      </c>
      <c r="BV170" s="1">
        <v>935</v>
      </c>
      <c r="BW170" s="1">
        <v>918</v>
      </c>
      <c r="BX170" s="1">
        <v>913</v>
      </c>
      <c r="BY170" s="1">
        <v>911</v>
      </c>
      <c r="BZ170" s="1">
        <v>927</v>
      </c>
    </row>
    <row r="171" spans="1:78" ht="15.9" customHeight="1">
      <c r="A171" s="65" t="s">
        <v>336</v>
      </c>
      <c r="B171" s="41" t="s">
        <v>337</v>
      </c>
      <c r="C171" s="45">
        <f>_xll.RssMarket("7981","安値")</f>
        <v>2980</v>
      </c>
      <c r="D171" s="16">
        <f t="shared" si="5"/>
        <v>-5</v>
      </c>
      <c r="E171" s="30">
        <v>2985</v>
      </c>
      <c r="F171" s="30">
        <v>2960</v>
      </c>
      <c r="G171" s="30">
        <v>2962</v>
      </c>
      <c r="H171" s="30">
        <v>3020</v>
      </c>
      <c r="I171" s="30">
        <v>3230</v>
      </c>
      <c r="J171" s="30">
        <v>3215</v>
      </c>
      <c r="K171" s="30">
        <v>3180</v>
      </c>
      <c r="L171" s="30">
        <v>3080</v>
      </c>
      <c r="M171" s="30">
        <v>3060</v>
      </c>
      <c r="N171" s="30">
        <v>3080</v>
      </c>
      <c r="O171" s="30">
        <v>3050</v>
      </c>
      <c r="P171" s="30">
        <v>3020</v>
      </c>
      <c r="Q171" s="30">
        <v>3090</v>
      </c>
      <c r="R171" s="30">
        <v>3060</v>
      </c>
      <c r="S171" s="30">
        <v>3040</v>
      </c>
      <c r="T171" s="30">
        <v>3030</v>
      </c>
      <c r="U171" s="30">
        <v>3040</v>
      </c>
      <c r="V171" s="30">
        <v>3060</v>
      </c>
      <c r="W171" s="30">
        <v>3120</v>
      </c>
      <c r="X171" s="30">
        <v>3095</v>
      </c>
      <c r="Y171" s="30">
        <v>3075</v>
      </c>
      <c r="Z171" s="30">
        <v>3035</v>
      </c>
      <c r="AA171" s="30">
        <v>3035</v>
      </c>
      <c r="AB171" s="30">
        <v>3070</v>
      </c>
      <c r="AC171" s="30">
        <v>3070</v>
      </c>
      <c r="AD171" s="30">
        <v>3080</v>
      </c>
      <c r="AE171" s="30">
        <v>3095</v>
      </c>
      <c r="AF171" s="30">
        <v>3055</v>
      </c>
      <c r="AG171" s="30">
        <v>3060</v>
      </c>
      <c r="AH171" s="30">
        <v>2995</v>
      </c>
      <c r="AI171" s="30">
        <v>3015</v>
      </c>
      <c r="AJ171" s="30">
        <v>3005</v>
      </c>
      <c r="AK171" s="30">
        <v>2994</v>
      </c>
      <c r="AL171" s="30">
        <v>2979</v>
      </c>
      <c r="AM171" s="30">
        <v>3000</v>
      </c>
      <c r="AN171" s="30">
        <v>2967</v>
      </c>
      <c r="AO171" s="30">
        <v>2891</v>
      </c>
      <c r="AP171" s="30">
        <v>2937</v>
      </c>
      <c r="AQ171" s="30">
        <v>2912</v>
      </c>
      <c r="AR171" s="30">
        <v>2941</v>
      </c>
      <c r="AS171" s="30">
        <v>2909</v>
      </c>
      <c r="AT171" s="30">
        <v>2899</v>
      </c>
      <c r="AU171" s="30">
        <v>2882</v>
      </c>
      <c r="AV171" s="30">
        <v>2935</v>
      </c>
      <c r="AW171" s="30">
        <v>2930</v>
      </c>
      <c r="AX171" s="30">
        <v>2940</v>
      </c>
      <c r="AY171" s="30">
        <v>2973</v>
      </c>
      <c r="AZ171" s="30">
        <v>2877</v>
      </c>
      <c r="BA171" s="30">
        <v>2895</v>
      </c>
      <c r="BB171" s="30">
        <v>2882</v>
      </c>
      <c r="BC171" s="30">
        <v>2907</v>
      </c>
      <c r="BD171" s="30">
        <v>2883</v>
      </c>
      <c r="BE171" s="30">
        <v>2983</v>
      </c>
      <c r="BF171" s="30">
        <v>2941</v>
      </c>
      <c r="BG171" s="30">
        <v>2992</v>
      </c>
      <c r="BH171" s="30">
        <v>3020</v>
      </c>
      <c r="BI171" s="30">
        <v>3045</v>
      </c>
      <c r="BJ171" s="30">
        <v>3050</v>
      </c>
      <c r="BK171" s="30">
        <v>3045</v>
      </c>
      <c r="BL171" s="30">
        <v>2961</v>
      </c>
      <c r="BM171" s="1">
        <v>2782</v>
      </c>
      <c r="BN171" s="1">
        <v>2731</v>
      </c>
      <c r="BO171" s="1">
        <v>2670</v>
      </c>
      <c r="BP171" s="1">
        <v>2628</v>
      </c>
      <c r="BQ171" s="1">
        <v>2626</v>
      </c>
      <c r="BR171" s="1">
        <v>2649</v>
      </c>
      <c r="BS171" s="1">
        <v>2671</v>
      </c>
      <c r="BT171" s="1">
        <v>2713</v>
      </c>
      <c r="BU171" s="1">
        <v>2717</v>
      </c>
      <c r="BV171" s="1">
        <v>2746</v>
      </c>
      <c r="BW171" s="1">
        <v>2693</v>
      </c>
      <c r="BX171" s="1">
        <v>2646</v>
      </c>
      <c r="BY171" s="1">
        <v>2740</v>
      </c>
      <c r="BZ171" s="1">
        <v>2925</v>
      </c>
    </row>
    <row r="172" spans="1:78" ht="15.9" customHeight="1">
      <c r="A172" s="65" t="s">
        <v>338</v>
      </c>
      <c r="B172" s="41" t="s">
        <v>339</v>
      </c>
      <c r="C172" s="45">
        <f>_xll.RssMarket("8303","安値")</f>
        <v>1443</v>
      </c>
      <c r="D172" s="16">
        <f t="shared" si="5"/>
        <v>14.5</v>
      </c>
      <c r="E172" s="30">
        <v>1428.5</v>
      </c>
      <c r="F172" s="30">
        <v>1437.5</v>
      </c>
      <c r="G172" s="30">
        <v>1405.5</v>
      </c>
      <c r="H172" s="30">
        <v>1407</v>
      </c>
      <c r="I172" s="30">
        <v>1414</v>
      </c>
      <c r="J172" s="30">
        <v>1430</v>
      </c>
      <c r="K172" s="30">
        <v>1423</v>
      </c>
      <c r="L172" s="30">
        <v>1411</v>
      </c>
      <c r="M172" s="30">
        <v>1435.5</v>
      </c>
      <c r="N172" s="30">
        <v>1439</v>
      </c>
      <c r="O172" s="30">
        <v>1414</v>
      </c>
      <c r="P172" s="30">
        <v>1392</v>
      </c>
      <c r="Q172" s="30">
        <v>1452</v>
      </c>
      <c r="R172" s="30">
        <v>1448</v>
      </c>
      <c r="S172" s="30">
        <v>1439</v>
      </c>
      <c r="T172" s="30">
        <v>1442</v>
      </c>
      <c r="U172" s="30">
        <v>1431.5</v>
      </c>
      <c r="V172" s="30">
        <v>1445</v>
      </c>
      <c r="W172" s="30">
        <v>1488.5</v>
      </c>
      <c r="X172" s="30">
        <v>1449</v>
      </c>
      <c r="Y172" s="30">
        <v>1430.5</v>
      </c>
      <c r="Z172" s="30">
        <v>1386</v>
      </c>
      <c r="AA172" s="30">
        <v>1358</v>
      </c>
      <c r="AB172" s="30">
        <v>1380</v>
      </c>
      <c r="AC172" s="30">
        <v>1394</v>
      </c>
      <c r="AD172" s="30">
        <v>1382</v>
      </c>
      <c r="AE172" s="30">
        <v>1394.5</v>
      </c>
      <c r="AF172" s="30">
        <v>1404</v>
      </c>
      <c r="AG172" s="30">
        <v>1396</v>
      </c>
      <c r="AH172" s="30">
        <v>1422.5</v>
      </c>
      <c r="AI172" s="30">
        <v>1427</v>
      </c>
      <c r="AJ172" s="30">
        <v>1440.5</v>
      </c>
      <c r="AK172" s="30">
        <v>1445</v>
      </c>
      <c r="AL172" s="30">
        <v>1435</v>
      </c>
      <c r="AM172" s="30">
        <v>1473.5</v>
      </c>
      <c r="AN172" s="30">
        <v>1393</v>
      </c>
      <c r="AO172" s="30">
        <v>1417.5</v>
      </c>
      <c r="AP172" s="30">
        <v>1444</v>
      </c>
      <c r="AQ172" s="30">
        <v>1362</v>
      </c>
      <c r="AR172" s="30">
        <v>1396</v>
      </c>
      <c r="AS172" s="30">
        <v>1377</v>
      </c>
      <c r="AT172" s="30">
        <v>1333</v>
      </c>
      <c r="AU172" s="30">
        <v>1325</v>
      </c>
      <c r="AV172" s="30">
        <v>1365</v>
      </c>
      <c r="AW172" s="30">
        <v>1348</v>
      </c>
      <c r="AX172" s="30">
        <v>1361.5</v>
      </c>
      <c r="AY172" s="30">
        <v>1457.5</v>
      </c>
      <c r="AZ172" s="30">
        <v>1474</v>
      </c>
      <c r="BA172" s="30">
        <v>1494.5</v>
      </c>
      <c r="BB172" s="30">
        <v>1555.5</v>
      </c>
      <c r="BC172" s="30">
        <v>1571</v>
      </c>
      <c r="BD172" s="30">
        <v>1619.5</v>
      </c>
      <c r="BE172" s="30">
        <v>1615</v>
      </c>
      <c r="BF172" s="30">
        <v>1607</v>
      </c>
      <c r="BG172" s="30">
        <v>1649</v>
      </c>
      <c r="BH172" s="30">
        <v>1635</v>
      </c>
      <c r="BI172" s="30">
        <v>1626</v>
      </c>
      <c r="BJ172" s="30">
        <v>1673</v>
      </c>
      <c r="BK172" s="30">
        <v>1669</v>
      </c>
      <c r="BL172" s="30">
        <v>1710</v>
      </c>
      <c r="BM172" s="1">
        <v>1785</v>
      </c>
      <c r="BN172" s="1">
        <v>1753</v>
      </c>
      <c r="BO172" s="1">
        <v>1678</v>
      </c>
      <c r="BP172" s="1">
        <v>1673.5</v>
      </c>
      <c r="BQ172" s="1">
        <v>1614.5</v>
      </c>
      <c r="BR172" s="1">
        <v>1611.5</v>
      </c>
      <c r="BS172" s="1">
        <v>1655</v>
      </c>
      <c r="BT172" s="1">
        <v>1673</v>
      </c>
      <c r="BU172" s="1">
        <v>1685</v>
      </c>
      <c r="BV172" s="1">
        <v>1698.5</v>
      </c>
      <c r="BW172" s="1">
        <v>1680</v>
      </c>
      <c r="BX172" s="1">
        <v>1670</v>
      </c>
      <c r="BY172" s="1">
        <v>1666</v>
      </c>
      <c r="BZ172" s="1">
        <v>1693.5</v>
      </c>
    </row>
    <row r="173" spans="1:78" ht="15.9" customHeight="1">
      <c r="A173" s="65" t="s">
        <v>340</v>
      </c>
      <c r="B173" s="41" t="s">
        <v>341</v>
      </c>
      <c r="C173" s="45">
        <f>_xll.RssMarket("4382","安値")</f>
        <v>706</v>
      </c>
      <c r="D173" s="16">
        <f t="shared" si="5"/>
        <v>6</v>
      </c>
      <c r="E173" s="30">
        <v>700</v>
      </c>
      <c r="F173" s="30">
        <v>691</v>
      </c>
      <c r="G173" s="30">
        <v>699</v>
      </c>
      <c r="H173" s="30">
        <v>693</v>
      </c>
      <c r="I173" s="30">
        <v>693</v>
      </c>
      <c r="J173" s="30">
        <v>693</v>
      </c>
      <c r="K173" s="30">
        <v>699</v>
      </c>
      <c r="L173" s="30"/>
      <c r="M173" s="30">
        <v>700</v>
      </c>
      <c r="N173" s="30">
        <v>701</v>
      </c>
      <c r="O173" s="30">
        <v>701</v>
      </c>
      <c r="P173" s="30">
        <v>698</v>
      </c>
      <c r="Q173" s="30">
        <v>705</v>
      </c>
      <c r="R173" s="30">
        <v>694</v>
      </c>
      <c r="S173" s="30">
        <v>690</v>
      </c>
      <c r="T173" s="30">
        <v>691</v>
      </c>
      <c r="U173" s="30">
        <v>691</v>
      </c>
      <c r="V173" s="30">
        <v>715</v>
      </c>
      <c r="W173" s="30">
        <v>717</v>
      </c>
      <c r="X173" s="30">
        <v>715</v>
      </c>
      <c r="Y173" s="30">
        <v>713</v>
      </c>
      <c r="Z173" s="30">
        <v>709</v>
      </c>
      <c r="AA173" s="30">
        <v>714</v>
      </c>
      <c r="AB173" s="30">
        <v>718</v>
      </c>
      <c r="AC173" s="30">
        <v>720</v>
      </c>
      <c r="AD173" s="30">
        <v>710</v>
      </c>
      <c r="AE173" s="30">
        <v>715</v>
      </c>
      <c r="AF173" s="30">
        <v>710</v>
      </c>
      <c r="AG173" s="30">
        <v>707</v>
      </c>
      <c r="AH173" s="30">
        <v>728</v>
      </c>
      <c r="AI173" s="30">
        <v>723</v>
      </c>
      <c r="AJ173" s="30">
        <v>770</v>
      </c>
      <c r="AK173" s="30">
        <v>781</v>
      </c>
      <c r="AL173" s="30">
        <v>762</v>
      </c>
      <c r="AM173" s="30">
        <v>788</v>
      </c>
      <c r="AN173" s="30">
        <v>771</v>
      </c>
      <c r="AO173" s="30">
        <v>751</v>
      </c>
      <c r="AP173" s="30">
        <v>752</v>
      </c>
      <c r="AQ173" s="30">
        <v>694</v>
      </c>
      <c r="AR173" s="30">
        <v>696</v>
      </c>
      <c r="AS173" s="30">
        <v>693</v>
      </c>
      <c r="AT173" s="30">
        <v>699</v>
      </c>
      <c r="AU173" s="30">
        <v>701</v>
      </c>
      <c r="AV173" s="30">
        <v>713</v>
      </c>
      <c r="AW173" s="30">
        <v>717</v>
      </c>
      <c r="AX173" s="30">
        <v>748</v>
      </c>
      <c r="AY173" s="30">
        <v>755</v>
      </c>
      <c r="AZ173" s="30">
        <v>760</v>
      </c>
      <c r="BA173" s="30">
        <v>760</v>
      </c>
      <c r="BB173" s="30">
        <v>762</v>
      </c>
      <c r="BC173" s="30">
        <v>762</v>
      </c>
      <c r="BD173" s="30">
        <v>760</v>
      </c>
      <c r="BE173" s="30">
        <v>760</v>
      </c>
      <c r="BF173" s="30">
        <v>770</v>
      </c>
      <c r="BG173" s="30">
        <v>782</v>
      </c>
      <c r="BH173" s="30">
        <v>781</v>
      </c>
      <c r="BI173" s="30">
        <v>783</v>
      </c>
      <c r="BJ173" s="30">
        <v>804</v>
      </c>
      <c r="BK173" s="30">
        <v>809</v>
      </c>
      <c r="BL173" s="30">
        <v>804</v>
      </c>
      <c r="BM173" s="1">
        <v>802</v>
      </c>
      <c r="BN173" s="1">
        <v>810</v>
      </c>
      <c r="BO173" s="1">
        <v>831</v>
      </c>
      <c r="BP173" s="1">
        <v>834</v>
      </c>
      <c r="BQ173" s="1">
        <v>845</v>
      </c>
      <c r="BR173" s="1">
        <v>851</v>
      </c>
      <c r="BS173" s="1">
        <v>858</v>
      </c>
      <c r="BT173" s="1">
        <v>854</v>
      </c>
      <c r="BU173" s="1">
        <v>879</v>
      </c>
      <c r="BV173" s="1">
        <v>877</v>
      </c>
      <c r="BW173" s="1">
        <v>862</v>
      </c>
      <c r="BX173" s="1">
        <v>860</v>
      </c>
      <c r="BY173" s="1">
        <v>850</v>
      </c>
      <c r="BZ173" s="1">
        <v>850</v>
      </c>
    </row>
    <row r="174" spans="1:78" ht="15.9" customHeight="1">
      <c r="A174" s="65" t="s">
        <v>342</v>
      </c>
      <c r="B174" s="41" t="s">
        <v>343</v>
      </c>
      <c r="C174" s="45">
        <f>_xll.RssMarket("2327","安値")</f>
        <v>3617</v>
      </c>
      <c r="D174" s="16">
        <f t="shared" si="5"/>
        <v>-38</v>
      </c>
      <c r="E174" s="30">
        <v>3655</v>
      </c>
      <c r="F174" s="30">
        <v>3696</v>
      </c>
      <c r="G174" s="30">
        <v>3764</v>
      </c>
      <c r="H174" s="30">
        <v>3887</v>
      </c>
      <c r="I174" s="30">
        <v>3926</v>
      </c>
      <c r="J174" s="30">
        <v>3884</v>
      </c>
      <c r="K174" s="30">
        <v>3808</v>
      </c>
      <c r="L174" s="30">
        <v>3678</v>
      </c>
      <c r="M174" s="30">
        <v>3676</v>
      </c>
      <c r="N174" s="30">
        <v>3718</v>
      </c>
      <c r="O174" s="30">
        <v>3854</v>
      </c>
      <c r="P174" s="30">
        <v>3823</v>
      </c>
      <c r="Q174" s="30">
        <v>3741</v>
      </c>
      <c r="R174" s="30">
        <v>3800</v>
      </c>
      <c r="S174" s="30">
        <v>3714</v>
      </c>
      <c r="T174" s="30">
        <v>3739</v>
      </c>
      <c r="U174" s="30">
        <v>3605</v>
      </c>
      <c r="V174" s="30">
        <v>3770</v>
      </c>
      <c r="W174" s="30">
        <v>3670</v>
      </c>
      <c r="X174" s="30">
        <v>3566</v>
      </c>
      <c r="Y174" s="30">
        <v>3571</v>
      </c>
      <c r="Z174" s="30">
        <v>3411</v>
      </c>
      <c r="AA174" s="30">
        <v>3318</v>
      </c>
      <c r="AB174" s="30">
        <v>3359</v>
      </c>
      <c r="AC174" s="30">
        <v>3288</v>
      </c>
      <c r="AD174" s="30">
        <v>3196</v>
      </c>
      <c r="AE174" s="30">
        <v>3184</v>
      </c>
      <c r="AF174" s="30">
        <v>3182</v>
      </c>
      <c r="AG174" s="30">
        <v>3164</v>
      </c>
      <c r="AH174" s="30">
        <v>3180</v>
      </c>
      <c r="AI174" s="30">
        <v>3075</v>
      </c>
      <c r="AJ174" s="30">
        <v>3110</v>
      </c>
      <c r="AK174" s="30">
        <v>3086</v>
      </c>
      <c r="AL174" s="30">
        <v>3086</v>
      </c>
      <c r="AM174" s="30">
        <v>3215</v>
      </c>
      <c r="AN174" s="30">
        <v>3201</v>
      </c>
      <c r="AO174" s="30">
        <v>3210</v>
      </c>
      <c r="AP174" s="30">
        <v>3224</v>
      </c>
      <c r="AQ174" s="30">
        <v>3320</v>
      </c>
      <c r="AR174" s="30">
        <v>3404</v>
      </c>
      <c r="AS174" s="30">
        <v>3325</v>
      </c>
      <c r="AT174" s="30">
        <v>3415</v>
      </c>
      <c r="AU174" s="30">
        <v>3520</v>
      </c>
      <c r="AV174" s="30">
        <v>3485</v>
      </c>
      <c r="AW174" s="30">
        <v>3490</v>
      </c>
      <c r="AX174" s="30">
        <v>3515</v>
      </c>
      <c r="AY174" s="30">
        <v>3562</v>
      </c>
      <c r="AZ174" s="30">
        <v>3501</v>
      </c>
      <c r="BA174" s="30">
        <v>3535</v>
      </c>
      <c r="BB174" s="30">
        <v>3480</v>
      </c>
      <c r="BC174" s="30">
        <v>3530</v>
      </c>
      <c r="BD174" s="30">
        <v>3499</v>
      </c>
      <c r="BE174" s="30">
        <v>3422</v>
      </c>
      <c r="BF174" s="30">
        <v>3481</v>
      </c>
      <c r="BG174" s="30">
        <v>3558</v>
      </c>
      <c r="BH174" s="30">
        <v>3630</v>
      </c>
      <c r="BI174" s="30">
        <v>3580</v>
      </c>
      <c r="BJ174" s="30">
        <v>3580</v>
      </c>
      <c r="BK174" s="30">
        <v>3570</v>
      </c>
      <c r="BL174" s="30">
        <v>3530</v>
      </c>
      <c r="BM174" s="1">
        <v>3598</v>
      </c>
      <c r="BN174" s="1">
        <v>3505</v>
      </c>
      <c r="BO174" s="1">
        <v>3578</v>
      </c>
      <c r="BP174" s="1">
        <v>3631</v>
      </c>
      <c r="BQ174" s="1">
        <v>3698</v>
      </c>
      <c r="BR174" s="1">
        <v>3881</v>
      </c>
      <c r="BS174" s="1">
        <v>3825</v>
      </c>
      <c r="BT174" s="1">
        <v>3810</v>
      </c>
      <c r="BU174" s="1">
        <v>3895</v>
      </c>
      <c r="BV174" s="1">
        <v>3858</v>
      </c>
      <c r="BW174" s="1">
        <v>3793</v>
      </c>
      <c r="BX174" s="1">
        <v>3735</v>
      </c>
      <c r="BY174" s="1">
        <v>3702</v>
      </c>
      <c r="BZ174" s="1">
        <v>3754</v>
      </c>
    </row>
    <row r="175" spans="1:78" ht="15.9" customHeight="1">
      <c r="A175" s="65" t="s">
        <v>344</v>
      </c>
      <c r="B175" s="41" t="s">
        <v>345</v>
      </c>
      <c r="C175" s="45">
        <f>_xll.RssMarket("1942","安値")</f>
        <v>5496</v>
      </c>
      <c r="D175" s="16">
        <f t="shared" si="5"/>
        <v>175</v>
      </c>
      <c r="E175" s="30">
        <v>5321</v>
      </c>
      <c r="F175" s="30">
        <v>5150</v>
      </c>
      <c r="G175" s="30">
        <v>5033</v>
      </c>
      <c r="H175" s="30">
        <v>5451</v>
      </c>
      <c r="I175" s="30">
        <v>5496</v>
      </c>
      <c r="J175" s="30">
        <v>5847</v>
      </c>
      <c r="K175" s="30">
        <v>5830</v>
      </c>
      <c r="L175" s="30">
        <v>5840</v>
      </c>
      <c r="M175" s="30">
        <v>5962</v>
      </c>
      <c r="N175" s="30">
        <v>5933</v>
      </c>
      <c r="O175" s="30">
        <v>5811</v>
      </c>
      <c r="P175" s="30">
        <v>5712</v>
      </c>
      <c r="Q175" s="30">
        <v>6136</v>
      </c>
      <c r="R175" s="30">
        <v>6019</v>
      </c>
      <c r="S175" s="30">
        <v>6105</v>
      </c>
      <c r="T175" s="30">
        <v>6281</v>
      </c>
      <c r="U175" s="30">
        <v>6323</v>
      </c>
      <c r="V175" s="30">
        <v>6468</v>
      </c>
      <c r="W175" s="30">
        <v>6757</v>
      </c>
      <c r="X175" s="30">
        <v>6790</v>
      </c>
      <c r="Y175" s="30">
        <v>6594</v>
      </c>
      <c r="Z175" s="30">
        <v>6530</v>
      </c>
      <c r="AA175" s="30">
        <v>6675</v>
      </c>
      <c r="AB175" s="30">
        <v>6694</v>
      </c>
      <c r="AC175" s="30">
        <v>6682</v>
      </c>
      <c r="AD175" s="30">
        <v>6608</v>
      </c>
      <c r="AE175" s="30">
        <v>6613</v>
      </c>
      <c r="AF175" s="30">
        <v>6660</v>
      </c>
      <c r="AG175" s="30">
        <v>6635</v>
      </c>
      <c r="AH175" s="30">
        <v>6634</v>
      </c>
      <c r="AI175" s="30">
        <v>6589</v>
      </c>
      <c r="AJ175" s="30">
        <v>6467</v>
      </c>
      <c r="AK175" s="30">
        <v>6388</v>
      </c>
      <c r="AL175" s="30">
        <v>6185</v>
      </c>
      <c r="AM175" s="30">
        <v>6163</v>
      </c>
      <c r="AN175" s="30">
        <v>5711</v>
      </c>
      <c r="AO175" s="30">
        <v>5692</v>
      </c>
      <c r="AP175" s="30">
        <v>5907</v>
      </c>
      <c r="AQ175" s="30">
        <v>5700</v>
      </c>
      <c r="AR175" s="30">
        <v>5794</v>
      </c>
      <c r="AS175" s="30">
        <v>5777</v>
      </c>
      <c r="AT175" s="30">
        <v>5762</v>
      </c>
      <c r="AU175" s="30">
        <v>5932</v>
      </c>
      <c r="AV175" s="30">
        <v>6488</v>
      </c>
      <c r="AW175" s="30">
        <v>6459</v>
      </c>
      <c r="AX175" s="30">
        <v>6433</v>
      </c>
      <c r="AY175" s="30">
        <v>6008</v>
      </c>
      <c r="AZ175" s="30">
        <v>5913</v>
      </c>
      <c r="BA175" s="30">
        <v>6037</v>
      </c>
      <c r="BB175" s="30">
        <v>6028</v>
      </c>
      <c r="BC175" s="30">
        <v>6330</v>
      </c>
      <c r="BD175" s="30">
        <v>6441</v>
      </c>
      <c r="BE175" s="30">
        <v>6741</v>
      </c>
      <c r="BF175" s="30">
        <v>6912</v>
      </c>
      <c r="BG175" s="30">
        <v>7190</v>
      </c>
      <c r="BH175" s="30">
        <v>7209</v>
      </c>
      <c r="BI175" s="30">
        <v>7014</v>
      </c>
      <c r="BJ175" s="30">
        <v>6841</v>
      </c>
      <c r="BK175" s="30">
        <v>6818</v>
      </c>
      <c r="BL175" s="30">
        <v>6729</v>
      </c>
      <c r="BM175" s="1">
        <v>6522</v>
      </c>
      <c r="BN175" s="1">
        <v>6022</v>
      </c>
      <c r="BO175" s="1">
        <v>5892</v>
      </c>
      <c r="BP175" s="1">
        <v>5989</v>
      </c>
      <c r="BQ175" s="1">
        <v>5908</v>
      </c>
      <c r="BR175" s="1">
        <v>6007</v>
      </c>
      <c r="BS175" s="1">
        <v>6120</v>
      </c>
      <c r="BT175" s="1">
        <v>6111</v>
      </c>
      <c r="BU175" s="1">
        <v>6118</v>
      </c>
      <c r="BV175" s="1">
        <v>6052</v>
      </c>
      <c r="BW175" s="1">
        <v>6110</v>
      </c>
      <c r="BX175" s="1">
        <v>6266</v>
      </c>
      <c r="BY175" s="1">
        <v>6205</v>
      </c>
      <c r="BZ175" s="1">
        <v>6288</v>
      </c>
    </row>
    <row r="176" spans="1:78" ht="15.9" customHeight="1">
      <c r="A176" s="65" t="s">
        <v>346</v>
      </c>
      <c r="B176" s="41" t="s">
        <v>347</v>
      </c>
      <c r="C176" s="45">
        <f>_xll.RssMarket("1938","安値")</f>
        <v>2428</v>
      </c>
      <c r="D176" s="16">
        <f t="shared" si="5"/>
        <v>39</v>
      </c>
      <c r="E176" s="30">
        <v>2389</v>
      </c>
      <c r="F176" s="30">
        <v>2330</v>
      </c>
      <c r="G176" s="30">
        <v>2411</v>
      </c>
      <c r="H176" s="30">
        <v>2344</v>
      </c>
      <c r="I176" s="30">
        <v>2351</v>
      </c>
      <c r="J176" s="30">
        <v>2436</v>
      </c>
      <c r="K176" s="30">
        <v>2461</v>
      </c>
      <c r="L176" s="30">
        <v>2470</v>
      </c>
      <c r="M176" s="30">
        <v>2506</v>
      </c>
      <c r="N176" s="30">
        <v>2509</v>
      </c>
      <c r="O176" s="30">
        <v>2431</v>
      </c>
      <c r="P176" s="30">
        <v>2422</v>
      </c>
      <c r="Q176" s="30">
        <v>2549</v>
      </c>
      <c r="R176" s="30">
        <v>2537</v>
      </c>
      <c r="S176" s="30">
        <v>2550</v>
      </c>
      <c r="T176" s="30">
        <v>2557</v>
      </c>
      <c r="U176" s="30">
        <v>2550</v>
      </c>
      <c r="V176" s="30">
        <v>2588</v>
      </c>
      <c r="W176" s="30">
        <v>2669</v>
      </c>
      <c r="X176" s="30">
        <v>2697</v>
      </c>
      <c r="Y176" s="30">
        <v>2653</v>
      </c>
      <c r="Z176" s="30">
        <v>2646</v>
      </c>
      <c r="AA176" s="30">
        <v>2655</v>
      </c>
      <c r="AB176" s="30">
        <v>2661</v>
      </c>
      <c r="AC176" s="30">
        <v>2700</v>
      </c>
      <c r="AD176" s="30">
        <v>2701</v>
      </c>
      <c r="AE176" s="30">
        <v>2685</v>
      </c>
      <c r="AF176" s="30">
        <v>2695</v>
      </c>
      <c r="AG176" s="30">
        <v>2712</v>
      </c>
      <c r="AH176" s="30">
        <v>2759</v>
      </c>
      <c r="AI176" s="30">
        <v>2780</v>
      </c>
      <c r="AJ176" s="30">
        <v>2775</v>
      </c>
      <c r="AK176" s="30">
        <v>2767</v>
      </c>
      <c r="AL176" s="30">
        <v>2751</v>
      </c>
      <c r="AM176" s="30">
        <v>2727</v>
      </c>
      <c r="AN176" s="30">
        <v>2669</v>
      </c>
      <c r="AO176" s="30">
        <v>2590</v>
      </c>
      <c r="AP176" s="30">
        <v>2698</v>
      </c>
      <c r="AQ176" s="30">
        <v>2659</v>
      </c>
      <c r="AR176" s="30">
        <v>2759</v>
      </c>
      <c r="AS176" s="30">
        <v>2668</v>
      </c>
      <c r="AT176" s="30">
        <v>2697</v>
      </c>
      <c r="AU176" s="30">
        <v>2620</v>
      </c>
      <c r="AV176" s="30">
        <v>2785</v>
      </c>
      <c r="AW176" s="30">
        <v>2731</v>
      </c>
      <c r="AX176" s="30">
        <v>2738</v>
      </c>
      <c r="AY176" s="30">
        <v>2666</v>
      </c>
      <c r="AZ176" s="30">
        <v>2591</v>
      </c>
      <c r="BA176" s="30">
        <v>2600</v>
      </c>
      <c r="BB176" s="30">
        <v>2672</v>
      </c>
      <c r="BC176" s="30">
        <v>2772</v>
      </c>
      <c r="BD176" s="30">
        <v>2800</v>
      </c>
      <c r="BE176" s="30">
        <v>2877</v>
      </c>
      <c r="BF176" s="30">
        <v>2919</v>
      </c>
      <c r="BG176" s="30">
        <v>3025</v>
      </c>
      <c r="BH176" s="30">
        <v>2913</v>
      </c>
      <c r="BI176" s="30">
        <v>2919</v>
      </c>
      <c r="BJ176" s="30">
        <v>2857</v>
      </c>
      <c r="BK176" s="30">
        <v>2833</v>
      </c>
      <c r="BL176" s="30">
        <v>2699</v>
      </c>
      <c r="BM176" s="1">
        <v>2665</v>
      </c>
      <c r="BN176" s="1">
        <v>2575</v>
      </c>
      <c r="BO176" s="1">
        <v>2490</v>
      </c>
      <c r="BP176" s="1">
        <v>2537</v>
      </c>
      <c r="BQ176" s="1">
        <v>2490</v>
      </c>
      <c r="BR176" s="1">
        <v>2476</v>
      </c>
      <c r="BS176" s="1">
        <v>2564</v>
      </c>
      <c r="BT176" s="1">
        <v>2519</v>
      </c>
      <c r="BU176" s="1">
        <v>2526</v>
      </c>
      <c r="BV176" s="1">
        <v>2586</v>
      </c>
      <c r="BW176" s="1">
        <v>2582</v>
      </c>
      <c r="BX176" s="1">
        <v>2557</v>
      </c>
      <c r="BY176" s="1">
        <v>2604</v>
      </c>
      <c r="BZ176" s="1">
        <v>2641</v>
      </c>
    </row>
    <row r="177" spans="1:78" ht="15.9" customHeight="1">
      <c r="A177" s="65" t="s">
        <v>348</v>
      </c>
      <c r="B177" s="41" t="s">
        <v>349</v>
      </c>
      <c r="C177" s="45">
        <f>_xll.RssMarket("7236","安値")</f>
        <v>1465</v>
      </c>
      <c r="D177" s="16">
        <f t="shared" si="5"/>
        <v>1465</v>
      </c>
      <c r="E177" s="30"/>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78" ht="15.9" customHeight="1">
      <c r="A178" s="65" t="s">
        <v>350</v>
      </c>
      <c r="B178" s="41" t="s">
        <v>351</v>
      </c>
      <c r="C178" s="45">
        <f>_xll.RssMarket("6436","安値")</f>
        <v>3829</v>
      </c>
      <c r="D178" s="16">
        <f t="shared" si="5"/>
        <v>-31</v>
      </c>
      <c r="E178" s="30">
        <v>3860</v>
      </c>
      <c r="F178" s="30">
        <v>3875</v>
      </c>
      <c r="G178" s="30">
        <v>3818</v>
      </c>
      <c r="H178" s="30">
        <v>3818</v>
      </c>
      <c r="I178" s="30">
        <v>3822</v>
      </c>
      <c r="J178" s="30">
        <v>3672</v>
      </c>
      <c r="K178" s="30">
        <v>3882</v>
      </c>
      <c r="L178" s="30"/>
      <c r="M178" s="30">
        <v>3797</v>
      </c>
      <c r="N178" s="30">
        <v>3799</v>
      </c>
      <c r="O178" s="30">
        <v>3805</v>
      </c>
      <c r="P178" s="30">
        <v>3781</v>
      </c>
      <c r="Q178" s="30">
        <v>3767</v>
      </c>
      <c r="R178" s="30">
        <v>3727</v>
      </c>
      <c r="S178" s="30">
        <v>3721</v>
      </c>
      <c r="T178" s="30">
        <v>3728</v>
      </c>
      <c r="U178" s="30">
        <v>3724</v>
      </c>
      <c r="V178" s="30">
        <v>3720</v>
      </c>
      <c r="W178" s="30">
        <v>3725</v>
      </c>
      <c r="X178" s="30">
        <v>3697</v>
      </c>
      <c r="Y178" s="30">
        <v>3683</v>
      </c>
      <c r="Z178" s="30">
        <v>3661</v>
      </c>
      <c r="AA178" s="30">
        <v>3650</v>
      </c>
      <c r="AB178" s="30">
        <v>3636</v>
      </c>
      <c r="AC178" s="30">
        <v>3636</v>
      </c>
      <c r="AD178" s="30">
        <v>3604</v>
      </c>
      <c r="AE178" s="30">
        <v>3598</v>
      </c>
      <c r="AF178" s="30">
        <v>3571</v>
      </c>
      <c r="AG178" s="30">
        <v>3565</v>
      </c>
      <c r="AH178" s="30">
        <v>3561</v>
      </c>
      <c r="AI178" s="30">
        <v>3551</v>
      </c>
      <c r="AJ178" s="30">
        <v>3548</v>
      </c>
      <c r="AK178" s="30">
        <v>3546</v>
      </c>
      <c r="AL178" s="30">
        <v>3543</v>
      </c>
      <c r="AM178" s="30">
        <v>3577</v>
      </c>
      <c r="AN178" s="30">
        <v>3578</v>
      </c>
      <c r="AO178" s="30">
        <v>3592</v>
      </c>
      <c r="AP178" s="30">
        <v>3566</v>
      </c>
      <c r="AQ178" s="30">
        <v>3453</v>
      </c>
      <c r="AR178" s="30">
        <v>3517</v>
      </c>
      <c r="AS178" s="30">
        <v>3482</v>
      </c>
      <c r="AT178" s="30">
        <v>3506</v>
      </c>
      <c r="AU178" s="30">
        <v>3486</v>
      </c>
      <c r="AV178" s="30">
        <v>3557</v>
      </c>
      <c r="AW178" s="30">
        <v>3556</v>
      </c>
      <c r="AX178" s="30">
        <v>3537</v>
      </c>
      <c r="AY178" s="30">
        <v>3571</v>
      </c>
      <c r="AZ178" s="30">
        <v>3593</v>
      </c>
      <c r="BA178" s="30">
        <v>3630</v>
      </c>
      <c r="BB178" s="30">
        <v>3617</v>
      </c>
      <c r="BC178" s="30">
        <v>3651</v>
      </c>
      <c r="BD178" s="30">
        <v>3624</v>
      </c>
      <c r="BE178" s="30">
        <v>3641</v>
      </c>
      <c r="BF178" s="30">
        <v>3642</v>
      </c>
      <c r="BG178" s="30">
        <v>3635</v>
      </c>
      <c r="BH178" s="30">
        <v>3657</v>
      </c>
      <c r="BI178" s="30">
        <v>3666</v>
      </c>
      <c r="BJ178" s="30">
        <v>3600</v>
      </c>
      <c r="BK178" s="30">
        <v>3575</v>
      </c>
      <c r="BL178" s="30">
        <v>3524</v>
      </c>
      <c r="BM178" s="1">
        <v>3583</v>
      </c>
      <c r="BN178" s="1">
        <v>3648</v>
      </c>
      <c r="BO178" s="1">
        <v>3580</v>
      </c>
      <c r="BP178" s="1">
        <v>3793</v>
      </c>
      <c r="BQ178" s="1">
        <v>3801</v>
      </c>
      <c r="BR178" s="1">
        <v>3821</v>
      </c>
      <c r="BS178" s="1">
        <v>3824</v>
      </c>
      <c r="BT178" s="1">
        <v>3876</v>
      </c>
      <c r="BU178" s="1">
        <v>3877</v>
      </c>
      <c r="BV178" s="1">
        <v>3869</v>
      </c>
      <c r="BW178" s="1">
        <v>3846</v>
      </c>
      <c r="BX178" s="1">
        <v>3858</v>
      </c>
      <c r="BY178" s="1">
        <v>3868</v>
      </c>
      <c r="BZ178" s="1">
        <v>3863</v>
      </c>
    </row>
    <row r="179" spans="1:78" ht="15.9" customHeight="1">
      <c r="A179" s="65" t="s">
        <v>352</v>
      </c>
      <c r="B179" s="41" t="s">
        <v>353</v>
      </c>
      <c r="C179" s="45">
        <f>_xll.RssMarket("5410","安値")</f>
        <v>2817</v>
      </c>
      <c r="D179" s="16">
        <f t="shared" si="5"/>
        <v>5</v>
      </c>
      <c r="E179" s="30">
        <v>2812</v>
      </c>
      <c r="F179" s="30">
        <v>2827</v>
      </c>
      <c r="G179" s="30">
        <v>2749</v>
      </c>
      <c r="H179" s="30">
        <v>2866</v>
      </c>
      <c r="I179" s="30">
        <v>2856</v>
      </c>
      <c r="J179" s="30">
        <v>2804</v>
      </c>
      <c r="K179" s="30">
        <v>2799</v>
      </c>
      <c r="L179" s="30">
        <v>2737</v>
      </c>
      <c r="M179" s="30">
        <v>2743</v>
      </c>
      <c r="N179" s="30">
        <v>2697</v>
      </c>
      <c r="O179" s="30">
        <v>2671</v>
      </c>
      <c r="P179" s="30">
        <v>2660</v>
      </c>
      <c r="Q179" s="30">
        <v>2673</v>
      </c>
      <c r="R179" s="30">
        <v>2665</v>
      </c>
      <c r="S179" s="30">
        <v>2686</v>
      </c>
      <c r="T179" s="30">
        <v>2668</v>
      </c>
      <c r="U179" s="30">
        <v>2652</v>
      </c>
      <c r="V179" s="30">
        <v>2673</v>
      </c>
      <c r="W179" s="30">
        <v>2694</v>
      </c>
      <c r="X179" s="30">
        <v>2663</v>
      </c>
      <c r="Y179" s="30">
        <v>2624</v>
      </c>
      <c r="Z179" s="30">
        <v>2546</v>
      </c>
      <c r="AA179" s="30">
        <v>2545</v>
      </c>
      <c r="AB179" s="30">
        <v>2577</v>
      </c>
      <c r="AC179" s="30">
        <v>2588</v>
      </c>
      <c r="AD179" s="30">
        <v>2562</v>
      </c>
      <c r="AE179" s="30">
        <v>2566</v>
      </c>
      <c r="AF179" s="30">
        <v>2566</v>
      </c>
      <c r="AG179" s="30">
        <v>2571</v>
      </c>
      <c r="AH179" s="30">
        <v>2576</v>
      </c>
      <c r="AI179" s="30">
        <v>2594</v>
      </c>
      <c r="AJ179" s="30">
        <v>2580</v>
      </c>
      <c r="AK179" s="30">
        <v>2609</v>
      </c>
      <c r="AL179" s="30">
        <v>2591</v>
      </c>
      <c r="AM179" s="30">
        <v>2610</v>
      </c>
      <c r="AN179" s="30">
        <v>2561</v>
      </c>
      <c r="AO179" s="30">
        <v>2506</v>
      </c>
      <c r="AP179" s="30">
        <v>2489</v>
      </c>
      <c r="AQ179" s="30">
        <v>2513</v>
      </c>
      <c r="AR179" s="30">
        <v>2543</v>
      </c>
      <c r="AS179" s="30">
        <v>2528</v>
      </c>
      <c r="AT179" s="30">
        <v>2554</v>
      </c>
      <c r="AU179" s="30">
        <v>2558</v>
      </c>
      <c r="AV179" s="30">
        <v>2704</v>
      </c>
      <c r="AW179" s="30">
        <v>2681</v>
      </c>
      <c r="AX179" s="30">
        <v>2634</v>
      </c>
      <c r="AY179" s="30">
        <v>2644</v>
      </c>
      <c r="AZ179" s="30">
        <v>2669</v>
      </c>
      <c r="BA179" s="30">
        <v>2707</v>
      </c>
      <c r="BB179" s="30">
        <v>2664</v>
      </c>
      <c r="BC179" s="30">
        <v>2771</v>
      </c>
      <c r="BD179" s="30">
        <v>2756</v>
      </c>
      <c r="BE179" s="30">
        <v>2820</v>
      </c>
      <c r="BF179" s="30">
        <v>2820</v>
      </c>
      <c r="BG179" s="30">
        <v>2809</v>
      </c>
      <c r="BH179" s="30">
        <v>2819</v>
      </c>
      <c r="BI179" s="30">
        <v>2849</v>
      </c>
      <c r="BJ179" s="30">
        <v>2819</v>
      </c>
      <c r="BK179" s="30">
        <v>2877</v>
      </c>
      <c r="BL179" s="30">
        <v>2802</v>
      </c>
      <c r="BM179" s="1">
        <v>2800</v>
      </c>
      <c r="BN179" s="1">
        <v>2905</v>
      </c>
      <c r="BO179" s="1">
        <v>2956</v>
      </c>
      <c r="BP179" s="1">
        <v>3400</v>
      </c>
      <c r="BQ179" s="1">
        <v>3425</v>
      </c>
      <c r="BR179" s="1">
        <v>3475</v>
      </c>
      <c r="BS179" s="1">
        <v>3530</v>
      </c>
      <c r="BT179" s="1">
        <v>3525</v>
      </c>
      <c r="BU179" s="1">
        <v>3535</v>
      </c>
      <c r="BV179" s="1">
        <v>3550</v>
      </c>
      <c r="BW179" s="1">
        <v>3540</v>
      </c>
      <c r="BX179" s="1">
        <v>3545</v>
      </c>
      <c r="BY179" s="1">
        <v>3535</v>
      </c>
      <c r="BZ179" s="1">
        <v>3570</v>
      </c>
    </row>
    <row r="180" spans="1:78" ht="15.9" customHeight="1">
      <c r="A180" s="65" t="s">
        <v>354</v>
      </c>
      <c r="B180" s="41" t="s">
        <v>355</v>
      </c>
      <c r="C180" s="45">
        <f>_xll.RssMarket("5440","安値")</f>
        <v>1852</v>
      </c>
      <c r="D180" s="16">
        <f t="shared" si="5"/>
        <v>2</v>
      </c>
      <c r="E180" s="30">
        <v>1850</v>
      </c>
      <c r="F180" s="30">
        <v>1826</v>
      </c>
      <c r="G180" s="30">
        <v>1935</v>
      </c>
      <c r="H180" s="30">
        <v>1952</v>
      </c>
      <c r="I180" s="30">
        <v>1934</v>
      </c>
      <c r="J180" s="30">
        <v>1908</v>
      </c>
      <c r="K180" s="30">
        <v>1908</v>
      </c>
      <c r="L180" s="30"/>
      <c r="M180" s="30">
        <v>1885</v>
      </c>
      <c r="N180" s="30">
        <v>1867</v>
      </c>
      <c r="O180" s="30">
        <v>1838</v>
      </c>
      <c r="P180" s="30">
        <v>1817</v>
      </c>
      <c r="Q180" s="30">
        <v>1834</v>
      </c>
      <c r="R180" s="30">
        <v>1810</v>
      </c>
      <c r="S180" s="30">
        <v>1793</v>
      </c>
      <c r="T180" s="30">
        <v>1792</v>
      </c>
      <c r="U180" s="30">
        <v>1781</v>
      </c>
      <c r="V180" s="30">
        <v>1790</v>
      </c>
      <c r="W180" s="30">
        <v>1805</v>
      </c>
      <c r="X180" s="30">
        <v>1781</v>
      </c>
      <c r="Y180" s="30">
        <v>1764</v>
      </c>
      <c r="Z180" s="30">
        <v>1732</v>
      </c>
      <c r="AA180" s="30">
        <v>1716</v>
      </c>
      <c r="AB180" s="30">
        <v>1737</v>
      </c>
      <c r="AC180" s="30">
        <v>1733</v>
      </c>
      <c r="AD180" s="30">
        <v>1692</v>
      </c>
      <c r="AE180" s="30">
        <v>1707</v>
      </c>
      <c r="AF180" s="30">
        <v>1703</v>
      </c>
      <c r="AG180" s="30">
        <v>1716</v>
      </c>
      <c r="AH180" s="30">
        <v>1722</v>
      </c>
      <c r="AI180" s="30">
        <v>1743</v>
      </c>
      <c r="AJ180" s="30">
        <v>1732</v>
      </c>
      <c r="AK180" s="30">
        <v>1742</v>
      </c>
      <c r="AL180" s="30">
        <v>1745</v>
      </c>
      <c r="AM180" s="30">
        <v>1771</v>
      </c>
      <c r="AN180" s="30">
        <v>1728</v>
      </c>
      <c r="AO180" s="30">
        <v>1698</v>
      </c>
      <c r="AP180" s="30">
        <v>1703</v>
      </c>
      <c r="AQ180" s="30">
        <v>1711</v>
      </c>
      <c r="AR180" s="30">
        <v>1740</v>
      </c>
      <c r="AS180" s="30">
        <v>1730</v>
      </c>
      <c r="AT180" s="30">
        <v>1738</v>
      </c>
      <c r="AU180" s="30">
        <v>1712</v>
      </c>
      <c r="AV180" s="30">
        <v>1808</v>
      </c>
      <c r="AW180" s="30">
        <v>1809</v>
      </c>
      <c r="AX180" s="30">
        <v>1810</v>
      </c>
      <c r="AY180" s="30">
        <v>1834</v>
      </c>
      <c r="AZ180" s="30">
        <v>1843</v>
      </c>
      <c r="BA180" s="30">
        <v>1821</v>
      </c>
      <c r="BB180" s="30">
        <v>1784</v>
      </c>
      <c r="BC180" s="30">
        <v>1821</v>
      </c>
      <c r="BD180" s="30">
        <v>1817</v>
      </c>
      <c r="BE180" s="30">
        <v>1846</v>
      </c>
      <c r="BF180" s="30">
        <v>1824</v>
      </c>
      <c r="BG180" s="30">
        <v>1802</v>
      </c>
      <c r="BH180" s="30">
        <v>1811</v>
      </c>
      <c r="BI180" s="30">
        <v>1796</v>
      </c>
      <c r="BJ180" s="30">
        <v>1781</v>
      </c>
      <c r="BK180" s="30">
        <v>1795</v>
      </c>
      <c r="BL180" s="30">
        <v>1821</v>
      </c>
      <c r="BM180" s="1">
        <v>1899</v>
      </c>
      <c r="BN180" s="1">
        <v>2161</v>
      </c>
      <c r="BO180" s="1">
        <v>2189</v>
      </c>
      <c r="BP180" s="1">
        <v>2216</v>
      </c>
      <c r="BQ180" s="1">
        <v>2226</v>
      </c>
      <c r="BR180" s="1">
        <v>2240</v>
      </c>
      <c r="BS180" s="1">
        <v>2274</v>
      </c>
      <c r="BT180" s="1">
        <v>2288</v>
      </c>
      <c r="BU180" s="1">
        <v>2285</v>
      </c>
      <c r="BV180" s="1">
        <v>2320</v>
      </c>
      <c r="BW180" s="1">
        <v>2314</v>
      </c>
      <c r="BX180" s="1">
        <v>2339</v>
      </c>
      <c r="BY180" s="1">
        <v>2326</v>
      </c>
      <c r="BZ180" s="1">
        <v>2363</v>
      </c>
    </row>
    <row r="181" spans="1:78" ht="15.9" customHeight="1">
      <c r="A181" s="65" t="s">
        <v>356</v>
      </c>
      <c r="B181" s="41" t="s">
        <v>357</v>
      </c>
      <c r="C181" s="45">
        <f>_xll.RssMarket("9505","安値")</f>
        <v>915.6</v>
      </c>
      <c r="D181" s="16">
        <f t="shared" si="5"/>
        <v>-13.299999999999955</v>
      </c>
      <c r="E181" s="30">
        <v>928.9</v>
      </c>
      <c r="F181" s="30">
        <v>928</v>
      </c>
      <c r="G181" s="30">
        <v>955.7</v>
      </c>
      <c r="H181" s="30">
        <v>968.8</v>
      </c>
      <c r="I181" s="30">
        <v>962.5</v>
      </c>
      <c r="J181" s="30">
        <v>943.9</v>
      </c>
      <c r="K181" s="30">
        <v>947.8</v>
      </c>
      <c r="L181" s="30">
        <v>930.7</v>
      </c>
      <c r="M181" s="30">
        <v>936.6</v>
      </c>
      <c r="N181" s="30">
        <v>929</v>
      </c>
      <c r="O181" s="30">
        <v>915.3</v>
      </c>
      <c r="P181" s="30">
        <v>901.4</v>
      </c>
      <c r="Q181" s="30">
        <v>905</v>
      </c>
      <c r="R181" s="30">
        <v>889.1</v>
      </c>
      <c r="S181" s="30">
        <v>881.1</v>
      </c>
      <c r="T181" s="30">
        <v>900.3</v>
      </c>
      <c r="U181" s="30">
        <v>906.2</v>
      </c>
      <c r="V181" s="30">
        <v>909.6</v>
      </c>
      <c r="W181" s="30">
        <v>902</v>
      </c>
      <c r="X181" s="30">
        <v>890</v>
      </c>
      <c r="Y181" s="30">
        <v>882.3</v>
      </c>
      <c r="Z181" s="30">
        <v>874</v>
      </c>
      <c r="AA181" s="30">
        <v>860.9</v>
      </c>
      <c r="AB181" s="30">
        <v>861.6</v>
      </c>
      <c r="AC181" s="30">
        <v>868.7</v>
      </c>
      <c r="AD181" s="30">
        <v>861.9</v>
      </c>
      <c r="AE181" s="30">
        <v>854</v>
      </c>
      <c r="AF181" s="30">
        <v>849.9</v>
      </c>
      <c r="AG181" s="30">
        <v>845.5</v>
      </c>
      <c r="AH181" s="30">
        <v>839</v>
      </c>
      <c r="AI181" s="30">
        <v>839.1</v>
      </c>
      <c r="AJ181" s="30">
        <v>843.4</v>
      </c>
      <c r="AK181" s="30">
        <v>840.1</v>
      </c>
      <c r="AL181" s="30">
        <v>844.1</v>
      </c>
      <c r="AM181" s="30">
        <v>872.4</v>
      </c>
      <c r="AN181" s="30">
        <v>848.2</v>
      </c>
      <c r="AO181" s="30">
        <v>840.7</v>
      </c>
      <c r="AP181" s="30">
        <v>838.6</v>
      </c>
      <c r="AQ181" s="30">
        <v>804.5</v>
      </c>
      <c r="AR181" s="30">
        <v>806.1</v>
      </c>
      <c r="AS181" s="30">
        <v>793.9</v>
      </c>
      <c r="AT181" s="30">
        <v>811</v>
      </c>
      <c r="AU181" s="30">
        <v>782.2</v>
      </c>
      <c r="AV181" s="30">
        <v>821</v>
      </c>
      <c r="AW181" s="30">
        <v>838.9</v>
      </c>
      <c r="AX181" s="30">
        <v>853.1</v>
      </c>
      <c r="AY181" s="30">
        <v>844.3</v>
      </c>
      <c r="AZ181" s="30">
        <v>860.6</v>
      </c>
      <c r="BA181" s="30">
        <v>868.5</v>
      </c>
      <c r="BB181" s="30">
        <v>860.9</v>
      </c>
      <c r="BC181" s="30">
        <v>863.7</v>
      </c>
      <c r="BD181" s="30">
        <v>866.4</v>
      </c>
      <c r="BE181" s="30">
        <v>897</v>
      </c>
      <c r="BF181" s="30">
        <v>904</v>
      </c>
      <c r="BG181" s="30">
        <v>906</v>
      </c>
      <c r="BH181" s="30">
        <v>901.1</v>
      </c>
      <c r="BI181" s="30">
        <v>871</v>
      </c>
      <c r="BJ181" s="30">
        <v>878.6</v>
      </c>
      <c r="BK181" s="30">
        <v>856.6</v>
      </c>
      <c r="BL181" s="30">
        <v>856</v>
      </c>
      <c r="BM181" s="1">
        <v>871.3</v>
      </c>
      <c r="BN181" s="1">
        <v>984</v>
      </c>
      <c r="BO181" s="1">
        <v>973.5</v>
      </c>
      <c r="BP181" s="1">
        <v>989.3</v>
      </c>
      <c r="BQ181" s="1">
        <v>978.5</v>
      </c>
      <c r="BR181" s="1">
        <v>994.5</v>
      </c>
      <c r="BS181" s="1">
        <v>1010.5</v>
      </c>
      <c r="BT181" s="1">
        <v>1025.5</v>
      </c>
      <c r="BU181" s="1">
        <v>1058.5</v>
      </c>
      <c r="BV181" s="1">
        <v>1077</v>
      </c>
      <c r="BW181" s="1">
        <v>1073.5</v>
      </c>
      <c r="BX181" s="1">
        <v>1073.5</v>
      </c>
      <c r="BY181" s="1">
        <v>1082.5</v>
      </c>
      <c r="BZ181" s="1">
        <v>1100.5</v>
      </c>
    </row>
    <row r="182" spans="1:78" ht="15.9" customHeight="1">
      <c r="A182" s="65" t="s">
        <v>358</v>
      </c>
      <c r="B182" s="41" t="s">
        <v>359</v>
      </c>
      <c r="C182" s="45">
        <f>_xll.RssMarket("8091","安値")</f>
        <v>2339</v>
      </c>
      <c r="D182" s="16">
        <f t="shared" si="5"/>
        <v>-17</v>
      </c>
      <c r="E182" s="30">
        <v>2356</v>
      </c>
      <c r="F182" s="30">
        <v>2334</v>
      </c>
      <c r="G182" s="30">
        <v>2365</v>
      </c>
      <c r="H182" s="30">
        <v>2359</v>
      </c>
      <c r="I182" s="30">
        <v>2341</v>
      </c>
      <c r="J182" s="30">
        <v>2334</v>
      </c>
      <c r="K182" s="30">
        <v>2331</v>
      </c>
      <c r="L182" s="30">
        <v>2312</v>
      </c>
      <c r="M182" s="30">
        <v>2312</v>
      </c>
      <c r="N182" s="30">
        <v>2328</v>
      </c>
      <c r="O182" s="30">
        <v>2319</v>
      </c>
      <c r="P182" s="30">
        <v>2298</v>
      </c>
      <c r="Q182" s="30">
        <v>2279</v>
      </c>
      <c r="R182" s="30">
        <v>2271</v>
      </c>
      <c r="S182" s="30">
        <v>2269</v>
      </c>
      <c r="T182" s="30">
        <v>2268</v>
      </c>
      <c r="U182" s="30">
        <v>2250</v>
      </c>
      <c r="V182" s="30">
        <v>2262</v>
      </c>
      <c r="W182" s="30">
        <v>2321</v>
      </c>
      <c r="X182" s="30">
        <v>2300</v>
      </c>
      <c r="Y182" s="30">
        <v>2280</v>
      </c>
      <c r="Z182" s="30">
        <v>2274</v>
      </c>
      <c r="AA182" s="30">
        <v>2264</v>
      </c>
      <c r="AB182" s="30">
        <v>2277</v>
      </c>
      <c r="AC182" s="30">
        <v>2265</v>
      </c>
      <c r="AD182" s="30">
        <v>2261</v>
      </c>
      <c r="AE182" s="30">
        <v>2277</v>
      </c>
      <c r="AF182" s="30">
        <v>2265</v>
      </c>
      <c r="AG182" s="30">
        <v>2261</v>
      </c>
      <c r="AH182" s="30">
        <v>2240</v>
      </c>
      <c r="AI182" s="30">
        <v>2261</v>
      </c>
      <c r="AJ182" s="30">
        <v>2211</v>
      </c>
      <c r="AK182" s="30">
        <v>2211</v>
      </c>
      <c r="AL182" s="30">
        <v>2183</v>
      </c>
      <c r="AM182" s="30">
        <v>2184</v>
      </c>
      <c r="AN182" s="30">
        <v>2154</v>
      </c>
      <c r="AO182" s="30">
        <v>2162</v>
      </c>
      <c r="AP182" s="30">
        <v>2166</v>
      </c>
      <c r="AQ182" s="30">
        <v>2159</v>
      </c>
      <c r="AR182" s="30">
        <v>2187</v>
      </c>
      <c r="AS182" s="30">
        <v>2128</v>
      </c>
      <c r="AT182" s="30">
        <v>2092</v>
      </c>
      <c r="AU182" s="30">
        <v>2111</v>
      </c>
      <c r="AV182" s="30">
        <v>2162</v>
      </c>
      <c r="AW182" s="30">
        <v>2132</v>
      </c>
      <c r="AX182" s="30">
        <v>2122</v>
      </c>
      <c r="AY182" s="30">
        <v>2111</v>
      </c>
      <c r="AZ182" s="30">
        <v>2130</v>
      </c>
      <c r="BA182" s="30">
        <v>2150</v>
      </c>
      <c r="BB182" s="30">
        <v>2133</v>
      </c>
      <c r="BC182" s="30">
        <v>2161</v>
      </c>
      <c r="BD182" s="30">
        <v>2114</v>
      </c>
      <c r="BE182" s="30">
        <v>2270</v>
      </c>
      <c r="BF182" s="30">
        <v>2265</v>
      </c>
      <c r="BG182" s="30">
        <v>2245</v>
      </c>
      <c r="BH182" s="30">
        <v>2240</v>
      </c>
      <c r="BI182" s="30">
        <v>2240</v>
      </c>
      <c r="BJ182" s="30">
        <v>2215</v>
      </c>
      <c r="BK182" s="30">
        <v>2227</v>
      </c>
      <c r="BL182" s="30">
        <v>2205</v>
      </c>
      <c r="BM182" s="1">
        <v>2229</v>
      </c>
      <c r="BN182" s="1">
        <v>2260</v>
      </c>
      <c r="BO182" s="1">
        <v>2257</v>
      </c>
      <c r="BP182" s="1">
        <v>2430</v>
      </c>
      <c r="BQ182" s="1">
        <v>2438</v>
      </c>
      <c r="BR182" s="1">
        <v>2464</v>
      </c>
      <c r="BS182" s="1">
        <v>2488</v>
      </c>
      <c r="BT182" s="1">
        <v>2500</v>
      </c>
      <c r="BU182" s="1">
        <v>2509</v>
      </c>
      <c r="BV182" s="1">
        <v>2520</v>
      </c>
      <c r="BW182" s="1">
        <v>2520</v>
      </c>
      <c r="BX182" s="1">
        <v>2520</v>
      </c>
      <c r="BY182" s="1">
        <v>2509</v>
      </c>
      <c r="BZ182" s="1">
        <v>2533</v>
      </c>
    </row>
    <row r="183" spans="1:78" ht="15.9" customHeight="1">
      <c r="A183" s="65" t="s">
        <v>360</v>
      </c>
      <c r="B183" s="41" t="s">
        <v>361</v>
      </c>
      <c r="C183" s="45">
        <f>_xll.RssMarket("6507","安値")</f>
        <v>14150</v>
      </c>
      <c r="D183" s="16">
        <f t="shared" si="5"/>
        <v>810</v>
      </c>
      <c r="E183" s="30">
        <v>13340</v>
      </c>
      <c r="F183" s="30">
        <v>12790</v>
      </c>
      <c r="G183" s="30">
        <v>12710</v>
      </c>
      <c r="H183" s="30">
        <v>11710</v>
      </c>
      <c r="I183" s="30">
        <v>11530</v>
      </c>
      <c r="J183" s="30">
        <v>12500</v>
      </c>
      <c r="K183" s="30">
        <v>13460</v>
      </c>
      <c r="L183" s="30">
        <v>13970</v>
      </c>
      <c r="M183" s="30">
        <v>13920</v>
      </c>
      <c r="N183" s="30">
        <v>13860</v>
      </c>
      <c r="O183" s="30">
        <v>13210</v>
      </c>
      <c r="P183" s="30">
        <v>12960</v>
      </c>
      <c r="Q183" s="30">
        <v>14150</v>
      </c>
      <c r="R183" s="30">
        <v>13880</v>
      </c>
      <c r="S183" s="30">
        <v>14150</v>
      </c>
      <c r="T183" s="30">
        <v>14870</v>
      </c>
      <c r="U183" s="30">
        <v>14640</v>
      </c>
      <c r="V183" s="30">
        <v>14500</v>
      </c>
      <c r="W183" s="30">
        <v>15380</v>
      </c>
      <c r="X183" s="30">
        <v>15700</v>
      </c>
      <c r="Y183" s="30">
        <v>14700</v>
      </c>
      <c r="Z183" s="30">
        <v>15230</v>
      </c>
      <c r="AA183" s="30">
        <v>16170</v>
      </c>
      <c r="AB183" s="30">
        <v>15460</v>
      </c>
      <c r="AC183" s="30">
        <v>14790</v>
      </c>
      <c r="AD183" s="30">
        <v>15240</v>
      </c>
      <c r="AE183" s="30">
        <v>15800</v>
      </c>
      <c r="AF183" s="30">
        <v>15340</v>
      </c>
      <c r="AG183" s="30">
        <v>15550</v>
      </c>
      <c r="AH183" s="30">
        <v>16470</v>
      </c>
      <c r="AI183" s="30">
        <v>16120</v>
      </c>
      <c r="AJ183" s="30">
        <v>15850</v>
      </c>
      <c r="AK183" s="30">
        <v>14590</v>
      </c>
      <c r="AL183" s="30">
        <v>13710</v>
      </c>
      <c r="AM183" s="30">
        <v>13640</v>
      </c>
      <c r="AN183" s="30">
        <v>13190</v>
      </c>
      <c r="AO183" s="30">
        <v>12350</v>
      </c>
      <c r="AP183" s="30">
        <v>13170</v>
      </c>
      <c r="AQ183" s="30">
        <v>13940</v>
      </c>
      <c r="AR183" s="30">
        <v>14700</v>
      </c>
      <c r="AS183" s="30">
        <v>13710</v>
      </c>
      <c r="AT183" s="30">
        <v>13730</v>
      </c>
      <c r="AU183" s="30">
        <v>13430</v>
      </c>
      <c r="AV183" s="30">
        <v>13580</v>
      </c>
      <c r="AW183" s="30">
        <v>13760</v>
      </c>
      <c r="AX183" s="30">
        <v>14420</v>
      </c>
      <c r="AY183" s="30">
        <v>14240</v>
      </c>
      <c r="AZ183" s="30">
        <v>13790</v>
      </c>
      <c r="BA183" s="30">
        <v>13220</v>
      </c>
      <c r="BB183" s="30">
        <v>12740</v>
      </c>
      <c r="BC183" s="30">
        <v>13520</v>
      </c>
      <c r="BD183" s="30">
        <v>14850</v>
      </c>
      <c r="BE183" s="30">
        <v>14930</v>
      </c>
      <c r="BF183" s="30">
        <v>14140</v>
      </c>
      <c r="BG183" s="30">
        <v>14320</v>
      </c>
      <c r="BH183" s="30">
        <v>14670</v>
      </c>
      <c r="BI183" s="30">
        <v>14720</v>
      </c>
      <c r="BJ183" s="30">
        <v>14400</v>
      </c>
      <c r="BK183" s="30">
        <v>14870</v>
      </c>
      <c r="BL183" s="30">
        <v>14090</v>
      </c>
      <c r="BM183" s="1">
        <v>13660</v>
      </c>
      <c r="BN183" s="1">
        <v>13530</v>
      </c>
      <c r="BO183" s="1">
        <v>13200</v>
      </c>
      <c r="BP183" s="1">
        <v>13050</v>
      </c>
      <c r="BQ183" s="1">
        <v>12950</v>
      </c>
      <c r="BR183" s="1">
        <v>13070</v>
      </c>
      <c r="BS183" s="1">
        <v>13320</v>
      </c>
      <c r="BT183" s="1">
        <v>13490</v>
      </c>
      <c r="BU183" s="1">
        <v>13440</v>
      </c>
      <c r="BV183" s="1">
        <v>13560</v>
      </c>
      <c r="BW183" s="1">
        <v>13080</v>
      </c>
      <c r="BX183" s="1">
        <v>13280</v>
      </c>
      <c r="BY183" s="1">
        <v>13030</v>
      </c>
      <c r="BZ183" s="1">
        <v>12960</v>
      </c>
    </row>
    <row r="184" spans="1:78" ht="15.9" customHeight="1">
      <c r="A184" s="65" t="s">
        <v>362</v>
      </c>
      <c r="B184" s="41" t="s">
        <v>363</v>
      </c>
      <c r="C184" s="45">
        <f>_xll.RssMarket("9022","安値")</f>
        <v>3764</v>
      </c>
      <c r="D184" s="16">
        <f t="shared" si="5"/>
        <v>-33</v>
      </c>
      <c r="E184" s="30">
        <v>3797</v>
      </c>
      <c r="F184" s="30">
        <v>3801</v>
      </c>
      <c r="G184" s="30">
        <v>3988</v>
      </c>
      <c r="H184" s="30">
        <v>4121</v>
      </c>
      <c r="I184" s="30">
        <v>4072</v>
      </c>
      <c r="J184" s="30">
        <v>4017</v>
      </c>
      <c r="K184" s="30">
        <v>3910</v>
      </c>
      <c r="L184" s="30">
        <v>3788</v>
      </c>
      <c r="M184" s="30">
        <v>3774</v>
      </c>
      <c r="N184" s="30">
        <v>3735</v>
      </c>
      <c r="O184" s="30">
        <v>3803</v>
      </c>
      <c r="P184" s="30">
        <v>3709</v>
      </c>
      <c r="Q184" s="30">
        <v>3666</v>
      </c>
      <c r="R184" s="30">
        <v>3663</v>
      </c>
      <c r="S184" s="30">
        <v>3627</v>
      </c>
      <c r="T184" s="30">
        <v>3586</v>
      </c>
      <c r="U184" s="30">
        <v>3586</v>
      </c>
      <c r="V184" s="30">
        <v>3618</v>
      </c>
      <c r="W184" s="30">
        <v>3543</v>
      </c>
      <c r="X184" s="30">
        <v>3515</v>
      </c>
      <c r="Y184" s="30">
        <v>3501</v>
      </c>
      <c r="Z184" s="30">
        <v>3403</v>
      </c>
      <c r="AA184" s="30">
        <v>3376</v>
      </c>
      <c r="AB184" s="30">
        <v>3460</v>
      </c>
      <c r="AC184" s="30">
        <v>3430</v>
      </c>
      <c r="AD184" s="30">
        <v>3335</v>
      </c>
      <c r="AE184" s="30">
        <v>3322</v>
      </c>
      <c r="AF184" s="30">
        <v>3343</v>
      </c>
      <c r="AG184" s="30">
        <v>3238</v>
      </c>
      <c r="AH184" s="30">
        <v>3202</v>
      </c>
      <c r="AI184" s="30">
        <v>3222</v>
      </c>
      <c r="AJ184" s="30">
        <v>3276</v>
      </c>
      <c r="AK184" s="30">
        <v>3284</v>
      </c>
      <c r="AL184" s="30">
        <v>3268</v>
      </c>
      <c r="AM184" s="30">
        <v>3331</v>
      </c>
      <c r="AN184" s="30">
        <v>3349</v>
      </c>
      <c r="AO184" s="30">
        <v>3401</v>
      </c>
      <c r="AP184" s="30">
        <v>3436</v>
      </c>
      <c r="AQ184" s="30">
        <v>3337</v>
      </c>
      <c r="AR184" s="30">
        <v>3300</v>
      </c>
      <c r="AS184" s="30">
        <v>3277</v>
      </c>
      <c r="AT184" s="30">
        <v>3304</v>
      </c>
      <c r="AU184" s="30">
        <v>3334</v>
      </c>
      <c r="AV184" s="30">
        <v>3452</v>
      </c>
      <c r="AW184" s="30">
        <v>3469</v>
      </c>
      <c r="AX184" s="30">
        <v>3482</v>
      </c>
      <c r="AY184" s="30">
        <v>3496</v>
      </c>
      <c r="AZ184" s="30">
        <v>3512</v>
      </c>
      <c r="BA184" s="30">
        <v>3535</v>
      </c>
      <c r="BB184" s="30">
        <v>3521</v>
      </c>
      <c r="BC184" s="30">
        <v>3553</v>
      </c>
      <c r="BD184" s="30">
        <v>3545</v>
      </c>
      <c r="BE184" s="30">
        <v>3563</v>
      </c>
      <c r="BF184" s="30">
        <v>3591</v>
      </c>
      <c r="BG184" s="30">
        <v>3603</v>
      </c>
      <c r="BH184" s="30">
        <v>3551</v>
      </c>
      <c r="BI184" s="30">
        <v>3564</v>
      </c>
      <c r="BJ184" s="30">
        <v>3569</v>
      </c>
      <c r="BK184" s="30">
        <v>3552</v>
      </c>
      <c r="BL184" s="30">
        <v>3570</v>
      </c>
      <c r="BM184" s="1">
        <v>3691</v>
      </c>
      <c r="BN184" s="1">
        <v>4063</v>
      </c>
      <c r="BO184" s="1">
        <v>4027</v>
      </c>
      <c r="BP184" s="1">
        <v>4062</v>
      </c>
      <c r="BQ184" s="1">
        <v>4010</v>
      </c>
      <c r="BR184" s="1">
        <v>4135</v>
      </c>
      <c r="BS184" s="1">
        <v>4206</v>
      </c>
      <c r="BT184" s="1">
        <v>4188</v>
      </c>
      <c r="BU184" s="1">
        <v>4192</v>
      </c>
      <c r="BV184" s="1">
        <v>4251</v>
      </c>
      <c r="BW184" s="1">
        <v>4291</v>
      </c>
      <c r="BX184" s="1">
        <v>4183</v>
      </c>
      <c r="BY184" s="1">
        <v>4160</v>
      </c>
      <c r="BZ184" s="1">
        <v>4196</v>
      </c>
    </row>
    <row r="185" spans="1:78" ht="15.9" customHeight="1">
      <c r="A185" s="65" t="s">
        <v>364</v>
      </c>
      <c r="B185" s="41" t="s">
        <v>365</v>
      </c>
      <c r="C185" s="45">
        <f>_xll.RssMarket("9536","安値")</f>
        <v>2347</v>
      </c>
      <c r="D185" s="16">
        <f t="shared" si="5"/>
        <v>-25</v>
      </c>
      <c r="E185" s="30">
        <v>2372</v>
      </c>
      <c r="F185" s="30">
        <v>2371</v>
      </c>
      <c r="G185" s="30">
        <v>2361</v>
      </c>
      <c r="H185" s="30">
        <v>2354</v>
      </c>
      <c r="I185" s="30">
        <v>2316</v>
      </c>
      <c r="J185" s="30">
        <v>2343</v>
      </c>
      <c r="K185" s="30">
        <v>2377</v>
      </c>
      <c r="L185" s="30">
        <v>2343</v>
      </c>
      <c r="M185" s="30">
        <v>2351</v>
      </c>
      <c r="N185" s="30">
        <v>2328</v>
      </c>
      <c r="O185" s="30">
        <v>2339</v>
      </c>
      <c r="P185" s="30">
        <v>2291</v>
      </c>
      <c r="Q185" s="30">
        <v>2323</v>
      </c>
      <c r="R185" s="30">
        <v>2302</v>
      </c>
      <c r="S185" s="30">
        <v>2295</v>
      </c>
      <c r="T185" s="30">
        <v>2303</v>
      </c>
      <c r="U185" s="30">
        <v>2335</v>
      </c>
      <c r="V185" s="30">
        <v>2324</v>
      </c>
      <c r="W185" s="30">
        <v>2296</v>
      </c>
      <c r="X185" s="30">
        <v>2275</v>
      </c>
      <c r="Y185" s="30">
        <v>2245</v>
      </c>
      <c r="Z185" s="30">
        <v>2220</v>
      </c>
      <c r="AA185" s="30">
        <v>2216</v>
      </c>
      <c r="AB185" s="30">
        <v>2248</v>
      </c>
      <c r="AC185" s="30">
        <v>2247</v>
      </c>
      <c r="AD185" s="30">
        <v>2221</v>
      </c>
      <c r="AE185" s="30">
        <v>2211</v>
      </c>
      <c r="AF185" s="30">
        <v>2216</v>
      </c>
      <c r="AG185" s="30">
        <v>2201</v>
      </c>
      <c r="AH185" s="30">
        <v>2205</v>
      </c>
      <c r="AI185" s="30">
        <v>2226</v>
      </c>
      <c r="AJ185" s="30">
        <v>2224</v>
      </c>
      <c r="AK185" s="30">
        <v>2237</v>
      </c>
      <c r="AL185" s="30">
        <v>2225</v>
      </c>
      <c r="AM185" s="30">
        <v>2248</v>
      </c>
      <c r="AN185" s="30">
        <v>2223</v>
      </c>
      <c r="AO185" s="30">
        <v>2215</v>
      </c>
      <c r="AP185" s="30">
        <v>2221</v>
      </c>
      <c r="AQ185" s="30">
        <v>2170</v>
      </c>
      <c r="AR185" s="30">
        <v>2184</v>
      </c>
      <c r="AS185" s="30">
        <v>2168</v>
      </c>
      <c r="AT185" s="30">
        <v>2165</v>
      </c>
      <c r="AU185" s="30">
        <v>2154</v>
      </c>
      <c r="AV185" s="30">
        <v>2187</v>
      </c>
      <c r="AW185" s="30">
        <v>2172</v>
      </c>
      <c r="AX185" s="30">
        <v>2196</v>
      </c>
      <c r="AY185" s="30">
        <v>2187</v>
      </c>
      <c r="AZ185" s="30">
        <v>2196</v>
      </c>
      <c r="BA185" s="30">
        <v>2201</v>
      </c>
      <c r="BB185" s="30">
        <v>2191</v>
      </c>
      <c r="BC185" s="30">
        <v>2219</v>
      </c>
      <c r="BD185" s="30">
        <v>2182</v>
      </c>
      <c r="BE185" s="30">
        <v>2242</v>
      </c>
      <c r="BF185" s="30">
        <v>2225</v>
      </c>
      <c r="BG185" s="30">
        <v>2218</v>
      </c>
      <c r="BH185" s="30">
        <v>2222</v>
      </c>
      <c r="BI185" s="30">
        <v>2220</v>
      </c>
      <c r="BJ185" s="30">
        <v>2208</v>
      </c>
      <c r="BK185" s="30">
        <v>2205</v>
      </c>
      <c r="BL185" s="30">
        <v>2188</v>
      </c>
      <c r="BM185" s="1">
        <v>2236</v>
      </c>
      <c r="BN185" s="1">
        <v>2422</v>
      </c>
      <c r="BO185" s="1">
        <v>2423</v>
      </c>
      <c r="BP185" s="1">
        <v>2445</v>
      </c>
      <c r="BQ185" s="1">
        <v>2430</v>
      </c>
      <c r="BR185" s="1">
        <v>2452</v>
      </c>
      <c r="BS185" s="1">
        <v>2514</v>
      </c>
      <c r="BT185" s="1">
        <v>2523</v>
      </c>
      <c r="BU185" s="1">
        <v>2585</v>
      </c>
      <c r="BV185" s="1">
        <v>2600</v>
      </c>
      <c r="BW185" s="1">
        <v>2577</v>
      </c>
      <c r="BX185" s="1">
        <v>2556</v>
      </c>
      <c r="BY185" s="1">
        <v>2552</v>
      </c>
      <c r="BZ185" s="1">
        <v>2541</v>
      </c>
    </row>
    <row r="186" spans="1:78" ht="15.9" customHeight="1">
      <c r="A186" s="65" t="s">
        <v>366</v>
      </c>
      <c r="B186" s="41" t="s">
        <v>367</v>
      </c>
      <c r="C186" s="45">
        <f>_xll.RssMarket("9506","安値")</f>
        <v>1188.5</v>
      </c>
      <c r="D186" s="16">
        <f t="shared" si="5"/>
        <v>5.5</v>
      </c>
      <c r="E186" s="30">
        <v>1183</v>
      </c>
      <c r="F186" s="30">
        <v>1139.5</v>
      </c>
      <c r="G186" s="30">
        <v>1174.5</v>
      </c>
      <c r="H186" s="30">
        <v>1166.5</v>
      </c>
      <c r="I186" s="30">
        <v>1162.5</v>
      </c>
      <c r="J186" s="30">
        <v>1156.5</v>
      </c>
      <c r="K186" s="30">
        <v>1156</v>
      </c>
      <c r="L186" s="30">
        <v>1133.5</v>
      </c>
      <c r="M186" s="30">
        <v>1141.5</v>
      </c>
      <c r="N186" s="30">
        <v>1126.5</v>
      </c>
      <c r="O186" s="30">
        <v>1130</v>
      </c>
      <c r="P186" s="30">
        <v>1114</v>
      </c>
      <c r="Q186" s="30">
        <v>1111.5</v>
      </c>
      <c r="R186" s="30">
        <v>1092</v>
      </c>
      <c r="S186" s="30">
        <v>1077</v>
      </c>
      <c r="T186" s="30">
        <v>1088</v>
      </c>
      <c r="U186" s="30">
        <v>1091.5</v>
      </c>
      <c r="V186" s="30">
        <v>1084.5</v>
      </c>
      <c r="W186" s="30">
        <v>1073</v>
      </c>
      <c r="X186" s="30">
        <v>1073.5</v>
      </c>
      <c r="Y186" s="30">
        <v>1060.5</v>
      </c>
      <c r="Z186" s="30">
        <v>1052.5</v>
      </c>
      <c r="AA186" s="30">
        <v>1048</v>
      </c>
      <c r="AB186" s="30">
        <v>1050</v>
      </c>
      <c r="AC186" s="30">
        <v>1039</v>
      </c>
      <c r="AD186" s="30">
        <v>1032.5</v>
      </c>
      <c r="AE186" s="30">
        <v>1035.5</v>
      </c>
      <c r="AF186" s="30">
        <v>1027.5</v>
      </c>
      <c r="AG186" s="30">
        <v>1030.5</v>
      </c>
      <c r="AH186" s="30">
        <v>1033</v>
      </c>
      <c r="AI186" s="30">
        <v>1041</v>
      </c>
      <c r="AJ186" s="30">
        <v>1039</v>
      </c>
      <c r="AK186" s="30">
        <v>1032.5</v>
      </c>
      <c r="AL186" s="30">
        <v>1039.5</v>
      </c>
      <c r="AM186" s="30">
        <v>1033</v>
      </c>
      <c r="AN186" s="30">
        <v>1008</v>
      </c>
      <c r="AO186" s="30">
        <v>1013</v>
      </c>
      <c r="AP186" s="30">
        <v>1006</v>
      </c>
      <c r="AQ186" s="30">
        <v>989.4</v>
      </c>
      <c r="AR186" s="30">
        <v>993</v>
      </c>
      <c r="AS186" s="30">
        <v>989.6</v>
      </c>
      <c r="AT186" s="30">
        <v>987.1</v>
      </c>
      <c r="AU186" s="30">
        <v>972.2</v>
      </c>
      <c r="AV186" s="30">
        <v>985.9</v>
      </c>
      <c r="AW186" s="30">
        <v>993.2</v>
      </c>
      <c r="AX186" s="30">
        <v>996.5</v>
      </c>
      <c r="AY186" s="30">
        <v>1004</v>
      </c>
      <c r="AZ186" s="30">
        <v>1006</v>
      </c>
      <c r="BA186" s="30">
        <v>1012</v>
      </c>
      <c r="BB186" s="30">
        <v>1002</v>
      </c>
      <c r="BC186" s="30">
        <v>1012.5</v>
      </c>
      <c r="BD186" s="30">
        <v>1006.5</v>
      </c>
      <c r="BE186" s="30">
        <v>1040</v>
      </c>
      <c r="BF186" s="30">
        <v>1050</v>
      </c>
      <c r="BG186" s="30">
        <v>1061</v>
      </c>
      <c r="BH186" s="30">
        <v>1058</v>
      </c>
      <c r="BI186" s="30">
        <v>1050</v>
      </c>
      <c r="BJ186" s="30">
        <v>1051.5</v>
      </c>
      <c r="BK186" s="30">
        <v>1060.5</v>
      </c>
      <c r="BL186" s="30">
        <v>1053.5</v>
      </c>
      <c r="BM186" s="1">
        <v>1080.5</v>
      </c>
      <c r="BN186" s="1">
        <v>1124</v>
      </c>
      <c r="BO186" s="1">
        <v>1115.5</v>
      </c>
      <c r="BP186" s="1">
        <v>1127.5</v>
      </c>
      <c r="BQ186" s="1">
        <v>1110</v>
      </c>
      <c r="BR186" s="1">
        <v>1126.5</v>
      </c>
      <c r="BS186" s="1">
        <v>1144.5</v>
      </c>
      <c r="BT186" s="1">
        <v>1166</v>
      </c>
      <c r="BU186" s="1">
        <v>1173</v>
      </c>
      <c r="BV186" s="1">
        <v>1171.5</v>
      </c>
      <c r="BW186" s="1">
        <v>1170</v>
      </c>
      <c r="BX186" s="1">
        <v>1162.5</v>
      </c>
      <c r="BY186" s="1">
        <v>1157</v>
      </c>
      <c r="BZ186" s="1">
        <v>1159.5</v>
      </c>
    </row>
    <row r="187" spans="1:78" ht="15.9" customHeight="1">
      <c r="A187" s="65" t="s">
        <v>368</v>
      </c>
      <c r="B187" s="41" t="s">
        <v>369</v>
      </c>
      <c r="C187" s="45">
        <f>_xll.RssMarket("2127","安値")</f>
        <v>629.29999999999995</v>
      </c>
      <c r="D187" s="16">
        <f t="shared" si="5"/>
        <v>-1.4000000000000909</v>
      </c>
      <c r="E187" s="30">
        <v>630.70000000000005</v>
      </c>
      <c r="F187" s="30">
        <v>620.6</v>
      </c>
      <c r="G187" s="30">
        <v>612</v>
      </c>
      <c r="H187" s="30">
        <v>697.4</v>
      </c>
      <c r="I187" s="30">
        <v>677.5</v>
      </c>
      <c r="J187" s="30">
        <v>679</v>
      </c>
      <c r="K187" s="30">
        <v>670.3</v>
      </c>
      <c r="L187" s="30">
        <v>653.9</v>
      </c>
      <c r="M187" s="30">
        <v>658.9</v>
      </c>
      <c r="N187" s="30">
        <v>663.5</v>
      </c>
      <c r="O187" s="30">
        <v>674</v>
      </c>
      <c r="P187" s="30">
        <v>666.1</v>
      </c>
      <c r="Q187" s="30">
        <v>673.3</v>
      </c>
      <c r="R187" s="30">
        <v>675.1</v>
      </c>
      <c r="S187" s="30">
        <v>667.5</v>
      </c>
      <c r="T187" s="30">
        <v>670.5</v>
      </c>
      <c r="U187" s="30">
        <v>676.1</v>
      </c>
      <c r="V187" s="30">
        <v>679.1</v>
      </c>
      <c r="W187" s="30">
        <v>680</v>
      </c>
      <c r="X187" s="30">
        <v>656.8</v>
      </c>
      <c r="Y187" s="30">
        <v>650.6</v>
      </c>
      <c r="Z187" s="30">
        <v>644.29999999999995</v>
      </c>
      <c r="AA187" s="30">
        <v>629.1</v>
      </c>
      <c r="AB187" s="30">
        <v>632.1</v>
      </c>
      <c r="AC187" s="30">
        <v>622</v>
      </c>
      <c r="AD187" s="30">
        <v>616.20000000000005</v>
      </c>
      <c r="AE187" s="30">
        <v>623.79999999999995</v>
      </c>
      <c r="AF187" s="30">
        <v>625.1</v>
      </c>
      <c r="AG187" s="30">
        <v>627.1</v>
      </c>
      <c r="AH187" s="30">
        <v>632.29999999999995</v>
      </c>
      <c r="AI187" s="30">
        <v>642.29999999999995</v>
      </c>
      <c r="AJ187" s="30">
        <v>650</v>
      </c>
      <c r="AK187" s="30">
        <v>640.79999999999995</v>
      </c>
      <c r="AL187" s="30">
        <v>632.70000000000005</v>
      </c>
      <c r="AM187" s="30">
        <v>636</v>
      </c>
      <c r="AN187" s="30">
        <v>633.1</v>
      </c>
      <c r="AO187" s="30">
        <v>632.5</v>
      </c>
      <c r="AP187" s="30">
        <v>633.20000000000005</v>
      </c>
      <c r="AQ187" s="30">
        <v>627</v>
      </c>
      <c r="AR187" s="30">
        <v>620</v>
      </c>
      <c r="AS187" s="30">
        <v>621.20000000000005</v>
      </c>
      <c r="AT187" s="30">
        <v>628</v>
      </c>
      <c r="AU187" s="30">
        <v>643.5</v>
      </c>
      <c r="AV187" s="30">
        <v>650.5</v>
      </c>
      <c r="AW187" s="30">
        <v>644.70000000000005</v>
      </c>
      <c r="AX187" s="30">
        <v>660.2</v>
      </c>
      <c r="AY187" s="30">
        <v>645.79999999999995</v>
      </c>
      <c r="AZ187" s="30">
        <v>655.4</v>
      </c>
      <c r="BA187" s="30">
        <v>648.6</v>
      </c>
      <c r="BB187" s="30">
        <v>640.29999999999995</v>
      </c>
      <c r="BC187" s="30">
        <v>639.79999999999995</v>
      </c>
      <c r="BD187" s="30">
        <v>631.1</v>
      </c>
      <c r="BE187" s="30">
        <v>633.4</v>
      </c>
      <c r="BF187" s="30">
        <v>634.4</v>
      </c>
      <c r="BG187" s="30">
        <v>634.1</v>
      </c>
      <c r="BH187" s="30">
        <v>636.4</v>
      </c>
      <c r="BI187" s="30">
        <v>650.5</v>
      </c>
      <c r="BJ187" s="30">
        <v>637</v>
      </c>
      <c r="BK187" s="30">
        <v>607.70000000000005</v>
      </c>
      <c r="BL187" s="30">
        <v>615.1</v>
      </c>
      <c r="BM187" s="1">
        <v>654</v>
      </c>
      <c r="BN187" s="1">
        <v>683.8</v>
      </c>
      <c r="BO187" s="1">
        <v>669</v>
      </c>
      <c r="BP187" s="1">
        <v>668.5</v>
      </c>
      <c r="BQ187" s="1">
        <v>676.5</v>
      </c>
      <c r="BR187" s="1">
        <v>688.8</v>
      </c>
      <c r="BS187" s="1">
        <v>685.8</v>
      </c>
      <c r="BT187" s="1">
        <v>681</v>
      </c>
      <c r="BU187" s="1">
        <v>687.4</v>
      </c>
      <c r="BV187" s="1">
        <v>682</v>
      </c>
      <c r="BW187" s="1">
        <v>670.5</v>
      </c>
      <c r="BX187" s="1">
        <v>662.5</v>
      </c>
      <c r="BY187" s="1">
        <v>652.29999999999995</v>
      </c>
      <c r="BZ187" s="1">
        <v>654</v>
      </c>
    </row>
    <row r="188" spans="1:78" ht="15.9" customHeight="1">
      <c r="A188" s="65" t="s">
        <v>370</v>
      </c>
      <c r="B188" s="41" t="s">
        <v>371</v>
      </c>
      <c r="C188" s="45">
        <f>_xll.RssMarket("6753","安値")</f>
        <v>612.5</v>
      </c>
      <c r="D188" s="16">
        <f t="shared" si="5"/>
        <v>-4.7999999999999545</v>
      </c>
      <c r="E188" s="30">
        <v>617.29999999999995</v>
      </c>
      <c r="F188" s="30">
        <v>608.79999999999995</v>
      </c>
      <c r="G188" s="30">
        <v>607.70000000000005</v>
      </c>
      <c r="H188" s="30">
        <v>625.1</v>
      </c>
      <c r="I188" s="30">
        <v>615.4</v>
      </c>
      <c r="J188" s="30">
        <v>599.1</v>
      </c>
      <c r="K188" s="30">
        <v>592.5</v>
      </c>
      <c r="L188" s="30">
        <v>586.5</v>
      </c>
      <c r="M188" s="30">
        <v>609.6</v>
      </c>
      <c r="N188" s="30">
        <v>621.4</v>
      </c>
      <c r="O188" s="30">
        <v>619.6</v>
      </c>
      <c r="P188" s="30">
        <v>620.9</v>
      </c>
      <c r="Q188" s="30">
        <v>634.5</v>
      </c>
      <c r="R188" s="30">
        <v>638.4</v>
      </c>
      <c r="S188" s="30">
        <v>635</v>
      </c>
      <c r="T188" s="30">
        <v>638.79999999999995</v>
      </c>
      <c r="U188" s="30">
        <v>636</v>
      </c>
      <c r="V188" s="30">
        <v>635.70000000000005</v>
      </c>
      <c r="W188" s="30">
        <v>637.20000000000005</v>
      </c>
      <c r="X188" s="30">
        <v>631.9</v>
      </c>
      <c r="Y188" s="30">
        <v>634.5</v>
      </c>
      <c r="Z188" s="30">
        <v>633.5</v>
      </c>
      <c r="AA188" s="30">
        <v>619.5</v>
      </c>
      <c r="AB188" s="30">
        <v>632.5</v>
      </c>
      <c r="AC188" s="30">
        <v>602.4</v>
      </c>
      <c r="AD188" s="30">
        <v>587</v>
      </c>
      <c r="AE188" s="30">
        <v>593</v>
      </c>
      <c r="AF188" s="30">
        <v>575</v>
      </c>
      <c r="AG188" s="30">
        <v>570.1</v>
      </c>
      <c r="AH188" s="30">
        <v>569</v>
      </c>
      <c r="AI188" s="30">
        <v>570.20000000000005</v>
      </c>
      <c r="AJ188" s="30">
        <v>584</v>
      </c>
      <c r="AK188" s="30">
        <v>589</v>
      </c>
      <c r="AL188" s="30">
        <v>590.70000000000005</v>
      </c>
      <c r="AM188" s="30">
        <v>610</v>
      </c>
      <c r="AN188" s="30">
        <v>604</v>
      </c>
      <c r="AO188" s="30">
        <v>614.1</v>
      </c>
      <c r="AP188" s="30">
        <v>628.79999999999995</v>
      </c>
      <c r="AQ188" s="30">
        <v>647</v>
      </c>
      <c r="AR188" s="30">
        <v>654.29999999999995</v>
      </c>
      <c r="AS188" s="30">
        <v>652.70000000000005</v>
      </c>
      <c r="AT188" s="30">
        <v>650</v>
      </c>
      <c r="AU188" s="30">
        <v>614</v>
      </c>
      <c r="AV188" s="30">
        <v>603.79999999999995</v>
      </c>
      <c r="AW188" s="30">
        <v>612.6</v>
      </c>
      <c r="AX188" s="30">
        <v>605.70000000000005</v>
      </c>
      <c r="AY188" s="30">
        <v>620.6</v>
      </c>
      <c r="AZ188" s="30">
        <v>613.29999999999995</v>
      </c>
      <c r="BA188" s="30">
        <v>600</v>
      </c>
      <c r="BB188" s="30">
        <v>601</v>
      </c>
      <c r="BC188" s="30">
        <v>609.20000000000005</v>
      </c>
      <c r="BD188" s="30">
        <v>603.4</v>
      </c>
      <c r="BE188" s="30">
        <v>574.9</v>
      </c>
      <c r="BF188" s="30">
        <v>567.6</v>
      </c>
      <c r="BG188" s="30">
        <v>550</v>
      </c>
      <c r="BH188" s="30">
        <v>554</v>
      </c>
      <c r="BI188" s="30">
        <v>554.29999999999995</v>
      </c>
      <c r="BJ188" s="30">
        <v>550.79999999999995</v>
      </c>
      <c r="BK188" s="30">
        <v>559.4</v>
      </c>
      <c r="BL188" s="30">
        <v>554.20000000000005</v>
      </c>
      <c r="BM188" s="1">
        <v>553.5</v>
      </c>
      <c r="BN188" s="1">
        <v>552</v>
      </c>
      <c r="BO188" s="1">
        <v>534.4</v>
      </c>
      <c r="BP188" s="1">
        <v>555</v>
      </c>
      <c r="BQ188" s="1">
        <v>588.29999999999995</v>
      </c>
      <c r="BR188" s="1">
        <v>604.5</v>
      </c>
      <c r="BS188" s="1">
        <v>605</v>
      </c>
      <c r="BT188" s="1">
        <v>612.6</v>
      </c>
      <c r="BU188" s="1">
        <v>604</v>
      </c>
      <c r="BV188" s="1">
        <v>597.5</v>
      </c>
      <c r="BW188" s="1">
        <v>590.20000000000005</v>
      </c>
      <c r="BX188" s="1">
        <v>585.29999999999995</v>
      </c>
      <c r="BY188" s="1">
        <v>587.79999999999995</v>
      </c>
      <c r="BZ188" s="1">
        <v>601.70000000000005</v>
      </c>
    </row>
    <row r="189" spans="1:78" ht="15.9" customHeight="1">
      <c r="A189" s="65" t="s">
        <v>372</v>
      </c>
      <c r="B189" s="41" t="str">
        <f>銘柄管理!C189</f>
        <v>ヤマトホールディングス</v>
      </c>
      <c r="C189" s="45">
        <f>_xll.RssMarket("9064","安値")</f>
        <v>1884.5</v>
      </c>
      <c r="D189" s="16"/>
      <c r="E189" s="30">
        <v>1890</v>
      </c>
      <c r="F189" s="30">
        <v>2012.5</v>
      </c>
      <c r="G189" s="30">
        <v>2060</v>
      </c>
      <c r="H189" s="30">
        <v>2129</v>
      </c>
      <c r="I189" s="30">
        <v>2116.5</v>
      </c>
      <c r="J189" s="30">
        <v>2072</v>
      </c>
      <c r="K189" s="30">
        <v>2026</v>
      </c>
      <c r="L189" s="30">
        <v>2000</v>
      </c>
      <c r="M189" s="30">
        <v>2010.5</v>
      </c>
      <c r="N189" s="30">
        <v>1978.5</v>
      </c>
      <c r="O189" s="30">
        <v>2021</v>
      </c>
      <c r="P189" s="30">
        <v>1990</v>
      </c>
      <c r="Q189" s="30">
        <v>1958</v>
      </c>
      <c r="R189" s="30">
        <v>1958.5</v>
      </c>
      <c r="S189" s="30">
        <v>1937.5</v>
      </c>
      <c r="T189" s="30">
        <v>1930.5</v>
      </c>
      <c r="U189" s="30">
        <v>1945.5</v>
      </c>
      <c r="V189" s="30">
        <v>1956.5</v>
      </c>
      <c r="W189" s="30">
        <v>1955.5</v>
      </c>
      <c r="X189" s="30">
        <v>1936.5</v>
      </c>
      <c r="Y189" s="30">
        <v>1923.5</v>
      </c>
      <c r="Z189" s="30">
        <v>1844</v>
      </c>
      <c r="AA189" s="30">
        <v>1821.5</v>
      </c>
      <c r="AB189" s="30">
        <v>1823.5</v>
      </c>
      <c r="AC189" s="30">
        <v>1810</v>
      </c>
      <c r="AD189" s="30">
        <v>1810</v>
      </c>
      <c r="AE189" s="30">
        <v>1761</v>
      </c>
      <c r="AF189" s="30">
        <v>1748</v>
      </c>
      <c r="AG189" s="30">
        <v>1757</v>
      </c>
      <c r="AH189" s="30">
        <v>1746</v>
      </c>
      <c r="AI189" s="30">
        <v>1740</v>
      </c>
      <c r="AJ189" s="30">
        <v>1734</v>
      </c>
      <c r="AK189" s="30">
        <v>1763</v>
      </c>
      <c r="AL189" s="30">
        <v>1760</v>
      </c>
      <c r="AM189" s="30">
        <v>1768</v>
      </c>
      <c r="AN189" s="30">
        <v>1783.5</v>
      </c>
      <c r="AO189" s="30">
        <v>1790</v>
      </c>
      <c r="AP189" s="30">
        <v>1785.5</v>
      </c>
      <c r="AQ189" s="30">
        <v>1775.5</v>
      </c>
      <c r="AR189" s="30">
        <v>1790.5</v>
      </c>
      <c r="AS189" s="30">
        <v>1794.5</v>
      </c>
      <c r="AT189" s="30">
        <v>1803.5</v>
      </c>
      <c r="AU189" s="30">
        <v>1781.5</v>
      </c>
      <c r="AV189" s="30">
        <v>1794</v>
      </c>
      <c r="AW189" s="30">
        <v>1765</v>
      </c>
      <c r="AX189" s="30">
        <v>1749</v>
      </c>
      <c r="AY189" s="30">
        <v>1752.5</v>
      </c>
      <c r="AZ189" s="30">
        <v>1758</v>
      </c>
      <c r="BA189" s="30">
        <v>1756</v>
      </c>
      <c r="BB189" s="30">
        <v>1735.5</v>
      </c>
      <c r="BC189" s="30">
        <v>1750</v>
      </c>
      <c r="BD189" s="30">
        <v>1718</v>
      </c>
      <c r="BE189" s="30">
        <v>1714</v>
      </c>
      <c r="BF189" s="30">
        <v>1745</v>
      </c>
      <c r="BG189" s="30">
        <v>1744.5</v>
      </c>
      <c r="BH189" s="30">
        <v>1722</v>
      </c>
      <c r="BI189" s="30">
        <v>1725.5</v>
      </c>
      <c r="BJ189" s="30">
        <v>1776.5</v>
      </c>
      <c r="BK189" s="30">
        <v>1735</v>
      </c>
      <c r="BL189" s="30">
        <v>1719.5</v>
      </c>
      <c r="BM189" s="1">
        <v>1756.5</v>
      </c>
      <c r="BN189" s="1">
        <v>1781.5</v>
      </c>
      <c r="BO189" s="1">
        <v>1748.5</v>
      </c>
      <c r="BP189" s="1">
        <v>1761</v>
      </c>
      <c r="BQ189" s="1">
        <v>1758.5</v>
      </c>
      <c r="BR189" s="1">
        <v>1809</v>
      </c>
      <c r="BS189" s="1">
        <v>1826</v>
      </c>
      <c r="BT189" s="1">
        <v>1818.5</v>
      </c>
      <c r="BU189" s="1">
        <v>1845</v>
      </c>
      <c r="BV189" s="1">
        <v>1856</v>
      </c>
      <c r="BW189" s="1">
        <v>1865</v>
      </c>
      <c r="BX189" s="1">
        <v>1848</v>
      </c>
      <c r="BY189" s="1">
        <v>1830</v>
      </c>
      <c r="BZ189" s="1">
        <v>1832.5</v>
      </c>
    </row>
    <row r="190" spans="1:78" ht="15.9" customHeight="1">
      <c r="A190" s="65" t="s">
        <v>373</v>
      </c>
      <c r="B190" s="41" t="s">
        <v>374</v>
      </c>
      <c r="C190" s="45">
        <f>_xll.RssMarket("7181","安値")</f>
        <v>1696.5</v>
      </c>
      <c r="D190" s="16">
        <f>C190-E190</f>
        <v>10.5</v>
      </c>
      <c r="E190" s="30">
        <v>1686</v>
      </c>
      <c r="F190" s="30">
        <v>1686.5</v>
      </c>
      <c r="G190" s="30">
        <v>1742.5</v>
      </c>
      <c r="H190" s="30">
        <v>1746</v>
      </c>
      <c r="I190" s="30">
        <v>1732</v>
      </c>
      <c r="J190" s="30">
        <v>1750.5</v>
      </c>
      <c r="K190" s="30">
        <v>1769</v>
      </c>
      <c r="L190" s="30">
        <v>1724</v>
      </c>
      <c r="M190" s="30">
        <v>1720.5</v>
      </c>
      <c r="N190" s="30">
        <v>1672.5</v>
      </c>
      <c r="O190" s="30">
        <v>1628</v>
      </c>
      <c r="P190" s="30">
        <v>1597</v>
      </c>
      <c r="Q190" s="30">
        <v>1647</v>
      </c>
      <c r="R190" s="30">
        <v>1612</v>
      </c>
      <c r="S190" s="30">
        <v>1613</v>
      </c>
      <c r="T190" s="30">
        <v>1607</v>
      </c>
      <c r="U190" s="30">
        <v>1622.5</v>
      </c>
      <c r="V190" s="30">
        <v>1615</v>
      </c>
      <c r="W190" s="30">
        <v>1656.5</v>
      </c>
      <c r="X190" s="30">
        <v>1602</v>
      </c>
      <c r="Y190" s="30">
        <v>1602</v>
      </c>
      <c r="Z190" s="30">
        <v>1541.5</v>
      </c>
      <c r="AA190" s="30">
        <v>1514</v>
      </c>
      <c r="AB190" s="30">
        <v>1500</v>
      </c>
      <c r="AC190" s="30">
        <v>1483</v>
      </c>
      <c r="AD190" s="30">
        <v>1466.5</v>
      </c>
      <c r="AE190" s="30">
        <v>1473.5</v>
      </c>
      <c r="AF190" s="30">
        <v>1479</v>
      </c>
      <c r="AG190" s="30">
        <v>1511.5</v>
      </c>
      <c r="AH190" s="30">
        <v>1495</v>
      </c>
      <c r="AI190" s="30">
        <v>1515.5</v>
      </c>
      <c r="AJ190" s="30">
        <v>1524</v>
      </c>
      <c r="AK190" s="30">
        <v>1516</v>
      </c>
      <c r="AL190" s="30">
        <v>1532.5</v>
      </c>
      <c r="AM190" s="30">
        <v>1529.5</v>
      </c>
      <c r="AN190" s="30">
        <v>1519.5</v>
      </c>
      <c r="AO190" s="30">
        <v>1529</v>
      </c>
      <c r="AP190" s="30">
        <v>1555</v>
      </c>
      <c r="AQ190" s="30">
        <v>1415</v>
      </c>
      <c r="AR190" s="30">
        <v>1419</v>
      </c>
      <c r="AS190" s="30">
        <v>1381.5</v>
      </c>
      <c r="AT190" s="30">
        <v>1416</v>
      </c>
      <c r="AU190" s="30">
        <v>1367</v>
      </c>
      <c r="AV190" s="30">
        <v>1391</v>
      </c>
      <c r="AW190" s="30">
        <v>1411</v>
      </c>
      <c r="AX190" s="30">
        <v>1461.5</v>
      </c>
      <c r="AY190" s="30">
        <v>1470.5</v>
      </c>
      <c r="AZ190" s="30">
        <v>1511.5</v>
      </c>
      <c r="BA190" s="30">
        <v>1527</v>
      </c>
      <c r="BB190" s="30">
        <v>1515.5</v>
      </c>
      <c r="BC190" s="30">
        <v>1474.5</v>
      </c>
      <c r="BD190" s="30">
        <v>1450</v>
      </c>
      <c r="BE190" s="30">
        <v>1604.5</v>
      </c>
      <c r="BF190" s="30">
        <v>1594.5</v>
      </c>
      <c r="BG190" s="30">
        <v>1565</v>
      </c>
      <c r="BH190" s="30">
        <v>1540.5</v>
      </c>
      <c r="BI190" s="30">
        <v>1525</v>
      </c>
      <c r="BJ190" s="30">
        <v>1540.5</v>
      </c>
      <c r="BK190" s="30">
        <v>1543</v>
      </c>
      <c r="BL190" s="30">
        <v>1508.5</v>
      </c>
      <c r="BM190" s="1">
        <v>1497.5</v>
      </c>
      <c r="BN190" s="1">
        <v>1491.5</v>
      </c>
      <c r="BO190" s="1">
        <v>1466.5</v>
      </c>
      <c r="BP190" s="1">
        <v>1474</v>
      </c>
      <c r="BQ190" s="1">
        <v>1458.5</v>
      </c>
      <c r="BR190" s="1">
        <v>1497.5</v>
      </c>
      <c r="BS190" s="1">
        <v>1542.5</v>
      </c>
      <c r="BT190" s="1">
        <v>1573.5</v>
      </c>
      <c r="BU190" s="1">
        <v>1600.5</v>
      </c>
      <c r="BV190" s="1">
        <v>1650.5</v>
      </c>
      <c r="BW190" s="1">
        <v>1640.5</v>
      </c>
      <c r="BX190" s="1">
        <v>1608</v>
      </c>
      <c r="BY190" s="1">
        <v>1576</v>
      </c>
      <c r="BZ190" s="1">
        <v>1589.5</v>
      </c>
    </row>
    <row r="191" spans="1:78" ht="15.9" customHeight="1">
      <c r="A191" s="65" t="s">
        <v>375</v>
      </c>
      <c r="B191" s="41" t="str">
        <f>銘柄管理!C191</f>
        <v>前澤給装工業</v>
      </c>
      <c r="C191" s="45">
        <f>_xll.RssMarket("6485","安値")</f>
        <v>1571</v>
      </c>
      <c r="D191" s="16"/>
      <c r="E191" s="30">
        <v>1555</v>
      </c>
      <c r="F191" s="30">
        <v>1540</v>
      </c>
      <c r="G191" s="30">
        <v>1572</v>
      </c>
      <c r="H191" s="30">
        <v>1577</v>
      </c>
      <c r="I191" s="30">
        <v>1567</v>
      </c>
      <c r="J191" s="30">
        <v>1561</v>
      </c>
      <c r="K191" s="30">
        <v>1552</v>
      </c>
      <c r="L191" s="30">
        <v>1529</v>
      </c>
      <c r="M191" s="30">
        <v>1537</v>
      </c>
      <c r="N191" s="30">
        <v>1528</v>
      </c>
      <c r="O191" s="30">
        <v>1531</v>
      </c>
      <c r="P191" s="30">
        <v>1519</v>
      </c>
      <c r="Q191" s="30">
        <v>1539</v>
      </c>
      <c r="R191" s="30">
        <v>1536</v>
      </c>
      <c r="S191" s="30">
        <v>1539</v>
      </c>
      <c r="T191" s="30">
        <v>1549</v>
      </c>
      <c r="U191" s="30">
        <v>1537</v>
      </c>
      <c r="V191" s="30">
        <v>1506</v>
      </c>
      <c r="W191" s="30">
        <v>1524</v>
      </c>
      <c r="X191" s="30">
        <v>1520</v>
      </c>
      <c r="Y191" s="30">
        <v>1518</v>
      </c>
      <c r="Z191" s="30">
        <v>1524</v>
      </c>
      <c r="AA191" s="30">
        <v>1496</v>
      </c>
      <c r="AB191" s="30">
        <v>1487</v>
      </c>
      <c r="AC191" s="30">
        <v>1494</v>
      </c>
      <c r="AD191" s="30">
        <v>1483</v>
      </c>
      <c r="AE191" s="30">
        <v>1473</v>
      </c>
      <c r="AF191" s="30">
        <v>1456</v>
      </c>
      <c r="AG191" s="30">
        <v>1449</v>
      </c>
      <c r="AH191" s="30">
        <v>1468</v>
      </c>
      <c r="AI191" s="30">
        <v>1459</v>
      </c>
      <c r="AJ191" s="30">
        <v>1454</v>
      </c>
      <c r="AK191" s="30">
        <v>1454</v>
      </c>
      <c r="AL191" s="30">
        <v>1434</v>
      </c>
      <c r="AM191" s="30">
        <v>1430</v>
      </c>
      <c r="AN191" s="30">
        <v>1418</v>
      </c>
      <c r="AO191" s="30">
        <v>1405</v>
      </c>
      <c r="AP191" s="30">
        <v>1418</v>
      </c>
      <c r="AQ191" s="30">
        <v>1410</v>
      </c>
      <c r="AR191" s="30">
        <v>1420</v>
      </c>
      <c r="AS191" s="30">
        <v>1388</v>
      </c>
      <c r="AT191" s="30">
        <v>1374</v>
      </c>
      <c r="AU191" s="30">
        <v>1360</v>
      </c>
      <c r="AV191" s="30">
        <v>1417</v>
      </c>
      <c r="AW191" s="30">
        <v>1407</v>
      </c>
      <c r="AX191" s="30">
        <v>1409</v>
      </c>
      <c r="AY191" s="30">
        <v>1410</v>
      </c>
      <c r="AZ191" s="30">
        <v>1410</v>
      </c>
      <c r="BA191" s="30">
        <v>1410</v>
      </c>
      <c r="BB191" s="30">
        <v>1412</v>
      </c>
      <c r="BC191" s="30">
        <v>1445</v>
      </c>
      <c r="BD191" s="30">
        <v>1442</v>
      </c>
      <c r="BE191" s="30">
        <v>1486</v>
      </c>
      <c r="BF191" s="30">
        <v>1462</v>
      </c>
      <c r="BG191" s="30">
        <v>1500</v>
      </c>
      <c r="BH191" s="30">
        <v>1506</v>
      </c>
      <c r="BI191" s="30">
        <v>1508</v>
      </c>
      <c r="BJ191" s="30">
        <v>1496</v>
      </c>
      <c r="BK191" s="30">
        <v>1505</v>
      </c>
      <c r="BL191" s="30">
        <v>1488</v>
      </c>
      <c r="BM191" s="1">
        <v>1492</v>
      </c>
      <c r="BN191" s="1">
        <v>1484</v>
      </c>
      <c r="BO191" s="1">
        <v>1486</v>
      </c>
      <c r="BP191" s="1">
        <v>1497</v>
      </c>
      <c r="BQ191" s="1">
        <v>1501</v>
      </c>
      <c r="BR191" s="1">
        <v>1525</v>
      </c>
      <c r="BS191" s="1">
        <v>1554</v>
      </c>
      <c r="BT191" s="1">
        <v>1551</v>
      </c>
      <c r="BU191" s="1">
        <v>1555</v>
      </c>
      <c r="BV191" s="1">
        <v>1567</v>
      </c>
      <c r="BW191" s="1">
        <v>1568</v>
      </c>
      <c r="BX191" s="1">
        <v>1574</v>
      </c>
      <c r="BY191" s="1">
        <v>1591</v>
      </c>
      <c r="BZ191" s="1">
        <v>1607</v>
      </c>
    </row>
    <row r="192" spans="1:78" ht="15.9" customHeight="1">
      <c r="A192" s="65" t="s">
        <v>376</v>
      </c>
      <c r="B192" s="41" t="s">
        <v>377</v>
      </c>
      <c r="C192" s="45">
        <f>_xll.RssMarket("4887","安値")</f>
        <v>1601.5</v>
      </c>
      <c r="D192" s="16">
        <f t="shared" ref="D192:D208" si="6">C192-E192</f>
        <v>10</v>
      </c>
      <c r="E192" s="30">
        <v>1591.5</v>
      </c>
      <c r="F192" s="30">
        <v>1595</v>
      </c>
      <c r="G192" s="30">
        <v>1648</v>
      </c>
      <c r="H192" s="30">
        <v>1678.5</v>
      </c>
      <c r="I192" s="30">
        <v>1676</v>
      </c>
      <c r="J192" s="30">
        <v>1673.5</v>
      </c>
      <c r="K192" s="30">
        <v>1660</v>
      </c>
      <c r="L192" s="30">
        <v>1645</v>
      </c>
      <c r="M192" s="30">
        <v>1655.5</v>
      </c>
      <c r="N192" s="30">
        <v>1667.5</v>
      </c>
      <c r="O192" s="30">
        <v>1675.5</v>
      </c>
      <c r="P192" s="30">
        <v>1670</v>
      </c>
      <c r="Q192" s="30">
        <v>1655.5</v>
      </c>
      <c r="R192" s="30">
        <v>1663.5</v>
      </c>
      <c r="S192" s="30">
        <v>1655.5</v>
      </c>
      <c r="T192" s="30">
        <v>1663.5</v>
      </c>
      <c r="U192" s="30">
        <v>1687</v>
      </c>
      <c r="V192" s="30">
        <v>1716</v>
      </c>
      <c r="W192" s="30">
        <v>1736</v>
      </c>
      <c r="X192" s="30">
        <v>1710</v>
      </c>
      <c r="Y192" s="30">
        <v>1712</v>
      </c>
      <c r="Z192" s="30">
        <v>1683</v>
      </c>
      <c r="AA192" s="30">
        <v>1667</v>
      </c>
      <c r="AB192" s="30">
        <v>1664.5</v>
      </c>
      <c r="AC192" s="30">
        <v>1639</v>
      </c>
      <c r="AD192" s="30">
        <v>1591</v>
      </c>
      <c r="AE192" s="30">
        <v>1642.5</v>
      </c>
      <c r="AF192" s="30">
        <v>1637</v>
      </c>
      <c r="AG192" s="30">
        <v>1610.5</v>
      </c>
      <c r="AH192" s="30">
        <v>1621.5</v>
      </c>
      <c r="AI192" s="30">
        <v>1619</v>
      </c>
      <c r="AJ192" s="30">
        <v>1619</v>
      </c>
      <c r="AK192" s="30">
        <v>1646.5</v>
      </c>
      <c r="AL192" s="30">
        <v>1642.5</v>
      </c>
      <c r="AM192" s="30">
        <v>1648</v>
      </c>
      <c r="AN192" s="30">
        <v>1688</v>
      </c>
      <c r="AO192" s="30">
        <v>1695</v>
      </c>
      <c r="AP192" s="30">
        <v>1713.5</v>
      </c>
      <c r="AQ192" s="30">
        <v>1673</v>
      </c>
      <c r="AR192" s="30">
        <v>1703</v>
      </c>
      <c r="AS192" s="30">
        <v>1707.5</v>
      </c>
      <c r="AT192" s="30">
        <v>1664.5</v>
      </c>
      <c r="AU192" s="30">
        <v>1683</v>
      </c>
      <c r="AV192" s="30">
        <v>1731</v>
      </c>
      <c r="AW192" s="30">
        <v>1726</v>
      </c>
      <c r="AX192" s="30">
        <v>1745</v>
      </c>
      <c r="AY192" s="30">
        <v>1766</v>
      </c>
      <c r="AZ192" s="30">
        <v>1740.5</v>
      </c>
      <c r="BA192" s="30">
        <v>1751</v>
      </c>
      <c r="BB192" s="30">
        <v>1778.5</v>
      </c>
      <c r="BC192" s="30">
        <v>1741</v>
      </c>
      <c r="BD192" s="30">
        <v>1730.5</v>
      </c>
      <c r="BE192" s="30">
        <v>1972.5</v>
      </c>
      <c r="BF192" s="30">
        <v>2055</v>
      </c>
      <c r="BG192" s="30">
        <v>2063.5</v>
      </c>
      <c r="BH192" s="30">
        <v>2053</v>
      </c>
      <c r="BI192" s="30">
        <v>2085</v>
      </c>
      <c r="BJ192" s="30">
        <v>2083</v>
      </c>
      <c r="BK192" s="30">
        <v>2081</v>
      </c>
      <c r="BL192" s="30">
        <v>2057.5</v>
      </c>
      <c r="BM192" s="1">
        <v>2083</v>
      </c>
      <c r="BN192" s="1">
        <v>2068</v>
      </c>
      <c r="BO192" s="1">
        <v>2069.5</v>
      </c>
      <c r="BP192" s="1">
        <v>2087</v>
      </c>
      <c r="BQ192" s="1">
        <v>2073</v>
      </c>
      <c r="BR192" s="1">
        <v>2094</v>
      </c>
      <c r="BS192" s="1">
        <v>2149</v>
      </c>
      <c r="BT192" s="1">
        <v>2173</v>
      </c>
      <c r="BU192" s="1">
        <v>2208</v>
      </c>
      <c r="BV192" s="1">
        <v>2233.5</v>
      </c>
      <c r="BW192" s="1">
        <v>2177</v>
      </c>
      <c r="BX192" s="1">
        <v>2172.5</v>
      </c>
      <c r="BY192" s="1">
        <v>2224.5</v>
      </c>
      <c r="BZ192" s="1">
        <v>2229.5</v>
      </c>
    </row>
    <row r="193" spans="1:78" ht="15.9" customHeight="1">
      <c r="A193" s="65" t="s">
        <v>378</v>
      </c>
      <c r="B193" s="41" t="s">
        <v>379</v>
      </c>
      <c r="C193" s="45">
        <f>_xll.RssMarket("5243","安値")</f>
        <v>2160</v>
      </c>
      <c r="D193" s="16">
        <f t="shared" si="6"/>
        <v>163</v>
      </c>
      <c r="E193" s="30">
        <v>1997</v>
      </c>
      <c r="F193" s="30">
        <v>1982</v>
      </c>
      <c r="G193" s="30">
        <v>2028</v>
      </c>
      <c r="H193" s="30">
        <v>2015</v>
      </c>
      <c r="I193" s="30">
        <v>1990</v>
      </c>
      <c r="J193" s="30">
        <v>2021</v>
      </c>
      <c r="K193" s="30">
        <v>2008</v>
      </c>
      <c r="L193" s="30">
        <v>1987</v>
      </c>
      <c r="M193" s="30">
        <v>1875</v>
      </c>
      <c r="N193" s="30">
        <v>1909</v>
      </c>
      <c r="O193" s="30">
        <v>1982</v>
      </c>
      <c r="P193" s="30">
        <v>1941</v>
      </c>
      <c r="Q193" s="30">
        <v>2040</v>
      </c>
      <c r="R193" s="30">
        <v>2033</v>
      </c>
      <c r="S193" s="30">
        <v>2100</v>
      </c>
      <c r="T193" s="30">
        <v>1990</v>
      </c>
      <c r="U193" s="30">
        <v>1982</v>
      </c>
      <c r="V193" s="30">
        <v>2155</v>
      </c>
      <c r="W193" s="30">
        <v>2115</v>
      </c>
      <c r="X193" s="30">
        <v>2114</v>
      </c>
      <c r="Y193" s="30">
        <v>1973</v>
      </c>
      <c r="Z193" s="30">
        <v>1905</v>
      </c>
      <c r="AA193" s="30">
        <v>1863</v>
      </c>
      <c r="AB193" s="30">
        <v>1819</v>
      </c>
      <c r="AC193" s="30">
        <v>1738</v>
      </c>
      <c r="AD193" s="30">
        <v>1683</v>
      </c>
      <c r="AE193" s="30">
        <v>1693</v>
      </c>
      <c r="AF193" s="30">
        <v>1733</v>
      </c>
      <c r="AG193" s="30">
        <v>1731</v>
      </c>
      <c r="AH193" s="30">
        <v>1740</v>
      </c>
      <c r="AI193" s="30">
        <v>1730</v>
      </c>
      <c r="AJ193" s="30">
        <v>1803</v>
      </c>
      <c r="AK193" s="30">
        <v>1720</v>
      </c>
      <c r="AL193" s="30">
        <v>1672</v>
      </c>
      <c r="AM193" s="30">
        <v>1655</v>
      </c>
      <c r="AN193" s="30">
        <v>1635</v>
      </c>
      <c r="AO193" s="30">
        <v>1604</v>
      </c>
      <c r="AP193" s="30">
        <v>1635</v>
      </c>
      <c r="AQ193" s="30">
        <v>1732</v>
      </c>
      <c r="AR193" s="30">
        <v>1815</v>
      </c>
      <c r="AS193" s="30">
        <v>1810</v>
      </c>
      <c r="AT193" s="30">
        <v>1862</v>
      </c>
      <c r="AU193" s="30">
        <v>1881</v>
      </c>
      <c r="AV193" s="30">
        <v>2031</v>
      </c>
      <c r="AW193" s="30">
        <v>2027</v>
      </c>
      <c r="AX193" s="30">
        <v>2051</v>
      </c>
      <c r="AY193" s="30">
        <v>2181</v>
      </c>
      <c r="AZ193" s="30">
        <v>2172</v>
      </c>
      <c r="BA193" s="30">
        <v>2150</v>
      </c>
      <c r="BB193" s="30">
        <v>2145</v>
      </c>
      <c r="BC193" s="30">
        <v>2188</v>
      </c>
      <c r="BD193" s="30">
        <v>2181</v>
      </c>
      <c r="BE193" s="30">
        <v>2235</v>
      </c>
      <c r="BF193" s="30">
        <v>2272</v>
      </c>
      <c r="BG193" s="30">
        <v>2271</v>
      </c>
      <c r="BH193" s="30">
        <v>2135</v>
      </c>
      <c r="BI193" s="30">
        <v>2102</v>
      </c>
      <c r="BJ193" s="30">
        <v>2134</v>
      </c>
      <c r="BK193" s="30">
        <v>2240</v>
      </c>
      <c r="BL193" s="30">
        <v>2363</v>
      </c>
      <c r="BM193" s="1">
        <v>2396</v>
      </c>
      <c r="BN193" s="1">
        <v>2330</v>
      </c>
      <c r="BO193" s="1">
        <v>2265</v>
      </c>
      <c r="BP193" s="1">
        <v>2380</v>
      </c>
      <c r="BQ193" s="1">
        <v>2467</v>
      </c>
      <c r="BR193" s="1">
        <v>2432</v>
      </c>
      <c r="BS193" s="1">
        <v>2535</v>
      </c>
      <c r="BT193" s="1">
        <v>2520</v>
      </c>
      <c r="BU193" s="1">
        <v>2586</v>
      </c>
      <c r="BV193" s="1">
        <v>2563</v>
      </c>
      <c r="BW193" s="1">
        <v>2515</v>
      </c>
      <c r="BX193" s="1">
        <v>2853</v>
      </c>
      <c r="BY193" s="1">
        <v>2681</v>
      </c>
      <c r="BZ193" s="1">
        <v>2629</v>
      </c>
    </row>
    <row r="194" spans="1:78" ht="15.9" customHeight="1">
      <c r="A194" s="65" t="s">
        <v>380</v>
      </c>
      <c r="B194" s="41" t="s">
        <v>381</v>
      </c>
      <c r="C194" s="45">
        <f>_xll.RssMarket("2702","安値")</f>
        <v>8000</v>
      </c>
      <c r="D194" s="16">
        <f t="shared" si="6"/>
        <v>-100</v>
      </c>
      <c r="E194" s="30">
        <v>8100</v>
      </c>
      <c r="F194" s="30">
        <v>8080</v>
      </c>
      <c r="G194" s="30">
        <v>7970</v>
      </c>
      <c r="H194" s="30">
        <v>8070</v>
      </c>
      <c r="I194" s="30">
        <v>7910</v>
      </c>
      <c r="J194" s="30">
        <v>7710</v>
      </c>
      <c r="K194" s="30">
        <v>7590</v>
      </c>
      <c r="L194" s="30"/>
      <c r="M194" s="30">
        <v>7440</v>
      </c>
      <c r="N194" s="30">
        <v>7460</v>
      </c>
      <c r="O194" s="30">
        <v>7520</v>
      </c>
      <c r="P194" s="30">
        <v>7520</v>
      </c>
      <c r="Q194" s="30">
        <v>7570</v>
      </c>
      <c r="R194" s="30">
        <v>7680</v>
      </c>
      <c r="S194" s="30">
        <v>7680</v>
      </c>
      <c r="T194" s="30">
        <v>7680</v>
      </c>
      <c r="U194" s="30">
        <v>7700</v>
      </c>
      <c r="V194" s="30">
        <v>7720</v>
      </c>
      <c r="W194" s="30">
        <v>7600</v>
      </c>
      <c r="X194" s="30">
        <v>7580</v>
      </c>
      <c r="Y194" s="30">
        <v>7610</v>
      </c>
      <c r="Z194" s="30">
        <v>7410</v>
      </c>
      <c r="AA194" s="30">
        <v>7250</v>
      </c>
      <c r="AB194" s="30">
        <v>7450</v>
      </c>
      <c r="AC194" s="30">
        <v>7420</v>
      </c>
      <c r="AD194" s="30">
        <v>7410</v>
      </c>
      <c r="AE194" s="30">
        <v>7210</v>
      </c>
      <c r="AF194" s="30">
        <v>7100</v>
      </c>
      <c r="AG194" s="30">
        <v>7020</v>
      </c>
      <c r="AH194" s="30">
        <v>7130</v>
      </c>
      <c r="AI194" s="30">
        <v>7220</v>
      </c>
      <c r="AJ194" s="30">
        <v>7250</v>
      </c>
      <c r="AK194" s="30">
        <v>7350</v>
      </c>
      <c r="AL194" s="30">
        <v>7320</v>
      </c>
      <c r="AM194" s="30">
        <v>7410</v>
      </c>
      <c r="AN194" s="30">
        <v>7330</v>
      </c>
      <c r="AO194" s="30">
        <v>7320</v>
      </c>
      <c r="AP194" s="30">
        <v>7160</v>
      </c>
      <c r="AQ194" s="30">
        <v>7340</v>
      </c>
      <c r="AR194" s="30">
        <v>7320</v>
      </c>
      <c r="AS194" s="30">
        <v>7290</v>
      </c>
      <c r="AT194" s="30">
        <v>7440</v>
      </c>
      <c r="AU194" s="30">
        <v>7540</v>
      </c>
      <c r="AV194" s="30">
        <v>7700</v>
      </c>
      <c r="AW194" s="30">
        <v>7760</v>
      </c>
      <c r="AX194" s="30">
        <v>7870</v>
      </c>
      <c r="AY194" s="30">
        <v>8030</v>
      </c>
      <c r="AZ194" s="30">
        <v>8010</v>
      </c>
      <c r="BA194" s="30">
        <v>7960</v>
      </c>
      <c r="BB194" s="30">
        <v>7960</v>
      </c>
      <c r="BC194" s="30">
        <v>7800</v>
      </c>
      <c r="BD194" s="30">
        <v>7780</v>
      </c>
      <c r="BE194" s="30">
        <v>8110</v>
      </c>
      <c r="BF194" s="30">
        <v>8290</v>
      </c>
      <c r="BG194" s="30">
        <v>8320</v>
      </c>
      <c r="BH194" s="30">
        <v>7650</v>
      </c>
      <c r="BI194" s="30">
        <v>7740</v>
      </c>
      <c r="BJ194" s="30">
        <v>7870</v>
      </c>
      <c r="BK194" s="30">
        <v>7960</v>
      </c>
      <c r="BL194" s="30">
        <v>8090</v>
      </c>
      <c r="BM194" s="1">
        <v>8110</v>
      </c>
      <c r="BN194" s="1">
        <v>8150</v>
      </c>
      <c r="BO194" s="1">
        <v>8070</v>
      </c>
      <c r="BP194" s="1">
        <v>8070</v>
      </c>
      <c r="BQ194" s="1">
        <v>8090</v>
      </c>
      <c r="BR194" s="1">
        <v>8150</v>
      </c>
      <c r="BS194" s="1">
        <v>8200</v>
      </c>
      <c r="BT194" s="1">
        <v>8170</v>
      </c>
      <c r="BU194" s="1">
        <v>8160</v>
      </c>
      <c r="BV194" s="1">
        <v>8160</v>
      </c>
      <c r="BW194" s="1">
        <v>8050</v>
      </c>
      <c r="BX194" s="1">
        <v>8000</v>
      </c>
      <c r="BY194" s="1">
        <v>8020</v>
      </c>
      <c r="BZ194" s="1">
        <v>8240</v>
      </c>
    </row>
    <row r="195" spans="1:78" ht="15.9" customHeight="1">
      <c r="A195" s="65" t="s">
        <v>382</v>
      </c>
      <c r="B195" s="41" t="s">
        <v>383</v>
      </c>
      <c r="C195" s="45">
        <f>_xll.RssMarket("6890","安値")</f>
        <v>8700</v>
      </c>
      <c r="D195" s="16">
        <f t="shared" si="6"/>
        <v>430</v>
      </c>
      <c r="E195" s="30">
        <v>8270</v>
      </c>
      <c r="F195" s="30">
        <v>7860</v>
      </c>
      <c r="G195" s="30">
        <v>8160</v>
      </c>
      <c r="H195" s="30">
        <v>7100</v>
      </c>
      <c r="I195" s="30">
        <v>6950</v>
      </c>
      <c r="J195" s="30">
        <v>7460</v>
      </c>
      <c r="K195" s="30">
        <v>8470</v>
      </c>
      <c r="L195" s="30">
        <v>8580</v>
      </c>
      <c r="M195" s="30">
        <v>8940</v>
      </c>
      <c r="N195" s="30">
        <v>7440</v>
      </c>
      <c r="O195" s="30">
        <v>6850</v>
      </c>
      <c r="P195" s="30">
        <v>6750</v>
      </c>
      <c r="Q195" s="30">
        <v>7930</v>
      </c>
      <c r="R195" s="30">
        <v>7770</v>
      </c>
      <c r="S195" s="30">
        <v>8420</v>
      </c>
      <c r="T195" s="30">
        <v>8690</v>
      </c>
      <c r="U195" s="30">
        <v>8260</v>
      </c>
      <c r="V195" s="30">
        <v>8060</v>
      </c>
      <c r="W195" s="30">
        <v>8410</v>
      </c>
      <c r="X195" s="30">
        <v>8750</v>
      </c>
      <c r="Y195" s="30">
        <v>8400</v>
      </c>
      <c r="Z195" s="30">
        <v>8870</v>
      </c>
      <c r="AA195" s="30">
        <v>9370</v>
      </c>
      <c r="AB195" s="30">
        <v>9200</v>
      </c>
      <c r="AC195" s="30">
        <v>8740</v>
      </c>
      <c r="AD195" s="30">
        <v>9230</v>
      </c>
      <c r="AE195" s="30">
        <v>10060</v>
      </c>
      <c r="AF195" s="30">
        <v>9650</v>
      </c>
      <c r="AG195" s="30">
        <v>10590</v>
      </c>
      <c r="AH195" s="30">
        <v>10470</v>
      </c>
      <c r="AI195" s="30">
        <v>10300</v>
      </c>
      <c r="AJ195" s="30">
        <v>9530</v>
      </c>
      <c r="AK195" s="30">
        <v>8990</v>
      </c>
      <c r="AL195" s="30">
        <v>9010</v>
      </c>
      <c r="AM195" s="30">
        <v>9030</v>
      </c>
      <c r="AN195" s="30">
        <v>8760</v>
      </c>
      <c r="AO195" s="30">
        <v>7430</v>
      </c>
      <c r="AP195" s="30">
        <v>7730</v>
      </c>
      <c r="AQ195" s="30">
        <v>8120</v>
      </c>
      <c r="AR195" s="30">
        <v>8450</v>
      </c>
      <c r="AS195" s="30">
        <v>7950</v>
      </c>
      <c r="AT195" s="30">
        <v>7840</v>
      </c>
      <c r="AU195" s="30">
        <v>7520</v>
      </c>
      <c r="AV195" s="30">
        <v>8480</v>
      </c>
      <c r="AW195" s="30">
        <v>8270</v>
      </c>
      <c r="AX195" s="30">
        <v>8490</v>
      </c>
      <c r="AY195" s="30">
        <v>9060</v>
      </c>
      <c r="AZ195" s="30">
        <v>8850</v>
      </c>
      <c r="BA195" s="30">
        <v>8630</v>
      </c>
      <c r="BB195" s="30">
        <v>8550</v>
      </c>
      <c r="BC195" s="30">
        <v>8430</v>
      </c>
      <c r="BD195" s="30">
        <v>8850</v>
      </c>
      <c r="BE195" s="30">
        <v>9220</v>
      </c>
      <c r="BF195" s="30">
        <v>9600</v>
      </c>
      <c r="BG195" s="30">
        <v>9020</v>
      </c>
      <c r="BH195" s="30">
        <v>9540</v>
      </c>
      <c r="BI195" s="30">
        <v>9570</v>
      </c>
      <c r="BJ195" s="30">
        <v>9010</v>
      </c>
      <c r="BK195" s="30">
        <v>8330</v>
      </c>
      <c r="BL195" s="30">
        <v>7600</v>
      </c>
      <c r="BM195" s="1">
        <v>7490</v>
      </c>
      <c r="BN195" s="1">
        <v>7090</v>
      </c>
      <c r="BO195" s="1">
        <v>7200</v>
      </c>
      <c r="BP195" s="1">
        <v>7160</v>
      </c>
      <c r="BQ195" s="1">
        <v>7030</v>
      </c>
      <c r="BR195" s="1">
        <v>6560</v>
      </c>
      <c r="BS195" s="1">
        <v>6640</v>
      </c>
      <c r="BT195" s="1">
        <v>6670</v>
      </c>
      <c r="BU195" s="1">
        <v>6610</v>
      </c>
      <c r="BV195" s="1">
        <v>6720</v>
      </c>
      <c r="BW195" s="1">
        <v>6670</v>
      </c>
      <c r="BX195" s="1">
        <v>6930</v>
      </c>
      <c r="BY195" s="1">
        <v>6870</v>
      </c>
      <c r="BZ195" s="1">
        <v>6920</v>
      </c>
    </row>
    <row r="196" spans="1:78" ht="15.9" customHeight="1">
      <c r="A196" s="65" t="s">
        <v>384</v>
      </c>
      <c r="B196" s="41" t="s">
        <v>385</v>
      </c>
      <c r="C196" s="45">
        <f>_xll.RssMarket("4966","安値")</f>
        <v>24710</v>
      </c>
      <c r="D196" s="16">
        <f t="shared" si="6"/>
        <v>2210</v>
      </c>
      <c r="E196" s="30">
        <v>22500</v>
      </c>
      <c r="F196" s="30">
        <v>21960</v>
      </c>
      <c r="G196" s="30">
        <v>21520</v>
      </c>
      <c r="H196" s="30">
        <v>19610</v>
      </c>
      <c r="I196" s="30">
        <v>19520</v>
      </c>
      <c r="J196" s="30">
        <v>21400</v>
      </c>
      <c r="K196" s="30">
        <v>22720</v>
      </c>
      <c r="L196" s="30">
        <v>22930</v>
      </c>
      <c r="M196" s="30">
        <v>23890</v>
      </c>
      <c r="N196" s="30">
        <v>23070</v>
      </c>
      <c r="O196" s="30">
        <v>22960</v>
      </c>
      <c r="P196" s="30">
        <v>22000</v>
      </c>
      <c r="Q196" s="30">
        <v>23870</v>
      </c>
      <c r="R196" s="30">
        <v>22860</v>
      </c>
      <c r="S196" s="30">
        <v>23280</v>
      </c>
      <c r="T196" s="30">
        <v>24430</v>
      </c>
      <c r="U196" s="30">
        <v>23980</v>
      </c>
      <c r="V196" s="30">
        <v>23150</v>
      </c>
      <c r="W196" s="30">
        <v>23980</v>
      </c>
      <c r="X196" s="30">
        <v>25500</v>
      </c>
      <c r="Y196" s="30">
        <v>24800</v>
      </c>
      <c r="Z196" s="30">
        <v>25510</v>
      </c>
      <c r="AA196" s="30">
        <v>27530</v>
      </c>
      <c r="AB196" s="30">
        <v>26710</v>
      </c>
      <c r="AC196" s="30">
        <v>25910</v>
      </c>
      <c r="AD196" s="30">
        <v>26600</v>
      </c>
      <c r="AE196" s="30">
        <v>27570</v>
      </c>
      <c r="AF196" s="30">
        <v>26700</v>
      </c>
      <c r="AG196" s="30">
        <v>26810</v>
      </c>
      <c r="AH196" s="30">
        <v>27040</v>
      </c>
      <c r="AI196" s="30">
        <v>26660</v>
      </c>
      <c r="AJ196" s="30">
        <v>26220</v>
      </c>
      <c r="AK196" s="30">
        <v>25750</v>
      </c>
      <c r="AL196" s="30">
        <v>25890</v>
      </c>
      <c r="AM196" s="30">
        <v>24840</v>
      </c>
      <c r="AN196" s="30">
        <v>23710</v>
      </c>
      <c r="AO196" s="30">
        <v>21820</v>
      </c>
      <c r="AP196" s="30">
        <v>22000</v>
      </c>
      <c r="AQ196" s="30">
        <v>20850</v>
      </c>
      <c r="AR196" s="30">
        <v>22270</v>
      </c>
      <c r="AS196" s="30">
        <v>22800</v>
      </c>
      <c r="AT196" s="30">
        <v>23060</v>
      </c>
      <c r="AU196" s="30">
        <v>22060</v>
      </c>
      <c r="AV196" s="30">
        <v>23020</v>
      </c>
      <c r="AW196" s="30">
        <v>22900</v>
      </c>
      <c r="AX196" s="30">
        <v>23540</v>
      </c>
      <c r="AY196" s="30">
        <v>23860</v>
      </c>
      <c r="AZ196" s="30">
        <v>23440</v>
      </c>
      <c r="BA196" s="30">
        <v>23000</v>
      </c>
      <c r="BB196" s="30">
        <v>21940</v>
      </c>
      <c r="BC196" s="30">
        <v>22650</v>
      </c>
      <c r="BD196" s="30">
        <v>23450</v>
      </c>
      <c r="BE196" s="30">
        <v>23540</v>
      </c>
      <c r="BF196" s="30">
        <v>25000</v>
      </c>
      <c r="BG196" s="30">
        <v>21500</v>
      </c>
      <c r="BH196" s="30">
        <v>24360</v>
      </c>
      <c r="BI196" s="30">
        <v>23400</v>
      </c>
      <c r="BJ196" s="30">
        <v>23060</v>
      </c>
      <c r="BK196" s="30">
        <v>23120</v>
      </c>
      <c r="BL196" s="30">
        <v>22550</v>
      </c>
      <c r="BM196" s="1">
        <v>23120</v>
      </c>
      <c r="BN196" s="1">
        <v>22910</v>
      </c>
      <c r="BO196" s="1">
        <v>23100</v>
      </c>
      <c r="BP196" s="1">
        <v>23160</v>
      </c>
      <c r="BQ196" s="1">
        <v>22770</v>
      </c>
      <c r="BR196" s="1">
        <v>22580</v>
      </c>
      <c r="BS196" s="1">
        <v>22840</v>
      </c>
      <c r="BT196" s="1">
        <v>22660</v>
      </c>
      <c r="BU196" s="1">
        <v>23140</v>
      </c>
      <c r="BV196" s="1">
        <v>23340</v>
      </c>
      <c r="BW196" s="1">
        <v>23680</v>
      </c>
      <c r="BX196" s="1">
        <v>23750</v>
      </c>
      <c r="BY196" s="1">
        <v>22780</v>
      </c>
      <c r="BZ196" s="1">
        <v>22560</v>
      </c>
    </row>
    <row r="197" spans="1:78" ht="15.9" customHeight="1">
      <c r="A197" s="65" t="s">
        <v>386</v>
      </c>
      <c r="B197" s="41" t="s">
        <v>387</v>
      </c>
      <c r="C197" s="45">
        <f>_xll.RssMarket("6146","安値")</f>
        <v>62440</v>
      </c>
      <c r="D197" s="16">
        <f t="shared" si="6"/>
        <v>3670</v>
      </c>
      <c r="E197" s="30">
        <v>58770</v>
      </c>
      <c r="F197" s="30">
        <v>57840</v>
      </c>
      <c r="G197" s="30">
        <v>57430</v>
      </c>
      <c r="H197" s="30">
        <v>49400</v>
      </c>
      <c r="I197" s="30">
        <v>50200</v>
      </c>
      <c r="J197" s="30">
        <v>54870</v>
      </c>
      <c r="K197" s="30">
        <v>60110</v>
      </c>
      <c r="L197" s="30">
        <v>59420</v>
      </c>
      <c r="M197" s="30">
        <v>69260</v>
      </c>
      <c r="N197" s="30">
        <v>67520</v>
      </c>
      <c r="O197" s="30">
        <v>63000</v>
      </c>
      <c r="P197" s="30">
        <v>62260</v>
      </c>
      <c r="Q197" s="30">
        <v>71480</v>
      </c>
      <c r="R197" s="30">
        <v>68730</v>
      </c>
      <c r="S197" s="30">
        <v>70330</v>
      </c>
      <c r="T197" s="30">
        <v>71620</v>
      </c>
      <c r="U197" s="30">
        <v>69230</v>
      </c>
      <c r="V197" s="30">
        <v>68030</v>
      </c>
      <c r="W197" s="30">
        <v>71600</v>
      </c>
      <c r="X197" s="30">
        <v>75230</v>
      </c>
      <c r="Y197" s="30">
        <v>72750</v>
      </c>
      <c r="Z197" s="30">
        <v>76770</v>
      </c>
      <c r="AA197" s="30">
        <v>83720</v>
      </c>
      <c r="AB197" s="30">
        <v>79760</v>
      </c>
      <c r="AC197" s="30">
        <v>75330</v>
      </c>
      <c r="AD197" s="30">
        <v>78180</v>
      </c>
      <c r="AE197" s="30">
        <v>83650</v>
      </c>
      <c r="AF197" s="30">
        <v>77830</v>
      </c>
      <c r="AG197" s="30">
        <v>82870</v>
      </c>
      <c r="AH197" s="30">
        <v>85630</v>
      </c>
      <c r="AI197" s="30">
        <v>84800</v>
      </c>
      <c r="AJ197" s="30">
        <v>82440</v>
      </c>
      <c r="AK197" s="30">
        <v>80000</v>
      </c>
      <c r="AL197" s="30">
        <v>81210</v>
      </c>
      <c r="AM197" s="30">
        <v>80450</v>
      </c>
      <c r="AN197" s="30">
        <v>73310</v>
      </c>
      <c r="AO197" s="30">
        <v>66440</v>
      </c>
      <c r="AP197" s="30">
        <v>69320</v>
      </c>
      <c r="AQ197" s="30">
        <v>66440</v>
      </c>
      <c r="AR197" s="30">
        <v>70440</v>
      </c>
      <c r="AS197" s="30">
        <v>68080</v>
      </c>
      <c r="AT197" s="30">
        <v>65130</v>
      </c>
      <c r="AU197" s="30">
        <v>61530</v>
      </c>
      <c r="AV197" s="30">
        <v>63580</v>
      </c>
      <c r="AW197" s="30">
        <v>64800</v>
      </c>
      <c r="AX197" s="30">
        <v>67340</v>
      </c>
      <c r="AY197" s="30">
        <v>67180</v>
      </c>
      <c r="AZ197" s="30">
        <v>65090</v>
      </c>
      <c r="BA197" s="30">
        <v>63220</v>
      </c>
      <c r="BB197" s="30">
        <v>59650</v>
      </c>
      <c r="BC197" s="30">
        <v>60650</v>
      </c>
      <c r="BD197" s="30">
        <v>62280</v>
      </c>
      <c r="BE197" s="30">
        <v>64300</v>
      </c>
      <c r="BF197" s="30">
        <v>70000</v>
      </c>
      <c r="BG197" s="30">
        <v>70330</v>
      </c>
      <c r="BH197" s="30">
        <v>71370</v>
      </c>
      <c r="BI197" s="30">
        <v>73100</v>
      </c>
      <c r="BJ197" s="30">
        <v>74830</v>
      </c>
      <c r="BK197" s="30">
        <v>75800</v>
      </c>
      <c r="BL197" s="30">
        <v>72200</v>
      </c>
      <c r="BM197" s="1">
        <v>72910</v>
      </c>
      <c r="BN197" s="1">
        <v>73600</v>
      </c>
      <c r="BO197" s="1">
        <v>72800</v>
      </c>
      <c r="BP197" s="1">
        <v>71090</v>
      </c>
      <c r="BQ197" s="1">
        <v>71230</v>
      </c>
      <c r="BR197" s="1">
        <v>74180</v>
      </c>
      <c r="BS197" s="1">
        <v>72000</v>
      </c>
      <c r="BT197" s="1">
        <v>71800</v>
      </c>
      <c r="BU197" s="1">
        <v>72020</v>
      </c>
      <c r="BV197" s="1">
        <v>70640</v>
      </c>
      <c r="BW197" s="1">
        <v>70170</v>
      </c>
      <c r="BX197" s="1">
        <v>69970</v>
      </c>
      <c r="BY197" s="1">
        <v>66200</v>
      </c>
      <c r="BZ197" s="1">
        <v>65530</v>
      </c>
    </row>
    <row r="198" spans="1:78" ht="15.9" customHeight="1">
      <c r="A198" s="65" t="s">
        <v>388</v>
      </c>
      <c r="B198" s="41" t="s">
        <v>389</v>
      </c>
      <c r="C198" s="45">
        <f>_xll.RssMarket("8035","安値")</f>
        <v>58300</v>
      </c>
      <c r="D198" s="16">
        <f t="shared" si="6"/>
        <v>4900</v>
      </c>
      <c r="E198" s="30">
        <v>53400</v>
      </c>
      <c r="F198" s="30">
        <v>52550</v>
      </c>
      <c r="G198" s="30">
        <v>54220</v>
      </c>
      <c r="H198" s="30">
        <v>48650</v>
      </c>
      <c r="I198" s="30">
        <v>48580</v>
      </c>
      <c r="J198" s="30">
        <v>55400</v>
      </c>
      <c r="K198" s="30">
        <v>61660</v>
      </c>
      <c r="L198" s="30">
        <v>61210</v>
      </c>
      <c r="M198" s="30">
        <v>65910</v>
      </c>
      <c r="N198" s="30">
        <v>65550</v>
      </c>
      <c r="O198" s="30">
        <v>64200</v>
      </c>
      <c r="P198" s="30">
        <v>63150</v>
      </c>
      <c r="Q198" s="30">
        <v>70780</v>
      </c>
      <c r="R198" s="30">
        <v>68680</v>
      </c>
      <c r="S198" s="30">
        <v>69940</v>
      </c>
      <c r="T198" s="30">
        <v>71610</v>
      </c>
      <c r="U198" s="30">
        <v>69300</v>
      </c>
      <c r="V198" s="30">
        <v>66560</v>
      </c>
      <c r="W198" s="30">
        <v>69130</v>
      </c>
      <c r="X198" s="30">
        <v>70670</v>
      </c>
      <c r="Y198" s="30">
        <v>68970</v>
      </c>
      <c r="Z198" s="30">
        <v>72940</v>
      </c>
      <c r="AA198" s="30">
        <v>76690</v>
      </c>
      <c r="AB198" s="30">
        <v>74730</v>
      </c>
      <c r="AC198" s="30">
        <v>70670</v>
      </c>
      <c r="AD198" s="30">
        <v>71120</v>
      </c>
      <c r="AE198" s="30">
        <v>71900</v>
      </c>
      <c r="AF198" s="30">
        <v>68620</v>
      </c>
      <c r="AG198" s="30">
        <v>72960</v>
      </c>
      <c r="AH198" s="30">
        <v>73980</v>
      </c>
      <c r="AI198" s="30">
        <v>73920</v>
      </c>
      <c r="AJ198" s="30">
        <v>73100</v>
      </c>
      <c r="AK198" s="30">
        <v>69850</v>
      </c>
      <c r="AL198" s="30">
        <v>70820</v>
      </c>
      <c r="AM198" s="30">
        <v>72760</v>
      </c>
      <c r="AN198" s="30">
        <v>68000</v>
      </c>
      <c r="AO198" s="30">
        <v>60210</v>
      </c>
      <c r="AP198" s="30">
        <v>60810</v>
      </c>
      <c r="AQ198" s="30">
        <v>54650</v>
      </c>
      <c r="AR198" s="30">
        <v>58750</v>
      </c>
      <c r="AS198" s="30">
        <v>59900</v>
      </c>
      <c r="AT198" s="30">
        <v>56390</v>
      </c>
      <c r="AU198" s="30">
        <v>52180</v>
      </c>
      <c r="AV198" s="30">
        <v>52030</v>
      </c>
      <c r="AW198" s="30">
        <v>51150</v>
      </c>
      <c r="AX198" s="30">
        <v>52500</v>
      </c>
      <c r="AY198" s="30">
        <v>50030</v>
      </c>
      <c r="AZ198" s="30">
        <v>48730</v>
      </c>
      <c r="BA198" s="30">
        <v>47450</v>
      </c>
      <c r="BB198" s="30">
        <v>45030</v>
      </c>
      <c r="BC198" s="30">
        <v>47160</v>
      </c>
      <c r="BD198" s="30">
        <v>48810</v>
      </c>
      <c r="BE198" s="30">
        <v>49480</v>
      </c>
      <c r="BF198" s="30">
        <v>51200</v>
      </c>
      <c r="BG198" s="30">
        <v>50830</v>
      </c>
      <c r="BH198" s="30">
        <v>51630</v>
      </c>
      <c r="BI198" s="30">
        <v>51870</v>
      </c>
      <c r="BJ198" s="30">
        <v>51220</v>
      </c>
      <c r="BK198" s="30">
        <v>50240</v>
      </c>
      <c r="BL198" s="30">
        <v>46710</v>
      </c>
      <c r="BM198" s="1">
        <v>43980</v>
      </c>
      <c r="BN198" s="1">
        <v>45010</v>
      </c>
      <c r="BO198" s="1">
        <v>46300</v>
      </c>
      <c r="BP198" s="1">
        <v>45410</v>
      </c>
      <c r="BQ198" s="1">
        <v>44950</v>
      </c>
      <c r="BR198" s="1">
        <v>45020</v>
      </c>
      <c r="BS198" s="1">
        <v>44670</v>
      </c>
      <c r="BT198" s="1">
        <v>43620</v>
      </c>
      <c r="BU198" s="1">
        <v>44010</v>
      </c>
      <c r="BV198" s="1">
        <v>44100</v>
      </c>
      <c r="BW198" s="1">
        <v>43360</v>
      </c>
      <c r="BX198" s="1">
        <v>42890</v>
      </c>
      <c r="BY198" s="1">
        <v>42300</v>
      </c>
      <c r="BZ198" s="1">
        <v>42620</v>
      </c>
    </row>
    <row r="199" spans="1:78" ht="15.9" customHeight="1">
      <c r="A199" s="65" t="s">
        <v>390</v>
      </c>
      <c r="B199" s="41" t="s">
        <v>391</v>
      </c>
      <c r="C199" s="45">
        <f>_xll.RssMarket("6920","安値")</f>
        <v>44560</v>
      </c>
      <c r="D199" s="16">
        <f t="shared" si="6"/>
        <v>3690</v>
      </c>
      <c r="E199" s="30">
        <v>40870</v>
      </c>
      <c r="F199" s="30">
        <v>37200</v>
      </c>
      <c r="G199" s="30">
        <v>37190</v>
      </c>
      <c r="H199" s="30">
        <v>33200</v>
      </c>
      <c r="I199" s="30">
        <v>33330</v>
      </c>
      <c r="J199" s="30">
        <v>37110</v>
      </c>
      <c r="K199" s="30">
        <v>42800</v>
      </c>
      <c r="L199" s="30">
        <v>42630</v>
      </c>
      <c r="M199" s="30">
        <v>44740</v>
      </c>
      <c r="N199" s="30">
        <v>42720</v>
      </c>
      <c r="O199" s="30">
        <v>40050</v>
      </c>
      <c r="P199" s="30">
        <v>39850</v>
      </c>
      <c r="Q199" s="30">
        <v>46830</v>
      </c>
      <c r="R199" s="30">
        <v>43400</v>
      </c>
      <c r="S199" s="30">
        <v>44020</v>
      </c>
      <c r="T199" s="30">
        <v>43470</v>
      </c>
      <c r="U199" s="30">
        <v>41810</v>
      </c>
      <c r="V199" s="30">
        <v>42000</v>
      </c>
      <c r="W199" s="30">
        <v>43420</v>
      </c>
      <c r="X199" s="30">
        <v>45550</v>
      </c>
      <c r="Y199" s="30">
        <v>44340</v>
      </c>
      <c r="Z199" s="30">
        <v>46950</v>
      </c>
      <c r="AA199" s="30">
        <v>50380</v>
      </c>
      <c r="AB199" s="30">
        <v>48710</v>
      </c>
      <c r="AC199" s="30">
        <v>46570</v>
      </c>
      <c r="AD199" s="30">
        <v>49260</v>
      </c>
      <c r="AE199" s="30">
        <v>50870</v>
      </c>
      <c r="AF199" s="30">
        <v>49990</v>
      </c>
      <c r="AG199" s="30">
        <v>51840</v>
      </c>
      <c r="AH199" s="30">
        <v>54370</v>
      </c>
      <c r="AI199" s="30">
        <v>53860</v>
      </c>
      <c r="AJ199" s="30">
        <v>51910</v>
      </c>
      <c r="AK199" s="30">
        <v>45770</v>
      </c>
      <c r="AL199" s="30">
        <v>46450</v>
      </c>
      <c r="AM199" s="30">
        <v>45460</v>
      </c>
      <c r="AN199" s="30">
        <v>41820</v>
      </c>
      <c r="AO199" s="30">
        <v>37780</v>
      </c>
      <c r="AP199" s="30">
        <v>39660</v>
      </c>
      <c r="AQ199" s="30">
        <v>38760</v>
      </c>
      <c r="AR199" s="30">
        <v>41020</v>
      </c>
      <c r="AS199" s="30">
        <v>41230</v>
      </c>
      <c r="AT199" s="30">
        <v>39340</v>
      </c>
      <c r="AU199" s="30">
        <v>37850</v>
      </c>
      <c r="AV199" s="30">
        <v>38930</v>
      </c>
      <c r="AW199" s="30">
        <v>38860</v>
      </c>
      <c r="AX199" s="30">
        <v>41530</v>
      </c>
      <c r="AY199" s="30">
        <v>40290</v>
      </c>
      <c r="AZ199" s="30">
        <v>37870</v>
      </c>
      <c r="BA199" s="30">
        <v>36720</v>
      </c>
      <c r="BB199" s="30">
        <v>34620</v>
      </c>
      <c r="BC199" s="30">
        <v>35550</v>
      </c>
      <c r="BD199" s="30">
        <v>38080</v>
      </c>
      <c r="BE199" s="30">
        <v>38030</v>
      </c>
      <c r="BF199" s="30">
        <v>40540</v>
      </c>
      <c r="BG199" s="30">
        <v>41400</v>
      </c>
      <c r="BH199" s="30">
        <v>42700</v>
      </c>
      <c r="BI199" s="30">
        <v>43480</v>
      </c>
      <c r="BJ199" s="30">
        <v>42760</v>
      </c>
      <c r="BK199" s="30">
        <v>44380</v>
      </c>
      <c r="BL199" s="30">
        <v>40500</v>
      </c>
      <c r="BM199" s="1">
        <v>42520</v>
      </c>
      <c r="BN199" s="1">
        <v>44060</v>
      </c>
      <c r="BO199" s="1">
        <v>45000</v>
      </c>
      <c r="BP199" s="1">
        <v>44350</v>
      </c>
      <c r="BQ199" s="1">
        <v>43100</v>
      </c>
      <c r="BR199" s="1">
        <v>44110</v>
      </c>
      <c r="BS199" s="1">
        <v>42340</v>
      </c>
      <c r="BT199" s="1">
        <v>40530</v>
      </c>
      <c r="BU199" s="1">
        <v>39950</v>
      </c>
      <c r="BV199" s="1">
        <v>40630</v>
      </c>
      <c r="BW199" s="1">
        <v>41210</v>
      </c>
      <c r="BX199" s="1">
        <v>41630</v>
      </c>
      <c r="BY199" s="1">
        <v>40480</v>
      </c>
      <c r="BZ199" s="1">
        <v>39000</v>
      </c>
    </row>
    <row r="200" spans="1:78" ht="15.9" customHeight="1">
      <c r="A200" s="65" t="s">
        <v>392</v>
      </c>
      <c r="B200" s="41" t="s">
        <v>393</v>
      </c>
      <c r="C200" s="45">
        <f>_xll.RssMarket("5801","安値")</f>
        <v>3781</v>
      </c>
      <c r="D200" s="16">
        <f t="shared" si="6"/>
        <v>576</v>
      </c>
      <c r="E200" s="30">
        <v>3205</v>
      </c>
      <c r="F200" s="30">
        <v>2929.5</v>
      </c>
      <c r="G200" s="30">
        <v>3095</v>
      </c>
      <c r="H200" s="30">
        <v>2678</v>
      </c>
      <c r="I200" s="30">
        <v>2646</v>
      </c>
      <c r="J200" s="30">
        <v>2928</v>
      </c>
      <c r="K200" s="30">
        <v>3170</v>
      </c>
      <c r="L200" s="30">
        <v>3340</v>
      </c>
      <c r="M200" s="30">
        <v>3460</v>
      </c>
      <c r="N200" s="30">
        <v>3518</v>
      </c>
      <c r="O200" s="30">
        <v>3208</v>
      </c>
      <c r="P200" s="30">
        <v>3079</v>
      </c>
      <c r="Q200" s="30">
        <v>3550</v>
      </c>
      <c r="R200" s="30">
        <v>3357</v>
      </c>
      <c r="S200" s="30">
        <v>3566</v>
      </c>
      <c r="T200" s="30">
        <v>3719</v>
      </c>
      <c r="U200" s="30">
        <v>3507</v>
      </c>
      <c r="V200" s="30">
        <v>3442</v>
      </c>
      <c r="W200" s="30">
        <v>3656</v>
      </c>
      <c r="X200" s="30">
        <v>3793</v>
      </c>
      <c r="Y200" s="30">
        <v>3711</v>
      </c>
      <c r="Z200" s="30">
        <v>3925</v>
      </c>
      <c r="AA200" s="30">
        <v>4218</v>
      </c>
      <c r="AB200" s="30">
        <v>4589</v>
      </c>
      <c r="AC200" s="30">
        <v>4254</v>
      </c>
      <c r="AD200" s="30">
        <v>4462</v>
      </c>
      <c r="AE200" s="30">
        <v>4798</v>
      </c>
      <c r="AF200" s="30">
        <v>4600</v>
      </c>
      <c r="AG200" s="30">
        <v>4848</v>
      </c>
      <c r="AH200" s="30">
        <v>5428</v>
      </c>
      <c r="AI200" s="30">
        <v>5276</v>
      </c>
      <c r="AJ200" s="30">
        <v>4629</v>
      </c>
      <c r="AK200" s="30">
        <v>4490</v>
      </c>
      <c r="AL200" s="30">
        <v>4358</v>
      </c>
      <c r="AM200" s="30">
        <v>4397</v>
      </c>
      <c r="AN200" s="30">
        <v>4087</v>
      </c>
      <c r="AO200" s="30">
        <v>3808</v>
      </c>
      <c r="AP200" s="30">
        <v>4022</v>
      </c>
      <c r="AQ200" s="30">
        <v>4360</v>
      </c>
      <c r="AR200" s="30">
        <v>4812</v>
      </c>
      <c r="AS200" s="30">
        <v>5005</v>
      </c>
      <c r="AT200" s="30">
        <v>5272</v>
      </c>
      <c r="AU200" s="30">
        <v>4802</v>
      </c>
      <c r="AV200" s="30">
        <v>4915</v>
      </c>
      <c r="AW200" s="30">
        <v>5065</v>
      </c>
      <c r="AX200" s="30">
        <v>5557</v>
      </c>
      <c r="AY200" s="30">
        <v>5592</v>
      </c>
      <c r="AZ200" s="30">
        <v>5101</v>
      </c>
      <c r="BA200" s="30">
        <v>4913</v>
      </c>
      <c r="BB200" s="30">
        <v>4650</v>
      </c>
      <c r="BC200" s="30">
        <v>4960</v>
      </c>
      <c r="BD200" s="30">
        <v>5374</v>
      </c>
      <c r="BE200" s="30">
        <v>5333</v>
      </c>
      <c r="BF200" s="30">
        <v>5625</v>
      </c>
      <c r="BG200" s="30">
        <v>5105</v>
      </c>
      <c r="BH200" s="30">
        <v>4366</v>
      </c>
      <c r="BI200" s="30">
        <v>4343</v>
      </c>
      <c r="BJ200" s="30">
        <v>4373</v>
      </c>
      <c r="BK200" s="30">
        <v>4459</v>
      </c>
      <c r="BL200" s="30">
        <v>4119</v>
      </c>
      <c r="BM200" s="1">
        <v>4158</v>
      </c>
      <c r="BN200" s="1">
        <v>4113</v>
      </c>
      <c r="BO200" s="1">
        <v>4209</v>
      </c>
      <c r="BP200" s="1">
        <v>4253</v>
      </c>
      <c r="BQ200" s="1">
        <v>4153</v>
      </c>
      <c r="BR200" s="1">
        <v>4309</v>
      </c>
      <c r="BS200" s="1">
        <v>4360</v>
      </c>
      <c r="BT200" s="1">
        <v>4307</v>
      </c>
      <c r="BU200" s="1">
        <v>4433</v>
      </c>
      <c r="BV200" s="1">
        <v>4350</v>
      </c>
      <c r="BW200" s="1">
        <v>4424</v>
      </c>
      <c r="BX200" s="1">
        <v>4618</v>
      </c>
      <c r="BY200" s="1">
        <v>4493</v>
      </c>
      <c r="BZ200" s="1">
        <v>4435</v>
      </c>
    </row>
    <row r="201" spans="1:78" ht="15.9" customHeight="1">
      <c r="A201" s="65" t="s">
        <v>394</v>
      </c>
      <c r="B201" s="41" t="s">
        <v>395</v>
      </c>
      <c r="C201" s="45">
        <f>_xll.RssMarket("6506","安値")</f>
        <v>5211</v>
      </c>
      <c r="D201" s="16">
        <f t="shared" si="6"/>
        <v>269</v>
      </c>
      <c r="E201" s="30">
        <v>4942</v>
      </c>
      <c r="F201" s="30">
        <v>4726</v>
      </c>
      <c r="G201" s="30">
        <v>4744</v>
      </c>
      <c r="H201" s="30">
        <v>4507</v>
      </c>
      <c r="I201" s="30">
        <v>4465</v>
      </c>
      <c r="J201" s="30">
        <v>4732</v>
      </c>
      <c r="K201" s="30">
        <v>5171</v>
      </c>
      <c r="L201" s="30">
        <v>5078</v>
      </c>
      <c r="M201" s="30">
        <v>5289</v>
      </c>
      <c r="N201" s="30">
        <v>5152</v>
      </c>
      <c r="O201" s="30">
        <v>4926</v>
      </c>
      <c r="P201" s="30">
        <v>4900</v>
      </c>
      <c r="Q201" s="30">
        <v>5288</v>
      </c>
      <c r="R201" s="30">
        <v>5205</v>
      </c>
      <c r="S201" s="30">
        <v>5972</v>
      </c>
      <c r="T201" s="30">
        <v>6900</v>
      </c>
      <c r="U201" s="30">
        <v>6741</v>
      </c>
      <c r="V201" s="30">
        <v>6550</v>
      </c>
      <c r="W201" s="30">
        <v>6900</v>
      </c>
      <c r="X201" s="30">
        <v>7309</v>
      </c>
      <c r="Y201" s="30">
        <v>6711</v>
      </c>
      <c r="Z201" s="30">
        <v>6820</v>
      </c>
      <c r="AA201" s="30">
        <v>7158</v>
      </c>
      <c r="AB201" s="30">
        <v>6871</v>
      </c>
      <c r="AC201" s="30">
        <v>6560</v>
      </c>
      <c r="AD201" s="30">
        <v>6710</v>
      </c>
      <c r="AE201" s="30">
        <v>7103</v>
      </c>
      <c r="AF201" s="30">
        <v>6905</v>
      </c>
      <c r="AG201" s="30">
        <v>7140</v>
      </c>
      <c r="AH201" s="30">
        <v>7295</v>
      </c>
      <c r="AI201" s="30">
        <v>7044</v>
      </c>
      <c r="AJ201" s="30">
        <v>7116</v>
      </c>
      <c r="AK201" s="30">
        <v>6718</v>
      </c>
      <c r="AL201" s="30">
        <v>6655</v>
      </c>
      <c r="AM201" s="30">
        <v>6483</v>
      </c>
      <c r="AN201" s="30">
        <v>6281</v>
      </c>
      <c r="AO201" s="30">
        <v>5598</v>
      </c>
      <c r="AP201" s="30">
        <v>5880</v>
      </c>
      <c r="AQ201" s="30">
        <v>6234</v>
      </c>
      <c r="AR201" s="30">
        <v>6658</v>
      </c>
      <c r="AS201" s="30">
        <v>6788</v>
      </c>
      <c r="AT201" s="30">
        <v>6888</v>
      </c>
      <c r="AU201" s="30">
        <v>6484</v>
      </c>
      <c r="AV201" s="30">
        <v>7049</v>
      </c>
      <c r="AW201" s="30">
        <v>6860</v>
      </c>
      <c r="AX201" s="30">
        <v>7085</v>
      </c>
      <c r="AY201" s="30">
        <v>7316</v>
      </c>
      <c r="AZ201" s="30">
        <v>6740</v>
      </c>
      <c r="BA201" s="30">
        <v>6229</v>
      </c>
      <c r="BB201" s="30">
        <v>6025</v>
      </c>
      <c r="BC201" s="30">
        <v>6309</v>
      </c>
      <c r="BD201" s="30">
        <v>6643</v>
      </c>
      <c r="BE201" s="30">
        <v>6895</v>
      </c>
      <c r="BF201" s="30">
        <v>6977</v>
      </c>
      <c r="BG201" s="30">
        <v>6712</v>
      </c>
      <c r="BH201" s="30">
        <v>6686</v>
      </c>
      <c r="BI201" s="30">
        <v>6240</v>
      </c>
      <c r="BJ201" s="30">
        <v>5951</v>
      </c>
      <c r="BK201" s="30">
        <v>5868</v>
      </c>
      <c r="BL201" s="30">
        <v>5450</v>
      </c>
      <c r="BM201" s="1">
        <v>5436</v>
      </c>
      <c r="BN201" s="1">
        <v>5335</v>
      </c>
      <c r="BO201" s="1">
        <v>5192</v>
      </c>
      <c r="BP201" s="1">
        <v>5106</v>
      </c>
      <c r="BQ201" s="1">
        <v>5121</v>
      </c>
      <c r="BR201" s="1">
        <v>5304</v>
      </c>
      <c r="BS201" s="1">
        <v>5411</v>
      </c>
      <c r="BT201" s="1">
        <v>5356</v>
      </c>
      <c r="BU201" s="1">
        <v>5087</v>
      </c>
      <c r="BV201" s="1">
        <v>5201</v>
      </c>
      <c r="BW201" s="1">
        <v>5194</v>
      </c>
      <c r="BX201" s="1">
        <v>5136</v>
      </c>
      <c r="BY201" s="1">
        <v>4896</v>
      </c>
      <c r="BZ201" s="1">
        <v>4806</v>
      </c>
    </row>
    <row r="202" spans="1:78" ht="15.9" customHeight="1">
      <c r="A202" s="65" t="s">
        <v>396</v>
      </c>
      <c r="B202" s="41" t="s">
        <v>397</v>
      </c>
      <c r="C202" s="45">
        <f>_xll.RssMarket("2768","安値")</f>
        <v>5217</v>
      </c>
      <c r="D202" s="16">
        <f t="shared" si="6"/>
        <v>76</v>
      </c>
      <c r="E202" s="30">
        <v>5141</v>
      </c>
      <c r="F202" s="30">
        <v>5087</v>
      </c>
      <c r="G202" s="30">
        <v>5267</v>
      </c>
      <c r="H202" s="30">
        <v>5279</v>
      </c>
      <c r="I202" s="30">
        <v>5243</v>
      </c>
      <c r="J202" s="30">
        <v>5304</v>
      </c>
      <c r="K202" s="30">
        <v>5387</v>
      </c>
      <c r="L202" s="30">
        <v>5372</v>
      </c>
      <c r="M202" s="30">
        <v>5386</v>
      </c>
      <c r="N202" s="30">
        <v>5301</v>
      </c>
      <c r="O202" s="30">
        <v>5103</v>
      </c>
      <c r="P202" s="30">
        <v>4996</v>
      </c>
      <c r="Q202" s="30">
        <v>5140</v>
      </c>
      <c r="R202" s="30">
        <v>5039</v>
      </c>
      <c r="S202" s="30">
        <v>5021</v>
      </c>
      <c r="T202" s="30">
        <v>5085</v>
      </c>
      <c r="U202" s="30">
        <v>5118</v>
      </c>
      <c r="V202" s="30">
        <v>5199</v>
      </c>
      <c r="W202" s="30">
        <v>5236</v>
      </c>
      <c r="X202" s="30">
        <v>5250</v>
      </c>
      <c r="Y202" s="30">
        <v>5226</v>
      </c>
      <c r="Z202" s="30">
        <v>5193</v>
      </c>
      <c r="AA202" s="30">
        <v>5118</v>
      </c>
      <c r="AB202" s="30">
        <v>5141</v>
      </c>
      <c r="AC202" s="30">
        <v>5186</v>
      </c>
      <c r="AD202" s="30">
        <v>5234</v>
      </c>
      <c r="AE202" s="30">
        <v>5191</v>
      </c>
      <c r="AF202" s="30">
        <v>5149</v>
      </c>
      <c r="AG202" s="30">
        <v>5187</v>
      </c>
      <c r="AH202" s="30">
        <v>5226</v>
      </c>
      <c r="AI202" s="30">
        <v>5278</v>
      </c>
      <c r="AJ202" s="30">
        <v>5285</v>
      </c>
      <c r="AK202" s="30">
        <v>5239</v>
      </c>
      <c r="AL202" s="30">
        <v>5250</v>
      </c>
      <c r="AM202" s="30">
        <v>5223</v>
      </c>
      <c r="AN202" s="30">
        <v>5011</v>
      </c>
      <c r="AO202" s="30">
        <v>4944</v>
      </c>
      <c r="AP202" s="30">
        <v>5040</v>
      </c>
      <c r="AQ202" s="30">
        <v>5040</v>
      </c>
      <c r="AR202" s="30">
        <v>5165</v>
      </c>
      <c r="AS202" s="30">
        <v>5125</v>
      </c>
      <c r="AT202" s="30">
        <v>5095</v>
      </c>
      <c r="AU202" s="30">
        <v>5015</v>
      </c>
      <c r="AV202" s="30">
        <v>5391</v>
      </c>
      <c r="AW202" s="30">
        <v>5372</v>
      </c>
      <c r="AX202" s="30">
        <v>5500</v>
      </c>
      <c r="AY202" s="30">
        <v>5508</v>
      </c>
      <c r="AZ202" s="30">
        <v>5462</v>
      </c>
      <c r="BA202" s="30">
        <v>5541</v>
      </c>
      <c r="BB202" s="30">
        <v>5512</v>
      </c>
      <c r="BC202" s="30">
        <v>5655</v>
      </c>
      <c r="BD202" s="30">
        <v>5693</v>
      </c>
      <c r="BE202" s="30">
        <v>5837</v>
      </c>
      <c r="BF202" s="30">
        <v>5794</v>
      </c>
      <c r="BG202" s="30">
        <v>5845</v>
      </c>
      <c r="BH202" s="30">
        <v>5745</v>
      </c>
      <c r="BI202" s="30">
        <v>5628</v>
      </c>
      <c r="BJ202" s="30">
        <v>5636</v>
      </c>
      <c r="BK202" s="30">
        <v>5909</v>
      </c>
      <c r="BL202" s="30">
        <v>5790</v>
      </c>
      <c r="BM202" s="1">
        <v>5845</v>
      </c>
      <c r="BN202" s="1">
        <v>5853</v>
      </c>
      <c r="BO202" s="1">
        <v>5746</v>
      </c>
      <c r="BP202" s="1">
        <v>5870</v>
      </c>
      <c r="BQ202" s="1">
        <v>5794</v>
      </c>
      <c r="BR202" s="1">
        <v>5874</v>
      </c>
      <c r="BS202" s="1">
        <v>6051</v>
      </c>
      <c r="BT202" s="1">
        <v>6013</v>
      </c>
      <c r="BU202" s="1">
        <v>6077</v>
      </c>
      <c r="BV202" s="1">
        <v>6145</v>
      </c>
      <c r="BW202" s="1">
        <v>6118</v>
      </c>
      <c r="BX202" s="1">
        <v>6235</v>
      </c>
      <c r="BY202" s="1">
        <v>6321</v>
      </c>
      <c r="BZ202" s="1">
        <v>6374</v>
      </c>
    </row>
    <row r="203" spans="1:78" ht="15.9" customHeight="1">
      <c r="A203" s="65" t="s">
        <v>398</v>
      </c>
      <c r="B203" s="41" t="s">
        <v>399</v>
      </c>
      <c r="C203" s="45">
        <f>_xll.RssMarket("6305","安値")</f>
        <v>5312</v>
      </c>
      <c r="D203" s="16">
        <f t="shared" si="6"/>
        <v>69</v>
      </c>
      <c r="E203" s="30">
        <v>5243</v>
      </c>
      <c r="F203" s="30">
        <v>5209</v>
      </c>
      <c r="G203" s="30">
        <v>5233</v>
      </c>
      <c r="H203" s="30">
        <v>5543</v>
      </c>
      <c r="I203" s="30">
        <v>5333</v>
      </c>
      <c r="J203" s="30">
        <v>5400</v>
      </c>
      <c r="K203" s="30">
        <v>5399</v>
      </c>
      <c r="L203" s="30">
        <v>5322</v>
      </c>
      <c r="M203" s="30">
        <v>5269</v>
      </c>
      <c r="N203" s="30">
        <v>5269</v>
      </c>
      <c r="O203" s="30">
        <v>5080</v>
      </c>
      <c r="P203" s="30">
        <v>5042</v>
      </c>
      <c r="Q203" s="30">
        <v>5189</v>
      </c>
      <c r="R203" s="30">
        <v>5171</v>
      </c>
      <c r="S203" s="30">
        <v>5136</v>
      </c>
      <c r="T203" s="30">
        <v>5217</v>
      </c>
      <c r="U203" s="30">
        <v>5228</v>
      </c>
      <c r="V203" s="30">
        <v>5284</v>
      </c>
      <c r="W203" s="30">
        <v>5353</v>
      </c>
      <c r="X203" s="30">
        <v>5384</v>
      </c>
      <c r="Y203" s="30">
        <v>5207</v>
      </c>
      <c r="Z203" s="30">
        <v>5133</v>
      </c>
      <c r="AA203" s="30">
        <v>5193</v>
      </c>
      <c r="AB203" s="30">
        <v>5218</v>
      </c>
      <c r="AC203" s="30">
        <v>5212</v>
      </c>
      <c r="AD203" s="30">
        <v>5273</v>
      </c>
      <c r="AE203" s="30">
        <v>5280</v>
      </c>
      <c r="AF203" s="30">
        <v>5249</v>
      </c>
      <c r="AG203" s="30">
        <v>5330</v>
      </c>
      <c r="AH203" s="30">
        <v>5307</v>
      </c>
      <c r="AI203" s="30">
        <v>5380</v>
      </c>
      <c r="AJ203" s="30">
        <v>5353</v>
      </c>
      <c r="AK203" s="30">
        <v>5306</v>
      </c>
      <c r="AL203" s="30">
        <v>5395</v>
      </c>
      <c r="AM203" s="30">
        <v>5414</v>
      </c>
      <c r="AN203" s="30">
        <v>5191</v>
      </c>
      <c r="AO203" s="30">
        <v>5034</v>
      </c>
      <c r="AP203" s="30">
        <v>5196</v>
      </c>
      <c r="AQ203" s="30">
        <v>5177</v>
      </c>
      <c r="AR203" s="30">
        <v>5340</v>
      </c>
      <c r="AS203" s="30">
        <v>5273</v>
      </c>
      <c r="AT203" s="30">
        <v>5139</v>
      </c>
      <c r="AU203" s="30">
        <v>4890</v>
      </c>
      <c r="AV203" s="30">
        <v>5142</v>
      </c>
      <c r="AW203" s="30">
        <v>5109</v>
      </c>
      <c r="AX203" s="30">
        <v>5172</v>
      </c>
      <c r="AY203" s="30">
        <v>4991</v>
      </c>
      <c r="AZ203" s="30">
        <v>4960</v>
      </c>
      <c r="BA203" s="30">
        <v>4939</v>
      </c>
      <c r="BB203" s="30">
        <v>4882</v>
      </c>
      <c r="BC203" s="30">
        <v>5001</v>
      </c>
      <c r="BD203" s="30">
        <v>5052</v>
      </c>
      <c r="BE203" s="30">
        <v>5205</v>
      </c>
      <c r="BF203" s="30">
        <v>5298</v>
      </c>
      <c r="BG203" s="30">
        <v>5143</v>
      </c>
      <c r="BH203" s="30">
        <v>5180</v>
      </c>
      <c r="BI203" s="30">
        <v>5607</v>
      </c>
      <c r="BJ203" s="30">
        <v>5494</v>
      </c>
      <c r="BK203" s="30">
        <v>5407</v>
      </c>
      <c r="BL203" s="30">
        <v>5419</v>
      </c>
      <c r="BM203" s="1">
        <v>5422</v>
      </c>
      <c r="BN203" s="1">
        <v>5485</v>
      </c>
      <c r="BO203" s="1">
        <v>5223</v>
      </c>
      <c r="BP203" s="1">
        <v>5398</v>
      </c>
      <c r="BQ203" s="1">
        <v>5419</v>
      </c>
      <c r="BR203" s="1">
        <v>5361</v>
      </c>
      <c r="BS203" s="1">
        <v>5428</v>
      </c>
      <c r="BT203" s="1">
        <v>5420</v>
      </c>
      <c r="BU203" s="1">
        <v>5365</v>
      </c>
      <c r="BV203" s="1">
        <v>5522</v>
      </c>
      <c r="BW203" s="1">
        <v>5579</v>
      </c>
      <c r="BX203" s="1">
        <v>5595</v>
      </c>
      <c r="BY203" s="1">
        <v>5621</v>
      </c>
      <c r="BZ203" s="1">
        <v>5650</v>
      </c>
    </row>
    <row r="204" spans="1:78" ht="15.9" customHeight="1">
      <c r="A204" s="65" t="s">
        <v>400</v>
      </c>
      <c r="B204" s="41" t="s">
        <v>401</v>
      </c>
      <c r="C204" s="45">
        <f>_xll.RssMarket("8015","安値")</f>
        <v>6868</v>
      </c>
      <c r="D204" s="16">
        <f t="shared" si="6"/>
        <v>213</v>
      </c>
      <c r="E204" s="30">
        <v>6655</v>
      </c>
      <c r="F204" s="30">
        <v>6476</v>
      </c>
      <c r="G204" s="30">
        <v>6562</v>
      </c>
      <c r="H204" s="30">
        <v>6486</v>
      </c>
      <c r="I204" s="30">
        <v>6395</v>
      </c>
      <c r="J204" s="30">
        <v>6336</v>
      </c>
      <c r="K204" s="30">
        <v>6455</v>
      </c>
      <c r="L204" s="30">
        <v>6378</v>
      </c>
      <c r="M204" s="30">
        <v>6453</v>
      </c>
      <c r="N204" s="30">
        <v>6375</v>
      </c>
      <c r="O204" s="30">
        <v>6159</v>
      </c>
      <c r="P204" s="30">
        <v>5939</v>
      </c>
      <c r="Q204" s="30">
        <v>6070</v>
      </c>
      <c r="R204" s="30">
        <v>5965</v>
      </c>
      <c r="S204" s="30">
        <v>5963</v>
      </c>
      <c r="T204" s="30">
        <v>5988</v>
      </c>
      <c r="U204" s="30">
        <v>6044</v>
      </c>
      <c r="V204" s="30">
        <v>6142</v>
      </c>
      <c r="W204" s="30">
        <v>6264</v>
      </c>
      <c r="X204" s="30">
        <v>6169</v>
      </c>
      <c r="Y204" s="30">
        <v>6169</v>
      </c>
      <c r="Z204" s="30">
        <v>5972</v>
      </c>
      <c r="AA204" s="30">
        <v>5923</v>
      </c>
      <c r="AB204" s="30">
        <v>5922</v>
      </c>
      <c r="AC204" s="30">
        <v>5903</v>
      </c>
      <c r="AD204" s="30">
        <v>5952</v>
      </c>
      <c r="AE204" s="30">
        <v>6000</v>
      </c>
      <c r="AF204" s="30">
        <v>6037</v>
      </c>
      <c r="AG204" s="30">
        <v>6130</v>
      </c>
      <c r="AH204" s="30">
        <v>6055</v>
      </c>
      <c r="AI204" s="30">
        <v>6053</v>
      </c>
      <c r="AJ204" s="30">
        <v>6217</v>
      </c>
      <c r="AK204" s="30">
        <v>6295</v>
      </c>
      <c r="AL204" s="30">
        <v>6394</v>
      </c>
      <c r="AM204" s="30">
        <v>6410</v>
      </c>
      <c r="AN204" s="30">
        <v>6112</v>
      </c>
      <c r="AO204" s="30">
        <v>5816</v>
      </c>
      <c r="AP204" s="30">
        <v>5984</v>
      </c>
      <c r="AQ204" s="30">
        <v>6114</v>
      </c>
      <c r="AR204" s="30">
        <v>6388</v>
      </c>
      <c r="AS204" s="30">
        <v>6372</v>
      </c>
      <c r="AT204" s="30">
        <v>6431</v>
      </c>
      <c r="AU204" s="30">
        <v>6369</v>
      </c>
      <c r="AV204" s="30">
        <v>6683</v>
      </c>
      <c r="AW204" s="30">
        <v>6574</v>
      </c>
      <c r="AX204" s="30">
        <v>6790</v>
      </c>
      <c r="AY204" s="30">
        <v>6852</v>
      </c>
      <c r="AZ204" s="30">
        <v>6781</v>
      </c>
      <c r="BA204" s="30">
        <v>6770</v>
      </c>
      <c r="BB204" s="30">
        <v>6700</v>
      </c>
      <c r="BC204" s="30">
        <v>6917</v>
      </c>
      <c r="BD204" s="30">
        <v>6976</v>
      </c>
      <c r="BE204" s="30">
        <v>7351</v>
      </c>
      <c r="BF204" s="30">
        <v>7202</v>
      </c>
      <c r="BG204" s="30">
        <v>7130</v>
      </c>
      <c r="BH204" s="30">
        <v>7057</v>
      </c>
      <c r="BI204" s="30">
        <v>6723</v>
      </c>
      <c r="BJ204" s="30">
        <v>6699</v>
      </c>
      <c r="BK204" s="30">
        <v>6691</v>
      </c>
      <c r="BL204" s="30">
        <v>6329</v>
      </c>
      <c r="BM204" s="1">
        <v>5921</v>
      </c>
      <c r="BN204" s="1">
        <v>6310</v>
      </c>
      <c r="BO204" s="1">
        <v>5998</v>
      </c>
      <c r="BP204" s="1">
        <v>6044</v>
      </c>
      <c r="BQ204" s="1">
        <v>6060</v>
      </c>
      <c r="BR204" s="1">
        <v>6049</v>
      </c>
      <c r="BS204" s="1">
        <v>6278</v>
      </c>
      <c r="BT204" s="1">
        <v>6275</v>
      </c>
      <c r="BU204" s="1">
        <v>6202</v>
      </c>
      <c r="BV204" s="1">
        <v>6274</v>
      </c>
      <c r="BW204" s="1">
        <v>6218</v>
      </c>
      <c r="BX204" s="1">
        <v>6376</v>
      </c>
      <c r="BY204" s="1">
        <v>6386</v>
      </c>
      <c r="BZ204" s="1">
        <v>6566</v>
      </c>
    </row>
    <row r="205" spans="1:78">
      <c r="A205" s="62" t="s">
        <v>402</v>
      </c>
      <c r="B205" s="1" t="s">
        <v>403</v>
      </c>
      <c r="C205" s="54">
        <f>_xll.RssMarket("6758","安値")</f>
        <v>3515</v>
      </c>
      <c r="D205" s="16">
        <f t="shared" si="6"/>
        <v>3515</v>
      </c>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c r="A206" s="62" t="s">
        <v>404</v>
      </c>
      <c r="B206" s="1" t="s">
        <v>405</v>
      </c>
      <c r="C206" s="54">
        <f>_xll.RssMarket("9101","安値")</f>
        <v>5758</v>
      </c>
      <c r="D206" s="16">
        <f t="shared" si="6"/>
        <v>-175</v>
      </c>
      <c r="E206" s="2">
        <v>5933</v>
      </c>
      <c r="F206" s="2">
        <v>5903</v>
      </c>
      <c r="G206" s="2">
        <v>6020</v>
      </c>
      <c r="H206" s="2">
        <v>6025</v>
      </c>
      <c r="I206" s="2">
        <v>6024</v>
      </c>
      <c r="J206" s="2">
        <v>5934</v>
      </c>
      <c r="K206" s="2">
        <v>6004</v>
      </c>
      <c r="L206" s="2">
        <v>5747</v>
      </c>
      <c r="M206" s="2">
        <v>5771</v>
      </c>
      <c r="N206" s="2">
        <v>5740</v>
      </c>
      <c r="O206" s="2">
        <v>5668</v>
      </c>
      <c r="P206" s="2">
        <v>5591</v>
      </c>
      <c r="Q206" s="2">
        <v>5480</v>
      </c>
      <c r="R206" s="2">
        <v>5356</v>
      </c>
      <c r="S206" s="2">
        <v>5296</v>
      </c>
      <c r="T206" s="2">
        <v>5271</v>
      </c>
      <c r="U206" s="2">
        <v>5362</v>
      </c>
      <c r="V206" s="2">
        <v>5300</v>
      </c>
      <c r="W206" s="2">
        <v>5070</v>
      </c>
      <c r="X206" s="2">
        <v>5194</v>
      </c>
      <c r="Y206" s="2">
        <v>5211</v>
      </c>
      <c r="Z206" s="2">
        <v>5086</v>
      </c>
      <c r="AA206" s="2">
        <v>5062</v>
      </c>
      <c r="AB206" s="2">
        <v>5181</v>
      </c>
      <c r="AC206" s="2">
        <v>5174</v>
      </c>
      <c r="AD206" s="2">
        <v>5178</v>
      </c>
      <c r="AE206" s="2">
        <v>5252</v>
      </c>
      <c r="AF206" s="2">
        <v>5299</v>
      </c>
      <c r="AG206" s="2">
        <v>5212</v>
      </c>
      <c r="AH206" s="2">
        <v>5093</v>
      </c>
      <c r="AI206" s="2">
        <v>5144</v>
      </c>
      <c r="AJ206" s="2">
        <v>5210</v>
      </c>
      <c r="AK206" s="2">
        <v>5281</v>
      </c>
      <c r="AL206" s="2">
        <v>5427</v>
      </c>
      <c r="AM206" s="2">
        <v>5466</v>
      </c>
      <c r="AN206" s="2">
        <v>5588</v>
      </c>
      <c r="AO206" s="2">
        <v>5556</v>
      </c>
      <c r="AP206" s="2">
        <v>5520</v>
      </c>
      <c r="AQ206" s="2">
        <v>5536</v>
      </c>
      <c r="AR206" s="2">
        <v>5590</v>
      </c>
      <c r="AS206" s="2">
        <v>5388</v>
      </c>
      <c r="AT206" s="2">
        <v>5250</v>
      </c>
      <c r="AU206" s="2">
        <v>5208</v>
      </c>
      <c r="AV206" s="2">
        <v>5277</v>
      </c>
      <c r="AW206" s="2">
        <v>5252</v>
      </c>
      <c r="AX206" s="2">
        <v>5190</v>
      </c>
      <c r="AY206" s="2">
        <v>5317</v>
      </c>
      <c r="AZ206" s="2">
        <v>5362</v>
      </c>
      <c r="BA206" s="2">
        <v>5497</v>
      </c>
      <c r="BB206" s="2">
        <v>5483</v>
      </c>
      <c r="BC206" s="2">
        <v>5485</v>
      </c>
      <c r="BD206" s="2">
        <v>5503</v>
      </c>
      <c r="BE206" s="2">
        <v>5356</v>
      </c>
      <c r="BF206" s="2">
        <v>5310</v>
      </c>
      <c r="BG206" s="2">
        <v>5262</v>
      </c>
      <c r="BH206" s="2">
        <v>5301</v>
      </c>
      <c r="BI206" s="2">
        <v>5381</v>
      </c>
      <c r="BJ206" s="2">
        <v>5478</v>
      </c>
      <c r="BK206" s="2">
        <v>5474</v>
      </c>
      <c r="BL206" s="2">
        <v>5541</v>
      </c>
      <c r="BM206" s="1">
        <v>5552</v>
      </c>
      <c r="BN206" s="1">
        <v>5590</v>
      </c>
      <c r="BO206" s="1">
        <v>5580</v>
      </c>
      <c r="BP206" s="1">
        <v>5825</v>
      </c>
      <c r="BQ206" s="1">
        <v>5740</v>
      </c>
      <c r="BR206" s="1">
        <v>5808</v>
      </c>
      <c r="BS206" s="1">
        <v>5850</v>
      </c>
      <c r="BT206" s="1">
        <v>5870</v>
      </c>
      <c r="BU206" s="1">
        <v>6052</v>
      </c>
      <c r="BV206" s="1">
        <v>5989</v>
      </c>
      <c r="BW206" s="1">
        <v>6013</v>
      </c>
      <c r="BX206" s="1">
        <v>6045</v>
      </c>
      <c r="BY206" s="1">
        <v>6074</v>
      </c>
      <c r="BZ206" s="1">
        <v>6128</v>
      </c>
    </row>
    <row r="207" spans="1:78">
      <c r="A207" s="62" t="s">
        <v>406</v>
      </c>
      <c r="B207" s="1" t="s">
        <v>407</v>
      </c>
      <c r="C207" s="54">
        <f>_xll.RssMarket("7011","安値")</f>
        <v>3887</v>
      </c>
      <c r="D207" s="16">
        <f t="shared" si="6"/>
        <v>175</v>
      </c>
      <c r="E207" s="2">
        <v>3712</v>
      </c>
      <c r="F207" s="2">
        <v>3621</v>
      </c>
      <c r="G207" s="2">
        <v>3745</v>
      </c>
      <c r="H207" s="2">
        <v>3702</v>
      </c>
      <c r="I207" s="2">
        <v>3701</v>
      </c>
      <c r="J207" s="2">
        <v>3736</v>
      </c>
      <c r="K207" s="2">
        <v>3875</v>
      </c>
      <c r="L207" s="2">
        <v>3898</v>
      </c>
      <c r="M207" s="2">
        <v>3851</v>
      </c>
      <c r="N207" s="2">
        <v>3804</v>
      </c>
      <c r="O207" s="2">
        <v>3717</v>
      </c>
      <c r="P207" s="2">
        <v>3626</v>
      </c>
      <c r="Q207" s="2">
        <v>3716</v>
      </c>
      <c r="R207" s="2">
        <v>3718</v>
      </c>
      <c r="S207" s="2">
        <v>3693</v>
      </c>
      <c r="T207" s="2">
        <v>3783</v>
      </c>
      <c r="U207" s="2">
        <v>3785</v>
      </c>
      <c r="V207" s="2">
        <v>3821</v>
      </c>
      <c r="W207" s="2">
        <v>3986</v>
      </c>
      <c r="X207" s="2">
        <v>3839</v>
      </c>
      <c r="Y207" s="2">
        <v>3766</v>
      </c>
      <c r="Z207" s="2">
        <v>3752</v>
      </c>
      <c r="AA207" s="2">
        <v>3711</v>
      </c>
      <c r="AB207" s="2">
        <v>3606</v>
      </c>
      <c r="AC207" s="2">
        <v>3621</v>
      </c>
      <c r="AD207" s="2">
        <v>3536</v>
      </c>
      <c r="AE207" s="2">
        <v>3611</v>
      </c>
      <c r="AF207" s="2">
        <v>3716</v>
      </c>
      <c r="AG207" s="2">
        <v>3715</v>
      </c>
      <c r="AH207" s="2">
        <v>3825</v>
      </c>
      <c r="AI207" s="2">
        <v>3830</v>
      </c>
      <c r="AJ207" s="2">
        <v>3943</v>
      </c>
      <c r="AK207" s="2">
        <v>3796</v>
      </c>
      <c r="AL207" s="2">
        <v>3670</v>
      </c>
      <c r="AM207" s="2">
        <v>3591</v>
      </c>
      <c r="AN207" s="2">
        <v>3486</v>
      </c>
      <c r="AO207" s="2">
        <v>3404</v>
      </c>
      <c r="AP207" s="2">
        <v>3548</v>
      </c>
      <c r="AQ207" s="2">
        <v>3644</v>
      </c>
      <c r="AR207" s="2">
        <v>3688</v>
      </c>
      <c r="AS207" s="2">
        <v>3551</v>
      </c>
      <c r="AT207" s="2">
        <v>3481</v>
      </c>
      <c r="AU207" s="2">
        <v>3415</v>
      </c>
      <c r="AV207" s="2">
        <v>3744</v>
      </c>
      <c r="AW207" s="2">
        <v>3766</v>
      </c>
      <c r="AX207" s="2">
        <v>3863</v>
      </c>
      <c r="AY207" s="2">
        <v>3860</v>
      </c>
      <c r="AZ207" s="2">
        <v>3905</v>
      </c>
      <c r="BA207" s="2">
        <v>3885</v>
      </c>
      <c r="BB207" s="2">
        <v>3940</v>
      </c>
      <c r="BC207" s="2">
        <v>4080</v>
      </c>
      <c r="BD207" s="2">
        <v>4060</v>
      </c>
      <c r="BE207" s="2">
        <v>4027</v>
      </c>
      <c r="BF207" s="2">
        <v>4096</v>
      </c>
      <c r="BG207" s="2">
        <v>4271</v>
      </c>
      <c r="BH207" s="2">
        <v>4084</v>
      </c>
      <c r="BI207" s="2">
        <v>4326</v>
      </c>
      <c r="BJ207" s="2">
        <v>4451</v>
      </c>
      <c r="BK207" s="2">
        <v>4483</v>
      </c>
      <c r="BL207" s="2">
        <v>4543</v>
      </c>
      <c r="BM207" s="1">
        <v>4519</v>
      </c>
      <c r="BN207" s="1">
        <v>4676</v>
      </c>
      <c r="BO207" s="1">
        <v>4590</v>
      </c>
      <c r="BP207" s="1">
        <v>4704</v>
      </c>
      <c r="BQ207" s="1">
        <v>4571</v>
      </c>
      <c r="BR207" s="1">
        <v>4362</v>
      </c>
      <c r="BS207" s="1">
        <v>4381</v>
      </c>
      <c r="BT207" s="1">
        <v>4504</v>
      </c>
      <c r="BU207" s="1">
        <v>4371</v>
      </c>
      <c r="BV207" s="1">
        <v>4496</v>
      </c>
      <c r="BW207" s="1">
        <v>4541</v>
      </c>
      <c r="BX207" s="1">
        <v>4715</v>
      </c>
      <c r="BY207" s="1">
        <v>4675</v>
      </c>
      <c r="BZ207" s="1">
        <v>4704</v>
      </c>
    </row>
    <row r="208" spans="1:78">
      <c r="A208" s="62" t="s">
        <v>408</v>
      </c>
      <c r="B208" s="1" t="s">
        <v>409</v>
      </c>
      <c r="C208" s="54">
        <f>_xll.RssMarket("1812","安値")</f>
        <v>5102</v>
      </c>
      <c r="D208" s="16">
        <f t="shared" si="6"/>
        <v>-143</v>
      </c>
      <c r="E208" s="2">
        <v>5245</v>
      </c>
      <c r="F208" s="2">
        <v>5121</v>
      </c>
      <c r="G208" s="2">
        <v>5331</v>
      </c>
      <c r="H208" s="2">
        <v>5300</v>
      </c>
      <c r="I208" s="2">
        <v>5316</v>
      </c>
      <c r="J208" s="2">
        <v>5422</v>
      </c>
      <c r="K208" s="2">
        <v>5545</v>
      </c>
      <c r="L208" s="2">
        <v>5542</v>
      </c>
      <c r="M208" s="2">
        <v>5586</v>
      </c>
      <c r="N208" s="2">
        <v>5573</v>
      </c>
      <c r="O208" s="2">
        <v>5438</v>
      </c>
      <c r="P208" s="2">
        <v>5389</v>
      </c>
      <c r="Q208" s="2">
        <v>5600</v>
      </c>
      <c r="R208" s="2">
        <v>5504</v>
      </c>
      <c r="S208" s="2">
        <v>5540</v>
      </c>
      <c r="T208" s="2">
        <v>5747</v>
      </c>
      <c r="U208" s="2">
        <v>5715</v>
      </c>
      <c r="V208" s="2">
        <v>5840</v>
      </c>
      <c r="W208" s="2">
        <v>6073</v>
      </c>
      <c r="X208" s="2">
        <v>6158</v>
      </c>
      <c r="Y208" s="2">
        <v>6051</v>
      </c>
      <c r="Z208" s="2">
        <v>5831</v>
      </c>
      <c r="AA208" s="2">
        <v>5931</v>
      </c>
      <c r="AB208" s="2">
        <v>5766</v>
      </c>
      <c r="AC208" s="2">
        <v>5761</v>
      </c>
      <c r="AD208" s="2">
        <v>5636</v>
      </c>
      <c r="AE208" s="2">
        <v>5617</v>
      </c>
      <c r="AF208" s="2">
        <v>5651</v>
      </c>
      <c r="AG208" s="2">
        <v>5725</v>
      </c>
      <c r="AH208" s="2">
        <v>5857</v>
      </c>
      <c r="AI208" s="2">
        <v>5903</v>
      </c>
      <c r="AJ208" s="2">
        <v>5910</v>
      </c>
      <c r="AK208" s="2">
        <v>5871</v>
      </c>
      <c r="AL208" s="2">
        <v>5890</v>
      </c>
      <c r="AM208" s="2">
        <v>5778</v>
      </c>
      <c r="AN208" s="2">
        <v>5515</v>
      </c>
      <c r="AO208" s="2">
        <v>5363</v>
      </c>
      <c r="AP208" s="2">
        <v>5480</v>
      </c>
      <c r="AQ208" s="2">
        <v>5296</v>
      </c>
      <c r="AR208" s="2">
        <v>5425</v>
      </c>
      <c r="AS208" s="2">
        <v>5410</v>
      </c>
      <c r="AT208" s="2">
        <v>5470</v>
      </c>
      <c r="AU208" s="2">
        <v>5401</v>
      </c>
      <c r="AV208" s="2">
        <v>5745</v>
      </c>
      <c r="AW208" s="2">
        <v>5725</v>
      </c>
      <c r="AX208" s="2">
        <v>5754</v>
      </c>
      <c r="AY208" s="2">
        <v>5546</v>
      </c>
      <c r="AZ208" s="2">
        <v>5451</v>
      </c>
      <c r="BA208" s="2">
        <v>5562</v>
      </c>
      <c r="BB208" s="2">
        <v>5518</v>
      </c>
      <c r="BC208" s="2">
        <v>5685</v>
      </c>
      <c r="BD208" s="2">
        <v>5545</v>
      </c>
      <c r="BE208" s="2">
        <v>5812</v>
      </c>
      <c r="BF208" s="2">
        <v>6152</v>
      </c>
      <c r="BG208" s="2">
        <v>6327</v>
      </c>
      <c r="BH208" s="2">
        <v>6185</v>
      </c>
      <c r="BI208" s="2">
        <v>6001</v>
      </c>
      <c r="BJ208" s="2">
        <v>6030</v>
      </c>
      <c r="BK208" s="2">
        <v>6110</v>
      </c>
      <c r="BL208" s="2">
        <v>6061</v>
      </c>
      <c r="BM208" s="1">
        <v>6031</v>
      </c>
      <c r="BN208" s="1">
        <v>6037</v>
      </c>
      <c r="BO208" s="1">
        <v>5793</v>
      </c>
      <c r="BP208" s="1">
        <v>5843</v>
      </c>
      <c r="BQ208" s="1">
        <v>5821</v>
      </c>
      <c r="BR208" s="1">
        <v>5871</v>
      </c>
      <c r="BS208" s="1">
        <v>6015</v>
      </c>
      <c r="BT208" s="1">
        <v>5962</v>
      </c>
      <c r="BU208" s="1">
        <v>5891</v>
      </c>
      <c r="BV208" s="1">
        <v>6017</v>
      </c>
      <c r="BW208" s="1">
        <v>6104</v>
      </c>
      <c r="BX208" s="1">
        <v>6130</v>
      </c>
      <c r="BY208" s="1">
        <v>6103</v>
      </c>
      <c r="BZ208" s="1">
        <v>6187</v>
      </c>
    </row>
    <row r="209" spans="1:78">
      <c r="A209" s="62" t="s">
        <v>410</v>
      </c>
      <c r="B209" s="1" t="str">
        <f>銘柄管理!C209</f>
        <v>キーエンス</v>
      </c>
      <c r="C209" s="54">
        <f>_xll.RssMarket("6861","安値")</f>
        <v>83630</v>
      </c>
      <c r="D209" s="16"/>
      <c r="E209" s="2">
        <v>80950</v>
      </c>
      <c r="F209" s="2">
        <v>78910</v>
      </c>
      <c r="G209" s="2">
        <v>79720</v>
      </c>
      <c r="H209" s="2">
        <v>77780</v>
      </c>
      <c r="I209" s="2">
        <v>75920</v>
      </c>
      <c r="J209" s="2">
        <v>69950</v>
      </c>
      <c r="K209" s="2">
        <v>71690</v>
      </c>
      <c r="L209" s="2">
        <v>70800</v>
      </c>
      <c r="M209" s="2">
        <v>72000</v>
      </c>
      <c r="N209" s="2">
        <v>72020</v>
      </c>
      <c r="O209" s="2">
        <v>70340</v>
      </c>
      <c r="P209" s="2">
        <v>68930</v>
      </c>
      <c r="Q209" s="2">
        <v>75500</v>
      </c>
      <c r="R209" s="2">
        <v>74520</v>
      </c>
      <c r="S209" s="2">
        <v>74900</v>
      </c>
      <c r="T209" s="2">
        <v>75860</v>
      </c>
      <c r="U209" s="2">
        <v>75000</v>
      </c>
      <c r="V209" s="2">
        <v>74610</v>
      </c>
      <c r="W209" s="2">
        <v>78180</v>
      </c>
      <c r="X209" s="2">
        <v>79380</v>
      </c>
      <c r="Y209" s="2">
        <v>78130</v>
      </c>
      <c r="Z209" s="2">
        <v>79470</v>
      </c>
      <c r="AA209" s="2">
        <v>81000</v>
      </c>
      <c r="AB209" s="2">
        <v>79800</v>
      </c>
      <c r="AC209" s="2">
        <v>76510</v>
      </c>
      <c r="AD209" s="2">
        <v>76220</v>
      </c>
      <c r="AE209" s="2">
        <v>76500</v>
      </c>
      <c r="AF209" s="2">
        <v>75420</v>
      </c>
      <c r="AG209" s="2">
        <v>75460</v>
      </c>
      <c r="AH209" s="2">
        <v>77000</v>
      </c>
      <c r="AI209" s="2">
        <v>75810</v>
      </c>
      <c r="AJ209" s="2">
        <v>76420</v>
      </c>
      <c r="AK209" s="2">
        <v>73490</v>
      </c>
      <c r="AL209" s="2">
        <v>74810</v>
      </c>
      <c r="AM209" s="2">
        <v>74410</v>
      </c>
      <c r="AN209" s="2">
        <v>71700</v>
      </c>
      <c r="AO209" s="2">
        <v>69000</v>
      </c>
      <c r="AP209" s="2">
        <v>72020</v>
      </c>
      <c r="AQ209" s="2">
        <v>73000</v>
      </c>
      <c r="AR209" s="2">
        <v>77400</v>
      </c>
      <c r="AS209" s="2">
        <v>79020</v>
      </c>
      <c r="AT209" s="2">
        <v>78410</v>
      </c>
      <c r="AU209" s="2">
        <v>77510</v>
      </c>
      <c r="AV209" s="2">
        <v>79060</v>
      </c>
      <c r="AW209" s="2">
        <v>74270</v>
      </c>
      <c r="AX209" s="2">
        <v>75390</v>
      </c>
      <c r="AY209" s="2">
        <v>77690</v>
      </c>
      <c r="AZ209" s="2">
        <v>77880</v>
      </c>
      <c r="BA209" s="2">
        <v>75250</v>
      </c>
      <c r="BB209" s="2">
        <v>72310</v>
      </c>
      <c r="BC209" s="2">
        <v>74910</v>
      </c>
      <c r="BD209" s="2">
        <v>75540</v>
      </c>
      <c r="BE209" s="2">
        <v>76230</v>
      </c>
      <c r="BF209" s="2">
        <v>77310</v>
      </c>
      <c r="BG209" s="2">
        <v>78100</v>
      </c>
      <c r="BH209" s="2">
        <v>78740</v>
      </c>
      <c r="BI209" s="2">
        <v>81670</v>
      </c>
      <c r="BJ209" s="2">
        <v>81010</v>
      </c>
      <c r="BK209" s="2">
        <v>78960</v>
      </c>
      <c r="BL209" s="2">
        <v>72470</v>
      </c>
      <c r="BM209" s="1">
        <v>71070</v>
      </c>
      <c r="BN209" s="1">
        <v>72930</v>
      </c>
      <c r="BO209" s="1">
        <v>72730</v>
      </c>
      <c r="BP209" s="1">
        <v>63000</v>
      </c>
      <c r="BQ209" s="1">
        <v>63090</v>
      </c>
      <c r="BR209" s="1">
        <v>62820</v>
      </c>
      <c r="BS209" s="1">
        <v>63170</v>
      </c>
      <c r="BT209" s="1">
        <v>63000</v>
      </c>
      <c r="BU209" s="1">
        <v>62800</v>
      </c>
      <c r="BV209" s="1">
        <v>62530</v>
      </c>
      <c r="BW209" s="1">
        <v>61420</v>
      </c>
      <c r="BX209" s="1">
        <v>62740</v>
      </c>
      <c r="BY209" s="1">
        <v>61350</v>
      </c>
      <c r="BZ209" s="1">
        <v>61520</v>
      </c>
    </row>
    <row r="210" spans="1:78">
      <c r="A210" s="62" t="s">
        <v>411</v>
      </c>
      <c r="B210" s="1" t="s">
        <v>412</v>
      </c>
      <c r="C210" s="54">
        <f>_xll.RssMarket("6324","安値")</f>
        <v>6940</v>
      </c>
      <c r="D210" s="16">
        <f t="shared" ref="D210:D221" si="7">C210-E210</f>
        <v>480</v>
      </c>
      <c r="E210" s="2">
        <v>6460</v>
      </c>
      <c r="F210" s="2">
        <v>5850</v>
      </c>
      <c r="G210" s="2">
        <v>5880</v>
      </c>
      <c r="H210" s="2">
        <v>5270</v>
      </c>
      <c r="I210" s="2">
        <v>5260</v>
      </c>
      <c r="J210" s="2">
        <v>5660</v>
      </c>
      <c r="K210" s="2">
        <v>6360</v>
      </c>
      <c r="L210" s="2">
        <v>6490</v>
      </c>
      <c r="M210" s="2">
        <v>6850</v>
      </c>
      <c r="N210" s="2">
        <v>6730</v>
      </c>
      <c r="O210" s="2">
        <v>6180</v>
      </c>
      <c r="P210" s="2">
        <v>6330</v>
      </c>
      <c r="Q210" s="2">
        <v>7100</v>
      </c>
      <c r="R210" s="2">
        <v>6810</v>
      </c>
      <c r="S210" s="2">
        <v>6990</v>
      </c>
      <c r="T210" s="2">
        <v>7610</v>
      </c>
      <c r="U210" s="2">
        <v>7440</v>
      </c>
      <c r="V210" s="2">
        <v>7530</v>
      </c>
      <c r="W210" s="2">
        <v>7890</v>
      </c>
      <c r="X210" s="2">
        <v>8430</v>
      </c>
      <c r="Y210" s="2">
        <v>7470</v>
      </c>
      <c r="Z210" s="2">
        <v>7690</v>
      </c>
      <c r="AA210" s="2">
        <v>7680</v>
      </c>
      <c r="AB210" s="2">
        <v>7280</v>
      </c>
      <c r="AC210" s="2">
        <v>6650</v>
      </c>
      <c r="AD210" s="2">
        <v>7070</v>
      </c>
      <c r="AE210" s="2">
        <v>7720</v>
      </c>
      <c r="AF210" s="2">
        <v>7420</v>
      </c>
      <c r="AG210" s="2">
        <v>7650</v>
      </c>
      <c r="AH210" s="2">
        <v>8170</v>
      </c>
      <c r="AI210" s="2">
        <v>7630</v>
      </c>
      <c r="AJ210" s="2">
        <v>7770</v>
      </c>
      <c r="AK210" s="2">
        <v>7190</v>
      </c>
      <c r="AL210" s="2">
        <v>6730</v>
      </c>
      <c r="AM210" s="2">
        <v>6760</v>
      </c>
      <c r="AN210" s="2">
        <v>6520</v>
      </c>
      <c r="AO210" s="2">
        <v>5770</v>
      </c>
      <c r="AP210" s="2">
        <v>6100</v>
      </c>
      <c r="AQ210" s="2">
        <v>6420</v>
      </c>
      <c r="AR210" s="2">
        <v>6550</v>
      </c>
      <c r="AS210" s="2">
        <v>6830</v>
      </c>
      <c r="AT210" s="2">
        <v>7110</v>
      </c>
      <c r="AU210" s="2">
        <v>6890</v>
      </c>
      <c r="AV210" s="2">
        <v>7540</v>
      </c>
      <c r="AW210" s="2">
        <v>7320</v>
      </c>
      <c r="AX210" s="2">
        <v>7730</v>
      </c>
      <c r="AY210" s="2">
        <v>7420</v>
      </c>
      <c r="AZ210" s="2">
        <v>6640</v>
      </c>
      <c r="BA210" s="2">
        <v>6150</v>
      </c>
      <c r="BB210" s="2">
        <v>5800</v>
      </c>
      <c r="BC210" s="2">
        <v>5920</v>
      </c>
      <c r="BD210" s="2">
        <v>6640</v>
      </c>
      <c r="BE210" s="2">
        <v>6680</v>
      </c>
      <c r="BF210" s="2">
        <v>6430</v>
      </c>
      <c r="BG210" s="2">
        <v>6440</v>
      </c>
      <c r="BH210" s="2">
        <v>6390</v>
      </c>
      <c r="BI210" s="2">
        <v>6300</v>
      </c>
      <c r="BJ210" s="2">
        <v>5590</v>
      </c>
      <c r="BK210" s="2">
        <v>5420</v>
      </c>
      <c r="BL210" s="2">
        <v>5070</v>
      </c>
      <c r="BM210" s="1">
        <v>4745</v>
      </c>
      <c r="BN210" s="1">
        <v>4705</v>
      </c>
      <c r="BO210" s="1">
        <v>4380</v>
      </c>
      <c r="BP210" s="1">
        <v>4190</v>
      </c>
      <c r="BQ210" s="1">
        <v>4245</v>
      </c>
      <c r="BR210" s="1">
        <v>4315</v>
      </c>
      <c r="BS210" s="1">
        <v>4455</v>
      </c>
      <c r="BT210" s="1">
        <v>4470</v>
      </c>
      <c r="BU210" s="1">
        <v>4420</v>
      </c>
      <c r="BV210" s="1">
        <v>4520</v>
      </c>
      <c r="BW210" s="1">
        <v>4220</v>
      </c>
      <c r="BX210" s="1">
        <v>4080</v>
      </c>
      <c r="BY210" s="1">
        <v>3990</v>
      </c>
      <c r="BZ210" s="1">
        <v>3920</v>
      </c>
    </row>
    <row r="211" spans="1:78">
      <c r="A211" s="62" t="s">
        <v>413</v>
      </c>
      <c r="B211" s="1" t="s">
        <v>414</v>
      </c>
      <c r="C211" s="54">
        <f>_xll.RssMarket("6273","安値")</f>
        <v>74130</v>
      </c>
      <c r="D211" s="16">
        <f t="shared" si="7"/>
        <v>2890</v>
      </c>
      <c r="E211" s="2">
        <v>71240</v>
      </c>
      <c r="F211" s="2">
        <v>67650</v>
      </c>
      <c r="G211" s="2">
        <v>68660</v>
      </c>
      <c r="H211" s="2">
        <v>63930</v>
      </c>
      <c r="I211" s="2">
        <v>62840</v>
      </c>
      <c r="J211" s="2">
        <v>65190</v>
      </c>
      <c r="K211" s="2">
        <v>70930</v>
      </c>
      <c r="L211" s="2">
        <v>70680</v>
      </c>
      <c r="M211" s="2">
        <v>71980</v>
      </c>
      <c r="N211" s="2">
        <v>71850</v>
      </c>
      <c r="O211" s="2">
        <v>67930</v>
      </c>
      <c r="P211" s="2">
        <v>67250</v>
      </c>
      <c r="Q211" s="2">
        <v>73140</v>
      </c>
      <c r="R211" s="2">
        <v>70160</v>
      </c>
      <c r="S211" s="2">
        <v>72630</v>
      </c>
      <c r="T211" s="2">
        <v>73270</v>
      </c>
      <c r="U211" s="2">
        <v>71010</v>
      </c>
      <c r="V211" s="2">
        <v>69460</v>
      </c>
      <c r="W211" s="2">
        <v>72540</v>
      </c>
      <c r="X211" s="2">
        <v>74940</v>
      </c>
      <c r="Y211" s="2">
        <v>71140</v>
      </c>
      <c r="Z211" s="2">
        <v>71860</v>
      </c>
      <c r="AA211" s="2">
        <v>72650</v>
      </c>
      <c r="AB211" s="2">
        <v>70760</v>
      </c>
      <c r="AC211" s="2">
        <v>69520</v>
      </c>
      <c r="AD211" s="2">
        <v>70270</v>
      </c>
      <c r="AE211" s="2">
        <v>70630</v>
      </c>
      <c r="AF211" s="2">
        <v>68440</v>
      </c>
      <c r="AG211" s="2">
        <v>71220</v>
      </c>
      <c r="AH211" s="2">
        <v>72070</v>
      </c>
      <c r="AI211" s="2">
        <v>72600</v>
      </c>
      <c r="AJ211" s="2">
        <v>72250</v>
      </c>
      <c r="AK211" s="2">
        <v>70450</v>
      </c>
      <c r="AL211" s="2">
        <v>68420</v>
      </c>
      <c r="AM211" s="2">
        <v>67650</v>
      </c>
      <c r="AN211" s="2">
        <v>65400</v>
      </c>
      <c r="AO211" s="2">
        <v>58310</v>
      </c>
      <c r="AP211" s="2">
        <v>60060</v>
      </c>
      <c r="AQ211" s="2">
        <v>61150</v>
      </c>
      <c r="AR211" s="2">
        <v>63690</v>
      </c>
      <c r="AS211" s="2">
        <v>64120</v>
      </c>
      <c r="AT211" s="2">
        <v>63890</v>
      </c>
      <c r="AU211" s="2">
        <v>63460</v>
      </c>
      <c r="AV211" s="2">
        <v>67550</v>
      </c>
      <c r="AW211" s="2">
        <v>65980</v>
      </c>
      <c r="AX211" s="2">
        <v>66450</v>
      </c>
      <c r="AY211" s="2">
        <v>65030</v>
      </c>
      <c r="AZ211" s="2">
        <v>64390</v>
      </c>
      <c r="BA211" s="2">
        <v>64090</v>
      </c>
      <c r="BB211" s="2">
        <v>63160</v>
      </c>
      <c r="BC211" s="2">
        <v>66660</v>
      </c>
      <c r="BD211" s="2">
        <v>65250</v>
      </c>
      <c r="BE211" s="2">
        <v>67550</v>
      </c>
      <c r="BF211" s="2">
        <v>79470</v>
      </c>
      <c r="BG211" s="2">
        <v>82120</v>
      </c>
      <c r="BH211" s="2">
        <v>82710</v>
      </c>
      <c r="BI211" s="2">
        <v>80830</v>
      </c>
      <c r="BJ211" s="2">
        <v>79340</v>
      </c>
      <c r="BK211" s="2">
        <v>77440</v>
      </c>
      <c r="BL211" s="2">
        <v>74920</v>
      </c>
      <c r="BM211" s="1">
        <v>75220</v>
      </c>
      <c r="BN211" s="1">
        <v>75660</v>
      </c>
      <c r="BO211" s="1">
        <v>72100</v>
      </c>
      <c r="BP211" s="1">
        <v>68850</v>
      </c>
      <c r="BQ211" s="1">
        <v>69400</v>
      </c>
      <c r="BR211" s="1">
        <v>70330</v>
      </c>
      <c r="BS211" s="1">
        <v>71300</v>
      </c>
      <c r="BT211" s="1">
        <v>70510</v>
      </c>
      <c r="BU211" s="1">
        <v>69890</v>
      </c>
      <c r="BV211" s="1">
        <v>71400</v>
      </c>
      <c r="BW211" s="1">
        <v>70950</v>
      </c>
      <c r="BX211" s="1">
        <v>70840</v>
      </c>
      <c r="BY211" s="1">
        <v>69600</v>
      </c>
      <c r="BZ211" s="1">
        <v>68100</v>
      </c>
    </row>
    <row r="212" spans="1:78">
      <c r="A212" s="62" t="s">
        <v>415</v>
      </c>
      <c r="B212" s="1" t="s">
        <v>416</v>
      </c>
      <c r="C212" s="54">
        <f>_xll.RssMarket("4502","安値")</f>
        <v>5225</v>
      </c>
      <c r="D212" s="16">
        <f t="shared" si="7"/>
        <v>-50</v>
      </c>
      <c r="E212" s="2">
        <v>5275</v>
      </c>
      <c r="F212" s="2">
        <v>5293</v>
      </c>
      <c r="G212" s="2">
        <v>5438</v>
      </c>
      <c r="H212" s="2">
        <v>5657</v>
      </c>
      <c r="I212" s="2">
        <v>5753</v>
      </c>
      <c r="J212" s="2">
        <v>5681</v>
      </c>
      <c r="K212" s="2">
        <v>5645</v>
      </c>
      <c r="L212" s="2">
        <v>5521</v>
      </c>
      <c r="M212" s="2">
        <v>5467</v>
      </c>
      <c r="N212" s="2">
        <v>5471</v>
      </c>
      <c r="O212" s="2">
        <v>5471</v>
      </c>
      <c r="P212" s="2">
        <v>5410</v>
      </c>
      <c r="Q212" s="2">
        <v>5249</v>
      </c>
      <c r="R212" s="2">
        <v>5325</v>
      </c>
      <c r="S212" s="2">
        <v>5292</v>
      </c>
      <c r="T212" s="2">
        <v>5300</v>
      </c>
      <c r="U212" s="2">
        <v>5367</v>
      </c>
      <c r="V212" s="2">
        <v>5442</v>
      </c>
      <c r="W212" s="2">
        <v>5404</v>
      </c>
      <c r="X212" s="2">
        <v>5397</v>
      </c>
      <c r="Y212" s="2">
        <v>5355</v>
      </c>
      <c r="Z212" s="2">
        <v>5190</v>
      </c>
      <c r="AA212" s="2">
        <v>5112</v>
      </c>
      <c r="AB212" s="2">
        <v>5132</v>
      </c>
      <c r="AC212" s="2">
        <v>5100</v>
      </c>
      <c r="AD212" s="2">
        <v>5053</v>
      </c>
      <c r="AE212" s="2">
        <v>5032</v>
      </c>
      <c r="AF212" s="2">
        <v>5000</v>
      </c>
      <c r="AG212" s="2">
        <v>4944</v>
      </c>
      <c r="AH212" s="2">
        <v>4897</v>
      </c>
      <c r="AI212" s="2">
        <v>4909</v>
      </c>
      <c r="AJ212" s="2">
        <v>4950</v>
      </c>
      <c r="AK212" s="2">
        <v>4938</v>
      </c>
      <c r="AL212" s="2">
        <v>4954</v>
      </c>
      <c r="AM212" s="2">
        <v>5069</v>
      </c>
      <c r="AN212" s="2">
        <v>5031</v>
      </c>
      <c r="AO212" s="2">
        <v>4998</v>
      </c>
      <c r="AP212" s="2">
        <v>5013</v>
      </c>
      <c r="AQ212" s="2">
        <v>4896</v>
      </c>
      <c r="AR212" s="2">
        <v>4909</v>
      </c>
      <c r="AS212" s="2">
        <v>4766</v>
      </c>
      <c r="AT212" s="2">
        <v>4710</v>
      </c>
      <c r="AU212" s="2">
        <v>4784</v>
      </c>
      <c r="AV212" s="2">
        <v>5074</v>
      </c>
      <c r="AW212" s="2">
        <v>5113</v>
      </c>
      <c r="AX212" s="2">
        <v>5056</v>
      </c>
      <c r="AY212" s="2">
        <v>5077</v>
      </c>
      <c r="AZ212" s="2">
        <v>5109</v>
      </c>
      <c r="BA212" s="2">
        <v>5180</v>
      </c>
      <c r="BB212" s="2">
        <v>5187</v>
      </c>
      <c r="BC212" s="2">
        <v>5244</v>
      </c>
      <c r="BD212" s="2">
        <v>5221</v>
      </c>
      <c r="BE212" s="2">
        <v>5252</v>
      </c>
      <c r="BF212" s="2">
        <v>5039</v>
      </c>
      <c r="BG212" s="2">
        <v>5174</v>
      </c>
      <c r="BH212" s="2">
        <v>5138</v>
      </c>
      <c r="BI212" s="2">
        <v>5151</v>
      </c>
      <c r="BJ212" s="2">
        <v>5205</v>
      </c>
      <c r="BK212" s="2">
        <v>5195</v>
      </c>
      <c r="BL212" s="2">
        <v>5191</v>
      </c>
      <c r="BM212" s="1">
        <v>5170</v>
      </c>
      <c r="BN212" s="1">
        <v>5224</v>
      </c>
      <c r="BO212" s="1">
        <v>5187</v>
      </c>
      <c r="BP212" s="1">
        <v>5306</v>
      </c>
      <c r="BQ212" s="1">
        <v>5258</v>
      </c>
      <c r="BR212" s="1">
        <v>5316</v>
      </c>
      <c r="BS212" s="1">
        <v>5457</v>
      </c>
      <c r="BT212" s="1">
        <v>5545</v>
      </c>
      <c r="BU212" s="1">
        <v>5585</v>
      </c>
      <c r="BV212" s="1">
        <v>5639</v>
      </c>
      <c r="BW212" s="1">
        <v>5598</v>
      </c>
      <c r="BX212" s="1">
        <v>5582</v>
      </c>
      <c r="BY212" s="1">
        <v>5630</v>
      </c>
      <c r="BZ212" s="1">
        <v>5696</v>
      </c>
    </row>
    <row r="213" spans="1:78">
      <c r="A213" s="62" t="s">
        <v>417</v>
      </c>
      <c r="B213" s="1" t="s">
        <v>418</v>
      </c>
      <c r="C213" s="54">
        <f>_xll.RssMarket("4004","安値")</f>
        <v>15270</v>
      </c>
      <c r="D213" s="16">
        <f t="shared" si="7"/>
        <v>1400</v>
      </c>
      <c r="E213" s="2">
        <v>13870</v>
      </c>
      <c r="F213" s="2">
        <v>13250</v>
      </c>
      <c r="G213" s="2">
        <v>13525</v>
      </c>
      <c r="H213" s="2">
        <v>11810</v>
      </c>
      <c r="I213" s="2">
        <v>11820</v>
      </c>
      <c r="J213" s="2">
        <v>12285</v>
      </c>
      <c r="K213" s="2">
        <v>13660</v>
      </c>
      <c r="L213" s="2">
        <v>14335</v>
      </c>
      <c r="M213" s="2">
        <v>15295</v>
      </c>
      <c r="N213" s="2">
        <v>15230</v>
      </c>
      <c r="O213" s="2">
        <v>14070</v>
      </c>
      <c r="P213" s="2">
        <v>13410</v>
      </c>
      <c r="Q213" s="2">
        <v>15595</v>
      </c>
      <c r="R213" s="2">
        <v>14880</v>
      </c>
      <c r="S213" s="2">
        <v>15120</v>
      </c>
      <c r="T213" s="2">
        <v>15925</v>
      </c>
      <c r="U213" s="2">
        <v>15575</v>
      </c>
      <c r="V213" s="2">
        <v>14780</v>
      </c>
      <c r="W213" s="2">
        <v>15620</v>
      </c>
      <c r="X213" s="2">
        <v>16340</v>
      </c>
      <c r="Y213" s="2">
        <v>16400</v>
      </c>
      <c r="Z213" s="2">
        <v>17460</v>
      </c>
      <c r="AA213" s="2">
        <v>17965</v>
      </c>
      <c r="AB213" s="2">
        <v>17280</v>
      </c>
      <c r="AC213" s="2">
        <v>16635</v>
      </c>
      <c r="AD213" s="2">
        <v>16675</v>
      </c>
      <c r="AE213" s="2">
        <v>17705</v>
      </c>
      <c r="AF213" s="2">
        <v>17400</v>
      </c>
      <c r="AG213" s="2">
        <v>18350</v>
      </c>
      <c r="AH213" s="2">
        <v>18340</v>
      </c>
      <c r="AI213" s="2">
        <v>18380</v>
      </c>
      <c r="AJ213" s="2">
        <v>18250</v>
      </c>
      <c r="AK213" s="2">
        <v>17630</v>
      </c>
      <c r="AL213" s="2">
        <v>18000</v>
      </c>
      <c r="AM213" s="2">
        <v>17780</v>
      </c>
      <c r="AN213" s="2">
        <v>16950</v>
      </c>
      <c r="AO213" s="2">
        <v>14505</v>
      </c>
      <c r="AP213" s="2">
        <v>15170</v>
      </c>
      <c r="AQ213" s="2">
        <v>15540</v>
      </c>
      <c r="AR213" s="2">
        <v>16765</v>
      </c>
      <c r="AS213" s="2">
        <v>17520</v>
      </c>
      <c r="AT213" s="2">
        <v>18660</v>
      </c>
      <c r="AU213" s="2">
        <v>16930</v>
      </c>
      <c r="AV213" s="2">
        <v>17840</v>
      </c>
      <c r="AW213" s="2">
        <v>17760</v>
      </c>
      <c r="AX213" s="2">
        <v>18955</v>
      </c>
      <c r="AY213" s="2">
        <v>18510</v>
      </c>
      <c r="AZ213" s="2">
        <v>17255</v>
      </c>
      <c r="BA213" s="2">
        <v>16160</v>
      </c>
      <c r="BB213" s="2">
        <v>15780</v>
      </c>
      <c r="BC213" s="2">
        <v>15805</v>
      </c>
      <c r="BD213" s="2">
        <v>16690</v>
      </c>
      <c r="BE213" s="2">
        <v>17010</v>
      </c>
      <c r="BF213" s="2">
        <v>18050</v>
      </c>
      <c r="BG213" s="2">
        <v>17080</v>
      </c>
      <c r="BH213" s="2">
        <v>17165</v>
      </c>
      <c r="BI213" s="2">
        <v>16245</v>
      </c>
      <c r="BJ213" s="2">
        <v>15180</v>
      </c>
      <c r="BK213" s="2">
        <v>15010</v>
      </c>
      <c r="BL213" s="2">
        <v>13920</v>
      </c>
      <c r="BM213" s="1">
        <v>13820</v>
      </c>
      <c r="BN213" s="1">
        <v>13630</v>
      </c>
      <c r="BO213" s="1">
        <v>13725</v>
      </c>
      <c r="BP213" s="1">
        <v>13755</v>
      </c>
      <c r="BQ213" s="1">
        <v>13475</v>
      </c>
      <c r="BR213" s="1">
        <v>13750</v>
      </c>
      <c r="BS213" s="1">
        <v>12710</v>
      </c>
      <c r="BT213" s="1">
        <v>12440</v>
      </c>
      <c r="BU213" s="1">
        <v>12425</v>
      </c>
      <c r="BV213" s="1">
        <v>12945</v>
      </c>
      <c r="BW213" s="1">
        <v>12775</v>
      </c>
      <c r="BX213" s="1">
        <v>13440</v>
      </c>
      <c r="BY213" s="1">
        <v>12935</v>
      </c>
      <c r="BZ213" s="1">
        <v>13350</v>
      </c>
    </row>
    <row r="214" spans="1:78">
      <c r="A214" s="62" t="s">
        <v>419</v>
      </c>
      <c r="B214" s="1" t="s">
        <v>420</v>
      </c>
      <c r="C214" s="54">
        <f>_xll.RssMarket("9519","安値")</f>
        <v>919</v>
      </c>
      <c r="D214" s="16">
        <f t="shared" si="7"/>
        <v>12</v>
      </c>
      <c r="E214" s="2">
        <v>907</v>
      </c>
      <c r="F214" s="2">
        <v>884</v>
      </c>
      <c r="G214" s="2">
        <v>915</v>
      </c>
      <c r="H214" s="2">
        <v>911</v>
      </c>
      <c r="I214" s="2">
        <v>955</v>
      </c>
      <c r="J214" s="2">
        <v>978</v>
      </c>
      <c r="K214" s="2">
        <v>1003</v>
      </c>
      <c r="L214" s="2">
        <v>980</v>
      </c>
      <c r="M214" s="2">
        <v>965</v>
      </c>
      <c r="N214" s="2">
        <v>974</v>
      </c>
      <c r="O214" s="2">
        <v>970</v>
      </c>
      <c r="P214" s="2">
        <v>971</v>
      </c>
      <c r="Q214" s="2">
        <v>974</v>
      </c>
      <c r="R214" s="2">
        <v>945</v>
      </c>
      <c r="S214" s="2">
        <v>910</v>
      </c>
      <c r="T214" s="2">
        <v>917</v>
      </c>
      <c r="U214" s="2">
        <v>929</v>
      </c>
      <c r="V214" s="2">
        <v>933</v>
      </c>
      <c r="W214" s="2">
        <v>964</v>
      </c>
      <c r="X214" s="2">
        <v>959</v>
      </c>
      <c r="Y214" s="2">
        <v>967</v>
      </c>
      <c r="Z214" s="2">
        <v>962</v>
      </c>
      <c r="AA214" s="2">
        <v>940</v>
      </c>
      <c r="AB214" s="2">
        <v>974</v>
      </c>
      <c r="AC214" s="2">
        <v>937</v>
      </c>
      <c r="AD214" s="2">
        <v>882</v>
      </c>
      <c r="AE214" s="2">
        <v>879</v>
      </c>
      <c r="AF214" s="2">
        <v>888</v>
      </c>
      <c r="AG214" s="2">
        <v>893</v>
      </c>
      <c r="AH214" s="2">
        <v>834</v>
      </c>
      <c r="AI214" s="2">
        <v>812</v>
      </c>
      <c r="AJ214" s="2">
        <v>831</v>
      </c>
      <c r="AK214" s="2">
        <v>857</v>
      </c>
      <c r="AL214" s="2">
        <v>865</v>
      </c>
      <c r="AM214" s="2">
        <v>885</v>
      </c>
      <c r="AN214" s="2">
        <v>888</v>
      </c>
      <c r="AO214" s="2">
        <v>874</v>
      </c>
      <c r="AP214" s="2">
        <v>884</v>
      </c>
      <c r="AQ214" s="2">
        <v>988</v>
      </c>
      <c r="AR214" s="2">
        <v>945</v>
      </c>
      <c r="AS214" s="2">
        <v>966</v>
      </c>
      <c r="AT214" s="2">
        <v>1018</v>
      </c>
      <c r="AU214" s="2">
        <v>1105</v>
      </c>
      <c r="AV214" s="2">
        <v>1201</v>
      </c>
      <c r="AW214" s="2">
        <v>1159</v>
      </c>
      <c r="AX214" s="2">
        <v>1264</v>
      </c>
      <c r="AY214" s="2">
        <v>1291</v>
      </c>
      <c r="AZ214" s="2">
        <v>1316</v>
      </c>
      <c r="BA214" s="2">
        <v>1233</v>
      </c>
      <c r="BB214" s="2">
        <v>1245</v>
      </c>
      <c r="BC214" s="2">
        <v>1293</v>
      </c>
      <c r="BD214" s="2">
        <v>1262</v>
      </c>
      <c r="BE214" s="2">
        <v>1287</v>
      </c>
      <c r="BF214" s="2">
        <v>1242</v>
      </c>
      <c r="BG214" s="2">
        <v>1188</v>
      </c>
      <c r="BH214" s="2">
        <v>1209</v>
      </c>
      <c r="BI214" s="2">
        <v>1160</v>
      </c>
      <c r="BJ214" s="2">
        <v>1129</v>
      </c>
      <c r="BK214" s="2">
        <v>1103</v>
      </c>
      <c r="BL214" s="2">
        <v>1089</v>
      </c>
      <c r="BM214" s="1">
        <v>1100</v>
      </c>
      <c r="BN214" s="1">
        <v>1078</v>
      </c>
      <c r="BO214" s="1">
        <v>1005</v>
      </c>
      <c r="BP214" s="1">
        <v>991</v>
      </c>
      <c r="BQ214" s="1">
        <v>957</v>
      </c>
      <c r="BR214" s="1">
        <v>947</v>
      </c>
      <c r="BS214" s="1">
        <v>977</v>
      </c>
      <c r="BT214" s="1">
        <v>997</v>
      </c>
      <c r="BU214" s="1">
        <v>1008</v>
      </c>
      <c r="BV214" s="1">
        <v>1059</v>
      </c>
      <c r="BW214" s="1">
        <v>1016</v>
      </c>
      <c r="BX214" s="1">
        <v>977</v>
      </c>
      <c r="BY214" s="1">
        <v>952</v>
      </c>
      <c r="BZ214" s="1">
        <v>935</v>
      </c>
    </row>
    <row r="215" spans="1:78">
      <c r="A215" s="62" t="s">
        <v>421</v>
      </c>
      <c r="B215" s="1" t="s">
        <v>422</v>
      </c>
      <c r="C215" s="54">
        <f>_xll.RssMarket("6752","安値")</f>
        <v>4385</v>
      </c>
      <c r="D215" s="16">
        <f t="shared" si="7"/>
        <v>255</v>
      </c>
      <c r="E215" s="2">
        <v>4130</v>
      </c>
      <c r="F215" s="2">
        <v>4159</v>
      </c>
      <c r="G215" s="2">
        <v>4284</v>
      </c>
      <c r="H215" s="2">
        <v>3364</v>
      </c>
      <c r="I215" s="2">
        <v>3430</v>
      </c>
      <c r="J215" s="2">
        <v>3592</v>
      </c>
      <c r="K215" s="2">
        <v>3830</v>
      </c>
      <c r="L215" s="2">
        <v>3843</v>
      </c>
      <c r="M215" s="2">
        <v>4008</v>
      </c>
      <c r="N215" s="2">
        <v>4075</v>
      </c>
      <c r="O215" s="2">
        <v>3911</v>
      </c>
      <c r="P215" s="2">
        <v>3900</v>
      </c>
      <c r="Q215" s="2">
        <v>4178</v>
      </c>
      <c r="R215" s="2">
        <v>4093</v>
      </c>
      <c r="S215" s="2">
        <v>4354</v>
      </c>
      <c r="T215" s="2">
        <v>4476</v>
      </c>
      <c r="U215" s="2">
        <v>4376</v>
      </c>
      <c r="V215" s="2">
        <v>4250</v>
      </c>
      <c r="W215" s="2">
        <v>4353</v>
      </c>
      <c r="X215" s="2">
        <v>4493</v>
      </c>
      <c r="Y215" s="2">
        <v>4362</v>
      </c>
      <c r="Z215" s="2">
        <v>4456</v>
      </c>
      <c r="AA215" s="2">
        <v>4580</v>
      </c>
      <c r="AB215" s="2">
        <v>4366</v>
      </c>
      <c r="AC215" s="2">
        <v>4275</v>
      </c>
      <c r="AD215" s="2">
        <v>4451</v>
      </c>
      <c r="AE215" s="2">
        <v>4455</v>
      </c>
      <c r="AF215" s="2">
        <v>4195</v>
      </c>
      <c r="AG215" s="2">
        <v>4220</v>
      </c>
      <c r="AH215" s="2">
        <v>4376</v>
      </c>
      <c r="AI215" s="2">
        <v>4326</v>
      </c>
      <c r="AJ215" s="2">
        <v>4216</v>
      </c>
      <c r="AK215" s="2">
        <v>4152</v>
      </c>
      <c r="AL215" s="2">
        <v>3993</v>
      </c>
      <c r="AM215" s="2">
        <v>3914</v>
      </c>
      <c r="AN215" s="2">
        <v>3762</v>
      </c>
      <c r="AO215" s="2">
        <v>3571</v>
      </c>
      <c r="AP215" s="2">
        <v>3712</v>
      </c>
      <c r="AQ215" s="2">
        <v>3431</v>
      </c>
      <c r="AR215" s="2">
        <v>3638</v>
      </c>
      <c r="AS215" s="2">
        <v>3633</v>
      </c>
      <c r="AT215" s="2">
        <v>3680</v>
      </c>
      <c r="AU215" s="2">
        <v>3487</v>
      </c>
      <c r="AV215" s="2">
        <v>3529</v>
      </c>
      <c r="AW215" s="2">
        <v>3416</v>
      </c>
      <c r="AX215" s="2">
        <v>3544</v>
      </c>
      <c r="AY215" s="2">
        <v>3491</v>
      </c>
      <c r="AZ215" s="2">
        <v>3420</v>
      </c>
      <c r="BA215" s="2">
        <v>3214</v>
      </c>
      <c r="BB215" s="2">
        <v>3183</v>
      </c>
      <c r="BC215" s="2">
        <v>3300</v>
      </c>
      <c r="BD215" s="2">
        <v>3221</v>
      </c>
      <c r="BE215" s="2">
        <v>3263</v>
      </c>
      <c r="BF215" s="2">
        <v>3295</v>
      </c>
      <c r="BG215" s="2">
        <v>3121</v>
      </c>
      <c r="BH215" s="2">
        <v>3333</v>
      </c>
      <c r="BI215" s="2">
        <v>3221</v>
      </c>
      <c r="BJ215" s="2">
        <v>3222</v>
      </c>
      <c r="BK215" s="2">
        <v>3297</v>
      </c>
      <c r="BL215" s="2">
        <v>3232</v>
      </c>
      <c r="BM215" s="1">
        <v>3071</v>
      </c>
      <c r="BN215" s="1">
        <v>3036</v>
      </c>
      <c r="BO215" s="1">
        <v>2931</v>
      </c>
      <c r="BP215" s="1">
        <v>2836.5</v>
      </c>
      <c r="BQ215" s="1">
        <v>2877</v>
      </c>
      <c r="BR215" s="1">
        <v>2957.5</v>
      </c>
      <c r="BS215" s="1">
        <v>2999</v>
      </c>
      <c r="BT215" s="1">
        <v>2880</v>
      </c>
      <c r="BU215" s="1">
        <v>2897</v>
      </c>
      <c r="BV215" s="1">
        <v>2927.5</v>
      </c>
      <c r="BW215" s="1">
        <v>2889.5</v>
      </c>
      <c r="BX215" s="1">
        <v>2870</v>
      </c>
      <c r="BY215" s="1">
        <v>2810</v>
      </c>
      <c r="BZ215" s="1">
        <v>2855</v>
      </c>
    </row>
    <row r="216" spans="1:78">
      <c r="A216" s="62" t="s">
        <v>423</v>
      </c>
      <c r="B216" s="1" t="s">
        <v>424</v>
      </c>
      <c r="C216" s="54">
        <f>_xll.RssMarket("6622","安値")</f>
        <v>14470</v>
      </c>
      <c r="D216" s="16">
        <f t="shared" si="7"/>
        <v>330</v>
      </c>
      <c r="E216" s="2">
        <v>14140</v>
      </c>
      <c r="F216" s="2">
        <v>13270</v>
      </c>
      <c r="G216" s="2">
        <v>13190</v>
      </c>
      <c r="H216" s="2">
        <v>11460</v>
      </c>
      <c r="I216" s="2">
        <v>11610</v>
      </c>
      <c r="J216" s="2">
        <v>12950</v>
      </c>
      <c r="K216" s="2">
        <v>14000</v>
      </c>
      <c r="L216" s="2">
        <v>14440</v>
      </c>
      <c r="M216" s="2">
        <v>14900</v>
      </c>
      <c r="N216" s="2">
        <v>14810</v>
      </c>
      <c r="O216" s="2">
        <v>14030</v>
      </c>
      <c r="P216" s="2">
        <v>13540</v>
      </c>
      <c r="Q216" s="2">
        <v>15030</v>
      </c>
      <c r="R216" s="2">
        <v>14540</v>
      </c>
      <c r="S216" s="2">
        <v>14820</v>
      </c>
      <c r="T216" s="2">
        <v>15440</v>
      </c>
      <c r="U216" s="2">
        <v>15130</v>
      </c>
      <c r="V216" s="2">
        <v>14710</v>
      </c>
      <c r="W216" s="2">
        <v>15920</v>
      </c>
      <c r="X216" s="2">
        <v>16660</v>
      </c>
      <c r="Y216" s="2">
        <v>15830</v>
      </c>
      <c r="Z216" s="2">
        <v>16940</v>
      </c>
      <c r="AA216" s="2">
        <v>18290</v>
      </c>
      <c r="AB216" s="2">
        <v>17680</v>
      </c>
      <c r="AC216" s="2">
        <v>17140</v>
      </c>
      <c r="AD216" s="2">
        <v>17800</v>
      </c>
      <c r="AE216" s="2">
        <v>18680</v>
      </c>
      <c r="AF216" s="2">
        <v>18140</v>
      </c>
      <c r="AG216" s="2">
        <v>18570</v>
      </c>
      <c r="AH216" s="2">
        <v>17870</v>
      </c>
      <c r="AI216" s="2">
        <v>17630</v>
      </c>
      <c r="AJ216" s="2">
        <v>17290</v>
      </c>
      <c r="AK216" s="2">
        <v>16030</v>
      </c>
      <c r="AL216" s="2">
        <v>16050</v>
      </c>
      <c r="AM216" s="2">
        <v>15490</v>
      </c>
      <c r="AN216" s="2">
        <v>14700</v>
      </c>
      <c r="AO216" s="2">
        <v>13690</v>
      </c>
      <c r="AP216" s="2">
        <v>14580</v>
      </c>
      <c r="AQ216" s="2">
        <v>14440</v>
      </c>
      <c r="AR216" s="2">
        <v>15310</v>
      </c>
      <c r="AS216" s="2">
        <v>15300</v>
      </c>
      <c r="AT216" s="2">
        <v>15130</v>
      </c>
      <c r="AU216" s="2">
        <v>14840</v>
      </c>
      <c r="AV216" s="2">
        <v>15750</v>
      </c>
      <c r="AW216" s="2">
        <v>15840</v>
      </c>
      <c r="AX216" s="2">
        <v>16560</v>
      </c>
      <c r="AY216" s="2">
        <v>16710</v>
      </c>
      <c r="AZ216" s="2">
        <v>16220</v>
      </c>
      <c r="BA216" s="2">
        <v>15360</v>
      </c>
      <c r="BB216" s="2">
        <v>14980</v>
      </c>
      <c r="BC216" s="2">
        <v>15650</v>
      </c>
      <c r="BD216" s="2">
        <v>16510</v>
      </c>
      <c r="BE216" s="2">
        <v>16670</v>
      </c>
      <c r="BF216" s="2">
        <v>17250</v>
      </c>
      <c r="BG216" s="2">
        <v>17500</v>
      </c>
      <c r="BH216" s="2">
        <v>17640</v>
      </c>
      <c r="BI216" s="2">
        <v>17370</v>
      </c>
      <c r="BJ216" s="2">
        <v>16570</v>
      </c>
      <c r="BK216" s="2">
        <v>16500</v>
      </c>
      <c r="BL216" s="2">
        <v>15150</v>
      </c>
      <c r="BM216" s="1">
        <v>15000</v>
      </c>
      <c r="BN216" s="1">
        <v>14500</v>
      </c>
      <c r="BO216" s="1">
        <v>13940</v>
      </c>
      <c r="BP216" s="1">
        <v>13650</v>
      </c>
      <c r="BQ216" s="1">
        <v>13420</v>
      </c>
      <c r="BR216" s="1">
        <v>13750</v>
      </c>
      <c r="BS216" s="1">
        <v>13940</v>
      </c>
      <c r="BT216" s="1">
        <v>13820</v>
      </c>
      <c r="BU216" s="1">
        <v>13820</v>
      </c>
      <c r="BV216" s="1">
        <v>14090</v>
      </c>
      <c r="BW216" s="1">
        <v>13880</v>
      </c>
      <c r="BX216" s="1">
        <v>14270</v>
      </c>
      <c r="BY216" s="1">
        <v>13810</v>
      </c>
      <c r="BZ216" s="1">
        <v>13760</v>
      </c>
    </row>
    <row r="217" spans="1:78">
      <c r="A217" s="62" t="s">
        <v>425</v>
      </c>
      <c r="B217" s="1" t="s">
        <v>426</v>
      </c>
      <c r="C217" s="54">
        <f>_xll.RssMarket("1407","安値")</f>
        <v>2690</v>
      </c>
      <c r="D217" s="16">
        <f t="shared" si="7"/>
        <v>78</v>
      </c>
      <c r="E217" s="2">
        <v>2612</v>
      </c>
      <c r="F217" s="2">
        <v>2434</v>
      </c>
      <c r="G217" s="2">
        <v>2514</v>
      </c>
      <c r="H217" s="2">
        <v>2466</v>
      </c>
      <c r="I217" s="2">
        <v>2572</v>
      </c>
      <c r="J217" s="2">
        <v>2614</v>
      </c>
      <c r="K217" s="2">
        <v>2733</v>
      </c>
      <c r="L217" s="2">
        <v>2616</v>
      </c>
      <c r="M217" s="2">
        <v>2560</v>
      </c>
      <c r="N217" s="2">
        <v>2621</v>
      </c>
      <c r="O217" s="2">
        <v>2673</v>
      </c>
      <c r="P217" s="2">
        <v>2675</v>
      </c>
      <c r="Q217" s="2">
        <v>2339</v>
      </c>
      <c r="R217" s="2">
        <v>2234</v>
      </c>
      <c r="S217" s="2">
        <v>2165</v>
      </c>
      <c r="T217" s="2">
        <v>2134</v>
      </c>
      <c r="U217" s="2">
        <v>2231</v>
      </c>
      <c r="V217" s="2">
        <v>2236</v>
      </c>
      <c r="W217" s="2">
        <v>2240</v>
      </c>
      <c r="X217" s="2">
        <v>2308</v>
      </c>
      <c r="Y217" s="2">
        <v>2318</v>
      </c>
      <c r="Z217" s="2">
        <v>2310</v>
      </c>
      <c r="AA217" s="2">
        <v>2328</v>
      </c>
      <c r="AB217" s="2">
        <v>2350</v>
      </c>
      <c r="AC217" s="2">
        <v>2362</v>
      </c>
      <c r="AD217" s="2">
        <v>2275</v>
      </c>
      <c r="AE217" s="2">
        <v>2290</v>
      </c>
      <c r="AF217" s="2">
        <v>2290</v>
      </c>
      <c r="AG217" s="2">
        <v>2280</v>
      </c>
      <c r="AH217" s="2">
        <v>2207</v>
      </c>
      <c r="AI217" s="2">
        <v>2196</v>
      </c>
      <c r="AJ217" s="2">
        <v>2285</v>
      </c>
      <c r="AK217" s="2">
        <v>2220</v>
      </c>
      <c r="AL217" s="2">
        <v>2211</v>
      </c>
      <c r="AM217" s="2">
        <v>2240</v>
      </c>
      <c r="AN217" s="2">
        <v>2290</v>
      </c>
      <c r="AO217" s="2">
        <v>2191</v>
      </c>
      <c r="AP217" s="2">
        <v>2251</v>
      </c>
      <c r="AQ217" s="2">
        <v>2307</v>
      </c>
      <c r="AR217" s="2">
        <v>2290</v>
      </c>
      <c r="AS217" s="2">
        <v>2436</v>
      </c>
      <c r="AT217" s="2">
        <v>2503</v>
      </c>
      <c r="AU217" s="2">
        <v>2430</v>
      </c>
      <c r="AV217" s="2">
        <v>2691</v>
      </c>
      <c r="AW217" s="2">
        <v>2845</v>
      </c>
      <c r="AX217" s="2">
        <v>3075</v>
      </c>
      <c r="AY217" s="2">
        <v>2877</v>
      </c>
      <c r="AZ217" s="2">
        <v>2833</v>
      </c>
      <c r="BA217" s="2">
        <v>2892</v>
      </c>
      <c r="BB217" s="2">
        <v>2903</v>
      </c>
      <c r="BC217" s="2">
        <v>2839</v>
      </c>
      <c r="BD217" s="2">
        <v>2901</v>
      </c>
      <c r="BE217" s="2">
        <v>2985</v>
      </c>
      <c r="BF217" s="2">
        <v>2980</v>
      </c>
      <c r="BG217" s="2">
        <v>2790</v>
      </c>
      <c r="BH217" s="2">
        <v>2917</v>
      </c>
      <c r="BI217" s="2">
        <v>3050</v>
      </c>
      <c r="BJ217" s="2">
        <v>2830</v>
      </c>
      <c r="BK217" s="2">
        <v>2714</v>
      </c>
      <c r="BL217" s="2">
        <v>2820</v>
      </c>
      <c r="BM217" s="1">
        <v>2702</v>
      </c>
      <c r="BN217" s="1">
        <v>2620</v>
      </c>
      <c r="BO217" s="1">
        <v>2495</v>
      </c>
      <c r="BP217" s="1">
        <v>2383</v>
      </c>
      <c r="BQ217" s="1">
        <v>2310</v>
      </c>
      <c r="BR217" s="1">
        <v>2211</v>
      </c>
      <c r="BS217" s="1">
        <v>2274</v>
      </c>
      <c r="BT217" s="1">
        <v>2161</v>
      </c>
      <c r="BU217" s="1">
        <v>2206</v>
      </c>
      <c r="BV217" s="1">
        <v>2090</v>
      </c>
      <c r="BW217" s="1">
        <v>1903</v>
      </c>
      <c r="BX217" s="1">
        <v>1730</v>
      </c>
      <c r="BY217" s="1">
        <v>1802</v>
      </c>
      <c r="BZ217" s="1">
        <v>1827</v>
      </c>
    </row>
    <row r="218" spans="1:78">
      <c r="A218" s="62" t="s">
        <v>427</v>
      </c>
      <c r="B218" s="1" t="s">
        <v>428</v>
      </c>
      <c r="C218" s="54">
        <f>_xll.RssMarket("285A","安値")</f>
        <v>53400</v>
      </c>
      <c r="D218" s="16">
        <f t="shared" si="7"/>
        <v>6110</v>
      </c>
      <c r="E218" s="2">
        <v>47290</v>
      </c>
      <c r="F218" s="2">
        <v>44370</v>
      </c>
      <c r="G218" s="2">
        <v>46500</v>
      </c>
      <c r="H218" s="2">
        <v>36020</v>
      </c>
      <c r="I218" s="2">
        <v>37650</v>
      </c>
      <c r="J218" s="2">
        <v>44550</v>
      </c>
      <c r="K218" s="2">
        <v>50400</v>
      </c>
      <c r="L218" s="2">
        <v>55080</v>
      </c>
      <c r="M218" s="2">
        <v>61150</v>
      </c>
      <c r="N218" s="2">
        <v>62750</v>
      </c>
      <c r="O218" s="2">
        <v>51370</v>
      </c>
      <c r="P218" s="2">
        <v>52110</v>
      </c>
      <c r="Q218" s="2">
        <v>71200</v>
      </c>
      <c r="R218" s="2">
        <v>63060</v>
      </c>
      <c r="S218" s="2">
        <v>66100</v>
      </c>
      <c r="T218" s="2">
        <v>75880</v>
      </c>
      <c r="U218" s="2">
        <v>75700</v>
      </c>
      <c r="V218" s="2">
        <v>69300</v>
      </c>
      <c r="W218" s="2">
        <v>71120</v>
      </c>
      <c r="X218" s="2">
        <v>78200</v>
      </c>
      <c r="Y218" s="2">
        <v>67190</v>
      </c>
      <c r="Z218" s="2">
        <v>75000</v>
      </c>
      <c r="AA218" s="2">
        <v>87120</v>
      </c>
      <c r="AB218" s="2">
        <v>85300</v>
      </c>
      <c r="AC218" s="2">
        <v>82100</v>
      </c>
      <c r="AD218" s="2">
        <v>89600</v>
      </c>
      <c r="AE218" s="2">
        <v>97310</v>
      </c>
      <c r="AF218" s="2">
        <v>86550</v>
      </c>
      <c r="AG218" s="2">
        <v>91150</v>
      </c>
      <c r="AH218" s="2">
        <v>104250</v>
      </c>
      <c r="AI218" s="2">
        <v>99970</v>
      </c>
      <c r="AJ218" s="2">
        <v>95800</v>
      </c>
      <c r="AK218" s="2">
        <v>92320</v>
      </c>
      <c r="AL218" s="2">
        <v>90920</v>
      </c>
      <c r="AM218" s="2">
        <v>85200</v>
      </c>
      <c r="AN218" s="2">
        <v>78920</v>
      </c>
      <c r="AO218" s="2">
        <v>67600</v>
      </c>
      <c r="AP218" s="2">
        <v>70130</v>
      </c>
      <c r="AQ218" s="2">
        <v>69010</v>
      </c>
      <c r="AR218" s="2">
        <v>73290</v>
      </c>
      <c r="AS218" s="2">
        <v>75000</v>
      </c>
      <c r="AT218" s="2">
        <v>76240</v>
      </c>
      <c r="AU218" s="2">
        <v>70230</v>
      </c>
      <c r="AV218" s="2">
        <v>61110</v>
      </c>
      <c r="AW218" s="2">
        <v>56900</v>
      </c>
      <c r="AX218" s="2">
        <v>60170</v>
      </c>
      <c r="AY218" s="2">
        <v>58090</v>
      </c>
      <c r="AZ218" s="2">
        <v>56280</v>
      </c>
      <c r="BA218" s="2">
        <v>51120</v>
      </c>
      <c r="BB218" s="2">
        <v>48270</v>
      </c>
      <c r="BC218" s="2">
        <v>48000</v>
      </c>
      <c r="BD218" s="2">
        <v>51450</v>
      </c>
      <c r="BE218" s="2">
        <v>42100</v>
      </c>
      <c r="BF218" s="2">
        <v>45110</v>
      </c>
      <c r="BG218" s="2">
        <v>44740</v>
      </c>
      <c r="BH218" s="2">
        <v>43630</v>
      </c>
      <c r="BI218" s="2">
        <v>45690</v>
      </c>
      <c r="BJ218" s="2">
        <v>41900</v>
      </c>
      <c r="BK218" s="2">
        <v>43410</v>
      </c>
      <c r="BL218" s="2">
        <v>36050</v>
      </c>
      <c r="BM218" s="1">
        <v>36920</v>
      </c>
      <c r="BN218" s="1">
        <v>36200</v>
      </c>
      <c r="BO218" s="1">
        <v>35030</v>
      </c>
      <c r="BP218" s="1">
        <v>34150</v>
      </c>
      <c r="BQ218" s="1">
        <v>33750</v>
      </c>
      <c r="BR218" s="1">
        <v>32400</v>
      </c>
      <c r="BS218" s="1">
        <v>30710</v>
      </c>
      <c r="BT218" s="1">
        <v>30090</v>
      </c>
      <c r="BU218" s="1">
        <v>30460</v>
      </c>
      <c r="BV218" s="1">
        <v>31010</v>
      </c>
      <c r="BW218" s="1">
        <v>32100</v>
      </c>
      <c r="BX218" s="1">
        <v>33820</v>
      </c>
      <c r="BY218" s="1">
        <v>29530</v>
      </c>
      <c r="BZ218" s="1">
        <v>28890</v>
      </c>
    </row>
    <row r="219" spans="1:78">
      <c r="A219" s="62" t="s">
        <v>429</v>
      </c>
      <c r="B219" s="1" t="s">
        <v>430</v>
      </c>
      <c r="C219" s="54">
        <f>_xll.RssMarket("141A","安値")</f>
        <v>3210</v>
      </c>
      <c r="D219" s="16">
        <f t="shared" si="7"/>
        <v>85</v>
      </c>
      <c r="E219" s="2">
        <v>3125</v>
      </c>
      <c r="F219" s="2">
        <v>3065</v>
      </c>
      <c r="G219" s="2">
        <v>3025</v>
      </c>
      <c r="H219" s="2">
        <v>3000</v>
      </c>
      <c r="I219" s="2">
        <v>3015</v>
      </c>
      <c r="J219" s="2">
        <v>3000</v>
      </c>
      <c r="K219" s="2">
        <v>2998</v>
      </c>
      <c r="L219" s="2"/>
      <c r="M219" s="2">
        <v>2970</v>
      </c>
      <c r="N219" s="2">
        <v>2974</v>
      </c>
      <c r="O219" s="2">
        <v>2983</v>
      </c>
      <c r="P219" s="2">
        <v>2973</v>
      </c>
      <c r="Q219" s="2">
        <v>3005</v>
      </c>
      <c r="R219" s="2">
        <v>3030</v>
      </c>
      <c r="S219" s="2">
        <v>2960</v>
      </c>
      <c r="T219" s="2">
        <v>3010</v>
      </c>
      <c r="U219" s="2">
        <v>2983</v>
      </c>
      <c r="V219" s="2">
        <v>2976</v>
      </c>
      <c r="W219" s="2">
        <v>3070</v>
      </c>
      <c r="X219" s="2">
        <v>3025</v>
      </c>
      <c r="Y219" s="2">
        <v>3055</v>
      </c>
      <c r="Z219" s="2">
        <v>2917</v>
      </c>
      <c r="AA219" s="2">
        <v>2880</v>
      </c>
      <c r="AB219" s="2">
        <v>2988</v>
      </c>
      <c r="AC219" s="2">
        <v>2988</v>
      </c>
      <c r="AD219" s="2">
        <v>2939</v>
      </c>
      <c r="AE219" s="2">
        <v>2957</v>
      </c>
      <c r="AF219" s="2">
        <v>2793</v>
      </c>
      <c r="AG219" s="2">
        <v>2725</v>
      </c>
      <c r="AH219" s="2">
        <v>2700</v>
      </c>
      <c r="AI219" s="2">
        <v>2721</v>
      </c>
      <c r="AJ219" s="2">
        <v>2717</v>
      </c>
      <c r="AK219" s="2">
        <v>2768</v>
      </c>
      <c r="AL219" s="2">
        <v>2721</v>
      </c>
      <c r="AM219" s="2">
        <v>2746</v>
      </c>
      <c r="AN219" s="2">
        <v>2789</v>
      </c>
      <c r="AO219" s="2">
        <v>2811</v>
      </c>
      <c r="AP219" s="2">
        <v>2725</v>
      </c>
      <c r="AQ219" s="2">
        <v>2716</v>
      </c>
      <c r="AR219" s="2">
        <v>2669</v>
      </c>
      <c r="AS219" s="2">
        <v>2667</v>
      </c>
      <c r="AT219" s="2">
        <v>2506</v>
      </c>
      <c r="AU219" s="2">
        <v>2545</v>
      </c>
      <c r="AV219" s="2">
        <v>2865</v>
      </c>
      <c r="AW219" s="2">
        <v>2813</v>
      </c>
      <c r="AX219" s="2">
        <v>2617</v>
      </c>
      <c r="AY219" s="2">
        <v>2874</v>
      </c>
      <c r="AZ219" s="2">
        <v>2952</v>
      </c>
      <c r="BA219" s="2">
        <v>2929</v>
      </c>
      <c r="BB219" s="2">
        <v>3085</v>
      </c>
      <c r="BC219" s="2">
        <v>2921</v>
      </c>
      <c r="BD219" s="2">
        <v>2887</v>
      </c>
      <c r="BE219" s="2">
        <v>3570</v>
      </c>
      <c r="BF219" s="2">
        <v>4205</v>
      </c>
      <c r="BG219" s="2">
        <v>4280</v>
      </c>
      <c r="BH219" s="2">
        <v>4265</v>
      </c>
      <c r="BI219" s="2">
        <v>4090</v>
      </c>
      <c r="BJ219" s="2">
        <v>4090</v>
      </c>
      <c r="BK219" s="2">
        <v>3875</v>
      </c>
      <c r="BL219" s="2">
        <v>3870</v>
      </c>
      <c r="BM219" s="1">
        <v>3845</v>
      </c>
      <c r="BN219" s="1">
        <v>3810</v>
      </c>
      <c r="BO219" s="1">
        <v>3850</v>
      </c>
      <c r="BP219" s="1">
        <v>3970</v>
      </c>
      <c r="BQ219" s="1">
        <v>4135</v>
      </c>
      <c r="BR219" s="1">
        <v>4490</v>
      </c>
      <c r="BS219" s="1">
        <v>4610</v>
      </c>
      <c r="BT219" s="1">
        <v>4455</v>
      </c>
      <c r="BU219" s="1">
        <v>4440</v>
      </c>
      <c r="BV219" s="1">
        <v>4350</v>
      </c>
      <c r="BW219" s="1">
        <v>4310</v>
      </c>
      <c r="BX219" s="1">
        <v>4125</v>
      </c>
      <c r="BY219" s="1">
        <v>4115</v>
      </c>
      <c r="BZ219" s="1">
        <v>4445</v>
      </c>
    </row>
    <row r="220" spans="1:78">
      <c r="A220" s="62" t="s">
        <v>431</v>
      </c>
      <c r="B220" s="1" t="s">
        <v>432</v>
      </c>
      <c r="C220" s="54">
        <f>_xll.RssMarket("464A","安値")</f>
        <v>1592</v>
      </c>
      <c r="D220" s="16">
        <f t="shared" si="7"/>
        <v>52</v>
      </c>
      <c r="E220" s="2">
        <v>1540</v>
      </c>
      <c r="F220" s="2">
        <v>1470</v>
      </c>
      <c r="G220" s="2">
        <v>1423</v>
      </c>
      <c r="H220" s="2">
        <v>1371</v>
      </c>
      <c r="I220" s="2">
        <v>1351</v>
      </c>
      <c r="J220" s="2">
        <v>1480</v>
      </c>
      <c r="K220" s="2">
        <v>1415</v>
      </c>
      <c r="L220" s="2">
        <v>1485</v>
      </c>
      <c r="M220" s="2">
        <v>1604</v>
      </c>
      <c r="N220" s="2">
        <v>1617</v>
      </c>
      <c r="O220" s="2">
        <v>1580</v>
      </c>
      <c r="P220" s="2">
        <v>1577</v>
      </c>
      <c r="Q220" s="2">
        <v>1800</v>
      </c>
      <c r="R220" s="2">
        <v>1763</v>
      </c>
      <c r="S220" s="2">
        <v>1811</v>
      </c>
      <c r="T220" s="2">
        <v>1797</v>
      </c>
      <c r="U220" s="2">
        <v>1770</v>
      </c>
      <c r="V220" s="2">
        <v>1789</v>
      </c>
      <c r="W220" s="2">
        <v>1947</v>
      </c>
      <c r="X220" s="2">
        <v>2026</v>
      </c>
      <c r="Y220" s="2">
        <v>1974</v>
      </c>
      <c r="Z220" s="2">
        <v>1976</v>
      </c>
      <c r="AA220" s="2">
        <v>1871</v>
      </c>
      <c r="AB220" s="2">
        <v>1906</v>
      </c>
      <c r="AC220" s="2">
        <v>1841</v>
      </c>
      <c r="AD220" s="2">
        <v>1854</v>
      </c>
      <c r="AE220" s="2">
        <v>1945</v>
      </c>
      <c r="AF220" s="2">
        <v>1960</v>
      </c>
      <c r="AG220" s="2">
        <v>2011</v>
      </c>
      <c r="AH220" s="2">
        <v>2170</v>
      </c>
      <c r="AI220" s="2">
        <v>2151</v>
      </c>
      <c r="AJ220" s="2">
        <v>2215</v>
      </c>
      <c r="AK220" s="2">
        <v>2166</v>
      </c>
      <c r="AL220" s="2">
        <v>2247</v>
      </c>
      <c r="AM220" s="2">
        <v>2307</v>
      </c>
      <c r="AN220" s="2">
        <v>2685</v>
      </c>
      <c r="AO220" s="2">
        <v>2430</v>
      </c>
      <c r="AP220" s="2">
        <v>2461</v>
      </c>
      <c r="AQ220" s="2">
        <v>2695</v>
      </c>
      <c r="AR220" s="2">
        <v>2833</v>
      </c>
      <c r="AS220" s="2">
        <v>2600</v>
      </c>
      <c r="AT220" s="2">
        <v>2894</v>
      </c>
      <c r="AU220" s="2">
        <v>2900</v>
      </c>
      <c r="AV220" s="2">
        <v>3915</v>
      </c>
      <c r="AW220" s="2">
        <v>4075</v>
      </c>
      <c r="AX220" s="2">
        <v>4080</v>
      </c>
      <c r="AY220" s="2">
        <v>3780</v>
      </c>
      <c r="AZ220" s="2">
        <v>3385</v>
      </c>
      <c r="BA220" s="2">
        <v>3175</v>
      </c>
      <c r="BB220" s="2">
        <v>3220</v>
      </c>
      <c r="BC220" s="2">
        <v>3320</v>
      </c>
      <c r="BD220" s="2">
        <v>3170</v>
      </c>
      <c r="BE220" s="2">
        <v>3230</v>
      </c>
      <c r="BF220" s="2">
        <v>3175</v>
      </c>
      <c r="BG220" s="2">
        <v>2868</v>
      </c>
      <c r="BH220" s="2">
        <v>2840</v>
      </c>
      <c r="BI220" s="2">
        <v>2949</v>
      </c>
      <c r="BJ220" s="2">
        <v>2635</v>
      </c>
      <c r="BK220" s="2">
        <v>2631</v>
      </c>
      <c r="BL220" s="2">
        <v>2493</v>
      </c>
      <c r="BM220" s="1">
        <v>2473</v>
      </c>
      <c r="BN220" s="1">
        <v>2432</v>
      </c>
      <c r="BO220" s="1">
        <v>2404</v>
      </c>
      <c r="BP220" s="1">
        <v>2477</v>
      </c>
      <c r="BQ220" s="1">
        <v>2501</v>
      </c>
      <c r="BR220" s="1">
        <v>2652</v>
      </c>
      <c r="BS220" s="1">
        <v>2650</v>
      </c>
      <c r="BT220" s="1">
        <v>2596</v>
      </c>
      <c r="BU220" s="1">
        <v>2581</v>
      </c>
      <c r="BV220" s="1">
        <v>2530</v>
      </c>
      <c r="BW220" s="1">
        <v>2496</v>
      </c>
      <c r="BX220" s="1">
        <v>2543</v>
      </c>
      <c r="BY220" s="1">
        <v>2732</v>
      </c>
      <c r="BZ220" s="1">
        <v>2660</v>
      </c>
    </row>
    <row r="221" spans="1:78">
      <c r="A221" s="62" t="s">
        <v>433</v>
      </c>
      <c r="B221" s="1" t="s">
        <v>434</v>
      </c>
      <c r="C221" s="54">
        <f>_xll.RssMarket("485A","安値")</f>
        <v>1845</v>
      </c>
      <c r="D221" s="16">
        <f t="shared" si="7"/>
        <v>1845</v>
      </c>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c r="A222" s="62" t="s">
        <v>435</v>
      </c>
      <c r="B222" s="1" t="str">
        <f>銘柄管理!C222</f>
        <v>ＮＦ日経レバ</v>
      </c>
      <c r="C222" s="54">
        <f>_xll.RssMarket("1570","安値")</f>
        <v>68360</v>
      </c>
      <c r="D222" s="16"/>
      <c r="E222" s="2">
        <v>62940</v>
      </c>
      <c r="F222" s="2">
        <v>62580</v>
      </c>
      <c r="G222" s="2">
        <v>64980</v>
      </c>
      <c r="H222" s="2">
        <v>59850</v>
      </c>
      <c r="I222" s="2">
        <v>58280</v>
      </c>
      <c r="J222" s="2">
        <v>61210</v>
      </c>
      <c r="K222" s="2">
        <v>65760</v>
      </c>
      <c r="L222" s="2">
        <v>65930</v>
      </c>
      <c r="M222" s="2">
        <v>70150</v>
      </c>
      <c r="N222" s="2">
        <v>69630</v>
      </c>
      <c r="O222" s="2">
        <v>66110</v>
      </c>
      <c r="P222" s="2">
        <v>62900</v>
      </c>
      <c r="Q222" s="2">
        <v>73980</v>
      </c>
      <c r="R222" s="2">
        <v>70640</v>
      </c>
      <c r="S222" s="2">
        <v>71480</v>
      </c>
      <c r="T222" s="2">
        <v>75460</v>
      </c>
      <c r="U222" s="2">
        <v>73370</v>
      </c>
      <c r="V222" s="2">
        <v>72330</v>
      </c>
      <c r="W222" s="2">
        <v>74600</v>
      </c>
      <c r="X222" s="2">
        <v>76630</v>
      </c>
      <c r="Y222" s="2">
        <v>73830</v>
      </c>
      <c r="Z222" s="2">
        <v>76190</v>
      </c>
      <c r="AA222" s="2">
        <v>79440</v>
      </c>
      <c r="AB222" s="2">
        <v>77640</v>
      </c>
      <c r="AC222" s="2">
        <v>74770</v>
      </c>
      <c r="AD222" s="2">
        <v>76040</v>
      </c>
      <c r="AE222" s="2">
        <v>80860</v>
      </c>
      <c r="AF222" s="2">
        <v>75950</v>
      </c>
      <c r="AG222" s="2">
        <v>79140</v>
      </c>
      <c r="AH222" s="2">
        <v>82340</v>
      </c>
      <c r="AI222" s="2">
        <v>81150</v>
      </c>
      <c r="AJ222" s="2">
        <v>80310</v>
      </c>
      <c r="AK222" s="2">
        <v>76880</v>
      </c>
      <c r="AL222" s="2">
        <v>77580</v>
      </c>
      <c r="AM222" s="2">
        <v>76230</v>
      </c>
      <c r="AN222" s="2">
        <v>70550</v>
      </c>
      <c r="AO222" s="2">
        <v>63340</v>
      </c>
      <c r="AP222" s="2">
        <v>66310</v>
      </c>
      <c r="AQ222" s="2">
        <v>65660</v>
      </c>
      <c r="AR222" s="2">
        <v>71000</v>
      </c>
      <c r="AS222" s="2">
        <v>73330</v>
      </c>
      <c r="AT222" s="2">
        <v>74440</v>
      </c>
      <c r="AU222" s="2">
        <v>70450</v>
      </c>
      <c r="AV222" s="2">
        <v>70540</v>
      </c>
      <c r="AW222" s="2">
        <v>66970</v>
      </c>
      <c r="AX222" s="2">
        <v>69560</v>
      </c>
      <c r="AY222" s="2">
        <v>66840</v>
      </c>
      <c r="AZ222" s="2">
        <v>63840</v>
      </c>
      <c r="BA222" s="2">
        <v>61640</v>
      </c>
      <c r="BB222" s="2">
        <v>57900</v>
      </c>
      <c r="BC222" s="2">
        <v>59830</v>
      </c>
      <c r="BD222" s="2">
        <v>60050</v>
      </c>
      <c r="BE222" s="2">
        <v>61210</v>
      </c>
      <c r="BF222" s="2">
        <v>64770</v>
      </c>
      <c r="BG222" s="2">
        <v>63870</v>
      </c>
      <c r="BH222" s="2">
        <v>63710</v>
      </c>
      <c r="BI222" s="2">
        <v>64200</v>
      </c>
      <c r="BJ222" s="2">
        <v>63700</v>
      </c>
      <c r="BK222" s="2">
        <v>63130</v>
      </c>
      <c r="BL222" s="2">
        <v>58360</v>
      </c>
      <c r="BM222" s="1">
        <v>57500</v>
      </c>
      <c r="BN222" s="1">
        <v>59080</v>
      </c>
      <c r="BO222" s="1">
        <v>58860</v>
      </c>
      <c r="BP222" s="1">
        <v>58180</v>
      </c>
      <c r="BQ222" s="1">
        <v>56960</v>
      </c>
      <c r="BR222" s="1">
        <v>57740</v>
      </c>
      <c r="BS222" s="1">
        <v>57800</v>
      </c>
      <c r="BT222" s="1">
        <v>57230</v>
      </c>
      <c r="BU222" s="1">
        <v>57070</v>
      </c>
      <c r="BV222" s="1">
        <v>56910</v>
      </c>
      <c r="BW222" s="1">
        <v>55960</v>
      </c>
      <c r="BX222" s="1">
        <v>54700</v>
      </c>
      <c r="BY222" s="1">
        <v>52570</v>
      </c>
      <c r="BZ222" s="1">
        <v>53010</v>
      </c>
    </row>
    <row r="223" spans="1:78">
      <c r="A223" s="62" t="s">
        <v>436</v>
      </c>
      <c r="B223" s="1" t="str">
        <f>銘柄管理!C223</f>
        <v>牧野フライス</v>
      </c>
      <c r="C223" s="54">
        <f>_xll.RssMarket("6135","安値")</f>
        <v>14830</v>
      </c>
      <c r="D223" s="16"/>
      <c r="E223" s="2">
        <v>14270</v>
      </c>
      <c r="F223" s="1">
        <v>14060</v>
      </c>
      <c r="G223" s="1">
        <v>12620</v>
      </c>
      <c r="H223" s="1">
        <v>13880</v>
      </c>
      <c r="I223" s="1">
        <v>13810</v>
      </c>
      <c r="J223" s="1">
        <v>14220</v>
      </c>
      <c r="K223" s="1">
        <v>14540</v>
      </c>
      <c r="L223" s="1">
        <v>14640</v>
      </c>
      <c r="M223" s="1">
        <v>14450</v>
      </c>
      <c r="N223" s="1">
        <v>14450</v>
      </c>
      <c r="O223" s="1">
        <v>14280</v>
      </c>
      <c r="P223" s="1">
        <v>14110</v>
      </c>
      <c r="Q223" s="1">
        <v>14720</v>
      </c>
      <c r="R223" s="1">
        <v>14570</v>
      </c>
      <c r="S223" s="1">
        <v>14530</v>
      </c>
      <c r="T223" s="1">
        <v>14800</v>
      </c>
      <c r="U223" s="1">
        <v>14510</v>
      </c>
      <c r="V223" s="1">
        <v>14530</v>
      </c>
      <c r="W223" s="1">
        <v>14830</v>
      </c>
      <c r="X223" s="1">
        <v>15050</v>
      </c>
      <c r="Y223" s="1">
        <v>15010</v>
      </c>
      <c r="Z223" s="1">
        <v>14990</v>
      </c>
      <c r="AA223" s="1">
        <v>15250</v>
      </c>
      <c r="AB223" s="1">
        <v>14980</v>
      </c>
      <c r="AC223" s="1">
        <v>14990</v>
      </c>
      <c r="AD223" s="1">
        <v>15060</v>
      </c>
      <c r="AE223" s="1">
        <v>15370</v>
      </c>
      <c r="AF223" s="1">
        <v>13770</v>
      </c>
      <c r="AG223" s="1">
        <v>14070</v>
      </c>
      <c r="AH223" s="1">
        <v>14450</v>
      </c>
      <c r="AI223" s="1">
        <v>14280</v>
      </c>
      <c r="AJ223" s="1">
        <v>14230</v>
      </c>
      <c r="AK223" s="1">
        <v>14110</v>
      </c>
      <c r="AL223" s="1">
        <v>14060</v>
      </c>
      <c r="AM223" s="1">
        <v>14030</v>
      </c>
      <c r="AN223" s="1">
        <v>13970</v>
      </c>
      <c r="AO223" s="1">
        <v>13930</v>
      </c>
      <c r="AP223" s="1">
        <v>14420</v>
      </c>
      <c r="AQ223" s="1">
        <v>13730</v>
      </c>
      <c r="AR223" s="1">
        <v>14000</v>
      </c>
      <c r="AS223" s="1">
        <v>13840</v>
      </c>
      <c r="AT223" s="1">
        <v>13530</v>
      </c>
      <c r="AU223" s="1">
        <v>13700</v>
      </c>
      <c r="AV223" s="1">
        <v>13210</v>
      </c>
      <c r="AW223" s="1">
        <v>12920</v>
      </c>
      <c r="AX223" s="1">
        <v>12960</v>
      </c>
      <c r="AY223" s="1">
        <v>13190</v>
      </c>
      <c r="AZ223" s="1">
        <v>12850</v>
      </c>
      <c r="BA223" s="1">
        <v>13180</v>
      </c>
      <c r="BB223" s="1">
        <v>13110</v>
      </c>
      <c r="BC223" s="1">
        <v>13620</v>
      </c>
      <c r="BD223" s="1">
        <v>13510</v>
      </c>
      <c r="BE223" s="1">
        <v>13400</v>
      </c>
      <c r="BF223" s="1">
        <v>13390</v>
      </c>
      <c r="BG223" s="1">
        <v>13580</v>
      </c>
      <c r="BH223" s="1">
        <v>13510</v>
      </c>
      <c r="BI223" s="1">
        <v>12930</v>
      </c>
      <c r="BJ223" s="1">
        <v>13190</v>
      </c>
      <c r="BK223" s="1">
        <v>12950</v>
      </c>
      <c r="BL223" s="1">
        <v>11920</v>
      </c>
      <c r="BM223" s="1">
        <v>11730</v>
      </c>
      <c r="BN223" s="1">
        <v>11640</v>
      </c>
      <c r="BO223" s="1">
        <v>11640</v>
      </c>
      <c r="BP223" s="1">
        <v>11700</v>
      </c>
      <c r="BQ223" s="1">
        <v>10370</v>
      </c>
      <c r="BR223" s="1">
        <v>11590</v>
      </c>
      <c r="BS223" s="1">
        <v>11610</v>
      </c>
      <c r="BT223" s="1">
        <v>11600</v>
      </c>
      <c r="BU223" s="1">
        <v>11600</v>
      </c>
      <c r="BV223" s="1">
        <v>11580</v>
      </c>
      <c r="BW223" s="1">
        <v>11580</v>
      </c>
      <c r="BX223" s="1">
        <v>11580</v>
      </c>
      <c r="BY223" s="1">
        <v>11550</v>
      </c>
      <c r="BZ223" s="1">
        <v>11590</v>
      </c>
    </row>
    <row r="224" spans="1:78">
      <c r="A224" s="62" t="s">
        <v>437</v>
      </c>
      <c r="B224" s="1" t="str">
        <f>銘柄管理!C224</f>
        <v>ジャパンマテリアル</v>
      </c>
      <c r="C224" s="54">
        <f>_xll.RssMarket("6055","安値")</f>
        <v>2356</v>
      </c>
      <c r="D224" s="16"/>
      <c r="E224" s="2">
        <v>2270</v>
      </c>
      <c r="F224" s="1">
        <v>2167</v>
      </c>
      <c r="G224" s="1">
        <v>2154</v>
      </c>
      <c r="H224" s="1">
        <v>1945</v>
      </c>
      <c r="I224" s="1">
        <v>1939</v>
      </c>
      <c r="J224" s="1">
        <v>2103</v>
      </c>
      <c r="K224" s="1">
        <v>2219</v>
      </c>
      <c r="L224" s="1">
        <v>2218</v>
      </c>
      <c r="M224" s="1">
        <v>2320</v>
      </c>
      <c r="N224" s="1">
        <v>2313</v>
      </c>
      <c r="O224" s="1">
        <v>2212</v>
      </c>
      <c r="P224" s="1">
        <v>2151</v>
      </c>
      <c r="Q224" s="1">
        <v>2525</v>
      </c>
      <c r="R224" s="1">
        <v>2495</v>
      </c>
      <c r="S224" s="1">
        <v>2582</v>
      </c>
      <c r="T224" s="1">
        <v>2620</v>
      </c>
      <c r="U224" s="1">
        <v>2498</v>
      </c>
      <c r="V224" s="1">
        <v>2469</v>
      </c>
      <c r="W224" s="1">
        <v>2482</v>
      </c>
      <c r="X224" s="1">
        <v>2377</v>
      </c>
      <c r="Y224" s="1">
        <v>2301</v>
      </c>
      <c r="Z224" s="1">
        <v>2460</v>
      </c>
      <c r="AA224" s="1">
        <v>2655</v>
      </c>
      <c r="AB224" s="1">
        <v>2541</v>
      </c>
      <c r="AC224" s="1">
        <v>2518</v>
      </c>
      <c r="AD224" s="1">
        <v>2566</v>
      </c>
      <c r="AE224" s="1">
        <v>2622</v>
      </c>
      <c r="AF224" s="1">
        <v>2470</v>
      </c>
      <c r="AG224" s="1">
        <v>2553</v>
      </c>
      <c r="AH224" s="1">
        <v>2451</v>
      </c>
      <c r="AI224" s="1">
        <v>2427</v>
      </c>
      <c r="AJ224" s="1">
        <v>2368</v>
      </c>
      <c r="AK224" s="1">
        <v>2325</v>
      </c>
      <c r="AL224" s="1">
        <v>2391</v>
      </c>
      <c r="AM224" s="1">
        <v>2388</v>
      </c>
      <c r="AN224" s="1">
        <v>2251</v>
      </c>
      <c r="AO224" s="1">
        <v>2051</v>
      </c>
      <c r="AP224" s="1">
        <v>2087</v>
      </c>
      <c r="AQ224" s="1">
        <v>2051</v>
      </c>
      <c r="AR224" s="1">
        <v>2155</v>
      </c>
      <c r="AS224" s="1">
        <v>2117</v>
      </c>
      <c r="AT224" s="1">
        <v>2039</v>
      </c>
      <c r="AU224" s="1">
        <v>1956</v>
      </c>
      <c r="AV224" s="1">
        <v>2030</v>
      </c>
      <c r="AW224" s="1">
        <v>2000</v>
      </c>
      <c r="AX224" s="1">
        <v>2041</v>
      </c>
      <c r="AY224" s="1">
        <v>2016</v>
      </c>
      <c r="AZ224" s="1">
        <v>1981</v>
      </c>
      <c r="BA224" s="1">
        <v>1963</v>
      </c>
      <c r="BB224" s="1">
        <v>1885</v>
      </c>
      <c r="BC224" s="1">
        <v>1938</v>
      </c>
      <c r="BD224" s="1">
        <v>2065</v>
      </c>
      <c r="BE224" s="1">
        <v>1953</v>
      </c>
      <c r="BF224" s="1">
        <v>2006</v>
      </c>
      <c r="BG224" s="1">
        <v>2052</v>
      </c>
      <c r="BH224" s="1">
        <v>2095</v>
      </c>
      <c r="BI224" s="1">
        <v>1996</v>
      </c>
      <c r="BJ224" s="1">
        <v>1922</v>
      </c>
      <c r="BK224" s="1">
        <v>1914</v>
      </c>
      <c r="BL224" s="1">
        <v>1778</v>
      </c>
      <c r="BM224" s="1">
        <v>1768</v>
      </c>
      <c r="BN224" s="1">
        <v>1794</v>
      </c>
      <c r="BO224" s="1">
        <v>1838</v>
      </c>
      <c r="BP224" s="1">
        <v>1786</v>
      </c>
      <c r="BQ224" s="1">
        <v>1751</v>
      </c>
      <c r="BR224" s="1">
        <v>1803</v>
      </c>
      <c r="BS224" s="1">
        <v>1834</v>
      </c>
      <c r="BT224" s="1">
        <v>1836</v>
      </c>
      <c r="BU224" s="1">
        <v>1850</v>
      </c>
      <c r="BV224" s="1">
        <v>1886</v>
      </c>
      <c r="BW224" s="1">
        <v>1880</v>
      </c>
      <c r="BX224" s="1">
        <v>1840</v>
      </c>
      <c r="BY224" s="1">
        <v>1768</v>
      </c>
      <c r="BZ224" s="1">
        <v>1789</v>
      </c>
    </row>
    <row r="225" spans="1:78">
      <c r="A225" s="62" t="s">
        <v>438</v>
      </c>
      <c r="B225" s="1" t="str">
        <f>銘柄管理!C225</f>
        <v>ミナトホールディングス</v>
      </c>
      <c r="C225" s="1">
        <f>_xll.RssMarket("6862","安値")</f>
        <v>2233</v>
      </c>
      <c r="E225" s="2">
        <v>2124</v>
      </c>
      <c r="F225" s="1">
        <v>1938</v>
      </c>
      <c r="G225" s="1">
        <v>1973</v>
      </c>
      <c r="H225" s="1">
        <v>1543</v>
      </c>
      <c r="I225" s="1">
        <v>1521</v>
      </c>
      <c r="J225" s="1">
        <v>1671</v>
      </c>
      <c r="K225" s="1">
        <v>1800</v>
      </c>
      <c r="L225" s="1">
        <v>1821</v>
      </c>
      <c r="M225" s="1">
        <v>1880</v>
      </c>
      <c r="N225" s="1">
        <v>1863</v>
      </c>
      <c r="O225" s="1">
        <v>1748</v>
      </c>
      <c r="P225" s="1">
        <v>1710</v>
      </c>
      <c r="Q225" s="1">
        <v>2000</v>
      </c>
      <c r="R225" s="1">
        <v>1949</v>
      </c>
      <c r="S225" s="1">
        <v>1968</v>
      </c>
      <c r="T225" s="1">
        <v>2015</v>
      </c>
      <c r="U225" s="1">
        <v>1951</v>
      </c>
      <c r="V225" s="1">
        <v>1931</v>
      </c>
      <c r="W225" s="1">
        <v>2000</v>
      </c>
      <c r="X225" s="1">
        <v>2051</v>
      </c>
      <c r="Y225" s="1">
        <v>2031</v>
      </c>
      <c r="Z225" s="1">
        <v>2043</v>
      </c>
      <c r="AA225" s="1">
        <v>2110</v>
      </c>
      <c r="AB225" s="1">
        <v>2072</v>
      </c>
      <c r="AC225" s="1">
        <v>2046</v>
      </c>
      <c r="AD225" s="1">
        <v>2131</v>
      </c>
      <c r="AE225" s="1">
        <v>2278</v>
      </c>
      <c r="AF225" s="1">
        <v>2143</v>
      </c>
      <c r="AG225" s="1">
        <v>2210</v>
      </c>
      <c r="AH225" s="1">
        <v>2327</v>
      </c>
      <c r="AI225" s="1">
        <v>2276</v>
      </c>
      <c r="AJ225" s="1">
        <v>2214</v>
      </c>
      <c r="AK225" s="1">
        <v>2050</v>
      </c>
      <c r="AL225" s="1">
        <v>2036</v>
      </c>
      <c r="AM225" s="1">
        <v>1980</v>
      </c>
      <c r="AN225" s="1">
        <v>1900</v>
      </c>
      <c r="AO225" s="1">
        <v>1891</v>
      </c>
      <c r="AP225" s="1">
        <v>1915</v>
      </c>
      <c r="AQ225" s="1">
        <v>2040</v>
      </c>
      <c r="AR225" s="1">
        <v>2103</v>
      </c>
      <c r="AS225" s="1">
        <v>2097</v>
      </c>
      <c r="AT225" s="1">
        <v>2202</v>
      </c>
      <c r="AU225" s="1">
        <v>2068</v>
      </c>
      <c r="AV225" s="1">
        <v>2180</v>
      </c>
      <c r="AW225" s="1">
        <v>2130</v>
      </c>
      <c r="AX225" s="1">
        <v>2232</v>
      </c>
      <c r="AY225" s="1">
        <v>2541</v>
      </c>
      <c r="AZ225" s="1">
        <v>2513</v>
      </c>
      <c r="BA225" s="1">
        <v>2335</v>
      </c>
      <c r="BB225" s="1">
        <v>2320</v>
      </c>
      <c r="BC225" s="1">
        <v>2500</v>
      </c>
      <c r="BD225" s="1">
        <v>2680</v>
      </c>
      <c r="BE225" s="1">
        <v>2671</v>
      </c>
      <c r="BF225" s="1">
        <v>2853</v>
      </c>
      <c r="BG225" s="1">
        <v>2930</v>
      </c>
      <c r="BH225" s="1">
        <v>3505</v>
      </c>
      <c r="BI225" s="1">
        <v>3450</v>
      </c>
      <c r="BJ225" s="1">
        <v>3550</v>
      </c>
      <c r="BK225" s="1">
        <v>3640</v>
      </c>
      <c r="BL225" s="1">
        <v>2752</v>
      </c>
      <c r="BM225" s="1">
        <v>2622</v>
      </c>
      <c r="BN225" s="1">
        <v>2585</v>
      </c>
      <c r="BO225" s="1">
        <v>2480</v>
      </c>
      <c r="BP225" s="1">
        <v>2379</v>
      </c>
      <c r="BQ225" s="1">
        <v>2390</v>
      </c>
      <c r="BR225" s="1">
        <v>2430</v>
      </c>
      <c r="BS225" s="1">
        <v>2498</v>
      </c>
      <c r="BT225" s="1">
        <v>2417</v>
      </c>
      <c r="BU225" s="1">
        <v>2367</v>
      </c>
      <c r="BV225" s="1">
        <v>2380</v>
      </c>
      <c r="BW225" s="1">
        <v>2360</v>
      </c>
      <c r="BX225" s="1">
        <v>2420</v>
      </c>
      <c r="BY225" s="1">
        <v>2171</v>
      </c>
      <c r="BZ225" s="1">
        <v>2145</v>
      </c>
    </row>
    <row r="226" spans="1:78">
      <c r="A226" s="62" t="s">
        <v>439</v>
      </c>
      <c r="B226" s="1" t="str">
        <f>銘柄管理!C226</f>
        <v>ヤクルト</v>
      </c>
      <c r="C226" s="1">
        <f>_xll.RssMarket("2267","安値")</f>
        <v>2746.5</v>
      </c>
      <c r="E226" s="2">
        <v>2743.5</v>
      </c>
      <c r="F226" s="1">
        <v>2718</v>
      </c>
      <c r="G226" s="1">
        <v>2679</v>
      </c>
      <c r="H226" s="1">
        <v>2844</v>
      </c>
      <c r="I226" s="1">
        <v>2830</v>
      </c>
      <c r="J226" s="1">
        <v>2798</v>
      </c>
      <c r="K226" s="1">
        <v>2740.5</v>
      </c>
      <c r="L226" s="1">
        <v>2675</v>
      </c>
      <c r="M226" s="1">
        <v>2744</v>
      </c>
      <c r="N226" s="1">
        <v>2738.5</v>
      </c>
      <c r="O226" s="1">
        <v>2774.5</v>
      </c>
      <c r="P226" s="1">
        <v>2797</v>
      </c>
      <c r="Q226" s="1">
        <v>2808.5</v>
      </c>
      <c r="R226" s="1">
        <v>2827.5</v>
      </c>
      <c r="S226" s="1">
        <v>2836</v>
      </c>
      <c r="T226" s="1">
        <v>2803</v>
      </c>
      <c r="U226" s="1">
        <v>2824.5</v>
      </c>
      <c r="V226" s="1">
        <v>2878.5</v>
      </c>
      <c r="W226" s="1">
        <v>2850</v>
      </c>
      <c r="X226" s="1">
        <v>2850</v>
      </c>
      <c r="Y226" s="1">
        <v>2807.5</v>
      </c>
      <c r="Z226" s="1">
        <v>2716</v>
      </c>
      <c r="AA226" s="1">
        <v>2689</v>
      </c>
      <c r="AB226" s="1">
        <v>2727.5</v>
      </c>
      <c r="AC226" s="1">
        <v>2725.5</v>
      </c>
      <c r="AD226" s="1">
        <v>2717.5</v>
      </c>
      <c r="AE226" s="1">
        <v>2705</v>
      </c>
      <c r="AF226" s="1">
        <v>2700</v>
      </c>
      <c r="AG226" s="1">
        <v>2693.5</v>
      </c>
      <c r="AH226" s="1">
        <v>2656</v>
      </c>
      <c r="AI226" s="1">
        <v>2669.5</v>
      </c>
      <c r="AJ226" s="1">
        <v>2604.5</v>
      </c>
      <c r="AK226" s="1">
        <v>2612.5</v>
      </c>
      <c r="AL226" s="1">
        <v>2619</v>
      </c>
      <c r="AM226" s="1">
        <v>2645.5</v>
      </c>
      <c r="AN226" s="1">
        <v>2640</v>
      </c>
      <c r="AO226" s="1">
        <v>2648</v>
      </c>
      <c r="AP226" s="1">
        <v>2656</v>
      </c>
      <c r="AQ226" s="1">
        <v>2633.5</v>
      </c>
      <c r="AR226" s="1">
        <v>2626</v>
      </c>
      <c r="AS226" s="1">
        <v>2669</v>
      </c>
      <c r="AT226" s="1">
        <v>2685</v>
      </c>
      <c r="AU226" s="1">
        <v>2630.5</v>
      </c>
      <c r="AV226" s="1">
        <v>2664.5</v>
      </c>
      <c r="AW226" s="1">
        <v>2706</v>
      </c>
      <c r="AX226" s="1">
        <v>2660</v>
      </c>
      <c r="AY226" s="1">
        <v>2752</v>
      </c>
      <c r="AZ226" s="1">
        <v>2704.5</v>
      </c>
      <c r="BA226" s="1">
        <v>2754</v>
      </c>
      <c r="BB226" s="1">
        <v>2757.5</v>
      </c>
      <c r="BC226" s="1">
        <v>2714</v>
      </c>
      <c r="BD226" s="1">
        <v>2700</v>
      </c>
      <c r="BE226" s="1">
        <v>2730</v>
      </c>
      <c r="BF226" s="1">
        <v>2760</v>
      </c>
      <c r="BG226" s="1">
        <v>2642</v>
      </c>
      <c r="BH226" s="1">
        <v>2620</v>
      </c>
      <c r="BI226" s="1">
        <v>2844.5</v>
      </c>
      <c r="BJ226" s="1">
        <v>2885</v>
      </c>
      <c r="BK226" s="1">
        <v>2911</v>
      </c>
      <c r="BL226" s="1">
        <v>2798</v>
      </c>
      <c r="BM226" s="1">
        <v>2706.5</v>
      </c>
      <c r="BN226" s="1">
        <v>2711</v>
      </c>
      <c r="BO226" s="1">
        <v>2701.5</v>
      </c>
      <c r="BP226" s="1">
        <v>2615.5</v>
      </c>
      <c r="BQ226" s="1">
        <v>2583.5</v>
      </c>
      <c r="BR226" s="1">
        <v>2598.5</v>
      </c>
      <c r="BS226" s="1">
        <v>2604.5</v>
      </c>
      <c r="BT226" s="1">
        <v>2618.5</v>
      </c>
      <c r="BU226" s="1">
        <v>2641</v>
      </c>
      <c r="BV226" s="1">
        <v>2645.5</v>
      </c>
      <c r="BW226" s="1">
        <v>2625.5</v>
      </c>
      <c r="BX226" s="1">
        <v>2604</v>
      </c>
      <c r="BY226" s="1">
        <v>2637</v>
      </c>
      <c r="BZ226" s="1">
        <v>2647</v>
      </c>
    </row>
    <row r="227" spans="1:78">
      <c r="A227" s="62" t="s">
        <v>440</v>
      </c>
      <c r="B227" s="1" t="str">
        <f>銘柄管理!C227</f>
        <v>ＮＦエネ資源Ｔ１７</v>
      </c>
      <c r="C227" s="1">
        <f>_xll.RssMarket("1618","安値")</f>
        <v>32180</v>
      </c>
      <c r="E227" s="2">
        <v>32390</v>
      </c>
      <c r="F227" s="1">
        <v>32130</v>
      </c>
      <c r="G227" s="1">
        <v>33470</v>
      </c>
      <c r="H227" s="1">
        <v>33280</v>
      </c>
      <c r="I227" s="1">
        <v>32870</v>
      </c>
      <c r="J227" s="1">
        <v>32910</v>
      </c>
      <c r="K227" s="1">
        <v>33710</v>
      </c>
      <c r="L227" s="1">
        <v>33960</v>
      </c>
      <c r="M227" s="1">
        <v>33560</v>
      </c>
      <c r="N227" s="1">
        <v>33000</v>
      </c>
      <c r="O227" s="1">
        <v>32030</v>
      </c>
      <c r="P227" s="1">
        <v>31540</v>
      </c>
      <c r="Q227" s="1">
        <v>32260</v>
      </c>
      <c r="R227" s="1">
        <v>32010</v>
      </c>
      <c r="S227" s="1">
        <v>32390</v>
      </c>
      <c r="T227" s="1">
        <v>32280</v>
      </c>
      <c r="U227" s="1">
        <v>32450</v>
      </c>
      <c r="V227" s="1">
        <v>32190</v>
      </c>
      <c r="W227" s="1">
        <v>31910</v>
      </c>
      <c r="X227" s="1">
        <v>31480</v>
      </c>
      <c r="Y227" s="1">
        <v>31460</v>
      </c>
      <c r="Z227" s="1">
        <v>30820</v>
      </c>
      <c r="AA227" s="1">
        <v>30980</v>
      </c>
      <c r="AB227" s="1">
        <v>30970</v>
      </c>
      <c r="AC227" s="1">
        <v>30630</v>
      </c>
      <c r="AD227" s="1">
        <v>31090</v>
      </c>
      <c r="AE227" s="1">
        <v>30970</v>
      </c>
      <c r="AF227" s="1">
        <v>31750</v>
      </c>
      <c r="AG227" s="1">
        <v>32250</v>
      </c>
      <c r="AH227" s="1">
        <v>32500</v>
      </c>
      <c r="AI227" s="1">
        <v>31810</v>
      </c>
      <c r="AJ227" s="1">
        <v>32120</v>
      </c>
      <c r="AK227" s="1">
        <v>31780</v>
      </c>
      <c r="AL227" s="1">
        <v>32100</v>
      </c>
      <c r="AM227" s="1">
        <v>32730</v>
      </c>
      <c r="AN227" s="1">
        <v>32420</v>
      </c>
      <c r="AO227" s="1">
        <v>32350</v>
      </c>
      <c r="AP227" s="1">
        <v>32130</v>
      </c>
      <c r="AQ227" s="1">
        <v>33010</v>
      </c>
      <c r="AR227" s="1">
        <v>33910</v>
      </c>
      <c r="AS227" s="1">
        <v>33790</v>
      </c>
      <c r="AT227" s="1">
        <v>34100</v>
      </c>
      <c r="AU227" s="1">
        <v>32760</v>
      </c>
      <c r="AV227" s="1">
        <v>33520</v>
      </c>
      <c r="AW227" s="1">
        <v>33490</v>
      </c>
      <c r="AX227" s="1">
        <v>33570</v>
      </c>
      <c r="AY227" s="1">
        <v>33740</v>
      </c>
      <c r="AZ227" s="1">
        <v>34370</v>
      </c>
      <c r="BA227" s="1">
        <v>34870</v>
      </c>
      <c r="BB227" s="1">
        <v>35400</v>
      </c>
      <c r="BC227" s="1">
        <v>35710</v>
      </c>
      <c r="BD227" s="1">
        <v>35800</v>
      </c>
      <c r="BE227" s="1">
        <v>35530</v>
      </c>
      <c r="BF227" s="1">
        <v>35000</v>
      </c>
      <c r="BG227" s="1">
        <v>35800</v>
      </c>
      <c r="BH227" s="1">
        <v>35720</v>
      </c>
      <c r="BI227" s="1">
        <v>34580</v>
      </c>
      <c r="BJ227" s="1">
        <v>34250</v>
      </c>
      <c r="BK227" s="1">
        <v>35260</v>
      </c>
      <c r="BL227" s="1">
        <v>35650</v>
      </c>
      <c r="BM227" s="1">
        <v>35700</v>
      </c>
      <c r="BN227" s="1">
        <v>35220</v>
      </c>
      <c r="BO227" s="1">
        <v>34600</v>
      </c>
      <c r="BP227" s="1">
        <v>35510</v>
      </c>
      <c r="BQ227" s="1">
        <v>35000</v>
      </c>
      <c r="BR227" s="1">
        <v>35340</v>
      </c>
      <c r="BS227" s="1">
        <v>35630</v>
      </c>
      <c r="BT227" s="1">
        <v>35950</v>
      </c>
      <c r="BU227" s="1">
        <v>37150</v>
      </c>
      <c r="BV227" s="1">
        <v>37580</v>
      </c>
      <c r="BW227" s="1">
        <v>37650</v>
      </c>
      <c r="BX227" s="1">
        <v>37800</v>
      </c>
      <c r="BY227" s="1">
        <v>38820</v>
      </c>
      <c r="BZ227" s="1">
        <v>38340</v>
      </c>
    </row>
    <row r="228" spans="1:78">
      <c r="A228" s="62" t="s">
        <v>441</v>
      </c>
      <c r="C228" s="1">
        <f>_xll.RssMarket("3696","安値")</f>
        <v>2055</v>
      </c>
      <c r="E228" s="2"/>
    </row>
    <row r="229" spans="1:78">
      <c r="A229" s="62" t="s">
        <v>442</v>
      </c>
      <c r="B229" s="1" t="str">
        <f>銘柄管理!C229</f>
        <v>児玉化学</v>
      </c>
      <c r="C229" s="1">
        <f>_xll.RssMarket("4222","安値")</f>
        <v>582</v>
      </c>
      <c r="E229" s="2">
        <v>570</v>
      </c>
      <c r="F229" s="1">
        <v>546</v>
      </c>
      <c r="G229" s="1">
        <v>552</v>
      </c>
      <c r="H229" s="1">
        <v>538</v>
      </c>
      <c r="I229" s="1">
        <v>545</v>
      </c>
      <c r="J229" s="1">
        <v>567</v>
      </c>
      <c r="K229" s="1">
        <v>579</v>
      </c>
      <c r="M229" s="1">
        <v>610</v>
      </c>
      <c r="N229" s="1">
        <v>610</v>
      </c>
      <c r="O229" s="1">
        <v>591</v>
      </c>
      <c r="P229" s="1">
        <v>585</v>
      </c>
      <c r="Q229" s="1">
        <v>633</v>
      </c>
      <c r="R229" s="1">
        <v>639</v>
      </c>
      <c r="S229" s="1">
        <v>645</v>
      </c>
      <c r="T229" s="1">
        <v>647</v>
      </c>
      <c r="U229" s="1">
        <v>632</v>
      </c>
      <c r="V229" s="1">
        <v>643</v>
      </c>
      <c r="W229" s="1">
        <v>655</v>
      </c>
      <c r="X229" s="1">
        <v>678</v>
      </c>
      <c r="Y229" s="1">
        <v>648</v>
      </c>
      <c r="Z229" s="1">
        <v>642</v>
      </c>
      <c r="AA229" s="1">
        <v>630</v>
      </c>
      <c r="AB229" s="1">
        <v>628</v>
      </c>
      <c r="AC229" s="1">
        <v>642</v>
      </c>
      <c r="AD229" s="1">
        <v>646</v>
      </c>
      <c r="AE229" s="1">
        <v>662</v>
      </c>
      <c r="AF229" s="1">
        <v>666</v>
      </c>
      <c r="AG229" s="1">
        <v>700</v>
      </c>
      <c r="AH229" s="1">
        <v>709</v>
      </c>
      <c r="AI229" s="1">
        <v>698</v>
      </c>
      <c r="AJ229" s="1">
        <v>701</v>
      </c>
      <c r="AK229" s="1">
        <v>683</v>
      </c>
      <c r="AL229" s="1">
        <v>677</v>
      </c>
      <c r="AM229" s="1">
        <v>664</v>
      </c>
      <c r="AN229" s="1">
        <v>642</v>
      </c>
      <c r="AO229" s="1">
        <v>653</v>
      </c>
      <c r="AP229" s="1">
        <v>648</v>
      </c>
      <c r="AQ229" s="1">
        <v>673</v>
      </c>
      <c r="AR229" s="1">
        <v>699</v>
      </c>
      <c r="AS229" s="1">
        <v>693</v>
      </c>
      <c r="AT229" s="1">
        <v>687</v>
      </c>
      <c r="AU229" s="1">
        <v>681</v>
      </c>
      <c r="AV229" s="1">
        <v>726</v>
      </c>
      <c r="AW229" s="1">
        <v>728</v>
      </c>
      <c r="AX229" s="1">
        <v>753</v>
      </c>
      <c r="AY229" s="1">
        <v>790</v>
      </c>
      <c r="AZ229" s="1">
        <v>774</v>
      </c>
      <c r="BA229" s="1">
        <v>800</v>
      </c>
      <c r="BB229" s="1">
        <v>800</v>
      </c>
      <c r="BC229" s="1">
        <v>846</v>
      </c>
      <c r="BD229" s="1">
        <v>851</v>
      </c>
      <c r="BE229" s="1">
        <v>894</v>
      </c>
      <c r="BF229" s="1">
        <v>1161</v>
      </c>
      <c r="BG229" s="1">
        <v>1189</v>
      </c>
      <c r="BH229" s="1">
        <v>1241</v>
      </c>
      <c r="BI229" s="1">
        <v>1169</v>
      </c>
      <c r="BJ229" s="1">
        <v>1130</v>
      </c>
      <c r="BK229" s="1">
        <v>1121</v>
      </c>
      <c r="BL229" s="1">
        <v>1084</v>
      </c>
      <c r="BM229" s="1">
        <v>1101</v>
      </c>
      <c r="BN229" s="1">
        <v>1115</v>
      </c>
      <c r="BO229" s="1">
        <v>1132</v>
      </c>
      <c r="BP229" s="1">
        <v>1110</v>
      </c>
      <c r="BQ229" s="1">
        <v>1116</v>
      </c>
      <c r="BR229" s="1">
        <v>1145</v>
      </c>
      <c r="BS229" s="1">
        <v>1151</v>
      </c>
      <c r="BT229" s="1">
        <v>1145</v>
      </c>
      <c r="BU229" s="1">
        <v>1137</v>
      </c>
      <c r="BV229" s="1">
        <v>1142</v>
      </c>
      <c r="BW229" s="1">
        <v>1130</v>
      </c>
      <c r="BX229" s="1">
        <v>1124</v>
      </c>
      <c r="BY229" s="1">
        <v>1082</v>
      </c>
      <c r="BZ229" s="1">
        <v>1105</v>
      </c>
    </row>
    <row r="230" spans="1:78">
      <c r="A230" s="62" t="s">
        <v>443</v>
      </c>
      <c r="B230" s="1" t="str">
        <f>銘柄管理!C230</f>
        <v>ＦＯＯＤ＆ＬＩＦＥＣＯＭＰＡＮ</v>
      </c>
      <c r="C230" s="1">
        <f>_xll.RssMarket("3563","安値")</f>
        <v>5633</v>
      </c>
    </row>
    <row r="231" spans="1:78">
      <c r="A231" s="62" t="s">
        <v>444</v>
      </c>
      <c r="B231" s="1" t="str">
        <f>銘柄管理!C231</f>
        <v>ＩＨＩ</v>
      </c>
      <c r="C231" s="1">
        <f>_xll.RssMarket("7013","安値")</f>
        <v>2704.5</v>
      </c>
      <c r="E231" s="1">
        <v>2782.5</v>
      </c>
      <c r="F231" s="1">
        <v>2677.5</v>
      </c>
      <c r="G231" s="1">
        <v>2804</v>
      </c>
      <c r="H231" s="1">
        <v>2701</v>
      </c>
      <c r="I231" s="1">
        <v>2704</v>
      </c>
      <c r="J231" s="1">
        <v>2742.5</v>
      </c>
      <c r="K231" s="1">
        <v>2799.5</v>
      </c>
      <c r="M231" s="1">
        <v>2798</v>
      </c>
      <c r="N231" s="1">
        <v>2747</v>
      </c>
      <c r="O231" s="1">
        <v>2672.5</v>
      </c>
      <c r="P231" s="1">
        <v>2626</v>
      </c>
      <c r="Q231" s="1">
        <v>2733</v>
      </c>
      <c r="R231" s="1">
        <v>2773.5</v>
      </c>
      <c r="S231" s="1">
        <v>2725.5</v>
      </c>
      <c r="T231" s="1">
        <v>2770</v>
      </c>
      <c r="U231" s="1">
        <v>2803</v>
      </c>
      <c r="V231" s="1">
        <v>2833</v>
      </c>
      <c r="W231" s="1">
        <v>2955.5</v>
      </c>
      <c r="X231" s="1">
        <v>2890</v>
      </c>
      <c r="Y231" s="1">
        <v>2741</v>
      </c>
      <c r="Z231" s="1">
        <v>2712</v>
      </c>
      <c r="AA231" s="1">
        <v>2637</v>
      </c>
      <c r="AB231" s="1">
        <v>2641.5</v>
      </c>
      <c r="AC231" s="1">
        <v>2653</v>
      </c>
      <c r="AD231" s="1">
        <v>2639.5</v>
      </c>
      <c r="AE231" s="1">
        <v>2719</v>
      </c>
      <c r="AF231" s="1">
        <v>2700.5</v>
      </c>
      <c r="AG231" s="1">
        <v>2703.5</v>
      </c>
      <c r="AH231" s="1">
        <v>2794</v>
      </c>
      <c r="AI231" s="1">
        <v>2748</v>
      </c>
      <c r="AJ231" s="1">
        <v>2862</v>
      </c>
      <c r="AK231" s="1">
        <v>2800</v>
      </c>
      <c r="AL231" s="1">
        <v>2762</v>
      </c>
      <c r="AM231" s="1">
        <v>2498</v>
      </c>
      <c r="AN231" s="1">
        <v>2371</v>
      </c>
      <c r="AO231" s="1">
        <v>2245</v>
      </c>
      <c r="AP231" s="1">
        <v>2416.5</v>
      </c>
      <c r="AQ231" s="1">
        <v>2475.5</v>
      </c>
      <c r="AR231" s="1">
        <v>2542.5</v>
      </c>
      <c r="AS231" s="1">
        <v>2452</v>
      </c>
      <c r="AT231" s="1">
        <v>2411</v>
      </c>
      <c r="AU231" s="1">
        <v>2526.5</v>
      </c>
      <c r="AV231" s="1">
        <v>2718</v>
      </c>
      <c r="AW231" s="1">
        <v>2694</v>
      </c>
      <c r="AX231" s="1">
        <v>2809</v>
      </c>
      <c r="AY231" s="1">
        <v>2738</v>
      </c>
      <c r="AZ231" s="1">
        <v>2711</v>
      </c>
      <c r="BA231" s="1">
        <v>2598.5</v>
      </c>
      <c r="BB231" s="1">
        <v>2468</v>
      </c>
      <c r="BC231" s="1">
        <v>2561</v>
      </c>
      <c r="BD231" s="1">
        <v>2664.5</v>
      </c>
      <c r="BE231" s="1">
        <v>2635</v>
      </c>
      <c r="BF231" s="1">
        <v>2642</v>
      </c>
      <c r="BG231" s="1">
        <v>2735.5</v>
      </c>
      <c r="BH231" s="1">
        <v>2778.5</v>
      </c>
      <c r="BI231" s="1">
        <v>2803.5</v>
      </c>
      <c r="BJ231" s="1">
        <v>3001</v>
      </c>
      <c r="BK231" s="1">
        <v>2838</v>
      </c>
      <c r="BL231" s="1">
        <v>2827.5</v>
      </c>
      <c r="BM231" s="1">
        <v>2832.5</v>
      </c>
      <c r="BN231" s="1">
        <v>2905</v>
      </c>
      <c r="BO231" s="1">
        <v>2811</v>
      </c>
      <c r="BP231" s="1">
        <v>2969</v>
      </c>
      <c r="BQ231" s="1">
        <v>3001</v>
      </c>
      <c r="BR231" s="1">
        <v>2912</v>
      </c>
      <c r="BS231" s="1">
        <v>3041</v>
      </c>
      <c r="BT231" s="1">
        <v>3099</v>
      </c>
      <c r="BU231" s="1">
        <v>3081</v>
      </c>
      <c r="BV231" s="1">
        <v>3141</v>
      </c>
      <c r="BW231" s="1">
        <v>3145</v>
      </c>
      <c r="BX231" s="1">
        <v>3241</v>
      </c>
      <c r="BY231" s="1">
        <v>3260</v>
      </c>
      <c r="BZ231" s="1">
        <v>3271</v>
      </c>
    </row>
    <row r="232" spans="1:78">
      <c r="A232" s="62" t="s">
        <v>445</v>
      </c>
      <c r="B232" s="1" t="str">
        <f>銘柄管理!C232</f>
        <v>ＮＥＣキャピタルソリューション</v>
      </c>
      <c r="C232" s="1">
        <f>_xll.RssMarket("8793","安値")</f>
        <v>4010</v>
      </c>
      <c r="E232" s="1">
        <v>4020</v>
      </c>
      <c r="F232" s="1">
        <v>3980</v>
      </c>
      <c r="G232" s="1">
        <v>4140</v>
      </c>
      <c r="H232" s="1">
        <v>4120</v>
      </c>
      <c r="I232" s="1">
        <v>4105</v>
      </c>
      <c r="J232" s="1">
        <v>4060</v>
      </c>
      <c r="K232" s="1">
        <v>4065</v>
      </c>
      <c r="L232" s="1">
        <v>4050</v>
      </c>
      <c r="M232" s="1">
        <v>4090</v>
      </c>
      <c r="N232" s="1">
        <v>4075</v>
      </c>
      <c r="O232" s="1">
        <v>4035</v>
      </c>
      <c r="P232" s="1">
        <v>3990</v>
      </c>
      <c r="Q232" s="1">
        <v>4100</v>
      </c>
      <c r="R232" s="1">
        <v>4130</v>
      </c>
      <c r="S232" s="1">
        <v>4135</v>
      </c>
      <c r="T232" s="1">
        <v>4120</v>
      </c>
      <c r="U232" s="1">
        <v>4080</v>
      </c>
      <c r="V232" s="1">
        <v>4105</v>
      </c>
      <c r="W232" s="1">
        <v>4090</v>
      </c>
      <c r="X232" s="1">
        <v>4020</v>
      </c>
      <c r="Y232" s="1">
        <v>3990</v>
      </c>
      <c r="Z232" s="1">
        <v>3970</v>
      </c>
      <c r="AA232" s="1">
        <v>3970</v>
      </c>
      <c r="AB232" s="1">
        <v>3975</v>
      </c>
      <c r="AC232" s="1">
        <v>3965</v>
      </c>
      <c r="AD232" s="1">
        <v>3970</v>
      </c>
      <c r="AE232" s="1">
        <v>4010</v>
      </c>
      <c r="AF232" s="1">
        <v>3995</v>
      </c>
      <c r="AG232" s="1">
        <v>4010</v>
      </c>
      <c r="AH232" s="1">
        <v>4050</v>
      </c>
      <c r="AI232" s="1">
        <v>4090</v>
      </c>
      <c r="AJ232" s="1">
        <v>4060</v>
      </c>
      <c r="AK232" s="1">
        <v>4100</v>
      </c>
      <c r="AL232" s="1">
        <v>4070</v>
      </c>
      <c r="AM232" s="1">
        <v>4135</v>
      </c>
      <c r="AN232" s="1">
        <v>4105</v>
      </c>
      <c r="AO232" s="1">
        <v>4075</v>
      </c>
      <c r="AP232" s="1">
        <v>4105</v>
      </c>
      <c r="AQ232" s="1">
        <v>3985</v>
      </c>
      <c r="AR232" s="1">
        <v>3950</v>
      </c>
      <c r="AS232" s="1">
        <v>3900</v>
      </c>
      <c r="AT232" s="1">
        <v>3850</v>
      </c>
      <c r="AU232" s="1">
        <v>3850</v>
      </c>
      <c r="AV232" s="1">
        <v>3960</v>
      </c>
      <c r="AW232" s="1">
        <v>3915</v>
      </c>
      <c r="AX232" s="1">
        <v>3930</v>
      </c>
      <c r="AY232" s="1">
        <v>3950</v>
      </c>
      <c r="AZ232" s="1">
        <v>3960</v>
      </c>
      <c r="BA232" s="1">
        <v>3950</v>
      </c>
      <c r="BB232" s="1">
        <v>3910</v>
      </c>
      <c r="BC232" s="1">
        <v>3925</v>
      </c>
      <c r="BD232" s="1">
        <v>3905</v>
      </c>
      <c r="BE232" s="1">
        <v>3940</v>
      </c>
      <c r="BF232" s="1">
        <v>3975</v>
      </c>
      <c r="BG232" s="1">
        <v>4015</v>
      </c>
      <c r="BH232" s="1">
        <v>4000</v>
      </c>
      <c r="BI232" s="1">
        <v>4005</v>
      </c>
      <c r="BJ232" s="1">
        <v>4020</v>
      </c>
      <c r="BK232" s="1">
        <v>3970</v>
      </c>
      <c r="BL232" s="1">
        <v>4000</v>
      </c>
      <c r="BM232" s="1">
        <v>4025</v>
      </c>
      <c r="BN232" s="1">
        <v>4180</v>
      </c>
      <c r="BO232" s="1">
        <v>4165</v>
      </c>
      <c r="BP232" s="1">
        <v>4200</v>
      </c>
      <c r="BQ232" s="1">
        <v>4175</v>
      </c>
      <c r="BR232" s="1">
        <v>4190</v>
      </c>
      <c r="BS232" s="1">
        <v>4240</v>
      </c>
      <c r="BT232" s="1">
        <v>4255</v>
      </c>
      <c r="BU232" s="1">
        <v>4235</v>
      </c>
      <c r="BV232" s="1">
        <v>4265</v>
      </c>
      <c r="BW232" s="1">
        <v>4240</v>
      </c>
      <c r="BX232" s="1">
        <v>4150</v>
      </c>
      <c r="BY232" s="1">
        <v>4145</v>
      </c>
      <c r="BZ232" s="1">
        <v>4145</v>
      </c>
    </row>
    <row r="233" spans="1:78">
      <c r="A233" s="62" t="s">
        <v>446</v>
      </c>
      <c r="B233" s="1" t="str">
        <f>銘柄管理!C233</f>
        <v>ミスミグループ本社</v>
      </c>
      <c r="C233" s="1">
        <f>_xll.RssMarket("9962","安値")</f>
        <v>3761</v>
      </c>
      <c r="E233" s="1">
        <v>3952</v>
      </c>
      <c r="F233" s="1">
        <v>3827</v>
      </c>
      <c r="G233" s="1">
        <v>3624</v>
      </c>
      <c r="H233" s="1">
        <v>3413</v>
      </c>
      <c r="I233" s="1">
        <v>3395</v>
      </c>
      <c r="J233" s="1">
        <v>3428</v>
      </c>
      <c r="K233" s="1">
        <v>3583</v>
      </c>
      <c r="L233" s="1">
        <v>3570</v>
      </c>
      <c r="M233" s="1">
        <v>3683</v>
      </c>
      <c r="N233" s="1">
        <v>3709</v>
      </c>
      <c r="O233" s="1">
        <v>3625</v>
      </c>
      <c r="P233" s="1">
        <v>3515</v>
      </c>
      <c r="Q233" s="1">
        <v>3781</v>
      </c>
      <c r="R233" s="1">
        <v>3703</v>
      </c>
      <c r="S233" s="1">
        <v>3819</v>
      </c>
      <c r="T233" s="1">
        <v>3994</v>
      </c>
      <c r="U233" s="1">
        <v>3902</v>
      </c>
      <c r="V233" s="1">
        <v>3787</v>
      </c>
      <c r="W233" s="1">
        <v>3982</v>
      </c>
      <c r="X233" s="1">
        <v>4075</v>
      </c>
      <c r="Y233" s="1">
        <v>3974</v>
      </c>
      <c r="Z233" s="1">
        <v>3901</v>
      </c>
      <c r="AA233" s="1">
        <v>3959</v>
      </c>
      <c r="AB233" s="1">
        <v>3886</v>
      </c>
      <c r="AC233" s="1">
        <v>3770</v>
      </c>
      <c r="AD233" s="1">
        <v>3797</v>
      </c>
      <c r="AE233" s="1">
        <v>3743</v>
      </c>
      <c r="AF233" s="1">
        <v>3612</v>
      </c>
      <c r="AG233" s="1">
        <v>3675</v>
      </c>
      <c r="AH233" s="1">
        <v>3829</v>
      </c>
      <c r="AI233" s="1">
        <v>3815</v>
      </c>
      <c r="AJ233" s="1">
        <v>3861</v>
      </c>
      <c r="AK233" s="1">
        <v>3832</v>
      </c>
      <c r="AL233" s="1">
        <v>3806</v>
      </c>
      <c r="AM233" s="1">
        <v>3746</v>
      </c>
      <c r="AN233" s="1">
        <v>3680</v>
      </c>
      <c r="AO233" s="1">
        <v>3505</v>
      </c>
      <c r="AP233" s="1">
        <v>3530</v>
      </c>
      <c r="AQ233" s="1">
        <v>3547</v>
      </c>
      <c r="AR233" s="1">
        <v>3669</v>
      </c>
      <c r="AS233" s="1">
        <v>3726</v>
      </c>
      <c r="AT233" s="1">
        <v>3678</v>
      </c>
      <c r="AU233" s="1">
        <v>3559</v>
      </c>
      <c r="AV233" s="1">
        <v>3683</v>
      </c>
      <c r="AW233" s="1">
        <v>3506</v>
      </c>
      <c r="AX233" s="1">
        <v>3505</v>
      </c>
      <c r="AY233" s="1">
        <v>3405</v>
      </c>
      <c r="AZ233" s="1">
        <v>3376</v>
      </c>
      <c r="BA233" s="1">
        <v>3184</v>
      </c>
      <c r="BB233" s="1">
        <v>3053</v>
      </c>
      <c r="BC233" s="1">
        <v>3071</v>
      </c>
      <c r="BD233" s="1">
        <v>3104</v>
      </c>
      <c r="BE233" s="1">
        <v>3205</v>
      </c>
      <c r="BF233" s="1">
        <v>3348</v>
      </c>
      <c r="BG233" s="1">
        <v>3248</v>
      </c>
      <c r="BH233" s="1">
        <v>3356</v>
      </c>
      <c r="BI233" s="1">
        <v>3356</v>
      </c>
      <c r="BJ233" s="1">
        <v>3386</v>
      </c>
      <c r="BK233" s="1">
        <v>3400</v>
      </c>
      <c r="BL233" s="1">
        <v>3246</v>
      </c>
      <c r="BM233" s="1">
        <v>3350</v>
      </c>
      <c r="BN233" s="1">
        <v>3309</v>
      </c>
      <c r="BO233" s="1">
        <v>3044</v>
      </c>
      <c r="BP233" s="1">
        <v>2982</v>
      </c>
      <c r="BQ233" s="1">
        <v>2963.5</v>
      </c>
      <c r="BR233" s="1">
        <v>3048</v>
      </c>
      <c r="BS233" s="1">
        <v>3107</v>
      </c>
      <c r="BT233" s="1">
        <v>3062</v>
      </c>
      <c r="BU233" s="1">
        <v>3000</v>
      </c>
      <c r="BV233" s="1">
        <v>3006</v>
      </c>
      <c r="BW233" s="1">
        <v>2982.5</v>
      </c>
      <c r="BX233" s="1">
        <v>2938</v>
      </c>
      <c r="BY233" s="1">
        <v>2935.5</v>
      </c>
      <c r="BZ233" s="1">
        <v>2995.5</v>
      </c>
    </row>
    <row r="234" spans="1:78">
      <c r="A234" s="62" t="s">
        <v>447</v>
      </c>
      <c r="B234" s="1" t="str">
        <f>銘柄管理!C234</f>
        <v>ＴＤＫ</v>
      </c>
      <c r="C234" s="1">
        <f>_xll.RssMarket("6762","安値")</f>
        <v>3089</v>
      </c>
      <c r="E234" s="1">
        <v>3002</v>
      </c>
      <c r="F234" s="1">
        <v>3052</v>
      </c>
      <c r="G234" s="1">
        <v>2982.5</v>
      </c>
      <c r="H234" s="1">
        <v>2727</v>
      </c>
      <c r="I234" s="1">
        <v>2651</v>
      </c>
      <c r="J234" s="1">
        <v>2898.5</v>
      </c>
      <c r="K234" s="1">
        <v>2949</v>
      </c>
      <c r="L234" s="1">
        <v>2982.5</v>
      </c>
      <c r="M234" s="1">
        <v>3084</v>
      </c>
      <c r="N234" s="1">
        <v>3095</v>
      </c>
      <c r="O234" s="1">
        <v>2936</v>
      </c>
      <c r="P234" s="1">
        <v>2847</v>
      </c>
      <c r="Q234" s="1">
        <v>3195</v>
      </c>
      <c r="R234" s="1">
        <v>3130</v>
      </c>
      <c r="S234" s="1">
        <v>3166</v>
      </c>
      <c r="T234" s="1">
        <v>3359</v>
      </c>
      <c r="U234" s="1">
        <v>3328</v>
      </c>
      <c r="V234" s="1">
        <v>3241</v>
      </c>
      <c r="W234" s="1">
        <v>3332</v>
      </c>
      <c r="X234" s="1">
        <v>3444</v>
      </c>
      <c r="Y234" s="1">
        <v>3514</v>
      </c>
      <c r="Z234" s="1">
        <v>3575</v>
      </c>
      <c r="AA234" s="1">
        <v>3604</v>
      </c>
      <c r="AB234" s="1">
        <v>3510</v>
      </c>
      <c r="AC234" s="1">
        <v>3489</v>
      </c>
      <c r="AD234" s="1">
        <v>3535</v>
      </c>
      <c r="AE234" s="1">
        <v>3820</v>
      </c>
      <c r="AF234" s="1">
        <v>3766</v>
      </c>
      <c r="AG234" s="1">
        <v>3943</v>
      </c>
      <c r="AH234" s="1">
        <v>3961</v>
      </c>
      <c r="AI234" s="1">
        <v>3867</v>
      </c>
      <c r="AJ234" s="1">
        <v>3835</v>
      </c>
      <c r="AK234" s="1">
        <v>3728</v>
      </c>
      <c r="AL234" s="1">
        <v>3802</v>
      </c>
      <c r="AM234" s="1">
        <v>3638</v>
      </c>
      <c r="AN234" s="1">
        <v>3469</v>
      </c>
      <c r="AO234" s="1">
        <v>3415</v>
      </c>
      <c r="AP234" s="1">
        <v>3587</v>
      </c>
      <c r="AQ234" s="1">
        <v>3637</v>
      </c>
      <c r="AR234" s="1">
        <v>3851</v>
      </c>
      <c r="AS234" s="1">
        <v>3872</v>
      </c>
      <c r="AT234" s="1">
        <v>3895</v>
      </c>
      <c r="AU234" s="1">
        <v>3822</v>
      </c>
      <c r="AV234" s="1">
        <v>3958</v>
      </c>
      <c r="AW234" s="1">
        <v>3572</v>
      </c>
      <c r="AX234" s="1">
        <v>3608</v>
      </c>
      <c r="AY234" s="1">
        <v>3473</v>
      </c>
      <c r="AZ234" s="1">
        <v>3132</v>
      </c>
      <c r="BA234" s="1">
        <v>2962.5</v>
      </c>
      <c r="BB234" s="1">
        <v>2836</v>
      </c>
      <c r="BC234" s="1">
        <v>2947</v>
      </c>
      <c r="BD234" s="1">
        <v>2929</v>
      </c>
      <c r="BE234" s="1">
        <v>2965.5</v>
      </c>
      <c r="BF234" s="1">
        <v>2975</v>
      </c>
      <c r="BG234" s="1">
        <v>2851</v>
      </c>
      <c r="BH234" s="1">
        <v>2906</v>
      </c>
      <c r="BI234" s="1">
        <v>2913.5</v>
      </c>
      <c r="BJ234" s="1">
        <v>2890.5</v>
      </c>
      <c r="BK234" s="1">
        <v>2817.5</v>
      </c>
      <c r="BL234" s="1">
        <v>2775</v>
      </c>
      <c r="BM234" s="1">
        <v>2839</v>
      </c>
      <c r="BN234" s="1">
        <v>2659</v>
      </c>
      <c r="BO234" s="1">
        <v>2636.5</v>
      </c>
      <c r="BP234" s="1">
        <v>2674</v>
      </c>
      <c r="BQ234" s="1">
        <v>2621</v>
      </c>
      <c r="BR234" s="1">
        <v>2546</v>
      </c>
      <c r="BS234" s="1">
        <v>2498</v>
      </c>
      <c r="BT234" s="1">
        <v>2518.5</v>
      </c>
      <c r="BU234" s="1">
        <v>2491.5</v>
      </c>
      <c r="BV234" s="1">
        <v>2270.5</v>
      </c>
      <c r="BW234" s="1">
        <v>2226</v>
      </c>
      <c r="BX234" s="1">
        <v>2259.5</v>
      </c>
      <c r="BY234" s="1">
        <v>2261.5</v>
      </c>
      <c r="BZ234" s="1">
        <v>2226</v>
      </c>
    </row>
    <row r="235" spans="1:78">
      <c r="A235" s="62" t="s">
        <v>448</v>
      </c>
      <c r="B235" s="1" t="str">
        <f>銘柄管理!C235</f>
        <v>ＦＩＧ</v>
      </c>
      <c r="C235" s="1">
        <f>_xll.RssMarket("4392","安値")</f>
        <v>901</v>
      </c>
      <c r="E235" s="1">
        <v>842</v>
      </c>
      <c r="F235" s="1">
        <v>826</v>
      </c>
      <c r="G235" s="1">
        <v>855</v>
      </c>
      <c r="H235" s="1">
        <v>812</v>
      </c>
      <c r="I235" s="1">
        <v>830</v>
      </c>
      <c r="J235" s="1">
        <v>888</v>
      </c>
      <c r="K235" s="1">
        <v>941</v>
      </c>
      <c r="L235" s="1">
        <v>988</v>
      </c>
      <c r="M235" s="1">
        <v>1052</v>
      </c>
      <c r="N235" s="1">
        <v>1059</v>
      </c>
      <c r="O235" s="1">
        <v>1027</v>
      </c>
      <c r="P235" s="1">
        <v>1014</v>
      </c>
      <c r="Q235" s="1">
        <v>1046</v>
      </c>
      <c r="R235" s="1">
        <v>1002</v>
      </c>
      <c r="S235" s="1">
        <v>1017</v>
      </c>
      <c r="T235" s="1">
        <v>1063</v>
      </c>
      <c r="U235" s="1">
        <v>1026</v>
      </c>
      <c r="V235" s="1">
        <v>1025</v>
      </c>
      <c r="W235" s="1">
        <v>1086</v>
      </c>
      <c r="X235" s="1">
        <v>1121</v>
      </c>
      <c r="Y235" s="1">
        <v>1094</v>
      </c>
      <c r="Z235" s="1">
        <v>1081</v>
      </c>
      <c r="AA235" s="1">
        <v>1090</v>
      </c>
      <c r="AB235" s="1">
        <v>1065</v>
      </c>
      <c r="AC235" s="1">
        <v>1066</v>
      </c>
      <c r="AD235" s="1">
        <v>1070</v>
      </c>
      <c r="AE235" s="1">
        <v>1112</v>
      </c>
      <c r="AF235" s="1">
        <v>1133</v>
      </c>
      <c r="AG235" s="1">
        <v>1106</v>
      </c>
      <c r="AH235" s="1">
        <v>1165</v>
      </c>
      <c r="AI235" s="1">
        <v>1138</v>
      </c>
      <c r="AJ235" s="1">
        <v>1250</v>
      </c>
      <c r="AK235" s="1">
        <v>1210</v>
      </c>
      <c r="AL235" s="1">
        <v>1190</v>
      </c>
      <c r="AM235" s="1">
        <v>1315</v>
      </c>
      <c r="AN235" s="1">
        <v>1305</v>
      </c>
      <c r="AO235" s="1">
        <v>1407</v>
      </c>
      <c r="AP235" s="1">
        <v>1470</v>
      </c>
      <c r="AQ235" s="1">
        <v>1251</v>
      </c>
      <c r="AR235" s="1">
        <v>1300</v>
      </c>
      <c r="AS235" s="1">
        <v>1340</v>
      </c>
      <c r="AT235" s="1">
        <v>1499</v>
      </c>
      <c r="AU235" s="1">
        <v>1668</v>
      </c>
      <c r="AV235" s="1">
        <v>1617</v>
      </c>
      <c r="AW235" s="1">
        <v>1880</v>
      </c>
      <c r="AX235" s="1">
        <v>2071</v>
      </c>
      <c r="AY235" s="1">
        <v>1980</v>
      </c>
      <c r="AZ235" s="1">
        <v>1684</v>
      </c>
      <c r="BA235" s="1">
        <v>1701</v>
      </c>
      <c r="BB235" s="1">
        <v>1261</v>
      </c>
      <c r="BC235" s="1">
        <v>1360</v>
      </c>
      <c r="BD235" s="1">
        <v>1060</v>
      </c>
      <c r="BE235" s="1">
        <v>910</v>
      </c>
      <c r="BF235" s="1">
        <v>742</v>
      </c>
      <c r="BG235" s="1">
        <v>720</v>
      </c>
      <c r="BH235" s="1">
        <v>727</v>
      </c>
      <c r="BI235" s="1">
        <v>509</v>
      </c>
      <c r="BJ235" s="1">
        <v>429</v>
      </c>
      <c r="BK235" s="1">
        <v>346</v>
      </c>
      <c r="BL235" s="1">
        <v>339</v>
      </c>
      <c r="BM235" s="1">
        <v>344</v>
      </c>
      <c r="BN235" s="1">
        <v>350</v>
      </c>
      <c r="BO235" s="1">
        <v>351</v>
      </c>
      <c r="BP235" s="1">
        <v>341</v>
      </c>
      <c r="BQ235" s="1">
        <v>342</v>
      </c>
      <c r="BR235" s="1">
        <v>344</v>
      </c>
      <c r="BS235" s="1">
        <v>337</v>
      </c>
      <c r="BT235" s="1">
        <v>327</v>
      </c>
      <c r="BU235" s="1">
        <v>326</v>
      </c>
      <c r="BV235" s="1">
        <v>325</v>
      </c>
      <c r="BW235" s="1">
        <v>320</v>
      </c>
      <c r="BX235" s="1">
        <v>321</v>
      </c>
      <c r="BY235" s="1">
        <v>316</v>
      </c>
      <c r="BZ235" s="1">
        <v>320</v>
      </c>
    </row>
    <row r="236" spans="1:78">
      <c r="A236" s="62" t="s">
        <v>449</v>
      </c>
      <c r="B236" s="1" t="str">
        <f>銘柄管理!C236</f>
        <v>スクロール</v>
      </c>
      <c r="C236" s="1">
        <f>_xll.RssMarket("8005","安値")</f>
        <v>1809</v>
      </c>
      <c r="E236" s="1">
        <v>1796</v>
      </c>
      <c r="F236" s="1">
        <v>1787</v>
      </c>
      <c r="G236" s="1">
        <v>1693</v>
      </c>
      <c r="H236" s="1">
        <v>1713</v>
      </c>
      <c r="I236" s="1">
        <v>1717</v>
      </c>
      <c r="J236" s="1">
        <v>1701</v>
      </c>
      <c r="K236" s="1">
        <v>1688</v>
      </c>
      <c r="L236" s="1">
        <v>1690</v>
      </c>
      <c r="M236" s="1">
        <v>1706</v>
      </c>
      <c r="N236" s="1">
        <v>1713</v>
      </c>
      <c r="O236" s="1">
        <v>1710</v>
      </c>
      <c r="P236" s="1">
        <v>1708</v>
      </c>
      <c r="Q236" s="1">
        <v>1725</v>
      </c>
      <c r="R236" s="1">
        <v>1726</v>
      </c>
      <c r="S236" s="1">
        <v>1707</v>
      </c>
      <c r="T236" s="1">
        <v>1704</v>
      </c>
      <c r="U236" s="1">
        <v>1701</v>
      </c>
      <c r="V236" s="1">
        <v>1712</v>
      </c>
      <c r="W236" s="1">
        <v>1696</v>
      </c>
      <c r="X236" s="1">
        <v>1657</v>
      </c>
      <c r="Y236" s="1">
        <v>1645</v>
      </c>
      <c r="Z236" s="1">
        <v>1625</v>
      </c>
      <c r="AA236" s="1">
        <v>1616</v>
      </c>
      <c r="AB236" s="1">
        <v>1622</v>
      </c>
      <c r="AC236" s="1">
        <v>1628</v>
      </c>
      <c r="AD236" s="1">
        <v>1627</v>
      </c>
      <c r="AE236" s="1">
        <v>1633</v>
      </c>
      <c r="AF236" s="1">
        <v>1620</v>
      </c>
      <c r="AG236" s="1">
        <v>1629</v>
      </c>
      <c r="AH236" s="1">
        <v>1620</v>
      </c>
      <c r="AI236" s="1">
        <v>1630</v>
      </c>
      <c r="AJ236" s="1">
        <v>1626</v>
      </c>
      <c r="AK236" s="1">
        <v>1639</v>
      </c>
      <c r="AL236" s="1">
        <v>1609</v>
      </c>
      <c r="AM236" s="1">
        <v>1617</v>
      </c>
      <c r="AN236" s="1">
        <v>1612</v>
      </c>
      <c r="AO236" s="1">
        <v>1610</v>
      </c>
      <c r="AP236" s="1">
        <v>1612</v>
      </c>
      <c r="AQ236" s="1">
        <v>1613</v>
      </c>
      <c r="AR236" s="1">
        <v>1621</v>
      </c>
      <c r="AS236" s="1">
        <v>1620</v>
      </c>
      <c r="AT236" s="1">
        <v>1632</v>
      </c>
      <c r="AU236" s="1">
        <v>1634</v>
      </c>
      <c r="AV236" s="1">
        <v>1626</v>
      </c>
      <c r="AW236" s="1">
        <v>1616</v>
      </c>
      <c r="AX236" s="1">
        <v>1625</v>
      </c>
      <c r="AY236" s="1">
        <v>1624</v>
      </c>
      <c r="AZ236" s="1">
        <v>1628</v>
      </c>
      <c r="BA236" s="1">
        <v>1642</v>
      </c>
      <c r="BB236" s="1">
        <v>1631</v>
      </c>
      <c r="BC236" s="1">
        <v>1642</v>
      </c>
      <c r="BD236" s="1">
        <v>1610</v>
      </c>
      <c r="BE236" s="1">
        <v>1618</v>
      </c>
      <c r="BF236" s="1">
        <v>1618</v>
      </c>
      <c r="BG236" s="1">
        <v>1631</v>
      </c>
      <c r="BH236" s="1">
        <v>1652</v>
      </c>
      <c r="BI236" s="1">
        <v>1705</v>
      </c>
      <c r="BJ236" s="1">
        <v>1597</v>
      </c>
      <c r="BK236" s="1">
        <v>1291</v>
      </c>
      <c r="BL236" s="1">
        <v>1286</v>
      </c>
      <c r="BM236" s="1">
        <v>1312</v>
      </c>
      <c r="BN236" s="1">
        <v>1310</v>
      </c>
      <c r="BO236" s="1">
        <v>1313</v>
      </c>
      <c r="BP236" s="1">
        <v>1311</v>
      </c>
      <c r="BQ236" s="1">
        <v>1310</v>
      </c>
      <c r="BR236" s="1">
        <v>1325</v>
      </c>
      <c r="BS236" s="1">
        <v>1341</v>
      </c>
      <c r="BT236" s="1">
        <v>1342</v>
      </c>
      <c r="BU236" s="1">
        <v>1346</v>
      </c>
      <c r="BV236" s="1">
        <v>1347</v>
      </c>
      <c r="BW236" s="1">
        <v>1329</v>
      </c>
      <c r="BX236" s="1">
        <v>1309</v>
      </c>
      <c r="BY236" s="1">
        <v>1309</v>
      </c>
      <c r="BZ236" s="1">
        <v>1323</v>
      </c>
    </row>
    <row r="237" spans="1:78">
      <c r="A237" s="62" t="s">
        <v>450</v>
      </c>
      <c r="B237" s="1" t="str">
        <f>銘柄管理!C237</f>
        <v>デジタルアーツ</v>
      </c>
      <c r="C237" s="1">
        <f>_xll.RssMarket("2326","安値")</f>
        <v>4250</v>
      </c>
      <c r="E237" s="1">
        <v>4270</v>
      </c>
      <c r="F237" s="1">
        <v>4075</v>
      </c>
      <c r="G237" s="1">
        <v>3980</v>
      </c>
      <c r="H237" s="1">
        <v>4050</v>
      </c>
      <c r="I237" s="1">
        <v>4070</v>
      </c>
      <c r="J237" s="1">
        <v>4020</v>
      </c>
      <c r="K237" s="1">
        <v>3980</v>
      </c>
      <c r="L237" s="1">
        <v>3900</v>
      </c>
      <c r="M237" s="1">
        <v>3990</v>
      </c>
      <c r="N237" s="1">
        <v>3950</v>
      </c>
      <c r="O237" s="1">
        <v>4050</v>
      </c>
      <c r="P237" s="1">
        <v>3975</v>
      </c>
      <c r="Q237" s="1">
        <v>3965</v>
      </c>
      <c r="R237" s="1">
        <v>3980</v>
      </c>
      <c r="S237" s="1">
        <v>3930</v>
      </c>
      <c r="T237" s="1">
        <v>3900</v>
      </c>
      <c r="U237" s="1">
        <v>3855</v>
      </c>
      <c r="V237" s="1">
        <v>3850</v>
      </c>
      <c r="W237" s="1">
        <v>3880</v>
      </c>
      <c r="X237" s="1">
        <v>3855</v>
      </c>
      <c r="Y237" s="1">
        <v>3795</v>
      </c>
      <c r="Z237" s="1">
        <v>3715</v>
      </c>
      <c r="AA237" s="1">
        <v>3615</v>
      </c>
      <c r="AB237" s="1">
        <v>3685</v>
      </c>
      <c r="AC237" s="1">
        <v>3675</v>
      </c>
      <c r="AD237" s="1">
        <v>3550</v>
      </c>
      <c r="AE237" s="1">
        <v>3545</v>
      </c>
      <c r="AF237" s="1">
        <v>3505</v>
      </c>
      <c r="AG237" s="1">
        <v>3520</v>
      </c>
      <c r="AH237" s="1">
        <v>3520</v>
      </c>
      <c r="AI237" s="1">
        <v>3505</v>
      </c>
      <c r="AJ237" s="1">
        <v>3575</v>
      </c>
      <c r="AK237" s="1">
        <v>3585</v>
      </c>
      <c r="AL237" s="1">
        <v>3500</v>
      </c>
      <c r="AM237" s="1">
        <v>3565</v>
      </c>
      <c r="AN237" s="1">
        <v>3540</v>
      </c>
      <c r="AO237" s="1">
        <v>3575</v>
      </c>
      <c r="AP237" s="1">
        <v>3575</v>
      </c>
      <c r="AQ237" s="1">
        <v>3690</v>
      </c>
      <c r="AR237" s="1">
        <v>3700</v>
      </c>
      <c r="AS237" s="1">
        <v>3585</v>
      </c>
      <c r="AT237" s="1">
        <v>3595</v>
      </c>
      <c r="AU237" s="1">
        <v>3660</v>
      </c>
      <c r="AV237" s="1">
        <v>3980</v>
      </c>
      <c r="AW237" s="1">
        <v>3990</v>
      </c>
      <c r="AX237" s="1">
        <v>4040</v>
      </c>
      <c r="AY237" s="1">
        <v>4055</v>
      </c>
      <c r="AZ237" s="1">
        <v>4080</v>
      </c>
      <c r="BA237" s="1">
        <v>4105</v>
      </c>
      <c r="BB237" s="1">
        <v>4105</v>
      </c>
      <c r="BC237" s="1">
        <v>4235</v>
      </c>
      <c r="BD237" s="1">
        <v>4105</v>
      </c>
      <c r="BE237" s="1">
        <v>4015</v>
      </c>
      <c r="BF237" s="1">
        <v>3945</v>
      </c>
      <c r="BG237" s="1">
        <v>3925</v>
      </c>
      <c r="BH237" s="1">
        <v>3955</v>
      </c>
      <c r="BI237" s="1">
        <v>4240</v>
      </c>
      <c r="BJ237" s="1">
        <v>4940</v>
      </c>
      <c r="BK237" s="1">
        <v>5730</v>
      </c>
      <c r="BL237" s="1">
        <v>5500</v>
      </c>
      <c r="BM237" s="1">
        <v>5420</v>
      </c>
      <c r="BN237" s="1">
        <v>5450</v>
      </c>
      <c r="BO237" s="1">
        <v>5400</v>
      </c>
      <c r="BP237" s="1">
        <v>5500</v>
      </c>
      <c r="BQ237" s="1">
        <v>5650</v>
      </c>
      <c r="BR237" s="1">
        <v>5950</v>
      </c>
      <c r="BS237" s="1">
        <v>5880</v>
      </c>
      <c r="BT237" s="1">
        <v>5760</v>
      </c>
      <c r="BU237" s="1">
        <v>5760</v>
      </c>
      <c r="BV237" s="1">
        <v>5740</v>
      </c>
      <c r="BW237" s="1">
        <v>5520</v>
      </c>
      <c r="BX237" s="1">
        <v>5470</v>
      </c>
      <c r="BY237" s="1">
        <v>5340</v>
      </c>
      <c r="BZ237" s="1">
        <v>5280</v>
      </c>
    </row>
    <row r="238" spans="1:78">
      <c r="A238" s="62" t="s">
        <v>451</v>
      </c>
      <c r="B238" s="1" t="str">
        <f>銘柄管理!C238</f>
        <v>ＴＯＡ</v>
      </c>
      <c r="C238" s="1">
        <f>_xll.RssMarket("6809","安値")</f>
        <v>1630</v>
      </c>
      <c r="E238" s="1">
        <v>1592</v>
      </c>
      <c r="F238" s="1">
        <v>1582</v>
      </c>
      <c r="G238" s="1">
        <v>1615</v>
      </c>
      <c r="H238" s="1">
        <v>1623</v>
      </c>
      <c r="I238" s="1">
        <v>1617</v>
      </c>
      <c r="J238" s="1">
        <v>1620</v>
      </c>
      <c r="K238" s="1">
        <v>1614</v>
      </c>
      <c r="M238" s="1">
        <v>1606</v>
      </c>
      <c r="N238" s="1">
        <v>1606</v>
      </c>
      <c r="O238" s="1">
        <v>1584</v>
      </c>
      <c r="P238" s="1">
        <v>1561</v>
      </c>
      <c r="Q238" s="1">
        <v>1599</v>
      </c>
      <c r="R238" s="1">
        <v>1590</v>
      </c>
      <c r="S238" s="1">
        <v>1583</v>
      </c>
      <c r="T238" s="1">
        <v>1605</v>
      </c>
      <c r="U238" s="1">
        <v>1615</v>
      </c>
      <c r="V238" s="1">
        <v>1632</v>
      </c>
      <c r="W238" s="1">
        <v>1630</v>
      </c>
      <c r="X238" s="1">
        <v>1605</v>
      </c>
      <c r="Y238" s="1">
        <v>1579</v>
      </c>
      <c r="Z238" s="1">
        <v>1551</v>
      </c>
      <c r="AA238" s="1">
        <v>1550</v>
      </c>
      <c r="AB238" s="1">
        <v>1559</v>
      </c>
      <c r="AC238" s="1">
        <v>1564</v>
      </c>
      <c r="AD238" s="1">
        <v>1557</v>
      </c>
      <c r="AE238" s="1">
        <v>1568</v>
      </c>
      <c r="AF238" s="1">
        <v>1554</v>
      </c>
      <c r="AG238" s="1">
        <v>1552</v>
      </c>
      <c r="AH238" s="1">
        <v>1551</v>
      </c>
      <c r="AI238" s="1">
        <v>1560</v>
      </c>
      <c r="AJ238" s="1">
        <v>1556</v>
      </c>
      <c r="AK238" s="1">
        <v>1563</v>
      </c>
      <c r="AL238" s="1">
        <v>1551</v>
      </c>
      <c r="AM238" s="1">
        <v>1566</v>
      </c>
      <c r="AN238" s="1">
        <v>1546</v>
      </c>
      <c r="AO238" s="1">
        <v>1527</v>
      </c>
      <c r="AP238" s="1">
        <v>1548</v>
      </c>
      <c r="AQ238" s="1">
        <v>1533</v>
      </c>
      <c r="AR238" s="1">
        <v>1547</v>
      </c>
      <c r="AS238" s="1">
        <v>1533</v>
      </c>
      <c r="AT238" s="1">
        <v>1536</v>
      </c>
      <c r="AU238" s="1">
        <v>1522</v>
      </c>
      <c r="AV238" s="1">
        <v>1535</v>
      </c>
      <c r="AW238" s="1">
        <v>1514</v>
      </c>
      <c r="AX238" s="1">
        <v>1530</v>
      </c>
      <c r="AY238" s="1">
        <v>1557</v>
      </c>
      <c r="AZ238" s="1">
        <v>1530</v>
      </c>
      <c r="BA238" s="1">
        <v>1525</v>
      </c>
      <c r="BB238" s="1">
        <v>1512</v>
      </c>
      <c r="BC238" s="1">
        <v>1577</v>
      </c>
      <c r="BD238" s="1">
        <v>1567</v>
      </c>
      <c r="BE238" s="1">
        <v>1584</v>
      </c>
      <c r="BF238" s="1">
        <v>1562</v>
      </c>
      <c r="BG238" s="1">
        <v>1554</v>
      </c>
      <c r="BH238" s="1">
        <v>1555</v>
      </c>
      <c r="BI238" s="1">
        <v>1566</v>
      </c>
      <c r="BJ238" s="1">
        <v>1565</v>
      </c>
      <c r="BK238" s="1">
        <v>1760</v>
      </c>
      <c r="BL238" s="1">
        <v>1707</v>
      </c>
      <c r="BM238" s="1">
        <v>1702</v>
      </c>
      <c r="BN238" s="1">
        <v>1699</v>
      </c>
      <c r="BO238" s="1">
        <v>1700</v>
      </c>
      <c r="BP238" s="1">
        <v>1713</v>
      </c>
      <c r="BQ238" s="1">
        <v>1725</v>
      </c>
      <c r="BR238" s="1">
        <v>1752</v>
      </c>
      <c r="BS238" s="1">
        <v>1759</v>
      </c>
      <c r="BT238" s="1">
        <v>1769</v>
      </c>
      <c r="BU238" s="1">
        <v>1774</v>
      </c>
      <c r="BV238" s="1">
        <v>1770</v>
      </c>
      <c r="BW238" s="1">
        <v>1768</v>
      </c>
      <c r="BX238" s="1">
        <v>1774</v>
      </c>
      <c r="BY238" s="1">
        <v>1782</v>
      </c>
      <c r="BZ238" s="1">
        <v>1803</v>
      </c>
    </row>
    <row r="239" spans="1:78">
      <c r="A239" s="62" t="s">
        <v>452</v>
      </c>
      <c r="B239" s="1" t="str">
        <f>銘柄管理!C239</f>
        <v>ユーザーローカル</v>
      </c>
      <c r="C239" s="1">
        <f>_xll.RssMarket("3984","安値")</f>
        <v>1809</v>
      </c>
      <c r="E239" s="1">
        <v>1799</v>
      </c>
      <c r="F239" s="1">
        <v>1762</v>
      </c>
      <c r="G239" s="1">
        <v>1770</v>
      </c>
      <c r="H239" s="1">
        <v>1776</v>
      </c>
      <c r="I239" s="1">
        <v>1759</v>
      </c>
      <c r="J239" s="1">
        <v>1779</v>
      </c>
      <c r="K239" s="1">
        <v>1727</v>
      </c>
      <c r="M239" s="1">
        <v>1712</v>
      </c>
      <c r="N239" s="1">
        <v>1774</v>
      </c>
      <c r="O239" s="1">
        <v>1781</v>
      </c>
      <c r="P239" s="1">
        <v>1761</v>
      </c>
      <c r="Q239" s="1">
        <v>1772</v>
      </c>
      <c r="R239" s="1">
        <v>1793</v>
      </c>
      <c r="S239" s="1">
        <v>1776</v>
      </c>
      <c r="T239" s="1">
        <v>1760</v>
      </c>
      <c r="U239" s="1">
        <v>1732</v>
      </c>
      <c r="V239" s="1">
        <v>1759</v>
      </c>
      <c r="W239" s="1">
        <v>1762</v>
      </c>
      <c r="X239" s="1">
        <v>1770</v>
      </c>
      <c r="Y239" s="1">
        <v>1727</v>
      </c>
      <c r="Z239" s="1">
        <v>1707</v>
      </c>
      <c r="AA239" s="1">
        <v>1620</v>
      </c>
      <c r="AB239" s="1">
        <v>1605</v>
      </c>
      <c r="AC239" s="1">
        <v>1578</v>
      </c>
      <c r="AD239" s="1">
        <v>1587</v>
      </c>
      <c r="AE239" s="1">
        <v>1646</v>
      </c>
      <c r="AF239" s="1">
        <v>1680</v>
      </c>
      <c r="AG239" s="1">
        <v>1685</v>
      </c>
      <c r="AH239" s="1">
        <v>1726</v>
      </c>
      <c r="AI239" s="1">
        <v>1725</v>
      </c>
      <c r="AJ239" s="1">
        <v>1782</v>
      </c>
      <c r="AK239" s="1">
        <v>1763</v>
      </c>
      <c r="AL239" s="1">
        <v>1755</v>
      </c>
      <c r="AM239" s="1">
        <v>1760</v>
      </c>
      <c r="AN239" s="1">
        <v>1746</v>
      </c>
      <c r="AO239" s="1">
        <v>1728</v>
      </c>
      <c r="AP239" s="1">
        <v>1777</v>
      </c>
      <c r="AQ239" s="1">
        <v>1811</v>
      </c>
      <c r="AR239" s="1">
        <v>1836</v>
      </c>
      <c r="AS239" s="1">
        <v>1795</v>
      </c>
      <c r="AT239" s="1">
        <v>1772</v>
      </c>
      <c r="AU239" s="1">
        <v>1772</v>
      </c>
      <c r="AV239" s="1">
        <v>1697</v>
      </c>
      <c r="AW239" s="1">
        <v>1652</v>
      </c>
      <c r="AX239" s="1">
        <v>1689</v>
      </c>
      <c r="AY239" s="1">
        <v>1711</v>
      </c>
      <c r="AZ239" s="1">
        <v>1755</v>
      </c>
      <c r="BA239" s="1">
        <v>1746</v>
      </c>
      <c r="BB239" s="1">
        <v>1719</v>
      </c>
      <c r="BC239" s="1">
        <v>1709</v>
      </c>
      <c r="BD239" s="1">
        <v>1693</v>
      </c>
      <c r="BE239" s="1">
        <v>1679</v>
      </c>
      <c r="BF239" s="1">
        <v>1691</v>
      </c>
      <c r="BG239" s="1">
        <v>1721</v>
      </c>
      <c r="BH239" s="1">
        <v>1723</v>
      </c>
      <c r="BI239" s="1">
        <v>1786</v>
      </c>
      <c r="BJ239" s="1">
        <v>1723</v>
      </c>
      <c r="BK239" s="1">
        <v>1576</v>
      </c>
      <c r="BL239" s="1">
        <v>1532</v>
      </c>
      <c r="BM239" s="1">
        <v>1532</v>
      </c>
      <c r="BN239" s="1">
        <v>1540</v>
      </c>
      <c r="BO239" s="1">
        <v>1547</v>
      </c>
      <c r="BP239" s="1">
        <v>1554</v>
      </c>
      <c r="BQ239" s="1">
        <v>1555</v>
      </c>
      <c r="BR239" s="1">
        <v>1586</v>
      </c>
      <c r="BS239" s="1">
        <v>1569</v>
      </c>
      <c r="BT239" s="1">
        <v>1556</v>
      </c>
      <c r="BU239" s="1">
        <v>1567</v>
      </c>
      <c r="BV239" s="1">
        <v>1554</v>
      </c>
      <c r="BW239" s="1">
        <v>1495</v>
      </c>
      <c r="BX239" s="1">
        <v>1452</v>
      </c>
      <c r="BY239" s="1">
        <v>1428</v>
      </c>
      <c r="BZ239" s="1">
        <v>1448</v>
      </c>
    </row>
    <row r="240" spans="1:78">
      <c r="A240" s="62" t="s">
        <v>453</v>
      </c>
      <c r="B240" s="1" t="str">
        <f>銘柄管理!C240</f>
        <v>ダイトロン</v>
      </c>
      <c r="C240" s="1">
        <f>_xll.RssMarket("7609","安値")</f>
        <v>4105</v>
      </c>
      <c r="E240" s="1">
        <v>3805</v>
      </c>
      <c r="F240" s="1">
        <v>3390</v>
      </c>
      <c r="G240" s="1">
        <v>3235</v>
      </c>
      <c r="H240" s="1">
        <v>3030</v>
      </c>
      <c r="I240" s="1">
        <v>3030</v>
      </c>
      <c r="J240" s="1">
        <v>3265</v>
      </c>
      <c r="K240" s="1">
        <v>3410</v>
      </c>
      <c r="M240" s="1">
        <v>3515</v>
      </c>
      <c r="N240" s="1">
        <v>3430</v>
      </c>
      <c r="O240" s="1">
        <v>3265</v>
      </c>
      <c r="P240" s="1">
        <v>3205</v>
      </c>
      <c r="Q240" s="1">
        <v>3360</v>
      </c>
      <c r="R240" s="1">
        <v>3290</v>
      </c>
      <c r="S240" s="1">
        <v>3385</v>
      </c>
      <c r="T240" s="1">
        <v>3490</v>
      </c>
      <c r="U240" s="1">
        <v>3440</v>
      </c>
      <c r="V240" s="1">
        <v>3395</v>
      </c>
      <c r="W240" s="1">
        <v>3475</v>
      </c>
      <c r="X240" s="1">
        <v>3560</v>
      </c>
      <c r="Y240" s="1">
        <v>3500</v>
      </c>
      <c r="Z240" s="1">
        <v>3610</v>
      </c>
      <c r="AA240" s="1">
        <v>3700</v>
      </c>
      <c r="AB240" s="1">
        <v>3605</v>
      </c>
      <c r="AC240" s="1">
        <v>3575</v>
      </c>
      <c r="AD240" s="1">
        <v>3645</v>
      </c>
      <c r="AE240" s="1">
        <v>3740</v>
      </c>
      <c r="AF240" s="1">
        <v>3670</v>
      </c>
      <c r="AG240" s="1">
        <v>3770</v>
      </c>
      <c r="AH240" s="1">
        <v>3890</v>
      </c>
      <c r="AI240" s="1">
        <v>3855</v>
      </c>
      <c r="AJ240" s="1">
        <v>3750</v>
      </c>
      <c r="AK240" s="1">
        <v>3525</v>
      </c>
      <c r="AL240" s="1">
        <v>3545</v>
      </c>
      <c r="AM240" s="1">
        <v>3580</v>
      </c>
      <c r="AN240" s="1">
        <v>3380</v>
      </c>
      <c r="AO240" s="1">
        <v>3260</v>
      </c>
      <c r="AP240" s="1">
        <v>3380</v>
      </c>
      <c r="AQ240" s="1">
        <v>3490</v>
      </c>
      <c r="AR240" s="1">
        <v>3570</v>
      </c>
      <c r="AS240" s="1">
        <v>3635</v>
      </c>
      <c r="AT240" s="1">
        <v>3585</v>
      </c>
      <c r="AU240" s="1">
        <v>3440</v>
      </c>
      <c r="AV240" s="1">
        <v>3550</v>
      </c>
      <c r="AW240" s="1">
        <v>3425</v>
      </c>
      <c r="AX240" s="1">
        <v>3530</v>
      </c>
      <c r="AY240" s="1">
        <v>3585</v>
      </c>
      <c r="AZ240" s="1">
        <v>3560</v>
      </c>
      <c r="BA240" s="1">
        <v>3535</v>
      </c>
      <c r="BB240" s="1">
        <v>3415</v>
      </c>
      <c r="BC240" s="1">
        <v>3575</v>
      </c>
      <c r="BD240" s="1">
        <v>3825</v>
      </c>
      <c r="BE240" s="1">
        <v>3740</v>
      </c>
      <c r="BF240" s="1">
        <v>3915</v>
      </c>
      <c r="BG240" s="1">
        <v>3785</v>
      </c>
      <c r="BH240" s="1">
        <v>3860</v>
      </c>
      <c r="BI240" s="1">
        <v>3805</v>
      </c>
      <c r="BJ240" s="1">
        <v>3660</v>
      </c>
      <c r="BK240" s="1">
        <v>3215</v>
      </c>
      <c r="BL240" s="1">
        <v>2912</v>
      </c>
      <c r="BM240" s="1">
        <v>2854</v>
      </c>
      <c r="BN240" s="1">
        <v>2860</v>
      </c>
      <c r="BO240" s="1">
        <v>2851</v>
      </c>
      <c r="BP240" s="1">
        <v>2848</v>
      </c>
      <c r="BQ240" s="1">
        <v>2815</v>
      </c>
      <c r="BR240" s="1">
        <v>2822</v>
      </c>
      <c r="BS240" s="1">
        <v>2862</v>
      </c>
      <c r="BT240" s="1">
        <v>2833</v>
      </c>
      <c r="BU240" s="1">
        <v>2852</v>
      </c>
      <c r="BV240" s="1">
        <v>2885</v>
      </c>
      <c r="BW240" s="1">
        <v>2868</v>
      </c>
      <c r="BX240" s="1">
        <v>2832</v>
      </c>
      <c r="BY240" s="1">
        <v>2798</v>
      </c>
      <c r="BZ240" s="1">
        <v>2775</v>
      </c>
    </row>
    <row r="241" spans="1:78">
      <c r="A241" s="62" t="s">
        <v>454</v>
      </c>
      <c r="B241" s="1" t="str">
        <f>銘柄管理!C241</f>
        <v>イトーキ</v>
      </c>
      <c r="C241" s="1">
        <f>_xll.RssMarket("7972","安値")</f>
        <v>2877</v>
      </c>
      <c r="E241" s="1">
        <v>2864</v>
      </c>
      <c r="F241" s="1">
        <v>2830</v>
      </c>
      <c r="G241" s="1">
        <v>2870</v>
      </c>
      <c r="H241" s="1">
        <v>2822</v>
      </c>
      <c r="I241" s="1">
        <v>2864</v>
      </c>
      <c r="J241" s="1">
        <v>2870</v>
      </c>
      <c r="K241" s="1">
        <v>2894</v>
      </c>
      <c r="L241" s="1">
        <v>2820</v>
      </c>
      <c r="M241" s="1">
        <v>2814</v>
      </c>
      <c r="N241" s="1">
        <v>2845</v>
      </c>
      <c r="O241" s="1">
        <v>2663</v>
      </c>
      <c r="P241" s="1">
        <v>2672</v>
      </c>
      <c r="Q241" s="1">
        <v>2808</v>
      </c>
      <c r="R241" s="1">
        <v>2754</v>
      </c>
      <c r="S241" s="1">
        <v>2749</v>
      </c>
      <c r="T241" s="1">
        <v>2797</v>
      </c>
      <c r="U241" s="1">
        <v>2791</v>
      </c>
      <c r="V241" s="1">
        <v>2853</v>
      </c>
      <c r="W241" s="1">
        <v>2833</v>
      </c>
      <c r="X241" s="1">
        <v>2751</v>
      </c>
      <c r="Y241" s="1">
        <v>2670</v>
      </c>
      <c r="Z241" s="1">
        <v>2627</v>
      </c>
      <c r="AA241" s="1">
        <v>2596</v>
      </c>
      <c r="AB241" s="1">
        <v>2635</v>
      </c>
      <c r="AC241" s="1">
        <v>2620</v>
      </c>
      <c r="AD241" s="1">
        <v>2570</v>
      </c>
      <c r="AE241" s="1">
        <v>2556</v>
      </c>
      <c r="AF241" s="1">
        <v>2525</v>
      </c>
      <c r="AG241" s="1">
        <v>2534</v>
      </c>
      <c r="AH241" s="1">
        <v>2499</v>
      </c>
      <c r="AI241" s="1">
        <v>2476</v>
      </c>
      <c r="AJ241" s="1">
        <v>2421</v>
      </c>
      <c r="AK241" s="1">
        <v>2429</v>
      </c>
      <c r="AL241" s="1">
        <v>2417</v>
      </c>
      <c r="AM241" s="1">
        <v>2445</v>
      </c>
      <c r="AN241" s="1">
        <v>2409</v>
      </c>
      <c r="AO241" s="1">
        <v>2386</v>
      </c>
      <c r="AP241" s="1">
        <v>2392</v>
      </c>
      <c r="AQ241" s="1">
        <v>2381</v>
      </c>
      <c r="AR241" s="1">
        <v>2389</v>
      </c>
      <c r="AS241" s="1">
        <v>2355</v>
      </c>
      <c r="AT241" s="1">
        <v>2389</v>
      </c>
      <c r="AU241" s="1">
        <v>2412</v>
      </c>
      <c r="AV241" s="1">
        <v>2544</v>
      </c>
      <c r="AW241" s="1">
        <v>2551</v>
      </c>
      <c r="AX241" s="1">
        <v>2677</v>
      </c>
      <c r="AY241" s="1">
        <v>2581</v>
      </c>
      <c r="AZ241" s="1">
        <v>2580</v>
      </c>
      <c r="BA241" s="1">
        <v>2573</v>
      </c>
      <c r="BB241" s="1">
        <v>2619</v>
      </c>
      <c r="BC241" s="1">
        <v>2684</v>
      </c>
      <c r="BD241" s="1">
        <v>2652</v>
      </c>
      <c r="BE241" s="1">
        <v>2690</v>
      </c>
      <c r="BF241" s="1">
        <v>2789</v>
      </c>
      <c r="BG241" s="1">
        <v>2791</v>
      </c>
      <c r="BH241" s="1">
        <v>2783</v>
      </c>
      <c r="BI241" s="1">
        <v>2760</v>
      </c>
      <c r="BJ241" s="1">
        <v>2775</v>
      </c>
      <c r="BK241" s="1">
        <v>3160</v>
      </c>
      <c r="BL241" s="1">
        <v>3120</v>
      </c>
      <c r="BM241" s="1">
        <v>3080</v>
      </c>
      <c r="BN241" s="1">
        <v>3210</v>
      </c>
      <c r="BO241" s="1">
        <v>3170</v>
      </c>
      <c r="BP241" s="1">
        <v>3160</v>
      </c>
      <c r="BQ241" s="1">
        <v>3185</v>
      </c>
      <c r="BR241" s="1">
        <v>3250</v>
      </c>
      <c r="BS241" s="1">
        <v>3285</v>
      </c>
      <c r="BT241" s="1">
        <v>3275</v>
      </c>
      <c r="BU241" s="1">
        <v>3265</v>
      </c>
      <c r="BV241" s="1">
        <v>3330</v>
      </c>
      <c r="BW241" s="1">
        <v>3355</v>
      </c>
      <c r="BX241" s="1">
        <v>3530</v>
      </c>
      <c r="BY241" s="1">
        <v>3490</v>
      </c>
      <c r="BZ241" s="1">
        <v>3465</v>
      </c>
    </row>
    <row r="242" spans="1:78">
      <c r="A242" s="62" t="s">
        <v>455</v>
      </c>
      <c r="B242" s="1" t="str">
        <f>銘柄管理!C242</f>
        <v>オキサイド</v>
      </c>
      <c r="C242" s="1">
        <f>_xll.RssMarket("6521","安値")</f>
        <v>3115</v>
      </c>
      <c r="E242" s="1">
        <v>2929</v>
      </c>
      <c r="F242" s="1">
        <v>2781</v>
      </c>
      <c r="G242" s="1">
        <v>2836</v>
      </c>
      <c r="H242" s="1">
        <v>2625</v>
      </c>
      <c r="I242" s="1">
        <v>2734</v>
      </c>
      <c r="J242" s="1">
        <v>2902</v>
      </c>
      <c r="K242" s="1">
        <v>3160</v>
      </c>
      <c r="L242" s="1">
        <v>3230</v>
      </c>
      <c r="M242" s="1">
        <v>3315</v>
      </c>
      <c r="N242" s="1">
        <v>3330</v>
      </c>
      <c r="O242" s="1">
        <v>3275</v>
      </c>
      <c r="P242" s="1">
        <v>3265</v>
      </c>
      <c r="Q242" s="1">
        <v>3755</v>
      </c>
      <c r="R242" s="1">
        <v>3680</v>
      </c>
      <c r="S242" s="1">
        <v>4080</v>
      </c>
      <c r="T242" s="1">
        <v>4235</v>
      </c>
      <c r="U242" s="1">
        <v>4140</v>
      </c>
      <c r="V242" s="1">
        <v>4000</v>
      </c>
      <c r="W242" s="1">
        <v>4160</v>
      </c>
      <c r="X242" s="1">
        <v>4400</v>
      </c>
      <c r="Y242" s="1">
        <v>4205</v>
      </c>
      <c r="Z242" s="1">
        <v>4380</v>
      </c>
      <c r="AA242" s="1">
        <v>4565</v>
      </c>
      <c r="AB242" s="1">
        <v>4530</v>
      </c>
      <c r="AC242" s="1">
        <v>4530</v>
      </c>
      <c r="AD242" s="1">
        <v>4610</v>
      </c>
      <c r="AE242" s="1">
        <v>4930</v>
      </c>
      <c r="AF242" s="1">
        <v>4840</v>
      </c>
      <c r="AG242" s="1">
        <v>4835</v>
      </c>
      <c r="AH242" s="1">
        <v>4935</v>
      </c>
      <c r="AI242" s="1">
        <v>4795</v>
      </c>
      <c r="AJ242" s="1">
        <v>4635</v>
      </c>
      <c r="AK242" s="1">
        <v>4455</v>
      </c>
      <c r="AL242" s="1">
        <v>4390</v>
      </c>
      <c r="AM242" s="1">
        <v>4415</v>
      </c>
      <c r="AN242" s="1">
        <v>4265</v>
      </c>
      <c r="AO242" s="1">
        <v>4255</v>
      </c>
      <c r="AP242" s="1">
        <v>4290</v>
      </c>
      <c r="AQ242" s="1">
        <v>4670</v>
      </c>
      <c r="AR242" s="1">
        <v>4855</v>
      </c>
      <c r="AS242" s="1">
        <v>4790</v>
      </c>
      <c r="AT242" s="1">
        <v>5040</v>
      </c>
      <c r="AU242" s="1">
        <v>4785</v>
      </c>
      <c r="AV242" s="1">
        <v>5270</v>
      </c>
      <c r="AW242" s="1">
        <v>5550</v>
      </c>
      <c r="AX242" s="1">
        <v>5520</v>
      </c>
      <c r="AY242" s="1">
        <v>5900</v>
      </c>
      <c r="AZ242" s="1">
        <v>5740</v>
      </c>
      <c r="BA242" s="1">
        <v>5420</v>
      </c>
      <c r="BB242" s="1">
        <v>5540</v>
      </c>
      <c r="BC242" s="1">
        <v>5780</v>
      </c>
      <c r="BD242" s="1">
        <v>6260</v>
      </c>
      <c r="BE242" s="1">
        <v>5910</v>
      </c>
      <c r="BF242" s="1">
        <v>6300</v>
      </c>
      <c r="BG242" s="1">
        <v>5930</v>
      </c>
      <c r="BH242" s="1">
        <v>6400</v>
      </c>
      <c r="BI242" s="1">
        <v>6310</v>
      </c>
      <c r="BJ242" s="1">
        <v>5110</v>
      </c>
      <c r="BK242" s="1">
        <v>4770</v>
      </c>
      <c r="BL242" s="1">
        <v>4545</v>
      </c>
      <c r="BM242" s="1">
        <v>4590</v>
      </c>
      <c r="BN242" s="1">
        <v>4545</v>
      </c>
      <c r="BO242" s="1">
        <v>4355</v>
      </c>
      <c r="BP242" s="1">
        <v>4610</v>
      </c>
      <c r="BQ242" s="1">
        <v>4600</v>
      </c>
      <c r="BR242" s="1">
        <v>4800</v>
      </c>
      <c r="BS242" s="1">
        <v>4555</v>
      </c>
      <c r="BT242" s="1">
        <v>4055</v>
      </c>
      <c r="BU242" s="1">
        <v>4040</v>
      </c>
      <c r="BV242" s="1">
        <v>4250</v>
      </c>
      <c r="BW242" s="1">
        <v>4315</v>
      </c>
      <c r="BX242" s="1">
        <v>4745</v>
      </c>
      <c r="BY242" s="1">
        <v>4620</v>
      </c>
      <c r="BZ242" s="1">
        <v>4515</v>
      </c>
    </row>
    <row r="243" spans="1:78">
      <c r="A243" s="62" t="s">
        <v>456</v>
      </c>
      <c r="B243" s="1" t="str">
        <f>銘柄管理!C243</f>
        <v>クオルテック</v>
      </c>
      <c r="C243" s="1">
        <f>_xll.RssMarket("9165","安値")</f>
        <v>1750</v>
      </c>
      <c r="E243" s="1">
        <v>1696</v>
      </c>
      <c r="F243" s="1">
        <v>1683</v>
      </c>
      <c r="G243" s="1">
        <v>1690</v>
      </c>
      <c r="H243" s="1">
        <v>1685</v>
      </c>
      <c r="I243" s="1">
        <v>1670</v>
      </c>
      <c r="J243" s="1">
        <v>1681</v>
      </c>
      <c r="K243" s="1">
        <v>1688</v>
      </c>
      <c r="L243" s="1">
        <v>1678</v>
      </c>
      <c r="M243" s="1">
        <v>1711</v>
      </c>
      <c r="N243" s="1">
        <v>1703</v>
      </c>
      <c r="O243" s="1">
        <v>1689</v>
      </c>
      <c r="P243" s="1">
        <v>1676</v>
      </c>
      <c r="Q243" s="1">
        <v>1711</v>
      </c>
      <c r="R243" s="1">
        <v>1708</v>
      </c>
      <c r="S243" s="1">
        <v>1746</v>
      </c>
      <c r="T243" s="1">
        <v>1758</v>
      </c>
      <c r="U243" s="1">
        <v>1720</v>
      </c>
      <c r="V243" s="1">
        <v>1713</v>
      </c>
      <c r="W243" s="1">
        <v>1733</v>
      </c>
      <c r="X243" s="1">
        <v>1746</v>
      </c>
      <c r="Y243" s="1">
        <v>1682</v>
      </c>
      <c r="Z243" s="1">
        <v>1727</v>
      </c>
      <c r="AA243" s="1">
        <v>1733</v>
      </c>
      <c r="AB243" s="1">
        <v>1640</v>
      </c>
      <c r="AC243" s="1">
        <v>1680</v>
      </c>
      <c r="AD243" s="1">
        <v>1725</v>
      </c>
      <c r="AE243" s="1">
        <v>1730</v>
      </c>
      <c r="AF243" s="1">
        <v>1723</v>
      </c>
      <c r="AG243" s="1">
        <v>1754</v>
      </c>
      <c r="AH243" s="1">
        <v>1721</v>
      </c>
      <c r="AI243" s="1">
        <v>1670</v>
      </c>
      <c r="AJ243" s="1">
        <v>1685</v>
      </c>
      <c r="AK243" s="1">
        <v>1686</v>
      </c>
      <c r="AL243" s="1">
        <v>1680</v>
      </c>
      <c r="AM243" s="1">
        <v>1702</v>
      </c>
      <c r="AN243" s="1">
        <v>1676</v>
      </c>
      <c r="AO243" s="1">
        <v>1625</v>
      </c>
      <c r="AP243" s="1">
        <v>1678</v>
      </c>
      <c r="AQ243" s="1">
        <v>1690</v>
      </c>
      <c r="AR243" s="1">
        <v>1801</v>
      </c>
      <c r="AS243" s="1">
        <v>1776</v>
      </c>
      <c r="AT243" s="1">
        <v>1755</v>
      </c>
      <c r="AU243" s="1">
        <v>1720</v>
      </c>
      <c r="AV243" s="1">
        <v>1800</v>
      </c>
      <c r="AW243" s="1">
        <v>1757</v>
      </c>
      <c r="AX243" s="1">
        <v>1890</v>
      </c>
      <c r="AY243" s="1">
        <v>2140</v>
      </c>
      <c r="AZ243" s="1">
        <v>1790</v>
      </c>
      <c r="BA243" s="1">
        <v>1725</v>
      </c>
      <c r="BB243" s="1">
        <v>1779</v>
      </c>
      <c r="BC243" s="1">
        <v>1763</v>
      </c>
      <c r="BD243" s="1">
        <v>1708</v>
      </c>
      <c r="BE243" s="1">
        <v>1650</v>
      </c>
      <c r="BF243" s="1">
        <v>1716</v>
      </c>
      <c r="BG243" s="1">
        <v>1708</v>
      </c>
      <c r="BH243" s="1">
        <v>1723</v>
      </c>
      <c r="BI243" s="1">
        <v>1761</v>
      </c>
      <c r="BJ243" s="1">
        <v>1680</v>
      </c>
      <c r="BK243" s="1">
        <v>1476</v>
      </c>
      <c r="BL243" s="1">
        <v>1470</v>
      </c>
      <c r="BM243" s="1">
        <v>1458</v>
      </c>
      <c r="BN243" s="1">
        <v>1456</v>
      </c>
      <c r="BO243" s="1">
        <v>1460</v>
      </c>
      <c r="BP243" s="1">
        <v>1457</v>
      </c>
      <c r="BQ243" s="1">
        <v>1445</v>
      </c>
      <c r="BR243" s="1">
        <v>1458</v>
      </c>
      <c r="BS243" s="1">
        <v>1450</v>
      </c>
      <c r="BT243" s="1">
        <v>1446</v>
      </c>
      <c r="BU243" s="1">
        <v>1443</v>
      </c>
      <c r="BV243" s="1">
        <v>1427</v>
      </c>
      <c r="BW243" s="1">
        <v>1446</v>
      </c>
      <c r="BX243" s="1">
        <v>1425</v>
      </c>
      <c r="BY243" s="1">
        <v>1422</v>
      </c>
      <c r="BZ243" s="1">
        <v>1420</v>
      </c>
    </row>
    <row r="244" spans="1:78">
      <c r="A244" s="62" t="s">
        <v>457</v>
      </c>
      <c r="B244" s="1" t="str">
        <f>銘柄管理!C244</f>
        <v>デンソー</v>
      </c>
      <c r="C244" s="1">
        <f>_xll.RssMarket("6902","安値")</f>
        <v>1892</v>
      </c>
      <c r="E244" s="1">
        <v>1884</v>
      </c>
      <c r="F244" s="1">
        <v>1909.5</v>
      </c>
      <c r="G244" s="1">
        <v>1944.5</v>
      </c>
      <c r="H244" s="1">
        <v>2165.5</v>
      </c>
      <c r="I244" s="1">
        <v>2098.5</v>
      </c>
      <c r="J244" s="1">
        <v>2038</v>
      </c>
      <c r="K244" s="1">
        <v>1988.5</v>
      </c>
      <c r="L244" s="1">
        <v>1963.5</v>
      </c>
      <c r="M244" s="1">
        <v>1967</v>
      </c>
      <c r="N244" s="1">
        <v>1980</v>
      </c>
      <c r="O244" s="1">
        <v>1978</v>
      </c>
      <c r="P244" s="1">
        <v>1951</v>
      </c>
      <c r="Q244" s="1">
        <v>1939</v>
      </c>
      <c r="R244" s="1">
        <v>1931</v>
      </c>
      <c r="S244" s="1">
        <v>1917</v>
      </c>
      <c r="T244" s="1">
        <v>1924</v>
      </c>
      <c r="U244" s="1">
        <v>1917</v>
      </c>
      <c r="V244" s="1">
        <v>1945</v>
      </c>
      <c r="W244" s="1">
        <v>1972</v>
      </c>
      <c r="X244" s="1">
        <v>1961.5</v>
      </c>
      <c r="Y244" s="1">
        <v>1941</v>
      </c>
      <c r="Z244" s="1">
        <v>1892</v>
      </c>
      <c r="AA244" s="1">
        <v>1844.5</v>
      </c>
      <c r="AB244" s="1">
        <v>1867.5</v>
      </c>
      <c r="AC244" s="1">
        <v>1860.5</v>
      </c>
      <c r="AD244" s="1">
        <v>1858</v>
      </c>
      <c r="AE244" s="1">
        <v>1854</v>
      </c>
      <c r="AF244" s="1">
        <v>1864</v>
      </c>
      <c r="AG244" s="1">
        <v>1881.5</v>
      </c>
      <c r="AH244" s="1">
        <v>1877.5</v>
      </c>
      <c r="AI244" s="1">
        <v>1887</v>
      </c>
      <c r="AJ244" s="1">
        <v>1905.5</v>
      </c>
      <c r="AK244" s="1">
        <v>1900.5</v>
      </c>
      <c r="AL244" s="1">
        <v>1882.5</v>
      </c>
      <c r="AM244" s="1">
        <v>1876.5</v>
      </c>
      <c r="AN244" s="1">
        <v>1841</v>
      </c>
      <c r="AO244" s="1">
        <v>1813</v>
      </c>
      <c r="AP244" s="1">
        <v>1865</v>
      </c>
      <c r="AQ244" s="1">
        <v>1872</v>
      </c>
      <c r="AR244" s="1">
        <v>1870</v>
      </c>
      <c r="AS244" s="1">
        <v>1901.5</v>
      </c>
      <c r="AT244" s="1">
        <v>1861.5</v>
      </c>
      <c r="AU244" s="1">
        <v>1824.5</v>
      </c>
      <c r="AV244" s="1">
        <v>1868</v>
      </c>
      <c r="AW244" s="1">
        <v>1871.5</v>
      </c>
      <c r="AX244" s="1">
        <v>1852</v>
      </c>
      <c r="AY244" s="1">
        <v>1817</v>
      </c>
      <c r="AZ244" s="1">
        <v>1833.5</v>
      </c>
      <c r="BA244" s="1">
        <v>1843.5</v>
      </c>
      <c r="BB244" s="1">
        <v>1814.5</v>
      </c>
      <c r="BC244" s="1">
        <v>1835.5</v>
      </c>
      <c r="BD244" s="1">
        <v>1838.5</v>
      </c>
      <c r="BE244" s="1">
        <v>1885</v>
      </c>
      <c r="BF244" s="1">
        <v>1850</v>
      </c>
      <c r="BG244" s="1">
        <v>1872</v>
      </c>
      <c r="BH244" s="1">
        <v>1867</v>
      </c>
      <c r="BI244" s="1">
        <v>1873</v>
      </c>
      <c r="BJ244" s="1">
        <v>1912.5</v>
      </c>
      <c r="BK244" s="1">
        <v>1848</v>
      </c>
      <c r="BL244" s="1">
        <v>1850</v>
      </c>
      <c r="BM244" s="1">
        <v>1827</v>
      </c>
      <c r="BN244" s="1">
        <v>1801</v>
      </c>
      <c r="BO244" s="1">
        <v>1874</v>
      </c>
      <c r="BP244" s="1">
        <v>1864</v>
      </c>
      <c r="BQ244" s="1">
        <v>1885</v>
      </c>
      <c r="BR244" s="1">
        <v>1918</v>
      </c>
      <c r="BS244" s="1">
        <v>1936</v>
      </c>
      <c r="BT244" s="1">
        <v>1942</v>
      </c>
      <c r="BU244" s="1">
        <v>1921.5</v>
      </c>
      <c r="BV244" s="1">
        <v>1917.5</v>
      </c>
      <c r="BW244" s="1">
        <v>1915</v>
      </c>
      <c r="BX244" s="1">
        <v>1918.5</v>
      </c>
      <c r="BY244" s="1">
        <v>1909</v>
      </c>
      <c r="BZ244" s="1">
        <v>1933</v>
      </c>
    </row>
    <row r="245" spans="1:78">
      <c r="A245" s="62" t="s">
        <v>458</v>
      </c>
      <c r="B245" s="1" t="str">
        <f>銘柄管理!C245</f>
        <v>グローバルウェイ</v>
      </c>
      <c r="C245" s="1">
        <f>_xll.RssMarket("3936","安値")</f>
        <v>159</v>
      </c>
    </row>
    <row r="246" spans="1:78">
      <c r="A246" s="62" t="s">
        <v>459</v>
      </c>
      <c r="B246" s="1" t="str">
        <f>銘柄管理!C246</f>
        <v>エノモト</v>
      </c>
      <c r="C246" s="1">
        <f>_xll.RssMarket("6928","安値")</f>
        <v>2565</v>
      </c>
      <c r="E246" s="1">
        <v>2420</v>
      </c>
      <c r="F246" s="1">
        <v>2316</v>
      </c>
      <c r="G246" s="1">
        <v>2296</v>
      </c>
      <c r="H246" s="1">
        <v>2134</v>
      </c>
      <c r="I246" s="1">
        <v>2130</v>
      </c>
      <c r="J246" s="1">
        <v>2338</v>
      </c>
      <c r="K246" s="1">
        <v>2444</v>
      </c>
      <c r="L246" s="1">
        <v>2516</v>
      </c>
      <c r="M246" s="1">
        <v>2557</v>
      </c>
      <c r="N246" s="1">
        <v>2582</v>
      </c>
      <c r="O246" s="1">
        <v>2492</v>
      </c>
      <c r="P246" s="1">
        <v>2492</v>
      </c>
      <c r="Q246" s="1">
        <v>2820</v>
      </c>
      <c r="R246" s="1">
        <v>2817</v>
      </c>
      <c r="S246" s="1">
        <v>2865</v>
      </c>
      <c r="T246" s="1">
        <v>2838</v>
      </c>
      <c r="U246" s="1">
        <v>2760</v>
      </c>
      <c r="V246" s="1">
        <v>2725</v>
      </c>
      <c r="W246" s="1">
        <v>2791</v>
      </c>
      <c r="X246" s="1">
        <v>2851</v>
      </c>
      <c r="Y246" s="1">
        <v>2804</v>
      </c>
      <c r="Z246" s="1">
        <v>2900</v>
      </c>
      <c r="AA246" s="1">
        <v>3015</v>
      </c>
      <c r="AB246" s="1">
        <v>3035</v>
      </c>
      <c r="AC246" s="1">
        <v>3015</v>
      </c>
      <c r="AD246" s="1">
        <v>3125</v>
      </c>
      <c r="AE246" s="1">
        <v>3370</v>
      </c>
      <c r="AF246" s="1">
        <v>3305</v>
      </c>
      <c r="AG246" s="1">
        <v>3380</v>
      </c>
      <c r="AH246" s="1">
        <v>3465</v>
      </c>
      <c r="AI246" s="1">
        <v>3435</v>
      </c>
      <c r="AJ246" s="1">
        <v>3365</v>
      </c>
      <c r="AK246" s="1">
        <v>3275</v>
      </c>
      <c r="AL246" s="1">
        <v>3270</v>
      </c>
      <c r="AM246" s="1">
        <v>3230</v>
      </c>
      <c r="AN246" s="1">
        <v>3160</v>
      </c>
      <c r="AO246" s="1">
        <v>3270</v>
      </c>
      <c r="AP246" s="1">
        <v>3350</v>
      </c>
      <c r="AQ246" s="1">
        <v>3270</v>
      </c>
      <c r="AR246" s="1">
        <v>3540</v>
      </c>
      <c r="AS246" s="1">
        <v>3615</v>
      </c>
      <c r="AT246" s="1">
        <v>3655</v>
      </c>
      <c r="AU246" s="1">
        <v>3635</v>
      </c>
      <c r="AV246" s="1">
        <v>3735</v>
      </c>
      <c r="AW246" s="1">
        <v>3425</v>
      </c>
      <c r="AX246" s="1">
        <v>3505</v>
      </c>
      <c r="AY246" s="1">
        <v>3595</v>
      </c>
      <c r="AZ246" s="1">
        <v>3500</v>
      </c>
      <c r="BA246" s="1">
        <v>3485</v>
      </c>
      <c r="BB246" s="1">
        <v>3355</v>
      </c>
      <c r="BC246" s="1">
        <v>3380</v>
      </c>
      <c r="BD246" s="1">
        <v>3420</v>
      </c>
      <c r="BE246" s="1">
        <v>3405</v>
      </c>
      <c r="BF246" s="1">
        <v>3425</v>
      </c>
      <c r="BG246" s="1">
        <v>3380</v>
      </c>
      <c r="BH246" s="1">
        <v>3400</v>
      </c>
      <c r="BI246" s="1">
        <v>3355</v>
      </c>
      <c r="BJ246" s="1">
        <v>3500</v>
      </c>
      <c r="BK246" s="1">
        <v>3480</v>
      </c>
      <c r="BL246" s="1">
        <v>3200</v>
      </c>
      <c r="BM246" s="1">
        <v>3105</v>
      </c>
      <c r="BN246" s="1">
        <v>3160</v>
      </c>
      <c r="BO246" s="1">
        <v>3075</v>
      </c>
      <c r="BP246" s="1">
        <v>3140</v>
      </c>
      <c r="BQ246" s="1">
        <v>3090</v>
      </c>
      <c r="BR246" s="1">
        <v>3170</v>
      </c>
      <c r="BS246" s="1">
        <v>3205</v>
      </c>
      <c r="BT246" s="1">
        <v>3190</v>
      </c>
      <c r="BU246" s="1">
        <v>3210</v>
      </c>
      <c r="BV246" s="1">
        <v>3280</v>
      </c>
      <c r="BW246" s="1">
        <v>3230</v>
      </c>
      <c r="BX246" s="1">
        <v>3170</v>
      </c>
      <c r="BY246" s="1">
        <v>3105</v>
      </c>
      <c r="BZ246" s="1">
        <v>3085</v>
      </c>
    </row>
    <row r="247" spans="1:78">
      <c r="A247" s="62" t="s">
        <v>460</v>
      </c>
      <c r="B247" s="1" t="str">
        <f>銘柄管理!C247</f>
        <v>三菱製鋼</v>
      </c>
      <c r="C247" s="1">
        <f>_xll.RssMarket("5632","安値")</f>
        <v>2203</v>
      </c>
      <c r="E247" s="1">
        <v>2135</v>
      </c>
      <c r="F247" s="1">
        <v>2096</v>
      </c>
      <c r="G247" s="1">
        <v>2119</v>
      </c>
      <c r="H247" s="1">
        <v>2085</v>
      </c>
      <c r="I247" s="1">
        <v>2078</v>
      </c>
      <c r="J247" s="1">
        <v>2109</v>
      </c>
      <c r="K247" s="1">
        <v>2159</v>
      </c>
      <c r="M247" s="1">
        <v>2159</v>
      </c>
      <c r="N247" s="1">
        <v>2147</v>
      </c>
      <c r="O247" s="1">
        <v>2101</v>
      </c>
      <c r="P247" s="1">
        <v>2055</v>
      </c>
      <c r="Q247" s="1">
        <v>2146</v>
      </c>
      <c r="R247" s="1">
        <v>2088</v>
      </c>
      <c r="S247" s="1">
        <v>2059</v>
      </c>
      <c r="T247" s="1">
        <v>2107</v>
      </c>
      <c r="U247" s="1">
        <v>2091</v>
      </c>
      <c r="V247" s="1">
        <v>2120</v>
      </c>
      <c r="W247" s="1">
        <v>2170</v>
      </c>
      <c r="X247" s="1">
        <v>2183</v>
      </c>
      <c r="Y247" s="1">
        <v>2151</v>
      </c>
      <c r="Z247" s="1">
        <v>2111</v>
      </c>
      <c r="AA247" s="1">
        <v>2140</v>
      </c>
      <c r="AB247" s="1">
        <v>2128</v>
      </c>
      <c r="AC247" s="1">
        <v>2158</v>
      </c>
      <c r="AD247" s="1">
        <v>2158</v>
      </c>
      <c r="AE247" s="1">
        <v>2217</v>
      </c>
      <c r="AF247" s="1">
        <v>2202</v>
      </c>
      <c r="AG247" s="1">
        <v>2257</v>
      </c>
      <c r="AH247" s="1">
        <v>2315</v>
      </c>
      <c r="AI247" s="1">
        <v>2287</v>
      </c>
      <c r="AJ247" s="1">
        <v>2167</v>
      </c>
      <c r="AK247" s="1">
        <v>2141</v>
      </c>
      <c r="AL247" s="1">
        <v>2162</v>
      </c>
      <c r="AM247" s="1">
        <v>2169</v>
      </c>
      <c r="AN247" s="1">
        <v>2130</v>
      </c>
      <c r="AO247" s="1">
        <v>2041</v>
      </c>
      <c r="AP247" s="1">
        <v>2072</v>
      </c>
      <c r="AQ247" s="1">
        <v>2037</v>
      </c>
      <c r="AR247" s="1">
        <v>2115</v>
      </c>
      <c r="AS247" s="1">
        <v>2044</v>
      </c>
      <c r="AT247" s="1">
        <v>2079</v>
      </c>
      <c r="AU247" s="1">
        <v>2042</v>
      </c>
      <c r="AV247" s="1">
        <v>2128</v>
      </c>
      <c r="AW247" s="1">
        <v>2094</v>
      </c>
      <c r="AX247" s="1">
        <v>2115</v>
      </c>
      <c r="AY247" s="1">
        <v>2102</v>
      </c>
      <c r="AZ247" s="1">
        <v>2104</v>
      </c>
      <c r="BA247" s="1">
        <v>2047</v>
      </c>
      <c r="BB247" s="1">
        <v>1993</v>
      </c>
      <c r="BC247" s="1">
        <v>2061</v>
      </c>
      <c r="BD247" s="1">
        <v>2037</v>
      </c>
      <c r="BE247" s="1">
        <v>2054</v>
      </c>
      <c r="BF247" s="1">
        <v>1994</v>
      </c>
      <c r="BG247" s="1">
        <v>1819</v>
      </c>
      <c r="BH247" s="1">
        <v>1857</v>
      </c>
      <c r="BI247" s="1">
        <v>1800</v>
      </c>
      <c r="BJ247" s="1">
        <v>1815</v>
      </c>
      <c r="BK247" s="1">
        <v>1817</v>
      </c>
      <c r="BL247" s="1">
        <v>1774</v>
      </c>
      <c r="BM247" s="1">
        <v>1782</v>
      </c>
      <c r="BN247" s="1">
        <v>1780</v>
      </c>
      <c r="BO247" s="1">
        <v>1774</v>
      </c>
      <c r="BP247" s="1">
        <v>1776</v>
      </c>
      <c r="BQ247" s="1">
        <v>1788</v>
      </c>
      <c r="BR247" s="1">
        <v>1802</v>
      </c>
      <c r="BS247" s="1">
        <v>1823</v>
      </c>
      <c r="BT247" s="1">
        <v>1829</v>
      </c>
      <c r="BU247" s="1">
        <v>1821</v>
      </c>
      <c r="BV247" s="1">
        <v>1821</v>
      </c>
      <c r="BW247" s="1">
        <v>1813</v>
      </c>
      <c r="BX247" s="1">
        <v>1798</v>
      </c>
      <c r="BY247" s="1">
        <v>1782</v>
      </c>
      <c r="BZ247" s="1">
        <v>1790</v>
      </c>
    </row>
    <row r="248" spans="1:78">
      <c r="A248" s="62" t="s">
        <v>461</v>
      </c>
      <c r="B248" s="1" t="str">
        <f>銘柄管理!C248</f>
        <v>リクルートホールディングス</v>
      </c>
      <c r="C248" s="1">
        <f>_xll.RssMarket("6098","安値")</f>
        <v>12550</v>
      </c>
      <c r="E248" s="1">
        <v>12190</v>
      </c>
      <c r="F248" s="1">
        <v>12085</v>
      </c>
      <c r="G248" s="1">
        <v>12385</v>
      </c>
      <c r="H248" s="1">
        <v>12710</v>
      </c>
      <c r="I248" s="1">
        <v>12640</v>
      </c>
      <c r="J248" s="1">
        <v>12305</v>
      </c>
      <c r="K248" s="1">
        <v>12280</v>
      </c>
      <c r="L248" s="1">
        <v>11905</v>
      </c>
      <c r="M248" s="1">
        <v>12190</v>
      </c>
      <c r="N248" s="1">
        <v>12250</v>
      </c>
      <c r="O248" s="1">
        <v>12500</v>
      </c>
      <c r="P248" s="1">
        <v>12605</v>
      </c>
      <c r="Q248" s="1">
        <v>12335</v>
      </c>
      <c r="R248" s="1">
        <v>12545</v>
      </c>
      <c r="S248" s="1">
        <v>11990</v>
      </c>
      <c r="T248" s="1">
        <v>12105</v>
      </c>
      <c r="U248" s="1">
        <v>12150</v>
      </c>
      <c r="V248" s="1">
        <v>12180</v>
      </c>
      <c r="W248" s="1">
        <v>11975</v>
      </c>
      <c r="X248" s="1">
        <v>11720</v>
      </c>
      <c r="Y248" s="1">
        <v>11820</v>
      </c>
      <c r="Z248" s="1">
        <v>11585</v>
      </c>
      <c r="AA248" s="1">
        <v>11455</v>
      </c>
      <c r="AB248" s="1">
        <v>11240</v>
      </c>
      <c r="AC248" s="1">
        <v>11055</v>
      </c>
      <c r="AD248" s="1">
        <v>10915</v>
      </c>
      <c r="AE248" s="1">
        <v>11025</v>
      </c>
      <c r="AF248" s="1">
        <v>10865</v>
      </c>
      <c r="AG248" s="1">
        <v>10945</v>
      </c>
      <c r="AH248" s="1">
        <v>10770</v>
      </c>
      <c r="AI248" s="1">
        <v>10685</v>
      </c>
      <c r="AJ248" s="1">
        <v>11165</v>
      </c>
      <c r="AK248" s="1">
        <v>10505</v>
      </c>
      <c r="AL248" s="1">
        <v>10520</v>
      </c>
      <c r="AM248" s="1">
        <v>10700</v>
      </c>
      <c r="AN248" s="1">
        <v>10760</v>
      </c>
      <c r="AO248" s="1">
        <v>10990</v>
      </c>
      <c r="AP248" s="1">
        <v>11125</v>
      </c>
      <c r="AQ248" s="1">
        <v>10635</v>
      </c>
      <c r="AR248" s="1">
        <v>10555</v>
      </c>
      <c r="AS248" s="1">
        <v>10560</v>
      </c>
      <c r="AT248" s="1">
        <v>10540</v>
      </c>
      <c r="AU248" s="1">
        <v>10695</v>
      </c>
      <c r="AV248" s="1">
        <v>10325</v>
      </c>
      <c r="AW248" s="1">
        <v>9933</v>
      </c>
      <c r="AX248" s="1">
        <v>9907</v>
      </c>
      <c r="AY248" s="1">
        <v>9537</v>
      </c>
      <c r="AZ248" s="1">
        <v>9401</v>
      </c>
      <c r="BA248" s="1">
        <v>9504</v>
      </c>
      <c r="BB248" s="1">
        <v>9600</v>
      </c>
      <c r="BC248" s="1">
        <v>9308</v>
      </c>
      <c r="BD248" s="1">
        <v>8800</v>
      </c>
      <c r="BE248" s="1">
        <v>7670</v>
      </c>
      <c r="BF248" s="1">
        <v>7542</v>
      </c>
      <c r="BG248" s="1">
        <v>7660</v>
      </c>
      <c r="BH248" s="1">
        <v>7508</v>
      </c>
      <c r="BI248" s="1">
        <v>7680</v>
      </c>
      <c r="BJ248" s="1">
        <v>7781</v>
      </c>
      <c r="BK248" s="1">
        <v>7358</v>
      </c>
      <c r="BL248" s="1">
        <v>7163</v>
      </c>
      <c r="BM248" s="1">
        <v>7102</v>
      </c>
      <c r="BN248" s="1">
        <v>7324</v>
      </c>
      <c r="BO248" s="1">
        <v>7273</v>
      </c>
      <c r="BP248" s="1">
        <v>7211</v>
      </c>
      <c r="BQ248" s="1">
        <v>7382</v>
      </c>
      <c r="BR248" s="1">
        <v>7826</v>
      </c>
      <c r="BS248" s="1">
        <v>7572</v>
      </c>
      <c r="BT248" s="1">
        <v>7482</v>
      </c>
      <c r="BU248" s="1">
        <v>7270</v>
      </c>
      <c r="BV248" s="1">
        <v>7241</v>
      </c>
      <c r="BW248" s="1">
        <v>6960</v>
      </c>
      <c r="BX248" s="1">
        <v>6985</v>
      </c>
      <c r="BY248" s="1">
        <v>6902</v>
      </c>
      <c r="BZ248" s="1">
        <v>6995</v>
      </c>
    </row>
    <row r="249" spans="1:78">
      <c r="A249" s="62" t="s">
        <v>462</v>
      </c>
      <c r="B249" s="1" t="str">
        <f>銘柄管理!C249</f>
        <v>荏原製作所</v>
      </c>
      <c r="C249" s="1">
        <f>_xll.RssMarket("6361","安値")</f>
        <v>5867</v>
      </c>
      <c r="E249" s="1">
        <v>5523</v>
      </c>
      <c r="F249" s="1">
        <v>5252</v>
      </c>
      <c r="G249" s="1">
        <v>5436</v>
      </c>
      <c r="H249" s="1">
        <v>4768</v>
      </c>
      <c r="I249" s="1">
        <v>4708</v>
      </c>
      <c r="J249" s="1">
        <v>5108</v>
      </c>
      <c r="K249" s="1">
        <v>5547</v>
      </c>
      <c r="L249" s="1">
        <v>5590</v>
      </c>
      <c r="M249" s="1">
        <v>5682</v>
      </c>
      <c r="N249" s="1">
        <v>5578</v>
      </c>
      <c r="O249" s="1">
        <v>5292</v>
      </c>
      <c r="P249" s="1">
        <v>5210</v>
      </c>
      <c r="Q249" s="1">
        <v>6039</v>
      </c>
      <c r="R249" s="1">
        <v>5586</v>
      </c>
      <c r="S249" s="1">
        <v>5856</v>
      </c>
      <c r="T249" s="1">
        <v>5975</v>
      </c>
      <c r="U249" s="1">
        <v>5804</v>
      </c>
      <c r="V249" s="1">
        <v>5638</v>
      </c>
      <c r="W249" s="1">
        <v>5845</v>
      </c>
      <c r="X249" s="1">
        <v>5986</v>
      </c>
      <c r="Y249" s="1">
        <v>5677</v>
      </c>
      <c r="Z249" s="1">
        <v>5989</v>
      </c>
      <c r="AA249" s="1">
        <v>6226</v>
      </c>
      <c r="AB249" s="1">
        <v>6006</v>
      </c>
      <c r="AC249" s="1">
        <v>5984</v>
      </c>
      <c r="AD249" s="1">
        <v>6101</v>
      </c>
      <c r="AE249" s="1">
        <v>6251</v>
      </c>
      <c r="AF249" s="1">
        <v>6218</v>
      </c>
      <c r="AG249" s="1">
        <v>6342</v>
      </c>
      <c r="AH249" s="1">
        <v>6555</v>
      </c>
      <c r="AI249" s="1">
        <v>6477</v>
      </c>
      <c r="AJ249" s="1">
        <v>6538</v>
      </c>
      <c r="AK249" s="1">
        <v>6089</v>
      </c>
      <c r="AL249" s="1">
        <v>6074</v>
      </c>
      <c r="AM249" s="1">
        <v>5719</v>
      </c>
      <c r="AN249" s="1">
        <v>5471</v>
      </c>
      <c r="AO249" s="1">
        <v>5011</v>
      </c>
      <c r="AP249" s="1">
        <v>5171</v>
      </c>
      <c r="AQ249" s="1">
        <v>4969</v>
      </c>
      <c r="AR249" s="1">
        <v>5342</v>
      </c>
      <c r="AS249" s="1">
        <v>5375</v>
      </c>
      <c r="AT249" s="1">
        <v>5237</v>
      </c>
      <c r="AU249" s="1">
        <v>5247</v>
      </c>
      <c r="AV249" s="1">
        <v>5490</v>
      </c>
      <c r="AW249" s="1">
        <v>5361</v>
      </c>
      <c r="AX249" s="1">
        <v>5467</v>
      </c>
      <c r="AY249" s="1">
        <v>5651</v>
      </c>
      <c r="AZ249" s="1">
        <v>5278</v>
      </c>
      <c r="BA249" s="1">
        <v>4951</v>
      </c>
      <c r="BB249" s="1">
        <v>4870</v>
      </c>
      <c r="BC249" s="1">
        <v>5121</v>
      </c>
      <c r="BD249" s="1">
        <v>5279</v>
      </c>
      <c r="BE249" s="1">
        <v>5445</v>
      </c>
      <c r="BF249" s="1">
        <v>5727</v>
      </c>
      <c r="BG249" s="1">
        <v>5644</v>
      </c>
      <c r="BH249" s="1">
        <v>5797</v>
      </c>
      <c r="BI249" s="1">
        <v>5624</v>
      </c>
      <c r="BJ249" s="1">
        <v>5637</v>
      </c>
      <c r="BK249" s="1">
        <v>5651</v>
      </c>
      <c r="BL249" s="1">
        <v>5242</v>
      </c>
      <c r="BM249" s="1">
        <v>5272</v>
      </c>
      <c r="BN249" s="1">
        <v>5422</v>
      </c>
      <c r="BO249" s="1">
        <v>5231</v>
      </c>
      <c r="BP249" s="1">
        <v>5269</v>
      </c>
      <c r="BQ249" s="1">
        <v>5223</v>
      </c>
      <c r="BR249" s="1">
        <v>5171</v>
      </c>
      <c r="BS249" s="1">
        <v>5114</v>
      </c>
      <c r="BT249" s="1">
        <v>5050</v>
      </c>
      <c r="BU249" s="1">
        <v>4933</v>
      </c>
      <c r="BV249" s="1">
        <v>4965</v>
      </c>
      <c r="BW249" s="1">
        <v>4988</v>
      </c>
      <c r="BX249" s="1">
        <v>5166</v>
      </c>
      <c r="BY249" s="1">
        <v>5016</v>
      </c>
      <c r="BZ249" s="1">
        <v>4940</v>
      </c>
    </row>
    <row r="250" spans="1:78">
      <c r="A250" s="62" t="s">
        <v>463</v>
      </c>
      <c r="B250" s="1" t="str">
        <f>銘柄管理!C250</f>
        <v>情報戦略テクノロジー</v>
      </c>
      <c r="C250" s="1">
        <f>_xll.RssMarket("155A","安値")</f>
        <v>833</v>
      </c>
      <c r="E250" s="1">
        <v>823</v>
      </c>
      <c r="F250" s="1">
        <v>805</v>
      </c>
      <c r="G250" s="1">
        <v>823</v>
      </c>
      <c r="H250" s="1">
        <v>813</v>
      </c>
      <c r="I250" s="1">
        <v>807</v>
      </c>
      <c r="J250" s="1">
        <v>825</v>
      </c>
      <c r="K250" s="1">
        <v>843</v>
      </c>
      <c r="M250" s="1">
        <v>847</v>
      </c>
      <c r="N250" s="1">
        <v>858</v>
      </c>
      <c r="O250" s="1">
        <v>828</v>
      </c>
      <c r="P250" s="1">
        <v>824</v>
      </c>
      <c r="Q250" s="1">
        <v>893</v>
      </c>
      <c r="R250" s="1">
        <v>902</v>
      </c>
      <c r="S250" s="1">
        <v>885</v>
      </c>
      <c r="T250" s="1">
        <v>878</v>
      </c>
      <c r="U250" s="1">
        <v>870</v>
      </c>
      <c r="V250" s="1">
        <v>878</v>
      </c>
      <c r="W250" s="1">
        <v>896</v>
      </c>
      <c r="X250" s="1">
        <v>897</v>
      </c>
      <c r="Y250" s="1">
        <v>857</v>
      </c>
      <c r="Z250" s="1">
        <v>857</v>
      </c>
      <c r="AA250" s="1">
        <v>860</v>
      </c>
      <c r="AB250" s="1">
        <v>858</v>
      </c>
      <c r="AC250" s="1">
        <v>835</v>
      </c>
      <c r="AD250" s="1">
        <v>826</v>
      </c>
      <c r="AE250" s="1">
        <v>835</v>
      </c>
      <c r="AF250" s="1">
        <v>813</v>
      </c>
      <c r="AG250" s="1">
        <v>889</v>
      </c>
      <c r="AH250" s="1">
        <v>888</v>
      </c>
      <c r="AI250" s="1">
        <v>874</v>
      </c>
      <c r="AJ250" s="1">
        <v>872</v>
      </c>
      <c r="AK250" s="1">
        <v>830</v>
      </c>
      <c r="AL250" s="1">
        <v>816</v>
      </c>
      <c r="AM250" s="1">
        <v>832</v>
      </c>
      <c r="AN250" s="1">
        <v>830</v>
      </c>
      <c r="AO250" s="1">
        <v>853</v>
      </c>
      <c r="AP250" s="1">
        <v>860</v>
      </c>
      <c r="AQ250" s="1">
        <v>828</v>
      </c>
      <c r="AR250" s="1">
        <v>834</v>
      </c>
      <c r="AS250" s="1">
        <v>827</v>
      </c>
      <c r="AT250" s="1">
        <v>828</v>
      </c>
      <c r="AU250" s="1">
        <v>803</v>
      </c>
      <c r="AV250" s="1">
        <v>866</v>
      </c>
      <c r="AW250" s="1">
        <v>849</v>
      </c>
      <c r="AX250" s="1">
        <v>851</v>
      </c>
      <c r="AY250" s="1">
        <v>858</v>
      </c>
      <c r="AZ250" s="1">
        <v>824</v>
      </c>
      <c r="BA250" s="1">
        <v>837</v>
      </c>
      <c r="BB250" s="1">
        <v>823</v>
      </c>
      <c r="BC250" s="1">
        <v>855</v>
      </c>
      <c r="BD250" s="1">
        <v>867</v>
      </c>
      <c r="BE250" s="1">
        <v>831</v>
      </c>
      <c r="BF250" s="1">
        <v>727</v>
      </c>
      <c r="BG250" s="1">
        <v>751</v>
      </c>
      <c r="BH250" s="1">
        <v>785</v>
      </c>
      <c r="BI250" s="1">
        <v>798</v>
      </c>
      <c r="BJ250" s="1">
        <v>813</v>
      </c>
      <c r="BK250" s="1">
        <v>803</v>
      </c>
      <c r="BL250" s="1">
        <v>796</v>
      </c>
      <c r="BM250" s="1">
        <v>789</v>
      </c>
      <c r="BN250" s="1">
        <v>803</v>
      </c>
      <c r="BO250" s="1">
        <v>807</v>
      </c>
      <c r="BP250" s="1">
        <v>820</v>
      </c>
      <c r="BQ250" s="1">
        <v>825</v>
      </c>
      <c r="BR250" s="1">
        <v>844</v>
      </c>
      <c r="BS250" s="1">
        <v>832</v>
      </c>
      <c r="BT250" s="1">
        <v>833</v>
      </c>
      <c r="BU250" s="1">
        <v>830</v>
      </c>
      <c r="BV250" s="1">
        <v>829</v>
      </c>
      <c r="BW250" s="1">
        <v>813</v>
      </c>
      <c r="BX250" s="1">
        <v>806</v>
      </c>
      <c r="BY250" s="1">
        <v>794</v>
      </c>
      <c r="BZ250" s="1">
        <v>817</v>
      </c>
    </row>
    <row r="251" spans="1:78">
      <c r="A251" s="62" t="s">
        <v>464</v>
      </c>
      <c r="B251" s="1" t="str">
        <f>銘柄管理!C251</f>
        <v>ＴＥＲＲＡＤＲＯＮＥ</v>
      </c>
      <c r="C251" s="1">
        <f>_xll.RssMarket("278A","安値")</f>
        <v>13150</v>
      </c>
      <c r="E251" s="1">
        <v>12230</v>
      </c>
      <c r="F251" s="1">
        <v>10090</v>
      </c>
      <c r="G251" s="1">
        <v>9820</v>
      </c>
      <c r="H251" s="1">
        <v>9780</v>
      </c>
      <c r="I251" s="1">
        <v>9610</v>
      </c>
      <c r="J251" s="1">
        <v>10350</v>
      </c>
      <c r="K251" s="1">
        <v>11830</v>
      </c>
      <c r="L251" s="1">
        <v>11700</v>
      </c>
      <c r="M251" s="1">
        <v>13770</v>
      </c>
      <c r="N251" s="1">
        <v>15400</v>
      </c>
      <c r="O251" s="1">
        <v>14190</v>
      </c>
      <c r="P251" s="1">
        <v>12170</v>
      </c>
      <c r="Q251" s="1">
        <v>10690</v>
      </c>
      <c r="R251" s="1">
        <v>10480</v>
      </c>
      <c r="S251" s="1">
        <v>10520</v>
      </c>
      <c r="T251" s="1">
        <v>9240</v>
      </c>
      <c r="U251" s="1">
        <v>8610</v>
      </c>
      <c r="V251" s="1">
        <v>8700</v>
      </c>
      <c r="W251" s="1">
        <v>8990</v>
      </c>
      <c r="X251" s="1">
        <v>8820</v>
      </c>
      <c r="Y251" s="1">
        <v>7870</v>
      </c>
      <c r="Z251" s="1">
        <v>7710</v>
      </c>
      <c r="AA251" s="1">
        <v>7640</v>
      </c>
      <c r="AB251" s="1">
        <v>7580</v>
      </c>
      <c r="AC251" s="1">
        <v>7650</v>
      </c>
      <c r="AD251" s="1">
        <v>7570</v>
      </c>
      <c r="AE251" s="1">
        <v>7860</v>
      </c>
      <c r="AF251" s="1">
        <v>7920</v>
      </c>
      <c r="AG251" s="1">
        <v>7920</v>
      </c>
      <c r="AH251" s="1">
        <v>7830</v>
      </c>
      <c r="AI251" s="1">
        <v>7820</v>
      </c>
      <c r="AJ251" s="1">
        <v>7840</v>
      </c>
      <c r="AK251" s="1">
        <v>7940</v>
      </c>
      <c r="AL251" s="1">
        <v>8350</v>
      </c>
      <c r="AM251" s="1">
        <v>7050</v>
      </c>
      <c r="AN251" s="1">
        <v>8100</v>
      </c>
      <c r="AO251" s="1">
        <v>8080</v>
      </c>
      <c r="AP251" s="1">
        <v>8520</v>
      </c>
      <c r="AQ251" s="1">
        <v>7930</v>
      </c>
      <c r="AR251" s="1">
        <v>7890</v>
      </c>
      <c r="AS251" s="1">
        <v>7820</v>
      </c>
      <c r="AT251" s="1">
        <v>8230</v>
      </c>
      <c r="AU251" s="1">
        <v>8350</v>
      </c>
      <c r="AV251" s="1">
        <v>9690</v>
      </c>
      <c r="AW251" s="1">
        <v>8900</v>
      </c>
      <c r="AX251" s="1">
        <v>8660</v>
      </c>
      <c r="AY251" s="1">
        <v>10440</v>
      </c>
      <c r="AZ251" s="1">
        <v>10550</v>
      </c>
      <c r="BA251" s="1">
        <v>10270</v>
      </c>
      <c r="BB251" s="1">
        <v>11030</v>
      </c>
      <c r="BC251" s="1">
        <v>12350</v>
      </c>
      <c r="BD251" s="1">
        <v>11220</v>
      </c>
      <c r="BE251" s="1">
        <v>10930</v>
      </c>
      <c r="BF251" s="1">
        <v>10500</v>
      </c>
      <c r="BG251" s="1">
        <v>9420</v>
      </c>
      <c r="BH251" s="1">
        <v>12400</v>
      </c>
      <c r="BI251" s="1">
        <v>15060</v>
      </c>
      <c r="BJ251" s="1">
        <v>12020</v>
      </c>
      <c r="BK251" s="1">
        <v>11100</v>
      </c>
      <c r="BL251" s="1">
        <v>9960</v>
      </c>
      <c r="BM251" s="1">
        <v>8000</v>
      </c>
      <c r="BN251" s="1">
        <v>7030</v>
      </c>
      <c r="BO251" s="1">
        <v>7230</v>
      </c>
      <c r="BP251" s="1">
        <v>7780</v>
      </c>
      <c r="BQ251" s="1">
        <v>7170</v>
      </c>
      <c r="BR251" s="1">
        <v>6830</v>
      </c>
      <c r="BS251" s="1">
        <v>6100</v>
      </c>
      <c r="BT251" s="1">
        <v>6390</v>
      </c>
      <c r="BU251" s="1">
        <v>6320</v>
      </c>
      <c r="BV251" s="1">
        <v>6230</v>
      </c>
      <c r="BW251" s="1">
        <v>5510</v>
      </c>
      <c r="BX251" s="1">
        <v>5460</v>
      </c>
      <c r="BY251" s="1">
        <v>5310</v>
      </c>
      <c r="BZ251" s="1">
        <v>4370</v>
      </c>
    </row>
    <row r="252" spans="1:78">
      <c r="A252" s="62" t="s">
        <v>465</v>
      </c>
      <c r="B252" s="1" t="str">
        <f>銘柄管理!C252</f>
        <v>ＭＩＣ</v>
      </c>
      <c r="C252" s="1">
        <f>_xll.RssMarket("300A","安値")</f>
        <v>2910</v>
      </c>
      <c r="E252" s="1">
        <v>2960</v>
      </c>
      <c r="F252" s="1">
        <v>2921</v>
      </c>
      <c r="G252" s="1">
        <v>2985</v>
      </c>
      <c r="H252" s="1">
        <v>2956</v>
      </c>
      <c r="I252" s="1">
        <v>2950</v>
      </c>
      <c r="J252" s="1">
        <v>2903</v>
      </c>
      <c r="K252" s="1">
        <v>2860</v>
      </c>
      <c r="M252" s="1">
        <v>2958</v>
      </c>
      <c r="N252" s="1">
        <v>2900</v>
      </c>
      <c r="O252" s="1">
        <v>2885</v>
      </c>
      <c r="P252" s="1">
        <v>2847</v>
      </c>
      <c r="Q252" s="1">
        <v>2820</v>
      </c>
      <c r="R252" s="1">
        <v>2821</v>
      </c>
      <c r="S252" s="1">
        <v>2831</v>
      </c>
      <c r="T252" s="1">
        <v>2873</v>
      </c>
      <c r="U252" s="1">
        <v>2860</v>
      </c>
      <c r="V252" s="1">
        <v>2882</v>
      </c>
      <c r="W252" s="1">
        <v>2871</v>
      </c>
      <c r="X252" s="1">
        <v>2902</v>
      </c>
      <c r="Y252" s="1">
        <v>2909</v>
      </c>
      <c r="Z252" s="1">
        <v>2917</v>
      </c>
      <c r="AA252" s="1">
        <v>2887</v>
      </c>
      <c r="AB252" s="1">
        <v>2900</v>
      </c>
      <c r="AC252" s="1">
        <v>2850</v>
      </c>
      <c r="AD252" s="1">
        <v>2766</v>
      </c>
      <c r="AE252" s="1">
        <v>2765</v>
      </c>
      <c r="AF252" s="1">
        <v>2751</v>
      </c>
      <c r="AG252" s="1">
        <v>2792</v>
      </c>
      <c r="AH252" s="1">
        <v>2790</v>
      </c>
      <c r="AI252" s="1">
        <v>2773</v>
      </c>
      <c r="AJ252" s="1">
        <v>2725</v>
      </c>
      <c r="AK252" s="1">
        <v>2810</v>
      </c>
      <c r="AL252" s="1">
        <v>2797</v>
      </c>
      <c r="AM252" s="1">
        <v>2775</v>
      </c>
      <c r="AN252" s="1">
        <v>2764</v>
      </c>
      <c r="AO252" s="1">
        <v>2737</v>
      </c>
      <c r="AP252" s="1">
        <v>2797</v>
      </c>
      <c r="AQ252" s="1">
        <v>2719</v>
      </c>
      <c r="AR252" s="1">
        <v>2754</v>
      </c>
      <c r="AS252" s="1">
        <v>2733</v>
      </c>
      <c r="AT252" s="1">
        <v>2753</v>
      </c>
      <c r="AU252" s="1">
        <v>2752</v>
      </c>
      <c r="AV252" s="1">
        <v>2835</v>
      </c>
      <c r="AW252" s="1">
        <v>2810</v>
      </c>
      <c r="AX252" s="1">
        <v>2833</v>
      </c>
      <c r="AY252" s="1">
        <v>2869</v>
      </c>
      <c r="AZ252" s="1">
        <v>2864</v>
      </c>
      <c r="BA252" s="1">
        <v>2836</v>
      </c>
      <c r="BB252" s="1">
        <v>2874</v>
      </c>
      <c r="BC252" s="1">
        <v>2848</v>
      </c>
      <c r="BD252" s="1">
        <v>2748</v>
      </c>
      <c r="BE252" s="1">
        <v>2904</v>
      </c>
      <c r="BF252" s="1">
        <v>2595</v>
      </c>
      <c r="BG252" s="1">
        <v>2753</v>
      </c>
      <c r="BH252" s="1">
        <v>2731</v>
      </c>
      <c r="BI252" s="1">
        <v>2777</v>
      </c>
      <c r="BJ252" s="1">
        <v>2709</v>
      </c>
      <c r="BK252" s="1">
        <v>2733</v>
      </c>
      <c r="BL252" s="1">
        <v>2687</v>
      </c>
      <c r="BM252" s="1">
        <v>2747</v>
      </c>
      <c r="BN252" s="1">
        <v>2783</v>
      </c>
      <c r="BO252" s="1">
        <v>2720</v>
      </c>
      <c r="BP252" s="1">
        <v>2859</v>
      </c>
      <c r="BQ252" s="1">
        <v>2931</v>
      </c>
      <c r="BR252" s="1">
        <v>3045</v>
      </c>
      <c r="BS252" s="1">
        <v>3005</v>
      </c>
      <c r="BT252" s="1">
        <v>2982</v>
      </c>
      <c r="BU252" s="1">
        <v>2964</v>
      </c>
      <c r="BV252" s="1">
        <v>2964</v>
      </c>
      <c r="BW252" s="1">
        <v>2879</v>
      </c>
      <c r="BX252" s="1">
        <v>2868</v>
      </c>
      <c r="BY252" s="1">
        <v>2828</v>
      </c>
      <c r="BZ252" s="1">
        <v>2853</v>
      </c>
    </row>
    <row r="253" spans="1:78">
      <c r="A253" s="62" t="s">
        <v>466</v>
      </c>
      <c r="B253" s="1" t="str">
        <f>銘柄管理!C253</f>
        <v>サイボウズ</v>
      </c>
      <c r="C253" s="1">
        <f>_xll.RssMarket("4776","安値")</f>
        <v>2685</v>
      </c>
      <c r="E253" s="1">
        <v>2663</v>
      </c>
      <c r="F253" s="1">
        <v>2613</v>
      </c>
      <c r="G253" s="1">
        <v>2660</v>
      </c>
      <c r="H253" s="1">
        <v>2733</v>
      </c>
      <c r="I253" s="1">
        <v>2660</v>
      </c>
      <c r="J253" s="1">
        <v>2613</v>
      </c>
      <c r="K253" s="1">
        <v>2516</v>
      </c>
      <c r="L253" s="1">
        <v>2431</v>
      </c>
      <c r="M253" s="1">
        <v>2440</v>
      </c>
      <c r="N253" s="1">
        <v>2518</v>
      </c>
      <c r="O253" s="1">
        <v>2606</v>
      </c>
      <c r="P253" s="1">
        <v>2539</v>
      </c>
      <c r="Q253" s="1">
        <v>2514</v>
      </c>
      <c r="R253" s="1">
        <v>2580</v>
      </c>
      <c r="S253" s="1">
        <v>2548</v>
      </c>
      <c r="T253" s="1">
        <v>2586</v>
      </c>
      <c r="U253" s="1">
        <v>2490</v>
      </c>
      <c r="V253" s="1">
        <v>2565</v>
      </c>
      <c r="W253" s="1">
        <v>2569</v>
      </c>
      <c r="X253" s="1">
        <v>2490</v>
      </c>
      <c r="Y253" s="1">
        <v>2484</v>
      </c>
      <c r="Z253" s="1">
        <v>2373</v>
      </c>
      <c r="AA253" s="1">
        <v>2231</v>
      </c>
      <c r="AB253" s="1">
        <v>2253</v>
      </c>
      <c r="AC253" s="1">
        <v>2265</v>
      </c>
      <c r="AD253" s="1">
        <v>2106</v>
      </c>
      <c r="AE253" s="1">
        <v>2151</v>
      </c>
      <c r="AF253" s="1">
        <v>2181</v>
      </c>
      <c r="AG253" s="1">
        <v>2212</v>
      </c>
      <c r="AH253" s="1">
        <v>2280</v>
      </c>
      <c r="AI253" s="1">
        <v>2307</v>
      </c>
      <c r="AJ253" s="1">
        <v>2301</v>
      </c>
      <c r="AK253" s="1">
        <v>2266</v>
      </c>
      <c r="AL253" s="1">
        <v>2285</v>
      </c>
      <c r="AM253" s="1">
        <v>2306</v>
      </c>
      <c r="AN253" s="1">
        <v>2235</v>
      </c>
      <c r="AO253" s="1">
        <v>2274</v>
      </c>
      <c r="AP253" s="1">
        <v>2309</v>
      </c>
      <c r="AQ253" s="1">
        <v>2361</v>
      </c>
      <c r="AR253" s="1">
        <v>2425</v>
      </c>
      <c r="AS253" s="1">
        <v>2385</v>
      </c>
      <c r="AT253" s="1">
        <v>2468</v>
      </c>
      <c r="AU253" s="1">
        <v>2572</v>
      </c>
      <c r="AV253" s="1">
        <v>2537</v>
      </c>
      <c r="AW253" s="1">
        <v>2506</v>
      </c>
      <c r="AX253" s="1">
        <v>2523</v>
      </c>
      <c r="AY253" s="1">
        <v>2500</v>
      </c>
      <c r="AZ253" s="1">
        <v>2474</v>
      </c>
      <c r="BA253" s="1">
        <v>2469</v>
      </c>
      <c r="BB253" s="1">
        <v>2416</v>
      </c>
      <c r="BC253" s="1">
        <v>2372</v>
      </c>
      <c r="BD253" s="1">
        <v>2320</v>
      </c>
      <c r="BE253" s="1">
        <v>2265</v>
      </c>
      <c r="BF253" s="1">
        <v>2086</v>
      </c>
      <c r="BG253" s="1">
        <v>2126</v>
      </c>
      <c r="BH253" s="1">
        <v>2115</v>
      </c>
      <c r="BI253" s="1">
        <v>2150</v>
      </c>
      <c r="BJ253" s="1">
        <v>2108</v>
      </c>
      <c r="BK253" s="1">
        <v>2047</v>
      </c>
      <c r="BL253" s="1">
        <v>2076</v>
      </c>
      <c r="BM253" s="1">
        <v>2050</v>
      </c>
      <c r="BN253" s="1">
        <v>2099</v>
      </c>
      <c r="BO253" s="1">
        <v>2098</v>
      </c>
      <c r="BP253" s="1">
        <v>2095</v>
      </c>
      <c r="BQ253" s="1">
        <v>2086</v>
      </c>
      <c r="BR253" s="1">
        <v>2136</v>
      </c>
      <c r="BS253" s="1">
        <v>2133</v>
      </c>
      <c r="BT253" s="1">
        <v>2177</v>
      </c>
      <c r="BU253" s="1">
        <v>2226</v>
      </c>
      <c r="BV253" s="1">
        <v>2185</v>
      </c>
      <c r="BW253" s="1">
        <v>2064</v>
      </c>
      <c r="BX253" s="1">
        <v>2014</v>
      </c>
      <c r="BY253" s="1">
        <v>1948</v>
      </c>
      <c r="BZ253" s="1">
        <v>1965</v>
      </c>
    </row>
    <row r="254" spans="1:78">
      <c r="A254" s="62" t="s">
        <v>467</v>
      </c>
      <c r="B254" s="1" t="str">
        <f>銘柄管理!C254</f>
        <v>トレンドマイクロ</v>
      </c>
      <c r="C254" s="1">
        <f>_xll.RssMarket("4704","安値")</f>
        <v>6403</v>
      </c>
      <c r="E254" s="1">
        <v>6398</v>
      </c>
      <c r="F254" s="1">
        <v>6228</v>
      </c>
      <c r="G254" s="1">
        <v>6320</v>
      </c>
      <c r="H254" s="1">
        <v>6607</v>
      </c>
      <c r="I254" s="1">
        <v>6589</v>
      </c>
      <c r="J254" s="1">
        <v>6501</v>
      </c>
      <c r="K254" s="1">
        <v>6301</v>
      </c>
      <c r="L254" s="1">
        <v>6121</v>
      </c>
      <c r="M254" s="1">
        <v>6138</v>
      </c>
      <c r="N254" s="1">
        <v>6200</v>
      </c>
      <c r="O254" s="1">
        <v>6364</v>
      </c>
      <c r="P254" s="1">
        <v>6390</v>
      </c>
      <c r="Q254" s="1">
        <v>6310</v>
      </c>
      <c r="R254" s="1">
        <v>6275</v>
      </c>
      <c r="S254" s="1">
        <v>6127</v>
      </c>
      <c r="T254" s="1">
        <v>6175</v>
      </c>
      <c r="U254" s="1">
        <v>6165</v>
      </c>
      <c r="V254" s="1">
        <v>6174</v>
      </c>
      <c r="W254" s="1">
        <v>6309</v>
      </c>
      <c r="X254" s="1">
        <v>6236</v>
      </c>
      <c r="Y254" s="1">
        <v>6255</v>
      </c>
      <c r="Z254" s="1">
        <v>6181</v>
      </c>
      <c r="AA254" s="1">
        <v>5885</v>
      </c>
      <c r="AB254" s="1">
        <v>5917</v>
      </c>
      <c r="AC254" s="1">
        <v>5750</v>
      </c>
      <c r="AD254" s="1">
        <v>5500</v>
      </c>
      <c r="AE254" s="1">
        <v>5566</v>
      </c>
      <c r="AF254" s="1">
        <v>5528</v>
      </c>
      <c r="AG254" s="1">
        <v>5419</v>
      </c>
      <c r="AH254" s="1">
        <v>5606</v>
      </c>
      <c r="AI254" s="1">
        <v>5606</v>
      </c>
      <c r="AJ254" s="1">
        <v>5727</v>
      </c>
      <c r="AK254" s="1">
        <v>5717</v>
      </c>
      <c r="AL254" s="1">
        <v>5662</v>
      </c>
      <c r="AM254" s="1">
        <v>5833</v>
      </c>
      <c r="AN254" s="1">
        <v>5900</v>
      </c>
      <c r="AO254" s="1">
        <v>6092</v>
      </c>
      <c r="AP254" s="1">
        <v>6113</v>
      </c>
      <c r="AQ254" s="1">
        <v>6302</v>
      </c>
      <c r="AR254" s="1">
        <v>6615</v>
      </c>
      <c r="AS254" s="1">
        <v>6040</v>
      </c>
      <c r="AT254" s="1">
        <v>6103</v>
      </c>
      <c r="AU254" s="1">
        <v>6310</v>
      </c>
      <c r="AV254" s="1">
        <v>5977</v>
      </c>
      <c r="AW254" s="1">
        <v>5865</v>
      </c>
      <c r="AX254" s="1">
        <v>5993</v>
      </c>
      <c r="AY254" s="1">
        <v>6072</v>
      </c>
      <c r="AZ254" s="1">
        <v>6009</v>
      </c>
      <c r="BA254" s="1">
        <v>5861</v>
      </c>
      <c r="BB254" s="1">
        <v>5854</v>
      </c>
      <c r="BC254" s="1">
        <v>6024</v>
      </c>
      <c r="BD254" s="1">
        <v>5682</v>
      </c>
      <c r="BE254" s="1">
        <v>5307</v>
      </c>
      <c r="BF254" s="1">
        <v>5375</v>
      </c>
      <c r="BG254" s="1">
        <v>5605</v>
      </c>
      <c r="BH254" s="1">
        <v>5569</v>
      </c>
      <c r="BI254" s="1">
        <v>5612</v>
      </c>
      <c r="BJ254" s="1">
        <v>5581</v>
      </c>
      <c r="BK254" s="1">
        <v>5259</v>
      </c>
      <c r="BL254" s="1">
        <v>5226</v>
      </c>
      <c r="BM254" s="1">
        <v>5386</v>
      </c>
      <c r="BN254" s="1">
        <v>5468</v>
      </c>
      <c r="BO254" s="1">
        <v>5476</v>
      </c>
      <c r="BP254" s="1">
        <v>5560</v>
      </c>
      <c r="BQ254" s="1">
        <v>5682</v>
      </c>
      <c r="BR254" s="1">
        <v>5853</v>
      </c>
      <c r="BS254" s="1">
        <v>5863</v>
      </c>
      <c r="BT254" s="1">
        <v>5756</v>
      </c>
      <c r="BU254" s="1">
        <v>5965</v>
      </c>
      <c r="BV254" s="1">
        <v>5826</v>
      </c>
      <c r="BW254" s="1">
        <v>5424</v>
      </c>
      <c r="BX254" s="1">
        <v>5267</v>
      </c>
      <c r="BY254" s="1">
        <v>5065</v>
      </c>
      <c r="BZ254" s="1">
        <v>5094</v>
      </c>
    </row>
    <row r="255" spans="1:78">
      <c r="A255" s="62" t="s">
        <v>468</v>
      </c>
      <c r="B255" s="1" t="str">
        <f>銘柄管理!C255</f>
        <v>栗田工業</v>
      </c>
      <c r="C255" s="1">
        <f>_xll.RssMarket("6370","安値")</f>
        <v>9037</v>
      </c>
      <c r="E255" s="1">
        <v>8585</v>
      </c>
      <c r="F255" s="1">
        <v>8366</v>
      </c>
      <c r="G255" s="1">
        <v>8536</v>
      </c>
      <c r="H255" s="1">
        <v>8060</v>
      </c>
      <c r="I255" s="1">
        <v>8015</v>
      </c>
      <c r="J255" s="1">
        <v>8268</v>
      </c>
      <c r="K255" s="1">
        <v>8740</v>
      </c>
      <c r="L255" s="1">
        <v>8844</v>
      </c>
      <c r="M255" s="1">
        <v>8870</v>
      </c>
      <c r="N255" s="1">
        <v>8825</v>
      </c>
      <c r="O255" s="1">
        <v>8590</v>
      </c>
      <c r="P255" s="1">
        <v>8383</v>
      </c>
      <c r="Q255" s="1">
        <v>9114</v>
      </c>
      <c r="R255" s="1">
        <v>8820</v>
      </c>
      <c r="S255" s="1">
        <v>8982</v>
      </c>
      <c r="T255" s="1">
        <v>8973</v>
      </c>
      <c r="U255" s="1">
        <v>8759</v>
      </c>
      <c r="V255" s="1">
        <v>8615</v>
      </c>
      <c r="W255" s="1">
        <v>8939</v>
      </c>
      <c r="X255" s="1">
        <v>9382</v>
      </c>
      <c r="Y255" s="1">
        <v>8876</v>
      </c>
      <c r="Z255" s="1">
        <v>9012</v>
      </c>
      <c r="AA255" s="1">
        <v>9336</v>
      </c>
      <c r="AB255" s="1">
        <v>9024</v>
      </c>
      <c r="AC255" s="1">
        <v>8726</v>
      </c>
      <c r="AD255" s="1">
        <v>8949</v>
      </c>
      <c r="AE255" s="1">
        <v>9328</v>
      </c>
      <c r="AF255" s="1">
        <v>9000</v>
      </c>
      <c r="AG255" s="1">
        <v>9274</v>
      </c>
      <c r="AH255" s="1">
        <v>9486</v>
      </c>
      <c r="AI255" s="1">
        <v>9476</v>
      </c>
      <c r="AJ255" s="1">
        <v>9325</v>
      </c>
      <c r="AK255" s="1">
        <v>9206</v>
      </c>
      <c r="AL255" s="1">
        <v>8700</v>
      </c>
      <c r="AM255" s="1">
        <v>8524</v>
      </c>
      <c r="AN255" s="1">
        <v>8267</v>
      </c>
      <c r="AO255" s="1">
        <v>7740</v>
      </c>
      <c r="AP255" s="1">
        <v>8125</v>
      </c>
      <c r="AQ255" s="1">
        <v>8148</v>
      </c>
      <c r="AR255" s="1">
        <v>8660</v>
      </c>
      <c r="AS255" s="1">
        <v>8702</v>
      </c>
      <c r="AT255" s="1">
        <v>8653</v>
      </c>
      <c r="AU255" s="1">
        <v>8327</v>
      </c>
      <c r="AV255" s="1">
        <v>8662</v>
      </c>
      <c r="AW255" s="1">
        <v>8535</v>
      </c>
      <c r="AX255" s="1">
        <v>8725</v>
      </c>
      <c r="AY255" s="1">
        <v>8735</v>
      </c>
      <c r="AZ255" s="1">
        <v>8684</v>
      </c>
      <c r="BA255" s="1">
        <v>8456</v>
      </c>
      <c r="BB255" s="1">
        <v>8276</v>
      </c>
      <c r="BC255" s="1">
        <v>8738</v>
      </c>
      <c r="BD255" s="1">
        <v>8661</v>
      </c>
      <c r="BE255" s="1">
        <v>8910</v>
      </c>
      <c r="BF255" s="1">
        <v>8802</v>
      </c>
      <c r="BG255" s="1">
        <v>8713</v>
      </c>
      <c r="BH255" s="1">
        <v>8936</v>
      </c>
      <c r="BI255" s="1">
        <v>8786</v>
      </c>
      <c r="BJ255" s="1">
        <v>8278</v>
      </c>
      <c r="BK255" s="1">
        <v>8209</v>
      </c>
      <c r="BL255" s="1">
        <v>8044</v>
      </c>
      <c r="BM255" s="1">
        <v>8372</v>
      </c>
      <c r="BN255" s="1">
        <v>8251</v>
      </c>
      <c r="BO255" s="1">
        <v>7811</v>
      </c>
      <c r="BP255" s="1">
        <v>7767</v>
      </c>
      <c r="BQ255" s="1">
        <v>7708</v>
      </c>
      <c r="BR255" s="1">
        <v>7818</v>
      </c>
      <c r="BS255" s="1">
        <v>8015</v>
      </c>
      <c r="BT255" s="1">
        <v>8065</v>
      </c>
      <c r="BU255" s="1">
        <v>8010</v>
      </c>
      <c r="BV255" s="1">
        <v>7882</v>
      </c>
      <c r="BW255" s="1">
        <v>7860</v>
      </c>
      <c r="BX255" s="1">
        <v>7915</v>
      </c>
      <c r="BY255" s="1">
        <v>8031</v>
      </c>
      <c r="BZ255" s="1">
        <v>8014</v>
      </c>
    </row>
    <row r="256" spans="1:78">
      <c r="A256" s="62" t="s">
        <v>469</v>
      </c>
      <c r="B256" s="1" t="str">
        <f>銘柄管理!C256</f>
        <v>名村造船所</v>
      </c>
      <c r="C256" s="1">
        <f>_xll.RssMarket("7014","安値")</f>
        <v>4140</v>
      </c>
      <c r="E256" s="1">
        <v>4070</v>
      </c>
      <c r="F256" s="1">
        <v>4055</v>
      </c>
      <c r="G256" s="1">
        <v>4240</v>
      </c>
      <c r="H256" s="1">
        <v>4060</v>
      </c>
      <c r="I256" s="1">
        <v>3995</v>
      </c>
      <c r="J256" s="1">
        <v>4325</v>
      </c>
      <c r="K256" s="1">
        <v>4320</v>
      </c>
      <c r="L256" s="1">
        <v>4150</v>
      </c>
      <c r="M256" s="1">
        <v>4130</v>
      </c>
      <c r="N256" s="1">
        <v>3930</v>
      </c>
      <c r="O256" s="1">
        <v>3720</v>
      </c>
      <c r="P256" s="1">
        <v>3650</v>
      </c>
      <c r="Q256" s="1">
        <v>3880</v>
      </c>
      <c r="R256" s="1">
        <v>3660</v>
      </c>
      <c r="S256" s="1">
        <v>3760</v>
      </c>
      <c r="T256" s="1">
        <v>3740</v>
      </c>
      <c r="U256" s="1">
        <v>3720</v>
      </c>
      <c r="V256" s="1">
        <v>3890</v>
      </c>
      <c r="W256" s="1">
        <v>4085</v>
      </c>
      <c r="X256" s="1">
        <v>3660</v>
      </c>
      <c r="Y256" s="1">
        <v>3535</v>
      </c>
      <c r="Z256" s="1">
        <v>3510</v>
      </c>
      <c r="AA256" s="1">
        <v>3505</v>
      </c>
      <c r="AB256" s="1">
        <v>3520</v>
      </c>
      <c r="AC256" s="1">
        <v>3540</v>
      </c>
      <c r="AD256" s="1">
        <v>3620</v>
      </c>
      <c r="AE256" s="1">
        <v>3605</v>
      </c>
      <c r="AF256" s="1">
        <v>3630</v>
      </c>
      <c r="AG256" s="1">
        <v>3620</v>
      </c>
      <c r="AH256" s="1">
        <v>3705</v>
      </c>
      <c r="AI256" s="1">
        <v>3750</v>
      </c>
      <c r="AJ256" s="1">
        <v>3835</v>
      </c>
      <c r="AK256" s="1">
        <v>3750</v>
      </c>
      <c r="AL256" s="1">
        <v>3720</v>
      </c>
      <c r="AM256" s="1">
        <v>3655</v>
      </c>
      <c r="AN256" s="1">
        <v>3425</v>
      </c>
      <c r="AO256" s="1">
        <v>3250</v>
      </c>
      <c r="AP256" s="1">
        <v>3385</v>
      </c>
      <c r="AQ256" s="1">
        <v>3525</v>
      </c>
      <c r="AR256" s="1">
        <v>3645</v>
      </c>
      <c r="AS256" s="1">
        <v>3420</v>
      </c>
      <c r="AT256" s="1">
        <v>3405</v>
      </c>
      <c r="AU256" s="1">
        <v>3325</v>
      </c>
      <c r="AV256" s="1">
        <v>3605</v>
      </c>
      <c r="AW256" s="1">
        <v>3755</v>
      </c>
      <c r="AX256" s="1">
        <v>4030</v>
      </c>
      <c r="AY256" s="1">
        <v>3925</v>
      </c>
      <c r="AZ256" s="1">
        <v>3725</v>
      </c>
      <c r="BA256" s="1">
        <v>3660</v>
      </c>
      <c r="BB256" s="1">
        <v>3655</v>
      </c>
      <c r="BC256" s="1">
        <v>3835</v>
      </c>
      <c r="BD256" s="1">
        <v>4055</v>
      </c>
      <c r="BE256" s="1">
        <v>4030</v>
      </c>
      <c r="BF256" s="1">
        <v>3570</v>
      </c>
      <c r="BG256" s="1">
        <v>4015</v>
      </c>
      <c r="BH256" s="1">
        <v>4020</v>
      </c>
      <c r="BI256" s="1">
        <v>3970</v>
      </c>
      <c r="BJ256" s="1">
        <v>3970</v>
      </c>
      <c r="BK256" s="1">
        <v>4050</v>
      </c>
      <c r="BL256" s="1">
        <v>3980</v>
      </c>
      <c r="BM256" s="1">
        <v>3970</v>
      </c>
      <c r="BN256" s="1">
        <v>4025</v>
      </c>
      <c r="BO256" s="1">
        <v>3950</v>
      </c>
      <c r="BP256" s="1">
        <v>3995</v>
      </c>
      <c r="BQ256" s="1">
        <v>3990</v>
      </c>
      <c r="BR256" s="1">
        <v>3970</v>
      </c>
      <c r="BS256" s="1">
        <v>3920</v>
      </c>
      <c r="BT256" s="1">
        <v>4045</v>
      </c>
      <c r="BU256" s="1">
        <v>3995</v>
      </c>
      <c r="BV256" s="1">
        <v>3935</v>
      </c>
      <c r="BW256" s="1">
        <v>4000</v>
      </c>
      <c r="BX256" s="1">
        <v>4130</v>
      </c>
      <c r="BY256" s="1">
        <v>4025</v>
      </c>
      <c r="BZ256" s="1">
        <v>4035</v>
      </c>
    </row>
    <row r="257" spans="1:78">
      <c r="A257" s="62" t="s">
        <v>470</v>
      </c>
      <c r="B257" s="1" t="str">
        <f>銘柄管理!C257</f>
        <v>イノテック</v>
      </c>
      <c r="C257" s="1">
        <f>_xll.RssMarket("9880","安値")</f>
        <v>3675</v>
      </c>
      <c r="E257" s="1">
        <v>3455</v>
      </c>
      <c r="F257" s="1">
        <v>3280</v>
      </c>
      <c r="G257" s="1">
        <v>3240</v>
      </c>
      <c r="H257" s="1">
        <v>3000</v>
      </c>
      <c r="I257" s="1">
        <v>2906</v>
      </c>
      <c r="J257" s="1">
        <v>3070</v>
      </c>
      <c r="K257" s="1">
        <v>3190</v>
      </c>
      <c r="L257" s="1">
        <v>3255</v>
      </c>
      <c r="M257" s="1">
        <v>3350</v>
      </c>
      <c r="N257" s="1">
        <v>3360</v>
      </c>
      <c r="O257" s="1">
        <v>3190</v>
      </c>
      <c r="P257" s="1">
        <v>3115</v>
      </c>
      <c r="Q257" s="1">
        <v>3465</v>
      </c>
      <c r="R257" s="1">
        <v>3405</v>
      </c>
      <c r="S257" s="1">
        <v>3450</v>
      </c>
      <c r="T257" s="1">
        <v>3570</v>
      </c>
      <c r="U257" s="1">
        <v>3495</v>
      </c>
      <c r="V257" s="1">
        <v>3410</v>
      </c>
      <c r="W257" s="1">
        <v>3540</v>
      </c>
      <c r="X257" s="1">
        <v>3710</v>
      </c>
      <c r="Y257" s="1">
        <v>3570</v>
      </c>
      <c r="Z257" s="1">
        <v>3750</v>
      </c>
      <c r="AA257" s="1">
        <v>3865</v>
      </c>
      <c r="AB257" s="1">
        <v>3895</v>
      </c>
      <c r="AC257" s="1">
        <v>3835</v>
      </c>
      <c r="AD257" s="1">
        <v>4010</v>
      </c>
      <c r="AE257" s="1">
        <v>4255</v>
      </c>
      <c r="AF257" s="1">
        <v>4105</v>
      </c>
      <c r="AG257" s="1">
        <v>4310</v>
      </c>
      <c r="AH257" s="1">
        <v>4330</v>
      </c>
      <c r="AI257" s="1">
        <v>4230</v>
      </c>
      <c r="AJ257" s="1">
        <v>4175</v>
      </c>
      <c r="AK257" s="1">
        <v>3840</v>
      </c>
      <c r="AL257" s="1">
        <v>3930</v>
      </c>
      <c r="AM257" s="1">
        <v>4035</v>
      </c>
      <c r="AN257" s="1">
        <v>3950</v>
      </c>
      <c r="AO257" s="1">
        <v>3875</v>
      </c>
      <c r="AP257" s="1">
        <v>4045</v>
      </c>
      <c r="AQ257" s="1">
        <v>4040</v>
      </c>
      <c r="AR257" s="1">
        <v>4180</v>
      </c>
      <c r="AS257" s="1">
        <v>4300</v>
      </c>
      <c r="AT257" s="1">
        <v>4285</v>
      </c>
      <c r="AU257" s="1">
        <v>4100</v>
      </c>
      <c r="AV257" s="1">
        <v>4185</v>
      </c>
      <c r="AW257" s="1">
        <v>4105</v>
      </c>
      <c r="AX257" s="1">
        <v>4300</v>
      </c>
      <c r="AY257" s="1">
        <v>4330</v>
      </c>
      <c r="AZ257" s="1">
        <v>4225</v>
      </c>
      <c r="BA257" s="1">
        <v>4230</v>
      </c>
      <c r="BB257" s="1">
        <v>3995</v>
      </c>
      <c r="BC257" s="1">
        <v>4230</v>
      </c>
      <c r="BD257" s="1">
        <v>4225</v>
      </c>
      <c r="BE257" s="1">
        <v>3745</v>
      </c>
      <c r="BF257" s="1">
        <v>3265</v>
      </c>
      <c r="BG257" s="1">
        <v>3215</v>
      </c>
      <c r="BH257" s="1">
        <v>3325</v>
      </c>
      <c r="BI257" s="1">
        <v>3270</v>
      </c>
      <c r="BJ257" s="1">
        <v>3120</v>
      </c>
      <c r="BK257" s="1">
        <v>2950</v>
      </c>
      <c r="BL257" s="1">
        <v>2741</v>
      </c>
      <c r="BM257" s="1">
        <v>2767</v>
      </c>
      <c r="BN257" s="1">
        <v>2721</v>
      </c>
      <c r="BO257" s="1">
        <v>2710</v>
      </c>
      <c r="BP257" s="1">
        <v>2633</v>
      </c>
      <c r="BQ257" s="1">
        <v>2613</v>
      </c>
      <c r="BR257" s="1">
        <v>2657</v>
      </c>
      <c r="BS257" s="1">
        <v>2728</v>
      </c>
      <c r="BT257" s="1">
        <v>2746</v>
      </c>
      <c r="BU257" s="1">
        <v>2806</v>
      </c>
      <c r="BV257" s="1">
        <v>2860</v>
      </c>
      <c r="BW257" s="1">
        <v>2809</v>
      </c>
      <c r="BX257" s="1">
        <v>2639</v>
      </c>
      <c r="BY257" s="1">
        <v>2560</v>
      </c>
      <c r="BZ257" s="1">
        <v>2556</v>
      </c>
    </row>
    <row r="258" spans="1:78">
      <c r="A258" s="62" t="s">
        <v>471</v>
      </c>
      <c r="B258" s="1" t="str">
        <f>銘柄管理!C258</f>
        <v>カバー</v>
      </c>
      <c r="C258" s="1">
        <f>_xll.RssMarket("5253","安値")</f>
        <v>1451</v>
      </c>
      <c r="E258" s="1">
        <v>1440</v>
      </c>
      <c r="F258" s="1">
        <v>1387</v>
      </c>
      <c r="G258" s="1">
        <v>1460</v>
      </c>
      <c r="H258" s="1">
        <v>1500</v>
      </c>
      <c r="I258" s="1">
        <v>1452</v>
      </c>
      <c r="J258" s="1">
        <v>1570</v>
      </c>
      <c r="K258" s="1">
        <v>1464</v>
      </c>
      <c r="M258" s="1">
        <v>1511</v>
      </c>
      <c r="N258" s="1">
        <v>1586</v>
      </c>
      <c r="O258" s="1">
        <v>1627</v>
      </c>
      <c r="P258" s="1">
        <v>1619</v>
      </c>
      <c r="Q258" s="1">
        <v>1650</v>
      </c>
      <c r="R258" s="1">
        <v>1645</v>
      </c>
      <c r="S258" s="1">
        <v>1591</v>
      </c>
      <c r="T258" s="1">
        <v>1583</v>
      </c>
      <c r="U258" s="1">
        <v>1533</v>
      </c>
      <c r="V258" s="1">
        <v>1569</v>
      </c>
      <c r="W258" s="1">
        <v>1581</v>
      </c>
      <c r="X258" s="1">
        <v>1544</v>
      </c>
      <c r="Y258" s="1">
        <v>1446</v>
      </c>
      <c r="Z258" s="1">
        <v>1381</v>
      </c>
      <c r="AA258" s="1">
        <v>1315</v>
      </c>
      <c r="AB258" s="1">
        <v>1310</v>
      </c>
      <c r="AC258" s="1">
        <v>1215</v>
      </c>
      <c r="AD258" s="1">
        <v>1141</v>
      </c>
      <c r="AE258" s="1">
        <v>1164</v>
      </c>
      <c r="AF258" s="1">
        <v>1163</v>
      </c>
      <c r="AG258" s="1">
        <v>1197</v>
      </c>
      <c r="AH258" s="1">
        <v>1259</v>
      </c>
      <c r="AI258" s="1">
        <v>1280</v>
      </c>
      <c r="AJ258" s="1">
        <v>1424</v>
      </c>
      <c r="AK258" s="1">
        <v>1403</v>
      </c>
      <c r="AL258" s="1">
        <v>1381</v>
      </c>
      <c r="AM258" s="1">
        <v>1412</v>
      </c>
      <c r="AN258" s="1">
        <v>1418</v>
      </c>
      <c r="AO258" s="1">
        <v>1422</v>
      </c>
      <c r="AP258" s="1">
        <v>1505</v>
      </c>
      <c r="AQ258" s="1">
        <v>1585</v>
      </c>
      <c r="AR258" s="1">
        <v>1618</v>
      </c>
      <c r="AS258" s="1">
        <v>1586</v>
      </c>
      <c r="AT258" s="1">
        <v>1586</v>
      </c>
      <c r="AU258" s="1">
        <v>1537</v>
      </c>
      <c r="AV258" s="1">
        <v>1576</v>
      </c>
      <c r="AW258" s="1">
        <v>1513</v>
      </c>
      <c r="AX258" s="1">
        <v>1527</v>
      </c>
      <c r="AY258" s="1">
        <v>1654</v>
      </c>
      <c r="AZ258" s="1">
        <v>1726</v>
      </c>
      <c r="BA258" s="1">
        <v>1631</v>
      </c>
      <c r="BB258" s="1">
        <v>1642</v>
      </c>
      <c r="BC258" s="1">
        <v>1587</v>
      </c>
      <c r="BD258" s="1">
        <v>1498</v>
      </c>
      <c r="BE258" s="1">
        <v>1323</v>
      </c>
      <c r="BF258" s="1">
        <v>1402</v>
      </c>
      <c r="BG258" s="1">
        <v>1403</v>
      </c>
      <c r="BH258" s="1">
        <v>1374</v>
      </c>
      <c r="BI258" s="1">
        <v>1403</v>
      </c>
      <c r="BJ258" s="1">
        <v>1408</v>
      </c>
      <c r="BK258" s="1">
        <v>1371</v>
      </c>
      <c r="BL258" s="1">
        <v>1365</v>
      </c>
      <c r="BM258" s="1">
        <v>1350</v>
      </c>
      <c r="BN258" s="1">
        <v>1365</v>
      </c>
      <c r="BO258" s="1">
        <v>1350</v>
      </c>
      <c r="BP258" s="1">
        <v>1377</v>
      </c>
      <c r="BQ258" s="1">
        <v>1390</v>
      </c>
      <c r="BR258" s="1">
        <v>1418</v>
      </c>
      <c r="BS258" s="1">
        <v>1440</v>
      </c>
      <c r="BT258" s="1">
        <v>1442</v>
      </c>
      <c r="BU258" s="1">
        <v>1451</v>
      </c>
      <c r="BV258" s="1">
        <v>1441</v>
      </c>
      <c r="BW258" s="1">
        <v>1452</v>
      </c>
      <c r="BX258" s="1">
        <v>1427</v>
      </c>
      <c r="BY258" s="1">
        <v>1402</v>
      </c>
      <c r="BZ258" s="1">
        <v>1409</v>
      </c>
    </row>
    <row r="259" spans="1:78">
      <c r="A259" s="62" t="s">
        <v>472</v>
      </c>
      <c r="B259" s="1" t="str">
        <f>銘柄管理!C259</f>
        <v>商船三井</v>
      </c>
      <c r="C259" s="1">
        <f>_xll.RssMarket("9104","安値")</f>
        <v>5922</v>
      </c>
      <c r="E259" s="1">
        <v>5803</v>
      </c>
      <c r="F259" s="1">
        <v>5658</v>
      </c>
      <c r="G259" s="1">
        <v>5801</v>
      </c>
      <c r="H259" s="1">
        <v>5848</v>
      </c>
      <c r="I259" s="1">
        <v>5880</v>
      </c>
      <c r="J259" s="1">
        <v>5782</v>
      </c>
      <c r="K259" s="1">
        <v>5860</v>
      </c>
      <c r="L259" s="1">
        <v>5750</v>
      </c>
      <c r="M259" s="1">
        <v>5743</v>
      </c>
      <c r="N259" s="1">
        <v>5690</v>
      </c>
      <c r="O259" s="1">
        <v>5611</v>
      </c>
      <c r="P259" s="1">
        <v>5534</v>
      </c>
      <c r="Q259" s="1">
        <v>5522</v>
      </c>
      <c r="R259" s="1">
        <v>5370</v>
      </c>
      <c r="S259" s="1">
        <v>5330</v>
      </c>
      <c r="T259" s="1">
        <v>5318</v>
      </c>
      <c r="U259" s="1">
        <v>5425</v>
      </c>
      <c r="V259" s="1">
        <v>5328</v>
      </c>
      <c r="W259" s="1">
        <v>5171</v>
      </c>
      <c r="X259" s="1">
        <v>5195</v>
      </c>
      <c r="Y259" s="1">
        <v>5170</v>
      </c>
      <c r="Z259" s="1">
        <v>5045</v>
      </c>
      <c r="AA259" s="1">
        <v>5010</v>
      </c>
      <c r="AB259" s="1">
        <v>5212</v>
      </c>
      <c r="AC259" s="1">
        <v>5218</v>
      </c>
      <c r="AD259" s="1">
        <v>5195</v>
      </c>
      <c r="AE259" s="1">
        <v>5210</v>
      </c>
      <c r="AF259" s="1">
        <v>5350</v>
      </c>
      <c r="AG259" s="1">
        <v>5254</v>
      </c>
      <c r="AH259" s="1">
        <v>5231</v>
      </c>
      <c r="AI259" s="1">
        <v>5233</v>
      </c>
      <c r="AJ259" s="1">
        <v>5330</v>
      </c>
      <c r="AK259" s="1">
        <v>5372</v>
      </c>
      <c r="AL259" s="1">
        <v>5547</v>
      </c>
      <c r="AM259" s="1">
        <v>5570</v>
      </c>
      <c r="AN259" s="1">
        <v>5681</v>
      </c>
      <c r="AO259" s="1">
        <v>5630</v>
      </c>
      <c r="AP259" s="1">
        <v>5613</v>
      </c>
      <c r="AQ259" s="1">
        <v>5677</v>
      </c>
      <c r="AR259" s="1">
        <v>5650</v>
      </c>
      <c r="AS259" s="1">
        <v>5431</v>
      </c>
      <c r="AT259" s="1">
        <v>5382</v>
      </c>
      <c r="AU259" s="1">
        <v>5361</v>
      </c>
      <c r="AV259" s="1">
        <v>5371</v>
      </c>
      <c r="AW259" s="1">
        <v>5397</v>
      </c>
      <c r="AX259" s="1">
        <v>5430</v>
      </c>
      <c r="AY259" s="1">
        <v>5507</v>
      </c>
      <c r="AZ259" s="1">
        <v>5589</v>
      </c>
      <c r="BA259" s="1">
        <v>5703</v>
      </c>
      <c r="BB259" s="1">
        <v>5680</v>
      </c>
      <c r="BC259" s="1">
        <v>5813</v>
      </c>
      <c r="BD259" s="1">
        <v>5823</v>
      </c>
      <c r="BE259" s="1">
        <v>5809</v>
      </c>
      <c r="BF259" s="1">
        <v>5794</v>
      </c>
      <c r="BG259" s="1">
        <v>5762</v>
      </c>
      <c r="BH259" s="1">
        <v>5751</v>
      </c>
      <c r="BI259" s="1">
        <v>5676</v>
      </c>
      <c r="BJ259" s="1">
        <v>5676</v>
      </c>
      <c r="BK259" s="1">
        <v>5723</v>
      </c>
      <c r="BL259" s="1">
        <v>5789</v>
      </c>
      <c r="BM259" s="1">
        <v>5765</v>
      </c>
      <c r="BN259" s="1">
        <v>5775</v>
      </c>
      <c r="BO259" s="1">
        <v>5761</v>
      </c>
      <c r="BP259" s="1">
        <v>6064</v>
      </c>
      <c r="BQ259" s="1">
        <v>5921</v>
      </c>
      <c r="BR259" s="1">
        <v>6051</v>
      </c>
      <c r="BS259" s="1">
        <v>6018</v>
      </c>
      <c r="BT259" s="1">
        <v>6090</v>
      </c>
      <c r="BU259" s="1">
        <v>6305</v>
      </c>
      <c r="BV259" s="1">
        <v>6267</v>
      </c>
      <c r="BW259" s="1">
        <v>6231</v>
      </c>
      <c r="BX259" s="1">
        <v>6248</v>
      </c>
      <c r="BY259" s="1">
        <v>6382</v>
      </c>
      <c r="BZ259" s="1">
        <v>6423</v>
      </c>
    </row>
    <row r="260" spans="1:78">
      <c r="A260" s="62" t="s">
        <v>473</v>
      </c>
      <c r="B260" s="1" t="str">
        <f>銘柄管理!C260</f>
        <v>千代田化工建</v>
      </c>
      <c r="C260" s="1">
        <f>_xll.RssMarket("6366","安値")</f>
        <v>679</v>
      </c>
      <c r="E260" s="1">
        <v>642</v>
      </c>
      <c r="F260" s="1">
        <v>626</v>
      </c>
      <c r="G260" s="1">
        <v>632</v>
      </c>
      <c r="H260" s="1">
        <v>620</v>
      </c>
      <c r="I260" s="1">
        <v>622</v>
      </c>
      <c r="J260" s="1">
        <v>693</v>
      </c>
      <c r="K260" s="1">
        <v>701</v>
      </c>
      <c r="L260" s="1">
        <v>690</v>
      </c>
      <c r="M260" s="1">
        <v>685</v>
      </c>
      <c r="N260" s="1">
        <v>687</v>
      </c>
      <c r="O260" s="1">
        <v>641</v>
      </c>
      <c r="P260" s="1">
        <v>624</v>
      </c>
      <c r="Q260" s="1">
        <v>680</v>
      </c>
      <c r="R260" s="1">
        <v>652</v>
      </c>
      <c r="S260" s="1">
        <v>654</v>
      </c>
      <c r="T260" s="1">
        <v>681</v>
      </c>
      <c r="U260" s="1">
        <v>685</v>
      </c>
      <c r="V260" s="1">
        <v>701</v>
      </c>
      <c r="W260" s="1">
        <v>725</v>
      </c>
      <c r="X260" s="1">
        <v>714</v>
      </c>
      <c r="Y260" s="1">
        <v>665</v>
      </c>
      <c r="Z260" s="1">
        <v>652</v>
      </c>
      <c r="AA260" s="1">
        <v>636</v>
      </c>
      <c r="AB260" s="1">
        <v>667</v>
      </c>
      <c r="AC260" s="1">
        <v>659</v>
      </c>
      <c r="AD260" s="1">
        <v>666</v>
      </c>
      <c r="AE260" s="1">
        <v>687</v>
      </c>
      <c r="AF260" s="1">
        <v>695</v>
      </c>
      <c r="AG260" s="1">
        <v>704</v>
      </c>
      <c r="AH260" s="1">
        <v>715</v>
      </c>
      <c r="AI260" s="1">
        <v>744</v>
      </c>
      <c r="AJ260" s="1">
        <v>769</v>
      </c>
      <c r="AK260" s="1">
        <v>773</v>
      </c>
      <c r="AL260" s="1">
        <v>736</v>
      </c>
      <c r="AM260" s="1">
        <v>753</v>
      </c>
      <c r="AN260" s="1">
        <v>702</v>
      </c>
      <c r="AO260" s="1">
        <v>644</v>
      </c>
      <c r="AP260" s="1">
        <v>667</v>
      </c>
      <c r="AQ260" s="1">
        <v>687</v>
      </c>
      <c r="AR260" s="1">
        <v>712</v>
      </c>
      <c r="AS260" s="1">
        <v>687</v>
      </c>
      <c r="AT260" s="1">
        <v>695</v>
      </c>
      <c r="AU260" s="1">
        <v>685</v>
      </c>
      <c r="AV260" s="1">
        <v>725</v>
      </c>
      <c r="AW260" s="1">
        <v>725</v>
      </c>
      <c r="AX260" s="1">
        <v>771</v>
      </c>
      <c r="AY260" s="1">
        <v>796</v>
      </c>
      <c r="AZ260" s="1">
        <v>685</v>
      </c>
      <c r="BA260" s="1">
        <v>703</v>
      </c>
      <c r="BB260" s="1">
        <v>704</v>
      </c>
      <c r="BC260" s="1">
        <v>759</v>
      </c>
      <c r="BD260" s="1">
        <v>751</v>
      </c>
      <c r="BE260" s="1">
        <v>790</v>
      </c>
      <c r="BF260" s="1">
        <v>803</v>
      </c>
      <c r="BG260" s="1">
        <v>791</v>
      </c>
      <c r="BH260" s="1">
        <v>746</v>
      </c>
      <c r="BI260" s="1">
        <v>843</v>
      </c>
      <c r="BJ260" s="1">
        <v>982</v>
      </c>
      <c r="BK260" s="1">
        <v>1020</v>
      </c>
      <c r="BL260" s="1">
        <v>994</v>
      </c>
      <c r="BM260" s="1">
        <v>1008</v>
      </c>
      <c r="BN260" s="1">
        <v>1027</v>
      </c>
      <c r="BO260" s="1">
        <v>977</v>
      </c>
      <c r="BP260" s="1">
        <v>1018</v>
      </c>
      <c r="BQ260" s="1">
        <v>1028</v>
      </c>
      <c r="BR260" s="1">
        <v>1037</v>
      </c>
      <c r="BS260" s="1">
        <v>1061</v>
      </c>
      <c r="BT260" s="1">
        <v>1109</v>
      </c>
      <c r="BU260" s="1">
        <v>1131</v>
      </c>
      <c r="BV260" s="1">
        <v>1113</v>
      </c>
      <c r="BW260" s="1">
        <v>1100</v>
      </c>
      <c r="BX260" s="1">
        <v>1117</v>
      </c>
      <c r="BY260" s="1">
        <v>1108</v>
      </c>
      <c r="BZ260" s="1">
        <v>1131</v>
      </c>
    </row>
    <row r="261" spans="1:78">
      <c r="A261" s="62" t="s">
        <v>474</v>
      </c>
      <c r="B261" s="1" t="str">
        <f>銘柄管理!C261</f>
        <v>旭ダイヤモンド</v>
      </c>
      <c r="C261" s="1">
        <f>_xll.RssMarket("6140","安値")</f>
        <v>1144</v>
      </c>
      <c r="E261" s="1">
        <v>1102</v>
      </c>
      <c r="F261" s="1">
        <v>1075</v>
      </c>
      <c r="G261" s="1">
        <v>1072</v>
      </c>
      <c r="H261" s="1">
        <v>1028</v>
      </c>
      <c r="I261" s="1">
        <v>1017</v>
      </c>
      <c r="J261" s="1">
        <v>1068</v>
      </c>
      <c r="K261" s="1">
        <v>1112</v>
      </c>
      <c r="M261" s="1">
        <v>1132</v>
      </c>
      <c r="N261" s="1">
        <v>1141</v>
      </c>
      <c r="O261" s="1">
        <v>1124</v>
      </c>
      <c r="P261" s="1">
        <v>1125</v>
      </c>
      <c r="Q261" s="1">
        <v>1185</v>
      </c>
      <c r="R261" s="1">
        <v>1132</v>
      </c>
      <c r="S261" s="1">
        <v>1152</v>
      </c>
      <c r="T261" s="1">
        <v>1176</v>
      </c>
      <c r="U261" s="1">
        <v>1163</v>
      </c>
      <c r="V261" s="1">
        <v>1158</v>
      </c>
      <c r="W261" s="1">
        <v>1191</v>
      </c>
      <c r="X261" s="1">
        <v>1238</v>
      </c>
      <c r="Y261" s="1">
        <v>1190</v>
      </c>
      <c r="Z261" s="1">
        <v>1202</v>
      </c>
      <c r="AA261" s="1">
        <v>1221</v>
      </c>
      <c r="AB261" s="1">
        <v>1196</v>
      </c>
      <c r="AC261" s="1">
        <v>1186</v>
      </c>
      <c r="AD261" s="1">
        <v>1186</v>
      </c>
      <c r="AE261" s="1">
        <v>1205</v>
      </c>
      <c r="AF261" s="1">
        <v>1197</v>
      </c>
      <c r="AG261" s="1">
        <v>1228</v>
      </c>
      <c r="AH261" s="1">
        <v>1310</v>
      </c>
      <c r="AI261" s="1">
        <v>1302</v>
      </c>
      <c r="AJ261" s="1">
        <v>1298</v>
      </c>
      <c r="AK261" s="1">
        <v>1281</v>
      </c>
      <c r="AL261" s="1">
        <v>1281</v>
      </c>
      <c r="AM261" s="1">
        <v>1262</v>
      </c>
      <c r="AN261" s="1">
        <v>1230</v>
      </c>
      <c r="AO261" s="1">
        <v>1170</v>
      </c>
      <c r="AP261" s="1">
        <v>1212</v>
      </c>
      <c r="AQ261" s="1">
        <v>1269</v>
      </c>
      <c r="AR261" s="1">
        <v>1299</v>
      </c>
      <c r="AS261" s="1">
        <v>1297</v>
      </c>
      <c r="AT261" s="1">
        <v>1310</v>
      </c>
      <c r="AU261" s="1">
        <v>1273</v>
      </c>
      <c r="AV261" s="1">
        <v>1343</v>
      </c>
      <c r="AW261" s="1">
        <v>1306</v>
      </c>
      <c r="AX261" s="1">
        <v>1342</v>
      </c>
      <c r="AY261" s="1">
        <v>1347</v>
      </c>
      <c r="AZ261" s="1">
        <v>1268</v>
      </c>
      <c r="BA261" s="1">
        <v>1272</v>
      </c>
      <c r="BB261" s="1">
        <v>1245</v>
      </c>
      <c r="BC261" s="1">
        <v>1244</v>
      </c>
      <c r="BD261" s="1">
        <v>1267</v>
      </c>
      <c r="BE261" s="1">
        <v>1302</v>
      </c>
      <c r="BF261" s="1">
        <v>1356</v>
      </c>
      <c r="BG261" s="1">
        <v>1331</v>
      </c>
      <c r="BH261" s="1">
        <v>1326</v>
      </c>
      <c r="BI261" s="1">
        <v>1309</v>
      </c>
      <c r="BJ261" s="1">
        <v>1296</v>
      </c>
      <c r="BK261" s="1">
        <v>1286</v>
      </c>
      <c r="BL261" s="1">
        <v>1271</v>
      </c>
      <c r="BM261" s="1">
        <v>1271</v>
      </c>
      <c r="BN261" s="1">
        <v>1286</v>
      </c>
      <c r="BO261" s="1">
        <v>1275</v>
      </c>
      <c r="BP261" s="1">
        <v>1292</v>
      </c>
      <c r="BQ261" s="1">
        <v>1250</v>
      </c>
      <c r="BR261" s="1">
        <v>1271</v>
      </c>
      <c r="BS261" s="1">
        <v>1301</v>
      </c>
      <c r="BT261" s="1">
        <v>1308</v>
      </c>
      <c r="BU261" s="1">
        <v>1260</v>
      </c>
      <c r="BV261" s="1">
        <v>1159</v>
      </c>
      <c r="BW261" s="1">
        <v>1157</v>
      </c>
      <c r="BX261" s="1">
        <v>1167</v>
      </c>
      <c r="BY261" s="1">
        <v>1137</v>
      </c>
      <c r="BZ261" s="1">
        <v>1157</v>
      </c>
    </row>
    <row r="262" spans="1:78">
      <c r="A262" s="62" t="s">
        <v>475</v>
      </c>
      <c r="B262" s="1" t="str">
        <f>銘柄管理!C262</f>
        <v>住石ホールディングス</v>
      </c>
      <c r="C262" s="1">
        <f>_xll.RssMarket("1514","安値")</f>
        <v>591</v>
      </c>
      <c r="E262" s="1">
        <v>573</v>
      </c>
      <c r="F262" s="1">
        <v>569</v>
      </c>
      <c r="G262" s="1">
        <v>566</v>
      </c>
      <c r="H262" s="1">
        <v>557</v>
      </c>
      <c r="I262" s="1">
        <v>566</v>
      </c>
      <c r="J262" s="1">
        <v>575</v>
      </c>
      <c r="K262" s="1">
        <v>584</v>
      </c>
      <c r="L262" s="1">
        <v>589</v>
      </c>
      <c r="M262" s="1">
        <v>592</v>
      </c>
      <c r="N262" s="1">
        <v>588</v>
      </c>
      <c r="O262" s="1">
        <v>560</v>
      </c>
      <c r="P262" s="1">
        <v>551</v>
      </c>
      <c r="Q262" s="1">
        <v>577</v>
      </c>
      <c r="R262" s="1">
        <v>573</v>
      </c>
      <c r="S262" s="1">
        <v>565</v>
      </c>
      <c r="T262" s="1">
        <v>559</v>
      </c>
      <c r="U262" s="1">
        <v>554</v>
      </c>
      <c r="V262" s="1">
        <v>549</v>
      </c>
      <c r="W262" s="1">
        <v>550</v>
      </c>
      <c r="X262" s="1">
        <v>555</v>
      </c>
      <c r="Y262" s="1">
        <v>532</v>
      </c>
      <c r="Z262" s="1">
        <v>525</v>
      </c>
      <c r="AA262" s="1">
        <v>520</v>
      </c>
      <c r="AB262" s="1">
        <v>516</v>
      </c>
      <c r="AC262" s="1">
        <v>517</v>
      </c>
      <c r="AD262" s="1">
        <v>517</v>
      </c>
      <c r="AE262" s="1">
        <v>517</v>
      </c>
      <c r="AF262" s="1">
        <v>524</v>
      </c>
      <c r="AG262" s="1">
        <v>532</v>
      </c>
      <c r="AH262" s="1">
        <v>531</v>
      </c>
      <c r="AI262" s="1">
        <v>520</v>
      </c>
      <c r="AJ262" s="1">
        <v>537</v>
      </c>
      <c r="AK262" s="1">
        <v>541</v>
      </c>
      <c r="AL262" s="1">
        <v>543</v>
      </c>
      <c r="AM262" s="1">
        <v>545</v>
      </c>
      <c r="AN262" s="1">
        <v>547</v>
      </c>
      <c r="AO262" s="1">
        <v>542</v>
      </c>
      <c r="AP262" s="1">
        <v>550</v>
      </c>
      <c r="AQ262" s="1">
        <v>563</v>
      </c>
      <c r="AR262" s="1">
        <v>564</v>
      </c>
      <c r="AS262" s="1">
        <v>550</v>
      </c>
      <c r="AT262" s="1">
        <v>558</v>
      </c>
      <c r="AU262" s="1">
        <v>557</v>
      </c>
      <c r="AV262" s="1">
        <v>585</v>
      </c>
      <c r="AW262" s="1">
        <v>585</v>
      </c>
      <c r="AX262" s="1">
        <v>599</v>
      </c>
      <c r="AY262" s="1">
        <v>580</v>
      </c>
      <c r="AZ262" s="1">
        <v>593</v>
      </c>
      <c r="BA262" s="1">
        <v>582</v>
      </c>
      <c r="BB262" s="1">
        <v>586</v>
      </c>
      <c r="BC262" s="1">
        <v>615</v>
      </c>
      <c r="BD262" s="1">
        <v>617</v>
      </c>
      <c r="BE262" s="1">
        <v>693</v>
      </c>
      <c r="BF262" s="1">
        <v>708</v>
      </c>
      <c r="BG262" s="1">
        <v>723</v>
      </c>
      <c r="BH262" s="1">
        <v>724</v>
      </c>
      <c r="BI262" s="1">
        <v>738</v>
      </c>
      <c r="BJ262" s="1">
        <v>736</v>
      </c>
      <c r="BK262" s="1">
        <v>735</v>
      </c>
      <c r="BL262" s="1">
        <v>749</v>
      </c>
      <c r="BM262" s="1">
        <v>765</v>
      </c>
      <c r="BN262" s="1">
        <v>768</v>
      </c>
      <c r="BO262" s="1">
        <v>762</v>
      </c>
      <c r="BP262" s="1">
        <v>774</v>
      </c>
      <c r="BQ262" s="1">
        <v>802</v>
      </c>
      <c r="BR262" s="1">
        <v>823</v>
      </c>
      <c r="BS262" s="1">
        <v>848</v>
      </c>
      <c r="BT262" s="1">
        <v>850</v>
      </c>
      <c r="BU262" s="1">
        <v>838</v>
      </c>
      <c r="BV262" s="1">
        <v>871</v>
      </c>
      <c r="BW262" s="1">
        <v>837</v>
      </c>
      <c r="BX262" s="1">
        <v>837</v>
      </c>
      <c r="BY262" s="1">
        <v>853</v>
      </c>
      <c r="BZ262" s="1">
        <v>819</v>
      </c>
    </row>
    <row r="263" spans="1:78">
      <c r="A263" s="62" t="s">
        <v>476</v>
      </c>
      <c r="B263" s="1" t="str">
        <f>銘柄管理!C263</f>
        <v>日本製鋼所</v>
      </c>
      <c r="C263" s="1">
        <f>_xll.RssMarket("5631","安値")</f>
        <v>7551</v>
      </c>
      <c r="E263" s="1">
        <v>7352</v>
      </c>
      <c r="F263" s="1">
        <v>7243</v>
      </c>
      <c r="G263" s="1">
        <v>7415</v>
      </c>
      <c r="H263" s="1">
        <v>7011</v>
      </c>
      <c r="I263" s="1">
        <v>6989</v>
      </c>
      <c r="J263" s="1">
        <v>7302</v>
      </c>
      <c r="K263" s="1">
        <v>7512</v>
      </c>
      <c r="L263" s="1">
        <v>7664</v>
      </c>
      <c r="M263" s="1">
        <v>7500</v>
      </c>
      <c r="N263" s="1">
        <v>7488</v>
      </c>
      <c r="O263" s="1">
        <v>7307</v>
      </c>
      <c r="P263" s="1">
        <v>7182</v>
      </c>
      <c r="Q263" s="1">
        <v>7591</v>
      </c>
      <c r="R263" s="1">
        <v>7450</v>
      </c>
      <c r="S263" s="1">
        <v>7627</v>
      </c>
      <c r="T263" s="1">
        <v>7810</v>
      </c>
      <c r="U263" s="1">
        <v>7891</v>
      </c>
      <c r="V263" s="1">
        <v>8140</v>
      </c>
      <c r="W263" s="1">
        <v>8200</v>
      </c>
      <c r="X263" s="1">
        <v>8020</v>
      </c>
      <c r="Y263" s="1">
        <v>7754</v>
      </c>
      <c r="Z263" s="1">
        <v>7770</v>
      </c>
      <c r="AA263" s="1">
        <v>7730</v>
      </c>
      <c r="AB263" s="1">
        <v>7515</v>
      </c>
      <c r="AC263" s="1">
        <v>7516</v>
      </c>
      <c r="AD263" s="1">
        <v>7600</v>
      </c>
      <c r="AE263" s="1">
        <v>7700</v>
      </c>
      <c r="AF263" s="1">
        <v>7831</v>
      </c>
      <c r="AG263" s="1">
        <v>7714</v>
      </c>
      <c r="AH263" s="1">
        <v>7906</v>
      </c>
      <c r="AI263" s="1">
        <v>7742</v>
      </c>
      <c r="AJ263" s="1">
        <v>8247</v>
      </c>
      <c r="AK263" s="1">
        <v>7839</v>
      </c>
      <c r="AL263" s="1">
        <v>7669</v>
      </c>
      <c r="AM263" s="1">
        <v>7600</v>
      </c>
      <c r="AN263" s="1">
        <v>7411</v>
      </c>
      <c r="AO263" s="1">
        <v>6694</v>
      </c>
      <c r="AP263" s="1">
        <v>7063</v>
      </c>
      <c r="AQ263" s="1">
        <v>7341</v>
      </c>
      <c r="AR263" s="1">
        <v>7486</v>
      </c>
      <c r="AS263" s="1">
        <v>7172</v>
      </c>
      <c r="AT263" s="1">
        <v>7280</v>
      </c>
      <c r="AU263" s="1">
        <v>7115</v>
      </c>
      <c r="AV263" s="1">
        <v>7656</v>
      </c>
      <c r="AW263" s="1">
        <v>7615</v>
      </c>
      <c r="AX263" s="1">
        <v>7950</v>
      </c>
      <c r="AY263" s="1">
        <v>7860</v>
      </c>
      <c r="AZ263" s="1">
        <v>7728</v>
      </c>
      <c r="BA263" s="1">
        <v>7612</v>
      </c>
      <c r="BB263" s="1">
        <v>7638</v>
      </c>
      <c r="BC263" s="1">
        <v>7678</v>
      </c>
      <c r="BD263" s="1">
        <v>7650</v>
      </c>
      <c r="BE263" s="1">
        <v>7757</v>
      </c>
      <c r="BF263" s="1">
        <v>8032</v>
      </c>
      <c r="BG263" s="1">
        <v>8652</v>
      </c>
      <c r="BH263" s="1">
        <v>8771</v>
      </c>
      <c r="BI263" s="1">
        <v>8915</v>
      </c>
      <c r="BJ263" s="1">
        <v>8951</v>
      </c>
      <c r="BK263" s="1">
        <v>9165</v>
      </c>
      <c r="BL263" s="1">
        <v>9273</v>
      </c>
      <c r="BM263" s="1">
        <v>9444</v>
      </c>
      <c r="BN263" s="1">
        <v>9600</v>
      </c>
      <c r="BO263" s="1">
        <v>9485</v>
      </c>
      <c r="BP263" s="1">
        <v>9695</v>
      </c>
      <c r="BQ263" s="1">
        <v>9431</v>
      </c>
      <c r="BR263" s="1">
        <v>9217</v>
      </c>
      <c r="BS263" s="1">
        <v>8968</v>
      </c>
      <c r="BT263" s="1">
        <v>9080</v>
      </c>
      <c r="BU263" s="1">
        <v>9061</v>
      </c>
      <c r="BV263" s="1">
        <v>9032</v>
      </c>
      <c r="BW263" s="1">
        <v>9032</v>
      </c>
      <c r="BX263" s="1">
        <v>9726</v>
      </c>
      <c r="BY263" s="1">
        <v>9520</v>
      </c>
      <c r="BZ263" s="1">
        <v>9815</v>
      </c>
    </row>
    <row r="264" spans="1:78">
      <c r="A264" s="62" t="s">
        <v>477</v>
      </c>
      <c r="B264" s="1" t="str">
        <f>銘柄管理!C264</f>
        <v>ジーエス・ユアサコーポ</v>
      </c>
      <c r="C264" s="1">
        <f>_xll.RssMarket("6674","安値")</f>
        <v>5839</v>
      </c>
      <c r="E264" s="1">
        <v>5454</v>
      </c>
      <c r="F264" s="1">
        <v>5260</v>
      </c>
      <c r="G264" s="1">
        <v>5471</v>
      </c>
      <c r="H264" s="1">
        <v>5095</v>
      </c>
      <c r="I264" s="1">
        <v>5044</v>
      </c>
      <c r="J264" s="1">
        <v>5427</v>
      </c>
      <c r="K264" s="1">
        <v>5693</v>
      </c>
      <c r="L264" s="1">
        <v>5733</v>
      </c>
      <c r="M264" s="1">
        <v>5988</v>
      </c>
      <c r="N264" s="1">
        <v>5853</v>
      </c>
      <c r="O264" s="1">
        <v>5638</v>
      </c>
      <c r="P264" s="1">
        <v>5388</v>
      </c>
      <c r="Q264" s="1">
        <v>5877</v>
      </c>
      <c r="R264" s="1">
        <v>5836</v>
      </c>
      <c r="S264" s="1">
        <v>5944</v>
      </c>
      <c r="T264" s="1">
        <v>6152</v>
      </c>
      <c r="U264" s="1">
        <v>6113</v>
      </c>
      <c r="V264" s="1">
        <v>6156</v>
      </c>
      <c r="W264" s="1">
        <v>6396</v>
      </c>
      <c r="X264" s="1">
        <v>6468</v>
      </c>
      <c r="Y264" s="1">
        <v>6446</v>
      </c>
      <c r="Z264" s="1">
        <v>6500</v>
      </c>
      <c r="AA264" s="1">
        <v>6547</v>
      </c>
      <c r="AB264" s="1">
        <v>6451</v>
      </c>
      <c r="AC264" s="1">
        <v>6535</v>
      </c>
      <c r="AD264" s="1">
        <v>6683</v>
      </c>
      <c r="AE264" s="1">
        <v>7034</v>
      </c>
      <c r="AF264" s="1">
        <v>7021</v>
      </c>
      <c r="AG264" s="1">
        <v>7087</v>
      </c>
      <c r="AH264" s="1">
        <v>7452</v>
      </c>
      <c r="AI264" s="1">
        <v>6665</v>
      </c>
      <c r="AJ264" s="1">
        <v>6630</v>
      </c>
      <c r="AK264" s="1">
        <v>6580</v>
      </c>
      <c r="AL264" s="1">
        <v>6265</v>
      </c>
      <c r="AM264" s="1">
        <v>6196</v>
      </c>
      <c r="AN264" s="1">
        <v>6197</v>
      </c>
      <c r="AO264" s="1">
        <v>5971</v>
      </c>
      <c r="AP264" s="1">
        <v>6369</v>
      </c>
      <c r="AQ264" s="1">
        <v>6595</v>
      </c>
      <c r="AR264" s="1">
        <v>7080</v>
      </c>
      <c r="AS264" s="1">
        <v>7143</v>
      </c>
      <c r="AT264" s="1">
        <v>7031</v>
      </c>
      <c r="AU264" s="1">
        <v>6618</v>
      </c>
      <c r="AV264" s="1">
        <v>6470</v>
      </c>
      <c r="AW264" s="1">
        <v>6284</v>
      </c>
      <c r="AX264" s="1">
        <v>6298</v>
      </c>
      <c r="AY264" s="1">
        <v>6268</v>
      </c>
      <c r="AZ264" s="1">
        <v>6017</v>
      </c>
      <c r="BA264" s="1">
        <v>5956</v>
      </c>
      <c r="BB264" s="1">
        <v>6044</v>
      </c>
      <c r="BC264" s="1">
        <v>6154</v>
      </c>
      <c r="BD264" s="1">
        <v>6180</v>
      </c>
      <c r="BE264" s="1">
        <v>6251</v>
      </c>
      <c r="BF264" s="1">
        <v>6130</v>
      </c>
      <c r="BG264" s="1">
        <v>6130</v>
      </c>
      <c r="BH264" s="1">
        <v>6605</v>
      </c>
      <c r="BI264" s="1">
        <v>6499</v>
      </c>
      <c r="BJ264" s="1">
        <v>6412</v>
      </c>
      <c r="BK264" s="1">
        <v>6457</v>
      </c>
      <c r="BL264" s="1">
        <v>6224</v>
      </c>
      <c r="BM264" s="1">
        <v>6080</v>
      </c>
      <c r="BN264" s="1">
        <v>6080</v>
      </c>
      <c r="BO264" s="1">
        <v>6160</v>
      </c>
      <c r="BP264" s="1">
        <v>6223</v>
      </c>
      <c r="BQ264" s="1">
        <v>6244</v>
      </c>
      <c r="BR264" s="1">
        <v>6354</v>
      </c>
      <c r="BS264" s="1">
        <v>6602</v>
      </c>
      <c r="BT264" s="1">
        <v>6540</v>
      </c>
      <c r="BU264" s="1">
        <v>6703</v>
      </c>
      <c r="BV264" s="1">
        <v>6578</v>
      </c>
      <c r="BW264" s="1">
        <v>6550</v>
      </c>
      <c r="BX264" s="1">
        <v>6435</v>
      </c>
      <c r="BY264" s="1">
        <v>6258</v>
      </c>
      <c r="BZ264" s="1">
        <v>6200</v>
      </c>
    </row>
    <row r="265" spans="1:78">
      <c r="A265" s="62" t="s">
        <v>478</v>
      </c>
      <c r="B265" s="1" t="str">
        <f>銘柄管理!C265</f>
        <v>ＦＤＫ</v>
      </c>
      <c r="C265" s="1">
        <f>_xll.RssMarket("6955","安値")</f>
        <v>390</v>
      </c>
      <c r="E265" s="1">
        <v>384</v>
      </c>
      <c r="F265" s="1">
        <v>377</v>
      </c>
      <c r="G265" s="1">
        <v>377</v>
      </c>
      <c r="H265" s="1">
        <v>375</v>
      </c>
      <c r="I265" s="1">
        <v>380</v>
      </c>
      <c r="J265" s="1">
        <v>389</v>
      </c>
      <c r="K265" s="1">
        <v>396</v>
      </c>
      <c r="M265" s="1">
        <v>412</v>
      </c>
      <c r="N265" s="1">
        <v>409</v>
      </c>
      <c r="O265" s="1">
        <v>401</v>
      </c>
      <c r="P265" s="1">
        <v>396</v>
      </c>
      <c r="Q265" s="1">
        <v>422</v>
      </c>
      <c r="R265" s="1">
        <v>421</v>
      </c>
      <c r="S265" s="1">
        <v>434</v>
      </c>
      <c r="T265" s="1">
        <v>435</v>
      </c>
      <c r="U265" s="1">
        <v>428</v>
      </c>
      <c r="V265" s="1">
        <v>429</v>
      </c>
      <c r="W265" s="1">
        <v>443</v>
      </c>
      <c r="X265" s="1">
        <v>452</v>
      </c>
      <c r="Y265" s="1">
        <v>478</v>
      </c>
      <c r="Z265" s="1">
        <v>471</v>
      </c>
      <c r="AA265" s="1">
        <v>482</v>
      </c>
      <c r="AB265" s="1">
        <v>472</v>
      </c>
      <c r="AC265" s="1">
        <v>485</v>
      </c>
      <c r="AD265" s="1">
        <v>492</v>
      </c>
      <c r="AE265" s="1">
        <v>513</v>
      </c>
      <c r="AF265" s="1">
        <v>502</v>
      </c>
      <c r="AG265" s="1">
        <v>506</v>
      </c>
      <c r="AH265" s="1">
        <v>521</v>
      </c>
      <c r="AI265" s="1">
        <v>504</v>
      </c>
      <c r="AJ265" s="1">
        <v>502</v>
      </c>
      <c r="AK265" s="1">
        <v>488</v>
      </c>
      <c r="AL265" s="1">
        <v>467</v>
      </c>
      <c r="AM265" s="1">
        <v>471</v>
      </c>
      <c r="AN265" s="1">
        <v>495</v>
      </c>
      <c r="AO265" s="1">
        <v>488</v>
      </c>
      <c r="AP265" s="1">
        <v>513</v>
      </c>
      <c r="AQ265" s="1">
        <v>591</v>
      </c>
      <c r="AR265" s="1">
        <v>488</v>
      </c>
      <c r="AS265" s="1">
        <v>481</v>
      </c>
      <c r="AT265" s="1">
        <v>453</v>
      </c>
      <c r="AU265" s="1">
        <v>426</v>
      </c>
      <c r="AV265" s="1">
        <v>422</v>
      </c>
      <c r="AW265" s="1">
        <v>422</v>
      </c>
      <c r="AX265" s="1">
        <v>407</v>
      </c>
      <c r="AY265" s="1">
        <v>400</v>
      </c>
      <c r="AZ265" s="1">
        <v>407</v>
      </c>
      <c r="BA265" s="1">
        <v>404</v>
      </c>
      <c r="BB265" s="1">
        <v>402</v>
      </c>
      <c r="BC265" s="1">
        <v>412</v>
      </c>
      <c r="BD265" s="1">
        <v>410</v>
      </c>
      <c r="BE265" s="1">
        <v>418</v>
      </c>
      <c r="BF265" s="1">
        <v>420</v>
      </c>
      <c r="BG265" s="1">
        <v>426</v>
      </c>
      <c r="BH265" s="1">
        <v>430</v>
      </c>
      <c r="BI265" s="1">
        <v>425</v>
      </c>
      <c r="BJ265" s="1">
        <v>433</v>
      </c>
      <c r="BK265" s="1">
        <v>449</v>
      </c>
      <c r="BL265" s="1">
        <v>425</v>
      </c>
      <c r="BM265" s="1">
        <v>415</v>
      </c>
      <c r="BN265" s="1">
        <v>445</v>
      </c>
      <c r="BO265" s="1">
        <v>450</v>
      </c>
      <c r="BP265" s="1">
        <v>450</v>
      </c>
      <c r="BQ265" s="1">
        <v>445</v>
      </c>
      <c r="BR265" s="1">
        <v>442</v>
      </c>
      <c r="BS265" s="1">
        <v>450</v>
      </c>
      <c r="BT265" s="1">
        <v>448</v>
      </c>
      <c r="BU265" s="1">
        <v>445</v>
      </c>
      <c r="BV265" s="1">
        <v>450</v>
      </c>
      <c r="BW265" s="1">
        <v>445</v>
      </c>
      <c r="BX265" s="1">
        <v>452</v>
      </c>
      <c r="BY265" s="1">
        <v>441</v>
      </c>
      <c r="BZ265" s="1">
        <v>447</v>
      </c>
    </row>
    <row r="266" spans="1:78">
      <c r="A266" s="62" t="s">
        <v>479</v>
      </c>
      <c r="B266" s="1" t="str">
        <f>銘柄管理!C266</f>
        <v>インフォメティス</v>
      </c>
      <c r="C266" s="1">
        <f>_xll.RssMarket("281A","安値")</f>
        <v>467</v>
      </c>
      <c r="E266" s="1">
        <v>450</v>
      </c>
      <c r="F266" s="1">
        <v>420</v>
      </c>
      <c r="G266" s="1">
        <v>417</v>
      </c>
      <c r="H266" s="1">
        <v>406</v>
      </c>
      <c r="I266" s="1">
        <v>411</v>
      </c>
      <c r="J266" s="1">
        <v>422</v>
      </c>
      <c r="K266" s="1">
        <v>441</v>
      </c>
      <c r="L266" s="1">
        <v>442</v>
      </c>
      <c r="M266" s="1">
        <v>460</v>
      </c>
      <c r="N266" s="1">
        <v>456</v>
      </c>
      <c r="O266" s="1">
        <v>451</v>
      </c>
      <c r="P266" s="1">
        <v>443</v>
      </c>
      <c r="Q266" s="1">
        <v>495</v>
      </c>
      <c r="R266" s="1">
        <v>497</v>
      </c>
      <c r="S266" s="1">
        <v>515</v>
      </c>
      <c r="T266" s="1">
        <v>481</v>
      </c>
      <c r="U266" s="1">
        <v>471</v>
      </c>
      <c r="V266" s="1">
        <v>519</v>
      </c>
      <c r="W266" s="1">
        <v>614</v>
      </c>
      <c r="X266" s="1">
        <v>620</v>
      </c>
      <c r="Y266" s="1">
        <v>603</v>
      </c>
      <c r="Z266" s="1">
        <v>617</v>
      </c>
      <c r="AA266" s="1">
        <v>607</v>
      </c>
      <c r="AB266" s="1">
        <v>666</v>
      </c>
      <c r="AC266" s="1">
        <v>680</v>
      </c>
      <c r="AD266" s="1">
        <v>665</v>
      </c>
      <c r="AE266" s="1">
        <v>715</v>
      </c>
      <c r="AF266" s="1">
        <v>677</v>
      </c>
      <c r="AG266" s="1">
        <v>600</v>
      </c>
      <c r="AH266" s="1">
        <v>562</v>
      </c>
      <c r="AI266" s="1">
        <v>565</v>
      </c>
      <c r="AJ266" s="1">
        <v>616</v>
      </c>
      <c r="AK266" s="1">
        <v>602</v>
      </c>
      <c r="AL266" s="1">
        <v>604</v>
      </c>
      <c r="AM266" s="1">
        <v>634</v>
      </c>
      <c r="AN266" s="1">
        <v>526</v>
      </c>
      <c r="AO266" s="1">
        <v>518</v>
      </c>
      <c r="AP266" s="1">
        <v>515</v>
      </c>
      <c r="AQ266" s="1">
        <v>568</v>
      </c>
      <c r="AR266" s="1">
        <v>606</v>
      </c>
      <c r="AS266" s="1">
        <v>650</v>
      </c>
      <c r="AT266" s="1">
        <v>665</v>
      </c>
      <c r="AU266" s="1">
        <v>679</v>
      </c>
      <c r="AV266" s="1">
        <v>759</v>
      </c>
      <c r="AW266" s="1">
        <v>802</v>
      </c>
      <c r="AX266" s="1">
        <v>811</v>
      </c>
      <c r="AY266" s="1">
        <v>840</v>
      </c>
      <c r="AZ266" s="1">
        <v>758</v>
      </c>
      <c r="BA266" s="1">
        <v>722</v>
      </c>
      <c r="BB266" s="1">
        <v>754</v>
      </c>
      <c r="BC266" s="1">
        <v>790</v>
      </c>
      <c r="BD266" s="1">
        <v>730</v>
      </c>
      <c r="BE266" s="1">
        <v>749</v>
      </c>
      <c r="BF266" s="1">
        <v>712</v>
      </c>
      <c r="BG266" s="1">
        <v>715</v>
      </c>
      <c r="BH266" s="1">
        <v>726</v>
      </c>
      <c r="BI266" s="1">
        <v>782</v>
      </c>
      <c r="BJ266" s="1">
        <v>753</v>
      </c>
      <c r="BK266" s="1">
        <v>680</v>
      </c>
      <c r="BL266" s="1">
        <v>710</v>
      </c>
      <c r="BM266" s="1">
        <v>683</v>
      </c>
      <c r="BN266" s="1">
        <v>712</v>
      </c>
      <c r="BO266" s="1">
        <v>755</v>
      </c>
      <c r="BP266" s="1">
        <v>738</v>
      </c>
      <c r="BQ266" s="1">
        <v>764</v>
      </c>
      <c r="BR266" s="1">
        <v>757</v>
      </c>
      <c r="BS266" s="1">
        <v>870</v>
      </c>
      <c r="BT266" s="1">
        <v>803</v>
      </c>
      <c r="BU266" s="1">
        <v>731</v>
      </c>
      <c r="BV266" s="1">
        <v>712</v>
      </c>
      <c r="BW266" s="1">
        <v>661</v>
      </c>
      <c r="BX266" s="1">
        <v>643</v>
      </c>
      <c r="BY266" s="1">
        <v>631</v>
      </c>
      <c r="BZ266" s="1">
        <v>620</v>
      </c>
    </row>
    <row r="267" spans="1:78">
      <c r="A267" s="62" t="s">
        <v>480</v>
      </c>
      <c r="B267" s="1" t="str">
        <f>銘柄管理!C267</f>
        <v>日本ギア工業</v>
      </c>
      <c r="C267" s="1">
        <f>_xll.RssMarket("6356","安値")</f>
        <v>1346</v>
      </c>
      <c r="E267" s="1">
        <v>1295</v>
      </c>
      <c r="F267" s="1">
        <v>1242</v>
      </c>
      <c r="G267" s="1">
        <v>1243</v>
      </c>
      <c r="H267" s="1">
        <v>1220</v>
      </c>
      <c r="I267" s="1">
        <v>1235</v>
      </c>
      <c r="J267" s="1">
        <v>1294</v>
      </c>
      <c r="K267" s="1">
        <v>1325</v>
      </c>
      <c r="L267" s="1">
        <v>1350</v>
      </c>
      <c r="M267" s="1">
        <v>1393</v>
      </c>
      <c r="N267" s="1">
        <v>1368</v>
      </c>
      <c r="O267" s="1">
        <v>1328</v>
      </c>
      <c r="P267" s="1">
        <v>1385</v>
      </c>
      <c r="Q267" s="1">
        <v>1523</v>
      </c>
      <c r="R267" s="1">
        <v>1490</v>
      </c>
      <c r="S267" s="1">
        <v>1455</v>
      </c>
      <c r="T267" s="1">
        <v>1455</v>
      </c>
      <c r="U267" s="1">
        <v>1412</v>
      </c>
      <c r="V267" s="1">
        <v>1492</v>
      </c>
      <c r="W267" s="1">
        <v>1575</v>
      </c>
      <c r="X267" s="1">
        <v>1708</v>
      </c>
      <c r="Y267" s="1">
        <v>1521</v>
      </c>
      <c r="Z267" s="1">
        <v>1455</v>
      </c>
      <c r="AA267" s="1">
        <v>1472</v>
      </c>
      <c r="AB267" s="1">
        <v>1475</v>
      </c>
      <c r="AC267" s="1">
        <v>1458</v>
      </c>
      <c r="AD267" s="1">
        <v>1431</v>
      </c>
      <c r="AE267" s="1">
        <v>1472</v>
      </c>
      <c r="AF267" s="1">
        <v>1456</v>
      </c>
      <c r="AG267" s="1">
        <v>1452</v>
      </c>
      <c r="AH267" s="1">
        <v>1476</v>
      </c>
      <c r="AI267" s="1">
        <v>1476</v>
      </c>
      <c r="AJ267" s="1">
        <v>1525</v>
      </c>
      <c r="AK267" s="1">
        <v>1393</v>
      </c>
      <c r="AL267" s="1">
        <v>1360</v>
      </c>
      <c r="AM267" s="1">
        <v>1402</v>
      </c>
      <c r="AN267" s="1">
        <v>1393</v>
      </c>
      <c r="AO267" s="1">
        <v>1329</v>
      </c>
      <c r="AP267" s="1">
        <v>1416</v>
      </c>
      <c r="AQ267" s="1">
        <v>1431</v>
      </c>
      <c r="AR267" s="1">
        <v>1517</v>
      </c>
      <c r="AS267" s="1">
        <v>1451</v>
      </c>
      <c r="AT267" s="1">
        <v>1448</v>
      </c>
      <c r="AU267" s="1">
        <v>1442</v>
      </c>
      <c r="AV267" s="1">
        <v>1633</v>
      </c>
      <c r="AW267" s="1">
        <v>1622</v>
      </c>
      <c r="AX267" s="1">
        <v>1670</v>
      </c>
      <c r="AY267" s="1">
        <v>1496</v>
      </c>
      <c r="AZ267" s="1">
        <v>1361</v>
      </c>
      <c r="BA267" s="1">
        <v>1345</v>
      </c>
      <c r="BB267" s="1">
        <v>1341</v>
      </c>
      <c r="BC267" s="1">
        <v>1403</v>
      </c>
      <c r="BD267" s="1">
        <v>1361</v>
      </c>
      <c r="BE267" s="1">
        <v>1366</v>
      </c>
      <c r="BF267" s="1">
        <v>1403</v>
      </c>
      <c r="BG267" s="1">
        <v>1397</v>
      </c>
      <c r="BH267" s="1">
        <v>1457</v>
      </c>
      <c r="BI267" s="1">
        <v>1474</v>
      </c>
      <c r="BJ267" s="1">
        <v>1464</v>
      </c>
      <c r="BK267" s="1">
        <v>1434</v>
      </c>
      <c r="BL267" s="1">
        <v>1485</v>
      </c>
      <c r="BM267" s="1">
        <v>1586</v>
      </c>
      <c r="BN267" s="1">
        <v>1628</v>
      </c>
      <c r="BO267" s="1">
        <v>1550</v>
      </c>
      <c r="BP267" s="1">
        <v>1452</v>
      </c>
      <c r="BQ267" s="1">
        <v>1411</v>
      </c>
      <c r="BR267" s="1">
        <v>1225</v>
      </c>
      <c r="BS267" s="1">
        <v>1258</v>
      </c>
      <c r="BT267" s="1">
        <v>1304</v>
      </c>
      <c r="BU267" s="1">
        <v>1293</v>
      </c>
      <c r="BV267" s="1">
        <v>1319</v>
      </c>
      <c r="BW267" s="1">
        <v>1254</v>
      </c>
      <c r="BX267" s="1">
        <v>1271</v>
      </c>
      <c r="BY267" s="1">
        <v>1195</v>
      </c>
      <c r="BZ267" s="1">
        <v>1232</v>
      </c>
    </row>
    <row r="268" spans="1:78">
      <c r="A268" s="62" t="s">
        <v>481</v>
      </c>
      <c r="B268" s="1" t="str">
        <f>銘柄管理!C268</f>
        <v>助川電気工業</v>
      </c>
      <c r="C268" s="1">
        <f>_xll.RssMarket("7711","安値")</f>
        <v>4500</v>
      </c>
      <c r="E268" s="1">
        <v>4270</v>
      </c>
      <c r="F268" s="1">
        <v>4120</v>
      </c>
      <c r="G268" s="1">
        <v>4070</v>
      </c>
      <c r="H268" s="1">
        <v>4030</v>
      </c>
      <c r="I268" s="1">
        <v>4030</v>
      </c>
      <c r="J268" s="1">
        <v>4200</v>
      </c>
      <c r="K268" s="1">
        <v>4365</v>
      </c>
      <c r="M268" s="1">
        <v>4625</v>
      </c>
      <c r="N268" s="1">
        <v>4640</v>
      </c>
      <c r="O268" s="1">
        <v>4380</v>
      </c>
      <c r="P268" s="1">
        <v>4320</v>
      </c>
      <c r="Q268" s="1">
        <v>5080</v>
      </c>
      <c r="R268" s="1">
        <v>4865</v>
      </c>
      <c r="S268" s="1">
        <v>4690</v>
      </c>
      <c r="T268" s="1">
        <v>4635</v>
      </c>
      <c r="U268" s="1">
        <v>4620</v>
      </c>
      <c r="V268" s="1">
        <v>4835</v>
      </c>
      <c r="W268" s="1">
        <v>4920</v>
      </c>
      <c r="X268" s="1">
        <v>5060</v>
      </c>
      <c r="Y268" s="1">
        <v>4815</v>
      </c>
      <c r="Z268" s="1">
        <v>4800</v>
      </c>
      <c r="AA268" s="1">
        <v>4825</v>
      </c>
      <c r="AB268" s="1">
        <v>4820</v>
      </c>
      <c r="AC268" s="1">
        <v>4825</v>
      </c>
      <c r="AD268" s="1">
        <v>4885</v>
      </c>
      <c r="AE268" s="1">
        <v>4980</v>
      </c>
      <c r="AF268" s="1">
        <v>5030</v>
      </c>
      <c r="AG268" s="1">
        <v>5050</v>
      </c>
      <c r="AH268" s="1">
        <v>5470</v>
      </c>
      <c r="AI268" s="1">
        <v>5260</v>
      </c>
      <c r="AJ268" s="1">
        <v>5470</v>
      </c>
      <c r="AK268" s="1">
        <v>5160</v>
      </c>
      <c r="AL268" s="1">
        <v>4705</v>
      </c>
      <c r="AM268" s="1">
        <v>4805</v>
      </c>
      <c r="AN268" s="1">
        <v>4665</v>
      </c>
      <c r="AO268" s="1">
        <v>4515</v>
      </c>
      <c r="AP268" s="1">
        <v>4645</v>
      </c>
      <c r="AQ268" s="1">
        <v>5030</v>
      </c>
      <c r="AR268" s="1">
        <v>5250</v>
      </c>
      <c r="AS268" s="1">
        <v>5010</v>
      </c>
      <c r="AT268" s="1">
        <v>5080</v>
      </c>
      <c r="AU268" s="1">
        <v>5080</v>
      </c>
      <c r="AV268" s="1">
        <v>5300</v>
      </c>
      <c r="AW268" s="1">
        <v>5300</v>
      </c>
      <c r="AX268" s="1">
        <v>5400</v>
      </c>
      <c r="AY268" s="1">
        <v>5320</v>
      </c>
      <c r="AZ268" s="1">
        <v>5080</v>
      </c>
      <c r="BA268" s="1">
        <v>5040</v>
      </c>
      <c r="BB268" s="1">
        <v>4955</v>
      </c>
      <c r="BC268" s="1">
        <v>5160</v>
      </c>
      <c r="BD268" s="1">
        <v>5250</v>
      </c>
      <c r="BE268" s="1">
        <v>5360</v>
      </c>
      <c r="BF268" s="1">
        <v>5370</v>
      </c>
      <c r="BG268" s="1">
        <v>5620</v>
      </c>
      <c r="BH268" s="1">
        <v>5610</v>
      </c>
      <c r="BI268" s="1">
        <v>5820</v>
      </c>
      <c r="BJ268" s="1">
        <v>6000</v>
      </c>
      <c r="BK268" s="1">
        <v>6060</v>
      </c>
      <c r="BL268" s="1">
        <v>5870</v>
      </c>
      <c r="BM268" s="1">
        <v>5960</v>
      </c>
      <c r="BN268" s="1">
        <v>6100</v>
      </c>
      <c r="BO268" s="1">
        <v>6170</v>
      </c>
      <c r="BP268" s="1">
        <v>6310</v>
      </c>
      <c r="BQ268" s="1">
        <v>6340</v>
      </c>
      <c r="BR268" s="1">
        <v>6200</v>
      </c>
      <c r="BS268" s="1">
        <v>6120</v>
      </c>
      <c r="BT268" s="1">
        <v>6230</v>
      </c>
      <c r="BU268" s="1">
        <v>6230</v>
      </c>
      <c r="BV268" s="1">
        <v>6150</v>
      </c>
      <c r="BW268" s="1">
        <v>6080</v>
      </c>
      <c r="BX268" s="1">
        <v>6240</v>
      </c>
      <c r="BY268" s="1">
        <v>6200</v>
      </c>
      <c r="BZ268" s="1">
        <v>6240</v>
      </c>
    </row>
    <row r="269" spans="1:78">
      <c r="A269" s="62" t="s">
        <v>482</v>
      </c>
      <c r="B269" s="1" t="str">
        <f>銘柄管理!C269</f>
        <v>日機装</v>
      </c>
      <c r="C269" s="1">
        <f>_xll.RssMarket("6376","安値")</f>
        <v>3955</v>
      </c>
      <c r="E269" s="1">
        <v>3780</v>
      </c>
      <c r="F269" s="1">
        <v>3605</v>
      </c>
      <c r="G269" s="1">
        <v>3590</v>
      </c>
      <c r="H269" s="1">
        <v>3500</v>
      </c>
      <c r="I269" s="1">
        <v>3480</v>
      </c>
      <c r="J269" s="1">
        <v>3730</v>
      </c>
      <c r="K269" s="1">
        <v>3965</v>
      </c>
      <c r="L269" s="1">
        <v>3935</v>
      </c>
      <c r="M269" s="1">
        <v>3975</v>
      </c>
      <c r="N269" s="1">
        <v>3940</v>
      </c>
      <c r="O269" s="1">
        <v>3880</v>
      </c>
      <c r="P269" s="1">
        <v>3685</v>
      </c>
      <c r="Q269" s="1">
        <v>3795</v>
      </c>
      <c r="R269" s="1">
        <v>3575</v>
      </c>
      <c r="S269" s="1">
        <v>3580</v>
      </c>
      <c r="T269" s="1">
        <v>3685</v>
      </c>
      <c r="U269" s="1">
        <v>3660</v>
      </c>
      <c r="V269" s="1">
        <v>3710</v>
      </c>
      <c r="W269" s="1">
        <v>3825</v>
      </c>
      <c r="X269" s="1">
        <v>4000</v>
      </c>
      <c r="Y269" s="1">
        <v>3840</v>
      </c>
      <c r="Z269" s="1">
        <v>3815</v>
      </c>
      <c r="AA269" s="1">
        <v>3815</v>
      </c>
      <c r="AB269" s="1">
        <v>4020</v>
      </c>
      <c r="AC269" s="1">
        <v>3990</v>
      </c>
      <c r="AD269" s="1">
        <v>4140</v>
      </c>
      <c r="AE269" s="1">
        <v>4095</v>
      </c>
      <c r="AF269" s="1">
        <v>3930</v>
      </c>
      <c r="AG269" s="1">
        <v>3980</v>
      </c>
      <c r="AH269" s="1">
        <v>3905</v>
      </c>
      <c r="AI269" s="1">
        <v>3850</v>
      </c>
      <c r="AJ269" s="1">
        <v>3860</v>
      </c>
      <c r="AK269" s="1">
        <v>3715</v>
      </c>
      <c r="AL269" s="1">
        <v>3665</v>
      </c>
      <c r="AM269" s="1">
        <v>3690</v>
      </c>
      <c r="AN269" s="1">
        <v>3565</v>
      </c>
      <c r="AO269" s="1">
        <v>3450</v>
      </c>
      <c r="AP269" s="1">
        <v>3390</v>
      </c>
      <c r="AQ269" s="1">
        <v>3130</v>
      </c>
      <c r="AR269" s="1">
        <v>3160</v>
      </c>
      <c r="AS269" s="1">
        <v>3035</v>
      </c>
      <c r="AT269" s="1">
        <v>3065</v>
      </c>
      <c r="AU269" s="1">
        <v>3015</v>
      </c>
      <c r="AV269" s="1">
        <v>3105</v>
      </c>
      <c r="AW269" s="1">
        <v>3140</v>
      </c>
      <c r="AX269" s="1">
        <v>3255</v>
      </c>
      <c r="AY269" s="1">
        <v>3255</v>
      </c>
      <c r="AZ269" s="1">
        <v>3025</v>
      </c>
      <c r="BA269" s="1">
        <v>2988</v>
      </c>
      <c r="BB269" s="1">
        <v>2794</v>
      </c>
      <c r="BC269" s="1">
        <v>2863</v>
      </c>
      <c r="BD269" s="1">
        <v>2781</v>
      </c>
      <c r="BE269" s="1">
        <v>2530</v>
      </c>
      <c r="BF269" s="1">
        <v>2614</v>
      </c>
      <c r="BG269" s="1">
        <v>2582</v>
      </c>
      <c r="BH269" s="1">
        <v>2643</v>
      </c>
      <c r="BI269" s="1">
        <v>2614</v>
      </c>
      <c r="BJ269" s="1">
        <v>2585</v>
      </c>
      <c r="BK269" s="1">
        <v>2628</v>
      </c>
      <c r="BL269" s="1">
        <v>2600</v>
      </c>
      <c r="BM269" s="1">
        <v>2590</v>
      </c>
      <c r="BN269" s="1">
        <v>2552</v>
      </c>
      <c r="BO269" s="1">
        <v>2574</v>
      </c>
      <c r="BP269" s="1">
        <v>2581</v>
      </c>
      <c r="BQ269" s="1">
        <v>2526</v>
      </c>
      <c r="BR269" s="1">
        <v>2493</v>
      </c>
      <c r="BS269" s="1">
        <v>2570</v>
      </c>
      <c r="BT269" s="1">
        <v>2622</v>
      </c>
      <c r="BU269" s="1">
        <v>2653</v>
      </c>
      <c r="BV269" s="1">
        <v>2714</v>
      </c>
      <c r="BW269" s="1">
        <v>2747</v>
      </c>
      <c r="BX269" s="1">
        <v>2807</v>
      </c>
      <c r="BY269" s="1">
        <v>2802</v>
      </c>
      <c r="BZ269" s="1">
        <v>2788</v>
      </c>
    </row>
    <row r="270" spans="1:78">
      <c r="A270" s="62" t="s">
        <v>483</v>
      </c>
      <c r="B270" s="1" t="str">
        <f>銘柄管理!C270</f>
        <v>明海グループ</v>
      </c>
      <c r="C270" s="1">
        <f>_xll.RssMarket("9115","安値")</f>
        <v>853</v>
      </c>
      <c r="E270" s="1">
        <v>825</v>
      </c>
      <c r="F270" s="1">
        <v>798</v>
      </c>
      <c r="G270" s="1">
        <v>770</v>
      </c>
      <c r="H270" s="1">
        <v>756</v>
      </c>
      <c r="I270" s="1">
        <v>780</v>
      </c>
      <c r="J270" s="1">
        <v>848</v>
      </c>
      <c r="K270" s="1">
        <v>876</v>
      </c>
      <c r="L270" s="1">
        <v>852</v>
      </c>
      <c r="M270" s="1">
        <v>839</v>
      </c>
      <c r="N270" s="1">
        <v>830</v>
      </c>
      <c r="O270" s="1">
        <v>821</v>
      </c>
      <c r="P270" s="1">
        <v>816</v>
      </c>
      <c r="Q270" s="1">
        <v>828</v>
      </c>
      <c r="R270" s="1">
        <v>817</v>
      </c>
      <c r="S270" s="1">
        <v>811</v>
      </c>
      <c r="T270" s="1">
        <v>809</v>
      </c>
      <c r="U270" s="1">
        <v>815</v>
      </c>
      <c r="V270" s="1">
        <v>811</v>
      </c>
      <c r="W270" s="1">
        <v>822</v>
      </c>
      <c r="X270" s="1">
        <v>836</v>
      </c>
      <c r="Y270" s="1">
        <v>817</v>
      </c>
      <c r="Z270" s="1">
        <v>810</v>
      </c>
      <c r="AA270" s="1">
        <v>791</v>
      </c>
      <c r="AB270" s="1">
        <v>790</v>
      </c>
      <c r="AC270" s="1">
        <v>800</v>
      </c>
      <c r="AD270" s="1">
        <v>779</v>
      </c>
      <c r="AE270" s="1">
        <v>778</v>
      </c>
      <c r="AF270" s="1">
        <v>782</v>
      </c>
      <c r="AG270" s="1">
        <v>760</v>
      </c>
      <c r="AH270" s="1">
        <v>753</v>
      </c>
      <c r="AI270" s="1">
        <v>757</v>
      </c>
      <c r="AJ270" s="1">
        <v>779</v>
      </c>
      <c r="AK270" s="1">
        <v>790</v>
      </c>
      <c r="AL270" s="1">
        <v>815</v>
      </c>
      <c r="AM270" s="1">
        <v>807</v>
      </c>
      <c r="AN270" s="1">
        <v>838</v>
      </c>
      <c r="AO270" s="1">
        <v>883</v>
      </c>
      <c r="AP270" s="1">
        <v>892</v>
      </c>
      <c r="AQ270" s="1">
        <v>958</v>
      </c>
      <c r="AR270" s="1">
        <v>981</v>
      </c>
      <c r="AS270" s="1">
        <v>955</v>
      </c>
      <c r="AT270" s="1">
        <v>1002</v>
      </c>
      <c r="AU270" s="1">
        <v>1026</v>
      </c>
      <c r="AV270" s="1">
        <v>1087</v>
      </c>
      <c r="AW270" s="1">
        <v>1078</v>
      </c>
      <c r="AX270" s="1">
        <v>1140</v>
      </c>
      <c r="AY270" s="1">
        <v>1131</v>
      </c>
      <c r="AZ270" s="1">
        <v>1101</v>
      </c>
      <c r="BA270" s="1">
        <v>1096</v>
      </c>
      <c r="BB270" s="1">
        <v>1081</v>
      </c>
      <c r="BC270" s="1">
        <v>1095</v>
      </c>
      <c r="BD270" s="1">
        <v>1192</v>
      </c>
      <c r="BE270" s="1">
        <v>1175</v>
      </c>
      <c r="BF270" s="1">
        <v>1159</v>
      </c>
      <c r="BG270" s="1">
        <v>1147</v>
      </c>
      <c r="BH270" s="1">
        <v>1216</v>
      </c>
      <c r="BI270" s="1">
        <v>1215</v>
      </c>
      <c r="BJ270" s="1">
        <v>1236</v>
      </c>
      <c r="BK270" s="1">
        <v>1284</v>
      </c>
      <c r="BL270" s="1">
        <v>1230</v>
      </c>
      <c r="BM270" s="1">
        <v>1220</v>
      </c>
      <c r="BN270" s="1">
        <v>1174</v>
      </c>
      <c r="BO270" s="1">
        <v>1169</v>
      </c>
      <c r="BP270" s="1">
        <v>1151</v>
      </c>
      <c r="BQ270" s="1">
        <v>1171</v>
      </c>
      <c r="BR270" s="1">
        <v>1212</v>
      </c>
      <c r="BS270" s="1">
        <v>1240</v>
      </c>
      <c r="BT270" s="1">
        <v>1221</v>
      </c>
      <c r="BU270" s="1">
        <v>1241</v>
      </c>
      <c r="BV270" s="1">
        <v>1284</v>
      </c>
      <c r="BW270" s="1">
        <v>1263</v>
      </c>
      <c r="BX270" s="1">
        <v>1236</v>
      </c>
      <c r="BY270" s="1">
        <v>1286</v>
      </c>
      <c r="BZ270" s="1">
        <v>1225</v>
      </c>
    </row>
    <row r="271" spans="1:78">
      <c r="A271" s="62" t="s">
        <v>484</v>
      </c>
      <c r="B271" s="1" t="str">
        <f>銘柄管理!C271</f>
        <v>三菱製紙</v>
      </c>
      <c r="C271" s="1">
        <f>_xll.RssMarket("3864","安値")</f>
        <v>1146</v>
      </c>
      <c r="E271" s="1">
        <v>1114</v>
      </c>
      <c r="F271" s="1">
        <v>1085</v>
      </c>
      <c r="G271" s="1">
        <v>1103</v>
      </c>
      <c r="H271" s="1">
        <v>1081</v>
      </c>
      <c r="I271" s="1">
        <v>1100</v>
      </c>
      <c r="J271" s="1">
        <v>1090</v>
      </c>
      <c r="K271" s="1">
        <v>1122</v>
      </c>
      <c r="L271" s="1">
        <v>1131</v>
      </c>
      <c r="M271" s="1">
        <v>1158</v>
      </c>
      <c r="N271" s="1">
        <v>1124</v>
      </c>
      <c r="O271" s="1">
        <v>1093</v>
      </c>
      <c r="P271" s="1">
        <v>1077</v>
      </c>
      <c r="Q271" s="1">
        <v>1035</v>
      </c>
      <c r="R271" s="1">
        <v>1056</v>
      </c>
      <c r="S271" s="1">
        <v>1007</v>
      </c>
      <c r="T271" s="1">
        <v>1001</v>
      </c>
      <c r="U271" s="1">
        <v>992</v>
      </c>
      <c r="V271" s="1">
        <v>993</v>
      </c>
      <c r="W271" s="1">
        <v>997</v>
      </c>
      <c r="X271" s="1">
        <v>1008</v>
      </c>
      <c r="Y271" s="1">
        <v>1001</v>
      </c>
      <c r="Z271" s="1">
        <v>1000</v>
      </c>
      <c r="AA271" s="1">
        <v>1001</v>
      </c>
      <c r="AB271" s="1">
        <v>1003</v>
      </c>
      <c r="AC271" s="1">
        <v>1001</v>
      </c>
      <c r="AD271" s="1">
        <v>1030</v>
      </c>
      <c r="AE271" s="1">
        <v>1026</v>
      </c>
      <c r="AF271" s="1">
        <v>1008</v>
      </c>
      <c r="AG271" s="1">
        <v>1029</v>
      </c>
      <c r="AH271" s="1">
        <v>1023</v>
      </c>
      <c r="AI271" s="1">
        <v>1026</v>
      </c>
      <c r="AJ271" s="1">
        <v>1026</v>
      </c>
      <c r="AK271" s="1">
        <v>1058</v>
      </c>
      <c r="AL271" s="1">
        <v>1060</v>
      </c>
      <c r="AM271" s="1">
        <v>1074</v>
      </c>
      <c r="AN271" s="1">
        <v>1056</v>
      </c>
      <c r="AO271" s="1">
        <v>1046</v>
      </c>
      <c r="AP271" s="1">
        <v>1052</v>
      </c>
      <c r="AQ271" s="1">
        <v>1032</v>
      </c>
      <c r="AR271" s="1">
        <v>1038</v>
      </c>
      <c r="AS271" s="1">
        <v>1025</v>
      </c>
      <c r="AT271" s="1">
        <v>1025</v>
      </c>
      <c r="AU271" s="1">
        <v>1038</v>
      </c>
      <c r="AV271" s="1">
        <v>1100</v>
      </c>
      <c r="AW271" s="1">
        <v>1102</v>
      </c>
      <c r="AX271" s="1">
        <v>1091</v>
      </c>
      <c r="AY271" s="1">
        <v>1062</v>
      </c>
      <c r="AZ271" s="1">
        <v>1080</v>
      </c>
      <c r="BA271" s="1">
        <v>1051</v>
      </c>
      <c r="BB271" s="1">
        <v>997</v>
      </c>
      <c r="BC271" s="1">
        <v>1007</v>
      </c>
      <c r="BD271" s="1">
        <v>971</v>
      </c>
      <c r="BE271" s="1">
        <v>950</v>
      </c>
      <c r="BF271" s="1">
        <v>898</v>
      </c>
      <c r="BG271" s="1">
        <v>909</v>
      </c>
      <c r="BH271" s="1">
        <v>910</v>
      </c>
      <c r="BI271" s="1">
        <v>927</v>
      </c>
      <c r="BJ271" s="1">
        <v>934</v>
      </c>
      <c r="BK271" s="1">
        <v>918</v>
      </c>
      <c r="BL271" s="1">
        <v>924</v>
      </c>
      <c r="BM271" s="1">
        <v>924</v>
      </c>
      <c r="BN271" s="1">
        <v>933</v>
      </c>
      <c r="BO271" s="1">
        <v>934</v>
      </c>
      <c r="BP271" s="1">
        <v>937</v>
      </c>
      <c r="BQ271" s="1">
        <v>940</v>
      </c>
      <c r="BR271" s="1">
        <v>959</v>
      </c>
      <c r="BS271" s="1">
        <v>956</v>
      </c>
      <c r="BT271" s="1">
        <v>970</v>
      </c>
      <c r="BU271" s="1">
        <v>961</v>
      </c>
      <c r="BV271" s="1">
        <v>956</v>
      </c>
      <c r="BW271" s="1">
        <v>915</v>
      </c>
      <c r="BX271" s="1">
        <v>918</v>
      </c>
      <c r="BY271" s="1">
        <v>892</v>
      </c>
      <c r="BZ271" s="1">
        <v>892</v>
      </c>
    </row>
    <row r="272" spans="1:78">
      <c r="A272" s="62" t="s">
        <v>485</v>
      </c>
      <c r="B272" s="1" t="str">
        <f>銘柄管理!C272</f>
        <v>日本ケミコン</v>
      </c>
      <c r="C272" s="1">
        <f>_xll.RssMarket("6997","安値")</f>
        <v>3325</v>
      </c>
      <c r="E272" s="1">
        <v>3145</v>
      </c>
      <c r="F272" s="1">
        <v>2946</v>
      </c>
      <c r="G272" s="1">
        <v>2819</v>
      </c>
      <c r="H272" s="1">
        <v>2515</v>
      </c>
      <c r="I272" s="1">
        <v>2466</v>
      </c>
      <c r="J272" s="1">
        <v>2788</v>
      </c>
      <c r="K272" s="1">
        <v>3075</v>
      </c>
      <c r="L272" s="1">
        <v>3185</v>
      </c>
      <c r="M272" s="1">
        <v>3275</v>
      </c>
      <c r="N272" s="1">
        <v>3285</v>
      </c>
      <c r="O272" s="1">
        <v>2990</v>
      </c>
      <c r="P272" s="1">
        <v>3025</v>
      </c>
      <c r="Q272" s="1">
        <v>3585</v>
      </c>
      <c r="R272" s="1">
        <v>3425</v>
      </c>
      <c r="S272" s="1">
        <v>3620</v>
      </c>
      <c r="T272" s="1">
        <v>3935</v>
      </c>
      <c r="U272" s="1">
        <v>3815</v>
      </c>
      <c r="V272" s="1">
        <v>3920</v>
      </c>
      <c r="W272" s="1">
        <v>4215</v>
      </c>
      <c r="X272" s="1">
        <v>5020</v>
      </c>
      <c r="Y272" s="1">
        <v>4745</v>
      </c>
      <c r="Z272" s="1">
        <v>5140</v>
      </c>
      <c r="AA272" s="1">
        <v>5480</v>
      </c>
      <c r="AB272" s="1">
        <v>5340</v>
      </c>
      <c r="AC272" s="1">
        <v>5350</v>
      </c>
      <c r="AD272" s="1">
        <v>5470</v>
      </c>
      <c r="AE272" s="1">
        <v>5520</v>
      </c>
      <c r="AF272" s="1">
        <v>5240</v>
      </c>
      <c r="AG272" s="1">
        <v>5330</v>
      </c>
      <c r="AH272" s="1">
        <v>5590</v>
      </c>
      <c r="AI272" s="1">
        <v>5380</v>
      </c>
      <c r="AJ272" s="1">
        <v>5110</v>
      </c>
      <c r="AK272" s="1">
        <v>4350</v>
      </c>
      <c r="AL272" s="1">
        <v>4505</v>
      </c>
      <c r="AM272" s="1">
        <v>4085</v>
      </c>
      <c r="AN272" s="1">
        <v>4070</v>
      </c>
      <c r="AO272" s="1">
        <v>3890</v>
      </c>
      <c r="AP272" s="1">
        <v>4050</v>
      </c>
      <c r="AQ272" s="1">
        <v>4280</v>
      </c>
      <c r="AR272" s="1">
        <v>4385</v>
      </c>
      <c r="AS272" s="1">
        <v>4510</v>
      </c>
      <c r="AT272" s="1">
        <v>4450</v>
      </c>
      <c r="AU272" s="1">
        <v>4635</v>
      </c>
      <c r="AV272" s="1">
        <v>4665</v>
      </c>
      <c r="AW272" s="1">
        <v>3685</v>
      </c>
      <c r="AX272" s="1">
        <v>3630</v>
      </c>
      <c r="AY272" s="1">
        <v>3595</v>
      </c>
      <c r="AZ272" s="1">
        <v>2973</v>
      </c>
      <c r="BA272" s="1">
        <v>2834</v>
      </c>
      <c r="BB272" s="1">
        <v>2926</v>
      </c>
      <c r="BC272" s="1">
        <v>2890</v>
      </c>
      <c r="BD272" s="1">
        <v>2869</v>
      </c>
      <c r="BE272" s="1">
        <v>2980</v>
      </c>
      <c r="BF272" s="1">
        <v>3230</v>
      </c>
      <c r="BG272" s="1">
        <v>3065</v>
      </c>
      <c r="BH272" s="1">
        <v>3110</v>
      </c>
      <c r="BI272" s="1">
        <v>3100</v>
      </c>
      <c r="BJ272" s="1">
        <v>2873</v>
      </c>
      <c r="BK272" s="1">
        <v>2736</v>
      </c>
      <c r="BL272" s="1">
        <v>2549</v>
      </c>
      <c r="BM272" s="1">
        <v>2397</v>
      </c>
      <c r="BN272" s="1">
        <v>2277</v>
      </c>
      <c r="BO272" s="1">
        <v>2205</v>
      </c>
      <c r="BP272" s="1">
        <v>2224</v>
      </c>
      <c r="BQ272" s="1">
        <v>2186</v>
      </c>
      <c r="BR272" s="1">
        <v>2292</v>
      </c>
      <c r="BS272" s="1">
        <v>2354</v>
      </c>
      <c r="BT272" s="1">
        <v>2169</v>
      </c>
      <c r="BU272" s="1">
        <v>2102</v>
      </c>
      <c r="BV272" s="1">
        <v>2057</v>
      </c>
      <c r="BW272" s="1">
        <v>1965</v>
      </c>
      <c r="BX272" s="1">
        <v>1780</v>
      </c>
      <c r="BY272" s="1">
        <v>1637</v>
      </c>
      <c r="BZ272" s="1">
        <v>1656</v>
      </c>
    </row>
    <row r="273" spans="1:78">
      <c r="A273" s="62" t="s">
        <v>486</v>
      </c>
      <c r="B273" s="1" t="str">
        <f>銘柄管理!C273</f>
        <v>ＨＵグループＨＤ</v>
      </c>
      <c r="C273" s="1">
        <f>_xll.RssMarket("4544","安値")</f>
        <v>3318</v>
      </c>
      <c r="E273" s="1">
        <v>3304</v>
      </c>
      <c r="F273" s="1">
        <v>3291</v>
      </c>
      <c r="G273" s="1">
        <v>3406</v>
      </c>
      <c r="H273" s="1">
        <v>3448</v>
      </c>
      <c r="I273" s="1">
        <v>3474</v>
      </c>
      <c r="J273" s="1">
        <v>3432</v>
      </c>
      <c r="K273" s="1">
        <v>3348</v>
      </c>
      <c r="L273" s="1">
        <v>3273</v>
      </c>
      <c r="M273" s="1">
        <v>3282</v>
      </c>
      <c r="N273" s="1">
        <v>3326</v>
      </c>
      <c r="O273" s="1">
        <v>3360</v>
      </c>
      <c r="P273" s="1">
        <v>3359</v>
      </c>
      <c r="Q273" s="1">
        <v>3321</v>
      </c>
      <c r="R273" s="1">
        <v>3348</v>
      </c>
      <c r="S273" s="1">
        <v>3320</v>
      </c>
      <c r="T273" s="1">
        <v>3320</v>
      </c>
      <c r="U273" s="1">
        <v>3322</v>
      </c>
      <c r="V273" s="1">
        <v>3470</v>
      </c>
      <c r="W273" s="1">
        <v>3390</v>
      </c>
      <c r="X273" s="1">
        <v>3385</v>
      </c>
      <c r="Y273" s="1">
        <v>3382</v>
      </c>
      <c r="Z273" s="1">
        <v>3266</v>
      </c>
      <c r="AA273" s="1">
        <v>3249</v>
      </c>
      <c r="AB273" s="1">
        <v>3219</v>
      </c>
      <c r="AC273" s="1">
        <v>3234</v>
      </c>
      <c r="AD273" s="1">
        <v>3202</v>
      </c>
      <c r="AE273" s="1">
        <v>3124</v>
      </c>
      <c r="AF273" s="1">
        <v>3141</v>
      </c>
      <c r="AG273" s="1">
        <v>3128</v>
      </c>
      <c r="AH273" s="1">
        <v>3089</v>
      </c>
      <c r="AI273" s="1">
        <v>3108</v>
      </c>
      <c r="AJ273" s="1">
        <v>3071</v>
      </c>
      <c r="AK273" s="1">
        <v>3170</v>
      </c>
      <c r="AL273" s="1">
        <v>3211</v>
      </c>
      <c r="AM273" s="1">
        <v>3234</v>
      </c>
      <c r="AN273" s="1">
        <v>3352</v>
      </c>
      <c r="AO273" s="1">
        <v>3381</v>
      </c>
      <c r="AP273" s="1">
        <v>3424</v>
      </c>
      <c r="AQ273" s="1">
        <v>3262</v>
      </c>
      <c r="AR273" s="1">
        <v>3333</v>
      </c>
      <c r="AS273" s="1">
        <v>3232</v>
      </c>
      <c r="AT273" s="1">
        <v>3083</v>
      </c>
      <c r="AU273" s="1">
        <v>3117</v>
      </c>
      <c r="AV273" s="1">
        <v>3117</v>
      </c>
      <c r="AW273" s="1">
        <v>3105</v>
      </c>
      <c r="AX273" s="1">
        <v>3111</v>
      </c>
      <c r="AY273" s="1">
        <v>3138</v>
      </c>
      <c r="AZ273" s="1">
        <v>3153</v>
      </c>
      <c r="BA273" s="1">
        <v>3147</v>
      </c>
      <c r="BB273" s="1">
        <v>3190</v>
      </c>
      <c r="BC273" s="1">
        <v>3185</v>
      </c>
      <c r="BD273" s="1">
        <v>3163</v>
      </c>
      <c r="BE273" s="1">
        <v>3067</v>
      </c>
      <c r="BF273" s="1">
        <v>3050</v>
      </c>
      <c r="BG273" s="1">
        <v>3100</v>
      </c>
      <c r="BH273" s="1">
        <v>3086</v>
      </c>
      <c r="BI273" s="1">
        <v>3056</v>
      </c>
      <c r="BJ273" s="1">
        <v>3095</v>
      </c>
      <c r="BK273" s="1">
        <v>3112</v>
      </c>
      <c r="BL273" s="1">
        <v>3060</v>
      </c>
      <c r="BM273" s="1">
        <v>3078</v>
      </c>
      <c r="BN273" s="1">
        <v>3133</v>
      </c>
      <c r="BO273" s="1">
        <v>3163</v>
      </c>
      <c r="BP273" s="1">
        <v>3128</v>
      </c>
      <c r="BQ273" s="1">
        <v>3126</v>
      </c>
      <c r="BR273" s="1">
        <v>3125</v>
      </c>
      <c r="BS273" s="1">
        <v>3104</v>
      </c>
      <c r="BT273" s="1">
        <v>3134</v>
      </c>
      <c r="BU273" s="1">
        <v>3143</v>
      </c>
      <c r="BV273" s="1">
        <v>3175</v>
      </c>
      <c r="BW273" s="1">
        <v>3156</v>
      </c>
      <c r="BX273" s="1">
        <v>3133</v>
      </c>
      <c r="BY273" s="1">
        <v>3077</v>
      </c>
      <c r="BZ273" s="1">
        <v>3122</v>
      </c>
    </row>
    <row r="274" spans="1:78">
      <c r="A274" s="62" t="s">
        <v>487</v>
      </c>
      <c r="B274" s="1" t="str">
        <f>銘柄管理!C274</f>
        <v>東亜ディーケーケー</v>
      </c>
      <c r="C274" s="1">
        <f>_xll.RssMarket("6848","安値")</f>
        <v>855</v>
      </c>
      <c r="E274" s="1">
        <v>852</v>
      </c>
      <c r="F274" s="1">
        <v>853</v>
      </c>
      <c r="G274" s="1">
        <v>855</v>
      </c>
      <c r="H274" s="1">
        <v>850</v>
      </c>
      <c r="I274" s="1">
        <v>850</v>
      </c>
      <c r="J274" s="1">
        <v>852</v>
      </c>
      <c r="K274" s="1">
        <v>852</v>
      </c>
      <c r="M274" s="1">
        <v>850</v>
      </c>
      <c r="N274" s="1">
        <v>852</v>
      </c>
      <c r="O274" s="1">
        <v>854</v>
      </c>
      <c r="P274" s="1">
        <v>850</v>
      </c>
      <c r="Q274" s="1">
        <v>854</v>
      </c>
      <c r="R274" s="1">
        <v>854</v>
      </c>
      <c r="S274" s="1">
        <v>849</v>
      </c>
      <c r="T274" s="1">
        <v>851</v>
      </c>
      <c r="U274" s="1">
        <v>850</v>
      </c>
      <c r="V274" s="1">
        <v>854</v>
      </c>
      <c r="W274" s="1">
        <v>860</v>
      </c>
      <c r="X274" s="1">
        <v>853</v>
      </c>
      <c r="Y274" s="1">
        <v>852</v>
      </c>
      <c r="Z274" s="1">
        <v>850</v>
      </c>
      <c r="AA274" s="1">
        <v>853</v>
      </c>
      <c r="AB274" s="1">
        <v>860</v>
      </c>
      <c r="AC274" s="1">
        <v>858</v>
      </c>
      <c r="AD274" s="1">
        <v>853</v>
      </c>
      <c r="AE274" s="1">
        <v>854</v>
      </c>
      <c r="AF274" s="1">
        <v>851</v>
      </c>
      <c r="AG274" s="1">
        <v>860</v>
      </c>
      <c r="AH274" s="1">
        <v>857</v>
      </c>
      <c r="AI274" s="1">
        <v>852</v>
      </c>
      <c r="AJ274" s="1">
        <v>857</v>
      </c>
      <c r="AK274" s="1">
        <v>855</v>
      </c>
      <c r="AL274" s="1">
        <v>852</v>
      </c>
      <c r="AM274" s="1">
        <v>852</v>
      </c>
      <c r="AN274" s="1">
        <v>850</v>
      </c>
      <c r="AO274" s="1">
        <v>848</v>
      </c>
      <c r="AP274" s="1">
        <v>850</v>
      </c>
      <c r="AQ274" s="1">
        <v>851</v>
      </c>
      <c r="AR274" s="1">
        <v>851</v>
      </c>
      <c r="AS274" s="1">
        <v>852</v>
      </c>
      <c r="AT274" s="1">
        <v>860</v>
      </c>
      <c r="AU274" s="1">
        <v>855</v>
      </c>
      <c r="AV274" s="1">
        <v>855</v>
      </c>
      <c r="AW274" s="1">
        <v>853</v>
      </c>
      <c r="AX274" s="1">
        <v>853</v>
      </c>
      <c r="AY274" s="1">
        <v>854</v>
      </c>
      <c r="AZ274" s="1">
        <v>850</v>
      </c>
      <c r="BA274" s="1">
        <v>848</v>
      </c>
      <c r="BB274" s="1">
        <v>843</v>
      </c>
      <c r="BC274" s="1">
        <v>869</v>
      </c>
      <c r="BD274" s="1">
        <v>862</v>
      </c>
      <c r="BE274" s="1">
        <v>858</v>
      </c>
      <c r="BF274" s="1">
        <v>863</v>
      </c>
      <c r="BG274" s="1">
        <v>865</v>
      </c>
      <c r="BH274" s="1">
        <v>864</v>
      </c>
      <c r="BI274" s="1">
        <v>869</v>
      </c>
      <c r="BJ274" s="1">
        <v>870</v>
      </c>
      <c r="BK274" s="1">
        <v>863</v>
      </c>
      <c r="BL274" s="1">
        <v>862</v>
      </c>
      <c r="BM274" s="1">
        <v>870</v>
      </c>
      <c r="BN274" s="1">
        <v>863</v>
      </c>
      <c r="BO274" s="1">
        <v>866</v>
      </c>
      <c r="BP274" s="1">
        <v>872</v>
      </c>
      <c r="BQ274" s="1">
        <v>868</v>
      </c>
      <c r="BR274" s="1">
        <v>870</v>
      </c>
      <c r="BS274" s="1">
        <v>876</v>
      </c>
      <c r="BT274" s="1">
        <v>875</v>
      </c>
      <c r="BU274" s="1">
        <v>872</v>
      </c>
      <c r="BV274" s="1">
        <v>860</v>
      </c>
      <c r="BW274" s="1">
        <v>870</v>
      </c>
      <c r="BX274" s="1">
        <v>873</v>
      </c>
      <c r="BY274" s="1">
        <v>872</v>
      </c>
      <c r="BZ274" s="1">
        <v>871</v>
      </c>
    </row>
    <row r="275" spans="1:78">
      <c r="A275" s="62" t="s">
        <v>488</v>
      </c>
      <c r="B275" s="1" t="str">
        <f>銘柄管理!C275</f>
        <v>大紀アルミニウム</v>
      </c>
      <c r="C275" s="1">
        <f>_xll.RssMarket("5702","安値")</f>
        <v>1547</v>
      </c>
      <c r="E275" s="1">
        <v>1516</v>
      </c>
      <c r="F275" s="1">
        <v>1442</v>
      </c>
      <c r="G275" s="1">
        <v>1451</v>
      </c>
      <c r="H275" s="1">
        <v>1433</v>
      </c>
      <c r="I275" s="1">
        <v>1421</v>
      </c>
      <c r="J275" s="1">
        <v>1450</v>
      </c>
      <c r="K275" s="1">
        <v>1466</v>
      </c>
      <c r="L275" s="1">
        <v>1476</v>
      </c>
      <c r="M275" s="1">
        <v>1484</v>
      </c>
      <c r="N275" s="1">
        <v>1476</v>
      </c>
      <c r="O275" s="1">
        <v>1447</v>
      </c>
      <c r="P275" s="1">
        <v>1414</v>
      </c>
      <c r="Q275" s="1">
        <v>1491</v>
      </c>
      <c r="R275" s="1">
        <v>1457</v>
      </c>
      <c r="S275" s="1">
        <v>1458</v>
      </c>
      <c r="T275" s="1">
        <v>1463</v>
      </c>
      <c r="U275" s="1">
        <v>1442</v>
      </c>
      <c r="V275" s="1">
        <v>1454</v>
      </c>
      <c r="W275" s="1">
        <v>1465</v>
      </c>
      <c r="X275" s="1">
        <v>1503</v>
      </c>
      <c r="Y275" s="1">
        <v>1483</v>
      </c>
      <c r="Z275" s="1">
        <v>1479</v>
      </c>
      <c r="AA275" s="1">
        <v>1477</v>
      </c>
      <c r="AB275" s="1">
        <v>1483</v>
      </c>
      <c r="AC275" s="1">
        <v>1465</v>
      </c>
      <c r="AD275" s="1">
        <v>1503</v>
      </c>
      <c r="AE275" s="1">
        <v>1526</v>
      </c>
      <c r="AF275" s="1">
        <v>1570</v>
      </c>
      <c r="AG275" s="1">
        <v>1600</v>
      </c>
      <c r="AH275" s="1">
        <v>1636</v>
      </c>
      <c r="AI275" s="1">
        <v>1646</v>
      </c>
      <c r="AJ275" s="1">
        <v>1698</v>
      </c>
      <c r="AK275" s="1">
        <v>1701</v>
      </c>
      <c r="AL275" s="1">
        <v>1724</v>
      </c>
      <c r="AM275" s="1">
        <v>1817</v>
      </c>
      <c r="AN275" s="1">
        <v>1813</v>
      </c>
      <c r="AO275" s="1">
        <v>1781</v>
      </c>
      <c r="AP275" s="1">
        <v>1783</v>
      </c>
      <c r="AQ275" s="1">
        <v>1797</v>
      </c>
      <c r="AR275" s="1">
        <v>1823</v>
      </c>
      <c r="AS275" s="1">
        <v>1900</v>
      </c>
      <c r="AT275" s="1">
        <v>1979</v>
      </c>
      <c r="AU275" s="1">
        <v>1867</v>
      </c>
      <c r="AV275" s="1">
        <v>1923</v>
      </c>
      <c r="AW275" s="1">
        <v>1911</v>
      </c>
      <c r="AX275" s="1">
        <v>1972</v>
      </c>
      <c r="AY275" s="1">
        <v>1909</v>
      </c>
      <c r="AZ275" s="1">
        <v>1875</v>
      </c>
      <c r="BA275" s="1">
        <v>1809</v>
      </c>
      <c r="BB275" s="1">
        <v>1785</v>
      </c>
      <c r="BC275" s="1">
        <v>1786</v>
      </c>
      <c r="BD275" s="1">
        <v>1781</v>
      </c>
      <c r="BE275" s="1">
        <v>1836</v>
      </c>
      <c r="BF275" s="1">
        <v>1554</v>
      </c>
      <c r="BG275" s="1">
        <v>1562</v>
      </c>
      <c r="BH275" s="1">
        <v>1576</v>
      </c>
      <c r="BI275" s="1">
        <v>1591</v>
      </c>
      <c r="BJ275" s="1">
        <v>1547</v>
      </c>
      <c r="BK275" s="1">
        <v>1515</v>
      </c>
      <c r="BL275" s="1">
        <v>1463</v>
      </c>
      <c r="BM275" s="1">
        <v>1444</v>
      </c>
      <c r="BN275" s="1">
        <v>1459</v>
      </c>
      <c r="BO275" s="1">
        <v>1425</v>
      </c>
      <c r="BP275" s="1">
        <v>1431</v>
      </c>
      <c r="BQ275" s="1">
        <v>1435</v>
      </c>
      <c r="BR275" s="1">
        <v>1464</v>
      </c>
      <c r="BS275" s="1">
        <v>1493</v>
      </c>
      <c r="BT275" s="1">
        <v>1473</v>
      </c>
      <c r="BU275" s="1">
        <v>1515</v>
      </c>
      <c r="BV275" s="1">
        <v>1551</v>
      </c>
      <c r="BW275" s="1">
        <v>1551</v>
      </c>
      <c r="BX275" s="1">
        <v>1584</v>
      </c>
      <c r="BY275" s="1">
        <v>1527</v>
      </c>
      <c r="BZ275" s="1">
        <v>1539</v>
      </c>
    </row>
    <row r="276" spans="1:78">
      <c r="A276" s="62" t="s">
        <v>489</v>
      </c>
      <c r="B276" s="1" t="str">
        <f>銘柄管理!C276</f>
        <v>河合楽器</v>
      </c>
      <c r="C276" s="1">
        <f>_xll.RssMarket("7952","安値")</f>
        <v>3565</v>
      </c>
      <c r="E276" s="1">
        <v>3540</v>
      </c>
      <c r="F276" s="1">
        <v>3345</v>
      </c>
      <c r="G276" s="1">
        <v>3365</v>
      </c>
      <c r="H276" s="1">
        <v>3340</v>
      </c>
      <c r="I276" s="1">
        <v>3235</v>
      </c>
      <c r="J276" s="1">
        <v>3200</v>
      </c>
      <c r="K276" s="1">
        <v>3275</v>
      </c>
      <c r="L276" s="1">
        <v>3260</v>
      </c>
      <c r="M276" s="1">
        <v>3265</v>
      </c>
      <c r="N276" s="1">
        <v>3250</v>
      </c>
      <c r="O276" s="1">
        <v>3250</v>
      </c>
      <c r="P276" s="1">
        <v>3150</v>
      </c>
      <c r="Q276" s="1">
        <v>3145</v>
      </c>
      <c r="R276" s="1">
        <v>3195</v>
      </c>
      <c r="S276" s="1">
        <v>3110</v>
      </c>
      <c r="T276" s="1">
        <v>3205</v>
      </c>
      <c r="U276" s="1">
        <v>3180</v>
      </c>
      <c r="V276" s="1">
        <v>3215</v>
      </c>
      <c r="W276" s="1">
        <v>3255</v>
      </c>
      <c r="X276" s="1">
        <v>3245</v>
      </c>
      <c r="Y276" s="1">
        <v>3190</v>
      </c>
      <c r="Z276" s="1">
        <v>3195</v>
      </c>
      <c r="AA276" s="1">
        <v>3140</v>
      </c>
      <c r="AB276" s="1">
        <v>3050</v>
      </c>
      <c r="AC276" s="1">
        <v>3135</v>
      </c>
      <c r="AD276" s="1">
        <v>3305</v>
      </c>
      <c r="AE276" s="1">
        <v>3290</v>
      </c>
      <c r="AF276" s="1">
        <v>3250</v>
      </c>
      <c r="AG276" s="1">
        <v>3275</v>
      </c>
      <c r="AH276" s="1">
        <v>3310</v>
      </c>
      <c r="AI276" s="1">
        <v>3195</v>
      </c>
      <c r="AJ276" s="1">
        <v>3225</v>
      </c>
      <c r="AK276" s="1">
        <v>3175</v>
      </c>
      <c r="AL276" s="1">
        <v>3150</v>
      </c>
      <c r="AM276" s="1">
        <v>3070</v>
      </c>
      <c r="AN276" s="1">
        <v>2989</v>
      </c>
      <c r="AO276" s="1">
        <v>2958</v>
      </c>
      <c r="AP276" s="1">
        <v>3095</v>
      </c>
      <c r="AQ276" s="1">
        <v>3075</v>
      </c>
      <c r="AR276" s="1">
        <v>3140</v>
      </c>
      <c r="AS276" s="1">
        <v>3145</v>
      </c>
      <c r="AT276" s="1">
        <v>3145</v>
      </c>
      <c r="AU276" s="1">
        <v>3135</v>
      </c>
      <c r="AV276" s="1">
        <v>3240</v>
      </c>
      <c r="AW276" s="1">
        <v>3030</v>
      </c>
      <c r="AX276" s="1">
        <v>3000</v>
      </c>
      <c r="AY276" s="1">
        <v>2950</v>
      </c>
      <c r="AZ276" s="1">
        <v>2942</v>
      </c>
      <c r="BA276" s="1">
        <v>2937</v>
      </c>
      <c r="BB276" s="1">
        <v>2910</v>
      </c>
      <c r="BC276" s="1">
        <v>3095</v>
      </c>
      <c r="BD276" s="1">
        <v>3070</v>
      </c>
      <c r="BE276" s="1">
        <v>3025</v>
      </c>
      <c r="BF276" s="1">
        <v>2981</v>
      </c>
      <c r="BG276" s="1">
        <v>2924</v>
      </c>
      <c r="BH276" s="1">
        <v>2797</v>
      </c>
      <c r="BI276" s="1">
        <v>2719</v>
      </c>
      <c r="BJ276" s="1">
        <v>2707</v>
      </c>
      <c r="BK276" s="1">
        <v>2774</v>
      </c>
      <c r="BL276" s="1">
        <v>2733</v>
      </c>
      <c r="BM276" s="1">
        <v>2737</v>
      </c>
      <c r="BN276" s="1">
        <v>2817</v>
      </c>
      <c r="BO276" s="1">
        <v>2800</v>
      </c>
      <c r="BP276" s="1">
        <v>2786</v>
      </c>
      <c r="BQ276" s="1">
        <v>2868</v>
      </c>
      <c r="BR276" s="1">
        <v>3010</v>
      </c>
      <c r="BS276" s="1">
        <v>3055</v>
      </c>
      <c r="BT276" s="1">
        <v>3045</v>
      </c>
      <c r="BU276" s="1">
        <v>3045</v>
      </c>
      <c r="BV276" s="1">
        <v>3040</v>
      </c>
      <c r="BW276" s="1">
        <v>3020</v>
      </c>
      <c r="BX276" s="1">
        <v>3000</v>
      </c>
      <c r="BY276" s="1">
        <v>2995</v>
      </c>
      <c r="BZ276" s="1">
        <v>2986</v>
      </c>
    </row>
    <row r="277" spans="1:78">
      <c r="A277" s="62" t="s">
        <v>490</v>
      </c>
      <c r="B277" s="1" t="str">
        <f>銘柄管理!C277</f>
        <v>グンゼ</v>
      </c>
      <c r="C277" s="1">
        <f>_xll.RssMarket("3002","安値")</f>
        <v>4010</v>
      </c>
      <c r="E277" s="1">
        <v>3970</v>
      </c>
      <c r="F277" s="1">
        <v>3960</v>
      </c>
      <c r="G277" s="1">
        <v>4020</v>
      </c>
      <c r="H277" s="1">
        <v>4025</v>
      </c>
      <c r="I277" s="1">
        <v>4015</v>
      </c>
      <c r="J277" s="1">
        <v>4005</v>
      </c>
      <c r="K277" s="1">
        <v>3990</v>
      </c>
      <c r="M277" s="1">
        <v>3955</v>
      </c>
      <c r="N277" s="1">
        <v>3960</v>
      </c>
      <c r="O277" s="1">
        <v>3970</v>
      </c>
      <c r="P277" s="1">
        <v>3900</v>
      </c>
      <c r="Q277" s="1">
        <v>3970</v>
      </c>
      <c r="R277" s="1">
        <v>3955</v>
      </c>
      <c r="S277" s="1">
        <v>3945</v>
      </c>
      <c r="T277" s="1">
        <v>3960</v>
      </c>
      <c r="U277" s="1">
        <v>4015</v>
      </c>
      <c r="V277" s="1">
        <v>4020</v>
      </c>
      <c r="W277" s="1">
        <v>4020</v>
      </c>
      <c r="X277" s="1">
        <v>4000</v>
      </c>
      <c r="Y277" s="1">
        <v>3945</v>
      </c>
      <c r="Z277" s="1">
        <v>3860</v>
      </c>
      <c r="AA277" s="1">
        <v>3845</v>
      </c>
      <c r="AB277" s="1">
        <v>3835</v>
      </c>
      <c r="AC277" s="1">
        <v>3835</v>
      </c>
      <c r="AD277" s="1">
        <v>3815</v>
      </c>
      <c r="AE277" s="1">
        <v>3840</v>
      </c>
      <c r="AF277" s="1">
        <v>3800</v>
      </c>
      <c r="AG277" s="1">
        <v>3820</v>
      </c>
      <c r="AH277" s="1">
        <v>3815</v>
      </c>
      <c r="AI277" s="1">
        <v>3810</v>
      </c>
      <c r="AJ277" s="1">
        <v>3810</v>
      </c>
      <c r="AK277" s="1">
        <v>3795</v>
      </c>
      <c r="AL277" s="1">
        <v>3790</v>
      </c>
      <c r="AM277" s="1">
        <v>3815</v>
      </c>
      <c r="AN277" s="1">
        <v>3790</v>
      </c>
      <c r="AO277" s="1">
        <v>3695</v>
      </c>
      <c r="AP277" s="1">
        <v>3725</v>
      </c>
      <c r="AQ277" s="1">
        <v>3635</v>
      </c>
      <c r="AR277" s="1">
        <v>3695</v>
      </c>
      <c r="AS277" s="1">
        <v>3665</v>
      </c>
      <c r="AT277" s="1">
        <v>3655</v>
      </c>
      <c r="AU277" s="1">
        <v>3630</v>
      </c>
      <c r="AV277" s="1">
        <v>3700</v>
      </c>
      <c r="AW277" s="1">
        <v>3670</v>
      </c>
      <c r="AX277" s="1">
        <v>3665</v>
      </c>
      <c r="AY277" s="1">
        <v>3625</v>
      </c>
      <c r="AZ277" s="1">
        <v>3650</v>
      </c>
      <c r="BA277" s="1">
        <v>3670</v>
      </c>
      <c r="BB277" s="1">
        <v>3605</v>
      </c>
      <c r="BC277" s="1">
        <v>3695</v>
      </c>
      <c r="BD277" s="1">
        <v>3660</v>
      </c>
      <c r="BE277" s="1">
        <v>3655</v>
      </c>
      <c r="BF277" s="1">
        <v>3545</v>
      </c>
      <c r="BG277" s="1">
        <v>3570</v>
      </c>
      <c r="BH277" s="1">
        <v>3575</v>
      </c>
      <c r="BI277" s="1">
        <v>3615</v>
      </c>
      <c r="BJ277" s="1">
        <v>3555</v>
      </c>
      <c r="BK277" s="1">
        <v>3620</v>
      </c>
      <c r="BL277" s="1">
        <v>3590</v>
      </c>
      <c r="BM277" s="1">
        <v>3600</v>
      </c>
      <c r="BN277" s="1">
        <v>3665</v>
      </c>
      <c r="BO277" s="1">
        <v>3625</v>
      </c>
      <c r="BP277" s="1">
        <v>3665</v>
      </c>
      <c r="BQ277" s="1">
        <v>3670</v>
      </c>
      <c r="BR277" s="1">
        <v>3740</v>
      </c>
      <c r="BS277" s="1">
        <v>3835</v>
      </c>
      <c r="BT277" s="1">
        <v>3915</v>
      </c>
      <c r="BU277" s="1">
        <v>3890</v>
      </c>
      <c r="BV277" s="1">
        <v>3880</v>
      </c>
      <c r="BW277" s="1">
        <v>3845</v>
      </c>
      <c r="BX277" s="1">
        <v>3875</v>
      </c>
      <c r="BY277" s="1">
        <v>3900</v>
      </c>
      <c r="BZ277" s="1">
        <v>3930</v>
      </c>
    </row>
    <row r="278" spans="1:78">
      <c r="A278" s="62" t="s">
        <v>491</v>
      </c>
      <c r="B278" s="1" t="str">
        <f>銘柄管理!C278</f>
        <v>ゴールドクレスト</v>
      </c>
      <c r="C278" s="1">
        <f>_xll.RssMarket("8871","安値")</f>
        <v>3210</v>
      </c>
      <c r="E278" s="1">
        <v>3200</v>
      </c>
      <c r="F278" s="1">
        <v>3230</v>
      </c>
      <c r="G278" s="1">
        <v>3245</v>
      </c>
      <c r="H278" s="1">
        <v>3295</v>
      </c>
      <c r="I278" s="1">
        <v>3350</v>
      </c>
      <c r="J278" s="1">
        <v>3340</v>
      </c>
      <c r="K278" s="1">
        <v>3330</v>
      </c>
      <c r="M278" s="1">
        <v>3335</v>
      </c>
      <c r="N278" s="1">
        <v>3325</v>
      </c>
      <c r="O278" s="1">
        <v>3350</v>
      </c>
      <c r="P278" s="1">
        <v>3300</v>
      </c>
      <c r="Q278" s="1">
        <v>3360</v>
      </c>
      <c r="R278" s="1">
        <v>3345</v>
      </c>
      <c r="S278" s="1">
        <v>3325</v>
      </c>
      <c r="T278" s="1">
        <v>3335</v>
      </c>
      <c r="U278" s="1">
        <v>3355</v>
      </c>
      <c r="V278" s="1">
        <v>3385</v>
      </c>
      <c r="W278" s="1">
        <v>3330</v>
      </c>
      <c r="X278" s="1">
        <v>3295</v>
      </c>
      <c r="Y278" s="1">
        <v>3280</v>
      </c>
      <c r="Z278" s="1">
        <v>3250</v>
      </c>
      <c r="AA278" s="1">
        <v>3210</v>
      </c>
      <c r="AB278" s="1">
        <v>3230</v>
      </c>
      <c r="AC278" s="1">
        <v>3290</v>
      </c>
      <c r="AD278" s="1">
        <v>3215</v>
      </c>
      <c r="AE278" s="1">
        <v>3215</v>
      </c>
      <c r="AF278" s="1">
        <v>3215</v>
      </c>
      <c r="AG278" s="1">
        <v>3210</v>
      </c>
      <c r="AH278" s="1">
        <v>3230</v>
      </c>
      <c r="AI278" s="1">
        <v>3210</v>
      </c>
      <c r="AJ278" s="1">
        <v>3220</v>
      </c>
      <c r="AK278" s="1">
        <v>3245</v>
      </c>
      <c r="AL278" s="1">
        <v>3280</v>
      </c>
      <c r="AM278" s="1">
        <v>3335</v>
      </c>
      <c r="AN278" s="1">
        <v>3280</v>
      </c>
      <c r="AO278" s="1">
        <v>3310</v>
      </c>
      <c r="AP278" s="1">
        <v>3275</v>
      </c>
      <c r="AQ278" s="1">
        <v>3220</v>
      </c>
      <c r="AR278" s="1">
        <v>3220</v>
      </c>
      <c r="AS278" s="1">
        <v>3220</v>
      </c>
      <c r="AT278" s="1">
        <v>3305</v>
      </c>
      <c r="AU278" s="1">
        <v>3400</v>
      </c>
      <c r="AV278" s="1">
        <v>3535</v>
      </c>
      <c r="AW278" s="1">
        <v>3475</v>
      </c>
      <c r="AX278" s="1">
        <v>3500</v>
      </c>
      <c r="AY278" s="1">
        <v>3455</v>
      </c>
      <c r="AZ278" s="1">
        <v>3485</v>
      </c>
      <c r="BA278" s="1">
        <v>3525</v>
      </c>
      <c r="BB278" s="1">
        <v>3530</v>
      </c>
      <c r="BC278" s="1">
        <v>3660</v>
      </c>
      <c r="BD278" s="1">
        <v>3615</v>
      </c>
      <c r="BE278" s="1">
        <v>3525</v>
      </c>
      <c r="BF278" s="1">
        <v>3225</v>
      </c>
      <c r="BG278" s="1">
        <v>3275</v>
      </c>
      <c r="BH278" s="1">
        <v>3320</v>
      </c>
      <c r="BI278" s="1">
        <v>3305</v>
      </c>
      <c r="BJ278" s="1">
        <v>3295</v>
      </c>
      <c r="BK278" s="1">
        <v>3320</v>
      </c>
      <c r="BL278" s="1">
        <v>3310</v>
      </c>
      <c r="BM278" s="1">
        <v>3310</v>
      </c>
      <c r="BN278" s="1">
        <v>3320</v>
      </c>
      <c r="BO278" s="1">
        <v>3285</v>
      </c>
      <c r="BP278" s="1">
        <v>3285</v>
      </c>
      <c r="BQ278" s="1">
        <v>3290</v>
      </c>
      <c r="BR278" s="1">
        <v>3295</v>
      </c>
      <c r="BS278" s="1">
        <v>3380</v>
      </c>
      <c r="BT278" s="1">
        <v>3405</v>
      </c>
      <c r="BU278" s="1">
        <v>3410</v>
      </c>
      <c r="BV278" s="1">
        <v>3460</v>
      </c>
      <c r="BW278" s="1">
        <v>3440</v>
      </c>
      <c r="BX278" s="1">
        <v>3435</v>
      </c>
      <c r="BY278" s="1">
        <v>3460</v>
      </c>
      <c r="BZ278" s="1">
        <v>3500</v>
      </c>
    </row>
    <row r="279" spans="1:78">
      <c r="A279" s="62" t="s">
        <v>492</v>
      </c>
      <c r="B279" s="1" t="str">
        <f>銘柄管理!C279</f>
        <v>アバールデータ</v>
      </c>
      <c r="C279" s="1">
        <f>_xll.RssMarket("6918","安値")</f>
        <v>3230</v>
      </c>
      <c r="E279" s="1">
        <v>3115</v>
      </c>
      <c r="F279" s="1">
        <v>3000</v>
      </c>
      <c r="G279" s="1">
        <v>3000</v>
      </c>
      <c r="H279" s="1">
        <v>2880</v>
      </c>
      <c r="I279" s="1">
        <v>2815</v>
      </c>
      <c r="J279" s="1">
        <v>3060</v>
      </c>
      <c r="K279" s="1">
        <v>3120</v>
      </c>
      <c r="M279" s="1">
        <v>3270</v>
      </c>
      <c r="N279" s="1">
        <v>3220</v>
      </c>
      <c r="O279" s="1">
        <v>2999</v>
      </c>
      <c r="P279" s="1">
        <v>2916</v>
      </c>
      <c r="Q279" s="1">
        <v>3235</v>
      </c>
      <c r="R279" s="1">
        <v>3165</v>
      </c>
      <c r="S279" s="1">
        <v>3165</v>
      </c>
      <c r="T279" s="1">
        <v>3200</v>
      </c>
      <c r="U279" s="1">
        <v>3130</v>
      </c>
      <c r="V279" s="1">
        <v>3115</v>
      </c>
      <c r="W279" s="1">
        <v>3210</v>
      </c>
      <c r="X279" s="1">
        <v>3325</v>
      </c>
      <c r="Y279" s="1">
        <v>3215</v>
      </c>
      <c r="Z279" s="1">
        <v>3215</v>
      </c>
      <c r="AA279" s="1">
        <v>3290</v>
      </c>
      <c r="AB279" s="1">
        <v>3220</v>
      </c>
      <c r="AC279" s="1">
        <v>3150</v>
      </c>
      <c r="AD279" s="1">
        <v>3220</v>
      </c>
      <c r="AE279" s="1">
        <v>3395</v>
      </c>
      <c r="AF279" s="1">
        <v>3275</v>
      </c>
      <c r="AG279" s="1">
        <v>3375</v>
      </c>
      <c r="AH279" s="1">
        <v>3345</v>
      </c>
      <c r="AI279" s="1">
        <v>3290</v>
      </c>
      <c r="AJ279" s="1">
        <v>3370</v>
      </c>
      <c r="AK279" s="1">
        <v>3190</v>
      </c>
      <c r="AL279" s="1">
        <v>3200</v>
      </c>
      <c r="AM279" s="1">
        <v>3135</v>
      </c>
      <c r="AN279" s="1">
        <v>3030</v>
      </c>
      <c r="AO279" s="1">
        <v>2824</v>
      </c>
      <c r="AP279" s="1">
        <v>2866</v>
      </c>
      <c r="AQ279" s="1">
        <v>3005</v>
      </c>
      <c r="AR279" s="1">
        <v>3145</v>
      </c>
      <c r="AS279" s="1">
        <v>3160</v>
      </c>
      <c r="AT279" s="1">
        <v>3260</v>
      </c>
      <c r="AU279" s="1">
        <v>3285</v>
      </c>
      <c r="AV279" s="1">
        <v>3430</v>
      </c>
      <c r="AW279" s="1">
        <v>3290</v>
      </c>
      <c r="AX279" s="1">
        <v>3265</v>
      </c>
      <c r="AY279" s="1">
        <v>3405</v>
      </c>
      <c r="AZ279" s="1">
        <v>3345</v>
      </c>
      <c r="BA279" s="1">
        <v>3360</v>
      </c>
      <c r="BB279" s="1">
        <v>3285</v>
      </c>
      <c r="BC279" s="1">
        <v>3485</v>
      </c>
      <c r="BD279" s="1">
        <v>3560</v>
      </c>
      <c r="BE279" s="1">
        <v>3320</v>
      </c>
      <c r="BF279" s="1">
        <v>3435</v>
      </c>
      <c r="BG279" s="1">
        <v>3510</v>
      </c>
      <c r="BH279" s="1">
        <v>3605</v>
      </c>
      <c r="BI279" s="1">
        <v>3375</v>
      </c>
      <c r="BJ279" s="1">
        <v>3230</v>
      </c>
      <c r="BK279" s="1">
        <v>3135</v>
      </c>
      <c r="BL279" s="1">
        <v>2908</v>
      </c>
      <c r="BM279" s="1">
        <v>2883</v>
      </c>
      <c r="BN279" s="1">
        <v>2886</v>
      </c>
      <c r="BO279" s="1">
        <v>2952</v>
      </c>
      <c r="BP279" s="1">
        <v>2986</v>
      </c>
      <c r="BQ279" s="1">
        <v>2966</v>
      </c>
      <c r="BR279" s="1">
        <v>2992</v>
      </c>
      <c r="BS279" s="1">
        <v>2907</v>
      </c>
      <c r="BT279" s="1">
        <v>2813</v>
      </c>
      <c r="BU279" s="1">
        <v>2800</v>
      </c>
      <c r="BV279" s="1">
        <v>2816</v>
      </c>
      <c r="BW279" s="1">
        <v>2800</v>
      </c>
      <c r="BX279" s="1">
        <v>2820</v>
      </c>
      <c r="BY279" s="1">
        <v>2747</v>
      </c>
      <c r="BZ279" s="1">
        <v>2727</v>
      </c>
    </row>
    <row r="280" spans="1:78">
      <c r="A280" s="62" t="s">
        <v>493</v>
      </c>
      <c r="B280" s="1" t="str">
        <f>銘柄管理!C280</f>
        <v>ヨシタケ</v>
      </c>
      <c r="C280" s="1">
        <f>_xll.RssMarket("6488","安値")</f>
        <v>984</v>
      </c>
      <c r="E280" s="1">
        <v>981</v>
      </c>
      <c r="F280" s="1">
        <v>980</v>
      </c>
      <c r="G280" s="1">
        <v>974</v>
      </c>
      <c r="H280" s="1">
        <v>978</v>
      </c>
      <c r="I280" s="1">
        <v>977</v>
      </c>
      <c r="J280" s="1">
        <v>980</v>
      </c>
      <c r="K280" s="1">
        <v>977</v>
      </c>
      <c r="L280" s="1">
        <v>980</v>
      </c>
      <c r="M280" s="1">
        <v>976</v>
      </c>
      <c r="N280" s="1">
        <v>980</v>
      </c>
      <c r="O280" s="1">
        <v>970</v>
      </c>
      <c r="P280" s="1">
        <v>960</v>
      </c>
      <c r="Q280" s="1">
        <v>970</v>
      </c>
      <c r="R280" s="1">
        <v>975</v>
      </c>
      <c r="S280" s="1">
        <v>968</v>
      </c>
      <c r="T280" s="1">
        <v>956</v>
      </c>
      <c r="U280" s="1">
        <v>953</v>
      </c>
      <c r="V280" s="1">
        <v>957</v>
      </c>
      <c r="W280" s="1">
        <v>961</v>
      </c>
      <c r="X280" s="1">
        <v>961</v>
      </c>
      <c r="Y280" s="1">
        <v>954</v>
      </c>
      <c r="Z280" s="1">
        <v>943</v>
      </c>
      <c r="AA280" s="1">
        <v>936</v>
      </c>
      <c r="AB280" s="1">
        <v>933</v>
      </c>
      <c r="AC280" s="1">
        <v>931</v>
      </c>
      <c r="AD280" s="1">
        <v>925</v>
      </c>
      <c r="AE280" s="1">
        <v>932</v>
      </c>
      <c r="AF280" s="1">
        <v>921</v>
      </c>
      <c r="AG280" s="1">
        <v>930</v>
      </c>
      <c r="AH280" s="1">
        <v>939</v>
      </c>
      <c r="AI280" s="1">
        <v>930</v>
      </c>
      <c r="AJ280" s="1">
        <v>923</v>
      </c>
      <c r="AK280" s="1">
        <v>920</v>
      </c>
      <c r="AL280" s="1">
        <v>917</v>
      </c>
      <c r="AM280" s="1">
        <v>915</v>
      </c>
      <c r="AN280" s="1">
        <v>913</v>
      </c>
      <c r="AO280" s="1">
        <v>910</v>
      </c>
      <c r="AP280" s="1">
        <v>921</v>
      </c>
      <c r="AQ280" s="1">
        <v>928</v>
      </c>
      <c r="AR280" s="1">
        <v>933</v>
      </c>
      <c r="AS280" s="1">
        <v>928</v>
      </c>
      <c r="AT280" s="1">
        <v>923</v>
      </c>
      <c r="AU280" s="1">
        <v>920</v>
      </c>
      <c r="AV280" s="1">
        <v>925</v>
      </c>
      <c r="AW280" s="1">
        <v>920</v>
      </c>
      <c r="AX280" s="1">
        <v>930</v>
      </c>
      <c r="AY280" s="1">
        <v>950</v>
      </c>
      <c r="AZ280" s="1">
        <v>950</v>
      </c>
      <c r="BA280" s="1">
        <v>960</v>
      </c>
      <c r="BB280" s="1">
        <v>953</v>
      </c>
      <c r="BC280" s="1">
        <v>961</v>
      </c>
      <c r="BD280" s="1">
        <v>951</v>
      </c>
      <c r="BE280" s="1">
        <v>958</v>
      </c>
      <c r="BF280" s="1">
        <v>938</v>
      </c>
      <c r="BG280" s="1">
        <v>931</v>
      </c>
      <c r="BH280" s="1">
        <v>932</v>
      </c>
      <c r="BI280" s="1">
        <v>935</v>
      </c>
      <c r="BJ280" s="1">
        <v>934</v>
      </c>
      <c r="BK280" s="1">
        <v>930</v>
      </c>
      <c r="BL280" s="1">
        <v>934</v>
      </c>
      <c r="BM280" s="1">
        <v>940</v>
      </c>
      <c r="BN280" s="1">
        <v>935</v>
      </c>
      <c r="BO280" s="1">
        <v>933</v>
      </c>
      <c r="BP280" s="1">
        <v>934</v>
      </c>
      <c r="BQ280" s="1">
        <v>931</v>
      </c>
      <c r="BR280" s="1">
        <v>925</v>
      </c>
      <c r="BS280" s="1">
        <v>940</v>
      </c>
      <c r="BT280" s="1">
        <v>942</v>
      </c>
      <c r="BU280" s="1">
        <v>952</v>
      </c>
      <c r="BV280" s="1">
        <v>930</v>
      </c>
      <c r="BW280" s="1">
        <v>937</v>
      </c>
      <c r="BX280" s="1">
        <v>940</v>
      </c>
      <c r="BY280" s="1">
        <v>926</v>
      </c>
      <c r="BZ280" s="1">
        <v>942</v>
      </c>
    </row>
    <row r="281" spans="1:78">
      <c r="A281" s="62" t="s">
        <v>494</v>
      </c>
      <c r="B281" s="1" t="str">
        <f>銘柄管理!C281</f>
        <v>高島</v>
      </c>
      <c r="C281" s="1">
        <f>_xll.RssMarket("8007","安値")</f>
        <v>791</v>
      </c>
      <c r="E281" s="1">
        <v>790</v>
      </c>
      <c r="F281" s="1">
        <v>793</v>
      </c>
      <c r="G281" s="1">
        <v>809</v>
      </c>
      <c r="H281" s="1">
        <v>805</v>
      </c>
      <c r="I281" s="1">
        <v>801</v>
      </c>
      <c r="J281" s="1">
        <v>800</v>
      </c>
      <c r="K281" s="1">
        <v>797</v>
      </c>
      <c r="L281" s="1">
        <v>790</v>
      </c>
      <c r="M281" s="1">
        <v>792</v>
      </c>
      <c r="N281" s="1">
        <v>785</v>
      </c>
      <c r="O281" s="1">
        <v>780</v>
      </c>
      <c r="P281" s="1">
        <v>770</v>
      </c>
      <c r="Q281" s="1">
        <v>780</v>
      </c>
      <c r="R281" s="1">
        <v>773</v>
      </c>
      <c r="S281" s="1">
        <v>772</v>
      </c>
      <c r="T281" s="1">
        <v>774</v>
      </c>
      <c r="U281" s="1">
        <v>769</v>
      </c>
      <c r="V281" s="1">
        <v>770</v>
      </c>
      <c r="W281" s="1">
        <v>769</v>
      </c>
      <c r="X281" s="1">
        <v>764</v>
      </c>
      <c r="Y281" s="1">
        <v>756</v>
      </c>
      <c r="Z281" s="1">
        <v>753</v>
      </c>
      <c r="AA281" s="1">
        <v>751</v>
      </c>
      <c r="AB281" s="1">
        <v>757</v>
      </c>
      <c r="AC281" s="1">
        <v>753</v>
      </c>
      <c r="AD281" s="1">
        <v>742</v>
      </c>
      <c r="AE281" s="1">
        <v>738</v>
      </c>
      <c r="AF281" s="1">
        <v>739</v>
      </c>
      <c r="AG281" s="1">
        <v>738</v>
      </c>
      <c r="AH281" s="1">
        <v>743</v>
      </c>
      <c r="AI281" s="1">
        <v>741</v>
      </c>
      <c r="AJ281" s="1">
        <v>741</v>
      </c>
      <c r="AK281" s="1">
        <v>746</v>
      </c>
      <c r="AL281" s="1">
        <v>741</v>
      </c>
      <c r="AM281" s="1">
        <v>746</v>
      </c>
      <c r="AN281" s="1">
        <v>735</v>
      </c>
      <c r="AO281" s="1">
        <v>729</v>
      </c>
      <c r="AP281" s="1">
        <v>737</v>
      </c>
      <c r="AQ281" s="1">
        <v>725</v>
      </c>
      <c r="AR281" s="1">
        <v>732</v>
      </c>
      <c r="AS281" s="1">
        <v>724</v>
      </c>
      <c r="AT281" s="1">
        <v>720</v>
      </c>
      <c r="AU281" s="1">
        <v>715</v>
      </c>
      <c r="AV281" s="1">
        <v>753</v>
      </c>
      <c r="AW281" s="1">
        <v>747</v>
      </c>
      <c r="AX281" s="1">
        <v>747</v>
      </c>
      <c r="AY281" s="1">
        <v>737</v>
      </c>
      <c r="AZ281" s="1">
        <v>736</v>
      </c>
      <c r="BA281" s="1">
        <v>733</v>
      </c>
      <c r="BB281" s="1">
        <v>723</v>
      </c>
      <c r="BC281" s="1">
        <v>741</v>
      </c>
      <c r="BD281" s="1">
        <v>746</v>
      </c>
      <c r="BE281" s="1">
        <v>755</v>
      </c>
      <c r="BF281" s="1">
        <v>696</v>
      </c>
      <c r="BG281" s="1">
        <v>680</v>
      </c>
      <c r="BH281" s="1">
        <v>764</v>
      </c>
      <c r="BI281" s="1">
        <v>768</v>
      </c>
      <c r="BJ281" s="1">
        <v>776</v>
      </c>
      <c r="BK281" s="1">
        <v>786</v>
      </c>
      <c r="BL281" s="1">
        <v>782</v>
      </c>
      <c r="BM281" s="1">
        <v>781</v>
      </c>
      <c r="BN281" s="1">
        <v>775</v>
      </c>
      <c r="BO281" s="1">
        <v>766</v>
      </c>
      <c r="BP281" s="1">
        <v>768</v>
      </c>
      <c r="BQ281" s="1">
        <v>770</v>
      </c>
      <c r="BR281" s="1">
        <v>776</v>
      </c>
      <c r="BS281" s="1">
        <v>786</v>
      </c>
      <c r="BT281" s="1">
        <v>793</v>
      </c>
      <c r="BU281" s="1">
        <v>804</v>
      </c>
      <c r="BV281" s="1">
        <v>809</v>
      </c>
      <c r="BW281" s="1">
        <v>808</v>
      </c>
      <c r="BX281" s="1">
        <v>809</v>
      </c>
      <c r="BY281" s="1">
        <v>808</v>
      </c>
      <c r="BZ281" s="1">
        <v>814</v>
      </c>
    </row>
    <row r="282" spans="1:78">
      <c r="A282" s="62" t="s">
        <v>495</v>
      </c>
      <c r="B282" s="1" t="str">
        <f>銘柄管理!C282</f>
        <v>ニチバン</v>
      </c>
      <c r="C282" s="1">
        <f>_xll.RssMarket("4218","安値")</f>
        <v>1937</v>
      </c>
      <c r="E282" s="1">
        <v>1918</v>
      </c>
      <c r="F282" s="1">
        <v>1911</v>
      </c>
      <c r="G282" s="1">
        <v>1942</v>
      </c>
      <c r="H282" s="1">
        <v>1946</v>
      </c>
      <c r="I282" s="1">
        <v>1935</v>
      </c>
      <c r="J282" s="1">
        <v>1931</v>
      </c>
      <c r="K282" s="1">
        <v>1919</v>
      </c>
      <c r="L282" s="1">
        <v>1897</v>
      </c>
      <c r="M282" s="1">
        <v>1899</v>
      </c>
      <c r="N282" s="1">
        <v>1897</v>
      </c>
      <c r="O282" s="1">
        <v>1910</v>
      </c>
      <c r="P282" s="1">
        <v>1924</v>
      </c>
      <c r="Q282" s="1">
        <v>1905</v>
      </c>
      <c r="R282" s="1">
        <v>1905</v>
      </c>
      <c r="S282" s="1">
        <v>1894</v>
      </c>
      <c r="T282" s="1">
        <v>1897</v>
      </c>
      <c r="U282" s="1">
        <v>1906</v>
      </c>
      <c r="V282" s="1">
        <v>1900</v>
      </c>
      <c r="W282" s="1">
        <v>1886</v>
      </c>
      <c r="X282" s="1">
        <v>1885</v>
      </c>
      <c r="Y282" s="1">
        <v>1881</v>
      </c>
      <c r="Z282" s="1">
        <v>1875</v>
      </c>
      <c r="AA282" s="1">
        <v>1870</v>
      </c>
      <c r="AB282" s="1">
        <v>1873</v>
      </c>
      <c r="AC282" s="1">
        <v>1860</v>
      </c>
      <c r="AD282" s="1">
        <v>1855</v>
      </c>
      <c r="AE282" s="1">
        <v>1845</v>
      </c>
      <c r="AF282" s="1">
        <v>1830</v>
      </c>
      <c r="AG282" s="1">
        <v>1817</v>
      </c>
      <c r="AH282" s="1">
        <v>1816</v>
      </c>
      <c r="AI282" s="1">
        <v>1829</v>
      </c>
      <c r="AJ282" s="1">
        <v>1833</v>
      </c>
      <c r="AK282" s="1">
        <v>1834</v>
      </c>
      <c r="AL282" s="1">
        <v>1829</v>
      </c>
      <c r="AM282" s="1">
        <v>1840</v>
      </c>
      <c r="AN282" s="1">
        <v>1829</v>
      </c>
      <c r="AO282" s="1">
        <v>1816</v>
      </c>
      <c r="AP282" s="1">
        <v>1803</v>
      </c>
      <c r="AQ282" s="1">
        <v>1790</v>
      </c>
      <c r="AR282" s="1">
        <v>1795</v>
      </c>
      <c r="AS282" s="1">
        <v>1790</v>
      </c>
      <c r="AT282" s="1">
        <v>1781</v>
      </c>
      <c r="AU282" s="1">
        <v>1790</v>
      </c>
      <c r="AV282" s="1">
        <v>1825</v>
      </c>
      <c r="AW282" s="1">
        <v>1844</v>
      </c>
      <c r="AX282" s="1">
        <v>1856</v>
      </c>
      <c r="AY282" s="1">
        <v>1857</v>
      </c>
      <c r="AZ282" s="1">
        <v>1854</v>
      </c>
      <c r="BA282" s="1">
        <v>1859</v>
      </c>
      <c r="BB282" s="1">
        <v>1851</v>
      </c>
      <c r="BC282" s="1">
        <v>1864</v>
      </c>
      <c r="BD282" s="1">
        <v>1857</v>
      </c>
      <c r="BE282" s="1">
        <v>1870</v>
      </c>
      <c r="BF282" s="1">
        <v>1822</v>
      </c>
      <c r="BG282" s="1">
        <v>1823</v>
      </c>
      <c r="BH282" s="1">
        <v>1821</v>
      </c>
      <c r="BI282" s="1">
        <v>1817</v>
      </c>
      <c r="BJ282" s="1">
        <v>1825</v>
      </c>
      <c r="BK282" s="1">
        <v>1833</v>
      </c>
      <c r="BL282" s="1">
        <v>1810</v>
      </c>
      <c r="BM282" s="1">
        <v>1809</v>
      </c>
      <c r="BN282" s="1">
        <v>1808</v>
      </c>
      <c r="BO282" s="1">
        <v>1811</v>
      </c>
      <c r="BP282" s="1">
        <v>1823</v>
      </c>
      <c r="BQ282" s="1">
        <v>1842</v>
      </c>
      <c r="BR282" s="1">
        <v>1856</v>
      </c>
      <c r="BS282" s="1">
        <v>1872</v>
      </c>
      <c r="BT282" s="1">
        <v>1884</v>
      </c>
      <c r="BU282" s="1">
        <v>1884</v>
      </c>
      <c r="BV282" s="1">
        <v>1881</v>
      </c>
      <c r="BW282" s="1">
        <v>1882</v>
      </c>
      <c r="BX282" s="1">
        <v>1876</v>
      </c>
      <c r="BY282" s="1">
        <v>1885</v>
      </c>
      <c r="BZ282" s="1">
        <v>1890</v>
      </c>
    </row>
    <row r="283" spans="1:78">
      <c r="A283" s="62" t="s">
        <v>496</v>
      </c>
      <c r="B283" s="1" t="str">
        <f>銘柄管理!C283</f>
        <v>ＳＣＲＥＥＮホールディングス</v>
      </c>
      <c r="C283" s="1">
        <f>_xll.RssMarket("7735","安値")</f>
        <v>13375</v>
      </c>
      <c r="E283" s="1">
        <v>12250</v>
      </c>
      <c r="F283" s="1">
        <v>12015</v>
      </c>
      <c r="G283" s="1">
        <v>12385</v>
      </c>
      <c r="H283" s="1">
        <v>11430</v>
      </c>
      <c r="I283" s="1">
        <v>11370</v>
      </c>
      <c r="J283" s="1">
        <v>14025</v>
      </c>
      <c r="K283" s="1">
        <v>15550</v>
      </c>
      <c r="L283" s="1">
        <v>15815</v>
      </c>
      <c r="M283" s="1">
        <v>16505</v>
      </c>
      <c r="N283" s="1">
        <v>16470</v>
      </c>
      <c r="O283" s="1">
        <v>16375</v>
      </c>
      <c r="P283" s="1">
        <v>16030</v>
      </c>
      <c r="Q283" s="1">
        <v>18100</v>
      </c>
      <c r="R283" s="1">
        <v>17270</v>
      </c>
      <c r="S283" s="1">
        <v>17645</v>
      </c>
      <c r="T283" s="1">
        <v>17805</v>
      </c>
      <c r="U283" s="1">
        <v>17315</v>
      </c>
      <c r="V283" s="1">
        <v>16265</v>
      </c>
      <c r="W283" s="1">
        <v>16750</v>
      </c>
      <c r="X283" s="1">
        <v>17295</v>
      </c>
      <c r="Y283" s="1">
        <v>16920</v>
      </c>
      <c r="Z283" s="1">
        <v>17840</v>
      </c>
      <c r="AA283" s="1">
        <v>18385</v>
      </c>
      <c r="AB283" s="1">
        <v>16960</v>
      </c>
      <c r="AC283" s="1">
        <v>15740</v>
      </c>
      <c r="AD283" s="1">
        <v>16350</v>
      </c>
      <c r="AE283" s="1">
        <v>16810</v>
      </c>
      <c r="AF283" s="1">
        <v>15900</v>
      </c>
      <c r="AG283" s="1">
        <v>16125</v>
      </c>
      <c r="AH283" s="1">
        <v>16450</v>
      </c>
      <c r="AI283" s="1">
        <v>16435</v>
      </c>
      <c r="AJ283" s="1">
        <v>15390</v>
      </c>
      <c r="AK283" s="1">
        <v>14550</v>
      </c>
      <c r="AL283" s="1">
        <v>14750</v>
      </c>
      <c r="AM283" s="1">
        <v>14410</v>
      </c>
      <c r="AN283" s="1">
        <v>13730</v>
      </c>
      <c r="AO283" s="1">
        <v>12460</v>
      </c>
      <c r="AP283" s="1">
        <v>12560</v>
      </c>
      <c r="AQ283" s="1">
        <v>11275</v>
      </c>
      <c r="AR283" s="1">
        <v>12395</v>
      </c>
      <c r="AS283" s="1">
        <v>12955</v>
      </c>
      <c r="AT283" s="1">
        <v>12305</v>
      </c>
      <c r="AU283" s="1">
        <v>10685</v>
      </c>
      <c r="AV283" s="1">
        <v>10850</v>
      </c>
      <c r="AW283" s="1">
        <v>10775</v>
      </c>
      <c r="AX283" s="1">
        <v>10880</v>
      </c>
      <c r="AY283" s="1">
        <v>10860</v>
      </c>
      <c r="AZ283" s="1">
        <v>10670</v>
      </c>
      <c r="BA283" s="1">
        <v>10650</v>
      </c>
      <c r="BB283" s="1">
        <v>10310</v>
      </c>
      <c r="BC283" s="1">
        <v>10290</v>
      </c>
      <c r="BD283" s="1">
        <v>10710</v>
      </c>
      <c r="BE283" s="1">
        <v>11155</v>
      </c>
      <c r="BF283" s="1">
        <v>11955</v>
      </c>
      <c r="BG283" s="1">
        <v>11050</v>
      </c>
      <c r="BH283" s="1">
        <v>11250</v>
      </c>
      <c r="BI283" s="1">
        <v>11275</v>
      </c>
      <c r="BJ283" s="1">
        <v>10910</v>
      </c>
      <c r="BK283" s="1">
        <v>10930</v>
      </c>
      <c r="BL283" s="1">
        <v>10390</v>
      </c>
      <c r="BM283" s="1">
        <v>10190</v>
      </c>
      <c r="BN283" s="1">
        <v>10380</v>
      </c>
      <c r="BO283" s="1">
        <v>10630</v>
      </c>
      <c r="BP283" s="1">
        <v>10390</v>
      </c>
      <c r="BQ283" s="1">
        <v>10130</v>
      </c>
      <c r="BR283" s="1">
        <v>10310</v>
      </c>
      <c r="BS283" s="1">
        <v>10650</v>
      </c>
      <c r="BT283" s="1">
        <v>10490</v>
      </c>
      <c r="BU283" s="1">
        <v>10510</v>
      </c>
      <c r="BV283" s="1">
        <v>10720</v>
      </c>
      <c r="BW283" s="1">
        <v>10820</v>
      </c>
      <c r="BX283" s="1">
        <v>10970</v>
      </c>
      <c r="BY283" s="1">
        <v>10440</v>
      </c>
      <c r="BZ283" s="1">
        <v>10335</v>
      </c>
    </row>
    <row r="284" spans="1:78">
      <c r="A284" s="62" t="s">
        <v>497</v>
      </c>
      <c r="B284" s="1" t="str">
        <f>銘柄管理!C284</f>
        <v>データセクション</v>
      </c>
      <c r="C284" s="1">
        <f>_xll.RssMarket("3905","安値")</f>
        <v>2163</v>
      </c>
      <c r="E284" s="1">
        <v>2145</v>
      </c>
      <c r="F284" s="1">
        <v>2040</v>
      </c>
      <c r="G284" s="1">
        <v>2037</v>
      </c>
      <c r="H284" s="1">
        <v>1860</v>
      </c>
      <c r="I284" s="1">
        <v>1877</v>
      </c>
      <c r="J284" s="1">
        <v>2070</v>
      </c>
      <c r="K284" s="1">
        <v>2224</v>
      </c>
      <c r="L284" s="1">
        <v>2250</v>
      </c>
      <c r="M284" s="1">
        <v>2362</v>
      </c>
      <c r="N284" s="1">
        <v>2407</v>
      </c>
      <c r="O284" s="1">
        <v>2475</v>
      </c>
      <c r="P284" s="1">
        <v>2440</v>
      </c>
      <c r="Q284" s="1">
        <v>2761</v>
      </c>
      <c r="R284" s="1">
        <v>2760</v>
      </c>
      <c r="S284" s="1">
        <v>2792</v>
      </c>
      <c r="T284" s="1">
        <v>2766</v>
      </c>
      <c r="U284" s="1">
        <v>2746</v>
      </c>
      <c r="V284" s="1">
        <v>2673</v>
      </c>
      <c r="W284" s="1">
        <v>2755</v>
      </c>
      <c r="X284" s="1">
        <v>2914</v>
      </c>
      <c r="Y284" s="1">
        <v>2941</v>
      </c>
      <c r="Z284" s="1">
        <v>3070</v>
      </c>
      <c r="AA284" s="1">
        <v>3310</v>
      </c>
      <c r="AB284" s="1">
        <v>3340</v>
      </c>
      <c r="AC284" s="1">
        <v>3510</v>
      </c>
      <c r="AD284" s="1">
        <v>4160</v>
      </c>
      <c r="AE284" s="1">
        <v>4565</v>
      </c>
      <c r="AF284" s="1">
        <v>4340</v>
      </c>
      <c r="AG284" s="1">
        <v>4510</v>
      </c>
      <c r="AH284" s="1">
        <v>4835</v>
      </c>
      <c r="AI284" s="1">
        <v>5090</v>
      </c>
      <c r="AJ284" s="1">
        <v>4700</v>
      </c>
      <c r="AK284" s="1">
        <v>4780</v>
      </c>
      <c r="AL284" s="1">
        <v>4585</v>
      </c>
      <c r="AM284" s="1">
        <v>4525</v>
      </c>
      <c r="AN284" s="1">
        <v>4225</v>
      </c>
      <c r="AO284" s="1">
        <v>4260</v>
      </c>
      <c r="AP284" s="1">
        <v>4130</v>
      </c>
      <c r="AQ284" s="1">
        <v>4480</v>
      </c>
      <c r="AR284" s="1">
        <v>4810</v>
      </c>
      <c r="AS284" s="1">
        <v>4715</v>
      </c>
      <c r="AT284" s="1">
        <v>5000</v>
      </c>
      <c r="AU284" s="1">
        <v>4310</v>
      </c>
      <c r="AV284" s="1">
        <v>5360</v>
      </c>
      <c r="AW284" s="1">
        <v>4335</v>
      </c>
      <c r="AX284" s="1">
        <v>4325</v>
      </c>
      <c r="AY284" s="1">
        <v>4100</v>
      </c>
      <c r="AZ284" s="1">
        <v>4200</v>
      </c>
      <c r="BA284" s="1">
        <v>3260</v>
      </c>
      <c r="BB284" s="1">
        <v>2945</v>
      </c>
      <c r="BC284" s="1">
        <v>3345</v>
      </c>
      <c r="BD284" s="1">
        <v>2843</v>
      </c>
      <c r="BE284" s="1">
        <v>2194</v>
      </c>
      <c r="BF284" s="1">
        <v>2107</v>
      </c>
      <c r="BG284" s="1">
        <v>2105</v>
      </c>
      <c r="BH284" s="1">
        <v>2200</v>
      </c>
      <c r="BI284" s="1">
        <v>1946</v>
      </c>
      <c r="BJ284" s="1">
        <v>1668</v>
      </c>
      <c r="BK284" s="1">
        <v>1514</v>
      </c>
      <c r="BL284" s="1">
        <v>1469</v>
      </c>
      <c r="BM284" s="1">
        <v>1460</v>
      </c>
      <c r="BN284" s="1">
        <v>1441</v>
      </c>
      <c r="BO284" s="1">
        <v>1406</v>
      </c>
      <c r="BP284" s="1">
        <v>1464</v>
      </c>
      <c r="BQ284" s="1">
        <v>1462</v>
      </c>
      <c r="BR284" s="1">
        <v>1486</v>
      </c>
      <c r="BS284" s="1">
        <v>1568</v>
      </c>
      <c r="BT284" s="1">
        <v>1501</v>
      </c>
      <c r="BU284" s="1">
        <v>1551</v>
      </c>
      <c r="BV284" s="1">
        <v>1442</v>
      </c>
      <c r="BW284" s="1">
        <v>1434</v>
      </c>
      <c r="BX284" s="1">
        <v>1380</v>
      </c>
      <c r="BY284" s="1">
        <v>1343</v>
      </c>
      <c r="BZ284" s="1">
        <v>1346</v>
      </c>
    </row>
    <row r="285" spans="1:78">
      <c r="A285" s="62" t="s">
        <v>498</v>
      </c>
      <c r="B285" s="1" t="str">
        <f>銘柄管理!C285</f>
        <v>トリドールホールディングス</v>
      </c>
      <c r="C285" s="1">
        <f>_xll.RssMarket("3397","安値")</f>
        <v>4110</v>
      </c>
      <c r="E285" s="1">
        <v>4149</v>
      </c>
      <c r="F285" s="1">
        <v>4246</v>
      </c>
      <c r="G285" s="1">
        <v>4322</v>
      </c>
      <c r="H285" s="1">
        <v>4480</v>
      </c>
      <c r="I285" s="1">
        <v>4308</v>
      </c>
      <c r="J285" s="1">
        <v>4193</v>
      </c>
      <c r="K285" s="1">
        <v>4103</v>
      </c>
      <c r="L285" s="1">
        <v>4009</v>
      </c>
      <c r="M285" s="1">
        <v>4016</v>
      </c>
      <c r="N285" s="1">
        <v>4031</v>
      </c>
      <c r="O285" s="1">
        <v>4169</v>
      </c>
      <c r="P285" s="1">
        <v>4116</v>
      </c>
      <c r="Q285" s="1">
        <v>4038</v>
      </c>
      <c r="R285" s="1">
        <v>4049</v>
      </c>
      <c r="S285" s="1">
        <v>3992</v>
      </c>
      <c r="T285" s="1">
        <v>3961</v>
      </c>
      <c r="U285" s="1">
        <v>3972</v>
      </c>
      <c r="V285" s="1">
        <v>3967</v>
      </c>
      <c r="W285" s="1">
        <v>3890</v>
      </c>
      <c r="X285" s="1">
        <v>3835</v>
      </c>
      <c r="Y285" s="1">
        <v>3835</v>
      </c>
      <c r="Z285" s="1">
        <v>3842</v>
      </c>
      <c r="AA285" s="1">
        <v>3772</v>
      </c>
      <c r="AB285" s="1">
        <v>3844</v>
      </c>
      <c r="AC285" s="1">
        <v>3760</v>
      </c>
      <c r="AD285" s="1">
        <v>3727</v>
      </c>
      <c r="AE285" s="1">
        <v>3652</v>
      </c>
      <c r="AF285" s="1">
        <v>3600</v>
      </c>
      <c r="AG285" s="1">
        <v>3492</v>
      </c>
      <c r="AH285" s="1">
        <v>3540</v>
      </c>
      <c r="AI285" s="1">
        <v>3552</v>
      </c>
      <c r="AJ285" s="1">
        <v>3552</v>
      </c>
      <c r="AK285" s="1">
        <v>3650</v>
      </c>
      <c r="AL285" s="1">
        <v>3702</v>
      </c>
      <c r="AM285" s="1">
        <v>3739</v>
      </c>
      <c r="AN285" s="1">
        <v>3800</v>
      </c>
      <c r="AO285" s="1">
        <v>3858</v>
      </c>
      <c r="AP285" s="1">
        <v>3768</v>
      </c>
      <c r="AQ285" s="1">
        <v>3700</v>
      </c>
      <c r="AR285" s="1">
        <v>3676</v>
      </c>
      <c r="AS285" s="1">
        <v>3727</v>
      </c>
      <c r="AT285" s="1">
        <v>3780</v>
      </c>
      <c r="AU285" s="1">
        <v>3787</v>
      </c>
      <c r="AV285" s="1">
        <v>3783</v>
      </c>
      <c r="AW285" s="1">
        <v>3736</v>
      </c>
      <c r="AX285" s="1">
        <v>3648</v>
      </c>
      <c r="AY285" s="1">
        <v>3850</v>
      </c>
      <c r="AZ285" s="1">
        <v>3787</v>
      </c>
      <c r="BA285" s="1">
        <v>3800</v>
      </c>
      <c r="BB285" s="1">
        <v>3858</v>
      </c>
      <c r="BC285" s="1">
        <v>3775</v>
      </c>
      <c r="BD285" s="1">
        <v>3715</v>
      </c>
      <c r="BE285" s="1">
        <v>3628</v>
      </c>
      <c r="BF285" s="1">
        <v>3880</v>
      </c>
      <c r="BG285" s="1">
        <v>3957</v>
      </c>
      <c r="BH285" s="1">
        <v>3913</v>
      </c>
      <c r="BI285" s="1">
        <v>3901</v>
      </c>
      <c r="BJ285" s="1">
        <v>3956</v>
      </c>
      <c r="BK285" s="1">
        <v>3950</v>
      </c>
      <c r="BL285" s="1">
        <v>3996</v>
      </c>
      <c r="BM285" s="1">
        <v>4040</v>
      </c>
      <c r="BN285" s="1">
        <v>4051</v>
      </c>
      <c r="BO285" s="1">
        <v>4053</v>
      </c>
      <c r="BP285" s="1">
        <v>4067</v>
      </c>
      <c r="BQ285" s="1">
        <v>4108</v>
      </c>
      <c r="BR285" s="1">
        <v>4142</v>
      </c>
      <c r="BS285" s="1">
        <v>4157</v>
      </c>
      <c r="BT285" s="1">
        <v>4175</v>
      </c>
      <c r="BU285" s="1">
        <v>4165</v>
      </c>
      <c r="BV285" s="1">
        <v>4215</v>
      </c>
      <c r="BW285" s="1">
        <v>4246</v>
      </c>
      <c r="BX285" s="1">
        <v>4225</v>
      </c>
      <c r="BY285" s="1">
        <v>4258</v>
      </c>
      <c r="BZ285" s="1">
        <v>4286</v>
      </c>
    </row>
    <row r="286" spans="1:78">
      <c r="A286" s="62" t="s">
        <v>499</v>
      </c>
      <c r="B286" s="1" t="str">
        <f>銘柄管理!C286</f>
        <v>ＳＵＢＡＲＵ</v>
      </c>
      <c r="C286" s="1">
        <f>_xll.RssMarket("7270","安値")</f>
        <v>2444</v>
      </c>
      <c r="E286" s="1">
        <v>2568</v>
      </c>
      <c r="F286" s="1">
        <v>2566.5</v>
      </c>
      <c r="G286" s="1">
        <v>2699</v>
      </c>
      <c r="H286" s="1">
        <v>2762</v>
      </c>
      <c r="I286" s="1">
        <v>2713.5</v>
      </c>
      <c r="J286" s="1">
        <v>2658</v>
      </c>
      <c r="K286" s="1">
        <v>2589</v>
      </c>
      <c r="L286" s="1">
        <v>2544.5</v>
      </c>
      <c r="M286" s="1">
        <v>2579</v>
      </c>
      <c r="N286" s="1">
        <v>2578</v>
      </c>
      <c r="O286" s="1">
        <v>2525</v>
      </c>
      <c r="P286" s="1">
        <v>2505</v>
      </c>
      <c r="Q286" s="1">
        <v>2484</v>
      </c>
      <c r="R286" s="1">
        <v>2470</v>
      </c>
      <c r="S286" s="1">
        <v>2475</v>
      </c>
      <c r="T286" s="1">
        <v>2480.5</v>
      </c>
      <c r="U286" s="1">
        <v>2473</v>
      </c>
      <c r="V286" s="1">
        <v>2518</v>
      </c>
      <c r="W286" s="1">
        <v>2556.5</v>
      </c>
      <c r="X286" s="1">
        <v>2525</v>
      </c>
      <c r="Y286" s="1">
        <v>2508</v>
      </c>
      <c r="Z286" s="1">
        <v>2437.5</v>
      </c>
      <c r="AA286" s="1">
        <v>2399</v>
      </c>
      <c r="AB286" s="1">
        <v>2369.5</v>
      </c>
      <c r="AC286" s="1">
        <v>2371</v>
      </c>
      <c r="AD286" s="1">
        <v>2370</v>
      </c>
      <c r="AE286" s="1">
        <v>2365</v>
      </c>
      <c r="AF286" s="1">
        <v>2371.5</v>
      </c>
      <c r="AG286" s="1">
        <v>2391.5</v>
      </c>
      <c r="AH286" s="1">
        <v>2400.5</v>
      </c>
      <c r="AI286" s="1">
        <v>2436.5</v>
      </c>
      <c r="AJ286" s="1">
        <v>2539.5</v>
      </c>
      <c r="AK286" s="1">
        <v>2569</v>
      </c>
      <c r="AL286" s="1">
        <v>2506.5</v>
      </c>
      <c r="AM286" s="1">
        <v>2505</v>
      </c>
      <c r="AN286" s="1">
        <v>2467.5</v>
      </c>
      <c r="AO286" s="1">
        <v>2472</v>
      </c>
      <c r="AP286" s="1">
        <v>2523.5</v>
      </c>
      <c r="AQ286" s="1">
        <v>2462</v>
      </c>
      <c r="AR286" s="1">
        <v>2444</v>
      </c>
      <c r="AS286" s="1">
        <v>2453</v>
      </c>
      <c r="AT286" s="1">
        <v>2436.5</v>
      </c>
      <c r="AU286" s="1">
        <v>2359.5</v>
      </c>
      <c r="AV286" s="1">
        <v>2442</v>
      </c>
      <c r="AW286" s="1">
        <v>2441.5</v>
      </c>
      <c r="AX286" s="1">
        <v>2424</v>
      </c>
      <c r="AY286" s="1">
        <v>2445</v>
      </c>
      <c r="AZ286" s="1">
        <v>2439</v>
      </c>
      <c r="BA286" s="1">
        <v>2450</v>
      </c>
      <c r="BB286" s="1">
        <v>2430.5</v>
      </c>
      <c r="BC286" s="1">
        <v>2357</v>
      </c>
      <c r="BD286" s="1">
        <v>2362</v>
      </c>
      <c r="BE286" s="1">
        <v>2435.5</v>
      </c>
      <c r="BF286" s="1">
        <v>2337.5</v>
      </c>
      <c r="BG286" s="1">
        <v>2266</v>
      </c>
      <c r="BH286" s="1">
        <v>2265</v>
      </c>
      <c r="BI286" s="1">
        <v>2247.5</v>
      </c>
      <c r="BJ286" s="1">
        <v>2348</v>
      </c>
      <c r="BK286" s="1">
        <v>2327</v>
      </c>
      <c r="BL286" s="1">
        <v>2334.5</v>
      </c>
      <c r="BM286" s="1">
        <v>2338</v>
      </c>
      <c r="BN286" s="1">
        <v>2438</v>
      </c>
      <c r="BO286" s="1">
        <v>2425</v>
      </c>
      <c r="BP286" s="1">
        <v>2447.5</v>
      </c>
      <c r="BQ286" s="1">
        <v>2477.5</v>
      </c>
      <c r="BR286" s="1">
        <v>2500.5</v>
      </c>
      <c r="BS286" s="1">
        <v>2535</v>
      </c>
      <c r="BT286" s="1">
        <v>2542</v>
      </c>
      <c r="BU286" s="1">
        <v>2527.5</v>
      </c>
      <c r="BV286" s="1">
        <v>2534.5</v>
      </c>
      <c r="BW286" s="1">
        <v>2498.5</v>
      </c>
      <c r="BX286" s="1">
        <v>2516.5</v>
      </c>
      <c r="BY286" s="1">
        <v>2501.5</v>
      </c>
      <c r="BZ286" s="1">
        <v>2530</v>
      </c>
    </row>
    <row r="287" spans="1:78">
      <c r="A287" s="62" t="s">
        <v>500</v>
      </c>
      <c r="B287" s="1" t="str">
        <f>銘柄管理!C287</f>
        <v>サン電子</v>
      </c>
      <c r="C287" s="1">
        <f>_xll.RssMarket("6736","安値")</f>
        <v>10360</v>
      </c>
      <c r="E287" s="1">
        <v>9650</v>
      </c>
      <c r="F287" s="1">
        <v>9580</v>
      </c>
      <c r="G287" s="1">
        <v>9300</v>
      </c>
      <c r="H287" s="1">
        <v>8950</v>
      </c>
      <c r="I287" s="1">
        <v>8920</v>
      </c>
      <c r="J287" s="1">
        <v>9120</v>
      </c>
      <c r="K287" s="1">
        <v>9140</v>
      </c>
      <c r="L287" s="1">
        <v>8870</v>
      </c>
      <c r="M287" s="1">
        <v>8800</v>
      </c>
      <c r="N287" s="1">
        <v>8890</v>
      </c>
      <c r="O287" s="1">
        <v>9000</v>
      </c>
      <c r="P287" s="1">
        <v>8740</v>
      </c>
      <c r="Q287" s="1">
        <v>8780</v>
      </c>
      <c r="R287" s="1">
        <v>8720</v>
      </c>
      <c r="S287" s="1">
        <v>9390</v>
      </c>
      <c r="T287" s="1">
        <v>9860</v>
      </c>
      <c r="U287" s="1">
        <v>10470</v>
      </c>
      <c r="V287" s="1">
        <v>10280</v>
      </c>
      <c r="W287" s="1">
        <v>10950</v>
      </c>
      <c r="X287" s="1">
        <v>9390</v>
      </c>
      <c r="Y287" s="1">
        <v>9290</v>
      </c>
      <c r="Z287" s="1">
        <v>8800</v>
      </c>
      <c r="AA287" s="1">
        <v>8520</v>
      </c>
      <c r="AB287" s="1">
        <v>8420</v>
      </c>
      <c r="AC287" s="1">
        <v>8570</v>
      </c>
      <c r="AD287" s="1">
        <v>9000</v>
      </c>
      <c r="AE287" s="1">
        <v>8600</v>
      </c>
      <c r="AF287" s="1">
        <v>8490</v>
      </c>
      <c r="AG287" s="1">
        <v>8890</v>
      </c>
      <c r="AH287" s="1">
        <v>9000</v>
      </c>
      <c r="AI287" s="1">
        <v>9010</v>
      </c>
      <c r="AJ287" s="1">
        <v>9030</v>
      </c>
      <c r="AK287" s="1">
        <v>9030</v>
      </c>
      <c r="AL287" s="1">
        <v>8910</v>
      </c>
      <c r="AM287" s="1">
        <v>8980</v>
      </c>
      <c r="AN287" s="1">
        <v>8630</v>
      </c>
      <c r="AO287" s="1">
        <v>8680</v>
      </c>
      <c r="AP287" s="1">
        <v>8950</v>
      </c>
      <c r="AQ287" s="1">
        <v>8380</v>
      </c>
      <c r="AR287" s="1">
        <v>8500</v>
      </c>
      <c r="AS287" s="1">
        <v>8600</v>
      </c>
      <c r="AT287" s="1">
        <v>8920</v>
      </c>
      <c r="AU287" s="1">
        <v>8950</v>
      </c>
      <c r="AV287" s="1">
        <v>9090</v>
      </c>
      <c r="AW287" s="1">
        <v>9020</v>
      </c>
      <c r="AX287" s="1">
        <v>9030</v>
      </c>
      <c r="AY287" s="1">
        <v>8990</v>
      </c>
      <c r="AZ287" s="1">
        <v>9100</v>
      </c>
      <c r="BA287" s="1">
        <v>8800</v>
      </c>
      <c r="BB287" s="1">
        <v>8690</v>
      </c>
      <c r="BC287" s="1">
        <v>8640</v>
      </c>
      <c r="BD287" s="1">
        <v>8910</v>
      </c>
      <c r="BE287" s="1">
        <v>8760</v>
      </c>
      <c r="BF287" s="1">
        <v>8440</v>
      </c>
      <c r="BG287" s="1">
        <v>8340</v>
      </c>
      <c r="BH287" s="1">
        <v>8470</v>
      </c>
      <c r="BI287" s="1">
        <v>8860</v>
      </c>
      <c r="BJ287" s="1">
        <v>8580</v>
      </c>
      <c r="BK287" s="1">
        <v>8520</v>
      </c>
      <c r="BL287" s="1">
        <v>8520</v>
      </c>
      <c r="BM287" s="1">
        <v>8210</v>
      </c>
      <c r="BN287" s="1">
        <v>8190</v>
      </c>
      <c r="BO287" s="1">
        <v>7990</v>
      </c>
      <c r="BP287" s="1">
        <v>7970</v>
      </c>
      <c r="BQ287" s="1">
        <v>7970</v>
      </c>
      <c r="BR287" s="1">
        <v>7950</v>
      </c>
      <c r="BS287" s="1">
        <v>7920</v>
      </c>
      <c r="BT287" s="1">
        <v>7920</v>
      </c>
      <c r="BU287" s="1">
        <v>7910</v>
      </c>
      <c r="BV287" s="1">
        <v>7670</v>
      </c>
      <c r="BW287" s="1">
        <v>6970</v>
      </c>
      <c r="BX287" s="1">
        <v>7250</v>
      </c>
      <c r="BY287" s="1">
        <v>7480</v>
      </c>
      <c r="BZ287" s="1">
        <v>8240</v>
      </c>
    </row>
    <row r="288" spans="1:78">
      <c r="A288" s="62" t="s">
        <v>501</v>
      </c>
      <c r="B288" s="1" t="str">
        <f>銘柄管理!C288</f>
        <v>紀文食品</v>
      </c>
      <c r="C288" s="1">
        <f>_xll.RssMarket("2933","安値")</f>
        <v>1084</v>
      </c>
      <c r="E288" s="1">
        <v>1092</v>
      </c>
      <c r="F288" s="1">
        <v>1094</v>
      </c>
      <c r="G288" s="1">
        <v>1088</v>
      </c>
      <c r="H288" s="1">
        <v>1095</v>
      </c>
      <c r="I288" s="1">
        <v>1092</v>
      </c>
      <c r="J288" s="1">
        <v>1090</v>
      </c>
      <c r="K288" s="1">
        <v>1078</v>
      </c>
      <c r="M288" s="1">
        <v>1080</v>
      </c>
      <c r="N288" s="1">
        <v>1072</v>
      </c>
      <c r="O288" s="1">
        <v>1080</v>
      </c>
      <c r="P288" s="1">
        <v>1081</v>
      </c>
      <c r="Q288" s="1">
        <v>1076</v>
      </c>
      <c r="R288" s="1">
        <v>1076</v>
      </c>
      <c r="S288" s="1">
        <v>1075</v>
      </c>
      <c r="T288" s="1">
        <v>1073</v>
      </c>
      <c r="U288" s="1">
        <v>1073</v>
      </c>
      <c r="V288" s="1">
        <v>1080</v>
      </c>
      <c r="W288" s="1">
        <v>1066</v>
      </c>
      <c r="X288" s="1">
        <v>1065</v>
      </c>
      <c r="Y288" s="1">
        <v>1064</v>
      </c>
      <c r="Z288" s="1">
        <v>1064</v>
      </c>
      <c r="AA288" s="1">
        <v>1055</v>
      </c>
      <c r="AB288" s="1">
        <v>1055</v>
      </c>
      <c r="AC288" s="1">
        <v>1064</v>
      </c>
      <c r="AD288" s="1">
        <v>1061</v>
      </c>
      <c r="AE288" s="1">
        <v>1050</v>
      </c>
      <c r="AF288" s="1">
        <v>1053</v>
      </c>
      <c r="AG288" s="1">
        <v>1055</v>
      </c>
      <c r="AH288" s="1">
        <v>1053</v>
      </c>
      <c r="AI288" s="1">
        <v>1052</v>
      </c>
      <c r="AJ288" s="1">
        <v>1046</v>
      </c>
      <c r="AK288" s="1">
        <v>1050</v>
      </c>
      <c r="AL288" s="1">
        <v>1039</v>
      </c>
      <c r="AM288" s="1">
        <v>1045</v>
      </c>
      <c r="AN288" s="1">
        <v>1040</v>
      </c>
      <c r="AO288" s="1">
        <v>1043</v>
      </c>
      <c r="AP288" s="1">
        <v>1040</v>
      </c>
      <c r="AQ288" s="1">
        <v>1033</v>
      </c>
      <c r="AR288" s="1">
        <v>1027</v>
      </c>
      <c r="AS288" s="1">
        <v>1022</v>
      </c>
      <c r="AT288" s="1">
        <v>1013</v>
      </c>
      <c r="AU288" s="1">
        <v>1018</v>
      </c>
      <c r="AV288" s="1">
        <v>1036</v>
      </c>
      <c r="AW288" s="1">
        <v>1033</v>
      </c>
      <c r="AX288" s="1">
        <v>1031</v>
      </c>
      <c r="AY288" s="1">
        <v>1033</v>
      </c>
      <c r="AZ288" s="1">
        <v>1038</v>
      </c>
      <c r="BA288" s="1">
        <v>1040</v>
      </c>
      <c r="BB288" s="1">
        <v>1037</v>
      </c>
      <c r="BC288" s="1">
        <v>1038</v>
      </c>
      <c r="BD288" s="1">
        <v>1033</v>
      </c>
      <c r="BE288" s="1">
        <v>1028</v>
      </c>
      <c r="BF288" s="1">
        <v>1027</v>
      </c>
      <c r="BG288" s="1">
        <v>1030</v>
      </c>
      <c r="BH288" s="1">
        <v>1023</v>
      </c>
      <c r="BI288" s="1">
        <v>1024</v>
      </c>
      <c r="BJ288" s="1">
        <v>1021</v>
      </c>
      <c r="BK288" s="1">
        <v>1030</v>
      </c>
      <c r="BL288" s="1">
        <v>1027</v>
      </c>
      <c r="BM288" s="1">
        <v>1025</v>
      </c>
      <c r="BN288" s="1">
        <v>1025</v>
      </c>
      <c r="BO288" s="1">
        <v>1026</v>
      </c>
      <c r="BP288" s="1">
        <v>1030</v>
      </c>
      <c r="BQ288" s="1">
        <v>1033</v>
      </c>
      <c r="BR288" s="1">
        <v>1040</v>
      </c>
      <c r="BS288" s="1">
        <v>1052</v>
      </c>
      <c r="BT288" s="1">
        <v>1059</v>
      </c>
      <c r="BU288" s="1">
        <v>1058</v>
      </c>
      <c r="BV288" s="1">
        <v>1055</v>
      </c>
      <c r="BW288" s="1">
        <v>1051</v>
      </c>
      <c r="BX288" s="1">
        <v>1049</v>
      </c>
      <c r="BY288" s="1">
        <v>1056</v>
      </c>
      <c r="BZ288" s="1">
        <v>1055</v>
      </c>
    </row>
    <row r="289" spans="1:78">
      <c r="A289" s="62" t="s">
        <v>502</v>
      </c>
      <c r="B289" s="1" t="str">
        <f>銘柄管理!C289</f>
        <v>関東電化</v>
      </c>
      <c r="C289" s="1">
        <f>_xll.RssMarket("4047","安値")</f>
        <v>2930</v>
      </c>
      <c r="E289" s="1">
        <v>2780</v>
      </c>
      <c r="F289" s="1">
        <v>2612</v>
      </c>
      <c r="G289" s="1">
        <v>2590</v>
      </c>
      <c r="H289" s="1">
        <v>2387</v>
      </c>
      <c r="I289" s="1">
        <v>2369</v>
      </c>
      <c r="J289" s="1">
        <v>2488</v>
      </c>
      <c r="K289" s="1">
        <v>2670</v>
      </c>
      <c r="L289" s="1">
        <v>2751</v>
      </c>
      <c r="M289" s="1">
        <v>2876</v>
      </c>
      <c r="N289" s="1">
        <v>2879</v>
      </c>
      <c r="O289" s="1">
        <v>2678</v>
      </c>
      <c r="P289" s="1">
        <v>2556</v>
      </c>
      <c r="Q289" s="1">
        <v>3005</v>
      </c>
      <c r="R289" s="1">
        <v>2860</v>
      </c>
      <c r="S289" s="1">
        <v>2900</v>
      </c>
      <c r="T289" s="1">
        <v>3050</v>
      </c>
      <c r="U289" s="1">
        <v>3035</v>
      </c>
      <c r="V289" s="1">
        <v>3045</v>
      </c>
      <c r="W289" s="1">
        <v>3135</v>
      </c>
      <c r="X289" s="1">
        <v>3330</v>
      </c>
      <c r="Y289" s="1">
        <v>3225</v>
      </c>
      <c r="Z289" s="1">
        <v>3300</v>
      </c>
      <c r="AA289" s="1">
        <v>3500</v>
      </c>
      <c r="AB289" s="1">
        <v>3420</v>
      </c>
      <c r="AC289" s="1">
        <v>3390</v>
      </c>
      <c r="AD289" s="1">
        <v>3640</v>
      </c>
      <c r="AE289" s="1">
        <v>3940</v>
      </c>
      <c r="AF289" s="1">
        <v>3635</v>
      </c>
      <c r="AG289" s="1">
        <v>3665</v>
      </c>
      <c r="AH289" s="1">
        <v>3830</v>
      </c>
      <c r="AI289" s="1">
        <v>3870</v>
      </c>
      <c r="AJ289" s="1">
        <v>3840</v>
      </c>
      <c r="AK289" s="1">
        <v>3610</v>
      </c>
      <c r="AL289" s="1">
        <v>3650</v>
      </c>
      <c r="AM289" s="1">
        <v>3780</v>
      </c>
      <c r="AN289" s="1">
        <v>3750</v>
      </c>
      <c r="AO289" s="1">
        <v>3580</v>
      </c>
      <c r="AP289" s="1">
        <v>3765</v>
      </c>
      <c r="AQ289" s="1">
        <v>3535</v>
      </c>
      <c r="AR289" s="1">
        <v>3945</v>
      </c>
      <c r="AS289" s="1">
        <v>3705</v>
      </c>
      <c r="AT289" s="1">
        <v>3685</v>
      </c>
      <c r="AU289" s="1">
        <v>3330</v>
      </c>
      <c r="AV289" s="1">
        <v>3550</v>
      </c>
      <c r="AW289" s="1">
        <v>3210</v>
      </c>
      <c r="AX289" s="1">
        <v>3275</v>
      </c>
      <c r="AY289" s="1">
        <v>3125</v>
      </c>
      <c r="AZ289" s="1">
        <v>2879</v>
      </c>
      <c r="BA289" s="1">
        <v>2703</v>
      </c>
      <c r="BB289" s="1">
        <v>2611</v>
      </c>
      <c r="BC289" s="1">
        <v>2668</v>
      </c>
      <c r="BD289" s="1">
        <v>2550</v>
      </c>
      <c r="BE289" s="1">
        <v>1951</v>
      </c>
      <c r="BF289" s="1">
        <v>2102</v>
      </c>
      <c r="BG289" s="1">
        <v>1951</v>
      </c>
      <c r="BH289" s="1">
        <v>1962</v>
      </c>
      <c r="BI289" s="1">
        <v>1853</v>
      </c>
      <c r="BJ289" s="1">
        <v>1775</v>
      </c>
      <c r="BK289" s="1">
        <v>1782</v>
      </c>
      <c r="BL289" s="1">
        <v>1650</v>
      </c>
      <c r="BM289" s="1">
        <v>1650</v>
      </c>
      <c r="BN289" s="1">
        <v>1666</v>
      </c>
      <c r="BO289" s="1">
        <v>1611</v>
      </c>
      <c r="BP289" s="1">
        <v>1623</v>
      </c>
      <c r="BQ289" s="1">
        <v>1601</v>
      </c>
      <c r="BR289" s="1">
        <v>1620</v>
      </c>
      <c r="BS289" s="1">
        <v>1642</v>
      </c>
      <c r="BT289" s="1">
        <v>1624</v>
      </c>
      <c r="BU289" s="1">
        <v>1629</v>
      </c>
      <c r="BV289" s="1">
        <v>1650</v>
      </c>
      <c r="BW289" s="1">
        <v>1650</v>
      </c>
      <c r="BX289" s="1">
        <v>1655</v>
      </c>
      <c r="BY289" s="1">
        <v>1603</v>
      </c>
      <c r="BZ289" s="1">
        <v>1587</v>
      </c>
    </row>
    <row r="290" spans="1:78">
      <c r="A290" s="62" t="s">
        <v>503</v>
      </c>
      <c r="B290" s="1" t="str">
        <f>銘柄管理!C290</f>
        <v>ＹＵＳＨＩＮ</v>
      </c>
      <c r="C290" s="1">
        <f>_xll.RssMarket("6482","安値")</f>
        <v>677</v>
      </c>
      <c r="E290" s="1">
        <v>654</v>
      </c>
      <c r="F290" s="1">
        <v>652</v>
      </c>
      <c r="G290" s="1">
        <v>668</v>
      </c>
      <c r="H290" s="1">
        <v>660</v>
      </c>
      <c r="I290" s="1">
        <v>659</v>
      </c>
      <c r="J290" s="1">
        <v>664</v>
      </c>
      <c r="K290" s="1">
        <v>685</v>
      </c>
      <c r="L290" s="1">
        <v>683</v>
      </c>
      <c r="M290" s="1">
        <v>685</v>
      </c>
      <c r="N290" s="1">
        <v>682</v>
      </c>
      <c r="O290" s="1">
        <v>676</v>
      </c>
      <c r="P290" s="1">
        <v>657</v>
      </c>
      <c r="Q290" s="1">
        <v>665</v>
      </c>
      <c r="R290" s="1">
        <v>661</v>
      </c>
      <c r="S290" s="1">
        <v>671</v>
      </c>
      <c r="T290" s="1">
        <v>678</v>
      </c>
      <c r="U290" s="1">
        <v>673</v>
      </c>
      <c r="V290" s="1">
        <v>691</v>
      </c>
      <c r="W290" s="1">
        <v>694</v>
      </c>
      <c r="X290" s="1">
        <v>696</v>
      </c>
      <c r="Y290" s="1">
        <v>683</v>
      </c>
      <c r="Z290" s="1">
        <v>688</v>
      </c>
      <c r="AA290" s="1">
        <v>689</v>
      </c>
      <c r="AB290" s="1">
        <v>686</v>
      </c>
      <c r="AC290" s="1">
        <v>703</v>
      </c>
      <c r="AD290" s="1">
        <v>699</v>
      </c>
      <c r="AE290" s="1">
        <v>707</v>
      </c>
      <c r="AF290" s="1">
        <v>706</v>
      </c>
      <c r="AG290" s="1">
        <v>733</v>
      </c>
      <c r="AH290" s="1">
        <v>732</v>
      </c>
      <c r="AI290" s="1">
        <v>732</v>
      </c>
      <c r="AJ290" s="1">
        <v>741</v>
      </c>
      <c r="AK290" s="1">
        <v>714</v>
      </c>
      <c r="AL290" s="1">
        <v>687</v>
      </c>
      <c r="AM290" s="1">
        <v>680</v>
      </c>
      <c r="AN290" s="1">
        <v>673</v>
      </c>
      <c r="AO290" s="1">
        <v>659</v>
      </c>
      <c r="AP290" s="1">
        <v>665</v>
      </c>
      <c r="AQ290" s="1">
        <v>646</v>
      </c>
      <c r="AR290" s="1">
        <v>657</v>
      </c>
      <c r="AS290" s="1">
        <v>648</v>
      </c>
      <c r="AT290" s="1">
        <v>638</v>
      </c>
      <c r="AU290" s="1">
        <v>638</v>
      </c>
      <c r="AV290" s="1">
        <v>666</v>
      </c>
      <c r="AW290" s="1">
        <v>655</v>
      </c>
      <c r="AX290" s="1">
        <v>657</v>
      </c>
      <c r="AY290" s="1">
        <v>709</v>
      </c>
      <c r="AZ290" s="1">
        <v>703</v>
      </c>
      <c r="BA290" s="1">
        <v>705</v>
      </c>
      <c r="BB290" s="1">
        <v>705</v>
      </c>
      <c r="BC290" s="1">
        <v>706</v>
      </c>
      <c r="BD290" s="1">
        <v>711</v>
      </c>
      <c r="BE290" s="1">
        <v>730</v>
      </c>
      <c r="BF290" s="1">
        <v>720</v>
      </c>
      <c r="BG290" s="1">
        <v>724</v>
      </c>
      <c r="BH290" s="1">
        <v>710</v>
      </c>
      <c r="BI290" s="1">
        <v>678</v>
      </c>
      <c r="BJ290" s="1">
        <v>674</v>
      </c>
      <c r="BK290" s="1">
        <v>683</v>
      </c>
      <c r="BL290" s="1">
        <v>663</v>
      </c>
      <c r="BM290" s="1">
        <v>658</v>
      </c>
      <c r="BN290" s="1">
        <v>656</v>
      </c>
      <c r="BO290" s="1">
        <v>651</v>
      </c>
      <c r="BP290" s="1">
        <v>656</v>
      </c>
      <c r="BQ290" s="1">
        <v>655</v>
      </c>
      <c r="BR290" s="1">
        <v>668</v>
      </c>
      <c r="BS290" s="1">
        <v>677</v>
      </c>
      <c r="BT290" s="1">
        <v>669</v>
      </c>
      <c r="BU290" s="1">
        <v>670</v>
      </c>
      <c r="BV290" s="1">
        <v>676</v>
      </c>
      <c r="BW290" s="1">
        <v>673</v>
      </c>
      <c r="BX290" s="1">
        <v>677</v>
      </c>
      <c r="BY290" s="1">
        <v>672</v>
      </c>
      <c r="BZ290" s="1">
        <v>678</v>
      </c>
    </row>
    <row r="291" spans="1:78">
      <c r="A291" s="62" t="s">
        <v>504</v>
      </c>
      <c r="B291" s="1" t="str">
        <f>銘柄管理!C291</f>
        <v>電気興業</v>
      </c>
      <c r="C291" s="1">
        <f>_xll.RssMarket("6706","安値")</f>
        <v>3095</v>
      </c>
      <c r="E291" s="1">
        <v>3060</v>
      </c>
      <c r="F291" s="1">
        <v>3030</v>
      </c>
      <c r="G291" s="1">
        <v>3060</v>
      </c>
      <c r="H291" s="1">
        <v>2963</v>
      </c>
      <c r="I291" s="1">
        <v>2924</v>
      </c>
      <c r="J291" s="1">
        <v>2953</v>
      </c>
      <c r="K291" s="1">
        <v>2903</v>
      </c>
      <c r="M291" s="1">
        <v>2995</v>
      </c>
      <c r="N291" s="1">
        <v>2936</v>
      </c>
      <c r="O291" s="1">
        <v>2898</v>
      </c>
      <c r="P291" s="1">
        <v>2836</v>
      </c>
      <c r="Q291" s="1">
        <v>3000</v>
      </c>
      <c r="R291" s="1">
        <v>2981</v>
      </c>
      <c r="S291" s="1">
        <v>2954</v>
      </c>
      <c r="T291" s="1">
        <v>3005</v>
      </c>
      <c r="U291" s="1">
        <v>2977</v>
      </c>
      <c r="V291" s="1">
        <v>2930</v>
      </c>
      <c r="W291" s="1">
        <v>2972</v>
      </c>
      <c r="X291" s="1">
        <v>2933</v>
      </c>
      <c r="Y291" s="1">
        <v>2955</v>
      </c>
      <c r="Z291" s="1">
        <v>3025</v>
      </c>
      <c r="AA291" s="1">
        <v>3020</v>
      </c>
      <c r="AB291" s="1">
        <v>3010</v>
      </c>
      <c r="AC291" s="1">
        <v>3075</v>
      </c>
      <c r="AD291" s="1">
        <v>3065</v>
      </c>
      <c r="AE291" s="1">
        <v>3110</v>
      </c>
      <c r="AF291" s="1">
        <v>3035</v>
      </c>
      <c r="AG291" s="1">
        <v>3090</v>
      </c>
      <c r="AH291" s="1">
        <v>3105</v>
      </c>
      <c r="AI291" s="1">
        <v>3160</v>
      </c>
      <c r="AJ291" s="1">
        <v>3115</v>
      </c>
      <c r="AK291" s="1">
        <v>3105</v>
      </c>
      <c r="AL291" s="1">
        <v>3160</v>
      </c>
      <c r="AM291" s="1">
        <v>3230</v>
      </c>
      <c r="AN291" s="1">
        <v>3095</v>
      </c>
      <c r="AO291" s="1">
        <v>3130</v>
      </c>
      <c r="AP291" s="1">
        <v>3275</v>
      </c>
      <c r="AQ291" s="1">
        <v>3315</v>
      </c>
      <c r="AR291" s="1">
        <v>3455</v>
      </c>
      <c r="AS291" s="1">
        <v>3465</v>
      </c>
      <c r="AT291" s="1">
        <v>3455</v>
      </c>
      <c r="AU291" s="1">
        <v>3425</v>
      </c>
      <c r="AV291" s="1">
        <v>3510</v>
      </c>
      <c r="AW291" s="1">
        <v>3415</v>
      </c>
      <c r="AX291" s="1">
        <v>3435</v>
      </c>
      <c r="AY291" s="1">
        <v>3410</v>
      </c>
      <c r="AZ291" s="1">
        <v>3395</v>
      </c>
      <c r="BA291" s="1">
        <v>3400</v>
      </c>
      <c r="BB291" s="1">
        <v>3370</v>
      </c>
      <c r="BC291" s="1">
        <v>3345</v>
      </c>
      <c r="BD291" s="1">
        <v>3300</v>
      </c>
      <c r="BE291" s="1">
        <v>3415</v>
      </c>
      <c r="BF291" s="1">
        <v>3420</v>
      </c>
      <c r="BG291" s="1">
        <v>3465</v>
      </c>
      <c r="BH291" s="1">
        <v>3420</v>
      </c>
      <c r="BI291" s="1">
        <v>3385</v>
      </c>
      <c r="BJ291" s="1">
        <v>3375</v>
      </c>
      <c r="BK291" s="1">
        <v>3380</v>
      </c>
      <c r="BL291" s="1">
        <v>3285</v>
      </c>
      <c r="BM291" s="1">
        <v>3280</v>
      </c>
      <c r="BN291" s="1">
        <v>3290</v>
      </c>
      <c r="BO291" s="1">
        <v>3285</v>
      </c>
      <c r="BP291" s="1">
        <v>3285</v>
      </c>
      <c r="BQ291" s="1">
        <v>3260</v>
      </c>
      <c r="BR291" s="1">
        <v>3265</v>
      </c>
      <c r="BS291" s="1">
        <v>3270</v>
      </c>
      <c r="BT291" s="1">
        <v>3270</v>
      </c>
      <c r="BU291" s="1">
        <v>3265</v>
      </c>
      <c r="BV291" s="1">
        <v>3255</v>
      </c>
      <c r="BW291" s="1">
        <v>3250</v>
      </c>
      <c r="BX291" s="1">
        <v>3190</v>
      </c>
      <c r="BY291" s="1">
        <v>3025</v>
      </c>
      <c r="BZ291" s="1">
        <v>3075</v>
      </c>
    </row>
    <row r="292" spans="1:78">
      <c r="A292" s="62" t="s">
        <v>505</v>
      </c>
      <c r="B292" s="1" t="str">
        <f>銘柄管理!C292</f>
        <v>新光商事</v>
      </c>
      <c r="C292" s="1">
        <f>_xll.RssMarket("8141","安値")</f>
        <v>1564</v>
      </c>
      <c r="E292" s="1">
        <v>1557</v>
      </c>
      <c r="F292" s="1">
        <v>1548</v>
      </c>
      <c r="G292" s="1">
        <v>1549</v>
      </c>
      <c r="H292" s="1">
        <v>1526</v>
      </c>
      <c r="I292" s="1">
        <v>1566</v>
      </c>
      <c r="J292" s="1">
        <v>1578</v>
      </c>
      <c r="K292" s="1">
        <v>1578</v>
      </c>
      <c r="M292" s="1">
        <v>1581</v>
      </c>
      <c r="N292" s="1">
        <v>1579</v>
      </c>
      <c r="O292" s="1">
        <v>1576</v>
      </c>
      <c r="P292" s="1">
        <v>1595</v>
      </c>
      <c r="Q292" s="1">
        <v>1597</v>
      </c>
      <c r="R292" s="1">
        <v>1583</v>
      </c>
      <c r="S292" s="1">
        <v>1581</v>
      </c>
      <c r="T292" s="1">
        <v>1584</v>
      </c>
      <c r="U292" s="1">
        <v>1585</v>
      </c>
      <c r="V292" s="1">
        <v>1585</v>
      </c>
      <c r="W292" s="1">
        <v>1587</v>
      </c>
      <c r="X292" s="1">
        <v>1586</v>
      </c>
      <c r="Y292" s="1">
        <v>1587</v>
      </c>
      <c r="Z292" s="1">
        <v>1585</v>
      </c>
      <c r="AA292" s="1">
        <v>1585</v>
      </c>
      <c r="AB292" s="1">
        <v>1586</v>
      </c>
      <c r="AC292" s="1">
        <v>1580</v>
      </c>
      <c r="AD292" s="1">
        <v>1564</v>
      </c>
      <c r="AE292" s="1">
        <v>1566</v>
      </c>
      <c r="AF292" s="1">
        <v>1575</v>
      </c>
      <c r="AG292" s="1">
        <v>1576</v>
      </c>
      <c r="AH292" s="1">
        <v>1580</v>
      </c>
      <c r="AI292" s="1">
        <v>1580</v>
      </c>
      <c r="AJ292" s="1">
        <v>1581</v>
      </c>
      <c r="AK292" s="1">
        <v>1580</v>
      </c>
      <c r="AL292" s="1">
        <v>1578</v>
      </c>
      <c r="AM292" s="1">
        <v>1577</v>
      </c>
      <c r="AN292" s="1">
        <v>1579</v>
      </c>
      <c r="AO292" s="1">
        <v>1577</v>
      </c>
      <c r="AP292" s="1">
        <v>1576</v>
      </c>
      <c r="AQ292" s="1">
        <v>1579</v>
      </c>
      <c r="AR292" s="1">
        <v>1582</v>
      </c>
      <c r="AS292" s="1">
        <v>1579</v>
      </c>
      <c r="AT292" s="1">
        <v>1577</v>
      </c>
      <c r="AU292" s="1">
        <v>1576</v>
      </c>
      <c r="AV292" s="1">
        <v>1575</v>
      </c>
      <c r="AW292" s="1">
        <v>1577</v>
      </c>
      <c r="AX292" s="1">
        <v>1589</v>
      </c>
      <c r="AY292" s="1">
        <v>1593</v>
      </c>
      <c r="AZ292" s="1">
        <v>1598</v>
      </c>
      <c r="BA292" s="1">
        <v>1601</v>
      </c>
      <c r="BB292" s="1">
        <v>1594</v>
      </c>
      <c r="BC292" s="1">
        <v>1595</v>
      </c>
      <c r="BD292" s="1">
        <v>1590</v>
      </c>
      <c r="BE292" s="1">
        <v>1494</v>
      </c>
      <c r="BF292" s="1">
        <v>1480</v>
      </c>
      <c r="BG292" s="1">
        <v>1440</v>
      </c>
      <c r="BH292" s="1">
        <v>1655</v>
      </c>
      <c r="BI292" s="1">
        <v>1651</v>
      </c>
      <c r="BJ292" s="1">
        <v>1676</v>
      </c>
      <c r="BK292" s="1">
        <v>1675</v>
      </c>
      <c r="BL292" s="1">
        <v>1580</v>
      </c>
      <c r="BM292" s="1">
        <v>1585</v>
      </c>
      <c r="BN292" s="1">
        <v>1546</v>
      </c>
      <c r="BO292" s="1">
        <v>1522</v>
      </c>
      <c r="BP292" s="1">
        <v>1507</v>
      </c>
      <c r="BQ292" s="1">
        <v>1512</v>
      </c>
      <c r="BR292" s="1">
        <v>1542</v>
      </c>
      <c r="BS292" s="1">
        <v>1527</v>
      </c>
      <c r="BT292" s="1">
        <v>1487</v>
      </c>
      <c r="BU292" s="1">
        <v>1441</v>
      </c>
      <c r="BV292" s="1">
        <v>1443</v>
      </c>
      <c r="BW292" s="1">
        <v>1362</v>
      </c>
      <c r="BX292" s="1">
        <v>1340</v>
      </c>
      <c r="BY292" s="1">
        <v>1419</v>
      </c>
      <c r="BZ292" s="1">
        <v>1386</v>
      </c>
    </row>
    <row r="293" spans="1:78">
      <c r="A293" s="62" t="s">
        <v>506</v>
      </c>
      <c r="B293" s="1" t="str">
        <f>銘柄管理!C293</f>
        <v>山形銀行</v>
      </c>
      <c r="C293" s="1">
        <f>_xll.RssMarket("8344","安値")</f>
        <v>3915</v>
      </c>
      <c r="E293" s="1">
        <v>3610</v>
      </c>
      <c r="F293" s="1">
        <v>3600</v>
      </c>
      <c r="G293" s="1">
        <v>3680</v>
      </c>
      <c r="H293" s="1">
        <v>3665</v>
      </c>
      <c r="I293" s="1">
        <v>3770</v>
      </c>
      <c r="J293" s="1">
        <v>3995</v>
      </c>
      <c r="K293" s="1">
        <v>4040</v>
      </c>
      <c r="L293" s="1">
        <v>3810</v>
      </c>
      <c r="M293" s="1">
        <v>3830</v>
      </c>
      <c r="N293" s="1">
        <v>3750</v>
      </c>
      <c r="O293" s="1">
        <v>3615</v>
      </c>
      <c r="P293" s="1">
        <v>3555</v>
      </c>
      <c r="Q293" s="1">
        <v>3765</v>
      </c>
      <c r="R293" s="1">
        <v>3610</v>
      </c>
      <c r="S293" s="1">
        <v>3645</v>
      </c>
      <c r="T293" s="1">
        <v>3690</v>
      </c>
      <c r="U293" s="1">
        <v>3715</v>
      </c>
      <c r="V293" s="1">
        <v>3815</v>
      </c>
      <c r="W293" s="1">
        <v>3870</v>
      </c>
      <c r="X293" s="1">
        <v>3935</v>
      </c>
      <c r="Y293" s="1">
        <v>3810</v>
      </c>
      <c r="Z293" s="1">
        <v>3670</v>
      </c>
      <c r="AA293" s="1">
        <v>3500</v>
      </c>
      <c r="AB293" s="1">
        <v>3465</v>
      </c>
      <c r="AC293" s="1">
        <v>3360</v>
      </c>
      <c r="AD293" s="1">
        <v>3270</v>
      </c>
      <c r="AE293" s="1">
        <v>3250</v>
      </c>
      <c r="AF293" s="1">
        <v>3205</v>
      </c>
      <c r="AG293" s="1">
        <v>3330</v>
      </c>
      <c r="AH293" s="1">
        <v>3300</v>
      </c>
      <c r="AI293" s="1">
        <v>3305</v>
      </c>
      <c r="AJ293" s="1">
        <v>3450</v>
      </c>
      <c r="AK293" s="1">
        <v>3440</v>
      </c>
      <c r="AL293" s="1">
        <v>3445</v>
      </c>
      <c r="AM293" s="1">
        <v>3505</v>
      </c>
      <c r="AN293" s="1">
        <v>3400</v>
      </c>
      <c r="AO293" s="1">
        <v>3305</v>
      </c>
      <c r="AP293" s="1">
        <v>3200</v>
      </c>
      <c r="AQ293" s="1">
        <v>2982</v>
      </c>
      <c r="AR293" s="1">
        <v>3025</v>
      </c>
      <c r="AS293" s="1">
        <v>2919</v>
      </c>
      <c r="AT293" s="1">
        <v>2972</v>
      </c>
      <c r="AU293" s="1">
        <v>2923</v>
      </c>
      <c r="AV293" s="1">
        <v>3085</v>
      </c>
      <c r="AW293" s="1">
        <v>3000</v>
      </c>
      <c r="AX293" s="1">
        <v>2988</v>
      </c>
      <c r="AY293" s="1">
        <v>2914</v>
      </c>
      <c r="AZ293" s="1">
        <v>3025</v>
      </c>
      <c r="BA293" s="1">
        <v>3025</v>
      </c>
      <c r="BB293" s="1">
        <v>2948</v>
      </c>
      <c r="BC293" s="1">
        <v>2891</v>
      </c>
      <c r="BD293" s="1">
        <v>2666</v>
      </c>
      <c r="BE293" s="1">
        <v>2593</v>
      </c>
      <c r="BF293" s="1">
        <v>2579</v>
      </c>
      <c r="BG293" s="1">
        <v>2539</v>
      </c>
      <c r="BH293" s="1">
        <v>2538</v>
      </c>
      <c r="BI293" s="1">
        <v>2504</v>
      </c>
      <c r="BJ293" s="1">
        <v>2469</v>
      </c>
      <c r="BK293" s="1">
        <v>2557</v>
      </c>
      <c r="BL293" s="1">
        <v>2486</v>
      </c>
      <c r="BM293" s="1">
        <v>2450</v>
      </c>
      <c r="BN293" s="1">
        <v>2405</v>
      </c>
      <c r="BO293" s="1">
        <v>2357</v>
      </c>
      <c r="BP293" s="1">
        <v>2415</v>
      </c>
      <c r="BQ293" s="1">
        <v>2457</v>
      </c>
      <c r="BR293" s="1">
        <v>2521</v>
      </c>
      <c r="BS293" s="1">
        <v>2628</v>
      </c>
      <c r="BT293" s="1">
        <v>2718</v>
      </c>
      <c r="BU293" s="1">
        <v>2769</v>
      </c>
      <c r="BV293" s="1">
        <v>2751</v>
      </c>
      <c r="BW293" s="1">
        <v>2720</v>
      </c>
      <c r="BX293" s="1">
        <v>2666</v>
      </c>
      <c r="BY293" s="1">
        <v>2628</v>
      </c>
      <c r="BZ293" s="1">
        <v>2666</v>
      </c>
    </row>
    <row r="294" spans="1:78">
      <c r="A294" s="62" t="s">
        <v>507</v>
      </c>
      <c r="B294" s="1" t="str">
        <f>銘柄管理!C294</f>
        <v>小野建</v>
      </c>
      <c r="C294" s="1">
        <f>_xll.RssMarket("7414","安値")</f>
        <v>1405</v>
      </c>
      <c r="E294" s="1">
        <v>1403</v>
      </c>
      <c r="F294" s="1">
        <v>1402</v>
      </c>
      <c r="G294" s="1">
        <v>1438</v>
      </c>
      <c r="H294" s="1">
        <v>1439</v>
      </c>
      <c r="I294" s="1">
        <v>1445</v>
      </c>
      <c r="J294" s="1">
        <v>1426</v>
      </c>
      <c r="K294" s="1">
        <v>1437</v>
      </c>
      <c r="M294" s="1">
        <v>1424</v>
      </c>
      <c r="N294" s="1">
        <v>1405</v>
      </c>
      <c r="O294" s="1">
        <v>1401</v>
      </c>
      <c r="P294" s="1">
        <v>1400</v>
      </c>
      <c r="Q294" s="1">
        <v>1385</v>
      </c>
      <c r="R294" s="1">
        <v>1382</v>
      </c>
      <c r="S294" s="1">
        <v>1378</v>
      </c>
      <c r="T294" s="1">
        <v>1374</v>
      </c>
      <c r="U294" s="1">
        <v>1367</v>
      </c>
      <c r="V294" s="1">
        <v>1370</v>
      </c>
      <c r="W294" s="1">
        <v>1368</v>
      </c>
      <c r="X294" s="1">
        <v>1361</v>
      </c>
      <c r="Y294" s="1">
        <v>1341</v>
      </c>
      <c r="Z294" s="1">
        <v>1329</v>
      </c>
      <c r="AA294" s="1">
        <v>1320</v>
      </c>
      <c r="AB294" s="1">
        <v>1330</v>
      </c>
      <c r="AC294" s="1">
        <v>1326</v>
      </c>
      <c r="AD294" s="1">
        <v>1319</v>
      </c>
      <c r="AE294" s="1">
        <v>1320</v>
      </c>
      <c r="AF294" s="1">
        <v>1322</v>
      </c>
      <c r="AG294" s="1">
        <v>1320</v>
      </c>
      <c r="AH294" s="1">
        <v>1315</v>
      </c>
      <c r="AI294" s="1">
        <v>1310</v>
      </c>
      <c r="AJ294" s="1">
        <v>1324</v>
      </c>
      <c r="AK294" s="1">
        <v>1329</v>
      </c>
      <c r="AL294" s="1">
        <v>1315</v>
      </c>
      <c r="AM294" s="1">
        <v>1323</v>
      </c>
      <c r="AN294" s="1">
        <v>1309</v>
      </c>
      <c r="AO294" s="1">
        <v>1295</v>
      </c>
      <c r="AP294" s="1">
        <v>1299</v>
      </c>
      <c r="AQ294" s="1">
        <v>1306</v>
      </c>
      <c r="AR294" s="1">
        <v>1314</v>
      </c>
      <c r="AS294" s="1">
        <v>1301</v>
      </c>
      <c r="AT294" s="1">
        <v>1293</v>
      </c>
      <c r="AU294" s="1">
        <v>1289</v>
      </c>
      <c r="AV294" s="1">
        <v>1344</v>
      </c>
      <c r="AW294" s="1">
        <v>1332</v>
      </c>
      <c r="AX294" s="1">
        <v>1330</v>
      </c>
      <c r="AY294" s="1">
        <v>1315</v>
      </c>
      <c r="AZ294" s="1">
        <v>1319</v>
      </c>
      <c r="BA294" s="1">
        <v>1325</v>
      </c>
      <c r="BB294" s="1">
        <v>1320</v>
      </c>
      <c r="BC294" s="1">
        <v>1336</v>
      </c>
      <c r="BD294" s="1">
        <v>1330</v>
      </c>
      <c r="BE294" s="1">
        <v>1350</v>
      </c>
      <c r="BF294" s="1">
        <v>1429</v>
      </c>
      <c r="BG294" s="1">
        <v>1428</v>
      </c>
      <c r="BH294" s="1">
        <v>1435</v>
      </c>
      <c r="BI294" s="1">
        <v>1423</v>
      </c>
      <c r="BJ294" s="1">
        <v>1418</v>
      </c>
      <c r="BK294" s="1">
        <v>1414</v>
      </c>
      <c r="BL294" s="1">
        <v>1385</v>
      </c>
      <c r="BM294" s="1">
        <v>1381</v>
      </c>
      <c r="BN294" s="1">
        <v>1373</v>
      </c>
      <c r="BO294" s="1">
        <v>1372</v>
      </c>
      <c r="BP294" s="1">
        <v>1371</v>
      </c>
      <c r="BQ294" s="1">
        <v>1365</v>
      </c>
      <c r="BR294" s="1">
        <v>1380</v>
      </c>
      <c r="BS294" s="1">
        <v>1394</v>
      </c>
      <c r="BT294" s="1">
        <v>1395</v>
      </c>
      <c r="BU294" s="1">
        <v>1393</v>
      </c>
      <c r="BV294" s="1">
        <v>1400</v>
      </c>
      <c r="BW294" s="1">
        <v>1401</v>
      </c>
      <c r="BX294" s="1">
        <v>1402</v>
      </c>
      <c r="BY294" s="1">
        <v>1398</v>
      </c>
      <c r="BZ294" s="1">
        <v>1407</v>
      </c>
    </row>
    <row r="295" spans="1:78">
      <c r="A295" s="62" t="s">
        <v>508</v>
      </c>
      <c r="B295" s="1" t="str">
        <f>銘柄管理!C295</f>
        <v>ＣＫＤ</v>
      </c>
      <c r="C295" s="1">
        <f>_xll.RssMarket("6407","安値")</f>
        <v>6500</v>
      </c>
      <c r="E295" s="1">
        <v>5880</v>
      </c>
      <c r="F295" s="1">
        <v>5690</v>
      </c>
      <c r="G295" s="1">
        <v>5800</v>
      </c>
      <c r="H295" s="1">
        <v>4975</v>
      </c>
      <c r="I295" s="1">
        <v>4975</v>
      </c>
      <c r="J295" s="1">
        <v>5470</v>
      </c>
      <c r="K295" s="1">
        <v>6170</v>
      </c>
      <c r="M295" s="1">
        <v>6650</v>
      </c>
      <c r="N295" s="1">
        <v>6570</v>
      </c>
      <c r="O295" s="1">
        <v>6140</v>
      </c>
      <c r="P295" s="1">
        <v>6080</v>
      </c>
      <c r="Q295" s="1">
        <v>6770</v>
      </c>
      <c r="R295" s="1">
        <v>6440</v>
      </c>
      <c r="S295" s="1">
        <v>6780</v>
      </c>
      <c r="T295" s="1">
        <v>6960</v>
      </c>
      <c r="U295" s="1">
        <v>6720</v>
      </c>
      <c r="V295" s="1">
        <v>6640</v>
      </c>
      <c r="W295" s="1">
        <v>6770</v>
      </c>
      <c r="X295" s="1">
        <v>7300</v>
      </c>
      <c r="Y295" s="1">
        <v>6850</v>
      </c>
      <c r="Z295" s="1">
        <v>7340</v>
      </c>
      <c r="AA295" s="1">
        <v>7640</v>
      </c>
      <c r="AB295" s="1">
        <v>7360</v>
      </c>
      <c r="AC295" s="1">
        <v>7050</v>
      </c>
      <c r="AD295" s="1">
        <v>7210</v>
      </c>
      <c r="AE295" s="1">
        <v>7720</v>
      </c>
      <c r="AF295" s="1">
        <v>7300</v>
      </c>
      <c r="AG295" s="1">
        <v>7600</v>
      </c>
      <c r="AH295" s="1">
        <v>7780</v>
      </c>
      <c r="AI295" s="1">
        <v>7620</v>
      </c>
      <c r="AJ295" s="1">
        <v>7700</v>
      </c>
      <c r="AK295" s="1">
        <v>7290</v>
      </c>
      <c r="AL295" s="1">
        <v>7270</v>
      </c>
      <c r="AM295" s="1">
        <v>6890</v>
      </c>
      <c r="AN295" s="1">
        <v>6490</v>
      </c>
      <c r="AO295" s="1">
        <v>5760</v>
      </c>
      <c r="AP295" s="1">
        <v>5980</v>
      </c>
      <c r="AQ295" s="1">
        <v>5680</v>
      </c>
      <c r="AR295" s="1">
        <v>6090</v>
      </c>
      <c r="AS295" s="1">
        <v>6240</v>
      </c>
      <c r="AT295" s="1">
        <v>6290</v>
      </c>
      <c r="AU295" s="1">
        <v>6090</v>
      </c>
      <c r="AV295" s="1">
        <v>6490</v>
      </c>
      <c r="AW295" s="1">
        <v>6360</v>
      </c>
      <c r="AX295" s="1">
        <v>6650</v>
      </c>
      <c r="AY295" s="1">
        <v>6740</v>
      </c>
      <c r="AZ295" s="1">
        <v>6740</v>
      </c>
      <c r="BA295" s="1">
        <v>5950</v>
      </c>
      <c r="BB295" s="1">
        <v>5750</v>
      </c>
      <c r="BC295" s="1">
        <v>5830</v>
      </c>
      <c r="BD295" s="1">
        <v>5930</v>
      </c>
      <c r="BE295" s="1">
        <v>6730</v>
      </c>
      <c r="BF295" s="1">
        <v>6890</v>
      </c>
      <c r="BG295" s="1">
        <v>6700</v>
      </c>
      <c r="BH295" s="1">
        <v>6760</v>
      </c>
      <c r="BI295" s="1">
        <v>6460</v>
      </c>
      <c r="BJ295" s="1">
        <v>6240</v>
      </c>
      <c r="BK295" s="1">
        <v>6470</v>
      </c>
      <c r="BL295" s="1">
        <v>5960</v>
      </c>
      <c r="BM295" s="1">
        <v>5870</v>
      </c>
      <c r="BN295" s="1">
        <v>5750</v>
      </c>
      <c r="BO295" s="1">
        <v>5480</v>
      </c>
      <c r="BP295" s="1">
        <v>5430</v>
      </c>
      <c r="BQ295" s="1">
        <v>5450</v>
      </c>
      <c r="BR295" s="1">
        <v>5570</v>
      </c>
      <c r="BS295" s="1">
        <v>5560</v>
      </c>
      <c r="BT295" s="1">
        <v>5560</v>
      </c>
      <c r="BU295" s="1">
        <v>5540</v>
      </c>
      <c r="BV295" s="1">
        <v>5500</v>
      </c>
      <c r="BW295" s="1">
        <v>5580</v>
      </c>
      <c r="BX295" s="1">
        <v>5690</v>
      </c>
      <c r="BY295" s="1">
        <v>5520</v>
      </c>
      <c r="BZ295" s="1">
        <v>5420</v>
      </c>
    </row>
    <row r="296" spans="1:78">
      <c r="A296" s="62" t="s">
        <v>509</v>
      </c>
      <c r="B296" s="1" t="str">
        <f>銘柄管理!C296</f>
        <v>ベルトラ</v>
      </c>
      <c r="C296" s="1">
        <f>_xll.RssMarket("7048","安値")</f>
        <v>156</v>
      </c>
      <c r="E296" s="1">
        <v>157</v>
      </c>
      <c r="F296" s="1">
        <v>154</v>
      </c>
      <c r="G296" s="1">
        <v>156</v>
      </c>
      <c r="H296" s="1">
        <v>154</v>
      </c>
      <c r="I296" s="1">
        <v>155</v>
      </c>
      <c r="J296" s="1">
        <v>156</v>
      </c>
      <c r="K296" s="1">
        <v>156</v>
      </c>
      <c r="M296" s="1">
        <v>152</v>
      </c>
      <c r="N296" s="1">
        <v>158</v>
      </c>
      <c r="O296" s="1">
        <v>164</v>
      </c>
      <c r="P296" s="1">
        <v>174</v>
      </c>
      <c r="Q296" s="1">
        <v>175</v>
      </c>
      <c r="R296" s="1">
        <v>171</v>
      </c>
      <c r="S296" s="1">
        <v>170</v>
      </c>
      <c r="T296" s="1">
        <v>165</v>
      </c>
      <c r="U296" s="1">
        <v>161</v>
      </c>
      <c r="V296" s="1">
        <v>156</v>
      </c>
      <c r="W296" s="1">
        <v>161</v>
      </c>
      <c r="X296" s="1">
        <v>166</v>
      </c>
      <c r="Y296" s="1">
        <v>166</v>
      </c>
      <c r="Z296" s="1">
        <v>163</v>
      </c>
      <c r="AA296" s="1">
        <v>162</v>
      </c>
      <c r="AB296" s="1">
        <v>162</v>
      </c>
      <c r="AC296" s="1">
        <v>163</v>
      </c>
      <c r="AD296" s="1">
        <v>161</v>
      </c>
      <c r="AE296" s="1">
        <v>159</v>
      </c>
      <c r="AF296" s="1">
        <v>171</v>
      </c>
      <c r="AG296" s="1">
        <v>166</v>
      </c>
      <c r="AH296" s="1">
        <v>148</v>
      </c>
      <c r="AI296" s="1">
        <v>144</v>
      </c>
      <c r="AJ296" s="1">
        <v>130</v>
      </c>
      <c r="AK296" s="1">
        <v>124</v>
      </c>
      <c r="AL296" s="1">
        <v>122</v>
      </c>
      <c r="AM296" s="1">
        <v>120</v>
      </c>
      <c r="AN296" s="1">
        <v>116</v>
      </c>
      <c r="AO296" s="1">
        <v>115</v>
      </c>
      <c r="AP296" s="1">
        <v>116</v>
      </c>
      <c r="AQ296" s="1">
        <v>125</v>
      </c>
      <c r="AR296" s="1">
        <v>129</v>
      </c>
      <c r="AS296" s="1">
        <v>126</v>
      </c>
      <c r="AT296" s="1">
        <v>126</v>
      </c>
      <c r="AU296" s="1">
        <v>126</v>
      </c>
      <c r="AV296" s="1">
        <v>130</v>
      </c>
      <c r="AW296" s="1">
        <v>130</v>
      </c>
      <c r="AX296" s="1">
        <v>132</v>
      </c>
      <c r="AY296" s="1">
        <v>136</v>
      </c>
      <c r="AZ296" s="1">
        <v>141</v>
      </c>
      <c r="BA296" s="1">
        <v>143</v>
      </c>
      <c r="BB296" s="1">
        <v>141</v>
      </c>
      <c r="BC296" s="1">
        <v>145</v>
      </c>
      <c r="BD296" s="1">
        <v>144</v>
      </c>
      <c r="BE296" s="1">
        <v>143</v>
      </c>
      <c r="BF296" s="1">
        <v>159</v>
      </c>
      <c r="BG296" s="1">
        <v>161</v>
      </c>
      <c r="BH296" s="1">
        <v>159</v>
      </c>
      <c r="BI296" s="1">
        <v>161</v>
      </c>
      <c r="BJ296" s="1">
        <v>160</v>
      </c>
      <c r="BK296" s="1">
        <v>161</v>
      </c>
      <c r="BL296" s="1">
        <v>158</v>
      </c>
      <c r="BM296" s="1">
        <v>158</v>
      </c>
      <c r="BN296" s="1">
        <v>160</v>
      </c>
      <c r="BO296" s="1">
        <v>161</v>
      </c>
      <c r="BP296" s="1">
        <v>162</v>
      </c>
      <c r="BQ296" s="1">
        <v>167</v>
      </c>
      <c r="BR296" s="1">
        <v>172</v>
      </c>
      <c r="BS296" s="1">
        <v>178</v>
      </c>
      <c r="BT296" s="1">
        <v>182</v>
      </c>
      <c r="BU296" s="1">
        <v>184</v>
      </c>
      <c r="BV296" s="1">
        <v>176</v>
      </c>
      <c r="BW296" s="1">
        <v>175</v>
      </c>
      <c r="BX296" s="1">
        <v>172</v>
      </c>
      <c r="BY296" s="1">
        <v>169</v>
      </c>
      <c r="BZ296" s="1">
        <v>173</v>
      </c>
    </row>
    <row r="297" spans="1:78">
      <c r="A297" s="62" t="s">
        <v>510</v>
      </c>
      <c r="B297" s="1" t="str">
        <f>銘柄管理!C297</f>
        <v>長谷工コーポレーシヨン</v>
      </c>
      <c r="C297" s="1">
        <f>_xll.RssMarket("1808","安値")</f>
        <v>2632.5</v>
      </c>
      <c r="E297" s="1">
        <v>2655</v>
      </c>
      <c r="F297" s="1">
        <v>2701</v>
      </c>
      <c r="G297" s="1">
        <v>2780</v>
      </c>
      <c r="H297" s="1">
        <v>2811.5</v>
      </c>
      <c r="I297" s="1">
        <v>2833.5</v>
      </c>
      <c r="J297" s="1">
        <v>2826</v>
      </c>
      <c r="K297" s="1">
        <v>2783.5</v>
      </c>
      <c r="L297" s="1">
        <v>2736.5</v>
      </c>
      <c r="M297" s="1">
        <v>2742</v>
      </c>
      <c r="N297" s="1">
        <v>2787.5</v>
      </c>
      <c r="O297" s="1">
        <v>2812</v>
      </c>
      <c r="P297" s="1">
        <v>2799</v>
      </c>
      <c r="Q297" s="1">
        <v>2807</v>
      </c>
      <c r="R297" s="1">
        <v>2766.5</v>
      </c>
      <c r="S297" s="1">
        <v>2731</v>
      </c>
      <c r="T297" s="1">
        <v>2755.5</v>
      </c>
      <c r="U297" s="1">
        <v>2761.5</v>
      </c>
      <c r="V297" s="1">
        <v>2836</v>
      </c>
      <c r="W297" s="1">
        <v>2841</v>
      </c>
      <c r="X297" s="1">
        <v>2826</v>
      </c>
      <c r="Y297" s="1">
        <v>2825</v>
      </c>
      <c r="Z297" s="1">
        <v>2776</v>
      </c>
      <c r="AA297" s="1">
        <v>2758</v>
      </c>
      <c r="AB297" s="1">
        <v>2822.5</v>
      </c>
      <c r="AC297" s="1">
        <v>2834</v>
      </c>
      <c r="AD297" s="1">
        <v>2767</v>
      </c>
      <c r="AE297" s="1">
        <v>2754</v>
      </c>
      <c r="AF297" s="1">
        <v>2701.5</v>
      </c>
      <c r="AG297" s="1">
        <v>2711.5</v>
      </c>
      <c r="AH297" s="1">
        <v>2663.5</v>
      </c>
      <c r="AI297" s="1">
        <v>2628</v>
      </c>
      <c r="AJ297" s="1">
        <v>2653</v>
      </c>
      <c r="AK297" s="1">
        <v>2695.5</v>
      </c>
      <c r="AL297" s="1">
        <v>2673</v>
      </c>
      <c r="AM297" s="1">
        <v>2699.5</v>
      </c>
      <c r="AN297" s="1">
        <v>2690.5</v>
      </c>
      <c r="AO297" s="1">
        <v>2706.5</v>
      </c>
      <c r="AP297" s="1">
        <v>2679</v>
      </c>
      <c r="AQ297" s="1">
        <v>2619</v>
      </c>
      <c r="AR297" s="1">
        <v>2633</v>
      </c>
      <c r="AS297" s="1">
        <v>2592</v>
      </c>
      <c r="AT297" s="1">
        <v>2599.5</v>
      </c>
      <c r="AU297" s="1">
        <v>2555</v>
      </c>
      <c r="AV297" s="1">
        <v>2686</v>
      </c>
      <c r="AW297" s="1">
        <v>2679.5</v>
      </c>
      <c r="AX297" s="1">
        <v>2692.5</v>
      </c>
      <c r="AY297" s="1">
        <v>2665</v>
      </c>
      <c r="AZ297" s="1">
        <v>2686.5</v>
      </c>
      <c r="BA297" s="1">
        <v>2714.5</v>
      </c>
      <c r="BB297" s="1">
        <v>2687</v>
      </c>
      <c r="BC297" s="1">
        <v>2754</v>
      </c>
      <c r="BD297" s="1">
        <v>2825.5</v>
      </c>
      <c r="BE297" s="1">
        <v>2657.5</v>
      </c>
      <c r="BF297" s="1">
        <v>2688</v>
      </c>
      <c r="BG297" s="1">
        <v>2770.5</v>
      </c>
      <c r="BH297" s="1">
        <v>2721.5</v>
      </c>
      <c r="BI297" s="1">
        <v>2732</v>
      </c>
      <c r="BJ297" s="1">
        <v>2698.5</v>
      </c>
      <c r="BK297" s="1">
        <v>2732.5</v>
      </c>
      <c r="BL297" s="1">
        <v>2680</v>
      </c>
      <c r="BM297" s="1">
        <v>2692.5</v>
      </c>
      <c r="BN297" s="1">
        <v>2735</v>
      </c>
      <c r="BO297" s="1">
        <v>2650.5</v>
      </c>
      <c r="BP297" s="1">
        <v>2680.5</v>
      </c>
      <c r="BQ297" s="1">
        <v>2693</v>
      </c>
      <c r="BR297" s="1">
        <v>2738</v>
      </c>
      <c r="BS297" s="1">
        <v>2750</v>
      </c>
      <c r="BT297" s="1">
        <v>2762.5</v>
      </c>
      <c r="BU297" s="1">
        <v>2730</v>
      </c>
      <c r="BV297" s="1">
        <v>2760</v>
      </c>
      <c r="BW297" s="1">
        <v>2732</v>
      </c>
      <c r="BX297" s="1">
        <v>2706</v>
      </c>
      <c r="BY297" s="1">
        <v>2861.5</v>
      </c>
      <c r="BZ297" s="1">
        <v>2893</v>
      </c>
    </row>
    <row r="298" spans="1:78">
      <c r="A298" s="62" t="s">
        <v>511</v>
      </c>
      <c r="B298" s="1" t="str">
        <f>銘柄管理!C298</f>
        <v>ＵＢＥ</v>
      </c>
      <c r="C298" s="1">
        <f>_xll.RssMarket("4208","安値")</f>
        <v>3168</v>
      </c>
      <c r="E298" s="1">
        <v>3130</v>
      </c>
      <c r="F298" s="1">
        <v>3089</v>
      </c>
      <c r="G298" s="1">
        <v>3137</v>
      </c>
      <c r="H298" s="1">
        <v>3149</v>
      </c>
      <c r="I298" s="1">
        <v>3139</v>
      </c>
      <c r="J298" s="1">
        <v>3192</v>
      </c>
      <c r="K298" s="1">
        <v>3288</v>
      </c>
      <c r="M298" s="1">
        <v>3244</v>
      </c>
      <c r="N298" s="1">
        <v>3228</v>
      </c>
      <c r="O298" s="1">
        <v>3215</v>
      </c>
      <c r="P298" s="1">
        <v>3166</v>
      </c>
      <c r="Q298" s="1">
        <v>3214</v>
      </c>
      <c r="R298" s="1">
        <v>3100</v>
      </c>
      <c r="S298" s="1">
        <v>3096</v>
      </c>
      <c r="T298" s="1">
        <v>3141</v>
      </c>
      <c r="U298" s="1">
        <v>3146</v>
      </c>
      <c r="V298" s="1">
        <v>3166</v>
      </c>
      <c r="W298" s="1">
        <v>3189</v>
      </c>
      <c r="X298" s="1">
        <v>3243</v>
      </c>
      <c r="Y298" s="1">
        <v>3175</v>
      </c>
      <c r="Z298" s="1">
        <v>3166</v>
      </c>
      <c r="AA298" s="1">
        <v>3137</v>
      </c>
      <c r="AB298" s="1">
        <v>3146</v>
      </c>
      <c r="AC298" s="1">
        <v>3119</v>
      </c>
      <c r="AD298" s="1">
        <v>3115</v>
      </c>
      <c r="AE298" s="1">
        <v>3140</v>
      </c>
      <c r="AF298" s="1">
        <v>3085</v>
      </c>
      <c r="AG298" s="1">
        <v>3116</v>
      </c>
      <c r="AH298" s="1">
        <v>3190</v>
      </c>
      <c r="AI298" s="1">
        <v>3191</v>
      </c>
      <c r="AJ298" s="1">
        <v>3221</v>
      </c>
      <c r="AK298" s="1">
        <v>3148</v>
      </c>
      <c r="AL298" s="1">
        <v>3168</v>
      </c>
      <c r="AM298" s="1">
        <v>3120</v>
      </c>
      <c r="AN298" s="1">
        <v>3022</v>
      </c>
      <c r="AO298" s="1">
        <v>2964</v>
      </c>
      <c r="AP298" s="1">
        <v>2962.5</v>
      </c>
      <c r="AQ298" s="1">
        <v>2883</v>
      </c>
      <c r="AR298" s="1">
        <v>2897</v>
      </c>
      <c r="AS298" s="1">
        <v>2937.5</v>
      </c>
      <c r="AT298" s="1">
        <v>2951</v>
      </c>
      <c r="AU298" s="1">
        <v>2857</v>
      </c>
      <c r="AV298" s="1">
        <v>2930.5</v>
      </c>
      <c r="AW298" s="1">
        <v>2892.5</v>
      </c>
      <c r="AX298" s="1">
        <v>2960</v>
      </c>
      <c r="AY298" s="1">
        <v>2969.5</v>
      </c>
      <c r="AZ298" s="1">
        <v>2956.5</v>
      </c>
      <c r="BA298" s="1">
        <v>2900</v>
      </c>
      <c r="BB298" s="1">
        <v>2660</v>
      </c>
      <c r="BC298" s="1">
        <v>2364</v>
      </c>
      <c r="BD298" s="1">
        <v>2376.5</v>
      </c>
      <c r="BE298" s="1">
        <v>2365.5</v>
      </c>
      <c r="BF298" s="1">
        <v>2432</v>
      </c>
      <c r="BG298" s="1">
        <v>2325.5</v>
      </c>
      <c r="BH298" s="1">
        <v>2313.5</v>
      </c>
      <c r="BI298" s="1">
        <v>2376.5</v>
      </c>
      <c r="BJ298" s="1">
        <v>2358.5</v>
      </c>
      <c r="BK298" s="1">
        <v>2379.5</v>
      </c>
      <c r="BL298" s="1">
        <v>2351.5</v>
      </c>
      <c r="BM298" s="1">
        <v>2334.5</v>
      </c>
      <c r="BN298" s="1">
        <v>2358</v>
      </c>
      <c r="BO298" s="1">
        <v>2333.5</v>
      </c>
      <c r="BP298" s="1">
        <v>2337.5</v>
      </c>
      <c r="BQ298" s="1">
        <v>2327.5</v>
      </c>
      <c r="BR298" s="1">
        <v>2375.5</v>
      </c>
      <c r="BS298" s="1">
        <v>2413</v>
      </c>
      <c r="BT298" s="1">
        <v>2412.5</v>
      </c>
      <c r="BU298" s="1">
        <v>2424.5</v>
      </c>
      <c r="BV298" s="1">
        <v>2421</v>
      </c>
      <c r="BW298" s="1">
        <v>2410</v>
      </c>
      <c r="BX298" s="1">
        <v>2400.5</v>
      </c>
      <c r="BY298" s="1">
        <v>2415</v>
      </c>
      <c r="BZ298" s="1">
        <v>2440</v>
      </c>
    </row>
    <row r="299" spans="1:78">
      <c r="A299" s="62" t="s">
        <v>512</v>
      </c>
      <c r="B299" s="1" t="str">
        <f>銘柄管理!C299</f>
        <v>アストロスケールホールディンク</v>
      </c>
      <c r="C299" s="1">
        <f>_xll.RssMarket("186A","安値")</f>
        <v>1131</v>
      </c>
      <c r="E299" s="1">
        <v>1066</v>
      </c>
      <c r="F299" s="1">
        <v>988</v>
      </c>
      <c r="G299" s="1">
        <v>953</v>
      </c>
      <c r="H299" s="1">
        <v>925</v>
      </c>
      <c r="I299" s="1">
        <v>897</v>
      </c>
      <c r="J299" s="1">
        <v>982</v>
      </c>
      <c r="K299" s="1">
        <v>1002</v>
      </c>
      <c r="L299" s="1">
        <v>1008</v>
      </c>
      <c r="M299" s="1">
        <v>1020</v>
      </c>
      <c r="N299" s="1">
        <v>1005</v>
      </c>
      <c r="O299" s="1">
        <v>951</v>
      </c>
      <c r="P299" s="1">
        <v>945</v>
      </c>
      <c r="Q299" s="1">
        <v>1055</v>
      </c>
      <c r="R299" s="1">
        <v>1046</v>
      </c>
      <c r="S299" s="1">
        <v>1093</v>
      </c>
      <c r="T299" s="1">
        <v>1078</v>
      </c>
      <c r="U299" s="1">
        <v>1053</v>
      </c>
      <c r="V299" s="1">
        <v>1067</v>
      </c>
      <c r="W299" s="1">
        <v>1141</v>
      </c>
      <c r="X299" s="1">
        <v>1208</v>
      </c>
      <c r="Y299" s="1">
        <v>1128</v>
      </c>
      <c r="Z299" s="1">
        <v>1102</v>
      </c>
      <c r="AA299" s="1">
        <v>1108</v>
      </c>
      <c r="AB299" s="1">
        <v>1151</v>
      </c>
      <c r="AC299" s="1">
        <v>1083</v>
      </c>
      <c r="AD299" s="1">
        <v>1084</v>
      </c>
      <c r="AE299" s="1">
        <v>1104</v>
      </c>
      <c r="AF299" s="1">
        <v>1151</v>
      </c>
      <c r="AG299" s="1">
        <v>1150</v>
      </c>
      <c r="AH299" s="1">
        <v>1201</v>
      </c>
      <c r="AI299" s="1">
        <v>1158</v>
      </c>
      <c r="AJ299" s="1">
        <v>1304</v>
      </c>
      <c r="AK299" s="1">
        <v>1304</v>
      </c>
      <c r="AL299" s="1">
        <v>1328</v>
      </c>
      <c r="AM299" s="1">
        <v>1505</v>
      </c>
      <c r="AN299" s="1">
        <v>1836</v>
      </c>
      <c r="AO299" s="1">
        <v>1690</v>
      </c>
      <c r="AP299" s="1">
        <v>1718</v>
      </c>
      <c r="AQ299" s="1">
        <v>1910</v>
      </c>
      <c r="AR299" s="1">
        <v>2020</v>
      </c>
      <c r="AS299" s="1">
        <v>1788</v>
      </c>
      <c r="AT299" s="1">
        <v>2002</v>
      </c>
      <c r="AU299" s="1">
        <v>2015</v>
      </c>
      <c r="AV299" s="1">
        <v>2614</v>
      </c>
      <c r="AW299" s="1">
        <v>2633</v>
      </c>
      <c r="AX299" s="1">
        <v>2616</v>
      </c>
      <c r="AY299" s="1">
        <v>2612</v>
      </c>
      <c r="AZ299" s="1">
        <v>1988</v>
      </c>
      <c r="BA299" s="1">
        <v>1832</v>
      </c>
      <c r="BB299" s="1">
        <v>1863</v>
      </c>
      <c r="BC299" s="1">
        <v>1914</v>
      </c>
      <c r="BD299" s="1">
        <v>1865</v>
      </c>
      <c r="BE299" s="1">
        <v>1873</v>
      </c>
      <c r="BF299" s="1">
        <v>1770</v>
      </c>
      <c r="BG299" s="1">
        <v>1696</v>
      </c>
      <c r="BH299" s="1">
        <v>1703</v>
      </c>
      <c r="BI299" s="1">
        <v>1651</v>
      </c>
      <c r="BJ299" s="1">
        <v>1388</v>
      </c>
      <c r="BK299" s="1">
        <v>1328</v>
      </c>
      <c r="BL299" s="1">
        <v>1237</v>
      </c>
      <c r="BM299" s="1">
        <v>1251</v>
      </c>
      <c r="BN299" s="1">
        <v>1220</v>
      </c>
      <c r="BO299" s="1">
        <v>1219</v>
      </c>
      <c r="BP299" s="1">
        <v>1285</v>
      </c>
      <c r="BQ299" s="1">
        <v>1360</v>
      </c>
      <c r="BR299" s="1">
        <v>1431</v>
      </c>
      <c r="BS299" s="1">
        <v>1449</v>
      </c>
      <c r="BT299" s="1">
        <v>1353</v>
      </c>
      <c r="BU299" s="1">
        <v>1327</v>
      </c>
      <c r="BV299" s="1">
        <v>1354</v>
      </c>
      <c r="BW299" s="1">
        <v>1335</v>
      </c>
      <c r="BX299" s="1">
        <v>1292</v>
      </c>
      <c r="BY299" s="1">
        <v>1276</v>
      </c>
      <c r="BZ299" s="1">
        <v>1232</v>
      </c>
    </row>
    <row r="300" spans="1:78">
      <c r="A300" s="62" t="s">
        <v>513</v>
      </c>
      <c r="B300" s="1" t="str">
        <f>銘柄管理!C300</f>
        <v>浜松ホトニクス</v>
      </c>
      <c r="C300" s="1">
        <f>_xll.RssMarket("6965","安値")</f>
        <v>2445</v>
      </c>
      <c r="E300" s="1">
        <v>2320</v>
      </c>
      <c r="F300" s="1">
        <v>2281.5</v>
      </c>
      <c r="G300" s="1">
        <v>2260.5</v>
      </c>
      <c r="H300" s="1">
        <v>2129</v>
      </c>
      <c r="I300" s="1">
        <v>2100.5</v>
      </c>
      <c r="J300" s="1">
        <v>2181.5</v>
      </c>
      <c r="K300" s="1">
        <v>2316</v>
      </c>
      <c r="M300" s="1">
        <v>2408.5</v>
      </c>
      <c r="N300" s="1">
        <v>2376</v>
      </c>
      <c r="O300" s="1">
        <v>2276</v>
      </c>
      <c r="P300" s="1">
        <v>2224</v>
      </c>
      <c r="Q300" s="1">
        <v>2444</v>
      </c>
      <c r="R300" s="1">
        <v>2374</v>
      </c>
      <c r="S300" s="1">
        <v>2420.5</v>
      </c>
      <c r="T300" s="1">
        <v>2491</v>
      </c>
      <c r="U300" s="1">
        <v>2396.5</v>
      </c>
      <c r="V300" s="1">
        <v>2387</v>
      </c>
      <c r="W300" s="1">
        <v>2442</v>
      </c>
      <c r="X300" s="1">
        <v>2546</v>
      </c>
      <c r="Y300" s="1">
        <v>2543</v>
      </c>
      <c r="Z300" s="1">
        <v>2635.5</v>
      </c>
      <c r="AA300" s="1">
        <v>2682.5</v>
      </c>
      <c r="AB300" s="1">
        <v>2629.5</v>
      </c>
      <c r="AC300" s="1">
        <v>2530.5</v>
      </c>
      <c r="AD300" s="1">
        <v>2585.5</v>
      </c>
      <c r="AE300" s="1">
        <v>2663.5</v>
      </c>
      <c r="AF300" s="1">
        <v>2623.5</v>
      </c>
      <c r="AG300" s="1">
        <v>2646.5</v>
      </c>
      <c r="AH300" s="1">
        <v>2804</v>
      </c>
      <c r="AI300" s="1">
        <v>2757</v>
      </c>
      <c r="AJ300" s="1">
        <v>2745</v>
      </c>
      <c r="AK300" s="1">
        <v>2594</v>
      </c>
      <c r="AL300" s="1">
        <v>2560.5</v>
      </c>
      <c r="AM300" s="1">
        <v>2521.5</v>
      </c>
      <c r="AN300" s="1">
        <v>2459.5</v>
      </c>
      <c r="AO300" s="1">
        <v>2281.5</v>
      </c>
      <c r="AP300" s="1">
        <v>2320</v>
      </c>
      <c r="AQ300" s="1">
        <v>2572</v>
      </c>
      <c r="AR300" s="1">
        <v>2788</v>
      </c>
      <c r="AS300" s="1">
        <v>2820</v>
      </c>
      <c r="AT300" s="1">
        <v>2806</v>
      </c>
      <c r="AU300" s="1">
        <v>2617</v>
      </c>
      <c r="AV300" s="1">
        <v>2807</v>
      </c>
      <c r="AW300" s="1">
        <v>2660</v>
      </c>
      <c r="AX300" s="1">
        <v>2669</v>
      </c>
      <c r="AY300" s="1">
        <v>2964</v>
      </c>
      <c r="AZ300" s="1">
        <v>2727</v>
      </c>
      <c r="BA300" s="1">
        <v>2635</v>
      </c>
      <c r="BB300" s="1">
        <v>2555</v>
      </c>
      <c r="BC300" s="1">
        <v>2627</v>
      </c>
      <c r="BD300" s="1">
        <v>2661.5</v>
      </c>
      <c r="BE300" s="1">
        <v>2577</v>
      </c>
      <c r="BF300" s="1">
        <v>2154</v>
      </c>
      <c r="BG300" s="1">
        <v>2073</v>
      </c>
      <c r="BH300" s="1">
        <v>2145</v>
      </c>
      <c r="BI300" s="1">
        <v>2133</v>
      </c>
      <c r="BJ300" s="1">
        <v>2070</v>
      </c>
      <c r="BK300" s="1">
        <v>1992</v>
      </c>
      <c r="BL300" s="1">
        <v>1988</v>
      </c>
      <c r="BM300" s="1">
        <v>1971.5</v>
      </c>
      <c r="BN300" s="1">
        <v>1990</v>
      </c>
      <c r="BO300" s="1">
        <v>1935</v>
      </c>
      <c r="BP300" s="1">
        <v>1894.5</v>
      </c>
      <c r="BQ300" s="1">
        <v>1879.5</v>
      </c>
      <c r="BR300" s="1">
        <v>1926.5</v>
      </c>
      <c r="BS300" s="1">
        <v>1930.5</v>
      </c>
      <c r="BT300" s="1">
        <v>1918</v>
      </c>
      <c r="BU300" s="1">
        <v>1912.5</v>
      </c>
      <c r="BV300" s="1">
        <v>1903</v>
      </c>
      <c r="BW300" s="1">
        <v>1889.5</v>
      </c>
      <c r="BX300" s="1">
        <v>1933.5</v>
      </c>
      <c r="BY300" s="1">
        <v>1907</v>
      </c>
      <c r="BZ300" s="1">
        <v>1926</v>
      </c>
    </row>
    <row r="301" spans="1:78">
      <c r="A301" s="62" t="s">
        <v>514</v>
      </c>
      <c r="B301" s="1" t="str">
        <f>銘柄管理!C301</f>
        <v>三菱化工機</v>
      </c>
      <c r="C301" s="1">
        <f>_xll.RssMarket("6331","安値")</f>
        <v>3180</v>
      </c>
      <c r="E301" s="1">
        <v>3050</v>
      </c>
      <c r="F301" s="1">
        <v>2937</v>
      </c>
      <c r="G301" s="1">
        <v>3050</v>
      </c>
      <c r="H301" s="1">
        <v>3020</v>
      </c>
      <c r="I301" s="1">
        <v>2975</v>
      </c>
      <c r="J301" s="1">
        <v>3205</v>
      </c>
      <c r="K301" s="1">
        <v>3325</v>
      </c>
      <c r="L301" s="1">
        <v>3360</v>
      </c>
      <c r="M301" s="1">
        <v>3325</v>
      </c>
      <c r="N301" s="1">
        <v>3290</v>
      </c>
      <c r="O301" s="1">
        <v>3180</v>
      </c>
      <c r="P301" s="1">
        <v>3075</v>
      </c>
      <c r="Q301" s="1">
        <v>3415</v>
      </c>
      <c r="R301" s="1">
        <v>3355</v>
      </c>
      <c r="S301" s="1">
        <v>3395</v>
      </c>
      <c r="T301" s="1">
        <v>3540</v>
      </c>
      <c r="U301" s="1">
        <v>3490</v>
      </c>
      <c r="V301" s="1">
        <v>3600</v>
      </c>
      <c r="W301" s="1">
        <v>3840</v>
      </c>
      <c r="X301" s="1">
        <v>3825</v>
      </c>
      <c r="Y301" s="1">
        <v>3640</v>
      </c>
      <c r="Z301" s="1">
        <v>3675</v>
      </c>
      <c r="AA301" s="1">
        <v>3680</v>
      </c>
      <c r="AB301" s="1">
        <v>3650</v>
      </c>
      <c r="AC301" s="1">
        <v>3680</v>
      </c>
      <c r="AD301" s="1">
        <v>3745</v>
      </c>
      <c r="AE301" s="1">
        <v>3810</v>
      </c>
      <c r="AF301" s="1">
        <v>3770</v>
      </c>
      <c r="AG301" s="1">
        <v>3880</v>
      </c>
      <c r="AH301" s="1">
        <v>3980</v>
      </c>
      <c r="AI301" s="1">
        <v>3950</v>
      </c>
      <c r="AJ301" s="1">
        <v>4010</v>
      </c>
      <c r="AK301" s="1">
        <v>3900</v>
      </c>
      <c r="AL301" s="1">
        <v>3825</v>
      </c>
      <c r="AM301" s="1">
        <v>3730</v>
      </c>
      <c r="AN301" s="1">
        <v>3635</v>
      </c>
      <c r="AO301" s="1">
        <v>3515</v>
      </c>
      <c r="AP301" s="1">
        <v>3470</v>
      </c>
      <c r="AQ301" s="1">
        <v>3445</v>
      </c>
      <c r="AR301" s="1">
        <v>3465</v>
      </c>
      <c r="AS301" s="1">
        <v>3455</v>
      </c>
      <c r="AT301" s="1">
        <v>3425</v>
      </c>
      <c r="AU301" s="1">
        <v>3300</v>
      </c>
      <c r="AV301" s="1">
        <v>3590</v>
      </c>
      <c r="AW301" s="1">
        <v>3585</v>
      </c>
      <c r="AX301" s="1">
        <v>3630</v>
      </c>
      <c r="AY301" s="1">
        <v>3420</v>
      </c>
      <c r="AZ301" s="1">
        <v>3390</v>
      </c>
      <c r="BA301" s="1">
        <v>3470</v>
      </c>
      <c r="BB301" s="1">
        <v>3365</v>
      </c>
      <c r="BC301" s="1">
        <v>3550</v>
      </c>
      <c r="BD301" s="1">
        <v>3545</v>
      </c>
      <c r="BE301" s="1">
        <v>3270</v>
      </c>
      <c r="BF301" s="1">
        <v>3290</v>
      </c>
      <c r="BG301" s="1">
        <v>3255</v>
      </c>
      <c r="BH301" s="1">
        <v>3270</v>
      </c>
      <c r="BI301" s="1">
        <v>3260</v>
      </c>
      <c r="BJ301" s="1">
        <v>3210</v>
      </c>
      <c r="BK301" s="1">
        <v>3270</v>
      </c>
      <c r="BL301" s="1">
        <v>3200</v>
      </c>
      <c r="BM301" s="1">
        <v>3115</v>
      </c>
      <c r="BN301" s="1">
        <v>3180</v>
      </c>
      <c r="BO301" s="1">
        <v>3195</v>
      </c>
      <c r="BP301" s="1">
        <v>3130</v>
      </c>
      <c r="BQ301" s="1">
        <v>3040</v>
      </c>
      <c r="BR301" s="1">
        <v>2993</v>
      </c>
      <c r="BS301" s="1">
        <v>3020</v>
      </c>
      <c r="BT301" s="1">
        <v>3020</v>
      </c>
      <c r="BU301" s="1">
        <v>3005</v>
      </c>
      <c r="BV301" s="1">
        <v>3020</v>
      </c>
      <c r="BW301" s="1">
        <v>3005</v>
      </c>
      <c r="BX301" s="1">
        <v>3080</v>
      </c>
      <c r="BY301" s="1">
        <v>3075</v>
      </c>
      <c r="BZ301" s="1">
        <v>3175</v>
      </c>
    </row>
    <row r="302" spans="1:78">
      <c r="A302" s="62" t="s">
        <v>515</v>
      </c>
      <c r="B302" s="1" t="str">
        <f>銘柄管理!C302</f>
        <v>ＨＯＹＡ</v>
      </c>
      <c r="C302" s="1">
        <f>_xll.RssMarket("7741","安値")</f>
        <v>25500</v>
      </c>
      <c r="E302" s="1">
        <v>25030</v>
      </c>
      <c r="F302" s="1">
        <v>23955</v>
      </c>
      <c r="G302" s="1">
        <v>23985</v>
      </c>
      <c r="H302" s="1">
        <v>23615</v>
      </c>
      <c r="I302" s="1">
        <v>23340</v>
      </c>
      <c r="J302" s="1">
        <v>23640</v>
      </c>
      <c r="K302" s="1">
        <v>24585</v>
      </c>
      <c r="L302" s="1">
        <v>24420</v>
      </c>
      <c r="M302" s="1">
        <v>24650</v>
      </c>
      <c r="N302" s="1">
        <v>24900</v>
      </c>
      <c r="O302" s="1">
        <v>25160</v>
      </c>
      <c r="P302" s="1">
        <v>24625</v>
      </c>
      <c r="Q302" s="1">
        <v>25305</v>
      </c>
      <c r="R302" s="1">
        <v>25340</v>
      </c>
      <c r="S302" s="1">
        <v>24975</v>
      </c>
      <c r="T302" s="1">
        <v>24795</v>
      </c>
      <c r="U302" s="1">
        <v>24230</v>
      </c>
      <c r="V302" s="1">
        <v>23910</v>
      </c>
      <c r="W302" s="1">
        <v>25220</v>
      </c>
      <c r="X302" s="1">
        <v>25475</v>
      </c>
      <c r="Y302" s="1">
        <v>25565</v>
      </c>
      <c r="Z302" s="1">
        <v>25500</v>
      </c>
      <c r="AA302" s="1">
        <v>25560</v>
      </c>
      <c r="AB302" s="1">
        <v>25625</v>
      </c>
      <c r="AC302" s="1">
        <v>25170</v>
      </c>
      <c r="AD302" s="1">
        <v>25020</v>
      </c>
      <c r="AE302" s="1">
        <v>26120</v>
      </c>
      <c r="AF302" s="1">
        <v>25875</v>
      </c>
      <c r="AG302" s="1">
        <v>26485</v>
      </c>
      <c r="AH302" s="1">
        <v>26860</v>
      </c>
      <c r="AI302" s="1">
        <v>27035</v>
      </c>
      <c r="AJ302" s="1">
        <v>27770</v>
      </c>
      <c r="AK302" s="1">
        <v>26900</v>
      </c>
      <c r="AL302" s="1">
        <v>26510</v>
      </c>
      <c r="AM302" s="1">
        <v>26445</v>
      </c>
      <c r="AN302" s="1">
        <v>25965</v>
      </c>
      <c r="AO302" s="1">
        <v>25165</v>
      </c>
      <c r="AP302" s="1">
        <v>25265</v>
      </c>
      <c r="AQ302" s="1">
        <v>25100</v>
      </c>
      <c r="AR302" s="1">
        <v>26155</v>
      </c>
      <c r="AS302" s="1">
        <v>26280</v>
      </c>
      <c r="AT302" s="1">
        <v>26360</v>
      </c>
      <c r="AU302" s="1">
        <v>25990</v>
      </c>
      <c r="AV302" s="1">
        <v>26985</v>
      </c>
      <c r="AW302" s="1">
        <v>26740</v>
      </c>
      <c r="AX302" s="1">
        <v>27025</v>
      </c>
      <c r="AY302" s="1">
        <v>25870</v>
      </c>
      <c r="AZ302" s="1">
        <v>26225</v>
      </c>
      <c r="BA302" s="1">
        <v>26580</v>
      </c>
      <c r="BB302" s="1">
        <v>26220</v>
      </c>
      <c r="BC302" s="1">
        <v>26705</v>
      </c>
      <c r="BD302" s="1">
        <v>27255</v>
      </c>
      <c r="BE302" s="1">
        <v>27630</v>
      </c>
      <c r="BF302" s="1">
        <v>27380</v>
      </c>
      <c r="BG302" s="1">
        <v>27300</v>
      </c>
      <c r="BH302" s="1">
        <v>27220</v>
      </c>
      <c r="BI302" s="1">
        <v>27050</v>
      </c>
      <c r="BJ302" s="1">
        <v>27405</v>
      </c>
      <c r="BK302" s="1">
        <v>26805</v>
      </c>
      <c r="BL302" s="1">
        <v>27750</v>
      </c>
      <c r="BM302" s="1">
        <v>27665</v>
      </c>
      <c r="BN302" s="1">
        <v>28945</v>
      </c>
      <c r="BO302" s="1">
        <v>28785</v>
      </c>
      <c r="BP302" s="1">
        <v>28300</v>
      </c>
      <c r="BQ302" s="1">
        <v>28180</v>
      </c>
      <c r="BR302" s="1">
        <v>28625</v>
      </c>
      <c r="BS302" s="1">
        <v>28970</v>
      </c>
      <c r="BT302" s="1">
        <v>29290</v>
      </c>
      <c r="BU302" s="1">
        <v>28995</v>
      </c>
      <c r="BV302" s="1">
        <v>29405</v>
      </c>
      <c r="BW302" s="1">
        <v>29620</v>
      </c>
      <c r="BX302" s="1">
        <v>29205</v>
      </c>
      <c r="BY302" s="1">
        <v>28965</v>
      </c>
      <c r="BZ302" s="1">
        <v>28925</v>
      </c>
    </row>
    <row r="303" spans="1:78">
      <c r="A303" s="62" t="s">
        <v>876</v>
      </c>
      <c r="B303" s="1" t="str">
        <f>銘柄管理!C303</f>
        <v>ＮＦ日経２２５</v>
      </c>
      <c r="C303" s="1">
        <f>_xll.RssMarket("1321","安値")</f>
        <v>67730</v>
      </c>
      <c r="E303" s="1">
        <v>65050</v>
      </c>
      <c r="F303" s="1">
        <v>64840</v>
      </c>
      <c r="G303" s="1">
        <v>66070</v>
      </c>
      <c r="H303" s="1">
        <v>63400</v>
      </c>
      <c r="I303" s="1">
        <v>62580</v>
      </c>
      <c r="J303" s="1">
        <v>64100</v>
      </c>
      <c r="K303" s="1">
        <v>66330</v>
      </c>
      <c r="L303" s="1">
        <v>66450</v>
      </c>
      <c r="M303" s="1">
        <v>68500</v>
      </c>
      <c r="N303" s="1">
        <v>68210</v>
      </c>
      <c r="O303" s="1">
        <v>66470</v>
      </c>
      <c r="P303" s="1">
        <v>64880</v>
      </c>
      <c r="Q303" s="1">
        <v>70180</v>
      </c>
      <c r="R303" s="1">
        <v>68580</v>
      </c>
      <c r="S303" s="1">
        <v>69000</v>
      </c>
      <c r="T303" s="1">
        <v>70850</v>
      </c>
      <c r="U303" s="1">
        <v>69830</v>
      </c>
      <c r="V303" s="1">
        <v>69530</v>
      </c>
      <c r="W303" s="1">
        <v>70560</v>
      </c>
      <c r="X303" s="1">
        <v>72170</v>
      </c>
      <c r="Y303" s="1">
        <v>71000</v>
      </c>
      <c r="Z303" s="1">
        <v>71950</v>
      </c>
      <c r="AA303" s="1">
        <v>73420</v>
      </c>
      <c r="AB303" s="1">
        <v>72580</v>
      </c>
      <c r="AC303" s="1">
        <v>71230</v>
      </c>
      <c r="AD303" s="1">
        <v>71850</v>
      </c>
      <c r="AE303" s="1">
        <v>73910</v>
      </c>
      <c r="AF303" s="1">
        <v>71630</v>
      </c>
      <c r="AG303" s="1">
        <v>73150</v>
      </c>
      <c r="AH303" s="1">
        <v>74510</v>
      </c>
      <c r="AI303" s="1">
        <v>73960</v>
      </c>
      <c r="AJ303" s="1">
        <v>73550</v>
      </c>
      <c r="AK303" s="1">
        <v>71960</v>
      </c>
      <c r="AL303" s="1">
        <v>72290</v>
      </c>
      <c r="AM303" s="1">
        <v>71530</v>
      </c>
      <c r="AN303" s="1">
        <v>68870</v>
      </c>
      <c r="AO303" s="1">
        <v>65270</v>
      </c>
      <c r="AP303" s="1">
        <v>66720</v>
      </c>
      <c r="AQ303" s="1">
        <v>66370</v>
      </c>
      <c r="AR303" s="1">
        <v>68940</v>
      </c>
      <c r="AS303" s="1">
        <v>70040</v>
      </c>
      <c r="AT303" s="1">
        <v>70520</v>
      </c>
      <c r="AU303" s="1">
        <v>68610</v>
      </c>
      <c r="AV303" s="1">
        <v>68610</v>
      </c>
      <c r="AW303" s="1">
        <v>66850</v>
      </c>
      <c r="AX303" s="1">
        <v>68120</v>
      </c>
      <c r="AY303" s="1">
        <v>66750</v>
      </c>
      <c r="AZ303" s="1">
        <v>65190</v>
      </c>
      <c r="BA303" s="1">
        <v>64060</v>
      </c>
      <c r="BB303" s="1">
        <v>62080</v>
      </c>
      <c r="BC303" s="1">
        <v>63070</v>
      </c>
      <c r="BD303" s="1">
        <v>63190</v>
      </c>
      <c r="BE303" s="1">
        <v>63790</v>
      </c>
      <c r="BF303" s="1">
        <v>65600</v>
      </c>
      <c r="BG303" s="1">
        <v>65120</v>
      </c>
      <c r="BH303" s="1">
        <v>65040</v>
      </c>
      <c r="BI303" s="1">
        <v>65280</v>
      </c>
      <c r="BJ303" s="1">
        <v>65010</v>
      </c>
      <c r="BK303" s="1">
        <v>64660</v>
      </c>
      <c r="BL303" s="1">
        <v>62110</v>
      </c>
      <c r="BM303" s="1">
        <v>61640</v>
      </c>
      <c r="BN303" s="1">
        <v>62450</v>
      </c>
      <c r="BO303" s="1">
        <v>62330</v>
      </c>
      <c r="BP303" s="1">
        <v>61980</v>
      </c>
      <c r="BQ303" s="1">
        <v>61330</v>
      </c>
      <c r="BR303" s="1">
        <v>61720</v>
      </c>
      <c r="BS303" s="1">
        <v>61750</v>
      </c>
      <c r="BT303" s="1">
        <v>61450</v>
      </c>
      <c r="BU303" s="1">
        <v>61360</v>
      </c>
      <c r="BV303" s="1">
        <v>61220</v>
      </c>
      <c r="BW303" s="1">
        <v>60700</v>
      </c>
      <c r="BX303" s="1">
        <v>60010</v>
      </c>
      <c r="BY303" s="1">
        <v>58830</v>
      </c>
      <c r="BZ303" s="1">
        <v>59050</v>
      </c>
    </row>
    <row r="304" spans="1:78">
      <c r="A304" s="62" t="s">
        <v>878</v>
      </c>
      <c r="B304" s="1" t="str">
        <f>銘柄管理!C304</f>
        <v>きんでん</v>
      </c>
      <c r="C304" s="1">
        <f>_xll.RssMarket("1944","安値")</f>
        <v>7190</v>
      </c>
      <c r="E304" s="1">
        <v>6957</v>
      </c>
      <c r="F304" s="1">
        <v>6852</v>
      </c>
      <c r="G304" s="1">
        <v>7051</v>
      </c>
      <c r="H304" s="1">
        <v>6991</v>
      </c>
      <c r="I304" s="1">
        <v>7114</v>
      </c>
      <c r="J304" s="1">
        <v>7548</v>
      </c>
      <c r="K304" s="1">
        <v>7459</v>
      </c>
      <c r="L304" s="1">
        <v>7269</v>
      </c>
      <c r="M304" s="1">
        <v>7340</v>
      </c>
      <c r="N304" s="1">
        <v>7211</v>
      </c>
      <c r="O304" s="1">
        <v>7036</v>
      </c>
      <c r="P304" s="1">
        <v>6951</v>
      </c>
      <c r="Q304" s="1">
        <v>7377</v>
      </c>
      <c r="R304" s="1">
        <v>7277</v>
      </c>
      <c r="S304" s="1">
        <v>7316</v>
      </c>
      <c r="T304" s="1">
        <v>7634</v>
      </c>
      <c r="U304" s="1">
        <v>7667</v>
      </c>
      <c r="V304" s="1">
        <v>7754</v>
      </c>
      <c r="W304" s="1">
        <v>7972</v>
      </c>
      <c r="X304" s="1">
        <v>7957</v>
      </c>
      <c r="Y304" s="1">
        <v>7799</v>
      </c>
      <c r="Z304" s="1">
        <v>7597</v>
      </c>
      <c r="AA304" s="1">
        <v>7777</v>
      </c>
      <c r="AB304" s="1">
        <v>7920</v>
      </c>
      <c r="AC304" s="1">
        <v>7930</v>
      </c>
      <c r="AD304" s="1">
        <v>8041</v>
      </c>
      <c r="AE304" s="1">
        <v>8155</v>
      </c>
      <c r="AF304" s="1">
        <v>8133</v>
      </c>
      <c r="AG304" s="1">
        <v>8061</v>
      </c>
      <c r="AH304" s="1">
        <v>8073</v>
      </c>
      <c r="AI304" s="1">
        <v>8030</v>
      </c>
      <c r="AJ304" s="1">
        <v>7707</v>
      </c>
      <c r="AK304" s="1">
        <v>7650</v>
      </c>
      <c r="AL304" s="1">
        <v>7243</v>
      </c>
      <c r="AM304" s="1">
        <v>7080</v>
      </c>
      <c r="AN304" s="1">
        <v>6750</v>
      </c>
      <c r="AO304" s="1">
        <v>6653</v>
      </c>
      <c r="AP304" s="1">
        <v>6900</v>
      </c>
      <c r="AQ304" s="1">
        <v>6495</v>
      </c>
      <c r="AR304" s="1">
        <v>6471</v>
      </c>
      <c r="AS304" s="1">
        <v>6451</v>
      </c>
      <c r="AT304" s="1">
        <v>6533</v>
      </c>
      <c r="AU304" s="1">
        <v>6571</v>
      </c>
      <c r="AV304" s="1">
        <v>7090</v>
      </c>
      <c r="AW304" s="1">
        <v>7027</v>
      </c>
      <c r="AX304" s="1">
        <v>7050</v>
      </c>
      <c r="AY304" s="1">
        <v>6850</v>
      </c>
      <c r="AZ304" s="1">
        <v>6720</v>
      </c>
      <c r="BA304" s="1">
        <v>6793</v>
      </c>
      <c r="BB304" s="1">
        <v>6650</v>
      </c>
      <c r="BC304" s="1">
        <v>6790</v>
      </c>
      <c r="BD304" s="1">
        <v>6905</v>
      </c>
      <c r="BE304" s="1">
        <v>7354</v>
      </c>
      <c r="BF304" s="1">
        <v>7695</v>
      </c>
      <c r="BG304" s="1">
        <v>7973</v>
      </c>
      <c r="BH304" s="1">
        <v>8133</v>
      </c>
      <c r="BI304" s="1">
        <v>8180</v>
      </c>
      <c r="BJ304" s="1">
        <v>8173</v>
      </c>
      <c r="BK304" s="1">
        <v>8218</v>
      </c>
      <c r="BL304" s="1">
        <v>8082</v>
      </c>
      <c r="BM304" s="1">
        <v>7824</v>
      </c>
      <c r="BN304" s="1">
        <v>7932</v>
      </c>
      <c r="BO304" s="1">
        <v>6830</v>
      </c>
      <c r="BP304" s="1">
        <v>7116</v>
      </c>
      <c r="BQ304" s="1">
        <v>6986</v>
      </c>
      <c r="BR304" s="1">
        <v>6911</v>
      </c>
      <c r="BS304" s="1">
        <v>6998</v>
      </c>
      <c r="BT304" s="1">
        <v>7004</v>
      </c>
      <c r="BU304" s="1">
        <v>7009</v>
      </c>
      <c r="BV304" s="1">
        <v>6905</v>
      </c>
      <c r="BW304" s="1">
        <v>6902</v>
      </c>
      <c r="BX304" s="1">
        <v>7323</v>
      </c>
      <c r="BY304" s="1">
        <v>7222</v>
      </c>
      <c r="BZ304" s="1">
        <v>7372</v>
      </c>
    </row>
    <row r="305" spans="1:78">
      <c r="A305" s="62" t="s">
        <v>1039</v>
      </c>
      <c r="B305" s="1" t="str">
        <f>銘柄管理!C305</f>
        <v>パンパシフィックＨＤ</v>
      </c>
      <c r="C305" s="1">
        <f>_xll.RssMarket("7532","安値")</f>
        <v>874.7</v>
      </c>
      <c r="E305" s="1">
        <v>881.3</v>
      </c>
      <c r="F305" s="1">
        <v>887.4</v>
      </c>
      <c r="G305" s="1">
        <v>897.3</v>
      </c>
      <c r="H305" s="1">
        <v>927.9</v>
      </c>
      <c r="I305" s="1">
        <v>925</v>
      </c>
      <c r="J305" s="1">
        <v>896.7</v>
      </c>
      <c r="K305" s="1">
        <v>862.1</v>
      </c>
      <c r="L305" s="1">
        <v>843.8</v>
      </c>
      <c r="M305" s="1">
        <v>846.2</v>
      </c>
      <c r="N305" s="1">
        <v>853.5</v>
      </c>
      <c r="O305" s="1">
        <v>877</v>
      </c>
      <c r="P305" s="1">
        <v>881.3</v>
      </c>
      <c r="Q305" s="1">
        <v>853</v>
      </c>
      <c r="R305" s="1">
        <v>873</v>
      </c>
      <c r="S305" s="1">
        <v>846.5</v>
      </c>
      <c r="T305" s="1">
        <v>848.9</v>
      </c>
      <c r="U305" s="1">
        <v>860.3</v>
      </c>
      <c r="V305" s="1">
        <v>856.2</v>
      </c>
      <c r="W305" s="1">
        <v>838.1</v>
      </c>
      <c r="X305" s="1">
        <v>816.8</v>
      </c>
      <c r="Y305" s="1">
        <v>815.1</v>
      </c>
      <c r="Z305" s="1">
        <v>808.2</v>
      </c>
      <c r="AA305" s="1">
        <v>793.6</v>
      </c>
      <c r="AB305" s="1">
        <v>821</v>
      </c>
      <c r="AC305" s="1">
        <v>820.1</v>
      </c>
      <c r="AD305" s="1">
        <v>815.4</v>
      </c>
      <c r="AE305" s="1">
        <v>813.5</v>
      </c>
      <c r="AF305" s="1">
        <v>815.1</v>
      </c>
      <c r="AG305" s="1">
        <v>806.1</v>
      </c>
      <c r="AH305" s="1">
        <v>809.8</v>
      </c>
      <c r="AI305" s="1">
        <v>811</v>
      </c>
      <c r="AJ305" s="1">
        <v>825.3</v>
      </c>
      <c r="AK305" s="1">
        <v>833.8</v>
      </c>
      <c r="AL305" s="1">
        <v>822.5</v>
      </c>
      <c r="AM305" s="1">
        <v>837.2</v>
      </c>
      <c r="AN305" s="1">
        <v>851.6</v>
      </c>
      <c r="AO305" s="1">
        <v>860.6</v>
      </c>
      <c r="AP305" s="1">
        <v>836.4</v>
      </c>
      <c r="AQ305" s="1">
        <v>829</v>
      </c>
      <c r="AR305" s="1">
        <v>822.2</v>
      </c>
      <c r="AS305" s="1">
        <v>820.2</v>
      </c>
      <c r="AT305" s="1">
        <v>807.3</v>
      </c>
      <c r="AU305" s="1">
        <v>794.7</v>
      </c>
      <c r="AV305" s="1">
        <v>856.4</v>
      </c>
      <c r="AW305" s="1">
        <v>836.8</v>
      </c>
      <c r="AX305" s="1">
        <v>801</v>
      </c>
      <c r="AY305" s="1">
        <v>818.4</v>
      </c>
      <c r="AZ305" s="1">
        <v>854.9</v>
      </c>
      <c r="BA305" s="1">
        <v>859.6</v>
      </c>
      <c r="BB305" s="1">
        <v>865.3</v>
      </c>
      <c r="BC305" s="1">
        <v>866</v>
      </c>
      <c r="BD305" s="1">
        <v>868.9</v>
      </c>
      <c r="BE305" s="1">
        <v>842.1</v>
      </c>
      <c r="BF305" s="1">
        <v>841</v>
      </c>
      <c r="BG305" s="1">
        <v>878.5</v>
      </c>
      <c r="BH305" s="1">
        <v>887.5</v>
      </c>
      <c r="BI305" s="1">
        <v>881.7</v>
      </c>
      <c r="BJ305" s="1">
        <v>882.1</v>
      </c>
      <c r="BK305" s="1">
        <v>869.3</v>
      </c>
      <c r="BL305" s="1">
        <v>879</v>
      </c>
      <c r="BM305" s="1">
        <v>872.7</v>
      </c>
      <c r="BN305" s="1">
        <v>898.1</v>
      </c>
      <c r="BO305" s="1">
        <v>906.1</v>
      </c>
      <c r="BP305" s="1">
        <v>910.1</v>
      </c>
      <c r="BQ305" s="1">
        <v>914.5</v>
      </c>
      <c r="BR305" s="1">
        <v>941.5</v>
      </c>
      <c r="BS305" s="1">
        <v>942</v>
      </c>
      <c r="BT305" s="1">
        <v>946.3</v>
      </c>
      <c r="BU305" s="1">
        <v>940</v>
      </c>
      <c r="BV305" s="1">
        <v>954.1</v>
      </c>
      <c r="BW305" s="1">
        <v>954.7</v>
      </c>
      <c r="BX305" s="1">
        <v>947</v>
      </c>
      <c r="BY305" s="1">
        <v>938</v>
      </c>
      <c r="BZ305" s="1">
        <v>931.1</v>
      </c>
    </row>
    <row r="306" spans="1:78">
      <c r="A306" s="64"/>
    </row>
    <row r="307" spans="1:78">
      <c r="A307" s="64"/>
    </row>
    <row r="308" spans="1:78">
      <c r="A308" s="64"/>
    </row>
    <row r="309" spans="1:78">
      <c r="A309" s="64"/>
    </row>
    <row r="310" spans="1:78">
      <c r="A310" s="64"/>
    </row>
    <row r="311" spans="1:78">
      <c r="A311" s="64"/>
    </row>
    <row r="312" spans="1:78">
      <c r="A312" s="64"/>
    </row>
    <row r="313" spans="1:78">
      <c r="A313" s="64"/>
    </row>
    <row r="314" spans="1:78">
      <c r="A314" s="64"/>
    </row>
    <row r="315" spans="1:78">
      <c r="A315" s="64"/>
    </row>
    <row r="316" spans="1:78">
      <c r="A316" s="64"/>
    </row>
    <row r="317" spans="1:78">
      <c r="A317" s="64"/>
    </row>
    <row r="318" spans="1:78">
      <c r="A318" s="64"/>
    </row>
    <row r="319" spans="1:78">
      <c r="A319" s="64"/>
    </row>
    <row r="320" spans="1:78">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xo56+Toc/v4csKJLHd1LTitPgWE3PmzTaOG7sGPkoEGImXeOrIqz75DsAqGeUGNlOr/NRsXVnPvctNJ4W5fUwA==" saltValue="ovx8kfJtJOrzYVXAbJBdVg=="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CZ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16384" width="9" style="4"/>
  </cols>
  <sheetData>
    <row r="1" spans="1:104" ht="30" customHeight="1">
      <c r="A1" s="867" t="s">
        <v>582</v>
      </c>
      <c r="B1" s="868"/>
      <c r="C1" s="868"/>
      <c r="D1" s="868"/>
      <c r="E1" s="868"/>
      <c r="F1" s="868"/>
      <c r="G1" s="868"/>
      <c r="H1" s="868"/>
      <c r="I1" s="868"/>
      <c r="J1" s="868"/>
      <c r="K1" s="868"/>
      <c r="L1" s="868"/>
      <c r="M1" s="868"/>
      <c r="N1" s="868"/>
      <c r="O1" s="868"/>
      <c r="P1" s="868"/>
      <c r="Q1" s="868"/>
      <c r="R1" s="868"/>
      <c r="S1" s="868"/>
      <c r="T1" s="868"/>
      <c r="U1" s="868"/>
      <c r="V1" s="868"/>
      <c r="W1" s="868"/>
      <c r="X1" s="868"/>
      <c r="Y1" s="868"/>
      <c r="Z1" s="868"/>
      <c r="AA1" s="868"/>
      <c r="AB1" s="868"/>
      <c r="AC1" s="868"/>
      <c r="AD1" s="868"/>
      <c r="AE1" s="868"/>
      <c r="AF1" s="868"/>
      <c r="AG1" s="868"/>
      <c r="AH1" s="868"/>
      <c r="AI1" s="868"/>
      <c r="AJ1" s="868"/>
      <c r="AK1" s="868"/>
      <c r="AL1" s="868"/>
      <c r="AM1" s="868"/>
      <c r="AN1" s="868"/>
      <c r="AO1" s="868"/>
      <c r="AP1" s="868"/>
      <c r="AQ1" s="868"/>
      <c r="AR1" s="868"/>
      <c r="AS1" s="868"/>
      <c r="AT1" s="868"/>
      <c r="AU1" s="868"/>
      <c r="AV1" s="868"/>
      <c r="AW1" s="868"/>
      <c r="AX1" s="868"/>
      <c r="AY1" s="868"/>
      <c r="AZ1" s="868"/>
      <c r="BA1" s="868"/>
      <c r="BB1" s="868"/>
      <c r="BC1" s="868"/>
      <c r="BD1" s="868"/>
      <c r="BE1" s="868"/>
      <c r="BF1" s="868"/>
      <c r="BG1" s="868"/>
      <c r="BH1" s="868"/>
      <c r="BI1" s="868"/>
      <c r="BJ1" s="868"/>
      <c r="BK1" s="868"/>
      <c r="BL1" s="869"/>
    </row>
    <row r="2" spans="1:10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104" s="189" customFormat="1" ht="22.5" customHeight="1">
      <c r="A3" s="187" t="s">
        <v>5</v>
      </c>
      <c r="B3" s="187"/>
      <c r="C3" s="206" t="s">
        <v>6</v>
      </c>
      <c r="D3" s="187"/>
      <c r="E3" s="188">
        <v>46238</v>
      </c>
      <c r="F3" s="188">
        <v>46237</v>
      </c>
      <c r="G3" s="188">
        <v>46234</v>
      </c>
      <c r="H3" s="188">
        <v>46233</v>
      </c>
      <c r="I3" s="188">
        <v>46232</v>
      </c>
      <c r="J3" s="188">
        <v>46231</v>
      </c>
      <c r="K3" s="188">
        <v>46230</v>
      </c>
      <c r="L3" s="188">
        <v>46229</v>
      </c>
      <c r="M3" s="188">
        <v>46226</v>
      </c>
      <c r="N3" s="188">
        <v>46225</v>
      </c>
      <c r="O3" s="188">
        <v>46224</v>
      </c>
      <c r="P3" s="188">
        <v>46220</v>
      </c>
      <c r="Q3" s="188">
        <v>46218</v>
      </c>
      <c r="R3" s="188">
        <v>46217</v>
      </c>
      <c r="S3" s="188">
        <v>46216</v>
      </c>
      <c r="T3" s="188">
        <v>46213</v>
      </c>
      <c r="U3" s="188">
        <v>46212</v>
      </c>
      <c r="V3" s="188">
        <v>46211</v>
      </c>
      <c r="W3" s="188">
        <v>46210</v>
      </c>
      <c r="X3" s="188">
        <v>46209</v>
      </c>
      <c r="Y3" s="188">
        <v>46206</v>
      </c>
      <c r="Z3" s="188">
        <v>46205</v>
      </c>
      <c r="AA3" s="188">
        <v>46204</v>
      </c>
      <c r="AB3" s="188">
        <v>46203</v>
      </c>
      <c r="AC3" s="188">
        <v>46202</v>
      </c>
      <c r="AD3" s="188">
        <v>46199</v>
      </c>
      <c r="AE3" s="188">
        <v>46198</v>
      </c>
      <c r="AF3" s="188">
        <v>46197</v>
      </c>
      <c r="AG3" s="188">
        <v>46196</v>
      </c>
      <c r="AH3" s="188">
        <v>46195</v>
      </c>
      <c r="AI3" s="188">
        <v>46192</v>
      </c>
      <c r="AJ3" s="188">
        <v>46191</v>
      </c>
      <c r="AK3" s="188">
        <v>46190</v>
      </c>
      <c r="AL3" s="188">
        <v>46189</v>
      </c>
      <c r="AM3" s="188">
        <v>46188</v>
      </c>
      <c r="AN3" s="188">
        <v>46185</v>
      </c>
      <c r="AO3" s="188">
        <v>46184</v>
      </c>
      <c r="AP3" s="188">
        <v>46183</v>
      </c>
      <c r="AQ3" s="188">
        <v>46181</v>
      </c>
      <c r="AR3" s="188">
        <v>46178</v>
      </c>
      <c r="AS3" s="188">
        <v>46177</v>
      </c>
      <c r="AT3" s="188">
        <v>46176</v>
      </c>
      <c r="AU3" s="188">
        <v>46175</v>
      </c>
      <c r="AV3" s="188">
        <v>46171</v>
      </c>
      <c r="AW3" s="188">
        <v>46170</v>
      </c>
      <c r="AX3" s="188">
        <v>46169</v>
      </c>
      <c r="AY3" s="188">
        <v>46167</v>
      </c>
      <c r="AZ3" s="188">
        <v>46164</v>
      </c>
      <c r="BA3" s="188">
        <v>46163</v>
      </c>
      <c r="BB3" s="188">
        <v>46162</v>
      </c>
      <c r="BC3" s="188">
        <v>46161</v>
      </c>
      <c r="BD3" s="188">
        <v>46160</v>
      </c>
      <c r="BE3" s="188">
        <v>46157</v>
      </c>
      <c r="BF3" s="188">
        <v>46156</v>
      </c>
      <c r="BG3" s="188">
        <v>46155</v>
      </c>
      <c r="BH3" s="188">
        <v>46154</v>
      </c>
      <c r="BI3" s="188">
        <v>46153</v>
      </c>
      <c r="BJ3" s="188">
        <v>46150</v>
      </c>
      <c r="BK3" s="188">
        <v>46149</v>
      </c>
      <c r="BL3" s="188">
        <v>46143</v>
      </c>
      <c r="BM3" s="896">
        <v>46142</v>
      </c>
      <c r="BN3" s="896">
        <v>46140</v>
      </c>
      <c r="BO3" s="896">
        <v>46139</v>
      </c>
      <c r="BP3" s="896">
        <v>46136</v>
      </c>
      <c r="BQ3" s="896">
        <v>46135</v>
      </c>
      <c r="BR3" s="896">
        <v>46134</v>
      </c>
      <c r="BS3" s="896">
        <v>46133</v>
      </c>
      <c r="BT3" s="896">
        <v>46132</v>
      </c>
      <c r="BU3" s="896">
        <v>46129</v>
      </c>
      <c r="BV3" s="896">
        <v>46128</v>
      </c>
      <c r="BW3" s="896">
        <v>46127</v>
      </c>
      <c r="BX3" s="896">
        <v>46126</v>
      </c>
      <c r="BY3" s="896">
        <v>46125</v>
      </c>
      <c r="BZ3" s="896">
        <v>46122</v>
      </c>
      <c r="CA3" s="896"/>
      <c r="CB3" s="896"/>
      <c r="CC3" s="896"/>
      <c r="CD3" s="896"/>
      <c r="CE3" s="896"/>
      <c r="CF3" s="896"/>
      <c r="CG3" s="896"/>
      <c r="CH3" s="896"/>
      <c r="CI3" s="896"/>
      <c r="CJ3" s="896"/>
      <c r="CK3" s="896"/>
      <c r="CL3" s="896"/>
      <c r="CM3" s="896"/>
      <c r="CN3" s="896"/>
      <c r="CO3" s="896"/>
      <c r="CP3" s="896"/>
      <c r="CQ3" s="896"/>
      <c r="CR3" s="896"/>
      <c r="CS3" s="896"/>
      <c r="CT3" s="896"/>
      <c r="CU3" s="896"/>
      <c r="CV3" s="896"/>
      <c r="CW3" s="896"/>
      <c r="CX3" s="896"/>
      <c r="CY3" s="896"/>
      <c r="CZ3" s="896"/>
    </row>
    <row r="4" spans="1:10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104" ht="22.5" customHeight="1">
      <c r="A5" s="5" t="str">
        <f>IF(銘柄管理!B5="","",銘柄管理!B5)</f>
        <v>TOPX</v>
      </c>
      <c r="B5" s="6">
        <f>IF(銘柄管理!C5="","",銘柄管理!C5)</f>
        <v>4037.09</v>
      </c>
      <c r="C5" s="7">
        <f t="array" ref="C5">_xll.RssIndexMarket("TOPX", "現在値")</f>
        <v>4037.09</v>
      </c>
      <c r="D5" s="8">
        <f>IF(OR(C5=0,E5=0),"",C5-E5)</f>
        <v>75.309999999999945</v>
      </c>
      <c r="E5" s="9">
        <v>3961.78</v>
      </c>
      <c r="F5" s="9">
        <v>3960.03</v>
      </c>
      <c r="G5" s="9">
        <v>4003.3</v>
      </c>
      <c r="H5" s="9">
        <v>3952.5</v>
      </c>
      <c r="I5" s="9">
        <v>3974.03</v>
      </c>
      <c r="J5" s="9">
        <v>3963.59</v>
      </c>
      <c r="K5" s="9">
        <v>4066.07</v>
      </c>
      <c r="L5" s="9">
        <v>4011.31</v>
      </c>
      <c r="M5" s="9">
        <v>4053.88</v>
      </c>
      <c r="N5" s="9">
        <v>4033.13</v>
      </c>
      <c r="O5" s="9">
        <v>4014.95</v>
      </c>
      <c r="P5" s="9">
        <v>4014.95</v>
      </c>
      <c r="Q5" s="9">
        <v>3919.21</v>
      </c>
      <c r="R5" s="9">
        <v>4088.12</v>
      </c>
      <c r="S5" s="9">
        <v>4038.98</v>
      </c>
      <c r="T5" s="9">
        <v>4007.49</v>
      </c>
      <c r="U5" s="9">
        <v>4036.08</v>
      </c>
      <c r="V5" s="9">
        <v>4020.37</v>
      </c>
      <c r="W5" s="9">
        <v>4006.43</v>
      </c>
      <c r="X5" s="9">
        <v>4062.26</v>
      </c>
      <c r="Y5" s="9">
        <v>4101.96</v>
      </c>
      <c r="Z5" s="9">
        <v>4064.6</v>
      </c>
      <c r="AA5" s="9">
        <v>4014.98</v>
      </c>
      <c r="AB5" s="9">
        <v>4011.5</v>
      </c>
      <c r="AC5" s="9">
        <v>3994.76</v>
      </c>
      <c r="AD5" s="9">
        <v>3982</v>
      </c>
      <c r="AE5" s="9">
        <v>3963.36</v>
      </c>
      <c r="AF5" s="9">
        <v>4016.47</v>
      </c>
      <c r="AG5" s="9">
        <v>3963.76</v>
      </c>
      <c r="AH5" s="9">
        <v>3990.38</v>
      </c>
      <c r="AI5" s="9">
        <v>4095.05</v>
      </c>
      <c r="AJ5" s="9">
        <v>4044.96</v>
      </c>
      <c r="AK5" s="9">
        <v>4068.18</v>
      </c>
      <c r="AL5" s="9">
        <v>4013.23</v>
      </c>
      <c r="AM5" s="9">
        <v>3991.14</v>
      </c>
      <c r="AN5" s="9">
        <v>3881.96</v>
      </c>
      <c r="AO5" s="9">
        <v>3830.35</v>
      </c>
      <c r="AP5" s="9">
        <v>3847.6</v>
      </c>
      <c r="AQ5" s="10">
        <v>3852.38</v>
      </c>
      <c r="AR5" s="10">
        <v>3949.09</v>
      </c>
      <c r="AS5" s="10">
        <v>3951.85</v>
      </c>
      <c r="AT5" s="10">
        <v>3996.2</v>
      </c>
      <c r="AU5" s="10">
        <v>3924.24</v>
      </c>
      <c r="AV5" s="10">
        <v>3940.7</v>
      </c>
      <c r="AW5" s="10">
        <v>3957.17</v>
      </c>
      <c r="AX5" s="10">
        <v>3902.01</v>
      </c>
      <c r="AY5" s="10">
        <v>3918.01</v>
      </c>
      <c r="AZ5" s="10">
        <v>3942.57</v>
      </c>
      <c r="BA5" s="10">
        <v>3892.46</v>
      </c>
      <c r="BB5" s="10">
        <v>3853.81</v>
      </c>
      <c r="BC5" s="10">
        <v>3791.65</v>
      </c>
      <c r="BD5" s="10">
        <v>3850.67</v>
      </c>
      <c r="BE5" s="10">
        <v>3826.51</v>
      </c>
      <c r="BF5" s="10">
        <v>3863.97</v>
      </c>
      <c r="BG5" s="10">
        <v>3879.27</v>
      </c>
      <c r="BH5" s="10"/>
      <c r="BI5" s="10"/>
      <c r="BJ5" s="10"/>
      <c r="BK5" s="10"/>
      <c r="BL5" s="10"/>
    </row>
    <row r="6" spans="1:104" ht="22.5" customHeight="1">
      <c r="A6" s="61" t="s">
        <v>7</v>
      </c>
      <c r="B6" s="6" t="s">
        <v>8</v>
      </c>
      <c r="C6" s="15">
        <f>_xll.RssMarket("5706","現在値")</f>
        <v>35080</v>
      </c>
      <c r="D6" s="16">
        <f t="shared" ref="D6:D37" si="0">C6-E6</f>
        <v>3180</v>
      </c>
      <c r="E6" s="11">
        <v>31900</v>
      </c>
      <c r="F6" s="11">
        <v>30890</v>
      </c>
      <c r="G6" s="11">
        <v>30950</v>
      </c>
      <c r="H6" s="12">
        <v>27095</v>
      </c>
      <c r="I6" s="11">
        <v>25665</v>
      </c>
      <c r="J6" s="11">
        <v>28010</v>
      </c>
      <c r="K6" s="11">
        <v>31230</v>
      </c>
      <c r="L6" s="11">
        <v>31910</v>
      </c>
      <c r="M6" s="11">
        <v>33900</v>
      </c>
      <c r="N6" s="11">
        <v>33600</v>
      </c>
      <c r="O6" s="11">
        <v>31290</v>
      </c>
      <c r="P6" s="11">
        <v>29980</v>
      </c>
      <c r="Q6" s="11">
        <v>34980</v>
      </c>
      <c r="R6" s="11">
        <v>34390</v>
      </c>
      <c r="S6" s="11">
        <v>35280</v>
      </c>
      <c r="T6" s="11">
        <v>36460</v>
      </c>
      <c r="U6" s="11">
        <v>35090</v>
      </c>
      <c r="V6" s="11">
        <v>33730</v>
      </c>
      <c r="W6" s="11">
        <v>35930</v>
      </c>
      <c r="X6" s="11">
        <v>37520</v>
      </c>
      <c r="Y6" s="11">
        <v>38740</v>
      </c>
      <c r="Z6" s="11">
        <v>38250</v>
      </c>
      <c r="AA6" s="11">
        <v>43160</v>
      </c>
      <c r="AB6" s="11">
        <v>42550</v>
      </c>
      <c r="AC6" s="11">
        <v>41940</v>
      </c>
      <c r="AD6" s="11">
        <v>42390</v>
      </c>
      <c r="AE6" s="11">
        <v>46390</v>
      </c>
      <c r="AF6" s="11">
        <v>46040</v>
      </c>
      <c r="AG6" s="11">
        <v>46250</v>
      </c>
      <c r="AH6" s="11">
        <v>52930</v>
      </c>
      <c r="AI6" s="11">
        <v>48820</v>
      </c>
      <c r="AJ6" s="11">
        <v>48100</v>
      </c>
      <c r="AK6" s="11">
        <v>47600</v>
      </c>
      <c r="AL6" s="11">
        <v>48500</v>
      </c>
      <c r="AM6" s="11">
        <v>44690</v>
      </c>
      <c r="AN6" s="11">
        <v>43900</v>
      </c>
      <c r="AO6" s="11">
        <v>37330</v>
      </c>
      <c r="AP6" s="11">
        <v>36980</v>
      </c>
      <c r="AQ6" s="13">
        <v>41350</v>
      </c>
      <c r="AR6" s="13">
        <v>44490</v>
      </c>
      <c r="AS6" s="13">
        <v>46050</v>
      </c>
      <c r="AT6" s="13">
        <v>47600</v>
      </c>
      <c r="AU6" s="13">
        <v>49550</v>
      </c>
      <c r="AV6" s="13">
        <v>51630</v>
      </c>
      <c r="AW6" s="13">
        <v>48750</v>
      </c>
      <c r="AX6" s="13">
        <v>51800</v>
      </c>
      <c r="AY6" s="13">
        <v>53330</v>
      </c>
      <c r="AZ6" s="13">
        <v>49610</v>
      </c>
      <c r="BA6" s="13">
        <v>46670</v>
      </c>
      <c r="BB6" s="13">
        <v>44360</v>
      </c>
      <c r="BC6" s="13">
        <v>44790</v>
      </c>
      <c r="BD6" s="13">
        <v>47320</v>
      </c>
      <c r="BE6" s="13">
        <v>46640</v>
      </c>
      <c r="BF6" s="13">
        <v>50660</v>
      </c>
      <c r="BG6" s="13">
        <v>54900</v>
      </c>
      <c r="BH6" s="13">
        <v>50850</v>
      </c>
      <c r="BI6" s="13">
        <v>51250</v>
      </c>
      <c r="BJ6" s="13">
        <v>50000</v>
      </c>
      <c r="BK6" s="13">
        <v>48060</v>
      </c>
      <c r="BL6" s="13">
        <v>41060</v>
      </c>
      <c r="BM6" s="4">
        <v>42350</v>
      </c>
      <c r="BN6" s="4">
        <v>41370</v>
      </c>
      <c r="BO6" s="4">
        <v>39300</v>
      </c>
      <c r="BP6" s="4">
        <v>38660</v>
      </c>
      <c r="BQ6" s="4">
        <v>36830</v>
      </c>
      <c r="BR6" s="4">
        <v>38260</v>
      </c>
      <c r="BS6" s="4">
        <v>37390</v>
      </c>
      <c r="BT6" s="4">
        <v>35480</v>
      </c>
      <c r="BU6" s="4">
        <v>36500</v>
      </c>
      <c r="BV6" s="4">
        <v>37750</v>
      </c>
      <c r="BW6" s="4">
        <v>35690</v>
      </c>
      <c r="BX6" s="4">
        <v>38260</v>
      </c>
      <c r="BY6" s="4">
        <v>36430</v>
      </c>
      <c r="BZ6" s="4">
        <v>37200</v>
      </c>
    </row>
    <row r="7" spans="1:104" ht="22.5" customHeight="1">
      <c r="A7" s="61" t="s">
        <v>9</v>
      </c>
      <c r="B7" s="6" t="s">
        <v>10</v>
      </c>
      <c r="C7" s="15">
        <f>_xll.RssMarket("5423","現在値")</f>
        <v>1706</v>
      </c>
      <c r="D7" s="16">
        <f t="shared" si="0"/>
        <v>17</v>
      </c>
      <c r="E7" s="11">
        <v>1689</v>
      </c>
      <c r="F7" s="11">
        <v>1695</v>
      </c>
      <c r="G7" s="11">
        <v>1772</v>
      </c>
      <c r="H7" s="11">
        <v>1761</v>
      </c>
      <c r="I7" s="11">
        <v>1782</v>
      </c>
      <c r="J7" s="11">
        <v>1784</v>
      </c>
      <c r="K7" s="11">
        <v>1742</v>
      </c>
      <c r="L7" s="11">
        <v>1687</v>
      </c>
      <c r="M7" s="11">
        <v>1715</v>
      </c>
      <c r="N7" s="11">
        <v>1708</v>
      </c>
      <c r="O7" s="11">
        <v>1721</v>
      </c>
      <c r="P7" s="11">
        <v>1748</v>
      </c>
      <c r="Q7" s="11">
        <v>1767</v>
      </c>
      <c r="R7" s="11">
        <v>1763</v>
      </c>
      <c r="S7" s="11">
        <v>1726</v>
      </c>
      <c r="T7" s="11">
        <v>1717</v>
      </c>
      <c r="U7" s="11">
        <v>1722</v>
      </c>
      <c r="V7" s="11">
        <v>1744</v>
      </c>
      <c r="W7" s="11">
        <v>1750</v>
      </c>
      <c r="X7" s="11">
        <v>1749</v>
      </c>
      <c r="Y7" s="11">
        <v>1750</v>
      </c>
      <c r="Z7" s="11">
        <v>1714</v>
      </c>
      <c r="AA7" s="11">
        <v>1705</v>
      </c>
      <c r="AB7" s="11">
        <v>1685</v>
      </c>
      <c r="AC7" s="11">
        <v>1691</v>
      </c>
      <c r="AD7" s="11">
        <v>1679</v>
      </c>
      <c r="AE7" s="11">
        <v>1678</v>
      </c>
      <c r="AF7" s="11">
        <v>1715</v>
      </c>
      <c r="AG7" s="11">
        <v>1739</v>
      </c>
      <c r="AH7" s="11">
        <v>1799</v>
      </c>
      <c r="AI7" s="11">
        <v>1761</v>
      </c>
      <c r="AJ7" s="11">
        <v>1776</v>
      </c>
      <c r="AK7" s="11">
        <v>1771</v>
      </c>
      <c r="AL7" s="11">
        <v>1742</v>
      </c>
      <c r="AM7" s="11">
        <v>1760</v>
      </c>
      <c r="AN7" s="11">
        <v>1717</v>
      </c>
      <c r="AO7" s="11">
        <v>1689</v>
      </c>
      <c r="AP7" s="11">
        <v>1671</v>
      </c>
      <c r="AQ7" s="13">
        <v>1699</v>
      </c>
      <c r="AR7" s="13">
        <v>1698</v>
      </c>
      <c r="AS7" s="13">
        <v>1703</v>
      </c>
      <c r="AT7" s="13">
        <v>1703</v>
      </c>
      <c r="AU7" s="13">
        <v>1702</v>
      </c>
      <c r="AV7" s="13">
        <v>1756</v>
      </c>
      <c r="AW7" s="13">
        <v>1712</v>
      </c>
      <c r="AX7" s="13">
        <v>1707</v>
      </c>
      <c r="AY7" s="13">
        <v>1708</v>
      </c>
      <c r="AZ7" s="13">
        <v>1725</v>
      </c>
      <c r="BA7" s="13">
        <v>1745</v>
      </c>
      <c r="BB7" s="13">
        <v>1704</v>
      </c>
      <c r="BC7" s="13">
        <v>1758</v>
      </c>
      <c r="BD7" s="13">
        <v>1798</v>
      </c>
      <c r="BE7" s="13">
        <v>1825</v>
      </c>
      <c r="BF7" s="13">
        <v>1844</v>
      </c>
      <c r="BG7" s="13">
        <v>1701</v>
      </c>
      <c r="BH7" s="13">
        <v>1663</v>
      </c>
      <c r="BI7" s="13">
        <v>1656</v>
      </c>
      <c r="BJ7" s="13">
        <v>1657</v>
      </c>
      <c r="BK7" s="13">
        <v>1682</v>
      </c>
      <c r="BL7" s="13">
        <v>1677</v>
      </c>
      <c r="BM7" s="4">
        <v>1697</v>
      </c>
      <c r="BN7" s="4">
        <v>1693</v>
      </c>
      <c r="BO7" s="4">
        <v>1697</v>
      </c>
      <c r="BP7" s="4">
        <v>1703</v>
      </c>
      <c r="BQ7" s="4">
        <v>1736</v>
      </c>
      <c r="BR7" s="4">
        <v>1805</v>
      </c>
      <c r="BS7" s="4">
        <v>1827</v>
      </c>
      <c r="BT7" s="4">
        <v>1780</v>
      </c>
      <c r="BU7" s="4">
        <v>1768</v>
      </c>
      <c r="BV7" s="4">
        <v>1782</v>
      </c>
      <c r="BW7" s="4">
        <v>1733</v>
      </c>
      <c r="BX7" s="4">
        <v>1725</v>
      </c>
      <c r="BY7" s="4">
        <v>1723</v>
      </c>
      <c r="BZ7" s="4">
        <v>1745</v>
      </c>
    </row>
    <row r="8" spans="1:104" ht="15.9" customHeight="1">
      <c r="A8" s="61" t="s">
        <v>11</v>
      </c>
      <c r="B8" s="6" t="s">
        <v>12</v>
      </c>
      <c r="C8" s="15">
        <f>_xll.RssMarket("5713","現在値")</f>
        <v>8476</v>
      </c>
      <c r="D8" s="16">
        <f t="shared" si="0"/>
        <v>418</v>
      </c>
      <c r="E8" s="14">
        <v>8058</v>
      </c>
      <c r="F8" s="14">
        <v>7961</v>
      </c>
      <c r="G8" s="14">
        <v>8185</v>
      </c>
      <c r="H8" s="14">
        <v>7430</v>
      </c>
      <c r="I8" s="14">
        <v>7315</v>
      </c>
      <c r="J8" s="14">
        <v>7364</v>
      </c>
      <c r="K8" s="14">
        <v>7785</v>
      </c>
      <c r="L8" s="14">
        <v>7460</v>
      </c>
      <c r="M8" s="14">
        <v>7902</v>
      </c>
      <c r="N8" s="14">
        <v>7521</v>
      </c>
      <c r="O8" s="14">
        <v>7317</v>
      </c>
      <c r="P8" s="14">
        <v>6794</v>
      </c>
      <c r="Q8" s="14">
        <v>7404</v>
      </c>
      <c r="R8" s="14">
        <v>7329</v>
      </c>
      <c r="S8" s="14">
        <v>7156</v>
      </c>
      <c r="T8" s="14">
        <v>7275</v>
      </c>
      <c r="U8" s="14">
        <v>7190</v>
      </c>
      <c r="V8" s="14">
        <v>7305</v>
      </c>
      <c r="W8" s="14">
        <v>7462</v>
      </c>
      <c r="X8" s="14">
        <v>7924</v>
      </c>
      <c r="Y8" s="14">
        <v>7930</v>
      </c>
      <c r="Z8" s="14">
        <v>7521</v>
      </c>
      <c r="AA8" s="14">
        <v>7336</v>
      </c>
      <c r="AB8" s="14">
        <v>7469</v>
      </c>
      <c r="AC8" s="14">
        <v>7492</v>
      </c>
      <c r="AD8" s="14">
        <v>7635</v>
      </c>
      <c r="AE8" s="14">
        <v>7653</v>
      </c>
      <c r="AF8" s="14">
        <v>7955</v>
      </c>
      <c r="AG8" s="14">
        <v>8251</v>
      </c>
      <c r="AH8" s="14">
        <v>8834</v>
      </c>
      <c r="AI8" s="14">
        <v>8607</v>
      </c>
      <c r="AJ8" s="14">
        <v>9273</v>
      </c>
      <c r="AK8" s="14">
        <v>9155</v>
      </c>
      <c r="AL8" s="14">
        <v>8863</v>
      </c>
      <c r="AM8" s="14">
        <v>9200</v>
      </c>
      <c r="AN8" s="14">
        <v>8638</v>
      </c>
      <c r="AO8" s="14">
        <v>7735</v>
      </c>
      <c r="AP8" s="14">
        <v>7844</v>
      </c>
      <c r="AQ8" s="13">
        <v>7996</v>
      </c>
      <c r="AR8" s="13">
        <v>8578</v>
      </c>
      <c r="AS8" s="13">
        <v>8654</v>
      </c>
      <c r="AT8" s="13">
        <v>9099</v>
      </c>
      <c r="AU8" s="13">
        <v>8779</v>
      </c>
      <c r="AV8" s="13">
        <v>9093</v>
      </c>
      <c r="AW8" s="13">
        <v>8910</v>
      </c>
      <c r="AX8" s="13">
        <v>9608</v>
      </c>
      <c r="AY8" s="13">
        <v>9800</v>
      </c>
      <c r="AZ8" s="13">
        <v>9504</v>
      </c>
      <c r="BA8" s="13">
        <v>9193</v>
      </c>
      <c r="BB8" s="13">
        <v>8980</v>
      </c>
      <c r="BC8" s="13">
        <v>9280</v>
      </c>
      <c r="BD8" s="13">
        <v>9560</v>
      </c>
      <c r="BE8" s="13">
        <v>10275</v>
      </c>
      <c r="BF8" s="13">
        <v>10565</v>
      </c>
      <c r="BG8" s="13">
        <v>10820</v>
      </c>
      <c r="BH8" s="13">
        <v>10725</v>
      </c>
      <c r="BI8" s="13">
        <v>10155</v>
      </c>
      <c r="BJ8" s="13">
        <v>10615</v>
      </c>
      <c r="BK8" s="13">
        <v>10085</v>
      </c>
      <c r="BL8" s="13">
        <v>9532</v>
      </c>
      <c r="BM8" s="4">
        <v>9423</v>
      </c>
      <c r="BN8" s="4">
        <v>9664</v>
      </c>
      <c r="BO8" s="4">
        <v>9599</v>
      </c>
      <c r="BP8" s="4">
        <v>9713</v>
      </c>
      <c r="BQ8" s="4">
        <v>9740</v>
      </c>
      <c r="BR8" s="4">
        <v>10030</v>
      </c>
      <c r="BS8" s="4">
        <v>10290</v>
      </c>
      <c r="BT8" s="4">
        <v>10070</v>
      </c>
      <c r="BU8" s="4">
        <v>10150</v>
      </c>
      <c r="BV8" s="4">
        <v>11020</v>
      </c>
      <c r="BW8" s="4">
        <v>10645</v>
      </c>
      <c r="BX8" s="4">
        <v>10400</v>
      </c>
      <c r="BY8" s="4">
        <v>9867</v>
      </c>
      <c r="BZ8" s="4">
        <v>9986</v>
      </c>
    </row>
    <row r="9" spans="1:104" ht="15.9" customHeight="1">
      <c r="A9" s="61" t="s">
        <v>13</v>
      </c>
      <c r="B9" s="6" t="s">
        <v>14</v>
      </c>
      <c r="C9" s="15">
        <f>_xll.RssMarket("5711","現在値")</f>
        <v>4367</v>
      </c>
      <c r="D9" s="16">
        <f t="shared" si="0"/>
        <v>223</v>
      </c>
      <c r="E9" s="13">
        <v>4144</v>
      </c>
      <c r="F9" s="13">
        <v>4151</v>
      </c>
      <c r="G9" s="13">
        <v>4193</v>
      </c>
      <c r="H9" s="13">
        <v>3971</v>
      </c>
      <c r="I9" s="13">
        <v>3944</v>
      </c>
      <c r="J9" s="13">
        <v>4034</v>
      </c>
      <c r="K9" s="13">
        <v>4224</v>
      </c>
      <c r="L9" s="13">
        <v>4166</v>
      </c>
      <c r="M9" s="13">
        <v>4294</v>
      </c>
      <c r="N9" s="13">
        <v>4204</v>
      </c>
      <c r="O9" s="13">
        <v>4124</v>
      </c>
      <c r="P9" s="13">
        <v>3970</v>
      </c>
      <c r="Q9" s="13">
        <v>4242</v>
      </c>
      <c r="R9" s="13">
        <v>4160</v>
      </c>
      <c r="S9" s="13">
        <v>4047</v>
      </c>
      <c r="T9" s="13">
        <v>4087</v>
      </c>
      <c r="U9" s="13">
        <v>3960</v>
      </c>
      <c r="V9" s="13">
        <v>4254</v>
      </c>
      <c r="W9" s="13">
        <v>4359</v>
      </c>
      <c r="X9" s="13">
        <v>4626</v>
      </c>
      <c r="Y9" s="13">
        <v>4555</v>
      </c>
      <c r="Z9" s="13">
        <v>4452</v>
      </c>
      <c r="AA9" s="13">
        <v>4387</v>
      </c>
      <c r="AB9" s="13">
        <v>4315</v>
      </c>
      <c r="AC9" s="13">
        <v>4322</v>
      </c>
      <c r="AD9" s="13">
        <v>4363</v>
      </c>
      <c r="AE9" s="13">
        <v>4424</v>
      </c>
      <c r="AF9" s="13">
        <v>4559</v>
      </c>
      <c r="AG9" s="13">
        <v>4630</v>
      </c>
      <c r="AH9" s="13">
        <v>4889</v>
      </c>
      <c r="AI9" s="13">
        <v>4836</v>
      </c>
      <c r="AJ9" s="13">
        <v>4901</v>
      </c>
      <c r="AK9" s="13">
        <v>4882</v>
      </c>
      <c r="AL9" s="13">
        <v>4898</v>
      </c>
      <c r="AM9" s="13">
        <v>5005</v>
      </c>
      <c r="AN9" s="13">
        <v>4640</v>
      </c>
      <c r="AO9" s="13">
        <v>4443</v>
      </c>
      <c r="AP9" s="13">
        <v>4471</v>
      </c>
      <c r="AQ9" s="13">
        <v>4595</v>
      </c>
      <c r="AR9" s="13">
        <v>4904</v>
      </c>
      <c r="AS9" s="13">
        <v>4973</v>
      </c>
      <c r="AT9" s="13">
        <v>5187</v>
      </c>
      <c r="AU9" s="13">
        <v>5050</v>
      </c>
      <c r="AV9" s="13">
        <v>5153</v>
      </c>
      <c r="AW9" s="13">
        <v>5128</v>
      </c>
      <c r="AX9" s="13">
        <v>5271</v>
      </c>
      <c r="AY9" s="13">
        <v>5255</v>
      </c>
      <c r="AZ9" s="13">
        <v>5038</v>
      </c>
      <c r="BA9" s="13">
        <v>4890</v>
      </c>
      <c r="BB9" s="13">
        <v>4786</v>
      </c>
      <c r="BC9" s="13">
        <v>4959</v>
      </c>
      <c r="BD9" s="13">
        <v>5057</v>
      </c>
      <c r="BE9" s="13">
        <v>5428</v>
      </c>
      <c r="BF9" s="13">
        <v>5362</v>
      </c>
      <c r="BG9" s="13">
        <v>6100</v>
      </c>
      <c r="BH9" s="13">
        <v>5817</v>
      </c>
      <c r="BI9" s="13">
        <v>5584</v>
      </c>
      <c r="BJ9" s="13">
        <v>5562</v>
      </c>
      <c r="BK9" s="13">
        <v>5340</v>
      </c>
      <c r="BL9" s="13">
        <v>5080</v>
      </c>
      <c r="BM9" s="4">
        <v>5092</v>
      </c>
      <c r="BN9" s="4">
        <v>5215</v>
      </c>
      <c r="BO9" s="4">
        <v>5157</v>
      </c>
      <c r="BP9" s="4">
        <v>5261</v>
      </c>
      <c r="BQ9" s="4">
        <v>5292</v>
      </c>
      <c r="BR9" s="4">
        <v>5419</v>
      </c>
      <c r="BS9" s="4">
        <v>5548</v>
      </c>
      <c r="BT9" s="4">
        <v>5500</v>
      </c>
      <c r="BU9" s="4">
        <v>5528</v>
      </c>
      <c r="BV9" s="4">
        <v>5774</v>
      </c>
      <c r="BW9" s="4">
        <v>5652</v>
      </c>
      <c r="BX9" s="4">
        <v>5688</v>
      </c>
      <c r="BY9" s="4">
        <v>5460</v>
      </c>
      <c r="BZ9" s="4">
        <v>5560</v>
      </c>
    </row>
    <row r="10" spans="1:104" ht="15.9" customHeight="1">
      <c r="A10" s="61" t="s">
        <v>15</v>
      </c>
      <c r="B10" s="6" t="s">
        <v>16</v>
      </c>
      <c r="C10" s="15">
        <f>_xll.RssMarket("5714","現在値")</f>
        <v>8533</v>
      </c>
      <c r="D10" s="16">
        <f t="shared" si="0"/>
        <v>336</v>
      </c>
      <c r="E10" s="13">
        <v>8197</v>
      </c>
      <c r="F10" s="13">
        <v>8159</v>
      </c>
      <c r="G10" s="13">
        <v>8235</v>
      </c>
      <c r="H10" s="13">
        <v>7990</v>
      </c>
      <c r="I10" s="13">
        <v>7907</v>
      </c>
      <c r="J10" s="13">
        <v>8089</v>
      </c>
      <c r="K10" s="13">
        <v>8432</v>
      </c>
      <c r="L10" s="13">
        <v>8276</v>
      </c>
      <c r="M10" s="13">
        <v>8542</v>
      </c>
      <c r="N10" s="13">
        <v>8457</v>
      </c>
      <c r="O10" s="13">
        <v>8271</v>
      </c>
      <c r="P10" s="13">
        <v>7946</v>
      </c>
      <c r="Q10" s="13">
        <v>8443</v>
      </c>
      <c r="R10" s="13">
        <v>8369</v>
      </c>
      <c r="S10" s="13">
        <v>8280</v>
      </c>
      <c r="T10" s="13">
        <v>8376</v>
      </c>
      <c r="U10" s="13">
        <v>8257</v>
      </c>
      <c r="V10" s="13">
        <v>8425</v>
      </c>
      <c r="W10" s="13">
        <v>8586</v>
      </c>
      <c r="X10" s="13">
        <v>8963</v>
      </c>
      <c r="Y10" s="13">
        <v>8834</v>
      </c>
      <c r="Z10" s="13">
        <v>8790</v>
      </c>
      <c r="AA10" s="13">
        <v>8602</v>
      </c>
      <c r="AB10" s="13">
        <v>8666</v>
      </c>
      <c r="AC10" s="13">
        <v>8770</v>
      </c>
      <c r="AD10" s="13">
        <v>8744</v>
      </c>
      <c r="AE10" s="13">
        <v>8735</v>
      </c>
      <c r="AF10" s="13">
        <v>8984</v>
      </c>
      <c r="AG10" s="13">
        <v>9184</v>
      </c>
      <c r="AH10" s="13">
        <v>9670</v>
      </c>
      <c r="AI10" s="13">
        <v>9480</v>
      </c>
      <c r="AJ10" s="13">
        <v>9745</v>
      </c>
      <c r="AK10" s="13">
        <v>9839</v>
      </c>
      <c r="AL10" s="13">
        <v>9685</v>
      </c>
      <c r="AM10" s="13">
        <v>9870</v>
      </c>
      <c r="AN10" s="13">
        <v>9377</v>
      </c>
      <c r="AO10" s="13">
        <v>8905</v>
      </c>
      <c r="AP10" s="13">
        <v>8997</v>
      </c>
      <c r="AQ10" s="13">
        <v>9257</v>
      </c>
      <c r="AR10" s="13">
        <v>10005</v>
      </c>
      <c r="AS10" s="13">
        <v>9834</v>
      </c>
      <c r="AT10" s="13">
        <v>10370</v>
      </c>
      <c r="AU10" s="13">
        <v>10150</v>
      </c>
      <c r="AV10" s="13">
        <v>10300</v>
      </c>
      <c r="AW10" s="13">
        <v>10530</v>
      </c>
      <c r="AX10" s="13">
        <v>10845</v>
      </c>
      <c r="AY10" s="13">
        <v>10935</v>
      </c>
      <c r="AZ10" s="13">
        <v>10390</v>
      </c>
      <c r="BA10" s="13">
        <v>10165</v>
      </c>
      <c r="BB10" s="13">
        <v>10125</v>
      </c>
      <c r="BC10" s="13">
        <v>10370</v>
      </c>
      <c r="BD10" s="13">
        <v>11125</v>
      </c>
      <c r="BE10" s="13">
        <v>11640</v>
      </c>
      <c r="BF10" s="13">
        <v>10025</v>
      </c>
      <c r="BG10" s="13">
        <v>10655</v>
      </c>
      <c r="BH10" s="13">
        <v>10350</v>
      </c>
      <c r="BI10" s="13">
        <v>10360</v>
      </c>
      <c r="BJ10" s="13">
        <v>10180</v>
      </c>
      <c r="BK10" s="13">
        <v>9848</v>
      </c>
      <c r="BL10" s="13">
        <v>9492</v>
      </c>
      <c r="BM10" s="4">
        <v>9476</v>
      </c>
      <c r="BN10" s="4">
        <v>9730</v>
      </c>
      <c r="BO10" s="4">
        <v>9500</v>
      </c>
      <c r="BP10" s="4">
        <v>9640</v>
      </c>
      <c r="BQ10" s="4">
        <v>9667</v>
      </c>
      <c r="BR10" s="4">
        <v>9782</v>
      </c>
      <c r="BS10" s="4">
        <v>9937</v>
      </c>
      <c r="BT10" s="4">
        <v>9792</v>
      </c>
      <c r="BU10" s="4">
        <v>9962</v>
      </c>
      <c r="BV10" s="4">
        <v>10355</v>
      </c>
      <c r="BW10" s="4">
        <v>10055</v>
      </c>
      <c r="BX10" s="4">
        <v>10055</v>
      </c>
      <c r="BY10" s="4">
        <v>9677</v>
      </c>
      <c r="BZ10" s="4">
        <v>9758</v>
      </c>
    </row>
    <row r="11" spans="1:104" ht="15.9" customHeight="1">
      <c r="A11" s="61" t="s">
        <v>17</v>
      </c>
      <c r="B11" s="6" t="s">
        <v>18</v>
      </c>
      <c r="C11" s="15">
        <f>_xll.RssMarket("6701","現在値")</f>
        <v>4664</v>
      </c>
      <c r="D11" s="16">
        <f t="shared" si="0"/>
        <v>66</v>
      </c>
      <c r="E11" s="13">
        <v>4598</v>
      </c>
      <c r="F11" s="13">
        <v>4733</v>
      </c>
      <c r="G11" s="13">
        <v>4740</v>
      </c>
      <c r="H11" s="13">
        <v>5002</v>
      </c>
      <c r="I11" s="13">
        <v>4613</v>
      </c>
      <c r="J11" s="13">
        <v>4490</v>
      </c>
      <c r="K11" s="13">
        <v>4445</v>
      </c>
      <c r="L11" s="13">
        <v>4249</v>
      </c>
      <c r="M11" s="13">
        <v>4240</v>
      </c>
      <c r="N11" s="13">
        <v>4352</v>
      </c>
      <c r="O11" s="13">
        <v>4407</v>
      </c>
      <c r="P11" s="13">
        <v>4354</v>
      </c>
      <c r="Q11" s="13">
        <v>4270</v>
      </c>
      <c r="R11" s="13">
        <v>4463</v>
      </c>
      <c r="S11" s="13">
        <v>4339</v>
      </c>
      <c r="T11" s="13">
        <v>4333</v>
      </c>
      <c r="U11" s="13">
        <v>4386</v>
      </c>
      <c r="V11" s="13">
        <v>4349</v>
      </c>
      <c r="W11" s="13">
        <v>4348</v>
      </c>
      <c r="X11" s="13">
        <v>4347</v>
      </c>
      <c r="Y11" s="13">
        <v>4168</v>
      </c>
      <c r="Z11" s="13">
        <v>4200</v>
      </c>
      <c r="AA11" s="13">
        <v>3981</v>
      </c>
      <c r="AB11" s="13">
        <v>3925</v>
      </c>
      <c r="AC11" s="13">
        <v>4047</v>
      </c>
      <c r="AD11" s="13">
        <v>3795</v>
      </c>
      <c r="AE11" s="13">
        <v>3757</v>
      </c>
      <c r="AF11" s="13">
        <v>3838</v>
      </c>
      <c r="AG11" s="13">
        <v>3683</v>
      </c>
      <c r="AH11" s="13">
        <v>3752</v>
      </c>
      <c r="AI11" s="13">
        <v>3756</v>
      </c>
      <c r="AJ11" s="13">
        <v>3973</v>
      </c>
      <c r="AK11" s="13">
        <v>3852</v>
      </c>
      <c r="AL11" s="13">
        <v>3849</v>
      </c>
      <c r="AM11" s="13">
        <v>3847</v>
      </c>
      <c r="AN11" s="13">
        <v>3879</v>
      </c>
      <c r="AO11" s="13">
        <v>4000</v>
      </c>
      <c r="AP11" s="13">
        <v>4010</v>
      </c>
      <c r="AQ11" s="13">
        <v>4096</v>
      </c>
      <c r="AR11" s="13">
        <v>4253</v>
      </c>
      <c r="AS11" s="13">
        <v>4224</v>
      </c>
      <c r="AT11" s="13">
        <v>4273</v>
      </c>
      <c r="AU11" s="13">
        <v>4434</v>
      </c>
      <c r="AV11" s="13">
        <v>4103</v>
      </c>
      <c r="AW11" s="13">
        <v>4086</v>
      </c>
      <c r="AX11" s="13">
        <v>4146</v>
      </c>
      <c r="AY11" s="13">
        <v>4106</v>
      </c>
      <c r="AZ11" s="13">
        <v>4105</v>
      </c>
      <c r="BA11" s="13">
        <v>4125</v>
      </c>
      <c r="BB11" s="13">
        <v>4140</v>
      </c>
      <c r="BC11" s="13">
        <v>4297</v>
      </c>
      <c r="BD11" s="13">
        <v>4162</v>
      </c>
      <c r="BE11" s="13">
        <v>4004</v>
      </c>
      <c r="BF11" s="13">
        <v>4049</v>
      </c>
      <c r="BG11" s="13">
        <v>4190</v>
      </c>
      <c r="BH11" s="13">
        <v>4130</v>
      </c>
      <c r="BI11" s="13">
        <v>4101</v>
      </c>
      <c r="BJ11" s="13">
        <v>4200</v>
      </c>
      <c r="BK11" s="13">
        <v>4028</v>
      </c>
      <c r="BL11" s="13">
        <v>4035</v>
      </c>
      <c r="BM11" s="4">
        <v>4101</v>
      </c>
      <c r="BN11" s="4">
        <v>4444</v>
      </c>
      <c r="BO11" s="4">
        <v>4625</v>
      </c>
      <c r="BP11" s="4">
        <v>4513</v>
      </c>
      <c r="BQ11" s="4">
        <v>4292</v>
      </c>
      <c r="BR11" s="4">
        <v>4524</v>
      </c>
      <c r="BS11" s="4">
        <v>4431</v>
      </c>
      <c r="BT11" s="4">
        <v>4327</v>
      </c>
      <c r="BU11" s="4">
        <v>4328</v>
      </c>
      <c r="BV11" s="4">
        <v>4328</v>
      </c>
      <c r="BW11" s="4">
        <v>4269</v>
      </c>
      <c r="BX11" s="4">
        <v>4083</v>
      </c>
      <c r="BY11" s="4">
        <v>3882</v>
      </c>
      <c r="BZ11" s="4">
        <v>3860</v>
      </c>
    </row>
    <row r="12" spans="1:104" ht="15.9" customHeight="1">
      <c r="A12" s="61" t="s">
        <v>19</v>
      </c>
      <c r="B12" s="6" t="s">
        <v>20</v>
      </c>
      <c r="C12" s="15">
        <f>_xll.RssMarket("1605","現在値")</f>
        <v>3406</v>
      </c>
      <c r="D12" s="16">
        <f t="shared" si="0"/>
        <v>-86</v>
      </c>
      <c r="E12" s="13">
        <v>3492</v>
      </c>
      <c r="F12" s="13">
        <v>3519</v>
      </c>
      <c r="G12" s="13">
        <v>3627</v>
      </c>
      <c r="H12" s="13">
        <v>3628</v>
      </c>
      <c r="I12" s="13">
        <v>3616</v>
      </c>
      <c r="J12" s="13">
        <v>3566</v>
      </c>
      <c r="K12" s="13">
        <v>3652</v>
      </c>
      <c r="L12" s="13">
        <v>3761</v>
      </c>
      <c r="M12" s="13">
        <v>3697</v>
      </c>
      <c r="N12" s="13">
        <v>3615</v>
      </c>
      <c r="O12" s="13">
        <v>3580</v>
      </c>
      <c r="P12" s="13">
        <v>3401</v>
      </c>
      <c r="Q12" s="13">
        <v>3450</v>
      </c>
      <c r="R12" s="13">
        <v>3524</v>
      </c>
      <c r="S12" s="13">
        <v>3391</v>
      </c>
      <c r="T12" s="13">
        <v>3361</v>
      </c>
      <c r="U12" s="13">
        <v>3427</v>
      </c>
      <c r="V12" s="13">
        <v>3388</v>
      </c>
      <c r="W12" s="13">
        <v>3281</v>
      </c>
      <c r="X12" s="13">
        <v>3309</v>
      </c>
      <c r="Y12" s="13">
        <v>3242</v>
      </c>
      <c r="Z12" s="13">
        <v>3204</v>
      </c>
      <c r="AA12" s="13">
        <v>3205</v>
      </c>
      <c r="AB12" s="13">
        <v>3265</v>
      </c>
      <c r="AC12" s="13">
        <v>3278</v>
      </c>
      <c r="AD12" s="13">
        <v>3351</v>
      </c>
      <c r="AE12" s="13">
        <v>3287</v>
      </c>
      <c r="AF12" s="13">
        <v>3401</v>
      </c>
      <c r="AG12" s="13">
        <v>3456</v>
      </c>
      <c r="AH12" s="13">
        <v>3448</v>
      </c>
      <c r="AI12" s="13">
        <v>3500</v>
      </c>
      <c r="AJ12" s="13">
        <v>3429</v>
      </c>
      <c r="AK12" s="13">
        <v>3406</v>
      </c>
      <c r="AL12" s="13">
        <v>3378</v>
      </c>
      <c r="AM12" s="13">
        <v>3495</v>
      </c>
      <c r="AN12" s="13">
        <v>3559</v>
      </c>
      <c r="AO12" s="13">
        <v>3607</v>
      </c>
      <c r="AP12" s="13">
        <v>3483</v>
      </c>
      <c r="AQ12" s="13">
        <v>3641</v>
      </c>
      <c r="AR12" s="13">
        <v>3685</v>
      </c>
      <c r="AS12" s="13">
        <v>3648</v>
      </c>
      <c r="AT12" s="13">
        <v>3707</v>
      </c>
      <c r="AU12" s="13">
        <v>3567</v>
      </c>
      <c r="AV12" s="13">
        <v>3604</v>
      </c>
      <c r="AW12" s="13">
        <v>3693</v>
      </c>
      <c r="AX12" s="13">
        <v>3689</v>
      </c>
      <c r="AY12" s="13">
        <v>3658</v>
      </c>
      <c r="AZ12" s="13">
        <v>3839</v>
      </c>
      <c r="BA12" s="13">
        <v>3885</v>
      </c>
      <c r="BB12" s="13">
        <v>3990</v>
      </c>
      <c r="BC12" s="13">
        <v>3993</v>
      </c>
      <c r="BD12" s="13">
        <v>3934</v>
      </c>
      <c r="BE12" s="13">
        <v>3921</v>
      </c>
      <c r="BF12" s="13">
        <v>3920</v>
      </c>
      <c r="BG12" s="13">
        <v>3930</v>
      </c>
      <c r="BH12" s="13">
        <v>3944</v>
      </c>
      <c r="BI12" s="13">
        <v>3848</v>
      </c>
      <c r="BJ12" s="13">
        <v>3788</v>
      </c>
      <c r="BK12" s="13">
        <v>3850</v>
      </c>
      <c r="BL12" s="13">
        <v>4118</v>
      </c>
      <c r="BM12" s="4">
        <v>4150</v>
      </c>
      <c r="BN12" s="4">
        <v>4123</v>
      </c>
      <c r="BO12" s="4">
        <v>3930</v>
      </c>
      <c r="BP12" s="4">
        <v>4074</v>
      </c>
      <c r="BQ12" s="4">
        <v>3969</v>
      </c>
      <c r="BR12" s="4">
        <v>3807</v>
      </c>
      <c r="BS12" s="4">
        <v>3830</v>
      </c>
      <c r="BT12" s="4">
        <v>3843</v>
      </c>
      <c r="BU12" s="4">
        <v>3985</v>
      </c>
      <c r="BV12" s="4">
        <v>3948</v>
      </c>
      <c r="BW12" s="4">
        <v>4035</v>
      </c>
      <c r="BX12" s="4">
        <v>4190</v>
      </c>
      <c r="BY12" s="4">
        <v>4277</v>
      </c>
      <c r="BZ12" s="4">
        <v>4147</v>
      </c>
    </row>
    <row r="13" spans="1:104" ht="15.9" customHeight="1">
      <c r="A13" s="61" t="s">
        <v>21</v>
      </c>
      <c r="B13" s="6" t="s">
        <v>22</v>
      </c>
      <c r="C13" s="15">
        <f>_xll.RssMarket("5703","現在値")</f>
        <v>2856</v>
      </c>
      <c r="D13" s="16">
        <f t="shared" si="0"/>
        <v>63</v>
      </c>
      <c r="E13" s="13">
        <v>2793</v>
      </c>
      <c r="F13" s="13">
        <v>2835</v>
      </c>
      <c r="G13" s="13">
        <v>2715</v>
      </c>
      <c r="H13" s="13">
        <v>2589</v>
      </c>
      <c r="I13" s="13">
        <v>2584</v>
      </c>
      <c r="J13" s="13">
        <v>2621</v>
      </c>
      <c r="K13" s="13">
        <v>2685</v>
      </c>
      <c r="L13" s="13">
        <v>2644</v>
      </c>
      <c r="M13" s="13">
        <v>2711</v>
      </c>
      <c r="N13" s="13">
        <v>2702</v>
      </c>
      <c r="O13" s="13">
        <v>2711</v>
      </c>
      <c r="P13" s="13">
        <v>2638</v>
      </c>
      <c r="Q13" s="13">
        <v>2750</v>
      </c>
      <c r="R13" s="13">
        <v>2756</v>
      </c>
      <c r="S13" s="13">
        <v>2682</v>
      </c>
      <c r="T13" s="13">
        <v>2707</v>
      </c>
      <c r="U13" s="13">
        <v>2636</v>
      </c>
      <c r="V13" s="13">
        <v>2622</v>
      </c>
      <c r="W13" s="13">
        <v>2693</v>
      </c>
      <c r="X13" s="13">
        <v>2752</v>
      </c>
      <c r="Y13" s="13">
        <v>2764</v>
      </c>
      <c r="Z13" s="13">
        <v>2726</v>
      </c>
      <c r="AA13" s="13">
        <v>2742</v>
      </c>
      <c r="AB13" s="13">
        <v>2721</v>
      </c>
      <c r="AC13" s="13">
        <v>2795</v>
      </c>
      <c r="AD13" s="13">
        <v>2819</v>
      </c>
      <c r="AE13" s="13">
        <v>2822</v>
      </c>
      <c r="AF13" s="13">
        <v>2869</v>
      </c>
      <c r="AG13" s="13">
        <v>2910</v>
      </c>
      <c r="AH13" s="13">
        <v>3010</v>
      </c>
      <c r="AI13" s="13">
        <v>2983</v>
      </c>
      <c r="AJ13" s="13">
        <v>2970</v>
      </c>
      <c r="AK13" s="13">
        <v>2958</v>
      </c>
      <c r="AL13" s="13">
        <v>3010</v>
      </c>
      <c r="AM13" s="13">
        <v>3105</v>
      </c>
      <c r="AN13" s="13">
        <v>3040</v>
      </c>
      <c r="AO13" s="13">
        <v>2986</v>
      </c>
      <c r="AP13" s="13">
        <v>3065</v>
      </c>
      <c r="AQ13" s="13">
        <v>3135</v>
      </c>
      <c r="AR13" s="13">
        <v>3255</v>
      </c>
      <c r="AS13" s="13">
        <v>3175</v>
      </c>
      <c r="AT13" s="13">
        <v>3270</v>
      </c>
      <c r="AU13" s="13">
        <v>3165</v>
      </c>
      <c r="AV13" s="13">
        <v>3165</v>
      </c>
      <c r="AW13" s="13">
        <v>3190</v>
      </c>
      <c r="AX13" s="13">
        <v>3200</v>
      </c>
      <c r="AY13" s="13">
        <v>3245</v>
      </c>
      <c r="AZ13" s="13">
        <v>3050</v>
      </c>
      <c r="BA13" s="13">
        <v>3065</v>
      </c>
      <c r="BB13" s="13">
        <v>3050</v>
      </c>
      <c r="BC13" s="13">
        <v>3085</v>
      </c>
      <c r="BD13" s="13">
        <v>3150</v>
      </c>
      <c r="BE13" s="13">
        <v>3120</v>
      </c>
      <c r="BF13" s="13">
        <v>3040</v>
      </c>
      <c r="BG13" s="13">
        <v>2951</v>
      </c>
      <c r="BH13" s="13">
        <v>2960</v>
      </c>
      <c r="BI13" s="13">
        <v>2902</v>
      </c>
      <c r="BJ13" s="13">
        <v>2928</v>
      </c>
      <c r="BK13" s="13">
        <v>2930</v>
      </c>
      <c r="BL13" s="13">
        <v>2823</v>
      </c>
      <c r="BM13" s="4">
        <v>2853</v>
      </c>
      <c r="BN13" s="4">
        <v>2868</v>
      </c>
      <c r="BO13" s="4">
        <v>2886</v>
      </c>
      <c r="BP13" s="4">
        <v>2858</v>
      </c>
      <c r="BQ13" s="4">
        <v>2855</v>
      </c>
      <c r="BR13" s="4">
        <v>2908</v>
      </c>
      <c r="BS13" s="4">
        <v>2963</v>
      </c>
      <c r="BT13" s="4">
        <v>2948</v>
      </c>
      <c r="BU13" s="4">
        <v>2982</v>
      </c>
      <c r="BV13" s="4">
        <v>3045</v>
      </c>
      <c r="BW13" s="4">
        <v>3010</v>
      </c>
      <c r="BX13" s="4">
        <v>3040</v>
      </c>
      <c r="BY13" s="4">
        <v>2999</v>
      </c>
      <c r="BZ13" s="4">
        <v>2983</v>
      </c>
    </row>
    <row r="14" spans="1:104" ht="15.9" customHeight="1">
      <c r="A14" s="61" t="s">
        <v>23</v>
      </c>
      <c r="B14" s="6" t="s">
        <v>24</v>
      </c>
      <c r="C14" s="15">
        <f>_xll.RssMarket("8002","現在値")</f>
        <v>4820</v>
      </c>
      <c r="D14" s="16">
        <f t="shared" si="0"/>
        <v>-117</v>
      </c>
      <c r="E14" s="13">
        <v>4937</v>
      </c>
      <c r="F14" s="13">
        <v>5132</v>
      </c>
      <c r="G14" s="13">
        <v>5201</v>
      </c>
      <c r="H14" s="13">
        <v>5196</v>
      </c>
      <c r="I14" s="13">
        <v>5205</v>
      </c>
      <c r="J14" s="13">
        <v>5272</v>
      </c>
      <c r="K14" s="13">
        <v>5450</v>
      </c>
      <c r="L14" s="13">
        <v>5370</v>
      </c>
      <c r="M14" s="13">
        <v>5384</v>
      </c>
      <c r="N14" s="13">
        <v>5260</v>
      </c>
      <c r="O14" s="13">
        <v>5194</v>
      </c>
      <c r="P14" s="13">
        <v>4988</v>
      </c>
      <c r="Q14" s="13">
        <v>5110</v>
      </c>
      <c r="R14" s="13">
        <v>4920</v>
      </c>
      <c r="S14" s="13">
        <v>4862</v>
      </c>
      <c r="T14" s="13">
        <v>4879</v>
      </c>
      <c r="U14" s="13">
        <v>4924</v>
      </c>
      <c r="V14" s="13">
        <v>4961</v>
      </c>
      <c r="W14" s="13">
        <v>5048</v>
      </c>
      <c r="X14" s="13">
        <v>5026</v>
      </c>
      <c r="Y14" s="13">
        <v>4963</v>
      </c>
      <c r="Z14" s="13">
        <v>4806</v>
      </c>
      <c r="AA14" s="13">
        <v>4668</v>
      </c>
      <c r="AB14" s="13">
        <v>4690</v>
      </c>
      <c r="AC14" s="13">
        <v>4713</v>
      </c>
      <c r="AD14" s="13">
        <v>4692</v>
      </c>
      <c r="AE14" s="13">
        <v>4607</v>
      </c>
      <c r="AF14" s="13">
        <v>4687</v>
      </c>
      <c r="AG14" s="13">
        <v>4793</v>
      </c>
      <c r="AH14" s="13">
        <v>4913</v>
      </c>
      <c r="AI14" s="13">
        <v>4895</v>
      </c>
      <c r="AJ14" s="13">
        <v>4909</v>
      </c>
      <c r="AK14" s="13">
        <v>4949</v>
      </c>
      <c r="AL14" s="13">
        <v>4921</v>
      </c>
      <c r="AM14" s="13">
        <v>5042</v>
      </c>
      <c r="AN14" s="13">
        <v>4899</v>
      </c>
      <c r="AO14" s="13">
        <v>4812</v>
      </c>
      <c r="AP14" s="13">
        <v>4795</v>
      </c>
      <c r="AQ14" s="13">
        <v>4870</v>
      </c>
      <c r="AR14" s="13">
        <v>5044</v>
      </c>
      <c r="AS14" s="13">
        <v>4968</v>
      </c>
      <c r="AT14" s="13">
        <v>4993</v>
      </c>
      <c r="AU14" s="13">
        <v>4910</v>
      </c>
      <c r="AV14" s="13">
        <v>5196</v>
      </c>
      <c r="AW14" s="13">
        <v>5224</v>
      </c>
      <c r="AX14" s="13">
        <v>5220</v>
      </c>
      <c r="AY14" s="13">
        <v>5312</v>
      </c>
      <c r="AZ14" s="13">
        <v>5271</v>
      </c>
      <c r="BA14" s="13">
        <v>5325</v>
      </c>
      <c r="BB14" s="13">
        <v>5374</v>
      </c>
      <c r="BC14" s="13">
        <v>5553</v>
      </c>
      <c r="BD14" s="13">
        <v>5638</v>
      </c>
      <c r="BE14" s="13">
        <v>5856</v>
      </c>
      <c r="BF14" s="13">
        <v>5898</v>
      </c>
      <c r="BG14" s="13">
        <v>5740</v>
      </c>
      <c r="BH14" s="13">
        <v>5520</v>
      </c>
      <c r="BI14" s="13">
        <v>5418</v>
      </c>
      <c r="BJ14" s="13">
        <v>5418</v>
      </c>
      <c r="BK14" s="13">
        <v>5495</v>
      </c>
      <c r="BL14" s="13">
        <v>5755</v>
      </c>
      <c r="BM14" s="4">
        <v>6072</v>
      </c>
      <c r="BN14" s="4">
        <v>6084</v>
      </c>
      <c r="BO14" s="4">
        <v>5910</v>
      </c>
      <c r="BP14" s="4">
        <v>5936</v>
      </c>
      <c r="BQ14" s="4">
        <v>5929</v>
      </c>
      <c r="BR14" s="4">
        <v>5908</v>
      </c>
      <c r="BS14" s="4">
        <v>6001</v>
      </c>
      <c r="BT14" s="4">
        <v>5885</v>
      </c>
      <c r="BU14" s="4">
        <v>5853</v>
      </c>
      <c r="BV14" s="4">
        <v>6040</v>
      </c>
      <c r="BW14" s="4">
        <v>5909</v>
      </c>
      <c r="BX14" s="4">
        <v>6018</v>
      </c>
      <c r="BY14" s="4">
        <v>5932</v>
      </c>
      <c r="BZ14" s="4">
        <v>5950</v>
      </c>
    </row>
    <row r="15" spans="1:104" ht="15.9" customHeight="1">
      <c r="A15" s="61" t="s">
        <v>25</v>
      </c>
      <c r="B15" s="6" t="s">
        <v>26</v>
      </c>
      <c r="C15" s="15">
        <f>_xll.RssMarket("5021","現在値")</f>
        <v>3762</v>
      </c>
      <c r="D15" s="16">
        <f t="shared" si="0"/>
        <v>-24</v>
      </c>
      <c r="E15" s="13">
        <v>3786</v>
      </c>
      <c r="F15" s="13">
        <v>3836</v>
      </c>
      <c r="G15" s="13">
        <v>3984</v>
      </c>
      <c r="H15" s="13">
        <v>3988</v>
      </c>
      <c r="I15" s="13">
        <v>3988</v>
      </c>
      <c r="J15" s="13">
        <v>3947</v>
      </c>
      <c r="K15" s="13">
        <v>3976</v>
      </c>
      <c r="L15" s="13">
        <v>3975</v>
      </c>
      <c r="M15" s="13">
        <v>3975</v>
      </c>
      <c r="N15" s="13">
        <v>3944</v>
      </c>
      <c r="O15" s="13">
        <v>3930</v>
      </c>
      <c r="P15" s="13">
        <v>3776</v>
      </c>
      <c r="Q15" s="13">
        <v>3867</v>
      </c>
      <c r="R15" s="13">
        <v>3904</v>
      </c>
      <c r="S15" s="13">
        <v>3845</v>
      </c>
      <c r="T15" s="13">
        <v>3861</v>
      </c>
      <c r="U15" s="13">
        <v>3868</v>
      </c>
      <c r="V15" s="13">
        <v>3869</v>
      </c>
      <c r="W15" s="13">
        <v>3885</v>
      </c>
      <c r="X15" s="13">
        <v>3964</v>
      </c>
      <c r="Y15" s="13">
        <v>3889</v>
      </c>
      <c r="Z15" s="13">
        <v>3875</v>
      </c>
      <c r="AA15" s="13">
        <v>3813</v>
      </c>
      <c r="AB15" s="13">
        <v>3788</v>
      </c>
      <c r="AC15" s="13">
        <v>3775</v>
      </c>
      <c r="AD15" s="13">
        <v>3757</v>
      </c>
      <c r="AE15" s="13">
        <v>3674</v>
      </c>
      <c r="AF15" s="13">
        <v>3706</v>
      </c>
      <c r="AG15" s="13">
        <v>3688</v>
      </c>
      <c r="AH15" s="13">
        <v>3721</v>
      </c>
      <c r="AI15" s="13">
        <v>3775</v>
      </c>
      <c r="AJ15" s="13">
        <v>3729</v>
      </c>
      <c r="AK15" s="13">
        <v>3669</v>
      </c>
      <c r="AL15" s="13">
        <v>3676</v>
      </c>
      <c r="AM15" s="13">
        <v>3684</v>
      </c>
      <c r="AN15" s="13">
        <v>3571</v>
      </c>
      <c r="AO15" s="13">
        <v>3503</v>
      </c>
      <c r="AP15" s="13">
        <v>3462</v>
      </c>
      <c r="AQ15" s="13">
        <v>3586</v>
      </c>
      <c r="AR15" s="13">
        <v>3611</v>
      </c>
      <c r="AS15" s="13">
        <v>3663</v>
      </c>
      <c r="AT15" s="13">
        <v>3833</v>
      </c>
      <c r="AU15" s="13">
        <v>3717</v>
      </c>
      <c r="AV15" s="13">
        <v>3739</v>
      </c>
      <c r="AW15" s="13">
        <v>3700</v>
      </c>
      <c r="AX15" s="13">
        <v>3685</v>
      </c>
      <c r="AY15" s="13">
        <v>3680</v>
      </c>
      <c r="AZ15" s="13">
        <v>3701</v>
      </c>
      <c r="BA15" s="13">
        <v>3700</v>
      </c>
      <c r="BB15" s="13">
        <v>3739</v>
      </c>
      <c r="BC15" s="13">
        <v>3774</v>
      </c>
      <c r="BD15" s="13">
        <v>3733</v>
      </c>
      <c r="BE15" s="13">
        <v>3832</v>
      </c>
      <c r="BF15" s="13">
        <v>3867</v>
      </c>
      <c r="BG15" s="13">
        <v>3760</v>
      </c>
      <c r="BH15" s="13">
        <v>3969</v>
      </c>
      <c r="BI15" s="13">
        <v>3958</v>
      </c>
      <c r="BJ15" s="13">
        <v>3951</v>
      </c>
      <c r="BK15" s="13">
        <v>3909</v>
      </c>
      <c r="BL15" s="13">
        <v>3982</v>
      </c>
      <c r="BM15" s="4">
        <v>4003</v>
      </c>
      <c r="BN15" s="4">
        <v>3985</v>
      </c>
      <c r="BO15" s="4">
        <v>3906</v>
      </c>
      <c r="BP15" s="4">
        <v>3943</v>
      </c>
      <c r="BQ15" s="4">
        <v>4021</v>
      </c>
      <c r="BR15" s="4">
        <v>4067</v>
      </c>
      <c r="BS15" s="4">
        <v>4197</v>
      </c>
      <c r="BT15" s="4">
        <v>4267</v>
      </c>
      <c r="BU15" s="4">
        <v>4355</v>
      </c>
      <c r="BV15" s="4">
        <v>4357</v>
      </c>
      <c r="BW15" s="4">
        <v>4374</v>
      </c>
      <c r="BX15" s="4">
        <v>4357</v>
      </c>
      <c r="BY15" s="4">
        <v>4385</v>
      </c>
      <c r="BZ15" s="4">
        <v>4431</v>
      </c>
    </row>
    <row r="16" spans="1:104" ht="15.9" customHeight="1">
      <c r="A16" s="61" t="s">
        <v>27</v>
      </c>
      <c r="B16" s="6" t="s">
        <v>28</v>
      </c>
      <c r="C16" s="15">
        <f>_xll.RssMarket("8058","現在値")</f>
        <v>4671</v>
      </c>
      <c r="D16" s="16">
        <f t="shared" si="0"/>
        <v>-67</v>
      </c>
      <c r="E16" s="13">
        <v>4738</v>
      </c>
      <c r="F16" s="13">
        <v>4787</v>
      </c>
      <c r="G16" s="13">
        <v>4776</v>
      </c>
      <c r="H16" s="13">
        <v>4777</v>
      </c>
      <c r="I16" s="13">
        <v>4819</v>
      </c>
      <c r="J16" s="13">
        <v>4776</v>
      </c>
      <c r="K16" s="13">
        <v>4847</v>
      </c>
      <c r="L16" s="13">
        <v>4918</v>
      </c>
      <c r="M16" s="13">
        <v>4916</v>
      </c>
      <c r="N16" s="13">
        <v>4888</v>
      </c>
      <c r="O16" s="13">
        <v>4664</v>
      </c>
      <c r="P16" s="13">
        <v>4447</v>
      </c>
      <c r="Q16" s="13">
        <v>4585</v>
      </c>
      <c r="R16" s="13">
        <v>4496</v>
      </c>
      <c r="S16" s="13">
        <v>4440</v>
      </c>
      <c r="T16" s="13">
        <v>4409</v>
      </c>
      <c r="U16" s="13">
        <v>4411</v>
      </c>
      <c r="V16" s="13">
        <v>4464</v>
      </c>
      <c r="W16" s="13">
        <v>4500</v>
      </c>
      <c r="X16" s="13">
        <v>4507</v>
      </c>
      <c r="Y16" s="13">
        <v>4457</v>
      </c>
      <c r="Z16" s="13">
        <v>4385</v>
      </c>
      <c r="AA16" s="13">
        <v>4344</v>
      </c>
      <c r="AB16" s="13">
        <v>4347</v>
      </c>
      <c r="AC16" s="13">
        <v>4414</v>
      </c>
      <c r="AD16" s="13">
        <v>4403</v>
      </c>
      <c r="AE16" s="13">
        <v>4400</v>
      </c>
      <c r="AF16" s="13">
        <v>4530</v>
      </c>
      <c r="AG16" s="13">
        <v>4591</v>
      </c>
      <c r="AH16" s="13">
        <v>4609</v>
      </c>
      <c r="AI16" s="13">
        <v>4540</v>
      </c>
      <c r="AJ16" s="13">
        <v>4570</v>
      </c>
      <c r="AK16" s="13">
        <v>4610</v>
      </c>
      <c r="AL16" s="13">
        <v>4595</v>
      </c>
      <c r="AM16" s="13">
        <v>4728</v>
      </c>
      <c r="AN16" s="13">
        <v>4683</v>
      </c>
      <c r="AO16" s="13">
        <v>4605</v>
      </c>
      <c r="AP16" s="13">
        <v>4615</v>
      </c>
      <c r="AQ16" s="13">
        <v>4833</v>
      </c>
      <c r="AR16" s="13">
        <v>4859</v>
      </c>
      <c r="AS16" s="13">
        <v>4896</v>
      </c>
      <c r="AT16" s="13">
        <v>4979</v>
      </c>
      <c r="AU16" s="13">
        <v>4924</v>
      </c>
      <c r="AV16" s="13">
        <v>5065</v>
      </c>
      <c r="AW16" s="13">
        <v>5038</v>
      </c>
      <c r="AX16" s="13">
        <v>5124</v>
      </c>
      <c r="AY16" s="13">
        <v>5320</v>
      </c>
      <c r="AZ16" s="13">
        <v>5432</v>
      </c>
      <c r="BA16" s="13">
        <v>5411</v>
      </c>
      <c r="BB16" s="13">
        <v>5436</v>
      </c>
      <c r="BC16" s="13">
        <v>5519</v>
      </c>
      <c r="BD16" s="13">
        <v>5500</v>
      </c>
      <c r="BE16" s="13">
        <v>5849</v>
      </c>
      <c r="BF16" s="13">
        <v>5882</v>
      </c>
      <c r="BG16" s="13">
        <v>5864</v>
      </c>
      <c r="BH16" s="13">
        <v>5500</v>
      </c>
      <c r="BI16" s="13">
        <v>5252</v>
      </c>
      <c r="BJ16" s="13">
        <v>5249</v>
      </c>
      <c r="BK16" s="13">
        <v>5398</v>
      </c>
      <c r="BL16" s="13">
        <v>5219</v>
      </c>
      <c r="BM16" s="4">
        <v>4990</v>
      </c>
      <c r="BN16" s="4">
        <v>4913</v>
      </c>
      <c r="BO16" s="4">
        <v>4810</v>
      </c>
      <c r="BP16" s="4">
        <v>4950</v>
      </c>
      <c r="BQ16" s="4">
        <v>4792</v>
      </c>
      <c r="BR16" s="4">
        <v>4746</v>
      </c>
      <c r="BS16" s="4">
        <v>4844</v>
      </c>
      <c r="BT16" s="4">
        <v>4910</v>
      </c>
      <c r="BU16" s="4">
        <v>4952</v>
      </c>
      <c r="BV16" s="4">
        <v>5086</v>
      </c>
      <c r="BW16" s="4">
        <v>4989</v>
      </c>
      <c r="BX16" s="4">
        <v>5193</v>
      </c>
      <c r="BY16" s="4">
        <v>5275</v>
      </c>
      <c r="BZ16" s="4">
        <v>5307</v>
      </c>
    </row>
    <row r="17" spans="1:78" ht="15.9" customHeight="1">
      <c r="A17" s="61" t="s">
        <v>29</v>
      </c>
      <c r="B17" s="6" t="s">
        <v>30</v>
      </c>
      <c r="C17" s="15">
        <f>_xll.RssMarket("5333","現在値")</f>
        <v>5895</v>
      </c>
      <c r="D17" s="16">
        <f t="shared" si="0"/>
        <v>292</v>
      </c>
      <c r="E17" s="13">
        <v>5603</v>
      </c>
      <c r="F17" s="13">
        <v>5532</v>
      </c>
      <c r="G17" s="13">
        <v>5594</v>
      </c>
      <c r="H17" s="13">
        <v>5245</v>
      </c>
      <c r="I17" s="13">
        <v>5180</v>
      </c>
      <c r="J17" s="13">
        <v>5538</v>
      </c>
      <c r="K17" s="13">
        <v>6063</v>
      </c>
      <c r="L17" s="13">
        <v>6085</v>
      </c>
      <c r="M17" s="13">
        <v>6213</v>
      </c>
      <c r="N17" s="13">
        <v>6219</v>
      </c>
      <c r="O17" s="13">
        <v>6109</v>
      </c>
      <c r="P17" s="13">
        <v>6005</v>
      </c>
      <c r="Q17" s="13">
        <v>6759</v>
      </c>
      <c r="R17" s="13">
        <v>6617</v>
      </c>
      <c r="S17" s="13">
        <v>6664</v>
      </c>
      <c r="T17" s="13">
        <v>7061</v>
      </c>
      <c r="U17" s="13">
        <v>7051</v>
      </c>
      <c r="V17" s="13">
        <v>6856</v>
      </c>
      <c r="W17" s="13">
        <v>7125</v>
      </c>
      <c r="X17" s="13">
        <v>7391</v>
      </c>
      <c r="Y17" s="13">
        <v>7473</v>
      </c>
      <c r="Z17" s="13">
        <v>7392</v>
      </c>
      <c r="AA17" s="13">
        <v>7660</v>
      </c>
      <c r="AB17" s="13">
        <v>7532</v>
      </c>
      <c r="AC17" s="13">
        <v>7441</v>
      </c>
      <c r="AD17" s="13">
        <v>7509</v>
      </c>
      <c r="AE17" s="13">
        <v>7853</v>
      </c>
      <c r="AF17" s="13">
        <v>7478</v>
      </c>
      <c r="AG17" s="13">
        <v>7424</v>
      </c>
      <c r="AH17" s="13">
        <v>7695</v>
      </c>
      <c r="AI17" s="13">
        <v>7332</v>
      </c>
      <c r="AJ17" s="13">
        <v>7308</v>
      </c>
      <c r="AK17" s="13">
        <v>6972</v>
      </c>
      <c r="AL17" s="13">
        <v>6747</v>
      </c>
      <c r="AM17" s="13">
        <v>6635</v>
      </c>
      <c r="AN17" s="13">
        <v>6117</v>
      </c>
      <c r="AO17" s="13">
        <v>5957</v>
      </c>
      <c r="AP17" s="13">
        <v>5933</v>
      </c>
      <c r="AQ17" s="13">
        <v>6092</v>
      </c>
      <c r="AR17" s="13">
        <v>6575</v>
      </c>
      <c r="AS17" s="13">
        <v>6356</v>
      </c>
      <c r="AT17" s="13">
        <v>6483</v>
      </c>
      <c r="AU17" s="13">
        <v>6170</v>
      </c>
      <c r="AV17" s="13">
        <v>6316</v>
      </c>
      <c r="AW17" s="13">
        <v>6120</v>
      </c>
      <c r="AX17" s="13">
        <v>6069</v>
      </c>
      <c r="AY17" s="13">
        <v>6210</v>
      </c>
      <c r="AZ17" s="13">
        <v>5861</v>
      </c>
      <c r="BA17" s="13">
        <v>5700</v>
      </c>
      <c r="BB17" s="13">
        <v>5456</v>
      </c>
      <c r="BC17" s="13">
        <v>5493</v>
      </c>
      <c r="BD17" s="13">
        <v>5609</v>
      </c>
      <c r="BE17" s="13">
        <v>5696</v>
      </c>
      <c r="BF17" s="13">
        <v>5787</v>
      </c>
      <c r="BG17" s="13">
        <v>5731</v>
      </c>
      <c r="BH17" s="13">
        <v>5614</v>
      </c>
      <c r="BI17" s="13">
        <v>5550</v>
      </c>
      <c r="BJ17" s="13">
        <v>5374</v>
      </c>
      <c r="BK17" s="13">
        <v>5345</v>
      </c>
      <c r="BL17" s="13">
        <v>5121</v>
      </c>
      <c r="BM17" s="4">
        <v>4961</v>
      </c>
      <c r="BN17" s="4">
        <v>4670</v>
      </c>
      <c r="BO17" s="4">
        <v>4613</v>
      </c>
      <c r="BP17" s="4">
        <v>4428</v>
      </c>
      <c r="BQ17" s="4">
        <v>4379</v>
      </c>
      <c r="BR17" s="4">
        <v>4481</v>
      </c>
      <c r="BS17" s="4">
        <v>4543</v>
      </c>
      <c r="BT17" s="4">
        <v>4521</v>
      </c>
      <c r="BU17" s="4">
        <v>4473</v>
      </c>
      <c r="BV17" s="4">
        <v>4561</v>
      </c>
      <c r="BW17" s="4">
        <v>4444</v>
      </c>
      <c r="BX17" s="4">
        <v>4449</v>
      </c>
      <c r="BY17" s="4">
        <v>4412</v>
      </c>
      <c r="BZ17" s="4">
        <v>4441</v>
      </c>
    </row>
    <row r="18" spans="1:78" ht="15.9" customHeight="1">
      <c r="A18" s="61" t="s">
        <v>31</v>
      </c>
      <c r="B18" s="6" t="s">
        <v>32</v>
      </c>
      <c r="C18" s="15">
        <f>_xll.RssMarket("1662","現在値")</f>
        <v>1683</v>
      </c>
      <c r="D18" s="16">
        <f t="shared" si="0"/>
        <v>-18</v>
      </c>
      <c r="E18" s="13">
        <v>1701</v>
      </c>
      <c r="F18" s="13">
        <v>1710</v>
      </c>
      <c r="G18" s="13">
        <v>1767</v>
      </c>
      <c r="H18" s="13">
        <v>1765</v>
      </c>
      <c r="I18" s="13">
        <v>1766</v>
      </c>
      <c r="J18" s="13">
        <v>1732</v>
      </c>
      <c r="K18" s="13">
        <v>1744</v>
      </c>
      <c r="L18" s="13"/>
      <c r="M18" s="13">
        <v>1770</v>
      </c>
      <c r="N18" s="13">
        <v>1734</v>
      </c>
      <c r="O18" s="13">
        <v>1718</v>
      </c>
      <c r="P18" s="13">
        <v>1664</v>
      </c>
      <c r="Q18" s="13">
        <v>1705</v>
      </c>
      <c r="R18" s="13">
        <v>1729</v>
      </c>
      <c r="S18" s="13">
        <v>1668</v>
      </c>
      <c r="T18" s="13">
        <v>1661</v>
      </c>
      <c r="U18" s="13">
        <v>1684</v>
      </c>
      <c r="V18" s="13">
        <v>1670</v>
      </c>
      <c r="W18" s="13">
        <v>1644</v>
      </c>
      <c r="X18" s="13">
        <v>1669</v>
      </c>
      <c r="Y18" s="13">
        <v>1613</v>
      </c>
      <c r="Z18" s="13">
        <v>1604</v>
      </c>
      <c r="AA18" s="13">
        <v>1570</v>
      </c>
      <c r="AB18" s="13">
        <v>1601</v>
      </c>
      <c r="AC18" s="13">
        <v>1605</v>
      </c>
      <c r="AD18" s="13">
        <v>1610</v>
      </c>
      <c r="AE18" s="13">
        <v>1569</v>
      </c>
      <c r="AF18" s="13">
        <v>1611</v>
      </c>
      <c r="AG18" s="13">
        <v>1614</v>
      </c>
      <c r="AH18" s="13">
        <v>1627</v>
      </c>
      <c r="AI18" s="13">
        <v>1636</v>
      </c>
      <c r="AJ18" s="13">
        <v>1639</v>
      </c>
      <c r="AK18" s="13">
        <v>1645</v>
      </c>
      <c r="AL18" s="13">
        <v>1648</v>
      </c>
      <c r="AM18" s="13">
        <v>1655</v>
      </c>
      <c r="AN18" s="13">
        <v>1658</v>
      </c>
      <c r="AO18" s="13">
        <v>1668</v>
      </c>
      <c r="AP18" s="13">
        <v>1639</v>
      </c>
      <c r="AQ18" s="13">
        <v>1734</v>
      </c>
      <c r="AR18" s="13">
        <v>1730</v>
      </c>
      <c r="AS18" s="13">
        <v>1721</v>
      </c>
      <c r="AT18" s="13">
        <v>1760</v>
      </c>
      <c r="AU18" s="13">
        <v>1761</v>
      </c>
      <c r="AV18" s="13">
        <v>1789</v>
      </c>
      <c r="AW18" s="13">
        <v>1868</v>
      </c>
      <c r="AX18" s="13">
        <v>1872</v>
      </c>
      <c r="AY18" s="13">
        <v>1840</v>
      </c>
      <c r="AZ18" s="13">
        <v>1900</v>
      </c>
      <c r="BA18" s="13">
        <v>1883</v>
      </c>
      <c r="BB18" s="13">
        <v>2021</v>
      </c>
      <c r="BC18" s="13">
        <v>1955</v>
      </c>
      <c r="BD18" s="13">
        <v>1933</v>
      </c>
      <c r="BE18" s="13">
        <v>1965</v>
      </c>
      <c r="BF18" s="13">
        <v>2012</v>
      </c>
      <c r="BG18" s="13">
        <v>1998</v>
      </c>
      <c r="BH18" s="13">
        <v>2198</v>
      </c>
      <c r="BI18" s="13">
        <v>2164</v>
      </c>
      <c r="BJ18" s="13">
        <v>2155</v>
      </c>
      <c r="BK18" s="13">
        <v>2117</v>
      </c>
      <c r="BL18" s="13">
        <v>2233</v>
      </c>
      <c r="BM18" s="4">
        <v>2275</v>
      </c>
      <c r="BN18" s="4">
        <v>2295</v>
      </c>
      <c r="BO18" s="4">
        <v>2181</v>
      </c>
      <c r="BP18" s="4">
        <v>2253</v>
      </c>
      <c r="BQ18" s="4">
        <v>2315</v>
      </c>
      <c r="BR18" s="4">
        <v>2127</v>
      </c>
      <c r="BS18" s="4">
        <v>2131</v>
      </c>
      <c r="BT18" s="4">
        <v>2168</v>
      </c>
      <c r="BU18" s="4">
        <v>2348</v>
      </c>
      <c r="BV18" s="4">
        <v>2396</v>
      </c>
      <c r="BW18" s="4">
        <v>2400</v>
      </c>
      <c r="BX18" s="4">
        <v>2491</v>
      </c>
      <c r="BY18" s="4">
        <v>2524</v>
      </c>
      <c r="BZ18" s="4">
        <v>2387</v>
      </c>
    </row>
    <row r="19" spans="1:78" ht="15.9" customHeight="1">
      <c r="A19" s="61" t="s">
        <v>33</v>
      </c>
      <c r="B19" s="6" t="s">
        <v>34</v>
      </c>
      <c r="C19" s="15">
        <f>_xll.RssMarket("8411","現在値")</f>
        <v>8471</v>
      </c>
      <c r="D19" s="16">
        <f t="shared" si="0"/>
        <v>340</v>
      </c>
      <c r="E19" s="13">
        <v>8131</v>
      </c>
      <c r="F19" s="13">
        <v>8094</v>
      </c>
      <c r="G19" s="13">
        <v>8167</v>
      </c>
      <c r="H19" s="13">
        <v>7818</v>
      </c>
      <c r="I19" s="13">
        <v>8112</v>
      </c>
      <c r="J19" s="13">
        <v>8210</v>
      </c>
      <c r="K19" s="13">
        <v>8631</v>
      </c>
      <c r="L19" s="13">
        <v>8652</v>
      </c>
      <c r="M19" s="13">
        <v>8766</v>
      </c>
      <c r="N19" s="13">
        <v>8529</v>
      </c>
      <c r="O19" s="13">
        <v>8302</v>
      </c>
      <c r="P19" s="13">
        <v>7930</v>
      </c>
      <c r="Q19" s="13">
        <v>8624</v>
      </c>
      <c r="R19" s="13">
        <v>8480</v>
      </c>
      <c r="S19" s="13">
        <v>8417</v>
      </c>
      <c r="T19" s="13">
        <v>8307</v>
      </c>
      <c r="U19" s="13">
        <v>8214</v>
      </c>
      <c r="V19" s="13">
        <v>8250</v>
      </c>
      <c r="W19" s="13">
        <v>8227</v>
      </c>
      <c r="X19" s="13">
        <v>8195</v>
      </c>
      <c r="Y19" s="13">
        <v>8078</v>
      </c>
      <c r="Z19" s="13">
        <v>7973</v>
      </c>
      <c r="AA19" s="13">
        <v>7814</v>
      </c>
      <c r="AB19" s="13">
        <v>7743</v>
      </c>
      <c r="AC19" s="13">
        <v>7652</v>
      </c>
      <c r="AD19" s="13">
        <v>7794</v>
      </c>
      <c r="AE19" s="13">
        <v>7725</v>
      </c>
      <c r="AF19" s="13">
        <v>7722</v>
      </c>
      <c r="AG19" s="13">
        <v>7820</v>
      </c>
      <c r="AH19" s="13">
        <v>8043</v>
      </c>
      <c r="AI19" s="13">
        <v>7884</v>
      </c>
      <c r="AJ19" s="13">
        <v>8249</v>
      </c>
      <c r="AK19" s="13">
        <v>8006</v>
      </c>
      <c r="AL19" s="13">
        <v>7757</v>
      </c>
      <c r="AM19" s="13">
        <v>7793</v>
      </c>
      <c r="AN19" s="13">
        <v>7563</v>
      </c>
      <c r="AO19" s="13">
        <v>7394</v>
      </c>
      <c r="AP19" s="13">
        <v>7614</v>
      </c>
      <c r="AQ19" s="13">
        <v>7562</v>
      </c>
      <c r="AR19" s="13">
        <v>7716</v>
      </c>
      <c r="AS19" s="13">
        <v>7645</v>
      </c>
      <c r="AT19" s="13">
        <v>7633</v>
      </c>
      <c r="AU19" s="13">
        <v>7346</v>
      </c>
      <c r="AV19" s="13">
        <v>7195</v>
      </c>
      <c r="AW19" s="13">
        <v>7065</v>
      </c>
      <c r="AX19" s="13">
        <v>7217</v>
      </c>
      <c r="AY19" s="13">
        <v>7304</v>
      </c>
      <c r="AZ19" s="13">
        <v>7457</v>
      </c>
      <c r="BA19" s="13">
        <v>7301</v>
      </c>
      <c r="BB19" s="13">
        <v>6982</v>
      </c>
      <c r="BC19" s="13">
        <v>6886</v>
      </c>
      <c r="BD19" s="13">
        <v>6525</v>
      </c>
      <c r="BE19" s="13">
        <v>6912</v>
      </c>
      <c r="BF19" s="13">
        <v>6984</v>
      </c>
      <c r="BG19" s="13">
        <v>7050</v>
      </c>
      <c r="BH19" s="13">
        <v>6970</v>
      </c>
      <c r="BI19" s="13">
        <v>6890</v>
      </c>
      <c r="BJ19" s="13">
        <v>6771</v>
      </c>
      <c r="BK19" s="13">
        <v>6926</v>
      </c>
      <c r="BL19" s="13">
        <v>6704</v>
      </c>
      <c r="BM19" s="4">
        <v>6722</v>
      </c>
      <c r="BN19" s="4">
        <v>6936</v>
      </c>
      <c r="BO19" s="4">
        <v>6598</v>
      </c>
      <c r="BP19" s="4">
        <v>6427</v>
      </c>
      <c r="BQ19" s="4">
        <v>6482</v>
      </c>
      <c r="BR19" s="4">
        <v>6613</v>
      </c>
      <c r="BS19" s="4">
        <v>6647</v>
      </c>
      <c r="BT19" s="4">
        <v>6775</v>
      </c>
      <c r="BU19" s="4">
        <v>6768</v>
      </c>
      <c r="BV19" s="4">
        <v>6872</v>
      </c>
      <c r="BW19" s="4">
        <v>6955</v>
      </c>
      <c r="BX19" s="4">
        <v>6790</v>
      </c>
      <c r="BY19" s="4">
        <v>6735</v>
      </c>
      <c r="BZ19" s="4">
        <v>6786</v>
      </c>
    </row>
    <row r="20" spans="1:78" ht="15.9" customHeight="1">
      <c r="A20" s="61" t="s">
        <v>35</v>
      </c>
      <c r="B20" s="6" t="s">
        <v>36</v>
      </c>
      <c r="C20" s="15">
        <f>_xll.RssMarket("5541","現在値")</f>
        <v>2529</v>
      </c>
      <c r="D20" s="16">
        <f t="shared" si="0"/>
        <v>36</v>
      </c>
      <c r="E20" s="13">
        <v>2493</v>
      </c>
      <c r="F20" s="13">
        <v>2430</v>
      </c>
      <c r="G20" s="13">
        <v>2469</v>
      </c>
      <c r="H20" s="13">
        <v>2379</v>
      </c>
      <c r="I20" s="13">
        <v>2361</v>
      </c>
      <c r="J20" s="13">
        <v>2361</v>
      </c>
      <c r="K20" s="13">
        <v>2413</v>
      </c>
      <c r="L20" s="13"/>
      <c r="M20" s="13">
        <v>2333</v>
      </c>
      <c r="N20" s="13">
        <v>2300</v>
      </c>
      <c r="O20" s="13">
        <v>2289</v>
      </c>
      <c r="P20" s="13">
        <v>2271</v>
      </c>
      <c r="Q20" s="13">
        <v>2295</v>
      </c>
      <c r="R20" s="13">
        <v>2273</v>
      </c>
      <c r="S20" s="13">
        <v>2249</v>
      </c>
      <c r="T20" s="13">
        <v>2259</v>
      </c>
      <c r="U20" s="13">
        <v>2206</v>
      </c>
      <c r="V20" s="13">
        <v>2220</v>
      </c>
      <c r="W20" s="13">
        <v>2271</v>
      </c>
      <c r="X20" s="13">
        <v>2346</v>
      </c>
      <c r="Y20" s="13">
        <v>2313</v>
      </c>
      <c r="Z20" s="13">
        <v>2283</v>
      </c>
      <c r="AA20" s="13">
        <v>2235</v>
      </c>
      <c r="AB20" s="13">
        <v>2164</v>
      </c>
      <c r="AC20" s="13">
        <v>2157</v>
      </c>
      <c r="AD20" s="13">
        <v>2150</v>
      </c>
      <c r="AE20" s="13">
        <v>2171</v>
      </c>
      <c r="AF20" s="13">
        <v>2196</v>
      </c>
      <c r="AG20" s="13">
        <v>2215</v>
      </c>
      <c r="AH20" s="13">
        <v>2320</v>
      </c>
      <c r="AI20" s="13">
        <v>2269</v>
      </c>
      <c r="AJ20" s="13">
        <v>2276</v>
      </c>
      <c r="AK20" s="13">
        <v>2285</v>
      </c>
      <c r="AL20" s="13">
        <v>2271</v>
      </c>
      <c r="AM20" s="13">
        <v>2325</v>
      </c>
      <c r="AN20" s="13">
        <v>2175</v>
      </c>
      <c r="AO20" s="13">
        <v>2109</v>
      </c>
      <c r="AP20" s="13">
        <v>2134</v>
      </c>
      <c r="AQ20" s="13">
        <v>2200</v>
      </c>
      <c r="AR20" s="13">
        <v>2273</v>
      </c>
      <c r="AS20" s="13">
        <v>2263</v>
      </c>
      <c r="AT20" s="13">
        <v>2319</v>
      </c>
      <c r="AU20" s="13">
        <v>2230</v>
      </c>
      <c r="AV20" s="13">
        <v>2311</v>
      </c>
      <c r="AW20" s="13">
        <v>2248</v>
      </c>
      <c r="AX20" s="13">
        <v>2294</v>
      </c>
      <c r="AY20" s="13">
        <v>2220</v>
      </c>
      <c r="AZ20" s="13">
        <v>2166</v>
      </c>
      <c r="BA20" s="13">
        <v>2165</v>
      </c>
      <c r="BB20" s="13">
        <v>2138</v>
      </c>
      <c r="BC20" s="13">
        <v>2231</v>
      </c>
      <c r="BD20" s="13">
        <v>2254</v>
      </c>
      <c r="BE20" s="13">
        <v>2404</v>
      </c>
      <c r="BF20" s="13">
        <v>2380</v>
      </c>
      <c r="BG20" s="13">
        <v>2472</v>
      </c>
      <c r="BH20" s="13">
        <v>2312</v>
      </c>
      <c r="BI20" s="13">
        <v>2664</v>
      </c>
      <c r="BJ20" s="13">
        <v>2649</v>
      </c>
      <c r="BK20" s="13">
        <v>2627</v>
      </c>
      <c r="BL20" s="13">
        <v>2580</v>
      </c>
      <c r="BM20" s="4">
        <v>2522</v>
      </c>
      <c r="BN20" s="4">
        <v>2656</v>
      </c>
      <c r="BO20" s="4">
        <v>2431</v>
      </c>
      <c r="BP20" s="4">
        <v>2442</v>
      </c>
      <c r="BQ20" s="4">
        <v>2463</v>
      </c>
      <c r="BR20" s="4">
        <v>2487</v>
      </c>
      <c r="BS20" s="4">
        <v>2554</v>
      </c>
      <c r="BT20" s="4">
        <v>2520</v>
      </c>
      <c r="BU20" s="4">
        <v>2582</v>
      </c>
      <c r="BV20" s="4">
        <v>2726</v>
      </c>
      <c r="BW20" s="4">
        <v>2649</v>
      </c>
      <c r="BX20" s="4">
        <v>2677</v>
      </c>
      <c r="BY20" s="4">
        <v>2619</v>
      </c>
      <c r="BZ20" s="4">
        <v>2673</v>
      </c>
    </row>
    <row r="21" spans="1:78" ht="15.9" customHeight="1">
      <c r="A21" s="61" t="s">
        <v>37</v>
      </c>
      <c r="B21" s="6" t="s">
        <v>38</v>
      </c>
      <c r="C21" s="15">
        <f>_xll.RssMarket("5332","現在値")</f>
        <v>6584</v>
      </c>
      <c r="D21" s="16">
        <f t="shared" si="0"/>
        <v>289</v>
      </c>
      <c r="E21" s="13">
        <v>6295</v>
      </c>
      <c r="F21" s="13">
        <v>6171</v>
      </c>
      <c r="G21" s="13">
        <v>7010</v>
      </c>
      <c r="H21" s="13">
        <v>6717</v>
      </c>
      <c r="I21" s="13">
        <v>6707</v>
      </c>
      <c r="J21" s="13">
        <v>6937</v>
      </c>
      <c r="K21" s="13">
        <v>7453</v>
      </c>
      <c r="L21" s="13"/>
      <c r="M21" s="13">
        <v>7561</v>
      </c>
      <c r="N21" s="13">
        <v>7606</v>
      </c>
      <c r="O21" s="13">
        <v>7533</v>
      </c>
      <c r="P21" s="13">
        <v>7451</v>
      </c>
      <c r="Q21" s="13">
        <v>7946</v>
      </c>
      <c r="R21" s="13">
        <v>7973</v>
      </c>
      <c r="S21" s="13">
        <v>7888</v>
      </c>
      <c r="T21" s="13">
        <v>8059</v>
      </c>
      <c r="U21" s="13">
        <v>8119</v>
      </c>
      <c r="V21" s="13">
        <v>8076</v>
      </c>
      <c r="W21" s="13">
        <v>8435</v>
      </c>
      <c r="X21" s="13">
        <v>8551</v>
      </c>
      <c r="Y21" s="13">
        <v>8586</v>
      </c>
      <c r="Z21" s="13">
        <v>8461</v>
      </c>
      <c r="AA21" s="13">
        <v>8263</v>
      </c>
      <c r="AB21" s="13">
        <v>8611</v>
      </c>
      <c r="AC21" s="13">
        <v>8490</v>
      </c>
      <c r="AD21" s="13">
        <v>8533</v>
      </c>
      <c r="AE21" s="13">
        <v>8868</v>
      </c>
      <c r="AF21" s="13">
        <v>8701</v>
      </c>
      <c r="AG21" s="13">
        <v>8853</v>
      </c>
      <c r="AH21" s="13">
        <v>9315</v>
      </c>
      <c r="AI21" s="13">
        <v>8390</v>
      </c>
      <c r="AJ21" s="13">
        <v>8262</v>
      </c>
      <c r="AK21" s="13">
        <v>8297</v>
      </c>
      <c r="AL21" s="13">
        <v>8144</v>
      </c>
      <c r="AM21" s="13">
        <v>8190</v>
      </c>
      <c r="AN21" s="13">
        <v>7681</v>
      </c>
      <c r="AO21" s="13">
        <v>7450</v>
      </c>
      <c r="AP21" s="13">
        <v>7500</v>
      </c>
      <c r="AQ21" s="13">
        <v>7664</v>
      </c>
      <c r="AR21" s="13">
        <v>8003</v>
      </c>
      <c r="AS21" s="13">
        <v>8026</v>
      </c>
      <c r="AT21" s="13">
        <v>7926</v>
      </c>
      <c r="AU21" s="13">
        <v>7284</v>
      </c>
      <c r="AV21" s="13">
        <v>7678</v>
      </c>
      <c r="AW21" s="13">
        <v>7381</v>
      </c>
      <c r="AX21" s="13">
        <v>7290</v>
      </c>
      <c r="AY21" s="13">
        <v>7057</v>
      </c>
      <c r="AZ21" s="13">
        <v>6820</v>
      </c>
      <c r="BA21" s="13">
        <v>6570</v>
      </c>
      <c r="BB21" s="13">
        <v>6399</v>
      </c>
      <c r="BC21" s="13">
        <v>6689</v>
      </c>
      <c r="BD21" s="13">
        <v>6929</v>
      </c>
      <c r="BE21" s="13">
        <v>7127</v>
      </c>
      <c r="BF21" s="13">
        <v>7235</v>
      </c>
      <c r="BG21" s="13">
        <v>6906</v>
      </c>
      <c r="BH21" s="13">
        <v>6896</v>
      </c>
      <c r="BI21" s="13">
        <v>7175</v>
      </c>
      <c r="BJ21" s="13">
        <v>7083</v>
      </c>
      <c r="BK21" s="13">
        <v>6740</v>
      </c>
      <c r="BL21" s="13">
        <v>6425</v>
      </c>
      <c r="BM21" s="4">
        <v>5425</v>
      </c>
      <c r="BN21" s="4">
        <v>5425</v>
      </c>
      <c r="BO21" s="4">
        <v>5373</v>
      </c>
      <c r="BP21" s="4">
        <v>5346</v>
      </c>
      <c r="BQ21" s="4">
        <v>5221</v>
      </c>
      <c r="BR21" s="4">
        <v>5242</v>
      </c>
      <c r="BS21" s="4">
        <v>5384</v>
      </c>
      <c r="BT21" s="4">
        <v>5547</v>
      </c>
      <c r="BU21" s="4">
        <v>5522</v>
      </c>
      <c r="BV21" s="4">
        <v>5578</v>
      </c>
      <c r="BW21" s="4">
        <v>5500</v>
      </c>
      <c r="BX21" s="4">
        <v>5421</v>
      </c>
      <c r="BY21" s="4">
        <v>5322</v>
      </c>
      <c r="BZ21" s="4">
        <v>5732</v>
      </c>
    </row>
    <row r="22" spans="1:78" ht="15.9" customHeight="1">
      <c r="A22" s="61" t="s">
        <v>39</v>
      </c>
      <c r="B22" s="6" t="s">
        <v>40</v>
      </c>
      <c r="C22" s="15">
        <f>_xll.RssMarket("8725","現在値")</f>
        <v>4749</v>
      </c>
      <c r="D22" s="16">
        <f t="shared" si="0"/>
        <v>7</v>
      </c>
      <c r="E22" s="13">
        <v>4742</v>
      </c>
      <c r="F22" s="13">
        <v>4820</v>
      </c>
      <c r="G22" s="13">
        <v>4924</v>
      </c>
      <c r="H22" s="13">
        <v>4988</v>
      </c>
      <c r="I22" s="13">
        <v>5050</v>
      </c>
      <c r="J22" s="13">
        <v>5039</v>
      </c>
      <c r="K22" s="13">
        <v>5029</v>
      </c>
      <c r="L22" s="13">
        <v>4898</v>
      </c>
      <c r="M22" s="13">
        <v>4873</v>
      </c>
      <c r="N22" s="13">
        <v>4801</v>
      </c>
      <c r="O22" s="13">
        <v>4740</v>
      </c>
      <c r="P22" s="13">
        <v>4483</v>
      </c>
      <c r="Q22" s="13">
        <v>4574</v>
      </c>
      <c r="R22" s="13">
        <v>4513</v>
      </c>
      <c r="S22" s="13">
        <v>4431</v>
      </c>
      <c r="T22" s="13">
        <v>4428</v>
      </c>
      <c r="U22" s="13">
        <v>4505</v>
      </c>
      <c r="V22" s="13">
        <v>4520</v>
      </c>
      <c r="W22" s="13">
        <v>4534</v>
      </c>
      <c r="X22" s="13">
        <v>4552</v>
      </c>
      <c r="Y22" s="13">
        <v>4454</v>
      </c>
      <c r="Z22" s="13">
        <v>4395</v>
      </c>
      <c r="AA22" s="13">
        <v>4281</v>
      </c>
      <c r="AB22" s="13">
        <v>4240</v>
      </c>
      <c r="AC22" s="13">
        <v>4260</v>
      </c>
      <c r="AD22" s="13">
        <v>4241</v>
      </c>
      <c r="AE22" s="13">
        <v>4252</v>
      </c>
      <c r="AF22" s="13">
        <v>4450</v>
      </c>
      <c r="AG22" s="13">
        <v>4616</v>
      </c>
      <c r="AH22" s="13">
        <v>4640</v>
      </c>
      <c r="AI22" s="13">
        <v>4551</v>
      </c>
      <c r="AJ22" s="13">
        <v>4588</v>
      </c>
      <c r="AK22" s="13">
        <v>4557</v>
      </c>
      <c r="AL22" s="13">
        <v>4616</v>
      </c>
      <c r="AM22" s="13">
        <v>4673</v>
      </c>
      <c r="AN22" s="13">
        <v>4597</v>
      </c>
      <c r="AO22" s="13">
        <v>4552</v>
      </c>
      <c r="AP22" s="13">
        <v>4597</v>
      </c>
      <c r="AQ22" s="13">
        <v>4402</v>
      </c>
      <c r="AR22" s="13">
        <v>4325</v>
      </c>
      <c r="AS22" s="13">
        <v>4247</v>
      </c>
      <c r="AT22" s="13">
        <v>4294</v>
      </c>
      <c r="AU22" s="13">
        <v>4266</v>
      </c>
      <c r="AV22" s="13">
        <v>4287</v>
      </c>
      <c r="AW22" s="13">
        <v>4245</v>
      </c>
      <c r="AX22" s="13">
        <v>4290</v>
      </c>
      <c r="AY22" s="13">
        <v>4216</v>
      </c>
      <c r="AZ22" s="13">
        <v>4245</v>
      </c>
      <c r="BA22" s="13">
        <v>4350</v>
      </c>
      <c r="BB22" s="13">
        <v>4420</v>
      </c>
      <c r="BC22" s="13">
        <v>4503</v>
      </c>
      <c r="BD22" s="13">
        <v>4420</v>
      </c>
      <c r="BE22" s="13">
        <v>4391</v>
      </c>
      <c r="BF22" s="13">
        <v>4399</v>
      </c>
      <c r="BG22" s="13">
        <v>4414</v>
      </c>
      <c r="BH22" s="13">
        <v>4285</v>
      </c>
      <c r="BI22" s="13">
        <v>4024</v>
      </c>
      <c r="BJ22" s="13">
        <v>3978</v>
      </c>
      <c r="BK22" s="13">
        <v>4003</v>
      </c>
      <c r="BL22" s="13">
        <v>3996</v>
      </c>
      <c r="BM22" s="4">
        <v>4034</v>
      </c>
      <c r="BN22" s="4">
        <v>4019</v>
      </c>
      <c r="BO22" s="4">
        <v>3931</v>
      </c>
      <c r="BP22" s="4">
        <v>3946</v>
      </c>
      <c r="BQ22" s="4">
        <v>3974</v>
      </c>
      <c r="BR22" s="4">
        <v>3996</v>
      </c>
      <c r="BS22" s="4">
        <v>4014</v>
      </c>
      <c r="BT22" s="4">
        <v>4026</v>
      </c>
      <c r="BU22" s="4">
        <v>4055</v>
      </c>
      <c r="BV22" s="4">
        <v>4121</v>
      </c>
      <c r="BW22" s="4">
        <v>4046</v>
      </c>
      <c r="BX22" s="4">
        <v>4046</v>
      </c>
      <c r="BY22" s="4">
        <v>4064</v>
      </c>
      <c r="BZ22" s="4">
        <v>4077</v>
      </c>
    </row>
    <row r="23" spans="1:78" ht="15.9" customHeight="1">
      <c r="A23" s="61" t="s">
        <v>41</v>
      </c>
      <c r="B23" s="6" t="s">
        <v>42</v>
      </c>
      <c r="C23" s="15">
        <f>_xll.RssMarket("8795","現在値")</f>
        <v>5022</v>
      </c>
      <c r="D23" s="16">
        <f t="shared" si="0"/>
        <v>53</v>
      </c>
      <c r="E23" s="13">
        <v>4969</v>
      </c>
      <c r="F23" s="13">
        <v>4969</v>
      </c>
      <c r="G23" s="13">
        <v>5088</v>
      </c>
      <c r="H23" s="13">
        <v>5020</v>
      </c>
      <c r="I23" s="13">
        <v>5080</v>
      </c>
      <c r="J23" s="13">
        <v>5032</v>
      </c>
      <c r="K23" s="13">
        <v>5176</v>
      </c>
      <c r="L23" s="13"/>
      <c r="M23" s="13">
        <v>5049</v>
      </c>
      <c r="N23" s="13">
        <v>5068</v>
      </c>
      <c r="O23" s="13">
        <v>4996</v>
      </c>
      <c r="P23" s="13">
        <v>4793</v>
      </c>
      <c r="Q23" s="13">
        <v>5050</v>
      </c>
      <c r="R23" s="13">
        <v>4952</v>
      </c>
      <c r="S23" s="13">
        <v>4928</v>
      </c>
      <c r="T23" s="13">
        <v>4916</v>
      </c>
      <c r="U23" s="13">
        <v>4947</v>
      </c>
      <c r="V23" s="13">
        <v>4934</v>
      </c>
      <c r="W23" s="13">
        <v>4953</v>
      </c>
      <c r="X23" s="13">
        <v>5053</v>
      </c>
      <c r="Y23" s="13">
        <v>4954</v>
      </c>
      <c r="Z23" s="13">
        <v>4904</v>
      </c>
      <c r="AA23" s="13">
        <v>4815</v>
      </c>
      <c r="AB23" s="13">
        <v>4807</v>
      </c>
      <c r="AC23" s="13">
        <v>4680</v>
      </c>
      <c r="AD23" s="13">
        <v>4682</v>
      </c>
      <c r="AE23" s="13">
        <v>4690</v>
      </c>
      <c r="AF23" s="13">
        <v>4627</v>
      </c>
      <c r="AG23" s="13">
        <v>4909</v>
      </c>
      <c r="AH23" s="13">
        <v>4984</v>
      </c>
      <c r="AI23" s="13">
        <v>4894</v>
      </c>
      <c r="AJ23" s="13">
        <v>4930</v>
      </c>
      <c r="AK23" s="13">
        <v>4746</v>
      </c>
      <c r="AL23" s="13">
        <v>4902</v>
      </c>
      <c r="AM23" s="13">
        <v>4802</v>
      </c>
      <c r="AN23" s="13">
        <v>4712</v>
      </c>
      <c r="AO23" s="13">
        <v>4656</v>
      </c>
      <c r="AP23" s="13">
        <v>4686</v>
      </c>
      <c r="AQ23" s="13">
        <v>4395</v>
      </c>
      <c r="AR23" s="13">
        <v>4390</v>
      </c>
      <c r="AS23" s="13">
        <v>4125</v>
      </c>
      <c r="AT23" s="13">
        <v>4231</v>
      </c>
      <c r="AU23" s="13">
        <v>4250</v>
      </c>
      <c r="AV23" s="13">
        <v>4194</v>
      </c>
      <c r="AW23" s="13">
        <v>4095</v>
      </c>
      <c r="AX23" s="13">
        <v>4151</v>
      </c>
      <c r="AY23" s="13">
        <v>4091</v>
      </c>
      <c r="AZ23" s="13">
        <v>4118</v>
      </c>
      <c r="BA23" s="13">
        <v>4075</v>
      </c>
      <c r="BB23" s="13">
        <v>4140</v>
      </c>
      <c r="BC23" s="13">
        <v>4151</v>
      </c>
      <c r="BD23" s="13">
        <v>4001</v>
      </c>
      <c r="BE23" s="13">
        <v>3949</v>
      </c>
      <c r="BF23" s="13">
        <v>4002</v>
      </c>
      <c r="BG23" s="13">
        <v>3987</v>
      </c>
      <c r="BH23" s="13">
        <v>3957</v>
      </c>
      <c r="BI23" s="13">
        <v>3986</v>
      </c>
      <c r="BJ23" s="13">
        <v>3878</v>
      </c>
      <c r="BK23" s="13">
        <v>3939</v>
      </c>
      <c r="BL23" s="13">
        <v>3782</v>
      </c>
      <c r="BM23" s="4">
        <v>3792</v>
      </c>
      <c r="BN23" s="4">
        <v>3773</v>
      </c>
      <c r="BO23" s="4">
        <v>3655</v>
      </c>
      <c r="BP23" s="4">
        <v>3680</v>
      </c>
      <c r="BQ23" s="4">
        <v>3704</v>
      </c>
      <c r="BR23" s="4">
        <v>3767</v>
      </c>
      <c r="BS23" s="4">
        <v>3820</v>
      </c>
      <c r="BT23" s="4">
        <v>3921</v>
      </c>
      <c r="BU23" s="4">
        <v>4000</v>
      </c>
      <c r="BV23" s="4">
        <v>4083</v>
      </c>
      <c r="BW23" s="4">
        <v>4012</v>
      </c>
      <c r="BX23" s="4">
        <v>4068</v>
      </c>
      <c r="BY23" s="4">
        <v>4005</v>
      </c>
      <c r="BZ23" s="4">
        <v>4024</v>
      </c>
    </row>
    <row r="24" spans="1:78" ht="15.9" customHeight="1">
      <c r="A24" s="61" t="s">
        <v>43</v>
      </c>
      <c r="B24" s="6" t="s">
        <v>44</v>
      </c>
      <c r="C24" s="15">
        <f>_xll.RssMarket("5019","現在値")</f>
        <v>1239.5</v>
      </c>
      <c r="D24" s="16">
        <f t="shared" si="0"/>
        <v>-10</v>
      </c>
      <c r="E24" s="13">
        <v>1249.5</v>
      </c>
      <c r="F24" s="13">
        <v>1267</v>
      </c>
      <c r="G24" s="13">
        <v>1311</v>
      </c>
      <c r="H24" s="13">
        <v>1308.5</v>
      </c>
      <c r="I24" s="13">
        <v>1321</v>
      </c>
      <c r="J24" s="13">
        <v>1307</v>
      </c>
      <c r="K24" s="13">
        <v>1314</v>
      </c>
      <c r="L24" s="13">
        <v>1333.5</v>
      </c>
      <c r="M24" s="13">
        <v>1325</v>
      </c>
      <c r="N24" s="13">
        <v>1316</v>
      </c>
      <c r="O24" s="13">
        <v>1292.5</v>
      </c>
      <c r="P24" s="13">
        <v>1241</v>
      </c>
      <c r="Q24" s="13">
        <v>1279.5</v>
      </c>
      <c r="R24" s="13">
        <v>1270.5</v>
      </c>
      <c r="S24" s="13">
        <v>1246.5</v>
      </c>
      <c r="T24" s="13">
        <v>1240</v>
      </c>
      <c r="U24" s="13">
        <v>1243</v>
      </c>
      <c r="V24" s="13">
        <v>1236.5</v>
      </c>
      <c r="W24" s="13">
        <v>1235.5</v>
      </c>
      <c r="X24" s="13">
        <v>1243.5</v>
      </c>
      <c r="Y24" s="13">
        <v>1214.5</v>
      </c>
      <c r="Z24" s="13">
        <v>1203</v>
      </c>
      <c r="AA24" s="13">
        <v>1186.5</v>
      </c>
      <c r="AB24" s="13">
        <v>1198</v>
      </c>
      <c r="AC24" s="13">
        <v>1206.5</v>
      </c>
      <c r="AD24" s="13">
        <v>1223.5</v>
      </c>
      <c r="AE24" s="13">
        <v>1209.5</v>
      </c>
      <c r="AF24" s="13">
        <v>1233</v>
      </c>
      <c r="AG24" s="13">
        <v>1250</v>
      </c>
      <c r="AH24" s="13">
        <v>1254</v>
      </c>
      <c r="AI24" s="13">
        <v>1259.5</v>
      </c>
      <c r="AJ24" s="13">
        <v>1246</v>
      </c>
      <c r="AK24" s="13">
        <v>1284.5</v>
      </c>
      <c r="AL24" s="13">
        <v>1287.5</v>
      </c>
      <c r="AM24" s="13">
        <v>1331.5</v>
      </c>
      <c r="AN24" s="13">
        <v>1314.5</v>
      </c>
      <c r="AO24" s="13">
        <v>1344</v>
      </c>
      <c r="AP24" s="13">
        <v>1332</v>
      </c>
      <c r="AQ24" s="13">
        <v>1348.5</v>
      </c>
      <c r="AR24" s="13">
        <v>1381</v>
      </c>
      <c r="AS24" s="13">
        <v>1397</v>
      </c>
      <c r="AT24" s="13">
        <v>1407.5</v>
      </c>
      <c r="AU24" s="13">
        <v>1354.5</v>
      </c>
      <c r="AV24" s="13">
        <v>1398.5</v>
      </c>
      <c r="AW24" s="13">
        <v>1314.5</v>
      </c>
      <c r="AX24" s="13">
        <v>1326.5</v>
      </c>
      <c r="AY24" s="13">
        <v>1313</v>
      </c>
      <c r="AZ24" s="13">
        <v>1332</v>
      </c>
      <c r="BA24" s="13">
        <v>1346</v>
      </c>
      <c r="BB24" s="13">
        <v>1374.5</v>
      </c>
      <c r="BC24" s="13">
        <v>1376.5</v>
      </c>
      <c r="BD24" s="13">
        <v>1365.5</v>
      </c>
      <c r="BE24" s="13">
        <v>1428</v>
      </c>
      <c r="BF24" s="13">
        <v>1417.5</v>
      </c>
      <c r="BG24" s="13">
        <v>1389</v>
      </c>
      <c r="BH24" s="13">
        <v>1394</v>
      </c>
      <c r="BI24" s="13">
        <v>1360</v>
      </c>
      <c r="BJ24" s="13">
        <v>1340.5</v>
      </c>
      <c r="BK24" s="13">
        <v>1370</v>
      </c>
      <c r="BL24" s="13">
        <v>1370</v>
      </c>
      <c r="BM24" s="4">
        <v>1348.5</v>
      </c>
      <c r="BN24" s="4">
        <v>1348</v>
      </c>
      <c r="BO24" s="4">
        <v>1315</v>
      </c>
      <c r="BP24" s="4">
        <v>1336</v>
      </c>
      <c r="BQ24" s="4">
        <v>1345.5</v>
      </c>
      <c r="BR24" s="4">
        <v>1385</v>
      </c>
      <c r="BS24" s="4">
        <v>1411.5</v>
      </c>
      <c r="BT24" s="4">
        <v>1444.5</v>
      </c>
      <c r="BU24" s="4">
        <v>1487.5</v>
      </c>
      <c r="BV24" s="4">
        <v>1505</v>
      </c>
      <c r="BW24" s="4">
        <v>1509</v>
      </c>
      <c r="BX24" s="4">
        <v>1536</v>
      </c>
      <c r="BY24" s="4">
        <v>1545.5</v>
      </c>
      <c r="BZ24" s="4">
        <v>1544</v>
      </c>
    </row>
    <row r="25" spans="1:78" ht="15.9" customHeight="1">
      <c r="A25" s="61" t="s">
        <v>45</v>
      </c>
      <c r="B25" s="6" t="s">
        <v>46</v>
      </c>
      <c r="C25" s="15">
        <f>_xll.RssMarket("8053","現在値")</f>
        <v>1707</v>
      </c>
      <c r="D25" s="16">
        <f t="shared" si="0"/>
        <v>1707</v>
      </c>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row>
    <row r="26" spans="1:78" ht="15.9" customHeight="1">
      <c r="A26" s="61" t="s">
        <v>47</v>
      </c>
      <c r="B26" s="6" t="s">
        <v>48</v>
      </c>
      <c r="C26" s="15">
        <f>_xll.RssMarket("8591","現在値")</f>
        <v>6505</v>
      </c>
      <c r="D26" s="16">
        <f t="shared" si="0"/>
        <v>177</v>
      </c>
      <c r="E26" s="13">
        <v>6328</v>
      </c>
      <c r="F26" s="13">
        <v>6348</v>
      </c>
      <c r="G26" s="13">
        <v>6410</v>
      </c>
      <c r="H26" s="13">
        <v>6315</v>
      </c>
      <c r="I26" s="13">
        <v>6496</v>
      </c>
      <c r="J26" s="13">
        <v>6400</v>
      </c>
      <c r="K26" s="13">
        <v>6673</v>
      </c>
      <c r="L26" s="13">
        <v>6535</v>
      </c>
      <c r="M26" s="13">
        <v>6617</v>
      </c>
      <c r="N26" s="13">
        <v>6582</v>
      </c>
      <c r="O26" s="13">
        <v>6502</v>
      </c>
      <c r="P26" s="13">
        <v>6203</v>
      </c>
      <c r="Q26" s="13">
        <v>6593</v>
      </c>
      <c r="R26" s="13">
        <v>6430</v>
      </c>
      <c r="S26" s="13">
        <v>6391</v>
      </c>
      <c r="T26" s="13">
        <v>6469</v>
      </c>
      <c r="U26" s="13">
        <v>6449</v>
      </c>
      <c r="V26" s="13">
        <v>6377</v>
      </c>
      <c r="W26" s="13">
        <v>6418</v>
      </c>
      <c r="X26" s="13">
        <v>6388</v>
      </c>
      <c r="Y26" s="13">
        <v>6331</v>
      </c>
      <c r="Z26" s="13">
        <v>6278</v>
      </c>
      <c r="AA26" s="13">
        <v>6199</v>
      </c>
      <c r="AB26" s="13">
        <v>6149</v>
      </c>
      <c r="AC26" s="13">
        <v>6138</v>
      </c>
      <c r="AD26" s="13">
        <v>6140</v>
      </c>
      <c r="AE26" s="13">
        <v>6169</v>
      </c>
      <c r="AF26" s="13">
        <v>6207</v>
      </c>
      <c r="AG26" s="13">
        <v>6334</v>
      </c>
      <c r="AH26" s="13">
        <v>6485</v>
      </c>
      <c r="AI26" s="13">
        <v>6325</v>
      </c>
      <c r="AJ26" s="13">
        <v>6462</v>
      </c>
      <c r="AK26" s="13">
        <v>6336</v>
      </c>
      <c r="AL26" s="13">
        <v>6305</v>
      </c>
      <c r="AM26" s="13">
        <v>6170</v>
      </c>
      <c r="AN26" s="13">
        <v>6092</v>
      </c>
      <c r="AO26" s="13">
        <v>6050</v>
      </c>
      <c r="AP26" s="13">
        <v>6167</v>
      </c>
      <c r="AQ26" s="13">
        <v>6101</v>
      </c>
      <c r="AR26" s="13">
        <v>6113</v>
      </c>
      <c r="AS26" s="13">
        <v>6250</v>
      </c>
      <c r="AT26" s="13">
        <v>6300</v>
      </c>
      <c r="AU26" s="13">
        <v>6220</v>
      </c>
      <c r="AV26" s="13">
        <v>6237</v>
      </c>
      <c r="AW26" s="13">
        <v>6124</v>
      </c>
      <c r="AX26" s="13">
        <v>6156</v>
      </c>
      <c r="AY26" s="13">
        <v>6286</v>
      </c>
      <c r="AZ26" s="13">
        <v>6230</v>
      </c>
      <c r="BA26" s="13">
        <v>6241</v>
      </c>
      <c r="BB26" s="13">
        <v>6052</v>
      </c>
      <c r="BC26" s="13">
        <v>5914</v>
      </c>
      <c r="BD26" s="13">
        <v>5778</v>
      </c>
      <c r="BE26" s="13">
        <v>5772</v>
      </c>
      <c r="BF26" s="13">
        <v>5787</v>
      </c>
      <c r="BG26" s="13">
        <v>6018</v>
      </c>
      <c r="BH26" s="13">
        <v>5986</v>
      </c>
      <c r="BI26" s="13">
        <v>5514</v>
      </c>
      <c r="BJ26" s="13">
        <v>5277</v>
      </c>
      <c r="BK26" s="13">
        <v>5252</v>
      </c>
      <c r="BL26" s="13">
        <v>5209</v>
      </c>
      <c r="BM26" s="4">
        <v>5275</v>
      </c>
      <c r="BN26" s="4">
        <v>5350</v>
      </c>
      <c r="BO26" s="4">
        <v>4871</v>
      </c>
      <c r="BP26" s="4">
        <v>4846</v>
      </c>
      <c r="BQ26" s="4">
        <v>4850</v>
      </c>
      <c r="BR26" s="4">
        <v>4897</v>
      </c>
      <c r="BS26" s="4">
        <v>4947</v>
      </c>
      <c r="BT26" s="4">
        <v>5040</v>
      </c>
      <c r="BU26" s="4">
        <v>5010</v>
      </c>
      <c r="BV26" s="4">
        <v>5069</v>
      </c>
      <c r="BW26" s="4">
        <v>5033</v>
      </c>
      <c r="BX26" s="4">
        <v>4982</v>
      </c>
      <c r="BY26" s="4">
        <v>4835</v>
      </c>
      <c r="BZ26" s="4">
        <v>4879</v>
      </c>
    </row>
    <row r="27" spans="1:78" ht="15.9" customHeight="1">
      <c r="A27" s="61" t="s">
        <v>49</v>
      </c>
      <c r="B27" s="6" t="s">
        <v>50</v>
      </c>
      <c r="C27" s="15">
        <f>_xll.RssMarket("3401","現在値")</f>
        <v>1627.5</v>
      </c>
      <c r="D27" s="16">
        <f t="shared" si="0"/>
        <v>1627.5</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row>
    <row r="28" spans="1:78" ht="15.9" customHeight="1">
      <c r="A28" s="61" t="s">
        <v>51</v>
      </c>
      <c r="B28" s="6" t="s">
        <v>52</v>
      </c>
      <c r="C28" s="15">
        <f>_xll.RssMarket("3436","現在値")</f>
        <v>3716</v>
      </c>
      <c r="D28" s="16">
        <f t="shared" si="0"/>
        <v>-2612</v>
      </c>
      <c r="E28" s="13">
        <v>6328</v>
      </c>
      <c r="F28" s="13">
        <v>6348</v>
      </c>
      <c r="G28" s="13">
        <v>6410</v>
      </c>
      <c r="H28" s="13">
        <v>6315</v>
      </c>
      <c r="I28" s="13">
        <v>6496</v>
      </c>
      <c r="J28" s="13">
        <v>6400</v>
      </c>
      <c r="K28" s="13">
        <v>6673</v>
      </c>
      <c r="L28" s="13">
        <v>3623</v>
      </c>
      <c r="M28" s="13">
        <v>6617</v>
      </c>
      <c r="N28" s="13">
        <v>6582</v>
      </c>
      <c r="O28" s="13">
        <v>6502</v>
      </c>
      <c r="P28" s="13">
        <v>6203</v>
      </c>
      <c r="Q28" s="13">
        <v>6593</v>
      </c>
      <c r="R28" s="13">
        <v>6430</v>
      </c>
      <c r="S28" s="13">
        <v>6391</v>
      </c>
      <c r="T28" s="13">
        <v>6469</v>
      </c>
      <c r="U28" s="13">
        <v>6449</v>
      </c>
      <c r="V28" s="13">
        <v>6377</v>
      </c>
      <c r="W28" s="13">
        <v>6418</v>
      </c>
      <c r="X28" s="13">
        <v>6388</v>
      </c>
      <c r="Y28" s="13">
        <v>6331</v>
      </c>
      <c r="Z28" s="13">
        <v>6278</v>
      </c>
      <c r="AA28" s="13">
        <v>6199</v>
      </c>
      <c r="AB28" s="13">
        <v>6149</v>
      </c>
      <c r="AC28" s="13">
        <v>6138</v>
      </c>
      <c r="AD28" s="13">
        <v>6140</v>
      </c>
      <c r="AE28" s="13">
        <v>6169</v>
      </c>
      <c r="AF28" s="13">
        <v>6207</v>
      </c>
      <c r="AG28" s="13">
        <v>6334</v>
      </c>
      <c r="AH28" s="13">
        <v>6485</v>
      </c>
      <c r="AI28" s="13">
        <v>6325</v>
      </c>
      <c r="AJ28" s="13">
        <v>6462</v>
      </c>
      <c r="AK28" s="13">
        <v>6336</v>
      </c>
      <c r="AL28" s="13">
        <v>6305</v>
      </c>
      <c r="AM28" s="13">
        <v>6170</v>
      </c>
      <c r="AN28" s="13">
        <v>6092</v>
      </c>
      <c r="AO28" s="13">
        <v>6050</v>
      </c>
      <c r="AP28" s="13">
        <v>6167</v>
      </c>
      <c r="AQ28" s="13">
        <v>6101</v>
      </c>
      <c r="AR28" s="13">
        <v>6113</v>
      </c>
      <c r="AS28" s="13">
        <v>6250</v>
      </c>
      <c r="AT28" s="13">
        <v>6300</v>
      </c>
      <c r="AU28" s="13">
        <v>6220</v>
      </c>
      <c r="AV28" s="13">
        <v>6237</v>
      </c>
      <c r="AW28" s="13">
        <v>6124</v>
      </c>
      <c r="AX28" s="13">
        <v>6156</v>
      </c>
      <c r="AY28" s="13">
        <v>6286</v>
      </c>
      <c r="AZ28" s="13">
        <v>6230</v>
      </c>
      <c r="BA28" s="13">
        <v>6241</v>
      </c>
      <c r="BB28" s="13">
        <v>6052</v>
      </c>
      <c r="BC28" s="13">
        <v>5914</v>
      </c>
      <c r="BD28" s="13">
        <v>5778</v>
      </c>
      <c r="BE28" s="13">
        <v>5772</v>
      </c>
      <c r="BF28" s="13">
        <v>5787</v>
      </c>
      <c r="BG28" s="13">
        <v>6018</v>
      </c>
      <c r="BH28" s="13">
        <v>5986</v>
      </c>
      <c r="BI28" s="13">
        <v>5514</v>
      </c>
      <c r="BJ28" s="13">
        <v>5277</v>
      </c>
      <c r="BK28" s="13">
        <v>5252</v>
      </c>
      <c r="BL28" s="13">
        <v>5209</v>
      </c>
      <c r="BM28" s="4">
        <v>5275</v>
      </c>
      <c r="BN28" s="4">
        <v>5350</v>
      </c>
      <c r="BO28" s="4">
        <v>4871</v>
      </c>
      <c r="BP28" s="4">
        <v>4846</v>
      </c>
      <c r="BQ28" s="4">
        <v>4850</v>
      </c>
      <c r="BR28" s="4">
        <v>4897</v>
      </c>
      <c r="BS28" s="4">
        <v>4947</v>
      </c>
      <c r="BT28" s="4">
        <v>5040</v>
      </c>
      <c r="BU28" s="4">
        <v>5010</v>
      </c>
      <c r="BV28" s="4">
        <v>5069</v>
      </c>
      <c r="BW28" s="4">
        <v>5033</v>
      </c>
      <c r="BX28" s="4">
        <v>4982</v>
      </c>
      <c r="BY28" s="4">
        <v>4835</v>
      </c>
      <c r="BZ28" s="4">
        <v>4879</v>
      </c>
    </row>
    <row r="29" spans="1:78" ht="15.9" customHeight="1">
      <c r="A29" s="61" t="s">
        <v>53</v>
      </c>
      <c r="B29" s="6" t="s">
        <v>54</v>
      </c>
      <c r="C29" s="15">
        <f>_xll.RssMarket("5020","現在値")</f>
        <v>1283.5</v>
      </c>
      <c r="D29" s="16">
        <f t="shared" si="0"/>
        <v>2</v>
      </c>
      <c r="E29" s="13">
        <v>1281.5</v>
      </c>
      <c r="F29" s="13">
        <v>1294</v>
      </c>
      <c r="G29" s="13">
        <v>1327.5</v>
      </c>
      <c r="H29" s="13">
        <v>1304</v>
      </c>
      <c r="I29" s="13">
        <v>1310.5</v>
      </c>
      <c r="J29" s="13">
        <v>1296</v>
      </c>
      <c r="K29" s="13">
        <v>1323.5</v>
      </c>
      <c r="L29" s="13">
        <v>1320</v>
      </c>
      <c r="M29" s="13">
        <v>1337</v>
      </c>
      <c r="N29" s="13">
        <v>1320</v>
      </c>
      <c r="O29" s="13">
        <v>1300.5</v>
      </c>
      <c r="P29" s="13">
        <v>1243.5</v>
      </c>
      <c r="Q29" s="13">
        <v>1283</v>
      </c>
      <c r="R29" s="13">
        <v>1264.5</v>
      </c>
      <c r="S29" s="13">
        <v>1254.5</v>
      </c>
      <c r="T29" s="13">
        <v>1252</v>
      </c>
      <c r="U29" s="13">
        <v>1256</v>
      </c>
      <c r="V29" s="13">
        <v>1243.5</v>
      </c>
      <c r="W29" s="13">
        <v>1248.5</v>
      </c>
      <c r="X29" s="13">
        <v>1260</v>
      </c>
      <c r="Y29" s="13">
        <v>1221</v>
      </c>
      <c r="Z29" s="13">
        <v>1219.5</v>
      </c>
      <c r="AA29" s="13">
        <v>1205.5</v>
      </c>
      <c r="AB29" s="13">
        <v>1197</v>
      </c>
      <c r="AC29" s="13">
        <v>1200</v>
      </c>
      <c r="AD29" s="13">
        <v>1214.5</v>
      </c>
      <c r="AE29" s="13">
        <v>1191</v>
      </c>
      <c r="AF29" s="13">
        <v>1207</v>
      </c>
      <c r="AG29" s="13">
        <v>1242.5</v>
      </c>
      <c r="AH29" s="13">
        <v>1251.5</v>
      </c>
      <c r="AI29" s="13">
        <v>1264</v>
      </c>
      <c r="AJ29" s="13">
        <v>1226.5</v>
      </c>
      <c r="AK29" s="13">
        <v>1246.5</v>
      </c>
      <c r="AL29" s="13">
        <v>1241</v>
      </c>
      <c r="AM29" s="13">
        <v>1246</v>
      </c>
      <c r="AN29" s="13">
        <v>1235.5</v>
      </c>
      <c r="AO29" s="13">
        <v>1222.5</v>
      </c>
      <c r="AP29" s="13">
        <v>1208.5</v>
      </c>
      <c r="AQ29" s="13">
        <v>1250</v>
      </c>
      <c r="AR29" s="13">
        <v>1277</v>
      </c>
      <c r="AS29" s="13">
        <v>1287</v>
      </c>
      <c r="AT29" s="13">
        <v>1327.5</v>
      </c>
      <c r="AU29" s="13">
        <v>1286.5</v>
      </c>
      <c r="AV29" s="13">
        <v>1305.5</v>
      </c>
      <c r="AW29" s="13">
        <v>1291.5</v>
      </c>
      <c r="AX29" s="13">
        <v>1296</v>
      </c>
      <c r="AY29" s="13">
        <v>1289.5</v>
      </c>
      <c r="AZ29" s="13">
        <v>1300</v>
      </c>
      <c r="BA29" s="13">
        <v>1307.5</v>
      </c>
      <c r="BB29" s="13">
        <v>1313.5</v>
      </c>
      <c r="BC29" s="13">
        <v>1360</v>
      </c>
      <c r="BD29" s="13">
        <v>1358</v>
      </c>
      <c r="BE29" s="13">
        <v>1386</v>
      </c>
      <c r="BF29" s="13">
        <v>1315.5</v>
      </c>
      <c r="BG29" s="13">
        <v>1351.5</v>
      </c>
      <c r="BH29" s="13">
        <v>1371</v>
      </c>
      <c r="BI29" s="13">
        <v>1305</v>
      </c>
      <c r="BJ29" s="13">
        <v>1289.5</v>
      </c>
      <c r="BK29" s="13">
        <v>1311</v>
      </c>
      <c r="BL29" s="13">
        <v>1325.5</v>
      </c>
      <c r="BM29" s="4">
        <v>1320.5</v>
      </c>
      <c r="BN29" s="4">
        <v>1300.5</v>
      </c>
      <c r="BO29" s="4">
        <v>1284</v>
      </c>
      <c r="BP29" s="4">
        <v>1299.5</v>
      </c>
      <c r="BQ29" s="4">
        <v>1298</v>
      </c>
      <c r="BR29" s="4">
        <v>1319</v>
      </c>
      <c r="BS29" s="4">
        <v>1325.5</v>
      </c>
      <c r="BT29" s="4">
        <v>1337.5</v>
      </c>
      <c r="BU29" s="4">
        <v>1375</v>
      </c>
      <c r="BV29" s="4">
        <v>1406.5</v>
      </c>
      <c r="BW29" s="4">
        <v>1413.5</v>
      </c>
      <c r="BX29" s="4">
        <v>1430</v>
      </c>
      <c r="BY29" s="4">
        <v>1427.5</v>
      </c>
      <c r="BZ29" s="4">
        <v>1425.5</v>
      </c>
    </row>
    <row r="30" spans="1:78" ht="15.9" customHeight="1">
      <c r="A30" s="61" t="s">
        <v>55</v>
      </c>
      <c r="B30" s="6" t="s">
        <v>56</v>
      </c>
      <c r="C30" s="15">
        <f>_xll.RssMarket("6254","現在値")</f>
        <v>4540</v>
      </c>
      <c r="D30" s="16">
        <f t="shared" si="0"/>
        <v>330</v>
      </c>
      <c r="E30" s="13">
        <v>4210</v>
      </c>
      <c r="F30" s="13">
        <v>3970</v>
      </c>
      <c r="G30" s="13">
        <v>4010</v>
      </c>
      <c r="H30" s="13">
        <v>3550</v>
      </c>
      <c r="I30" s="13">
        <v>3440</v>
      </c>
      <c r="J30" s="13">
        <v>3680</v>
      </c>
      <c r="K30" s="13">
        <v>4140</v>
      </c>
      <c r="L30" s="13">
        <v>4120</v>
      </c>
      <c r="M30" s="13">
        <v>4300</v>
      </c>
      <c r="N30" s="13">
        <v>4100</v>
      </c>
      <c r="O30" s="13">
        <v>4115</v>
      </c>
      <c r="P30" s="13">
        <v>3850</v>
      </c>
      <c r="Q30" s="13">
        <v>4385</v>
      </c>
      <c r="R30" s="13">
        <v>4375</v>
      </c>
      <c r="S30" s="13">
        <v>4335</v>
      </c>
      <c r="T30" s="13">
        <v>4625</v>
      </c>
      <c r="U30" s="13">
        <v>4340</v>
      </c>
      <c r="V30" s="13">
        <v>4220</v>
      </c>
      <c r="W30" s="13">
        <v>4390</v>
      </c>
      <c r="X30" s="13">
        <v>4700</v>
      </c>
      <c r="Y30" s="13">
        <v>4915</v>
      </c>
      <c r="Z30" s="13">
        <v>4700</v>
      </c>
      <c r="AA30" s="13">
        <v>5190</v>
      </c>
      <c r="AB30" s="13">
        <v>4920</v>
      </c>
      <c r="AC30" s="13">
        <v>4980</v>
      </c>
      <c r="AD30" s="13">
        <v>4645</v>
      </c>
      <c r="AE30" s="13">
        <v>4940</v>
      </c>
      <c r="AF30" s="13">
        <v>4740</v>
      </c>
      <c r="AG30" s="13">
        <v>5030</v>
      </c>
      <c r="AH30" s="13">
        <v>5450</v>
      </c>
      <c r="AI30" s="13">
        <v>4805</v>
      </c>
      <c r="AJ30" s="13">
        <v>5070</v>
      </c>
      <c r="AK30" s="13">
        <v>4900</v>
      </c>
      <c r="AL30" s="13">
        <v>4600</v>
      </c>
      <c r="AM30" s="13">
        <v>4565</v>
      </c>
      <c r="AN30" s="13">
        <v>4320</v>
      </c>
      <c r="AO30" s="13">
        <v>3940</v>
      </c>
      <c r="AP30" s="13">
        <v>3965</v>
      </c>
      <c r="AQ30" s="13">
        <v>4015</v>
      </c>
      <c r="AR30" s="13">
        <v>4255</v>
      </c>
      <c r="AS30" s="13">
        <v>4455</v>
      </c>
      <c r="AT30" s="13">
        <v>4385</v>
      </c>
      <c r="AU30" s="13">
        <v>4360</v>
      </c>
      <c r="AV30" s="13">
        <v>4590</v>
      </c>
      <c r="AW30" s="13">
        <v>4725</v>
      </c>
      <c r="AX30" s="13">
        <v>4695</v>
      </c>
      <c r="AY30" s="13">
        <v>5130</v>
      </c>
      <c r="AZ30" s="13">
        <v>4980</v>
      </c>
      <c r="BA30" s="13">
        <v>4585</v>
      </c>
      <c r="BB30" s="13">
        <v>4415</v>
      </c>
      <c r="BC30" s="13">
        <v>4675</v>
      </c>
      <c r="BD30" s="13">
        <v>4860</v>
      </c>
      <c r="BE30" s="13">
        <v>4950</v>
      </c>
      <c r="BF30" s="13">
        <v>4355</v>
      </c>
      <c r="BG30" s="13">
        <v>4325</v>
      </c>
      <c r="BH30" s="13">
        <v>4490</v>
      </c>
      <c r="BI30" s="13">
        <v>4630</v>
      </c>
      <c r="BJ30" s="13">
        <v>4480</v>
      </c>
      <c r="BK30" s="13">
        <v>4070</v>
      </c>
      <c r="BL30" s="13">
        <v>3675</v>
      </c>
      <c r="BM30" s="4">
        <v>3655</v>
      </c>
      <c r="BN30" s="4">
        <v>3765</v>
      </c>
      <c r="BO30" s="4">
        <v>3735</v>
      </c>
      <c r="BP30" s="4">
        <v>3660</v>
      </c>
      <c r="BQ30" s="4">
        <v>3720</v>
      </c>
      <c r="BR30" s="4">
        <v>3720</v>
      </c>
      <c r="BS30" s="4">
        <v>3850</v>
      </c>
      <c r="BT30" s="4">
        <v>3845</v>
      </c>
      <c r="BU30" s="4">
        <v>3715</v>
      </c>
      <c r="BV30" s="4">
        <v>3770</v>
      </c>
      <c r="BW30" s="4">
        <v>3650</v>
      </c>
      <c r="BX30" s="4">
        <v>3650</v>
      </c>
      <c r="BY30" s="4">
        <v>3565</v>
      </c>
      <c r="BZ30" s="4">
        <v>3565</v>
      </c>
    </row>
    <row r="31" spans="1:78" ht="15.9" customHeight="1">
      <c r="A31" s="61" t="s">
        <v>57</v>
      </c>
      <c r="B31" s="6" t="s">
        <v>58</v>
      </c>
      <c r="C31" s="15">
        <f>_xll.RssMarket("8309","現在値")</f>
        <v>1664</v>
      </c>
      <c r="D31" s="16">
        <f t="shared" si="0"/>
        <v>1664</v>
      </c>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row>
    <row r="32" spans="1:78" ht="15.9" customHeight="1">
      <c r="A32" s="61" t="s">
        <v>59</v>
      </c>
      <c r="B32" s="6" t="s">
        <v>60</v>
      </c>
      <c r="C32" s="15">
        <f>_xll.RssMarket("3863","現在値")</f>
        <v>1354</v>
      </c>
      <c r="D32" s="16">
        <f t="shared" si="0"/>
        <v>16</v>
      </c>
      <c r="E32" s="13">
        <v>1338</v>
      </c>
      <c r="F32" s="13">
        <v>1345</v>
      </c>
      <c r="G32" s="13">
        <v>1376</v>
      </c>
      <c r="H32" s="13">
        <v>1446</v>
      </c>
      <c r="I32" s="13">
        <v>1474</v>
      </c>
      <c r="J32" s="13">
        <v>1505</v>
      </c>
      <c r="K32" s="13">
        <v>1502</v>
      </c>
      <c r="L32" s="13">
        <v>1509</v>
      </c>
      <c r="M32" s="13">
        <v>1590</v>
      </c>
      <c r="N32" s="13">
        <v>1518</v>
      </c>
      <c r="O32" s="13">
        <v>1518</v>
      </c>
      <c r="P32" s="13">
        <v>1460</v>
      </c>
      <c r="Q32" s="13">
        <v>1403</v>
      </c>
      <c r="R32" s="13">
        <v>1360</v>
      </c>
      <c r="S32" s="13">
        <v>1342</v>
      </c>
      <c r="T32" s="13">
        <v>1327</v>
      </c>
      <c r="U32" s="13">
        <v>1319</v>
      </c>
      <c r="V32" s="13">
        <v>1344</v>
      </c>
      <c r="W32" s="13">
        <v>1339</v>
      </c>
      <c r="X32" s="13">
        <v>1337</v>
      </c>
      <c r="Y32" s="13">
        <v>1309</v>
      </c>
      <c r="Z32" s="13">
        <v>1323</v>
      </c>
      <c r="AA32" s="13">
        <v>1297</v>
      </c>
      <c r="AB32" s="13">
        <v>1276</v>
      </c>
      <c r="AC32" s="13">
        <v>1270</v>
      </c>
      <c r="AD32" s="13">
        <v>1249</v>
      </c>
      <c r="AE32" s="13">
        <v>1246</v>
      </c>
      <c r="AF32" s="13">
        <v>1203</v>
      </c>
      <c r="AG32" s="13">
        <v>1192</v>
      </c>
      <c r="AH32" s="13">
        <v>1199</v>
      </c>
      <c r="AI32" s="13">
        <v>1198</v>
      </c>
      <c r="AJ32" s="13">
        <v>1190</v>
      </c>
      <c r="AK32" s="13">
        <v>1242</v>
      </c>
      <c r="AL32" s="13">
        <v>1231</v>
      </c>
      <c r="AM32" s="13">
        <v>1235</v>
      </c>
      <c r="AN32" s="13">
        <v>1218</v>
      </c>
      <c r="AO32" s="13">
        <v>1210</v>
      </c>
      <c r="AP32" s="13">
        <v>1214</v>
      </c>
      <c r="AQ32" s="13">
        <v>1253</v>
      </c>
      <c r="AR32" s="13">
        <v>1220</v>
      </c>
      <c r="AS32" s="13">
        <v>1188</v>
      </c>
      <c r="AT32" s="13">
        <v>1198</v>
      </c>
      <c r="AU32" s="13">
        <v>1222</v>
      </c>
      <c r="AV32" s="13">
        <v>1259</v>
      </c>
      <c r="AW32" s="13">
        <v>1367</v>
      </c>
      <c r="AX32" s="13">
        <v>1351</v>
      </c>
      <c r="AY32" s="13">
        <v>1360</v>
      </c>
      <c r="AZ32" s="13">
        <v>1364</v>
      </c>
      <c r="BA32" s="13">
        <v>1371</v>
      </c>
      <c r="BB32" s="13">
        <v>1397</v>
      </c>
      <c r="BC32" s="13">
        <v>1437</v>
      </c>
      <c r="BD32" s="13">
        <v>1474</v>
      </c>
      <c r="BE32" s="13">
        <v>1450</v>
      </c>
      <c r="BF32" s="13">
        <v>1476</v>
      </c>
      <c r="BG32" s="13">
        <v>1474</v>
      </c>
      <c r="BH32" s="13">
        <v>1510</v>
      </c>
      <c r="BI32" s="13">
        <v>1443</v>
      </c>
      <c r="BJ32" s="13">
        <v>1451</v>
      </c>
      <c r="BK32" s="13">
        <v>1412</v>
      </c>
      <c r="BL32" s="13">
        <v>1371</v>
      </c>
      <c r="BM32" s="4">
        <v>1312</v>
      </c>
      <c r="BN32" s="4">
        <v>1266</v>
      </c>
      <c r="BO32" s="4">
        <v>1302</v>
      </c>
      <c r="BP32" s="4">
        <v>1432</v>
      </c>
      <c r="BQ32" s="4">
        <v>1418</v>
      </c>
      <c r="BR32" s="4">
        <v>1481</v>
      </c>
      <c r="BS32" s="4">
        <v>1484</v>
      </c>
      <c r="BT32" s="4">
        <v>1451</v>
      </c>
      <c r="BU32" s="4">
        <v>1431</v>
      </c>
      <c r="BV32" s="4">
        <v>1404</v>
      </c>
      <c r="BW32" s="4">
        <v>1361</v>
      </c>
      <c r="BX32" s="4">
        <v>1335</v>
      </c>
      <c r="BY32" s="4">
        <v>1318</v>
      </c>
      <c r="BZ32" s="4">
        <v>1322</v>
      </c>
    </row>
    <row r="33" spans="1:78" ht="15.9" customHeight="1">
      <c r="A33" s="61" t="s">
        <v>61</v>
      </c>
      <c r="B33" s="6" t="s">
        <v>62</v>
      </c>
      <c r="C33" s="15">
        <f>_xll.RssMarket("8601","現在値")</f>
        <v>1808.5</v>
      </c>
      <c r="D33" s="16">
        <f t="shared" si="0"/>
        <v>43</v>
      </c>
      <c r="E33" s="13">
        <v>1765.5</v>
      </c>
      <c r="F33" s="13">
        <v>1812</v>
      </c>
      <c r="G33" s="13">
        <v>1807</v>
      </c>
      <c r="H33" s="13">
        <v>1792.5</v>
      </c>
      <c r="I33" s="13">
        <v>1838.5</v>
      </c>
      <c r="J33" s="13">
        <v>1836</v>
      </c>
      <c r="K33" s="13">
        <v>1871.5</v>
      </c>
      <c r="L33" s="13">
        <v>1857</v>
      </c>
      <c r="M33" s="13">
        <v>1867.5</v>
      </c>
      <c r="N33" s="13">
        <v>1852.5</v>
      </c>
      <c r="O33" s="13">
        <v>1847</v>
      </c>
      <c r="P33" s="13">
        <v>1779.5</v>
      </c>
      <c r="Q33" s="13">
        <v>1879</v>
      </c>
      <c r="R33" s="13">
        <v>1802</v>
      </c>
      <c r="S33" s="13">
        <v>1777</v>
      </c>
      <c r="T33" s="13">
        <v>1768.5</v>
      </c>
      <c r="U33" s="13">
        <v>1739.5</v>
      </c>
      <c r="V33" s="13">
        <v>1777.5</v>
      </c>
      <c r="W33" s="13">
        <v>1762.5</v>
      </c>
      <c r="X33" s="13">
        <v>1713.5</v>
      </c>
      <c r="Y33" s="13">
        <v>1684</v>
      </c>
      <c r="Z33" s="13">
        <v>1647</v>
      </c>
      <c r="AA33" s="13">
        <v>1631.5</v>
      </c>
      <c r="AB33" s="13">
        <v>1595.5</v>
      </c>
      <c r="AC33" s="13">
        <v>1588.5</v>
      </c>
      <c r="AD33" s="13">
        <v>1596.5</v>
      </c>
      <c r="AE33" s="13">
        <v>1589.5</v>
      </c>
      <c r="AF33" s="13">
        <v>1581</v>
      </c>
      <c r="AG33" s="13">
        <v>1594.5</v>
      </c>
      <c r="AH33" s="13">
        <v>1626</v>
      </c>
      <c r="AI33" s="13">
        <v>1606</v>
      </c>
      <c r="AJ33" s="13">
        <v>1630</v>
      </c>
      <c r="AK33" s="13">
        <v>1607.5</v>
      </c>
      <c r="AL33" s="13">
        <v>1602.5</v>
      </c>
      <c r="AM33" s="13">
        <v>1595</v>
      </c>
      <c r="AN33" s="13">
        <v>1569.5</v>
      </c>
      <c r="AO33" s="13">
        <v>1538</v>
      </c>
      <c r="AP33" s="13">
        <v>1563</v>
      </c>
      <c r="AQ33" s="13">
        <v>1535.5</v>
      </c>
      <c r="AR33" s="13">
        <v>1561</v>
      </c>
      <c r="AS33" s="13">
        <v>1532.5</v>
      </c>
      <c r="AT33" s="13">
        <v>1532.5</v>
      </c>
      <c r="AU33" s="13">
        <v>1499</v>
      </c>
      <c r="AV33" s="13">
        <v>1500.5</v>
      </c>
      <c r="AW33" s="13">
        <v>1472</v>
      </c>
      <c r="AX33" s="13">
        <v>1466</v>
      </c>
      <c r="AY33" s="13">
        <v>1495</v>
      </c>
      <c r="AZ33" s="13">
        <v>1490</v>
      </c>
      <c r="BA33" s="13">
        <v>1509</v>
      </c>
      <c r="BB33" s="13">
        <v>1472.5</v>
      </c>
      <c r="BC33" s="13">
        <v>1491.5</v>
      </c>
      <c r="BD33" s="13">
        <v>1467</v>
      </c>
      <c r="BE33" s="13">
        <v>1482.5</v>
      </c>
      <c r="BF33" s="13">
        <v>1478</v>
      </c>
      <c r="BG33" s="13">
        <v>1495</v>
      </c>
      <c r="BH33" s="13">
        <v>1468.5</v>
      </c>
      <c r="BI33" s="13">
        <v>1464</v>
      </c>
      <c r="BJ33" s="13">
        <v>1445</v>
      </c>
      <c r="BK33" s="13">
        <v>1518.5</v>
      </c>
      <c r="BL33" s="13">
        <v>1453</v>
      </c>
      <c r="BM33" s="4">
        <v>1467.5</v>
      </c>
      <c r="BN33" s="4">
        <v>1466.5</v>
      </c>
      <c r="BO33" s="4">
        <v>1516.5</v>
      </c>
      <c r="BP33" s="4">
        <v>1505</v>
      </c>
      <c r="BQ33" s="4">
        <v>1496</v>
      </c>
      <c r="BR33" s="4">
        <v>1505.5</v>
      </c>
      <c r="BS33" s="4">
        <v>1523</v>
      </c>
      <c r="BT33" s="4">
        <v>1523.5</v>
      </c>
      <c r="BU33" s="4">
        <v>1531</v>
      </c>
      <c r="BV33" s="4">
        <v>1559</v>
      </c>
      <c r="BW33" s="4">
        <v>1571.5</v>
      </c>
      <c r="BX33" s="4">
        <v>1547.5</v>
      </c>
      <c r="BY33" s="4">
        <v>1532</v>
      </c>
      <c r="BZ33" s="4">
        <v>1545.5</v>
      </c>
    </row>
    <row r="34" spans="1:78" ht="15.9" customHeight="1">
      <c r="A34" s="61" t="s">
        <v>63</v>
      </c>
      <c r="B34" s="6" t="s">
        <v>64</v>
      </c>
      <c r="C34" s="15">
        <f>_xll.RssMarket("5233","現在値")</f>
        <v>4076</v>
      </c>
      <c r="D34" s="16">
        <f t="shared" si="0"/>
        <v>76</v>
      </c>
      <c r="E34" s="13">
        <v>4000</v>
      </c>
      <c r="F34" s="13">
        <v>3959</v>
      </c>
      <c r="G34" s="13">
        <v>4074</v>
      </c>
      <c r="H34" s="13">
        <v>4174</v>
      </c>
      <c r="I34" s="13">
        <v>4224</v>
      </c>
      <c r="J34" s="13">
        <v>4211</v>
      </c>
      <c r="K34" s="13">
        <v>4208</v>
      </c>
      <c r="L34" s="13">
        <v>4121</v>
      </c>
      <c r="M34" s="13">
        <v>4177</v>
      </c>
      <c r="N34" s="13">
        <v>4203</v>
      </c>
      <c r="O34" s="13">
        <v>4092</v>
      </c>
      <c r="P34" s="13">
        <v>3921</v>
      </c>
      <c r="Q34" s="13">
        <v>3984</v>
      </c>
      <c r="R34" s="13">
        <v>3965</v>
      </c>
      <c r="S34" s="13">
        <v>3869</v>
      </c>
      <c r="T34" s="13">
        <v>3904</v>
      </c>
      <c r="U34" s="13">
        <v>3940</v>
      </c>
      <c r="V34" s="13">
        <v>4000</v>
      </c>
      <c r="W34" s="13">
        <v>4090</v>
      </c>
      <c r="X34" s="13">
        <v>4174</v>
      </c>
      <c r="Y34" s="13">
        <v>4088</v>
      </c>
      <c r="Z34" s="13">
        <v>3937</v>
      </c>
      <c r="AA34" s="13">
        <v>3891</v>
      </c>
      <c r="AB34" s="13">
        <v>3971</v>
      </c>
      <c r="AC34" s="13">
        <v>4052</v>
      </c>
      <c r="AD34" s="13">
        <v>4087</v>
      </c>
      <c r="AE34" s="13">
        <v>4092</v>
      </c>
      <c r="AF34" s="13">
        <v>4081</v>
      </c>
      <c r="AG34" s="13">
        <v>4133</v>
      </c>
      <c r="AH34" s="13">
        <v>4206</v>
      </c>
      <c r="AI34" s="13">
        <v>4280</v>
      </c>
      <c r="AJ34" s="13">
        <v>4376</v>
      </c>
      <c r="AK34" s="13">
        <v>4425</v>
      </c>
      <c r="AL34" s="13">
        <v>4370</v>
      </c>
      <c r="AM34" s="13">
        <v>4407</v>
      </c>
      <c r="AN34" s="13">
        <v>4201</v>
      </c>
      <c r="AO34" s="13">
        <v>4075</v>
      </c>
      <c r="AP34" s="13">
        <v>4130</v>
      </c>
      <c r="AQ34" s="13">
        <v>4265</v>
      </c>
      <c r="AR34" s="13">
        <v>4348</v>
      </c>
      <c r="AS34" s="13">
        <v>4425</v>
      </c>
      <c r="AT34" s="13">
        <v>4460</v>
      </c>
      <c r="AU34" s="13">
        <v>4359</v>
      </c>
      <c r="AV34" s="13">
        <v>4530</v>
      </c>
      <c r="AW34" s="13">
        <v>4289</v>
      </c>
      <c r="AX34" s="13">
        <v>4225</v>
      </c>
      <c r="AY34" s="13">
        <v>4140</v>
      </c>
      <c r="AZ34" s="13">
        <v>4137</v>
      </c>
      <c r="BA34" s="13">
        <v>4078</v>
      </c>
      <c r="BB34" s="13">
        <v>3970</v>
      </c>
      <c r="BC34" s="13">
        <v>3915</v>
      </c>
      <c r="BD34" s="13">
        <v>3818</v>
      </c>
      <c r="BE34" s="13">
        <v>3967</v>
      </c>
      <c r="BF34" s="13">
        <v>4059</v>
      </c>
      <c r="BG34" s="13">
        <v>4213</v>
      </c>
      <c r="BH34" s="13">
        <v>3781</v>
      </c>
      <c r="BI34" s="13">
        <v>3634</v>
      </c>
      <c r="BJ34" s="13">
        <v>3618</v>
      </c>
      <c r="BK34" s="13">
        <v>3690</v>
      </c>
      <c r="BL34" s="13">
        <v>3577</v>
      </c>
      <c r="BM34" s="4">
        <v>3568</v>
      </c>
      <c r="BN34" s="4">
        <v>3639</v>
      </c>
      <c r="BO34" s="4">
        <v>3622</v>
      </c>
      <c r="BP34" s="4">
        <v>3558</v>
      </c>
      <c r="BQ34" s="4">
        <v>3537</v>
      </c>
      <c r="BR34" s="4">
        <v>3615</v>
      </c>
      <c r="BS34" s="4">
        <v>3657</v>
      </c>
      <c r="BT34" s="4">
        <v>3681</v>
      </c>
      <c r="BU34" s="4">
        <v>3669</v>
      </c>
      <c r="BV34" s="4">
        <v>3714</v>
      </c>
      <c r="BW34" s="4">
        <v>3668</v>
      </c>
      <c r="BX34" s="4">
        <v>3704</v>
      </c>
      <c r="BY34" s="4">
        <v>3691</v>
      </c>
      <c r="BZ34" s="4">
        <v>3701</v>
      </c>
    </row>
    <row r="35" spans="1:78" ht="15.9" customHeight="1">
      <c r="A35" s="61" t="s">
        <v>65</v>
      </c>
      <c r="B35" s="6" t="s">
        <v>66</v>
      </c>
      <c r="C35" s="15">
        <f>_xll.RssMarket("8308","現在値")</f>
        <v>2270.5</v>
      </c>
      <c r="D35" s="16">
        <f t="shared" si="0"/>
        <v>79</v>
      </c>
      <c r="E35" s="13">
        <v>2191.5</v>
      </c>
      <c r="F35" s="13">
        <v>2246.5</v>
      </c>
      <c r="G35" s="13">
        <v>2191.5</v>
      </c>
      <c r="H35" s="13">
        <v>2178</v>
      </c>
      <c r="I35" s="13">
        <v>2245.5</v>
      </c>
      <c r="J35" s="13">
        <v>2265</v>
      </c>
      <c r="K35" s="13">
        <v>2393.5</v>
      </c>
      <c r="L35" s="13">
        <v>2365.5</v>
      </c>
      <c r="M35" s="13">
        <v>2350</v>
      </c>
      <c r="N35" s="13">
        <v>2322</v>
      </c>
      <c r="O35" s="13">
        <v>2286</v>
      </c>
      <c r="P35" s="13">
        <v>2224.5</v>
      </c>
      <c r="Q35" s="13">
        <v>2379.5</v>
      </c>
      <c r="R35" s="13">
        <v>2370</v>
      </c>
      <c r="S35" s="13">
        <v>2362.5</v>
      </c>
      <c r="T35" s="13">
        <v>2335.5</v>
      </c>
      <c r="U35" s="13">
        <v>2364.5</v>
      </c>
      <c r="V35" s="13">
        <v>2358</v>
      </c>
      <c r="W35" s="13">
        <v>2326</v>
      </c>
      <c r="X35" s="13">
        <v>2283</v>
      </c>
      <c r="Y35" s="13">
        <v>2245.5</v>
      </c>
      <c r="Z35" s="13">
        <v>2197</v>
      </c>
      <c r="AA35" s="13">
        <v>2114.5</v>
      </c>
      <c r="AB35" s="13">
        <v>2106</v>
      </c>
      <c r="AC35" s="13">
        <v>2104.5</v>
      </c>
      <c r="AD35" s="13">
        <v>2102</v>
      </c>
      <c r="AE35" s="13">
        <v>2107</v>
      </c>
      <c r="AF35" s="13">
        <v>2121</v>
      </c>
      <c r="AG35" s="13">
        <v>2162</v>
      </c>
      <c r="AH35" s="13">
        <v>2230</v>
      </c>
      <c r="AI35" s="13">
        <v>2196</v>
      </c>
      <c r="AJ35" s="13">
        <v>2256</v>
      </c>
      <c r="AK35" s="13">
        <v>2161.5</v>
      </c>
      <c r="AL35" s="13">
        <v>2144.5</v>
      </c>
      <c r="AM35" s="13">
        <v>2203</v>
      </c>
      <c r="AN35" s="13">
        <v>2147</v>
      </c>
      <c r="AO35" s="13">
        <v>2116</v>
      </c>
      <c r="AP35" s="13">
        <v>2139</v>
      </c>
      <c r="AQ35" s="13">
        <v>2085.5</v>
      </c>
      <c r="AR35" s="13">
        <v>2118</v>
      </c>
      <c r="AS35" s="13">
        <v>2097</v>
      </c>
      <c r="AT35" s="13">
        <v>2052.5</v>
      </c>
      <c r="AU35" s="13">
        <v>2023</v>
      </c>
      <c r="AV35" s="13">
        <v>2039.5</v>
      </c>
      <c r="AW35" s="13">
        <v>2036</v>
      </c>
      <c r="AX35" s="13">
        <v>2045.5</v>
      </c>
      <c r="AY35" s="13">
        <v>2124</v>
      </c>
      <c r="AZ35" s="13">
        <v>2139.5</v>
      </c>
      <c r="BA35" s="13">
        <v>2120</v>
      </c>
      <c r="BB35" s="13">
        <v>2028.5</v>
      </c>
      <c r="BC35" s="13">
        <v>2078</v>
      </c>
      <c r="BD35" s="13">
        <v>2020</v>
      </c>
      <c r="BE35" s="13">
        <v>2042</v>
      </c>
      <c r="BF35" s="13">
        <v>2047</v>
      </c>
      <c r="BG35" s="13">
        <v>2061.5</v>
      </c>
      <c r="BH35" s="13">
        <v>2054</v>
      </c>
      <c r="BI35" s="13">
        <v>1998</v>
      </c>
      <c r="BJ35" s="13">
        <v>1940</v>
      </c>
      <c r="BK35" s="13">
        <v>2010</v>
      </c>
      <c r="BL35" s="13">
        <v>1927</v>
      </c>
      <c r="BM35" s="4">
        <v>1938.5</v>
      </c>
      <c r="BN35" s="4">
        <v>2006</v>
      </c>
      <c r="BO35" s="4">
        <v>1838</v>
      </c>
      <c r="BP35" s="4">
        <v>1820.5</v>
      </c>
      <c r="BQ35" s="4">
        <v>1810</v>
      </c>
      <c r="BR35" s="4">
        <v>1855.5</v>
      </c>
      <c r="BS35" s="4">
        <v>1913.5</v>
      </c>
      <c r="BT35" s="4">
        <v>1953.5</v>
      </c>
      <c r="BU35" s="4">
        <v>1966</v>
      </c>
      <c r="BV35" s="4">
        <v>1914</v>
      </c>
      <c r="BW35" s="4">
        <v>1930.5</v>
      </c>
      <c r="BX35" s="4">
        <v>1866</v>
      </c>
      <c r="BY35" s="4">
        <v>1881.5</v>
      </c>
      <c r="BZ35" s="4">
        <v>1888.5</v>
      </c>
    </row>
    <row r="36" spans="1:78" ht="15.9" customHeight="1">
      <c r="A36" s="61" t="s">
        <v>67</v>
      </c>
      <c r="B36" s="6" t="s">
        <v>68</v>
      </c>
      <c r="C36" s="15">
        <f>_xll.RssMarket("5938","現在値")</f>
        <v>1748</v>
      </c>
      <c r="D36" s="16">
        <f t="shared" si="0"/>
        <v>28</v>
      </c>
      <c r="E36" s="13">
        <v>1720</v>
      </c>
      <c r="F36" s="13">
        <v>1719</v>
      </c>
      <c r="G36" s="13">
        <v>1735</v>
      </c>
      <c r="H36" s="13">
        <v>1886</v>
      </c>
      <c r="I36" s="13">
        <v>1931</v>
      </c>
      <c r="J36" s="13">
        <v>1896.5</v>
      </c>
      <c r="K36" s="13">
        <v>1900</v>
      </c>
      <c r="L36" s="13">
        <v>1813.5</v>
      </c>
      <c r="M36" s="13">
        <v>1847</v>
      </c>
      <c r="N36" s="13">
        <v>1830.5</v>
      </c>
      <c r="O36" s="13">
        <v>1861.5</v>
      </c>
      <c r="P36" s="13">
        <v>1874.5</v>
      </c>
      <c r="Q36" s="13">
        <v>1889</v>
      </c>
      <c r="R36" s="13">
        <v>1875.5</v>
      </c>
      <c r="S36" s="13">
        <v>1838.5</v>
      </c>
      <c r="T36" s="13">
        <v>1838.5</v>
      </c>
      <c r="U36" s="13">
        <v>1867</v>
      </c>
      <c r="V36" s="13">
        <v>1893.5</v>
      </c>
      <c r="W36" s="13">
        <v>1891.5</v>
      </c>
      <c r="X36" s="13">
        <v>1880</v>
      </c>
      <c r="Y36" s="13">
        <v>1865.5</v>
      </c>
      <c r="Z36" s="13">
        <v>1832</v>
      </c>
      <c r="AA36" s="13">
        <v>1791.5</v>
      </c>
      <c r="AB36" s="13">
        <v>1804</v>
      </c>
      <c r="AC36" s="13">
        <v>1797.5</v>
      </c>
      <c r="AD36" s="13">
        <v>1771</v>
      </c>
      <c r="AE36" s="13">
        <v>1757.5</v>
      </c>
      <c r="AF36" s="13">
        <v>1701.5</v>
      </c>
      <c r="AG36" s="13">
        <v>1706.5</v>
      </c>
      <c r="AH36" s="13">
        <v>1741.5</v>
      </c>
      <c r="AI36" s="13">
        <v>1732.5</v>
      </c>
      <c r="AJ36" s="13">
        <v>1721</v>
      </c>
      <c r="AK36" s="13">
        <v>1721.5</v>
      </c>
      <c r="AL36" s="13">
        <v>1736</v>
      </c>
      <c r="AM36" s="13">
        <v>1736</v>
      </c>
      <c r="AN36" s="13">
        <v>1721</v>
      </c>
      <c r="AO36" s="13">
        <v>1728</v>
      </c>
      <c r="AP36" s="13">
        <v>1739</v>
      </c>
      <c r="AQ36" s="13">
        <v>1723</v>
      </c>
      <c r="AR36" s="13">
        <v>1710</v>
      </c>
      <c r="AS36" s="13">
        <v>1700</v>
      </c>
      <c r="AT36" s="13">
        <v>1706.5</v>
      </c>
      <c r="AU36" s="13">
        <v>1674</v>
      </c>
      <c r="AV36" s="13">
        <v>1686.5</v>
      </c>
      <c r="AW36" s="13">
        <v>1694.5</v>
      </c>
      <c r="AX36" s="13">
        <v>1681.5</v>
      </c>
      <c r="AY36" s="13">
        <v>1658</v>
      </c>
      <c r="AZ36" s="13">
        <v>1645</v>
      </c>
      <c r="BA36" s="13">
        <v>1639</v>
      </c>
      <c r="BB36" s="13">
        <v>1622</v>
      </c>
      <c r="BC36" s="13">
        <v>1657</v>
      </c>
      <c r="BD36" s="13">
        <v>1634</v>
      </c>
      <c r="BE36" s="13">
        <v>1672.5</v>
      </c>
      <c r="BF36" s="13">
        <v>1665.5</v>
      </c>
      <c r="BG36" s="13">
        <v>1674</v>
      </c>
      <c r="BH36" s="13">
        <v>1678.5</v>
      </c>
      <c r="BI36" s="13">
        <v>1670</v>
      </c>
      <c r="BJ36" s="13">
        <v>1701.5</v>
      </c>
      <c r="BK36" s="13">
        <v>1679.5</v>
      </c>
      <c r="BL36" s="13">
        <v>1662</v>
      </c>
      <c r="BM36" s="4">
        <v>1619</v>
      </c>
      <c r="BN36" s="4">
        <v>1628</v>
      </c>
      <c r="BO36" s="4">
        <v>1603.5</v>
      </c>
      <c r="BP36" s="4">
        <v>1611</v>
      </c>
      <c r="BQ36" s="4">
        <v>1612</v>
      </c>
      <c r="BR36" s="4">
        <v>1617</v>
      </c>
      <c r="BS36" s="4">
        <v>1638</v>
      </c>
      <c r="BT36" s="4">
        <v>1643.5</v>
      </c>
      <c r="BU36" s="4">
        <v>1615.5</v>
      </c>
      <c r="BV36" s="4">
        <v>1625</v>
      </c>
      <c r="BW36" s="4">
        <v>1615.5</v>
      </c>
      <c r="BX36" s="4">
        <v>1608</v>
      </c>
      <c r="BY36" s="4">
        <v>1606.5</v>
      </c>
      <c r="BZ36" s="4">
        <v>1668</v>
      </c>
    </row>
    <row r="37" spans="1:78" ht="15.9" customHeight="1">
      <c r="A37" s="61" t="s">
        <v>69</v>
      </c>
      <c r="B37" s="6" t="s">
        <v>70</v>
      </c>
      <c r="C37" s="15">
        <f>_xll.RssMarket("8570","現在値")</f>
        <v>1548.5</v>
      </c>
      <c r="D37" s="16">
        <f t="shared" si="0"/>
        <v>20.5</v>
      </c>
      <c r="E37" s="13">
        <v>1528</v>
      </c>
      <c r="F37" s="13">
        <v>1544</v>
      </c>
      <c r="G37" s="13">
        <v>1570.5</v>
      </c>
      <c r="H37" s="13">
        <v>1564.5</v>
      </c>
      <c r="I37" s="13">
        <v>1583</v>
      </c>
      <c r="J37" s="13">
        <v>1574</v>
      </c>
      <c r="K37" s="13">
        <v>1580</v>
      </c>
      <c r="L37" s="13">
        <v>1562</v>
      </c>
      <c r="M37" s="13">
        <v>1568.5</v>
      </c>
      <c r="N37" s="13">
        <v>1580.5</v>
      </c>
      <c r="O37" s="13">
        <v>1569.5</v>
      </c>
      <c r="P37" s="13">
        <v>1527</v>
      </c>
      <c r="Q37" s="13">
        <v>1542.5</v>
      </c>
      <c r="R37" s="13">
        <v>1554.5</v>
      </c>
      <c r="S37" s="13">
        <v>1544.5</v>
      </c>
      <c r="T37" s="13">
        <v>1518</v>
      </c>
      <c r="U37" s="13">
        <v>1532.5</v>
      </c>
      <c r="V37" s="13">
        <v>1533.5</v>
      </c>
      <c r="W37" s="13">
        <v>1524</v>
      </c>
      <c r="X37" s="13">
        <v>1521.5</v>
      </c>
      <c r="Y37" s="13">
        <v>1507</v>
      </c>
      <c r="Z37" s="13">
        <v>1481.5</v>
      </c>
      <c r="AA37" s="13">
        <v>1470.5</v>
      </c>
      <c r="AB37" s="13">
        <v>1466</v>
      </c>
      <c r="AC37" s="13">
        <v>1469.5</v>
      </c>
      <c r="AD37" s="13">
        <v>1465</v>
      </c>
      <c r="AE37" s="13">
        <v>1465.5</v>
      </c>
      <c r="AF37" s="13">
        <v>1445</v>
      </c>
      <c r="AG37" s="13">
        <v>1443</v>
      </c>
      <c r="AH37" s="13">
        <v>1463.5</v>
      </c>
      <c r="AI37" s="13">
        <v>1476.5</v>
      </c>
      <c r="AJ37" s="13">
        <v>1474</v>
      </c>
      <c r="AK37" s="13">
        <v>1491.5</v>
      </c>
      <c r="AL37" s="13">
        <v>1499.5</v>
      </c>
      <c r="AM37" s="13">
        <v>1515.5</v>
      </c>
      <c r="AN37" s="13">
        <v>1509.5</v>
      </c>
      <c r="AO37" s="13">
        <v>1506</v>
      </c>
      <c r="AP37" s="13">
        <v>1506</v>
      </c>
      <c r="AQ37" s="13">
        <v>1458.5</v>
      </c>
      <c r="AR37" s="13">
        <v>1461.5</v>
      </c>
      <c r="AS37" s="13">
        <v>1434</v>
      </c>
      <c r="AT37" s="13">
        <v>1459</v>
      </c>
      <c r="AU37" s="13">
        <v>1460</v>
      </c>
      <c r="AV37" s="13">
        <v>1510</v>
      </c>
      <c r="AW37" s="13">
        <v>1518</v>
      </c>
      <c r="AX37" s="13">
        <v>1540.5</v>
      </c>
      <c r="AY37" s="13">
        <v>1550.5</v>
      </c>
      <c r="AZ37" s="13">
        <v>1560</v>
      </c>
      <c r="BA37" s="13">
        <v>1592.5</v>
      </c>
      <c r="BB37" s="13">
        <v>1572.5</v>
      </c>
      <c r="BC37" s="13">
        <v>1584</v>
      </c>
      <c r="BD37" s="13">
        <v>1583.5</v>
      </c>
      <c r="BE37" s="13">
        <v>1560</v>
      </c>
      <c r="BF37" s="13">
        <v>1560</v>
      </c>
      <c r="BG37" s="13">
        <v>1560</v>
      </c>
      <c r="BH37" s="13">
        <v>1551</v>
      </c>
      <c r="BI37" s="13">
        <v>1532.5</v>
      </c>
      <c r="BJ37" s="13">
        <v>1504.5</v>
      </c>
      <c r="BK37" s="13">
        <v>1551.5</v>
      </c>
      <c r="BL37" s="13">
        <v>1560</v>
      </c>
      <c r="BM37" s="4">
        <v>1558.5</v>
      </c>
      <c r="BN37" s="4">
        <v>1557.5</v>
      </c>
      <c r="BO37" s="4">
        <v>1529.5</v>
      </c>
      <c r="BP37" s="4">
        <v>1549.5</v>
      </c>
      <c r="BQ37" s="4">
        <v>1555.5</v>
      </c>
      <c r="BR37" s="4">
        <v>1537</v>
      </c>
      <c r="BS37" s="4">
        <v>1548.5</v>
      </c>
      <c r="BT37" s="4">
        <v>1560</v>
      </c>
      <c r="BU37" s="4">
        <v>1564.5</v>
      </c>
      <c r="BV37" s="4">
        <v>1610</v>
      </c>
      <c r="BW37" s="4">
        <v>1606</v>
      </c>
      <c r="BX37" s="4">
        <v>1597</v>
      </c>
      <c r="BY37" s="4">
        <v>1588</v>
      </c>
      <c r="BZ37" s="4">
        <v>1523.5</v>
      </c>
    </row>
    <row r="38" spans="1:78" ht="15.9" customHeight="1">
      <c r="A38" s="61" t="s">
        <v>71</v>
      </c>
      <c r="B38" s="6" t="s">
        <v>72</v>
      </c>
      <c r="C38" s="15">
        <f>_xll.RssMarket("5406","現在値")</f>
        <v>1937</v>
      </c>
      <c r="D38" s="16">
        <f t="shared" ref="D38:D69" si="1">C38-E38</f>
        <v>-113.5</v>
      </c>
      <c r="E38" s="13">
        <v>2050.5</v>
      </c>
      <c r="F38" s="13">
        <v>2073</v>
      </c>
      <c r="G38" s="13">
        <v>2077</v>
      </c>
      <c r="H38" s="13">
        <v>2070.5</v>
      </c>
      <c r="I38" s="13">
        <v>2072</v>
      </c>
      <c r="J38" s="13">
        <v>2008</v>
      </c>
      <c r="K38" s="13">
        <v>2044.5</v>
      </c>
      <c r="L38" s="13">
        <v>1984.5</v>
      </c>
      <c r="M38" s="13">
        <v>1991.5</v>
      </c>
      <c r="N38" s="13">
        <v>1984.5</v>
      </c>
      <c r="O38" s="13">
        <v>1969.5</v>
      </c>
      <c r="P38" s="13">
        <v>1934</v>
      </c>
      <c r="Q38" s="13">
        <v>1936.5</v>
      </c>
      <c r="R38" s="13">
        <v>1917</v>
      </c>
      <c r="S38" s="13">
        <v>1847.5</v>
      </c>
      <c r="T38" s="13">
        <v>1860</v>
      </c>
      <c r="U38" s="13">
        <v>1881.5</v>
      </c>
      <c r="V38" s="13">
        <v>1883</v>
      </c>
      <c r="W38" s="13">
        <v>1909.5</v>
      </c>
      <c r="X38" s="13">
        <v>1924</v>
      </c>
      <c r="Y38" s="13">
        <v>1905.5</v>
      </c>
      <c r="Z38" s="13">
        <v>1857.5</v>
      </c>
      <c r="AA38" s="13">
        <v>1849</v>
      </c>
      <c r="AB38" s="13">
        <v>1872.5</v>
      </c>
      <c r="AC38" s="13">
        <v>1867.5</v>
      </c>
      <c r="AD38" s="13">
        <v>1876</v>
      </c>
      <c r="AE38" s="13">
        <v>1875</v>
      </c>
      <c r="AF38" s="13">
        <v>1883.5</v>
      </c>
      <c r="AG38" s="13">
        <v>1891.5</v>
      </c>
      <c r="AH38" s="13">
        <v>1966</v>
      </c>
      <c r="AI38" s="13">
        <v>1966</v>
      </c>
      <c r="AJ38" s="13">
        <v>2004.5</v>
      </c>
      <c r="AK38" s="13">
        <v>1978</v>
      </c>
      <c r="AL38" s="13">
        <v>1989.5</v>
      </c>
      <c r="AM38" s="13">
        <v>1997</v>
      </c>
      <c r="AN38" s="13">
        <v>1936.5</v>
      </c>
      <c r="AO38" s="13">
        <v>1900</v>
      </c>
      <c r="AP38" s="13">
        <v>1902</v>
      </c>
      <c r="AQ38" s="13">
        <v>1910</v>
      </c>
      <c r="AR38" s="13">
        <v>1935.5</v>
      </c>
      <c r="AS38" s="13">
        <v>1940.5</v>
      </c>
      <c r="AT38" s="13">
        <v>1976.5</v>
      </c>
      <c r="AU38" s="13">
        <v>1950</v>
      </c>
      <c r="AV38" s="13">
        <v>1980</v>
      </c>
      <c r="AW38" s="13">
        <v>1948.5</v>
      </c>
      <c r="AX38" s="13">
        <v>1965.5</v>
      </c>
      <c r="AY38" s="13">
        <v>1960.5</v>
      </c>
      <c r="AZ38" s="13">
        <v>1946.5</v>
      </c>
      <c r="BA38" s="13">
        <v>1930</v>
      </c>
      <c r="BB38" s="13">
        <v>1881.5</v>
      </c>
      <c r="BC38" s="13">
        <v>1920.5</v>
      </c>
      <c r="BD38" s="13">
        <v>1881.5</v>
      </c>
      <c r="BE38" s="13">
        <v>1962.5</v>
      </c>
      <c r="BF38" s="13">
        <v>1979.5</v>
      </c>
      <c r="BG38" s="13">
        <v>1960.5</v>
      </c>
      <c r="BH38" s="13">
        <v>1980</v>
      </c>
      <c r="BI38" s="13">
        <v>2012</v>
      </c>
      <c r="BJ38" s="13">
        <v>1937</v>
      </c>
      <c r="BK38" s="13">
        <v>1980.5</v>
      </c>
      <c r="BL38" s="13">
        <v>1941</v>
      </c>
      <c r="BM38" s="4">
        <v>1926.5</v>
      </c>
      <c r="BN38" s="4">
        <v>1895.5</v>
      </c>
      <c r="BO38" s="4">
        <v>1860.5</v>
      </c>
      <c r="BP38" s="4">
        <v>1853.5</v>
      </c>
      <c r="BQ38" s="4">
        <v>1845.5</v>
      </c>
      <c r="BR38" s="4">
        <v>1875.5</v>
      </c>
      <c r="BS38" s="4">
        <v>1905.5</v>
      </c>
      <c r="BT38" s="4">
        <v>1933.5</v>
      </c>
      <c r="BU38" s="4">
        <v>1931.5</v>
      </c>
      <c r="BV38" s="4">
        <v>1947.5</v>
      </c>
      <c r="BW38" s="4">
        <v>1944.5</v>
      </c>
      <c r="BX38" s="4">
        <v>1950</v>
      </c>
      <c r="BY38" s="4">
        <v>1947</v>
      </c>
      <c r="BZ38" s="4">
        <v>1953.5</v>
      </c>
    </row>
    <row r="39" spans="1:78" ht="15.9" customHeight="1">
      <c r="A39" s="61" t="s">
        <v>73</v>
      </c>
      <c r="B39" s="6" t="s">
        <v>74</v>
      </c>
      <c r="C39" s="15">
        <f>_xll.RssMarket("8593","現在値")</f>
        <v>1413</v>
      </c>
      <c r="D39" s="16">
        <f t="shared" si="1"/>
        <v>3.5</v>
      </c>
      <c r="E39" s="13">
        <v>1409.5</v>
      </c>
      <c r="F39" s="13">
        <v>1430.5</v>
      </c>
      <c r="G39" s="13">
        <v>1473</v>
      </c>
      <c r="H39" s="13">
        <v>1490.5</v>
      </c>
      <c r="I39" s="13">
        <v>1518</v>
      </c>
      <c r="J39" s="13">
        <v>1467</v>
      </c>
      <c r="K39" s="13">
        <v>1470</v>
      </c>
      <c r="L39" s="13">
        <v>1439</v>
      </c>
      <c r="M39" s="13">
        <v>1439.5</v>
      </c>
      <c r="N39" s="13">
        <v>1437</v>
      </c>
      <c r="O39" s="13">
        <v>1440</v>
      </c>
      <c r="P39" s="13">
        <v>1390</v>
      </c>
      <c r="Q39" s="13">
        <v>1414</v>
      </c>
      <c r="R39" s="13">
        <v>1399</v>
      </c>
      <c r="S39" s="13">
        <v>1378</v>
      </c>
      <c r="T39" s="13">
        <v>1364.5</v>
      </c>
      <c r="U39" s="13">
        <v>1372</v>
      </c>
      <c r="V39" s="13">
        <v>1385</v>
      </c>
      <c r="W39" s="13">
        <v>1382</v>
      </c>
      <c r="X39" s="13">
        <v>1372</v>
      </c>
      <c r="Y39" s="13">
        <v>1351</v>
      </c>
      <c r="Z39" s="13">
        <v>1330</v>
      </c>
      <c r="AA39" s="13">
        <v>1308</v>
      </c>
      <c r="AB39" s="13">
        <v>1314</v>
      </c>
      <c r="AC39" s="13">
        <v>1319.5</v>
      </c>
      <c r="AD39" s="13">
        <v>1309</v>
      </c>
      <c r="AE39" s="13">
        <v>1302.5</v>
      </c>
      <c r="AF39" s="13">
        <v>1294.5</v>
      </c>
      <c r="AG39" s="13">
        <v>1289</v>
      </c>
      <c r="AH39" s="13">
        <v>1307.5</v>
      </c>
      <c r="AI39" s="13">
        <v>1312</v>
      </c>
      <c r="AJ39" s="13">
        <v>1317</v>
      </c>
      <c r="AK39" s="13">
        <v>1325</v>
      </c>
      <c r="AL39" s="13">
        <v>1314.5</v>
      </c>
      <c r="AM39" s="13">
        <v>1334.5</v>
      </c>
      <c r="AN39" s="13">
        <v>1319</v>
      </c>
      <c r="AO39" s="13">
        <v>1315.5</v>
      </c>
      <c r="AP39" s="13">
        <v>1325.5</v>
      </c>
      <c r="AQ39" s="13">
        <v>1298.5</v>
      </c>
      <c r="AR39" s="13">
        <v>1272.5</v>
      </c>
      <c r="AS39" s="13">
        <v>1258.5</v>
      </c>
      <c r="AT39" s="13">
        <v>1265</v>
      </c>
      <c r="AU39" s="13">
        <v>1265</v>
      </c>
      <c r="AV39" s="13">
        <v>1301.5</v>
      </c>
      <c r="AW39" s="13">
        <v>1308.5</v>
      </c>
      <c r="AX39" s="13">
        <v>1310</v>
      </c>
      <c r="AY39" s="13">
        <v>1316</v>
      </c>
      <c r="AZ39" s="13">
        <v>1315</v>
      </c>
      <c r="BA39" s="13">
        <v>1333</v>
      </c>
      <c r="BB39" s="13">
        <v>1340.5</v>
      </c>
      <c r="BC39" s="13">
        <v>1344</v>
      </c>
      <c r="BD39" s="13">
        <v>1336.5</v>
      </c>
      <c r="BE39" s="13">
        <v>1426</v>
      </c>
      <c r="BF39" s="13">
        <v>1433.5</v>
      </c>
      <c r="BG39" s="13">
        <v>1435.5</v>
      </c>
      <c r="BH39" s="13">
        <v>1440</v>
      </c>
      <c r="BI39" s="13">
        <v>1414.5</v>
      </c>
      <c r="BJ39" s="13">
        <v>1403</v>
      </c>
      <c r="BK39" s="13">
        <v>1412.5</v>
      </c>
      <c r="BL39" s="13">
        <v>1405.5</v>
      </c>
      <c r="BM39" s="4">
        <v>1423.5</v>
      </c>
      <c r="BN39" s="4">
        <v>1443</v>
      </c>
      <c r="BO39" s="4">
        <v>1415.5</v>
      </c>
      <c r="BP39" s="4">
        <v>1414</v>
      </c>
      <c r="BQ39" s="4">
        <v>1408</v>
      </c>
      <c r="BR39" s="4">
        <v>1412</v>
      </c>
      <c r="BS39" s="4">
        <v>1432</v>
      </c>
      <c r="BT39" s="4">
        <v>1450</v>
      </c>
      <c r="BU39" s="4">
        <v>1460</v>
      </c>
      <c r="BV39" s="4">
        <v>1473.5</v>
      </c>
      <c r="BW39" s="4">
        <v>1465.5</v>
      </c>
      <c r="BX39" s="4">
        <v>1468</v>
      </c>
      <c r="BY39" s="4">
        <v>1459.5</v>
      </c>
      <c r="BZ39" s="4">
        <v>1469.5</v>
      </c>
    </row>
    <row r="40" spans="1:78" ht="15.9" customHeight="1">
      <c r="A40" s="61" t="s">
        <v>75</v>
      </c>
      <c r="B40" s="6" t="s">
        <v>76</v>
      </c>
      <c r="C40" s="15">
        <f>_xll.RssMarket("8604","現在値")</f>
        <v>1560.5</v>
      </c>
      <c r="D40" s="16">
        <f t="shared" si="1"/>
        <v>45.5</v>
      </c>
      <c r="E40" s="13">
        <v>1515</v>
      </c>
      <c r="F40" s="13">
        <v>1505.5</v>
      </c>
      <c r="G40" s="13">
        <v>1520</v>
      </c>
      <c r="H40" s="13">
        <v>1470</v>
      </c>
      <c r="I40" s="13">
        <v>1572.5</v>
      </c>
      <c r="J40" s="13">
        <v>1571</v>
      </c>
      <c r="K40" s="13">
        <v>1605.5</v>
      </c>
      <c r="L40" s="13">
        <v>1600</v>
      </c>
      <c r="M40" s="13">
        <v>1624.5</v>
      </c>
      <c r="N40" s="13">
        <v>1603</v>
      </c>
      <c r="O40" s="13">
        <v>1586.5</v>
      </c>
      <c r="P40" s="13">
        <v>1520</v>
      </c>
      <c r="Q40" s="13">
        <v>1626</v>
      </c>
      <c r="R40" s="13">
        <v>1553</v>
      </c>
      <c r="S40" s="13">
        <v>1542.5</v>
      </c>
      <c r="T40" s="13">
        <v>1543</v>
      </c>
      <c r="U40" s="13">
        <v>1526</v>
      </c>
      <c r="V40" s="13">
        <v>1543</v>
      </c>
      <c r="W40" s="13">
        <v>1535</v>
      </c>
      <c r="X40" s="13">
        <v>1490</v>
      </c>
      <c r="Y40" s="13">
        <v>1471.5</v>
      </c>
      <c r="Z40" s="13">
        <v>1458</v>
      </c>
      <c r="AA40" s="13">
        <v>1439.5</v>
      </c>
      <c r="AB40" s="13">
        <v>1413.5</v>
      </c>
      <c r="AC40" s="13">
        <v>1415</v>
      </c>
      <c r="AD40" s="13">
        <v>1423.5</v>
      </c>
      <c r="AE40" s="13">
        <v>1413.5</v>
      </c>
      <c r="AF40" s="13">
        <v>1407</v>
      </c>
      <c r="AG40" s="13">
        <v>1401</v>
      </c>
      <c r="AH40" s="13">
        <v>1436.5</v>
      </c>
      <c r="AI40" s="13">
        <v>1408.5</v>
      </c>
      <c r="AJ40" s="13">
        <v>1435</v>
      </c>
      <c r="AK40" s="13">
        <v>1451</v>
      </c>
      <c r="AL40" s="13">
        <v>1415</v>
      </c>
      <c r="AM40" s="13">
        <v>1414</v>
      </c>
      <c r="AN40" s="13">
        <v>1364.5</v>
      </c>
      <c r="AO40" s="13">
        <v>1352.5</v>
      </c>
      <c r="AP40" s="13">
        <v>1387</v>
      </c>
      <c r="AQ40" s="13">
        <v>1359.5</v>
      </c>
      <c r="AR40" s="13">
        <v>1361</v>
      </c>
      <c r="AS40" s="13">
        <v>1349.5</v>
      </c>
      <c r="AT40" s="13">
        <v>1350.5</v>
      </c>
      <c r="AU40" s="13">
        <v>1324</v>
      </c>
      <c r="AV40" s="13">
        <v>1285</v>
      </c>
      <c r="AW40" s="13">
        <v>1250.5</v>
      </c>
      <c r="AX40" s="13">
        <v>1260</v>
      </c>
      <c r="AY40" s="13">
        <v>1273</v>
      </c>
      <c r="AZ40" s="13">
        <v>1287</v>
      </c>
      <c r="BA40" s="13">
        <v>1290.5</v>
      </c>
      <c r="BB40" s="13">
        <v>1250.5</v>
      </c>
      <c r="BC40" s="13">
        <v>1276</v>
      </c>
      <c r="BD40" s="13">
        <v>1248</v>
      </c>
      <c r="BE40" s="13">
        <v>1273</v>
      </c>
      <c r="BF40" s="13">
        <v>1265</v>
      </c>
      <c r="BG40" s="13">
        <v>1273.5</v>
      </c>
      <c r="BH40" s="13">
        <v>1235</v>
      </c>
      <c r="BI40" s="13">
        <v>1228.5</v>
      </c>
      <c r="BJ40" s="13">
        <v>1228.5</v>
      </c>
      <c r="BK40" s="13">
        <v>1250.5</v>
      </c>
      <c r="BL40" s="13">
        <v>1220</v>
      </c>
      <c r="BM40" s="4">
        <v>1256.5</v>
      </c>
      <c r="BN40" s="4">
        <v>1274</v>
      </c>
      <c r="BO40" s="4">
        <v>1230.5</v>
      </c>
      <c r="BP40" s="4">
        <v>1312</v>
      </c>
      <c r="BQ40" s="4">
        <v>1332.5</v>
      </c>
      <c r="BR40" s="4">
        <v>1331.5</v>
      </c>
      <c r="BS40" s="4">
        <v>1334.5</v>
      </c>
      <c r="BT40" s="4">
        <v>1341</v>
      </c>
      <c r="BU40" s="4">
        <v>1334</v>
      </c>
      <c r="BV40" s="4">
        <v>1387.5</v>
      </c>
      <c r="BW40" s="4">
        <v>1363</v>
      </c>
      <c r="BX40" s="4">
        <v>1318</v>
      </c>
      <c r="BY40" s="4">
        <v>1300.5</v>
      </c>
      <c r="BZ40" s="4">
        <v>1305</v>
      </c>
    </row>
    <row r="41" spans="1:78" ht="15.9" customHeight="1">
      <c r="A41" s="61" t="s">
        <v>77</v>
      </c>
      <c r="B41" s="6" t="s">
        <v>78</v>
      </c>
      <c r="C41" s="15">
        <f>_xll.RssMarket("3861","現在値")</f>
        <v>857.2</v>
      </c>
      <c r="D41" s="16">
        <f t="shared" si="1"/>
        <v>-15.399999999999977</v>
      </c>
      <c r="E41" s="13">
        <v>872.6</v>
      </c>
      <c r="F41" s="13">
        <v>876.3</v>
      </c>
      <c r="G41" s="13">
        <v>879.8</v>
      </c>
      <c r="H41" s="13">
        <v>892.7</v>
      </c>
      <c r="I41" s="13">
        <v>896.5</v>
      </c>
      <c r="J41" s="13">
        <v>883</v>
      </c>
      <c r="K41" s="13">
        <v>882.4</v>
      </c>
      <c r="L41" s="13">
        <v>860.9</v>
      </c>
      <c r="M41" s="13">
        <v>869.2</v>
      </c>
      <c r="N41" s="13">
        <v>857.9</v>
      </c>
      <c r="O41" s="13">
        <v>853.8</v>
      </c>
      <c r="P41" s="13">
        <v>837.3</v>
      </c>
      <c r="Q41" s="13">
        <v>827.5</v>
      </c>
      <c r="R41" s="13">
        <v>825</v>
      </c>
      <c r="S41" s="13">
        <v>815.3</v>
      </c>
      <c r="T41" s="13">
        <v>816.1</v>
      </c>
      <c r="U41" s="13">
        <v>824.8</v>
      </c>
      <c r="V41" s="13">
        <v>829.8</v>
      </c>
      <c r="W41" s="13">
        <v>831</v>
      </c>
      <c r="X41" s="13">
        <v>829.7</v>
      </c>
      <c r="Y41" s="13">
        <v>814.2</v>
      </c>
      <c r="Z41" s="13">
        <v>812.3</v>
      </c>
      <c r="AA41" s="13">
        <v>794.6</v>
      </c>
      <c r="AB41" s="13">
        <v>795.4</v>
      </c>
      <c r="AC41" s="13">
        <v>805.3</v>
      </c>
      <c r="AD41" s="13">
        <v>789.4</v>
      </c>
      <c r="AE41" s="13">
        <v>781.5</v>
      </c>
      <c r="AF41" s="13">
        <v>775.2</v>
      </c>
      <c r="AG41" s="13">
        <v>785.5</v>
      </c>
      <c r="AH41" s="13">
        <v>799.8</v>
      </c>
      <c r="AI41" s="13">
        <v>804.7</v>
      </c>
      <c r="AJ41" s="13">
        <v>800.3</v>
      </c>
      <c r="AK41" s="13">
        <v>799.6</v>
      </c>
      <c r="AL41" s="13">
        <v>793.9</v>
      </c>
      <c r="AM41" s="13">
        <v>797.3</v>
      </c>
      <c r="AN41" s="13">
        <v>791</v>
      </c>
      <c r="AO41" s="13">
        <v>783</v>
      </c>
      <c r="AP41" s="13">
        <v>785.2</v>
      </c>
      <c r="AQ41" s="13">
        <v>780.6</v>
      </c>
      <c r="AR41" s="13">
        <v>778.9</v>
      </c>
      <c r="AS41" s="13">
        <v>774</v>
      </c>
      <c r="AT41" s="13">
        <v>782.6</v>
      </c>
      <c r="AU41" s="13">
        <v>767.9</v>
      </c>
      <c r="AV41" s="13">
        <v>782.2</v>
      </c>
      <c r="AW41" s="13">
        <v>790.5</v>
      </c>
      <c r="AX41" s="13">
        <v>780.3</v>
      </c>
      <c r="AY41" s="13">
        <v>775.8</v>
      </c>
      <c r="AZ41" s="13">
        <v>777.1</v>
      </c>
      <c r="BA41" s="13">
        <v>793.2</v>
      </c>
      <c r="BB41" s="13">
        <v>806.6</v>
      </c>
      <c r="BC41" s="13">
        <v>815.1</v>
      </c>
      <c r="BD41" s="13">
        <v>810</v>
      </c>
      <c r="BE41" s="13">
        <v>857</v>
      </c>
      <c r="BF41" s="13">
        <v>841.8</v>
      </c>
      <c r="BG41" s="13">
        <v>835.8</v>
      </c>
      <c r="BH41" s="13">
        <v>830</v>
      </c>
      <c r="BI41" s="13">
        <v>822</v>
      </c>
      <c r="BJ41" s="13">
        <v>829.2</v>
      </c>
      <c r="BK41" s="13">
        <v>833.6</v>
      </c>
      <c r="BL41" s="13">
        <v>824.7</v>
      </c>
      <c r="BM41" s="4">
        <v>822.5</v>
      </c>
      <c r="BN41" s="4">
        <v>825.8</v>
      </c>
      <c r="BO41" s="4">
        <v>815.2</v>
      </c>
      <c r="BP41" s="4">
        <v>822.2</v>
      </c>
      <c r="BQ41" s="4">
        <v>820.4</v>
      </c>
      <c r="BR41" s="4">
        <v>833.6</v>
      </c>
      <c r="BS41" s="4">
        <v>837.1</v>
      </c>
      <c r="BT41" s="4">
        <v>841.4</v>
      </c>
      <c r="BU41" s="4">
        <v>842.1</v>
      </c>
      <c r="BV41" s="4">
        <v>850.6</v>
      </c>
      <c r="BW41" s="4">
        <v>849.7</v>
      </c>
      <c r="BX41" s="4">
        <v>852.1</v>
      </c>
      <c r="BY41" s="4">
        <v>852.8</v>
      </c>
      <c r="BZ41" s="4">
        <v>849</v>
      </c>
    </row>
    <row r="42" spans="1:78" ht="15.9" customHeight="1">
      <c r="A42" s="61" t="s">
        <v>79</v>
      </c>
      <c r="B42" s="6" t="s">
        <v>80</v>
      </c>
      <c r="C42" s="15">
        <f>_xll.RssMarket("5947","現在値")</f>
        <v>3489</v>
      </c>
      <c r="D42" s="16">
        <f t="shared" si="1"/>
        <v>3</v>
      </c>
      <c r="E42" s="13">
        <v>3486</v>
      </c>
      <c r="F42" s="13">
        <v>3544</v>
      </c>
      <c r="G42" s="13">
        <v>3580</v>
      </c>
      <c r="H42" s="13">
        <v>3747</v>
      </c>
      <c r="I42" s="13">
        <v>3781</v>
      </c>
      <c r="J42" s="13">
        <v>3685</v>
      </c>
      <c r="K42" s="13">
        <v>3656</v>
      </c>
      <c r="L42" s="13">
        <v>3557</v>
      </c>
      <c r="M42" s="13">
        <v>3578</v>
      </c>
      <c r="N42" s="13">
        <v>3587</v>
      </c>
      <c r="O42" s="13">
        <v>3623</v>
      </c>
      <c r="P42" s="13">
        <v>3628</v>
      </c>
      <c r="Q42" s="13">
        <v>3592</v>
      </c>
      <c r="R42" s="13">
        <v>3615</v>
      </c>
      <c r="S42" s="13">
        <v>3563</v>
      </c>
      <c r="T42" s="13">
        <v>3561</v>
      </c>
      <c r="U42" s="13">
        <v>3582</v>
      </c>
      <c r="V42" s="13">
        <v>3621</v>
      </c>
      <c r="W42" s="13">
        <v>3665</v>
      </c>
      <c r="X42" s="13">
        <v>3622</v>
      </c>
      <c r="Y42" s="13">
        <v>3598</v>
      </c>
      <c r="Z42" s="13">
        <v>3570</v>
      </c>
      <c r="AA42" s="13">
        <v>3565</v>
      </c>
      <c r="AB42" s="13">
        <v>3559</v>
      </c>
      <c r="AC42" s="13">
        <v>3600</v>
      </c>
      <c r="AD42" s="13">
        <v>3588</v>
      </c>
      <c r="AE42" s="13">
        <v>3543</v>
      </c>
      <c r="AF42" s="13">
        <v>3516</v>
      </c>
      <c r="AG42" s="13">
        <v>3477</v>
      </c>
      <c r="AH42" s="13">
        <v>3485</v>
      </c>
      <c r="AI42" s="13">
        <v>3438</v>
      </c>
      <c r="AJ42" s="13">
        <v>3433</v>
      </c>
      <c r="AK42" s="13">
        <v>3465</v>
      </c>
      <c r="AL42" s="13">
        <v>3421</v>
      </c>
      <c r="AM42" s="13">
        <v>3479</v>
      </c>
      <c r="AN42" s="13">
        <v>3483</v>
      </c>
      <c r="AO42" s="13">
        <v>3536</v>
      </c>
      <c r="AP42" s="13">
        <v>3536</v>
      </c>
      <c r="AQ42" s="13">
        <v>3504</v>
      </c>
      <c r="AR42" s="13">
        <v>3500</v>
      </c>
      <c r="AS42" s="13">
        <v>3420</v>
      </c>
      <c r="AT42" s="13">
        <v>3392</v>
      </c>
      <c r="AU42" s="13">
        <v>3342</v>
      </c>
      <c r="AV42" s="13">
        <v>3393</v>
      </c>
      <c r="AW42" s="13">
        <v>3426</v>
      </c>
      <c r="AX42" s="13">
        <v>3452</v>
      </c>
      <c r="AY42" s="13">
        <v>3434</v>
      </c>
      <c r="AZ42" s="13">
        <v>3506</v>
      </c>
      <c r="BA42" s="13">
        <v>3537</v>
      </c>
      <c r="BB42" s="13">
        <v>3550</v>
      </c>
      <c r="BC42" s="13">
        <v>3556</v>
      </c>
      <c r="BD42" s="13">
        <v>3467</v>
      </c>
      <c r="BE42" s="13">
        <v>3462</v>
      </c>
      <c r="BF42" s="13">
        <v>3377</v>
      </c>
      <c r="BG42" s="13">
        <v>3346</v>
      </c>
      <c r="BH42" s="13">
        <v>3431</v>
      </c>
      <c r="BI42" s="13">
        <v>3579</v>
      </c>
      <c r="BJ42" s="13">
        <v>3603</v>
      </c>
      <c r="BK42" s="13">
        <v>3690</v>
      </c>
      <c r="BL42" s="13">
        <v>3588</v>
      </c>
      <c r="BM42" s="4">
        <v>3562</v>
      </c>
      <c r="BN42" s="4">
        <v>3606</v>
      </c>
      <c r="BO42" s="4">
        <v>3549</v>
      </c>
      <c r="BP42" s="4">
        <v>3513</v>
      </c>
      <c r="BQ42" s="4">
        <v>3511</v>
      </c>
      <c r="BR42" s="4">
        <v>3511</v>
      </c>
      <c r="BS42" s="4">
        <v>3492</v>
      </c>
      <c r="BT42" s="4">
        <v>3537</v>
      </c>
      <c r="BU42" s="4">
        <v>3541</v>
      </c>
      <c r="BV42" s="4">
        <v>3523</v>
      </c>
      <c r="BW42" s="4">
        <v>3594</v>
      </c>
      <c r="BX42" s="4">
        <v>3557</v>
      </c>
      <c r="BY42" s="4">
        <v>3697</v>
      </c>
      <c r="BZ42" s="4">
        <v>3754</v>
      </c>
    </row>
    <row r="43" spans="1:78" ht="15.9" customHeight="1">
      <c r="A43" s="61" t="s">
        <v>81</v>
      </c>
      <c r="B43" s="6" t="s">
        <v>82</v>
      </c>
      <c r="C43" s="15">
        <f>_xll.RssMarket("8750","現在値")</f>
        <v>1903</v>
      </c>
      <c r="D43" s="16">
        <f t="shared" si="1"/>
        <v>22</v>
      </c>
      <c r="E43" s="13">
        <v>1881</v>
      </c>
      <c r="F43" s="13">
        <v>1888.5</v>
      </c>
      <c r="G43" s="13">
        <v>1918.5</v>
      </c>
      <c r="H43" s="13">
        <v>1898</v>
      </c>
      <c r="I43" s="13">
        <v>1936</v>
      </c>
      <c r="J43" s="13">
        <v>1902.5</v>
      </c>
      <c r="K43" s="13">
        <v>1959</v>
      </c>
      <c r="L43" s="13"/>
      <c r="M43" s="13">
        <v>1905.5</v>
      </c>
      <c r="N43" s="13">
        <v>1897</v>
      </c>
      <c r="O43" s="13">
        <v>1877.5</v>
      </c>
      <c r="P43" s="13">
        <v>1799</v>
      </c>
      <c r="Q43" s="13">
        <v>1884</v>
      </c>
      <c r="R43" s="13">
        <v>1856</v>
      </c>
      <c r="S43" s="13">
        <v>1828</v>
      </c>
      <c r="T43" s="13">
        <v>1861</v>
      </c>
      <c r="U43" s="13">
        <v>1877</v>
      </c>
      <c r="V43" s="13">
        <v>1864</v>
      </c>
      <c r="W43" s="13">
        <v>1859.5</v>
      </c>
      <c r="X43" s="13">
        <v>1875.5</v>
      </c>
      <c r="Y43" s="13">
        <v>1843</v>
      </c>
      <c r="Z43" s="13">
        <v>1824.5</v>
      </c>
      <c r="AA43" s="13">
        <v>1791</v>
      </c>
      <c r="AB43" s="13">
        <v>1778.5</v>
      </c>
      <c r="AC43" s="13">
        <v>1739</v>
      </c>
      <c r="AD43" s="13">
        <v>1726.5</v>
      </c>
      <c r="AE43" s="13">
        <v>1705.5</v>
      </c>
      <c r="AF43" s="13">
        <v>1728</v>
      </c>
      <c r="AG43" s="13">
        <v>1812</v>
      </c>
      <c r="AH43" s="13">
        <v>1834.5</v>
      </c>
      <c r="AI43" s="13">
        <v>1814.5</v>
      </c>
      <c r="AJ43" s="13">
        <v>1820.5</v>
      </c>
      <c r="AK43" s="13">
        <v>1793</v>
      </c>
      <c r="AL43" s="13">
        <v>1789.5</v>
      </c>
      <c r="AM43" s="13">
        <v>1776</v>
      </c>
      <c r="AN43" s="13">
        <v>1753.5</v>
      </c>
      <c r="AO43" s="13">
        <v>1730.5</v>
      </c>
      <c r="AP43" s="13">
        <v>1732</v>
      </c>
      <c r="AQ43" s="13">
        <v>1667.5</v>
      </c>
      <c r="AR43" s="13">
        <v>1662.5</v>
      </c>
      <c r="AS43" s="13">
        <v>1647.5</v>
      </c>
      <c r="AT43" s="13">
        <v>1650</v>
      </c>
      <c r="AU43" s="13">
        <v>1622</v>
      </c>
      <c r="AV43" s="13">
        <v>1636</v>
      </c>
      <c r="AW43" s="13">
        <v>1627.5</v>
      </c>
      <c r="AX43" s="13">
        <v>1664</v>
      </c>
      <c r="AY43" s="13">
        <v>1666</v>
      </c>
      <c r="AZ43" s="13">
        <v>1650.5</v>
      </c>
      <c r="BA43" s="13">
        <v>1669</v>
      </c>
      <c r="BB43" s="13">
        <v>1656</v>
      </c>
      <c r="BC43" s="13">
        <v>1654</v>
      </c>
      <c r="BD43" s="13">
        <v>1615</v>
      </c>
      <c r="BE43" s="13">
        <v>1618</v>
      </c>
      <c r="BF43" s="13">
        <v>1500</v>
      </c>
      <c r="BG43" s="13">
        <v>1502</v>
      </c>
      <c r="BH43" s="13">
        <v>1479</v>
      </c>
      <c r="BI43" s="13">
        <v>1466.5</v>
      </c>
      <c r="BJ43" s="13">
        <v>1438.5</v>
      </c>
      <c r="BK43" s="13">
        <v>1464</v>
      </c>
      <c r="BL43" s="13">
        <v>1423</v>
      </c>
      <c r="BM43" s="4">
        <v>1440</v>
      </c>
      <c r="BN43" s="4">
        <v>1444</v>
      </c>
      <c r="BO43" s="4">
        <v>1398.5</v>
      </c>
      <c r="BP43" s="4">
        <v>1410.5</v>
      </c>
      <c r="BQ43" s="4">
        <v>1415.5</v>
      </c>
      <c r="BR43" s="4">
        <v>1437</v>
      </c>
      <c r="BS43" s="4">
        <v>1444.5</v>
      </c>
      <c r="BT43" s="4">
        <v>1459</v>
      </c>
      <c r="BU43" s="4">
        <v>1459.5</v>
      </c>
      <c r="BV43" s="4">
        <v>1503</v>
      </c>
      <c r="BW43" s="4">
        <v>1481</v>
      </c>
      <c r="BX43" s="4">
        <v>1483.5</v>
      </c>
      <c r="BY43" s="4">
        <v>1474.5</v>
      </c>
      <c r="BZ43" s="4">
        <v>1482</v>
      </c>
    </row>
    <row r="44" spans="1:78" ht="15.9" customHeight="1">
      <c r="A44" s="61" t="s">
        <v>83</v>
      </c>
      <c r="B44" s="6" t="s">
        <v>84</v>
      </c>
      <c r="C44" s="15">
        <f>_xll.RssMarket("3402","現在値")</f>
        <v>1177</v>
      </c>
      <c r="D44" s="16">
        <f t="shared" si="1"/>
        <v>30.5</v>
      </c>
      <c r="E44" s="13">
        <v>1146.5</v>
      </c>
      <c r="F44" s="13">
        <v>1129.5</v>
      </c>
      <c r="G44" s="13">
        <v>1158</v>
      </c>
      <c r="H44" s="13">
        <v>1155.5</v>
      </c>
      <c r="I44" s="13">
        <v>1163</v>
      </c>
      <c r="J44" s="13">
        <v>1150</v>
      </c>
      <c r="K44" s="13">
        <v>1178.5</v>
      </c>
      <c r="L44" s="13">
        <v>1154</v>
      </c>
      <c r="M44" s="13">
        <v>1179.5</v>
      </c>
      <c r="N44" s="13">
        <v>1169.5</v>
      </c>
      <c r="O44" s="13">
        <v>1165</v>
      </c>
      <c r="P44" s="13">
        <v>1148.5</v>
      </c>
      <c r="Q44" s="13">
        <v>1172</v>
      </c>
      <c r="R44" s="13">
        <v>1154.5</v>
      </c>
      <c r="S44" s="13">
        <v>1138</v>
      </c>
      <c r="T44" s="13">
        <v>1142.5</v>
      </c>
      <c r="U44" s="13">
        <v>1146</v>
      </c>
      <c r="V44" s="13">
        <v>1166</v>
      </c>
      <c r="W44" s="13">
        <v>1170.5</v>
      </c>
      <c r="X44" s="13">
        <v>1175</v>
      </c>
      <c r="Y44" s="13">
        <v>1173.5</v>
      </c>
      <c r="Z44" s="13">
        <v>1133</v>
      </c>
      <c r="AA44" s="13">
        <v>1125</v>
      </c>
      <c r="AB44" s="13">
        <v>1127.5</v>
      </c>
      <c r="AC44" s="13">
        <v>1138.5</v>
      </c>
      <c r="AD44" s="13">
        <v>1138.5</v>
      </c>
      <c r="AE44" s="13">
        <v>1158</v>
      </c>
      <c r="AF44" s="13">
        <v>1147</v>
      </c>
      <c r="AG44" s="13">
        <v>1141</v>
      </c>
      <c r="AH44" s="13">
        <v>1171.5</v>
      </c>
      <c r="AI44" s="13">
        <v>1159</v>
      </c>
      <c r="AJ44" s="13">
        <v>1192.5</v>
      </c>
      <c r="AK44" s="13">
        <v>1190</v>
      </c>
      <c r="AL44" s="13">
        <v>1177</v>
      </c>
      <c r="AM44" s="13">
        <v>1197.5</v>
      </c>
      <c r="AN44" s="13">
        <v>1145</v>
      </c>
      <c r="AO44" s="13">
        <v>1118.5</v>
      </c>
      <c r="AP44" s="13">
        <v>1113</v>
      </c>
      <c r="AQ44" s="13">
        <v>1094.5</v>
      </c>
      <c r="AR44" s="13">
        <v>1121.5</v>
      </c>
      <c r="AS44" s="13">
        <v>1105.5</v>
      </c>
      <c r="AT44" s="13">
        <v>1152</v>
      </c>
      <c r="AU44" s="13">
        <v>1121.5</v>
      </c>
      <c r="AV44" s="13">
        <v>1192</v>
      </c>
      <c r="AW44" s="13">
        <v>1133</v>
      </c>
      <c r="AX44" s="13">
        <v>1143.5</v>
      </c>
      <c r="AY44" s="13">
        <v>1135.5</v>
      </c>
      <c r="AZ44" s="13">
        <v>1085.5</v>
      </c>
      <c r="BA44" s="13">
        <v>1085.5</v>
      </c>
      <c r="BB44" s="13">
        <v>1076.5</v>
      </c>
      <c r="BC44" s="13">
        <v>1082</v>
      </c>
      <c r="BD44" s="13">
        <v>1076.5</v>
      </c>
      <c r="BE44" s="13">
        <v>1150</v>
      </c>
      <c r="BF44" s="13">
        <v>1163.5</v>
      </c>
      <c r="BG44" s="13">
        <v>1167.5</v>
      </c>
      <c r="BH44" s="13">
        <v>1145.5</v>
      </c>
      <c r="BI44" s="13">
        <v>1133</v>
      </c>
      <c r="BJ44" s="13">
        <v>1129</v>
      </c>
      <c r="BK44" s="13">
        <v>1138</v>
      </c>
      <c r="BL44" s="13">
        <v>1106</v>
      </c>
      <c r="BM44" s="4">
        <v>1121</v>
      </c>
      <c r="BN44" s="4">
        <v>1140.5</v>
      </c>
      <c r="BO44" s="4">
        <v>1119.5</v>
      </c>
      <c r="BP44" s="4">
        <v>1110.5</v>
      </c>
      <c r="BQ44" s="4">
        <v>1112.5</v>
      </c>
      <c r="BR44" s="4">
        <v>1126</v>
      </c>
      <c r="BS44" s="4">
        <v>1145</v>
      </c>
      <c r="BT44" s="4">
        <v>1147</v>
      </c>
      <c r="BU44" s="4">
        <v>1156.5</v>
      </c>
      <c r="BV44" s="4">
        <v>1171.5</v>
      </c>
      <c r="BW44" s="4">
        <v>1144</v>
      </c>
      <c r="BX44" s="4">
        <v>1151.5</v>
      </c>
      <c r="BY44" s="4">
        <v>1150.5</v>
      </c>
      <c r="BZ44" s="4">
        <v>1175.5</v>
      </c>
    </row>
    <row r="45" spans="1:78" ht="15.9" customHeight="1">
      <c r="A45" s="61" t="s">
        <v>85</v>
      </c>
      <c r="B45" s="6" t="s">
        <v>86</v>
      </c>
      <c r="C45" s="15">
        <f>_xll.RssMarket("8306","現在値")</f>
        <v>3541</v>
      </c>
      <c r="D45" s="16">
        <f t="shared" si="1"/>
        <v>71</v>
      </c>
      <c r="E45" s="13">
        <v>3470</v>
      </c>
      <c r="F45" s="13">
        <v>3567</v>
      </c>
      <c r="G45" s="13">
        <v>3571</v>
      </c>
      <c r="H45" s="13">
        <v>3525</v>
      </c>
      <c r="I45" s="13">
        <v>3647</v>
      </c>
      <c r="J45" s="13">
        <v>3661</v>
      </c>
      <c r="K45" s="13">
        <v>3799</v>
      </c>
      <c r="L45" s="13">
        <v>3754</v>
      </c>
      <c r="M45" s="13">
        <v>3750</v>
      </c>
      <c r="N45" s="13">
        <v>3668</v>
      </c>
      <c r="O45" s="13">
        <v>3580</v>
      </c>
      <c r="P45" s="13">
        <v>3473</v>
      </c>
      <c r="Q45" s="13">
        <v>3697</v>
      </c>
      <c r="R45" s="13">
        <v>3600</v>
      </c>
      <c r="S45" s="13">
        <v>3541</v>
      </c>
      <c r="T45" s="13">
        <v>3461</v>
      </c>
      <c r="U45" s="13">
        <v>3414</v>
      </c>
      <c r="V45" s="13">
        <v>3433</v>
      </c>
      <c r="W45" s="13">
        <v>3446</v>
      </c>
      <c r="X45" s="13">
        <v>3370</v>
      </c>
      <c r="Y45" s="13">
        <v>3326</v>
      </c>
      <c r="Z45" s="13">
        <v>3306</v>
      </c>
      <c r="AA45" s="13">
        <v>3247</v>
      </c>
      <c r="AB45" s="13">
        <v>3207</v>
      </c>
      <c r="AC45" s="13">
        <v>3211</v>
      </c>
      <c r="AD45" s="13">
        <v>3245</v>
      </c>
      <c r="AE45" s="13">
        <v>3233</v>
      </c>
      <c r="AF45" s="13">
        <v>3205</v>
      </c>
      <c r="AG45" s="13">
        <v>3267</v>
      </c>
      <c r="AH45" s="13">
        <v>3333</v>
      </c>
      <c r="AI45" s="13">
        <v>3278</v>
      </c>
      <c r="AJ45" s="13">
        <v>3374</v>
      </c>
      <c r="AK45" s="13">
        <v>3272</v>
      </c>
      <c r="AL45" s="13">
        <v>3228</v>
      </c>
      <c r="AM45" s="13">
        <v>3242</v>
      </c>
      <c r="AN45" s="13">
        <v>3162</v>
      </c>
      <c r="AO45" s="13">
        <v>3141</v>
      </c>
      <c r="AP45" s="13">
        <v>3183</v>
      </c>
      <c r="AQ45" s="13">
        <v>3168</v>
      </c>
      <c r="AR45" s="13">
        <v>3219</v>
      </c>
      <c r="AS45" s="13">
        <v>3169</v>
      </c>
      <c r="AT45" s="13">
        <v>3137</v>
      </c>
      <c r="AU45" s="13">
        <v>3046</v>
      </c>
      <c r="AV45" s="13">
        <v>2999</v>
      </c>
      <c r="AW45" s="13">
        <v>2982</v>
      </c>
      <c r="AX45" s="13">
        <v>3031</v>
      </c>
      <c r="AY45" s="13">
        <v>3066</v>
      </c>
      <c r="AZ45" s="13">
        <v>3091</v>
      </c>
      <c r="BA45" s="13">
        <v>3067</v>
      </c>
      <c r="BB45" s="13">
        <v>3030</v>
      </c>
      <c r="BC45" s="13">
        <v>3108</v>
      </c>
      <c r="BD45" s="13">
        <v>2995</v>
      </c>
      <c r="BE45" s="13">
        <v>2929</v>
      </c>
      <c r="BF45" s="13">
        <v>2877</v>
      </c>
      <c r="BG45" s="13">
        <v>2926.5</v>
      </c>
      <c r="BH45" s="13">
        <v>2886</v>
      </c>
      <c r="BI45" s="13">
        <v>2856.5</v>
      </c>
      <c r="BJ45" s="13">
        <v>2806.5</v>
      </c>
      <c r="BK45" s="13">
        <v>2863</v>
      </c>
      <c r="BL45" s="13">
        <v>2798</v>
      </c>
      <c r="BM45" s="4">
        <v>2817</v>
      </c>
      <c r="BN45" s="4">
        <v>2875</v>
      </c>
      <c r="BO45" s="4">
        <v>2788</v>
      </c>
      <c r="BP45" s="4">
        <v>2755.5</v>
      </c>
      <c r="BQ45" s="4">
        <v>2752</v>
      </c>
      <c r="BR45" s="4">
        <v>2794</v>
      </c>
      <c r="BS45" s="4">
        <v>2830.5</v>
      </c>
      <c r="BT45" s="4">
        <v>2870.5</v>
      </c>
      <c r="BU45" s="4">
        <v>2870</v>
      </c>
      <c r="BV45" s="4">
        <v>2946.5</v>
      </c>
      <c r="BW45" s="4">
        <v>2913.5</v>
      </c>
      <c r="BX45" s="4">
        <v>2850</v>
      </c>
      <c r="BY45" s="4">
        <v>2860</v>
      </c>
      <c r="BZ45" s="4">
        <v>2842</v>
      </c>
    </row>
    <row r="46" spans="1:78" ht="15.9" customHeight="1">
      <c r="A46" s="61" t="s">
        <v>87</v>
      </c>
      <c r="B46" s="6" t="s">
        <v>88</v>
      </c>
      <c r="C46" s="15">
        <f>_xll.RssMarket("5401","現在値")</f>
        <v>660</v>
      </c>
      <c r="D46" s="16">
        <f t="shared" si="1"/>
        <v>14</v>
      </c>
      <c r="E46" s="13">
        <v>646</v>
      </c>
      <c r="F46" s="13">
        <v>647</v>
      </c>
      <c r="G46" s="13">
        <v>649.6</v>
      </c>
      <c r="H46" s="13">
        <v>660</v>
      </c>
      <c r="I46" s="13">
        <v>672.8</v>
      </c>
      <c r="J46" s="13">
        <v>654</v>
      </c>
      <c r="K46" s="13">
        <v>636.9</v>
      </c>
      <c r="L46" s="13"/>
      <c r="M46" s="13">
        <v>607.79999999999995</v>
      </c>
      <c r="N46" s="13">
        <v>599</v>
      </c>
      <c r="O46" s="13">
        <v>598.6</v>
      </c>
      <c r="P46" s="13">
        <v>585.6</v>
      </c>
      <c r="Q46" s="13">
        <v>574.29999999999995</v>
      </c>
      <c r="R46" s="13">
        <v>567.6</v>
      </c>
      <c r="S46" s="13">
        <v>560</v>
      </c>
      <c r="T46" s="13">
        <v>550.20000000000005</v>
      </c>
      <c r="U46" s="13">
        <v>556</v>
      </c>
      <c r="V46" s="13">
        <v>556</v>
      </c>
      <c r="W46" s="13">
        <v>560.29999999999995</v>
      </c>
      <c r="X46" s="13">
        <v>559</v>
      </c>
      <c r="Y46" s="13">
        <v>548.20000000000005</v>
      </c>
      <c r="Z46" s="13">
        <v>542</v>
      </c>
      <c r="AA46" s="13">
        <v>531</v>
      </c>
      <c r="AB46" s="13">
        <v>536.1</v>
      </c>
      <c r="AC46" s="13">
        <v>546.1</v>
      </c>
      <c r="AD46" s="13">
        <v>543.29999999999995</v>
      </c>
      <c r="AE46" s="13">
        <v>547</v>
      </c>
      <c r="AF46" s="13">
        <v>547.20000000000005</v>
      </c>
      <c r="AG46" s="13">
        <v>551</v>
      </c>
      <c r="AH46" s="13">
        <v>562.29999999999995</v>
      </c>
      <c r="AI46" s="13">
        <v>559.79999999999995</v>
      </c>
      <c r="AJ46" s="13">
        <v>565.4</v>
      </c>
      <c r="AK46" s="13">
        <v>557.5</v>
      </c>
      <c r="AL46" s="13">
        <v>566</v>
      </c>
      <c r="AM46" s="13">
        <v>574.20000000000005</v>
      </c>
      <c r="AN46" s="13">
        <v>551.6</v>
      </c>
      <c r="AO46" s="13">
        <v>535</v>
      </c>
      <c r="AP46" s="13">
        <v>542.29999999999995</v>
      </c>
      <c r="AQ46" s="13">
        <v>538.79999999999995</v>
      </c>
      <c r="AR46" s="13">
        <v>547</v>
      </c>
      <c r="AS46" s="13">
        <v>540.5</v>
      </c>
      <c r="AT46" s="13">
        <v>546.70000000000005</v>
      </c>
      <c r="AU46" s="13">
        <v>536.6</v>
      </c>
      <c r="AV46" s="13">
        <v>566.6</v>
      </c>
      <c r="AW46" s="13">
        <v>563.6</v>
      </c>
      <c r="AX46" s="13">
        <v>563.20000000000005</v>
      </c>
      <c r="AY46" s="13">
        <v>556.20000000000005</v>
      </c>
      <c r="AZ46" s="13">
        <v>553.5</v>
      </c>
      <c r="BA46" s="13">
        <v>546</v>
      </c>
      <c r="BB46" s="13">
        <v>540.70000000000005</v>
      </c>
      <c r="BC46" s="13">
        <v>550</v>
      </c>
      <c r="BD46" s="13">
        <v>549</v>
      </c>
      <c r="BE46" s="13">
        <v>559.9</v>
      </c>
      <c r="BF46" s="13">
        <v>556.20000000000005</v>
      </c>
      <c r="BG46" s="13">
        <v>559.4</v>
      </c>
      <c r="BH46" s="13">
        <v>559.4</v>
      </c>
      <c r="BI46" s="13">
        <v>561.1</v>
      </c>
      <c r="BJ46" s="13">
        <v>570.9</v>
      </c>
      <c r="BK46" s="13">
        <v>582.70000000000005</v>
      </c>
      <c r="BL46" s="13">
        <v>571.9</v>
      </c>
      <c r="BM46" s="4">
        <v>572.29999999999995</v>
      </c>
      <c r="BN46" s="4">
        <v>577.79999999999995</v>
      </c>
      <c r="BO46" s="4">
        <v>569</v>
      </c>
      <c r="BP46" s="4">
        <v>573.1</v>
      </c>
      <c r="BQ46" s="4">
        <v>580.1</v>
      </c>
      <c r="BR46" s="4">
        <v>587.6</v>
      </c>
      <c r="BS46" s="4">
        <v>593.20000000000005</v>
      </c>
      <c r="BT46" s="4">
        <v>599.79999999999995</v>
      </c>
      <c r="BU46" s="4">
        <v>595</v>
      </c>
      <c r="BV46" s="4">
        <v>598</v>
      </c>
      <c r="BW46" s="4">
        <v>598</v>
      </c>
      <c r="BX46" s="4">
        <v>595</v>
      </c>
      <c r="BY46" s="4">
        <v>595.79999999999995</v>
      </c>
      <c r="BZ46" s="4">
        <v>600.20000000000005</v>
      </c>
    </row>
    <row r="47" spans="1:78" ht="15.9" customHeight="1">
      <c r="A47" s="61" t="s">
        <v>89</v>
      </c>
      <c r="B47" s="6" t="s">
        <v>90</v>
      </c>
      <c r="C47" s="15">
        <f>_xll.RssMarket("8572","現在値")</f>
        <v>474.4</v>
      </c>
      <c r="D47" s="16">
        <f t="shared" si="1"/>
        <v>4.5999999999999659</v>
      </c>
      <c r="E47" s="13">
        <v>469.8</v>
      </c>
      <c r="F47" s="13">
        <v>475.4</v>
      </c>
      <c r="G47" s="13">
        <v>476.7</v>
      </c>
      <c r="H47" s="13">
        <v>489.6</v>
      </c>
      <c r="I47" s="13">
        <v>494</v>
      </c>
      <c r="J47" s="13">
        <v>488.6</v>
      </c>
      <c r="K47" s="13">
        <v>493.6</v>
      </c>
      <c r="L47" s="13">
        <v>485.3</v>
      </c>
      <c r="M47" s="13">
        <v>489.4</v>
      </c>
      <c r="N47" s="13">
        <v>492.1</v>
      </c>
      <c r="O47" s="13">
        <v>489.5</v>
      </c>
      <c r="P47" s="13">
        <v>484.1</v>
      </c>
      <c r="Q47" s="13">
        <v>488.5</v>
      </c>
      <c r="R47" s="13">
        <v>484</v>
      </c>
      <c r="S47" s="13">
        <v>481.8</v>
      </c>
      <c r="T47" s="13">
        <v>480</v>
      </c>
      <c r="U47" s="13">
        <v>483.7</v>
      </c>
      <c r="V47" s="13">
        <v>486.3</v>
      </c>
      <c r="W47" s="13">
        <v>482.1</v>
      </c>
      <c r="X47" s="13">
        <v>485</v>
      </c>
      <c r="Y47" s="13">
        <v>470.3</v>
      </c>
      <c r="Z47" s="13">
        <v>462.3</v>
      </c>
      <c r="AA47" s="13">
        <v>455.7</v>
      </c>
      <c r="AB47" s="13">
        <v>453.8</v>
      </c>
      <c r="AC47" s="13">
        <v>454.4</v>
      </c>
      <c r="AD47" s="13">
        <v>449.5</v>
      </c>
      <c r="AE47" s="13">
        <v>445.5</v>
      </c>
      <c r="AF47" s="13">
        <v>443.4</v>
      </c>
      <c r="AG47" s="13">
        <v>447.3</v>
      </c>
      <c r="AH47" s="13">
        <v>447.3</v>
      </c>
      <c r="AI47" s="13">
        <v>448.6</v>
      </c>
      <c r="AJ47" s="13">
        <v>447.6</v>
      </c>
      <c r="AK47" s="13">
        <v>450.6</v>
      </c>
      <c r="AL47" s="13">
        <v>449.3</v>
      </c>
      <c r="AM47" s="13">
        <v>453.2</v>
      </c>
      <c r="AN47" s="13">
        <v>451.1</v>
      </c>
      <c r="AO47" s="13">
        <v>449.3</v>
      </c>
      <c r="AP47" s="13">
        <v>451.9</v>
      </c>
      <c r="AQ47" s="13">
        <v>445.2</v>
      </c>
      <c r="AR47" s="13">
        <v>446.6</v>
      </c>
      <c r="AS47" s="13">
        <v>442.1</v>
      </c>
      <c r="AT47" s="13">
        <v>450.5</v>
      </c>
      <c r="AU47" s="13">
        <v>448.5</v>
      </c>
      <c r="AV47" s="13">
        <v>467.5</v>
      </c>
      <c r="AW47" s="13">
        <v>466.2</v>
      </c>
      <c r="AX47" s="13">
        <v>463.6</v>
      </c>
      <c r="AY47" s="13">
        <v>462.9</v>
      </c>
      <c r="AZ47" s="13">
        <v>464.1</v>
      </c>
      <c r="BA47" s="13">
        <v>468.8</v>
      </c>
      <c r="BB47" s="13">
        <v>460</v>
      </c>
      <c r="BC47" s="13">
        <v>465.3</v>
      </c>
      <c r="BD47" s="13">
        <v>456.9</v>
      </c>
      <c r="BE47" s="13">
        <v>464.3</v>
      </c>
      <c r="BF47" s="13">
        <v>458.9</v>
      </c>
      <c r="BG47" s="13">
        <v>455.7</v>
      </c>
      <c r="BH47" s="13">
        <v>489.3</v>
      </c>
      <c r="BI47" s="13">
        <v>489</v>
      </c>
      <c r="BJ47" s="13">
        <v>494.1</v>
      </c>
      <c r="BK47" s="13">
        <v>492.1</v>
      </c>
      <c r="BL47" s="13">
        <v>492.7</v>
      </c>
      <c r="BM47" s="4">
        <v>500.8</v>
      </c>
      <c r="BN47" s="4">
        <v>504.5</v>
      </c>
      <c r="BO47" s="4">
        <v>495.4</v>
      </c>
      <c r="BP47" s="4">
        <v>500.2</v>
      </c>
      <c r="BQ47" s="4">
        <v>500.5</v>
      </c>
      <c r="BR47" s="4">
        <v>515.29999999999995</v>
      </c>
      <c r="BS47" s="4">
        <v>517.29999999999995</v>
      </c>
      <c r="BT47" s="4">
        <v>482.9</v>
      </c>
      <c r="BU47" s="4">
        <v>484</v>
      </c>
      <c r="BV47" s="4">
        <v>480.1</v>
      </c>
      <c r="BW47" s="4">
        <v>477.1</v>
      </c>
      <c r="BX47" s="4">
        <v>474.6</v>
      </c>
      <c r="BY47" s="4">
        <v>468.4</v>
      </c>
      <c r="BZ47" s="4">
        <v>471.5</v>
      </c>
    </row>
    <row r="48" spans="1:78" ht="15.9" customHeight="1">
      <c r="A48" s="61" t="s">
        <v>91</v>
      </c>
      <c r="B48" s="6" t="s">
        <v>92</v>
      </c>
      <c r="C48" s="15">
        <f>_xll.RssMarket("3941","現在値")</f>
        <v>1592.5</v>
      </c>
      <c r="D48" s="16">
        <f t="shared" si="1"/>
        <v>99</v>
      </c>
      <c r="E48" s="13">
        <v>1493.5</v>
      </c>
      <c r="F48" s="13">
        <v>1490</v>
      </c>
      <c r="G48" s="13">
        <v>1492</v>
      </c>
      <c r="H48" s="13">
        <v>1519.5</v>
      </c>
      <c r="I48" s="13">
        <v>1534.5</v>
      </c>
      <c r="J48" s="13">
        <v>1519.5</v>
      </c>
      <c r="K48" s="13">
        <v>1528</v>
      </c>
      <c r="L48" s="13">
        <v>1461.5</v>
      </c>
      <c r="M48" s="13">
        <v>1480</v>
      </c>
      <c r="N48" s="13">
        <v>1464.5</v>
      </c>
      <c r="O48" s="13">
        <v>1463.5</v>
      </c>
      <c r="P48" s="13">
        <v>1430.5</v>
      </c>
      <c r="Q48" s="13">
        <v>1435.5</v>
      </c>
      <c r="R48" s="13">
        <v>1419.5</v>
      </c>
      <c r="S48" s="13">
        <v>1405</v>
      </c>
      <c r="T48" s="13">
        <v>1412.5</v>
      </c>
      <c r="U48" s="13">
        <v>1410.5</v>
      </c>
      <c r="V48" s="13">
        <v>1448</v>
      </c>
      <c r="W48" s="13">
        <v>1419.5</v>
      </c>
      <c r="X48" s="13">
        <v>1428.5</v>
      </c>
      <c r="Y48" s="13">
        <v>1411</v>
      </c>
      <c r="Z48" s="13">
        <v>1406.5</v>
      </c>
      <c r="AA48" s="13">
        <v>1415.5</v>
      </c>
      <c r="AB48" s="13">
        <v>1417.5</v>
      </c>
      <c r="AC48" s="13">
        <v>1437.5</v>
      </c>
      <c r="AD48" s="13">
        <v>1435.5</v>
      </c>
      <c r="AE48" s="13">
        <v>1407.5</v>
      </c>
      <c r="AF48" s="13">
        <v>1393</v>
      </c>
      <c r="AG48" s="13">
        <v>1404.5</v>
      </c>
      <c r="AH48" s="13">
        <v>1401</v>
      </c>
      <c r="AI48" s="13">
        <v>1430.5</v>
      </c>
      <c r="AJ48" s="13">
        <v>1424</v>
      </c>
      <c r="AK48" s="13">
        <v>1408</v>
      </c>
      <c r="AL48" s="13">
        <v>1413</v>
      </c>
      <c r="AM48" s="13">
        <v>1420.5</v>
      </c>
      <c r="AN48" s="13">
        <v>1383.5</v>
      </c>
      <c r="AO48" s="13">
        <v>1372</v>
      </c>
      <c r="AP48" s="13">
        <v>1389.5</v>
      </c>
      <c r="AQ48" s="13">
        <v>1377.5</v>
      </c>
      <c r="AR48" s="13">
        <v>1389</v>
      </c>
      <c r="AS48" s="13">
        <v>1379</v>
      </c>
      <c r="AT48" s="13">
        <v>1401</v>
      </c>
      <c r="AU48" s="13">
        <v>1397</v>
      </c>
      <c r="AV48" s="13">
        <v>1458</v>
      </c>
      <c r="AW48" s="13">
        <v>1424.5</v>
      </c>
      <c r="AX48" s="13">
        <v>1419.5</v>
      </c>
      <c r="AY48" s="13">
        <v>1387</v>
      </c>
      <c r="AZ48" s="13">
        <v>1396</v>
      </c>
      <c r="BA48" s="13">
        <v>1411</v>
      </c>
      <c r="BB48" s="13">
        <v>1392</v>
      </c>
      <c r="BC48" s="13">
        <v>1409</v>
      </c>
      <c r="BD48" s="13">
        <v>1384.5</v>
      </c>
      <c r="BE48" s="13">
        <v>1404</v>
      </c>
      <c r="BF48" s="13">
        <v>1385</v>
      </c>
      <c r="BG48" s="13">
        <v>1244</v>
      </c>
      <c r="BH48" s="13">
        <v>1218.5</v>
      </c>
      <c r="BI48" s="13">
        <v>1228.5</v>
      </c>
      <c r="BJ48" s="13">
        <v>1240</v>
      </c>
      <c r="BK48" s="13">
        <v>1236.5</v>
      </c>
      <c r="BL48" s="13">
        <v>1227</v>
      </c>
      <c r="BM48" s="4">
        <v>1228.5</v>
      </c>
      <c r="BN48" s="4">
        <v>1256</v>
      </c>
      <c r="BO48" s="4">
        <v>1269.5</v>
      </c>
      <c r="BP48" s="4">
        <v>1274</v>
      </c>
      <c r="BQ48" s="4">
        <v>1271.5</v>
      </c>
      <c r="BR48" s="4">
        <v>1292.5</v>
      </c>
      <c r="BS48" s="4">
        <v>1306</v>
      </c>
      <c r="BT48" s="4">
        <v>1265</v>
      </c>
      <c r="BU48" s="4">
        <v>1251.5</v>
      </c>
      <c r="BV48" s="4">
        <v>1282</v>
      </c>
      <c r="BW48" s="4">
        <v>1263</v>
      </c>
      <c r="BX48" s="4">
        <v>1263.5</v>
      </c>
      <c r="BY48" s="4">
        <v>1264</v>
      </c>
      <c r="BZ48" s="4">
        <v>1268</v>
      </c>
    </row>
    <row r="49" spans="1:78" ht="15.9" customHeight="1">
      <c r="A49" s="61" t="s">
        <v>93</v>
      </c>
      <c r="B49" s="6" t="s">
        <v>94</v>
      </c>
      <c r="C49" s="15">
        <f>_xll.RssMarket("5929","現在値")</f>
        <v>3615</v>
      </c>
      <c r="D49" s="16">
        <f t="shared" si="1"/>
        <v>117</v>
      </c>
      <c r="E49" s="13">
        <v>3498</v>
      </c>
      <c r="F49" s="13">
        <v>3530</v>
      </c>
      <c r="G49" s="13">
        <v>3442</v>
      </c>
      <c r="H49" s="13">
        <v>3945</v>
      </c>
      <c r="I49" s="13">
        <v>3953</v>
      </c>
      <c r="J49" s="13">
        <v>3953</v>
      </c>
      <c r="K49" s="13">
        <v>3899</v>
      </c>
      <c r="L49" s="13"/>
      <c r="M49" s="13">
        <v>3791</v>
      </c>
      <c r="N49" s="13">
        <v>3764</v>
      </c>
      <c r="O49" s="13">
        <v>3776</v>
      </c>
      <c r="P49" s="13">
        <v>3768</v>
      </c>
      <c r="Q49" s="13">
        <v>3708</v>
      </c>
      <c r="R49" s="13">
        <v>3689</v>
      </c>
      <c r="S49" s="13">
        <v>3660</v>
      </c>
      <c r="T49" s="13">
        <v>3670</v>
      </c>
      <c r="U49" s="13">
        <v>3722</v>
      </c>
      <c r="V49" s="13">
        <v>3708</v>
      </c>
      <c r="W49" s="13">
        <v>3866</v>
      </c>
      <c r="X49" s="13">
        <v>3874</v>
      </c>
      <c r="Y49" s="13">
        <v>3808</v>
      </c>
      <c r="Z49" s="13">
        <v>3800</v>
      </c>
      <c r="AA49" s="13">
        <v>3742</v>
      </c>
      <c r="AB49" s="13">
        <v>3789</v>
      </c>
      <c r="AC49" s="13">
        <v>3847</v>
      </c>
      <c r="AD49" s="13">
        <v>3729</v>
      </c>
      <c r="AE49" s="13">
        <v>3749</v>
      </c>
      <c r="AF49" s="13">
        <v>3660</v>
      </c>
      <c r="AG49" s="13">
        <v>3660</v>
      </c>
      <c r="AH49" s="13">
        <v>3675</v>
      </c>
      <c r="AI49" s="13">
        <v>3672</v>
      </c>
      <c r="AJ49" s="13">
        <v>3725</v>
      </c>
      <c r="AK49" s="13">
        <v>3713</v>
      </c>
      <c r="AL49" s="13">
        <v>3702</v>
      </c>
      <c r="AM49" s="13">
        <v>3747</v>
      </c>
      <c r="AN49" s="13">
        <v>3618</v>
      </c>
      <c r="AO49" s="13">
        <v>3598</v>
      </c>
      <c r="AP49" s="13">
        <v>3646</v>
      </c>
      <c r="AQ49" s="13">
        <v>3504</v>
      </c>
      <c r="AR49" s="13">
        <v>3538</v>
      </c>
      <c r="AS49" s="13">
        <v>3463</v>
      </c>
      <c r="AT49" s="13">
        <v>3425</v>
      </c>
      <c r="AU49" s="13">
        <v>3337</v>
      </c>
      <c r="AV49" s="13">
        <v>3645</v>
      </c>
      <c r="AW49" s="13">
        <v>3475</v>
      </c>
      <c r="AX49" s="13">
        <v>3400</v>
      </c>
      <c r="AY49" s="13">
        <v>3299</v>
      </c>
      <c r="AZ49" s="13">
        <v>3306</v>
      </c>
      <c r="BA49" s="13">
        <v>3339</v>
      </c>
      <c r="BB49" s="13">
        <v>3283</v>
      </c>
      <c r="BC49" s="13">
        <v>3389</v>
      </c>
      <c r="BD49" s="13">
        <v>3315</v>
      </c>
      <c r="BE49" s="13">
        <v>3455</v>
      </c>
      <c r="BF49" s="13">
        <v>3646</v>
      </c>
      <c r="BG49" s="13">
        <v>3536</v>
      </c>
      <c r="BH49" s="13">
        <v>3508</v>
      </c>
      <c r="BI49" s="13">
        <v>3602</v>
      </c>
      <c r="BJ49" s="13">
        <v>3643</v>
      </c>
      <c r="BK49" s="13">
        <v>3614</v>
      </c>
      <c r="BL49" s="13">
        <v>3540</v>
      </c>
      <c r="BM49" s="4">
        <v>3569</v>
      </c>
      <c r="BN49" s="4">
        <v>3653</v>
      </c>
      <c r="BO49" s="4">
        <v>3596</v>
      </c>
      <c r="BP49" s="4">
        <v>3591</v>
      </c>
      <c r="BQ49" s="4">
        <v>3617</v>
      </c>
      <c r="BR49" s="4">
        <v>3652</v>
      </c>
      <c r="BS49" s="4">
        <v>3675</v>
      </c>
      <c r="BT49" s="4">
        <v>3663</v>
      </c>
      <c r="BU49" s="4">
        <v>3600</v>
      </c>
      <c r="BV49" s="4">
        <v>3632</v>
      </c>
      <c r="BW49" s="4">
        <v>3707</v>
      </c>
      <c r="BX49" s="4">
        <v>3698</v>
      </c>
      <c r="BY49" s="4">
        <v>3681</v>
      </c>
      <c r="BZ49" s="4">
        <v>3691</v>
      </c>
    </row>
    <row r="50" spans="1:78" ht="15.9" customHeight="1">
      <c r="A50" s="61" t="s">
        <v>95</v>
      </c>
      <c r="B50" s="6" t="s">
        <v>96</v>
      </c>
      <c r="C50" s="15">
        <f>_xll.RssMarket("8316","現在値")</f>
        <v>6655</v>
      </c>
      <c r="D50" s="16">
        <f t="shared" si="1"/>
        <v>140</v>
      </c>
      <c r="E50" s="13">
        <v>6515</v>
      </c>
      <c r="F50" s="13">
        <v>6614</v>
      </c>
      <c r="G50" s="13">
        <v>6814</v>
      </c>
      <c r="H50" s="13">
        <v>6666</v>
      </c>
      <c r="I50" s="13">
        <v>6876</v>
      </c>
      <c r="J50" s="13">
        <v>6934</v>
      </c>
      <c r="K50" s="13">
        <v>7214</v>
      </c>
      <c r="L50" s="13">
        <v>7161</v>
      </c>
      <c r="M50" s="13">
        <v>7167</v>
      </c>
      <c r="N50" s="13">
        <v>7072</v>
      </c>
      <c r="O50" s="13">
        <v>6951</v>
      </c>
      <c r="P50" s="13">
        <v>6721</v>
      </c>
      <c r="Q50" s="13">
        <v>7121</v>
      </c>
      <c r="R50" s="13">
        <v>6967</v>
      </c>
      <c r="S50" s="13">
        <v>6925</v>
      </c>
      <c r="T50" s="13">
        <v>6814</v>
      </c>
      <c r="U50" s="13">
        <v>6816</v>
      </c>
      <c r="V50" s="13">
        <v>6811</v>
      </c>
      <c r="W50" s="13">
        <v>6812</v>
      </c>
      <c r="X50" s="13">
        <v>6800</v>
      </c>
      <c r="Y50" s="13">
        <v>6672</v>
      </c>
      <c r="Z50" s="13">
        <v>6573</v>
      </c>
      <c r="AA50" s="13">
        <v>6433</v>
      </c>
      <c r="AB50" s="13">
        <v>6346</v>
      </c>
      <c r="AC50" s="13">
        <v>6344</v>
      </c>
      <c r="AD50" s="13">
        <v>6391</v>
      </c>
      <c r="AE50" s="13">
        <v>6340</v>
      </c>
      <c r="AF50" s="13">
        <v>6356</v>
      </c>
      <c r="AG50" s="13">
        <v>6458</v>
      </c>
      <c r="AH50" s="13">
        <v>6645</v>
      </c>
      <c r="AI50" s="13">
        <v>6482</v>
      </c>
      <c r="AJ50" s="13">
        <v>6728</v>
      </c>
      <c r="AK50" s="13">
        <v>6450</v>
      </c>
      <c r="AL50" s="13">
        <v>6409</v>
      </c>
      <c r="AM50" s="13">
        <v>6519</v>
      </c>
      <c r="AN50" s="13">
        <v>6406</v>
      </c>
      <c r="AO50" s="13">
        <v>6203</v>
      </c>
      <c r="AP50" s="13">
        <v>6227</v>
      </c>
      <c r="AQ50" s="13">
        <v>6105</v>
      </c>
      <c r="AR50" s="13">
        <v>6230</v>
      </c>
      <c r="AS50" s="13">
        <v>6129</v>
      </c>
      <c r="AT50" s="13">
        <v>6148</v>
      </c>
      <c r="AU50" s="13">
        <v>5951</v>
      </c>
      <c r="AV50" s="13">
        <v>5819</v>
      </c>
      <c r="AW50" s="13">
        <v>5849</v>
      </c>
      <c r="AX50" s="13">
        <v>5950</v>
      </c>
      <c r="AY50" s="13">
        <v>6056</v>
      </c>
      <c r="AZ50" s="13">
        <v>6006</v>
      </c>
      <c r="BA50" s="13">
        <v>6031</v>
      </c>
      <c r="BB50" s="13">
        <v>5882</v>
      </c>
      <c r="BC50" s="13">
        <v>5942</v>
      </c>
      <c r="BD50" s="13">
        <v>5732</v>
      </c>
      <c r="BE50" s="13">
        <v>5702</v>
      </c>
      <c r="BF50" s="13">
        <v>5675</v>
      </c>
      <c r="BG50" s="13">
        <v>5852</v>
      </c>
      <c r="BH50" s="13">
        <v>5789</v>
      </c>
      <c r="BI50" s="13">
        <v>5661</v>
      </c>
      <c r="BJ50" s="13">
        <v>5546</v>
      </c>
      <c r="BK50" s="13">
        <v>5689</v>
      </c>
      <c r="BL50" s="13">
        <v>5541</v>
      </c>
      <c r="BM50" s="4">
        <v>5512</v>
      </c>
      <c r="BN50" s="4">
        <v>5648</v>
      </c>
      <c r="BO50" s="4">
        <v>5404</v>
      </c>
      <c r="BP50" s="4">
        <v>5347</v>
      </c>
      <c r="BQ50" s="4">
        <v>5350</v>
      </c>
      <c r="BR50" s="4">
        <v>5442</v>
      </c>
      <c r="BS50" s="4">
        <v>5471</v>
      </c>
      <c r="BT50" s="4">
        <v>5575</v>
      </c>
      <c r="BU50" s="4">
        <v>5598</v>
      </c>
      <c r="BV50" s="4">
        <v>5690</v>
      </c>
      <c r="BW50" s="4">
        <v>5650</v>
      </c>
      <c r="BX50" s="4">
        <v>5539</v>
      </c>
      <c r="BY50" s="4">
        <v>5577</v>
      </c>
      <c r="BZ50" s="4">
        <v>5536</v>
      </c>
    </row>
    <row r="51" spans="1:78" ht="15.9" customHeight="1">
      <c r="A51" s="61" t="s">
        <v>97</v>
      </c>
      <c r="B51" s="6" t="s">
        <v>98</v>
      </c>
      <c r="C51" s="15">
        <f>_xll.RssMarket("5449","現在値")</f>
        <v>2722</v>
      </c>
      <c r="D51" s="16">
        <f t="shared" si="1"/>
        <v>274</v>
      </c>
      <c r="E51" s="13">
        <v>2448</v>
      </c>
      <c r="F51" s="13">
        <v>2368</v>
      </c>
      <c r="G51" s="13">
        <v>2506</v>
      </c>
      <c r="H51" s="13">
        <v>2814</v>
      </c>
      <c r="I51" s="13">
        <v>2875</v>
      </c>
      <c r="J51" s="13">
        <v>2785</v>
      </c>
      <c r="K51" s="13">
        <v>2709</v>
      </c>
      <c r="L51" s="13">
        <v>2649</v>
      </c>
      <c r="M51" s="13">
        <v>2620</v>
      </c>
      <c r="N51" s="13">
        <v>2568</v>
      </c>
      <c r="O51" s="13">
        <v>2581</v>
      </c>
      <c r="P51" s="13">
        <v>2539</v>
      </c>
      <c r="Q51" s="13">
        <v>2537</v>
      </c>
      <c r="R51" s="13">
        <v>2486</v>
      </c>
      <c r="S51" s="13">
        <v>2532</v>
      </c>
      <c r="T51" s="13">
        <v>2526</v>
      </c>
      <c r="U51" s="13">
        <v>2478</v>
      </c>
      <c r="V51" s="13">
        <v>2513</v>
      </c>
      <c r="W51" s="13">
        <v>2510</v>
      </c>
      <c r="X51" s="13">
        <v>2405</v>
      </c>
      <c r="Y51" s="13">
        <v>2421</v>
      </c>
      <c r="Z51" s="13">
        <v>2328</v>
      </c>
      <c r="AA51" s="13">
        <v>2265</v>
      </c>
      <c r="AB51" s="13">
        <v>2278</v>
      </c>
      <c r="AC51" s="13">
        <v>2387</v>
      </c>
      <c r="AD51" s="13">
        <v>2291</v>
      </c>
      <c r="AE51" s="13">
        <v>2284</v>
      </c>
      <c r="AF51" s="13">
        <v>2301</v>
      </c>
      <c r="AG51" s="13">
        <v>2331</v>
      </c>
      <c r="AH51" s="13">
        <v>2342</v>
      </c>
      <c r="AI51" s="13">
        <v>2358</v>
      </c>
      <c r="AJ51" s="13">
        <v>2286</v>
      </c>
      <c r="AK51" s="13">
        <v>2238</v>
      </c>
      <c r="AL51" s="13">
        <v>2406</v>
      </c>
      <c r="AM51" s="13">
        <v>2401</v>
      </c>
      <c r="AN51" s="13">
        <v>2336</v>
      </c>
      <c r="AO51" s="13">
        <v>2306</v>
      </c>
      <c r="AP51" s="13">
        <v>2321</v>
      </c>
      <c r="AQ51" s="13">
        <v>2296</v>
      </c>
      <c r="AR51" s="13">
        <v>2358</v>
      </c>
      <c r="AS51" s="13">
        <v>2359</v>
      </c>
      <c r="AT51" s="13">
        <v>2405</v>
      </c>
      <c r="AU51" s="13">
        <v>2321</v>
      </c>
      <c r="AV51" s="13">
        <v>2593</v>
      </c>
      <c r="AW51" s="13">
        <v>2597</v>
      </c>
      <c r="AX51" s="13">
        <v>2680</v>
      </c>
      <c r="AY51" s="13">
        <v>2508</v>
      </c>
      <c r="AZ51" s="13">
        <v>2381</v>
      </c>
      <c r="BA51" s="13">
        <v>2377</v>
      </c>
      <c r="BB51" s="13">
        <v>2272</v>
      </c>
      <c r="BC51" s="13">
        <v>2263</v>
      </c>
      <c r="BD51" s="13">
        <v>2251</v>
      </c>
      <c r="BE51" s="13">
        <v>2375</v>
      </c>
      <c r="BF51" s="13">
        <v>2343</v>
      </c>
      <c r="BG51" s="13">
        <v>2315</v>
      </c>
      <c r="BH51" s="13">
        <v>2469</v>
      </c>
      <c r="BI51" s="13">
        <v>2555</v>
      </c>
      <c r="BJ51" s="13">
        <v>2545</v>
      </c>
      <c r="BK51" s="13">
        <v>2607</v>
      </c>
      <c r="BL51" s="13">
        <v>2518</v>
      </c>
      <c r="BM51" s="4">
        <v>2459</v>
      </c>
      <c r="BN51" s="4">
        <v>2469</v>
      </c>
      <c r="BO51" s="4">
        <v>2318</v>
      </c>
      <c r="BP51" s="4">
        <v>2312</v>
      </c>
      <c r="BQ51" s="4">
        <v>2315</v>
      </c>
      <c r="BR51" s="4">
        <v>2349</v>
      </c>
      <c r="BS51" s="4">
        <v>2398</v>
      </c>
      <c r="BT51" s="4">
        <v>2428</v>
      </c>
      <c r="BU51" s="4">
        <v>2416</v>
      </c>
      <c r="BV51" s="4">
        <v>2409</v>
      </c>
      <c r="BW51" s="4">
        <v>2450</v>
      </c>
      <c r="BX51" s="4">
        <v>2456</v>
      </c>
      <c r="BY51" s="4">
        <v>2393</v>
      </c>
      <c r="BZ51" s="4">
        <v>2481</v>
      </c>
    </row>
    <row r="52" spans="1:78" ht="15.9" customHeight="1">
      <c r="A52" s="61" t="s">
        <v>99</v>
      </c>
      <c r="B52" s="6" t="s">
        <v>100</v>
      </c>
      <c r="C52" s="15">
        <f>_xll.RssMarket("8766","現在値")</f>
        <v>7712</v>
      </c>
      <c r="D52" s="16">
        <f t="shared" si="1"/>
        <v>3</v>
      </c>
      <c r="E52" s="13">
        <v>7709</v>
      </c>
      <c r="F52" s="13">
        <v>7885</v>
      </c>
      <c r="G52" s="13">
        <v>8114</v>
      </c>
      <c r="H52" s="13">
        <v>8202</v>
      </c>
      <c r="I52" s="13">
        <v>8393</v>
      </c>
      <c r="J52" s="13">
        <v>8234</v>
      </c>
      <c r="K52" s="13">
        <v>8243</v>
      </c>
      <c r="L52" s="13">
        <v>8116</v>
      </c>
      <c r="M52" s="13">
        <v>7958</v>
      </c>
      <c r="N52" s="13">
        <v>7971</v>
      </c>
      <c r="O52" s="13">
        <v>7874</v>
      </c>
      <c r="P52" s="13">
        <v>7526</v>
      </c>
      <c r="Q52" s="13">
        <v>7772</v>
      </c>
      <c r="R52" s="13">
        <v>7720</v>
      </c>
      <c r="S52" s="13">
        <v>7613</v>
      </c>
      <c r="T52" s="13">
        <v>7609</v>
      </c>
      <c r="U52" s="13">
        <v>7870</v>
      </c>
      <c r="V52" s="13">
        <v>7700</v>
      </c>
      <c r="W52" s="13">
        <v>7716</v>
      </c>
      <c r="X52" s="13">
        <v>7810</v>
      </c>
      <c r="Y52" s="13">
        <v>7584</v>
      </c>
      <c r="Z52" s="13">
        <v>7511</v>
      </c>
      <c r="AA52" s="13">
        <v>7112</v>
      </c>
      <c r="AB52" s="13">
        <v>7202</v>
      </c>
      <c r="AC52" s="13">
        <v>7248</v>
      </c>
      <c r="AD52" s="13">
        <v>6903</v>
      </c>
      <c r="AE52" s="13">
        <v>6850</v>
      </c>
      <c r="AF52" s="13">
        <v>6970</v>
      </c>
      <c r="AG52" s="13">
        <v>7288</v>
      </c>
      <c r="AH52" s="13">
        <v>7298</v>
      </c>
      <c r="AI52" s="13">
        <v>7194</v>
      </c>
      <c r="AJ52" s="13">
        <v>7324</v>
      </c>
      <c r="AK52" s="13">
        <v>7252</v>
      </c>
      <c r="AL52" s="13">
        <v>7288</v>
      </c>
      <c r="AM52" s="13">
        <v>7301</v>
      </c>
      <c r="AN52" s="13">
        <v>7325</v>
      </c>
      <c r="AO52" s="13">
        <v>7404</v>
      </c>
      <c r="AP52" s="13">
        <v>7406</v>
      </c>
      <c r="AQ52" s="13">
        <v>7232</v>
      </c>
      <c r="AR52" s="13">
        <v>6996</v>
      </c>
      <c r="AS52" s="13">
        <v>6940</v>
      </c>
      <c r="AT52" s="13">
        <v>7098</v>
      </c>
      <c r="AU52" s="13">
        <v>7046</v>
      </c>
      <c r="AV52" s="13">
        <v>7111</v>
      </c>
      <c r="AW52" s="13">
        <v>7189</v>
      </c>
      <c r="AX52" s="13">
        <v>7367</v>
      </c>
      <c r="AY52" s="13">
        <v>7387</v>
      </c>
      <c r="AZ52" s="13">
        <v>7381</v>
      </c>
      <c r="BA52" s="13">
        <v>7697</v>
      </c>
      <c r="BB52" s="13">
        <v>7817</v>
      </c>
      <c r="BC52" s="13">
        <v>7949</v>
      </c>
      <c r="BD52" s="13">
        <v>7627</v>
      </c>
      <c r="BE52" s="13">
        <v>7568</v>
      </c>
      <c r="BF52" s="13">
        <v>7362</v>
      </c>
      <c r="BG52" s="13">
        <v>7369</v>
      </c>
      <c r="BH52" s="13">
        <v>7140</v>
      </c>
      <c r="BI52" s="13">
        <v>7150</v>
      </c>
      <c r="BJ52" s="13">
        <v>7030</v>
      </c>
      <c r="BK52" s="13">
        <v>7210</v>
      </c>
      <c r="BL52" s="13">
        <v>7093</v>
      </c>
      <c r="BM52" s="4">
        <v>7202</v>
      </c>
      <c r="BN52" s="4">
        <v>7238</v>
      </c>
      <c r="BO52" s="4">
        <v>7164</v>
      </c>
      <c r="BP52" s="4">
        <v>7176</v>
      </c>
      <c r="BQ52" s="4">
        <v>7072</v>
      </c>
      <c r="BR52" s="4">
        <v>7218</v>
      </c>
      <c r="BS52" s="4">
        <v>7159</v>
      </c>
      <c r="BT52" s="4">
        <v>7175</v>
      </c>
      <c r="BU52" s="4">
        <v>6933</v>
      </c>
      <c r="BV52" s="4">
        <v>6972</v>
      </c>
      <c r="BW52" s="4">
        <v>6836</v>
      </c>
      <c r="BX52" s="4">
        <v>6915</v>
      </c>
      <c r="BY52" s="4">
        <v>7000</v>
      </c>
      <c r="BZ52" s="4">
        <v>7095</v>
      </c>
    </row>
    <row r="53" spans="1:78" ht="15.9" customHeight="1">
      <c r="A53" s="61" t="s">
        <v>101</v>
      </c>
      <c r="B53" s="6" t="s">
        <v>102</v>
      </c>
      <c r="C53" s="15">
        <f>_xll.RssMarket("5201","現在値")</f>
        <v>5781</v>
      </c>
      <c r="D53" s="16">
        <f t="shared" si="1"/>
        <v>196</v>
      </c>
      <c r="E53" s="13">
        <v>5585</v>
      </c>
      <c r="F53" s="13">
        <v>6063</v>
      </c>
      <c r="G53" s="13">
        <v>6079</v>
      </c>
      <c r="H53" s="13">
        <v>5975</v>
      </c>
      <c r="I53" s="13">
        <v>6060</v>
      </c>
      <c r="J53" s="13">
        <v>6168</v>
      </c>
      <c r="K53" s="13">
        <v>6260</v>
      </c>
      <c r="L53" s="13">
        <v>6187</v>
      </c>
      <c r="M53" s="13">
        <v>6315</v>
      </c>
      <c r="N53" s="13">
        <v>6344</v>
      </c>
      <c r="O53" s="13">
        <v>6257</v>
      </c>
      <c r="P53" s="13">
        <v>6135</v>
      </c>
      <c r="Q53" s="13">
        <v>6516</v>
      </c>
      <c r="R53" s="13">
        <v>6422</v>
      </c>
      <c r="S53" s="13">
        <v>6339</v>
      </c>
      <c r="T53" s="13">
        <v>6426</v>
      </c>
      <c r="U53" s="13">
        <v>6479</v>
      </c>
      <c r="V53" s="13">
        <v>6418</v>
      </c>
      <c r="W53" s="13">
        <v>6578</v>
      </c>
      <c r="X53" s="13">
        <v>6737</v>
      </c>
      <c r="Y53" s="13">
        <v>6885</v>
      </c>
      <c r="Z53" s="13">
        <v>6780</v>
      </c>
      <c r="AA53" s="13">
        <v>6957</v>
      </c>
      <c r="AB53" s="13">
        <v>6965</v>
      </c>
      <c r="AC53" s="13">
        <v>6914</v>
      </c>
      <c r="AD53" s="13">
        <v>7146</v>
      </c>
      <c r="AE53" s="13">
        <v>7264</v>
      </c>
      <c r="AF53" s="13">
        <v>7178</v>
      </c>
      <c r="AG53" s="13">
        <v>7250</v>
      </c>
      <c r="AH53" s="13">
        <v>7551</v>
      </c>
      <c r="AI53" s="13">
        <v>7616</v>
      </c>
      <c r="AJ53" s="13">
        <v>7564</v>
      </c>
      <c r="AK53" s="13">
        <v>7421</v>
      </c>
      <c r="AL53" s="13">
        <v>7270</v>
      </c>
      <c r="AM53" s="13">
        <v>7382</v>
      </c>
      <c r="AN53" s="13">
        <v>7023</v>
      </c>
      <c r="AO53" s="13">
        <v>6964</v>
      </c>
      <c r="AP53" s="13">
        <v>6941</v>
      </c>
      <c r="AQ53" s="13">
        <v>7214</v>
      </c>
      <c r="AR53" s="13">
        <v>7735</v>
      </c>
      <c r="AS53" s="13">
        <v>8117</v>
      </c>
      <c r="AT53" s="13">
        <v>8221</v>
      </c>
      <c r="AU53" s="13">
        <v>7643</v>
      </c>
      <c r="AV53" s="13">
        <v>6938</v>
      </c>
      <c r="AW53" s="13">
        <v>6883</v>
      </c>
      <c r="AX53" s="13">
        <v>7020</v>
      </c>
      <c r="AY53" s="13">
        <v>6657</v>
      </c>
      <c r="AZ53" s="13">
        <v>6495</v>
      </c>
      <c r="BA53" s="13">
        <v>6216</v>
      </c>
      <c r="BB53" s="13">
        <v>6049</v>
      </c>
      <c r="BC53" s="13">
        <v>6226</v>
      </c>
      <c r="BD53" s="13">
        <v>5957</v>
      </c>
      <c r="BE53" s="13">
        <v>5999</v>
      </c>
      <c r="BF53" s="13">
        <v>6033</v>
      </c>
      <c r="BG53" s="13">
        <v>6065</v>
      </c>
      <c r="BH53" s="13">
        <v>6014</v>
      </c>
      <c r="BI53" s="13">
        <v>5636</v>
      </c>
      <c r="BJ53" s="13">
        <v>5580</v>
      </c>
      <c r="BK53" s="13">
        <v>5683</v>
      </c>
      <c r="BL53" s="13">
        <v>5574</v>
      </c>
      <c r="BM53" s="4">
        <v>5589</v>
      </c>
      <c r="BN53" s="4">
        <v>5754</v>
      </c>
      <c r="BO53" s="4">
        <v>5689</v>
      </c>
      <c r="BP53" s="4">
        <v>5629</v>
      </c>
      <c r="BQ53" s="4">
        <v>5597</v>
      </c>
      <c r="BR53" s="4">
        <v>5664</v>
      </c>
      <c r="BS53" s="4">
        <v>5769</v>
      </c>
      <c r="BT53" s="4">
        <v>5739</v>
      </c>
      <c r="BU53" s="4">
        <v>5717</v>
      </c>
      <c r="BV53" s="4">
        <v>5750</v>
      </c>
      <c r="BW53" s="4">
        <v>5618</v>
      </c>
      <c r="BX53" s="4">
        <v>5643</v>
      </c>
      <c r="BY53" s="4">
        <v>5682</v>
      </c>
      <c r="BZ53" s="4">
        <v>5827</v>
      </c>
    </row>
    <row r="54" spans="1:78" ht="15.9" customHeight="1">
      <c r="A54" s="61" t="s">
        <v>103</v>
      </c>
      <c r="B54" s="6" t="s">
        <v>104</v>
      </c>
      <c r="C54" s="15">
        <f>_xll.RssMarket("8630","現在値")</f>
        <v>6938</v>
      </c>
      <c r="D54" s="16">
        <f t="shared" si="1"/>
        <v>127</v>
      </c>
      <c r="E54" s="13">
        <v>6811</v>
      </c>
      <c r="F54" s="13">
        <v>6872</v>
      </c>
      <c r="G54" s="13">
        <v>7113</v>
      </c>
      <c r="H54" s="13">
        <v>7219</v>
      </c>
      <c r="I54" s="13">
        <v>7361</v>
      </c>
      <c r="J54" s="13">
        <v>7264</v>
      </c>
      <c r="K54" s="13">
        <v>7261</v>
      </c>
      <c r="L54" s="13">
        <v>7051</v>
      </c>
      <c r="M54" s="13">
        <v>6946</v>
      </c>
      <c r="N54" s="13">
        <v>6906</v>
      </c>
      <c r="O54" s="13">
        <v>6946</v>
      </c>
      <c r="P54" s="13">
        <v>6630</v>
      </c>
      <c r="Q54" s="13">
        <v>6637</v>
      </c>
      <c r="R54" s="13">
        <v>6584</v>
      </c>
      <c r="S54" s="13">
        <v>6478</v>
      </c>
      <c r="T54" s="13">
        <v>6513</v>
      </c>
      <c r="U54" s="13">
        <v>6645</v>
      </c>
      <c r="V54" s="13">
        <v>6714</v>
      </c>
      <c r="W54" s="13">
        <v>6642</v>
      </c>
      <c r="X54" s="13">
        <v>6770</v>
      </c>
      <c r="Y54" s="13">
        <v>6635</v>
      </c>
      <c r="Z54" s="13">
        <v>6486</v>
      </c>
      <c r="AA54" s="13">
        <v>6250</v>
      </c>
      <c r="AB54" s="13">
        <v>6238</v>
      </c>
      <c r="AC54" s="13">
        <v>6214</v>
      </c>
      <c r="AD54" s="13">
        <v>6126</v>
      </c>
      <c r="AE54" s="13">
        <v>6105</v>
      </c>
      <c r="AF54" s="13">
        <v>6151</v>
      </c>
      <c r="AG54" s="13">
        <v>6352</v>
      </c>
      <c r="AH54" s="13">
        <v>6459</v>
      </c>
      <c r="AI54" s="13">
        <v>6342</v>
      </c>
      <c r="AJ54" s="13">
        <v>6380</v>
      </c>
      <c r="AK54" s="13">
        <v>6194</v>
      </c>
      <c r="AL54" s="13">
        <v>6248</v>
      </c>
      <c r="AM54" s="13">
        <v>6242</v>
      </c>
      <c r="AN54" s="13">
        <v>6149</v>
      </c>
      <c r="AO54" s="13">
        <v>6174</v>
      </c>
      <c r="AP54" s="13">
        <v>6146</v>
      </c>
      <c r="AQ54" s="13">
        <v>5992</v>
      </c>
      <c r="AR54" s="13">
        <v>5898</v>
      </c>
      <c r="AS54" s="13">
        <v>5774</v>
      </c>
      <c r="AT54" s="13">
        <v>5900</v>
      </c>
      <c r="AU54" s="13">
        <v>5900</v>
      </c>
      <c r="AV54" s="13">
        <v>5958</v>
      </c>
      <c r="AW54" s="13">
        <v>5902</v>
      </c>
      <c r="AX54" s="13">
        <v>5933</v>
      </c>
      <c r="AY54" s="13">
        <v>5575</v>
      </c>
      <c r="AZ54" s="13">
        <v>5676</v>
      </c>
      <c r="BA54" s="13">
        <v>5568</v>
      </c>
      <c r="BB54" s="13">
        <v>6238</v>
      </c>
      <c r="BC54" s="13">
        <v>6435</v>
      </c>
      <c r="BD54" s="13">
        <v>6134</v>
      </c>
      <c r="BE54" s="13">
        <v>6100</v>
      </c>
      <c r="BF54" s="13">
        <v>5998</v>
      </c>
      <c r="BG54" s="13">
        <v>6084</v>
      </c>
      <c r="BH54" s="13">
        <v>5893</v>
      </c>
      <c r="BI54" s="13">
        <v>5821</v>
      </c>
      <c r="BJ54" s="13">
        <v>5762</v>
      </c>
      <c r="BK54" s="13">
        <v>5857</v>
      </c>
      <c r="BL54" s="13">
        <v>5705</v>
      </c>
      <c r="BM54" s="4">
        <v>5797</v>
      </c>
      <c r="BN54" s="4">
        <v>5771</v>
      </c>
      <c r="BO54" s="4">
        <v>5695</v>
      </c>
      <c r="BP54" s="4">
        <v>5837</v>
      </c>
      <c r="BQ54" s="4">
        <v>5833</v>
      </c>
      <c r="BR54" s="4">
        <v>5820</v>
      </c>
      <c r="BS54" s="4">
        <v>5888</v>
      </c>
      <c r="BT54" s="4">
        <v>5876</v>
      </c>
      <c r="BU54" s="4">
        <v>5898</v>
      </c>
      <c r="BV54" s="4">
        <v>5974</v>
      </c>
      <c r="BW54" s="4">
        <v>5900</v>
      </c>
      <c r="BX54" s="4">
        <v>5902</v>
      </c>
      <c r="BY54" s="4">
        <v>5915</v>
      </c>
      <c r="BZ54" s="4">
        <v>5976</v>
      </c>
    </row>
    <row r="55" spans="1:78" ht="15.9" customHeight="1">
      <c r="A55" s="61" t="s">
        <v>105</v>
      </c>
      <c r="B55" s="6" t="s">
        <v>106</v>
      </c>
      <c r="C55" s="15">
        <f>_xll.RssMarket("5901","現在値")</f>
        <v>4235</v>
      </c>
      <c r="D55" s="16">
        <f t="shared" si="1"/>
        <v>240</v>
      </c>
      <c r="E55" s="13">
        <v>3995</v>
      </c>
      <c r="F55" s="13">
        <v>4007</v>
      </c>
      <c r="G55" s="13">
        <v>4072</v>
      </c>
      <c r="H55" s="13">
        <v>4106</v>
      </c>
      <c r="I55" s="13">
        <v>4186</v>
      </c>
      <c r="J55" s="13">
        <v>4150</v>
      </c>
      <c r="K55" s="13">
        <v>4146</v>
      </c>
      <c r="L55" s="13">
        <v>4097</v>
      </c>
      <c r="M55" s="13">
        <v>4061</v>
      </c>
      <c r="N55" s="13">
        <v>4119</v>
      </c>
      <c r="O55" s="13">
        <v>4120</v>
      </c>
      <c r="P55" s="13">
        <v>4053</v>
      </c>
      <c r="Q55" s="13">
        <v>4027</v>
      </c>
      <c r="R55" s="13">
        <v>4005</v>
      </c>
      <c r="S55" s="13">
        <v>3999</v>
      </c>
      <c r="T55" s="13">
        <v>4027</v>
      </c>
      <c r="U55" s="13">
        <v>4046</v>
      </c>
      <c r="V55" s="13">
        <v>4105</v>
      </c>
      <c r="W55" s="13">
        <v>4149</v>
      </c>
      <c r="X55" s="13">
        <v>4162</v>
      </c>
      <c r="Y55" s="13">
        <v>4111</v>
      </c>
      <c r="Z55" s="13">
        <v>4074</v>
      </c>
      <c r="AA55" s="13">
        <v>4079</v>
      </c>
      <c r="AB55" s="13">
        <v>4083</v>
      </c>
      <c r="AC55" s="13">
        <v>4141</v>
      </c>
      <c r="AD55" s="13">
        <v>4167</v>
      </c>
      <c r="AE55" s="13">
        <v>4111</v>
      </c>
      <c r="AF55" s="13">
        <v>4068</v>
      </c>
      <c r="AG55" s="13">
        <v>4096</v>
      </c>
      <c r="AH55" s="13">
        <v>4121</v>
      </c>
      <c r="AI55" s="13">
        <v>4127</v>
      </c>
      <c r="AJ55" s="13">
        <v>4106</v>
      </c>
      <c r="AK55" s="13">
        <v>4076</v>
      </c>
      <c r="AL55" s="13">
        <v>3991</v>
      </c>
      <c r="AM55" s="13">
        <v>3979</v>
      </c>
      <c r="AN55" s="13">
        <v>3933</v>
      </c>
      <c r="AO55" s="13">
        <v>3837</v>
      </c>
      <c r="AP55" s="13">
        <v>3846</v>
      </c>
      <c r="AQ55" s="13">
        <v>3842</v>
      </c>
      <c r="AR55" s="13">
        <v>3772</v>
      </c>
      <c r="AS55" s="13">
        <v>3795</v>
      </c>
      <c r="AT55" s="13">
        <v>3872</v>
      </c>
      <c r="AU55" s="13">
        <v>3778</v>
      </c>
      <c r="AV55" s="13">
        <v>3890</v>
      </c>
      <c r="AW55" s="13">
        <v>3864</v>
      </c>
      <c r="AX55" s="13">
        <v>3949</v>
      </c>
      <c r="AY55" s="13">
        <v>3973</v>
      </c>
      <c r="AZ55" s="13">
        <v>3996</v>
      </c>
      <c r="BA55" s="13">
        <v>4344</v>
      </c>
      <c r="BB55" s="13">
        <v>4018</v>
      </c>
      <c r="BC55" s="13">
        <v>4003</v>
      </c>
      <c r="BD55" s="13">
        <v>3822</v>
      </c>
      <c r="BE55" s="13">
        <v>3706</v>
      </c>
      <c r="BF55" s="13">
        <v>3433</v>
      </c>
      <c r="BG55" s="13">
        <v>3445</v>
      </c>
      <c r="BH55" s="13">
        <v>3363</v>
      </c>
      <c r="BI55" s="13">
        <v>3388</v>
      </c>
      <c r="BJ55" s="13">
        <v>3531</v>
      </c>
      <c r="BK55" s="13">
        <v>3531</v>
      </c>
      <c r="BL55" s="13">
        <v>3438</v>
      </c>
      <c r="BM55" s="4">
        <v>3239</v>
      </c>
      <c r="BN55" s="4">
        <v>3207</v>
      </c>
      <c r="BO55" s="4">
        <v>3152</v>
      </c>
      <c r="BP55" s="4">
        <v>3220</v>
      </c>
      <c r="BQ55" s="4">
        <v>3226</v>
      </c>
      <c r="BR55" s="4">
        <v>3288</v>
      </c>
      <c r="BS55" s="4">
        <v>3397</v>
      </c>
      <c r="BT55" s="4">
        <v>3383</v>
      </c>
      <c r="BU55" s="4">
        <v>3353</v>
      </c>
      <c r="BV55" s="4">
        <v>3409</v>
      </c>
      <c r="BW55" s="4">
        <v>3399</v>
      </c>
      <c r="BX55" s="4">
        <v>3349</v>
      </c>
      <c r="BY55" s="4">
        <v>3414</v>
      </c>
      <c r="BZ55" s="4">
        <v>3474</v>
      </c>
    </row>
    <row r="56" spans="1:78" ht="15.9" customHeight="1">
      <c r="A56" s="61" t="s">
        <v>107</v>
      </c>
      <c r="B56" s="6" t="s">
        <v>108</v>
      </c>
      <c r="C56" s="15">
        <f>_xll.RssMarket("9412","現在値")</f>
        <v>2297</v>
      </c>
      <c r="D56" s="16">
        <f t="shared" si="1"/>
        <v>83</v>
      </c>
      <c r="E56" s="13">
        <v>2214</v>
      </c>
      <c r="F56" s="13">
        <v>2156</v>
      </c>
      <c r="G56" s="13">
        <v>2102</v>
      </c>
      <c r="H56" s="13">
        <v>2048</v>
      </c>
      <c r="I56" s="13">
        <v>2040</v>
      </c>
      <c r="J56" s="13">
        <v>2173</v>
      </c>
      <c r="K56" s="13">
        <v>2216</v>
      </c>
      <c r="L56" s="13">
        <v>2213</v>
      </c>
      <c r="M56" s="13">
        <v>2260</v>
      </c>
      <c r="N56" s="13">
        <v>2299</v>
      </c>
      <c r="O56" s="13">
        <v>2285</v>
      </c>
      <c r="P56" s="13">
        <v>2277</v>
      </c>
      <c r="Q56" s="13">
        <v>2435</v>
      </c>
      <c r="R56" s="13">
        <v>2481</v>
      </c>
      <c r="S56" s="13">
        <v>2487</v>
      </c>
      <c r="T56" s="13">
        <v>2530</v>
      </c>
      <c r="U56" s="13">
        <v>2576</v>
      </c>
      <c r="V56" s="13">
        <v>2556</v>
      </c>
      <c r="W56" s="13">
        <v>2660</v>
      </c>
      <c r="X56" s="13">
        <v>2664</v>
      </c>
      <c r="Y56" s="13">
        <v>2766</v>
      </c>
      <c r="Z56" s="13">
        <v>2610</v>
      </c>
      <c r="AA56" s="13">
        <v>2552</v>
      </c>
      <c r="AB56" s="13">
        <v>2677</v>
      </c>
      <c r="AC56" s="13">
        <v>2593</v>
      </c>
      <c r="AD56" s="13">
        <v>2485</v>
      </c>
      <c r="AE56" s="13">
        <v>2592</v>
      </c>
      <c r="AF56" s="13">
        <v>2794</v>
      </c>
      <c r="AG56" s="13">
        <v>2863</v>
      </c>
      <c r="AH56" s="13">
        <v>3235</v>
      </c>
      <c r="AI56" s="13">
        <v>3200</v>
      </c>
      <c r="AJ56" s="13">
        <v>3275</v>
      </c>
      <c r="AK56" s="13">
        <v>3355</v>
      </c>
      <c r="AL56" s="13">
        <v>3270</v>
      </c>
      <c r="AM56" s="13">
        <v>3220</v>
      </c>
      <c r="AN56" s="13">
        <v>3485</v>
      </c>
      <c r="AO56" s="13">
        <v>3240</v>
      </c>
      <c r="AP56" s="13">
        <v>3165</v>
      </c>
      <c r="AQ56" s="13">
        <v>3495</v>
      </c>
      <c r="AR56" s="13">
        <v>3645</v>
      </c>
      <c r="AS56" s="13">
        <v>3415</v>
      </c>
      <c r="AT56" s="13">
        <v>3720</v>
      </c>
      <c r="AU56" s="13">
        <v>3755</v>
      </c>
      <c r="AV56" s="13">
        <v>4470</v>
      </c>
      <c r="AW56" s="13">
        <v>4535</v>
      </c>
      <c r="AX56" s="13">
        <v>4455</v>
      </c>
      <c r="AY56" s="13">
        <v>4455</v>
      </c>
      <c r="AZ56" s="13">
        <v>4260</v>
      </c>
      <c r="BA56" s="13">
        <v>4115</v>
      </c>
      <c r="BB56" s="13">
        <v>4190</v>
      </c>
      <c r="BC56" s="13">
        <v>4045</v>
      </c>
      <c r="BD56" s="13">
        <v>4040</v>
      </c>
      <c r="BE56" s="13">
        <v>4180</v>
      </c>
      <c r="BF56" s="13">
        <v>4145</v>
      </c>
      <c r="BG56" s="13">
        <v>4205</v>
      </c>
      <c r="BH56" s="13">
        <v>4030</v>
      </c>
      <c r="BI56" s="13">
        <v>3750</v>
      </c>
      <c r="BJ56" s="13">
        <v>3690</v>
      </c>
      <c r="BK56" s="13">
        <v>3485</v>
      </c>
      <c r="BL56" s="13">
        <v>3515</v>
      </c>
      <c r="BM56" s="4">
        <v>3450</v>
      </c>
      <c r="BN56" s="4">
        <v>3315</v>
      </c>
      <c r="BO56" s="4">
        <v>3090</v>
      </c>
      <c r="BP56" s="4">
        <v>3285</v>
      </c>
      <c r="BQ56" s="4">
        <v>3170</v>
      </c>
      <c r="BR56" s="4">
        <v>3170</v>
      </c>
      <c r="BS56" s="4">
        <v>3405</v>
      </c>
      <c r="BT56" s="4">
        <v>3325</v>
      </c>
      <c r="BU56" s="4">
        <v>3370</v>
      </c>
      <c r="BV56" s="4">
        <v>3235</v>
      </c>
      <c r="BW56" s="4">
        <v>3145</v>
      </c>
      <c r="BX56" s="4">
        <v>3155</v>
      </c>
      <c r="BY56" s="4">
        <v>3015</v>
      </c>
      <c r="BZ56" s="4">
        <v>3060</v>
      </c>
    </row>
    <row r="57" spans="1:78" ht="15.9" customHeight="1">
      <c r="A57" s="61" t="s">
        <v>109</v>
      </c>
      <c r="B57" s="6" t="s">
        <v>110</v>
      </c>
      <c r="C57" s="15">
        <f>_xll.RssMarket("6203","現在値")</f>
        <v>1457</v>
      </c>
      <c r="D57" s="16">
        <f t="shared" si="1"/>
        <v>74</v>
      </c>
      <c r="E57" s="13">
        <v>1383</v>
      </c>
      <c r="F57" s="13">
        <v>1360</v>
      </c>
      <c r="G57" s="13">
        <v>1381</v>
      </c>
      <c r="H57" s="13">
        <v>1352</v>
      </c>
      <c r="I57" s="13">
        <v>1324</v>
      </c>
      <c r="J57" s="13">
        <v>1373</v>
      </c>
      <c r="K57" s="13">
        <v>1435</v>
      </c>
      <c r="L57" s="13">
        <v>1434</v>
      </c>
      <c r="M57" s="13">
        <v>1442</v>
      </c>
      <c r="N57" s="13">
        <v>1440</v>
      </c>
      <c r="O57" s="13">
        <v>1465</v>
      </c>
      <c r="P57" s="13">
        <v>1426</v>
      </c>
      <c r="Q57" s="13">
        <v>1650</v>
      </c>
      <c r="R57" s="13">
        <v>1595</v>
      </c>
      <c r="S57" s="13">
        <v>1601</v>
      </c>
      <c r="T57" s="13">
        <v>1641</v>
      </c>
      <c r="U57" s="13">
        <v>1595</v>
      </c>
      <c r="V57" s="13">
        <v>1589</v>
      </c>
      <c r="W57" s="13">
        <v>1672</v>
      </c>
      <c r="X57" s="13">
        <v>1678</v>
      </c>
      <c r="Y57" s="13">
        <v>1635</v>
      </c>
      <c r="Z57" s="13">
        <v>1569</v>
      </c>
      <c r="AA57" s="13">
        <v>1513</v>
      </c>
      <c r="AB57" s="13">
        <v>1508</v>
      </c>
      <c r="AC57" s="13">
        <v>1548</v>
      </c>
      <c r="AD57" s="13">
        <v>1607</v>
      </c>
      <c r="AE57" s="13">
        <v>1581</v>
      </c>
      <c r="AF57" s="13">
        <v>1579</v>
      </c>
      <c r="AG57" s="13">
        <v>1594</v>
      </c>
      <c r="AH57" s="13">
        <v>1709</v>
      </c>
      <c r="AI57" s="13">
        <v>1619</v>
      </c>
      <c r="AJ57" s="13">
        <v>1700</v>
      </c>
      <c r="AK57" s="13">
        <v>1630</v>
      </c>
      <c r="AL57" s="13">
        <v>1556</v>
      </c>
      <c r="AM57" s="13">
        <v>1548</v>
      </c>
      <c r="AN57" s="13">
        <v>1541</v>
      </c>
      <c r="AO57" s="13">
        <v>1605</v>
      </c>
      <c r="AP57" s="13">
        <v>1676</v>
      </c>
      <c r="AQ57" s="13">
        <v>1795</v>
      </c>
      <c r="AR57" s="13">
        <v>1817</v>
      </c>
      <c r="AS57" s="13">
        <v>1750</v>
      </c>
      <c r="AT57" s="13">
        <v>1830</v>
      </c>
      <c r="AU57" s="13">
        <v>1927</v>
      </c>
      <c r="AV57" s="13">
        <v>1783</v>
      </c>
      <c r="AW57" s="13">
        <v>1670</v>
      </c>
      <c r="AX57" s="13">
        <v>1370</v>
      </c>
      <c r="AY57" s="13">
        <v>1369</v>
      </c>
      <c r="AZ57" s="13">
        <v>1353</v>
      </c>
      <c r="BA57" s="13">
        <v>1318</v>
      </c>
      <c r="BB57" s="13">
        <v>1276</v>
      </c>
      <c r="BC57" s="13">
        <v>1323</v>
      </c>
      <c r="BD57" s="13">
        <v>1301</v>
      </c>
      <c r="BE57" s="13">
        <v>1388</v>
      </c>
      <c r="BF57" s="13">
        <v>1390</v>
      </c>
      <c r="BG57" s="13">
        <v>1457</v>
      </c>
      <c r="BH57" s="13">
        <v>1455</v>
      </c>
      <c r="BI57" s="13">
        <v>1539</v>
      </c>
      <c r="BJ57" s="13">
        <v>1506</v>
      </c>
      <c r="BK57" s="13">
        <v>1537</v>
      </c>
      <c r="BL57" s="13">
        <v>1525</v>
      </c>
      <c r="BM57" s="4">
        <v>1521</v>
      </c>
      <c r="BN57" s="4">
        <v>1585</v>
      </c>
      <c r="BO57" s="4">
        <v>1505</v>
      </c>
      <c r="BP57" s="4">
        <v>1493</v>
      </c>
      <c r="BQ57" s="4">
        <v>1511</v>
      </c>
      <c r="BR57" s="4">
        <v>1543</v>
      </c>
      <c r="BS57" s="4">
        <v>1403</v>
      </c>
      <c r="BT57" s="4">
        <v>1357</v>
      </c>
      <c r="BU57" s="4">
        <v>1360</v>
      </c>
      <c r="BV57" s="4">
        <v>1360</v>
      </c>
      <c r="BW57" s="4">
        <v>1393</v>
      </c>
      <c r="BX57" s="4">
        <v>1449</v>
      </c>
      <c r="BY57" s="4">
        <v>1467</v>
      </c>
      <c r="BZ57" s="4">
        <v>1472</v>
      </c>
    </row>
    <row r="58" spans="1:78" ht="15.9" customHeight="1">
      <c r="A58" s="61" t="s">
        <v>111</v>
      </c>
      <c r="B58" s="6" t="s">
        <v>112</v>
      </c>
      <c r="C58" s="15">
        <f>_xll.RssMarket("4676","現在値")</f>
        <v>4075</v>
      </c>
      <c r="D58" s="16">
        <f t="shared" si="1"/>
        <v>199</v>
      </c>
      <c r="E58" s="13">
        <v>3876</v>
      </c>
      <c r="F58" s="13">
        <v>3919</v>
      </c>
      <c r="G58" s="13">
        <v>3981</v>
      </c>
      <c r="H58" s="13">
        <v>4150</v>
      </c>
      <c r="I58" s="13">
        <v>4259</v>
      </c>
      <c r="J58" s="13">
        <v>4206</v>
      </c>
      <c r="K58" s="13">
        <v>4166</v>
      </c>
      <c r="L58" s="13">
        <v>4055</v>
      </c>
      <c r="M58" s="13">
        <v>4020</v>
      </c>
      <c r="N58" s="13">
        <v>4100</v>
      </c>
      <c r="O58" s="13">
        <v>4114</v>
      </c>
      <c r="P58" s="13">
        <v>4029</v>
      </c>
      <c r="Q58" s="13">
        <v>4186</v>
      </c>
      <c r="R58" s="13">
        <v>4177</v>
      </c>
      <c r="S58" s="13">
        <v>4158</v>
      </c>
      <c r="T58" s="13">
        <v>4113</v>
      </c>
      <c r="U58" s="13">
        <v>4075</v>
      </c>
      <c r="V58" s="13">
        <v>4065</v>
      </c>
      <c r="W58" s="13">
        <v>4145</v>
      </c>
      <c r="X58" s="13">
        <v>4083</v>
      </c>
      <c r="Y58" s="13">
        <v>3970</v>
      </c>
      <c r="Z58" s="13">
        <v>3996</v>
      </c>
      <c r="AA58" s="13">
        <v>3933</v>
      </c>
      <c r="AB58" s="13">
        <v>3829</v>
      </c>
      <c r="AC58" s="13">
        <v>3825</v>
      </c>
      <c r="AD58" s="13">
        <v>3843</v>
      </c>
      <c r="AE58" s="13">
        <v>3989</v>
      </c>
      <c r="AF58" s="13">
        <v>3806</v>
      </c>
      <c r="AG58" s="13">
        <v>3900</v>
      </c>
      <c r="AH58" s="13">
        <v>4103</v>
      </c>
      <c r="AI58" s="13">
        <v>4001</v>
      </c>
      <c r="AJ58" s="13">
        <v>4022</v>
      </c>
      <c r="AK58" s="13">
        <v>4007</v>
      </c>
      <c r="AL58" s="13">
        <v>4021</v>
      </c>
      <c r="AM58" s="13">
        <v>4065</v>
      </c>
      <c r="AN58" s="13">
        <v>4045</v>
      </c>
      <c r="AO58" s="13">
        <v>4094</v>
      </c>
      <c r="AP58" s="13">
        <v>4122</v>
      </c>
      <c r="AQ58" s="13">
        <v>4129</v>
      </c>
      <c r="AR58" s="13">
        <v>4176</v>
      </c>
      <c r="AS58" s="13">
        <v>3838</v>
      </c>
      <c r="AT58" s="13">
        <v>3843</v>
      </c>
      <c r="AU58" s="13">
        <v>3866</v>
      </c>
      <c r="AV58" s="13">
        <v>3774</v>
      </c>
      <c r="AW58" s="13">
        <v>3737</v>
      </c>
      <c r="AX58" s="13">
        <v>3744</v>
      </c>
      <c r="AY58" s="13">
        <v>3701</v>
      </c>
      <c r="AZ58" s="13">
        <v>3802</v>
      </c>
      <c r="BA58" s="13">
        <v>3808</v>
      </c>
      <c r="BB58" s="13">
        <v>3834</v>
      </c>
      <c r="BC58" s="13">
        <v>3808</v>
      </c>
      <c r="BD58" s="13">
        <v>3701</v>
      </c>
      <c r="BE58" s="13">
        <v>3814</v>
      </c>
      <c r="BF58" s="13">
        <v>3789</v>
      </c>
      <c r="BG58" s="13">
        <v>3862</v>
      </c>
      <c r="BH58" s="13">
        <v>3861</v>
      </c>
      <c r="BI58" s="13">
        <v>3965</v>
      </c>
      <c r="BJ58" s="13">
        <v>3928</v>
      </c>
      <c r="BK58" s="13">
        <v>3955</v>
      </c>
      <c r="BL58" s="13">
        <v>3910</v>
      </c>
      <c r="BM58" s="4">
        <v>3857</v>
      </c>
      <c r="BN58" s="4">
        <v>3879</v>
      </c>
      <c r="BO58" s="4">
        <v>3937</v>
      </c>
      <c r="BP58" s="4">
        <v>4059</v>
      </c>
      <c r="BQ58" s="4">
        <v>3969</v>
      </c>
      <c r="BR58" s="4">
        <v>3979</v>
      </c>
      <c r="BS58" s="4">
        <v>3932</v>
      </c>
      <c r="BT58" s="4">
        <v>4066</v>
      </c>
      <c r="BU58" s="4">
        <v>3773</v>
      </c>
      <c r="BV58" s="4">
        <v>3904</v>
      </c>
      <c r="BW58" s="4">
        <v>4164</v>
      </c>
      <c r="BX58" s="4">
        <v>4198</v>
      </c>
      <c r="BY58" s="4">
        <v>4202</v>
      </c>
      <c r="BZ58" s="4">
        <v>4260</v>
      </c>
    </row>
    <row r="59" spans="1:78" ht="15.9" customHeight="1">
      <c r="A59" s="61" t="s">
        <v>113</v>
      </c>
      <c r="B59" s="6" t="s">
        <v>114</v>
      </c>
      <c r="C59" s="15">
        <f>_xll.RssMarket("1961","現在値")</f>
        <v>2458</v>
      </c>
      <c r="D59" s="16">
        <f t="shared" si="1"/>
        <v>146</v>
      </c>
      <c r="E59" s="13">
        <v>2312</v>
      </c>
      <c r="F59" s="13">
        <v>2222</v>
      </c>
      <c r="G59" s="13">
        <v>2309</v>
      </c>
      <c r="H59" s="13">
        <v>2226</v>
      </c>
      <c r="I59" s="13">
        <v>2203</v>
      </c>
      <c r="J59" s="13">
        <v>2338</v>
      </c>
      <c r="K59" s="13">
        <v>2472</v>
      </c>
      <c r="L59" s="13">
        <v>2438</v>
      </c>
      <c r="M59" s="13">
        <v>2444</v>
      </c>
      <c r="N59" s="13">
        <v>2489</v>
      </c>
      <c r="O59" s="13">
        <v>2475</v>
      </c>
      <c r="P59" s="13">
        <v>2470</v>
      </c>
      <c r="Q59" s="13">
        <v>2628</v>
      </c>
      <c r="R59" s="13">
        <v>2550</v>
      </c>
      <c r="S59" s="13">
        <v>2552</v>
      </c>
      <c r="T59" s="13">
        <v>2650</v>
      </c>
      <c r="U59" s="13">
        <v>2667</v>
      </c>
      <c r="V59" s="13">
        <v>2640</v>
      </c>
      <c r="W59" s="13">
        <v>2817</v>
      </c>
      <c r="X59" s="13">
        <v>2899</v>
      </c>
      <c r="Y59" s="13">
        <v>2796</v>
      </c>
      <c r="Z59" s="13">
        <v>2851</v>
      </c>
      <c r="AA59" s="13">
        <v>2867</v>
      </c>
      <c r="AB59" s="13">
        <v>2962</v>
      </c>
      <c r="AC59" s="13">
        <v>3050</v>
      </c>
      <c r="AD59" s="13">
        <v>3120</v>
      </c>
      <c r="AE59" s="13">
        <v>3125</v>
      </c>
      <c r="AF59" s="13">
        <v>3040</v>
      </c>
      <c r="AG59" s="13">
        <v>3025</v>
      </c>
      <c r="AH59" s="13">
        <v>3125</v>
      </c>
      <c r="AI59" s="13">
        <v>3035</v>
      </c>
      <c r="AJ59" s="13">
        <v>2951</v>
      </c>
      <c r="AK59" s="13">
        <v>2700</v>
      </c>
      <c r="AL59" s="13">
        <v>2590</v>
      </c>
      <c r="AM59" s="13">
        <v>2665</v>
      </c>
      <c r="AN59" s="13">
        <v>2470</v>
      </c>
      <c r="AO59" s="13">
        <v>2453</v>
      </c>
      <c r="AP59" s="13">
        <v>2463</v>
      </c>
      <c r="AQ59" s="13">
        <v>2312</v>
      </c>
      <c r="AR59" s="13">
        <v>2318</v>
      </c>
      <c r="AS59" s="13">
        <v>2253</v>
      </c>
      <c r="AT59" s="13">
        <v>2160</v>
      </c>
      <c r="AU59" s="13">
        <v>2160</v>
      </c>
      <c r="AV59" s="13">
        <v>2316</v>
      </c>
      <c r="AW59" s="13">
        <v>2257</v>
      </c>
      <c r="AX59" s="13">
        <v>2227</v>
      </c>
      <c r="AY59" s="13">
        <v>2232</v>
      </c>
      <c r="AZ59" s="13">
        <v>2189</v>
      </c>
      <c r="BA59" s="13">
        <v>2181</v>
      </c>
      <c r="BB59" s="13">
        <v>2267</v>
      </c>
      <c r="BC59" s="13">
        <v>2398</v>
      </c>
      <c r="BD59" s="13">
        <v>2414</v>
      </c>
      <c r="BE59" s="13">
        <v>2575</v>
      </c>
      <c r="BF59" s="13">
        <v>2646</v>
      </c>
      <c r="BG59" s="13">
        <v>2596</v>
      </c>
      <c r="BH59" s="13">
        <v>2646</v>
      </c>
      <c r="BI59" s="13">
        <v>2608</v>
      </c>
      <c r="BJ59" s="13">
        <v>2517</v>
      </c>
      <c r="BK59" s="13">
        <v>2549</v>
      </c>
      <c r="BL59" s="13">
        <v>2424</v>
      </c>
      <c r="BM59" s="4">
        <v>2409</v>
      </c>
      <c r="BN59" s="4">
        <v>2413</v>
      </c>
      <c r="BO59" s="4">
        <v>2340</v>
      </c>
      <c r="BP59" s="4">
        <v>2326.6666</v>
      </c>
      <c r="BQ59" s="4">
        <v>2266.6666</v>
      </c>
      <c r="BR59" s="4">
        <v>2330</v>
      </c>
      <c r="BS59" s="4">
        <v>2380</v>
      </c>
      <c r="BT59" s="4">
        <v>2353.3332999999998</v>
      </c>
      <c r="BU59" s="4">
        <v>2393.3332999999998</v>
      </c>
      <c r="BV59" s="4">
        <v>2440</v>
      </c>
      <c r="BW59" s="4">
        <v>2436.6666</v>
      </c>
      <c r="BX59" s="4">
        <v>2660</v>
      </c>
      <c r="BY59" s="4">
        <v>2730</v>
      </c>
      <c r="BZ59" s="4">
        <v>2740</v>
      </c>
    </row>
    <row r="60" spans="1:78" ht="15.9" customHeight="1">
      <c r="A60" s="61" t="s">
        <v>115</v>
      </c>
      <c r="B60" s="6" t="s">
        <v>116</v>
      </c>
      <c r="C60" s="15">
        <f>_xll.RssMarket("3107","現在値")</f>
        <v>3717</v>
      </c>
      <c r="D60" s="16">
        <f t="shared" si="1"/>
        <v>112</v>
      </c>
      <c r="E60" s="13">
        <v>3605</v>
      </c>
      <c r="F60" s="13">
        <v>3535</v>
      </c>
      <c r="G60" s="13">
        <v>3576</v>
      </c>
      <c r="H60" s="13">
        <v>3602</v>
      </c>
      <c r="I60" s="13">
        <v>3655</v>
      </c>
      <c r="J60" s="13">
        <v>3594</v>
      </c>
      <c r="K60" s="13">
        <v>3599</v>
      </c>
      <c r="L60" s="13">
        <v>3512</v>
      </c>
      <c r="M60" s="13">
        <v>3467</v>
      </c>
      <c r="N60" s="13">
        <v>3481</v>
      </c>
      <c r="O60" s="13">
        <v>3478</v>
      </c>
      <c r="P60" s="13">
        <v>3392</v>
      </c>
      <c r="Q60" s="13">
        <v>3454</v>
      </c>
      <c r="R60" s="13">
        <v>3414</v>
      </c>
      <c r="S60" s="13">
        <v>3341</v>
      </c>
      <c r="T60" s="13">
        <v>3392</v>
      </c>
      <c r="U60" s="13">
        <v>3402</v>
      </c>
      <c r="V60" s="13">
        <v>3394</v>
      </c>
      <c r="W60" s="13">
        <v>3447</v>
      </c>
      <c r="X60" s="13">
        <v>3500</v>
      </c>
      <c r="Y60" s="13">
        <v>3504</v>
      </c>
      <c r="Z60" s="13">
        <v>3462</v>
      </c>
      <c r="AA60" s="13">
        <v>3416</v>
      </c>
      <c r="AB60" s="13">
        <v>3449</v>
      </c>
      <c r="AC60" s="13">
        <v>3513</v>
      </c>
      <c r="AD60" s="13">
        <v>3420</v>
      </c>
      <c r="AE60" s="13">
        <v>3385</v>
      </c>
      <c r="AF60" s="13">
        <v>3323</v>
      </c>
      <c r="AG60" s="13">
        <v>3330</v>
      </c>
      <c r="AH60" s="13">
        <v>3344</v>
      </c>
      <c r="AI60" s="13">
        <v>3333</v>
      </c>
      <c r="AJ60" s="13">
        <v>3357</v>
      </c>
      <c r="AK60" s="13">
        <v>3330</v>
      </c>
      <c r="AL60" s="13">
        <v>3409</v>
      </c>
      <c r="AM60" s="13">
        <v>3463</v>
      </c>
      <c r="AN60" s="13">
        <v>3411</v>
      </c>
      <c r="AO60" s="13">
        <v>3451</v>
      </c>
      <c r="AP60" s="13">
        <v>3452</v>
      </c>
      <c r="AQ60" s="13">
        <v>3501</v>
      </c>
      <c r="AR60" s="13">
        <v>3513</v>
      </c>
      <c r="AS60" s="13">
        <v>3497</v>
      </c>
      <c r="AT60" s="13">
        <v>3589</v>
      </c>
      <c r="AU60" s="13">
        <v>3533</v>
      </c>
      <c r="AV60" s="13">
        <v>3422</v>
      </c>
      <c r="AW60" s="13">
        <v>3396</v>
      </c>
      <c r="AX60" s="13">
        <v>3346</v>
      </c>
      <c r="AY60" s="13">
        <v>3359</v>
      </c>
      <c r="AZ60" s="13">
        <v>3485</v>
      </c>
      <c r="BA60" s="13">
        <v>3534</v>
      </c>
      <c r="BB60" s="13">
        <v>3514</v>
      </c>
      <c r="BC60" s="13">
        <v>3581</v>
      </c>
      <c r="BD60" s="13">
        <v>3514</v>
      </c>
      <c r="BE60" s="13">
        <v>3450</v>
      </c>
      <c r="BF60" s="13">
        <v>3426</v>
      </c>
      <c r="BG60" s="13">
        <v>3415</v>
      </c>
      <c r="BH60" s="13">
        <v>3392</v>
      </c>
      <c r="BI60" s="13">
        <v>3385</v>
      </c>
      <c r="BJ60" s="13">
        <v>3403</v>
      </c>
      <c r="BK60" s="13">
        <v>3297</v>
      </c>
      <c r="BL60" s="13">
        <v>3202</v>
      </c>
      <c r="BM60" s="4">
        <v>3207</v>
      </c>
      <c r="BN60" s="4">
        <v>3213</v>
      </c>
      <c r="BO60" s="4">
        <v>3159</v>
      </c>
      <c r="BP60" s="4">
        <v>3134</v>
      </c>
      <c r="BQ60" s="4">
        <v>3107</v>
      </c>
      <c r="BR60" s="4">
        <v>3109</v>
      </c>
      <c r="BS60" s="4">
        <v>3099</v>
      </c>
      <c r="BT60" s="4">
        <v>3126</v>
      </c>
      <c r="BU60" s="4">
        <v>3166</v>
      </c>
      <c r="BV60" s="4">
        <v>3165</v>
      </c>
      <c r="BW60" s="4">
        <v>3158</v>
      </c>
      <c r="BX60" s="4">
        <v>3137</v>
      </c>
      <c r="BY60" s="4">
        <v>3125</v>
      </c>
      <c r="BZ60" s="4">
        <v>3098</v>
      </c>
    </row>
    <row r="61" spans="1:78" ht="15.9" customHeight="1">
      <c r="A61" s="61" t="s">
        <v>117</v>
      </c>
      <c r="B61" s="6" t="s">
        <v>118</v>
      </c>
      <c r="C61" s="15">
        <f>_xll.RssMarket("4045","現在値")</f>
        <v>1834.5</v>
      </c>
      <c r="D61" s="16">
        <f t="shared" si="1"/>
        <v>9</v>
      </c>
      <c r="E61" s="13">
        <v>1825.5</v>
      </c>
      <c r="F61" s="13">
        <v>1832.5</v>
      </c>
      <c r="G61" s="13">
        <v>1796</v>
      </c>
      <c r="H61" s="13">
        <v>1790</v>
      </c>
      <c r="I61" s="13">
        <v>1795.5</v>
      </c>
      <c r="J61" s="13">
        <v>1787.5</v>
      </c>
      <c r="K61" s="13">
        <v>1801.5</v>
      </c>
      <c r="L61" s="13">
        <v>1768.5</v>
      </c>
      <c r="M61" s="13">
        <v>1770</v>
      </c>
      <c r="N61" s="13">
        <v>1771</v>
      </c>
      <c r="O61" s="13">
        <v>1745</v>
      </c>
      <c r="P61" s="13">
        <v>1723.5</v>
      </c>
      <c r="Q61" s="13">
        <v>1745</v>
      </c>
      <c r="R61" s="13">
        <v>1734.5</v>
      </c>
      <c r="S61" s="13">
        <v>1706</v>
      </c>
      <c r="T61" s="13">
        <v>1724</v>
      </c>
      <c r="U61" s="13">
        <v>1739.5</v>
      </c>
      <c r="V61" s="13">
        <v>1737</v>
      </c>
      <c r="W61" s="13">
        <v>1755</v>
      </c>
      <c r="X61" s="13">
        <v>1784</v>
      </c>
      <c r="Y61" s="13">
        <v>1771</v>
      </c>
      <c r="Z61" s="13">
        <v>1754.5</v>
      </c>
      <c r="AA61" s="13">
        <v>1734.5</v>
      </c>
      <c r="AB61" s="13">
        <v>1740.5</v>
      </c>
      <c r="AC61" s="13">
        <v>1753.5</v>
      </c>
      <c r="AD61" s="13">
        <v>1780</v>
      </c>
      <c r="AE61" s="13">
        <v>1782.5</v>
      </c>
      <c r="AF61" s="13">
        <v>1755.5</v>
      </c>
      <c r="AG61" s="13">
        <v>1742.5</v>
      </c>
      <c r="AH61" s="13">
        <v>1764</v>
      </c>
      <c r="AI61" s="13">
        <v>1759</v>
      </c>
      <c r="AJ61" s="13">
        <v>1775</v>
      </c>
      <c r="AK61" s="13">
        <v>1758.5</v>
      </c>
      <c r="AL61" s="13">
        <v>1759</v>
      </c>
      <c r="AM61" s="13">
        <v>1766</v>
      </c>
      <c r="AN61" s="13">
        <v>1728</v>
      </c>
      <c r="AO61" s="13">
        <v>1706.5</v>
      </c>
      <c r="AP61" s="13">
        <v>1694</v>
      </c>
      <c r="AQ61" s="13">
        <v>1720</v>
      </c>
      <c r="AR61" s="13">
        <v>1731.5</v>
      </c>
      <c r="AS61" s="13">
        <v>1744</v>
      </c>
      <c r="AT61" s="13">
        <v>1758</v>
      </c>
      <c r="AU61" s="13">
        <v>1738.5</v>
      </c>
      <c r="AV61" s="13">
        <v>1759</v>
      </c>
      <c r="AW61" s="13">
        <v>1747</v>
      </c>
      <c r="AX61" s="13">
        <v>1734.5</v>
      </c>
      <c r="AY61" s="13">
        <v>1730.5</v>
      </c>
      <c r="AZ61" s="13">
        <v>1713.5</v>
      </c>
      <c r="BA61" s="13">
        <v>1704</v>
      </c>
      <c r="BB61" s="13">
        <v>1685.5</v>
      </c>
      <c r="BC61" s="13">
        <v>1729</v>
      </c>
      <c r="BD61" s="13">
        <v>1746.5</v>
      </c>
      <c r="BE61" s="13">
        <v>1748.5</v>
      </c>
      <c r="BF61" s="13">
        <v>1763</v>
      </c>
      <c r="BG61" s="13">
        <v>1746</v>
      </c>
      <c r="BH61" s="13">
        <v>1733.5</v>
      </c>
      <c r="BI61" s="13">
        <v>1725</v>
      </c>
      <c r="BJ61" s="13">
        <v>1719</v>
      </c>
      <c r="BK61" s="13">
        <v>1734</v>
      </c>
      <c r="BL61" s="13">
        <v>1715.5</v>
      </c>
      <c r="BM61" s="4">
        <v>1702.5</v>
      </c>
      <c r="BN61" s="4">
        <v>1719</v>
      </c>
      <c r="BO61" s="4">
        <v>1708</v>
      </c>
      <c r="BP61" s="4">
        <v>1745</v>
      </c>
      <c r="BQ61" s="4">
        <v>1775.5</v>
      </c>
      <c r="BR61" s="4">
        <v>1760</v>
      </c>
      <c r="BS61" s="4">
        <v>1790</v>
      </c>
      <c r="BT61" s="4">
        <v>1785</v>
      </c>
      <c r="BU61" s="4">
        <v>1802</v>
      </c>
      <c r="BV61" s="4">
        <v>1803.5</v>
      </c>
      <c r="BW61" s="4">
        <v>1782.5</v>
      </c>
      <c r="BX61" s="4">
        <v>1781.5</v>
      </c>
      <c r="BY61" s="4">
        <v>1772.5</v>
      </c>
      <c r="BZ61" s="4">
        <v>1791</v>
      </c>
    </row>
    <row r="62" spans="1:78" ht="15.9" customHeight="1">
      <c r="A62" s="61" t="s">
        <v>119</v>
      </c>
      <c r="B62" s="6" t="s">
        <v>120</v>
      </c>
      <c r="C62" s="15">
        <f>_xll.RssMarket("5857","現在値")</f>
        <v>3265</v>
      </c>
      <c r="D62" s="16">
        <f t="shared" si="1"/>
        <v>175</v>
      </c>
      <c r="E62" s="13">
        <v>3090</v>
      </c>
      <c r="F62" s="13">
        <v>3050</v>
      </c>
      <c r="G62" s="13">
        <v>3095</v>
      </c>
      <c r="H62" s="13">
        <v>2987</v>
      </c>
      <c r="I62" s="13">
        <v>2993</v>
      </c>
      <c r="J62" s="13">
        <v>3055</v>
      </c>
      <c r="K62" s="13">
        <v>3125</v>
      </c>
      <c r="L62" s="13">
        <v>3080</v>
      </c>
      <c r="M62" s="13">
        <v>3160</v>
      </c>
      <c r="N62" s="13">
        <v>3065</v>
      </c>
      <c r="O62" s="13">
        <v>3030</v>
      </c>
      <c r="P62" s="13">
        <v>2935</v>
      </c>
      <c r="Q62" s="13">
        <v>3085</v>
      </c>
      <c r="R62" s="13">
        <v>3045</v>
      </c>
      <c r="S62" s="13">
        <v>2969</v>
      </c>
      <c r="T62" s="13">
        <v>2953</v>
      </c>
      <c r="U62" s="13">
        <v>2953</v>
      </c>
      <c r="V62" s="13">
        <v>2967</v>
      </c>
      <c r="W62" s="13">
        <v>3005</v>
      </c>
      <c r="X62" s="13">
        <v>3085</v>
      </c>
      <c r="Y62" s="13">
        <v>3035</v>
      </c>
      <c r="Z62" s="13">
        <v>2960</v>
      </c>
      <c r="AA62" s="13">
        <v>2914</v>
      </c>
      <c r="AB62" s="13">
        <v>2927</v>
      </c>
      <c r="AC62" s="13">
        <v>2951</v>
      </c>
      <c r="AD62" s="13">
        <v>2915</v>
      </c>
      <c r="AE62" s="13">
        <v>2860</v>
      </c>
      <c r="AF62" s="13">
        <v>3090</v>
      </c>
      <c r="AG62" s="13">
        <v>3105</v>
      </c>
      <c r="AH62" s="13">
        <v>3235</v>
      </c>
      <c r="AI62" s="13">
        <v>3205</v>
      </c>
      <c r="AJ62" s="13">
        <v>3190</v>
      </c>
      <c r="AK62" s="13">
        <v>3305</v>
      </c>
      <c r="AL62" s="13">
        <v>3180</v>
      </c>
      <c r="AM62" s="13">
        <v>3215</v>
      </c>
      <c r="AN62" s="13">
        <v>3065</v>
      </c>
      <c r="AO62" s="13">
        <v>2929</v>
      </c>
      <c r="AP62" s="13">
        <v>3030</v>
      </c>
      <c r="AQ62" s="13">
        <v>3095</v>
      </c>
      <c r="AR62" s="13">
        <v>3180</v>
      </c>
      <c r="AS62" s="13">
        <v>3160</v>
      </c>
      <c r="AT62" s="13">
        <v>3300</v>
      </c>
      <c r="AU62" s="13">
        <v>3265</v>
      </c>
      <c r="AV62" s="13">
        <v>3375</v>
      </c>
      <c r="AW62" s="13">
        <v>3265</v>
      </c>
      <c r="AX62" s="13">
        <v>3335</v>
      </c>
      <c r="AY62" s="13">
        <v>3485</v>
      </c>
      <c r="AZ62" s="13">
        <v>3530</v>
      </c>
      <c r="BA62" s="13">
        <v>3425</v>
      </c>
      <c r="BB62" s="13">
        <v>3465</v>
      </c>
      <c r="BC62" s="13">
        <v>3690</v>
      </c>
      <c r="BD62" s="13">
        <v>3715</v>
      </c>
      <c r="BE62" s="13">
        <v>3925</v>
      </c>
      <c r="BF62" s="13">
        <v>3860</v>
      </c>
      <c r="BG62" s="13">
        <v>4060</v>
      </c>
      <c r="BH62" s="13">
        <v>3875</v>
      </c>
      <c r="BI62" s="13">
        <v>3845</v>
      </c>
      <c r="BJ62" s="13">
        <v>4075</v>
      </c>
      <c r="BK62" s="13">
        <v>4010</v>
      </c>
      <c r="BL62" s="13">
        <v>3505</v>
      </c>
      <c r="BM62" s="4">
        <v>3530</v>
      </c>
      <c r="BN62" s="4">
        <v>3645</v>
      </c>
      <c r="BO62" s="4">
        <v>3635</v>
      </c>
      <c r="BP62" s="4">
        <v>3645</v>
      </c>
      <c r="BQ62" s="4">
        <v>3665</v>
      </c>
      <c r="BR62" s="4">
        <v>3795</v>
      </c>
      <c r="BS62" s="4">
        <v>3995</v>
      </c>
      <c r="BT62" s="4">
        <v>3720</v>
      </c>
      <c r="BU62" s="4">
        <v>3800</v>
      </c>
      <c r="BV62" s="4">
        <v>3860</v>
      </c>
      <c r="BW62" s="4">
        <v>3750</v>
      </c>
      <c r="BX62" s="4">
        <v>3780</v>
      </c>
      <c r="BY62" s="4">
        <v>3720</v>
      </c>
      <c r="BZ62" s="4">
        <v>3690</v>
      </c>
    </row>
    <row r="63" spans="1:78" ht="15.9" customHeight="1">
      <c r="A63" s="61" t="s">
        <v>121</v>
      </c>
      <c r="B63" s="6" t="s">
        <v>122</v>
      </c>
      <c r="C63" s="15">
        <f>_xll.RssMarket("8281","現在値")</f>
        <v>1077</v>
      </c>
      <c r="D63" s="16">
        <f t="shared" si="1"/>
        <v>3</v>
      </c>
      <c r="E63" s="13">
        <v>1074</v>
      </c>
      <c r="F63" s="13">
        <v>1089</v>
      </c>
      <c r="G63" s="13">
        <v>1096</v>
      </c>
      <c r="H63" s="13">
        <v>1121</v>
      </c>
      <c r="I63" s="13">
        <v>1138</v>
      </c>
      <c r="J63" s="13">
        <v>1112</v>
      </c>
      <c r="K63" s="13">
        <v>1117</v>
      </c>
      <c r="L63" s="13"/>
      <c r="M63" s="13">
        <v>1095</v>
      </c>
      <c r="N63" s="13">
        <v>1109</v>
      </c>
      <c r="O63" s="13">
        <v>1108</v>
      </c>
      <c r="P63" s="13">
        <v>1116</v>
      </c>
      <c r="Q63" s="13">
        <v>1095</v>
      </c>
      <c r="R63" s="13">
        <v>1092</v>
      </c>
      <c r="S63" s="13">
        <v>1083</v>
      </c>
      <c r="T63" s="13">
        <v>1091</v>
      </c>
      <c r="U63" s="13">
        <v>1096</v>
      </c>
      <c r="V63" s="13">
        <v>1107</v>
      </c>
      <c r="W63" s="13">
        <v>1115</v>
      </c>
      <c r="X63" s="13">
        <v>1107</v>
      </c>
      <c r="Y63" s="13">
        <v>1077</v>
      </c>
      <c r="Z63" s="13">
        <v>1068</v>
      </c>
      <c r="AA63" s="13">
        <v>1053</v>
      </c>
      <c r="AB63" s="13">
        <v>1052</v>
      </c>
      <c r="AC63" s="13">
        <v>1071</v>
      </c>
      <c r="AD63" s="13">
        <v>1066</v>
      </c>
      <c r="AE63" s="13">
        <v>1044</v>
      </c>
      <c r="AF63" s="13">
        <v>1032</v>
      </c>
      <c r="AG63" s="13">
        <v>1028</v>
      </c>
      <c r="AH63" s="13">
        <v>1024</v>
      </c>
      <c r="AI63" s="13">
        <v>1038</v>
      </c>
      <c r="AJ63" s="13">
        <v>1047</v>
      </c>
      <c r="AK63" s="13">
        <v>1050</v>
      </c>
      <c r="AL63" s="13">
        <v>1053</v>
      </c>
      <c r="AM63" s="13">
        <v>1072</v>
      </c>
      <c r="AN63" s="13">
        <v>1070</v>
      </c>
      <c r="AO63" s="13">
        <v>1055</v>
      </c>
      <c r="AP63" s="13">
        <v>1065</v>
      </c>
      <c r="AQ63" s="13">
        <v>1031</v>
      </c>
      <c r="AR63" s="13">
        <v>1027</v>
      </c>
      <c r="AS63" s="13">
        <v>1015</v>
      </c>
      <c r="AT63" s="13">
        <v>1015</v>
      </c>
      <c r="AU63" s="13">
        <v>1031</v>
      </c>
      <c r="AV63" s="13">
        <v>1058</v>
      </c>
      <c r="AW63" s="13">
        <v>1054</v>
      </c>
      <c r="AX63" s="13">
        <v>1044</v>
      </c>
      <c r="AY63" s="13">
        <v>1044</v>
      </c>
      <c r="AZ63" s="13">
        <v>1056</v>
      </c>
      <c r="BA63" s="13">
        <v>1050</v>
      </c>
      <c r="BB63" s="13">
        <v>1044</v>
      </c>
      <c r="BC63" s="13">
        <v>1049</v>
      </c>
      <c r="BD63" s="13">
        <v>1021</v>
      </c>
      <c r="BE63" s="13">
        <v>1000</v>
      </c>
      <c r="BF63" s="13">
        <v>964</v>
      </c>
      <c r="BG63" s="13">
        <v>966</v>
      </c>
      <c r="BH63" s="13">
        <v>959</v>
      </c>
      <c r="BI63" s="13">
        <v>962</v>
      </c>
      <c r="BJ63" s="13">
        <v>964</v>
      </c>
      <c r="BK63" s="13">
        <v>973</v>
      </c>
      <c r="BL63" s="13">
        <v>988</v>
      </c>
      <c r="BM63" s="4">
        <v>993</v>
      </c>
      <c r="BN63" s="4">
        <v>999</v>
      </c>
      <c r="BO63" s="4">
        <v>990</v>
      </c>
      <c r="BP63" s="4">
        <v>993</v>
      </c>
      <c r="BQ63" s="4">
        <v>997</v>
      </c>
      <c r="BR63" s="4">
        <v>1010</v>
      </c>
      <c r="BS63" s="4">
        <v>1020</v>
      </c>
      <c r="BT63" s="4">
        <v>1029</v>
      </c>
      <c r="BU63" s="4">
        <v>1016</v>
      </c>
      <c r="BV63" s="4">
        <v>1018</v>
      </c>
      <c r="BW63" s="4">
        <v>1021</v>
      </c>
      <c r="BX63" s="4">
        <v>1008</v>
      </c>
      <c r="BY63" s="4">
        <v>1003</v>
      </c>
      <c r="BZ63" s="4">
        <v>1010</v>
      </c>
    </row>
    <row r="64" spans="1:78" ht="15.9" customHeight="1">
      <c r="A64" s="61" t="s">
        <v>123</v>
      </c>
      <c r="B64" s="6" t="s">
        <v>124</v>
      </c>
      <c r="C64" s="15">
        <f>_xll.RssMarket("4540","現在値")</f>
        <v>3718</v>
      </c>
      <c r="D64" s="16">
        <f t="shared" si="1"/>
        <v>-49</v>
      </c>
      <c r="E64" s="13">
        <v>3767</v>
      </c>
      <c r="F64" s="13">
        <v>3790</v>
      </c>
      <c r="G64" s="13">
        <v>3817</v>
      </c>
      <c r="H64" s="13">
        <v>3936</v>
      </c>
      <c r="I64" s="13">
        <v>4045</v>
      </c>
      <c r="J64" s="13">
        <v>3929</v>
      </c>
      <c r="K64" s="13">
        <v>3941</v>
      </c>
      <c r="L64" s="13">
        <v>3799</v>
      </c>
      <c r="M64" s="13">
        <v>3822</v>
      </c>
      <c r="N64" s="13">
        <v>3861</v>
      </c>
      <c r="O64" s="13">
        <v>3880</v>
      </c>
      <c r="P64" s="13">
        <v>3850</v>
      </c>
      <c r="Q64" s="13">
        <v>3855</v>
      </c>
      <c r="R64" s="13">
        <v>3889</v>
      </c>
      <c r="S64" s="13">
        <v>3823</v>
      </c>
      <c r="T64" s="13">
        <v>3820</v>
      </c>
      <c r="U64" s="13">
        <v>3800</v>
      </c>
      <c r="V64" s="13">
        <v>3786</v>
      </c>
      <c r="W64" s="13">
        <v>3775</v>
      </c>
      <c r="X64" s="13">
        <v>3794</v>
      </c>
      <c r="Y64" s="13">
        <v>3755</v>
      </c>
      <c r="Z64" s="13">
        <v>3727</v>
      </c>
      <c r="AA64" s="13">
        <v>3698</v>
      </c>
      <c r="AB64" s="13">
        <v>3719</v>
      </c>
      <c r="AC64" s="13">
        <v>3739</v>
      </c>
      <c r="AD64" s="13">
        <v>3729</v>
      </c>
      <c r="AE64" s="13">
        <v>3697</v>
      </c>
      <c r="AF64" s="13">
        <v>3790</v>
      </c>
      <c r="AG64" s="13">
        <v>3716</v>
      </c>
      <c r="AH64" s="13">
        <v>3747</v>
      </c>
      <c r="AI64" s="13">
        <v>3725</v>
      </c>
      <c r="AJ64" s="13">
        <v>3722</v>
      </c>
      <c r="AK64" s="13">
        <v>3704</v>
      </c>
      <c r="AL64" s="13">
        <v>3761</v>
      </c>
      <c r="AM64" s="13">
        <v>3723</v>
      </c>
      <c r="AN64" s="13">
        <v>3724</v>
      </c>
      <c r="AO64" s="13">
        <v>3744</v>
      </c>
      <c r="AP64" s="13">
        <v>3751</v>
      </c>
      <c r="AQ64" s="13">
        <v>3714</v>
      </c>
      <c r="AR64" s="13">
        <v>3680</v>
      </c>
      <c r="AS64" s="13">
        <v>3712</v>
      </c>
      <c r="AT64" s="13">
        <v>3727</v>
      </c>
      <c r="AU64" s="13">
        <v>3708</v>
      </c>
      <c r="AV64" s="13">
        <v>3810</v>
      </c>
      <c r="AW64" s="13">
        <v>3750</v>
      </c>
      <c r="AX64" s="13">
        <v>3847</v>
      </c>
      <c r="AY64" s="13">
        <v>3752</v>
      </c>
      <c r="AZ64" s="13">
        <v>3820</v>
      </c>
      <c r="BA64" s="13">
        <v>3895</v>
      </c>
      <c r="BB64" s="13">
        <v>3932</v>
      </c>
      <c r="BC64" s="13">
        <v>3934</v>
      </c>
      <c r="BD64" s="13">
        <v>3818</v>
      </c>
      <c r="BE64" s="13">
        <v>3778</v>
      </c>
      <c r="BF64" s="13">
        <v>3731</v>
      </c>
      <c r="BG64" s="13">
        <v>3702</v>
      </c>
      <c r="BH64" s="13">
        <v>3527</v>
      </c>
      <c r="BI64" s="13">
        <v>3563</v>
      </c>
      <c r="BJ64" s="13">
        <v>3582</v>
      </c>
      <c r="BK64" s="13">
        <v>3628</v>
      </c>
      <c r="BL64" s="13">
        <v>3630</v>
      </c>
      <c r="BM64" s="4">
        <v>3651</v>
      </c>
      <c r="BN64" s="4">
        <v>3700</v>
      </c>
      <c r="BO64" s="4">
        <v>3692</v>
      </c>
      <c r="BP64" s="4">
        <v>3703</v>
      </c>
      <c r="BQ64" s="4">
        <v>3688</v>
      </c>
      <c r="BR64" s="4">
        <v>3690</v>
      </c>
      <c r="BS64" s="4">
        <v>3718</v>
      </c>
      <c r="BT64" s="4">
        <v>3746</v>
      </c>
      <c r="BU64" s="4">
        <v>3753</v>
      </c>
      <c r="BV64" s="4">
        <v>3753</v>
      </c>
      <c r="BW64" s="4">
        <v>3782</v>
      </c>
      <c r="BX64" s="4">
        <v>3750</v>
      </c>
      <c r="BY64" s="4">
        <v>3763</v>
      </c>
      <c r="BZ64" s="4">
        <v>3779</v>
      </c>
    </row>
    <row r="65" spans="1:78" ht="15.9" customHeight="1">
      <c r="A65" s="61" t="s">
        <v>125</v>
      </c>
      <c r="B65" s="6" t="s">
        <v>126</v>
      </c>
      <c r="C65" s="15">
        <f>_xll.RssMarket("9984","現在値")</f>
        <v>5872</v>
      </c>
      <c r="D65" s="16">
        <f t="shared" si="1"/>
        <v>644</v>
      </c>
      <c r="E65" s="13">
        <v>5228</v>
      </c>
      <c r="F65" s="13">
        <v>5393</v>
      </c>
      <c r="G65" s="13">
        <v>5260</v>
      </c>
      <c r="H65" s="13">
        <v>4622</v>
      </c>
      <c r="I65" s="13">
        <v>4741</v>
      </c>
      <c r="J65" s="13">
        <v>5095</v>
      </c>
      <c r="K65" s="13">
        <v>5331</v>
      </c>
      <c r="L65" s="13">
        <v>5500</v>
      </c>
      <c r="M65" s="13">
        <v>5918</v>
      </c>
      <c r="N65" s="13">
        <v>5703</v>
      </c>
      <c r="O65" s="13">
        <v>5751</v>
      </c>
      <c r="P65" s="13">
        <v>5424</v>
      </c>
      <c r="Q65" s="13">
        <v>6360</v>
      </c>
      <c r="R65" s="13">
        <v>6574</v>
      </c>
      <c r="S65" s="13">
        <v>6364</v>
      </c>
      <c r="T65" s="13">
        <v>6370</v>
      </c>
      <c r="U65" s="13">
        <v>5757</v>
      </c>
      <c r="V65" s="13">
        <v>5763</v>
      </c>
      <c r="W65" s="13">
        <v>5771</v>
      </c>
      <c r="X65" s="13">
        <v>5979</v>
      </c>
      <c r="Y65" s="13">
        <v>6169</v>
      </c>
      <c r="Z65" s="13">
        <v>6195</v>
      </c>
      <c r="AA65" s="13">
        <v>6000</v>
      </c>
      <c r="AB65" s="13">
        <v>5963</v>
      </c>
      <c r="AC65" s="13">
        <v>5894</v>
      </c>
      <c r="AD65" s="13">
        <v>6226</v>
      </c>
      <c r="AE65" s="13">
        <v>7118</v>
      </c>
      <c r="AF65" s="13">
        <v>6597</v>
      </c>
      <c r="AG65" s="13">
        <v>6513</v>
      </c>
      <c r="AH65" s="13">
        <v>7244</v>
      </c>
      <c r="AI65" s="13">
        <v>7111</v>
      </c>
      <c r="AJ65" s="13">
        <v>7189</v>
      </c>
      <c r="AK65" s="13">
        <v>6880</v>
      </c>
      <c r="AL65" s="13">
        <v>7102</v>
      </c>
      <c r="AM65" s="13">
        <v>7139</v>
      </c>
      <c r="AN65" s="13">
        <v>6472</v>
      </c>
      <c r="AO65" s="13">
        <v>6374</v>
      </c>
      <c r="AP65" s="13">
        <v>6461</v>
      </c>
      <c r="AQ65" s="13">
        <v>6976</v>
      </c>
      <c r="AR65" s="13">
        <v>7426</v>
      </c>
      <c r="AS65" s="13">
        <v>7377</v>
      </c>
      <c r="AT65" s="13">
        <v>8315</v>
      </c>
      <c r="AU65" s="13">
        <v>8632</v>
      </c>
      <c r="AV65" s="13">
        <v>7491</v>
      </c>
      <c r="AW65" s="13">
        <v>7125</v>
      </c>
      <c r="AX65" s="13">
        <v>7272</v>
      </c>
      <c r="AY65" s="13">
        <v>7070</v>
      </c>
      <c r="AZ65" s="13">
        <v>6757</v>
      </c>
      <c r="BA65" s="13">
        <v>6039</v>
      </c>
      <c r="BB65" s="13">
        <v>5039</v>
      </c>
      <c r="BC65" s="13">
        <v>5361</v>
      </c>
      <c r="BD65" s="13">
        <v>5593</v>
      </c>
      <c r="BE65" s="13">
        <v>5745</v>
      </c>
      <c r="BF65" s="13">
        <v>5770</v>
      </c>
      <c r="BG65" s="13">
        <v>6012</v>
      </c>
      <c r="BH65" s="13">
        <v>5987</v>
      </c>
      <c r="BI65" s="13">
        <v>5743</v>
      </c>
      <c r="BJ65" s="13">
        <v>6131</v>
      </c>
      <c r="BK65" s="13">
        <v>6424</v>
      </c>
      <c r="BL65" s="13">
        <v>5424</v>
      </c>
      <c r="BM65" s="4">
        <v>5219</v>
      </c>
      <c r="BN65" s="4">
        <v>5268</v>
      </c>
      <c r="BO65" s="4">
        <v>5844</v>
      </c>
      <c r="BP65" s="4">
        <v>5963</v>
      </c>
      <c r="BQ65" s="4">
        <v>5837</v>
      </c>
      <c r="BR65" s="4">
        <v>5620</v>
      </c>
      <c r="BS65" s="4">
        <v>5181</v>
      </c>
      <c r="BT65" s="4">
        <v>4774</v>
      </c>
      <c r="BU65" s="4">
        <v>4527</v>
      </c>
      <c r="BV65" s="4">
        <v>4672</v>
      </c>
      <c r="BW65" s="4">
        <v>4444</v>
      </c>
      <c r="BX65" s="4">
        <v>4242</v>
      </c>
      <c r="BY65" s="4">
        <v>3764</v>
      </c>
      <c r="BZ65" s="4">
        <v>3778</v>
      </c>
    </row>
    <row r="66" spans="1:78" ht="15.9" customHeight="1">
      <c r="A66" s="61" t="s">
        <v>127</v>
      </c>
      <c r="B66" s="6" t="s">
        <v>128</v>
      </c>
      <c r="C66" s="15">
        <f>_xll.RssMarket("4063","現在値")</f>
        <v>6150</v>
      </c>
      <c r="D66" s="16">
        <f t="shared" si="1"/>
        <v>163</v>
      </c>
      <c r="E66" s="13">
        <v>5987</v>
      </c>
      <c r="F66" s="13">
        <v>5845</v>
      </c>
      <c r="G66" s="13">
        <v>5800</v>
      </c>
      <c r="H66" s="13">
        <v>5756</v>
      </c>
      <c r="I66" s="13">
        <v>5690</v>
      </c>
      <c r="J66" s="13">
        <v>5872</v>
      </c>
      <c r="K66" s="13">
        <v>6146</v>
      </c>
      <c r="L66" s="13">
        <v>6702</v>
      </c>
      <c r="M66" s="13">
        <v>6970</v>
      </c>
      <c r="N66" s="13">
        <v>7075</v>
      </c>
      <c r="O66" s="13">
        <v>7205</v>
      </c>
      <c r="P66" s="13">
        <v>7157</v>
      </c>
      <c r="Q66" s="13">
        <v>7690</v>
      </c>
      <c r="R66" s="13">
        <v>7471</v>
      </c>
      <c r="S66" s="13">
        <v>7340</v>
      </c>
      <c r="T66" s="13">
        <v>7320</v>
      </c>
      <c r="U66" s="13">
        <v>7010</v>
      </c>
      <c r="V66" s="13">
        <v>6920</v>
      </c>
      <c r="W66" s="13">
        <v>7158</v>
      </c>
      <c r="X66" s="13">
        <v>7415</v>
      </c>
      <c r="Y66" s="13">
        <v>6958</v>
      </c>
      <c r="Z66" s="13">
        <v>7024</v>
      </c>
      <c r="AA66" s="13">
        <v>7259</v>
      </c>
      <c r="AB66" s="13">
        <v>7008</v>
      </c>
      <c r="AC66" s="13">
        <v>6942</v>
      </c>
      <c r="AD66" s="13">
        <v>6835</v>
      </c>
      <c r="AE66" s="13">
        <v>7150</v>
      </c>
      <c r="AF66" s="13">
        <v>7100</v>
      </c>
      <c r="AG66" s="13">
        <v>7301</v>
      </c>
      <c r="AH66" s="13">
        <v>7307</v>
      </c>
      <c r="AI66" s="13">
        <v>7310</v>
      </c>
      <c r="AJ66" s="13">
        <v>7459</v>
      </c>
      <c r="AK66" s="13">
        <v>7549</v>
      </c>
      <c r="AL66" s="13">
        <v>7454</v>
      </c>
      <c r="AM66" s="13">
        <v>7564</v>
      </c>
      <c r="AN66" s="13">
        <v>7188</v>
      </c>
      <c r="AO66" s="13">
        <v>6858</v>
      </c>
      <c r="AP66" s="13">
        <v>6695</v>
      </c>
      <c r="AQ66" s="13">
        <v>6863</v>
      </c>
      <c r="AR66" s="13">
        <v>7350</v>
      </c>
      <c r="AS66" s="13">
        <v>7641</v>
      </c>
      <c r="AT66" s="13">
        <v>7806</v>
      </c>
      <c r="AU66" s="13">
        <v>7473</v>
      </c>
      <c r="AV66" s="13">
        <v>7758</v>
      </c>
      <c r="AW66" s="13">
        <v>7344</v>
      </c>
      <c r="AX66" s="13">
        <v>7406</v>
      </c>
      <c r="AY66" s="13">
        <v>7041</v>
      </c>
      <c r="AZ66" s="13">
        <v>7034</v>
      </c>
      <c r="BA66" s="13">
        <v>6857</v>
      </c>
      <c r="BB66" s="13">
        <v>6845</v>
      </c>
      <c r="BC66" s="13">
        <v>7032</v>
      </c>
      <c r="BD66" s="13">
        <v>7013</v>
      </c>
      <c r="BE66" s="13">
        <v>7105</v>
      </c>
      <c r="BF66" s="13">
        <v>7476</v>
      </c>
      <c r="BG66" s="13">
        <v>7417</v>
      </c>
      <c r="BH66" s="13">
        <v>7520</v>
      </c>
      <c r="BI66" s="13">
        <v>7574</v>
      </c>
      <c r="BJ66" s="13">
        <v>7480</v>
      </c>
      <c r="BK66" s="13">
        <v>7711</v>
      </c>
      <c r="BL66" s="13">
        <v>7104</v>
      </c>
      <c r="BM66" s="4">
        <v>7246</v>
      </c>
      <c r="BN66" s="4">
        <v>7081</v>
      </c>
      <c r="BO66" s="4">
        <v>6949</v>
      </c>
      <c r="BP66" s="4">
        <v>6768</v>
      </c>
      <c r="BQ66" s="4">
        <v>6664</v>
      </c>
      <c r="BR66" s="4">
        <v>6642</v>
      </c>
      <c r="BS66" s="4">
        <v>6733</v>
      </c>
      <c r="BT66" s="4">
        <v>6773</v>
      </c>
      <c r="BU66" s="4">
        <v>6907</v>
      </c>
      <c r="BV66" s="4">
        <v>6910</v>
      </c>
      <c r="BW66" s="4">
        <v>6809</v>
      </c>
      <c r="BX66" s="4">
        <v>6695</v>
      </c>
      <c r="BY66" s="4">
        <v>6662</v>
      </c>
      <c r="BZ66" s="4">
        <v>6556</v>
      </c>
    </row>
    <row r="67" spans="1:78" ht="15.9" customHeight="1">
      <c r="A67" s="61" t="s">
        <v>129</v>
      </c>
      <c r="B67" s="6" t="s">
        <v>130</v>
      </c>
      <c r="C67" s="15">
        <f>_xll.RssMarket("4536","現在値")</f>
        <v>1858</v>
      </c>
      <c r="D67" s="16">
        <f t="shared" si="1"/>
        <v>-12</v>
      </c>
      <c r="E67" s="13">
        <v>1870</v>
      </c>
      <c r="F67" s="13">
        <v>1869</v>
      </c>
      <c r="G67" s="13">
        <v>1884</v>
      </c>
      <c r="H67" s="13">
        <v>1936.5</v>
      </c>
      <c r="I67" s="13">
        <v>2020.5</v>
      </c>
      <c r="J67" s="13">
        <v>1960</v>
      </c>
      <c r="K67" s="13">
        <v>1972</v>
      </c>
      <c r="L67" s="13"/>
      <c r="M67" s="13">
        <v>1962.5</v>
      </c>
      <c r="N67" s="13">
        <v>1987</v>
      </c>
      <c r="O67" s="13">
        <v>2022.5</v>
      </c>
      <c r="P67" s="13">
        <v>2042.5</v>
      </c>
      <c r="Q67" s="13">
        <v>2101</v>
      </c>
      <c r="R67" s="13">
        <v>2127</v>
      </c>
      <c r="S67" s="13">
        <v>2151</v>
      </c>
      <c r="T67" s="13">
        <v>2135</v>
      </c>
      <c r="U67" s="13">
        <v>2171.5</v>
      </c>
      <c r="V67" s="13">
        <v>2174</v>
      </c>
      <c r="W67" s="13">
        <v>2218.5</v>
      </c>
      <c r="X67" s="13">
        <v>2236</v>
      </c>
      <c r="Y67" s="13">
        <v>2209.5</v>
      </c>
      <c r="Z67" s="13">
        <v>2175.5</v>
      </c>
      <c r="AA67" s="13">
        <v>2134.5</v>
      </c>
      <c r="AB67" s="13">
        <v>2133</v>
      </c>
      <c r="AC67" s="13">
        <v>2147.5</v>
      </c>
      <c r="AD67" s="13">
        <v>2128.5</v>
      </c>
      <c r="AE67" s="13">
        <v>2128</v>
      </c>
      <c r="AF67" s="13">
        <v>2045</v>
      </c>
      <c r="AG67" s="13">
        <v>2004</v>
      </c>
      <c r="AH67" s="13">
        <v>1945.5</v>
      </c>
      <c r="AI67" s="13">
        <v>1874</v>
      </c>
      <c r="AJ67" s="13">
        <v>1888.5</v>
      </c>
      <c r="AK67" s="13">
        <v>1882</v>
      </c>
      <c r="AL67" s="13">
        <v>1919.5</v>
      </c>
      <c r="AM67" s="13">
        <v>1902.5</v>
      </c>
      <c r="AN67" s="13">
        <v>1923.5</v>
      </c>
      <c r="AO67" s="13">
        <v>1935.5</v>
      </c>
      <c r="AP67" s="13">
        <v>1942</v>
      </c>
      <c r="AQ67" s="13">
        <v>1954</v>
      </c>
      <c r="AR67" s="13">
        <v>1927</v>
      </c>
      <c r="AS67" s="13">
        <v>1872</v>
      </c>
      <c r="AT67" s="13">
        <v>1855</v>
      </c>
      <c r="AU67" s="13">
        <v>1863.5</v>
      </c>
      <c r="AV67" s="13">
        <v>1915.5</v>
      </c>
      <c r="AW67" s="13">
        <v>1888.5</v>
      </c>
      <c r="AX67" s="13">
        <v>1934</v>
      </c>
      <c r="AY67" s="13">
        <v>1925</v>
      </c>
      <c r="AZ67" s="13">
        <v>1905</v>
      </c>
      <c r="BA67" s="13">
        <v>1883</v>
      </c>
      <c r="BB67" s="13">
        <v>1902.5</v>
      </c>
      <c r="BC67" s="13">
        <v>1893.5</v>
      </c>
      <c r="BD67" s="13">
        <v>1844</v>
      </c>
      <c r="BE67" s="13">
        <v>1861</v>
      </c>
      <c r="BF67" s="13">
        <v>1882</v>
      </c>
      <c r="BG67" s="13">
        <v>1815</v>
      </c>
      <c r="BH67" s="13">
        <v>1561.5</v>
      </c>
      <c r="BI67" s="13">
        <v>1622</v>
      </c>
      <c r="BJ67" s="13">
        <v>1617.5</v>
      </c>
      <c r="BK67" s="13">
        <v>1629</v>
      </c>
      <c r="BL67" s="13">
        <v>1643</v>
      </c>
      <c r="BM67" s="4">
        <v>1616</v>
      </c>
      <c r="BN67" s="4">
        <v>1650.5</v>
      </c>
      <c r="BO67" s="4">
        <v>1647.5</v>
      </c>
      <c r="BP67" s="4">
        <v>1674</v>
      </c>
      <c r="BQ67" s="4">
        <v>1663</v>
      </c>
      <c r="BR67" s="4">
        <v>1683</v>
      </c>
      <c r="BS67" s="4">
        <v>1717</v>
      </c>
      <c r="BT67" s="4">
        <v>1752</v>
      </c>
      <c r="BU67" s="4">
        <v>1772</v>
      </c>
      <c r="BV67" s="4">
        <v>1782</v>
      </c>
      <c r="BW67" s="4">
        <v>1800.5</v>
      </c>
      <c r="BX67" s="4">
        <v>1800</v>
      </c>
      <c r="BY67" s="4">
        <v>1806</v>
      </c>
      <c r="BZ67" s="4">
        <v>1826.5</v>
      </c>
    </row>
    <row r="68" spans="1:78" ht="15.9" customHeight="1">
      <c r="A68" s="61" t="s">
        <v>131</v>
      </c>
      <c r="B68" s="6" t="s">
        <v>132</v>
      </c>
      <c r="C68" s="15">
        <f>_xll.RssMarket("6503","現在値")</f>
        <v>5838</v>
      </c>
      <c r="D68" s="16">
        <f t="shared" si="1"/>
        <v>189</v>
      </c>
      <c r="E68" s="13">
        <v>5649</v>
      </c>
      <c r="F68" s="13">
        <v>5536</v>
      </c>
      <c r="G68" s="13">
        <v>5912</v>
      </c>
      <c r="H68" s="13">
        <v>5318</v>
      </c>
      <c r="I68" s="13">
        <v>5172</v>
      </c>
      <c r="J68" s="13">
        <v>5319</v>
      </c>
      <c r="K68" s="13">
        <v>5669</v>
      </c>
      <c r="L68" s="13">
        <v>5650</v>
      </c>
      <c r="M68" s="13">
        <v>5746</v>
      </c>
      <c r="N68" s="13">
        <v>5629</v>
      </c>
      <c r="O68" s="13">
        <v>5591</v>
      </c>
      <c r="P68" s="13">
        <v>5370</v>
      </c>
      <c r="Q68" s="13">
        <v>5764</v>
      </c>
      <c r="R68" s="13">
        <v>5592</v>
      </c>
      <c r="S68" s="13">
        <v>5647</v>
      </c>
      <c r="T68" s="13">
        <v>5827</v>
      </c>
      <c r="U68" s="13">
        <v>5783</v>
      </c>
      <c r="V68" s="13">
        <v>5699</v>
      </c>
      <c r="W68" s="13">
        <v>5947</v>
      </c>
      <c r="X68" s="13">
        <v>6043</v>
      </c>
      <c r="Y68" s="13">
        <v>5944</v>
      </c>
      <c r="Z68" s="13">
        <v>5913</v>
      </c>
      <c r="AA68" s="13">
        <v>6034</v>
      </c>
      <c r="AB68" s="13">
        <v>5876</v>
      </c>
      <c r="AC68" s="13">
        <v>5860</v>
      </c>
      <c r="AD68" s="13">
        <v>5858</v>
      </c>
      <c r="AE68" s="13">
        <v>5986</v>
      </c>
      <c r="AF68" s="13">
        <v>5982</v>
      </c>
      <c r="AG68" s="13">
        <v>6104</v>
      </c>
      <c r="AH68" s="13">
        <v>6183</v>
      </c>
      <c r="AI68" s="13">
        <v>6051</v>
      </c>
      <c r="AJ68" s="13">
        <v>6056</v>
      </c>
      <c r="AK68" s="13">
        <v>5863</v>
      </c>
      <c r="AL68" s="13">
        <v>5872</v>
      </c>
      <c r="AM68" s="13">
        <v>5858</v>
      </c>
      <c r="AN68" s="13">
        <v>5545</v>
      </c>
      <c r="AO68" s="13">
        <v>5446</v>
      </c>
      <c r="AP68" s="13">
        <v>5572</v>
      </c>
      <c r="AQ68" s="13">
        <v>5668</v>
      </c>
      <c r="AR68" s="13">
        <v>6014</v>
      </c>
      <c r="AS68" s="13">
        <v>5952</v>
      </c>
      <c r="AT68" s="13">
        <v>6085</v>
      </c>
      <c r="AU68" s="13">
        <v>6001</v>
      </c>
      <c r="AV68" s="13">
        <v>6558</v>
      </c>
      <c r="AW68" s="13">
        <v>6557</v>
      </c>
      <c r="AX68" s="13">
        <v>6500</v>
      </c>
      <c r="AY68" s="13">
        <v>6560</v>
      </c>
      <c r="AZ68" s="13">
        <v>6301</v>
      </c>
      <c r="BA68" s="13">
        <v>6069</v>
      </c>
      <c r="BB68" s="13">
        <v>5747</v>
      </c>
      <c r="BC68" s="13">
        <v>6020</v>
      </c>
      <c r="BD68" s="13">
        <v>6350</v>
      </c>
      <c r="BE68" s="13">
        <v>6416</v>
      </c>
      <c r="BF68" s="13">
        <v>6436</v>
      </c>
      <c r="BG68" s="13">
        <v>6468</v>
      </c>
      <c r="BH68" s="13">
        <v>6373</v>
      </c>
      <c r="BI68" s="13">
        <v>6447</v>
      </c>
      <c r="BJ68" s="13">
        <v>6460</v>
      </c>
      <c r="BK68" s="13">
        <v>6448</v>
      </c>
      <c r="BL68" s="13">
        <v>6071</v>
      </c>
      <c r="BM68" s="4">
        <v>6231</v>
      </c>
      <c r="BN68" s="4">
        <v>6078</v>
      </c>
      <c r="BO68" s="4">
        <v>6048</v>
      </c>
      <c r="BP68" s="4">
        <v>5999</v>
      </c>
      <c r="BQ68" s="4">
        <v>5881</v>
      </c>
      <c r="BR68" s="4">
        <v>5935</v>
      </c>
      <c r="BS68" s="4">
        <v>6028</v>
      </c>
      <c r="BT68" s="4">
        <v>6088</v>
      </c>
      <c r="BU68" s="4">
        <v>5799</v>
      </c>
      <c r="BV68" s="4">
        <v>5975</v>
      </c>
      <c r="BW68" s="4">
        <v>5811</v>
      </c>
      <c r="BX68" s="4">
        <v>5859</v>
      </c>
      <c r="BY68" s="4">
        <v>5814</v>
      </c>
      <c r="BZ68" s="4">
        <v>5813</v>
      </c>
    </row>
    <row r="69" spans="1:78" ht="15.9" customHeight="1">
      <c r="A69" s="61" t="s">
        <v>133</v>
      </c>
      <c r="B69" s="6" t="s">
        <v>134</v>
      </c>
      <c r="C69" s="15">
        <f>_xll.RssMarket("4980","現在値")</f>
        <v>3333</v>
      </c>
      <c r="D69" s="16">
        <f t="shared" si="1"/>
        <v>-134</v>
      </c>
      <c r="E69" s="13">
        <v>3467</v>
      </c>
      <c r="F69" s="13">
        <v>3300</v>
      </c>
      <c r="G69" s="13">
        <v>3304</v>
      </c>
      <c r="H69" s="13">
        <v>3136</v>
      </c>
      <c r="I69" s="13">
        <v>3135</v>
      </c>
      <c r="J69" s="13">
        <v>3371</v>
      </c>
      <c r="K69" s="13">
        <v>3637</v>
      </c>
      <c r="L69" s="13">
        <v>3551</v>
      </c>
      <c r="M69" s="13">
        <v>3680</v>
      </c>
      <c r="N69" s="13">
        <v>3692</v>
      </c>
      <c r="O69" s="13">
        <v>3613</v>
      </c>
      <c r="P69" s="13">
        <v>3509</v>
      </c>
      <c r="Q69" s="13">
        <v>3941</v>
      </c>
      <c r="R69" s="13">
        <v>3931</v>
      </c>
      <c r="S69" s="13">
        <v>3922</v>
      </c>
      <c r="T69" s="13">
        <v>4139</v>
      </c>
      <c r="U69" s="13">
        <v>4022</v>
      </c>
      <c r="V69" s="13">
        <v>3955</v>
      </c>
      <c r="W69" s="13">
        <v>4036</v>
      </c>
      <c r="X69" s="13">
        <v>4264</v>
      </c>
      <c r="Y69" s="13">
        <v>4298</v>
      </c>
      <c r="Z69" s="13">
        <v>4091</v>
      </c>
      <c r="AA69" s="13">
        <v>4203</v>
      </c>
      <c r="AB69" s="13">
        <v>4254</v>
      </c>
      <c r="AC69" s="13">
        <v>4277</v>
      </c>
      <c r="AD69" s="13">
        <v>4407</v>
      </c>
      <c r="AE69" s="13">
        <v>5021</v>
      </c>
      <c r="AF69" s="13">
        <v>4970</v>
      </c>
      <c r="AG69" s="13">
        <v>4847</v>
      </c>
      <c r="AH69" s="13">
        <v>4931</v>
      </c>
      <c r="AI69" s="13">
        <v>4859</v>
      </c>
      <c r="AJ69" s="13">
        <v>4681</v>
      </c>
      <c r="AK69" s="13">
        <v>4608</v>
      </c>
      <c r="AL69" s="13">
        <v>4568</v>
      </c>
      <c r="AM69" s="13">
        <v>4285</v>
      </c>
      <c r="AN69" s="13">
        <v>4019</v>
      </c>
      <c r="AO69" s="13">
        <v>3785</v>
      </c>
      <c r="AP69" s="13">
        <v>3686</v>
      </c>
      <c r="AQ69" s="13">
        <v>3920</v>
      </c>
      <c r="AR69" s="13">
        <v>4369</v>
      </c>
      <c r="AS69" s="13">
        <v>4313</v>
      </c>
      <c r="AT69" s="13">
        <v>4503</v>
      </c>
      <c r="AU69" s="13">
        <v>4482</v>
      </c>
      <c r="AV69" s="13">
        <v>4038</v>
      </c>
      <c r="AW69" s="13">
        <v>4029</v>
      </c>
      <c r="AX69" s="13">
        <v>4052</v>
      </c>
      <c r="AY69" s="13">
        <v>4365</v>
      </c>
      <c r="AZ69" s="13">
        <v>4093</v>
      </c>
      <c r="BA69" s="13">
        <v>4085</v>
      </c>
      <c r="BB69" s="13">
        <v>3751</v>
      </c>
      <c r="BC69" s="13">
        <v>3872</v>
      </c>
      <c r="BD69" s="13">
        <v>4187</v>
      </c>
      <c r="BE69" s="13">
        <v>3849</v>
      </c>
      <c r="BF69" s="13">
        <v>3149</v>
      </c>
      <c r="BG69" s="13">
        <v>2648.5</v>
      </c>
      <c r="BH69" s="13">
        <v>2681</v>
      </c>
      <c r="BI69" s="13">
        <v>2739.5</v>
      </c>
      <c r="BJ69" s="13">
        <v>2719.5</v>
      </c>
      <c r="BK69" s="13">
        <v>2642.5</v>
      </c>
      <c r="BL69" s="13">
        <v>2481</v>
      </c>
      <c r="BM69" s="4">
        <v>2441.5</v>
      </c>
      <c r="BN69" s="4">
        <v>2461.5</v>
      </c>
      <c r="BO69" s="4">
        <v>2507.5</v>
      </c>
      <c r="BP69" s="4">
        <v>2440.5</v>
      </c>
      <c r="BQ69" s="4">
        <v>2385</v>
      </c>
      <c r="BR69" s="4">
        <v>2469</v>
      </c>
      <c r="BS69" s="4">
        <v>2451.5</v>
      </c>
      <c r="BT69" s="4">
        <v>2450.5</v>
      </c>
      <c r="BU69" s="4">
        <v>2433.5</v>
      </c>
      <c r="BV69" s="4">
        <v>2424.5</v>
      </c>
      <c r="BW69" s="4">
        <v>2372.5</v>
      </c>
      <c r="BX69" s="4">
        <v>2373</v>
      </c>
      <c r="BY69" s="4">
        <v>2324</v>
      </c>
      <c r="BZ69" s="4">
        <v>2362</v>
      </c>
    </row>
    <row r="70" spans="1:78" ht="15.9" customHeight="1">
      <c r="A70" s="61" t="s">
        <v>135</v>
      </c>
      <c r="B70" s="6" t="s">
        <v>136</v>
      </c>
      <c r="C70" s="15">
        <f>_xll.RssMarket("9424","現在値")</f>
        <v>115</v>
      </c>
      <c r="D70" s="16">
        <f t="shared" ref="D70:D101" si="2">C70-E70</f>
        <v>0</v>
      </c>
      <c r="E70" s="13">
        <v>115</v>
      </c>
      <c r="F70" s="13">
        <v>116</v>
      </c>
      <c r="G70" s="13">
        <v>114</v>
      </c>
      <c r="H70" s="13">
        <v>115</v>
      </c>
      <c r="I70" s="13">
        <v>114</v>
      </c>
      <c r="J70" s="13">
        <v>112</v>
      </c>
      <c r="K70" s="13">
        <v>114</v>
      </c>
      <c r="L70" s="13"/>
      <c r="M70" s="13">
        <v>112</v>
      </c>
      <c r="N70" s="13">
        <v>112</v>
      </c>
      <c r="O70" s="13">
        <v>115</v>
      </c>
      <c r="P70" s="13">
        <v>113</v>
      </c>
      <c r="Q70" s="13">
        <v>118</v>
      </c>
      <c r="R70" s="13">
        <v>115</v>
      </c>
      <c r="S70" s="13">
        <v>116</v>
      </c>
      <c r="T70" s="13">
        <v>113</v>
      </c>
      <c r="U70" s="13">
        <v>111</v>
      </c>
      <c r="V70" s="13">
        <v>111</v>
      </c>
      <c r="W70" s="13">
        <v>112</v>
      </c>
      <c r="X70" s="13">
        <v>112</v>
      </c>
      <c r="Y70" s="13">
        <v>109</v>
      </c>
      <c r="Z70" s="13">
        <v>108</v>
      </c>
      <c r="AA70" s="13">
        <v>105</v>
      </c>
      <c r="AB70" s="13">
        <v>108</v>
      </c>
      <c r="AC70" s="13">
        <v>108</v>
      </c>
      <c r="AD70" s="13">
        <v>107</v>
      </c>
      <c r="AE70" s="13">
        <v>107</v>
      </c>
      <c r="AF70" s="13">
        <v>107</v>
      </c>
      <c r="AG70" s="13">
        <v>107</v>
      </c>
      <c r="AH70" s="13">
        <v>112</v>
      </c>
      <c r="AI70" s="13">
        <v>113</v>
      </c>
      <c r="AJ70" s="13">
        <v>114</v>
      </c>
      <c r="AK70" s="13">
        <v>115</v>
      </c>
      <c r="AL70" s="13">
        <v>112</v>
      </c>
      <c r="AM70" s="13">
        <v>113</v>
      </c>
      <c r="AN70" s="13">
        <v>113</v>
      </c>
      <c r="AO70" s="13">
        <v>113</v>
      </c>
      <c r="AP70" s="13">
        <v>114</v>
      </c>
      <c r="AQ70" s="13">
        <v>113</v>
      </c>
      <c r="AR70" s="13">
        <v>116</v>
      </c>
      <c r="AS70" s="13">
        <v>115</v>
      </c>
      <c r="AT70" s="13">
        <v>115</v>
      </c>
      <c r="AU70" s="13">
        <v>113</v>
      </c>
      <c r="AV70" s="13">
        <v>113</v>
      </c>
      <c r="AW70" s="13">
        <v>115</v>
      </c>
      <c r="AX70" s="13">
        <v>115</v>
      </c>
      <c r="AY70" s="13">
        <v>120</v>
      </c>
      <c r="AZ70" s="13">
        <v>123</v>
      </c>
      <c r="BA70" s="13">
        <v>120</v>
      </c>
      <c r="BB70" s="13">
        <v>122</v>
      </c>
      <c r="BC70" s="13">
        <v>124</v>
      </c>
      <c r="BD70" s="13">
        <v>121</v>
      </c>
      <c r="BE70" s="13">
        <v>124</v>
      </c>
      <c r="BF70" s="13">
        <v>125</v>
      </c>
      <c r="BG70" s="13">
        <v>125</v>
      </c>
      <c r="BH70" s="13">
        <v>126</v>
      </c>
      <c r="BI70" s="13">
        <v>128</v>
      </c>
      <c r="BJ70" s="13">
        <v>127</v>
      </c>
      <c r="BK70" s="13">
        <v>126</v>
      </c>
      <c r="BL70" s="13">
        <v>126</v>
      </c>
      <c r="BM70" s="4">
        <v>125</v>
      </c>
      <c r="BN70" s="4">
        <v>125</v>
      </c>
      <c r="BO70" s="4">
        <v>124</v>
      </c>
      <c r="BP70" s="4">
        <v>126</v>
      </c>
      <c r="BQ70" s="4">
        <v>124</v>
      </c>
      <c r="BR70" s="4">
        <v>128</v>
      </c>
      <c r="BS70" s="4">
        <v>129</v>
      </c>
      <c r="BT70" s="4">
        <v>130</v>
      </c>
      <c r="BU70" s="4">
        <v>131</v>
      </c>
      <c r="BV70" s="4">
        <v>132</v>
      </c>
      <c r="BW70" s="4">
        <v>130</v>
      </c>
      <c r="BX70" s="4">
        <v>125</v>
      </c>
      <c r="BY70" s="4">
        <v>124</v>
      </c>
      <c r="BZ70" s="4">
        <v>127</v>
      </c>
    </row>
    <row r="71" spans="1:78" ht="15.9" customHeight="1">
      <c r="A71" s="61" t="s">
        <v>137</v>
      </c>
      <c r="B71" s="6" t="s">
        <v>138</v>
      </c>
      <c r="C71" s="15">
        <f>_xll.RssMarket("3854","現在値")</f>
        <v>2209</v>
      </c>
      <c r="D71" s="16">
        <f t="shared" si="2"/>
        <v>-1</v>
      </c>
      <c r="E71" s="13">
        <v>2210</v>
      </c>
      <c r="F71" s="13">
        <v>2225</v>
      </c>
      <c r="G71" s="13">
        <v>2260</v>
      </c>
      <c r="H71" s="13">
        <v>2310</v>
      </c>
      <c r="I71" s="13">
        <v>2355</v>
      </c>
      <c r="J71" s="13">
        <v>2300</v>
      </c>
      <c r="K71" s="13">
        <v>2297</v>
      </c>
      <c r="L71" s="13">
        <v>2238</v>
      </c>
      <c r="M71" s="13">
        <v>2263</v>
      </c>
      <c r="N71" s="13">
        <v>2310</v>
      </c>
      <c r="O71" s="13">
        <v>2330</v>
      </c>
      <c r="P71" s="13">
        <v>2351</v>
      </c>
      <c r="Q71" s="13">
        <v>2400</v>
      </c>
      <c r="R71" s="13">
        <v>2377</v>
      </c>
      <c r="S71" s="13">
        <v>2425</v>
      </c>
      <c r="T71" s="13">
        <v>2422</v>
      </c>
      <c r="U71" s="13">
        <v>2455</v>
      </c>
      <c r="V71" s="13">
        <v>2475</v>
      </c>
      <c r="W71" s="13">
        <v>2458</v>
      </c>
      <c r="X71" s="13">
        <v>2340</v>
      </c>
      <c r="Y71" s="13">
        <v>2321</v>
      </c>
      <c r="Z71" s="13">
        <v>2256</v>
      </c>
      <c r="AA71" s="13">
        <v>2225</v>
      </c>
      <c r="AB71" s="13">
        <v>2211</v>
      </c>
      <c r="AC71" s="13">
        <v>2200</v>
      </c>
      <c r="AD71" s="13">
        <v>2151</v>
      </c>
      <c r="AE71" s="13">
        <v>2133</v>
      </c>
      <c r="AF71" s="13">
        <v>2162</v>
      </c>
      <c r="AG71" s="13">
        <v>2161</v>
      </c>
      <c r="AH71" s="13">
        <v>2176</v>
      </c>
      <c r="AI71" s="13">
        <v>2186</v>
      </c>
      <c r="AJ71" s="13">
        <v>2195</v>
      </c>
      <c r="AK71" s="13">
        <v>2190</v>
      </c>
      <c r="AL71" s="13">
        <v>2182</v>
      </c>
      <c r="AM71" s="13">
        <v>2200</v>
      </c>
      <c r="AN71" s="13">
        <v>2217</v>
      </c>
      <c r="AO71" s="13">
        <v>2352</v>
      </c>
      <c r="AP71" s="13">
        <v>2410</v>
      </c>
      <c r="AQ71" s="13">
        <v>2439</v>
      </c>
      <c r="AR71" s="13">
        <v>2493</v>
      </c>
      <c r="AS71" s="13">
        <v>2475</v>
      </c>
      <c r="AT71" s="13">
        <v>2603</v>
      </c>
      <c r="AU71" s="13">
        <v>2622</v>
      </c>
      <c r="AV71" s="13">
        <v>2551</v>
      </c>
      <c r="AW71" s="13">
        <v>2568</v>
      </c>
      <c r="AX71" s="13">
        <v>2515</v>
      </c>
      <c r="AY71" s="13">
        <v>2523</v>
      </c>
      <c r="AZ71" s="13">
        <v>2572</v>
      </c>
      <c r="BA71" s="13">
        <v>2470</v>
      </c>
      <c r="BB71" s="13">
        <v>2460</v>
      </c>
      <c r="BC71" s="13">
        <v>2470</v>
      </c>
      <c r="BD71" s="13">
        <v>2398</v>
      </c>
      <c r="BE71" s="13">
        <v>2344</v>
      </c>
      <c r="BF71" s="13">
        <v>2312</v>
      </c>
      <c r="BG71" s="13">
        <v>2379</v>
      </c>
      <c r="BH71" s="13">
        <v>2369</v>
      </c>
      <c r="BI71" s="13">
        <v>2406</v>
      </c>
      <c r="BJ71" s="13">
        <v>2415</v>
      </c>
      <c r="BK71" s="13">
        <v>2373</v>
      </c>
      <c r="BL71" s="13">
        <v>2344</v>
      </c>
      <c r="BM71" s="4">
        <v>2383</v>
      </c>
      <c r="BN71" s="4">
        <v>2396</v>
      </c>
      <c r="BO71" s="4">
        <v>2389</v>
      </c>
      <c r="BP71" s="4">
        <v>2395</v>
      </c>
      <c r="BQ71" s="4">
        <v>2428</v>
      </c>
      <c r="BR71" s="4">
        <v>2442</v>
      </c>
      <c r="BS71" s="4">
        <v>2465</v>
      </c>
      <c r="BT71" s="4">
        <v>2439</v>
      </c>
      <c r="BU71" s="4">
        <v>2423</v>
      </c>
      <c r="BV71" s="4">
        <v>2381</v>
      </c>
      <c r="BW71" s="4">
        <v>2423</v>
      </c>
      <c r="BX71" s="4">
        <v>2384</v>
      </c>
      <c r="BY71" s="4">
        <v>2345</v>
      </c>
      <c r="BZ71" s="4">
        <v>2352</v>
      </c>
    </row>
    <row r="72" spans="1:78" ht="15.9" customHeight="1">
      <c r="A72" s="61" t="s">
        <v>139</v>
      </c>
      <c r="B72" s="6" t="s">
        <v>140</v>
      </c>
      <c r="C72" s="15">
        <f>_xll.RssMarket("6027","現在値")</f>
        <v>2364</v>
      </c>
      <c r="D72" s="16">
        <f t="shared" si="2"/>
        <v>74</v>
      </c>
      <c r="E72" s="13">
        <v>2290</v>
      </c>
      <c r="F72" s="13">
        <v>2277</v>
      </c>
      <c r="G72" s="13">
        <v>2312</v>
      </c>
      <c r="H72" s="13">
        <v>2327</v>
      </c>
      <c r="I72" s="13">
        <v>2267</v>
      </c>
      <c r="J72" s="13">
        <v>2281</v>
      </c>
      <c r="K72" s="13">
        <v>2316</v>
      </c>
      <c r="L72" s="13">
        <v>2199</v>
      </c>
      <c r="M72" s="13">
        <v>2233</v>
      </c>
      <c r="N72" s="13">
        <v>2287</v>
      </c>
      <c r="O72" s="13">
        <v>2313</v>
      </c>
      <c r="P72" s="13">
        <v>2390</v>
      </c>
      <c r="Q72" s="13">
        <v>2391</v>
      </c>
      <c r="R72" s="13">
        <v>2410</v>
      </c>
      <c r="S72" s="13">
        <v>2358</v>
      </c>
      <c r="T72" s="13">
        <v>2374</v>
      </c>
      <c r="U72" s="13">
        <v>2340</v>
      </c>
      <c r="V72" s="13">
        <v>2433</v>
      </c>
      <c r="W72" s="13">
        <v>2411</v>
      </c>
      <c r="X72" s="13">
        <v>2409</v>
      </c>
      <c r="Y72" s="13">
        <v>2390</v>
      </c>
      <c r="Z72" s="13">
        <v>2451</v>
      </c>
      <c r="AA72" s="13">
        <v>2403</v>
      </c>
      <c r="AB72" s="13">
        <v>2264</v>
      </c>
      <c r="AC72" s="13">
        <v>2265</v>
      </c>
      <c r="AD72" s="13">
        <v>2050</v>
      </c>
      <c r="AE72" s="13">
        <v>2009</v>
      </c>
      <c r="AF72" s="13">
        <v>2065</v>
      </c>
      <c r="AG72" s="13">
        <v>2087</v>
      </c>
      <c r="AH72" s="13">
        <v>2196</v>
      </c>
      <c r="AI72" s="13">
        <v>2236</v>
      </c>
      <c r="AJ72" s="13">
        <v>2130</v>
      </c>
      <c r="AK72" s="13">
        <v>2134</v>
      </c>
      <c r="AL72" s="13">
        <v>2105</v>
      </c>
      <c r="AM72" s="13">
        <v>2081</v>
      </c>
      <c r="AN72" s="13">
        <v>2106</v>
      </c>
      <c r="AO72" s="13">
        <v>2109</v>
      </c>
      <c r="AP72" s="13">
        <v>2171</v>
      </c>
      <c r="AQ72" s="13">
        <v>2210</v>
      </c>
      <c r="AR72" s="13">
        <v>2289</v>
      </c>
      <c r="AS72" s="13">
        <v>2226</v>
      </c>
      <c r="AT72" s="13">
        <v>2275</v>
      </c>
      <c r="AU72" s="13">
        <v>2309</v>
      </c>
      <c r="AV72" s="13">
        <v>2406</v>
      </c>
      <c r="AW72" s="13">
        <v>2436</v>
      </c>
      <c r="AX72" s="13">
        <v>2462</v>
      </c>
      <c r="AY72" s="13">
        <v>2566</v>
      </c>
      <c r="AZ72" s="13">
        <v>2548</v>
      </c>
      <c r="BA72" s="13">
        <v>2566</v>
      </c>
      <c r="BB72" s="13">
        <v>2575</v>
      </c>
      <c r="BC72" s="13">
        <v>2766</v>
      </c>
      <c r="BD72" s="13">
        <v>2769</v>
      </c>
      <c r="BE72" s="13">
        <v>2710</v>
      </c>
      <c r="BF72" s="13">
        <v>2751</v>
      </c>
      <c r="BG72" s="13">
        <v>2738</v>
      </c>
      <c r="BH72" s="13">
        <v>2671</v>
      </c>
      <c r="BI72" s="13">
        <v>2735</v>
      </c>
      <c r="BJ72" s="13">
        <v>2720</v>
      </c>
      <c r="BK72" s="13">
        <v>2676</v>
      </c>
      <c r="BL72" s="13">
        <v>2520</v>
      </c>
      <c r="BM72" s="4">
        <v>2463</v>
      </c>
      <c r="BN72" s="4">
        <v>2487</v>
      </c>
      <c r="BO72" s="4">
        <v>2446</v>
      </c>
      <c r="BP72" s="4">
        <v>2525</v>
      </c>
      <c r="BQ72" s="4">
        <v>2579</v>
      </c>
      <c r="BR72" s="4">
        <v>2593</v>
      </c>
      <c r="BS72" s="4">
        <v>2584</v>
      </c>
      <c r="BT72" s="4">
        <v>2580</v>
      </c>
      <c r="BU72" s="4">
        <v>2583</v>
      </c>
      <c r="BV72" s="4">
        <v>2635</v>
      </c>
      <c r="BW72" s="4">
        <v>2734</v>
      </c>
      <c r="BX72" s="4">
        <v>2578</v>
      </c>
      <c r="BY72" s="4">
        <v>2565</v>
      </c>
      <c r="BZ72" s="4">
        <v>2565</v>
      </c>
    </row>
    <row r="73" spans="1:78" ht="15.9" customHeight="1">
      <c r="A73" s="61" t="s">
        <v>141</v>
      </c>
      <c r="B73" s="6" t="s">
        <v>142</v>
      </c>
      <c r="C73" s="15">
        <f>_xll.RssMarket("7806","現在値")</f>
        <v>7650</v>
      </c>
      <c r="D73" s="16">
        <f t="shared" si="2"/>
        <v>250</v>
      </c>
      <c r="E73" s="13">
        <v>7400</v>
      </c>
      <c r="F73" s="13">
        <v>7800</v>
      </c>
      <c r="G73" s="13">
        <v>7610</v>
      </c>
      <c r="H73" s="13">
        <v>7180</v>
      </c>
      <c r="I73" s="13">
        <v>7300</v>
      </c>
      <c r="J73" s="13">
        <v>7530</v>
      </c>
      <c r="K73" s="13">
        <v>7610</v>
      </c>
      <c r="L73" s="13">
        <v>7670</v>
      </c>
      <c r="M73" s="13">
        <v>7800</v>
      </c>
      <c r="N73" s="13">
        <v>7670</v>
      </c>
      <c r="O73" s="13">
        <v>7910</v>
      </c>
      <c r="P73" s="13">
        <v>7460</v>
      </c>
      <c r="Q73" s="13">
        <v>7700</v>
      </c>
      <c r="R73" s="13">
        <v>7340</v>
      </c>
      <c r="S73" s="13">
        <v>7270</v>
      </c>
      <c r="T73" s="13">
        <v>7550</v>
      </c>
      <c r="U73" s="13">
        <v>7470</v>
      </c>
      <c r="V73" s="13">
        <v>8100</v>
      </c>
      <c r="W73" s="13">
        <v>8150</v>
      </c>
      <c r="X73" s="13">
        <v>8140</v>
      </c>
      <c r="Y73" s="13">
        <v>8100</v>
      </c>
      <c r="Z73" s="13">
        <v>7860</v>
      </c>
      <c r="AA73" s="13">
        <v>7520</v>
      </c>
      <c r="AB73" s="13">
        <v>7460</v>
      </c>
      <c r="AC73" s="13">
        <v>7430</v>
      </c>
      <c r="AD73" s="13">
        <v>7260</v>
      </c>
      <c r="AE73" s="13">
        <v>7470</v>
      </c>
      <c r="AF73" s="13">
        <v>7390</v>
      </c>
      <c r="AG73" s="13">
        <v>7360</v>
      </c>
      <c r="AH73" s="13">
        <v>7680</v>
      </c>
      <c r="AI73" s="13">
        <v>7650</v>
      </c>
      <c r="AJ73" s="13">
        <v>7650</v>
      </c>
      <c r="AK73" s="13">
        <v>7310</v>
      </c>
      <c r="AL73" s="13">
        <v>7260</v>
      </c>
      <c r="AM73" s="13">
        <v>7100</v>
      </c>
      <c r="AN73" s="13">
        <v>7060</v>
      </c>
      <c r="AO73" s="13">
        <v>7140</v>
      </c>
      <c r="AP73" s="13">
        <v>7020</v>
      </c>
      <c r="AQ73" s="13">
        <v>6730</v>
      </c>
      <c r="AR73" s="13">
        <v>6800</v>
      </c>
      <c r="AS73" s="13">
        <v>6700</v>
      </c>
      <c r="AT73" s="13">
        <v>7200</v>
      </c>
      <c r="AU73" s="13">
        <v>6930</v>
      </c>
      <c r="AV73" s="13">
        <v>7500</v>
      </c>
      <c r="AW73" s="13">
        <v>7440</v>
      </c>
      <c r="AX73" s="13">
        <v>6990</v>
      </c>
      <c r="AY73" s="13">
        <v>6390</v>
      </c>
      <c r="AZ73" s="13">
        <v>6220</v>
      </c>
      <c r="BA73" s="13">
        <v>6410</v>
      </c>
      <c r="BB73" s="13">
        <v>6400</v>
      </c>
      <c r="BC73" s="13">
        <v>6620</v>
      </c>
      <c r="BD73" s="13">
        <v>6290</v>
      </c>
      <c r="BE73" s="13">
        <v>6710</v>
      </c>
      <c r="BF73" s="13">
        <v>7180</v>
      </c>
      <c r="BG73" s="13">
        <v>6720</v>
      </c>
      <c r="BH73" s="13">
        <v>6610</v>
      </c>
      <c r="BI73" s="13">
        <v>6520</v>
      </c>
      <c r="BJ73" s="13">
        <v>6290</v>
      </c>
      <c r="BK73" s="13">
        <v>6350</v>
      </c>
      <c r="BL73" s="13">
        <v>6100</v>
      </c>
      <c r="BM73" s="4">
        <v>5770</v>
      </c>
      <c r="BN73" s="4">
        <v>5950</v>
      </c>
      <c r="BO73" s="4">
        <v>5960</v>
      </c>
      <c r="BP73" s="4">
        <v>6270</v>
      </c>
      <c r="BQ73" s="4">
        <v>6390</v>
      </c>
      <c r="BR73" s="4">
        <v>6600</v>
      </c>
      <c r="BS73" s="4">
        <v>6550</v>
      </c>
      <c r="BT73" s="4">
        <v>6600</v>
      </c>
      <c r="BU73" s="4">
        <v>6600</v>
      </c>
      <c r="BV73" s="4">
        <v>6490</v>
      </c>
      <c r="BW73" s="4">
        <v>6390</v>
      </c>
      <c r="BX73" s="4">
        <v>6300</v>
      </c>
      <c r="BY73" s="4">
        <v>6090</v>
      </c>
      <c r="BZ73" s="4">
        <v>6070</v>
      </c>
    </row>
    <row r="74" spans="1:78" ht="15.9" customHeight="1">
      <c r="A74" s="61" t="s">
        <v>143</v>
      </c>
      <c r="B74" s="6" t="s">
        <v>144</v>
      </c>
      <c r="C74" s="15">
        <f>_xll.RssMarket("9202","現在値")</f>
        <v>3135</v>
      </c>
      <c r="D74" s="16">
        <f t="shared" si="2"/>
        <v>35</v>
      </c>
      <c r="E74" s="13">
        <v>3100</v>
      </c>
      <c r="F74" s="13">
        <v>3129</v>
      </c>
      <c r="G74" s="13">
        <v>3116</v>
      </c>
      <c r="H74" s="13">
        <v>3153</v>
      </c>
      <c r="I74" s="13">
        <v>3221</v>
      </c>
      <c r="J74" s="13">
        <v>3140</v>
      </c>
      <c r="K74" s="13">
        <v>3081</v>
      </c>
      <c r="L74" s="13">
        <v>2951</v>
      </c>
      <c r="M74" s="13">
        <v>2993</v>
      </c>
      <c r="N74" s="13">
        <v>3007</v>
      </c>
      <c r="O74" s="13">
        <v>3052</v>
      </c>
      <c r="P74" s="13">
        <v>3027</v>
      </c>
      <c r="Q74" s="13">
        <v>3004</v>
      </c>
      <c r="R74" s="13">
        <v>3043</v>
      </c>
      <c r="S74" s="13">
        <v>3015</v>
      </c>
      <c r="T74" s="13">
        <v>3016</v>
      </c>
      <c r="U74" s="13">
        <v>3053</v>
      </c>
      <c r="V74" s="13">
        <v>3129</v>
      </c>
      <c r="W74" s="13">
        <v>3164</v>
      </c>
      <c r="X74" s="13">
        <v>3180</v>
      </c>
      <c r="Y74" s="13">
        <v>3140</v>
      </c>
      <c r="Z74" s="13">
        <v>3083</v>
      </c>
      <c r="AA74" s="13">
        <v>2956.5</v>
      </c>
      <c r="AB74" s="13">
        <v>2968</v>
      </c>
      <c r="AC74" s="13">
        <v>2999</v>
      </c>
      <c r="AD74" s="13">
        <v>3000</v>
      </c>
      <c r="AE74" s="13">
        <v>2992</v>
      </c>
      <c r="AF74" s="13">
        <v>2952</v>
      </c>
      <c r="AG74" s="13">
        <v>2920</v>
      </c>
      <c r="AH74" s="13">
        <v>2934.5</v>
      </c>
      <c r="AI74" s="13">
        <v>2961</v>
      </c>
      <c r="AJ74" s="13">
        <v>2996</v>
      </c>
      <c r="AK74" s="13">
        <v>3033</v>
      </c>
      <c r="AL74" s="13">
        <v>3043</v>
      </c>
      <c r="AM74" s="13">
        <v>3010</v>
      </c>
      <c r="AN74" s="13">
        <v>2839</v>
      </c>
      <c r="AO74" s="13">
        <v>2804.5</v>
      </c>
      <c r="AP74" s="13">
        <v>2823</v>
      </c>
      <c r="AQ74" s="13">
        <v>2799</v>
      </c>
      <c r="AR74" s="13">
        <v>2840</v>
      </c>
      <c r="AS74" s="13">
        <v>2815.5</v>
      </c>
      <c r="AT74" s="13">
        <v>2830</v>
      </c>
      <c r="AU74" s="13">
        <v>2846</v>
      </c>
      <c r="AV74" s="13">
        <v>2988.5</v>
      </c>
      <c r="AW74" s="13">
        <v>2886</v>
      </c>
      <c r="AX74" s="13">
        <v>2883</v>
      </c>
      <c r="AY74" s="13">
        <v>2874.5</v>
      </c>
      <c r="AZ74" s="13">
        <v>2784</v>
      </c>
      <c r="BA74" s="13">
        <v>2785</v>
      </c>
      <c r="BB74" s="13">
        <v>2717</v>
      </c>
      <c r="BC74" s="13">
        <v>2746</v>
      </c>
      <c r="BD74" s="13">
        <v>2717</v>
      </c>
      <c r="BE74" s="13">
        <v>2745</v>
      </c>
      <c r="BF74" s="13">
        <v>2769</v>
      </c>
      <c r="BG74" s="13">
        <v>2765.5</v>
      </c>
      <c r="BH74" s="13">
        <v>2789.5</v>
      </c>
      <c r="BI74" s="13">
        <v>2828.5</v>
      </c>
      <c r="BJ74" s="13">
        <v>2838</v>
      </c>
      <c r="BK74" s="13">
        <v>2848.5</v>
      </c>
      <c r="BL74" s="13">
        <v>2709.5</v>
      </c>
      <c r="BM74" s="4">
        <v>2601.5</v>
      </c>
      <c r="BN74" s="4">
        <v>2629</v>
      </c>
      <c r="BO74" s="4">
        <v>2667</v>
      </c>
      <c r="BP74" s="4">
        <v>2697</v>
      </c>
      <c r="BQ74" s="4">
        <v>2714</v>
      </c>
      <c r="BR74" s="4">
        <v>2822</v>
      </c>
      <c r="BS74" s="4">
        <v>2852.5</v>
      </c>
      <c r="BT74" s="4">
        <v>2882</v>
      </c>
      <c r="BU74" s="4">
        <v>2821</v>
      </c>
      <c r="BV74" s="4">
        <v>2858.5</v>
      </c>
      <c r="BW74" s="4">
        <v>2874.5</v>
      </c>
      <c r="BX74" s="4">
        <v>2856.5</v>
      </c>
      <c r="BY74" s="4">
        <v>2854</v>
      </c>
      <c r="BZ74" s="4">
        <v>2896.5</v>
      </c>
    </row>
    <row r="75" spans="1:78" ht="15.9" customHeight="1">
      <c r="A75" s="61" t="s">
        <v>145</v>
      </c>
      <c r="B75" s="6" t="s">
        <v>146</v>
      </c>
      <c r="C75" s="15">
        <f>_xll.RssMarket("7846","現在値")</f>
        <v>1770.5</v>
      </c>
      <c r="D75" s="16">
        <f t="shared" si="2"/>
        <v>1770.5</v>
      </c>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row>
    <row r="76" spans="1:78" ht="15.9" customHeight="1">
      <c r="A76" s="61" t="s">
        <v>147</v>
      </c>
      <c r="B76" s="6" t="s">
        <v>148</v>
      </c>
      <c r="C76" s="15">
        <f>_xll.RssMarket("2802","現在値")</f>
        <v>5284</v>
      </c>
      <c r="D76" s="16">
        <f t="shared" si="2"/>
        <v>331</v>
      </c>
      <c r="E76" s="13">
        <v>4953</v>
      </c>
      <c r="F76" s="13">
        <v>4896</v>
      </c>
      <c r="G76" s="13">
        <v>4965</v>
      </c>
      <c r="H76" s="13">
        <v>4839</v>
      </c>
      <c r="I76" s="13">
        <v>4847</v>
      </c>
      <c r="J76" s="13">
        <v>4888</v>
      </c>
      <c r="K76" s="13">
        <v>5069</v>
      </c>
      <c r="L76" s="13">
        <v>5096</v>
      </c>
      <c r="M76" s="13">
        <v>5102</v>
      </c>
      <c r="N76" s="13">
        <v>5253</v>
      </c>
      <c r="O76" s="13">
        <v>5252</v>
      </c>
      <c r="P76" s="13">
        <v>5194</v>
      </c>
      <c r="Q76" s="13">
        <v>5606</v>
      </c>
      <c r="R76" s="13">
        <v>5656</v>
      </c>
      <c r="S76" s="13">
        <v>5615</v>
      </c>
      <c r="T76" s="13">
        <v>5731</v>
      </c>
      <c r="U76" s="13">
        <v>5721</v>
      </c>
      <c r="V76" s="13">
        <v>5702</v>
      </c>
      <c r="W76" s="13">
        <v>5831</v>
      </c>
      <c r="X76" s="13">
        <v>6091</v>
      </c>
      <c r="Y76" s="13">
        <v>6167</v>
      </c>
      <c r="Z76" s="13">
        <v>6042</v>
      </c>
      <c r="AA76" s="13">
        <v>6175</v>
      </c>
      <c r="AB76" s="13">
        <v>5873</v>
      </c>
      <c r="AC76" s="13">
        <v>5816</v>
      </c>
      <c r="AD76" s="13">
        <v>5721</v>
      </c>
      <c r="AE76" s="13">
        <v>5742</v>
      </c>
      <c r="AF76" s="13">
        <v>5480</v>
      </c>
      <c r="AG76" s="13">
        <v>5652</v>
      </c>
      <c r="AH76" s="13">
        <v>6160</v>
      </c>
      <c r="AI76" s="13">
        <v>5790</v>
      </c>
      <c r="AJ76" s="13">
        <v>5787</v>
      </c>
      <c r="AK76" s="13">
        <v>5340</v>
      </c>
      <c r="AL76" s="13">
        <v>5146</v>
      </c>
      <c r="AM76" s="13">
        <v>5060</v>
      </c>
      <c r="AN76" s="13">
        <v>5158</v>
      </c>
      <c r="AO76" s="13">
        <v>5084</v>
      </c>
      <c r="AP76" s="13">
        <v>4729</v>
      </c>
      <c r="AQ76" s="13">
        <v>4806</v>
      </c>
      <c r="AR76" s="13">
        <v>4942</v>
      </c>
      <c r="AS76" s="13">
        <v>5118</v>
      </c>
      <c r="AT76" s="13">
        <v>5227</v>
      </c>
      <c r="AU76" s="13">
        <v>5262</v>
      </c>
      <c r="AV76" s="13">
        <v>5152</v>
      </c>
      <c r="AW76" s="13">
        <v>5142</v>
      </c>
      <c r="AX76" s="13">
        <v>5289</v>
      </c>
      <c r="AY76" s="13">
        <v>5475</v>
      </c>
      <c r="AZ76" s="13">
        <v>5300</v>
      </c>
      <c r="BA76" s="13">
        <v>5176</v>
      </c>
      <c r="BB76" s="13">
        <v>5068</v>
      </c>
      <c r="BC76" s="13">
        <v>5178</v>
      </c>
      <c r="BD76" s="13">
        <v>5193</v>
      </c>
      <c r="BE76" s="13">
        <v>5269</v>
      </c>
      <c r="BF76" s="13">
        <v>5542</v>
      </c>
      <c r="BG76" s="13">
        <v>5483</v>
      </c>
      <c r="BH76" s="13">
        <v>5439</v>
      </c>
      <c r="BI76" s="13">
        <v>5499</v>
      </c>
      <c r="BJ76" s="13">
        <v>5030</v>
      </c>
      <c r="BK76" s="13">
        <v>4958</v>
      </c>
      <c r="BL76" s="13">
        <v>4882</v>
      </c>
      <c r="BM76" s="4">
        <v>5090</v>
      </c>
      <c r="BN76" s="4">
        <v>4767</v>
      </c>
      <c r="BO76" s="4">
        <v>4786</v>
      </c>
      <c r="BP76" s="4">
        <v>4758</v>
      </c>
      <c r="BQ76" s="4">
        <v>4590</v>
      </c>
      <c r="BR76" s="4">
        <v>4658</v>
      </c>
      <c r="BS76" s="4">
        <v>4721</v>
      </c>
      <c r="BT76" s="4">
        <v>4607</v>
      </c>
      <c r="BU76" s="4">
        <v>4574</v>
      </c>
      <c r="BV76" s="4">
        <v>4690</v>
      </c>
      <c r="BW76" s="4">
        <v>4667</v>
      </c>
      <c r="BX76" s="4">
        <v>4617</v>
      </c>
      <c r="BY76" s="4">
        <v>4607</v>
      </c>
      <c r="BZ76" s="4">
        <v>4652</v>
      </c>
    </row>
    <row r="77" spans="1:78" ht="15.9" customHeight="1">
      <c r="A77" s="61" t="s">
        <v>149</v>
      </c>
      <c r="B77" s="6" t="s">
        <v>150</v>
      </c>
      <c r="C77" s="15">
        <f>_xll.RssMarket("7203","現在値")</f>
        <v>2913.5</v>
      </c>
      <c r="D77" s="16">
        <f t="shared" si="2"/>
        <v>-5</v>
      </c>
      <c r="E77" s="13">
        <v>2918.5</v>
      </c>
      <c r="F77" s="13">
        <v>2963.5</v>
      </c>
      <c r="G77" s="13">
        <v>3067</v>
      </c>
      <c r="H77" s="13">
        <v>3126</v>
      </c>
      <c r="I77" s="13">
        <v>3224</v>
      </c>
      <c r="J77" s="13">
        <v>3008</v>
      </c>
      <c r="K77" s="13">
        <v>2965.5</v>
      </c>
      <c r="L77" s="13">
        <v>2897</v>
      </c>
      <c r="M77" s="13">
        <v>2950</v>
      </c>
      <c r="N77" s="13">
        <v>2939</v>
      </c>
      <c r="O77" s="13">
        <v>2944.5</v>
      </c>
      <c r="P77" s="13">
        <v>2899.5</v>
      </c>
      <c r="Q77" s="13">
        <v>2875.5</v>
      </c>
      <c r="R77" s="13">
        <v>2839</v>
      </c>
      <c r="S77" s="13">
        <v>2806</v>
      </c>
      <c r="T77" s="13">
        <v>2823</v>
      </c>
      <c r="U77" s="13">
        <v>2824</v>
      </c>
      <c r="V77" s="13">
        <v>2889</v>
      </c>
      <c r="W77" s="13">
        <v>2946</v>
      </c>
      <c r="X77" s="13">
        <v>2923</v>
      </c>
      <c r="Y77" s="13">
        <v>2828</v>
      </c>
      <c r="Z77" s="13">
        <v>2793</v>
      </c>
      <c r="AA77" s="13">
        <v>2724.5</v>
      </c>
      <c r="AB77" s="13">
        <v>2725</v>
      </c>
      <c r="AC77" s="13">
        <v>2772</v>
      </c>
      <c r="AD77" s="13">
        <v>2768</v>
      </c>
      <c r="AE77" s="13">
        <v>2700.5</v>
      </c>
      <c r="AF77" s="13">
        <v>2686</v>
      </c>
      <c r="AG77" s="13">
        <v>2706</v>
      </c>
      <c r="AH77" s="13">
        <v>2741.5</v>
      </c>
      <c r="AI77" s="13">
        <v>2776.5</v>
      </c>
      <c r="AJ77" s="13">
        <v>2793.5</v>
      </c>
      <c r="AK77" s="13">
        <v>2810</v>
      </c>
      <c r="AL77" s="13">
        <v>2847.5</v>
      </c>
      <c r="AM77" s="13">
        <v>2902.5</v>
      </c>
      <c r="AN77" s="13">
        <v>2775.5</v>
      </c>
      <c r="AO77" s="13">
        <v>2747.5</v>
      </c>
      <c r="AP77" s="13">
        <v>2814</v>
      </c>
      <c r="AQ77" s="13">
        <v>2822.5</v>
      </c>
      <c r="AR77" s="13">
        <v>2850</v>
      </c>
      <c r="AS77" s="13">
        <v>2838.5</v>
      </c>
      <c r="AT77" s="13">
        <v>2881</v>
      </c>
      <c r="AU77" s="13">
        <v>2844</v>
      </c>
      <c r="AV77" s="13">
        <v>3042</v>
      </c>
      <c r="AW77" s="13">
        <v>3030</v>
      </c>
      <c r="AX77" s="13">
        <v>3008</v>
      </c>
      <c r="AY77" s="13">
        <v>3026</v>
      </c>
      <c r="AZ77" s="13">
        <v>2987</v>
      </c>
      <c r="BA77" s="13">
        <v>2978</v>
      </c>
      <c r="BB77" s="13">
        <v>2942</v>
      </c>
      <c r="BC77" s="13">
        <v>2957</v>
      </c>
      <c r="BD77" s="13">
        <v>2954.5</v>
      </c>
      <c r="BE77" s="13">
        <v>3085</v>
      </c>
      <c r="BF77" s="13">
        <v>3008</v>
      </c>
      <c r="BG77" s="13">
        <v>2939.5</v>
      </c>
      <c r="BH77" s="13">
        <v>2843</v>
      </c>
      <c r="BI77" s="13">
        <v>2870</v>
      </c>
      <c r="BJ77" s="13">
        <v>2913</v>
      </c>
      <c r="BK77" s="13">
        <v>2978</v>
      </c>
      <c r="BL77" s="13">
        <v>3000</v>
      </c>
      <c r="BM77" s="4">
        <v>3023</v>
      </c>
      <c r="BN77" s="4">
        <v>3112</v>
      </c>
      <c r="BO77" s="4">
        <v>3067</v>
      </c>
      <c r="BP77" s="4">
        <v>3067</v>
      </c>
      <c r="BQ77" s="4">
        <v>3123</v>
      </c>
      <c r="BR77" s="4">
        <v>3191</v>
      </c>
      <c r="BS77" s="4">
        <v>3280</v>
      </c>
      <c r="BT77" s="4">
        <v>3390</v>
      </c>
      <c r="BU77" s="4">
        <v>3343</v>
      </c>
      <c r="BV77" s="4">
        <v>3392</v>
      </c>
      <c r="BW77" s="4">
        <v>3381</v>
      </c>
      <c r="BX77" s="4">
        <v>3326</v>
      </c>
      <c r="BY77" s="4">
        <v>3319</v>
      </c>
      <c r="BZ77" s="4">
        <v>3319</v>
      </c>
    </row>
    <row r="78" spans="1:78" ht="15.9" customHeight="1">
      <c r="A78" s="61" t="s">
        <v>151</v>
      </c>
      <c r="B78" s="6" t="s">
        <v>152</v>
      </c>
      <c r="C78" s="15">
        <f>_xll.RssMarket("6954","現在値")</f>
        <v>6472</v>
      </c>
      <c r="D78" s="16">
        <f t="shared" si="2"/>
        <v>285</v>
      </c>
      <c r="E78" s="13">
        <v>6187</v>
      </c>
      <c r="F78" s="13">
        <v>6114</v>
      </c>
      <c r="G78" s="13">
        <v>7135</v>
      </c>
      <c r="H78" s="13">
        <v>6624</v>
      </c>
      <c r="I78" s="13">
        <v>6463</v>
      </c>
      <c r="J78" s="13">
        <v>6373</v>
      </c>
      <c r="K78" s="13">
        <v>6785</v>
      </c>
      <c r="L78" s="13">
        <v>6624</v>
      </c>
      <c r="M78" s="13">
        <v>6938</v>
      </c>
      <c r="N78" s="13">
        <v>6873</v>
      </c>
      <c r="O78" s="13">
        <v>6776</v>
      </c>
      <c r="P78" s="13">
        <v>6637</v>
      </c>
      <c r="Q78" s="13">
        <v>7008</v>
      </c>
      <c r="R78" s="13">
        <v>6839</v>
      </c>
      <c r="S78" s="13">
        <v>6957</v>
      </c>
      <c r="T78" s="13">
        <v>7156</v>
      </c>
      <c r="U78" s="13">
        <v>6851</v>
      </c>
      <c r="V78" s="13">
        <v>6700</v>
      </c>
      <c r="W78" s="13">
        <v>7072</v>
      </c>
      <c r="X78" s="13">
        <v>7477</v>
      </c>
      <c r="Y78" s="13">
        <v>7439</v>
      </c>
      <c r="Z78" s="13">
        <v>7209</v>
      </c>
      <c r="AA78" s="13">
        <v>7415</v>
      </c>
      <c r="AB78" s="13">
        <v>7355</v>
      </c>
      <c r="AC78" s="13">
        <v>7051</v>
      </c>
      <c r="AD78" s="13">
        <v>7026</v>
      </c>
      <c r="AE78" s="13">
        <v>7357</v>
      </c>
      <c r="AF78" s="13">
        <v>7362</v>
      </c>
      <c r="AG78" s="13">
        <v>7459</v>
      </c>
      <c r="AH78" s="13">
        <v>7960</v>
      </c>
      <c r="AI78" s="13">
        <v>7473</v>
      </c>
      <c r="AJ78" s="13">
        <v>7596</v>
      </c>
      <c r="AK78" s="13">
        <v>7515</v>
      </c>
      <c r="AL78" s="13">
        <v>7400</v>
      </c>
      <c r="AM78" s="13">
        <v>7344</v>
      </c>
      <c r="AN78" s="13">
        <v>6950</v>
      </c>
      <c r="AO78" s="13">
        <v>6778</v>
      </c>
      <c r="AP78" s="13">
        <v>6763</v>
      </c>
      <c r="AQ78" s="13">
        <v>7128</v>
      </c>
      <c r="AR78" s="13">
        <v>7648</v>
      </c>
      <c r="AS78" s="13">
        <v>7800</v>
      </c>
      <c r="AT78" s="13">
        <v>7975</v>
      </c>
      <c r="AU78" s="13">
        <v>7593</v>
      </c>
      <c r="AV78" s="13">
        <v>7892</v>
      </c>
      <c r="AW78" s="13">
        <v>7984</v>
      </c>
      <c r="AX78" s="13">
        <v>8154</v>
      </c>
      <c r="AY78" s="13">
        <v>8428</v>
      </c>
      <c r="AZ78" s="13">
        <v>8174</v>
      </c>
      <c r="BA78" s="13">
        <v>7667</v>
      </c>
      <c r="BB78" s="13">
        <v>7322</v>
      </c>
      <c r="BC78" s="13">
        <v>7662</v>
      </c>
      <c r="BD78" s="13">
        <v>7966</v>
      </c>
      <c r="BE78" s="13">
        <v>8228</v>
      </c>
      <c r="BF78" s="13">
        <v>8036</v>
      </c>
      <c r="BG78" s="13">
        <v>7680</v>
      </c>
      <c r="BH78" s="13">
        <v>7750</v>
      </c>
      <c r="BI78" s="13">
        <v>7564</v>
      </c>
      <c r="BJ78" s="13">
        <v>7515</v>
      </c>
      <c r="BK78" s="13">
        <v>7095</v>
      </c>
      <c r="BL78" s="13">
        <v>6820</v>
      </c>
      <c r="BM78" s="4">
        <v>6875</v>
      </c>
      <c r="BN78" s="4">
        <v>6961</v>
      </c>
      <c r="BO78" s="4">
        <v>7256</v>
      </c>
      <c r="BP78" s="4">
        <v>6256</v>
      </c>
      <c r="BQ78" s="4">
        <v>6340</v>
      </c>
      <c r="BR78" s="4">
        <v>6511</v>
      </c>
      <c r="BS78" s="4">
        <v>6478</v>
      </c>
      <c r="BT78" s="4">
        <v>6503</v>
      </c>
      <c r="BU78" s="4">
        <v>6228</v>
      </c>
      <c r="BV78" s="4">
        <v>6333</v>
      </c>
      <c r="BW78" s="4">
        <v>6168</v>
      </c>
      <c r="BX78" s="4">
        <v>6231</v>
      </c>
      <c r="BY78" s="4">
        <v>6182</v>
      </c>
      <c r="BZ78" s="4">
        <v>6249</v>
      </c>
    </row>
    <row r="79" spans="1:78" ht="15.9" customHeight="1">
      <c r="A79" s="61" t="s">
        <v>153</v>
      </c>
      <c r="B79" s="6" t="s">
        <v>154</v>
      </c>
      <c r="C79" s="15">
        <f>_xll.RssMarket("6479","現在値")</f>
        <v>4100</v>
      </c>
      <c r="D79" s="16">
        <f t="shared" si="2"/>
        <v>253</v>
      </c>
      <c r="E79" s="13">
        <v>3847</v>
      </c>
      <c r="F79" s="13">
        <v>3765</v>
      </c>
      <c r="G79" s="13">
        <v>3702</v>
      </c>
      <c r="H79" s="13">
        <v>3512</v>
      </c>
      <c r="I79" s="13">
        <v>3545</v>
      </c>
      <c r="J79" s="13">
        <v>3668</v>
      </c>
      <c r="K79" s="13">
        <v>3900</v>
      </c>
      <c r="L79" s="13">
        <v>3879</v>
      </c>
      <c r="M79" s="13">
        <v>3971</v>
      </c>
      <c r="N79" s="13">
        <v>3950</v>
      </c>
      <c r="O79" s="13">
        <v>3902</v>
      </c>
      <c r="P79" s="13">
        <v>3821</v>
      </c>
      <c r="Q79" s="13">
        <v>4185</v>
      </c>
      <c r="R79" s="13">
        <v>4151</v>
      </c>
      <c r="S79" s="13">
        <v>4166</v>
      </c>
      <c r="T79" s="13">
        <v>4381</v>
      </c>
      <c r="U79" s="13">
        <v>4370</v>
      </c>
      <c r="V79" s="13">
        <v>4321</v>
      </c>
      <c r="W79" s="13">
        <v>4372</v>
      </c>
      <c r="X79" s="13">
        <v>4500</v>
      </c>
      <c r="Y79" s="13">
        <v>4848</v>
      </c>
      <c r="Z79" s="13">
        <v>4694</v>
      </c>
      <c r="AA79" s="13">
        <v>4998</v>
      </c>
      <c r="AB79" s="13">
        <v>4756</v>
      </c>
      <c r="AC79" s="13">
        <v>4771</v>
      </c>
      <c r="AD79" s="13">
        <v>4805</v>
      </c>
      <c r="AE79" s="13">
        <v>5246</v>
      </c>
      <c r="AF79" s="13">
        <v>4922</v>
      </c>
      <c r="AG79" s="13">
        <v>4928</v>
      </c>
      <c r="AH79" s="13">
        <v>5054</v>
      </c>
      <c r="AI79" s="13">
        <v>4628</v>
      </c>
      <c r="AJ79" s="13">
        <v>4623</v>
      </c>
      <c r="AK79" s="13">
        <v>4718</v>
      </c>
      <c r="AL79" s="13">
        <v>4618</v>
      </c>
      <c r="AM79" s="13">
        <v>4476</v>
      </c>
      <c r="AN79" s="13">
        <v>4233</v>
      </c>
      <c r="AO79" s="13">
        <v>4319</v>
      </c>
      <c r="AP79" s="13">
        <v>4396</v>
      </c>
      <c r="AQ79" s="13">
        <v>4546</v>
      </c>
      <c r="AR79" s="13">
        <v>4994</v>
      </c>
      <c r="AS79" s="13">
        <v>4968</v>
      </c>
      <c r="AT79" s="13">
        <v>4880</v>
      </c>
      <c r="AU79" s="13">
        <v>4675</v>
      </c>
      <c r="AV79" s="13">
        <v>4562</v>
      </c>
      <c r="AW79" s="13">
        <v>4276</v>
      </c>
      <c r="AX79" s="13">
        <v>4232</v>
      </c>
      <c r="AY79" s="13">
        <v>4221</v>
      </c>
      <c r="AZ79" s="13">
        <v>3992</v>
      </c>
      <c r="BA79" s="13">
        <v>3877</v>
      </c>
      <c r="BB79" s="13">
        <v>3730</v>
      </c>
      <c r="BC79" s="13">
        <v>3878</v>
      </c>
      <c r="BD79" s="13">
        <v>3815</v>
      </c>
      <c r="BE79" s="13">
        <v>3944</v>
      </c>
      <c r="BF79" s="13">
        <v>3978</v>
      </c>
      <c r="BG79" s="13">
        <v>3914</v>
      </c>
      <c r="BH79" s="13">
        <v>3566</v>
      </c>
      <c r="BI79" s="13">
        <v>3458</v>
      </c>
      <c r="BJ79" s="13">
        <v>3380</v>
      </c>
      <c r="BK79" s="13">
        <v>3290</v>
      </c>
      <c r="BL79" s="13">
        <v>3108</v>
      </c>
      <c r="BM79" s="4">
        <v>3124</v>
      </c>
      <c r="BN79" s="4">
        <v>3059</v>
      </c>
      <c r="BO79" s="4">
        <v>3073</v>
      </c>
      <c r="BP79" s="4">
        <v>3086</v>
      </c>
      <c r="BQ79" s="4">
        <v>3027</v>
      </c>
      <c r="BR79" s="4">
        <v>3096</v>
      </c>
      <c r="BS79" s="4">
        <v>3128</v>
      </c>
      <c r="BT79" s="4">
        <v>3092</v>
      </c>
      <c r="BU79" s="4">
        <v>2949.5</v>
      </c>
      <c r="BV79" s="4">
        <v>3011</v>
      </c>
      <c r="BW79" s="4">
        <v>2863.5</v>
      </c>
      <c r="BX79" s="4">
        <v>2872.5</v>
      </c>
      <c r="BY79" s="4">
        <v>2863</v>
      </c>
      <c r="BZ79" s="4">
        <v>2845.5</v>
      </c>
    </row>
    <row r="80" spans="1:78" ht="15.9" customHeight="1">
      <c r="A80" s="61" t="s">
        <v>155</v>
      </c>
      <c r="B80" s="6" t="s">
        <v>156</v>
      </c>
      <c r="C80" s="15">
        <f>_xll.RssMarket("1833","現在値")</f>
        <v>5740</v>
      </c>
      <c r="D80" s="16">
        <f t="shared" si="2"/>
        <v>10</v>
      </c>
      <c r="E80" s="13">
        <v>5730</v>
      </c>
      <c r="F80" s="13">
        <v>5780</v>
      </c>
      <c r="G80" s="13">
        <v>5790</v>
      </c>
      <c r="H80" s="13">
        <v>5790</v>
      </c>
      <c r="I80" s="13">
        <v>5810</v>
      </c>
      <c r="J80" s="13">
        <v>5850</v>
      </c>
      <c r="K80" s="13">
        <v>5850</v>
      </c>
      <c r="L80" s="13"/>
      <c r="M80" s="13">
        <v>5730</v>
      </c>
      <c r="N80" s="13">
        <v>5670</v>
      </c>
      <c r="O80" s="13">
        <v>5670</v>
      </c>
      <c r="P80" s="13">
        <v>5600</v>
      </c>
      <c r="Q80" s="13">
        <v>5680</v>
      </c>
      <c r="R80" s="13">
        <v>5610</v>
      </c>
      <c r="S80" s="13">
        <v>5560</v>
      </c>
      <c r="T80" s="13">
        <v>5650</v>
      </c>
      <c r="U80" s="13">
        <v>5720</v>
      </c>
      <c r="V80" s="13">
        <v>5680</v>
      </c>
      <c r="W80" s="13">
        <v>5780</v>
      </c>
      <c r="X80" s="13">
        <v>5760</v>
      </c>
      <c r="Y80" s="13">
        <v>5680</v>
      </c>
      <c r="Z80" s="13">
        <v>5660</v>
      </c>
      <c r="AA80" s="13">
        <v>5640</v>
      </c>
      <c r="AB80" s="13">
        <v>5620</v>
      </c>
      <c r="AC80" s="13">
        <v>5700</v>
      </c>
      <c r="AD80" s="13">
        <v>5650</v>
      </c>
      <c r="AE80" s="13">
        <v>5590</v>
      </c>
      <c r="AF80" s="13">
        <v>5640</v>
      </c>
      <c r="AG80" s="13">
        <v>5600</v>
      </c>
      <c r="AH80" s="13">
        <v>5690</v>
      </c>
      <c r="AI80" s="13">
        <v>5670</v>
      </c>
      <c r="AJ80" s="13">
        <v>5800</v>
      </c>
      <c r="AK80" s="13">
        <v>5700</v>
      </c>
      <c r="AL80" s="13">
        <v>5720</v>
      </c>
      <c r="AM80" s="13">
        <v>5800</v>
      </c>
      <c r="AN80" s="13">
        <v>5640</v>
      </c>
      <c r="AO80" s="13">
        <v>5550</v>
      </c>
      <c r="AP80" s="13">
        <v>5560</v>
      </c>
      <c r="AQ80" s="13">
        <v>5490</v>
      </c>
      <c r="AR80" s="13">
        <v>5620</v>
      </c>
      <c r="AS80" s="13">
        <v>5480</v>
      </c>
      <c r="AT80" s="13">
        <v>5550</v>
      </c>
      <c r="AU80" s="13">
        <v>5560</v>
      </c>
      <c r="AV80" s="13">
        <v>5610</v>
      </c>
      <c r="AW80" s="13">
        <v>5610</v>
      </c>
      <c r="AX80" s="13">
        <v>5520</v>
      </c>
      <c r="AY80" s="13">
        <v>5570</v>
      </c>
      <c r="AZ80" s="13">
        <v>5460</v>
      </c>
      <c r="BA80" s="13">
        <v>5560</v>
      </c>
      <c r="BB80" s="13">
        <v>5600</v>
      </c>
      <c r="BC80" s="13">
        <v>5740</v>
      </c>
      <c r="BD80" s="13">
        <v>5660</v>
      </c>
      <c r="BE80" s="13">
        <v>5950</v>
      </c>
      <c r="BF80" s="13">
        <v>5980</v>
      </c>
      <c r="BG80" s="13">
        <v>6160</v>
      </c>
      <c r="BH80" s="13">
        <v>6320</v>
      </c>
      <c r="BI80" s="13">
        <v>6230</v>
      </c>
      <c r="BJ80" s="13">
        <v>6110</v>
      </c>
      <c r="BK80" s="13">
        <v>6160</v>
      </c>
      <c r="BL80" s="13">
        <v>6120</v>
      </c>
      <c r="BM80" s="4">
        <v>6150</v>
      </c>
      <c r="BN80" s="4">
        <v>6140</v>
      </c>
      <c r="BO80" s="4">
        <v>5980</v>
      </c>
      <c r="BP80" s="4">
        <v>6000</v>
      </c>
      <c r="BQ80" s="4">
        <v>6060</v>
      </c>
      <c r="BR80" s="4">
        <v>6030</v>
      </c>
      <c r="BS80" s="4">
        <v>6120</v>
      </c>
      <c r="BT80" s="4">
        <v>6120</v>
      </c>
      <c r="BU80" s="4">
        <v>6140</v>
      </c>
      <c r="BV80" s="4">
        <v>6230</v>
      </c>
      <c r="BW80" s="4">
        <v>6240</v>
      </c>
      <c r="BX80" s="4">
        <v>6280</v>
      </c>
      <c r="BY80" s="4">
        <v>6240</v>
      </c>
      <c r="BZ80" s="4">
        <v>6310</v>
      </c>
    </row>
    <row r="81" spans="1:78" ht="15.9" customHeight="1">
      <c r="A81" s="61" t="s">
        <v>157</v>
      </c>
      <c r="B81" s="6" t="s">
        <v>158</v>
      </c>
      <c r="C81" s="15">
        <f>_xll.RssMarket("6841","現在値")</f>
        <v>5320</v>
      </c>
      <c r="D81" s="16">
        <f t="shared" si="2"/>
        <v>-574</v>
      </c>
      <c r="E81" s="13">
        <v>5894</v>
      </c>
      <c r="F81" s="13">
        <v>5704</v>
      </c>
      <c r="G81" s="13">
        <v>5782</v>
      </c>
      <c r="H81" s="13">
        <v>5605</v>
      </c>
      <c r="I81" s="13">
        <v>5560</v>
      </c>
      <c r="J81" s="13">
        <v>5655</v>
      </c>
      <c r="K81" s="13">
        <v>6022</v>
      </c>
      <c r="L81" s="13">
        <v>5792</v>
      </c>
      <c r="M81" s="13">
        <v>5769</v>
      </c>
      <c r="N81" s="13">
        <v>5727</v>
      </c>
      <c r="O81" s="13">
        <v>5707</v>
      </c>
      <c r="P81" s="13">
        <v>5468</v>
      </c>
      <c r="Q81" s="13">
        <v>5600</v>
      </c>
      <c r="R81" s="13">
        <v>5470</v>
      </c>
      <c r="S81" s="13">
        <v>5577</v>
      </c>
      <c r="T81" s="13">
        <v>5559</v>
      </c>
      <c r="U81" s="13">
        <v>5439</v>
      </c>
      <c r="V81" s="13">
        <v>5437</v>
      </c>
      <c r="W81" s="13">
        <v>5642</v>
      </c>
      <c r="X81" s="13">
        <v>5854</v>
      </c>
      <c r="Y81" s="13">
        <v>5812</v>
      </c>
      <c r="Z81" s="13">
        <v>5584</v>
      </c>
      <c r="AA81" s="13">
        <v>5714</v>
      </c>
      <c r="AB81" s="13">
        <v>5635</v>
      </c>
      <c r="AC81" s="13">
        <v>5594</v>
      </c>
      <c r="AD81" s="13">
        <v>5587</v>
      </c>
      <c r="AE81" s="13">
        <v>5579</v>
      </c>
      <c r="AF81" s="13">
        <v>5520</v>
      </c>
      <c r="AG81" s="13">
        <v>5535</v>
      </c>
      <c r="AH81" s="13">
        <v>5698</v>
      </c>
      <c r="AI81" s="13">
        <v>5409</v>
      </c>
      <c r="AJ81" s="13">
        <v>5478</v>
      </c>
      <c r="AK81" s="13">
        <v>5380</v>
      </c>
      <c r="AL81" s="13">
        <v>5230</v>
      </c>
      <c r="AM81" s="13">
        <v>5162</v>
      </c>
      <c r="AN81" s="13">
        <v>4848</v>
      </c>
      <c r="AO81" s="13">
        <v>4766</v>
      </c>
      <c r="AP81" s="13">
        <v>4757</v>
      </c>
      <c r="AQ81" s="13">
        <v>4941</v>
      </c>
      <c r="AR81" s="13">
        <v>5226</v>
      </c>
      <c r="AS81" s="13">
        <v>5313</v>
      </c>
      <c r="AT81" s="13">
        <v>5350</v>
      </c>
      <c r="AU81" s="13">
        <v>5125</v>
      </c>
      <c r="AV81" s="13">
        <v>5001</v>
      </c>
      <c r="AW81" s="13">
        <v>4914</v>
      </c>
      <c r="AX81" s="13">
        <v>4927</v>
      </c>
      <c r="AY81" s="13">
        <v>5044</v>
      </c>
      <c r="AZ81" s="13">
        <v>4830</v>
      </c>
      <c r="BA81" s="13">
        <v>4771</v>
      </c>
      <c r="BB81" s="13">
        <v>4700</v>
      </c>
      <c r="BC81" s="13">
        <v>4817</v>
      </c>
      <c r="BD81" s="13">
        <v>4864</v>
      </c>
      <c r="BE81" s="13">
        <v>5013</v>
      </c>
      <c r="BF81" s="13">
        <v>5093</v>
      </c>
      <c r="BG81" s="13">
        <v>5268</v>
      </c>
      <c r="BH81" s="13">
        <v>5260</v>
      </c>
      <c r="BI81" s="13">
        <v>5371</v>
      </c>
      <c r="BJ81" s="13">
        <v>5171</v>
      </c>
      <c r="BK81" s="13">
        <v>5734</v>
      </c>
      <c r="BL81" s="13">
        <v>5409</v>
      </c>
      <c r="BM81" s="4">
        <v>5463</v>
      </c>
      <c r="BN81" s="4">
        <v>5450</v>
      </c>
      <c r="BO81" s="4">
        <v>5331</v>
      </c>
      <c r="BP81" s="4">
        <v>5264</v>
      </c>
      <c r="BQ81" s="4">
        <v>5279</v>
      </c>
      <c r="BR81" s="4">
        <v>5447</v>
      </c>
      <c r="BS81" s="4">
        <v>5584</v>
      </c>
      <c r="BT81" s="4">
        <v>5500</v>
      </c>
      <c r="BU81" s="4">
        <v>5414</v>
      </c>
      <c r="BV81" s="4">
        <v>5461</v>
      </c>
      <c r="BW81" s="4">
        <v>5387</v>
      </c>
      <c r="BX81" s="4">
        <v>5611</v>
      </c>
      <c r="BY81" s="4">
        <v>5602</v>
      </c>
      <c r="BZ81" s="4">
        <v>5637</v>
      </c>
    </row>
    <row r="82" spans="1:78" ht="15.9" customHeight="1">
      <c r="A82" s="61" t="s">
        <v>159</v>
      </c>
      <c r="B82" s="6" t="s">
        <v>160</v>
      </c>
      <c r="C82" s="15">
        <f>_xll.RssMarket("7167","現在値")</f>
        <v>1516</v>
      </c>
      <c r="D82" s="16">
        <f t="shared" si="2"/>
        <v>19.5</v>
      </c>
      <c r="E82" s="13">
        <v>1496.5</v>
      </c>
      <c r="F82" s="13">
        <v>1483</v>
      </c>
      <c r="G82" s="13">
        <v>1497</v>
      </c>
      <c r="H82" s="13">
        <v>1465.5</v>
      </c>
      <c r="I82" s="13">
        <v>1498.5</v>
      </c>
      <c r="J82" s="13">
        <v>1520</v>
      </c>
      <c r="K82" s="13">
        <v>1554.5</v>
      </c>
      <c r="L82" s="13">
        <v>1541</v>
      </c>
      <c r="M82" s="13">
        <v>1515.5</v>
      </c>
      <c r="N82" s="13">
        <v>1499</v>
      </c>
      <c r="O82" s="13">
        <v>1474.5</v>
      </c>
      <c r="P82" s="13">
        <v>1427</v>
      </c>
      <c r="Q82" s="13">
        <v>1531.5</v>
      </c>
      <c r="R82" s="13">
        <v>1523</v>
      </c>
      <c r="S82" s="13">
        <v>1531.5</v>
      </c>
      <c r="T82" s="13">
        <v>1539.5</v>
      </c>
      <c r="U82" s="13">
        <v>1556</v>
      </c>
      <c r="V82" s="13">
        <v>1565.5</v>
      </c>
      <c r="W82" s="13">
        <v>1528</v>
      </c>
      <c r="X82" s="13">
        <v>1529.5</v>
      </c>
      <c r="Y82" s="13">
        <v>1509</v>
      </c>
      <c r="Z82" s="13">
        <v>1479.5</v>
      </c>
      <c r="AA82" s="13">
        <v>1431.5</v>
      </c>
      <c r="AB82" s="13">
        <v>1412</v>
      </c>
      <c r="AC82" s="13">
        <v>1412.5</v>
      </c>
      <c r="AD82" s="13">
        <v>1407.5</v>
      </c>
      <c r="AE82" s="13">
        <v>1380.5</v>
      </c>
      <c r="AF82" s="13">
        <v>1384.5</v>
      </c>
      <c r="AG82" s="13">
        <v>1411</v>
      </c>
      <c r="AH82" s="13">
        <v>1425.5</v>
      </c>
      <c r="AI82" s="13">
        <v>1411</v>
      </c>
      <c r="AJ82" s="13">
        <v>1439.5</v>
      </c>
      <c r="AK82" s="13">
        <v>1388.5</v>
      </c>
      <c r="AL82" s="13">
        <v>1413</v>
      </c>
      <c r="AM82" s="13">
        <v>1413.5</v>
      </c>
      <c r="AN82" s="13">
        <v>1402</v>
      </c>
      <c r="AO82" s="13">
        <v>1372.5</v>
      </c>
      <c r="AP82" s="13">
        <v>1375.5</v>
      </c>
      <c r="AQ82" s="13">
        <v>1348.5</v>
      </c>
      <c r="AR82" s="13">
        <v>1357.5</v>
      </c>
      <c r="AS82" s="13">
        <v>1341</v>
      </c>
      <c r="AT82" s="13">
        <v>1338</v>
      </c>
      <c r="AU82" s="13">
        <v>1314.5</v>
      </c>
      <c r="AV82" s="13">
        <v>1329.5</v>
      </c>
      <c r="AW82" s="13">
        <v>1353</v>
      </c>
      <c r="AX82" s="13">
        <v>1371.5</v>
      </c>
      <c r="AY82" s="13">
        <v>1388</v>
      </c>
      <c r="AZ82" s="13">
        <v>1396.5</v>
      </c>
      <c r="BA82" s="13">
        <v>1409.5</v>
      </c>
      <c r="BB82" s="13">
        <v>1385.5</v>
      </c>
      <c r="BC82" s="13">
        <v>1365.5</v>
      </c>
      <c r="BD82" s="13">
        <v>1366.5</v>
      </c>
      <c r="BE82" s="13">
        <v>1377.5</v>
      </c>
      <c r="BF82" s="13">
        <v>1370.5</v>
      </c>
      <c r="BG82" s="13">
        <v>1366.5</v>
      </c>
      <c r="BH82" s="13">
        <v>1362.5</v>
      </c>
      <c r="BI82" s="13">
        <v>1338</v>
      </c>
      <c r="BJ82" s="13">
        <v>1313.5</v>
      </c>
      <c r="BK82" s="13">
        <v>1344.5</v>
      </c>
      <c r="BL82" s="13">
        <v>1296</v>
      </c>
      <c r="BM82" s="4">
        <v>1298.5</v>
      </c>
      <c r="BN82" s="4">
        <v>1319.5</v>
      </c>
      <c r="BO82" s="4">
        <v>1234</v>
      </c>
      <c r="BP82" s="4">
        <v>1222</v>
      </c>
      <c r="BQ82" s="4">
        <v>1236</v>
      </c>
      <c r="BR82" s="4">
        <v>1244.5</v>
      </c>
      <c r="BS82" s="4">
        <v>1281.5</v>
      </c>
      <c r="BT82" s="4">
        <v>1317.5</v>
      </c>
      <c r="BU82" s="4">
        <v>1343.5</v>
      </c>
      <c r="BV82" s="4">
        <v>1356</v>
      </c>
      <c r="BW82" s="4">
        <v>1354</v>
      </c>
      <c r="BX82" s="4">
        <v>1343.5</v>
      </c>
      <c r="BY82" s="4">
        <v>1344</v>
      </c>
      <c r="BZ82" s="4">
        <v>1353.5</v>
      </c>
    </row>
    <row r="83" spans="1:78" ht="15.9" customHeight="1">
      <c r="A83" s="61" t="s">
        <v>161</v>
      </c>
      <c r="B83" s="6" t="s">
        <v>162</v>
      </c>
      <c r="C83" s="15">
        <f>_xll.RssMarket("1925","現在値")</f>
        <v>4505</v>
      </c>
      <c r="D83" s="16">
        <f t="shared" si="2"/>
        <v>-39</v>
      </c>
      <c r="E83" s="13">
        <v>4544</v>
      </c>
      <c r="F83" s="13">
        <v>4584</v>
      </c>
      <c r="G83" s="13">
        <v>4678</v>
      </c>
      <c r="H83" s="13">
        <v>4832</v>
      </c>
      <c r="I83" s="13">
        <v>4909</v>
      </c>
      <c r="J83" s="13">
        <v>4765</v>
      </c>
      <c r="K83" s="13">
        <v>4740</v>
      </c>
      <c r="L83" s="13">
        <v>4579</v>
      </c>
      <c r="M83" s="13">
        <v>4566</v>
      </c>
      <c r="N83" s="13">
        <v>4605</v>
      </c>
      <c r="O83" s="13">
        <v>4639</v>
      </c>
      <c r="P83" s="13">
        <v>4582</v>
      </c>
      <c r="Q83" s="13">
        <v>4600</v>
      </c>
      <c r="R83" s="13">
        <v>4594</v>
      </c>
      <c r="S83" s="13">
        <v>4541</v>
      </c>
      <c r="T83" s="13">
        <v>4506</v>
      </c>
      <c r="U83" s="13">
        <v>4520</v>
      </c>
      <c r="V83" s="13">
        <v>4545</v>
      </c>
      <c r="W83" s="13">
        <v>4576</v>
      </c>
      <c r="X83" s="13">
        <v>4563</v>
      </c>
      <c r="Y83" s="13">
        <v>4503</v>
      </c>
      <c r="Z83" s="13">
        <v>4458</v>
      </c>
      <c r="AA83" s="13">
        <v>4391</v>
      </c>
      <c r="AB83" s="13">
        <v>4417</v>
      </c>
      <c r="AC83" s="13">
        <v>4452</v>
      </c>
      <c r="AD83" s="13">
        <v>4424</v>
      </c>
      <c r="AE83" s="13">
        <v>4351</v>
      </c>
      <c r="AF83" s="13">
        <v>4320</v>
      </c>
      <c r="AG83" s="13">
        <v>4275</v>
      </c>
      <c r="AH83" s="13">
        <v>4292</v>
      </c>
      <c r="AI83" s="13">
        <v>4363</v>
      </c>
      <c r="AJ83" s="13">
        <v>4372</v>
      </c>
      <c r="AK83" s="13">
        <v>4358</v>
      </c>
      <c r="AL83" s="13">
        <v>4346</v>
      </c>
      <c r="AM83" s="13">
        <v>4388</v>
      </c>
      <c r="AN83" s="13">
        <v>4300</v>
      </c>
      <c r="AO83" s="13">
        <v>4283</v>
      </c>
      <c r="AP83" s="13">
        <v>4381</v>
      </c>
      <c r="AQ83" s="13">
        <v>4249</v>
      </c>
      <c r="AR83" s="13">
        <v>4191</v>
      </c>
      <c r="AS83" s="13">
        <v>4227</v>
      </c>
      <c r="AT83" s="13">
        <v>4265</v>
      </c>
      <c r="AU83" s="13">
        <v>4187</v>
      </c>
      <c r="AV83" s="13">
        <v>4334</v>
      </c>
      <c r="AW83" s="13">
        <v>4374</v>
      </c>
      <c r="AX83" s="13">
        <v>4402</v>
      </c>
      <c r="AY83" s="13">
        <v>4431</v>
      </c>
      <c r="AZ83" s="13">
        <v>4416</v>
      </c>
      <c r="BA83" s="13">
        <v>4453</v>
      </c>
      <c r="BB83" s="13">
        <v>4485</v>
      </c>
      <c r="BC83" s="13">
        <v>4544</v>
      </c>
      <c r="BD83" s="13">
        <v>4483</v>
      </c>
      <c r="BE83" s="13">
        <v>4538</v>
      </c>
      <c r="BF83" s="13">
        <v>4538</v>
      </c>
      <c r="BG83" s="13">
        <v>4777</v>
      </c>
      <c r="BH83" s="13">
        <v>4783</v>
      </c>
      <c r="BI83" s="13">
        <v>4770</v>
      </c>
      <c r="BJ83" s="13">
        <v>4773</v>
      </c>
      <c r="BK83" s="13">
        <v>4811</v>
      </c>
      <c r="BL83" s="13">
        <v>4763</v>
      </c>
      <c r="BM83" s="4">
        <v>4788</v>
      </c>
      <c r="BN83" s="4">
        <v>4876</v>
      </c>
      <c r="BO83" s="4">
        <v>4768</v>
      </c>
      <c r="BP83" s="4">
        <v>4783</v>
      </c>
      <c r="BQ83" s="4">
        <v>4840</v>
      </c>
      <c r="BR83" s="4">
        <v>4838</v>
      </c>
      <c r="BS83" s="4">
        <v>4907</v>
      </c>
      <c r="BT83" s="4">
        <v>4912</v>
      </c>
      <c r="BU83" s="4">
        <v>4852</v>
      </c>
      <c r="BV83" s="4">
        <v>4919</v>
      </c>
      <c r="BW83" s="4">
        <v>4917</v>
      </c>
      <c r="BX83" s="4">
        <v>4899</v>
      </c>
      <c r="BY83" s="4">
        <v>4923</v>
      </c>
      <c r="BZ83" s="4">
        <v>4992</v>
      </c>
    </row>
    <row r="84" spans="1:78" ht="15.9" customHeight="1">
      <c r="A84" s="61" t="s">
        <v>163</v>
      </c>
      <c r="B84" s="6" t="s">
        <v>164</v>
      </c>
      <c r="C84" s="15">
        <f>_xll.RssMarket("5411","現在値")</f>
        <v>1774</v>
      </c>
      <c r="D84" s="16">
        <f t="shared" si="2"/>
        <v>-25.5</v>
      </c>
      <c r="E84" s="13">
        <v>1799.5</v>
      </c>
      <c r="F84" s="13">
        <v>1794</v>
      </c>
      <c r="G84" s="13">
        <v>1817.5</v>
      </c>
      <c r="H84" s="13">
        <v>1865</v>
      </c>
      <c r="I84" s="13">
        <v>1867.5</v>
      </c>
      <c r="J84" s="13">
        <v>1795</v>
      </c>
      <c r="K84" s="13">
        <v>1804</v>
      </c>
      <c r="L84" s="13">
        <v>1726</v>
      </c>
      <c r="M84" s="13">
        <v>1729</v>
      </c>
      <c r="N84" s="13">
        <v>1714.5</v>
      </c>
      <c r="O84" s="13">
        <v>1739</v>
      </c>
      <c r="P84" s="13">
        <v>1697.5</v>
      </c>
      <c r="Q84" s="13">
        <v>1679</v>
      </c>
      <c r="R84" s="13">
        <v>1666</v>
      </c>
      <c r="S84" s="13">
        <v>1626.5</v>
      </c>
      <c r="T84" s="13">
        <v>1623</v>
      </c>
      <c r="U84" s="13">
        <v>1620</v>
      </c>
      <c r="V84" s="13">
        <v>1647.5</v>
      </c>
      <c r="W84" s="13">
        <v>1654</v>
      </c>
      <c r="X84" s="13">
        <v>1654</v>
      </c>
      <c r="Y84" s="13">
        <v>1600</v>
      </c>
      <c r="Z84" s="13">
        <v>1571</v>
      </c>
      <c r="AA84" s="13">
        <v>1552.5</v>
      </c>
      <c r="AB84" s="13">
        <v>1560</v>
      </c>
      <c r="AC84" s="13">
        <v>1563.5</v>
      </c>
      <c r="AD84" s="13">
        <v>1547.5</v>
      </c>
      <c r="AE84" s="13">
        <v>1546</v>
      </c>
      <c r="AF84" s="13">
        <v>1559</v>
      </c>
      <c r="AG84" s="13">
        <v>1561.5</v>
      </c>
      <c r="AH84" s="13">
        <v>1607</v>
      </c>
      <c r="AI84" s="13">
        <v>1614</v>
      </c>
      <c r="AJ84" s="13">
        <v>1644.5</v>
      </c>
      <c r="AK84" s="13">
        <v>1637</v>
      </c>
      <c r="AL84" s="13">
        <v>1647</v>
      </c>
      <c r="AM84" s="13">
        <v>1647.5</v>
      </c>
      <c r="AN84" s="13">
        <v>1613</v>
      </c>
      <c r="AO84" s="13">
        <v>1573</v>
      </c>
      <c r="AP84" s="13">
        <v>1582.5</v>
      </c>
      <c r="AQ84" s="13">
        <v>1580</v>
      </c>
      <c r="AR84" s="13">
        <v>1614</v>
      </c>
      <c r="AS84" s="13">
        <v>1601</v>
      </c>
      <c r="AT84" s="13">
        <v>1594.5</v>
      </c>
      <c r="AU84" s="13">
        <v>1598</v>
      </c>
      <c r="AV84" s="13">
        <v>1700.5</v>
      </c>
      <c r="AW84" s="13">
        <v>1677.5</v>
      </c>
      <c r="AX84" s="13">
        <v>1676.5</v>
      </c>
      <c r="AY84" s="13">
        <v>1630</v>
      </c>
      <c r="AZ84" s="13">
        <v>1635</v>
      </c>
      <c r="BA84" s="13">
        <v>1655</v>
      </c>
      <c r="BB84" s="13">
        <v>1636.5</v>
      </c>
      <c r="BC84" s="13">
        <v>1668.5</v>
      </c>
      <c r="BD84" s="13">
        <v>1652.5</v>
      </c>
      <c r="BE84" s="13">
        <v>1678</v>
      </c>
      <c r="BF84" s="13">
        <v>1690.5</v>
      </c>
      <c r="BG84" s="13">
        <v>1720.5</v>
      </c>
      <c r="BH84" s="13">
        <v>1683</v>
      </c>
      <c r="BI84" s="13">
        <v>1685.5</v>
      </c>
      <c r="BJ84" s="13">
        <v>1765</v>
      </c>
      <c r="BK84" s="13">
        <v>1734.5</v>
      </c>
      <c r="BL84" s="13">
        <v>1716.5</v>
      </c>
      <c r="BM84" s="4">
        <v>1715</v>
      </c>
      <c r="BN84" s="4">
        <v>1700.5</v>
      </c>
      <c r="BO84" s="4">
        <v>1674</v>
      </c>
      <c r="BP84" s="4">
        <v>1685.5</v>
      </c>
      <c r="BQ84" s="4">
        <v>1695</v>
      </c>
      <c r="BR84" s="4">
        <v>1723</v>
      </c>
      <c r="BS84" s="4">
        <v>1748</v>
      </c>
      <c r="BT84" s="4">
        <v>1771.5</v>
      </c>
      <c r="BU84" s="4">
        <v>1801.5</v>
      </c>
      <c r="BV84" s="4">
        <v>1830</v>
      </c>
      <c r="BW84" s="4">
        <v>1821.5</v>
      </c>
      <c r="BX84" s="4">
        <v>1820</v>
      </c>
      <c r="BY84" s="4">
        <v>1836</v>
      </c>
      <c r="BZ84" s="4">
        <v>1866.5</v>
      </c>
    </row>
    <row r="85" spans="1:78" ht="15.9" customHeight="1">
      <c r="A85" s="61" t="s">
        <v>165</v>
      </c>
      <c r="B85" s="6" t="s">
        <v>166</v>
      </c>
      <c r="C85" s="15">
        <f>_xll.RssMarket("7182","現在値")</f>
        <v>3174</v>
      </c>
      <c r="D85" s="16">
        <f t="shared" si="2"/>
        <v>79</v>
      </c>
      <c r="E85" s="13">
        <v>3095</v>
      </c>
      <c r="F85" s="13">
        <v>3102</v>
      </c>
      <c r="G85" s="13">
        <v>3111</v>
      </c>
      <c r="H85" s="13">
        <v>3110</v>
      </c>
      <c r="I85" s="13">
        <v>3216</v>
      </c>
      <c r="J85" s="13">
        <v>3256</v>
      </c>
      <c r="K85" s="13">
        <v>3416</v>
      </c>
      <c r="L85" s="13">
        <v>3442</v>
      </c>
      <c r="M85" s="13">
        <v>3447</v>
      </c>
      <c r="N85" s="13">
        <v>3411</v>
      </c>
      <c r="O85" s="13">
        <v>3348</v>
      </c>
      <c r="P85" s="13">
        <v>3141</v>
      </c>
      <c r="Q85" s="13">
        <v>3350</v>
      </c>
      <c r="R85" s="13">
        <v>3304</v>
      </c>
      <c r="S85" s="13">
        <v>3299</v>
      </c>
      <c r="T85" s="13">
        <v>3261</v>
      </c>
      <c r="U85" s="13">
        <v>3289</v>
      </c>
      <c r="V85" s="13">
        <v>3305</v>
      </c>
      <c r="W85" s="13">
        <v>3307</v>
      </c>
      <c r="X85" s="13">
        <v>3262</v>
      </c>
      <c r="Y85" s="13">
        <v>3230</v>
      </c>
      <c r="Z85" s="13">
        <v>3148</v>
      </c>
      <c r="AA85" s="13">
        <v>3087</v>
      </c>
      <c r="AB85" s="13">
        <v>3063</v>
      </c>
      <c r="AC85" s="13">
        <v>3078</v>
      </c>
      <c r="AD85" s="13">
        <v>3069</v>
      </c>
      <c r="AE85" s="13">
        <v>3050</v>
      </c>
      <c r="AF85" s="13">
        <v>3101</v>
      </c>
      <c r="AG85" s="13">
        <v>3210</v>
      </c>
      <c r="AH85" s="13">
        <v>3269</v>
      </c>
      <c r="AI85" s="13">
        <v>3190</v>
      </c>
      <c r="AJ85" s="13">
        <v>3296</v>
      </c>
      <c r="AK85" s="13">
        <v>3125</v>
      </c>
      <c r="AL85" s="13">
        <v>3170</v>
      </c>
      <c r="AM85" s="13">
        <v>3198</v>
      </c>
      <c r="AN85" s="13">
        <v>3211</v>
      </c>
      <c r="AO85" s="13">
        <v>3096</v>
      </c>
      <c r="AP85" s="13">
        <v>3177</v>
      </c>
      <c r="AQ85" s="13">
        <v>3126</v>
      </c>
      <c r="AR85" s="13">
        <v>3161</v>
      </c>
      <c r="AS85" s="13">
        <v>3225</v>
      </c>
      <c r="AT85" s="13">
        <v>3163</v>
      </c>
      <c r="AU85" s="13">
        <v>3066</v>
      </c>
      <c r="AV85" s="13">
        <v>3069</v>
      </c>
      <c r="AW85" s="13">
        <v>2960.5</v>
      </c>
      <c r="AX85" s="13">
        <v>3001</v>
      </c>
      <c r="AY85" s="13">
        <v>3093</v>
      </c>
      <c r="AZ85" s="13">
        <v>3104</v>
      </c>
      <c r="BA85" s="13">
        <v>3193</v>
      </c>
      <c r="BB85" s="13">
        <v>3075</v>
      </c>
      <c r="BC85" s="13">
        <v>3021</v>
      </c>
      <c r="BD85" s="13">
        <v>2977.5</v>
      </c>
      <c r="BE85" s="13">
        <v>2829</v>
      </c>
      <c r="BF85" s="13">
        <v>2835.5</v>
      </c>
      <c r="BG85" s="13">
        <v>2849</v>
      </c>
      <c r="BH85" s="13">
        <v>2841.5</v>
      </c>
      <c r="BI85" s="13">
        <v>2796.5</v>
      </c>
      <c r="BJ85" s="13">
        <v>2724.5</v>
      </c>
      <c r="BK85" s="13">
        <v>2817</v>
      </c>
      <c r="BL85" s="13">
        <v>2656</v>
      </c>
      <c r="BM85" s="4">
        <v>2689</v>
      </c>
      <c r="BN85" s="4">
        <v>2696.5</v>
      </c>
      <c r="BO85" s="4">
        <v>2539.5</v>
      </c>
      <c r="BP85" s="4">
        <v>2510</v>
      </c>
      <c r="BQ85" s="4">
        <v>2537</v>
      </c>
      <c r="BR85" s="4">
        <v>2555</v>
      </c>
      <c r="BS85" s="4">
        <v>2600</v>
      </c>
      <c r="BT85" s="4">
        <v>2710</v>
      </c>
      <c r="BU85" s="4">
        <v>2731.5</v>
      </c>
      <c r="BV85" s="4">
        <v>2798.5</v>
      </c>
      <c r="BW85" s="4">
        <v>2772.5</v>
      </c>
      <c r="BX85" s="4">
        <v>2724.5</v>
      </c>
      <c r="BY85" s="4">
        <v>2726.5</v>
      </c>
      <c r="BZ85" s="4">
        <v>2710.5</v>
      </c>
    </row>
    <row r="86" spans="1:78" ht="15.9" customHeight="1">
      <c r="A86" s="61" t="s">
        <v>167</v>
      </c>
      <c r="B86" s="6" t="s">
        <v>168</v>
      </c>
      <c r="C86" s="15">
        <f>_xll.RssMarket("1963","現在値")</f>
        <v>2329</v>
      </c>
      <c r="D86" s="16">
        <f t="shared" si="2"/>
        <v>36.5</v>
      </c>
      <c r="E86" s="13">
        <v>2292.5</v>
      </c>
      <c r="F86" s="13">
        <v>2259.5</v>
      </c>
      <c r="G86" s="13">
        <v>2259.5</v>
      </c>
      <c r="H86" s="13">
        <v>2227.5</v>
      </c>
      <c r="I86" s="13">
        <v>2225.5</v>
      </c>
      <c r="J86" s="13">
        <v>2294</v>
      </c>
      <c r="K86" s="13">
        <v>2371</v>
      </c>
      <c r="L86" s="13"/>
      <c r="M86" s="13">
        <v>2316.5</v>
      </c>
      <c r="N86" s="13">
        <v>2289</v>
      </c>
      <c r="O86" s="13">
        <v>2277.5</v>
      </c>
      <c r="P86" s="13">
        <v>2202</v>
      </c>
      <c r="Q86" s="13">
        <v>2325</v>
      </c>
      <c r="R86" s="13">
        <v>2281</v>
      </c>
      <c r="S86" s="13">
        <v>2303</v>
      </c>
      <c r="T86" s="13">
        <v>2335.5</v>
      </c>
      <c r="U86" s="13">
        <v>2334.5</v>
      </c>
      <c r="V86" s="13">
        <v>2345.5</v>
      </c>
      <c r="W86" s="13">
        <v>2474</v>
      </c>
      <c r="X86" s="13">
        <v>2552</v>
      </c>
      <c r="Y86" s="13">
        <v>2493.5</v>
      </c>
      <c r="Z86" s="13">
        <v>2498</v>
      </c>
      <c r="AA86" s="13">
        <v>2482.5</v>
      </c>
      <c r="AB86" s="13">
        <v>2504.5</v>
      </c>
      <c r="AC86" s="13">
        <v>2550</v>
      </c>
      <c r="AD86" s="13">
        <v>2542</v>
      </c>
      <c r="AE86" s="13">
        <v>2540.5</v>
      </c>
      <c r="AF86" s="13">
        <v>2573.5</v>
      </c>
      <c r="AG86" s="13">
        <v>2609</v>
      </c>
      <c r="AH86" s="13">
        <v>2618</v>
      </c>
      <c r="AI86" s="13">
        <v>2717</v>
      </c>
      <c r="AJ86" s="13">
        <v>2803.5</v>
      </c>
      <c r="AK86" s="13">
        <v>2760</v>
      </c>
      <c r="AL86" s="13">
        <v>2664</v>
      </c>
      <c r="AM86" s="13">
        <v>2688</v>
      </c>
      <c r="AN86" s="13">
        <v>2538.5</v>
      </c>
      <c r="AO86" s="13">
        <v>2475.5</v>
      </c>
      <c r="AP86" s="13">
        <v>2528.5</v>
      </c>
      <c r="AQ86" s="13">
        <v>2561</v>
      </c>
      <c r="AR86" s="13">
        <v>2645.5</v>
      </c>
      <c r="AS86" s="13">
        <v>2597</v>
      </c>
      <c r="AT86" s="13">
        <v>2658.5</v>
      </c>
      <c r="AU86" s="13">
        <v>2638.5</v>
      </c>
      <c r="AV86" s="13">
        <v>2728.5</v>
      </c>
      <c r="AW86" s="13">
        <v>2661.5</v>
      </c>
      <c r="AX86" s="13">
        <v>2721</v>
      </c>
      <c r="AY86" s="13">
        <v>2863</v>
      </c>
      <c r="AZ86" s="13">
        <v>2731.5</v>
      </c>
      <c r="BA86" s="13">
        <v>2679.5</v>
      </c>
      <c r="BB86" s="13">
        <v>2648</v>
      </c>
      <c r="BC86" s="13">
        <v>2647</v>
      </c>
      <c r="BD86" s="13">
        <v>2594</v>
      </c>
      <c r="BE86" s="13">
        <v>2710.5</v>
      </c>
      <c r="BF86" s="13">
        <v>2392.5</v>
      </c>
      <c r="BG86" s="13">
        <v>2451.5</v>
      </c>
      <c r="BH86" s="13">
        <v>2424</v>
      </c>
      <c r="BI86" s="13">
        <v>2418</v>
      </c>
      <c r="BJ86" s="13">
        <v>2495.5</v>
      </c>
      <c r="BK86" s="13">
        <v>2484.5</v>
      </c>
      <c r="BL86" s="13">
        <v>2385</v>
      </c>
      <c r="BM86" s="4">
        <v>2383</v>
      </c>
      <c r="BN86" s="4">
        <v>2458.5</v>
      </c>
      <c r="BO86" s="4">
        <v>2339</v>
      </c>
      <c r="BP86" s="4">
        <v>2354</v>
      </c>
      <c r="BQ86" s="4">
        <v>2358</v>
      </c>
      <c r="BR86" s="4">
        <v>2321</v>
      </c>
      <c r="BS86" s="4">
        <v>2378</v>
      </c>
      <c r="BT86" s="4">
        <v>2450</v>
      </c>
      <c r="BU86" s="4">
        <v>2532.5</v>
      </c>
      <c r="BV86" s="4">
        <v>2558</v>
      </c>
      <c r="BW86" s="4">
        <v>2570</v>
      </c>
      <c r="BX86" s="4">
        <v>2705.5</v>
      </c>
      <c r="BY86" s="4">
        <v>2693</v>
      </c>
      <c r="BZ86" s="4">
        <v>2758.5</v>
      </c>
    </row>
    <row r="87" spans="1:78" ht="15.9" customHeight="1">
      <c r="A87" s="61" t="s">
        <v>169</v>
      </c>
      <c r="B87" s="6" t="s">
        <v>170</v>
      </c>
      <c r="C87" s="15">
        <f>_xll.RssMarket("2914","現在値")</f>
        <v>6831</v>
      </c>
      <c r="D87" s="16">
        <f t="shared" si="2"/>
        <v>12</v>
      </c>
      <c r="E87" s="13">
        <v>6819</v>
      </c>
      <c r="F87" s="13">
        <v>6993</v>
      </c>
      <c r="G87" s="13">
        <v>7135</v>
      </c>
      <c r="H87" s="13">
        <v>6665</v>
      </c>
      <c r="I87" s="13">
        <v>6781</v>
      </c>
      <c r="J87" s="13">
        <v>6648</v>
      </c>
      <c r="K87" s="13">
        <v>6531</v>
      </c>
      <c r="L87" s="13">
        <v>6461</v>
      </c>
      <c r="M87" s="13">
        <v>6369</v>
      </c>
      <c r="N87" s="13">
        <v>6458</v>
      </c>
      <c r="O87" s="13">
        <v>6425</v>
      </c>
      <c r="P87" s="13">
        <v>6347</v>
      </c>
      <c r="Q87" s="13">
        <v>6110</v>
      </c>
      <c r="R87" s="13">
        <v>6116</v>
      </c>
      <c r="S87" s="13">
        <v>6101</v>
      </c>
      <c r="T87" s="13">
        <v>6117</v>
      </c>
      <c r="U87" s="13">
        <v>6186</v>
      </c>
      <c r="V87" s="13">
        <v>6202</v>
      </c>
      <c r="W87" s="13">
        <v>6219</v>
      </c>
      <c r="X87" s="13">
        <v>6189</v>
      </c>
      <c r="Y87" s="13">
        <v>6057</v>
      </c>
      <c r="Z87" s="13">
        <v>6089</v>
      </c>
      <c r="AA87" s="13">
        <v>5975</v>
      </c>
      <c r="AB87" s="13">
        <v>6012</v>
      </c>
      <c r="AC87" s="13">
        <v>6026</v>
      </c>
      <c r="AD87" s="13">
        <v>6072</v>
      </c>
      <c r="AE87" s="13">
        <v>5948</v>
      </c>
      <c r="AF87" s="13">
        <v>5950</v>
      </c>
      <c r="AG87" s="13">
        <v>5924</v>
      </c>
      <c r="AH87" s="13">
        <v>5968</v>
      </c>
      <c r="AI87" s="13">
        <v>6075</v>
      </c>
      <c r="AJ87" s="13">
        <v>6087</v>
      </c>
      <c r="AK87" s="13">
        <v>6071</v>
      </c>
      <c r="AL87" s="13">
        <v>6099</v>
      </c>
      <c r="AM87" s="13">
        <v>6070</v>
      </c>
      <c r="AN87" s="13">
        <v>6177</v>
      </c>
      <c r="AO87" s="13">
        <v>6305</v>
      </c>
      <c r="AP87" s="13">
        <v>6164</v>
      </c>
      <c r="AQ87" s="13">
        <v>6135</v>
      </c>
      <c r="AR87" s="13">
        <v>5973</v>
      </c>
      <c r="AS87" s="13">
        <v>6025</v>
      </c>
      <c r="AT87" s="13">
        <v>6112</v>
      </c>
      <c r="AU87" s="13">
        <v>6132</v>
      </c>
      <c r="AV87" s="13">
        <v>6167</v>
      </c>
      <c r="AW87" s="13">
        <v>6098</v>
      </c>
      <c r="AX87" s="13">
        <v>6115</v>
      </c>
      <c r="AY87" s="13">
        <v>6097</v>
      </c>
      <c r="AZ87" s="13">
        <v>6134</v>
      </c>
      <c r="BA87" s="13">
        <v>6233</v>
      </c>
      <c r="BB87" s="13">
        <v>6346</v>
      </c>
      <c r="BC87" s="13">
        <v>6453</v>
      </c>
      <c r="BD87" s="13">
        <v>6343</v>
      </c>
      <c r="BE87" s="13">
        <v>6301</v>
      </c>
      <c r="BF87" s="13">
        <v>6254</v>
      </c>
      <c r="BG87" s="13">
        <v>6180</v>
      </c>
      <c r="BH87" s="13">
        <v>6058</v>
      </c>
      <c r="BI87" s="13">
        <v>6164</v>
      </c>
      <c r="BJ87" s="13">
        <v>5769</v>
      </c>
      <c r="BK87" s="13">
        <v>5937</v>
      </c>
      <c r="BL87" s="13">
        <v>5886</v>
      </c>
      <c r="BM87" s="4">
        <v>5865</v>
      </c>
      <c r="BN87" s="4">
        <v>5779</v>
      </c>
      <c r="BO87" s="4">
        <v>5781</v>
      </c>
      <c r="BP87" s="4">
        <v>5829</v>
      </c>
      <c r="BQ87" s="4">
        <v>5866</v>
      </c>
      <c r="BR87" s="4">
        <v>5672</v>
      </c>
      <c r="BS87" s="4">
        <v>5757</v>
      </c>
      <c r="BT87" s="4">
        <v>5790</v>
      </c>
      <c r="BU87" s="4">
        <v>5800</v>
      </c>
      <c r="BV87" s="4">
        <v>5847</v>
      </c>
      <c r="BW87" s="4">
        <v>5897</v>
      </c>
      <c r="BX87" s="4">
        <v>5895</v>
      </c>
      <c r="BY87" s="4">
        <v>5953</v>
      </c>
      <c r="BZ87" s="4">
        <v>5973</v>
      </c>
    </row>
    <row r="88" spans="1:78" ht="15.9" customHeight="1">
      <c r="A88" s="61" t="s">
        <v>171</v>
      </c>
      <c r="B88" s="6" t="s">
        <v>172</v>
      </c>
      <c r="C88" s="15">
        <f>_xll.RssMarket("3003","現在値")</f>
        <v>1707.5</v>
      </c>
      <c r="D88" s="16">
        <f t="shared" si="2"/>
        <v>-7.5</v>
      </c>
      <c r="E88" s="13">
        <v>1715</v>
      </c>
      <c r="F88" s="13">
        <v>1710</v>
      </c>
      <c r="G88" s="13">
        <v>1758.5</v>
      </c>
      <c r="H88" s="13">
        <v>1829.5</v>
      </c>
      <c r="I88" s="13">
        <v>1907</v>
      </c>
      <c r="J88" s="13">
        <v>1809</v>
      </c>
      <c r="K88" s="13">
        <v>1835</v>
      </c>
      <c r="L88" s="13">
        <v>1769.5</v>
      </c>
      <c r="M88" s="13">
        <v>1777.5</v>
      </c>
      <c r="N88" s="13">
        <v>1807.5</v>
      </c>
      <c r="O88" s="13">
        <v>1825.5</v>
      </c>
      <c r="P88" s="13">
        <v>1789</v>
      </c>
      <c r="Q88" s="13">
        <v>1792.5</v>
      </c>
      <c r="R88" s="13">
        <v>1788</v>
      </c>
      <c r="S88" s="13">
        <v>1765.5</v>
      </c>
      <c r="T88" s="13">
        <v>1755</v>
      </c>
      <c r="U88" s="13">
        <v>1758</v>
      </c>
      <c r="V88" s="13">
        <v>1790</v>
      </c>
      <c r="W88" s="13">
        <v>1771</v>
      </c>
      <c r="X88" s="13">
        <v>1753.5</v>
      </c>
      <c r="Y88" s="13">
        <v>1734.5</v>
      </c>
      <c r="Z88" s="13">
        <v>1713.5</v>
      </c>
      <c r="AA88" s="13">
        <v>1664.5</v>
      </c>
      <c r="AB88" s="13">
        <v>1697</v>
      </c>
      <c r="AC88" s="13">
        <v>1712</v>
      </c>
      <c r="AD88" s="13">
        <v>1715</v>
      </c>
      <c r="AE88" s="13">
        <v>1700</v>
      </c>
      <c r="AF88" s="13">
        <v>1690</v>
      </c>
      <c r="AG88" s="13">
        <v>1687.5</v>
      </c>
      <c r="AH88" s="13">
        <v>1686</v>
      </c>
      <c r="AI88" s="13">
        <v>1706.5</v>
      </c>
      <c r="AJ88" s="13">
        <v>1715.5</v>
      </c>
      <c r="AK88" s="13">
        <v>1716</v>
      </c>
      <c r="AL88" s="13">
        <v>1704.5</v>
      </c>
      <c r="AM88" s="13">
        <v>1739.5</v>
      </c>
      <c r="AN88" s="13">
        <v>1725.5</v>
      </c>
      <c r="AO88" s="13">
        <v>1721.5</v>
      </c>
      <c r="AP88" s="13">
        <v>1727.5</v>
      </c>
      <c r="AQ88" s="13">
        <v>1677</v>
      </c>
      <c r="AR88" s="13">
        <v>1656</v>
      </c>
      <c r="AS88" s="13">
        <v>1631.5</v>
      </c>
      <c r="AT88" s="13">
        <v>1650</v>
      </c>
      <c r="AU88" s="13">
        <v>1652.5</v>
      </c>
      <c r="AV88" s="13">
        <v>1699</v>
      </c>
      <c r="AW88" s="13">
        <v>1670</v>
      </c>
      <c r="AX88" s="13">
        <v>1663</v>
      </c>
      <c r="AY88" s="13">
        <v>1671.5</v>
      </c>
      <c r="AZ88" s="13">
        <v>1650</v>
      </c>
      <c r="BA88" s="13">
        <v>1737</v>
      </c>
      <c r="BB88" s="13">
        <v>1724</v>
      </c>
      <c r="BC88" s="13">
        <v>1749</v>
      </c>
      <c r="BD88" s="13">
        <v>1722.5</v>
      </c>
      <c r="BE88" s="13">
        <v>1760.5</v>
      </c>
      <c r="BF88" s="13">
        <v>1760</v>
      </c>
      <c r="BG88" s="13">
        <v>1801.5</v>
      </c>
      <c r="BH88" s="13">
        <v>1799</v>
      </c>
      <c r="BI88" s="13">
        <v>1786.5</v>
      </c>
      <c r="BJ88" s="13">
        <v>1802.5</v>
      </c>
      <c r="BK88" s="13">
        <v>1820</v>
      </c>
      <c r="BL88" s="13">
        <v>1799</v>
      </c>
      <c r="BM88" s="4">
        <v>1766</v>
      </c>
      <c r="BN88" s="4">
        <v>1794.5</v>
      </c>
      <c r="BO88" s="4">
        <v>1743.5</v>
      </c>
      <c r="BP88" s="4">
        <v>1835</v>
      </c>
      <c r="BQ88" s="4">
        <v>1820</v>
      </c>
      <c r="BR88" s="4">
        <v>1829.5</v>
      </c>
      <c r="BS88" s="4">
        <v>1862.5</v>
      </c>
      <c r="BT88" s="4">
        <v>1904.5</v>
      </c>
      <c r="BU88" s="4">
        <v>1883.5</v>
      </c>
      <c r="BV88" s="4">
        <v>1902.5</v>
      </c>
      <c r="BW88" s="4">
        <v>1900</v>
      </c>
      <c r="BX88" s="4">
        <v>1894.5</v>
      </c>
      <c r="BY88" s="4">
        <v>1880.5</v>
      </c>
      <c r="BZ88" s="4">
        <v>1881.5</v>
      </c>
    </row>
    <row r="89" spans="1:78" ht="15.9" customHeight="1">
      <c r="A89" s="61" t="s">
        <v>173</v>
      </c>
      <c r="B89" s="6" t="s">
        <v>174</v>
      </c>
      <c r="C89" s="15">
        <f>_xll.RssMarket("5892","現在値")</f>
        <v>2196</v>
      </c>
      <c r="D89" s="16">
        <f t="shared" si="2"/>
        <v>69</v>
      </c>
      <c r="E89" s="13">
        <v>2127</v>
      </c>
      <c r="F89" s="13">
        <v>2147</v>
      </c>
      <c r="G89" s="13">
        <v>2117</v>
      </c>
      <c r="H89" s="13">
        <v>2090</v>
      </c>
      <c r="I89" s="13">
        <v>2041</v>
      </c>
      <c r="J89" s="13">
        <v>2012</v>
      </c>
      <c r="K89" s="13">
        <v>2043</v>
      </c>
      <c r="L89" s="13">
        <v>1962</v>
      </c>
      <c r="M89" s="13">
        <v>1963</v>
      </c>
      <c r="N89" s="13">
        <v>2021</v>
      </c>
      <c r="O89" s="13">
        <v>2026</v>
      </c>
      <c r="P89" s="13">
        <v>2028</v>
      </c>
      <c r="Q89" s="13">
        <v>2093</v>
      </c>
      <c r="R89" s="13">
        <v>2084</v>
      </c>
      <c r="S89" s="13">
        <v>2062</v>
      </c>
      <c r="T89" s="13">
        <v>2081</v>
      </c>
      <c r="U89" s="13">
        <v>2062</v>
      </c>
      <c r="V89" s="13">
        <v>2074</v>
      </c>
      <c r="W89" s="13">
        <v>2100</v>
      </c>
      <c r="X89" s="13">
        <v>2084</v>
      </c>
      <c r="Y89" s="13">
        <v>2133</v>
      </c>
      <c r="Z89" s="13">
        <v>2074</v>
      </c>
      <c r="AA89" s="13">
        <v>2032</v>
      </c>
      <c r="AB89" s="13">
        <v>2047</v>
      </c>
      <c r="AC89" s="13">
        <v>2071</v>
      </c>
      <c r="AD89" s="13">
        <v>1978</v>
      </c>
      <c r="AE89" s="13">
        <v>2007</v>
      </c>
      <c r="AF89" s="13">
        <v>1995</v>
      </c>
      <c r="AG89" s="13">
        <v>2010</v>
      </c>
      <c r="AH89" s="13">
        <v>2032</v>
      </c>
      <c r="AI89" s="13">
        <v>2030</v>
      </c>
      <c r="AJ89" s="13">
        <v>2072</v>
      </c>
      <c r="AK89" s="13">
        <v>2192</v>
      </c>
      <c r="AL89" s="13">
        <v>2040</v>
      </c>
      <c r="AM89" s="13">
        <v>1945</v>
      </c>
      <c r="AN89" s="13">
        <v>2001</v>
      </c>
      <c r="AO89" s="13">
        <v>2121</v>
      </c>
      <c r="AP89" s="13">
        <v>2197</v>
      </c>
      <c r="AQ89" s="13">
        <v>2225</v>
      </c>
      <c r="AR89" s="13">
        <v>2370</v>
      </c>
      <c r="AS89" s="13">
        <v>2197</v>
      </c>
      <c r="AT89" s="13">
        <v>2141</v>
      </c>
      <c r="AU89" s="13">
        <v>2131</v>
      </c>
      <c r="AV89" s="13">
        <v>2290</v>
      </c>
      <c r="AW89" s="13">
        <v>2316</v>
      </c>
      <c r="AX89" s="13">
        <v>2378</v>
      </c>
      <c r="AY89" s="13">
        <v>2385</v>
      </c>
      <c r="AZ89" s="13">
        <v>2376</v>
      </c>
      <c r="BA89" s="13">
        <v>2490</v>
      </c>
      <c r="BB89" s="13">
        <v>2561</v>
      </c>
      <c r="BC89" s="13">
        <v>2649</v>
      </c>
      <c r="BD89" s="13">
        <v>2583</v>
      </c>
      <c r="BE89" s="13">
        <v>2384</v>
      </c>
      <c r="BF89" s="13">
        <v>1984</v>
      </c>
      <c r="BG89" s="13">
        <v>2090</v>
      </c>
      <c r="BH89" s="13">
        <v>1935</v>
      </c>
      <c r="BI89" s="13">
        <v>1929</v>
      </c>
      <c r="BJ89" s="13">
        <v>1970</v>
      </c>
      <c r="BK89" s="13">
        <v>1973</v>
      </c>
      <c r="BL89" s="13">
        <v>1987</v>
      </c>
      <c r="BM89" s="4">
        <v>1950</v>
      </c>
      <c r="BN89" s="4">
        <v>1999</v>
      </c>
      <c r="BO89" s="4">
        <v>2041</v>
      </c>
      <c r="BP89" s="4">
        <v>2049</v>
      </c>
      <c r="BQ89" s="4">
        <v>2078</v>
      </c>
      <c r="BR89" s="4">
        <v>2191</v>
      </c>
      <c r="BS89" s="4">
        <v>2207</v>
      </c>
      <c r="BT89" s="4">
        <v>2224</v>
      </c>
      <c r="BU89" s="4">
        <v>2205</v>
      </c>
      <c r="BV89" s="4">
        <v>2206</v>
      </c>
      <c r="BW89" s="4">
        <v>2233</v>
      </c>
      <c r="BX89" s="4">
        <v>2311</v>
      </c>
      <c r="BY89" s="4">
        <v>2173</v>
      </c>
      <c r="BZ89" s="4">
        <v>2176</v>
      </c>
    </row>
    <row r="90" spans="1:78" ht="15.9" customHeight="1">
      <c r="A90" s="61" t="s">
        <v>175</v>
      </c>
      <c r="B90" s="6" t="s">
        <v>176</v>
      </c>
      <c r="C90" s="15">
        <f>_xll.RssMarket("6323","現在値")</f>
        <v>4485</v>
      </c>
      <c r="D90" s="16">
        <f t="shared" si="2"/>
        <v>193</v>
      </c>
      <c r="E90" s="13">
        <v>4292</v>
      </c>
      <c r="F90" s="13">
        <v>3975</v>
      </c>
      <c r="G90" s="13">
        <v>3989</v>
      </c>
      <c r="H90" s="13">
        <v>3406</v>
      </c>
      <c r="I90" s="13">
        <v>3450</v>
      </c>
      <c r="J90" s="13">
        <v>3828</v>
      </c>
      <c r="K90" s="13">
        <v>4512</v>
      </c>
      <c r="L90" s="13">
        <v>4395</v>
      </c>
      <c r="M90" s="13">
        <v>4628</v>
      </c>
      <c r="N90" s="13">
        <v>4496</v>
      </c>
      <c r="O90" s="13">
        <v>4343</v>
      </c>
      <c r="P90" s="13">
        <v>4403</v>
      </c>
      <c r="Q90" s="13">
        <v>4950</v>
      </c>
      <c r="R90" s="13">
        <v>4492</v>
      </c>
      <c r="S90" s="13">
        <v>4684</v>
      </c>
      <c r="T90" s="13">
        <v>4655</v>
      </c>
      <c r="U90" s="13">
        <v>4586</v>
      </c>
      <c r="V90" s="13">
        <v>4344</v>
      </c>
      <c r="W90" s="13">
        <v>4410</v>
      </c>
      <c r="X90" s="13">
        <v>4745</v>
      </c>
      <c r="Y90" s="13">
        <v>4940</v>
      </c>
      <c r="Z90" s="13">
        <v>4701</v>
      </c>
      <c r="AA90" s="13">
        <v>5080</v>
      </c>
      <c r="AB90" s="13">
        <v>4840</v>
      </c>
      <c r="AC90" s="13">
        <v>4515</v>
      </c>
      <c r="AD90" s="13">
        <v>4530</v>
      </c>
      <c r="AE90" s="13">
        <v>4836</v>
      </c>
      <c r="AF90" s="13">
        <v>4453</v>
      </c>
      <c r="AG90" s="13">
        <v>4580</v>
      </c>
      <c r="AH90" s="13">
        <v>5020</v>
      </c>
      <c r="AI90" s="13">
        <v>4864</v>
      </c>
      <c r="AJ90" s="13">
        <v>4830</v>
      </c>
      <c r="AK90" s="13">
        <v>4554</v>
      </c>
      <c r="AL90" s="13">
        <v>4410</v>
      </c>
      <c r="AM90" s="13">
        <v>4505</v>
      </c>
      <c r="AN90" s="13">
        <v>4168</v>
      </c>
      <c r="AO90" s="13">
        <v>3841</v>
      </c>
      <c r="AP90" s="13">
        <v>3867</v>
      </c>
      <c r="AQ90" s="13">
        <v>3942</v>
      </c>
      <c r="AR90" s="13">
        <v>4229</v>
      </c>
      <c r="AS90" s="13">
        <v>4424</v>
      </c>
      <c r="AT90" s="13">
        <v>4216</v>
      </c>
      <c r="AU90" s="13">
        <v>3835</v>
      </c>
      <c r="AV90" s="13">
        <v>3933</v>
      </c>
      <c r="AW90" s="13">
        <v>3894</v>
      </c>
      <c r="AX90" s="13">
        <v>3867</v>
      </c>
      <c r="AY90" s="13">
        <v>4000</v>
      </c>
      <c r="AZ90" s="13">
        <v>3887</v>
      </c>
      <c r="BA90" s="13">
        <v>3752</v>
      </c>
      <c r="BB90" s="13">
        <v>3487</v>
      </c>
      <c r="BC90" s="13">
        <v>3597</v>
      </c>
      <c r="BD90" s="13">
        <v>3672</v>
      </c>
      <c r="BE90" s="13">
        <v>3739</v>
      </c>
      <c r="BF90" s="13">
        <v>3997</v>
      </c>
      <c r="BG90" s="13">
        <v>3946</v>
      </c>
      <c r="BH90" s="13">
        <v>3995</v>
      </c>
      <c r="BI90" s="13">
        <v>4040</v>
      </c>
      <c r="BJ90" s="13">
        <v>3898</v>
      </c>
      <c r="BK90" s="13">
        <v>3950</v>
      </c>
      <c r="BL90" s="13">
        <v>3704</v>
      </c>
      <c r="BM90" s="4">
        <v>3670</v>
      </c>
      <c r="BN90" s="4">
        <v>3855</v>
      </c>
      <c r="BO90" s="4">
        <v>3996</v>
      </c>
      <c r="BP90" s="4">
        <v>3638</v>
      </c>
      <c r="BQ90" s="4">
        <v>3522</v>
      </c>
      <c r="BR90" s="4">
        <v>3566</v>
      </c>
      <c r="BS90" s="4">
        <v>3700</v>
      </c>
      <c r="BT90" s="4">
        <v>3624</v>
      </c>
      <c r="BU90" s="4">
        <v>3626</v>
      </c>
      <c r="BV90" s="4">
        <v>3819</v>
      </c>
      <c r="BW90" s="4">
        <v>3852</v>
      </c>
      <c r="BX90" s="4">
        <v>4035</v>
      </c>
      <c r="BY90" s="4">
        <v>4058</v>
      </c>
      <c r="BZ90" s="4">
        <v>3969</v>
      </c>
    </row>
    <row r="91" spans="1:78" ht="15.9" customHeight="1">
      <c r="A91" s="61" t="s">
        <v>177</v>
      </c>
      <c r="B91" s="6" t="s">
        <v>178</v>
      </c>
      <c r="C91" s="15">
        <f>_xll.RssMarket("6501","現在値")</f>
        <v>5472</v>
      </c>
      <c r="D91" s="16">
        <f t="shared" si="2"/>
        <v>60</v>
      </c>
      <c r="E91" s="13">
        <v>5412</v>
      </c>
      <c r="F91" s="13">
        <v>5301</v>
      </c>
      <c r="G91" s="13">
        <v>5267</v>
      </c>
      <c r="H91" s="13">
        <v>5255</v>
      </c>
      <c r="I91" s="13">
        <v>4957</v>
      </c>
      <c r="J91" s="13">
        <v>4890</v>
      </c>
      <c r="K91" s="13">
        <v>5023</v>
      </c>
      <c r="L91" s="13">
        <v>4850</v>
      </c>
      <c r="M91" s="13">
        <v>4854</v>
      </c>
      <c r="N91" s="13">
        <v>4807</v>
      </c>
      <c r="O91" s="13">
        <v>4792</v>
      </c>
      <c r="P91" s="13">
        <v>4717</v>
      </c>
      <c r="Q91" s="13">
        <v>4796</v>
      </c>
      <c r="R91" s="13">
        <v>4802</v>
      </c>
      <c r="S91" s="13">
        <v>4716</v>
      </c>
      <c r="T91" s="13">
        <v>4700</v>
      </c>
      <c r="U91" s="13">
        <v>4758</v>
      </c>
      <c r="V91" s="13">
        <v>4778</v>
      </c>
      <c r="W91" s="13">
        <v>4942</v>
      </c>
      <c r="X91" s="13">
        <v>4805</v>
      </c>
      <c r="Y91" s="13">
        <v>4615</v>
      </c>
      <c r="Z91" s="13">
        <v>4669</v>
      </c>
      <c r="AA91" s="13">
        <v>4496</v>
      </c>
      <c r="AB91" s="13">
        <v>4471</v>
      </c>
      <c r="AC91" s="13">
        <v>4486</v>
      </c>
      <c r="AD91" s="13">
        <v>4478</v>
      </c>
      <c r="AE91" s="13">
        <v>4554</v>
      </c>
      <c r="AF91" s="13">
        <v>4691</v>
      </c>
      <c r="AG91" s="13">
        <v>4750</v>
      </c>
      <c r="AH91" s="13">
        <v>4864</v>
      </c>
      <c r="AI91" s="13">
        <v>4764</v>
      </c>
      <c r="AJ91" s="13">
        <v>4800</v>
      </c>
      <c r="AK91" s="13">
        <v>4701</v>
      </c>
      <c r="AL91" s="13">
        <v>4747</v>
      </c>
      <c r="AM91" s="13">
        <v>4737</v>
      </c>
      <c r="AN91" s="13">
        <v>4657</v>
      </c>
      <c r="AO91" s="13">
        <v>4655</v>
      </c>
      <c r="AP91" s="13">
        <v>4784</v>
      </c>
      <c r="AQ91" s="13">
        <v>5031</v>
      </c>
      <c r="AR91" s="13">
        <v>5300</v>
      </c>
      <c r="AS91" s="13">
        <v>5183</v>
      </c>
      <c r="AT91" s="13">
        <v>5270</v>
      </c>
      <c r="AU91" s="13">
        <v>5083</v>
      </c>
      <c r="AV91" s="13">
        <v>5166</v>
      </c>
      <c r="AW91" s="13">
        <v>5174</v>
      </c>
      <c r="AX91" s="13">
        <v>4960</v>
      </c>
      <c r="AY91" s="13">
        <v>5054</v>
      </c>
      <c r="AZ91" s="13">
        <v>5002</v>
      </c>
      <c r="BA91" s="13">
        <v>5123</v>
      </c>
      <c r="BB91" s="13">
        <v>4908</v>
      </c>
      <c r="BC91" s="13">
        <v>4944</v>
      </c>
      <c r="BD91" s="13">
        <v>4808</v>
      </c>
      <c r="BE91" s="13">
        <v>4812</v>
      </c>
      <c r="BF91" s="13">
        <v>4671</v>
      </c>
      <c r="BG91" s="13">
        <v>4750</v>
      </c>
      <c r="BH91" s="13">
        <v>4868</v>
      </c>
      <c r="BI91" s="13">
        <v>4887</v>
      </c>
      <c r="BJ91" s="13">
        <v>4938</v>
      </c>
      <c r="BK91" s="13">
        <v>4850</v>
      </c>
      <c r="BL91" s="13">
        <v>4795</v>
      </c>
      <c r="BM91" s="4">
        <v>4882</v>
      </c>
      <c r="BN91" s="4">
        <v>5047</v>
      </c>
      <c r="BO91" s="4">
        <v>5356</v>
      </c>
      <c r="BP91" s="4">
        <v>5229</v>
      </c>
      <c r="BQ91" s="4">
        <v>5203</v>
      </c>
      <c r="BR91" s="4">
        <v>5034</v>
      </c>
      <c r="BS91" s="4">
        <v>5189</v>
      </c>
      <c r="BT91" s="4">
        <v>5153</v>
      </c>
      <c r="BU91" s="4">
        <v>5157</v>
      </c>
      <c r="BV91" s="4">
        <v>5220</v>
      </c>
      <c r="BW91" s="4">
        <v>5220</v>
      </c>
      <c r="BX91" s="4">
        <v>4957</v>
      </c>
      <c r="BY91" s="4">
        <v>4848</v>
      </c>
      <c r="BZ91" s="4">
        <v>4810</v>
      </c>
    </row>
    <row r="92" spans="1:78" ht="15.9" customHeight="1">
      <c r="A92" s="61" t="s">
        <v>179</v>
      </c>
      <c r="B92" s="6" t="s">
        <v>180</v>
      </c>
      <c r="C92" s="15">
        <f>_xll.RssMarket("6134","現在値")</f>
        <v>8426</v>
      </c>
      <c r="D92" s="16">
        <f t="shared" si="2"/>
        <v>283</v>
      </c>
      <c r="E92" s="13">
        <v>8143</v>
      </c>
      <c r="F92" s="13">
        <v>7445</v>
      </c>
      <c r="G92" s="13">
        <v>7330</v>
      </c>
      <c r="H92" s="13">
        <v>6497</v>
      </c>
      <c r="I92" s="13">
        <v>6537</v>
      </c>
      <c r="J92" s="13">
        <v>6806</v>
      </c>
      <c r="K92" s="13">
        <v>7545</v>
      </c>
      <c r="L92" s="13">
        <v>7428</v>
      </c>
      <c r="M92" s="13">
        <v>7611</v>
      </c>
      <c r="N92" s="13">
        <v>7453</v>
      </c>
      <c r="O92" s="13">
        <v>7430</v>
      </c>
      <c r="P92" s="13">
        <v>7275</v>
      </c>
      <c r="Q92" s="13">
        <v>8020</v>
      </c>
      <c r="R92" s="13">
        <v>7664</v>
      </c>
      <c r="S92" s="13">
        <v>7838</v>
      </c>
      <c r="T92" s="13">
        <v>8248</v>
      </c>
      <c r="U92" s="13">
        <v>7770</v>
      </c>
      <c r="V92" s="13">
        <v>7600</v>
      </c>
      <c r="W92" s="13">
        <v>7773</v>
      </c>
      <c r="X92" s="13">
        <v>8650</v>
      </c>
      <c r="Y92" s="13">
        <v>8748</v>
      </c>
      <c r="Z92" s="13">
        <v>8450</v>
      </c>
      <c r="AA92" s="13">
        <v>8932</v>
      </c>
      <c r="AB92" s="13">
        <v>8398</v>
      </c>
      <c r="AC92" s="13">
        <v>8001</v>
      </c>
      <c r="AD92" s="13">
        <v>7991</v>
      </c>
      <c r="AE92" s="13">
        <v>8463</v>
      </c>
      <c r="AF92" s="13">
        <v>8150</v>
      </c>
      <c r="AG92" s="13">
        <v>8142</v>
      </c>
      <c r="AH92" s="13">
        <v>8511</v>
      </c>
      <c r="AI92" s="13">
        <v>8379</v>
      </c>
      <c r="AJ92" s="13">
        <v>8287</v>
      </c>
      <c r="AK92" s="13">
        <v>8323</v>
      </c>
      <c r="AL92" s="13">
        <v>8239</v>
      </c>
      <c r="AM92" s="13">
        <v>8283</v>
      </c>
      <c r="AN92" s="13">
        <v>7671</v>
      </c>
      <c r="AO92" s="13">
        <v>7426</v>
      </c>
      <c r="AP92" s="13">
        <v>7355</v>
      </c>
      <c r="AQ92" s="13">
        <v>7162</v>
      </c>
      <c r="AR92" s="13">
        <v>7736</v>
      </c>
      <c r="AS92" s="13">
        <v>7788</v>
      </c>
      <c r="AT92" s="13">
        <v>7835</v>
      </c>
      <c r="AU92" s="13">
        <v>7932</v>
      </c>
      <c r="AV92" s="13">
        <v>7938</v>
      </c>
      <c r="AW92" s="13">
        <v>7881</v>
      </c>
      <c r="AX92" s="13">
        <v>7867</v>
      </c>
      <c r="AY92" s="13">
        <v>8323</v>
      </c>
      <c r="AZ92" s="13">
        <v>7918</v>
      </c>
      <c r="BA92" s="13">
        <v>7585</v>
      </c>
      <c r="BB92" s="13">
        <v>7220</v>
      </c>
      <c r="BC92" s="13">
        <v>7576</v>
      </c>
      <c r="BD92" s="13">
        <v>7735</v>
      </c>
      <c r="BE92" s="13">
        <v>7993</v>
      </c>
      <c r="BF92" s="13">
        <v>7201</v>
      </c>
      <c r="BG92" s="13">
        <v>6988</v>
      </c>
      <c r="BH92" s="13">
        <v>6913</v>
      </c>
      <c r="BI92" s="13">
        <v>6721</v>
      </c>
      <c r="BJ92" s="13">
        <v>6615</v>
      </c>
      <c r="BK92" s="13">
        <v>6272</v>
      </c>
      <c r="BL92" s="13">
        <v>6024</v>
      </c>
      <c r="BM92" s="4">
        <v>6068</v>
      </c>
      <c r="BN92" s="4">
        <v>6063</v>
      </c>
      <c r="BO92" s="4">
        <v>5963</v>
      </c>
      <c r="BP92" s="4">
        <v>5873</v>
      </c>
      <c r="BQ92" s="4">
        <v>5714</v>
      </c>
      <c r="BR92" s="4">
        <v>5950</v>
      </c>
      <c r="BS92" s="4">
        <v>5967</v>
      </c>
      <c r="BT92" s="4">
        <v>5740</v>
      </c>
      <c r="BU92" s="4">
        <v>5657</v>
      </c>
      <c r="BV92" s="4">
        <v>5867</v>
      </c>
      <c r="BW92" s="4">
        <v>5716</v>
      </c>
      <c r="BX92" s="4">
        <v>5810</v>
      </c>
      <c r="BY92" s="4">
        <v>5508</v>
      </c>
      <c r="BZ92" s="4">
        <v>5447</v>
      </c>
    </row>
    <row r="93" spans="1:78" ht="15.9" customHeight="1">
      <c r="A93" s="61" t="s">
        <v>181</v>
      </c>
      <c r="B93" s="6" t="s">
        <v>182</v>
      </c>
      <c r="C93" s="15">
        <f>_xll.RssMarket("7746","現在値")</f>
        <v>747</v>
      </c>
      <c r="D93" s="16">
        <f t="shared" si="2"/>
        <v>12</v>
      </c>
      <c r="E93" s="13">
        <v>735</v>
      </c>
      <c r="F93" s="13">
        <v>722</v>
      </c>
      <c r="G93" s="13">
        <v>718</v>
      </c>
      <c r="H93" s="13">
        <v>721</v>
      </c>
      <c r="I93" s="13">
        <v>720</v>
      </c>
      <c r="J93" s="13">
        <v>736</v>
      </c>
      <c r="K93" s="13">
        <v>770</v>
      </c>
      <c r="L93" s="13">
        <v>758</v>
      </c>
      <c r="M93" s="13">
        <v>767</v>
      </c>
      <c r="N93" s="13">
        <v>765</v>
      </c>
      <c r="O93" s="13">
        <v>771</v>
      </c>
      <c r="P93" s="13">
        <v>736</v>
      </c>
      <c r="Q93" s="13">
        <v>802</v>
      </c>
      <c r="R93" s="13">
        <v>796</v>
      </c>
      <c r="S93" s="13">
        <v>793</v>
      </c>
      <c r="T93" s="13">
        <v>777</v>
      </c>
      <c r="U93" s="13">
        <v>761</v>
      </c>
      <c r="V93" s="13">
        <v>785</v>
      </c>
      <c r="W93" s="13">
        <v>820</v>
      </c>
      <c r="X93" s="13">
        <v>849</v>
      </c>
      <c r="Y93" s="13">
        <v>854</v>
      </c>
      <c r="Z93" s="13">
        <v>878</v>
      </c>
      <c r="AA93" s="13">
        <v>876</v>
      </c>
      <c r="AB93" s="13">
        <v>935</v>
      </c>
      <c r="AC93" s="13">
        <v>949</v>
      </c>
      <c r="AD93" s="13">
        <v>850</v>
      </c>
      <c r="AE93" s="13">
        <v>764</v>
      </c>
      <c r="AF93" s="13">
        <v>760</v>
      </c>
      <c r="AG93" s="13">
        <v>768</v>
      </c>
      <c r="AH93" s="13">
        <v>802</v>
      </c>
      <c r="AI93" s="13">
        <v>796</v>
      </c>
      <c r="AJ93" s="13">
        <v>830</v>
      </c>
      <c r="AK93" s="13">
        <v>828</v>
      </c>
      <c r="AL93" s="13">
        <v>897</v>
      </c>
      <c r="AM93" s="13">
        <v>747</v>
      </c>
      <c r="AN93" s="13">
        <v>722</v>
      </c>
      <c r="AO93" s="13">
        <v>700</v>
      </c>
      <c r="AP93" s="13">
        <v>682</v>
      </c>
      <c r="AQ93" s="13">
        <v>726</v>
      </c>
      <c r="AR93" s="13">
        <v>778</v>
      </c>
      <c r="AS93" s="13">
        <v>755</v>
      </c>
      <c r="AT93" s="13">
        <v>784</v>
      </c>
      <c r="AU93" s="13">
        <v>773</v>
      </c>
      <c r="AV93" s="13">
        <v>845</v>
      </c>
      <c r="AW93" s="13">
        <v>843</v>
      </c>
      <c r="AX93" s="13">
        <v>850</v>
      </c>
      <c r="AY93" s="13">
        <v>893</v>
      </c>
      <c r="AZ93" s="13">
        <v>911</v>
      </c>
      <c r="BA93" s="13">
        <v>929</v>
      </c>
      <c r="BB93" s="13">
        <v>989</v>
      </c>
      <c r="BC93" s="13">
        <v>1054</v>
      </c>
      <c r="BD93" s="13">
        <v>904</v>
      </c>
      <c r="BE93" s="13">
        <v>754</v>
      </c>
      <c r="BF93" s="13">
        <v>779</v>
      </c>
      <c r="BG93" s="13">
        <v>795</v>
      </c>
      <c r="BH93" s="13">
        <v>765</v>
      </c>
      <c r="BI93" s="13">
        <v>820</v>
      </c>
      <c r="BJ93" s="13">
        <v>878</v>
      </c>
      <c r="BK93" s="13">
        <v>840</v>
      </c>
      <c r="BL93" s="13">
        <v>815</v>
      </c>
      <c r="BM93" s="4">
        <v>852</v>
      </c>
      <c r="BN93" s="4">
        <v>921</v>
      </c>
      <c r="BO93" s="4">
        <v>946</v>
      </c>
      <c r="BP93" s="4">
        <v>955</v>
      </c>
      <c r="BQ93" s="4">
        <v>976</v>
      </c>
      <c r="BR93" s="4">
        <v>999</v>
      </c>
      <c r="BS93" s="4">
        <v>998</v>
      </c>
      <c r="BT93" s="4">
        <v>1056</v>
      </c>
      <c r="BU93" s="4">
        <v>949</v>
      </c>
      <c r="BV93" s="4">
        <v>962</v>
      </c>
      <c r="BW93" s="4">
        <v>985</v>
      </c>
      <c r="BX93" s="4">
        <v>981</v>
      </c>
      <c r="BY93" s="4">
        <v>964</v>
      </c>
      <c r="BZ93" s="4">
        <v>1011</v>
      </c>
    </row>
    <row r="94" spans="1:78" ht="15.9" customHeight="1">
      <c r="A94" s="61" t="s">
        <v>183</v>
      </c>
      <c r="B94" s="6" t="s">
        <v>184</v>
      </c>
      <c r="C94" s="15">
        <f>_xll.RssMarket("3407","現在値")</f>
        <v>1629</v>
      </c>
      <c r="D94" s="16">
        <f t="shared" si="2"/>
        <v>49.5</v>
      </c>
      <c r="E94" s="13">
        <v>1579.5</v>
      </c>
      <c r="F94" s="13">
        <v>1647.5</v>
      </c>
      <c r="G94" s="13">
        <v>1722.5</v>
      </c>
      <c r="H94" s="13">
        <v>1810</v>
      </c>
      <c r="I94" s="13">
        <v>1830.5</v>
      </c>
      <c r="J94" s="13">
        <v>1817</v>
      </c>
      <c r="K94" s="13">
        <v>1872.5</v>
      </c>
      <c r="L94" s="13">
        <v>1845.5</v>
      </c>
      <c r="M94" s="13">
        <v>1866.5</v>
      </c>
      <c r="N94" s="13">
        <v>1857</v>
      </c>
      <c r="O94" s="13">
        <v>1862</v>
      </c>
      <c r="P94" s="13">
        <v>1829.5</v>
      </c>
      <c r="Q94" s="13">
        <v>1887.5</v>
      </c>
      <c r="R94" s="13">
        <v>1867</v>
      </c>
      <c r="S94" s="13">
        <v>1815.5</v>
      </c>
      <c r="T94" s="13">
        <v>1842</v>
      </c>
      <c r="U94" s="13">
        <v>1851</v>
      </c>
      <c r="V94" s="13">
        <v>1867</v>
      </c>
      <c r="W94" s="13">
        <v>1881.5</v>
      </c>
      <c r="X94" s="13">
        <v>1901</v>
      </c>
      <c r="Y94" s="13">
        <v>1849</v>
      </c>
      <c r="Z94" s="13">
        <v>1783.5</v>
      </c>
      <c r="AA94" s="13">
        <v>1782.5</v>
      </c>
      <c r="AB94" s="13">
        <v>1791</v>
      </c>
      <c r="AC94" s="13">
        <v>1803.5</v>
      </c>
      <c r="AD94" s="13">
        <v>1794</v>
      </c>
      <c r="AE94" s="13">
        <v>1794</v>
      </c>
      <c r="AF94" s="13">
        <v>1796</v>
      </c>
      <c r="AG94" s="13">
        <v>1793</v>
      </c>
      <c r="AH94" s="13">
        <v>1823.5</v>
      </c>
      <c r="AI94" s="13">
        <v>1792.5</v>
      </c>
      <c r="AJ94" s="13">
        <v>1784</v>
      </c>
      <c r="AK94" s="13">
        <v>1790</v>
      </c>
      <c r="AL94" s="13">
        <v>1761.5</v>
      </c>
      <c r="AM94" s="13">
        <v>1764.5</v>
      </c>
      <c r="AN94" s="13">
        <v>1788.5</v>
      </c>
      <c r="AO94" s="13">
        <v>1760</v>
      </c>
      <c r="AP94" s="13">
        <v>1756</v>
      </c>
      <c r="AQ94" s="13">
        <v>1746</v>
      </c>
      <c r="AR94" s="13">
        <v>1786.5</v>
      </c>
      <c r="AS94" s="13">
        <v>1786</v>
      </c>
      <c r="AT94" s="13">
        <v>1757.5</v>
      </c>
      <c r="AU94" s="13">
        <v>1742.5</v>
      </c>
      <c r="AV94" s="13">
        <v>1787</v>
      </c>
      <c r="AW94" s="13">
        <v>1755.5</v>
      </c>
      <c r="AX94" s="13">
        <v>1750</v>
      </c>
      <c r="AY94" s="13">
        <v>1770</v>
      </c>
      <c r="AZ94" s="13">
        <v>1726</v>
      </c>
      <c r="BA94" s="13">
        <v>1709</v>
      </c>
      <c r="BB94" s="13">
        <v>1673.5</v>
      </c>
      <c r="BC94" s="13">
        <v>1700</v>
      </c>
      <c r="BD94" s="13">
        <v>1690</v>
      </c>
      <c r="BE94" s="13">
        <v>1728</v>
      </c>
      <c r="BF94" s="13">
        <v>1729</v>
      </c>
      <c r="BG94" s="13">
        <v>1750</v>
      </c>
      <c r="BH94" s="13">
        <v>1654.5</v>
      </c>
      <c r="BI94" s="13">
        <v>1532.5</v>
      </c>
      <c r="BJ94" s="13">
        <v>1536.5</v>
      </c>
      <c r="BK94" s="13">
        <v>1545.5</v>
      </c>
      <c r="BL94" s="13">
        <v>1524.5</v>
      </c>
      <c r="BM94" s="4">
        <v>1535</v>
      </c>
      <c r="BN94" s="4">
        <v>1542</v>
      </c>
      <c r="BO94" s="4">
        <v>1519.5</v>
      </c>
      <c r="BP94" s="4">
        <v>1527</v>
      </c>
      <c r="BQ94" s="4">
        <v>1526.5</v>
      </c>
      <c r="BR94" s="4">
        <v>1533.5</v>
      </c>
      <c r="BS94" s="4">
        <v>1558.5</v>
      </c>
      <c r="BT94" s="4">
        <v>1559</v>
      </c>
      <c r="BU94" s="4">
        <v>1602</v>
      </c>
      <c r="BV94" s="4">
        <v>1612</v>
      </c>
      <c r="BW94" s="4">
        <v>1540.5</v>
      </c>
      <c r="BX94" s="4">
        <v>1573.5</v>
      </c>
      <c r="BY94" s="4">
        <v>1611</v>
      </c>
      <c r="BZ94" s="4">
        <v>1635.5</v>
      </c>
    </row>
    <row r="95" spans="1:78" ht="15.9" customHeight="1">
      <c r="A95" s="61" t="s">
        <v>185</v>
      </c>
      <c r="B95" s="6" t="s">
        <v>186</v>
      </c>
      <c r="C95" s="15">
        <f>_xll.RssMarket("4008","現在値")</f>
        <v>1262</v>
      </c>
      <c r="D95" s="16">
        <f t="shared" si="2"/>
        <v>24</v>
      </c>
      <c r="E95" s="13">
        <v>1238</v>
      </c>
      <c r="F95" s="13">
        <v>1218</v>
      </c>
      <c r="G95" s="13">
        <v>1223</v>
      </c>
      <c r="H95" s="13">
        <v>1225</v>
      </c>
      <c r="I95" s="13">
        <v>1225</v>
      </c>
      <c r="J95" s="13">
        <v>1230</v>
      </c>
      <c r="K95" s="13">
        <v>1283</v>
      </c>
      <c r="L95" s="13"/>
      <c r="M95" s="13">
        <v>1300</v>
      </c>
      <c r="N95" s="13">
        <v>1297</v>
      </c>
      <c r="O95" s="13">
        <v>1286</v>
      </c>
      <c r="P95" s="13">
        <v>1268</v>
      </c>
      <c r="Q95" s="13">
        <v>1314</v>
      </c>
      <c r="R95" s="13">
        <v>1283</v>
      </c>
      <c r="S95" s="13">
        <v>1261</v>
      </c>
      <c r="T95" s="13">
        <v>1266</v>
      </c>
      <c r="U95" s="13">
        <v>1275</v>
      </c>
      <c r="V95" s="13">
        <v>1287</v>
      </c>
      <c r="W95" s="13">
        <v>1307</v>
      </c>
      <c r="X95" s="13">
        <v>1351</v>
      </c>
      <c r="Y95" s="13">
        <v>1376</v>
      </c>
      <c r="Z95" s="13">
        <v>1305</v>
      </c>
      <c r="AA95" s="13">
        <v>1286</v>
      </c>
      <c r="AB95" s="13">
        <v>1272</v>
      </c>
      <c r="AC95" s="13">
        <v>1295</v>
      </c>
      <c r="AD95" s="13">
        <v>1289</v>
      </c>
      <c r="AE95" s="13">
        <v>1291</v>
      </c>
      <c r="AF95" s="13">
        <v>1267</v>
      </c>
      <c r="AG95" s="13">
        <v>1289</v>
      </c>
      <c r="AH95" s="13">
        <v>1330</v>
      </c>
      <c r="AI95" s="13">
        <v>1327</v>
      </c>
      <c r="AJ95" s="13">
        <v>1330</v>
      </c>
      <c r="AK95" s="13">
        <v>1318</v>
      </c>
      <c r="AL95" s="13">
        <v>1321</v>
      </c>
      <c r="AM95" s="13">
        <v>1329</v>
      </c>
      <c r="AN95" s="13">
        <v>1281</v>
      </c>
      <c r="AO95" s="13">
        <v>1256</v>
      </c>
      <c r="AP95" s="13">
        <v>1255</v>
      </c>
      <c r="AQ95" s="13">
        <v>1254</v>
      </c>
      <c r="AR95" s="13">
        <v>1289</v>
      </c>
      <c r="AS95" s="13">
        <v>1273</v>
      </c>
      <c r="AT95" s="13">
        <v>1312</v>
      </c>
      <c r="AU95" s="13">
        <v>1286</v>
      </c>
      <c r="AV95" s="13">
        <v>1332</v>
      </c>
      <c r="AW95" s="13">
        <v>1323</v>
      </c>
      <c r="AX95" s="13">
        <v>1319</v>
      </c>
      <c r="AY95" s="13">
        <v>1302</v>
      </c>
      <c r="AZ95" s="13">
        <v>1275</v>
      </c>
      <c r="BA95" s="13">
        <v>1231</v>
      </c>
      <c r="BB95" s="13">
        <v>1218</v>
      </c>
      <c r="BC95" s="13">
        <v>1234</v>
      </c>
      <c r="BD95" s="13">
        <v>1243</v>
      </c>
      <c r="BE95" s="13">
        <v>1260</v>
      </c>
      <c r="BF95" s="13">
        <v>1250</v>
      </c>
      <c r="BG95" s="13">
        <v>1247</v>
      </c>
      <c r="BH95" s="13">
        <v>1188</v>
      </c>
      <c r="BI95" s="13">
        <v>1212</v>
      </c>
      <c r="BJ95" s="13">
        <v>1209</v>
      </c>
      <c r="BK95" s="13">
        <v>1217</v>
      </c>
      <c r="BL95" s="13">
        <v>1186</v>
      </c>
      <c r="BM95" s="4">
        <v>1197</v>
      </c>
      <c r="BN95" s="4">
        <v>1207</v>
      </c>
      <c r="BO95" s="4">
        <v>1194</v>
      </c>
      <c r="BP95" s="4">
        <v>1197</v>
      </c>
      <c r="BQ95" s="4">
        <v>1196</v>
      </c>
      <c r="BR95" s="4">
        <v>1201</v>
      </c>
      <c r="BS95" s="4">
        <v>1239</v>
      </c>
      <c r="BT95" s="4">
        <v>1267</v>
      </c>
      <c r="BU95" s="4">
        <v>1268</v>
      </c>
      <c r="BV95" s="4">
        <v>1279</v>
      </c>
      <c r="BW95" s="4">
        <v>1280</v>
      </c>
      <c r="BX95" s="4">
        <v>1274</v>
      </c>
      <c r="BY95" s="4">
        <v>1257</v>
      </c>
      <c r="BZ95" s="4">
        <v>1253</v>
      </c>
    </row>
    <row r="96" spans="1:78" ht="15.9" customHeight="1">
      <c r="A96" s="61" t="s">
        <v>187</v>
      </c>
      <c r="B96" s="6" t="s">
        <v>188</v>
      </c>
      <c r="C96" s="15">
        <f>_xll.RssMarket("4062","現在値")</f>
        <v>20330</v>
      </c>
      <c r="D96" s="16">
        <f t="shared" si="2"/>
        <v>4000</v>
      </c>
      <c r="E96" s="13">
        <v>16330</v>
      </c>
      <c r="F96" s="13">
        <v>15535</v>
      </c>
      <c r="G96" s="13">
        <v>16650</v>
      </c>
      <c r="H96" s="13">
        <v>13650</v>
      </c>
      <c r="I96" s="13">
        <v>13470</v>
      </c>
      <c r="J96" s="13">
        <v>14855</v>
      </c>
      <c r="K96" s="13">
        <v>16700</v>
      </c>
      <c r="L96" s="13">
        <v>17370</v>
      </c>
      <c r="M96" s="13">
        <v>18075</v>
      </c>
      <c r="N96" s="13">
        <v>18250</v>
      </c>
      <c r="O96" s="13">
        <v>17415</v>
      </c>
      <c r="P96" s="13">
        <v>15685</v>
      </c>
      <c r="Q96" s="13">
        <v>19340</v>
      </c>
      <c r="R96" s="13">
        <v>17980</v>
      </c>
      <c r="S96" s="13">
        <v>18690</v>
      </c>
      <c r="T96" s="13">
        <v>20300</v>
      </c>
      <c r="U96" s="13">
        <v>19520</v>
      </c>
      <c r="V96" s="13">
        <v>19100</v>
      </c>
      <c r="W96" s="13">
        <v>19895</v>
      </c>
      <c r="X96" s="13">
        <v>21390</v>
      </c>
      <c r="Y96" s="13">
        <v>23345</v>
      </c>
      <c r="Z96" s="13">
        <v>23420</v>
      </c>
      <c r="AA96" s="13">
        <v>25785</v>
      </c>
      <c r="AB96" s="13">
        <v>23815</v>
      </c>
      <c r="AC96" s="13">
        <v>23700</v>
      </c>
      <c r="AD96" s="13">
        <v>24000</v>
      </c>
      <c r="AE96" s="13">
        <v>26370</v>
      </c>
      <c r="AF96" s="13">
        <v>24785</v>
      </c>
      <c r="AG96" s="13">
        <v>24385</v>
      </c>
      <c r="AH96" s="13">
        <v>26425</v>
      </c>
      <c r="AI96" s="13">
        <v>24560</v>
      </c>
      <c r="AJ96" s="13">
        <v>25715</v>
      </c>
      <c r="AK96" s="13">
        <v>24000</v>
      </c>
      <c r="AL96" s="13">
        <v>22445</v>
      </c>
      <c r="AM96" s="13">
        <v>22750</v>
      </c>
      <c r="AN96" s="13">
        <v>19105</v>
      </c>
      <c r="AO96" s="13">
        <v>18210</v>
      </c>
      <c r="AP96" s="13">
        <v>17400</v>
      </c>
      <c r="AQ96" s="13">
        <v>17060</v>
      </c>
      <c r="AR96" s="13">
        <v>18760</v>
      </c>
      <c r="AS96" s="13">
        <v>20155</v>
      </c>
      <c r="AT96" s="13">
        <v>21940</v>
      </c>
      <c r="AU96" s="13">
        <v>21135</v>
      </c>
      <c r="AV96" s="13">
        <v>23000</v>
      </c>
      <c r="AW96" s="13">
        <v>19740</v>
      </c>
      <c r="AX96" s="13">
        <v>20425</v>
      </c>
      <c r="AY96" s="13">
        <v>20930</v>
      </c>
      <c r="AZ96" s="13">
        <v>19250</v>
      </c>
      <c r="BA96" s="13">
        <v>17875</v>
      </c>
      <c r="BB96" s="13">
        <v>15640</v>
      </c>
      <c r="BC96" s="13">
        <v>15320</v>
      </c>
      <c r="BD96" s="13">
        <v>15635</v>
      </c>
      <c r="BE96" s="13">
        <v>15660</v>
      </c>
      <c r="BF96" s="13">
        <v>16960</v>
      </c>
      <c r="BG96" s="13">
        <v>17060</v>
      </c>
      <c r="BH96" s="13">
        <v>16550</v>
      </c>
      <c r="BI96" s="13">
        <v>15655</v>
      </c>
      <c r="BJ96" s="13">
        <v>15515</v>
      </c>
      <c r="BK96" s="13">
        <v>16375</v>
      </c>
      <c r="BL96" s="13">
        <v>13375</v>
      </c>
      <c r="BM96" s="4">
        <v>13480</v>
      </c>
      <c r="BN96" s="4">
        <v>12560</v>
      </c>
      <c r="BO96" s="4">
        <v>12670</v>
      </c>
      <c r="BP96" s="4">
        <v>12540</v>
      </c>
      <c r="BQ96" s="4">
        <v>11135</v>
      </c>
      <c r="BR96" s="4">
        <v>11200</v>
      </c>
      <c r="BS96" s="4">
        <v>10560</v>
      </c>
      <c r="BT96" s="4">
        <v>9575</v>
      </c>
      <c r="BU96" s="4">
        <v>9235</v>
      </c>
      <c r="BV96" s="4">
        <v>9572</v>
      </c>
      <c r="BW96" s="4">
        <v>9380</v>
      </c>
      <c r="BX96" s="4">
        <v>9915</v>
      </c>
      <c r="BY96" s="4">
        <v>9386</v>
      </c>
      <c r="BZ96" s="4">
        <v>9888</v>
      </c>
    </row>
    <row r="97" spans="1:78" ht="15.9" customHeight="1">
      <c r="A97" s="61" t="s">
        <v>189</v>
      </c>
      <c r="B97" s="6" t="s">
        <v>190</v>
      </c>
      <c r="C97" s="15">
        <f>_xll.RssMarket("4182","現在値")</f>
        <v>4700</v>
      </c>
      <c r="D97" s="16">
        <f t="shared" si="2"/>
        <v>378</v>
      </c>
      <c r="E97" s="13">
        <v>4322</v>
      </c>
      <c r="F97" s="13">
        <v>4207</v>
      </c>
      <c r="G97" s="13">
        <v>4201</v>
      </c>
      <c r="H97" s="13">
        <v>3866</v>
      </c>
      <c r="I97" s="13">
        <v>3820</v>
      </c>
      <c r="J97" s="13">
        <v>4003</v>
      </c>
      <c r="K97" s="13">
        <v>4363</v>
      </c>
      <c r="L97" s="13">
        <v>4383</v>
      </c>
      <c r="M97" s="13">
        <v>4571</v>
      </c>
      <c r="N97" s="13">
        <v>4533</v>
      </c>
      <c r="O97" s="13">
        <v>4453</v>
      </c>
      <c r="P97" s="13">
        <v>4331</v>
      </c>
      <c r="Q97" s="13">
        <v>4762</v>
      </c>
      <c r="R97" s="13">
        <v>4633</v>
      </c>
      <c r="S97" s="13">
        <v>4564</v>
      </c>
      <c r="T97" s="13">
        <v>4685</v>
      </c>
      <c r="U97" s="13">
        <v>4659</v>
      </c>
      <c r="V97" s="13">
        <v>4607</v>
      </c>
      <c r="W97" s="13">
        <v>4657</v>
      </c>
      <c r="X97" s="13">
        <v>4851</v>
      </c>
      <c r="Y97" s="13">
        <v>4973</v>
      </c>
      <c r="Z97" s="13">
        <v>4848</v>
      </c>
      <c r="AA97" s="13">
        <v>5158</v>
      </c>
      <c r="AB97" s="13">
        <v>5068</v>
      </c>
      <c r="AC97" s="13">
        <v>5146</v>
      </c>
      <c r="AD97" s="13">
        <v>5099</v>
      </c>
      <c r="AE97" s="13">
        <v>5273</v>
      </c>
      <c r="AF97" s="13">
        <v>5231</v>
      </c>
      <c r="AG97" s="13">
        <v>5344</v>
      </c>
      <c r="AH97" s="13">
        <v>5665</v>
      </c>
      <c r="AI97" s="13">
        <v>5424</v>
      </c>
      <c r="AJ97" s="13">
        <v>5358</v>
      </c>
      <c r="AK97" s="13">
        <v>5116</v>
      </c>
      <c r="AL97" s="13">
        <v>5090</v>
      </c>
      <c r="AM97" s="13">
        <v>5043</v>
      </c>
      <c r="AN97" s="13">
        <v>4903</v>
      </c>
      <c r="AO97" s="13">
        <v>4464</v>
      </c>
      <c r="AP97" s="13">
        <v>4426</v>
      </c>
      <c r="AQ97" s="13">
        <v>4675</v>
      </c>
      <c r="AR97" s="13">
        <v>5180</v>
      </c>
      <c r="AS97" s="13">
        <v>5277</v>
      </c>
      <c r="AT97" s="13">
        <v>5382</v>
      </c>
      <c r="AU97" s="13">
        <v>5250</v>
      </c>
      <c r="AV97" s="13">
        <v>5545</v>
      </c>
      <c r="AW97" s="13">
        <v>5391</v>
      </c>
      <c r="AX97" s="13">
        <v>5401</v>
      </c>
      <c r="AY97" s="13">
        <v>5243</v>
      </c>
      <c r="AZ97" s="13">
        <v>5060</v>
      </c>
      <c r="BA97" s="13">
        <v>4974</v>
      </c>
      <c r="BB97" s="13">
        <v>4613</v>
      </c>
      <c r="BC97" s="13">
        <v>4543</v>
      </c>
      <c r="BD97" s="13">
        <v>4620</v>
      </c>
      <c r="BE97" s="13">
        <v>4641</v>
      </c>
      <c r="BF97" s="13">
        <v>5002</v>
      </c>
      <c r="BG97" s="13">
        <v>4920</v>
      </c>
      <c r="BH97" s="13">
        <v>4855</v>
      </c>
      <c r="BI97" s="13">
        <v>4737</v>
      </c>
      <c r="BJ97" s="13">
        <v>4582</v>
      </c>
      <c r="BK97" s="13">
        <v>4704</v>
      </c>
      <c r="BL97" s="13">
        <v>4368</v>
      </c>
      <c r="BM97" s="4">
        <v>4400</v>
      </c>
      <c r="BN97" s="4">
        <v>4401</v>
      </c>
      <c r="BO97" s="4">
        <v>4364</v>
      </c>
      <c r="BP97" s="4">
        <v>4417</v>
      </c>
      <c r="BQ97" s="4">
        <v>4264</v>
      </c>
      <c r="BR97" s="4">
        <v>4329</v>
      </c>
      <c r="BS97" s="4">
        <v>4322</v>
      </c>
      <c r="BT97" s="4">
        <v>4233</v>
      </c>
      <c r="BU97" s="4">
        <v>4181</v>
      </c>
      <c r="BV97" s="4">
        <v>4214</v>
      </c>
      <c r="BW97" s="4">
        <v>4184</v>
      </c>
      <c r="BX97" s="4">
        <v>4217</v>
      </c>
      <c r="BY97" s="4">
        <v>4188</v>
      </c>
      <c r="BZ97" s="4">
        <v>4180</v>
      </c>
    </row>
    <row r="98" spans="1:78" ht="15.9" customHeight="1">
      <c r="A98" s="61" t="s">
        <v>191</v>
      </c>
      <c r="B98" s="6" t="s">
        <v>192</v>
      </c>
      <c r="C98" s="15">
        <f>_xll.RssMarket("4188","現在値")</f>
        <v>1158</v>
      </c>
      <c r="D98" s="16">
        <f t="shared" si="2"/>
        <v>40.5</v>
      </c>
      <c r="E98" s="13">
        <v>1117.5</v>
      </c>
      <c r="F98" s="13">
        <v>1135.5</v>
      </c>
      <c r="G98" s="13">
        <v>1188</v>
      </c>
      <c r="H98" s="13">
        <v>1137.5</v>
      </c>
      <c r="I98" s="13">
        <v>1155.5</v>
      </c>
      <c r="J98" s="13">
        <v>1165</v>
      </c>
      <c r="K98" s="13">
        <v>1225</v>
      </c>
      <c r="L98" s="13"/>
      <c r="M98" s="13">
        <v>1216</v>
      </c>
      <c r="N98" s="13">
        <v>1195.5</v>
      </c>
      <c r="O98" s="13">
        <v>1193</v>
      </c>
      <c r="P98" s="13">
        <v>1168</v>
      </c>
      <c r="Q98" s="13">
        <v>1222</v>
      </c>
      <c r="R98" s="13">
        <v>1203</v>
      </c>
      <c r="S98" s="13">
        <v>1161.5</v>
      </c>
      <c r="T98" s="13">
        <v>1161.5</v>
      </c>
      <c r="U98" s="13">
        <v>1167.5</v>
      </c>
      <c r="V98" s="13">
        <v>1176</v>
      </c>
      <c r="W98" s="13">
        <v>1193.5</v>
      </c>
      <c r="X98" s="13">
        <v>1207.5</v>
      </c>
      <c r="Y98" s="13">
        <v>1163</v>
      </c>
      <c r="Z98" s="13">
        <v>1129.5</v>
      </c>
      <c r="AA98" s="13">
        <v>1115</v>
      </c>
      <c r="AB98" s="13">
        <v>1128.5</v>
      </c>
      <c r="AC98" s="13">
        <v>1130</v>
      </c>
      <c r="AD98" s="13">
        <v>1094.5</v>
      </c>
      <c r="AE98" s="13">
        <v>1095</v>
      </c>
      <c r="AF98" s="13">
        <v>1086</v>
      </c>
      <c r="AG98" s="13">
        <v>1087</v>
      </c>
      <c r="AH98" s="13">
        <v>1099.5</v>
      </c>
      <c r="AI98" s="13">
        <v>1092.5</v>
      </c>
      <c r="AJ98" s="13">
        <v>1122.5</v>
      </c>
      <c r="AK98" s="13">
        <v>1140</v>
      </c>
      <c r="AL98" s="13">
        <v>1104.5</v>
      </c>
      <c r="AM98" s="13">
        <v>1128.5</v>
      </c>
      <c r="AN98" s="13">
        <v>1080.5</v>
      </c>
      <c r="AO98" s="13">
        <v>1036</v>
      </c>
      <c r="AP98" s="13">
        <v>1019.5</v>
      </c>
      <c r="AQ98" s="13">
        <v>1033.5</v>
      </c>
      <c r="AR98" s="13">
        <v>1063</v>
      </c>
      <c r="AS98" s="13">
        <v>1095</v>
      </c>
      <c r="AT98" s="13">
        <v>1099</v>
      </c>
      <c r="AU98" s="13">
        <v>1084</v>
      </c>
      <c r="AV98" s="13">
        <v>1147</v>
      </c>
      <c r="AW98" s="13">
        <v>1116.5</v>
      </c>
      <c r="AX98" s="13">
        <v>1115.5</v>
      </c>
      <c r="AY98" s="13">
        <v>1089.5</v>
      </c>
      <c r="AZ98" s="13">
        <v>1027.5</v>
      </c>
      <c r="BA98" s="13">
        <v>1003.5</v>
      </c>
      <c r="BB98" s="13">
        <v>1001</v>
      </c>
      <c r="BC98" s="13">
        <v>1030.5</v>
      </c>
      <c r="BD98" s="13">
        <v>1007.5</v>
      </c>
      <c r="BE98" s="13">
        <v>1016.5</v>
      </c>
      <c r="BF98" s="13">
        <v>1054</v>
      </c>
      <c r="BG98" s="13">
        <v>1007</v>
      </c>
      <c r="BH98" s="13">
        <v>928.3</v>
      </c>
      <c r="BI98" s="13">
        <v>927.3</v>
      </c>
      <c r="BJ98" s="13">
        <v>922.4</v>
      </c>
      <c r="BK98" s="13">
        <v>933.6</v>
      </c>
      <c r="BL98" s="13">
        <v>898</v>
      </c>
      <c r="BM98" s="4">
        <v>911.7</v>
      </c>
      <c r="BN98" s="4">
        <v>918.3</v>
      </c>
      <c r="BO98" s="4">
        <v>909.8</v>
      </c>
      <c r="BP98" s="4">
        <v>911.4</v>
      </c>
      <c r="BQ98" s="4">
        <v>916.7</v>
      </c>
      <c r="BR98" s="4">
        <v>941.4</v>
      </c>
      <c r="BS98" s="4">
        <v>969.3</v>
      </c>
      <c r="BT98" s="4">
        <v>962.1</v>
      </c>
      <c r="BU98" s="4">
        <v>988.9</v>
      </c>
      <c r="BV98" s="4">
        <v>997.7</v>
      </c>
      <c r="BW98" s="4">
        <v>996.2</v>
      </c>
      <c r="BX98" s="4">
        <v>968.1</v>
      </c>
      <c r="BY98" s="4">
        <v>976.8</v>
      </c>
      <c r="BZ98" s="4">
        <v>984.1</v>
      </c>
    </row>
    <row r="99" spans="1:78" ht="15.9" customHeight="1">
      <c r="A99" s="61" t="s">
        <v>193</v>
      </c>
      <c r="B99" s="6" t="s">
        <v>194</v>
      </c>
      <c r="C99" s="15">
        <f>_xll.RssMarket("4523","現在値")</f>
        <v>4507</v>
      </c>
      <c r="D99" s="16">
        <f t="shared" si="2"/>
        <v>-116</v>
      </c>
      <c r="E99" s="13">
        <v>4623</v>
      </c>
      <c r="F99" s="13">
        <v>4656</v>
      </c>
      <c r="G99" s="13">
        <v>4828</v>
      </c>
      <c r="H99" s="13">
        <v>5031</v>
      </c>
      <c r="I99" s="13">
        <v>5110</v>
      </c>
      <c r="J99" s="13">
        <v>4791</v>
      </c>
      <c r="K99" s="13">
        <v>4753</v>
      </c>
      <c r="L99" s="13">
        <v>4656</v>
      </c>
      <c r="M99" s="13">
        <v>4582</v>
      </c>
      <c r="N99" s="13">
        <v>4550</v>
      </c>
      <c r="O99" s="13">
        <v>4482</v>
      </c>
      <c r="P99" s="13">
        <v>4450</v>
      </c>
      <c r="Q99" s="13">
        <v>4256</v>
      </c>
      <c r="R99" s="13">
        <v>4376</v>
      </c>
      <c r="S99" s="13">
        <v>4243</v>
      </c>
      <c r="T99" s="13">
        <v>4296</v>
      </c>
      <c r="U99" s="13">
        <v>4286</v>
      </c>
      <c r="V99" s="13">
        <v>4318</v>
      </c>
      <c r="W99" s="13">
        <v>4305</v>
      </c>
      <c r="X99" s="13">
        <v>4340</v>
      </c>
      <c r="Y99" s="13">
        <v>4255</v>
      </c>
      <c r="Z99" s="13">
        <v>4188</v>
      </c>
      <c r="AA99" s="13">
        <v>4109</v>
      </c>
      <c r="AB99" s="13">
        <v>4119</v>
      </c>
      <c r="AC99" s="13">
        <v>4145</v>
      </c>
      <c r="AD99" s="13">
        <v>3991</v>
      </c>
      <c r="AE99" s="13">
        <v>3949</v>
      </c>
      <c r="AF99" s="13">
        <v>3890</v>
      </c>
      <c r="AG99" s="13">
        <v>3894</v>
      </c>
      <c r="AH99" s="13">
        <v>3901</v>
      </c>
      <c r="AI99" s="13">
        <v>3902</v>
      </c>
      <c r="AJ99" s="13">
        <v>3969</v>
      </c>
      <c r="AK99" s="13">
        <v>3829</v>
      </c>
      <c r="AL99" s="13">
        <v>3750</v>
      </c>
      <c r="AM99" s="13">
        <v>3821</v>
      </c>
      <c r="AN99" s="13">
        <v>3780</v>
      </c>
      <c r="AO99" s="13">
        <v>3723</v>
      </c>
      <c r="AP99" s="13">
        <v>3740</v>
      </c>
      <c r="AQ99" s="13">
        <v>3806</v>
      </c>
      <c r="AR99" s="13">
        <v>3775</v>
      </c>
      <c r="AS99" s="13">
        <v>3815</v>
      </c>
      <c r="AT99" s="13">
        <v>3759</v>
      </c>
      <c r="AU99" s="13">
        <v>3818</v>
      </c>
      <c r="AV99" s="13">
        <v>3984</v>
      </c>
      <c r="AW99" s="13">
        <v>3901</v>
      </c>
      <c r="AX99" s="13">
        <v>4043</v>
      </c>
      <c r="AY99" s="13">
        <v>4143</v>
      </c>
      <c r="AZ99" s="13">
        <v>4157</v>
      </c>
      <c r="BA99" s="13">
        <v>4243</v>
      </c>
      <c r="BB99" s="13">
        <v>4245</v>
      </c>
      <c r="BC99" s="13">
        <v>4466</v>
      </c>
      <c r="BD99" s="13">
        <v>4429</v>
      </c>
      <c r="BE99" s="13">
        <v>4723</v>
      </c>
      <c r="BF99" s="13">
        <v>4721</v>
      </c>
      <c r="BG99" s="13">
        <v>4717</v>
      </c>
      <c r="BH99" s="13">
        <v>4649</v>
      </c>
      <c r="BI99" s="13">
        <v>4646</v>
      </c>
      <c r="BJ99" s="13">
        <v>4677</v>
      </c>
      <c r="BK99" s="13">
        <v>4700</v>
      </c>
      <c r="BL99" s="13">
        <v>4688</v>
      </c>
      <c r="BM99" s="4">
        <v>4687</v>
      </c>
      <c r="BN99" s="4">
        <v>4605</v>
      </c>
      <c r="BO99" s="4">
        <v>4570</v>
      </c>
      <c r="BP99" s="4">
        <v>4735</v>
      </c>
      <c r="BQ99" s="4">
        <v>4737</v>
      </c>
      <c r="BR99" s="4">
        <v>4846</v>
      </c>
      <c r="BS99" s="4">
        <v>4858</v>
      </c>
      <c r="BT99" s="4">
        <v>4910</v>
      </c>
      <c r="BU99" s="4">
        <v>4891</v>
      </c>
      <c r="BV99" s="4">
        <v>5020</v>
      </c>
      <c r="BW99" s="4">
        <v>5030</v>
      </c>
      <c r="BX99" s="4">
        <v>4850</v>
      </c>
      <c r="BY99" s="4">
        <v>4946</v>
      </c>
      <c r="BZ99" s="4">
        <v>5025</v>
      </c>
    </row>
    <row r="100" spans="1:78" ht="15.9" customHeight="1">
      <c r="A100" s="61" t="s">
        <v>195</v>
      </c>
      <c r="B100" s="6" t="s">
        <v>196</v>
      </c>
      <c r="C100" s="15">
        <f>_xll.RssMarket("4528","現在値")</f>
        <v>2305</v>
      </c>
      <c r="D100" s="16">
        <f t="shared" si="2"/>
        <v>-2</v>
      </c>
      <c r="E100" s="13">
        <v>2307</v>
      </c>
      <c r="F100" s="13">
        <v>2337.5</v>
      </c>
      <c r="G100" s="13">
        <v>2384</v>
      </c>
      <c r="H100" s="13">
        <v>2457.5</v>
      </c>
      <c r="I100" s="13">
        <v>2491.5</v>
      </c>
      <c r="J100" s="13">
        <v>2417</v>
      </c>
      <c r="K100" s="13">
        <v>2439.5</v>
      </c>
      <c r="L100" s="13"/>
      <c r="M100" s="13">
        <v>2398.5</v>
      </c>
      <c r="N100" s="13">
        <v>2405</v>
      </c>
      <c r="O100" s="13">
        <v>2397</v>
      </c>
      <c r="P100" s="13">
        <v>2425.5</v>
      </c>
      <c r="Q100" s="13">
        <v>2388.5</v>
      </c>
      <c r="R100" s="13">
        <v>2432.5</v>
      </c>
      <c r="S100" s="13">
        <v>2400.5</v>
      </c>
      <c r="T100" s="13">
        <v>2428</v>
      </c>
      <c r="U100" s="13">
        <v>2449</v>
      </c>
      <c r="V100" s="13">
        <v>2489</v>
      </c>
      <c r="W100" s="13">
        <v>2458.5</v>
      </c>
      <c r="X100" s="13">
        <v>2448.5</v>
      </c>
      <c r="Y100" s="13">
        <v>2419</v>
      </c>
      <c r="Z100" s="13">
        <v>2402</v>
      </c>
      <c r="AA100" s="13">
        <v>2368</v>
      </c>
      <c r="AB100" s="13">
        <v>2388</v>
      </c>
      <c r="AC100" s="13">
        <v>2410</v>
      </c>
      <c r="AD100" s="13">
        <v>2377.5</v>
      </c>
      <c r="AE100" s="13">
        <v>2340.5</v>
      </c>
      <c r="AF100" s="13">
        <v>2350</v>
      </c>
      <c r="AG100" s="13">
        <v>2329</v>
      </c>
      <c r="AH100" s="13">
        <v>2345.5</v>
      </c>
      <c r="AI100" s="13">
        <v>2249</v>
      </c>
      <c r="AJ100" s="13">
        <v>2277</v>
      </c>
      <c r="AK100" s="13">
        <v>2249.5</v>
      </c>
      <c r="AL100" s="13">
        <v>2259</v>
      </c>
      <c r="AM100" s="13">
        <v>2265</v>
      </c>
      <c r="AN100" s="13">
        <v>2212.5</v>
      </c>
      <c r="AO100" s="13">
        <v>2237.5</v>
      </c>
      <c r="AP100" s="13">
        <v>2224</v>
      </c>
      <c r="AQ100" s="13">
        <v>2248</v>
      </c>
      <c r="AR100" s="13">
        <v>2225</v>
      </c>
      <c r="AS100" s="13">
        <v>2195.5</v>
      </c>
      <c r="AT100" s="13">
        <v>2158</v>
      </c>
      <c r="AU100" s="13">
        <v>2216.5</v>
      </c>
      <c r="AV100" s="13">
        <v>2392.5</v>
      </c>
      <c r="AW100" s="13">
        <v>2399.5</v>
      </c>
      <c r="AX100" s="13">
        <v>2367</v>
      </c>
      <c r="AY100" s="13">
        <v>2438</v>
      </c>
      <c r="AZ100" s="13">
        <v>2482.5</v>
      </c>
      <c r="BA100" s="13">
        <v>2446</v>
      </c>
      <c r="BB100" s="13">
        <v>2426.5</v>
      </c>
      <c r="BC100" s="13">
        <v>2425</v>
      </c>
      <c r="BD100" s="13">
        <v>2441.5</v>
      </c>
      <c r="BE100" s="13">
        <v>2533.5</v>
      </c>
      <c r="BF100" s="13">
        <v>2573.5</v>
      </c>
      <c r="BG100" s="13">
        <v>2553</v>
      </c>
      <c r="BH100" s="13">
        <v>2479</v>
      </c>
      <c r="BI100" s="13">
        <v>2462</v>
      </c>
      <c r="BJ100" s="13">
        <v>2480.5</v>
      </c>
      <c r="BK100" s="13">
        <v>2360.5</v>
      </c>
      <c r="BL100" s="13">
        <v>2315.5</v>
      </c>
      <c r="BM100" s="4">
        <v>2306</v>
      </c>
      <c r="BN100" s="4">
        <v>2312.5</v>
      </c>
      <c r="BO100" s="4">
        <v>2304.5</v>
      </c>
      <c r="BP100" s="4">
        <v>2350</v>
      </c>
      <c r="BQ100" s="4">
        <v>2316</v>
      </c>
      <c r="BR100" s="4">
        <v>2321.5</v>
      </c>
      <c r="BS100" s="4">
        <v>2356.5</v>
      </c>
      <c r="BT100" s="4">
        <v>2429.5</v>
      </c>
      <c r="BU100" s="4">
        <v>2406.5</v>
      </c>
      <c r="BV100" s="4">
        <v>2492</v>
      </c>
      <c r="BW100" s="4">
        <v>2452</v>
      </c>
      <c r="BX100" s="4">
        <v>2476.5</v>
      </c>
      <c r="BY100" s="4">
        <v>2492</v>
      </c>
      <c r="BZ100" s="4">
        <v>2509.5</v>
      </c>
    </row>
    <row r="101" spans="1:78" ht="15.9" customHeight="1">
      <c r="A101" s="61" t="s">
        <v>197</v>
      </c>
      <c r="B101" s="6" t="s">
        <v>198</v>
      </c>
      <c r="C101" s="15">
        <f>_xll.RssMarket("4661","現在値")</f>
        <v>2865</v>
      </c>
      <c r="D101" s="16">
        <f t="shared" si="2"/>
        <v>-80</v>
      </c>
      <c r="E101" s="13">
        <v>2945</v>
      </c>
      <c r="F101" s="13">
        <v>3087</v>
      </c>
      <c r="G101" s="13">
        <v>3167</v>
      </c>
      <c r="H101" s="13">
        <v>2920</v>
      </c>
      <c r="I101" s="13">
        <v>3030</v>
      </c>
      <c r="J101" s="13">
        <v>2904</v>
      </c>
      <c r="K101" s="13">
        <v>2831.5</v>
      </c>
      <c r="L101" s="13"/>
      <c r="M101" s="13">
        <v>2630</v>
      </c>
      <c r="N101" s="13">
        <v>2673.5</v>
      </c>
      <c r="O101" s="13">
        <v>2735</v>
      </c>
      <c r="P101" s="13">
        <v>2729.5</v>
      </c>
      <c r="Q101" s="13">
        <v>2622</v>
      </c>
      <c r="R101" s="13">
        <v>2745</v>
      </c>
      <c r="S101" s="13">
        <v>2650</v>
      </c>
      <c r="T101" s="13">
        <v>2615</v>
      </c>
      <c r="U101" s="13">
        <v>2603</v>
      </c>
      <c r="V101" s="13">
        <v>2602</v>
      </c>
      <c r="W101" s="13">
        <v>2584.5</v>
      </c>
      <c r="X101" s="13">
        <v>2561.5</v>
      </c>
      <c r="Y101" s="13">
        <v>2543.5</v>
      </c>
      <c r="Z101" s="13">
        <v>2505</v>
      </c>
      <c r="AA101" s="13">
        <v>2412</v>
      </c>
      <c r="AB101" s="13">
        <v>2490</v>
      </c>
      <c r="AC101" s="13">
        <v>2498.5</v>
      </c>
      <c r="AD101" s="13">
        <v>2398.5</v>
      </c>
      <c r="AE101" s="13">
        <v>2393</v>
      </c>
      <c r="AF101" s="13">
        <v>2374</v>
      </c>
      <c r="AG101" s="13">
        <v>2363</v>
      </c>
      <c r="AH101" s="13">
        <v>2322.5</v>
      </c>
      <c r="AI101" s="13">
        <v>2336.5</v>
      </c>
      <c r="AJ101" s="13">
        <v>2300</v>
      </c>
      <c r="AK101" s="13">
        <v>2291</v>
      </c>
      <c r="AL101" s="13">
        <v>2276</v>
      </c>
      <c r="AM101" s="13">
        <v>2263</v>
      </c>
      <c r="AN101" s="13">
        <v>2264.5</v>
      </c>
      <c r="AO101" s="13">
        <v>2305.5</v>
      </c>
      <c r="AP101" s="13">
        <v>2292.5</v>
      </c>
      <c r="AQ101" s="13">
        <v>2220</v>
      </c>
      <c r="AR101" s="13">
        <v>2180.5</v>
      </c>
      <c r="AS101" s="13">
        <v>2184</v>
      </c>
      <c r="AT101" s="13">
        <v>2215</v>
      </c>
      <c r="AU101" s="13">
        <v>2189</v>
      </c>
      <c r="AV101" s="13">
        <v>2295.5</v>
      </c>
      <c r="AW101" s="13">
        <v>2250</v>
      </c>
      <c r="AX101" s="13">
        <v>2199</v>
      </c>
      <c r="AY101" s="13">
        <v>2125.5</v>
      </c>
      <c r="AZ101" s="13">
        <v>2140</v>
      </c>
      <c r="BA101" s="13">
        <v>2141.5</v>
      </c>
      <c r="BB101" s="13">
        <v>2230.5</v>
      </c>
      <c r="BC101" s="13">
        <v>2218.5</v>
      </c>
      <c r="BD101" s="13">
        <v>2136.5</v>
      </c>
      <c r="BE101" s="13">
        <v>2161</v>
      </c>
      <c r="BF101" s="13">
        <v>2149</v>
      </c>
      <c r="BG101" s="13">
        <v>2170</v>
      </c>
      <c r="BH101" s="13">
        <v>2182.5</v>
      </c>
      <c r="BI101" s="13">
        <v>2202.5</v>
      </c>
      <c r="BJ101" s="13">
        <v>2241.5</v>
      </c>
      <c r="BK101" s="13">
        <v>2218</v>
      </c>
      <c r="BL101" s="13">
        <v>2223</v>
      </c>
      <c r="BM101" s="4">
        <v>2188.5</v>
      </c>
      <c r="BN101" s="4">
        <v>2434.5</v>
      </c>
      <c r="BO101" s="4">
        <v>2387.5</v>
      </c>
      <c r="BP101" s="4">
        <v>2400</v>
      </c>
      <c r="BQ101" s="4">
        <v>2482</v>
      </c>
      <c r="BR101" s="4">
        <v>2587.5</v>
      </c>
      <c r="BS101" s="4">
        <v>2613</v>
      </c>
      <c r="BT101" s="4">
        <v>2643.5</v>
      </c>
      <c r="BU101" s="4">
        <v>2635</v>
      </c>
      <c r="BV101" s="4">
        <v>2640.5</v>
      </c>
      <c r="BW101" s="4">
        <v>2636.5</v>
      </c>
      <c r="BX101" s="4">
        <v>2548</v>
      </c>
      <c r="BY101" s="4">
        <v>2601</v>
      </c>
      <c r="BZ101" s="4">
        <v>2607.5</v>
      </c>
    </row>
    <row r="102" spans="1:78" ht="15.9" customHeight="1">
      <c r="A102" s="61" t="s">
        <v>199</v>
      </c>
      <c r="B102" s="6" t="s">
        <v>200</v>
      </c>
      <c r="C102" s="15">
        <f>_xll.RssMarket("5802","現在値")</f>
        <v>2359.5</v>
      </c>
      <c r="D102" s="16">
        <f t="shared" ref="D102:D133" si="3">C102-E102</f>
        <v>2359.5</v>
      </c>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78" ht="15.9" customHeight="1">
      <c r="A103" s="61" t="s">
        <v>201</v>
      </c>
      <c r="B103" s="6" t="s">
        <v>202</v>
      </c>
      <c r="C103" s="15">
        <f>_xll.RssMarket("5803","現在値")</f>
        <v>5076</v>
      </c>
      <c r="D103" s="16">
        <f t="shared" si="3"/>
        <v>448</v>
      </c>
      <c r="E103" s="13">
        <v>4628</v>
      </c>
      <c r="F103" s="13">
        <v>4290</v>
      </c>
      <c r="G103" s="13">
        <v>4172</v>
      </c>
      <c r="H103" s="13">
        <v>3720</v>
      </c>
      <c r="I103" s="13">
        <v>3760</v>
      </c>
      <c r="J103" s="13">
        <v>4073</v>
      </c>
      <c r="K103" s="13">
        <v>4325</v>
      </c>
      <c r="L103" s="13">
        <v>4593</v>
      </c>
      <c r="M103" s="13">
        <v>4727</v>
      </c>
      <c r="N103" s="13">
        <v>4751</v>
      </c>
      <c r="O103" s="13">
        <v>4672</v>
      </c>
      <c r="P103" s="13">
        <v>4472</v>
      </c>
      <c r="Q103" s="13">
        <v>5145</v>
      </c>
      <c r="R103" s="13">
        <v>4800</v>
      </c>
      <c r="S103" s="13">
        <v>5007</v>
      </c>
      <c r="T103" s="13">
        <v>5150</v>
      </c>
      <c r="U103" s="13">
        <v>4938</v>
      </c>
      <c r="V103" s="13">
        <v>4824</v>
      </c>
      <c r="W103" s="13">
        <v>5072</v>
      </c>
      <c r="X103" s="13">
        <v>5354</v>
      </c>
      <c r="Y103" s="13">
        <v>5358</v>
      </c>
      <c r="Z103" s="13">
        <v>5368</v>
      </c>
      <c r="AA103" s="13">
        <v>5826</v>
      </c>
      <c r="AB103" s="13">
        <v>6238</v>
      </c>
      <c r="AC103" s="13">
        <v>5885</v>
      </c>
      <c r="AD103" s="13">
        <v>6131</v>
      </c>
      <c r="AE103" s="13">
        <v>6436</v>
      </c>
      <c r="AF103" s="13">
        <v>6313</v>
      </c>
      <c r="AG103" s="13">
        <v>6487</v>
      </c>
      <c r="AH103" s="13">
        <v>6161</v>
      </c>
      <c r="AI103" s="13">
        <v>5161</v>
      </c>
      <c r="AJ103" s="13">
        <v>4461</v>
      </c>
      <c r="AK103" s="13">
        <v>4729</v>
      </c>
      <c r="AL103" s="13">
        <v>4738</v>
      </c>
      <c r="AM103" s="13">
        <v>4346</v>
      </c>
      <c r="AN103" s="13">
        <v>4256</v>
      </c>
      <c r="AO103" s="13">
        <v>4142</v>
      </c>
      <c r="AP103" s="13">
        <v>4194</v>
      </c>
      <c r="AQ103" s="13">
        <v>4401</v>
      </c>
      <c r="AR103" s="13">
        <v>4747</v>
      </c>
      <c r="AS103" s="13">
        <v>4805</v>
      </c>
      <c r="AT103" s="13">
        <v>5001</v>
      </c>
      <c r="AU103" s="13">
        <v>4574</v>
      </c>
      <c r="AV103" s="13">
        <v>4771</v>
      </c>
      <c r="AW103" s="13">
        <v>5017</v>
      </c>
      <c r="AX103" s="13">
        <v>5140</v>
      </c>
      <c r="AY103" s="13">
        <v>5550</v>
      </c>
      <c r="AZ103" s="13">
        <v>4850</v>
      </c>
      <c r="BA103" s="13">
        <v>4501</v>
      </c>
      <c r="BB103" s="13">
        <v>4295</v>
      </c>
      <c r="BC103" s="13">
        <v>4695</v>
      </c>
      <c r="BD103" s="13">
        <v>5653</v>
      </c>
      <c r="BE103" s="13">
        <v>5819</v>
      </c>
      <c r="BF103" s="13">
        <v>6355</v>
      </c>
      <c r="BG103" s="13">
        <v>7855</v>
      </c>
      <c r="BH103" s="13">
        <v>7624</v>
      </c>
      <c r="BI103" s="13">
        <v>6832</v>
      </c>
      <c r="BJ103" s="13">
        <v>6582</v>
      </c>
      <c r="BK103" s="13">
        <v>6498</v>
      </c>
      <c r="BL103" s="13">
        <v>5808</v>
      </c>
      <c r="BM103" s="4">
        <v>5971</v>
      </c>
      <c r="BN103" s="4">
        <v>6281</v>
      </c>
      <c r="BO103" s="4">
        <v>6347</v>
      </c>
      <c r="BP103" s="4">
        <v>6037</v>
      </c>
      <c r="BQ103" s="4">
        <v>5893</v>
      </c>
      <c r="BR103" s="4">
        <v>5985</v>
      </c>
      <c r="BS103" s="4">
        <v>5889</v>
      </c>
      <c r="BT103" s="4">
        <v>5529</v>
      </c>
      <c r="BU103" s="4">
        <v>5762</v>
      </c>
      <c r="BV103" s="4">
        <v>5951</v>
      </c>
      <c r="BW103" s="4">
        <v>5683</v>
      </c>
      <c r="BX103" s="4">
        <v>5935</v>
      </c>
      <c r="BY103" s="4">
        <v>5698</v>
      </c>
      <c r="BZ103" s="4">
        <v>5630</v>
      </c>
    </row>
    <row r="104" spans="1:78" ht="15.9" customHeight="1">
      <c r="A104" s="61" t="s">
        <v>203</v>
      </c>
      <c r="B104" s="6" t="s">
        <v>204</v>
      </c>
      <c r="C104" s="15">
        <f>_xll.RssMarket("6178","現在値")</f>
        <v>2347</v>
      </c>
      <c r="D104" s="16">
        <f t="shared" si="3"/>
        <v>19.5</v>
      </c>
      <c r="E104" s="13">
        <v>2327.5</v>
      </c>
      <c r="F104" s="13">
        <v>2335.5</v>
      </c>
      <c r="G104" s="13">
        <v>2382</v>
      </c>
      <c r="H104" s="13">
        <v>2419</v>
      </c>
      <c r="I104" s="13">
        <v>2482</v>
      </c>
      <c r="J104" s="13">
        <v>2464</v>
      </c>
      <c r="K104" s="13">
        <v>2521.5</v>
      </c>
      <c r="L104" s="13">
        <v>2485.5</v>
      </c>
      <c r="M104" s="13">
        <v>2460.5</v>
      </c>
      <c r="N104" s="13">
        <v>2453.5</v>
      </c>
      <c r="O104" s="13">
        <v>2418.5</v>
      </c>
      <c r="P104" s="13">
        <v>2329</v>
      </c>
      <c r="Q104" s="13">
        <v>2407.5</v>
      </c>
      <c r="R104" s="13">
        <v>2353</v>
      </c>
      <c r="S104" s="13">
        <v>2333</v>
      </c>
      <c r="T104" s="13">
        <v>2319.5</v>
      </c>
      <c r="U104" s="13">
        <v>2360.5</v>
      </c>
      <c r="V104" s="13">
        <v>2370</v>
      </c>
      <c r="W104" s="13">
        <v>2355.5</v>
      </c>
      <c r="X104" s="13">
        <v>2326</v>
      </c>
      <c r="Y104" s="13">
        <v>2271.5</v>
      </c>
      <c r="Z104" s="13">
        <v>2237.5</v>
      </c>
      <c r="AA104" s="13">
        <v>2168.5</v>
      </c>
      <c r="AB104" s="13">
        <v>2169</v>
      </c>
      <c r="AC104" s="13">
        <v>2153</v>
      </c>
      <c r="AD104" s="13">
        <v>2161</v>
      </c>
      <c r="AE104" s="13">
        <v>2183.5</v>
      </c>
      <c r="AF104" s="13">
        <v>2225.5</v>
      </c>
      <c r="AG104" s="13">
        <v>2215</v>
      </c>
      <c r="AH104" s="13">
        <v>2227.5</v>
      </c>
      <c r="AI104" s="13">
        <v>2240.5</v>
      </c>
      <c r="AJ104" s="13">
        <v>2234</v>
      </c>
      <c r="AK104" s="13">
        <v>2196.5</v>
      </c>
      <c r="AL104" s="13">
        <v>2264.5</v>
      </c>
      <c r="AM104" s="13">
        <v>2285.5</v>
      </c>
      <c r="AN104" s="13">
        <v>2318</v>
      </c>
      <c r="AO104" s="13">
        <v>2209.5</v>
      </c>
      <c r="AP104" s="13">
        <v>2205</v>
      </c>
      <c r="AQ104" s="13">
        <v>2128</v>
      </c>
      <c r="AR104" s="13">
        <v>2122.5</v>
      </c>
      <c r="AS104" s="13">
        <v>2145.5</v>
      </c>
      <c r="AT104" s="13">
        <v>2125</v>
      </c>
      <c r="AU104" s="13">
        <v>2074</v>
      </c>
      <c r="AV104" s="13">
        <v>2068</v>
      </c>
      <c r="AW104" s="13">
        <v>2029.5</v>
      </c>
      <c r="AX104" s="13">
        <v>2059.5</v>
      </c>
      <c r="AY104" s="13">
        <v>2091.5</v>
      </c>
      <c r="AZ104" s="13">
        <v>2116</v>
      </c>
      <c r="BA104" s="13">
        <v>2134</v>
      </c>
      <c r="BB104" s="13">
        <v>2110</v>
      </c>
      <c r="BC104" s="13">
        <v>2093</v>
      </c>
      <c r="BD104" s="13">
        <v>2054</v>
      </c>
      <c r="BE104" s="13">
        <v>1957</v>
      </c>
      <c r="BF104" s="13">
        <v>1951</v>
      </c>
      <c r="BG104" s="13">
        <v>1941.5</v>
      </c>
      <c r="BH104" s="13">
        <v>1911</v>
      </c>
      <c r="BI104" s="13">
        <v>1865</v>
      </c>
      <c r="BJ104" s="13">
        <v>1855.5</v>
      </c>
      <c r="BK104" s="13">
        <v>1861</v>
      </c>
      <c r="BL104" s="13">
        <v>1811.5</v>
      </c>
      <c r="BM104" s="4">
        <v>1823</v>
      </c>
      <c r="BN104" s="4">
        <v>1823</v>
      </c>
      <c r="BO104" s="4">
        <v>1757.5</v>
      </c>
      <c r="BP104" s="4">
        <v>1779.5</v>
      </c>
      <c r="BQ104" s="4">
        <v>1774</v>
      </c>
      <c r="BR104" s="4">
        <v>1799.5</v>
      </c>
      <c r="BS104" s="4">
        <v>1821</v>
      </c>
      <c r="BT104" s="4">
        <v>1866.5</v>
      </c>
      <c r="BU104" s="4">
        <v>1872.5</v>
      </c>
      <c r="BV104" s="4">
        <v>1887</v>
      </c>
      <c r="BW104" s="4">
        <v>1867.5</v>
      </c>
      <c r="BX104" s="4">
        <v>1845</v>
      </c>
      <c r="BY104" s="4">
        <v>1857</v>
      </c>
      <c r="BZ104" s="4">
        <v>1856</v>
      </c>
    </row>
    <row r="105" spans="1:78" ht="15.9" customHeight="1">
      <c r="A105" s="61" t="s">
        <v>205</v>
      </c>
      <c r="B105" s="6" t="s">
        <v>206</v>
      </c>
      <c r="C105" s="15">
        <f>_xll.RssMarket("6925","現在値")</f>
        <v>4336</v>
      </c>
      <c r="D105" s="16">
        <f t="shared" si="3"/>
        <v>323</v>
      </c>
      <c r="E105" s="13">
        <v>4013</v>
      </c>
      <c r="F105" s="13">
        <v>3798</v>
      </c>
      <c r="G105" s="13">
        <v>3786</v>
      </c>
      <c r="H105" s="13">
        <v>3604</v>
      </c>
      <c r="I105" s="13">
        <v>3582</v>
      </c>
      <c r="J105" s="13">
        <v>3823</v>
      </c>
      <c r="K105" s="13">
        <v>4142</v>
      </c>
      <c r="L105" s="13">
        <v>4164</v>
      </c>
      <c r="M105" s="13">
        <v>4234</v>
      </c>
      <c r="N105" s="13">
        <v>4104</v>
      </c>
      <c r="O105" s="13">
        <v>4048</v>
      </c>
      <c r="P105" s="13">
        <v>3824</v>
      </c>
      <c r="Q105" s="13">
        <v>4235</v>
      </c>
      <c r="R105" s="13">
        <v>4086</v>
      </c>
      <c r="S105" s="13">
        <v>4195</v>
      </c>
      <c r="T105" s="13">
        <v>4363</v>
      </c>
      <c r="U105" s="13">
        <v>4268</v>
      </c>
      <c r="V105" s="13">
        <v>4151</v>
      </c>
      <c r="W105" s="13">
        <v>4368</v>
      </c>
      <c r="X105" s="13">
        <v>4492</v>
      </c>
      <c r="Y105" s="13">
        <v>4700</v>
      </c>
      <c r="Z105" s="13">
        <v>4684</v>
      </c>
      <c r="AA105" s="13">
        <v>4828</v>
      </c>
      <c r="AB105" s="13">
        <v>4488</v>
      </c>
      <c r="AC105" s="13">
        <v>4296</v>
      </c>
      <c r="AD105" s="13">
        <v>4361</v>
      </c>
      <c r="AE105" s="13">
        <v>4508</v>
      </c>
      <c r="AF105" s="13">
        <v>4399</v>
      </c>
      <c r="AG105" s="13">
        <v>4540</v>
      </c>
      <c r="AH105" s="13">
        <v>4765</v>
      </c>
      <c r="AI105" s="13">
        <v>4631</v>
      </c>
      <c r="AJ105" s="13">
        <v>4651</v>
      </c>
      <c r="AK105" s="13">
        <v>4596</v>
      </c>
      <c r="AL105" s="13">
        <v>4302</v>
      </c>
      <c r="AM105" s="13">
        <v>4235</v>
      </c>
      <c r="AN105" s="13">
        <v>4088</v>
      </c>
      <c r="AO105" s="13">
        <v>3918</v>
      </c>
      <c r="AP105" s="13">
        <v>3978</v>
      </c>
      <c r="AQ105" s="13">
        <v>3976</v>
      </c>
      <c r="AR105" s="13">
        <v>4260</v>
      </c>
      <c r="AS105" s="13">
        <v>4310</v>
      </c>
      <c r="AT105" s="13">
        <v>4116</v>
      </c>
      <c r="AU105" s="13">
        <v>4063</v>
      </c>
      <c r="AV105" s="13">
        <v>4156</v>
      </c>
      <c r="AW105" s="13">
        <v>4114</v>
      </c>
      <c r="AX105" s="13">
        <v>4199</v>
      </c>
      <c r="AY105" s="13">
        <v>4214</v>
      </c>
      <c r="AZ105" s="13">
        <v>4081</v>
      </c>
      <c r="BA105" s="13">
        <v>4040</v>
      </c>
      <c r="BB105" s="13">
        <v>3779</v>
      </c>
      <c r="BC105" s="13">
        <v>3928</v>
      </c>
      <c r="BD105" s="13">
        <v>4179</v>
      </c>
      <c r="BE105" s="13">
        <v>4239</v>
      </c>
      <c r="BF105" s="13">
        <v>3539</v>
      </c>
      <c r="BG105" s="13">
        <v>3439</v>
      </c>
      <c r="BH105" s="13">
        <v>3492</v>
      </c>
      <c r="BI105" s="13">
        <v>3406</v>
      </c>
      <c r="BJ105" s="13">
        <v>3366</v>
      </c>
      <c r="BK105" s="13">
        <v>3385</v>
      </c>
      <c r="BL105" s="13">
        <v>3175</v>
      </c>
      <c r="BM105" s="4">
        <v>3160</v>
      </c>
      <c r="BN105" s="4">
        <v>3090</v>
      </c>
      <c r="BO105" s="4">
        <v>3148</v>
      </c>
      <c r="BP105" s="4">
        <v>3220</v>
      </c>
      <c r="BQ105" s="4">
        <v>3142</v>
      </c>
      <c r="BR105" s="4">
        <v>3166</v>
      </c>
      <c r="BS105" s="4">
        <v>3191</v>
      </c>
      <c r="BT105" s="4">
        <v>3207</v>
      </c>
      <c r="BU105" s="4">
        <v>3153</v>
      </c>
      <c r="BV105" s="4">
        <v>3323</v>
      </c>
      <c r="BW105" s="4">
        <v>3291</v>
      </c>
      <c r="BX105" s="4">
        <v>3285</v>
      </c>
      <c r="BY105" s="4">
        <v>3247</v>
      </c>
      <c r="BZ105" s="4">
        <v>3259</v>
      </c>
    </row>
    <row r="106" spans="1:78" ht="15.9" customHeight="1">
      <c r="A106" s="61" t="s">
        <v>207</v>
      </c>
      <c r="B106" s="6" t="s">
        <v>208</v>
      </c>
      <c r="C106" s="15">
        <f>_xll.RssMarket("7021","現在値")</f>
        <v>2050</v>
      </c>
      <c r="D106" s="16">
        <f t="shared" si="3"/>
        <v>-10</v>
      </c>
      <c r="E106" s="13">
        <v>2060</v>
      </c>
      <c r="F106" s="13">
        <v>2030</v>
      </c>
      <c r="G106" s="13">
        <v>2009</v>
      </c>
      <c r="H106" s="13">
        <v>1972</v>
      </c>
      <c r="I106" s="13">
        <v>1994</v>
      </c>
      <c r="J106" s="13">
        <v>1977</v>
      </c>
      <c r="K106" s="13">
        <v>1966</v>
      </c>
      <c r="L106" s="13">
        <v>1941</v>
      </c>
      <c r="M106" s="13">
        <v>1940</v>
      </c>
      <c r="N106" s="13">
        <v>1879</v>
      </c>
      <c r="O106" s="13">
        <v>1878</v>
      </c>
      <c r="P106" s="13">
        <v>1868</v>
      </c>
      <c r="Q106" s="13">
        <v>1846</v>
      </c>
      <c r="R106" s="13">
        <v>1849</v>
      </c>
      <c r="S106" s="13">
        <v>1830</v>
      </c>
      <c r="T106" s="13">
        <v>1857</v>
      </c>
      <c r="U106" s="13">
        <v>1829</v>
      </c>
      <c r="V106" s="13">
        <v>1826</v>
      </c>
      <c r="W106" s="13">
        <v>1839</v>
      </c>
      <c r="X106" s="13">
        <v>1819</v>
      </c>
      <c r="Y106" s="13">
        <v>1808</v>
      </c>
      <c r="Z106" s="13">
        <v>1791</v>
      </c>
      <c r="AA106" s="13">
        <v>1799</v>
      </c>
      <c r="AB106" s="13">
        <v>1795</v>
      </c>
      <c r="AC106" s="13">
        <v>1800</v>
      </c>
      <c r="AD106" s="13">
        <v>1775</v>
      </c>
      <c r="AE106" s="13">
        <v>1791</v>
      </c>
      <c r="AF106" s="13">
        <v>1774</v>
      </c>
      <c r="AG106" s="13">
        <v>1800</v>
      </c>
      <c r="AH106" s="13">
        <v>1760</v>
      </c>
      <c r="AI106" s="13">
        <v>1787</v>
      </c>
      <c r="AJ106" s="13">
        <v>1762</v>
      </c>
      <c r="AK106" s="13">
        <v>1800</v>
      </c>
      <c r="AL106" s="13">
        <v>1809</v>
      </c>
      <c r="AM106" s="13">
        <v>1780</v>
      </c>
      <c r="AN106" s="13">
        <v>1805</v>
      </c>
      <c r="AO106" s="13">
        <v>1769</v>
      </c>
      <c r="AP106" s="13">
        <v>1806</v>
      </c>
      <c r="AQ106" s="13">
        <v>1765</v>
      </c>
      <c r="AR106" s="13">
        <v>1810</v>
      </c>
      <c r="AS106" s="13">
        <v>1770</v>
      </c>
      <c r="AT106" s="13">
        <v>1754</v>
      </c>
      <c r="AU106" s="13">
        <v>1800</v>
      </c>
      <c r="AV106" s="13">
        <v>1854</v>
      </c>
      <c r="AW106" s="13">
        <v>1854</v>
      </c>
      <c r="AX106" s="13">
        <v>1894</v>
      </c>
      <c r="AY106" s="13">
        <v>1815</v>
      </c>
      <c r="AZ106" s="13">
        <v>1803</v>
      </c>
      <c r="BA106" s="13">
        <v>1822</v>
      </c>
      <c r="BB106" s="13">
        <v>1848</v>
      </c>
      <c r="BC106" s="13">
        <v>1878</v>
      </c>
      <c r="BD106" s="13">
        <v>1916</v>
      </c>
      <c r="BE106" s="13">
        <v>1998</v>
      </c>
      <c r="BF106" s="13">
        <v>2161</v>
      </c>
      <c r="BG106" s="13">
        <v>2190</v>
      </c>
      <c r="BH106" s="13">
        <v>2156</v>
      </c>
      <c r="BI106" s="13">
        <v>2146</v>
      </c>
      <c r="BJ106" s="13">
        <v>2141</v>
      </c>
      <c r="BK106" s="13">
        <v>2166</v>
      </c>
      <c r="BL106" s="13">
        <v>2138</v>
      </c>
      <c r="BM106" s="4">
        <v>2171</v>
      </c>
      <c r="BN106" s="4">
        <v>2230</v>
      </c>
      <c r="BO106" s="4">
        <v>2226</v>
      </c>
      <c r="BP106" s="4">
        <v>2258</v>
      </c>
      <c r="BQ106" s="4">
        <v>2280</v>
      </c>
      <c r="BR106" s="4">
        <v>2294</v>
      </c>
      <c r="BS106" s="4">
        <v>2312</v>
      </c>
      <c r="BT106" s="4">
        <v>2333</v>
      </c>
      <c r="BU106" s="4">
        <v>2341</v>
      </c>
      <c r="BV106" s="4">
        <v>2334</v>
      </c>
      <c r="BW106" s="4">
        <v>2350</v>
      </c>
      <c r="BX106" s="4">
        <v>2350</v>
      </c>
      <c r="BY106" s="4">
        <v>2340</v>
      </c>
      <c r="BZ106" s="4">
        <v>2322</v>
      </c>
    </row>
    <row r="107" spans="1:78" ht="15.9" customHeight="1">
      <c r="A107" s="61" t="s">
        <v>209</v>
      </c>
      <c r="B107" s="6" t="s">
        <v>210</v>
      </c>
      <c r="C107" s="15">
        <f>_xll.RssMarket("7729","現在値")</f>
        <v>18900</v>
      </c>
      <c r="D107" s="16">
        <f t="shared" si="3"/>
        <v>840</v>
      </c>
      <c r="E107" s="13">
        <v>18060</v>
      </c>
      <c r="F107" s="13">
        <v>17235</v>
      </c>
      <c r="G107" s="13">
        <v>17160</v>
      </c>
      <c r="H107" s="13">
        <v>15445</v>
      </c>
      <c r="I107" s="13">
        <v>14760</v>
      </c>
      <c r="J107" s="13">
        <v>16120</v>
      </c>
      <c r="K107" s="13">
        <v>17865</v>
      </c>
      <c r="L107" s="13">
        <v>17520</v>
      </c>
      <c r="M107" s="13">
        <v>18445</v>
      </c>
      <c r="N107" s="13">
        <v>18255</v>
      </c>
      <c r="O107" s="13">
        <v>18185</v>
      </c>
      <c r="P107" s="13">
        <v>17055</v>
      </c>
      <c r="Q107" s="13">
        <v>19210</v>
      </c>
      <c r="R107" s="13">
        <v>18325</v>
      </c>
      <c r="S107" s="13">
        <v>18815</v>
      </c>
      <c r="T107" s="13">
        <v>18905</v>
      </c>
      <c r="U107" s="13">
        <v>18105</v>
      </c>
      <c r="V107" s="13">
        <v>17330</v>
      </c>
      <c r="W107" s="13">
        <v>17740</v>
      </c>
      <c r="X107" s="13">
        <v>18830</v>
      </c>
      <c r="Y107" s="13">
        <v>19370</v>
      </c>
      <c r="Z107" s="13">
        <v>19110</v>
      </c>
      <c r="AA107" s="13">
        <v>20920</v>
      </c>
      <c r="AB107" s="13">
        <v>20130</v>
      </c>
      <c r="AC107" s="13">
        <v>19275</v>
      </c>
      <c r="AD107" s="13">
        <v>19320</v>
      </c>
      <c r="AE107" s="13">
        <v>20060</v>
      </c>
      <c r="AF107" s="13">
        <v>18730</v>
      </c>
      <c r="AG107" s="13">
        <v>18900</v>
      </c>
      <c r="AH107" s="13">
        <v>20160</v>
      </c>
      <c r="AI107" s="13">
        <v>20075</v>
      </c>
      <c r="AJ107" s="13">
        <v>20145</v>
      </c>
      <c r="AK107" s="13">
        <v>19255</v>
      </c>
      <c r="AL107" s="13">
        <v>19190</v>
      </c>
      <c r="AM107" s="13">
        <v>19760</v>
      </c>
      <c r="AN107" s="13">
        <v>18655</v>
      </c>
      <c r="AO107" s="13">
        <v>17480</v>
      </c>
      <c r="AP107" s="13">
        <v>16925</v>
      </c>
      <c r="AQ107" s="13">
        <v>16640</v>
      </c>
      <c r="AR107" s="13">
        <v>17910</v>
      </c>
      <c r="AS107" s="13">
        <v>18325</v>
      </c>
      <c r="AT107" s="13">
        <v>17715</v>
      </c>
      <c r="AU107" s="13">
        <v>16910</v>
      </c>
      <c r="AV107" s="13">
        <v>17385</v>
      </c>
      <c r="AW107" s="13">
        <v>17570</v>
      </c>
      <c r="AX107" s="13">
        <v>17705</v>
      </c>
      <c r="AY107" s="13">
        <v>18350</v>
      </c>
      <c r="AZ107" s="13">
        <v>16915</v>
      </c>
      <c r="BA107" s="13">
        <v>16395</v>
      </c>
      <c r="BB107" s="13">
        <v>15630</v>
      </c>
      <c r="BC107" s="13">
        <v>15915</v>
      </c>
      <c r="BD107" s="13">
        <v>16395</v>
      </c>
      <c r="BE107" s="13">
        <v>16515</v>
      </c>
      <c r="BF107" s="13">
        <v>17765</v>
      </c>
      <c r="BG107" s="13">
        <v>18690</v>
      </c>
      <c r="BH107" s="13">
        <v>18985</v>
      </c>
      <c r="BI107" s="13">
        <v>18860</v>
      </c>
      <c r="BJ107" s="13">
        <v>18765</v>
      </c>
      <c r="BK107" s="13">
        <v>18305</v>
      </c>
      <c r="BL107" s="13">
        <v>17355</v>
      </c>
      <c r="BM107" s="4">
        <v>17130</v>
      </c>
      <c r="BN107" s="4">
        <v>17355</v>
      </c>
      <c r="BO107" s="4">
        <v>17350</v>
      </c>
      <c r="BP107" s="4">
        <v>17430</v>
      </c>
      <c r="BQ107" s="4">
        <v>16900</v>
      </c>
      <c r="BR107" s="4">
        <v>16650</v>
      </c>
      <c r="BS107" s="4">
        <v>16720</v>
      </c>
      <c r="BT107" s="4">
        <v>16250</v>
      </c>
      <c r="BU107" s="4">
        <v>16420</v>
      </c>
      <c r="BV107" s="4">
        <v>16945</v>
      </c>
      <c r="BW107" s="4">
        <v>16545</v>
      </c>
      <c r="BX107" s="4">
        <v>16035</v>
      </c>
      <c r="BY107" s="4">
        <v>15700</v>
      </c>
      <c r="BZ107" s="4">
        <v>15890</v>
      </c>
    </row>
    <row r="108" spans="1:78" ht="15.9" customHeight="1">
      <c r="A108" s="61" t="s">
        <v>211</v>
      </c>
      <c r="B108" s="6" t="s">
        <v>212</v>
      </c>
      <c r="C108" s="15">
        <f>_xll.RssMarket("8424","現在値")</f>
        <v>4360</v>
      </c>
      <c r="D108" s="16">
        <f t="shared" si="3"/>
        <v>-15</v>
      </c>
      <c r="E108" s="13">
        <v>4375</v>
      </c>
      <c r="F108" s="13">
        <v>4464</v>
      </c>
      <c r="G108" s="13">
        <v>4543</v>
      </c>
      <c r="H108" s="13">
        <v>4517</v>
      </c>
      <c r="I108" s="13">
        <v>4591</v>
      </c>
      <c r="J108" s="13">
        <v>4482</v>
      </c>
      <c r="K108" s="13">
        <v>4520</v>
      </c>
      <c r="L108" s="13">
        <v>4432</v>
      </c>
      <c r="M108" s="13">
        <v>4422</v>
      </c>
      <c r="N108" s="13">
        <v>4432</v>
      </c>
      <c r="O108" s="13">
        <v>4425</v>
      </c>
      <c r="P108" s="13">
        <v>4345</v>
      </c>
      <c r="Q108" s="13">
        <v>4361</v>
      </c>
      <c r="R108" s="13">
        <v>4333</v>
      </c>
      <c r="S108" s="13">
        <v>4271</v>
      </c>
      <c r="T108" s="13">
        <v>4267</v>
      </c>
      <c r="U108" s="13">
        <v>4272</v>
      </c>
      <c r="V108" s="13">
        <v>4260</v>
      </c>
      <c r="W108" s="13">
        <v>4279</v>
      </c>
      <c r="X108" s="13">
        <v>4241</v>
      </c>
      <c r="Y108" s="13">
        <v>4189</v>
      </c>
      <c r="Z108" s="13">
        <v>4181</v>
      </c>
      <c r="AA108" s="13">
        <v>4163</v>
      </c>
      <c r="AB108" s="13">
        <v>4220</v>
      </c>
      <c r="AC108" s="13">
        <v>4226</v>
      </c>
      <c r="AD108" s="13">
        <v>4235</v>
      </c>
      <c r="AE108" s="13">
        <v>4194</v>
      </c>
      <c r="AF108" s="13">
        <v>4180</v>
      </c>
      <c r="AG108" s="13">
        <v>4176</v>
      </c>
      <c r="AH108" s="13">
        <v>4216</v>
      </c>
      <c r="AI108" s="13">
        <v>4256</v>
      </c>
      <c r="AJ108" s="13">
        <v>4240</v>
      </c>
      <c r="AK108" s="13">
        <v>4236</v>
      </c>
      <c r="AL108" s="13">
        <v>4281</v>
      </c>
      <c r="AM108" s="13">
        <v>4311</v>
      </c>
      <c r="AN108" s="13">
        <v>4284</v>
      </c>
      <c r="AO108" s="13">
        <v>4272</v>
      </c>
      <c r="AP108" s="13">
        <v>4314</v>
      </c>
      <c r="AQ108" s="13">
        <v>4192</v>
      </c>
      <c r="AR108" s="13">
        <v>4137</v>
      </c>
      <c r="AS108" s="13">
        <v>4070</v>
      </c>
      <c r="AT108" s="13">
        <v>4089</v>
      </c>
      <c r="AU108" s="13">
        <v>4081</v>
      </c>
      <c r="AV108" s="13">
        <v>4194</v>
      </c>
      <c r="AW108" s="13">
        <v>4182</v>
      </c>
      <c r="AX108" s="13">
        <v>4184</v>
      </c>
      <c r="AY108" s="13">
        <v>4234</v>
      </c>
      <c r="AZ108" s="13">
        <v>4287</v>
      </c>
      <c r="BA108" s="13">
        <v>4375</v>
      </c>
      <c r="BB108" s="13">
        <v>4333</v>
      </c>
      <c r="BC108" s="13">
        <v>4387</v>
      </c>
      <c r="BD108" s="13">
        <v>4315</v>
      </c>
      <c r="BE108" s="13">
        <v>4378</v>
      </c>
      <c r="BF108" s="13">
        <v>4394</v>
      </c>
      <c r="BG108" s="13">
        <v>4348</v>
      </c>
      <c r="BH108" s="13">
        <v>4403</v>
      </c>
      <c r="BI108" s="13">
        <v>4293</v>
      </c>
      <c r="BJ108" s="13">
        <v>4272</v>
      </c>
      <c r="BK108" s="13">
        <v>4328</v>
      </c>
      <c r="BL108" s="13">
        <v>4295</v>
      </c>
      <c r="BM108" s="4">
        <v>4334</v>
      </c>
      <c r="BN108" s="4">
        <v>4350</v>
      </c>
      <c r="BO108" s="4">
        <v>4263</v>
      </c>
      <c r="BP108" s="4">
        <v>4279</v>
      </c>
      <c r="BQ108" s="4">
        <v>4268</v>
      </c>
      <c r="BR108" s="4">
        <v>4265</v>
      </c>
      <c r="BS108" s="4">
        <v>4261</v>
      </c>
      <c r="BT108" s="4">
        <v>4307</v>
      </c>
      <c r="BU108" s="4">
        <v>4336</v>
      </c>
      <c r="BV108" s="4">
        <v>4330</v>
      </c>
      <c r="BW108" s="4">
        <v>4333</v>
      </c>
      <c r="BX108" s="4">
        <v>4310</v>
      </c>
      <c r="BY108" s="4">
        <v>4326</v>
      </c>
      <c r="BZ108" s="4">
        <v>4338</v>
      </c>
    </row>
    <row r="109" spans="1:78" ht="15.9" customHeight="1">
      <c r="A109" s="61" t="s">
        <v>213</v>
      </c>
      <c r="B109" s="6" t="s">
        <v>214</v>
      </c>
      <c r="C109" s="15">
        <f>_xll.RssMarket("9020","現在値")</f>
        <v>3382</v>
      </c>
      <c r="D109" s="16">
        <f t="shared" si="3"/>
        <v>-26</v>
      </c>
      <c r="E109" s="13">
        <v>3408</v>
      </c>
      <c r="F109" s="13">
        <v>3422</v>
      </c>
      <c r="G109" s="13">
        <v>3676</v>
      </c>
      <c r="H109" s="13">
        <v>3820</v>
      </c>
      <c r="I109" s="13">
        <v>3935</v>
      </c>
      <c r="J109" s="13">
        <v>3829</v>
      </c>
      <c r="K109" s="13">
        <v>3756</v>
      </c>
      <c r="L109" s="13">
        <v>3632</v>
      </c>
      <c r="M109" s="13">
        <v>3566</v>
      </c>
      <c r="N109" s="13">
        <v>3617</v>
      </c>
      <c r="O109" s="13">
        <v>3650</v>
      </c>
      <c r="P109" s="13">
        <v>3624</v>
      </c>
      <c r="Q109" s="13">
        <v>3580</v>
      </c>
      <c r="R109" s="13">
        <v>3564</v>
      </c>
      <c r="S109" s="13">
        <v>3531</v>
      </c>
      <c r="T109" s="13">
        <v>3478</v>
      </c>
      <c r="U109" s="13">
        <v>3517</v>
      </c>
      <c r="V109" s="13">
        <v>3541</v>
      </c>
      <c r="W109" s="13">
        <v>3554</v>
      </c>
      <c r="X109" s="13">
        <v>3502</v>
      </c>
      <c r="Y109" s="13">
        <v>3459</v>
      </c>
      <c r="Z109" s="13">
        <v>3410</v>
      </c>
      <c r="AA109" s="13">
        <v>3295</v>
      </c>
      <c r="AB109" s="13">
        <v>3408</v>
      </c>
      <c r="AC109" s="13">
        <v>3452</v>
      </c>
      <c r="AD109" s="13">
        <v>3386</v>
      </c>
      <c r="AE109" s="13">
        <v>3343</v>
      </c>
      <c r="AF109" s="13">
        <v>3363</v>
      </c>
      <c r="AG109" s="13">
        <v>3351</v>
      </c>
      <c r="AH109" s="13">
        <v>3324</v>
      </c>
      <c r="AI109" s="13">
        <v>3415</v>
      </c>
      <c r="AJ109" s="13">
        <v>3393</v>
      </c>
      <c r="AK109" s="13">
        <v>3345</v>
      </c>
      <c r="AL109" s="13">
        <v>3398</v>
      </c>
      <c r="AM109" s="13">
        <v>3377</v>
      </c>
      <c r="AN109" s="13">
        <v>3404</v>
      </c>
      <c r="AO109" s="13">
        <v>3460</v>
      </c>
      <c r="AP109" s="13">
        <v>3460</v>
      </c>
      <c r="AQ109" s="13">
        <v>3380</v>
      </c>
      <c r="AR109" s="13">
        <v>3366</v>
      </c>
      <c r="AS109" s="13">
        <v>3280</v>
      </c>
      <c r="AT109" s="13">
        <v>3313</v>
      </c>
      <c r="AU109" s="13">
        <v>3345</v>
      </c>
      <c r="AV109" s="13">
        <v>3412</v>
      </c>
      <c r="AW109" s="13">
        <v>3444</v>
      </c>
      <c r="AX109" s="13">
        <v>3528</v>
      </c>
      <c r="AY109" s="13">
        <v>3570</v>
      </c>
      <c r="AZ109" s="13">
        <v>3606</v>
      </c>
      <c r="BA109" s="13">
        <v>3692</v>
      </c>
      <c r="BB109" s="13">
        <v>3775</v>
      </c>
      <c r="BC109" s="13">
        <v>3788</v>
      </c>
      <c r="BD109" s="13">
        <v>3682</v>
      </c>
      <c r="BE109" s="13">
        <v>3766</v>
      </c>
      <c r="BF109" s="13">
        <v>3680</v>
      </c>
      <c r="BG109" s="13">
        <v>3764</v>
      </c>
      <c r="BH109" s="13">
        <v>3693</v>
      </c>
      <c r="BI109" s="13">
        <v>3639</v>
      </c>
      <c r="BJ109" s="13">
        <v>3645</v>
      </c>
      <c r="BK109" s="13">
        <v>3610</v>
      </c>
      <c r="BL109" s="13">
        <v>3700</v>
      </c>
      <c r="BM109" s="4">
        <v>3388</v>
      </c>
      <c r="BN109" s="4">
        <v>3451</v>
      </c>
      <c r="BO109" s="4">
        <v>3427</v>
      </c>
      <c r="BP109" s="4">
        <v>3461</v>
      </c>
      <c r="BQ109" s="4">
        <v>3501</v>
      </c>
      <c r="BR109" s="4">
        <v>3522</v>
      </c>
      <c r="BS109" s="4">
        <v>3544</v>
      </c>
      <c r="BT109" s="4">
        <v>3517</v>
      </c>
      <c r="BU109" s="4">
        <v>3478</v>
      </c>
      <c r="BV109" s="4">
        <v>3525</v>
      </c>
      <c r="BW109" s="4">
        <v>3582</v>
      </c>
      <c r="BX109" s="4">
        <v>3514</v>
      </c>
      <c r="BY109" s="4">
        <v>3602</v>
      </c>
      <c r="BZ109" s="4">
        <v>3559</v>
      </c>
    </row>
    <row r="110" spans="1:78" ht="15.9" customHeight="1">
      <c r="A110" s="61" t="s">
        <v>215</v>
      </c>
      <c r="B110" s="6" t="s">
        <v>216</v>
      </c>
      <c r="C110" s="15">
        <f>_xll.RssMarket("9069","現在値")</f>
        <v>2190</v>
      </c>
      <c r="D110" s="16">
        <f t="shared" si="3"/>
        <v>-5</v>
      </c>
      <c r="E110" s="13">
        <v>2195</v>
      </c>
      <c r="F110" s="13">
        <v>2219.5</v>
      </c>
      <c r="G110" s="13">
        <v>2205.5</v>
      </c>
      <c r="H110" s="13">
        <v>2237</v>
      </c>
      <c r="I110" s="13">
        <v>2261.5</v>
      </c>
      <c r="J110" s="13">
        <v>2196</v>
      </c>
      <c r="K110" s="13">
        <v>2205.5</v>
      </c>
      <c r="L110" s="13">
        <v>2187.5</v>
      </c>
      <c r="M110" s="13">
        <v>2186.5</v>
      </c>
      <c r="N110" s="13">
        <v>2200.5</v>
      </c>
      <c r="O110" s="13">
        <v>2225.5</v>
      </c>
      <c r="P110" s="13">
        <v>2195</v>
      </c>
      <c r="Q110" s="13">
        <v>2132</v>
      </c>
      <c r="R110" s="13">
        <v>2114</v>
      </c>
      <c r="S110" s="13">
        <v>2103.5</v>
      </c>
      <c r="T110" s="13">
        <v>2052</v>
      </c>
      <c r="U110" s="13">
        <v>2042</v>
      </c>
      <c r="V110" s="13">
        <v>2018</v>
      </c>
      <c r="W110" s="13">
        <v>2015</v>
      </c>
      <c r="X110" s="13">
        <v>1994</v>
      </c>
      <c r="Y110" s="13">
        <v>1974</v>
      </c>
      <c r="Z110" s="13">
        <v>1906.5</v>
      </c>
      <c r="AA110" s="13">
        <v>1900</v>
      </c>
      <c r="AB110" s="13">
        <v>1958</v>
      </c>
      <c r="AC110" s="13">
        <v>1935</v>
      </c>
      <c r="AD110" s="13">
        <v>1921.5</v>
      </c>
      <c r="AE110" s="13">
        <v>1900</v>
      </c>
      <c r="AF110" s="13">
        <v>1891</v>
      </c>
      <c r="AG110" s="13">
        <v>1899.5</v>
      </c>
      <c r="AH110" s="13">
        <v>1901</v>
      </c>
      <c r="AI110" s="13">
        <v>1883.5</v>
      </c>
      <c r="AJ110" s="13">
        <v>1898</v>
      </c>
      <c r="AK110" s="13">
        <v>1907.5</v>
      </c>
      <c r="AL110" s="13">
        <v>1932.5</v>
      </c>
      <c r="AM110" s="13">
        <v>1964</v>
      </c>
      <c r="AN110" s="13">
        <v>1922.5</v>
      </c>
      <c r="AO110" s="13">
        <v>1945</v>
      </c>
      <c r="AP110" s="13">
        <v>1954</v>
      </c>
      <c r="AQ110" s="13">
        <v>1952.5</v>
      </c>
      <c r="AR110" s="13">
        <v>1907.5</v>
      </c>
      <c r="AS110" s="13">
        <v>1902.5</v>
      </c>
      <c r="AT110" s="13">
        <v>1917</v>
      </c>
      <c r="AU110" s="13">
        <v>1893.5</v>
      </c>
      <c r="AV110" s="13">
        <v>1906.5</v>
      </c>
      <c r="AW110" s="13">
        <v>1919.5</v>
      </c>
      <c r="AX110" s="13">
        <v>1918</v>
      </c>
      <c r="AY110" s="13">
        <v>1935</v>
      </c>
      <c r="AZ110" s="13">
        <v>1966.5</v>
      </c>
      <c r="BA110" s="13">
        <v>2032</v>
      </c>
      <c r="BB110" s="13">
        <v>2012</v>
      </c>
      <c r="BC110" s="13">
        <v>2027</v>
      </c>
      <c r="BD110" s="13">
        <v>2005</v>
      </c>
      <c r="BE110" s="13">
        <v>2031.5</v>
      </c>
      <c r="BF110" s="13">
        <v>2006</v>
      </c>
      <c r="BG110" s="13">
        <v>1849.5</v>
      </c>
      <c r="BH110" s="13">
        <v>1828.5</v>
      </c>
      <c r="BI110" s="13">
        <v>1858</v>
      </c>
      <c r="BJ110" s="13">
        <v>1869</v>
      </c>
      <c r="BK110" s="13">
        <v>1864.5</v>
      </c>
      <c r="BL110" s="13">
        <v>1828</v>
      </c>
      <c r="BM110" s="4">
        <v>1845.5</v>
      </c>
      <c r="BN110" s="4">
        <v>1868</v>
      </c>
      <c r="BO110" s="4">
        <v>1827.5</v>
      </c>
      <c r="BP110" s="4">
        <v>1854.5</v>
      </c>
      <c r="BQ110" s="4">
        <v>1875</v>
      </c>
      <c r="BR110" s="4">
        <v>1899</v>
      </c>
      <c r="BS110" s="4">
        <v>1915</v>
      </c>
      <c r="BT110" s="4">
        <v>1906.5</v>
      </c>
      <c r="BU110" s="4">
        <v>1886</v>
      </c>
      <c r="BV110" s="4">
        <v>1901</v>
      </c>
      <c r="BW110" s="4">
        <v>1887</v>
      </c>
      <c r="BX110" s="4">
        <v>1877.5</v>
      </c>
      <c r="BY110" s="4">
        <v>1867</v>
      </c>
      <c r="BZ110" s="4">
        <v>1876</v>
      </c>
    </row>
    <row r="111" spans="1:78" ht="15.9" customHeight="1">
      <c r="A111" s="61" t="s">
        <v>217</v>
      </c>
      <c r="B111" s="6" t="s">
        <v>218</v>
      </c>
      <c r="C111" s="15">
        <f>_xll.RssMarket("9227","現在値")</f>
        <v>889</v>
      </c>
      <c r="D111" s="16">
        <f t="shared" si="3"/>
        <v>9</v>
      </c>
      <c r="E111" s="13">
        <v>880</v>
      </c>
      <c r="F111" s="13">
        <v>850</v>
      </c>
      <c r="G111" s="13">
        <v>857</v>
      </c>
      <c r="H111" s="13">
        <v>887</v>
      </c>
      <c r="I111" s="13">
        <v>922</v>
      </c>
      <c r="J111" s="13">
        <v>817</v>
      </c>
      <c r="K111" s="13">
        <v>823</v>
      </c>
      <c r="L111" s="13"/>
      <c r="M111" s="13">
        <v>808</v>
      </c>
      <c r="N111" s="13">
        <v>811</v>
      </c>
      <c r="O111" s="13">
        <v>811</v>
      </c>
      <c r="P111" s="13">
        <v>769</v>
      </c>
      <c r="Q111" s="13">
        <v>844</v>
      </c>
      <c r="R111" s="13">
        <v>838</v>
      </c>
      <c r="S111" s="13">
        <v>835</v>
      </c>
      <c r="T111" s="13">
        <v>875</v>
      </c>
      <c r="U111" s="13">
        <v>862</v>
      </c>
      <c r="V111" s="13">
        <v>904</v>
      </c>
      <c r="W111" s="13">
        <v>966</v>
      </c>
      <c r="X111" s="13">
        <v>953</v>
      </c>
      <c r="Y111" s="13">
        <v>938</v>
      </c>
      <c r="Z111" s="13">
        <v>947</v>
      </c>
      <c r="AA111" s="13">
        <v>940</v>
      </c>
      <c r="AB111" s="13">
        <v>907</v>
      </c>
      <c r="AC111" s="13">
        <v>876</v>
      </c>
      <c r="AD111" s="13">
        <v>876</v>
      </c>
      <c r="AE111" s="13">
        <v>897</v>
      </c>
      <c r="AF111" s="13">
        <v>896</v>
      </c>
      <c r="AG111" s="13">
        <v>892</v>
      </c>
      <c r="AH111" s="13">
        <v>946</v>
      </c>
      <c r="AI111" s="13">
        <v>887</v>
      </c>
      <c r="AJ111" s="13">
        <v>887</v>
      </c>
      <c r="AK111" s="13">
        <v>881</v>
      </c>
      <c r="AL111" s="13">
        <v>865</v>
      </c>
      <c r="AM111" s="13">
        <v>882</v>
      </c>
      <c r="AN111" s="13">
        <v>865</v>
      </c>
      <c r="AO111" s="13">
        <v>864</v>
      </c>
      <c r="AP111" s="13">
        <v>865</v>
      </c>
      <c r="AQ111" s="13">
        <v>915</v>
      </c>
      <c r="AR111" s="13">
        <v>930</v>
      </c>
      <c r="AS111" s="13">
        <v>887</v>
      </c>
      <c r="AT111" s="13">
        <v>904</v>
      </c>
      <c r="AU111" s="13">
        <v>912</v>
      </c>
      <c r="AV111" s="13">
        <v>1031</v>
      </c>
      <c r="AW111" s="13">
        <v>1120</v>
      </c>
      <c r="AX111" s="13">
        <v>1209</v>
      </c>
      <c r="AY111" s="13">
        <v>1093</v>
      </c>
      <c r="AZ111" s="13">
        <v>943</v>
      </c>
      <c r="BA111" s="13">
        <v>793</v>
      </c>
      <c r="BB111" s="13">
        <v>770</v>
      </c>
      <c r="BC111" s="13">
        <v>799</v>
      </c>
      <c r="BD111" s="13">
        <v>813</v>
      </c>
      <c r="BE111" s="13">
        <v>822</v>
      </c>
      <c r="BF111" s="13">
        <v>806</v>
      </c>
      <c r="BG111" s="13">
        <v>854</v>
      </c>
      <c r="BH111" s="13">
        <v>962</v>
      </c>
      <c r="BI111" s="13">
        <v>980</v>
      </c>
      <c r="BJ111" s="13">
        <v>1015</v>
      </c>
      <c r="BK111" s="13">
        <v>1006</v>
      </c>
      <c r="BL111" s="13">
        <v>1027</v>
      </c>
      <c r="BM111" s="4">
        <v>1024</v>
      </c>
      <c r="BN111" s="4">
        <v>1040</v>
      </c>
      <c r="BO111" s="4">
        <v>1034</v>
      </c>
      <c r="BP111" s="4">
        <v>1063</v>
      </c>
      <c r="BQ111" s="4">
        <v>1095</v>
      </c>
      <c r="BR111" s="4">
        <v>1133</v>
      </c>
      <c r="BS111" s="4">
        <v>1181</v>
      </c>
      <c r="BT111" s="4">
        <v>1196</v>
      </c>
      <c r="BU111" s="4">
        <v>1061</v>
      </c>
      <c r="BV111" s="4">
        <v>1043</v>
      </c>
      <c r="BW111" s="4">
        <v>1017</v>
      </c>
      <c r="BX111" s="4">
        <v>1002</v>
      </c>
      <c r="BY111" s="4">
        <v>1000</v>
      </c>
      <c r="BZ111" s="4">
        <v>948</v>
      </c>
    </row>
    <row r="112" spans="1:78" ht="15.9" customHeight="1">
      <c r="A112" s="61" t="s">
        <v>219</v>
      </c>
      <c r="B112" s="6" t="s">
        <v>220</v>
      </c>
      <c r="C112" s="15">
        <f>_xll.RssMarket("9348","現在値")</f>
        <v>421</v>
      </c>
      <c r="D112" s="16">
        <f t="shared" si="3"/>
        <v>8</v>
      </c>
      <c r="E112" s="13">
        <v>413</v>
      </c>
      <c r="F112" s="13">
        <v>403</v>
      </c>
      <c r="G112" s="13">
        <v>405</v>
      </c>
      <c r="H112" s="13">
        <v>406</v>
      </c>
      <c r="I112" s="13">
        <v>400</v>
      </c>
      <c r="J112" s="13">
        <v>408</v>
      </c>
      <c r="K112" s="13">
        <v>419</v>
      </c>
      <c r="L112" s="13"/>
      <c r="M112" s="13">
        <v>416</v>
      </c>
      <c r="N112" s="13">
        <v>415</v>
      </c>
      <c r="O112" s="13">
        <v>413</v>
      </c>
      <c r="P112" s="13">
        <v>411</v>
      </c>
      <c r="Q112" s="13">
        <v>449</v>
      </c>
      <c r="R112" s="13">
        <v>440</v>
      </c>
      <c r="S112" s="13">
        <v>442</v>
      </c>
      <c r="T112" s="13">
        <v>445</v>
      </c>
      <c r="U112" s="13">
        <v>508</v>
      </c>
      <c r="V112" s="13">
        <v>428</v>
      </c>
      <c r="W112" s="13">
        <v>441</v>
      </c>
      <c r="X112" s="13">
        <v>448</v>
      </c>
      <c r="Y112" s="13">
        <v>450</v>
      </c>
      <c r="Z112" s="13">
        <v>441</v>
      </c>
      <c r="AA112" s="13">
        <v>440</v>
      </c>
      <c r="AB112" s="13">
        <v>449</v>
      </c>
      <c r="AC112" s="13">
        <v>439</v>
      </c>
      <c r="AD112" s="13">
        <v>430</v>
      </c>
      <c r="AE112" s="13">
        <v>443</v>
      </c>
      <c r="AF112" s="13">
        <v>441</v>
      </c>
      <c r="AG112" s="13">
        <v>435</v>
      </c>
      <c r="AH112" s="13">
        <v>455</v>
      </c>
      <c r="AI112" s="13">
        <v>434</v>
      </c>
      <c r="AJ112" s="13">
        <v>468</v>
      </c>
      <c r="AK112" s="13">
        <v>473</v>
      </c>
      <c r="AL112" s="13">
        <v>468</v>
      </c>
      <c r="AM112" s="13">
        <v>503</v>
      </c>
      <c r="AN112" s="13">
        <v>551</v>
      </c>
      <c r="AO112" s="13">
        <v>576</v>
      </c>
      <c r="AP112" s="13">
        <v>577</v>
      </c>
      <c r="AQ112" s="13">
        <v>598</v>
      </c>
      <c r="AR112" s="13">
        <v>615</v>
      </c>
      <c r="AS112" s="13">
        <v>555</v>
      </c>
      <c r="AT112" s="13">
        <v>587</v>
      </c>
      <c r="AU112" s="13">
        <v>583</v>
      </c>
      <c r="AV112" s="13">
        <v>671</v>
      </c>
      <c r="AW112" s="13">
        <v>699</v>
      </c>
      <c r="AX112" s="13">
        <v>600</v>
      </c>
      <c r="AY112" s="13">
        <v>580</v>
      </c>
      <c r="AZ112" s="13">
        <v>568</v>
      </c>
      <c r="BA112" s="13">
        <v>507</v>
      </c>
      <c r="BB112" s="13">
        <v>494</v>
      </c>
      <c r="BC112" s="13">
        <v>534</v>
      </c>
      <c r="BD112" s="13">
        <v>496</v>
      </c>
      <c r="BE112" s="13">
        <v>506</v>
      </c>
      <c r="BF112" s="13">
        <v>499</v>
      </c>
      <c r="BG112" s="13">
        <v>498</v>
      </c>
      <c r="BH112" s="13">
        <v>497</v>
      </c>
      <c r="BI112" s="13">
        <v>510</v>
      </c>
      <c r="BJ112" s="13">
        <v>503</v>
      </c>
      <c r="BK112" s="13">
        <v>484</v>
      </c>
      <c r="BL112" s="13">
        <v>470</v>
      </c>
      <c r="BM112" s="4">
        <v>468</v>
      </c>
      <c r="BN112" s="4">
        <v>476</v>
      </c>
      <c r="BO112" s="4">
        <v>466</v>
      </c>
      <c r="BP112" s="4">
        <v>476</v>
      </c>
      <c r="BQ112" s="4">
        <v>482</v>
      </c>
      <c r="BR112" s="4">
        <v>492</v>
      </c>
      <c r="BS112" s="4">
        <v>488</v>
      </c>
      <c r="BT112" s="4">
        <v>496</v>
      </c>
      <c r="BU112" s="4">
        <v>496</v>
      </c>
      <c r="BV112" s="4">
        <v>489</v>
      </c>
      <c r="BW112" s="4">
        <v>512</v>
      </c>
      <c r="BX112" s="4">
        <v>510</v>
      </c>
      <c r="BY112" s="4">
        <v>500</v>
      </c>
      <c r="BZ112" s="4">
        <v>515</v>
      </c>
    </row>
    <row r="113" spans="1:78" ht="15.9" customHeight="1">
      <c r="A113" s="61" t="s">
        <v>221</v>
      </c>
      <c r="B113" s="6" t="s">
        <v>222</v>
      </c>
      <c r="C113" s="15">
        <f>_xll.RssMarket("9449","現在値")</f>
        <v>4185</v>
      </c>
      <c r="D113" s="16">
        <f t="shared" si="3"/>
        <v>37</v>
      </c>
      <c r="E113" s="13">
        <v>4148</v>
      </c>
      <c r="F113" s="13">
        <v>4151</v>
      </c>
      <c r="G113" s="13">
        <v>4254</v>
      </c>
      <c r="H113" s="13">
        <v>4212</v>
      </c>
      <c r="I113" s="13">
        <v>4258</v>
      </c>
      <c r="J113" s="13">
        <v>4100</v>
      </c>
      <c r="K113" s="13">
        <v>4120</v>
      </c>
      <c r="L113" s="13">
        <v>3916</v>
      </c>
      <c r="M113" s="13">
        <v>3963</v>
      </c>
      <c r="N113" s="13">
        <v>3950</v>
      </c>
      <c r="O113" s="13">
        <v>4058</v>
      </c>
      <c r="P113" s="13">
        <v>4056</v>
      </c>
      <c r="Q113" s="13">
        <v>4038</v>
      </c>
      <c r="R113" s="13">
        <v>3992</v>
      </c>
      <c r="S113" s="13">
        <v>3912</v>
      </c>
      <c r="T113" s="13">
        <v>3908</v>
      </c>
      <c r="U113" s="13">
        <v>3807</v>
      </c>
      <c r="V113" s="13">
        <v>3838</v>
      </c>
      <c r="W113" s="13">
        <v>3675</v>
      </c>
      <c r="X113" s="13">
        <v>3646</v>
      </c>
      <c r="Y113" s="13">
        <v>3609</v>
      </c>
      <c r="Z113" s="13">
        <v>3534</v>
      </c>
      <c r="AA113" s="13">
        <v>3370</v>
      </c>
      <c r="AB113" s="13">
        <v>3342</v>
      </c>
      <c r="AC113" s="13">
        <v>3388</v>
      </c>
      <c r="AD113" s="13">
        <v>3283</v>
      </c>
      <c r="AE113" s="13">
        <v>3227</v>
      </c>
      <c r="AF113" s="13">
        <v>3275</v>
      </c>
      <c r="AG113" s="13">
        <v>3242</v>
      </c>
      <c r="AH113" s="13">
        <v>3542</v>
      </c>
      <c r="AI113" s="13">
        <v>3000</v>
      </c>
      <c r="AJ113" s="13">
        <v>3124</v>
      </c>
      <c r="AK113" s="13">
        <v>3098</v>
      </c>
      <c r="AL113" s="13">
        <v>3083</v>
      </c>
      <c r="AM113" s="13">
        <v>3101</v>
      </c>
      <c r="AN113" s="13">
        <v>3083</v>
      </c>
      <c r="AO113" s="13">
        <v>3146</v>
      </c>
      <c r="AP113" s="13">
        <v>3171</v>
      </c>
      <c r="AQ113" s="13">
        <v>3162</v>
      </c>
      <c r="AR113" s="13">
        <v>3230</v>
      </c>
      <c r="AS113" s="13">
        <v>3245</v>
      </c>
      <c r="AT113" s="13">
        <v>3307</v>
      </c>
      <c r="AU113" s="13">
        <v>3327</v>
      </c>
      <c r="AV113" s="13">
        <v>3285</v>
      </c>
      <c r="AW113" s="13">
        <v>3283</v>
      </c>
      <c r="AX113" s="13">
        <v>3330</v>
      </c>
      <c r="AY113" s="13">
        <v>3438</v>
      </c>
      <c r="AZ113" s="13">
        <v>3396</v>
      </c>
      <c r="BA113" s="13">
        <v>3317</v>
      </c>
      <c r="BB113" s="13">
        <v>3307</v>
      </c>
      <c r="BC113" s="13">
        <v>3348</v>
      </c>
      <c r="BD113" s="13">
        <v>3310</v>
      </c>
      <c r="BE113" s="13">
        <v>3079</v>
      </c>
      <c r="BF113" s="13">
        <v>3091</v>
      </c>
      <c r="BG113" s="13">
        <v>3172</v>
      </c>
      <c r="BH113" s="13">
        <v>3114</v>
      </c>
      <c r="BI113" s="13">
        <v>3161</v>
      </c>
      <c r="BJ113" s="13">
        <v>3183</v>
      </c>
      <c r="BK113" s="13">
        <v>3054</v>
      </c>
      <c r="BL113" s="13">
        <v>3045</v>
      </c>
      <c r="BM113" s="4">
        <v>3080</v>
      </c>
      <c r="BN113" s="4">
        <v>3108</v>
      </c>
      <c r="BO113" s="4">
        <v>3092</v>
      </c>
      <c r="BP113" s="4">
        <v>3153</v>
      </c>
      <c r="BQ113" s="4">
        <v>3168</v>
      </c>
      <c r="BR113" s="4">
        <v>3261</v>
      </c>
      <c r="BS113" s="4">
        <v>3309</v>
      </c>
      <c r="BT113" s="4">
        <v>3236</v>
      </c>
      <c r="BU113" s="4">
        <v>3276</v>
      </c>
      <c r="BV113" s="4">
        <v>3258</v>
      </c>
      <c r="BW113" s="4">
        <v>3083</v>
      </c>
      <c r="BX113" s="4">
        <v>3026</v>
      </c>
      <c r="BY113" s="4">
        <v>2975</v>
      </c>
      <c r="BZ113" s="4">
        <v>2964.5</v>
      </c>
    </row>
    <row r="114" spans="1:78" ht="15.9" customHeight="1">
      <c r="A114" s="61" t="s">
        <v>223</v>
      </c>
      <c r="B114" s="6" t="s">
        <v>224</v>
      </c>
      <c r="C114" s="15">
        <f>_xll.RssMarket("9501","現在値")</f>
        <v>525.20000000000005</v>
      </c>
      <c r="D114" s="16">
        <f t="shared" si="3"/>
        <v>2.4000000000000909</v>
      </c>
      <c r="E114" s="13">
        <v>522.79999999999995</v>
      </c>
      <c r="F114" s="13">
        <v>526.1</v>
      </c>
      <c r="G114" s="13">
        <v>520</v>
      </c>
      <c r="H114" s="13">
        <v>524</v>
      </c>
      <c r="I114" s="13">
        <v>533.70000000000005</v>
      </c>
      <c r="J114" s="13">
        <v>523.6</v>
      </c>
      <c r="K114" s="13">
        <v>537</v>
      </c>
      <c r="L114" s="13">
        <v>516.70000000000005</v>
      </c>
      <c r="M114" s="13">
        <v>516.6</v>
      </c>
      <c r="N114" s="13">
        <v>505.3</v>
      </c>
      <c r="O114" s="13">
        <v>503.4</v>
      </c>
      <c r="P114" s="13">
        <v>506.6</v>
      </c>
      <c r="Q114" s="13">
        <v>508.7</v>
      </c>
      <c r="R114" s="13">
        <v>503.1</v>
      </c>
      <c r="S114" s="13">
        <v>485.3</v>
      </c>
      <c r="T114" s="13">
        <v>480.4</v>
      </c>
      <c r="U114" s="13">
        <v>479.1</v>
      </c>
      <c r="V114" s="13">
        <v>479.9</v>
      </c>
      <c r="W114" s="13">
        <v>462.3</v>
      </c>
      <c r="X114" s="13">
        <v>468.8</v>
      </c>
      <c r="Y114" s="13">
        <v>465</v>
      </c>
      <c r="Z114" s="13">
        <v>457.4</v>
      </c>
      <c r="AA114" s="13">
        <v>455.1</v>
      </c>
      <c r="AB114" s="13">
        <v>461.3</v>
      </c>
      <c r="AC114" s="13">
        <v>462</v>
      </c>
      <c r="AD114" s="13">
        <v>456.6</v>
      </c>
      <c r="AE114" s="13">
        <v>481.2</v>
      </c>
      <c r="AF114" s="13">
        <v>470.7</v>
      </c>
      <c r="AG114" s="13">
        <v>470.6</v>
      </c>
      <c r="AH114" s="13">
        <v>477.5</v>
      </c>
      <c r="AI114" s="13">
        <v>514</v>
      </c>
      <c r="AJ114" s="13">
        <v>510.3</v>
      </c>
      <c r="AK114" s="13">
        <v>508.1</v>
      </c>
      <c r="AL114" s="13">
        <v>513.5</v>
      </c>
      <c r="AM114" s="13">
        <v>531.29999999999995</v>
      </c>
      <c r="AN114" s="13">
        <v>509.3</v>
      </c>
      <c r="AO114" s="13">
        <v>494.8</v>
      </c>
      <c r="AP114" s="13">
        <v>512.20000000000005</v>
      </c>
      <c r="AQ114" s="13">
        <v>535.4</v>
      </c>
      <c r="AR114" s="13">
        <v>528.4</v>
      </c>
      <c r="AS114" s="13">
        <v>541</v>
      </c>
      <c r="AT114" s="13">
        <v>572.9</v>
      </c>
      <c r="AU114" s="13">
        <v>560</v>
      </c>
      <c r="AV114" s="13">
        <v>564.70000000000005</v>
      </c>
      <c r="AW114" s="13">
        <v>557.29999999999995</v>
      </c>
      <c r="AX114" s="13">
        <v>572.29999999999995</v>
      </c>
      <c r="AY114" s="13">
        <v>567.20000000000005</v>
      </c>
      <c r="AZ114" s="13">
        <v>549</v>
      </c>
      <c r="BA114" s="13">
        <v>557.4</v>
      </c>
      <c r="BB114" s="13">
        <v>547.9</v>
      </c>
      <c r="BC114" s="13">
        <v>580.70000000000005</v>
      </c>
      <c r="BD114" s="13">
        <v>558.5</v>
      </c>
      <c r="BE114" s="13">
        <v>592.70000000000005</v>
      </c>
      <c r="BF114" s="13">
        <v>609</v>
      </c>
      <c r="BG114" s="13">
        <v>612.6</v>
      </c>
      <c r="BH114" s="13">
        <v>645.20000000000005</v>
      </c>
      <c r="BI114" s="13">
        <v>651.1</v>
      </c>
      <c r="BJ114" s="13">
        <v>632.79999999999995</v>
      </c>
      <c r="BK114" s="13">
        <v>624</v>
      </c>
      <c r="BL114" s="13">
        <v>612.70000000000005</v>
      </c>
      <c r="BM114" s="4">
        <v>592.20000000000005</v>
      </c>
      <c r="BN114" s="4">
        <v>611.1</v>
      </c>
      <c r="BO114" s="4">
        <v>580.5</v>
      </c>
      <c r="BP114" s="4">
        <v>584.70000000000005</v>
      </c>
      <c r="BQ114" s="4">
        <v>584.79999999999995</v>
      </c>
      <c r="BR114" s="4">
        <v>625.29999999999995</v>
      </c>
      <c r="BS114" s="4">
        <v>603.20000000000005</v>
      </c>
      <c r="BT114" s="4">
        <v>611.5</v>
      </c>
      <c r="BU114" s="4">
        <v>624</v>
      </c>
      <c r="BV114" s="4">
        <v>638</v>
      </c>
      <c r="BW114" s="4">
        <v>632.5</v>
      </c>
      <c r="BX114" s="4">
        <v>650</v>
      </c>
      <c r="BY114" s="4">
        <v>651.29999999999995</v>
      </c>
      <c r="BZ114" s="4">
        <v>665.1</v>
      </c>
    </row>
    <row r="115" spans="1:78" ht="15.9" customHeight="1">
      <c r="A115" s="61" t="s">
        <v>225</v>
      </c>
      <c r="B115" s="6" t="s">
        <v>226</v>
      </c>
      <c r="C115" s="15">
        <f>_xll.RssMarket("9531","現在値")</f>
        <v>5956</v>
      </c>
      <c r="D115" s="16">
        <f t="shared" si="3"/>
        <v>-82</v>
      </c>
      <c r="E115" s="13">
        <v>6038</v>
      </c>
      <c r="F115" s="13">
        <v>6181</v>
      </c>
      <c r="G115" s="13">
        <v>6219</v>
      </c>
      <c r="H115" s="13">
        <v>6263</v>
      </c>
      <c r="I115" s="13">
        <v>6290</v>
      </c>
      <c r="J115" s="13">
        <v>6235</v>
      </c>
      <c r="K115" s="13">
        <v>6273</v>
      </c>
      <c r="L115" s="13">
        <v>6226</v>
      </c>
      <c r="M115" s="13">
        <v>6160</v>
      </c>
      <c r="N115" s="13">
        <v>6151</v>
      </c>
      <c r="O115" s="13">
        <v>6127</v>
      </c>
      <c r="P115" s="13">
        <v>6087</v>
      </c>
      <c r="Q115" s="13">
        <v>6072</v>
      </c>
      <c r="R115" s="13">
        <v>6030</v>
      </c>
      <c r="S115" s="13">
        <v>5905</v>
      </c>
      <c r="T115" s="13">
        <v>5966</v>
      </c>
      <c r="U115" s="13">
        <v>6089</v>
      </c>
      <c r="V115" s="13">
        <v>6143</v>
      </c>
      <c r="W115" s="13">
        <v>6120</v>
      </c>
      <c r="X115" s="13">
        <v>6156</v>
      </c>
      <c r="Y115" s="13">
        <v>6037</v>
      </c>
      <c r="Z115" s="13">
        <v>6006</v>
      </c>
      <c r="AA115" s="13">
        <v>5987</v>
      </c>
      <c r="AB115" s="13">
        <v>6121</v>
      </c>
      <c r="AC115" s="13">
        <v>6163</v>
      </c>
      <c r="AD115" s="13">
        <v>6111</v>
      </c>
      <c r="AE115" s="13">
        <v>6068</v>
      </c>
      <c r="AF115" s="13">
        <v>6110</v>
      </c>
      <c r="AG115" s="13">
        <v>6138</v>
      </c>
      <c r="AH115" s="13">
        <v>6210</v>
      </c>
      <c r="AI115" s="13">
        <v>6178</v>
      </c>
      <c r="AJ115" s="13">
        <v>6174</v>
      </c>
      <c r="AK115" s="13">
        <v>6151</v>
      </c>
      <c r="AL115" s="13">
        <v>6223</v>
      </c>
      <c r="AM115" s="13">
        <v>6261</v>
      </c>
      <c r="AN115" s="13">
        <v>6303</v>
      </c>
      <c r="AO115" s="13">
        <v>6395</v>
      </c>
      <c r="AP115" s="13">
        <v>6305</v>
      </c>
      <c r="AQ115" s="13">
        <v>6311</v>
      </c>
      <c r="AR115" s="13">
        <v>6190</v>
      </c>
      <c r="AS115" s="13">
        <v>6219</v>
      </c>
      <c r="AT115" s="13">
        <v>6292</v>
      </c>
      <c r="AU115" s="13">
        <v>6220</v>
      </c>
      <c r="AV115" s="13">
        <v>6380</v>
      </c>
      <c r="AW115" s="13">
        <v>6294</v>
      </c>
      <c r="AX115" s="13">
        <v>6471</v>
      </c>
      <c r="AY115" s="13">
        <v>6436</v>
      </c>
      <c r="AZ115" s="13">
        <v>6522</v>
      </c>
      <c r="BA115" s="13">
        <v>6656</v>
      </c>
      <c r="BB115" s="13">
        <v>6639</v>
      </c>
      <c r="BC115" s="13">
        <v>6699</v>
      </c>
      <c r="BD115" s="13">
        <v>6565</v>
      </c>
      <c r="BE115" s="13">
        <v>6722</v>
      </c>
      <c r="BF115" s="13">
        <v>6625</v>
      </c>
      <c r="BG115" s="13">
        <v>6607</v>
      </c>
      <c r="BH115" s="13">
        <v>6670</v>
      </c>
      <c r="BI115" s="13">
        <v>6745</v>
      </c>
      <c r="BJ115" s="13">
        <v>6600</v>
      </c>
      <c r="BK115" s="13">
        <v>6812</v>
      </c>
      <c r="BL115" s="13">
        <v>6614</v>
      </c>
      <c r="BM115" s="4">
        <v>6670</v>
      </c>
      <c r="BN115" s="4">
        <v>6937</v>
      </c>
      <c r="BO115" s="4">
        <v>6473</v>
      </c>
      <c r="BP115" s="4">
        <v>6454</v>
      </c>
      <c r="BQ115" s="4">
        <v>6471</v>
      </c>
      <c r="BR115" s="4">
        <v>6487</v>
      </c>
      <c r="BS115" s="4">
        <v>6596</v>
      </c>
      <c r="BT115" s="4">
        <v>6644</v>
      </c>
      <c r="BU115" s="4">
        <v>6914</v>
      </c>
      <c r="BV115" s="4">
        <v>7117</v>
      </c>
      <c r="BW115" s="4">
        <v>6955</v>
      </c>
      <c r="BX115" s="4">
        <v>7007</v>
      </c>
      <c r="BY115" s="4">
        <v>7072</v>
      </c>
      <c r="BZ115" s="4">
        <v>7286</v>
      </c>
    </row>
    <row r="116" spans="1:78" ht="15.9" customHeight="1">
      <c r="A116" s="61" t="s">
        <v>227</v>
      </c>
      <c r="B116" s="6" t="s">
        <v>228</v>
      </c>
      <c r="C116" s="15">
        <f>_xll.RssMarket("9882","現在値")</f>
        <v>1717</v>
      </c>
      <c r="D116" s="16">
        <f t="shared" si="3"/>
        <v>-3</v>
      </c>
      <c r="E116" s="13">
        <v>1720</v>
      </c>
      <c r="F116" s="13">
        <v>1745</v>
      </c>
      <c r="G116" s="13">
        <v>1809</v>
      </c>
      <c r="H116" s="13">
        <v>1870</v>
      </c>
      <c r="I116" s="13">
        <v>1881</v>
      </c>
      <c r="J116" s="13">
        <v>1845</v>
      </c>
      <c r="K116" s="13">
        <v>1829</v>
      </c>
      <c r="L116" s="13">
        <v>1787</v>
      </c>
      <c r="M116" s="13">
        <v>1788</v>
      </c>
      <c r="N116" s="13">
        <v>1803</v>
      </c>
      <c r="O116" s="13">
        <v>1825</v>
      </c>
      <c r="P116" s="13">
        <v>1821</v>
      </c>
      <c r="Q116" s="13">
        <v>1812</v>
      </c>
      <c r="R116" s="13">
        <v>1817</v>
      </c>
      <c r="S116" s="13">
        <v>1813</v>
      </c>
      <c r="T116" s="13">
        <v>1820</v>
      </c>
      <c r="U116" s="13">
        <v>1827</v>
      </c>
      <c r="V116" s="13">
        <v>1849</v>
      </c>
      <c r="W116" s="13">
        <v>1815</v>
      </c>
      <c r="X116" s="13">
        <v>1817</v>
      </c>
      <c r="Y116" s="13">
        <v>1780</v>
      </c>
      <c r="Z116" s="13">
        <v>1765</v>
      </c>
      <c r="AA116" s="13">
        <v>1741</v>
      </c>
      <c r="AB116" s="13">
        <v>1760</v>
      </c>
      <c r="AC116" s="13">
        <v>1772</v>
      </c>
      <c r="AD116" s="13">
        <v>1763</v>
      </c>
      <c r="AE116" s="13">
        <v>1763</v>
      </c>
      <c r="AF116" s="13">
        <v>1749</v>
      </c>
      <c r="AG116" s="13">
        <v>1745</v>
      </c>
      <c r="AH116" s="13">
        <v>1752</v>
      </c>
      <c r="AI116" s="13">
        <v>1773</v>
      </c>
      <c r="AJ116" s="13">
        <v>1745</v>
      </c>
      <c r="AK116" s="13">
        <v>1736</v>
      </c>
      <c r="AL116" s="13">
        <v>1743</v>
      </c>
      <c r="AM116" s="13">
        <v>1732</v>
      </c>
      <c r="AN116" s="13">
        <v>1733</v>
      </c>
      <c r="AO116" s="13">
        <v>1727</v>
      </c>
      <c r="AP116" s="13">
        <v>1709</v>
      </c>
      <c r="AQ116" s="13">
        <v>1674</v>
      </c>
      <c r="AR116" s="13">
        <v>1663</v>
      </c>
      <c r="AS116" s="13">
        <v>1652</v>
      </c>
      <c r="AT116" s="13">
        <v>1687</v>
      </c>
      <c r="AU116" s="13">
        <v>1634</v>
      </c>
      <c r="AV116" s="13">
        <v>1655</v>
      </c>
      <c r="AW116" s="13">
        <v>1627</v>
      </c>
      <c r="AX116" s="13">
        <v>1625</v>
      </c>
      <c r="AY116" s="13">
        <v>1616</v>
      </c>
      <c r="AZ116" s="13">
        <v>1630</v>
      </c>
      <c r="BA116" s="13">
        <v>1631</v>
      </c>
      <c r="BB116" s="13">
        <v>1620</v>
      </c>
      <c r="BC116" s="13">
        <v>1634</v>
      </c>
      <c r="BD116" s="13">
        <v>1621</v>
      </c>
      <c r="BE116" s="13">
        <v>1637</v>
      </c>
      <c r="BF116" s="13">
        <v>1595</v>
      </c>
      <c r="BG116" s="13">
        <v>1613</v>
      </c>
      <c r="BH116" s="13">
        <v>1633</v>
      </c>
      <c r="BI116" s="13">
        <v>1650</v>
      </c>
      <c r="BJ116" s="13">
        <v>1497</v>
      </c>
      <c r="BK116" s="13">
        <v>1503</v>
      </c>
      <c r="BL116" s="13">
        <v>1506</v>
      </c>
      <c r="BM116" s="4">
        <v>1517</v>
      </c>
      <c r="BN116" s="4">
        <v>1515</v>
      </c>
      <c r="BO116" s="4">
        <v>1507</v>
      </c>
      <c r="BP116" s="4">
        <v>1520</v>
      </c>
      <c r="BQ116" s="4">
        <v>1533</v>
      </c>
      <c r="BR116" s="4">
        <v>1539</v>
      </c>
      <c r="BS116" s="4">
        <v>1566</v>
      </c>
      <c r="BT116" s="4">
        <v>1562</v>
      </c>
      <c r="BU116" s="4">
        <v>1561</v>
      </c>
      <c r="BV116" s="4">
        <v>1550</v>
      </c>
      <c r="BW116" s="4">
        <v>1553</v>
      </c>
      <c r="BX116" s="4">
        <v>1562</v>
      </c>
      <c r="BY116" s="4">
        <v>1575</v>
      </c>
      <c r="BZ116" s="4">
        <v>1596</v>
      </c>
    </row>
    <row r="117" spans="1:78" ht="15.9" customHeight="1">
      <c r="A117" s="61" t="s">
        <v>229</v>
      </c>
      <c r="B117" s="6" t="s">
        <v>230</v>
      </c>
      <c r="C117" s="15">
        <f>_xll.RssMarket("5838","現在値")</f>
        <v>5561</v>
      </c>
      <c r="D117" s="16">
        <f t="shared" si="3"/>
        <v>155</v>
      </c>
      <c r="E117" s="13">
        <v>5406</v>
      </c>
      <c r="F117" s="13">
        <v>5304</v>
      </c>
      <c r="G117" s="13">
        <v>5473</v>
      </c>
      <c r="H117" s="13">
        <v>5312</v>
      </c>
      <c r="I117" s="13">
        <v>5447</v>
      </c>
      <c r="J117" s="13">
        <v>5559</v>
      </c>
      <c r="K117" s="13">
        <v>5648</v>
      </c>
      <c r="L117" s="13">
        <v>5576</v>
      </c>
      <c r="M117" s="13">
        <v>5714</v>
      </c>
      <c r="N117" s="13">
        <v>5486</v>
      </c>
      <c r="O117" s="13">
        <v>5340</v>
      </c>
      <c r="P117" s="13">
        <v>5221</v>
      </c>
      <c r="Q117" s="13">
        <v>5680</v>
      </c>
      <c r="R117" s="13">
        <v>5800</v>
      </c>
      <c r="S117" s="13">
        <v>5809</v>
      </c>
      <c r="T117" s="13">
        <v>5735</v>
      </c>
      <c r="U117" s="13">
        <v>5712</v>
      </c>
      <c r="V117" s="13">
        <v>5787</v>
      </c>
      <c r="W117" s="13">
        <v>5646</v>
      </c>
      <c r="X117" s="13">
        <v>5425</v>
      </c>
      <c r="Y117" s="13">
        <v>5395</v>
      </c>
      <c r="Z117" s="13">
        <v>5328</v>
      </c>
      <c r="AA117" s="13">
        <v>5123</v>
      </c>
      <c r="AB117" s="13">
        <v>5170</v>
      </c>
      <c r="AC117" s="13">
        <v>5097</v>
      </c>
      <c r="AD117" s="13">
        <v>5039</v>
      </c>
      <c r="AE117" s="13">
        <v>5000</v>
      </c>
      <c r="AF117" s="13">
        <v>5000</v>
      </c>
      <c r="AG117" s="13">
        <v>5020</v>
      </c>
      <c r="AH117" s="13">
        <v>5037</v>
      </c>
      <c r="AI117" s="13">
        <v>5124</v>
      </c>
      <c r="AJ117" s="13">
        <v>5299</v>
      </c>
      <c r="AK117" s="13">
        <v>5161</v>
      </c>
      <c r="AL117" s="13">
        <v>5244</v>
      </c>
      <c r="AM117" s="13">
        <v>5119</v>
      </c>
      <c r="AN117" s="13">
        <v>5260</v>
      </c>
      <c r="AO117" s="13">
        <v>5104</v>
      </c>
      <c r="AP117" s="13">
        <v>4762</v>
      </c>
      <c r="AQ117" s="13">
        <v>4869</v>
      </c>
      <c r="AR117" s="13">
        <v>4950</v>
      </c>
      <c r="AS117" s="13">
        <v>4955</v>
      </c>
      <c r="AT117" s="13">
        <v>4899</v>
      </c>
      <c r="AU117" s="13">
        <v>4562</v>
      </c>
      <c r="AV117" s="13">
        <v>4653</v>
      </c>
      <c r="AW117" s="13">
        <v>4793</v>
      </c>
      <c r="AX117" s="13">
        <v>4798</v>
      </c>
      <c r="AY117" s="13">
        <v>5096</v>
      </c>
      <c r="AZ117" s="13">
        <v>4847</v>
      </c>
      <c r="BA117" s="13">
        <v>5480</v>
      </c>
      <c r="BB117" s="13">
        <v>6480</v>
      </c>
      <c r="BC117" s="13">
        <v>6767</v>
      </c>
      <c r="BD117" s="13">
        <v>6601</v>
      </c>
      <c r="BE117" s="13">
        <v>6000</v>
      </c>
      <c r="BF117" s="13">
        <v>6039</v>
      </c>
      <c r="BG117" s="13">
        <v>6156</v>
      </c>
      <c r="BH117" s="13">
        <v>6422</v>
      </c>
      <c r="BI117" s="13">
        <v>6267</v>
      </c>
      <c r="BJ117" s="13">
        <v>6291</v>
      </c>
      <c r="BK117" s="13">
        <v>6294</v>
      </c>
      <c r="BL117" s="13">
        <v>6238</v>
      </c>
      <c r="BM117" s="4">
        <v>6305</v>
      </c>
      <c r="BN117" s="4">
        <v>6415</v>
      </c>
      <c r="BO117" s="4">
        <v>6132</v>
      </c>
      <c r="BP117" s="4">
        <v>6156</v>
      </c>
      <c r="BQ117" s="4">
        <v>6250</v>
      </c>
      <c r="BR117" s="4">
        <v>6131</v>
      </c>
      <c r="BS117" s="4">
        <v>6431</v>
      </c>
      <c r="BT117" s="4">
        <v>6549</v>
      </c>
      <c r="BU117" s="4">
        <v>6552</v>
      </c>
      <c r="BV117" s="4">
        <v>6750</v>
      </c>
      <c r="BW117" s="4">
        <v>6795</v>
      </c>
      <c r="BX117" s="4">
        <v>6759</v>
      </c>
      <c r="BY117" s="4">
        <v>6700</v>
      </c>
      <c r="BZ117" s="4">
        <v>6700</v>
      </c>
    </row>
    <row r="118" spans="1:78" ht="15.9" customHeight="1">
      <c r="A118" s="61" t="s">
        <v>231</v>
      </c>
      <c r="B118" s="6" t="s">
        <v>232</v>
      </c>
      <c r="C118" s="15">
        <f>_xll.RssMarket("5844","現在値")</f>
        <v>4659</v>
      </c>
      <c r="D118" s="16">
        <f t="shared" si="3"/>
        <v>85</v>
      </c>
      <c r="E118" s="13">
        <v>4574</v>
      </c>
      <c r="F118" s="13">
        <v>4490</v>
      </c>
      <c r="G118" s="13">
        <v>4437</v>
      </c>
      <c r="H118" s="13">
        <v>4473</v>
      </c>
      <c r="I118" s="13">
        <v>4533</v>
      </c>
      <c r="J118" s="13">
        <v>4603</v>
      </c>
      <c r="K118" s="13">
        <v>4687</v>
      </c>
      <c r="L118" s="13">
        <v>4634</v>
      </c>
      <c r="M118" s="13">
        <v>4665</v>
      </c>
      <c r="N118" s="13">
        <v>4618</v>
      </c>
      <c r="O118" s="13">
        <v>4500</v>
      </c>
      <c r="P118" s="13">
        <v>4384</v>
      </c>
      <c r="Q118" s="13">
        <v>4770</v>
      </c>
      <c r="R118" s="13">
        <v>4700</v>
      </c>
      <c r="S118" s="13">
        <v>4660</v>
      </c>
      <c r="T118" s="13">
        <v>4654</v>
      </c>
      <c r="U118" s="13">
        <v>4782</v>
      </c>
      <c r="V118" s="13">
        <v>4758</v>
      </c>
      <c r="W118" s="13">
        <v>4719</v>
      </c>
      <c r="X118" s="13">
        <v>4805</v>
      </c>
      <c r="Y118" s="13">
        <v>4710</v>
      </c>
      <c r="Z118" s="13">
        <v>4643</v>
      </c>
      <c r="AA118" s="13">
        <v>4573</v>
      </c>
      <c r="AB118" s="13">
        <v>4494</v>
      </c>
      <c r="AC118" s="13">
        <v>4511</v>
      </c>
      <c r="AD118" s="13">
        <v>4477</v>
      </c>
      <c r="AE118" s="13">
        <v>4532</v>
      </c>
      <c r="AF118" s="13">
        <v>4540</v>
      </c>
      <c r="AG118" s="13">
        <v>4628</v>
      </c>
      <c r="AH118" s="13">
        <v>4821</v>
      </c>
      <c r="AI118" s="13">
        <v>4726</v>
      </c>
      <c r="AJ118" s="13">
        <v>4658</v>
      </c>
      <c r="AK118" s="13">
        <v>4535</v>
      </c>
      <c r="AL118" s="13">
        <v>4656</v>
      </c>
      <c r="AM118" s="13">
        <v>4500</v>
      </c>
      <c r="AN118" s="13">
        <v>4462</v>
      </c>
      <c r="AO118" s="13">
        <v>4442</v>
      </c>
      <c r="AP118" s="13">
        <v>4494</v>
      </c>
      <c r="AQ118" s="13">
        <v>4575</v>
      </c>
      <c r="AR118" s="13">
        <v>4622</v>
      </c>
      <c r="AS118" s="13">
        <v>4482</v>
      </c>
      <c r="AT118" s="13">
        <v>4347</v>
      </c>
      <c r="AU118" s="13">
        <v>4373</v>
      </c>
      <c r="AV118" s="13">
        <v>4419</v>
      </c>
      <c r="AW118" s="13">
        <v>4420</v>
      </c>
      <c r="AX118" s="13">
        <v>4502</v>
      </c>
      <c r="AY118" s="13">
        <v>4575</v>
      </c>
      <c r="AZ118" s="13">
        <v>4479</v>
      </c>
      <c r="BA118" s="13">
        <v>4495</v>
      </c>
      <c r="BB118" s="13">
        <v>4385</v>
      </c>
      <c r="BC118" s="13">
        <v>4407</v>
      </c>
      <c r="BD118" s="13">
        <v>4374</v>
      </c>
      <c r="BE118" s="13">
        <v>4413</v>
      </c>
      <c r="BF118" s="13">
        <v>4400</v>
      </c>
      <c r="BG118" s="13">
        <v>4484</v>
      </c>
      <c r="BH118" s="13">
        <v>4419</v>
      </c>
      <c r="BI118" s="13">
        <v>4401</v>
      </c>
      <c r="BJ118" s="13">
        <v>4395</v>
      </c>
      <c r="BK118" s="13">
        <v>4499</v>
      </c>
      <c r="BL118" s="13">
        <v>4373</v>
      </c>
      <c r="BM118" s="4">
        <v>4336</v>
      </c>
      <c r="BN118" s="4">
        <v>4352</v>
      </c>
      <c r="BO118" s="4">
        <v>4200</v>
      </c>
      <c r="BP118" s="4">
        <v>4295</v>
      </c>
      <c r="BQ118" s="4">
        <v>4264</v>
      </c>
      <c r="BR118" s="4">
        <v>4258</v>
      </c>
      <c r="BS118" s="4">
        <v>4333</v>
      </c>
      <c r="BT118" s="4">
        <v>4307</v>
      </c>
      <c r="BU118" s="4">
        <v>4393</v>
      </c>
      <c r="BV118" s="4">
        <v>4421</v>
      </c>
      <c r="BW118" s="4">
        <v>4393</v>
      </c>
      <c r="BX118" s="4">
        <v>4336</v>
      </c>
      <c r="BY118" s="4">
        <v>4373</v>
      </c>
      <c r="BZ118" s="4">
        <v>4330</v>
      </c>
    </row>
    <row r="119" spans="1:78" ht="15.9" customHeight="1">
      <c r="A119" s="61" t="s">
        <v>233</v>
      </c>
      <c r="B119" s="6" t="s">
        <v>234</v>
      </c>
      <c r="C119" s="15">
        <f>_xll.RssMarket("9404","現在値")</f>
        <v>2776</v>
      </c>
      <c r="D119" s="16">
        <f t="shared" si="3"/>
        <v>-7.5</v>
      </c>
      <c r="E119" s="13">
        <v>2783.5</v>
      </c>
      <c r="F119" s="13">
        <v>2897.5</v>
      </c>
      <c r="G119" s="13">
        <v>2916</v>
      </c>
      <c r="H119" s="13">
        <v>3004</v>
      </c>
      <c r="I119" s="13">
        <v>3055</v>
      </c>
      <c r="J119" s="13">
        <v>2967.5</v>
      </c>
      <c r="K119" s="13">
        <v>2932</v>
      </c>
      <c r="L119" s="13">
        <v>2850.5</v>
      </c>
      <c r="M119" s="13">
        <v>2820.5</v>
      </c>
      <c r="N119" s="13">
        <v>2857.5</v>
      </c>
      <c r="O119" s="13">
        <v>2882</v>
      </c>
      <c r="P119" s="13">
        <v>2933.5</v>
      </c>
      <c r="Q119" s="13">
        <v>2868.5</v>
      </c>
      <c r="R119" s="13">
        <v>2880</v>
      </c>
      <c r="S119" s="13">
        <v>2875.5</v>
      </c>
      <c r="T119" s="13">
        <v>2885</v>
      </c>
      <c r="U119" s="13">
        <v>2911.5</v>
      </c>
      <c r="V119" s="13">
        <v>2921</v>
      </c>
      <c r="W119" s="13">
        <v>2932.5</v>
      </c>
      <c r="X119" s="13">
        <v>2896</v>
      </c>
      <c r="Y119" s="13">
        <v>2860.5</v>
      </c>
      <c r="Z119" s="13">
        <v>2869.5</v>
      </c>
      <c r="AA119" s="13">
        <v>2821.5</v>
      </c>
      <c r="AB119" s="13">
        <v>2794.5</v>
      </c>
      <c r="AC119" s="13">
        <v>2740</v>
      </c>
      <c r="AD119" s="13">
        <v>2722</v>
      </c>
      <c r="AE119" s="13">
        <v>2698.5</v>
      </c>
      <c r="AF119" s="13">
        <v>2705.5</v>
      </c>
      <c r="AG119" s="13">
        <v>2744.5</v>
      </c>
      <c r="AH119" s="13">
        <v>2784</v>
      </c>
      <c r="AI119" s="13">
        <v>2790.5</v>
      </c>
      <c r="AJ119" s="13">
        <v>2865</v>
      </c>
      <c r="AK119" s="13">
        <v>2834</v>
      </c>
      <c r="AL119" s="13">
        <v>2884</v>
      </c>
      <c r="AM119" s="13">
        <v>2828.5</v>
      </c>
      <c r="AN119" s="13">
        <v>2831.5</v>
      </c>
      <c r="AO119" s="13">
        <v>2871</v>
      </c>
      <c r="AP119" s="13">
        <v>2885.5</v>
      </c>
      <c r="AQ119" s="13">
        <v>2867</v>
      </c>
      <c r="AR119" s="13">
        <v>2878.5</v>
      </c>
      <c r="AS119" s="13">
        <v>2792</v>
      </c>
      <c r="AT119" s="13">
        <v>2793</v>
      </c>
      <c r="AU119" s="13">
        <v>2798</v>
      </c>
      <c r="AV119" s="13">
        <v>2839.5</v>
      </c>
      <c r="AW119" s="13">
        <v>2852.5</v>
      </c>
      <c r="AX119" s="13">
        <v>2871</v>
      </c>
      <c r="AY119" s="13">
        <v>2843.5</v>
      </c>
      <c r="AZ119" s="13">
        <v>2921</v>
      </c>
      <c r="BA119" s="13">
        <v>2954.5</v>
      </c>
      <c r="BB119" s="13">
        <v>2935.5</v>
      </c>
      <c r="BC119" s="13">
        <v>2942</v>
      </c>
      <c r="BD119" s="13">
        <v>2871</v>
      </c>
      <c r="BE119" s="13">
        <v>2919.5</v>
      </c>
      <c r="BF119" s="13">
        <v>2921</v>
      </c>
      <c r="BG119" s="13">
        <v>2960.5</v>
      </c>
      <c r="BH119" s="13">
        <v>2936.5</v>
      </c>
      <c r="BI119" s="13">
        <v>2935</v>
      </c>
      <c r="BJ119" s="13">
        <v>2987.5</v>
      </c>
      <c r="BK119" s="13">
        <v>2982</v>
      </c>
      <c r="BL119" s="13">
        <v>2986</v>
      </c>
      <c r="BM119" s="4">
        <v>2976.5</v>
      </c>
      <c r="BN119" s="4">
        <v>3019</v>
      </c>
      <c r="BO119" s="4">
        <v>3031</v>
      </c>
      <c r="BP119" s="4">
        <v>2988.5</v>
      </c>
      <c r="BQ119" s="4">
        <v>3004</v>
      </c>
      <c r="BR119" s="4">
        <v>3057</v>
      </c>
      <c r="BS119" s="4">
        <v>3141</v>
      </c>
      <c r="BT119" s="4">
        <v>3161</v>
      </c>
      <c r="BU119" s="4">
        <v>3189</v>
      </c>
      <c r="BV119" s="4">
        <v>3152</v>
      </c>
      <c r="BW119" s="4">
        <v>3152</v>
      </c>
      <c r="BX119" s="4">
        <v>3142</v>
      </c>
      <c r="BY119" s="4">
        <v>3136</v>
      </c>
      <c r="BZ119" s="4">
        <v>3128</v>
      </c>
    </row>
    <row r="120" spans="1:78" ht="15.9" customHeight="1">
      <c r="A120" s="61" t="s">
        <v>235</v>
      </c>
      <c r="B120" s="6" t="s">
        <v>236</v>
      </c>
      <c r="C120" s="15">
        <f>_xll.RssMarket("6744","現在値")</f>
        <v>4605</v>
      </c>
      <c r="D120" s="16">
        <f t="shared" si="3"/>
        <v>115</v>
      </c>
      <c r="E120" s="13">
        <v>4490</v>
      </c>
      <c r="F120" s="13">
        <v>4470</v>
      </c>
      <c r="G120" s="13">
        <v>4450</v>
      </c>
      <c r="H120" s="13">
        <v>4380</v>
      </c>
      <c r="I120" s="13">
        <v>4405</v>
      </c>
      <c r="J120" s="13">
        <v>4405</v>
      </c>
      <c r="K120" s="13">
        <v>4410</v>
      </c>
      <c r="L120" s="13"/>
      <c r="M120" s="13">
        <v>4265</v>
      </c>
      <c r="N120" s="13">
        <v>4280</v>
      </c>
      <c r="O120" s="13">
        <v>4270</v>
      </c>
      <c r="P120" s="13">
        <v>4190</v>
      </c>
      <c r="Q120" s="13">
        <v>4350</v>
      </c>
      <c r="R120" s="13">
        <v>4250</v>
      </c>
      <c r="S120" s="13">
        <v>4235</v>
      </c>
      <c r="T120" s="13">
        <v>4300</v>
      </c>
      <c r="U120" s="13">
        <v>4315</v>
      </c>
      <c r="V120" s="13">
        <v>4295</v>
      </c>
      <c r="W120" s="13">
        <v>4410</v>
      </c>
      <c r="X120" s="13">
        <v>4415</v>
      </c>
      <c r="Y120" s="13">
        <v>4370</v>
      </c>
      <c r="Z120" s="13">
        <v>4175</v>
      </c>
      <c r="AA120" s="13">
        <v>4120</v>
      </c>
      <c r="AB120" s="13">
        <v>4090</v>
      </c>
      <c r="AC120" s="13">
        <v>4150</v>
      </c>
      <c r="AD120" s="13">
        <v>4130</v>
      </c>
      <c r="AE120" s="13">
        <v>4135</v>
      </c>
      <c r="AF120" s="13">
        <v>4175</v>
      </c>
      <c r="AG120" s="13">
        <v>4165</v>
      </c>
      <c r="AH120" s="13">
        <v>4205</v>
      </c>
      <c r="AI120" s="13">
        <v>4235</v>
      </c>
      <c r="AJ120" s="13">
        <v>4210</v>
      </c>
      <c r="AK120" s="13">
        <v>4175</v>
      </c>
      <c r="AL120" s="13">
        <v>4185</v>
      </c>
      <c r="AM120" s="13">
        <v>4200</v>
      </c>
      <c r="AN120" s="13">
        <v>4250</v>
      </c>
      <c r="AO120" s="13">
        <v>4210</v>
      </c>
      <c r="AP120" s="13">
        <v>4290</v>
      </c>
      <c r="AQ120" s="13">
        <v>4365</v>
      </c>
      <c r="AR120" s="13">
        <v>4500</v>
      </c>
      <c r="AS120" s="13">
        <v>4520</v>
      </c>
      <c r="AT120" s="13">
        <v>4540</v>
      </c>
      <c r="AU120" s="13">
        <v>4645</v>
      </c>
      <c r="AV120" s="13">
        <v>4930</v>
      </c>
      <c r="AW120" s="13">
        <v>4805</v>
      </c>
      <c r="AX120" s="13">
        <v>4780</v>
      </c>
      <c r="AY120" s="13">
        <v>4735</v>
      </c>
      <c r="AZ120" s="13">
        <v>4645</v>
      </c>
      <c r="BA120" s="13">
        <v>4670</v>
      </c>
      <c r="BB120" s="13">
        <v>4590</v>
      </c>
      <c r="BC120" s="13">
        <v>4660</v>
      </c>
      <c r="BD120" s="13">
        <v>4710</v>
      </c>
      <c r="BE120" s="13">
        <v>4665</v>
      </c>
      <c r="BF120" s="13">
        <v>4520</v>
      </c>
      <c r="BG120" s="13">
        <v>4300</v>
      </c>
      <c r="BH120" s="13">
        <v>4430</v>
      </c>
      <c r="BI120" s="13">
        <v>4350</v>
      </c>
      <c r="BJ120" s="13">
        <v>4355</v>
      </c>
      <c r="BK120" s="13">
        <v>4310</v>
      </c>
      <c r="BL120" s="13">
        <v>4220</v>
      </c>
      <c r="BM120" s="4">
        <v>4110</v>
      </c>
      <c r="BN120" s="4">
        <v>4025</v>
      </c>
      <c r="BO120" s="4">
        <v>3975</v>
      </c>
      <c r="BP120" s="4">
        <v>3905</v>
      </c>
      <c r="BQ120" s="4">
        <v>3965</v>
      </c>
      <c r="BR120" s="4">
        <v>4025</v>
      </c>
      <c r="BS120" s="4">
        <v>4040</v>
      </c>
      <c r="BT120" s="4">
        <v>4065</v>
      </c>
      <c r="BU120" s="4">
        <v>4110</v>
      </c>
      <c r="BV120" s="4">
        <v>4215</v>
      </c>
      <c r="BW120" s="4">
        <v>4285</v>
      </c>
      <c r="BX120" s="4">
        <v>4365</v>
      </c>
      <c r="BY120" s="4">
        <v>4385</v>
      </c>
      <c r="BZ120" s="4">
        <v>4410</v>
      </c>
    </row>
    <row r="121" spans="1:78" ht="15.9" customHeight="1">
      <c r="A121" s="61" t="s">
        <v>237</v>
      </c>
      <c r="B121" s="6" t="s">
        <v>238</v>
      </c>
      <c r="C121" s="15">
        <f>_xll.RssMarket("7685","現在値")</f>
        <v>3130</v>
      </c>
      <c r="D121" s="16">
        <f t="shared" si="3"/>
        <v>150</v>
      </c>
      <c r="E121" s="13">
        <v>2980</v>
      </c>
      <c r="F121" s="13">
        <v>2952</v>
      </c>
      <c r="G121" s="13">
        <v>2972</v>
      </c>
      <c r="H121" s="13">
        <v>2941</v>
      </c>
      <c r="I121" s="13">
        <v>3025</v>
      </c>
      <c r="J121" s="13">
        <v>3080</v>
      </c>
      <c r="K121" s="13">
        <v>3075</v>
      </c>
      <c r="L121" s="13"/>
      <c r="M121" s="13">
        <v>3125</v>
      </c>
      <c r="N121" s="13">
        <v>3215</v>
      </c>
      <c r="O121" s="13">
        <v>3350</v>
      </c>
      <c r="P121" s="13">
        <v>3400</v>
      </c>
      <c r="Q121" s="13">
        <v>3585</v>
      </c>
      <c r="R121" s="13">
        <v>3520</v>
      </c>
      <c r="S121" s="13">
        <v>3575</v>
      </c>
      <c r="T121" s="13">
        <v>3505</v>
      </c>
      <c r="U121" s="13">
        <v>3565</v>
      </c>
      <c r="V121" s="13">
        <v>3660</v>
      </c>
      <c r="W121" s="13">
        <v>3505</v>
      </c>
      <c r="X121" s="13">
        <v>3475</v>
      </c>
      <c r="Y121" s="13">
        <v>3565</v>
      </c>
      <c r="Z121" s="13">
        <v>3425</v>
      </c>
      <c r="AA121" s="13">
        <v>3285</v>
      </c>
      <c r="AB121" s="13">
        <v>3295</v>
      </c>
      <c r="AC121" s="13">
        <v>3325</v>
      </c>
      <c r="AD121" s="13">
        <v>3380</v>
      </c>
      <c r="AE121" s="13">
        <v>3480</v>
      </c>
      <c r="AF121" s="13">
        <v>3575</v>
      </c>
      <c r="AG121" s="13">
        <v>3630</v>
      </c>
      <c r="AH121" s="13">
        <v>3465</v>
      </c>
      <c r="AI121" s="13">
        <v>3450</v>
      </c>
      <c r="AJ121" s="13">
        <v>3565</v>
      </c>
      <c r="AK121" s="13">
        <v>3595</v>
      </c>
      <c r="AL121" s="13">
        <v>3630</v>
      </c>
      <c r="AM121" s="13">
        <v>3570</v>
      </c>
      <c r="AN121" s="13">
        <v>3755</v>
      </c>
      <c r="AO121" s="13">
        <v>3835</v>
      </c>
      <c r="AP121" s="13">
        <v>3820</v>
      </c>
      <c r="AQ121" s="13">
        <v>3585</v>
      </c>
      <c r="AR121" s="13">
        <v>3740</v>
      </c>
      <c r="AS121" s="13">
        <v>3690</v>
      </c>
      <c r="AT121" s="13">
        <v>3855</v>
      </c>
      <c r="AU121" s="13">
        <v>3920</v>
      </c>
      <c r="AV121" s="13">
        <v>4085</v>
      </c>
      <c r="AW121" s="13">
        <v>4015</v>
      </c>
      <c r="AX121" s="13">
        <v>3930</v>
      </c>
      <c r="AY121" s="13">
        <v>3825</v>
      </c>
      <c r="AZ121" s="13">
        <v>3790</v>
      </c>
      <c r="BA121" s="13">
        <v>3665</v>
      </c>
      <c r="BB121" s="13">
        <v>3815</v>
      </c>
      <c r="BC121" s="13">
        <v>3765</v>
      </c>
      <c r="BD121" s="13">
        <v>3345</v>
      </c>
      <c r="BE121" s="13">
        <v>3450</v>
      </c>
      <c r="BF121" s="13">
        <v>3445</v>
      </c>
      <c r="BG121" s="13">
        <v>3325</v>
      </c>
      <c r="BH121" s="13">
        <v>3175</v>
      </c>
      <c r="BI121" s="13">
        <v>3340</v>
      </c>
      <c r="BJ121" s="13">
        <v>3280</v>
      </c>
      <c r="BK121" s="13">
        <v>3205</v>
      </c>
      <c r="BL121" s="13">
        <v>3160</v>
      </c>
      <c r="BM121" s="4">
        <v>3350</v>
      </c>
      <c r="BN121" s="4">
        <v>3185</v>
      </c>
      <c r="BO121" s="4">
        <v>3170</v>
      </c>
      <c r="BP121" s="4">
        <v>3110</v>
      </c>
      <c r="BQ121" s="4">
        <v>3310</v>
      </c>
      <c r="BR121" s="4">
        <v>3300</v>
      </c>
      <c r="BS121" s="4">
        <v>3490</v>
      </c>
      <c r="BT121" s="4">
        <v>3460</v>
      </c>
      <c r="BU121" s="4">
        <v>3540</v>
      </c>
      <c r="BV121" s="4">
        <v>3645</v>
      </c>
      <c r="BW121" s="4">
        <v>3645</v>
      </c>
      <c r="BX121" s="4">
        <v>3530</v>
      </c>
      <c r="BY121" s="4">
        <v>3525</v>
      </c>
      <c r="BZ121" s="4">
        <v>3375</v>
      </c>
    </row>
    <row r="122" spans="1:78" ht="15.9" customHeight="1">
      <c r="A122" s="61" t="s">
        <v>239</v>
      </c>
      <c r="B122" s="6" t="s">
        <v>240</v>
      </c>
      <c r="C122" s="15">
        <f>_xll.RssMarket("8334","現在値")</f>
        <v>2560.5</v>
      </c>
      <c r="D122" s="16">
        <f t="shared" si="3"/>
        <v>65</v>
      </c>
      <c r="E122" s="13">
        <v>2495.5</v>
      </c>
      <c r="F122" s="13">
        <v>2527.5</v>
      </c>
      <c r="G122" s="13">
        <v>2538.5</v>
      </c>
      <c r="H122" s="13">
        <v>2475</v>
      </c>
      <c r="I122" s="13">
        <v>2510</v>
      </c>
      <c r="J122" s="13">
        <v>2571</v>
      </c>
      <c r="K122" s="13">
        <v>2658.5</v>
      </c>
      <c r="L122" s="13">
        <v>2609</v>
      </c>
      <c r="M122" s="13">
        <v>2595</v>
      </c>
      <c r="N122" s="13">
        <v>2586</v>
      </c>
      <c r="O122" s="13">
        <v>2532</v>
      </c>
      <c r="P122" s="13">
        <v>2436.5</v>
      </c>
      <c r="Q122" s="13">
        <v>2621</v>
      </c>
      <c r="R122" s="13">
        <v>2564.5</v>
      </c>
      <c r="S122" s="13">
        <v>2513.5</v>
      </c>
      <c r="T122" s="13">
        <v>2492.5</v>
      </c>
      <c r="U122" s="13">
        <v>2491</v>
      </c>
      <c r="V122" s="13">
        <v>2506.5</v>
      </c>
      <c r="W122" s="13">
        <v>2442</v>
      </c>
      <c r="X122" s="13">
        <v>2481.5</v>
      </c>
      <c r="Y122" s="13">
        <v>2419</v>
      </c>
      <c r="Z122" s="13">
        <v>2405.5</v>
      </c>
      <c r="AA122" s="13">
        <v>2358.5</v>
      </c>
      <c r="AB122" s="13">
        <v>2342.5</v>
      </c>
      <c r="AC122" s="13">
        <v>2341.5</v>
      </c>
      <c r="AD122" s="13">
        <v>2334</v>
      </c>
      <c r="AE122" s="13">
        <v>2318.5</v>
      </c>
      <c r="AF122" s="13">
        <v>2290.5</v>
      </c>
      <c r="AG122" s="13">
        <v>2307</v>
      </c>
      <c r="AH122" s="13">
        <v>2335</v>
      </c>
      <c r="AI122" s="13">
        <v>2316.5</v>
      </c>
      <c r="AJ122" s="13">
        <v>2331.5</v>
      </c>
      <c r="AK122" s="13">
        <v>2307</v>
      </c>
      <c r="AL122" s="13">
        <v>2333</v>
      </c>
      <c r="AM122" s="13">
        <v>2358</v>
      </c>
      <c r="AN122" s="13">
        <v>2343.5</v>
      </c>
      <c r="AO122" s="13">
        <v>2299.5</v>
      </c>
      <c r="AP122" s="13">
        <v>2313</v>
      </c>
      <c r="AQ122" s="13">
        <v>2257</v>
      </c>
      <c r="AR122" s="13">
        <v>2262.5</v>
      </c>
      <c r="AS122" s="13">
        <v>2225.5</v>
      </c>
      <c r="AT122" s="13">
        <v>2199</v>
      </c>
      <c r="AU122" s="13">
        <v>2166.5</v>
      </c>
      <c r="AV122" s="13">
        <v>2260</v>
      </c>
      <c r="AW122" s="13">
        <v>2234</v>
      </c>
      <c r="AX122" s="13">
        <v>2268</v>
      </c>
      <c r="AY122" s="13">
        <v>2305</v>
      </c>
      <c r="AZ122" s="13">
        <v>2316</v>
      </c>
      <c r="BA122" s="13">
        <v>2346</v>
      </c>
      <c r="BB122" s="13">
        <v>2309</v>
      </c>
      <c r="BC122" s="13">
        <v>2280</v>
      </c>
      <c r="BD122" s="13">
        <v>2238</v>
      </c>
      <c r="BE122" s="13">
        <v>2232</v>
      </c>
      <c r="BF122" s="13">
        <v>2179</v>
      </c>
      <c r="BG122" s="13">
        <v>2191</v>
      </c>
      <c r="BH122" s="13">
        <v>2171.5</v>
      </c>
      <c r="BI122" s="13">
        <v>2218.5</v>
      </c>
      <c r="BJ122" s="13">
        <v>2164</v>
      </c>
      <c r="BK122" s="13">
        <v>2223</v>
      </c>
      <c r="BL122" s="13">
        <v>2157</v>
      </c>
      <c r="BM122" s="4">
        <v>2159.5</v>
      </c>
      <c r="BN122" s="4">
        <v>2206</v>
      </c>
      <c r="BO122" s="4">
        <v>2026.5</v>
      </c>
      <c r="BP122" s="4">
        <v>2030</v>
      </c>
      <c r="BQ122" s="4">
        <v>2042</v>
      </c>
      <c r="BR122" s="4">
        <v>2058.5</v>
      </c>
      <c r="BS122" s="4">
        <v>2118</v>
      </c>
      <c r="BT122" s="4">
        <v>2180</v>
      </c>
      <c r="BU122" s="4">
        <v>2214</v>
      </c>
      <c r="BV122" s="4">
        <v>2264.5</v>
      </c>
      <c r="BW122" s="4">
        <v>2257</v>
      </c>
      <c r="BX122" s="4">
        <v>2239.5</v>
      </c>
      <c r="BY122" s="4">
        <v>2273.5</v>
      </c>
      <c r="BZ122" s="4">
        <v>2269</v>
      </c>
    </row>
    <row r="123" spans="1:78" ht="15.9" customHeight="1">
      <c r="A123" s="61" t="s">
        <v>241</v>
      </c>
      <c r="B123" s="6" t="s">
        <v>242</v>
      </c>
      <c r="C123" s="15">
        <f>_xll.RssMarket("8359","現在値")</f>
        <v>2568</v>
      </c>
      <c r="D123" s="16">
        <f t="shared" si="3"/>
        <v>79.5</v>
      </c>
      <c r="E123" s="13">
        <v>2488.5</v>
      </c>
      <c r="F123" s="13">
        <v>2492.5</v>
      </c>
      <c r="G123" s="13">
        <v>2508</v>
      </c>
      <c r="H123" s="13">
        <v>2494</v>
      </c>
      <c r="I123" s="13">
        <v>2532</v>
      </c>
      <c r="J123" s="13">
        <v>2609.5</v>
      </c>
      <c r="K123" s="13">
        <v>2699.5</v>
      </c>
      <c r="L123" s="13">
        <v>2674</v>
      </c>
      <c r="M123" s="13">
        <v>2652.5</v>
      </c>
      <c r="N123" s="13">
        <v>2619.5</v>
      </c>
      <c r="O123" s="13">
        <v>2578.5</v>
      </c>
      <c r="P123" s="13">
        <v>2456.5</v>
      </c>
      <c r="Q123" s="13">
        <v>2638</v>
      </c>
      <c r="R123" s="13">
        <v>2590</v>
      </c>
      <c r="S123" s="13">
        <v>2565</v>
      </c>
      <c r="T123" s="13">
        <v>2551</v>
      </c>
      <c r="U123" s="13">
        <v>2579.5</v>
      </c>
      <c r="V123" s="13">
        <v>2582</v>
      </c>
      <c r="W123" s="13">
        <v>2554</v>
      </c>
      <c r="X123" s="13">
        <v>2550</v>
      </c>
      <c r="Y123" s="13">
        <v>2529.5</v>
      </c>
      <c r="Z123" s="13">
        <v>2468</v>
      </c>
      <c r="AA123" s="13">
        <v>2412.5</v>
      </c>
      <c r="AB123" s="13">
        <v>2388.5</v>
      </c>
      <c r="AC123" s="13">
        <v>2388.5</v>
      </c>
      <c r="AD123" s="13">
        <v>2387</v>
      </c>
      <c r="AE123" s="13">
        <v>2355.5</v>
      </c>
      <c r="AF123" s="13">
        <v>2354.5</v>
      </c>
      <c r="AG123" s="13">
        <v>2392.5</v>
      </c>
      <c r="AH123" s="13">
        <v>2406.5</v>
      </c>
      <c r="AI123" s="13">
        <v>2347</v>
      </c>
      <c r="AJ123" s="13">
        <v>2354</v>
      </c>
      <c r="AK123" s="13">
        <v>2287</v>
      </c>
      <c r="AL123" s="13">
        <v>2346</v>
      </c>
      <c r="AM123" s="13">
        <v>2380</v>
      </c>
      <c r="AN123" s="13">
        <v>2342.5</v>
      </c>
      <c r="AO123" s="13">
        <v>2304.5</v>
      </c>
      <c r="AP123" s="13">
        <v>2331</v>
      </c>
      <c r="AQ123" s="13">
        <v>2353.5</v>
      </c>
      <c r="AR123" s="13">
        <v>2380.5</v>
      </c>
      <c r="AS123" s="13">
        <v>2343.5</v>
      </c>
      <c r="AT123" s="13">
        <v>2311.5</v>
      </c>
      <c r="AU123" s="13">
        <v>2314.5</v>
      </c>
      <c r="AV123" s="13">
        <v>2323.5</v>
      </c>
      <c r="AW123" s="13">
        <v>2292</v>
      </c>
      <c r="AX123" s="13">
        <v>2295.5</v>
      </c>
      <c r="AY123" s="13">
        <v>2346</v>
      </c>
      <c r="AZ123" s="13">
        <v>2335</v>
      </c>
      <c r="BA123" s="13">
        <v>2350</v>
      </c>
      <c r="BB123" s="13">
        <v>2300.5</v>
      </c>
      <c r="BC123" s="13">
        <v>2270</v>
      </c>
      <c r="BD123" s="13">
        <v>2215.5</v>
      </c>
      <c r="BE123" s="13">
        <v>2388</v>
      </c>
      <c r="BF123" s="13">
        <v>2325</v>
      </c>
      <c r="BG123" s="13">
        <v>2357</v>
      </c>
      <c r="BH123" s="13">
        <v>2338.5</v>
      </c>
      <c r="BI123" s="13">
        <v>2295.5</v>
      </c>
      <c r="BJ123" s="13">
        <v>2201.5</v>
      </c>
      <c r="BK123" s="13">
        <v>2307.5</v>
      </c>
      <c r="BL123" s="13">
        <v>2094.5</v>
      </c>
      <c r="BM123" s="4">
        <v>2121.5</v>
      </c>
      <c r="BN123" s="4">
        <v>2168</v>
      </c>
      <c r="BO123" s="4">
        <v>2025.5</v>
      </c>
      <c r="BP123" s="4">
        <v>2027.5</v>
      </c>
      <c r="BQ123" s="4">
        <v>2026.5</v>
      </c>
      <c r="BR123" s="4">
        <v>2012</v>
      </c>
      <c r="BS123" s="4">
        <v>2035.5</v>
      </c>
      <c r="BT123" s="4">
        <v>2080</v>
      </c>
      <c r="BU123" s="4">
        <v>2104</v>
      </c>
      <c r="BV123" s="4">
        <v>2124.5</v>
      </c>
      <c r="BW123" s="4">
        <v>2103</v>
      </c>
      <c r="BX123" s="4">
        <v>2067.5</v>
      </c>
      <c r="BY123" s="4">
        <v>2089</v>
      </c>
      <c r="BZ123" s="4">
        <v>2105.5</v>
      </c>
    </row>
    <row r="124" spans="1:78" ht="15.9" customHeight="1">
      <c r="A124" s="61" t="s">
        <v>243</v>
      </c>
      <c r="B124" s="6" t="s">
        <v>244</v>
      </c>
      <c r="C124" s="15">
        <f>_xll.RssMarket("8801","現在値")</f>
        <v>1484.5</v>
      </c>
      <c r="D124" s="16">
        <f t="shared" si="3"/>
        <v>10.5</v>
      </c>
      <c r="E124" s="13">
        <v>1474</v>
      </c>
      <c r="F124" s="13">
        <v>1488.5</v>
      </c>
      <c r="G124" s="13">
        <v>1560</v>
      </c>
      <c r="H124" s="13">
        <v>1611</v>
      </c>
      <c r="I124" s="13">
        <v>1627</v>
      </c>
      <c r="J124" s="13">
        <v>1595.5</v>
      </c>
      <c r="K124" s="13">
        <v>1588</v>
      </c>
      <c r="L124" s="13">
        <v>1550</v>
      </c>
      <c r="M124" s="13">
        <v>1550</v>
      </c>
      <c r="N124" s="13">
        <v>1557</v>
      </c>
      <c r="O124" s="13">
        <v>1574.5</v>
      </c>
      <c r="P124" s="13">
        <v>1537</v>
      </c>
      <c r="Q124" s="13">
        <v>1554</v>
      </c>
      <c r="R124" s="13">
        <v>1543</v>
      </c>
      <c r="S124" s="13">
        <v>1517</v>
      </c>
      <c r="T124" s="13">
        <v>1511</v>
      </c>
      <c r="U124" s="13">
        <v>1522</v>
      </c>
      <c r="V124" s="13">
        <v>1544.5</v>
      </c>
      <c r="W124" s="13">
        <v>1571.5</v>
      </c>
      <c r="X124" s="13">
        <v>1555.5</v>
      </c>
      <c r="Y124" s="13">
        <v>1540</v>
      </c>
      <c r="Z124" s="13">
        <v>1512</v>
      </c>
      <c r="AA124" s="13">
        <v>1479</v>
      </c>
      <c r="AB124" s="13">
        <v>1499</v>
      </c>
      <c r="AC124" s="13">
        <v>1520.5</v>
      </c>
      <c r="AD124" s="13">
        <v>1480</v>
      </c>
      <c r="AE124" s="13">
        <v>1475</v>
      </c>
      <c r="AF124" s="13">
        <v>1464</v>
      </c>
      <c r="AG124" s="13">
        <v>1448</v>
      </c>
      <c r="AH124" s="13">
        <v>1478.5</v>
      </c>
      <c r="AI124" s="13">
        <v>1509.5</v>
      </c>
      <c r="AJ124" s="13">
        <v>1508.5</v>
      </c>
      <c r="AK124" s="13">
        <v>1516.5</v>
      </c>
      <c r="AL124" s="13">
        <v>1530</v>
      </c>
      <c r="AM124" s="13">
        <v>1570.5</v>
      </c>
      <c r="AN124" s="13">
        <v>1558</v>
      </c>
      <c r="AO124" s="13">
        <v>1538</v>
      </c>
      <c r="AP124" s="13">
        <v>1546.5</v>
      </c>
      <c r="AQ124" s="13">
        <v>1462.5</v>
      </c>
      <c r="AR124" s="13">
        <v>1495</v>
      </c>
      <c r="AS124" s="13">
        <v>1467.5</v>
      </c>
      <c r="AT124" s="13">
        <v>1478.5</v>
      </c>
      <c r="AU124" s="13">
        <v>1510.5</v>
      </c>
      <c r="AV124" s="13">
        <v>1530.5</v>
      </c>
      <c r="AW124" s="13">
        <v>1505</v>
      </c>
      <c r="AX124" s="13">
        <v>1532</v>
      </c>
      <c r="AY124" s="13">
        <v>1523</v>
      </c>
      <c r="AZ124" s="13">
        <v>1480</v>
      </c>
      <c r="BA124" s="13">
        <v>1520</v>
      </c>
      <c r="BB124" s="13">
        <v>1508</v>
      </c>
      <c r="BC124" s="13">
        <v>1534</v>
      </c>
      <c r="BD124" s="13">
        <v>1498</v>
      </c>
      <c r="BE124" s="13">
        <v>1539.5</v>
      </c>
      <c r="BF124" s="13">
        <v>1528</v>
      </c>
      <c r="BG124" s="13">
        <v>1697.5</v>
      </c>
      <c r="BH124" s="13">
        <v>1674.5</v>
      </c>
      <c r="BI124" s="13">
        <v>1670.5</v>
      </c>
      <c r="BJ124" s="13">
        <v>1656.5</v>
      </c>
      <c r="BK124" s="13">
        <v>1699</v>
      </c>
      <c r="BL124" s="13">
        <v>1693</v>
      </c>
      <c r="BM124" s="4">
        <v>1704.5</v>
      </c>
      <c r="BN124" s="4">
        <v>1711</v>
      </c>
      <c r="BO124" s="4">
        <v>1701</v>
      </c>
      <c r="BP124" s="4">
        <v>1704</v>
      </c>
      <c r="BQ124" s="4">
        <v>1734</v>
      </c>
      <c r="BR124" s="4">
        <v>1719</v>
      </c>
      <c r="BS124" s="4">
        <v>1749</v>
      </c>
      <c r="BT124" s="4">
        <v>1753</v>
      </c>
      <c r="BU124" s="4">
        <v>1731</v>
      </c>
      <c r="BV124" s="4">
        <v>1759</v>
      </c>
      <c r="BW124" s="4">
        <v>1778.5</v>
      </c>
      <c r="BX124" s="4">
        <v>1787</v>
      </c>
      <c r="BY124" s="4">
        <v>1727.5</v>
      </c>
      <c r="BZ124" s="4">
        <v>1730</v>
      </c>
    </row>
    <row r="125" spans="1:78" ht="15.9" customHeight="1">
      <c r="A125" s="61" t="s">
        <v>245</v>
      </c>
      <c r="B125" s="6" t="s">
        <v>246</v>
      </c>
      <c r="C125" s="15">
        <f>_xll.RssMarket("8934","現在値")</f>
        <v>2434</v>
      </c>
      <c r="D125" s="16">
        <f t="shared" si="3"/>
        <v>23</v>
      </c>
      <c r="E125" s="13">
        <v>2411</v>
      </c>
      <c r="F125" s="13">
        <v>2435</v>
      </c>
      <c r="G125" s="13">
        <v>2508</v>
      </c>
      <c r="H125" s="13">
        <v>2547</v>
      </c>
      <c r="I125" s="13">
        <v>2582</v>
      </c>
      <c r="J125" s="13">
        <v>2548</v>
      </c>
      <c r="K125" s="13">
        <v>2562</v>
      </c>
      <c r="L125" s="13">
        <v>2487</v>
      </c>
      <c r="M125" s="13">
        <v>2511</v>
      </c>
      <c r="N125" s="13">
        <v>2544</v>
      </c>
      <c r="O125" s="13">
        <v>2532</v>
      </c>
      <c r="P125" s="13">
        <v>2501</v>
      </c>
      <c r="Q125" s="13">
        <v>2533</v>
      </c>
      <c r="R125" s="13">
        <v>2498</v>
      </c>
      <c r="S125" s="13">
        <v>2469</v>
      </c>
      <c r="T125" s="13">
        <v>2499</v>
      </c>
      <c r="U125" s="13">
        <v>2504</v>
      </c>
      <c r="V125" s="13">
        <v>2537</v>
      </c>
      <c r="W125" s="13">
        <v>2526</v>
      </c>
      <c r="X125" s="13">
        <v>2500</v>
      </c>
      <c r="Y125" s="13">
        <v>2453</v>
      </c>
      <c r="Z125" s="13">
        <v>2426</v>
      </c>
      <c r="AA125" s="13">
        <v>2387</v>
      </c>
      <c r="AB125" s="13">
        <v>2429</v>
      </c>
      <c r="AC125" s="13">
        <v>2451</v>
      </c>
      <c r="AD125" s="13">
        <v>2388</v>
      </c>
      <c r="AE125" s="13">
        <v>2365</v>
      </c>
      <c r="AF125" s="13">
        <v>2339</v>
      </c>
      <c r="AG125" s="13">
        <v>2339</v>
      </c>
      <c r="AH125" s="13">
        <v>2339</v>
      </c>
      <c r="AI125" s="13">
        <v>2380</v>
      </c>
      <c r="AJ125" s="13">
        <v>2346</v>
      </c>
      <c r="AK125" s="13">
        <v>2359</v>
      </c>
      <c r="AL125" s="13">
        <v>2361</v>
      </c>
      <c r="AM125" s="13">
        <v>2385</v>
      </c>
      <c r="AN125" s="13">
        <v>2380</v>
      </c>
      <c r="AO125" s="13">
        <v>2360</v>
      </c>
      <c r="AP125" s="13">
        <v>2401</v>
      </c>
      <c r="AQ125" s="13">
        <v>2321</v>
      </c>
      <c r="AR125" s="13">
        <v>2324</v>
      </c>
      <c r="AS125" s="13">
        <v>2276</v>
      </c>
      <c r="AT125" s="13">
        <v>2274</v>
      </c>
      <c r="AU125" s="13">
        <v>2266</v>
      </c>
      <c r="AV125" s="13">
        <v>2373</v>
      </c>
      <c r="AW125" s="13">
        <v>2360</v>
      </c>
      <c r="AX125" s="13">
        <v>2342</v>
      </c>
      <c r="AY125" s="13">
        <v>2359</v>
      </c>
      <c r="AZ125" s="13">
        <v>2339</v>
      </c>
      <c r="BA125" s="13">
        <v>2404</v>
      </c>
      <c r="BB125" s="13">
        <v>2343</v>
      </c>
      <c r="BC125" s="13">
        <v>2435</v>
      </c>
      <c r="BD125" s="13">
        <v>2402</v>
      </c>
      <c r="BE125" s="13">
        <v>2467</v>
      </c>
      <c r="BF125" s="13">
        <v>2445</v>
      </c>
      <c r="BG125" s="13">
        <v>2443</v>
      </c>
      <c r="BH125" s="13">
        <v>2443</v>
      </c>
      <c r="BI125" s="13">
        <v>2539</v>
      </c>
      <c r="BJ125" s="13">
        <v>2605</v>
      </c>
      <c r="BK125" s="13">
        <v>2626</v>
      </c>
      <c r="BL125" s="13">
        <v>2648</v>
      </c>
      <c r="BM125" s="4">
        <v>2685</v>
      </c>
      <c r="BN125" s="4">
        <v>2693</v>
      </c>
      <c r="BO125" s="4">
        <v>2649</v>
      </c>
      <c r="BP125" s="4">
        <v>2643</v>
      </c>
      <c r="BQ125" s="4">
        <v>2687</v>
      </c>
      <c r="BR125" s="4">
        <v>2711</v>
      </c>
      <c r="BS125" s="4">
        <v>2739</v>
      </c>
      <c r="BT125" s="4">
        <v>2769</v>
      </c>
      <c r="BU125" s="4">
        <v>2785</v>
      </c>
      <c r="BV125" s="4">
        <v>2801</v>
      </c>
      <c r="BW125" s="4">
        <v>2825</v>
      </c>
      <c r="BX125" s="4">
        <v>2818</v>
      </c>
      <c r="BY125" s="4">
        <v>2855</v>
      </c>
      <c r="BZ125" s="4">
        <v>2812</v>
      </c>
    </row>
    <row r="126" spans="1:78" ht="15.9" customHeight="1">
      <c r="A126" s="61" t="s">
        <v>247</v>
      </c>
      <c r="B126" s="6" t="s">
        <v>248</v>
      </c>
      <c r="C126" s="15">
        <f>_xll.RssMarket("9416","現在値")</f>
        <v>1023</v>
      </c>
      <c r="D126" s="16">
        <f t="shared" si="3"/>
        <v>14</v>
      </c>
      <c r="E126" s="13">
        <v>1009</v>
      </c>
      <c r="F126" s="13">
        <v>1027</v>
      </c>
      <c r="G126" s="13">
        <v>1033</v>
      </c>
      <c r="H126" s="13">
        <v>1039</v>
      </c>
      <c r="I126" s="13">
        <v>1049</v>
      </c>
      <c r="J126" s="13">
        <v>1023</v>
      </c>
      <c r="K126" s="13">
        <v>1021</v>
      </c>
      <c r="L126" s="13">
        <v>988</v>
      </c>
      <c r="M126" s="13">
        <v>990</v>
      </c>
      <c r="N126" s="13">
        <v>999</v>
      </c>
      <c r="O126" s="13">
        <v>1006</v>
      </c>
      <c r="P126" s="13">
        <v>998</v>
      </c>
      <c r="Q126" s="13">
        <v>1014</v>
      </c>
      <c r="R126" s="13">
        <v>1016</v>
      </c>
      <c r="S126" s="13">
        <v>1014</v>
      </c>
      <c r="T126" s="13">
        <v>1017</v>
      </c>
      <c r="U126" s="13">
        <v>1009</v>
      </c>
      <c r="V126" s="13">
        <v>1004</v>
      </c>
      <c r="W126" s="13">
        <v>1013</v>
      </c>
      <c r="X126" s="13">
        <v>1010</v>
      </c>
      <c r="Y126" s="13">
        <v>1001</v>
      </c>
      <c r="Z126" s="13">
        <v>983</v>
      </c>
      <c r="AA126" s="13">
        <v>964</v>
      </c>
      <c r="AB126" s="13">
        <v>969</v>
      </c>
      <c r="AC126" s="13">
        <v>975</v>
      </c>
      <c r="AD126" s="13">
        <v>986</v>
      </c>
      <c r="AE126" s="13">
        <v>975</v>
      </c>
      <c r="AF126" s="13">
        <v>978</v>
      </c>
      <c r="AG126" s="13">
        <v>985</v>
      </c>
      <c r="AH126" s="13">
        <v>1018</v>
      </c>
      <c r="AI126" s="13">
        <v>1030</v>
      </c>
      <c r="AJ126" s="13">
        <v>1023</v>
      </c>
      <c r="AK126" s="13">
        <v>1015</v>
      </c>
      <c r="AL126" s="13">
        <v>1018</v>
      </c>
      <c r="AM126" s="13">
        <v>1022</v>
      </c>
      <c r="AN126" s="13">
        <v>1020</v>
      </c>
      <c r="AO126" s="13">
        <v>1006</v>
      </c>
      <c r="AP126" s="13">
        <v>1009</v>
      </c>
      <c r="AQ126" s="13">
        <v>1031</v>
      </c>
      <c r="AR126" s="13">
        <v>1024</v>
      </c>
      <c r="AS126" s="13">
        <v>1005</v>
      </c>
      <c r="AT126" s="13">
        <v>1016</v>
      </c>
      <c r="AU126" s="13">
        <v>1023</v>
      </c>
      <c r="AV126" s="13">
        <v>1067</v>
      </c>
      <c r="AW126" s="13">
        <v>1057</v>
      </c>
      <c r="AX126" s="13">
        <v>1058</v>
      </c>
      <c r="AY126" s="13">
        <v>1099</v>
      </c>
      <c r="AZ126" s="13">
        <v>1018</v>
      </c>
      <c r="BA126" s="13">
        <v>1018</v>
      </c>
      <c r="BB126" s="13">
        <v>1022</v>
      </c>
      <c r="BC126" s="13">
        <v>1026</v>
      </c>
      <c r="BD126" s="13">
        <v>1004</v>
      </c>
      <c r="BE126" s="13">
        <v>1039</v>
      </c>
      <c r="BF126" s="13">
        <v>1105</v>
      </c>
      <c r="BG126" s="13">
        <v>1089</v>
      </c>
      <c r="BH126" s="13">
        <v>1098</v>
      </c>
      <c r="BI126" s="13">
        <v>1109</v>
      </c>
      <c r="BJ126" s="13">
        <v>1115</v>
      </c>
      <c r="BK126" s="13">
        <v>1108</v>
      </c>
      <c r="BL126" s="13">
        <v>1095</v>
      </c>
      <c r="BM126" s="4">
        <v>1093</v>
      </c>
      <c r="BN126" s="4">
        <v>1106</v>
      </c>
      <c r="BO126" s="4">
        <v>1091</v>
      </c>
      <c r="BP126" s="4">
        <v>1084</v>
      </c>
      <c r="BQ126" s="4">
        <v>1105</v>
      </c>
      <c r="BR126" s="4">
        <v>1114</v>
      </c>
      <c r="BS126" s="4">
        <v>1142</v>
      </c>
      <c r="BT126" s="4">
        <v>1161</v>
      </c>
      <c r="BU126" s="4">
        <v>1184</v>
      </c>
      <c r="BV126" s="4">
        <v>1190</v>
      </c>
      <c r="BW126" s="4">
        <v>1206</v>
      </c>
      <c r="BX126" s="4">
        <v>1187</v>
      </c>
      <c r="BY126" s="4">
        <v>1196</v>
      </c>
      <c r="BZ126" s="4">
        <v>1205</v>
      </c>
    </row>
    <row r="127" spans="1:78" ht="15.9" customHeight="1">
      <c r="A127" s="61" t="s">
        <v>249</v>
      </c>
      <c r="B127" s="6" t="s">
        <v>250</v>
      </c>
      <c r="C127" s="15">
        <f>_xll.RssMarket("9532","現在値")</f>
        <v>5334</v>
      </c>
      <c r="D127" s="16">
        <f t="shared" si="3"/>
        <v>-41</v>
      </c>
      <c r="E127" s="13">
        <v>5375</v>
      </c>
      <c r="F127" s="13">
        <v>5421</v>
      </c>
      <c r="G127" s="13">
        <v>5515</v>
      </c>
      <c r="H127" s="13">
        <v>5519</v>
      </c>
      <c r="I127" s="13">
        <v>5616</v>
      </c>
      <c r="J127" s="13">
        <v>5536</v>
      </c>
      <c r="K127" s="13">
        <v>5568</v>
      </c>
      <c r="L127" s="13">
        <v>5523</v>
      </c>
      <c r="M127" s="13">
        <v>5452</v>
      </c>
      <c r="N127" s="13">
        <v>5409</v>
      </c>
      <c r="O127" s="13">
        <v>5436</v>
      </c>
      <c r="P127" s="13">
        <v>5367</v>
      </c>
      <c r="Q127" s="13">
        <v>5392</v>
      </c>
      <c r="R127" s="13">
        <v>5382</v>
      </c>
      <c r="S127" s="13">
        <v>5299</v>
      </c>
      <c r="T127" s="13">
        <v>5363</v>
      </c>
      <c r="U127" s="13">
        <v>5417</v>
      </c>
      <c r="V127" s="13">
        <v>5493</v>
      </c>
      <c r="W127" s="13">
        <v>5528</v>
      </c>
      <c r="X127" s="13">
        <v>5515</v>
      </c>
      <c r="Y127" s="13">
        <v>5363</v>
      </c>
      <c r="Z127" s="13">
        <v>5334</v>
      </c>
      <c r="AA127" s="13">
        <v>5298</v>
      </c>
      <c r="AB127" s="13">
        <v>5456</v>
      </c>
      <c r="AC127" s="13">
        <v>5463</v>
      </c>
      <c r="AD127" s="13">
        <v>5378</v>
      </c>
      <c r="AE127" s="13">
        <v>5359</v>
      </c>
      <c r="AF127" s="13">
        <v>5412</v>
      </c>
      <c r="AG127" s="13">
        <v>5438</v>
      </c>
      <c r="AH127" s="13">
        <v>5451</v>
      </c>
      <c r="AI127" s="13">
        <v>5410</v>
      </c>
      <c r="AJ127" s="13">
        <v>5422</v>
      </c>
      <c r="AK127" s="13">
        <v>5446</v>
      </c>
      <c r="AL127" s="13">
        <v>5481</v>
      </c>
      <c r="AM127" s="13">
        <v>5500</v>
      </c>
      <c r="AN127" s="13">
        <v>5615</v>
      </c>
      <c r="AO127" s="13">
        <v>5672</v>
      </c>
      <c r="AP127" s="13">
        <v>5517</v>
      </c>
      <c r="AQ127" s="13">
        <v>5516</v>
      </c>
      <c r="AR127" s="13">
        <v>5489</v>
      </c>
      <c r="AS127" s="13">
        <v>5439</v>
      </c>
      <c r="AT127" s="13">
        <v>5569</v>
      </c>
      <c r="AU127" s="13">
        <v>5399</v>
      </c>
      <c r="AV127" s="13">
        <v>5361</v>
      </c>
      <c r="AW127" s="13">
        <v>5385</v>
      </c>
      <c r="AX127" s="13">
        <v>5500</v>
      </c>
      <c r="AY127" s="13">
        <v>5567</v>
      </c>
      <c r="AZ127" s="13">
        <v>5650</v>
      </c>
      <c r="BA127" s="13">
        <v>5668</v>
      </c>
      <c r="BB127" s="13">
        <v>5760</v>
      </c>
      <c r="BC127" s="13">
        <v>5806</v>
      </c>
      <c r="BD127" s="13">
        <v>5650</v>
      </c>
      <c r="BE127" s="13">
        <v>5732</v>
      </c>
      <c r="BF127" s="13">
        <v>5742</v>
      </c>
      <c r="BG127" s="13">
        <v>5769</v>
      </c>
      <c r="BH127" s="13">
        <v>5699</v>
      </c>
      <c r="BI127" s="13">
        <v>5590</v>
      </c>
      <c r="BJ127" s="13">
        <v>5767</v>
      </c>
      <c r="BK127" s="13">
        <v>5762</v>
      </c>
      <c r="BL127" s="13">
        <v>5704</v>
      </c>
      <c r="BM127" s="4">
        <v>5682</v>
      </c>
      <c r="BN127" s="4">
        <v>5949</v>
      </c>
      <c r="BO127" s="4">
        <v>5804</v>
      </c>
      <c r="BP127" s="4">
        <v>5839</v>
      </c>
      <c r="BQ127" s="4">
        <v>5856</v>
      </c>
      <c r="BR127" s="4">
        <v>5831</v>
      </c>
      <c r="BS127" s="4">
        <v>5927</v>
      </c>
      <c r="BT127" s="4">
        <v>5978</v>
      </c>
      <c r="BU127" s="4">
        <v>6128</v>
      </c>
      <c r="BV127" s="4">
        <v>6236</v>
      </c>
      <c r="BW127" s="4">
        <v>6205</v>
      </c>
      <c r="BX127" s="4">
        <v>6220</v>
      </c>
      <c r="BY127" s="4">
        <v>6276</v>
      </c>
      <c r="BZ127" s="4">
        <v>6448</v>
      </c>
    </row>
    <row r="128" spans="1:78" ht="15.9" customHeight="1">
      <c r="A128" s="61" t="s">
        <v>251</v>
      </c>
      <c r="B128" s="6" t="s">
        <v>252</v>
      </c>
      <c r="C128" s="15">
        <f>_xll.RssMarket("6330","現在値")</f>
        <v>2105</v>
      </c>
      <c r="D128" s="16">
        <f t="shared" si="3"/>
        <v>107</v>
      </c>
      <c r="E128" s="13">
        <v>1998</v>
      </c>
      <c r="F128" s="13">
        <v>1897</v>
      </c>
      <c r="G128" s="13">
        <v>1942</v>
      </c>
      <c r="H128" s="13">
        <v>1891</v>
      </c>
      <c r="I128" s="13">
        <v>1891</v>
      </c>
      <c r="J128" s="13">
        <v>2001</v>
      </c>
      <c r="K128" s="13">
        <v>2095</v>
      </c>
      <c r="L128" s="13"/>
      <c r="M128" s="13">
        <v>1912</v>
      </c>
      <c r="N128" s="13">
        <v>1903</v>
      </c>
      <c r="O128" s="13">
        <v>1870</v>
      </c>
      <c r="P128" s="13">
        <v>1751</v>
      </c>
      <c r="Q128" s="13">
        <v>1956</v>
      </c>
      <c r="R128" s="13">
        <v>1962</v>
      </c>
      <c r="S128" s="13">
        <v>1935</v>
      </c>
      <c r="T128" s="13">
        <v>1937</v>
      </c>
      <c r="U128" s="13">
        <v>1979</v>
      </c>
      <c r="V128" s="13">
        <v>1975</v>
      </c>
      <c r="W128" s="13">
        <v>2048</v>
      </c>
      <c r="X128" s="13">
        <v>2166</v>
      </c>
      <c r="Y128" s="13">
        <v>2067</v>
      </c>
      <c r="Z128" s="13">
        <v>2039</v>
      </c>
      <c r="AA128" s="13">
        <v>1938</v>
      </c>
      <c r="AB128" s="13">
        <v>2017</v>
      </c>
      <c r="AC128" s="13">
        <v>2155</v>
      </c>
      <c r="AD128" s="13">
        <v>1936</v>
      </c>
      <c r="AE128" s="13">
        <v>1957</v>
      </c>
      <c r="AF128" s="13">
        <v>1911</v>
      </c>
      <c r="AG128" s="13">
        <v>1886</v>
      </c>
      <c r="AH128" s="13">
        <v>2016</v>
      </c>
      <c r="AI128" s="13">
        <v>2075</v>
      </c>
      <c r="AJ128" s="13">
        <v>2123</v>
      </c>
      <c r="AK128" s="13">
        <v>2198</v>
      </c>
      <c r="AL128" s="13">
        <v>2088</v>
      </c>
      <c r="AM128" s="13">
        <v>2079</v>
      </c>
      <c r="AN128" s="13">
        <v>1918</v>
      </c>
      <c r="AO128" s="13">
        <v>1830</v>
      </c>
      <c r="AP128" s="13">
        <v>1892</v>
      </c>
      <c r="AQ128" s="13">
        <v>1982</v>
      </c>
      <c r="AR128" s="13">
        <v>2052</v>
      </c>
      <c r="AS128" s="13">
        <v>1975</v>
      </c>
      <c r="AT128" s="13">
        <v>2020</v>
      </c>
      <c r="AU128" s="13">
        <v>1919</v>
      </c>
      <c r="AV128" s="13">
        <v>2021</v>
      </c>
      <c r="AW128" s="13">
        <v>2109</v>
      </c>
      <c r="AX128" s="13">
        <v>2098</v>
      </c>
      <c r="AY128" s="13">
        <v>2167</v>
      </c>
      <c r="AZ128" s="13">
        <v>2175</v>
      </c>
      <c r="BA128" s="13">
        <v>2016</v>
      </c>
      <c r="BB128" s="13">
        <v>2025</v>
      </c>
      <c r="BC128" s="13">
        <v>2113</v>
      </c>
      <c r="BD128" s="13">
        <v>2077</v>
      </c>
      <c r="BE128" s="13">
        <v>2099</v>
      </c>
      <c r="BF128" s="13">
        <v>2151</v>
      </c>
      <c r="BG128" s="13">
        <v>2133</v>
      </c>
      <c r="BH128" s="13">
        <v>2159</v>
      </c>
      <c r="BI128" s="13">
        <v>2234</v>
      </c>
      <c r="BJ128" s="13">
        <v>2342</v>
      </c>
      <c r="BK128" s="13">
        <v>2294</v>
      </c>
      <c r="BL128" s="13">
        <v>2268</v>
      </c>
      <c r="BM128" s="4">
        <v>2266</v>
      </c>
      <c r="BN128" s="4">
        <v>2388</v>
      </c>
      <c r="BO128" s="4">
        <v>2315</v>
      </c>
      <c r="BP128" s="4">
        <v>2329</v>
      </c>
      <c r="BQ128" s="4">
        <v>2430</v>
      </c>
      <c r="BR128" s="4">
        <v>2430</v>
      </c>
      <c r="BS128" s="4">
        <v>2551</v>
      </c>
      <c r="BT128" s="4">
        <v>2612</v>
      </c>
      <c r="BU128" s="4">
        <v>2600</v>
      </c>
      <c r="BV128" s="4">
        <v>2493</v>
      </c>
      <c r="BW128" s="4">
        <v>2356</v>
      </c>
      <c r="BX128" s="4">
        <v>2319</v>
      </c>
      <c r="BY128" s="4">
        <v>2336</v>
      </c>
      <c r="BZ128" s="4">
        <v>2341</v>
      </c>
    </row>
    <row r="129" spans="1:78" ht="15.9" customHeight="1">
      <c r="A129" s="61" t="s">
        <v>253</v>
      </c>
      <c r="B129" s="6" t="s">
        <v>254</v>
      </c>
      <c r="C129" s="15">
        <f>_xll.RssMarket("4082","現在値")</f>
        <v>1946</v>
      </c>
      <c r="D129" s="16">
        <f t="shared" si="3"/>
        <v>88</v>
      </c>
      <c r="E129" s="13">
        <v>1858</v>
      </c>
      <c r="F129" s="13">
        <v>1795</v>
      </c>
      <c r="G129" s="13">
        <v>1755</v>
      </c>
      <c r="H129" s="13">
        <v>1712</v>
      </c>
      <c r="I129" s="13">
        <v>1677</v>
      </c>
      <c r="J129" s="13">
        <v>1761</v>
      </c>
      <c r="K129" s="13">
        <v>1852</v>
      </c>
      <c r="L129" s="13">
        <v>1812</v>
      </c>
      <c r="M129" s="13">
        <v>1836</v>
      </c>
      <c r="N129" s="13">
        <v>1853</v>
      </c>
      <c r="O129" s="13">
        <v>1800</v>
      </c>
      <c r="P129" s="13">
        <v>1730</v>
      </c>
      <c r="Q129" s="13">
        <v>1948</v>
      </c>
      <c r="R129" s="13">
        <v>1947</v>
      </c>
      <c r="S129" s="13">
        <v>1900</v>
      </c>
      <c r="T129" s="13">
        <v>1948</v>
      </c>
      <c r="U129" s="13">
        <v>1960</v>
      </c>
      <c r="V129" s="13">
        <v>2005</v>
      </c>
      <c r="W129" s="13">
        <v>2001</v>
      </c>
      <c r="X129" s="13">
        <v>2071</v>
      </c>
      <c r="Y129" s="13">
        <v>2050</v>
      </c>
      <c r="Z129" s="13">
        <v>2048</v>
      </c>
      <c r="AA129" s="13">
        <v>2024</v>
      </c>
      <c r="AB129" s="13">
        <v>2043</v>
      </c>
      <c r="AC129" s="13">
        <v>2091</v>
      </c>
      <c r="AD129" s="13">
        <v>2029</v>
      </c>
      <c r="AE129" s="13">
        <v>2148</v>
      </c>
      <c r="AF129" s="13">
        <v>2037</v>
      </c>
      <c r="AG129" s="13">
        <v>2002</v>
      </c>
      <c r="AH129" s="13">
        <v>2133</v>
      </c>
      <c r="AI129" s="13">
        <v>2061</v>
      </c>
      <c r="AJ129" s="13">
        <v>2002</v>
      </c>
      <c r="AK129" s="13">
        <v>2065</v>
      </c>
      <c r="AL129" s="13">
        <v>2015</v>
      </c>
      <c r="AM129" s="13">
        <v>1951</v>
      </c>
      <c r="AN129" s="13">
        <v>1874</v>
      </c>
      <c r="AO129" s="13">
        <v>1865</v>
      </c>
      <c r="AP129" s="13">
        <v>1839</v>
      </c>
      <c r="AQ129" s="13">
        <v>1976</v>
      </c>
      <c r="AR129" s="13">
        <v>2098</v>
      </c>
      <c r="AS129" s="13">
        <v>2105</v>
      </c>
      <c r="AT129" s="13">
        <v>2201</v>
      </c>
      <c r="AU129" s="13">
        <v>2160</v>
      </c>
      <c r="AV129" s="13">
        <v>2293</v>
      </c>
      <c r="AW129" s="13">
        <v>2245</v>
      </c>
      <c r="AX129" s="13">
        <v>2179</v>
      </c>
      <c r="AY129" s="13">
        <v>2025</v>
      </c>
      <c r="AZ129" s="13">
        <v>2021</v>
      </c>
      <c r="BA129" s="13">
        <v>1959</v>
      </c>
      <c r="BB129" s="13">
        <v>1953</v>
      </c>
      <c r="BC129" s="13">
        <v>2133</v>
      </c>
      <c r="BD129" s="13">
        <v>2166</v>
      </c>
      <c r="BE129" s="13">
        <v>2188</v>
      </c>
      <c r="BF129" s="13">
        <v>2530</v>
      </c>
      <c r="BG129" s="13">
        <v>2622</v>
      </c>
      <c r="BH129" s="13">
        <v>2590</v>
      </c>
      <c r="BI129" s="13">
        <v>2708</v>
      </c>
      <c r="BJ129" s="13">
        <v>2493</v>
      </c>
      <c r="BK129" s="13">
        <v>2369</v>
      </c>
      <c r="BL129" s="13">
        <v>2322</v>
      </c>
      <c r="BM129" s="4">
        <v>2290</v>
      </c>
      <c r="BN129" s="4">
        <v>2357</v>
      </c>
      <c r="BO129" s="4">
        <v>2254</v>
      </c>
      <c r="BP129" s="4">
        <v>2310</v>
      </c>
      <c r="BQ129" s="4">
        <v>2302</v>
      </c>
      <c r="BR129" s="4">
        <v>2305</v>
      </c>
      <c r="BS129" s="4">
        <v>2360</v>
      </c>
      <c r="BT129" s="4">
        <v>2545</v>
      </c>
      <c r="BU129" s="4">
        <v>2333</v>
      </c>
      <c r="BV129" s="4">
        <v>2252</v>
      </c>
      <c r="BW129" s="4">
        <v>2102</v>
      </c>
      <c r="BX129" s="4">
        <v>2086</v>
      </c>
      <c r="BY129" s="4">
        <v>2043</v>
      </c>
      <c r="BZ129" s="4">
        <v>2065</v>
      </c>
    </row>
    <row r="130" spans="1:78" ht="15.9" customHeight="1">
      <c r="A130" s="61" t="s">
        <v>255</v>
      </c>
      <c r="B130" s="6" t="s">
        <v>256</v>
      </c>
      <c r="C130" s="15">
        <f>_xll.RssMarket("4519","現在値")</f>
        <v>6683</v>
      </c>
      <c r="D130" s="16">
        <f t="shared" si="3"/>
        <v>3</v>
      </c>
      <c r="E130" s="13">
        <v>6680</v>
      </c>
      <c r="F130" s="13">
        <v>6687</v>
      </c>
      <c r="G130" s="13">
        <v>6932</v>
      </c>
      <c r="H130" s="13">
        <v>7071</v>
      </c>
      <c r="I130" s="13">
        <v>7069</v>
      </c>
      <c r="J130" s="13">
        <v>6999</v>
      </c>
      <c r="K130" s="13">
        <v>6848</v>
      </c>
      <c r="L130" s="13"/>
      <c r="M130" s="13">
        <v>7212</v>
      </c>
      <c r="N130" s="13">
        <v>7306</v>
      </c>
      <c r="O130" s="13">
        <v>7397</v>
      </c>
      <c r="P130" s="13">
        <v>7325</v>
      </c>
      <c r="Q130" s="13">
        <v>7128</v>
      </c>
      <c r="R130" s="13">
        <v>7241</v>
      </c>
      <c r="S130" s="13">
        <v>7230</v>
      </c>
      <c r="T130" s="13">
        <v>7389</v>
      </c>
      <c r="U130" s="13">
        <v>7359</v>
      </c>
      <c r="V130" s="13">
        <v>7345</v>
      </c>
      <c r="W130" s="13">
        <v>7620</v>
      </c>
      <c r="X130" s="13">
        <v>7541</v>
      </c>
      <c r="Y130" s="13">
        <v>7642</v>
      </c>
      <c r="Z130" s="13">
        <v>7420</v>
      </c>
      <c r="AA130" s="13">
        <v>7281</v>
      </c>
      <c r="AB130" s="13">
        <v>7534</v>
      </c>
      <c r="AC130" s="13">
        <v>7574</v>
      </c>
      <c r="AD130" s="13">
        <v>7434</v>
      </c>
      <c r="AE130" s="13">
        <v>7534</v>
      </c>
      <c r="AF130" s="13">
        <v>7500</v>
      </c>
      <c r="AG130" s="13">
        <v>7434</v>
      </c>
      <c r="AH130" s="13">
        <v>7522</v>
      </c>
      <c r="AI130" s="13">
        <v>7550</v>
      </c>
      <c r="AJ130" s="13">
        <v>7566</v>
      </c>
      <c r="AK130" s="13">
        <v>7650</v>
      </c>
      <c r="AL130" s="13">
        <v>7523</v>
      </c>
      <c r="AM130" s="13">
        <v>7428</v>
      </c>
      <c r="AN130" s="13">
        <v>7450</v>
      </c>
      <c r="AO130" s="13">
        <v>7428</v>
      </c>
      <c r="AP130" s="13">
        <v>7560</v>
      </c>
      <c r="AQ130" s="13">
        <v>7465</v>
      </c>
      <c r="AR130" s="13">
        <v>7554</v>
      </c>
      <c r="AS130" s="13">
        <v>7567</v>
      </c>
      <c r="AT130" s="13">
        <v>7423</v>
      </c>
      <c r="AU130" s="13">
        <v>7618</v>
      </c>
      <c r="AV130" s="13">
        <v>7892</v>
      </c>
      <c r="AW130" s="13">
        <v>7743</v>
      </c>
      <c r="AX130" s="13">
        <v>7878</v>
      </c>
      <c r="AY130" s="13">
        <v>8117</v>
      </c>
      <c r="AZ130" s="13">
        <v>8090</v>
      </c>
      <c r="BA130" s="13">
        <v>7836</v>
      </c>
      <c r="BB130" s="13">
        <v>7899</v>
      </c>
      <c r="BC130" s="13">
        <v>7936</v>
      </c>
      <c r="BD130" s="13">
        <v>7885</v>
      </c>
      <c r="BE130" s="13">
        <v>7938</v>
      </c>
      <c r="BF130" s="13">
        <v>8096</v>
      </c>
      <c r="BG130" s="13">
        <v>7805</v>
      </c>
      <c r="BH130" s="13">
        <v>7794</v>
      </c>
      <c r="BI130" s="13">
        <v>7953</v>
      </c>
      <c r="BJ130" s="13">
        <v>7900</v>
      </c>
      <c r="BK130" s="13">
        <v>8095</v>
      </c>
      <c r="BL130" s="13">
        <v>8245</v>
      </c>
      <c r="BM130" s="4">
        <v>8116</v>
      </c>
      <c r="BN130" s="4">
        <v>7940</v>
      </c>
      <c r="BO130" s="4">
        <v>7445</v>
      </c>
      <c r="BP130" s="4">
        <v>8845</v>
      </c>
      <c r="BQ130" s="4">
        <v>8926</v>
      </c>
      <c r="BR130" s="4">
        <v>8760</v>
      </c>
      <c r="BS130" s="4">
        <v>8694</v>
      </c>
      <c r="BT130" s="4">
        <v>8844</v>
      </c>
      <c r="BU130" s="4">
        <v>8349</v>
      </c>
      <c r="BV130" s="4">
        <v>8591</v>
      </c>
      <c r="BW130" s="4">
        <v>8657</v>
      </c>
      <c r="BX130" s="4">
        <v>8520</v>
      </c>
      <c r="BY130" s="4">
        <v>8585</v>
      </c>
      <c r="BZ130" s="4">
        <v>8675</v>
      </c>
    </row>
    <row r="131" spans="1:78" ht="15.9" customHeight="1">
      <c r="A131" s="61" t="s">
        <v>257</v>
      </c>
      <c r="B131" s="6" t="s">
        <v>258</v>
      </c>
      <c r="C131" s="15">
        <f>_xll.RssMarket("2160","現在値")</f>
        <v>2638</v>
      </c>
      <c r="D131" s="16">
        <f t="shared" si="3"/>
        <v>106</v>
      </c>
      <c r="E131" s="13">
        <v>2532</v>
      </c>
      <c r="F131" s="13">
        <v>2488</v>
      </c>
      <c r="G131" s="13">
        <v>2475</v>
      </c>
      <c r="H131" s="13">
        <v>2339</v>
      </c>
      <c r="I131" s="13">
        <v>2300</v>
      </c>
      <c r="J131" s="13">
        <v>2456</v>
      </c>
      <c r="K131" s="13">
        <v>2575</v>
      </c>
      <c r="L131" s="13">
        <v>2602</v>
      </c>
      <c r="M131" s="13">
        <v>2598</v>
      </c>
      <c r="N131" s="13">
        <v>2499</v>
      </c>
      <c r="O131" s="13">
        <v>2502</v>
      </c>
      <c r="P131" s="13">
        <v>2440</v>
      </c>
      <c r="Q131" s="13">
        <v>2602</v>
      </c>
      <c r="R131" s="13">
        <v>2580</v>
      </c>
      <c r="S131" s="13">
        <v>2570</v>
      </c>
      <c r="T131" s="13">
        <v>2605</v>
      </c>
      <c r="U131" s="13">
        <v>2588</v>
      </c>
      <c r="V131" s="13">
        <v>2605</v>
      </c>
      <c r="W131" s="13">
        <v>2830</v>
      </c>
      <c r="X131" s="13">
        <v>2885</v>
      </c>
      <c r="Y131" s="13">
        <v>2858</v>
      </c>
      <c r="Z131" s="13">
        <v>2856</v>
      </c>
      <c r="AA131" s="13">
        <v>2791</v>
      </c>
      <c r="AB131" s="13">
        <v>2848</v>
      </c>
      <c r="AC131" s="13">
        <v>2788</v>
      </c>
      <c r="AD131" s="13">
        <v>2517</v>
      </c>
      <c r="AE131" s="13">
        <v>2582</v>
      </c>
      <c r="AF131" s="13">
        <v>2507</v>
      </c>
      <c r="AG131" s="13">
        <v>2530</v>
      </c>
      <c r="AH131" s="13">
        <v>2470</v>
      </c>
      <c r="AI131" s="13">
        <v>2527</v>
      </c>
      <c r="AJ131" s="13">
        <v>2630</v>
      </c>
      <c r="AK131" s="13">
        <v>2542</v>
      </c>
      <c r="AL131" s="13">
        <v>2493</v>
      </c>
      <c r="AM131" s="13">
        <v>2494</v>
      </c>
      <c r="AN131" s="13">
        <v>2520</v>
      </c>
      <c r="AO131" s="13">
        <v>2685</v>
      </c>
      <c r="AP131" s="13">
        <v>2735</v>
      </c>
      <c r="AQ131" s="13">
        <v>2810</v>
      </c>
      <c r="AR131" s="13">
        <v>2833</v>
      </c>
      <c r="AS131" s="13">
        <v>2684</v>
      </c>
      <c r="AT131" s="13">
        <v>2625</v>
      </c>
      <c r="AU131" s="13">
        <v>2580</v>
      </c>
      <c r="AV131" s="13">
        <v>2546</v>
      </c>
      <c r="AW131" s="13">
        <v>2615</v>
      </c>
      <c r="AX131" s="13">
        <v>2646</v>
      </c>
      <c r="AY131" s="13">
        <v>2833</v>
      </c>
      <c r="AZ131" s="13">
        <v>2834</v>
      </c>
      <c r="BA131" s="13">
        <v>2821</v>
      </c>
      <c r="BB131" s="13">
        <v>2736</v>
      </c>
      <c r="BC131" s="13">
        <v>2830</v>
      </c>
      <c r="BD131" s="13">
        <v>2688</v>
      </c>
      <c r="BE131" s="13">
        <v>2955</v>
      </c>
      <c r="BF131" s="13">
        <v>3015</v>
      </c>
      <c r="BG131" s="13">
        <v>3240</v>
      </c>
      <c r="BH131" s="13">
        <v>2984</v>
      </c>
      <c r="BI131" s="13">
        <v>3000</v>
      </c>
      <c r="BJ131" s="13">
        <v>2979</v>
      </c>
      <c r="BK131" s="13">
        <v>3055</v>
      </c>
      <c r="BL131" s="13">
        <v>3020</v>
      </c>
      <c r="BM131" s="4">
        <v>2920</v>
      </c>
      <c r="BN131" s="4">
        <v>3165</v>
      </c>
      <c r="BO131" s="4">
        <v>3110</v>
      </c>
      <c r="BP131" s="4">
        <v>3130</v>
      </c>
      <c r="BQ131" s="4">
        <v>3130</v>
      </c>
      <c r="BR131" s="4">
        <v>3300</v>
      </c>
      <c r="BS131" s="4">
        <v>3390</v>
      </c>
      <c r="BT131" s="4">
        <v>3440</v>
      </c>
      <c r="BU131" s="4">
        <v>3370</v>
      </c>
      <c r="BV131" s="4">
        <v>3380</v>
      </c>
      <c r="BW131" s="4">
        <v>3340</v>
      </c>
      <c r="BX131" s="4">
        <v>3185</v>
      </c>
      <c r="BY131" s="4">
        <v>3135</v>
      </c>
      <c r="BZ131" s="4">
        <v>3180</v>
      </c>
    </row>
    <row r="132" spans="1:78" ht="15.9" customHeight="1">
      <c r="A132" s="61" t="s">
        <v>259</v>
      </c>
      <c r="B132" s="6" t="s">
        <v>260</v>
      </c>
      <c r="C132" s="15">
        <f>_xll.RssMarket("6227","現在値")</f>
        <v>7530</v>
      </c>
      <c r="D132" s="16">
        <f t="shared" si="3"/>
        <v>700</v>
      </c>
      <c r="E132" s="13">
        <v>6830</v>
      </c>
      <c r="F132" s="13">
        <v>6470</v>
      </c>
      <c r="G132" s="13">
        <v>6640</v>
      </c>
      <c r="H132" s="13">
        <v>5670</v>
      </c>
      <c r="I132" s="13">
        <v>5450</v>
      </c>
      <c r="J132" s="13">
        <v>5970</v>
      </c>
      <c r="K132" s="13">
        <v>6810</v>
      </c>
      <c r="L132" s="13"/>
      <c r="M132" s="13">
        <v>7240</v>
      </c>
      <c r="N132" s="13">
        <v>6630</v>
      </c>
      <c r="O132" s="13">
        <v>6920</v>
      </c>
      <c r="P132" s="13">
        <v>6960</v>
      </c>
      <c r="Q132" s="13">
        <v>7400</v>
      </c>
      <c r="R132" s="13">
        <v>8100</v>
      </c>
      <c r="S132" s="13">
        <v>7790</v>
      </c>
      <c r="T132" s="13">
        <v>6790</v>
      </c>
      <c r="U132" s="13">
        <v>5790</v>
      </c>
      <c r="V132" s="13">
        <v>5680</v>
      </c>
      <c r="W132" s="13">
        <v>5960</v>
      </c>
      <c r="X132" s="13">
        <v>6390</v>
      </c>
      <c r="Y132" s="13">
        <v>6940</v>
      </c>
      <c r="Z132" s="13">
        <v>7080</v>
      </c>
      <c r="AA132" s="13">
        <v>7450</v>
      </c>
      <c r="AB132" s="13">
        <v>6960</v>
      </c>
      <c r="AC132" s="13">
        <v>6730</v>
      </c>
      <c r="AD132" s="13">
        <v>6590</v>
      </c>
      <c r="AE132" s="13">
        <v>7390</v>
      </c>
      <c r="AF132" s="13">
        <v>7100</v>
      </c>
      <c r="AG132" s="13">
        <v>7250</v>
      </c>
      <c r="AH132" s="13">
        <v>7920</v>
      </c>
      <c r="AI132" s="13">
        <v>6970</v>
      </c>
      <c r="AJ132" s="13">
        <v>7330</v>
      </c>
      <c r="AK132" s="13">
        <v>8160</v>
      </c>
      <c r="AL132" s="13">
        <v>8080</v>
      </c>
      <c r="AM132" s="13">
        <v>8340</v>
      </c>
      <c r="AN132" s="13">
        <v>7850</v>
      </c>
      <c r="AO132" s="13">
        <v>6850</v>
      </c>
      <c r="AP132" s="13">
        <v>7000</v>
      </c>
      <c r="AQ132" s="13">
        <v>7060</v>
      </c>
      <c r="AR132" s="13">
        <v>7440</v>
      </c>
      <c r="AS132" s="13">
        <v>6490</v>
      </c>
      <c r="AT132" s="13">
        <v>6070</v>
      </c>
      <c r="AU132" s="13">
        <v>6140</v>
      </c>
      <c r="AV132" s="13">
        <v>5670</v>
      </c>
      <c r="AW132" s="13">
        <v>5640</v>
      </c>
      <c r="AX132" s="13">
        <v>5490</v>
      </c>
      <c r="AY132" s="13">
        <v>6220</v>
      </c>
      <c r="AZ132" s="13">
        <v>6050</v>
      </c>
      <c r="BA132" s="13">
        <v>6060</v>
      </c>
      <c r="BB132" s="13">
        <v>6600</v>
      </c>
      <c r="BC132" s="13">
        <v>6870</v>
      </c>
      <c r="BD132" s="13">
        <v>7250</v>
      </c>
      <c r="BE132" s="13">
        <v>6250</v>
      </c>
      <c r="BF132" s="13">
        <v>6690</v>
      </c>
      <c r="BG132" s="13">
        <v>6540</v>
      </c>
      <c r="BH132" s="13">
        <v>6870</v>
      </c>
      <c r="BI132" s="13">
        <v>6490</v>
      </c>
      <c r="BJ132" s="13">
        <v>6690</v>
      </c>
      <c r="BK132" s="13">
        <v>6790</v>
      </c>
      <c r="BL132" s="13">
        <v>6110</v>
      </c>
      <c r="BM132" s="4">
        <v>6330</v>
      </c>
      <c r="BN132" s="4">
        <v>6150</v>
      </c>
      <c r="BO132" s="4">
        <v>6630</v>
      </c>
      <c r="BP132" s="4">
        <v>6590</v>
      </c>
      <c r="BQ132" s="4">
        <v>6380</v>
      </c>
      <c r="BR132" s="4">
        <v>6860</v>
      </c>
      <c r="BS132" s="4">
        <v>6910</v>
      </c>
      <c r="BT132" s="4">
        <v>7500</v>
      </c>
      <c r="BU132" s="4">
        <v>8120</v>
      </c>
      <c r="BV132" s="4">
        <v>8150</v>
      </c>
      <c r="BW132" s="4">
        <v>8420</v>
      </c>
      <c r="BX132" s="4">
        <v>7700</v>
      </c>
      <c r="BY132" s="4">
        <v>6700</v>
      </c>
      <c r="BZ132" s="4">
        <v>6080</v>
      </c>
    </row>
    <row r="133" spans="1:78" ht="15.9" customHeight="1">
      <c r="A133" s="61" t="s">
        <v>261</v>
      </c>
      <c r="B133" s="6" t="s">
        <v>262</v>
      </c>
      <c r="C133" s="15">
        <f>_xll.RssMarket("6327","現在値")</f>
        <v>3380</v>
      </c>
      <c r="D133" s="16">
        <f t="shared" si="3"/>
        <v>245</v>
      </c>
      <c r="E133" s="13">
        <v>3135</v>
      </c>
      <c r="F133" s="13">
        <v>2939</v>
      </c>
      <c r="G133" s="13">
        <v>2846</v>
      </c>
      <c r="H133" s="13">
        <v>2811</v>
      </c>
      <c r="I133" s="13">
        <v>2679</v>
      </c>
      <c r="J133" s="13">
        <v>2941</v>
      </c>
      <c r="K133" s="13">
        <v>3635</v>
      </c>
      <c r="L133" s="13"/>
      <c r="M133" s="13">
        <v>4015</v>
      </c>
      <c r="N133" s="13">
        <v>4035</v>
      </c>
      <c r="O133" s="13">
        <v>4070</v>
      </c>
      <c r="P133" s="13">
        <v>3910</v>
      </c>
      <c r="Q133" s="13">
        <v>5220</v>
      </c>
      <c r="R133" s="13">
        <v>5200</v>
      </c>
      <c r="S133" s="13">
        <v>5290</v>
      </c>
      <c r="T133" s="13">
        <v>6130</v>
      </c>
      <c r="U133" s="13">
        <v>5130</v>
      </c>
      <c r="V133" s="13">
        <v>5110</v>
      </c>
      <c r="W133" s="13">
        <v>5760</v>
      </c>
      <c r="X133" s="13">
        <v>6760</v>
      </c>
      <c r="Y133" s="13">
        <v>8210</v>
      </c>
      <c r="Z133" s="13">
        <v>7760</v>
      </c>
      <c r="AA133" s="13">
        <v>8290</v>
      </c>
      <c r="AB133" s="13">
        <v>7900</v>
      </c>
      <c r="AC133" s="13">
        <v>6900</v>
      </c>
      <c r="AD133" s="13">
        <v>6300</v>
      </c>
      <c r="AE133" s="13">
        <v>6610</v>
      </c>
      <c r="AF133" s="13">
        <v>5680</v>
      </c>
      <c r="AG133" s="13">
        <v>5750</v>
      </c>
      <c r="AH133" s="13">
        <v>6190</v>
      </c>
      <c r="AI133" s="13">
        <v>5190</v>
      </c>
      <c r="AJ133" s="13">
        <v>6150</v>
      </c>
      <c r="AK133" s="13">
        <v>5150</v>
      </c>
      <c r="AL133" s="13">
        <v>4445</v>
      </c>
      <c r="AM133" s="13">
        <v>3745</v>
      </c>
      <c r="AN133" s="13">
        <v>3045</v>
      </c>
      <c r="AO133" s="13">
        <v>3050</v>
      </c>
      <c r="AP133" s="13">
        <v>3100</v>
      </c>
      <c r="AQ133" s="13">
        <v>3585</v>
      </c>
      <c r="AR133" s="13">
        <v>3980</v>
      </c>
      <c r="AS133" s="13">
        <v>3840</v>
      </c>
      <c r="AT133" s="13">
        <v>4520</v>
      </c>
      <c r="AU133" s="13">
        <v>4900</v>
      </c>
      <c r="AV133" s="13">
        <v>5910</v>
      </c>
      <c r="AW133" s="13">
        <v>5000</v>
      </c>
      <c r="AX133" s="13">
        <v>4300</v>
      </c>
      <c r="AY133" s="13">
        <v>3415</v>
      </c>
      <c r="AZ133" s="13">
        <v>2914</v>
      </c>
      <c r="BA133" s="13">
        <v>2414</v>
      </c>
      <c r="BB133" s="13">
        <v>2337</v>
      </c>
      <c r="BC133" s="13">
        <v>2370</v>
      </c>
      <c r="BD133" s="13">
        <v>2573</v>
      </c>
      <c r="BE133" s="13">
        <v>2555</v>
      </c>
      <c r="BF133" s="13">
        <v>2672</v>
      </c>
      <c r="BG133" s="13">
        <v>2760</v>
      </c>
      <c r="BH133" s="13">
        <v>2990</v>
      </c>
      <c r="BI133" s="13">
        <v>3480</v>
      </c>
      <c r="BJ133" s="13">
        <v>3610</v>
      </c>
      <c r="BK133" s="13">
        <v>3380</v>
      </c>
      <c r="BL133" s="13">
        <v>2897</v>
      </c>
      <c r="BM133" s="4">
        <v>2867</v>
      </c>
      <c r="BN133" s="4">
        <v>2685</v>
      </c>
      <c r="BO133" s="4">
        <v>2185</v>
      </c>
      <c r="BP133" s="4">
        <v>2100</v>
      </c>
      <c r="BQ133" s="4">
        <v>2097</v>
      </c>
      <c r="BR133" s="4">
        <v>2158</v>
      </c>
      <c r="BS133" s="4">
        <v>2194</v>
      </c>
      <c r="BT133" s="4">
        <v>1996</v>
      </c>
      <c r="BU133" s="4">
        <v>2053</v>
      </c>
      <c r="BV133" s="4">
        <v>2082</v>
      </c>
      <c r="BW133" s="4">
        <v>2057</v>
      </c>
      <c r="BX133" s="4">
        <v>2100</v>
      </c>
      <c r="BY133" s="4">
        <v>1921</v>
      </c>
      <c r="BZ133" s="4">
        <v>1954</v>
      </c>
    </row>
    <row r="134" spans="1:78" ht="15.9" customHeight="1">
      <c r="A134" s="61" t="s">
        <v>263</v>
      </c>
      <c r="B134" s="6" t="s">
        <v>264</v>
      </c>
      <c r="C134" s="15">
        <f>_xll.RssMarket("3110","現在値")</f>
        <v>3450</v>
      </c>
      <c r="D134" s="16">
        <f t="shared" ref="D134:D141" si="4">C134-E134</f>
        <v>3450</v>
      </c>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78" ht="15.9" customHeight="1">
      <c r="A135" s="61" t="s">
        <v>265</v>
      </c>
      <c r="B135" s="6" t="s">
        <v>266</v>
      </c>
      <c r="C135" s="15">
        <f>_xll.RssMarket("6232","現在値")</f>
        <v>1832</v>
      </c>
      <c r="D135" s="16">
        <f t="shared" si="4"/>
        <v>-1303</v>
      </c>
      <c r="E135" s="13">
        <v>3135</v>
      </c>
      <c r="F135" s="13">
        <v>2939</v>
      </c>
      <c r="G135" s="13">
        <v>2846</v>
      </c>
      <c r="H135" s="13">
        <v>2811</v>
      </c>
      <c r="I135" s="13">
        <v>2679</v>
      </c>
      <c r="J135" s="13">
        <v>2941</v>
      </c>
      <c r="K135" s="13">
        <v>3635</v>
      </c>
      <c r="L135" s="13">
        <v>1748</v>
      </c>
      <c r="M135" s="13">
        <v>4015</v>
      </c>
      <c r="N135" s="13">
        <v>4035</v>
      </c>
      <c r="O135" s="13">
        <v>4070</v>
      </c>
      <c r="P135" s="13">
        <v>3910</v>
      </c>
      <c r="Q135" s="13">
        <v>5220</v>
      </c>
      <c r="R135" s="13">
        <v>5200</v>
      </c>
      <c r="S135" s="13">
        <v>5290</v>
      </c>
      <c r="T135" s="13">
        <v>6130</v>
      </c>
      <c r="U135" s="13">
        <v>5130</v>
      </c>
      <c r="V135" s="13">
        <v>5110</v>
      </c>
      <c r="W135" s="13">
        <v>5760</v>
      </c>
      <c r="X135" s="13">
        <v>6760</v>
      </c>
      <c r="Y135" s="13">
        <v>8210</v>
      </c>
      <c r="Z135" s="13">
        <v>7760</v>
      </c>
      <c r="AA135" s="13">
        <v>8290</v>
      </c>
      <c r="AB135" s="13">
        <v>7900</v>
      </c>
      <c r="AC135" s="13">
        <v>6900</v>
      </c>
      <c r="AD135" s="13">
        <v>6300</v>
      </c>
      <c r="AE135" s="13">
        <v>6610</v>
      </c>
      <c r="AF135" s="13">
        <v>5680</v>
      </c>
      <c r="AG135" s="13">
        <v>5750</v>
      </c>
      <c r="AH135" s="13">
        <v>6190</v>
      </c>
      <c r="AI135" s="13">
        <v>5190</v>
      </c>
      <c r="AJ135" s="13">
        <v>6150</v>
      </c>
      <c r="AK135" s="13">
        <v>5150</v>
      </c>
      <c r="AL135" s="13">
        <v>4445</v>
      </c>
      <c r="AM135" s="13">
        <v>3745</v>
      </c>
      <c r="AN135" s="13">
        <v>3045</v>
      </c>
      <c r="AO135" s="13">
        <v>3050</v>
      </c>
      <c r="AP135" s="13">
        <v>3100</v>
      </c>
      <c r="AQ135" s="13">
        <v>3585</v>
      </c>
      <c r="AR135" s="13">
        <v>3980</v>
      </c>
      <c r="AS135" s="13">
        <v>3840</v>
      </c>
      <c r="AT135" s="13">
        <v>4520</v>
      </c>
      <c r="AU135" s="13">
        <v>4900</v>
      </c>
      <c r="AV135" s="13">
        <v>5910</v>
      </c>
      <c r="AW135" s="13">
        <v>5000</v>
      </c>
      <c r="AX135" s="13">
        <v>4300</v>
      </c>
      <c r="AY135" s="13">
        <v>3415</v>
      </c>
      <c r="AZ135" s="13">
        <v>2914</v>
      </c>
      <c r="BA135" s="13">
        <v>2414</v>
      </c>
      <c r="BB135" s="13">
        <v>2337</v>
      </c>
      <c r="BC135" s="13">
        <v>2370</v>
      </c>
      <c r="BD135" s="13">
        <v>2573</v>
      </c>
      <c r="BE135" s="13">
        <v>2555</v>
      </c>
      <c r="BF135" s="13">
        <v>2672</v>
      </c>
      <c r="BG135" s="13">
        <v>2760</v>
      </c>
      <c r="BH135" s="13">
        <v>2990</v>
      </c>
      <c r="BI135" s="13">
        <v>3480</v>
      </c>
      <c r="BJ135" s="13">
        <v>3610</v>
      </c>
      <c r="BK135" s="13">
        <v>3380</v>
      </c>
      <c r="BL135" s="13">
        <v>2897</v>
      </c>
      <c r="BM135" s="4">
        <v>2867</v>
      </c>
      <c r="BN135" s="4">
        <v>2685</v>
      </c>
      <c r="BO135" s="4">
        <v>2185</v>
      </c>
      <c r="BP135" s="4">
        <v>2100</v>
      </c>
      <c r="BQ135" s="4">
        <v>2097</v>
      </c>
      <c r="BR135" s="4">
        <v>2158</v>
      </c>
      <c r="BS135" s="4">
        <v>2194</v>
      </c>
      <c r="BT135" s="4">
        <v>1996</v>
      </c>
      <c r="BU135" s="4">
        <v>2053</v>
      </c>
      <c r="BV135" s="4">
        <v>2082</v>
      </c>
      <c r="BW135" s="4">
        <v>2057</v>
      </c>
      <c r="BX135" s="4">
        <v>2100</v>
      </c>
      <c r="BY135" s="4">
        <v>1921</v>
      </c>
      <c r="BZ135" s="4">
        <v>1954</v>
      </c>
    </row>
    <row r="136" spans="1:78" ht="15.9" customHeight="1">
      <c r="A136" s="61" t="s">
        <v>267</v>
      </c>
      <c r="B136" s="6" t="s">
        <v>268</v>
      </c>
      <c r="C136" s="15">
        <f>_xll.RssMarket("7794","現在値")</f>
        <v>899</v>
      </c>
      <c r="D136" s="16">
        <f t="shared" si="4"/>
        <v>18</v>
      </c>
      <c r="E136" s="13">
        <v>881</v>
      </c>
      <c r="F136" s="13">
        <v>856</v>
      </c>
      <c r="G136" s="13">
        <v>860</v>
      </c>
      <c r="H136" s="13">
        <v>820</v>
      </c>
      <c r="I136" s="13">
        <v>844</v>
      </c>
      <c r="J136" s="13">
        <v>888</v>
      </c>
      <c r="K136" s="13">
        <v>935</v>
      </c>
      <c r="L136" s="13"/>
      <c r="M136" s="13">
        <v>952</v>
      </c>
      <c r="N136" s="13">
        <v>939</v>
      </c>
      <c r="O136" s="13">
        <v>926</v>
      </c>
      <c r="P136" s="13">
        <v>913</v>
      </c>
      <c r="Q136" s="13">
        <v>1023</v>
      </c>
      <c r="R136" s="13">
        <v>1024</v>
      </c>
      <c r="S136" s="13">
        <v>1047</v>
      </c>
      <c r="T136" s="13">
        <v>1068</v>
      </c>
      <c r="U136" s="13">
        <v>1065</v>
      </c>
      <c r="V136" s="13">
        <v>1085</v>
      </c>
      <c r="W136" s="13">
        <v>1109</v>
      </c>
      <c r="X136" s="13">
        <v>1174</v>
      </c>
      <c r="Y136" s="13">
        <v>1229</v>
      </c>
      <c r="Z136" s="13">
        <v>1222</v>
      </c>
      <c r="AA136" s="13">
        <v>1217</v>
      </c>
      <c r="AB136" s="13">
        <v>1231</v>
      </c>
      <c r="AC136" s="13">
        <v>1163</v>
      </c>
      <c r="AD136" s="13">
        <v>1026</v>
      </c>
      <c r="AE136" s="13">
        <v>1050</v>
      </c>
      <c r="AF136" s="13">
        <v>1053</v>
      </c>
      <c r="AG136" s="13">
        <v>1102</v>
      </c>
      <c r="AH136" s="13">
        <v>1208</v>
      </c>
      <c r="AI136" s="13">
        <v>1094</v>
      </c>
      <c r="AJ136" s="13">
        <v>1103</v>
      </c>
      <c r="AK136" s="13">
        <v>1097</v>
      </c>
      <c r="AL136" s="13">
        <v>1068</v>
      </c>
      <c r="AM136" s="13">
        <v>1083</v>
      </c>
      <c r="AN136" s="13">
        <v>1078</v>
      </c>
      <c r="AO136" s="13">
        <v>1064</v>
      </c>
      <c r="AP136" s="13">
        <v>1090</v>
      </c>
      <c r="AQ136" s="13">
        <v>1110</v>
      </c>
      <c r="AR136" s="13">
        <v>1085</v>
      </c>
      <c r="AS136" s="13">
        <v>1005</v>
      </c>
      <c r="AT136" s="13">
        <v>1070</v>
      </c>
      <c r="AU136" s="13">
        <v>1082</v>
      </c>
      <c r="AV136" s="13">
        <v>1149</v>
      </c>
      <c r="AW136" s="13">
        <v>1284</v>
      </c>
      <c r="AX136" s="13">
        <v>1094</v>
      </c>
      <c r="AY136" s="13">
        <v>1168</v>
      </c>
      <c r="AZ136" s="13">
        <v>1118</v>
      </c>
      <c r="BA136" s="13">
        <v>1086</v>
      </c>
      <c r="BB136" s="13">
        <v>1090</v>
      </c>
      <c r="BC136" s="13">
        <v>1137</v>
      </c>
      <c r="BD136" s="13">
        <v>1102</v>
      </c>
      <c r="BE136" s="13">
        <v>1150</v>
      </c>
      <c r="BF136" s="13">
        <v>1129</v>
      </c>
      <c r="BG136" s="13">
        <v>1330</v>
      </c>
      <c r="BH136" s="13">
        <v>1340</v>
      </c>
      <c r="BI136" s="13">
        <v>1408</v>
      </c>
      <c r="BJ136" s="13">
        <v>1361</v>
      </c>
      <c r="BK136" s="13">
        <v>1287</v>
      </c>
      <c r="BL136" s="13">
        <v>1297</v>
      </c>
      <c r="BM136" s="4">
        <v>1332</v>
      </c>
      <c r="BN136" s="4">
        <v>1316</v>
      </c>
      <c r="BO136" s="4">
        <v>1344</v>
      </c>
      <c r="BP136" s="4">
        <v>1413</v>
      </c>
      <c r="BQ136" s="4">
        <v>1429</v>
      </c>
      <c r="BR136" s="4">
        <v>1470</v>
      </c>
      <c r="BS136" s="4">
        <v>1536</v>
      </c>
      <c r="BT136" s="4">
        <v>1584</v>
      </c>
      <c r="BU136" s="4">
        <v>1284</v>
      </c>
      <c r="BV136" s="4">
        <v>1218</v>
      </c>
      <c r="BW136" s="4">
        <v>1176</v>
      </c>
      <c r="BX136" s="4">
        <v>1205</v>
      </c>
      <c r="BY136" s="4">
        <v>1216</v>
      </c>
      <c r="BZ136" s="4">
        <v>1185</v>
      </c>
    </row>
    <row r="137" spans="1:78" ht="15.9" customHeight="1">
      <c r="A137" s="61" t="s">
        <v>269</v>
      </c>
      <c r="B137" s="6" t="s">
        <v>270</v>
      </c>
      <c r="C137" s="15">
        <f>_xll.RssMarket("6085","現在値")</f>
        <v>77</v>
      </c>
      <c r="D137" s="16">
        <f t="shared" si="4"/>
        <v>0</v>
      </c>
      <c r="E137" s="13">
        <v>77</v>
      </c>
      <c r="F137" s="13">
        <v>70</v>
      </c>
      <c r="G137" s="13">
        <v>88</v>
      </c>
      <c r="H137" s="13">
        <v>90</v>
      </c>
      <c r="I137" s="13">
        <v>85</v>
      </c>
      <c r="J137" s="13">
        <v>98</v>
      </c>
      <c r="K137" s="13">
        <v>112</v>
      </c>
      <c r="L137" s="13"/>
      <c r="M137" s="13">
        <v>119</v>
      </c>
      <c r="N137" s="13">
        <v>128</v>
      </c>
      <c r="O137" s="13">
        <v>169</v>
      </c>
      <c r="P137" s="13">
        <v>156</v>
      </c>
      <c r="Q137" s="13">
        <v>202</v>
      </c>
      <c r="R137" s="13">
        <v>211</v>
      </c>
      <c r="S137" s="13">
        <v>201</v>
      </c>
      <c r="T137" s="13">
        <v>228</v>
      </c>
      <c r="U137" s="13">
        <v>216</v>
      </c>
      <c r="V137" s="13">
        <v>230</v>
      </c>
      <c r="W137" s="13">
        <v>267</v>
      </c>
      <c r="X137" s="13">
        <v>245</v>
      </c>
      <c r="Y137" s="13">
        <v>215</v>
      </c>
      <c r="Z137" s="13">
        <v>239</v>
      </c>
      <c r="AA137" s="13">
        <v>251</v>
      </c>
      <c r="AB137" s="13">
        <v>269</v>
      </c>
      <c r="AC137" s="13">
        <v>276</v>
      </c>
      <c r="AD137" s="13">
        <v>302</v>
      </c>
      <c r="AE137" s="13">
        <v>300</v>
      </c>
      <c r="AF137" s="13">
        <v>300</v>
      </c>
      <c r="AG137" s="13">
        <v>306</v>
      </c>
      <c r="AH137" s="13">
        <v>365</v>
      </c>
      <c r="AI137" s="13">
        <v>322</v>
      </c>
      <c r="AJ137" s="13">
        <v>323</v>
      </c>
      <c r="AK137" s="13">
        <v>320</v>
      </c>
      <c r="AL137" s="13">
        <v>313</v>
      </c>
      <c r="AM137" s="13">
        <v>307</v>
      </c>
      <c r="AN137" s="13">
        <v>343</v>
      </c>
      <c r="AO137" s="13">
        <v>396</v>
      </c>
      <c r="AP137" s="13">
        <v>417</v>
      </c>
      <c r="AQ137" s="13">
        <v>311</v>
      </c>
      <c r="AR137" s="13">
        <v>320</v>
      </c>
      <c r="AS137" s="13">
        <v>264</v>
      </c>
      <c r="AT137" s="13">
        <v>248</v>
      </c>
      <c r="AU137" s="13">
        <v>282</v>
      </c>
      <c r="AV137" s="13">
        <v>325</v>
      </c>
      <c r="AW137" s="13">
        <v>343</v>
      </c>
      <c r="AX137" s="13">
        <v>423</v>
      </c>
      <c r="AY137" s="13">
        <v>523</v>
      </c>
      <c r="AZ137" s="13">
        <v>485</v>
      </c>
      <c r="BA137" s="13">
        <v>465</v>
      </c>
      <c r="BB137" s="13">
        <v>432</v>
      </c>
      <c r="BC137" s="13">
        <v>463</v>
      </c>
      <c r="BD137" s="13">
        <v>563</v>
      </c>
      <c r="BE137" s="13">
        <v>504</v>
      </c>
      <c r="BF137" s="13">
        <v>530</v>
      </c>
      <c r="BG137" s="13">
        <v>483</v>
      </c>
      <c r="BH137" s="13">
        <v>547</v>
      </c>
      <c r="BI137" s="13">
        <v>580</v>
      </c>
      <c r="BJ137" s="13">
        <v>570</v>
      </c>
      <c r="BK137" s="13">
        <v>615</v>
      </c>
      <c r="BL137" s="13">
        <v>515</v>
      </c>
      <c r="BM137" s="4">
        <v>615</v>
      </c>
      <c r="BN137" s="4">
        <v>640</v>
      </c>
      <c r="BO137" s="4">
        <v>540</v>
      </c>
      <c r="BP137" s="4">
        <v>516</v>
      </c>
      <c r="BQ137" s="4">
        <v>441</v>
      </c>
      <c r="BR137" s="4">
        <v>430</v>
      </c>
      <c r="BS137" s="4">
        <v>380</v>
      </c>
      <c r="BT137" s="4">
        <v>396</v>
      </c>
      <c r="BU137" s="4">
        <v>362</v>
      </c>
      <c r="BV137" s="4">
        <v>335.5</v>
      </c>
      <c r="BW137" s="4">
        <v>286.5</v>
      </c>
      <c r="BX137" s="4">
        <v>294</v>
      </c>
      <c r="BY137" s="4">
        <v>313.5</v>
      </c>
      <c r="BZ137" s="4">
        <v>266</v>
      </c>
    </row>
    <row r="138" spans="1:78" ht="15.9" customHeight="1">
      <c r="A138" s="61" t="s">
        <v>271</v>
      </c>
      <c r="B138" s="6" t="s">
        <v>272</v>
      </c>
      <c r="C138" s="15">
        <f>_xll.RssMarket("3103","現在値")</f>
        <v>1007</v>
      </c>
      <c r="D138" s="16">
        <f t="shared" si="4"/>
        <v>131</v>
      </c>
      <c r="E138" s="13">
        <v>876</v>
      </c>
      <c r="F138" s="13">
        <v>838</v>
      </c>
      <c r="G138" s="13">
        <v>830</v>
      </c>
      <c r="H138" s="13">
        <v>774</v>
      </c>
      <c r="I138" s="13">
        <v>762</v>
      </c>
      <c r="J138" s="13">
        <v>826</v>
      </c>
      <c r="K138" s="13">
        <v>859</v>
      </c>
      <c r="L138" s="13">
        <v>836</v>
      </c>
      <c r="M138" s="13">
        <v>890</v>
      </c>
      <c r="N138" s="13">
        <v>906</v>
      </c>
      <c r="O138" s="13">
        <v>884</v>
      </c>
      <c r="P138" s="13">
        <v>850</v>
      </c>
      <c r="Q138" s="13">
        <v>971</v>
      </c>
      <c r="R138" s="13">
        <v>912</v>
      </c>
      <c r="S138" s="13">
        <v>879</v>
      </c>
      <c r="T138" s="13">
        <v>934</v>
      </c>
      <c r="U138" s="13">
        <v>930</v>
      </c>
      <c r="V138" s="13">
        <v>940</v>
      </c>
      <c r="W138" s="13">
        <v>982</v>
      </c>
      <c r="X138" s="13">
        <v>1004</v>
      </c>
      <c r="Y138" s="13">
        <v>1031</v>
      </c>
      <c r="Z138" s="13">
        <v>1001</v>
      </c>
      <c r="AA138" s="13">
        <v>1006</v>
      </c>
      <c r="AB138" s="13">
        <v>1034</v>
      </c>
      <c r="AC138" s="13">
        <v>1035</v>
      </c>
      <c r="AD138" s="13">
        <v>1032</v>
      </c>
      <c r="AE138" s="13">
        <v>1070</v>
      </c>
      <c r="AF138" s="13">
        <v>1046</v>
      </c>
      <c r="AG138" s="13">
        <v>1111</v>
      </c>
      <c r="AH138" s="13">
        <v>1220</v>
      </c>
      <c r="AI138" s="13">
        <v>1107</v>
      </c>
      <c r="AJ138" s="13">
        <v>1168</v>
      </c>
      <c r="AK138" s="13">
        <v>1236</v>
      </c>
      <c r="AL138" s="13">
        <v>1129</v>
      </c>
      <c r="AM138" s="13">
        <v>1145</v>
      </c>
      <c r="AN138" s="13">
        <v>1150</v>
      </c>
      <c r="AO138" s="13">
        <v>1133</v>
      </c>
      <c r="AP138" s="13">
        <v>1216</v>
      </c>
      <c r="AQ138" s="13">
        <v>1196</v>
      </c>
      <c r="AR138" s="13">
        <v>1227</v>
      </c>
      <c r="AS138" s="13">
        <v>1187</v>
      </c>
      <c r="AT138" s="13">
        <v>1265</v>
      </c>
      <c r="AU138" s="13">
        <v>1223</v>
      </c>
      <c r="AV138" s="13">
        <v>1411</v>
      </c>
      <c r="AW138" s="13">
        <v>1385</v>
      </c>
      <c r="AX138" s="13">
        <v>1440</v>
      </c>
      <c r="AY138" s="13">
        <v>1575</v>
      </c>
      <c r="AZ138" s="13">
        <v>1574</v>
      </c>
      <c r="BA138" s="13">
        <v>1274</v>
      </c>
      <c r="BB138" s="13">
        <v>1284</v>
      </c>
      <c r="BC138" s="13">
        <v>1412</v>
      </c>
      <c r="BD138" s="13">
        <v>1315</v>
      </c>
      <c r="BE138" s="13">
        <v>1415</v>
      </c>
      <c r="BF138" s="13">
        <v>1815</v>
      </c>
      <c r="BG138" s="13">
        <v>2315</v>
      </c>
      <c r="BH138" s="13">
        <v>2261</v>
      </c>
      <c r="BI138" s="13">
        <v>2308</v>
      </c>
      <c r="BJ138" s="13">
        <v>2569</v>
      </c>
      <c r="BK138" s="13">
        <v>2535</v>
      </c>
      <c r="BL138" s="13">
        <v>2382</v>
      </c>
      <c r="BM138" s="4">
        <v>2438</v>
      </c>
      <c r="BN138" s="4">
        <v>2234</v>
      </c>
      <c r="BO138" s="4">
        <v>2482</v>
      </c>
      <c r="BP138" s="4">
        <v>2565</v>
      </c>
      <c r="BQ138" s="4">
        <v>2851</v>
      </c>
      <c r="BR138" s="4">
        <v>2835</v>
      </c>
      <c r="BS138" s="4">
        <v>3045</v>
      </c>
      <c r="BT138" s="4">
        <v>3745</v>
      </c>
      <c r="BU138" s="4">
        <v>3085</v>
      </c>
      <c r="BV138" s="4">
        <v>2581</v>
      </c>
      <c r="BW138" s="4">
        <v>2081</v>
      </c>
      <c r="BX138" s="4">
        <v>2163</v>
      </c>
      <c r="BY138" s="4">
        <v>1763</v>
      </c>
      <c r="BZ138" s="4">
        <v>1463</v>
      </c>
    </row>
    <row r="139" spans="1:78" ht="15.9" customHeight="1">
      <c r="A139" s="61" t="s">
        <v>273</v>
      </c>
      <c r="B139" s="6" t="s">
        <v>274</v>
      </c>
      <c r="C139" s="15">
        <f>_xll.RssMarket("4422","現在値")</f>
        <v>561</v>
      </c>
      <c r="D139" s="16">
        <f t="shared" si="4"/>
        <v>6</v>
      </c>
      <c r="E139" s="13">
        <v>555</v>
      </c>
      <c r="F139" s="13">
        <v>527</v>
      </c>
      <c r="G139" s="13">
        <v>519</v>
      </c>
      <c r="H139" s="13">
        <v>485</v>
      </c>
      <c r="I139" s="13">
        <v>487</v>
      </c>
      <c r="J139" s="13">
        <v>514</v>
      </c>
      <c r="K139" s="13">
        <v>539</v>
      </c>
      <c r="L139" s="13">
        <v>530</v>
      </c>
      <c r="M139" s="13">
        <v>537</v>
      </c>
      <c r="N139" s="13">
        <v>537</v>
      </c>
      <c r="O139" s="13">
        <v>535</v>
      </c>
      <c r="P139" s="13">
        <v>517</v>
      </c>
      <c r="Q139" s="13">
        <v>565</v>
      </c>
      <c r="R139" s="13">
        <v>543</v>
      </c>
      <c r="S139" s="13">
        <v>549</v>
      </c>
      <c r="T139" s="13">
        <v>570</v>
      </c>
      <c r="U139" s="13">
        <v>557</v>
      </c>
      <c r="V139" s="13">
        <v>559</v>
      </c>
      <c r="W139" s="13">
        <v>573</v>
      </c>
      <c r="X139" s="13">
        <v>596</v>
      </c>
      <c r="Y139" s="13">
        <v>585</v>
      </c>
      <c r="Z139" s="13">
        <v>557</v>
      </c>
      <c r="AA139" s="13">
        <v>554</v>
      </c>
      <c r="AB139" s="13">
        <v>577</v>
      </c>
      <c r="AC139" s="13">
        <v>562</v>
      </c>
      <c r="AD139" s="13">
        <v>568</v>
      </c>
      <c r="AE139" s="13">
        <v>567</v>
      </c>
      <c r="AF139" s="13">
        <v>554</v>
      </c>
      <c r="AG139" s="13">
        <v>575</v>
      </c>
      <c r="AH139" s="13">
        <v>609</v>
      </c>
      <c r="AI139" s="13">
        <v>589</v>
      </c>
      <c r="AJ139" s="13">
        <v>627</v>
      </c>
      <c r="AK139" s="13">
        <v>632</v>
      </c>
      <c r="AL139" s="13">
        <v>625</v>
      </c>
      <c r="AM139" s="13">
        <v>627</v>
      </c>
      <c r="AN139" s="13">
        <v>644</v>
      </c>
      <c r="AO139" s="13">
        <v>778</v>
      </c>
      <c r="AP139" s="13">
        <v>747</v>
      </c>
      <c r="AQ139" s="13">
        <v>915</v>
      </c>
      <c r="AR139" s="13">
        <v>765</v>
      </c>
      <c r="AS139" s="13">
        <v>665</v>
      </c>
      <c r="AT139" s="13">
        <v>674</v>
      </c>
      <c r="AU139" s="13">
        <v>683</v>
      </c>
      <c r="AV139" s="13">
        <v>692</v>
      </c>
      <c r="AW139" s="13">
        <v>717</v>
      </c>
      <c r="AX139" s="13">
        <v>760</v>
      </c>
      <c r="AY139" s="13">
        <v>834</v>
      </c>
      <c r="AZ139" s="13">
        <v>801</v>
      </c>
      <c r="BA139" s="13">
        <v>774</v>
      </c>
      <c r="BB139" s="13">
        <v>765</v>
      </c>
      <c r="BC139" s="13">
        <v>811</v>
      </c>
      <c r="BD139" s="13">
        <v>847</v>
      </c>
      <c r="BE139" s="13">
        <v>846</v>
      </c>
      <c r="BF139" s="13">
        <v>864</v>
      </c>
      <c r="BG139" s="13">
        <v>937</v>
      </c>
      <c r="BH139" s="13">
        <v>1082</v>
      </c>
      <c r="BI139" s="13">
        <v>932</v>
      </c>
      <c r="BJ139" s="13">
        <v>1020</v>
      </c>
      <c r="BK139" s="13">
        <v>1025</v>
      </c>
      <c r="BL139" s="13">
        <v>1014</v>
      </c>
      <c r="BM139" s="4">
        <v>1056</v>
      </c>
      <c r="BN139" s="4">
        <v>1155</v>
      </c>
      <c r="BO139" s="4">
        <v>1236</v>
      </c>
      <c r="BP139" s="4">
        <v>1248</v>
      </c>
      <c r="BQ139" s="4">
        <v>1434</v>
      </c>
      <c r="BR139" s="4">
        <v>1134</v>
      </c>
      <c r="BS139" s="4">
        <v>1298</v>
      </c>
      <c r="BT139" s="4">
        <v>1325</v>
      </c>
      <c r="BU139" s="4">
        <v>1397</v>
      </c>
      <c r="BV139" s="4">
        <v>1097</v>
      </c>
      <c r="BW139" s="4">
        <v>947</v>
      </c>
      <c r="BX139" s="4">
        <v>1000</v>
      </c>
      <c r="BY139" s="4">
        <v>1050</v>
      </c>
      <c r="BZ139" s="4">
        <v>900</v>
      </c>
    </row>
    <row r="140" spans="1:78" ht="15.9" customHeight="1">
      <c r="A140" s="61" t="s">
        <v>275</v>
      </c>
      <c r="B140" s="6" t="s">
        <v>276</v>
      </c>
      <c r="C140" s="15">
        <f>_xll.RssMarket("6740","現在値")</f>
        <v>47</v>
      </c>
      <c r="D140" s="16">
        <f t="shared" si="4"/>
        <v>1</v>
      </c>
      <c r="E140" s="13">
        <v>46</v>
      </c>
      <c r="F140" s="13">
        <v>47</v>
      </c>
      <c r="G140" s="13">
        <v>48</v>
      </c>
      <c r="H140" s="13">
        <v>48</v>
      </c>
      <c r="I140" s="13">
        <v>44</v>
      </c>
      <c r="J140" s="13">
        <v>46</v>
      </c>
      <c r="K140" s="13">
        <v>48</v>
      </c>
      <c r="L140" s="13"/>
      <c r="M140" s="13">
        <v>47</v>
      </c>
      <c r="N140" s="13">
        <v>47</v>
      </c>
      <c r="O140" s="13">
        <v>48</v>
      </c>
      <c r="P140" s="13">
        <v>46</v>
      </c>
      <c r="Q140" s="13">
        <v>50</v>
      </c>
      <c r="R140" s="13">
        <v>51</v>
      </c>
      <c r="S140" s="13">
        <v>52</v>
      </c>
      <c r="T140" s="13">
        <v>52</v>
      </c>
      <c r="U140" s="13">
        <v>50</v>
      </c>
      <c r="V140" s="13">
        <v>52</v>
      </c>
      <c r="W140" s="13">
        <v>53</v>
      </c>
      <c r="X140" s="13">
        <v>56</v>
      </c>
      <c r="Y140" s="13">
        <v>53</v>
      </c>
      <c r="Z140" s="13">
        <v>52</v>
      </c>
      <c r="AA140" s="13">
        <v>54</v>
      </c>
      <c r="AB140" s="13">
        <v>56</v>
      </c>
      <c r="AC140" s="13">
        <v>60</v>
      </c>
      <c r="AD140" s="13">
        <v>60</v>
      </c>
      <c r="AE140" s="13">
        <v>55</v>
      </c>
      <c r="AF140" s="13">
        <v>60</v>
      </c>
      <c r="AG140" s="13">
        <v>49</v>
      </c>
      <c r="AH140" s="13">
        <v>53</v>
      </c>
      <c r="AI140" s="13">
        <v>55</v>
      </c>
      <c r="AJ140" s="13">
        <v>50</v>
      </c>
      <c r="AK140" s="13">
        <v>51</v>
      </c>
      <c r="AL140" s="13">
        <v>45</v>
      </c>
      <c r="AM140" s="13">
        <v>49</v>
      </c>
      <c r="AN140" s="13">
        <v>52</v>
      </c>
      <c r="AO140" s="13">
        <v>54</v>
      </c>
      <c r="AP140" s="13">
        <v>54</v>
      </c>
      <c r="AQ140" s="13">
        <v>54</v>
      </c>
      <c r="AR140" s="13">
        <v>56</v>
      </c>
      <c r="AS140" s="13">
        <v>54</v>
      </c>
      <c r="AT140" s="13">
        <v>55</v>
      </c>
      <c r="AU140" s="13">
        <v>56</v>
      </c>
      <c r="AV140" s="13">
        <v>57</v>
      </c>
      <c r="AW140" s="13">
        <v>56</v>
      </c>
      <c r="AX140" s="13">
        <v>55</v>
      </c>
      <c r="AY140" s="13">
        <v>65</v>
      </c>
      <c r="AZ140" s="13">
        <v>67</v>
      </c>
      <c r="BA140" s="13">
        <v>63</v>
      </c>
      <c r="BB140" s="13">
        <v>62</v>
      </c>
      <c r="BC140" s="13">
        <v>66</v>
      </c>
      <c r="BD140" s="13">
        <v>70</v>
      </c>
      <c r="BE140" s="13">
        <v>68</v>
      </c>
      <c r="BF140" s="13">
        <v>70</v>
      </c>
      <c r="BG140" s="13">
        <v>71</v>
      </c>
      <c r="BH140" s="13">
        <v>75</v>
      </c>
      <c r="BI140" s="13">
        <v>81</v>
      </c>
      <c r="BJ140" s="13">
        <v>82</v>
      </c>
      <c r="BK140" s="13">
        <v>89</v>
      </c>
      <c r="BL140" s="13">
        <v>89</v>
      </c>
      <c r="BM140" s="4">
        <v>100</v>
      </c>
      <c r="BN140" s="4">
        <v>94</v>
      </c>
      <c r="BO140" s="4">
        <v>91</v>
      </c>
      <c r="BP140" s="4">
        <v>101</v>
      </c>
      <c r="BQ140" s="4">
        <v>95</v>
      </c>
      <c r="BR140" s="4">
        <v>103</v>
      </c>
      <c r="BS140" s="4">
        <v>104</v>
      </c>
      <c r="BT140" s="4">
        <v>120</v>
      </c>
      <c r="BU140" s="4">
        <v>110</v>
      </c>
      <c r="BV140" s="4">
        <v>109</v>
      </c>
      <c r="BW140" s="4">
        <v>92</v>
      </c>
      <c r="BX140" s="4">
        <v>90</v>
      </c>
      <c r="BY140" s="4">
        <v>82</v>
      </c>
      <c r="BZ140" s="4">
        <v>83</v>
      </c>
    </row>
    <row r="141" spans="1:78" ht="15.9" customHeight="1">
      <c r="A141" s="61" t="s">
        <v>277</v>
      </c>
      <c r="B141" s="6" t="s">
        <v>278</v>
      </c>
      <c r="C141" s="15">
        <f>_xll.RssMarket("6613","現在値")</f>
        <v>1763</v>
      </c>
      <c r="D141" s="16">
        <f t="shared" si="4"/>
        <v>137</v>
      </c>
      <c r="E141" s="13">
        <v>1626</v>
      </c>
      <c r="F141" s="13">
        <v>1485</v>
      </c>
      <c r="G141" s="13">
        <v>1537</v>
      </c>
      <c r="H141" s="13">
        <v>1301</v>
      </c>
      <c r="I141" s="13">
        <v>1243</v>
      </c>
      <c r="J141" s="13">
        <v>1391</v>
      </c>
      <c r="K141" s="13">
        <v>1550</v>
      </c>
      <c r="L141" s="13">
        <v>1643</v>
      </c>
      <c r="M141" s="13">
        <v>1753</v>
      </c>
      <c r="N141" s="13">
        <v>1655</v>
      </c>
      <c r="O141" s="13">
        <v>1676</v>
      </c>
      <c r="P141" s="13">
        <v>1766</v>
      </c>
      <c r="Q141" s="13">
        <v>2384</v>
      </c>
      <c r="R141" s="13">
        <v>2425</v>
      </c>
      <c r="S141" s="13">
        <v>2545</v>
      </c>
      <c r="T141" s="13">
        <v>2505</v>
      </c>
      <c r="U141" s="13">
        <v>2540</v>
      </c>
      <c r="V141" s="13">
        <v>2621</v>
      </c>
      <c r="W141" s="13">
        <v>2600</v>
      </c>
      <c r="X141" s="13">
        <v>2710</v>
      </c>
      <c r="Y141" s="13">
        <v>2595</v>
      </c>
      <c r="Z141" s="13">
        <v>2610</v>
      </c>
      <c r="AA141" s="13">
        <v>2752</v>
      </c>
      <c r="AB141" s="13">
        <v>2802</v>
      </c>
      <c r="AC141" s="13">
        <v>2765</v>
      </c>
      <c r="AD141" s="13">
        <v>2840</v>
      </c>
      <c r="AE141" s="13">
        <v>3255</v>
      </c>
      <c r="AF141" s="13">
        <v>2752</v>
      </c>
      <c r="AG141" s="13">
        <v>2877</v>
      </c>
      <c r="AH141" s="13">
        <v>3020</v>
      </c>
      <c r="AI141" s="13">
        <v>2520</v>
      </c>
      <c r="AJ141" s="13">
        <v>2467</v>
      </c>
      <c r="AK141" s="13">
        <v>2377</v>
      </c>
      <c r="AL141" s="13">
        <v>2620</v>
      </c>
      <c r="AM141" s="13">
        <v>2769</v>
      </c>
      <c r="AN141" s="13">
        <v>2620</v>
      </c>
      <c r="AO141" s="13">
        <v>2409</v>
      </c>
      <c r="AP141" s="13">
        <v>2372</v>
      </c>
      <c r="AQ141" s="13">
        <v>2550</v>
      </c>
      <c r="AR141" s="13">
        <v>2570</v>
      </c>
      <c r="AS141" s="13">
        <v>2450</v>
      </c>
      <c r="AT141" s="13">
        <v>2600</v>
      </c>
      <c r="AU141" s="13">
        <v>2740</v>
      </c>
      <c r="AV141" s="13">
        <v>2424</v>
      </c>
      <c r="AW141" s="13">
        <v>2732</v>
      </c>
      <c r="AX141" s="13">
        <v>2620</v>
      </c>
      <c r="AY141" s="13">
        <v>3190</v>
      </c>
      <c r="AZ141" s="13">
        <v>3100</v>
      </c>
      <c r="BA141" s="13">
        <v>2600</v>
      </c>
      <c r="BB141" s="13">
        <v>2645</v>
      </c>
      <c r="BC141" s="13">
        <v>2626</v>
      </c>
      <c r="BD141" s="13">
        <v>2127</v>
      </c>
      <c r="BE141" s="13">
        <v>1727</v>
      </c>
      <c r="BF141" s="13">
        <v>1579</v>
      </c>
      <c r="BG141" s="13">
        <v>1641</v>
      </c>
      <c r="BH141" s="13">
        <v>1680</v>
      </c>
      <c r="BI141" s="13">
        <v>1688</v>
      </c>
      <c r="BJ141" s="13">
        <v>1853</v>
      </c>
      <c r="BK141" s="13">
        <v>1506</v>
      </c>
      <c r="BL141" s="13">
        <v>1419</v>
      </c>
      <c r="BM141" s="4">
        <v>1419</v>
      </c>
      <c r="BN141" s="4">
        <v>1459</v>
      </c>
      <c r="BO141" s="4">
        <v>1533</v>
      </c>
      <c r="BP141" s="4">
        <v>1465</v>
      </c>
      <c r="BQ141" s="4">
        <v>1544</v>
      </c>
      <c r="BR141" s="4">
        <v>1526</v>
      </c>
      <c r="BS141" s="4">
        <v>1609</v>
      </c>
      <c r="BT141" s="4">
        <v>1585</v>
      </c>
      <c r="BU141" s="4">
        <v>1285</v>
      </c>
      <c r="BV141" s="4">
        <v>1381</v>
      </c>
      <c r="BW141" s="4">
        <v>1338</v>
      </c>
      <c r="BX141" s="4">
        <v>1462</v>
      </c>
      <c r="BY141" s="4">
        <v>1221</v>
      </c>
      <c r="BZ141" s="4">
        <v>1086</v>
      </c>
    </row>
    <row r="142" spans="1:78" ht="15.9" customHeight="1">
      <c r="A142" s="61" t="s">
        <v>279</v>
      </c>
      <c r="B142" s="6" t="str">
        <f>銘柄管理!C142</f>
        <v>第一三共</v>
      </c>
      <c r="C142" s="15">
        <f>_xll.RssMarket("4568","現在値")</f>
        <v>2573.5</v>
      </c>
      <c r="D142" s="16"/>
      <c r="E142" s="13">
        <v>2500</v>
      </c>
      <c r="F142" s="13">
        <v>2570</v>
      </c>
      <c r="G142" s="13">
        <v>2567.5</v>
      </c>
      <c r="H142" s="13">
        <v>2889</v>
      </c>
      <c r="I142" s="13">
        <v>2886.5</v>
      </c>
      <c r="J142" s="13">
        <v>2889.5</v>
      </c>
      <c r="K142" s="13">
        <v>2822.5</v>
      </c>
      <c r="L142" s="13">
        <v>2799.5</v>
      </c>
      <c r="M142" s="13">
        <v>2755</v>
      </c>
      <c r="N142" s="13">
        <v>2761.5</v>
      </c>
      <c r="O142" s="13">
        <v>2815</v>
      </c>
      <c r="P142" s="13">
        <v>2791</v>
      </c>
      <c r="Q142" s="13">
        <v>2677</v>
      </c>
      <c r="R142" s="13">
        <v>2679.5</v>
      </c>
      <c r="S142" s="13">
        <v>2691.5</v>
      </c>
      <c r="T142" s="13">
        <v>2730.5</v>
      </c>
      <c r="U142" s="13">
        <v>2733</v>
      </c>
      <c r="V142" s="13">
        <v>2717</v>
      </c>
      <c r="W142" s="13">
        <v>2719</v>
      </c>
      <c r="X142" s="13">
        <v>2758</v>
      </c>
      <c r="Y142" s="13">
        <v>2649.5</v>
      </c>
      <c r="Z142" s="13">
        <v>2641</v>
      </c>
      <c r="AA142" s="13">
        <v>2578.5</v>
      </c>
      <c r="AB142" s="13">
        <v>2608.5</v>
      </c>
      <c r="AC142" s="13">
        <v>2614</v>
      </c>
      <c r="AD142" s="13">
        <v>2535.5</v>
      </c>
      <c r="AE142" s="13">
        <v>2566.5</v>
      </c>
      <c r="AF142" s="13">
        <v>2526.5</v>
      </c>
      <c r="AG142" s="13">
        <v>2520</v>
      </c>
      <c r="AH142" s="13">
        <v>2534.5</v>
      </c>
      <c r="AI142" s="13">
        <v>2541.5</v>
      </c>
      <c r="AJ142" s="13">
        <v>2706</v>
      </c>
      <c r="AK142" s="13">
        <v>2595.5</v>
      </c>
      <c r="AL142" s="13">
        <v>2519.5</v>
      </c>
      <c r="AM142" s="13">
        <v>2546</v>
      </c>
      <c r="AN142" s="13">
        <v>2500.5</v>
      </c>
      <c r="AO142" s="13">
        <v>2495</v>
      </c>
      <c r="AP142" s="13">
        <v>2487.5</v>
      </c>
      <c r="AQ142" s="13">
        <v>2528.5</v>
      </c>
      <c r="AR142" s="13">
        <v>2490</v>
      </c>
      <c r="AS142" s="13">
        <v>2392</v>
      </c>
      <c r="AT142" s="13">
        <v>2517</v>
      </c>
      <c r="AU142" s="13">
        <v>2582.5</v>
      </c>
      <c r="AV142" s="13">
        <v>2700.5</v>
      </c>
      <c r="AW142" s="13">
        <v>2662.5</v>
      </c>
      <c r="AX142" s="13">
        <v>2682</v>
      </c>
      <c r="AY142" s="13">
        <v>2700.5</v>
      </c>
      <c r="AZ142" s="13">
        <v>2649.5</v>
      </c>
      <c r="BA142" s="13">
        <v>2664.5</v>
      </c>
      <c r="BB142" s="13">
        <v>2605.5</v>
      </c>
      <c r="BC142" s="13">
        <v>2636</v>
      </c>
      <c r="BD142" s="13">
        <v>2620.5</v>
      </c>
      <c r="BE142" s="13">
        <v>2574</v>
      </c>
      <c r="BF142" s="13">
        <v>2582</v>
      </c>
      <c r="BG142" s="13">
        <v>2725.5</v>
      </c>
      <c r="BH142" s="13">
        <v>2738</v>
      </c>
      <c r="BI142" s="13">
        <v>2649</v>
      </c>
      <c r="BJ142" s="13">
        <v>2596</v>
      </c>
      <c r="BK142" s="13">
        <v>2600</v>
      </c>
      <c r="BL142" s="13">
        <v>2616.5</v>
      </c>
      <c r="BM142" s="4">
        <v>2588.5</v>
      </c>
      <c r="BN142" s="4">
        <v>2650.5</v>
      </c>
      <c r="BO142" s="4">
        <v>2602.5</v>
      </c>
      <c r="BP142" s="4">
        <v>2499</v>
      </c>
      <c r="BQ142" s="4">
        <v>2790</v>
      </c>
      <c r="BR142" s="4">
        <v>2843.5</v>
      </c>
      <c r="BS142" s="4">
        <v>2915</v>
      </c>
      <c r="BT142" s="4">
        <v>3000</v>
      </c>
      <c r="BU142" s="4">
        <v>2939</v>
      </c>
      <c r="BV142" s="4">
        <v>2889</v>
      </c>
      <c r="BW142" s="4">
        <v>2832</v>
      </c>
      <c r="BX142" s="4">
        <v>2734</v>
      </c>
      <c r="BY142" s="4">
        <v>2731.5</v>
      </c>
      <c r="BZ142" s="4">
        <v>2772.5</v>
      </c>
    </row>
    <row r="143" spans="1:78" ht="15.9" customHeight="1">
      <c r="A143" s="61" t="s">
        <v>280</v>
      </c>
      <c r="B143" s="6" t="s">
        <v>281</v>
      </c>
      <c r="C143" s="15">
        <f>_xll.RssMarket("6522","現在値")</f>
        <v>1709</v>
      </c>
      <c r="D143" s="16">
        <f t="shared" ref="D143:D188" si="5">C143-E143</f>
        <v>-77</v>
      </c>
      <c r="E143" s="13">
        <v>1786</v>
      </c>
      <c r="F143" s="13">
        <v>1500</v>
      </c>
      <c r="G143" s="13">
        <v>1591</v>
      </c>
      <c r="H143" s="13">
        <v>1498</v>
      </c>
      <c r="I143" s="13">
        <v>1632</v>
      </c>
      <c r="J143" s="13">
        <v>1459</v>
      </c>
      <c r="K143" s="13">
        <v>1627</v>
      </c>
      <c r="L143" s="13">
        <v>1690</v>
      </c>
      <c r="M143" s="13">
        <v>1630</v>
      </c>
      <c r="N143" s="13">
        <v>1486</v>
      </c>
      <c r="O143" s="13">
        <v>1309</v>
      </c>
      <c r="P143" s="13">
        <v>1308</v>
      </c>
      <c r="Q143" s="13">
        <v>1899</v>
      </c>
      <c r="R143" s="13">
        <v>1825</v>
      </c>
      <c r="S143" s="13">
        <v>1980</v>
      </c>
      <c r="T143" s="13">
        <v>2050</v>
      </c>
      <c r="U143" s="13">
        <v>1900</v>
      </c>
      <c r="V143" s="13">
        <v>2400</v>
      </c>
      <c r="W143" s="13">
        <v>2096</v>
      </c>
      <c r="X143" s="13">
        <v>1696</v>
      </c>
      <c r="Y143" s="13">
        <v>1950</v>
      </c>
      <c r="Z143" s="13">
        <v>1960</v>
      </c>
      <c r="AA143" s="13">
        <v>1560</v>
      </c>
      <c r="AB143" s="13">
        <v>1330</v>
      </c>
      <c r="AC143" s="13">
        <v>1030</v>
      </c>
      <c r="AD143" s="13">
        <v>1020</v>
      </c>
      <c r="AE143" s="13">
        <v>1017</v>
      </c>
      <c r="AF143" s="13">
        <v>1136</v>
      </c>
      <c r="AG143" s="13">
        <v>1076</v>
      </c>
      <c r="AH143" s="13">
        <v>1161</v>
      </c>
      <c r="AI143" s="13">
        <v>1009</v>
      </c>
      <c r="AJ143" s="13">
        <v>881</v>
      </c>
      <c r="AK143" s="13">
        <v>731</v>
      </c>
      <c r="AL143" s="13">
        <v>720</v>
      </c>
      <c r="AM143" s="13">
        <v>710</v>
      </c>
      <c r="AN143" s="13">
        <v>710</v>
      </c>
      <c r="AO143" s="13">
        <v>743</v>
      </c>
      <c r="AP143" s="13">
        <v>748</v>
      </c>
      <c r="AQ143" s="13">
        <v>747</v>
      </c>
      <c r="AR143" s="13">
        <v>753</v>
      </c>
      <c r="AS143" s="13">
        <v>786</v>
      </c>
      <c r="AT143" s="13">
        <v>812</v>
      </c>
      <c r="AU143" s="13">
        <v>796</v>
      </c>
      <c r="AV143" s="13">
        <v>795</v>
      </c>
      <c r="AW143" s="13">
        <v>788</v>
      </c>
      <c r="AX143" s="13">
        <v>810</v>
      </c>
      <c r="AY143" s="13">
        <v>943</v>
      </c>
      <c r="AZ143" s="13">
        <v>982</v>
      </c>
      <c r="BA143" s="13">
        <v>920</v>
      </c>
      <c r="BB143" s="13">
        <v>958</v>
      </c>
      <c r="BC143" s="13">
        <v>1002</v>
      </c>
      <c r="BD143" s="13">
        <v>1002</v>
      </c>
      <c r="BE143" s="13">
        <v>1012</v>
      </c>
      <c r="BF143" s="13">
        <v>1038</v>
      </c>
      <c r="BG143" s="13">
        <v>1019</v>
      </c>
      <c r="BH143" s="13">
        <v>1067</v>
      </c>
      <c r="BI143" s="13">
        <v>1180</v>
      </c>
      <c r="BJ143" s="13">
        <v>1263</v>
      </c>
      <c r="BK143" s="13">
        <v>1216</v>
      </c>
      <c r="BL143" s="13">
        <v>1182</v>
      </c>
      <c r="BM143" s="4">
        <v>1141</v>
      </c>
      <c r="BN143" s="4">
        <v>1173</v>
      </c>
      <c r="BO143" s="4">
        <v>1251</v>
      </c>
      <c r="BP143" s="4">
        <v>1199</v>
      </c>
      <c r="BQ143" s="4">
        <v>1235</v>
      </c>
      <c r="BR143" s="4">
        <v>1351</v>
      </c>
      <c r="BS143" s="4">
        <v>1336</v>
      </c>
      <c r="BT143" s="4">
        <v>1036</v>
      </c>
      <c r="BU143" s="4">
        <v>1068</v>
      </c>
      <c r="BV143" s="4">
        <v>1086</v>
      </c>
      <c r="BW143" s="4">
        <v>936</v>
      </c>
      <c r="BX143" s="4">
        <v>1013</v>
      </c>
      <c r="BY143" s="4">
        <v>1024</v>
      </c>
      <c r="BZ143" s="4">
        <v>1020</v>
      </c>
    </row>
    <row r="144" spans="1:78" ht="15.9" customHeight="1">
      <c r="A144" s="61" t="s">
        <v>282</v>
      </c>
      <c r="B144" s="6" t="s">
        <v>283</v>
      </c>
      <c r="C144" s="15">
        <f>_xll.RssMarket("6777","現在値")</f>
        <v>21400</v>
      </c>
      <c r="D144" s="16">
        <f t="shared" si="5"/>
        <v>1960</v>
      </c>
      <c r="E144" s="13">
        <v>19440</v>
      </c>
      <c r="F144" s="13">
        <v>17950</v>
      </c>
      <c r="G144" s="13">
        <v>17280</v>
      </c>
      <c r="H144" s="13">
        <v>15290</v>
      </c>
      <c r="I144" s="13">
        <v>15290</v>
      </c>
      <c r="J144" s="13">
        <v>16500</v>
      </c>
      <c r="K144" s="13">
        <v>18310</v>
      </c>
      <c r="L144" s="13"/>
      <c r="M144" s="13">
        <v>19020</v>
      </c>
      <c r="N144" s="13">
        <v>19090</v>
      </c>
      <c r="O144" s="13">
        <v>18910</v>
      </c>
      <c r="P144" s="13">
        <v>18630</v>
      </c>
      <c r="Q144" s="13">
        <v>21850</v>
      </c>
      <c r="R144" s="13">
        <v>21000</v>
      </c>
      <c r="S144" s="13">
        <v>20820</v>
      </c>
      <c r="T144" s="13">
        <v>20790</v>
      </c>
      <c r="U144" s="13">
        <v>20500</v>
      </c>
      <c r="V144" s="13">
        <v>20220</v>
      </c>
      <c r="W144" s="13">
        <v>21370</v>
      </c>
      <c r="X144" s="13">
        <v>23130</v>
      </c>
      <c r="Y144" s="13">
        <v>23350</v>
      </c>
      <c r="Z144" s="13">
        <v>23700</v>
      </c>
      <c r="AA144" s="13">
        <v>25800</v>
      </c>
      <c r="AB144" s="13">
        <v>26590</v>
      </c>
      <c r="AC144" s="13">
        <v>26360</v>
      </c>
      <c r="AD144" s="13">
        <v>28000</v>
      </c>
      <c r="AE144" s="13">
        <v>28100</v>
      </c>
      <c r="AF144" s="13">
        <v>27150</v>
      </c>
      <c r="AG144" s="13">
        <v>27360</v>
      </c>
      <c r="AH144" s="13">
        <v>30150</v>
      </c>
      <c r="AI144" s="13">
        <v>28910</v>
      </c>
      <c r="AJ144" s="13">
        <v>26720</v>
      </c>
      <c r="AK144" s="13">
        <v>27070</v>
      </c>
      <c r="AL144" s="13">
        <v>27070</v>
      </c>
      <c r="AM144" s="13">
        <v>25050</v>
      </c>
      <c r="AN144" s="13">
        <v>23220</v>
      </c>
      <c r="AO144" s="13">
        <v>22800</v>
      </c>
      <c r="AP144" s="13">
        <v>23640</v>
      </c>
      <c r="AQ144" s="13">
        <v>23200</v>
      </c>
      <c r="AR144" s="13">
        <v>25170</v>
      </c>
      <c r="AS144" s="13">
        <v>25730</v>
      </c>
      <c r="AT144" s="13">
        <v>26130</v>
      </c>
      <c r="AU144" s="13">
        <v>25450</v>
      </c>
      <c r="AV144" s="13">
        <v>24980</v>
      </c>
      <c r="AW144" s="13">
        <v>24670</v>
      </c>
      <c r="AX144" s="13">
        <v>25060</v>
      </c>
      <c r="AY144" s="13">
        <v>28440</v>
      </c>
      <c r="AZ144" s="13">
        <v>27250</v>
      </c>
      <c r="BA144" s="13">
        <v>26020</v>
      </c>
      <c r="BB144" s="13">
        <v>26860</v>
      </c>
      <c r="BC144" s="13">
        <v>27650</v>
      </c>
      <c r="BD144" s="13">
        <v>32300</v>
      </c>
      <c r="BE144" s="13">
        <v>29750</v>
      </c>
      <c r="BF144" s="13">
        <v>31950</v>
      </c>
      <c r="BG144" s="13">
        <v>33000</v>
      </c>
      <c r="BH144" s="13">
        <v>31000</v>
      </c>
      <c r="BI144" s="13">
        <v>27230</v>
      </c>
      <c r="BJ144" s="13">
        <v>27720</v>
      </c>
      <c r="BK144" s="13">
        <v>28230</v>
      </c>
      <c r="BL144" s="13">
        <v>27830</v>
      </c>
      <c r="BM144" s="4">
        <v>27940</v>
      </c>
      <c r="BN144" s="4">
        <v>28580</v>
      </c>
      <c r="BO144" s="4">
        <v>28680</v>
      </c>
      <c r="BP144" s="4">
        <v>28700</v>
      </c>
      <c r="BQ144" s="4">
        <v>30950</v>
      </c>
      <c r="BR144" s="4">
        <v>29450</v>
      </c>
      <c r="BS144" s="4">
        <v>29770</v>
      </c>
      <c r="BT144" s="4">
        <v>29280</v>
      </c>
      <c r="BU144" s="4">
        <v>26530</v>
      </c>
      <c r="BV144" s="4">
        <v>24420</v>
      </c>
      <c r="BW144" s="4">
        <v>24630</v>
      </c>
      <c r="BX144" s="4">
        <v>24760</v>
      </c>
      <c r="BY144" s="4">
        <v>23730</v>
      </c>
      <c r="BZ144" s="4">
        <v>21980</v>
      </c>
    </row>
    <row r="145" spans="1:78" ht="15.9" customHeight="1">
      <c r="A145" s="61" t="s">
        <v>284</v>
      </c>
      <c r="B145" s="6" t="s">
        <v>285</v>
      </c>
      <c r="C145" s="15">
        <f>_xll.RssMarket("6787","現在値")</f>
        <v>24720</v>
      </c>
      <c r="D145" s="16">
        <f t="shared" si="5"/>
        <v>2680</v>
      </c>
      <c r="E145" s="13">
        <v>22040</v>
      </c>
      <c r="F145" s="13">
        <v>21180</v>
      </c>
      <c r="G145" s="13">
        <v>20680</v>
      </c>
      <c r="H145" s="13">
        <v>18990</v>
      </c>
      <c r="I145" s="13">
        <v>18450</v>
      </c>
      <c r="J145" s="13">
        <v>20850</v>
      </c>
      <c r="K145" s="13">
        <v>22990</v>
      </c>
      <c r="L145" s="13">
        <v>23100</v>
      </c>
      <c r="M145" s="13">
        <v>23820</v>
      </c>
      <c r="N145" s="13">
        <v>24390</v>
      </c>
      <c r="O145" s="13">
        <v>23530</v>
      </c>
      <c r="P145" s="13">
        <v>22630</v>
      </c>
      <c r="Q145" s="13">
        <v>26930</v>
      </c>
      <c r="R145" s="13">
        <v>25720</v>
      </c>
      <c r="S145" s="13">
        <v>25880</v>
      </c>
      <c r="T145" s="13">
        <v>26160</v>
      </c>
      <c r="U145" s="13">
        <v>25800</v>
      </c>
      <c r="V145" s="13">
        <v>25470</v>
      </c>
      <c r="W145" s="13">
        <v>26570</v>
      </c>
      <c r="X145" s="13">
        <v>27620</v>
      </c>
      <c r="Y145" s="13">
        <v>29330</v>
      </c>
      <c r="Z145" s="13">
        <v>28580</v>
      </c>
      <c r="AA145" s="13">
        <v>29520</v>
      </c>
      <c r="AB145" s="13">
        <v>31000</v>
      </c>
      <c r="AC145" s="13">
        <v>31650</v>
      </c>
      <c r="AD145" s="13">
        <v>30250</v>
      </c>
      <c r="AE145" s="13">
        <v>32400</v>
      </c>
      <c r="AF145" s="13">
        <v>32400</v>
      </c>
      <c r="AG145" s="13">
        <v>32550</v>
      </c>
      <c r="AH145" s="13">
        <v>37050</v>
      </c>
      <c r="AI145" s="13">
        <v>39900</v>
      </c>
      <c r="AJ145" s="13">
        <v>35850</v>
      </c>
      <c r="AK145" s="13">
        <v>35750</v>
      </c>
      <c r="AL145" s="13">
        <v>34850</v>
      </c>
      <c r="AM145" s="13">
        <v>30400</v>
      </c>
      <c r="AN145" s="13">
        <v>30850</v>
      </c>
      <c r="AO145" s="13">
        <v>29180</v>
      </c>
      <c r="AP145" s="13">
        <v>30900</v>
      </c>
      <c r="AQ145" s="13">
        <v>33900</v>
      </c>
      <c r="AR145" s="13">
        <v>35600</v>
      </c>
      <c r="AS145" s="13">
        <v>37300</v>
      </c>
      <c r="AT145" s="13">
        <v>37100</v>
      </c>
      <c r="AU145" s="13">
        <v>39200</v>
      </c>
      <c r="AV145" s="13">
        <v>38600</v>
      </c>
      <c r="AW145" s="13">
        <v>37600</v>
      </c>
      <c r="AX145" s="13">
        <v>37900</v>
      </c>
      <c r="AY145" s="13">
        <v>42750</v>
      </c>
      <c r="AZ145" s="13">
        <v>43450</v>
      </c>
      <c r="BA145" s="13">
        <v>40050</v>
      </c>
      <c r="BB145" s="13">
        <v>35400</v>
      </c>
      <c r="BC145" s="13">
        <v>36850</v>
      </c>
      <c r="BD145" s="13">
        <v>39800</v>
      </c>
      <c r="BE145" s="13">
        <v>36200</v>
      </c>
      <c r="BF145" s="13">
        <v>38650</v>
      </c>
      <c r="BG145" s="13">
        <v>31650</v>
      </c>
      <c r="BH145" s="13">
        <v>30750</v>
      </c>
      <c r="BI145" s="13">
        <v>31500</v>
      </c>
      <c r="BJ145" s="13">
        <v>33500</v>
      </c>
      <c r="BK145" s="13">
        <v>31200</v>
      </c>
      <c r="BL145" s="13">
        <v>29740</v>
      </c>
      <c r="BM145" s="4">
        <v>31650</v>
      </c>
      <c r="BN145" s="4">
        <v>32000</v>
      </c>
      <c r="BO145" s="4">
        <v>30800</v>
      </c>
      <c r="BP145" s="4">
        <v>29440</v>
      </c>
      <c r="BQ145" s="4">
        <v>28170</v>
      </c>
      <c r="BR145" s="4">
        <v>29330</v>
      </c>
      <c r="BS145" s="4">
        <v>27830</v>
      </c>
      <c r="BT145" s="4">
        <v>27340</v>
      </c>
      <c r="BU145" s="4">
        <v>28650</v>
      </c>
      <c r="BV145" s="4">
        <v>29730</v>
      </c>
      <c r="BW145" s="4">
        <v>28240</v>
      </c>
      <c r="BX145" s="4">
        <v>29370</v>
      </c>
      <c r="BY145" s="4">
        <v>26150</v>
      </c>
      <c r="BZ145" s="4">
        <v>26460</v>
      </c>
    </row>
    <row r="146" spans="1:78" ht="15.9" customHeight="1">
      <c r="A146" s="61" t="s">
        <v>286</v>
      </c>
      <c r="B146" s="6" t="s">
        <v>287</v>
      </c>
      <c r="C146" s="15">
        <f>_xll.RssMarket("4888","現在値")</f>
        <v>315</v>
      </c>
      <c r="D146" s="16">
        <f t="shared" si="5"/>
        <v>-1</v>
      </c>
      <c r="E146" s="13">
        <v>316</v>
      </c>
      <c r="F146" s="13">
        <v>311</v>
      </c>
      <c r="G146" s="13">
        <v>307</v>
      </c>
      <c r="H146" s="13">
        <v>297</v>
      </c>
      <c r="I146" s="13">
        <v>299</v>
      </c>
      <c r="J146" s="13">
        <v>310</v>
      </c>
      <c r="K146" s="13">
        <v>322</v>
      </c>
      <c r="L146" s="13">
        <v>306</v>
      </c>
      <c r="M146" s="13">
        <v>306</v>
      </c>
      <c r="N146" s="13">
        <v>308</v>
      </c>
      <c r="O146" s="13">
        <v>305</v>
      </c>
      <c r="P146" s="13">
        <v>305</v>
      </c>
      <c r="Q146" s="13">
        <v>337</v>
      </c>
      <c r="R146" s="13">
        <v>325</v>
      </c>
      <c r="S146" s="13">
        <v>326</v>
      </c>
      <c r="T146" s="13">
        <v>324</v>
      </c>
      <c r="U146" s="13">
        <v>302</v>
      </c>
      <c r="V146" s="13">
        <v>301</v>
      </c>
      <c r="W146" s="13">
        <v>308</v>
      </c>
      <c r="X146" s="13">
        <v>311</v>
      </c>
      <c r="Y146" s="13">
        <v>312</v>
      </c>
      <c r="Z146" s="13">
        <v>304</v>
      </c>
      <c r="AA146" s="13">
        <v>307</v>
      </c>
      <c r="AB146" s="13">
        <v>311</v>
      </c>
      <c r="AC146" s="13">
        <v>310</v>
      </c>
      <c r="AD146" s="13">
        <v>300</v>
      </c>
      <c r="AE146" s="13">
        <v>312</v>
      </c>
      <c r="AF146" s="13">
        <v>315</v>
      </c>
      <c r="AG146" s="13">
        <v>321</v>
      </c>
      <c r="AH146" s="13">
        <v>336</v>
      </c>
      <c r="AI146" s="13">
        <v>352</v>
      </c>
      <c r="AJ146" s="13">
        <v>412</v>
      </c>
      <c r="AK146" s="13">
        <v>350</v>
      </c>
      <c r="AL146" s="13">
        <v>332</v>
      </c>
      <c r="AM146" s="13">
        <v>334</v>
      </c>
      <c r="AN146" s="13">
        <v>333</v>
      </c>
      <c r="AO146" s="13">
        <v>318</v>
      </c>
      <c r="AP146" s="13">
        <v>305</v>
      </c>
      <c r="AQ146" s="13">
        <v>300</v>
      </c>
      <c r="AR146" s="13">
        <v>344</v>
      </c>
      <c r="AS146" s="13">
        <v>343</v>
      </c>
      <c r="AT146" s="13">
        <v>349</v>
      </c>
      <c r="AU146" s="13">
        <v>332</v>
      </c>
      <c r="AV146" s="13">
        <v>357</v>
      </c>
      <c r="AW146" s="13">
        <v>388</v>
      </c>
      <c r="AX146" s="13">
        <v>392</v>
      </c>
      <c r="AY146" s="13">
        <v>444</v>
      </c>
      <c r="AZ146" s="13">
        <v>445</v>
      </c>
      <c r="BA146" s="13">
        <v>441</v>
      </c>
      <c r="BB146" s="13">
        <v>412</v>
      </c>
      <c r="BC146" s="13">
        <v>432</v>
      </c>
      <c r="BD146" s="13">
        <v>433</v>
      </c>
      <c r="BE146" s="13">
        <v>413</v>
      </c>
      <c r="BF146" s="13">
        <v>411</v>
      </c>
      <c r="BG146" s="13">
        <v>479</v>
      </c>
      <c r="BH146" s="13">
        <v>469</v>
      </c>
      <c r="BI146" s="13">
        <v>487</v>
      </c>
      <c r="BJ146" s="13">
        <v>530</v>
      </c>
      <c r="BK146" s="13">
        <v>532</v>
      </c>
      <c r="BL146" s="13">
        <v>525</v>
      </c>
      <c r="BM146" s="4">
        <v>514</v>
      </c>
      <c r="BN146" s="4">
        <v>519</v>
      </c>
      <c r="BO146" s="4">
        <v>540</v>
      </c>
      <c r="BP146" s="4">
        <v>543</v>
      </c>
      <c r="BQ146" s="4">
        <v>543</v>
      </c>
      <c r="BR146" s="4">
        <v>565</v>
      </c>
      <c r="BS146" s="4">
        <v>626</v>
      </c>
      <c r="BT146" s="4">
        <v>716</v>
      </c>
      <c r="BU146" s="4">
        <v>713</v>
      </c>
      <c r="BV146" s="4">
        <v>750</v>
      </c>
      <c r="BW146" s="4">
        <v>650</v>
      </c>
      <c r="BX146" s="4">
        <v>711</v>
      </c>
      <c r="BY146" s="4">
        <v>717</v>
      </c>
      <c r="BZ146" s="4">
        <v>720</v>
      </c>
    </row>
    <row r="147" spans="1:78" ht="15.9" customHeight="1">
      <c r="A147" s="61" t="s">
        <v>288</v>
      </c>
      <c r="B147" s="6" t="s">
        <v>289</v>
      </c>
      <c r="C147" s="15">
        <f>_xll.RssMarket("6387","現在値")</f>
        <v>9870</v>
      </c>
      <c r="D147" s="16">
        <f t="shared" si="5"/>
        <v>520</v>
      </c>
      <c r="E147" s="13">
        <v>9350</v>
      </c>
      <c r="F147" s="13">
        <v>8520</v>
      </c>
      <c r="G147" s="13">
        <v>8520</v>
      </c>
      <c r="H147" s="13">
        <v>7370</v>
      </c>
      <c r="I147" s="13">
        <v>7610</v>
      </c>
      <c r="J147" s="13">
        <v>8370</v>
      </c>
      <c r="K147" s="13">
        <v>9320</v>
      </c>
      <c r="L147" s="13"/>
      <c r="M147" s="13">
        <v>10200</v>
      </c>
      <c r="N147" s="13">
        <v>10360</v>
      </c>
      <c r="O147" s="13">
        <v>10240</v>
      </c>
      <c r="P147" s="13">
        <v>9990</v>
      </c>
      <c r="Q147" s="13">
        <v>12450</v>
      </c>
      <c r="R147" s="13">
        <v>12160</v>
      </c>
      <c r="S147" s="13">
        <v>12920</v>
      </c>
      <c r="T147" s="13">
        <v>12980</v>
      </c>
      <c r="U147" s="13">
        <v>11830</v>
      </c>
      <c r="V147" s="13">
        <v>11170</v>
      </c>
      <c r="W147" s="13">
        <v>11680</v>
      </c>
      <c r="X147" s="13">
        <v>12080</v>
      </c>
      <c r="Y147" s="13">
        <v>13400</v>
      </c>
      <c r="Z147" s="13">
        <v>13200</v>
      </c>
      <c r="AA147" s="13">
        <v>14060</v>
      </c>
      <c r="AB147" s="13">
        <v>13860</v>
      </c>
      <c r="AC147" s="13">
        <v>14000</v>
      </c>
      <c r="AD147" s="13">
        <v>13850</v>
      </c>
      <c r="AE147" s="13">
        <v>14380</v>
      </c>
      <c r="AF147" s="13">
        <v>14140</v>
      </c>
      <c r="AG147" s="13">
        <v>14590</v>
      </c>
      <c r="AH147" s="13">
        <v>15590</v>
      </c>
      <c r="AI147" s="13">
        <v>14580</v>
      </c>
      <c r="AJ147" s="13">
        <v>15190</v>
      </c>
      <c r="AK147" s="13">
        <v>16190</v>
      </c>
      <c r="AL147" s="13">
        <v>16220</v>
      </c>
      <c r="AM147" s="13">
        <v>15200</v>
      </c>
      <c r="AN147" s="13">
        <v>12300</v>
      </c>
      <c r="AO147" s="13">
        <v>11190</v>
      </c>
      <c r="AP147" s="13">
        <v>11760</v>
      </c>
      <c r="AQ147" s="13">
        <v>11760</v>
      </c>
      <c r="AR147" s="13">
        <v>12680</v>
      </c>
      <c r="AS147" s="13">
        <v>12880</v>
      </c>
      <c r="AT147" s="13">
        <v>12380</v>
      </c>
      <c r="AU147" s="13">
        <v>12050</v>
      </c>
      <c r="AV147" s="13">
        <v>10080</v>
      </c>
      <c r="AW147" s="13">
        <v>10290</v>
      </c>
      <c r="AX147" s="13">
        <v>10490</v>
      </c>
      <c r="AY147" s="13">
        <v>11640</v>
      </c>
      <c r="AZ147" s="13">
        <v>11890</v>
      </c>
      <c r="BA147" s="13">
        <v>10820</v>
      </c>
      <c r="BB147" s="13">
        <v>10900</v>
      </c>
      <c r="BC147" s="13">
        <v>11040</v>
      </c>
      <c r="BD147" s="13">
        <v>12120</v>
      </c>
      <c r="BE147" s="13">
        <v>12030</v>
      </c>
      <c r="BF147" s="13">
        <v>13200</v>
      </c>
      <c r="BG147" s="13">
        <v>13170</v>
      </c>
      <c r="BH147" s="13">
        <v>12690</v>
      </c>
      <c r="BI147" s="13">
        <v>12870</v>
      </c>
      <c r="BJ147" s="13">
        <v>13410</v>
      </c>
      <c r="BK147" s="13">
        <v>14370</v>
      </c>
      <c r="BL147" s="13">
        <v>11470</v>
      </c>
      <c r="BM147" s="4">
        <v>11560</v>
      </c>
      <c r="BN147" s="4">
        <v>11250</v>
      </c>
      <c r="BO147" s="4">
        <v>11100</v>
      </c>
      <c r="BP147" s="4">
        <v>10860</v>
      </c>
      <c r="BQ147" s="4">
        <v>11040</v>
      </c>
      <c r="BR147" s="4">
        <v>10350</v>
      </c>
      <c r="BS147" s="4">
        <v>9520</v>
      </c>
      <c r="BT147" s="4">
        <v>9550</v>
      </c>
      <c r="BU147" s="4">
        <v>9640</v>
      </c>
      <c r="BV147" s="4">
        <v>10110</v>
      </c>
      <c r="BW147" s="4">
        <v>9730</v>
      </c>
      <c r="BX147" s="4">
        <v>10190</v>
      </c>
      <c r="BY147" s="4">
        <v>9780</v>
      </c>
      <c r="BZ147" s="4">
        <v>9220</v>
      </c>
    </row>
    <row r="148" spans="1:78" ht="15.9" customHeight="1">
      <c r="A148" s="61" t="s">
        <v>290</v>
      </c>
      <c r="B148" s="6" t="s">
        <v>291</v>
      </c>
      <c r="C148" s="15">
        <f>_xll.RssMarket("6838","現在値")</f>
        <v>1509</v>
      </c>
      <c r="D148" s="16">
        <f t="shared" si="5"/>
        <v>49</v>
      </c>
      <c r="E148" s="13">
        <v>1460</v>
      </c>
      <c r="F148" s="13">
        <v>1386</v>
      </c>
      <c r="G148" s="13">
        <v>1290</v>
      </c>
      <c r="H148" s="13">
        <v>1221</v>
      </c>
      <c r="I148" s="13">
        <v>1206</v>
      </c>
      <c r="J148" s="13">
        <v>1249</v>
      </c>
      <c r="K148" s="13">
        <v>1365</v>
      </c>
      <c r="L148" s="13">
        <v>1355</v>
      </c>
      <c r="M148" s="13">
        <v>1405</v>
      </c>
      <c r="N148" s="13">
        <v>1399</v>
      </c>
      <c r="O148" s="13">
        <v>1355</v>
      </c>
      <c r="P148" s="13">
        <v>1344</v>
      </c>
      <c r="Q148" s="13">
        <v>1496</v>
      </c>
      <c r="R148" s="13">
        <v>1446</v>
      </c>
      <c r="S148" s="13">
        <v>1456</v>
      </c>
      <c r="T148" s="13">
        <v>1542</v>
      </c>
      <c r="U148" s="13">
        <v>1525</v>
      </c>
      <c r="V148" s="13">
        <v>1521</v>
      </c>
      <c r="W148" s="13">
        <v>1638</v>
      </c>
      <c r="X148" s="13">
        <v>1745</v>
      </c>
      <c r="Y148" s="13">
        <v>1747</v>
      </c>
      <c r="Z148" s="13">
        <v>1726</v>
      </c>
      <c r="AA148" s="13">
        <v>1738</v>
      </c>
      <c r="AB148" s="13">
        <v>1764</v>
      </c>
      <c r="AC148" s="13">
        <v>1822</v>
      </c>
      <c r="AD148" s="13">
        <v>1941</v>
      </c>
      <c r="AE148" s="13">
        <v>2125</v>
      </c>
      <c r="AF148" s="13">
        <v>1892</v>
      </c>
      <c r="AG148" s="13">
        <v>1980</v>
      </c>
      <c r="AH148" s="13">
        <v>2026</v>
      </c>
      <c r="AI148" s="13">
        <v>2048</v>
      </c>
      <c r="AJ148" s="13">
        <v>2171</v>
      </c>
      <c r="AK148" s="13">
        <v>2153</v>
      </c>
      <c r="AL148" s="13">
        <v>2280</v>
      </c>
      <c r="AM148" s="13">
        <v>1880</v>
      </c>
      <c r="AN148" s="13">
        <v>1795</v>
      </c>
      <c r="AO148" s="13">
        <v>1750</v>
      </c>
      <c r="AP148" s="13">
        <v>1836</v>
      </c>
      <c r="AQ148" s="13">
        <v>2135</v>
      </c>
      <c r="AR148" s="13">
        <v>2389</v>
      </c>
      <c r="AS148" s="13">
        <v>2446</v>
      </c>
      <c r="AT148" s="13">
        <v>2407</v>
      </c>
      <c r="AU148" s="13">
        <v>2283</v>
      </c>
      <c r="AV148" s="13">
        <v>2087</v>
      </c>
      <c r="AW148" s="13">
        <v>2210</v>
      </c>
      <c r="AX148" s="13">
        <v>2224</v>
      </c>
      <c r="AY148" s="13">
        <v>2194</v>
      </c>
      <c r="AZ148" s="13">
        <v>2083</v>
      </c>
      <c r="BA148" s="13">
        <v>1957</v>
      </c>
      <c r="BB148" s="13">
        <v>1918</v>
      </c>
      <c r="BC148" s="13">
        <v>2024</v>
      </c>
      <c r="BD148" s="13">
        <v>2182</v>
      </c>
      <c r="BE148" s="13">
        <v>2000</v>
      </c>
      <c r="BF148" s="13">
        <v>1910</v>
      </c>
      <c r="BG148" s="13">
        <v>1935</v>
      </c>
      <c r="BH148" s="13">
        <v>1973</v>
      </c>
      <c r="BI148" s="13">
        <v>2172</v>
      </c>
      <c r="BJ148" s="13">
        <v>1930</v>
      </c>
      <c r="BK148" s="13">
        <v>1751</v>
      </c>
      <c r="BL148" s="13">
        <v>1649</v>
      </c>
      <c r="BM148" s="4">
        <v>1684</v>
      </c>
      <c r="BN148" s="4">
        <v>1622</v>
      </c>
      <c r="BO148" s="4">
        <v>1634</v>
      </c>
      <c r="BP148" s="4">
        <v>1709</v>
      </c>
      <c r="BQ148" s="4">
        <v>1791</v>
      </c>
      <c r="BR148" s="4">
        <v>1826</v>
      </c>
      <c r="BS148" s="4">
        <v>1808</v>
      </c>
      <c r="BT148" s="4">
        <v>1750</v>
      </c>
      <c r="BU148" s="4">
        <v>1487</v>
      </c>
      <c r="BV148" s="4">
        <v>1378</v>
      </c>
      <c r="BW148" s="4">
        <v>1259</v>
      </c>
      <c r="BX148" s="4">
        <v>1282</v>
      </c>
      <c r="BY148" s="4">
        <v>1287</v>
      </c>
      <c r="BZ148" s="4">
        <v>1265</v>
      </c>
    </row>
    <row r="149" spans="1:78" ht="15.9" customHeight="1">
      <c r="A149" s="61" t="s">
        <v>292</v>
      </c>
      <c r="B149" s="6" t="s">
        <v>293</v>
      </c>
      <c r="C149" s="15">
        <f>_xll.RssMarket("7375","現在値")</f>
        <v>1161</v>
      </c>
      <c r="D149" s="16">
        <f t="shared" si="5"/>
        <v>1161</v>
      </c>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78" ht="15.9" customHeight="1">
      <c r="A150" s="61" t="s">
        <v>294</v>
      </c>
      <c r="B150" s="6" t="s">
        <v>295</v>
      </c>
      <c r="C150" s="15">
        <f>_xll.RssMarket("4307","現在値")</f>
        <v>4500</v>
      </c>
      <c r="D150" s="16">
        <f t="shared" si="5"/>
        <v>-127</v>
      </c>
      <c r="E150" s="13">
        <v>4627</v>
      </c>
      <c r="F150" s="13">
        <v>4688</v>
      </c>
      <c r="G150" s="13">
        <v>4686</v>
      </c>
      <c r="H150" s="13">
        <v>5576</v>
      </c>
      <c r="I150" s="13">
        <v>5493</v>
      </c>
      <c r="J150" s="13">
        <v>5378</v>
      </c>
      <c r="K150" s="13">
        <v>5196</v>
      </c>
      <c r="L150" s="13">
        <v>4935</v>
      </c>
      <c r="M150" s="13">
        <v>4903</v>
      </c>
      <c r="N150" s="13">
        <v>4981</v>
      </c>
      <c r="O150" s="13">
        <v>5105</v>
      </c>
      <c r="P150" s="13">
        <v>5076</v>
      </c>
      <c r="Q150" s="13">
        <v>4936</v>
      </c>
      <c r="R150" s="13">
        <v>5063</v>
      </c>
      <c r="S150" s="13">
        <v>5037</v>
      </c>
      <c r="T150" s="13">
        <v>4979</v>
      </c>
      <c r="U150" s="13">
        <v>5018</v>
      </c>
      <c r="V150" s="13">
        <v>5000</v>
      </c>
      <c r="W150" s="13">
        <v>5119</v>
      </c>
      <c r="X150" s="13">
        <v>5087</v>
      </c>
      <c r="Y150" s="13">
        <v>4910</v>
      </c>
      <c r="Z150" s="13">
        <v>4836</v>
      </c>
      <c r="AA150" s="13">
        <v>4551</v>
      </c>
      <c r="AB150" s="13">
        <v>4592</v>
      </c>
      <c r="AC150" s="13">
        <v>4630</v>
      </c>
      <c r="AD150" s="13">
        <v>4301</v>
      </c>
      <c r="AE150" s="13">
        <v>4267</v>
      </c>
      <c r="AF150" s="13">
        <v>4368</v>
      </c>
      <c r="AG150" s="13">
        <v>4304</v>
      </c>
      <c r="AH150" s="13">
        <v>4256</v>
      </c>
      <c r="AI150" s="13">
        <v>4358</v>
      </c>
      <c r="AJ150" s="13">
        <v>4655</v>
      </c>
      <c r="AK150" s="13">
        <v>4596</v>
      </c>
      <c r="AL150" s="13">
        <v>4505</v>
      </c>
      <c r="AM150" s="13">
        <v>4565</v>
      </c>
      <c r="AN150" s="13">
        <v>4496</v>
      </c>
      <c r="AO150" s="13">
        <v>4600</v>
      </c>
      <c r="AP150" s="13">
        <v>4650</v>
      </c>
      <c r="AQ150" s="13">
        <v>4699</v>
      </c>
      <c r="AR150" s="13">
        <v>4882</v>
      </c>
      <c r="AS150" s="13">
        <v>4743</v>
      </c>
      <c r="AT150" s="13">
        <v>4894</v>
      </c>
      <c r="AU150" s="13">
        <v>5047</v>
      </c>
      <c r="AV150" s="13">
        <v>5022</v>
      </c>
      <c r="AW150" s="13">
        <v>4832</v>
      </c>
      <c r="AX150" s="13">
        <v>4747</v>
      </c>
      <c r="AY150" s="13">
        <v>4612</v>
      </c>
      <c r="AZ150" s="13">
        <v>4697</v>
      </c>
      <c r="BA150" s="13">
        <v>4681</v>
      </c>
      <c r="BB150" s="13">
        <v>4735</v>
      </c>
      <c r="BC150" s="13">
        <v>4800</v>
      </c>
      <c r="BD150" s="13">
        <v>4561</v>
      </c>
      <c r="BE150" s="13">
        <v>4332</v>
      </c>
      <c r="BF150" s="13">
        <v>4174</v>
      </c>
      <c r="BG150" s="13">
        <v>4340</v>
      </c>
      <c r="BH150" s="13">
        <v>4228</v>
      </c>
      <c r="BI150" s="13">
        <v>4301</v>
      </c>
      <c r="BJ150" s="13">
        <v>4351</v>
      </c>
      <c r="BK150" s="13">
        <v>4249</v>
      </c>
      <c r="BL150" s="13">
        <v>4183</v>
      </c>
      <c r="BM150" s="4">
        <v>4142</v>
      </c>
      <c r="BN150" s="4">
        <v>4313</v>
      </c>
      <c r="BO150" s="4">
        <v>4409</v>
      </c>
      <c r="BP150" s="4">
        <v>5092</v>
      </c>
      <c r="BQ150" s="4">
        <v>5075</v>
      </c>
      <c r="BR150" s="4">
        <v>5155</v>
      </c>
      <c r="BS150" s="4">
        <v>4988</v>
      </c>
      <c r="BT150" s="4">
        <v>4965</v>
      </c>
      <c r="BU150" s="4">
        <v>4886</v>
      </c>
      <c r="BV150" s="4">
        <v>4874</v>
      </c>
      <c r="BW150" s="4">
        <v>4878</v>
      </c>
      <c r="BX150" s="4">
        <v>4650</v>
      </c>
      <c r="BY150" s="4">
        <v>4492</v>
      </c>
      <c r="BZ150" s="4">
        <v>4418</v>
      </c>
    </row>
    <row r="151" spans="1:78" ht="15.9" customHeight="1">
      <c r="A151" s="61" t="s">
        <v>296</v>
      </c>
      <c r="B151" s="6" t="s">
        <v>297</v>
      </c>
      <c r="C151" s="15">
        <f>_xll.RssMarket("6516","現在値")</f>
        <v>6080</v>
      </c>
      <c r="D151" s="16">
        <f t="shared" si="5"/>
        <v>440</v>
      </c>
      <c r="E151" s="13">
        <v>5640</v>
      </c>
      <c r="F151" s="13">
        <v>5500</v>
      </c>
      <c r="G151" s="13">
        <v>5500</v>
      </c>
      <c r="H151" s="13">
        <v>5270</v>
      </c>
      <c r="I151" s="13">
        <v>5140</v>
      </c>
      <c r="J151" s="13">
        <v>5410</v>
      </c>
      <c r="K151" s="13">
        <v>5720</v>
      </c>
      <c r="L151" s="13"/>
      <c r="M151" s="13">
        <v>5780</v>
      </c>
      <c r="N151" s="13">
        <v>5740</v>
      </c>
      <c r="O151" s="13">
        <v>5650</v>
      </c>
      <c r="P151" s="13">
        <v>5450</v>
      </c>
      <c r="Q151" s="13">
        <v>5930</v>
      </c>
      <c r="R151" s="13">
        <v>5840</v>
      </c>
      <c r="S151" s="13">
        <v>5940</v>
      </c>
      <c r="T151" s="13">
        <v>6080</v>
      </c>
      <c r="U151" s="13">
        <v>5910</v>
      </c>
      <c r="V151" s="13">
        <v>5940</v>
      </c>
      <c r="W151" s="13">
        <v>6110</v>
      </c>
      <c r="X151" s="13">
        <v>6420</v>
      </c>
      <c r="Y151" s="13">
        <v>6530</v>
      </c>
      <c r="Z151" s="13">
        <v>6520</v>
      </c>
      <c r="AA151" s="13">
        <v>6580</v>
      </c>
      <c r="AB151" s="13">
        <v>6520</v>
      </c>
      <c r="AC151" s="13">
        <v>6600</v>
      </c>
      <c r="AD151" s="13">
        <v>6910</v>
      </c>
      <c r="AE151" s="13">
        <v>7130</v>
      </c>
      <c r="AF151" s="13">
        <v>7010</v>
      </c>
      <c r="AG151" s="13">
        <v>7090</v>
      </c>
      <c r="AH151" s="13">
        <v>7030</v>
      </c>
      <c r="AI151" s="13">
        <v>6820</v>
      </c>
      <c r="AJ151" s="13">
        <v>6760</v>
      </c>
      <c r="AK151" s="13">
        <v>6780</v>
      </c>
      <c r="AL151" s="13">
        <v>6580</v>
      </c>
      <c r="AM151" s="13">
        <v>6550</v>
      </c>
      <c r="AN151" s="13">
        <v>6280</v>
      </c>
      <c r="AO151" s="13">
        <v>6250</v>
      </c>
      <c r="AP151" s="13">
        <v>6260</v>
      </c>
      <c r="AQ151" s="13">
        <v>6420</v>
      </c>
      <c r="AR151" s="13">
        <v>6740</v>
      </c>
      <c r="AS151" s="13">
        <v>6820</v>
      </c>
      <c r="AT151" s="13">
        <v>6700</v>
      </c>
      <c r="AU151" s="13">
        <v>6600</v>
      </c>
      <c r="AV151" s="13">
        <v>6790</v>
      </c>
      <c r="AW151" s="13">
        <v>6760</v>
      </c>
      <c r="AX151" s="13">
        <v>6800</v>
      </c>
      <c r="AY151" s="13">
        <v>7070</v>
      </c>
      <c r="AZ151" s="13">
        <v>7090</v>
      </c>
      <c r="BA151" s="13">
        <v>7160</v>
      </c>
      <c r="BB151" s="13">
        <v>6860</v>
      </c>
      <c r="BC151" s="13">
        <v>7050</v>
      </c>
      <c r="BD151" s="13">
        <v>7240</v>
      </c>
      <c r="BE151" s="13">
        <v>7410</v>
      </c>
      <c r="BF151" s="13">
        <v>7490</v>
      </c>
      <c r="BG151" s="13">
        <v>7640</v>
      </c>
      <c r="BH151" s="13">
        <v>7560</v>
      </c>
      <c r="BI151" s="13">
        <v>7680</v>
      </c>
      <c r="BJ151" s="13">
        <v>7440</v>
      </c>
      <c r="BK151" s="13">
        <v>7230</v>
      </c>
      <c r="BL151" s="13">
        <v>6770</v>
      </c>
      <c r="BM151" s="4">
        <v>6920</v>
      </c>
      <c r="BN151" s="4">
        <v>7020</v>
      </c>
      <c r="BO151" s="4">
        <v>6640</v>
      </c>
      <c r="BP151" s="4">
        <v>5640</v>
      </c>
      <c r="BQ151" s="4">
        <v>5190</v>
      </c>
      <c r="BR151" s="4">
        <v>5370</v>
      </c>
      <c r="BS151" s="4">
        <v>5220</v>
      </c>
      <c r="BT151" s="4">
        <v>5150</v>
      </c>
      <c r="BU151" s="4">
        <v>5100</v>
      </c>
      <c r="BV151" s="4">
        <v>5170</v>
      </c>
      <c r="BW151" s="4">
        <v>5200</v>
      </c>
      <c r="BX151" s="4">
        <v>5280</v>
      </c>
      <c r="BY151" s="4">
        <v>5010</v>
      </c>
      <c r="BZ151" s="4">
        <v>5080</v>
      </c>
    </row>
    <row r="152" spans="1:78" ht="15.9" customHeight="1">
      <c r="A152" s="61" t="s">
        <v>298</v>
      </c>
      <c r="B152" s="6" t="s">
        <v>299</v>
      </c>
      <c r="C152" s="15">
        <f>_xll.RssMarket("7381","現在値")</f>
        <v>1154</v>
      </c>
      <c r="D152" s="16">
        <f t="shared" si="5"/>
        <v>29</v>
      </c>
      <c r="E152" s="13">
        <v>1125</v>
      </c>
      <c r="F152" s="13">
        <v>1127</v>
      </c>
      <c r="G152" s="13">
        <v>1107</v>
      </c>
      <c r="H152" s="13">
        <v>1064</v>
      </c>
      <c r="I152" s="13">
        <v>1111</v>
      </c>
      <c r="J152" s="13">
        <v>1150</v>
      </c>
      <c r="K152" s="13">
        <v>1185</v>
      </c>
      <c r="L152" s="13">
        <v>1156</v>
      </c>
      <c r="M152" s="13">
        <v>1170</v>
      </c>
      <c r="N152" s="13">
        <v>1163</v>
      </c>
      <c r="O152" s="13">
        <v>1137</v>
      </c>
      <c r="P152" s="13">
        <v>1072</v>
      </c>
      <c r="Q152" s="13">
        <v>1123</v>
      </c>
      <c r="R152" s="13">
        <v>1069</v>
      </c>
      <c r="S152" s="13">
        <v>1040</v>
      </c>
      <c r="T152" s="13">
        <v>1034</v>
      </c>
      <c r="U152" s="13">
        <v>1040</v>
      </c>
      <c r="V152" s="13">
        <v>1077</v>
      </c>
      <c r="W152" s="13">
        <v>1063</v>
      </c>
      <c r="X152" s="13">
        <v>1056</v>
      </c>
      <c r="Y152" s="13">
        <v>1043</v>
      </c>
      <c r="Z152" s="13">
        <v>1030</v>
      </c>
      <c r="AA152" s="13">
        <v>1026</v>
      </c>
      <c r="AB152" s="13">
        <v>1020</v>
      </c>
      <c r="AC152" s="13">
        <v>1003</v>
      </c>
      <c r="AD152" s="13">
        <v>978</v>
      </c>
      <c r="AE152" s="13">
        <v>978</v>
      </c>
      <c r="AF152" s="13">
        <v>950</v>
      </c>
      <c r="AG152" s="13">
        <v>969</v>
      </c>
      <c r="AH152" s="13">
        <v>968</v>
      </c>
      <c r="AI152" s="13">
        <v>961</v>
      </c>
      <c r="AJ152" s="13">
        <v>983</v>
      </c>
      <c r="AK152" s="13">
        <v>975</v>
      </c>
      <c r="AL152" s="13">
        <v>1001</v>
      </c>
      <c r="AM152" s="13">
        <v>1004</v>
      </c>
      <c r="AN152" s="13">
        <v>989</v>
      </c>
      <c r="AO152" s="13">
        <v>972</v>
      </c>
      <c r="AP152" s="13">
        <v>991</v>
      </c>
      <c r="AQ152" s="13">
        <v>977</v>
      </c>
      <c r="AR152" s="13">
        <v>1034</v>
      </c>
      <c r="AS152" s="13">
        <v>1024</v>
      </c>
      <c r="AT152" s="13">
        <v>1012</v>
      </c>
      <c r="AU152" s="13">
        <v>1013</v>
      </c>
      <c r="AV152" s="13">
        <v>1037</v>
      </c>
      <c r="AW152" s="13">
        <v>1032</v>
      </c>
      <c r="AX152" s="13">
        <v>1049</v>
      </c>
      <c r="AY152" s="13">
        <v>1057</v>
      </c>
      <c r="AZ152" s="13">
        <v>1056</v>
      </c>
      <c r="BA152" s="13">
        <v>1063</v>
      </c>
      <c r="BB152" s="13">
        <v>1021</v>
      </c>
      <c r="BC152" s="13">
        <v>1026</v>
      </c>
      <c r="BD152" s="13">
        <v>1030</v>
      </c>
      <c r="BE152" s="13">
        <v>1044</v>
      </c>
      <c r="BF152" s="13">
        <v>1045</v>
      </c>
      <c r="BG152" s="13">
        <v>1027</v>
      </c>
      <c r="BH152" s="13">
        <v>1013</v>
      </c>
      <c r="BI152" s="13">
        <v>1008</v>
      </c>
      <c r="BJ152" s="13">
        <v>1014</v>
      </c>
      <c r="BK152" s="13">
        <v>1015</v>
      </c>
      <c r="BL152" s="13">
        <v>963</v>
      </c>
      <c r="BM152" s="4">
        <v>941</v>
      </c>
      <c r="BN152" s="4">
        <v>952</v>
      </c>
      <c r="BO152" s="4">
        <v>912</v>
      </c>
      <c r="BP152" s="4">
        <v>924</v>
      </c>
      <c r="BQ152" s="4">
        <v>923</v>
      </c>
      <c r="BR152" s="4">
        <v>931</v>
      </c>
      <c r="BS152" s="4">
        <v>970</v>
      </c>
      <c r="BT152" s="4">
        <v>997</v>
      </c>
      <c r="BU152" s="4">
        <v>1015</v>
      </c>
      <c r="BV152" s="4">
        <v>1037</v>
      </c>
      <c r="BW152" s="4">
        <v>1034</v>
      </c>
      <c r="BX152" s="4">
        <v>1022</v>
      </c>
      <c r="BY152" s="4">
        <v>1016</v>
      </c>
      <c r="BZ152" s="4">
        <v>1024</v>
      </c>
    </row>
    <row r="153" spans="1:78" ht="15.9" customHeight="1">
      <c r="A153" s="61" t="s">
        <v>300</v>
      </c>
      <c r="B153" s="6" t="s">
        <v>301</v>
      </c>
      <c r="C153" s="15">
        <f>_xll.RssMarket("4417","現在値")</f>
        <v>4385</v>
      </c>
      <c r="D153" s="16">
        <f t="shared" si="5"/>
        <v>195</v>
      </c>
      <c r="E153" s="13">
        <v>4190</v>
      </c>
      <c r="F153" s="13">
        <v>4200</v>
      </c>
      <c r="G153" s="13">
        <v>4580</v>
      </c>
      <c r="H153" s="13">
        <v>4395</v>
      </c>
      <c r="I153" s="13">
        <v>4515</v>
      </c>
      <c r="J153" s="13">
        <v>4405</v>
      </c>
      <c r="K153" s="13">
        <v>4450</v>
      </c>
      <c r="L153" s="13">
        <v>4230</v>
      </c>
      <c r="M153" s="13">
        <v>4230</v>
      </c>
      <c r="N153" s="13">
        <v>4300</v>
      </c>
      <c r="O153" s="13">
        <v>4450</v>
      </c>
      <c r="P153" s="13">
        <v>4360</v>
      </c>
      <c r="Q153" s="13">
        <v>4365</v>
      </c>
      <c r="R153" s="13">
        <v>4205</v>
      </c>
      <c r="S153" s="13">
        <v>3950</v>
      </c>
      <c r="T153" s="13">
        <v>3980</v>
      </c>
      <c r="U153" s="13">
        <v>3925</v>
      </c>
      <c r="V153" s="13">
        <v>3930</v>
      </c>
      <c r="W153" s="13">
        <v>3990</v>
      </c>
      <c r="X153" s="13">
        <v>4400</v>
      </c>
      <c r="Y153" s="13">
        <v>4210</v>
      </c>
      <c r="Z153" s="13">
        <v>4030</v>
      </c>
      <c r="AA153" s="13">
        <v>3810</v>
      </c>
      <c r="AB153" s="13">
        <v>3850</v>
      </c>
      <c r="AC153" s="13">
        <v>3825</v>
      </c>
      <c r="AD153" s="13">
        <v>3310</v>
      </c>
      <c r="AE153" s="13">
        <v>3300</v>
      </c>
      <c r="AF153" s="13">
        <v>3200</v>
      </c>
      <c r="AG153" s="13">
        <v>3155</v>
      </c>
      <c r="AH153" s="13">
        <v>3290</v>
      </c>
      <c r="AI153" s="13">
        <v>3255</v>
      </c>
      <c r="AJ153" s="13">
        <v>3250</v>
      </c>
      <c r="AK153" s="13">
        <v>3240</v>
      </c>
      <c r="AL153" s="13">
        <v>3070</v>
      </c>
      <c r="AM153" s="13">
        <v>3110</v>
      </c>
      <c r="AN153" s="13">
        <v>2968</v>
      </c>
      <c r="AO153" s="13">
        <v>3030</v>
      </c>
      <c r="AP153" s="13">
        <v>3100</v>
      </c>
      <c r="AQ153" s="13">
        <v>3145</v>
      </c>
      <c r="AR153" s="13">
        <v>3060</v>
      </c>
      <c r="AS153" s="13">
        <v>3080</v>
      </c>
      <c r="AT153" s="13">
        <v>3175</v>
      </c>
      <c r="AU153" s="13">
        <v>3360</v>
      </c>
      <c r="AV153" s="13">
        <v>3435</v>
      </c>
      <c r="AW153" s="13">
        <v>3250</v>
      </c>
      <c r="AX153" s="13">
        <v>3385</v>
      </c>
      <c r="AY153" s="13">
        <v>3305</v>
      </c>
      <c r="AZ153" s="13">
        <v>3260</v>
      </c>
      <c r="BA153" s="13">
        <v>3110</v>
      </c>
      <c r="BB153" s="13">
        <v>2863</v>
      </c>
      <c r="BC153" s="13">
        <v>2909</v>
      </c>
      <c r="BD153" s="13">
        <v>2761</v>
      </c>
      <c r="BE153" s="13">
        <v>2809</v>
      </c>
      <c r="BF153" s="13">
        <v>2758</v>
      </c>
      <c r="BG153" s="13">
        <v>2970</v>
      </c>
      <c r="BH153" s="13">
        <v>2990</v>
      </c>
      <c r="BI153" s="13">
        <v>2909</v>
      </c>
      <c r="BJ153" s="13">
        <v>2909</v>
      </c>
      <c r="BK153" s="13">
        <v>2778</v>
      </c>
      <c r="BL153" s="13">
        <v>2682</v>
      </c>
      <c r="BM153" s="4">
        <v>2497</v>
      </c>
      <c r="BN153" s="4">
        <v>2500</v>
      </c>
      <c r="BO153" s="4">
        <v>2468</v>
      </c>
      <c r="BP153" s="4">
        <v>2479</v>
      </c>
      <c r="BQ153" s="4">
        <v>2475</v>
      </c>
      <c r="BR153" s="4">
        <v>2513</v>
      </c>
      <c r="BS153" s="4">
        <v>2429</v>
      </c>
      <c r="BT153" s="4">
        <v>2494</v>
      </c>
      <c r="BU153" s="4">
        <v>2514</v>
      </c>
      <c r="BV153" s="4">
        <v>2489</v>
      </c>
      <c r="BW153" s="4">
        <v>2356</v>
      </c>
      <c r="BX153" s="4">
        <v>2230</v>
      </c>
      <c r="BY153" s="4">
        <v>2255</v>
      </c>
      <c r="BZ153" s="4">
        <v>2482</v>
      </c>
    </row>
    <row r="154" spans="1:78" ht="15.9" customHeight="1">
      <c r="A154" s="61" t="s">
        <v>302</v>
      </c>
      <c r="B154" s="6" t="s">
        <v>303</v>
      </c>
      <c r="C154" s="15">
        <f>_xll.RssMarket("6981","現在値")</f>
        <v>7873</v>
      </c>
      <c r="D154" s="16">
        <f t="shared" si="5"/>
        <v>744</v>
      </c>
      <c r="E154" s="13">
        <v>7129</v>
      </c>
      <c r="F154" s="13">
        <v>7161</v>
      </c>
      <c r="G154" s="13">
        <v>7416</v>
      </c>
      <c r="H154" s="13">
        <v>6416</v>
      </c>
      <c r="I154" s="13">
        <v>6231</v>
      </c>
      <c r="J154" s="13">
        <v>7153</v>
      </c>
      <c r="K154" s="13">
        <v>8102</v>
      </c>
      <c r="L154" s="13">
        <v>8311</v>
      </c>
      <c r="M154" s="13">
        <v>8538</v>
      </c>
      <c r="N154" s="13">
        <v>8317</v>
      </c>
      <c r="O154" s="13">
        <v>8001</v>
      </c>
      <c r="P154" s="13">
        <v>7632</v>
      </c>
      <c r="Q154" s="13">
        <v>9100</v>
      </c>
      <c r="R154" s="13">
        <v>9100</v>
      </c>
      <c r="S154" s="13">
        <v>9066</v>
      </c>
      <c r="T154" s="13">
        <v>9860</v>
      </c>
      <c r="U154" s="13">
        <v>9475</v>
      </c>
      <c r="V154" s="13">
        <v>9027</v>
      </c>
      <c r="W154" s="13">
        <v>9212</v>
      </c>
      <c r="X154" s="13">
        <v>10250</v>
      </c>
      <c r="Y154" s="13">
        <v>11080</v>
      </c>
      <c r="Z154" s="13">
        <v>10875</v>
      </c>
      <c r="AA154" s="13">
        <v>11890</v>
      </c>
      <c r="AB154" s="13">
        <v>11395</v>
      </c>
      <c r="AC154" s="13">
        <v>10740</v>
      </c>
      <c r="AD154" s="13">
        <v>10770</v>
      </c>
      <c r="AE154" s="13">
        <v>11825</v>
      </c>
      <c r="AF154" s="13">
        <v>11030</v>
      </c>
      <c r="AG154" s="13">
        <v>11005</v>
      </c>
      <c r="AH154" s="13">
        <v>12250</v>
      </c>
      <c r="AI154" s="13">
        <v>11750</v>
      </c>
      <c r="AJ154" s="13">
        <v>11745</v>
      </c>
      <c r="AK154" s="13">
        <v>10865</v>
      </c>
      <c r="AL154" s="13">
        <v>10530</v>
      </c>
      <c r="AM154" s="13">
        <v>10060</v>
      </c>
      <c r="AN154" s="13">
        <v>8556</v>
      </c>
      <c r="AO154" s="13">
        <v>8967</v>
      </c>
      <c r="AP154" s="13">
        <v>8650</v>
      </c>
      <c r="AQ154" s="13">
        <v>8711</v>
      </c>
      <c r="AR154" s="13">
        <v>9695</v>
      </c>
      <c r="AS154" s="13">
        <v>9904</v>
      </c>
      <c r="AT154" s="13">
        <v>10420</v>
      </c>
      <c r="AU154" s="13">
        <v>10230</v>
      </c>
      <c r="AV154" s="13">
        <v>9625</v>
      </c>
      <c r="AW154" s="13">
        <v>8538</v>
      </c>
      <c r="AX154" s="13">
        <v>7820</v>
      </c>
      <c r="AY154" s="13">
        <v>7928</v>
      </c>
      <c r="AZ154" s="13">
        <v>7130</v>
      </c>
      <c r="BA154" s="13">
        <v>6727</v>
      </c>
      <c r="BB154" s="13">
        <v>6164</v>
      </c>
      <c r="BC154" s="13">
        <v>6180</v>
      </c>
      <c r="BD154" s="13">
        <v>6171</v>
      </c>
      <c r="BE154" s="13">
        <v>6151</v>
      </c>
      <c r="BF154" s="13">
        <v>6339</v>
      </c>
      <c r="BG154" s="13">
        <v>6089</v>
      </c>
      <c r="BH154" s="13">
        <v>6078</v>
      </c>
      <c r="BI154" s="13">
        <v>5960</v>
      </c>
      <c r="BJ154" s="13">
        <v>5850</v>
      </c>
      <c r="BK154" s="13">
        <v>5648</v>
      </c>
      <c r="BL154" s="13">
        <v>5138</v>
      </c>
      <c r="BM154" s="4">
        <v>5156</v>
      </c>
      <c r="BN154" s="4">
        <v>4840</v>
      </c>
      <c r="BO154" s="4">
        <v>4916</v>
      </c>
      <c r="BP154" s="4">
        <v>4936</v>
      </c>
      <c r="BQ154" s="4">
        <v>4813</v>
      </c>
      <c r="BR154" s="4">
        <v>4911</v>
      </c>
      <c r="BS154" s="4">
        <v>4810</v>
      </c>
      <c r="BT154" s="4">
        <v>4738</v>
      </c>
      <c r="BU154" s="4">
        <v>4600</v>
      </c>
      <c r="BV154" s="4">
        <v>4792</v>
      </c>
      <c r="BW154" s="4">
        <v>4520</v>
      </c>
      <c r="BX154" s="4">
        <v>4329</v>
      </c>
      <c r="BY154" s="4">
        <v>4170</v>
      </c>
      <c r="BZ154" s="4">
        <v>4146</v>
      </c>
    </row>
    <row r="155" spans="1:78" ht="15.9" customHeight="1">
      <c r="A155" s="61" t="s">
        <v>304</v>
      </c>
      <c r="B155" s="6" t="s">
        <v>305</v>
      </c>
      <c r="C155" s="15">
        <f>_xll.RssMarket("6754","現在値")</f>
        <v>3844</v>
      </c>
      <c r="D155" s="16">
        <f t="shared" si="5"/>
        <v>231</v>
      </c>
      <c r="E155" s="13">
        <v>3613</v>
      </c>
      <c r="F155" s="13">
        <v>3501</v>
      </c>
      <c r="G155" s="13">
        <v>3564</v>
      </c>
      <c r="H155" s="13">
        <v>3553</v>
      </c>
      <c r="I155" s="13">
        <v>3438</v>
      </c>
      <c r="J155" s="13">
        <v>3651</v>
      </c>
      <c r="K155" s="13">
        <v>3908</v>
      </c>
      <c r="L155" s="13"/>
      <c r="M155" s="13">
        <v>3994</v>
      </c>
      <c r="N155" s="13">
        <v>3934</v>
      </c>
      <c r="O155" s="13">
        <v>3826</v>
      </c>
      <c r="P155" s="13">
        <v>3654</v>
      </c>
      <c r="Q155" s="13">
        <v>4092</v>
      </c>
      <c r="R155" s="13">
        <v>4033</v>
      </c>
      <c r="S155" s="13">
        <v>4051</v>
      </c>
      <c r="T155" s="13">
        <v>4262</v>
      </c>
      <c r="U155" s="13">
        <v>4091</v>
      </c>
      <c r="V155" s="13">
        <v>4011</v>
      </c>
      <c r="W155" s="13">
        <v>4056</v>
      </c>
      <c r="X155" s="13">
        <v>4225</v>
      </c>
      <c r="Y155" s="13">
        <v>4500</v>
      </c>
      <c r="Z155" s="13">
        <v>4420</v>
      </c>
      <c r="AA155" s="13">
        <v>4688</v>
      </c>
      <c r="AB155" s="13">
        <v>4396</v>
      </c>
      <c r="AC155" s="13">
        <v>4364</v>
      </c>
      <c r="AD155" s="13">
        <v>4375</v>
      </c>
      <c r="AE155" s="13">
        <v>4559</v>
      </c>
      <c r="AF155" s="13">
        <v>4456</v>
      </c>
      <c r="AG155" s="13">
        <v>4480</v>
      </c>
      <c r="AH155" s="13">
        <v>4322</v>
      </c>
      <c r="AI155" s="13">
        <v>4333</v>
      </c>
      <c r="AJ155" s="13">
        <v>4022</v>
      </c>
      <c r="AK155" s="13">
        <v>4122</v>
      </c>
      <c r="AL155" s="13">
        <v>4096</v>
      </c>
      <c r="AM155" s="13">
        <v>3934</v>
      </c>
      <c r="AN155" s="13">
        <v>3882</v>
      </c>
      <c r="AO155" s="13">
        <v>3879</v>
      </c>
      <c r="AP155" s="13">
        <v>3834</v>
      </c>
      <c r="AQ155" s="13">
        <v>4269</v>
      </c>
      <c r="AR155" s="13">
        <v>4689</v>
      </c>
      <c r="AS155" s="13">
        <v>4632</v>
      </c>
      <c r="AT155" s="13">
        <v>4776</v>
      </c>
      <c r="AU155" s="13">
        <v>4584</v>
      </c>
      <c r="AV155" s="13">
        <v>4547</v>
      </c>
      <c r="AW155" s="13">
        <v>4580</v>
      </c>
      <c r="AX155" s="13">
        <v>4614</v>
      </c>
      <c r="AY155" s="13">
        <v>4732</v>
      </c>
      <c r="AZ155" s="13">
        <v>4601</v>
      </c>
      <c r="BA155" s="13">
        <v>4468</v>
      </c>
      <c r="BB155" s="13">
        <v>4381</v>
      </c>
      <c r="BC155" s="13">
        <v>4144</v>
      </c>
      <c r="BD155" s="13">
        <v>4205</v>
      </c>
      <c r="BE155" s="13">
        <v>4239</v>
      </c>
      <c r="BF155" s="13">
        <v>4144</v>
      </c>
      <c r="BG155" s="13">
        <v>4189</v>
      </c>
      <c r="BH155" s="13">
        <v>4016</v>
      </c>
      <c r="BI155" s="13">
        <v>4142</v>
      </c>
      <c r="BJ155" s="13">
        <v>4233</v>
      </c>
      <c r="BK155" s="13">
        <v>4090</v>
      </c>
      <c r="BL155" s="13">
        <v>3858</v>
      </c>
      <c r="BM155" s="4">
        <v>4039</v>
      </c>
      <c r="BN155" s="4">
        <v>3974</v>
      </c>
      <c r="BO155" s="4">
        <v>3755</v>
      </c>
      <c r="BP155" s="4">
        <v>3594</v>
      </c>
      <c r="BQ155" s="4">
        <v>3572</v>
      </c>
      <c r="BR155" s="4">
        <v>3635</v>
      </c>
      <c r="BS155" s="4">
        <v>3662</v>
      </c>
      <c r="BT155" s="4">
        <v>3466</v>
      </c>
      <c r="BU155" s="4">
        <v>3418</v>
      </c>
      <c r="BV155" s="4">
        <v>3374</v>
      </c>
      <c r="BW155" s="4">
        <v>3403</v>
      </c>
      <c r="BX155" s="4">
        <v>3396</v>
      </c>
      <c r="BY155" s="4">
        <v>3392</v>
      </c>
      <c r="BZ155" s="4">
        <v>3398</v>
      </c>
    </row>
    <row r="156" spans="1:78" ht="15.9" customHeight="1">
      <c r="A156" s="61" t="s">
        <v>306</v>
      </c>
      <c r="B156" s="6" t="s">
        <v>307</v>
      </c>
      <c r="C156" s="15">
        <f>_xll.RssMarket("4088","現在値")</f>
        <v>2545</v>
      </c>
      <c r="D156" s="16">
        <f t="shared" si="5"/>
        <v>2</v>
      </c>
      <c r="E156" s="13">
        <v>2543</v>
      </c>
      <c r="F156" s="13">
        <v>2534</v>
      </c>
      <c r="G156" s="13">
        <v>2517</v>
      </c>
      <c r="H156" s="13">
        <v>2554</v>
      </c>
      <c r="I156" s="13">
        <v>2610</v>
      </c>
      <c r="J156" s="13">
        <v>2620</v>
      </c>
      <c r="K156" s="13">
        <v>2650</v>
      </c>
      <c r="L156" s="13">
        <v>2591</v>
      </c>
      <c r="M156" s="13">
        <v>2561</v>
      </c>
      <c r="N156" s="13">
        <v>2558</v>
      </c>
      <c r="O156" s="13">
        <v>2553</v>
      </c>
      <c r="P156" s="13">
        <v>2527</v>
      </c>
      <c r="Q156" s="13">
        <v>2574</v>
      </c>
      <c r="R156" s="13">
        <v>2571</v>
      </c>
      <c r="S156" s="13">
        <v>2522</v>
      </c>
      <c r="T156" s="13">
        <v>2555</v>
      </c>
      <c r="U156" s="13">
        <v>2628</v>
      </c>
      <c r="V156" s="13">
        <v>2665</v>
      </c>
      <c r="W156" s="13">
        <v>2715</v>
      </c>
      <c r="X156" s="13">
        <v>2767</v>
      </c>
      <c r="Y156" s="13">
        <v>2777</v>
      </c>
      <c r="Z156" s="13">
        <v>2758</v>
      </c>
      <c r="AA156" s="13">
        <v>2756</v>
      </c>
      <c r="AB156" s="13">
        <v>2767</v>
      </c>
      <c r="AC156" s="13">
        <v>2781</v>
      </c>
      <c r="AD156" s="13">
        <v>2778</v>
      </c>
      <c r="AE156" s="13">
        <v>2860</v>
      </c>
      <c r="AF156" s="13">
        <v>2694</v>
      </c>
      <c r="AG156" s="13">
        <v>2660</v>
      </c>
      <c r="AH156" s="13">
        <v>2495</v>
      </c>
      <c r="AI156" s="13">
        <v>2471</v>
      </c>
      <c r="AJ156" s="13">
        <v>2478</v>
      </c>
      <c r="AK156" s="13">
        <v>2490</v>
      </c>
      <c r="AL156" s="13">
        <v>2520</v>
      </c>
      <c r="AM156" s="13">
        <v>2552</v>
      </c>
      <c r="AN156" s="13">
        <v>2441</v>
      </c>
      <c r="AO156" s="13">
        <v>2419</v>
      </c>
      <c r="AP156" s="13">
        <v>2440</v>
      </c>
      <c r="AQ156" s="13">
        <v>2470</v>
      </c>
      <c r="AR156" s="13">
        <v>2464</v>
      </c>
      <c r="AS156" s="13">
        <v>2488</v>
      </c>
      <c r="AT156" s="13">
        <v>2490</v>
      </c>
      <c r="AU156" s="13">
        <v>2462</v>
      </c>
      <c r="AV156" s="13">
        <v>2599</v>
      </c>
      <c r="AW156" s="13">
        <v>2594</v>
      </c>
      <c r="AX156" s="13">
        <v>2625</v>
      </c>
      <c r="AY156" s="13">
        <v>2516</v>
      </c>
      <c r="AZ156" s="13">
        <v>2579</v>
      </c>
      <c r="BA156" s="13">
        <v>2546</v>
      </c>
      <c r="BB156" s="13">
        <v>2481</v>
      </c>
      <c r="BC156" s="13">
        <v>2489</v>
      </c>
      <c r="BD156" s="13">
        <v>2302</v>
      </c>
      <c r="BE156" s="13">
        <v>2283</v>
      </c>
      <c r="BF156" s="13">
        <v>2179</v>
      </c>
      <c r="BG156" s="13">
        <v>2101</v>
      </c>
      <c r="BH156" s="13">
        <v>2066</v>
      </c>
      <c r="BI156" s="13">
        <v>1965</v>
      </c>
      <c r="BJ156" s="13">
        <v>1938.5</v>
      </c>
      <c r="BK156" s="13">
        <v>1913.5</v>
      </c>
      <c r="BL156" s="13">
        <v>1895.5</v>
      </c>
      <c r="BM156" s="4">
        <v>2218.5</v>
      </c>
      <c r="BN156" s="4">
        <v>2260</v>
      </c>
      <c r="BO156" s="4">
        <v>2231</v>
      </c>
      <c r="BP156" s="4">
        <v>2236</v>
      </c>
      <c r="BQ156" s="4">
        <v>2207</v>
      </c>
      <c r="BR156" s="4">
        <v>2223.5</v>
      </c>
      <c r="BS156" s="4">
        <v>2254</v>
      </c>
      <c r="BT156" s="4">
        <v>2257</v>
      </c>
      <c r="BU156" s="4">
        <v>2263.5</v>
      </c>
      <c r="BV156" s="4">
        <v>2309.5</v>
      </c>
      <c r="BW156" s="4">
        <v>2293.5</v>
      </c>
      <c r="BX156" s="4">
        <v>2258.5</v>
      </c>
      <c r="BY156" s="4">
        <v>2233.5</v>
      </c>
      <c r="BZ156" s="4">
        <v>2235.5</v>
      </c>
    </row>
    <row r="157" spans="1:78" ht="15.9" customHeight="1">
      <c r="A157" s="61" t="s">
        <v>308</v>
      </c>
      <c r="B157" s="6" t="s">
        <v>309</v>
      </c>
      <c r="C157" s="15">
        <f>_xll.RssMarket("4091","現在値")</f>
        <v>5948</v>
      </c>
      <c r="D157" s="16">
        <f t="shared" si="5"/>
        <v>176</v>
      </c>
      <c r="E157" s="13">
        <v>5772</v>
      </c>
      <c r="F157" s="13">
        <v>5656</v>
      </c>
      <c r="G157" s="13">
        <v>5781</v>
      </c>
      <c r="H157" s="13">
        <v>5831</v>
      </c>
      <c r="I157" s="13">
        <v>5835</v>
      </c>
      <c r="J157" s="13">
        <v>5825</v>
      </c>
      <c r="K157" s="13">
        <v>6087</v>
      </c>
      <c r="L157" s="13">
        <v>5895</v>
      </c>
      <c r="M157" s="13">
        <v>5906</v>
      </c>
      <c r="N157" s="13">
        <v>5969</v>
      </c>
      <c r="O157" s="13">
        <v>6025</v>
      </c>
      <c r="P157" s="13">
        <v>6010</v>
      </c>
      <c r="Q157" s="13">
        <v>6152</v>
      </c>
      <c r="R157" s="13">
        <v>6070</v>
      </c>
      <c r="S157" s="13">
        <v>6052</v>
      </c>
      <c r="T157" s="13">
        <v>6072</v>
      </c>
      <c r="U157" s="13">
        <v>6149</v>
      </c>
      <c r="V157" s="13">
        <v>6160</v>
      </c>
      <c r="W157" s="13">
        <v>6201</v>
      </c>
      <c r="X157" s="13">
        <v>6312</v>
      </c>
      <c r="Y157" s="13">
        <v>6275</v>
      </c>
      <c r="Z157" s="13">
        <v>6250</v>
      </c>
      <c r="AA157" s="13">
        <v>6020</v>
      </c>
      <c r="AB157" s="13">
        <v>5996</v>
      </c>
      <c r="AC157" s="13">
        <v>5923</v>
      </c>
      <c r="AD157" s="13">
        <v>5938</v>
      </c>
      <c r="AE157" s="13">
        <v>5673</v>
      </c>
      <c r="AF157" s="13">
        <v>5548</v>
      </c>
      <c r="AG157" s="13">
        <v>5650</v>
      </c>
      <c r="AH157" s="13">
        <v>5490</v>
      </c>
      <c r="AI157" s="13">
        <v>5564</v>
      </c>
      <c r="AJ157" s="13">
        <v>5567</v>
      </c>
      <c r="AK157" s="13">
        <v>5590</v>
      </c>
      <c r="AL157" s="13">
        <v>5534</v>
      </c>
      <c r="AM157" s="13">
        <v>5628</v>
      </c>
      <c r="AN157" s="13">
        <v>5403</v>
      </c>
      <c r="AO157" s="13">
        <v>5293</v>
      </c>
      <c r="AP157" s="13">
        <v>5275</v>
      </c>
      <c r="AQ157" s="13">
        <v>5434</v>
      </c>
      <c r="AR157" s="13">
        <v>5586</v>
      </c>
      <c r="AS157" s="13">
        <v>5620</v>
      </c>
      <c r="AT157" s="13">
        <v>5679</v>
      </c>
      <c r="AU157" s="13">
        <v>5711</v>
      </c>
      <c r="AV157" s="13">
        <v>6184</v>
      </c>
      <c r="AW157" s="13">
        <v>6256</v>
      </c>
      <c r="AX157" s="13">
        <v>6373</v>
      </c>
      <c r="AY157" s="13">
        <v>6289</v>
      </c>
      <c r="AZ157" s="13">
        <v>6192</v>
      </c>
      <c r="BA157" s="13">
        <v>5852</v>
      </c>
      <c r="BB157" s="13">
        <v>5817</v>
      </c>
      <c r="BC157" s="13">
        <v>5973</v>
      </c>
      <c r="BD157" s="13">
        <v>5994</v>
      </c>
      <c r="BE157" s="13">
        <v>6116</v>
      </c>
      <c r="BF157" s="13">
        <v>6093</v>
      </c>
      <c r="BG157" s="13">
        <v>5907</v>
      </c>
      <c r="BH157" s="13">
        <v>5787</v>
      </c>
      <c r="BI157" s="13">
        <v>6199</v>
      </c>
      <c r="BJ157" s="13">
        <v>5636</v>
      </c>
      <c r="BK157" s="13">
        <v>5698</v>
      </c>
      <c r="BL157" s="13">
        <v>5524</v>
      </c>
      <c r="BM157" s="4">
        <v>5540</v>
      </c>
      <c r="BN157" s="4">
        <v>5677</v>
      </c>
      <c r="BO157" s="4">
        <v>5626</v>
      </c>
      <c r="BP157" s="4">
        <v>5690</v>
      </c>
      <c r="BQ157" s="4">
        <v>5600</v>
      </c>
      <c r="BR157" s="4">
        <v>5686</v>
      </c>
      <c r="BS157" s="4">
        <v>5772</v>
      </c>
      <c r="BT157" s="4">
        <v>5772</v>
      </c>
      <c r="BU157" s="4">
        <v>5915</v>
      </c>
      <c r="BV157" s="4">
        <v>6044</v>
      </c>
      <c r="BW157" s="4">
        <v>5864</v>
      </c>
      <c r="BX157" s="4">
        <v>5957</v>
      </c>
      <c r="BY157" s="4">
        <v>5871</v>
      </c>
      <c r="BZ157" s="4">
        <v>5907</v>
      </c>
    </row>
    <row r="158" spans="1:78" ht="15.9" customHeight="1">
      <c r="A158" s="61" t="s">
        <v>310</v>
      </c>
      <c r="B158" s="6" t="s">
        <v>311</v>
      </c>
      <c r="C158" s="15">
        <f>_xll.RssMarket("6857","現在値")</f>
        <v>33320</v>
      </c>
      <c r="D158" s="16">
        <f t="shared" si="5"/>
        <v>2320</v>
      </c>
      <c r="E158" s="13">
        <v>31000</v>
      </c>
      <c r="F158" s="13">
        <v>31430</v>
      </c>
      <c r="G158" s="13">
        <v>32500</v>
      </c>
      <c r="H158" s="13">
        <v>27935</v>
      </c>
      <c r="I158" s="13">
        <v>25200</v>
      </c>
      <c r="J158" s="13">
        <v>25510</v>
      </c>
      <c r="K158" s="13">
        <v>28380</v>
      </c>
      <c r="L158" s="13">
        <v>28945</v>
      </c>
      <c r="M158" s="13">
        <v>30800</v>
      </c>
      <c r="N158" s="13">
        <v>29585</v>
      </c>
      <c r="O158" s="13">
        <v>29630</v>
      </c>
      <c r="P158" s="13">
        <v>27505</v>
      </c>
      <c r="Q158" s="13">
        <v>31510</v>
      </c>
      <c r="R158" s="13">
        <v>29775</v>
      </c>
      <c r="S158" s="13">
        <v>28820</v>
      </c>
      <c r="T158" s="13">
        <v>29830</v>
      </c>
      <c r="U158" s="13">
        <v>29160</v>
      </c>
      <c r="V158" s="13">
        <v>27545</v>
      </c>
      <c r="W158" s="13">
        <v>28900</v>
      </c>
      <c r="X158" s="13">
        <v>29565</v>
      </c>
      <c r="Y158" s="13">
        <v>29345</v>
      </c>
      <c r="Z158" s="13">
        <v>28815</v>
      </c>
      <c r="AA158" s="13">
        <v>32000</v>
      </c>
      <c r="AB158" s="13">
        <v>32340</v>
      </c>
      <c r="AC158" s="13">
        <v>31950</v>
      </c>
      <c r="AD158" s="13">
        <v>32440</v>
      </c>
      <c r="AE158" s="13">
        <v>35900</v>
      </c>
      <c r="AF158" s="13">
        <v>31200</v>
      </c>
      <c r="AG158" s="13">
        <v>31430</v>
      </c>
      <c r="AH158" s="13">
        <v>32170</v>
      </c>
      <c r="AI158" s="13">
        <v>31740</v>
      </c>
      <c r="AJ158" s="13">
        <v>30300</v>
      </c>
      <c r="AK158" s="13">
        <v>30060</v>
      </c>
      <c r="AL158" s="13">
        <v>30340</v>
      </c>
      <c r="AM158" s="13">
        <v>29420</v>
      </c>
      <c r="AN158" s="13">
        <v>27325</v>
      </c>
      <c r="AO158" s="13">
        <v>25175</v>
      </c>
      <c r="AP158" s="13">
        <v>25235</v>
      </c>
      <c r="AQ158" s="13">
        <v>25235</v>
      </c>
      <c r="AR158" s="13">
        <v>26765</v>
      </c>
      <c r="AS158" s="13">
        <v>28170</v>
      </c>
      <c r="AT158" s="13">
        <v>27660</v>
      </c>
      <c r="AU158" s="13">
        <v>26320</v>
      </c>
      <c r="AV158" s="13">
        <v>26170</v>
      </c>
      <c r="AW158" s="13">
        <v>26340</v>
      </c>
      <c r="AX158" s="13">
        <v>27130</v>
      </c>
      <c r="AY158" s="13">
        <v>27755</v>
      </c>
      <c r="AZ158" s="13">
        <v>26845</v>
      </c>
      <c r="BA158" s="13">
        <v>26745</v>
      </c>
      <c r="BB158" s="13">
        <v>25625</v>
      </c>
      <c r="BC158" s="13">
        <v>25290</v>
      </c>
      <c r="BD158" s="13">
        <v>26150</v>
      </c>
      <c r="BE158" s="13">
        <v>26360</v>
      </c>
      <c r="BF158" s="13">
        <v>28615</v>
      </c>
      <c r="BG158" s="13">
        <v>28290</v>
      </c>
      <c r="BH158" s="13">
        <v>28705</v>
      </c>
      <c r="BI158" s="13">
        <v>28780</v>
      </c>
      <c r="BJ158" s="13">
        <v>29885</v>
      </c>
      <c r="BK158" s="13">
        <v>29715</v>
      </c>
      <c r="BL158" s="13">
        <v>27815</v>
      </c>
      <c r="BM158" s="4">
        <v>28260</v>
      </c>
      <c r="BN158" s="4">
        <v>29750</v>
      </c>
      <c r="BO158" s="4">
        <v>31500</v>
      </c>
      <c r="BP158" s="4">
        <v>29440</v>
      </c>
      <c r="BQ158" s="4">
        <v>27900</v>
      </c>
      <c r="BR158" s="4">
        <v>27900</v>
      </c>
      <c r="BS158" s="4">
        <v>27200</v>
      </c>
      <c r="BT158" s="4">
        <v>27100</v>
      </c>
      <c r="BU158" s="4">
        <v>27870</v>
      </c>
      <c r="BV158" s="4">
        <v>28625</v>
      </c>
      <c r="BW158" s="4">
        <v>27585</v>
      </c>
      <c r="BX158" s="4">
        <v>27000</v>
      </c>
      <c r="BY158" s="4">
        <v>24880</v>
      </c>
      <c r="BZ158" s="4">
        <v>24990</v>
      </c>
    </row>
    <row r="159" spans="1:78" ht="15.9" customHeight="1">
      <c r="A159" s="61" t="s">
        <v>312</v>
      </c>
      <c r="B159" s="6" t="s">
        <v>313</v>
      </c>
      <c r="C159" s="15">
        <f>_xll.RssMarket("3891","現在値")</f>
        <v>7370</v>
      </c>
      <c r="D159" s="16">
        <f t="shared" si="5"/>
        <v>570</v>
      </c>
      <c r="E159" s="13">
        <v>6800</v>
      </c>
      <c r="F159" s="13">
        <v>6810</v>
      </c>
      <c r="G159" s="13">
        <v>6730</v>
      </c>
      <c r="H159" s="13">
        <v>5730</v>
      </c>
      <c r="I159" s="13">
        <v>5440</v>
      </c>
      <c r="J159" s="13">
        <v>6050</v>
      </c>
      <c r="K159" s="13">
        <v>6840</v>
      </c>
      <c r="L159" s="13">
        <v>7130</v>
      </c>
      <c r="M159" s="13">
        <v>7380</v>
      </c>
      <c r="N159" s="13">
        <v>7430</v>
      </c>
      <c r="O159" s="13">
        <v>7180</v>
      </c>
      <c r="P159" s="13">
        <v>6950</v>
      </c>
      <c r="Q159" s="13">
        <v>7920</v>
      </c>
      <c r="R159" s="13">
        <v>7520</v>
      </c>
      <c r="S159" s="13">
        <v>7620</v>
      </c>
      <c r="T159" s="13">
        <v>8010</v>
      </c>
      <c r="U159" s="13">
        <v>7700</v>
      </c>
      <c r="V159" s="13">
        <v>7970</v>
      </c>
      <c r="W159" s="13">
        <v>8120</v>
      </c>
      <c r="X159" s="13">
        <v>8620</v>
      </c>
      <c r="Y159" s="13">
        <v>9300</v>
      </c>
      <c r="Z159" s="13">
        <v>9400</v>
      </c>
      <c r="AA159" s="13">
        <v>10300</v>
      </c>
      <c r="AB159" s="13">
        <v>9710</v>
      </c>
      <c r="AC159" s="13">
        <v>9980</v>
      </c>
      <c r="AD159" s="13">
        <v>10150</v>
      </c>
      <c r="AE159" s="13">
        <v>10430</v>
      </c>
      <c r="AF159" s="13">
        <v>9560</v>
      </c>
      <c r="AG159" s="13">
        <v>9590</v>
      </c>
      <c r="AH159" s="13">
        <v>10200</v>
      </c>
      <c r="AI159" s="13">
        <v>10750</v>
      </c>
      <c r="AJ159" s="13">
        <v>10640</v>
      </c>
      <c r="AK159" s="13">
        <v>9980</v>
      </c>
      <c r="AL159" s="13">
        <v>8920</v>
      </c>
      <c r="AM159" s="13">
        <v>8770</v>
      </c>
      <c r="AN159" s="13">
        <v>8460</v>
      </c>
      <c r="AO159" s="13">
        <v>8900</v>
      </c>
      <c r="AP159" s="13">
        <v>9240</v>
      </c>
      <c r="AQ159" s="13">
        <v>9040</v>
      </c>
      <c r="AR159" s="13">
        <v>9170</v>
      </c>
      <c r="AS159" s="13">
        <v>8370</v>
      </c>
      <c r="AT159" s="13">
        <v>8460</v>
      </c>
      <c r="AU159" s="13">
        <v>8110</v>
      </c>
      <c r="AV159" s="13">
        <v>7230</v>
      </c>
      <c r="AW159" s="13">
        <v>7100</v>
      </c>
      <c r="AX159" s="13">
        <v>6870</v>
      </c>
      <c r="AY159" s="13">
        <v>7790</v>
      </c>
      <c r="AZ159" s="13">
        <v>7490</v>
      </c>
      <c r="BA159" s="13">
        <v>6780</v>
      </c>
      <c r="BB159" s="13">
        <v>6830</v>
      </c>
      <c r="BC159" s="13">
        <v>6550</v>
      </c>
      <c r="BD159" s="13">
        <v>6430</v>
      </c>
      <c r="BE159" s="13">
        <v>6100</v>
      </c>
      <c r="BF159" s="13">
        <v>6210</v>
      </c>
      <c r="BG159" s="13">
        <v>6530</v>
      </c>
      <c r="BH159" s="13">
        <v>6330</v>
      </c>
      <c r="BI159" s="13">
        <v>6490</v>
      </c>
      <c r="BJ159" s="13">
        <v>6550</v>
      </c>
      <c r="BK159" s="13">
        <v>6600</v>
      </c>
      <c r="BL159" s="13">
        <v>6110</v>
      </c>
      <c r="BM159" s="4">
        <v>6360</v>
      </c>
      <c r="BN159" s="4">
        <v>6420</v>
      </c>
      <c r="BO159" s="4">
        <v>6150</v>
      </c>
      <c r="BP159" s="4">
        <v>5150</v>
      </c>
      <c r="BQ159" s="4">
        <v>4445</v>
      </c>
      <c r="BR159" s="4">
        <v>4480</v>
      </c>
      <c r="BS159" s="4">
        <v>4630</v>
      </c>
      <c r="BT159" s="4">
        <v>4395</v>
      </c>
      <c r="BU159" s="4">
        <v>4275</v>
      </c>
      <c r="BV159" s="4">
        <v>4495</v>
      </c>
      <c r="BW159" s="4">
        <v>4500</v>
      </c>
      <c r="BX159" s="4">
        <v>4295</v>
      </c>
      <c r="BY159" s="4">
        <v>4140</v>
      </c>
      <c r="BZ159" s="4">
        <v>4115</v>
      </c>
    </row>
    <row r="160" spans="1:78" ht="15.9" customHeight="1">
      <c r="A160" s="61" t="s">
        <v>314</v>
      </c>
      <c r="B160" s="6" t="s">
        <v>315</v>
      </c>
      <c r="C160" s="15">
        <f>_xll.RssMarket("4373","現在値")</f>
        <v>1064</v>
      </c>
      <c r="D160" s="16">
        <f t="shared" si="5"/>
        <v>-14</v>
      </c>
      <c r="E160" s="13">
        <v>1078</v>
      </c>
      <c r="F160" s="13">
        <v>1096</v>
      </c>
      <c r="G160" s="13">
        <v>1131</v>
      </c>
      <c r="H160" s="13">
        <v>1162</v>
      </c>
      <c r="I160" s="13">
        <v>1183</v>
      </c>
      <c r="J160" s="13">
        <v>1144</v>
      </c>
      <c r="K160" s="13">
        <v>1146</v>
      </c>
      <c r="L160" s="13">
        <v>1047</v>
      </c>
      <c r="M160" s="13">
        <v>1033</v>
      </c>
      <c r="N160" s="13">
        <v>1049</v>
      </c>
      <c r="O160" s="13">
        <v>1071</v>
      </c>
      <c r="P160" s="13">
        <v>1074</v>
      </c>
      <c r="Q160" s="13">
        <v>1032</v>
      </c>
      <c r="R160" s="13">
        <v>1044</v>
      </c>
      <c r="S160" s="13">
        <v>1033</v>
      </c>
      <c r="T160" s="13">
        <v>1046</v>
      </c>
      <c r="U160" s="13">
        <v>1052</v>
      </c>
      <c r="V160" s="13">
        <v>1057</v>
      </c>
      <c r="W160" s="13">
        <v>1066</v>
      </c>
      <c r="X160" s="13">
        <v>1020</v>
      </c>
      <c r="Y160" s="13">
        <v>1018</v>
      </c>
      <c r="Z160" s="13">
        <v>990</v>
      </c>
      <c r="AA160" s="13">
        <v>945</v>
      </c>
      <c r="AB160" s="13">
        <v>937</v>
      </c>
      <c r="AC160" s="13">
        <v>963</v>
      </c>
      <c r="AD160" s="13">
        <v>911</v>
      </c>
      <c r="AE160" s="13">
        <v>916</v>
      </c>
      <c r="AF160" s="13">
        <v>919</v>
      </c>
      <c r="AG160" s="13">
        <v>911</v>
      </c>
      <c r="AH160" s="13">
        <v>944</v>
      </c>
      <c r="AI160" s="13">
        <v>931</v>
      </c>
      <c r="AJ160" s="13">
        <v>957</v>
      </c>
      <c r="AK160" s="13">
        <v>958</v>
      </c>
      <c r="AL160" s="13">
        <v>957</v>
      </c>
      <c r="AM160" s="13">
        <v>967</v>
      </c>
      <c r="AN160" s="13">
        <v>990</v>
      </c>
      <c r="AO160" s="13">
        <v>1021</v>
      </c>
      <c r="AP160" s="13">
        <v>1038</v>
      </c>
      <c r="AQ160" s="13">
        <v>1070</v>
      </c>
      <c r="AR160" s="13">
        <v>1092</v>
      </c>
      <c r="AS160" s="13">
        <v>1083</v>
      </c>
      <c r="AT160" s="13">
        <v>1106</v>
      </c>
      <c r="AU160" s="13">
        <v>1119</v>
      </c>
      <c r="AV160" s="13">
        <v>1064</v>
      </c>
      <c r="AW160" s="13">
        <v>1029</v>
      </c>
      <c r="AX160" s="13">
        <v>1034</v>
      </c>
      <c r="AY160" s="13">
        <v>1016</v>
      </c>
      <c r="AZ160" s="13">
        <v>1037</v>
      </c>
      <c r="BA160" s="13">
        <v>1005</v>
      </c>
      <c r="BB160" s="13">
        <v>990</v>
      </c>
      <c r="BC160" s="13">
        <v>1036</v>
      </c>
      <c r="BD160" s="13">
        <v>948</v>
      </c>
      <c r="BE160" s="13">
        <v>951</v>
      </c>
      <c r="BF160" s="13">
        <v>931</v>
      </c>
      <c r="BG160" s="13">
        <v>953</v>
      </c>
      <c r="BH160" s="13">
        <v>957</v>
      </c>
      <c r="BI160" s="13">
        <v>945</v>
      </c>
      <c r="BJ160" s="13">
        <v>937</v>
      </c>
      <c r="BK160" s="13">
        <v>895</v>
      </c>
      <c r="BL160" s="13">
        <v>921</v>
      </c>
      <c r="BM160" s="4">
        <v>879</v>
      </c>
      <c r="BN160" s="4">
        <v>881</v>
      </c>
      <c r="BO160" s="4">
        <v>876</v>
      </c>
      <c r="BP160" s="4">
        <v>917</v>
      </c>
      <c r="BQ160" s="4">
        <v>932</v>
      </c>
      <c r="BR160" s="4">
        <v>960</v>
      </c>
      <c r="BS160" s="4">
        <v>930</v>
      </c>
      <c r="BT160" s="4">
        <v>948</v>
      </c>
      <c r="BU160" s="4">
        <v>944</v>
      </c>
      <c r="BV160" s="4">
        <v>899</v>
      </c>
      <c r="BW160" s="4">
        <v>908</v>
      </c>
      <c r="BX160" s="4">
        <v>852</v>
      </c>
      <c r="BY160" s="4">
        <v>814</v>
      </c>
      <c r="BZ160" s="4">
        <v>816</v>
      </c>
    </row>
    <row r="161" spans="1:78" ht="15.9" customHeight="1">
      <c r="A161" s="61" t="s">
        <v>316</v>
      </c>
      <c r="B161" s="6" t="s">
        <v>317</v>
      </c>
      <c r="C161" s="15">
        <f>_xll.RssMarket("8892","現在値")</f>
        <v>1073</v>
      </c>
      <c r="D161" s="16">
        <f t="shared" si="5"/>
        <v>1</v>
      </c>
      <c r="E161" s="13">
        <v>1072</v>
      </c>
      <c r="F161" s="13">
        <v>1068</v>
      </c>
      <c r="G161" s="13">
        <v>1073</v>
      </c>
      <c r="H161" s="13">
        <v>1085</v>
      </c>
      <c r="I161" s="13">
        <v>1115</v>
      </c>
      <c r="J161" s="13">
        <v>1118</v>
      </c>
      <c r="K161" s="13">
        <v>1117</v>
      </c>
      <c r="L161" s="13"/>
      <c r="M161" s="13">
        <v>1102</v>
      </c>
      <c r="N161" s="13">
        <v>1116</v>
      </c>
      <c r="O161" s="13">
        <v>1114</v>
      </c>
      <c r="P161" s="13">
        <v>1099</v>
      </c>
      <c r="Q161" s="13">
        <v>1115</v>
      </c>
      <c r="R161" s="13">
        <v>1121</v>
      </c>
      <c r="S161" s="13">
        <v>1121</v>
      </c>
      <c r="T161" s="13">
        <v>1119</v>
      </c>
      <c r="U161" s="13">
        <v>1112</v>
      </c>
      <c r="V161" s="13">
        <v>1108</v>
      </c>
      <c r="W161" s="13">
        <v>1100</v>
      </c>
      <c r="X161" s="13">
        <v>1106</v>
      </c>
      <c r="Y161" s="13">
        <v>1094</v>
      </c>
      <c r="Z161" s="13">
        <v>1085</v>
      </c>
      <c r="AA161" s="13">
        <v>1074</v>
      </c>
      <c r="AB161" s="13">
        <v>1078</v>
      </c>
      <c r="AC161" s="13">
        <v>1082</v>
      </c>
      <c r="AD161" s="13">
        <v>1063</v>
      </c>
      <c r="AE161" s="13">
        <v>1055</v>
      </c>
      <c r="AF161" s="13">
        <v>1051</v>
      </c>
      <c r="AG161" s="13">
        <v>1056</v>
      </c>
      <c r="AH161" s="13">
        <v>1060</v>
      </c>
      <c r="AI161" s="13">
        <v>1066</v>
      </c>
      <c r="AJ161" s="13">
        <v>1071</v>
      </c>
      <c r="AK161" s="13">
        <v>1077</v>
      </c>
      <c r="AL161" s="13">
        <v>1099</v>
      </c>
      <c r="AM161" s="13">
        <v>1110</v>
      </c>
      <c r="AN161" s="13">
        <v>1110</v>
      </c>
      <c r="AO161" s="13">
        <v>1089</v>
      </c>
      <c r="AP161" s="13">
        <v>1103</v>
      </c>
      <c r="AQ161" s="13">
        <v>1082</v>
      </c>
      <c r="AR161" s="13">
        <v>1088</v>
      </c>
      <c r="AS161" s="13">
        <v>1066</v>
      </c>
      <c r="AT161" s="13">
        <v>1081</v>
      </c>
      <c r="AU161" s="13">
        <v>1069</v>
      </c>
      <c r="AV161" s="13">
        <v>1099</v>
      </c>
      <c r="AW161" s="13">
        <v>1107</v>
      </c>
      <c r="AX161" s="13">
        <v>1104</v>
      </c>
      <c r="AY161" s="13">
        <v>1106</v>
      </c>
      <c r="AZ161" s="13">
        <v>1111</v>
      </c>
      <c r="BA161" s="13">
        <v>1139</v>
      </c>
      <c r="BB161" s="13">
        <v>1122</v>
      </c>
      <c r="BC161" s="13">
        <v>1150</v>
      </c>
      <c r="BD161" s="13">
        <v>1121</v>
      </c>
      <c r="BE161" s="13">
        <v>1125</v>
      </c>
      <c r="BF161" s="13">
        <v>1155</v>
      </c>
      <c r="BG161" s="13">
        <v>1155</v>
      </c>
      <c r="BH161" s="13">
        <v>1171</v>
      </c>
      <c r="BI161" s="13">
        <v>1164</v>
      </c>
      <c r="BJ161" s="13">
        <v>1166</v>
      </c>
      <c r="BK161" s="13">
        <v>1171</v>
      </c>
      <c r="BL161" s="13">
        <v>1160</v>
      </c>
      <c r="BM161" s="4">
        <v>1175</v>
      </c>
      <c r="BN161" s="4">
        <v>1195</v>
      </c>
      <c r="BO161" s="4">
        <v>1200</v>
      </c>
      <c r="BP161" s="4">
        <v>1136</v>
      </c>
      <c r="BQ161" s="4">
        <v>1129</v>
      </c>
      <c r="BR161" s="4">
        <v>1126</v>
      </c>
      <c r="BS161" s="4">
        <v>1140</v>
      </c>
      <c r="BT161" s="4">
        <v>1143</v>
      </c>
      <c r="BU161" s="4">
        <v>1132</v>
      </c>
      <c r="BV161" s="4">
        <v>1136</v>
      </c>
      <c r="BW161" s="4">
        <v>1141</v>
      </c>
      <c r="BX161" s="4">
        <v>1129</v>
      </c>
      <c r="BY161" s="4">
        <v>1131</v>
      </c>
      <c r="BZ161" s="4">
        <v>1127</v>
      </c>
    </row>
    <row r="162" spans="1:78" ht="15.9" customHeight="1">
      <c r="A162" s="61" t="s">
        <v>318</v>
      </c>
      <c r="B162" s="6" t="s">
        <v>319</v>
      </c>
      <c r="C162" s="15">
        <f>_xll.RssMarket("9687","現在値")</f>
        <v>4375</v>
      </c>
      <c r="D162" s="16">
        <f t="shared" si="5"/>
        <v>0</v>
      </c>
      <c r="E162" s="13">
        <v>4375</v>
      </c>
      <c r="F162" s="13">
        <v>4420</v>
      </c>
      <c r="G162" s="13">
        <v>4480</v>
      </c>
      <c r="H162" s="13">
        <v>4480</v>
      </c>
      <c r="I162" s="13">
        <v>4535</v>
      </c>
      <c r="J162" s="13">
        <v>4560</v>
      </c>
      <c r="K162" s="13">
        <v>4625</v>
      </c>
      <c r="L162" s="13"/>
      <c r="M162" s="13">
        <v>4480</v>
      </c>
      <c r="N162" s="13">
        <v>4420</v>
      </c>
      <c r="O162" s="13">
        <v>4415</v>
      </c>
      <c r="P162" s="13">
        <v>4355</v>
      </c>
      <c r="Q162" s="13">
        <v>4395</v>
      </c>
      <c r="R162" s="13">
        <v>4385</v>
      </c>
      <c r="S162" s="13">
        <v>4395</v>
      </c>
      <c r="T162" s="13">
        <v>4375</v>
      </c>
      <c r="U162" s="13">
        <v>4375</v>
      </c>
      <c r="V162" s="13">
        <v>4350</v>
      </c>
      <c r="W162" s="13">
        <v>4345</v>
      </c>
      <c r="X162" s="13">
        <v>4360</v>
      </c>
      <c r="Y162" s="13">
        <v>4360</v>
      </c>
      <c r="Z162" s="13">
        <v>4365</v>
      </c>
      <c r="AA162" s="13">
        <v>4370</v>
      </c>
      <c r="AB162" s="13">
        <v>4300</v>
      </c>
      <c r="AC162" s="13">
        <v>4315</v>
      </c>
      <c r="AD162" s="13">
        <v>4310</v>
      </c>
      <c r="AE162" s="13">
        <v>4370</v>
      </c>
      <c r="AF162" s="13">
        <v>4355</v>
      </c>
      <c r="AG162" s="13">
        <v>4335</v>
      </c>
      <c r="AH162" s="13">
        <v>4330</v>
      </c>
      <c r="AI162" s="13">
        <v>4315</v>
      </c>
      <c r="AJ162" s="13">
        <v>4315</v>
      </c>
      <c r="AK162" s="13">
        <v>4345</v>
      </c>
      <c r="AL162" s="13">
        <v>4300</v>
      </c>
      <c r="AM162" s="13">
        <v>4295</v>
      </c>
      <c r="AN162" s="13">
        <v>4345</v>
      </c>
      <c r="AO162" s="13">
        <v>4325</v>
      </c>
      <c r="AP162" s="13">
        <v>4330</v>
      </c>
      <c r="AQ162" s="13">
        <v>4300</v>
      </c>
      <c r="AR162" s="13">
        <v>4335</v>
      </c>
      <c r="AS162" s="13">
        <v>4335</v>
      </c>
      <c r="AT162" s="13">
        <v>4335</v>
      </c>
      <c r="AU162" s="13">
        <v>4350</v>
      </c>
      <c r="AV162" s="13">
        <v>4325</v>
      </c>
      <c r="AW162" s="13">
        <v>4325</v>
      </c>
      <c r="AX162" s="13">
        <v>4350</v>
      </c>
      <c r="AY162" s="13">
        <v>4350</v>
      </c>
      <c r="AZ162" s="13">
        <v>4360</v>
      </c>
      <c r="BA162" s="13">
        <v>4350</v>
      </c>
      <c r="BB162" s="13">
        <v>4360</v>
      </c>
      <c r="BC162" s="13">
        <v>4365</v>
      </c>
      <c r="BD162" s="13">
        <v>4305</v>
      </c>
      <c r="BE162" s="13">
        <v>4345</v>
      </c>
      <c r="BF162" s="13">
        <v>4335</v>
      </c>
      <c r="BG162" s="13">
        <v>4355</v>
      </c>
      <c r="BH162" s="13">
        <v>4350</v>
      </c>
      <c r="BI162" s="13">
        <v>4365</v>
      </c>
      <c r="BJ162" s="13">
        <v>4400</v>
      </c>
      <c r="BK162" s="13">
        <v>4375</v>
      </c>
      <c r="BL162" s="13">
        <v>4360</v>
      </c>
      <c r="BM162" s="4">
        <v>4440</v>
      </c>
      <c r="BN162" s="4">
        <v>4415</v>
      </c>
      <c r="BO162" s="4">
        <v>4365</v>
      </c>
      <c r="BP162" s="4">
        <v>4315</v>
      </c>
      <c r="BQ162" s="4">
        <v>4350</v>
      </c>
      <c r="BR162" s="4">
        <v>4375</v>
      </c>
      <c r="BS162" s="4">
        <v>4370</v>
      </c>
      <c r="BT162" s="4">
        <v>4350</v>
      </c>
      <c r="BU162" s="4">
        <v>4360</v>
      </c>
      <c r="BV162" s="4">
        <v>4385</v>
      </c>
      <c r="BW162" s="4">
        <v>4355</v>
      </c>
      <c r="BX162" s="4">
        <v>4345</v>
      </c>
      <c r="BY162" s="4">
        <v>4355</v>
      </c>
      <c r="BZ162" s="4">
        <v>4380</v>
      </c>
    </row>
    <row r="163" spans="1:78" ht="15.9" customHeight="1">
      <c r="A163" s="61" t="s">
        <v>320</v>
      </c>
      <c r="B163" s="6" t="s">
        <v>321</v>
      </c>
      <c r="C163" s="15">
        <f>_xll.RssMarket("1930","現在値")</f>
        <v>1523</v>
      </c>
      <c r="D163" s="16">
        <f t="shared" si="5"/>
        <v>47</v>
      </c>
      <c r="E163" s="13">
        <v>1476</v>
      </c>
      <c r="F163" s="13">
        <v>1468</v>
      </c>
      <c r="G163" s="13">
        <v>1485</v>
      </c>
      <c r="H163" s="13">
        <v>1466</v>
      </c>
      <c r="I163" s="13">
        <v>1466</v>
      </c>
      <c r="J163" s="13">
        <v>1475</v>
      </c>
      <c r="K163" s="13">
        <v>1638</v>
      </c>
      <c r="L163" s="13">
        <v>1612</v>
      </c>
      <c r="M163" s="13">
        <v>1612</v>
      </c>
      <c r="N163" s="13">
        <v>1582</v>
      </c>
      <c r="O163" s="13">
        <v>1585</v>
      </c>
      <c r="P163" s="13">
        <v>1567</v>
      </c>
      <c r="Q163" s="13">
        <v>1614</v>
      </c>
      <c r="R163" s="13">
        <v>1588</v>
      </c>
      <c r="S163" s="13">
        <v>1590</v>
      </c>
      <c r="T163" s="13">
        <v>1632</v>
      </c>
      <c r="U163" s="13">
        <v>1629</v>
      </c>
      <c r="V163" s="13">
        <v>1617</v>
      </c>
      <c r="W163" s="13">
        <v>1637</v>
      </c>
      <c r="X163" s="13">
        <v>1674</v>
      </c>
      <c r="Y163" s="13">
        <v>1655</v>
      </c>
      <c r="Z163" s="13">
        <v>1654</v>
      </c>
      <c r="AA163" s="13">
        <v>1678</v>
      </c>
      <c r="AB163" s="13">
        <v>1663</v>
      </c>
      <c r="AC163" s="13">
        <v>1695</v>
      </c>
      <c r="AD163" s="13">
        <v>1715</v>
      </c>
      <c r="AE163" s="13">
        <v>1709</v>
      </c>
      <c r="AF163" s="13">
        <v>1701</v>
      </c>
      <c r="AG163" s="13">
        <v>1708</v>
      </c>
      <c r="AH163" s="13">
        <v>1725</v>
      </c>
      <c r="AI163" s="13">
        <v>1701</v>
      </c>
      <c r="AJ163" s="13">
        <v>1749</v>
      </c>
      <c r="AK163" s="13">
        <v>1699</v>
      </c>
      <c r="AL163" s="13">
        <v>1651</v>
      </c>
      <c r="AM163" s="13">
        <v>1700</v>
      </c>
      <c r="AN163" s="13">
        <v>1621</v>
      </c>
      <c r="AO163" s="13">
        <v>1581</v>
      </c>
      <c r="AP163" s="13">
        <v>1594</v>
      </c>
      <c r="AQ163" s="13">
        <v>1582</v>
      </c>
      <c r="AR163" s="13">
        <v>1619</v>
      </c>
      <c r="AS163" s="13">
        <v>1552</v>
      </c>
      <c r="AT163" s="13">
        <v>1582</v>
      </c>
      <c r="AU163" s="13">
        <v>1570</v>
      </c>
      <c r="AV163" s="13">
        <v>1704</v>
      </c>
      <c r="AW163" s="13">
        <v>1681</v>
      </c>
      <c r="AX163" s="13">
        <v>1681</v>
      </c>
      <c r="AY163" s="13">
        <v>1671</v>
      </c>
      <c r="AZ163" s="13">
        <v>1605</v>
      </c>
      <c r="BA163" s="13">
        <v>1590</v>
      </c>
      <c r="BB163" s="13">
        <v>1590</v>
      </c>
      <c r="BC163" s="13">
        <v>1634</v>
      </c>
      <c r="BD163" s="13">
        <v>1608</v>
      </c>
      <c r="BE163" s="13">
        <v>1667</v>
      </c>
      <c r="BF163" s="13">
        <v>1683</v>
      </c>
      <c r="BG163" s="13">
        <v>1739</v>
      </c>
      <c r="BH163" s="13">
        <v>1766</v>
      </c>
      <c r="BI163" s="13">
        <v>1721</v>
      </c>
      <c r="BJ163" s="13">
        <v>1684</v>
      </c>
      <c r="BK163" s="13">
        <v>1668</v>
      </c>
      <c r="BL163" s="13">
        <v>1693</v>
      </c>
      <c r="BM163" s="4">
        <v>1682</v>
      </c>
      <c r="BN163" s="4">
        <v>1502</v>
      </c>
      <c r="BO163" s="4">
        <v>1443</v>
      </c>
      <c r="BP163" s="4">
        <v>1458</v>
      </c>
      <c r="BQ163" s="4">
        <v>1441</v>
      </c>
      <c r="BR163" s="4">
        <v>1446</v>
      </c>
      <c r="BS163" s="4">
        <v>1472</v>
      </c>
      <c r="BT163" s="4">
        <v>1453</v>
      </c>
      <c r="BU163" s="4">
        <v>1456</v>
      </c>
      <c r="BV163" s="4">
        <v>1473</v>
      </c>
      <c r="BW163" s="4">
        <v>1448</v>
      </c>
      <c r="BX163" s="4">
        <v>1441</v>
      </c>
      <c r="BY163" s="4">
        <v>1439</v>
      </c>
      <c r="BZ163" s="4">
        <v>1474</v>
      </c>
    </row>
    <row r="164" spans="1:78" ht="15.9" customHeight="1">
      <c r="A164" s="61" t="s">
        <v>322</v>
      </c>
      <c r="B164" s="6" t="s">
        <v>323</v>
      </c>
      <c r="C164" s="15">
        <f>_xll.RssMarket("8704","現在値")</f>
        <v>1328</v>
      </c>
      <c r="D164" s="16">
        <f t="shared" si="5"/>
        <v>24</v>
      </c>
      <c r="E164" s="13">
        <v>1304</v>
      </c>
      <c r="F164" s="13">
        <v>1325</v>
      </c>
      <c r="G164" s="13">
        <v>1247</v>
      </c>
      <c r="H164" s="13">
        <v>1203</v>
      </c>
      <c r="I164" s="13">
        <v>1209</v>
      </c>
      <c r="J164" s="13">
        <v>1242</v>
      </c>
      <c r="K164" s="13">
        <v>1280</v>
      </c>
      <c r="L164" s="13">
        <v>1272</v>
      </c>
      <c r="M164" s="13">
        <v>1298</v>
      </c>
      <c r="N164" s="13">
        <v>1252</v>
      </c>
      <c r="O164" s="13">
        <v>1269</v>
      </c>
      <c r="P164" s="13">
        <v>1242</v>
      </c>
      <c r="Q164" s="13">
        <v>1312</v>
      </c>
      <c r="R164" s="13">
        <v>1274</v>
      </c>
      <c r="S164" s="13">
        <v>1231</v>
      </c>
      <c r="T164" s="13">
        <v>1246</v>
      </c>
      <c r="U164" s="13">
        <v>1223</v>
      </c>
      <c r="V164" s="13">
        <v>1222</v>
      </c>
      <c r="W164" s="13">
        <v>1245</v>
      </c>
      <c r="X164" s="13">
        <v>1270</v>
      </c>
      <c r="Y164" s="13">
        <v>1269</v>
      </c>
      <c r="Z164" s="13">
        <v>1225</v>
      </c>
      <c r="AA164" s="13">
        <v>1208</v>
      </c>
      <c r="AB164" s="13">
        <v>1180</v>
      </c>
      <c r="AC164" s="13">
        <v>1145</v>
      </c>
      <c r="AD164" s="13">
        <v>1149</v>
      </c>
      <c r="AE164" s="13">
        <v>1189</v>
      </c>
      <c r="AF164" s="13">
        <v>1161</v>
      </c>
      <c r="AG164" s="13">
        <v>1203</v>
      </c>
      <c r="AH164" s="13">
        <v>1217</v>
      </c>
      <c r="AI164" s="13">
        <v>1161</v>
      </c>
      <c r="AJ164" s="13">
        <v>1169</v>
      </c>
      <c r="AK164" s="13">
        <v>1157</v>
      </c>
      <c r="AL164" s="13">
        <v>1153</v>
      </c>
      <c r="AM164" s="13">
        <v>1171</v>
      </c>
      <c r="AN164" s="13">
        <v>1154</v>
      </c>
      <c r="AO164" s="13">
        <v>1106</v>
      </c>
      <c r="AP164" s="13">
        <v>1099</v>
      </c>
      <c r="AQ164" s="13">
        <v>1126</v>
      </c>
      <c r="AR164" s="13">
        <v>1138</v>
      </c>
      <c r="AS164" s="13">
        <v>1108</v>
      </c>
      <c r="AT164" s="13">
        <v>1178</v>
      </c>
      <c r="AU164" s="13">
        <v>1189</v>
      </c>
      <c r="AV164" s="13">
        <v>1193</v>
      </c>
      <c r="AW164" s="13">
        <v>1148</v>
      </c>
      <c r="AX164" s="13">
        <v>1139</v>
      </c>
      <c r="AY164" s="13">
        <v>1134</v>
      </c>
      <c r="AZ164" s="13">
        <v>1139</v>
      </c>
      <c r="BA164" s="13">
        <v>1139</v>
      </c>
      <c r="BB164" s="13">
        <v>1119</v>
      </c>
      <c r="BC164" s="13">
        <v>1134</v>
      </c>
      <c r="BD164" s="13">
        <v>1146</v>
      </c>
      <c r="BE164" s="13">
        <v>1169</v>
      </c>
      <c r="BF164" s="13">
        <v>1171</v>
      </c>
      <c r="BG164" s="13">
        <v>1217</v>
      </c>
      <c r="BH164" s="13">
        <v>1210</v>
      </c>
      <c r="BI164" s="13">
        <v>1236</v>
      </c>
      <c r="BJ164" s="13">
        <v>1235</v>
      </c>
      <c r="BK164" s="13">
        <v>1178</v>
      </c>
      <c r="BL164" s="13">
        <v>1128</v>
      </c>
      <c r="BM164" s="4">
        <v>1043</v>
      </c>
      <c r="BN164" s="4">
        <v>1081</v>
      </c>
      <c r="BO164" s="4">
        <v>1030</v>
      </c>
      <c r="BP164" s="4">
        <v>1029</v>
      </c>
      <c r="BQ164" s="4">
        <v>1036</v>
      </c>
      <c r="BR164" s="4">
        <v>1042</v>
      </c>
      <c r="BS164" s="4">
        <v>1068</v>
      </c>
      <c r="BT164" s="4">
        <v>1053</v>
      </c>
      <c r="BU164" s="4">
        <v>1044</v>
      </c>
      <c r="BV164" s="4">
        <v>1061</v>
      </c>
      <c r="BW164" s="4">
        <v>1043</v>
      </c>
      <c r="BX164" s="4">
        <v>1034</v>
      </c>
      <c r="BY164" s="4">
        <v>1038</v>
      </c>
      <c r="BZ164" s="4">
        <v>1047</v>
      </c>
    </row>
    <row r="165" spans="1:78" ht="15.9" customHeight="1">
      <c r="A165" s="61" t="s">
        <v>324</v>
      </c>
      <c r="B165" s="6" t="s">
        <v>325</v>
      </c>
      <c r="C165" s="15">
        <f>_xll.RssMarket("4733","現在値")</f>
        <v>7846</v>
      </c>
      <c r="D165" s="16">
        <f t="shared" si="5"/>
        <v>134</v>
      </c>
      <c r="E165" s="13">
        <v>7712</v>
      </c>
      <c r="F165" s="13">
        <v>7873</v>
      </c>
      <c r="G165" s="13">
        <v>8003</v>
      </c>
      <c r="H165" s="13">
        <v>8339</v>
      </c>
      <c r="I165" s="13">
        <v>8426</v>
      </c>
      <c r="J165" s="13">
        <v>8001</v>
      </c>
      <c r="K165" s="13">
        <v>7987</v>
      </c>
      <c r="L165" s="13">
        <v>7638</v>
      </c>
      <c r="M165" s="13">
        <v>7015</v>
      </c>
      <c r="N165" s="13">
        <v>6840</v>
      </c>
      <c r="O165" s="13">
        <v>6589</v>
      </c>
      <c r="P165" s="13">
        <v>6620</v>
      </c>
      <c r="Q165" s="13">
        <v>6483</v>
      </c>
      <c r="R165" s="13">
        <v>6618</v>
      </c>
      <c r="S165" s="13">
        <v>6591</v>
      </c>
      <c r="T165" s="13">
        <v>6543</v>
      </c>
      <c r="U165" s="13">
        <v>6530</v>
      </c>
      <c r="V165" s="13">
        <v>6518</v>
      </c>
      <c r="W165" s="13">
        <v>6540</v>
      </c>
      <c r="X165" s="13">
        <v>6542</v>
      </c>
      <c r="Y165" s="13">
        <v>6452</v>
      </c>
      <c r="Z165" s="13">
        <v>6378</v>
      </c>
      <c r="AA165" s="13">
        <v>6058</v>
      </c>
      <c r="AB165" s="13">
        <v>6082</v>
      </c>
      <c r="AC165" s="13">
        <v>6109</v>
      </c>
      <c r="AD165" s="13">
        <v>5827</v>
      </c>
      <c r="AE165" s="13">
        <v>5723</v>
      </c>
      <c r="AF165" s="13">
        <v>5792</v>
      </c>
      <c r="AG165" s="13">
        <v>5637</v>
      </c>
      <c r="AH165" s="13">
        <v>5650</v>
      </c>
      <c r="AI165" s="13">
        <v>5694</v>
      </c>
      <c r="AJ165" s="13">
        <v>5942</v>
      </c>
      <c r="AK165" s="13">
        <v>5893</v>
      </c>
      <c r="AL165" s="13">
        <v>5841</v>
      </c>
      <c r="AM165" s="13">
        <v>5888</v>
      </c>
      <c r="AN165" s="13">
        <v>5850</v>
      </c>
      <c r="AO165" s="13">
        <v>5927</v>
      </c>
      <c r="AP165" s="13">
        <v>5976</v>
      </c>
      <c r="AQ165" s="13">
        <v>6029</v>
      </c>
      <c r="AR165" s="13">
        <v>6020</v>
      </c>
      <c r="AS165" s="13">
        <v>5991</v>
      </c>
      <c r="AT165" s="13">
        <v>6216</v>
      </c>
      <c r="AU165" s="13">
        <v>6424</v>
      </c>
      <c r="AV165" s="13">
        <v>6117</v>
      </c>
      <c r="AW165" s="13">
        <v>6088</v>
      </c>
      <c r="AX165" s="13">
        <v>6169</v>
      </c>
      <c r="AY165" s="13">
        <v>5979</v>
      </c>
      <c r="AZ165" s="13">
        <v>6121</v>
      </c>
      <c r="BA165" s="13">
        <v>6101</v>
      </c>
      <c r="BB165" s="13">
        <v>6121</v>
      </c>
      <c r="BC165" s="13">
        <v>6249</v>
      </c>
      <c r="BD165" s="13">
        <v>6117</v>
      </c>
      <c r="BE165" s="13">
        <v>6047</v>
      </c>
      <c r="BF165" s="13">
        <v>5999</v>
      </c>
      <c r="BG165" s="13">
        <v>6042</v>
      </c>
      <c r="BH165" s="13">
        <v>6075</v>
      </c>
      <c r="BI165" s="13">
        <v>6170</v>
      </c>
      <c r="BJ165" s="13">
        <v>6213</v>
      </c>
      <c r="BK165" s="13">
        <v>6099</v>
      </c>
      <c r="BL165" s="13">
        <v>6082</v>
      </c>
      <c r="BM165" s="4">
        <v>6125</v>
      </c>
      <c r="BN165" s="4">
        <v>6244</v>
      </c>
      <c r="BO165" s="4">
        <v>6176</v>
      </c>
      <c r="BP165" s="4">
        <v>6270</v>
      </c>
      <c r="BQ165" s="4">
        <v>6270</v>
      </c>
      <c r="BR165" s="4">
        <v>6750</v>
      </c>
      <c r="BS165" s="4">
        <v>6481</v>
      </c>
      <c r="BT165" s="4">
        <v>6771</v>
      </c>
      <c r="BU165" s="4">
        <v>6682</v>
      </c>
      <c r="BV165" s="4">
        <v>6605</v>
      </c>
      <c r="BW165" s="4">
        <v>6727</v>
      </c>
      <c r="BX165" s="4">
        <v>6551</v>
      </c>
      <c r="BY165" s="4">
        <v>6279</v>
      </c>
      <c r="BZ165" s="4">
        <v>6187</v>
      </c>
    </row>
    <row r="166" spans="1:78" ht="15.9" customHeight="1">
      <c r="A166" s="61" t="s">
        <v>326</v>
      </c>
      <c r="B166" s="6" t="s">
        <v>327</v>
      </c>
      <c r="C166" s="15">
        <f>_xll.RssMarket("9733","現在値")</f>
        <v>2289</v>
      </c>
      <c r="D166" s="16">
        <f t="shared" si="5"/>
        <v>-2</v>
      </c>
      <c r="E166" s="13">
        <v>2291</v>
      </c>
      <c r="F166" s="13">
        <v>2322</v>
      </c>
      <c r="G166" s="13">
        <v>2339</v>
      </c>
      <c r="H166" s="13">
        <v>2336</v>
      </c>
      <c r="I166" s="13">
        <v>2347</v>
      </c>
      <c r="J166" s="13">
        <v>2305</v>
      </c>
      <c r="K166" s="13">
        <v>2300</v>
      </c>
      <c r="L166" s="13">
        <v>2286</v>
      </c>
      <c r="M166" s="13">
        <v>2343</v>
      </c>
      <c r="N166" s="13">
        <v>2368</v>
      </c>
      <c r="O166" s="13">
        <v>2352</v>
      </c>
      <c r="P166" s="13">
        <v>2329</v>
      </c>
      <c r="Q166" s="13">
        <v>2351</v>
      </c>
      <c r="R166" s="13">
        <v>2349</v>
      </c>
      <c r="S166" s="13">
        <v>2361</v>
      </c>
      <c r="T166" s="13">
        <v>2372</v>
      </c>
      <c r="U166" s="13">
        <v>2386</v>
      </c>
      <c r="V166" s="13">
        <v>2386</v>
      </c>
      <c r="W166" s="13">
        <v>2405</v>
      </c>
      <c r="X166" s="13">
        <v>2390</v>
      </c>
      <c r="Y166" s="13">
        <v>2363</v>
      </c>
      <c r="Z166" s="13">
        <v>2335</v>
      </c>
      <c r="AA166" s="13">
        <v>2310</v>
      </c>
      <c r="AB166" s="13">
        <v>2300</v>
      </c>
      <c r="AC166" s="13">
        <v>2330</v>
      </c>
      <c r="AD166" s="13">
        <v>2267</v>
      </c>
      <c r="AE166" s="13">
        <v>2220</v>
      </c>
      <c r="AF166" s="13">
        <v>2234</v>
      </c>
      <c r="AG166" s="13">
        <v>2221</v>
      </c>
      <c r="AH166" s="13">
        <v>2220</v>
      </c>
      <c r="AI166" s="13">
        <v>2212</v>
      </c>
      <c r="AJ166" s="13">
        <v>2200</v>
      </c>
      <c r="AK166" s="13">
        <v>2201</v>
      </c>
      <c r="AL166" s="13">
        <v>2203</v>
      </c>
      <c r="AM166" s="13">
        <v>2226</v>
      </c>
      <c r="AN166" s="13">
        <v>2235</v>
      </c>
      <c r="AO166" s="13">
        <v>2225</v>
      </c>
      <c r="AP166" s="13">
        <v>2246</v>
      </c>
      <c r="AQ166" s="13">
        <v>2200</v>
      </c>
      <c r="AR166" s="13">
        <v>2204</v>
      </c>
      <c r="AS166" s="13">
        <v>2187</v>
      </c>
      <c r="AT166" s="13">
        <v>2207</v>
      </c>
      <c r="AU166" s="13">
        <v>2200</v>
      </c>
      <c r="AV166" s="13">
        <v>2282</v>
      </c>
      <c r="AW166" s="13">
        <v>2265</v>
      </c>
      <c r="AX166" s="13">
        <v>2266</v>
      </c>
      <c r="AY166" s="13">
        <v>2273</v>
      </c>
      <c r="AZ166" s="13">
        <v>2310</v>
      </c>
      <c r="BA166" s="13">
        <v>2296</v>
      </c>
      <c r="BB166" s="13">
        <v>2320</v>
      </c>
      <c r="BC166" s="13">
        <v>2316</v>
      </c>
      <c r="BD166" s="13">
        <v>2287</v>
      </c>
      <c r="BE166" s="13">
        <v>2267</v>
      </c>
      <c r="BF166" s="13">
        <v>2278</v>
      </c>
      <c r="BG166" s="13">
        <v>2283</v>
      </c>
      <c r="BH166" s="13">
        <v>2269</v>
      </c>
      <c r="BI166" s="13">
        <v>2287</v>
      </c>
      <c r="BJ166" s="13">
        <v>2280</v>
      </c>
      <c r="BK166" s="13">
        <v>2290</v>
      </c>
      <c r="BL166" s="13">
        <v>2300</v>
      </c>
      <c r="BM166" s="4">
        <v>2311</v>
      </c>
      <c r="BN166" s="4">
        <v>2335</v>
      </c>
      <c r="BO166" s="4">
        <v>2290</v>
      </c>
      <c r="BP166" s="4">
        <v>2311</v>
      </c>
      <c r="BQ166" s="4">
        <v>2345</v>
      </c>
      <c r="BR166" s="4">
        <v>2370</v>
      </c>
      <c r="BS166" s="4">
        <v>2362</v>
      </c>
      <c r="BT166" s="4">
        <v>2412</v>
      </c>
      <c r="BU166" s="4">
        <v>2460</v>
      </c>
      <c r="BV166" s="4">
        <v>2452</v>
      </c>
      <c r="BW166" s="4">
        <v>2421</v>
      </c>
      <c r="BX166" s="4">
        <v>2481</v>
      </c>
      <c r="BY166" s="4">
        <v>2498</v>
      </c>
      <c r="BZ166" s="4">
        <v>2528</v>
      </c>
    </row>
    <row r="167" spans="1:78" ht="15.9" customHeight="1">
      <c r="A167" s="61" t="s">
        <v>328</v>
      </c>
      <c r="B167" s="6" t="s">
        <v>329</v>
      </c>
      <c r="C167" s="15">
        <f>_xll.RssMarket("9551","現在値")</f>
        <v>3335</v>
      </c>
      <c r="D167" s="16">
        <f t="shared" si="5"/>
        <v>100</v>
      </c>
      <c r="E167" s="13">
        <v>3235</v>
      </c>
      <c r="F167" s="13">
        <v>3125</v>
      </c>
      <c r="G167" s="13">
        <v>3085</v>
      </c>
      <c r="H167" s="13">
        <v>3055</v>
      </c>
      <c r="I167" s="13">
        <v>3065</v>
      </c>
      <c r="J167" s="13">
        <v>3065</v>
      </c>
      <c r="K167" s="13">
        <v>3225</v>
      </c>
      <c r="L167" s="13"/>
      <c r="M167" s="13">
        <v>3230</v>
      </c>
      <c r="N167" s="13">
        <v>3210</v>
      </c>
      <c r="O167" s="13">
        <v>3170</v>
      </c>
      <c r="P167" s="13">
        <v>3120</v>
      </c>
      <c r="Q167" s="13">
        <v>3230</v>
      </c>
      <c r="R167" s="13">
        <v>3175</v>
      </c>
      <c r="S167" s="13">
        <v>3205</v>
      </c>
      <c r="T167" s="13">
        <v>3235</v>
      </c>
      <c r="U167" s="13">
        <v>3260</v>
      </c>
      <c r="V167" s="13">
        <v>3180</v>
      </c>
      <c r="W167" s="13">
        <v>3265</v>
      </c>
      <c r="X167" s="13">
        <v>3325</v>
      </c>
      <c r="Y167" s="13">
        <v>3325</v>
      </c>
      <c r="Z167" s="13">
        <v>3285</v>
      </c>
      <c r="AA167" s="13">
        <v>3350</v>
      </c>
      <c r="AB167" s="13">
        <v>3325</v>
      </c>
      <c r="AC167" s="13">
        <v>3395</v>
      </c>
      <c r="AD167" s="13">
        <v>3570</v>
      </c>
      <c r="AE167" s="13">
        <v>3560</v>
      </c>
      <c r="AF167" s="13">
        <v>3505</v>
      </c>
      <c r="AG167" s="13">
        <v>3515</v>
      </c>
      <c r="AH167" s="13">
        <v>3535</v>
      </c>
      <c r="AI167" s="13">
        <v>3455</v>
      </c>
      <c r="AJ167" s="13">
        <v>3455</v>
      </c>
      <c r="AK167" s="13">
        <v>3410</v>
      </c>
      <c r="AL167" s="13">
        <v>3340</v>
      </c>
      <c r="AM167" s="13">
        <v>3330</v>
      </c>
      <c r="AN167" s="13">
        <v>3145</v>
      </c>
      <c r="AO167" s="13">
        <v>3105</v>
      </c>
      <c r="AP167" s="13">
        <v>3150</v>
      </c>
      <c r="AQ167" s="13">
        <v>3240</v>
      </c>
      <c r="AR167" s="13">
        <v>3285</v>
      </c>
      <c r="AS167" s="13">
        <v>3250</v>
      </c>
      <c r="AT167" s="13">
        <v>3280</v>
      </c>
      <c r="AU167" s="13">
        <v>3270</v>
      </c>
      <c r="AV167" s="13">
        <v>3555</v>
      </c>
      <c r="AW167" s="13">
        <v>3250</v>
      </c>
      <c r="AX167" s="13">
        <v>3265</v>
      </c>
      <c r="AY167" s="13">
        <v>3275</v>
      </c>
      <c r="AZ167" s="13">
        <v>3265</v>
      </c>
      <c r="BA167" s="13">
        <v>3270</v>
      </c>
      <c r="BB167" s="13">
        <v>3235</v>
      </c>
      <c r="BC167" s="13">
        <v>3285</v>
      </c>
      <c r="BD167" s="13">
        <v>3360</v>
      </c>
      <c r="BE167" s="13">
        <v>3515</v>
      </c>
      <c r="BF167" s="13">
        <v>3430</v>
      </c>
      <c r="BG167" s="13">
        <v>3440</v>
      </c>
      <c r="BH167" s="13">
        <v>3385</v>
      </c>
      <c r="BI167" s="13">
        <v>3440</v>
      </c>
      <c r="BJ167" s="13">
        <v>3440</v>
      </c>
      <c r="BK167" s="13">
        <v>3435</v>
      </c>
      <c r="BL167" s="13">
        <v>3365</v>
      </c>
      <c r="BM167" s="4">
        <v>3390</v>
      </c>
      <c r="BN167" s="4">
        <v>3415</v>
      </c>
      <c r="BO167" s="4">
        <v>3270</v>
      </c>
      <c r="BP167" s="4">
        <v>3620</v>
      </c>
      <c r="BQ167" s="4">
        <v>3590</v>
      </c>
      <c r="BR167" s="4">
        <v>3620</v>
      </c>
      <c r="BS167" s="4">
        <v>3690</v>
      </c>
      <c r="BT167" s="4">
        <v>3705</v>
      </c>
      <c r="BU167" s="4">
        <v>3705</v>
      </c>
      <c r="BV167" s="4">
        <v>3685</v>
      </c>
      <c r="BW167" s="4">
        <v>3675</v>
      </c>
      <c r="BX167" s="4">
        <v>3710</v>
      </c>
      <c r="BY167" s="4">
        <v>3630</v>
      </c>
      <c r="BZ167" s="4">
        <v>3675</v>
      </c>
    </row>
    <row r="168" spans="1:78" ht="15.9" customHeight="1">
      <c r="A168" s="61" t="s">
        <v>330</v>
      </c>
      <c r="B168" s="6" t="s">
        <v>331</v>
      </c>
      <c r="C168" s="15">
        <f>_xll.RssMarket("2359","現在値")</f>
        <v>2058</v>
      </c>
      <c r="D168" s="16">
        <f t="shared" si="5"/>
        <v>47</v>
      </c>
      <c r="E168" s="13">
        <v>2011</v>
      </c>
      <c r="F168" s="13">
        <v>2038</v>
      </c>
      <c r="G168" s="13">
        <v>2022</v>
      </c>
      <c r="H168" s="13">
        <v>2066</v>
      </c>
      <c r="I168" s="13">
        <v>2044</v>
      </c>
      <c r="J168" s="13">
        <v>2012</v>
      </c>
      <c r="K168" s="13">
        <v>2012</v>
      </c>
      <c r="L168" s="13"/>
      <c r="M168" s="13">
        <v>1989</v>
      </c>
      <c r="N168" s="13">
        <v>2005</v>
      </c>
      <c r="O168" s="13">
        <v>1983</v>
      </c>
      <c r="P168" s="13">
        <v>1980</v>
      </c>
      <c r="Q168" s="13">
        <v>2010</v>
      </c>
      <c r="R168" s="13">
        <v>2009</v>
      </c>
      <c r="S168" s="13">
        <v>1995</v>
      </c>
      <c r="T168" s="13">
        <v>1990</v>
      </c>
      <c r="U168" s="13">
        <v>1950</v>
      </c>
      <c r="V168" s="13">
        <v>1951</v>
      </c>
      <c r="W168" s="13">
        <v>1957</v>
      </c>
      <c r="X168" s="13">
        <v>1950</v>
      </c>
      <c r="Y168" s="13">
        <v>1941</v>
      </c>
      <c r="Z168" s="13">
        <v>1950</v>
      </c>
      <c r="AA168" s="13">
        <v>1926</v>
      </c>
      <c r="AB168" s="13">
        <v>1952</v>
      </c>
      <c r="AC168" s="13">
        <v>1982</v>
      </c>
      <c r="AD168" s="13">
        <v>2015</v>
      </c>
      <c r="AE168" s="13">
        <v>2005</v>
      </c>
      <c r="AF168" s="13">
        <v>2030</v>
      </c>
      <c r="AG168" s="13">
        <v>2010</v>
      </c>
      <c r="AH168" s="13">
        <v>2031</v>
      </c>
      <c r="AI168" s="13">
        <v>2031</v>
      </c>
      <c r="AJ168" s="13">
        <v>2026</v>
      </c>
      <c r="AK168" s="13">
        <v>2020</v>
      </c>
      <c r="AL168" s="13">
        <v>2005</v>
      </c>
      <c r="AM168" s="13">
        <v>2008</v>
      </c>
      <c r="AN168" s="13">
        <v>1993</v>
      </c>
      <c r="AO168" s="13">
        <v>2019</v>
      </c>
      <c r="AP168" s="13">
        <v>2027</v>
      </c>
      <c r="AQ168" s="13">
        <v>2034</v>
      </c>
      <c r="AR168" s="13">
        <v>2083</v>
      </c>
      <c r="AS168" s="13">
        <v>2040</v>
      </c>
      <c r="AT168" s="13">
        <v>2041</v>
      </c>
      <c r="AU168" s="13">
        <v>2043</v>
      </c>
      <c r="AV168" s="13">
        <v>2020</v>
      </c>
      <c r="AW168" s="13">
        <v>2060</v>
      </c>
      <c r="AX168" s="13">
        <v>2030</v>
      </c>
      <c r="AY168" s="13">
        <v>2096</v>
      </c>
      <c r="AZ168" s="13">
        <v>2099</v>
      </c>
      <c r="BA168" s="13">
        <v>2102</v>
      </c>
      <c r="BB168" s="13">
        <v>2100</v>
      </c>
      <c r="BC168" s="13">
        <v>2086</v>
      </c>
      <c r="BD168" s="13">
        <v>2044</v>
      </c>
      <c r="BE168" s="13">
        <v>2053</v>
      </c>
      <c r="BF168" s="13">
        <v>2064</v>
      </c>
      <c r="BG168" s="13">
        <v>2051</v>
      </c>
      <c r="BH168" s="13">
        <v>2015</v>
      </c>
      <c r="BI168" s="13">
        <v>2008</v>
      </c>
      <c r="BJ168" s="13">
        <v>2006</v>
      </c>
      <c r="BK168" s="13">
        <v>1988</v>
      </c>
      <c r="BL168" s="13">
        <v>2016</v>
      </c>
      <c r="BM168" s="4">
        <v>2048</v>
      </c>
      <c r="BN168" s="4">
        <v>2205</v>
      </c>
      <c r="BO168" s="4">
        <v>2228</v>
      </c>
      <c r="BP168" s="4">
        <v>2137</v>
      </c>
      <c r="BQ168" s="4">
        <v>2137</v>
      </c>
      <c r="BR168" s="4">
        <v>2206</v>
      </c>
      <c r="BS168" s="4">
        <v>2245</v>
      </c>
      <c r="BT168" s="4">
        <v>2243</v>
      </c>
      <c r="BU168" s="4">
        <v>2251</v>
      </c>
      <c r="BV168" s="4">
        <v>2232</v>
      </c>
      <c r="BW168" s="4">
        <v>2243</v>
      </c>
      <c r="BX168" s="4">
        <v>2215</v>
      </c>
      <c r="BY168" s="4">
        <v>2218</v>
      </c>
      <c r="BZ168" s="4">
        <v>2239</v>
      </c>
    </row>
    <row r="169" spans="1:78" ht="15.9" customHeight="1">
      <c r="A169" s="61" t="s">
        <v>332</v>
      </c>
      <c r="B169" s="6" t="s">
        <v>333</v>
      </c>
      <c r="C169" s="15">
        <f>_xll.RssMarket("8103","現在値")</f>
        <v>890</v>
      </c>
      <c r="D169" s="16">
        <f t="shared" si="5"/>
        <v>-5</v>
      </c>
      <c r="E169" s="13">
        <v>895</v>
      </c>
      <c r="F169" s="13">
        <v>898</v>
      </c>
      <c r="G169" s="13">
        <v>902</v>
      </c>
      <c r="H169" s="13">
        <v>919</v>
      </c>
      <c r="I169" s="13">
        <v>926</v>
      </c>
      <c r="J169" s="13">
        <v>916</v>
      </c>
      <c r="K169" s="13">
        <v>922</v>
      </c>
      <c r="L169" s="13">
        <v>904</v>
      </c>
      <c r="M169" s="13">
        <v>913</v>
      </c>
      <c r="N169" s="13">
        <v>910</v>
      </c>
      <c r="O169" s="13">
        <v>910</v>
      </c>
      <c r="P169" s="13">
        <v>895</v>
      </c>
      <c r="Q169" s="13">
        <v>917</v>
      </c>
      <c r="R169" s="13">
        <v>905</v>
      </c>
      <c r="S169" s="13">
        <v>900</v>
      </c>
      <c r="T169" s="13">
        <v>910</v>
      </c>
      <c r="U169" s="13">
        <v>910</v>
      </c>
      <c r="V169" s="13">
        <v>909</v>
      </c>
      <c r="W169" s="13">
        <v>914</v>
      </c>
      <c r="X169" s="13">
        <v>920</v>
      </c>
      <c r="Y169" s="13">
        <v>906</v>
      </c>
      <c r="Z169" s="13">
        <v>894</v>
      </c>
      <c r="AA169" s="13">
        <v>878</v>
      </c>
      <c r="AB169" s="13">
        <v>877</v>
      </c>
      <c r="AC169" s="13">
        <v>879</v>
      </c>
      <c r="AD169" s="13">
        <v>864</v>
      </c>
      <c r="AE169" s="13">
        <v>868</v>
      </c>
      <c r="AF169" s="13">
        <v>854</v>
      </c>
      <c r="AG169" s="13">
        <v>869</v>
      </c>
      <c r="AH169" s="13">
        <v>883</v>
      </c>
      <c r="AI169" s="13">
        <v>869</v>
      </c>
      <c r="AJ169" s="13">
        <v>868</v>
      </c>
      <c r="AK169" s="13">
        <v>873</v>
      </c>
      <c r="AL169" s="13">
        <v>872</v>
      </c>
      <c r="AM169" s="13">
        <v>886</v>
      </c>
      <c r="AN169" s="13">
        <v>871</v>
      </c>
      <c r="AO169" s="13">
        <v>858</v>
      </c>
      <c r="AP169" s="13">
        <v>868</v>
      </c>
      <c r="AQ169" s="13">
        <v>880</v>
      </c>
      <c r="AR169" s="13">
        <v>879</v>
      </c>
      <c r="AS169" s="13">
        <v>882</v>
      </c>
      <c r="AT169" s="13">
        <v>885</v>
      </c>
      <c r="AU169" s="13">
        <v>878</v>
      </c>
      <c r="AV169" s="13">
        <v>880</v>
      </c>
      <c r="AW169" s="13">
        <v>887</v>
      </c>
      <c r="AX169" s="13">
        <v>886</v>
      </c>
      <c r="AY169" s="13">
        <v>907</v>
      </c>
      <c r="AZ169" s="13">
        <v>902</v>
      </c>
      <c r="BA169" s="13">
        <v>890</v>
      </c>
      <c r="BB169" s="13">
        <v>893</v>
      </c>
      <c r="BC169" s="13">
        <v>909</v>
      </c>
      <c r="BD169" s="13">
        <v>889</v>
      </c>
      <c r="BE169" s="13">
        <v>897</v>
      </c>
      <c r="BF169" s="13">
        <v>902</v>
      </c>
      <c r="BG169" s="13">
        <v>897</v>
      </c>
      <c r="BH169" s="13">
        <v>879</v>
      </c>
      <c r="BI169" s="13">
        <v>885</v>
      </c>
      <c r="BJ169" s="13">
        <v>895</v>
      </c>
      <c r="BK169" s="13">
        <v>903</v>
      </c>
      <c r="BL169" s="13">
        <v>854</v>
      </c>
      <c r="BM169" s="4">
        <v>830</v>
      </c>
      <c r="BN169" s="4">
        <v>773</v>
      </c>
      <c r="BO169" s="4">
        <v>765</v>
      </c>
      <c r="BP169" s="4">
        <v>773</v>
      </c>
      <c r="BQ169" s="4">
        <v>767</v>
      </c>
      <c r="BR169" s="4">
        <v>773</v>
      </c>
      <c r="BS169" s="4">
        <v>773</v>
      </c>
      <c r="BT169" s="4">
        <v>778</v>
      </c>
      <c r="BU169" s="4">
        <v>782</v>
      </c>
      <c r="BV169" s="4">
        <v>783</v>
      </c>
      <c r="BW169" s="4">
        <v>774</v>
      </c>
      <c r="BX169" s="4">
        <v>780</v>
      </c>
      <c r="BY169" s="4">
        <v>785</v>
      </c>
      <c r="BZ169" s="4">
        <v>795</v>
      </c>
    </row>
    <row r="170" spans="1:78" ht="15.9" customHeight="1">
      <c r="A170" s="61" t="s">
        <v>334</v>
      </c>
      <c r="B170" s="6" t="s">
        <v>335</v>
      </c>
      <c r="C170" s="15">
        <f>_xll.RssMarket("4709","現在値")</f>
        <v>1013</v>
      </c>
      <c r="D170" s="16">
        <f t="shared" si="5"/>
        <v>6</v>
      </c>
      <c r="E170" s="13">
        <v>1007</v>
      </c>
      <c r="F170" s="13">
        <v>1034</v>
      </c>
      <c r="G170" s="13">
        <v>1022</v>
      </c>
      <c r="H170" s="13">
        <v>1148</v>
      </c>
      <c r="I170" s="13">
        <v>1156</v>
      </c>
      <c r="J170" s="13">
        <v>1131</v>
      </c>
      <c r="K170" s="13">
        <v>1128</v>
      </c>
      <c r="L170" s="13">
        <v>1109</v>
      </c>
      <c r="M170" s="13">
        <v>1106</v>
      </c>
      <c r="N170" s="13">
        <v>1104</v>
      </c>
      <c r="O170" s="13">
        <v>1107</v>
      </c>
      <c r="P170" s="13">
        <v>1115</v>
      </c>
      <c r="Q170" s="13">
        <v>1127</v>
      </c>
      <c r="R170" s="13">
        <v>1109</v>
      </c>
      <c r="S170" s="13">
        <v>1106</v>
      </c>
      <c r="T170" s="13">
        <v>1107</v>
      </c>
      <c r="U170" s="13">
        <v>1091</v>
      </c>
      <c r="V170" s="13">
        <v>1103</v>
      </c>
      <c r="W170" s="13">
        <v>1090</v>
      </c>
      <c r="X170" s="13">
        <v>1070</v>
      </c>
      <c r="Y170" s="13">
        <v>1074</v>
      </c>
      <c r="Z170" s="13">
        <v>1061</v>
      </c>
      <c r="AA170" s="13">
        <v>1055</v>
      </c>
      <c r="AB170" s="13">
        <v>1071</v>
      </c>
      <c r="AC170" s="13">
        <v>1070</v>
      </c>
      <c r="AD170" s="13">
        <v>1059</v>
      </c>
      <c r="AE170" s="13">
        <v>1050</v>
      </c>
      <c r="AF170" s="13">
        <v>1037</v>
      </c>
      <c r="AG170" s="13">
        <v>1044</v>
      </c>
      <c r="AH170" s="13">
        <v>1057</v>
      </c>
      <c r="AI170" s="13">
        <v>1056</v>
      </c>
      <c r="AJ170" s="13">
        <v>1068</v>
      </c>
      <c r="AK170" s="13">
        <v>1092</v>
      </c>
      <c r="AL170" s="13">
        <v>1110</v>
      </c>
      <c r="AM170" s="13">
        <v>1067</v>
      </c>
      <c r="AN170" s="13">
        <v>1060</v>
      </c>
      <c r="AO170" s="13">
        <v>1059</v>
      </c>
      <c r="AP170" s="13">
        <v>1084</v>
      </c>
      <c r="AQ170" s="13">
        <v>1022</v>
      </c>
      <c r="AR170" s="13">
        <v>1003</v>
      </c>
      <c r="AS170" s="13">
        <v>989</v>
      </c>
      <c r="AT170" s="13">
        <v>1004</v>
      </c>
      <c r="AU170" s="13">
        <v>1024</v>
      </c>
      <c r="AV170" s="13">
        <v>1037</v>
      </c>
      <c r="AW170" s="13">
        <v>1020</v>
      </c>
      <c r="AX170" s="13">
        <v>1001</v>
      </c>
      <c r="AY170" s="13">
        <v>1033</v>
      </c>
      <c r="AZ170" s="13">
        <v>1045</v>
      </c>
      <c r="BA170" s="13">
        <v>1049</v>
      </c>
      <c r="BB170" s="13">
        <v>1037</v>
      </c>
      <c r="BC170" s="13">
        <v>1052</v>
      </c>
      <c r="BD170" s="13">
        <v>1016</v>
      </c>
      <c r="BE170" s="13">
        <v>1031</v>
      </c>
      <c r="BF170" s="13">
        <v>1015</v>
      </c>
      <c r="BG170" s="13">
        <v>1066</v>
      </c>
      <c r="BH170" s="13">
        <v>1072</v>
      </c>
      <c r="BI170" s="13">
        <v>1071</v>
      </c>
      <c r="BJ170" s="13">
        <v>1017</v>
      </c>
      <c r="BK170" s="13">
        <v>1035</v>
      </c>
      <c r="BL170" s="13">
        <v>1031</v>
      </c>
      <c r="BM170" s="4">
        <v>1005</v>
      </c>
      <c r="BN170" s="4">
        <v>902</v>
      </c>
      <c r="BO170" s="4">
        <v>896</v>
      </c>
      <c r="BP170" s="4">
        <v>886</v>
      </c>
      <c r="BQ170" s="4">
        <v>892</v>
      </c>
      <c r="BR170" s="4">
        <v>912</v>
      </c>
      <c r="BS170" s="4">
        <v>921</v>
      </c>
      <c r="BT170" s="4">
        <v>920</v>
      </c>
      <c r="BU170" s="4">
        <v>936</v>
      </c>
      <c r="BV170" s="4">
        <v>938</v>
      </c>
      <c r="BW170" s="4">
        <v>933</v>
      </c>
      <c r="BX170" s="4">
        <v>914</v>
      </c>
      <c r="BY170" s="4">
        <v>915</v>
      </c>
      <c r="BZ170" s="4">
        <v>927</v>
      </c>
    </row>
    <row r="171" spans="1:78" ht="15.9" customHeight="1">
      <c r="A171" s="61" t="s">
        <v>336</v>
      </c>
      <c r="B171" s="6" t="s">
        <v>337</v>
      </c>
      <c r="C171" s="15">
        <f>_xll.RssMarket("7981","現在値")</f>
        <v>3005</v>
      </c>
      <c r="D171" s="16">
        <f t="shared" si="5"/>
        <v>15</v>
      </c>
      <c r="E171" s="13">
        <v>2990</v>
      </c>
      <c r="F171" s="13">
        <v>2995</v>
      </c>
      <c r="G171" s="13">
        <v>3020</v>
      </c>
      <c r="H171" s="13">
        <v>3035</v>
      </c>
      <c r="I171" s="13">
        <v>3280</v>
      </c>
      <c r="J171" s="13">
        <v>3270</v>
      </c>
      <c r="K171" s="13">
        <v>3240</v>
      </c>
      <c r="L171" s="13">
        <v>3135</v>
      </c>
      <c r="M171" s="13">
        <v>3085</v>
      </c>
      <c r="N171" s="13">
        <v>3100</v>
      </c>
      <c r="O171" s="13">
        <v>3085</v>
      </c>
      <c r="P171" s="13">
        <v>3055</v>
      </c>
      <c r="Q171" s="13">
        <v>3125</v>
      </c>
      <c r="R171" s="13">
        <v>3090</v>
      </c>
      <c r="S171" s="13">
        <v>3050</v>
      </c>
      <c r="T171" s="13">
        <v>3055</v>
      </c>
      <c r="U171" s="13">
        <v>3055</v>
      </c>
      <c r="V171" s="13">
        <v>3080</v>
      </c>
      <c r="W171" s="13">
        <v>3125</v>
      </c>
      <c r="X171" s="13">
        <v>3115</v>
      </c>
      <c r="Y171" s="13">
        <v>3095</v>
      </c>
      <c r="Z171" s="13">
        <v>3075</v>
      </c>
      <c r="AA171" s="13">
        <v>3050</v>
      </c>
      <c r="AB171" s="13">
        <v>3100</v>
      </c>
      <c r="AC171" s="13">
        <v>3080</v>
      </c>
      <c r="AD171" s="13">
        <v>3100</v>
      </c>
      <c r="AE171" s="13">
        <v>3135</v>
      </c>
      <c r="AF171" s="13">
        <v>3070</v>
      </c>
      <c r="AG171" s="13">
        <v>3070</v>
      </c>
      <c r="AH171" s="13">
        <v>3050</v>
      </c>
      <c r="AI171" s="13">
        <v>3030</v>
      </c>
      <c r="AJ171" s="13">
        <v>3015</v>
      </c>
      <c r="AK171" s="13">
        <v>3000</v>
      </c>
      <c r="AL171" s="13">
        <v>3000</v>
      </c>
      <c r="AM171" s="13">
        <v>3035</v>
      </c>
      <c r="AN171" s="13">
        <v>2967</v>
      </c>
      <c r="AO171" s="13">
        <v>2961</v>
      </c>
      <c r="AP171" s="13">
        <v>2944</v>
      </c>
      <c r="AQ171" s="13">
        <v>2941</v>
      </c>
      <c r="AR171" s="13">
        <v>2967</v>
      </c>
      <c r="AS171" s="13">
        <v>2944</v>
      </c>
      <c r="AT171" s="13">
        <v>2942</v>
      </c>
      <c r="AU171" s="13">
        <v>2923</v>
      </c>
      <c r="AV171" s="13">
        <v>2969</v>
      </c>
      <c r="AW171" s="13">
        <v>2960</v>
      </c>
      <c r="AX171" s="13">
        <v>2952</v>
      </c>
      <c r="AY171" s="13">
        <v>2990</v>
      </c>
      <c r="AZ171" s="13">
        <v>2912</v>
      </c>
      <c r="BA171" s="13">
        <v>2896</v>
      </c>
      <c r="BB171" s="13">
        <v>2901</v>
      </c>
      <c r="BC171" s="13">
        <v>2947</v>
      </c>
      <c r="BD171" s="13">
        <v>2908</v>
      </c>
      <c r="BE171" s="13">
        <v>2990</v>
      </c>
      <c r="BF171" s="13">
        <v>3005</v>
      </c>
      <c r="BG171" s="13">
        <v>2995</v>
      </c>
      <c r="BH171" s="13">
        <v>3025</v>
      </c>
      <c r="BI171" s="13">
        <v>3095</v>
      </c>
      <c r="BJ171" s="13">
        <v>3050</v>
      </c>
      <c r="BK171" s="13">
        <v>3210</v>
      </c>
      <c r="BL171" s="13">
        <v>3070</v>
      </c>
      <c r="BM171" s="4">
        <v>2964</v>
      </c>
      <c r="BN171" s="4">
        <v>2820</v>
      </c>
      <c r="BO171" s="4">
        <v>2747</v>
      </c>
      <c r="BP171" s="4">
        <v>2648</v>
      </c>
      <c r="BQ171" s="4">
        <v>2660</v>
      </c>
      <c r="BR171" s="4">
        <v>2657</v>
      </c>
      <c r="BS171" s="4">
        <v>2675</v>
      </c>
      <c r="BT171" s="4">
        <v>2714</v>
      </c>
      <c r="BU171" s="4">
        <v>2720</v>
      </c>
      <c r="BV171" s="4">
        <v>2765</v>
      </c>
      <c r="BW171" s="4">
        <v>2719</v>
      </c>
      <c r="BX171" s="4">
        <v>2665</v>
      </c>
      <c r="BY171" s="4">
        <v>2740</v>
      </c>
      <c r="BZ171" s="4">
        <v>2932</v>
      </c>
    </row>
    <row r="172" spans="1:78" ht="15.9" customHeight="1">
      <c r="A172" s="61" t="s">
        <v>338</v>
      </c>
      <c r="B172" s="6" t="s">
        <v>339</v>
      </c>
      <c r="C172" s="15">
        <f>_xll.RssMarket("8303","現在値")</f>
        <v>1486</v>
      </c>
      <c r="D172" s="16">
        <f t="shared" si="5"/>
        <v>48</v>
      </c>
      <c r="E172" s="13">
        <v>1438</v>
      </c>
      <c r="F172" s="13">
        <v>1453</v>
      </c>
      <c r="G172" s="13">
        <v>1491</v>
      </c>
      <c r="H172" s="13">
        <v>1418</v>
      </c>
      <c r="I172" s="13">
        <v>1425.5</v>
      </c>
      <c r="J172" s="13">
        <v>1441.5</v>
      </c>
      <c r="K172" s="13">
        <v>1460</v>
      </c>
      <c r="L172" s="13">
        <v>1423.5</v>
      </c>
      <c r="M172" s="13">
        <v>1449.5</v>
      </c>
      <c r="N172" s="13">
        <v>1443</v>
      </c>
      <c r="O172" s="13">
        <v>1440.5</v>
      </c>
      <c r="P172" s="13">
        <v>1408.5</v>
      </c>
      <c r="Q172" s="13">
        <v>1472</v>
      </c>
      <c r="R172" s="13">
        <v>1450.5</v>
      </c>
      <c r="S172" s="13">
        <v>1444</v>
      </c>
      <c r="T172" s="13">
        <v>1449</v>
      </c>
      <c r="U172" s="13">
        <v>1440</v>
      </c>
      <c r="V172" s="13">
        <v>1466</v>
      </c>
      <c r="W172" s="13">
        <v>1498</v>
      </c>
      <c r="X172" s="13">
        <v>1467</v>
      </c>
      <c r="Y172" s="13">
        <v>1447.5</v>
      </c>
      <c r="Z172" s="13">
        <v>1412</v>
      </c>
      <c r="AA172" s="13">
        <v>1367</v>
      </c>
      <c r="AB172" s="13">
        <v>1380</v>
      </c>
      <c r="AC172" s="13">
        <v>1425</v>
      </c>
      <c r="AD172" s="13">
        <v>1389.5</v>
      </c>
      <c r="AE172" s="13">
        <v>1395</v>
      </c>
      <c r="AF172" s="13">
        <v>1415</v>
      </c>
      <c r="AG172" s="13">
        <v>1396</v>
      </c>
      <c r="AH172" s="13">
        <v>1422.5</v>
      </c>
      <c r="AI172" s="13">
        <v>1460</v>
      </c>
      <c r="AJ172" s="13">
        <v>1489.5</v>
      </c>
      <c r="AK172" s="13">
        <v>1445</v>
      </c>
      <c r="AL172" s="13">
        <v>1449</v>
      </c>
      <c r="AM172" s="13">
        <v>1491.5</v>
      </c>
      <c r="AN172" s="13">
        <v>1460</v>
      </c>
      <c r="AO172" s="13">
        <v>1436</v>
      </c>
      <c r="AP172" s="13">
        <v>1445</v>
      </c>
      <c r="AQ172" s="13">
        <v>1392.5</v>
      </c>
      <c r="AR172" s="13">
        <v>1396</v>
      </c>
      <c r="AS172" s="13">
        <v>1418</v>
      </c>
      <c r="AT172" s="13">
        <v>1392</v>
      </c>
      <c r="AU172" s="13">
        <v>1359</v>
      </c>
      <c r="AV172" s="13">
        <v>1398</v>
      </c>
      <c r="AW172" s="13">
        <v>1359.5</v>
      </c>
      <c r="AX172" s="13">
        <v>1380</v>
      </c>
      <c r="AY172" s="13">
        <v>1458.5</v>
      </c>
      <c r="AZ172" s="13">
        <v>1481</v>
      </c>
      <c r="BA172" s="13">
        <v>1500</v>
      </c>
      <c r="BB172" s="13">
        <v>1560</v>
      </c>
      <c r="BC172" s="13">
        <v>1588</v>
      </c>
      <c r="BD172" s="13">
        <v>1629</v>
      </c>
      <c r="BE172" s="13">
        <v>1648.5</v>
      </c>
      <c r="BF172" s="13">
        <v>1616.5</v>
      </c>
      <c r="BG172" s="13">
        <v>1656.5</v>
      </c>
      <c r="BH172" s="13">
        <v>1658.5</v>
      </c>
      <c r="BI172" s="13">
        <v>1640</v>
      </c>
      <c r="BJ172" s="13">
        <v>1676.5</v>
      </c>
      <c r="BK172" s="13">
        <v>1693</v>
      </c>
      <c r="BL172" s="13">
        <v>1717</v>
      </c>
      <c r="BM172" s="4">
        <v>1835</v>
      </c>
      <c r="BN172" s="4">
        <v>1821.5</v>
      </c>
      <c r="BO172" s="4">
        <v>1722.5</v>
      </c>
      <c r="BP172" s="4">
        <v>1686</v>
      </c>
      <c r="BQ172" s="4">
        <v>1747</v>
      </c>
      <c r="BR172" s="4">
        <v>1635</v>
      </c>
      <c r="BS172" s="4">
        <v>1658</v>
      </c>
      <c r="BT172" s="4">
        <v>1674.5</v>
      </c>
      <c r="BU172" s="4">
        <v>1687</v>
      </c>
      <c r="BV172" s="4">
        <v>1709</v>
      </c>
      <c r="BW172" s="4">
        <v>1693.5</v>
      </c>
      <c r="BX172" s="4">
        <v>1670</v>
      </c>
      <c r="BY172" s="4">
        <v>1666.5</v>
      </c>
      <c r="BZ172" s="4">
        <v>1693.5</v>
      </c>
    </row>
    <row r="173" spans="1:78" ht="15.9" customHeight="1">
      <c r="A173" s="61" t="s">
        <v>340</v>
      </c>
      <c r="B173" s="6" t="s">
        <v>341</v>
      </c>
      <c r="C173" s="15">
        <f>_xll.RssMarket("4382","現在値")</f>
        <v>714</v>
      </c>
      <c r="D173" s="16">
        <f t="shared" si="5"/>
        <v>9</v>
      </c>
      <c r="E173" s="13">
        <v>705</v>
      </c>
      <c r="F173" s="13">
        <v>705</v>
      </c>
      <c r="G173" s="13">
        <v>701</v>
      </c>
      <c r="H173" s="13">
        <v>700</v>
      </c>
      <c r="I173" s="13">
        <v>695</v>
      </c>
      <c r="J173" s="13">
        <v>697</v>
      </c>
      <c r="K173" s="13">
        <v>708</v>
      </c>
      <c r="L173" s="13"/>
      <c r="M173" s="13">
        <v>703</v>
      </c>
      <c r="N173" s="13">
        <v>702</v>
      </c>
      <c r="O173" s="13">
        <v>704</v>
      </c>
      <c r="P173" s="13">
        <v>705</v>
      </c>
      <c r="Q173" s="13">
        <v>724</v>
      </c>
      <c r="R173" s="13">
        <v>707</v>
      </c>
      <c r="S173" s="13">
        <v>692</v>
      </c>
      <c r="T173" s="13">
        <v>692</v>
      </c>
      <c r="U173" s="13">
        <v>693</v>
      </c>
      <c r="V173" s="13">
        <v>715</v>
      </c>
      <c r="W173" s="13">
        <v>719</v>
      </c>
      <c r="X173" s="13">
        <v>721</v>
      </c>
      <c r="Y173" s="13">
        <v>717</v>
      </c>
      <c r="Z173" s="13">
        <v>713</v>
      </c>
      <c r="AA173" s="13">
        <v>718</v>
      </c>
      <c r="AB173" s="13">
        <v>718</v>
      </c>
      <c r="AC173" s="13">
        <v>754</v>
      </c>
      <c r="AD173" s="13">
        <v>713</v>
      </c>
      <c r="AE173" s="13">
        <v>717</v>
      </c>
      <c r="AF173" s="13">
        <v>710</v>
      </c>
      <c r="AG173" s="13">
        <v>713</v>
      </c>
      <c r="AH173" s="13">
        <v>731</v>
      </c>
      <c r="AI173" s="13">
        <v>728</v>
      </c>
      <c r="AJ173" s="13">
        <v>771</v>
      </c>
      <c r="AK173" s="13">
        <v>787</v>
      </c>
      <c r="AL173" s="13">
        <v>792</v>
      </c>
      <c r="AM173" s="13">
        <v>788</v>
      </c>
      <c r="AN173" s="13">
        <v>803</v>
      </c>
      <c r="AO173" s="13">
        <v>761</v>
      </c>
      <c r="AP173" s="13">
        <v>763</v>
      </c>
      <c r="AQ173" s="13">
        <v>707</v>
      </c>
      <c r="AR173" s="13">
        <v>720</v>
      </c>
      <c r="AS173" s="13">
        <v>698</v>
      </c>
      <c r="AT173" s="13">
        <v>700</v>
      </c>
      <c r="AU173" s="13">
        <v>701</v>
      </c>
      <c r="AV173" s="13">
        <v>715</v>
      </c>
      <c r="AW173" s="13">
        <v>718</v>
      </c>
      <c r="AX173" s="13">
        <v>749</v>
      </c>
      <c r="AY173" s="13">
        <v>756</v>
      </c>
      <c r="AZ173" s="13">
        <v>771</v>
      </c>
      <c r="BA173" s="13">
        <v>762</v>
      </c>
      <c r="BB173" s="13">
        <v>764</v>
      </c>
      <c r="BC173" s="13">
        <v>774</v>
      </c>
      <c r="BD173" s="13">
        <v>761</v>
      </c>
      <c r="BE173" s="13">
        <v>764</v>
      </c>
      <c r="BF173" s="13">
        <v>770</v>
      </c>
      <c r="BG173" s="13">
        <v>782</v>
      </c>
      <c r="BH173" s="13">
        <v>782</v>
      </c>
      <c r="BI173" s="13">
        <v>783</v>
      </c>
      <c r="BJ173" s="13">
        <v>804</v>
      </c>
      <c r="BK173" s="13">
        <v>809</v>
      </c>
      <c r="BL173" s="13">
        <v>810</v>
      </c>
      <c r="BM173" s="4">
        <v>808</v>
      </c>
      <c r="BN173" s="4">
        <v>816</v>
      </c>
      <c r="BO173" s="4">
        <v>872</v>
      </c>
      <c r="BP173" s="4">
        <v>846</v>
      </c>
      <c r="BQ173" s="4">
        <v>850</v>
      </c>
      <c r="BR173" s="4">
        <v>852</v>
      </c>
      <c r="BS173" s="4">
        <v>858</v>
      </c>
      <c r="BT173" s="4">
        <v>859</v>
      </c>
      <c r="BU173" s="4">
        <v>879</v>
      </c>
      <c r="BV173" s="4">
        <v>890</v>
      </c>
      <c r="BW173" s="4">
        <v>873</v>
      </c>
      <c r="BX173" s="4">
        <v>869</v>
      </c>
      <c r="BY173" s="4">
        <v>857</v>
      </c>
      <c r="BZ173" s="4">
        <v>850</v>
      </c>
    </row>
    <row r="174" spans="1:78" ht="15.9" customHeight="1">
      <c r="A174" s="61" t="s">
        <v>342</v>
      </c>
      <c r="B174" s="6" t="s">
        <v>343</v>
      </c>
      <c r="C174" s="15">
        <f>_xll.RssMarket("2327","現在値")</f>
        <v>3657</v>
      </c>
      <c r="D174" s="16">
        <f t="shared" si="5"/>
        <v>-39</v>
      </c>
      <c r="E174" s="13">
        <v>3696</v>
      </c>
      <c r="F174" s="13">
        <v>3726</v>
      </c>
      <c r="G174" s="13">
        <v>3915</v>
      </c>
      <c r="H174" s="13">
        <v>3931</v>
      </c>
      <c r="I174" s="13">
        <v>3985</v>
      </c>
      <c r="J174" s="13">
        <v>3928</v>
      </c>
      <c r="K174" s="13">
        <v>3904</v>
      </c>
      <c r="L174" s="13">
        <v>3800</v>
      </c>
      <c r="M174" s="13">
        <v>3720</v>
      </c>
      <c r="N174" s="13">
        <v>3777</v>
      </c>
      <c r="O174" s="13">
        <v>3856</v>
      </c>
      <c r="P174" s="13">
        <v>3837</v>
      </c>
      <c r="Q174" s="13">
        <v>3780</v>
      </c>
      <c r="R174" s="13">
        <v>3850</v>
      </c>
      <c r="S174" s="13">
        <v>3782</v>
      </c>
      <c r="T174" s="13">
        <v>3775</v>
      </c>
      <c r="U174" s="13">
        <v>3738</v>
      </c>
      <c r="V174" s="13">
        <v>3783</v>
      </c>
      <c r="W174" s="13">
        <v>3772</v>
      </c>
      <c r="X174" s="13">
        <v>3671</v>
      </c>
      <c r="Y174" s="13">
        <v>3593</v>
      </c>
      <c r="Z174" s="13">
        <v>3485</v>
      </c>
      <c r="AA174" s="13">
        <v>3319</v>
      </c>
      <c r="AB174" s="13">
        <v>3398</v>
      </c>
      <c r="AC174" s="13">
        <v>3378</v>
      </c>
      <c r="AD174" s="13">
        <v>3254</v>
      </c>
      <c r="AE174" s="13">
        <v>3214</v>
      </c>
      <c r="AF174" s="13">
        <v>3230</v>
      </c>
      <c r="AG174" s="13">
        <v>3182</v>
      </c>
      <c r="AH174" s="13">
        <v>3228</v>
      </c>
      <c r="AI174" s="13">
        <v>3194</v>
      </c>
      <c r="AJ174" s="13">
        <v>3173</v>
      </c>
      <c r="AK174" s="13">
        <v>3135</v>
      </c>
      <c r="AL174" s="13">
        <v>3120</v>
      </c>
      <c r="AM174" s="13">
        <v>3247</v>
      </c>
      <c r="AN174" s="13">
        <v>3214</v>
      </c>
      <c r="AO174" s="13">
        <v>3232</v>
      </c>
      <c r="AP174" s="13">
        <v>3256</v>
      </c>
      <c r="AQ174" s="13">
        <v>3339</v>
      </c>
      <c r="AR174" s="13">
        <v>3415</v>
      </c>
      <c r="AS174" s="13">
        <v>3433</v>
      </c>
      <c r="AT174" s="13">
        <v>3423</v>
      </c>
      <c r="AU174" s="13">
        <v>3545</v>
      </c>
      <c r="AV174" s="13">
        <v>3485</v>
      </c>
      <c r="AW174" s="13">
        <v>3511</v>
      </c>
      <c r="AX174" s="13">
        <v>3566</v>
      </c>
      <c r="AY174" s="13">
        <v>3649</v>
      </c>
      <c r="AZ174" s="13">
        <v>3576</v>
      </c>
      <c r="BA174" s="13">
        <v>3548</v>
      </c>
      <c r="BB174" s="13">
        <v>3548</v>
      </c>
      <c r="BC174" s="13">
        <v>3590</v>
      </c>
      <c r="BD174" s="13">
        <v>3522</v>
      </c>
      <c r="BE174" s="13">
        <v>3476</v>
      </c>
      <c r="BF174" s="13">
        <v>3529</v>
      </c>
      <c r="BG174" s="13">
        <v>3563</v>
      </c>
      <c r="BH174" s="13">
        <v>3709</v>
      </c>
      <c r="BI174" s="13">
        <v>3610</v>
      </c>
      <c r="BJ174" s="13">
        <v>3648</v>
      </c>
      <c r="BK174" s="13">
        <v>3590</v>
      </c>
      <c r="BL174" s="13">
        <v>3566</v>
      </c>
      <c r="BM174" s="4">
        <v>3605</v>
      </c>
      <c r="BN174" s="4">
        <v>3711</v>
      </c>
      <c r="BO174" s="4">
        <v>3584</v>
      </c>
      <c r="BP174" s="4">
        <v>3680</v>
      </c>
      <c r="BQ174" s="4">
        <v>3708</v>
      </c>
      <c r="BR174" s="4">
        <v>3903</v>
      </c>
      <c r="BS174" s="4">
        <v>3878</v>
      </c>
      <c r="BT174" s="4">
        <v>3832</v>
      </c>
      <c r="BU174" s="4">
        <v>3909</v>
      </c>
      <c r="BV174" s="4">
        <v>3862</v>
      </c>
      <c r="BW174" s="4">
        <v>3865</v>
      </c>
      <c r="BX174" s="4">
        <v>3750</v>
      </c>
      <c r="BY174" s="4">
        <v>3714</v>
      </c>
      <c r="BZ174" s="4">
        <v>3771</v>
      </c>
    </row>
    <row r="175" spans="1:78" ht="15.9" customHeight="1">
      <c r="A175" s="61" t="s">
        <v>344</v>
      </c>
      <c r="B175" s="6" t="s">
        <v>345</v>
      </c>
      <c r="C175" s="15">
        <f>_xll.RssMarket("1942","現在値")</f>
        <v>5677</v>
      </c>
      <c r="D175" s="16">
        <f t="shared" si="5"/>
        <v>162</v>
      </c>
      <c r="E175" s="13">
        <v>5515</v>
      </c>
      <c r="F175" s="13">
        <v>5323</v>
      </c>
      <c r="G175" s="13">
        <v>5368</v>
      </c>
      <c r="H175" s="13">
        <v>5488</v>
      </c>
      <c r="I175" s="13">
        <v>5596</v>
      </c>
      <c r="J175" s="13">
        <v>5905</v>
      </c>
      <c r="K175" s="13">
        <v>6085</v>
      </c>
      <c r="L175" s="13">
        <v>5974</v>
      </c>
      <c r="M175" s="13">
        <v>5988</v>
      </c>
      <c r="N175" s="13">
        <v>5959</v>
      </c>
      <c r="O175" s="13">
        <v>5939</v>
      </c>
      <c r="P175" s="13">
        <v>5845</v>
      </c>
      <c r="Q175" s="13">
        <v>6330</v>
      </c>
      <c r="R175" s="13">
        <v>6148</v>
      </c>
      <c r="S175" s="13">
        <v>6130</v>
      </c>
      <c r="T175" s="13">
        <v>6351</v>
      </c>
      <c r="U175" s="13">
        <v>6382</v>
      </c>
      <c r="V175" s="13">
        <v>6468</v>
      </c>
      <c r="W175" s="13">
        <v>6808</v>
      </c>
      <c r="X175" s="13">
        <v>6857</v>
      </c>
      <c r="Y175" s="13">
        <v>6772</v>
      </c>
      <c r="Z175" s="13">
        <v>6643</v>
      </c>
      <c r="AA175" s="13">
        <v>6726</v>
      </c>
      <c r="AB175" s="13">
        <v>6722</v>
      </c>
      <c r="AC175" s="13">
        <v>6797</v>
      </c>
      <c r="AD175" s="13">
        <v>6720</v>
      </c>
      <c r="AE175" s="13">
        <v>6673</v>
      </c>
      <c r="AF175" s="13">
        <v>6732</v>
      </c>
      <c r="AG175" s="13">
        <v>6635</v>
      </c>
      <c r="AH175" s="13">
        <v>6736</v>
      </c>
      <c r="AI175" s="13">
        <v>6829</v>
      </c>
      <c r="AJ175" s="13">
        <v>6611</v>
      </c>
      <c r="AK175" s="13">
        <v>6467</v>
      </c>
      <c r="AL175" s="13">
        <v>6237</v>
      </c>
      <c r="AM175" s="13">
        <v>6342</v>
      </c>
      <c r="AN175" s="13">
        <v>5773</v>
      </c>
      <c r="AO175" s="13">
        <v>5801</v>
      </c>
      <c r="AP175" s="13">
        <v>5935</v>
      </c>
      <c r="AQ175" s="13">
        <v>5745</v>
      </c>
      <c r="AR175" s="13">
        <v>5854</v>
      </c>
      <c r="AS175" s="13">
        <v>5786</v>
      </c>
      <c r="AT175" s="13">
        <v>5802</v>
      </c>
      <c r="AU175" s="13">
        <v>6067</v>
      </c>
      <c r="AV175" s="13">
        <v>6538</v>
      </c>
      <c r="AW175" s="13">
        <v>6568</v>
      </c>
      <c r="AX175" s="13">
        <v>6475</v>
      </c>
      <c r="AY175" s="13">
        <v>6442</v>
      </c>
      <c r="AZ175" s="13">
        <v>5966</v>
      </c>
      <c r="BA175" s="13">
        <v>6089</v>
      </c>
      <c r="BB175" s="13">
        <v>6088</v>
      </c>
      <c r="BC175" s="13">
        <v>6422</v>
      </c>
      <c r="BD175" s="13">
        <v>6470</v>
      </c>
      <c r="BE175" s="13">
        <v>6845</v>
      </c>
      <c r="BF175" s="13">
        <v>6929</v>
      </c>
      <c r="BG175" s="13">
        <v>7267</v>
      </c>
      <c r="BH175" s="13">
        <v>7346</v>
      </c>
      <c r="BI175" s="13">
        <v>7165</v>
      </c>
      <c r="BJ175" s="13">
        <v>7046</v>
      </c>
      <c r="BK175" s="13">
        <v>7025</v>
      </c>
      <c r="BL175" s="13">
        <v>6734</v>
      </c>
      <c r="BM175" s="4">
        <v>6838</v>
      </c>
      <c r="BN175" s="4">
        <v>6797</v>
      </c>
      <c r="BO175" s="4">
        <v>5982</v>
      </c>
      <c r="BP175" s="4">
        <v>6073</v>
      </c>
      <c r="BQ175" s="4">
        <v>6077</v>
      </c>
      <c r="BR175" s="4">
        <v>6052</v>
      </c>
      <c r="BS175" s="4">
        <v>6145</v>
      </c>
      <c r="BT175" s="4">
        <v>6139</v>
      </c>
      <c r="BU175" s="4">
        <v>6141</v>
      </c>
      <c r="BV175" s="4">
        <v>6188</v>
      </c>
      <c r="BW175" s="4">
        <v>6110</v>
      </c>
      <c r="BX175" s="4">
        <v>6326</v>
      </c>
      <c r="BY175" s="4">
        <v>6243</v>
      </c>
      <c r="BZ175" s="4">
        <v>6333</v>
      </c>
    </row>
    <row r="176" spans="1:78" ht="15.9" customHeight="1">
      <c r="A176" s="61" t="s">
        <v>346</v>
      </c>
      <c r="B176" s="6" t="s">
        <v>347</v>
      </c>
      <c r="C176" s="15">
        <f>_xll.RssMarket("1938","現在値")</f>
        <v>2493</v>
      </c>
      <c r="D176" s="16">
        <f t="shared" si="5"/>
        <v>56</v>
      </c>
      <c r="E176" s="13">
        <v>2437</v>
      </c>
      <c r="F176" s="13">
        <v>2389</v>
      </c>
      <c r="G176" s="13">
        <v>2422</v>
      </c>
      <c r="H176" s="13">
        <v>2404</v>
      </c>
      <c r="I176" s="13">
        <v>2399</v>
      </c>
      <c r="J176" s="13">
        <v>2448</v>
      </c>
      <c r="K176" s="13">
        <v>2529</v>
      </c>
      <c r="L176" s="13">
        <v>2506</v>
      </c>
      <c r="M176" s="13">
        <v>2517</v>
      </c>
      <c r="N176" s="13">
        <v>2516</v>
      </c>
      <c r="O176" s="13">
        <v>2507</v>
      </c>
      <c r="P176" s="13">
        <v>2460</v>
      </c>
      <c r="Q176" s="13">
        <v>2588</v>
      </c>
      <c r="R176" s="13">
        <v>2589</v>
      </c>
      <c r="S176" s="13">
        <v>2551</v>
      </c>
      <c r="T176" s="13">
        <v>2578</v>
      </c>
      <c r="U176" s="13">
        <v>2562</v>
      </c>
      <c r="V176" s="13">
        <v>2588</v>
      </c>
      <c r="W176" s="13">
        <v>2676</v>
      </c>
      <c r="X176" s="13">
        <v>2739</v>
      </c>
      <c r="Y176" s="13">
        <v>2685</v>
      </c>
      <c r="Z176" s="13">
        <v>2655</v>
      </c>
      <c r="AA176" s="13">
        <v>2668</v>
      </c>
      <c r="AB176" s="13">
        <v>2701</v>
      </c>
      <c r="AC176" s="13">
        <v>2733</v>
      </c>
      <c r="AD176" s="13">
        <v>2736</v>
      </c>
      <c r="AE176" s="13">
        <v>2704</v>
      </c>
      <c r="AF176" s="13">
        <v>2718</v>
      </c>
      <c r="AG176" s="13">
        <v>2712</v>
      </c>
      <c r="AH176" s="13">
        <v>2781</v>
      </c>
      <c r="AI176" s="13">
        <v>2796</v>
      </c>
      <c r="AJ176" s="13">
        <v>2835</v>
      </c>
      <c r="AK176" s="13">
        <v>2767</v>
      </c>
      <c r="AL176" s="13">
        <v>2758</v>
      </c>
      <c r="AM176" s="13">
        <v>2810</v>
      </c>
      <c r="AN176" s="13">
        <v>2688</v>
      </c>
      <c r="AO176" s="13">
        <v>2664</v>
      </c>
      <c r="AP176" s="13">
        <v>2744</v>
      </c>
      <c r="AQ176" s="13">
        <v>2695</v>
      </c>
      <c r="AR176" s="13">
        <v>2772</v>
      </c>
      <c r="AS176" s="13">
        <v>2763</v>
      </c>
      <c r="AT176" s="13">
        <v>2705</v>
      </c>
      <c r="AU176" s="13">
        <v>2704</v>
      </c>
      <c r="AV176" s="13">
        <v>2829</v>
      </c>
      <c r="AW176" s="13">
        <v>2779</v>
      </c>
      <c r="AX176" s="13">
        <v>2761</v>
      </c>
      <c r="AY176" s="13">
        <v>2830</v>
      </c>
      <c r="AZ176" s="13">
        <v>2637</v>
      </c>
      <c r="BA176" s="13">
        <v>2655</v>
      </c>
      <c r="BB176" s="13">
        <v>2704</v>
      </c>
      <c r="BC176" s="13">
        <v>2802</v>
      </c>
      <c r="BD176" s="13">
        <v>2849</v>
      </c>
      <c r="BE176" s="13">
        <v>2921</v>
      </c>
      <c r="BF176" s="13">
        <v>2919</v>
      </c>
      <c r="BG176" s="13">
        <v>3055</v>
      </c>
      <c r="BH176" s="13">
        <v>3045</v>
      </c>
      <c r="BI176" s="13">
        <v>3010</v>
      </c>
      <c r="BJ176" s="13">
        <v>2918</v>
      </c>
      <c r="BK176" s="13">
        <v>2924</v>
      </c>
      <c r="BL176" s="13">
        <v>2789</v>
      </c>
      <c r="BM176" s="4">
        <v>2710</v>
      </c>
      <c r="BN176" s="4">
        <v>2733</v>
      </c>
      <c r="BO176" s="4">
        <v>2543</v>
      </c>
      <c r="BP176" s="4">
        <v>2582</v>
      </c>
      <c r="BQ176" s="4">
        <v>2572</v>
      </c>
      <c r="BR176" s="4">
        <v>2510</v>
      </c>
      <c r="BS176" s="4">
        <v>2588</v>
      </c>
      <c r="BT176" s="4">
        <v>2543</v>
      </c>
      <c r="BU176" s="4">
        <v>2537</v>
      </c>
      <c r="BV176" s="4">
        <v>2610</v>
      </c>
      <c r="BW176" s="4">
        <v>2585</v>
      </c>
      <c r="BX176" s="4">
        <v>2654</v>
      </c>
      <c r="BY176" s="4">
        <v>2657</v>
      </c>
      <c r="BZ176" s="4">
        <v>2654</v>
      </c>
    </row>
    <row r="177" spans="1:78" ht="15.9" customHeight="1">
      <c r="A177" s="61" t="s">
        <v>348</v>
      </c>
      <c r="B177" s="6" t="s">
        <v>349</v>
      </c>
      <c r="C177" s="15">
        <f>_xll.RssMarket("7236","現在値")</f>
        <v>1523</v>
      </c>
      <c r="D177" s="16">
        <f t="shared" si="5"/>
        <v>1523</v>
      </c>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78" ht="15.9" customHeight="1">
      <c r="A178" s="61" t="s">
        <v>350</v>
      </c>
      <c r="B178" s="6" t="s">
        <v>351</v>
      </c>
      <c r="C178" s="15">
        <f>_xll.RssMarket("6436","現在値")</f>
        <v>3860</v>
      </c>
      <c r="D178" s="16">
        <f t="shared" si="5"/>
        <v>-19</v>
      </c>
      <c r="E178" s="13">
        <v>3879</v>
      </c>
      <c r="F178" s="13">
        <v>3933</v>
      </c>
      <c r="G178" s="13">
        <v>3874</v>
      </c>
      <c r="H178" s="13">
        <v>3912</v>
      </c>
      <c r="I178" s="13">
        <v>3895</v>
      </c>
      <c r="J178" s="13">
        <v>3766</v>
      </c>
      <c r="K178" s="13">
        <v>4039</v>
      </c>
      <c r="L178" s="13"/>
      <c r="M178" s="13">
        <v>3848</v>
      </c>
      <c r="N178" s="13">
        <v>3832</v>
      </c>
      <c r="O178" s="13">
        <v>3862</v>
      </c>
      <c r="P178" s="13">
        <v>3788</v>
      </c>
      <c r="Q178" s="13">
        <v>3777</v>
      </c>
      <c r="R178" s="13">
        <v>3749</v>
      </c>
      <c r="S178" s="13">
        <v>3723</v>
      </c>
      <c r="T178" s="13">
        <v>3747</v>
      </c>
      <c r="U178" s="13">
        <v>3746</v>
      </c>
      <c r="V178" s="13">
        <v>3720</v>
      </c>
      <c r="W178" s="13">
        <v>3740</v>
      </c>
      <c r="X178" s="13">
        <v>3745</v>
      </c>
      <c r="Y178" s="13">
        <v>3683</v>
      </c>
      <c r="Z178" s="13">
        <v>3711</v>
      </c>
      <c r="AA178" s="13">
        <v>3657</v>
      </c>
      <c r="AB178" s="13">
        <v>3640</v>
      </c>
      <c r="AC178" s="13">
        <v>3650</v>
      </c>
      <c r="AD178" s="13">
        <v>3640</v>
      </c>
      <c r="AE178" s="13">
        <v>3608</v>
      </c>
      <c r="AF178" s="13">
        <v>3585</v>
      </c>
      <c r="AG178" s="13">
        <v>3586</v>
      </c>
      <c r="AH178" s="13">
        <v>3597</v>
      </c>
      <c r="AI178" s="13">
        <v>3577</v>
      </c>
      <c r="AJ178" s="13">
        <v>3574</v>
      </c>
      <c r="AK178" s="13">
        <v>3565</v>
      </c>
      <c r="AL178" s="13">
        <v>3563</v>
      </c>
      <c r="AM178" s="13">
        <v>3577</v>
      </c>
      <c r="AN178" s="13">
        <v>3588</v>
      </c>
      <c r="AO178" s="13">
        <v>3597</v>
      </c>
      <c r="AP178" s="13">
        <v>3632</v>
      </c>
      <c r="AQ178" s="13">
        <v>3562</v>
      </c>
      <c r="AR178" s="13">
        <v>3530</v>
      </c>
      <c r="AS178" s="13">
        <v>3512</v>
      </c>
      <c r="AT178" s="13">
        <v>3533</v>
      </c>
      <c r="AU178" s="13">
        <v>3532</v>
      </c>
      <c r="AV178" s="13">
        <v>3574</v>
      </c>
      <c r="AW178" s="13">
        <v>3568</v>
      </c>
      <c r="AX178" s="13">
        <v>3553</v>
      </c>
      <c r="AY178" s="13">
        <v>3594</v>
      </c>
      <c r="AZ178" s="13">
        <v>3622</v>
      </c>
      <c r="BA178" s="13">
        <v>3634</v>
      </c>
      <c r="BB178" s="13">
        <v>3639</v>
      </c>
      <c r="BC178" s="13">
        <v>3695</v>
      </c>
      <c r="BD178" s="13">
        <v>3631</v>
      </c>
      <c r="BE178" s="13">
        <v>3671</v>
      </c>
      <c r="BF178" s="13">
        <v>3672</v>
      </c>
      <c r="BG178" s="13">
        <v>3647</v>
      </c>
      <c r="BH178" s="13">
        <v>3678</v>
      </c>
      <c r="BI178" s="13">
        <v>3688</v>
      </c>
      <c r="BJ178" s="13">
        <v>3676</v>
      </c>
      <c r="BK178" s="13">
        <v>3621</v>
      </c>
      <c r="BL178" s="13">
        <v>3573</v>
      </c>
      <c r="BM178" s="4">
        <v>3583</v>
      </c>
      <c r="BN178" s="4">
        <v>3706</v>
      </c>
      <c r="BO178" s="4">
        <v>3637</v>
      </c>
      <c r="BP178" s="4">
        <v>3795</v>
      </c>
      <c r="BQ178" s="4">
        <v>3840</v>
      </c>
      <c r="BR178" s="4">
        <v>3846</v>
      </c>
      <c r="BS178" s="4">
        <v>3841</v>
      </c>
      <c r="BT178" s="4">
        <v>3876</v>
      </c>
      <c r="BU178" s="4">
        <v>3914</v>
      </c>
      <c r="BV178" s="4">
        <v>3883</v>
      </c>
      <c r="BW178" s="4">
        <v>3850</v>
      </c>
      <c r="BX178" s="4">
        <v>3863</v>
      </c>
      <c r="BY178" s="4">
        <v>3887</v>
      </c>
      <c r="BZ178" s="4">
        <v>3885</v>
      </c>
    </row>
    <row r="179" spans="1:78" ht="15.9" customHeight="1">
      <c r="A179" s="61" t="s">
        <v>352</v>
      </c>
      <c r="B179" s="6" t="s">
        <v>353</v>
      </c>
      <c r="C179" s="15">
        <f>_xll.RssMarket("5410","現在値")</f>
        <v>2839</v>
      </c>
      <c r="D179" s="16">
        <f t="shared" si="5"/>
        <v>11</v>
      </c>
      <c r="E179" s="13">
        <v>2828</v>
      </c>
      <c r="F179" s="13">
        <v>2872</v>
      </c>
      <c r="G179" s="13">
        <v>2840</v>
      </c>
      <c r="H179" s="13">
        <v>2892</v>
      </c>
      <c r="I179" s="13">
        <v>2949</v>
      </c>
      <c r="J179" s="13">
        <v>2841</v>
      </c>
      <c r="K179" s="13">
        <v>2823</v>
      </c>
      <c r="L179" s="13">
        <v>2775</v>
      </c>
      <c r="M179" s="13">
        <v>2775</v>
      </c>
      <c r="N179" s="13">
        <v>2728</v>
      </c>
      <c r="O179" s="13">
        <v>2718</v>
      </c>
      <c r="P179" s="13">
        <v>2673</v>
      </c>
      <c r="Q179" s="13">
        <v>2693</v>
      </c>
      <c r="R179" s="13">
        <v>2681</v>
      </c>
      <c r="S179" s="13">
        <v>2692</v>
      </c>
      <c r="T179" s="13">
        <v>2693</v>
      </c>
      <c r="U179" s="13">
        <v>2671</v>
      </c>
      <c r="V179" s="13">
        <v>2675</v>
      </c>
      <c r="W179" s="13">
        <v>2699</v>
      </c>
      <c r="X179" s="13">
        <v>2667</v>
      </c>
      <c r="Y179" s="13">
        <v>2659</v>
      </c>
      <c r="Z179" s="13">
        <v>2606</v>
      </c>
      <c r="AA179" s="13">
        <v>2545</v>
      </c>
      <c r="AB179" s="13">
        <v>2577</v>
      </c>
      <c r="AC179" s="13">
        <v>2622</v>
      </c>
      <c r="AD179" s="13">
        <v>2592</v>
      </c>
      <c r="AE179" s="13">
        <v>2567</v>
      </c>
      <c r="AF179" s="13">
        <v>2577</v>
      </c>
      <c r="AG179" s="13">
        <v>2590</v>
      </c>
      <c r="AH179" s="13">
        <v>2591</v>
      </c>
      <c r="AI179" s="13">
        <v>2607</v>
      </c>
      <c r="AJ179" s="13">
        <v>2605</v>
      </c>
      <c r="AK179" s="13">
        <v>2617</v>
      </c>
      <c r="AL179" s="13">
        <v>2594</v>
      </c>
      <c r="AM179" s="13">
        <v>2637</v>
      </c>
      <c r="AN179" s="13">
        <v>2602</v>
      </c>
      <c r="AO179" s="13">
        <v>2533</v>
      </c>
      <c r="AP179" s="13">
        <v>2553</v>
      </c>
      <c r="AQ179" s="13">
        <v>2530</v>
      </c>
      <c r="AR179" s="13">
        <v>2566</v>
      </c>
      <c r="AS179" s="13">
        <v>2551</v>
      </c>
      <c r="AT179" s="13">
        <v>2581</v>
      </c>
      <c r="AU179" s="13">
        <v>2567</v>
      </c>
      <c r="AV179" s="13">
        <v>2747</v>
      </c>
      <c r="AW179" s="13">
        <v>2704</v>
      </c>
      <c r="AX179" s="13">
        <v>2705</v>
      </c>
      <c r="AY179" s="13">
        <v>2658</v>
      </c>
      <c r="AZ179" s="13">
        <v>2682</v>
      </c>
      <c r="BA179" s="13">
        <v>2713</v>
      </c>
      <c r="BB179" s="13">
        <v>2675</v>
      </c>
      <c r="BC179" s="13">
        <v>2780</v>
      </c>
      <c r="BD179" s="13">
        <v>2762</v>
      </c>
      <c r="BE179" s="13">
        <v>2839</v>
      </c>
      <c r="BF179" s="13">
        <v>2852</v>
      </c>
      <c r="BG179" s="13">
        <v>2824</v>
      </c>
      <c r="BH179" s="13">
        <v>2852</v>
      </c>
      <c r="BI179" s="13">
        <v>2849</v>
      </c>
      <c r="BJ179" s="13">
        <v>2886</v>
      </c>
      <c r="BK179" s="13">
        <v>2881</v>
      </c>
      <c r="BL179" s="13">
        <v>2883</v>
      </c>
      <c r="BM179" s="4">
        <v>2845</v>
      </c>
      <c r="BN179" s="4">
        <v>2929</v>
      </c>
      <c r="BO179" s="4">
        <v>3040</v>
      </c>
      <c r="BP179" s="4">
        <v>3410</v>
      </c>
      <c r="BQ179" s="4">
        <v>3460</v>
      </c>
      <c r="BR179" s="4">
        <v>3475</v>
      </c>
      <c r="BS179" s="4">
        <v>3535</v>
      </c>
      <c r="BT179" s="4">
        <v>3540</v>
      </c>
      <c r="BU179" s="4">
        <v>3555</v>
      </c>
      <c r="BV179" s="4">
        <v>3570</v>
      </c>
      <c r="BW179" s="4">
        <v>3560</v>
      </c>
      <c r="BX179" s="4">
        <v>3565</v>
      </c>
      <c r="BY179" s="4">
        <v>3545</v>
      </c>
      <c r="BZ179" s="4">
        <v>3580</v>
      </c>
    </row>
    <row r="180" spans="1:78" ht="15.9" customHeight="1">
      <c r="A180" s="61" t="s">
        <v>354</v>
      </c>
      <c r="B180" s="6" t="s">
        <v>355</v>
      </c>
      <c r="C180" s="15">
        <f>_xll.RssMarket("5440","現在値")</f>
        <v>1860</v>
      </c>
      <c r="D180" s="16">
        <f t="shared" si="5"/>
        <v>-5</v>
      </c>
      <c r="E180" s="13">
        <v>1865</v>
      </c>
      <c r="F180" s="13">
        <v>1876</v>
      </c>
      <c r="G180" s="13">
        <v>1942</v>
      </c>
      <c r="H180" s="13">
        <v>2018</v>
      </c>
      <c r="I180" s="13">
        <v>1992</v>
      </c>
      <c r="J180" s="13">
        <v>1935</v>
      </c>
      <c r="K180" s="13">
        <v>1930</v>
      </c>
      <c r="L180" s="13"/>
      <c r="M180" s="13">
        <v>1895</v>
      </c>
      <c r="N180" s="13">
        <v>1884</v>
      </c>
      <c r="O180" s="13">
        <v>1880</v>
      </c>
      <c r="P180" s="13">
        <v>1838</v>
      </c>
      <c r="Q180" s="13">
        <v>1844</v>
      </c>
      <c r="R180" s="13">
        <v>1832</v>
      </c>
      <c r="S180" s="13">
        <v>1799</v>
      </c>
      <c r="T180" s="13">
        <v>1807</v>
      </c>
      <c r="U180" s="13">
        <v>1794</v>
      </c>
      <c r="V180" s="13">
        <v>1803</v>
      </c>
      <c r="W180" s="13">
        <v>1808</v>
      </c>
      <c r="X180" s="13">
        <v>1798</v>
      </c>
      <c r="Y180" s="13">
        <v>1781</v>
      </c>
      <c r="Z180" s="13">
        <v>1758</v>
      </c>
      <c r="AA180" s="13">
        <v>1719</v>
      </c>
      <c r="AB180" s="13">
        <v>1740</v>
      </c>
      <c r="AC180" s="13">
        <v>1747</v>
      </c>
      <c r="AD180" s="13">
        <v>1740</v>
      </c>
      <c r="AE180" s="13">
        <v>1707</v>
      </c>
      <c r="AF180" s="13">
        <v>1707</v>
      </c>
      <c r="AG180" s="13">
        <v>1716</v>
      </c>
      <c r="AH180" s="13">
        <v>1753</v>
      </c>
      <c r="AI180" s="13">
        <v>1767</v>
      </c>
      <c r="AJ180" s="13">
        <v>1750</v>
      </c>
      <c r="AK180" s="13">
        <v>1755</v>
      </c>
      <c r="AL180" s="13">
        <v>1753</v>
      </c>
      <c r="AM180" s="13">
        <v>1782</v>
      </c>
      <c r="AN180" s="13">
        <v>1760</v>
      </c>
      <c r="AO180" s="13">
        <v>1716</v>
      </c>
      <c r="AP180" s="13">
        <v>1717</v>
      </c>
      <c r="AQ180" s="13">
        <v>1731</v>
      </c>
      <c r="AR180" s="13">
        <v>1748</v>
      </c>
      <c r="AS180" s="13">
        <v>1738</v>
      </c>
      <c r="AT180" s="13">
        <v>1753</v>
      </c>
      <c r="AU180" s="13">
        <v>1734</v>
      </c>
      <c r="AV180" s="13">
        <v>1815</v>
      </c>
      <c r="AW180" s="13">
        <v>1820</v>
      </c>
      <c r="AX180" s="13">
        <v>1829</v>
      </c>
      <c r="AY180" s="13">
        <v>1848</v>
      </c>
      <c r="AZ180" s="13">
        <v>1853</v>
      </c>
      <c r="BA180" s="13">
        <v>1841</v>
      </c>
      <c r="BB180" s="13">
        <v>1814</v>
      </c>
      <c r="BC180" s="13">
        <v>1833</v>
      </c>
      <c r="BD180" s="13">
        <v>1819</v>
      </c>
      <c r="BE180" s="13">
        <v>1865</v>
      </c>
      <c r="BF180" s="13">
        <v>1878</v>
      </c>
      <c r="BG180" s="13">
        <v>1824</v>
      </c>
      <c r="BH180" s="13">
        <v>1823</v>
      </c>
      <c r="BI180" s="13">
        <v>1831</v>
      </c>
      <c r="BJ180" s="13">
        <v>1825</v>
      </c>
      <c r="BK180" s="13">
        <v>1826</v>
      </c>
      <c r="BL180" s="13">
        <v>1827</v>
      </c>
      <c r="BM180" s="4">
        <v>1899</v>
      </c>
      <c r="BN180" s="4">
        <v>2185</v>
      </c>
      <c r="BO180" s="4">
        <v>2189</v>
      </c>
      <c r="BP180" s="4">
        <v>2229</v>
      </c>
      <c r="BQ180" s="4">
        <v>2238</v>
      </c>
      <c r="BR180" s="4">
        <v>2258</v>
      </c>
      <c r="BS180" s="4">
        <v>2274</v>
      </c>
      <c r="BT180" s="4">
        <v>2307</v>
      </c>
      <c r="BU180" s="4">
        <v>2288</v>
      </c>
      <c r="BV180" s="4">
        <v>2320</v>
      </c>
      <c r="BW180" s="4">
        <v>2332</v>
      </c>
      <c r="BX180" s="4">
        <v>2345</v>
      </c>
      <c r="BY180" s="4">
        <v>2339</v>
      </c>
      <c r="BZ180" s="4">
        <v>2363</v>
      </c>
    </row>
    <row r="181" spans="1:78" ht="15.9" customHeight="1">
      <c r="A181" s="61" t="s">
        <v>356</v>
      </c>
      <c r="B181" s="6" t="s">
        <v>357</v>
      </c>
      <c r="C181" s="15">
        <f>_xll.RssMarket("9505","現在値")</f>
        <v>916.6</v>
      </c>
      <c r="D181" s="16">
        <f t="shared" si="5"/>
        <v>-15.299999999999955</v>
      </c>
      <c r="E181" s="13">
        <v>931.9</v>
      </c>
      <c r="F181" s="13">
        <v>940</v>
      </c>
      <c r="G181" s="13">
        <v>961.5</v>
      </c>
      <c r="H181" s="13">
        <v>983.7</v>
      </c>
      <c r="I181" s="13">
        <v>990.8</v>
      </c>
      <c r="J181" s="13">
        <v>955.2</v>
      </c>
      <c r="K181" s="13">
        <v>966.5</v>
      </c>
      <c r="L181" s="13">
        <v>935.2</v>
      </c>
      <c r="M181" s="13">
        <v>951.2</v>
      </c>
      <c r="N181" s="13">
        <v>939.7</v>
      </c>
      <c r="O181" s="13">
        <v>937.6</v>
      </c>
      <c r="P181" s="13">
        <v>909.4</v>
      </c>
      <c r="Q181" s="13">
        <v>910.4</v>
      </c>
      <c r="R181" s="13">
        <v>902.2</v>
      </c>
      <c r="S181" s="13">
        <v>883.2</v>
      </c>
      <c r="T181" s="13">
        <v>900.4</v>
      </c>
      <c r="U181" s="13">
        <v>913.3</v>
      </c>
      <c r="V181" s="13">
        <v>915.6</v>
      </c>
      <c r="W181" s="13">
        <v>909.3</v>
      </c>
      <c r="X181" s="13">
        <v>917.9</v>
      </c>
      <c r="Y181" s="13">
        <v>886</v>
      </c>
      <c r="Z181" s="13">
        <v>884.4</v>
      </c>
      <c r="AA181" s="13">
        <v>875</v>
      </c>
      <c r="AB181" s="13">
        <v>869.1</v>
      </c>
      <c r="AC181" s="13">
        <v>878</v>
      </c>
      <c r="AD181" s="13">
        <v>868.6</v>
      </c>
      <c r="AE181" s="13">
        <v>866.6</v>
      </c>
      <c r="AF181" s="13">
        <v>852.4</v>
      </c>
      <c r="AG181" s="13">
        <v>847.9</v>
      </c>
      <c r="AH181" s="13">
        <v>845.8</v>
      </c>
      <c r="AI181" s="13">
        <v>844.5</v>
      </c>
      <c r="AJ181" s="13">
        <v>843.4</v>
      </c>
      <c r="AK181" s="13">
        <v>850</v>
      </c>
      <c r="AL181" s="13">
        <v>851.7</v>
      </c>
      <c r="AM181" s="13">
        <v>887.9</v>
      </c>
      <c r="AN181" s="13">
        <v>864.2</v>
      </c>
      <c r="AO181" s="13">
        <v>853.5</v>
      </c>
      <c r="AP181" s="13">
        <v>857.8</v>
      </c>
      <c r="AQ181" s="13">
        <v>833.3</v>
      </c>
      <c r="AR181" s="13">
        <v>820.6</v>
      </c>
      <c r="AS181" s="13">
        <v>799.7</v>
      </c>
      <c r="AT181" s="13">
        <v>813.3</v>
      </c>
      <c r="AU181" s="13">
        <v>807.6</v>
      </c>
      <c r="AV181" s="13">
        <v>834.5</v>
      </c>
      <c r="AW181" s="13">
        <v>840.3</v>
      </c>
      <c r="AX181" s="13">
        <v>857.3</v>
      </c>
      <c r="AY181" s="13">
        <v>849</v>
      </c>
      <c r="AZ181" s="13">
        <v>860.6</v>
      </c>
      <c r="BA181" s="13">
        <v>872</v>
      </c>
      <c r="BB181" s="13">
        <v>863.6</v>
      </c>
      <c r="BC181" s="13">
        <v>878.9</v>
      </c>
      <c r="BD181" s="13">
        <v>866.4</v>
      </c>
      <c r="BE181" s="13">
        <v>907.2</v>
      </c>
      <c r="BF181" s="13">
        <v>915.1</v>
      </c>
      <c r="BG181" s="13">
        <v>908.1</v>
      </c>
      <c r="BH181" s="13">
        <v>918.3</v>
      </c>
      <c r="BI181" s="13">
        <v>904</v>
      </c>
      <c r="BJ181" s="13">
        <v>887.4</v>
      </c>
      <c r="BK181" s="13">
        <v>894.3</v>
      </c>
      <c r="BL181" s="13">
        <v>864.9</v>
      </c>
      <c r="BM181" s="4">
        <v>872.8</v>
      </c>
      <c r="BN181" s="4">
        <v>1005</v>
      </c>
      <c r="BO181" s="4">
        <v>988.6</v>
      </c>
      <c r="BP181" s="4">
        <v>993.7</v>
      </c>
      <c r="BQ181" s="4">
        <v>989.3</v>
      </c>
      <c r="BR181" s="4">
        <v>1001</v>
      </c>
      <c r="BS181" s="4">
        <v>1010.5</v>
      </c>
      <c r="BT181" s="4">
        <v>1031</v>
      </c>
      <c r="BU181" s="4">
        <v>1058.5</v>
      </c>
      <c r="BV181" s="4">
        <v>1083</v>
      </c>
      <c r="BW181" s="4">
        <v>1080</v>
      </c>
      <c r="BX181" s="4">
        <v>1076</v>
      </c>
      <c r="BY181" s="4">
        <v>1094</v>
      </c>
      <c r="BZ181" s="4">
        <v>1105</v>
      </c>
    </row>
    <row r="182" spans="1:78" ht="15.9" customHeight="1">
      <c r="A182" s="61" t="s">
        <v>358</v>
      </c>
      <c r="B182" s="6" t="s">
        <v>359</v>
      </c>
      <c r="C182" s="15">
        <f>_xll.RssMarket("8091","現在値")</f>
        <v>2339</v>
      </c>
      <c r="D182" s="16">
        <f t="shared" si="5"/>
        <v>-21</v>
      </c>
      <c r="E182" s="13">
        <v>2360</v>
      </c>
      <c r="F182" s="13">
        <v>2382</v>
      </c>
      <c r="G182" s="13">
        <v>2390</v>
      </c>
      <c r="H182" s="13">
        <v>2399</v>
      </c>
      <c r="I182" s="13">
        <v>2384</v>
      </c>
      <c r="J182" s="13">
        <v>2341</v>
      </c>
      <c r="K182" s="13">
        <v>2345</v>
      </c>
      <c r="L182" s="13">
        <v>2323</v>
      </c>
      <c r="M182" s="13">
        <v>2330</v>
      </c>
      <c r="N182" s="13">
        <v>2340</v>
      </c>
      <c r="O182" s="13">
        <v>2324</v>
      </c>
      <c r="P182" s="13">
        <v>2316</v>
      </c>
      <c r="Q182" s="13">
        <v>2323</v>
      </c>
      <c r="R182" s="13">
        <v>2283</v>
      </c>
      <c r="S182" s="13">
        <v>2269</v>
      </c>
      <c r="T182" s="13">
        <v>2310</v>
      </c>
      <c r="U182" s="13">
        <v>2273</v>
      </c>
      <c r="V182" s="13">
        <v>2276</v>
      </c>
      <c r="W182" s="13">
        <v>2333</v>
      </c>
      <c r="X182" s="13">
        <v>2328</v>
      </c>
      <c r="Y182" s="13">
        <v>2303</v>
      </c>
      <c r="Z182" s="13">
        <v>2295</v>
      </c>
      <c r="AA182" s="13">
        <v>2274</v>
      </c>
      <c r="AB182" s="13">
        <v>2279</v>
      </c>
      <c r="AC182" s="13">
        <v>2295</v>
      </c>
      <c r="AD182" s="13">
        <v>2266</v>
      </c>
      <c r="AE182" s="13">
        <v>2277</v>
      </c>
      <c r="AF182" s="13">
        <v>2278</v>
      </c>
      <c r="AG182" s="13">
        <v>2266</v>
      </c>
      <c r="AH182" s="13">
        <v>2268</v>
      </c>
      <c r="AI182" s="13">
        <v>2272</v>
      </c>
      <c r="AJ182" s="13">
        <v>2261</v>
      </c>
      <c r="AK182" s="13">
        <v>2211</v>
      </c>
      <c r="AL182" s="13">
        <v>2214</v>
      </c>
      <c r="AM182" s="13">
        <v>2211</v>
      </c>
      <c r="AN182" s="13">
        <v>2178</v>
      </c>
      <c r="AO182" s="13">
        <v>2175</v>
      </c>
      <c r="AP182" s="13">
        <v>2206</v>
      </c>
      <c r="AQ182" s="13">
        <v>2175</v>
      </c>
      <c r="AR182" s="13">
        <v>2211</v>
      </c>
      <c r="AS182" s="13">
        <v>2158</v>
      </c>
      <c r="AT182" s="13">
        <v>2135</v>
      </c>
      <c r="AU182" s="13">
        <v>2124</v>
      </c>
      <c r="AV182" s="13">
        <v>2176</v>
      </c>
      <c r="AW182" s="13">
        <v>2168</v>
      </c>
      <c r="AX182" s="13">
        <v>2140</v>
      </c>
      <c r="AY182" s="13">
        <v>2134</v>
      </c>
      <c r="AZ182" s="13">
        <v>2147</v>
      </c>
      <c r="BA182" s="13">
        <v>2163</v>
      </c>
      <c r="BB182" s="13">
        <v>2152</v>
      </c>
      <c r="BC182" s="13">
        <v>2190</v>
      </c>
      <c r="BD182" s="13">
        <v>2158</v>
      </c>
      <c r="BE182" s="13">
        <v>2309</v>
      </c>
      <c r="BF182" s="13">
        <v>2279</v>
      </c>
      <c r="BG182" s="13">
        <v>2275</v>
      </c>
      <c r="BH182" s="13">
        <v>2255</v>
      </c>
      <c r="BI182" s="13">
        <v>2267</v>
      </c>
      <c r="BJ182" s="13">
        <v>2238</v>
      </c>
      <c r="BK182" s="13">
        <v>2259</v>
      </c>
      <c r="BL182" s="13">
        <v>2223</v>
      </c>
      <c r="BM182" s="4">
        <v>2246</v>
      </c>
      <c r="BN182" s="4">
        <v>2302</v>
      </c>
      <c r="BO182" s="4">
        <v>2265</v>
      </c>
      <c r="BP182" s="4">
        <v>2452</v>
      </c>
      <c r="BQ182" s="4">
        <v>2444</v>
      </c>
      <c r="BR182" s="4">
        <v>2466</v>
      </c>
      <c r="BS182" s="4">
        <v>2495</v>
      </c>
      <c r="BT182" s="4">
        <v>2501</v>
      </c>
      <c r="BU182" s="4">
        <v>2522</v>
      </c>
      <c r="BV182" s="4">
        <v>2520</v>
      </c>
      <c r="BW182" s="4">
        <v>2527</v>
      </c>
      <c r="BX182" s="4">
        <v>2525</v>
      </c>
      <c r="BY182" s="4">
        <v>2523</v>
      </c>
      <c r="BZ182" s="4">
        <v>2533</v>
      </c>
    </row>
    <row r="183" spans="1:78" ht="15.9" customHeight="1">
      <c r="A183" s="61" t="s">
        <v>360</v>
      </c>
      <c r="B183" s="6" t="s">
        <v>361</v>
      </c>
      <c r="C183" s="15">
        <f>_xll.RssMarket("6507","現在値")</f>
        <v>14950</v>
      </c>
      <c r="D183" s="16">
        <f t="shared" si="5"/>
        <v>930</v>
      </c>
      <c r="E183" s="13">
        <v>14020</v>
      </c>
      <c r="F183" s="13">
        <v>13450</v>
      </c>
      <c r="G183" s="13">
        <v>13330</v>
      </c>
      <c r="H183" s="13">
        <v>12250</v>
      </c>
      <c r="I183" s="13">
        <v>11930</v>
      </c>
      <c r="J183" s="13">
        <v>12530</v>
      </c>
      <c r="K183" s="13">
        <v>13840</v>
      </c>
      <c r="L183" s="13">
        <v>14300</v>
      </c>
      <c r="M183" s="13">
        <v>14230</v>
      </c>
      <c r="N183" s="13">
        <v>13930</v>
      </c>
      <c r="O183" s="13">
        <v>13860</v>
      </c>
      <c r="P183" s="13">
        <v>13540</v>
      </c>
      <c r="Q183" s="13">
        <v>14910</v>
      </c>
      <c r="R183" s="13">
        <v>14240</v>
      </c>
      <c r="S183" s="13">
        <v>14290</v>
      </c>
      <c r="T183" s="13">
        <v>14930</v>
      </c>
      <c r="U183" s="13">
        <v>14660</v>
      </c>
      <c r="V183" s="13">
        <v>14500</v>
      </c>
      <c r="W183" s="13">
        <v>15580</v>
      </c>
      <c r="X183" s="13">
        <v>16600</v>
      </c>
      <c r="Y183" s="13">
        <v>15690</v>
      </c>
      <c r="Z183" s="13">
        <v>15320</v>
      </c>
      <c r="AA183" s="13">
        <v>16480</v>
      </c>
      <c r="AB183" s="13">
        <v>15930</v>
      </c>
      <c r="AC183" s="13">
        <v>15250</v>
      </c>
      <c r="AD183" s="13">
        <v>15470</v>
      </c>
      <c r="AE183" s="13">
        <v>15920</v>
      </c>
      <c r="AF183" s="13">
        <v>15580</v>
      </c>
      <c r="AG183" s="13">
        <v>15550</v>
      </c>
      <c r="AH183" s="13">
        <v>16640</v>
      </c>
      <c r="AI183" s="13">
        <v>16230</v>
      </c>
      <c r="AJ183" s="13">
        <v>16310</v>
      </c>
      <c r="AK183" s="13">
        <v>15680</v>
      </c>
      <c r="AL183" s="13">
        <v>14720</v>
      </c>
      <c r="AM183" s="13">
        <v>13740</v>
      </c>
      <c r="AN183" s="13">
        <v>13410</v>
      </c>
      <c r="AO183" s="13">
        <v>13210</v>
      </c>
      <c r="AP183" s="13">
        <v>13280</v>
      </c>
      <c r="AQ183" s="13">
        <v>14230</v>
      </c>
      <c r="AR183" s="13">
        <v>15330</v>
      </c>
      <c r="AS183" s="13">
        <v>15010</v>
      </c>
      <c r="AT183" s="13">
        <v>14010</v>
      </c>
      <c r="AU183" s="13">
        <v>14110</v>
      </c>
      <c r="AV183" s="13">
        <v>13750</v>
      </c>
      <c r="AW183" s="13">
        <v>14140</v>
      </c>
      <c r="AX183" s="13">
        <v>14660</v>
      </c>
      <c r="AY183" s="13">
        <v>14450</v>
      </c>
      <c r="AZ183" s="13">
        <v>13790</v>
      </c>
      <c r="BA183" s="13">
        <v>13600</v>
      </c>
      <c r="BB183" s="13">
        <v>13180</v>
      </c>
      <c r="BC183" s="13">
        <v>13600</v>
      </c>
      <c r="BD183" s="13">
        <v>15030</v>
      </c>
      <c r="BE183" s="13">
        <v>15210</v>
      </c>
      <c r="BF183" s="13">
        <v>15680</v>
      </c>
      <c r="BG183" s="13">
        <v>14720</v>
      </c>
      <c r="BH183" s="13">
        <v>14780</v>
      </c>
      <c r="BI183" s="13">
        <v>14800</v>
      </c>
      <c r="BJ183" s="13">
        <v>14870</v>
      </c>
      <c r="BK183" s="13">
        <v>15040</v>
      </c>
      <c r="BL183" s="13">
        <v>14370</v>
      </c>
      <c r="BM183" s="4">
        <v>14250</v>
      </c>
      <c r="BN183" s="4">
        <v>13960</v>
      </c>
      <c r="BO183" s="4">
        <v>13670</v>
      </c>
      <c r="BP183" s="4">
        <v>13380</v>
      </c>
      <c r="BQ183" s="4">
        <v>13180</v>
      </c>
      <c r="BR183" s="4">
        <v>13270</v>
      </c>
      <c r="BS183" s="4">
        <v>13440</v>
      </c>
      <c r="BT183" s="4">
        <v>13600</v>
      </c>
      <c r="BU183" s="4">
        <v>13440</v>
      </c>
      <c r="BV183" s="4">
        <v>14000</v>
      </c>
      <c r="BW183" s="4">
        <v>13180</v>
      </c>
      <c r="BX183" s="4">
        <v>13300</v>
      </c>
      <c r="BY183" s="4">
        <v>13380</v>
      </c>
      <c r="BZ183" s="4">
        <v>13480</v>
      </c>
    </row>
    <row r="184" spans="1:78" ht="15.9" customHeight="1">
      <c r="A184" s="61" t="s">
        <v>362</v>
      </c>
      <c r="B184" s="6" t="s">
        <v>363</v>
      </c>
      <c r="C184" s="15">
        <f>_xll.RssMarket("9022","現在値")</f>
        <v>3779</v>
      </c>
      <c r="D184" s="16">
        <f t="shared" si="5"/>
        <v>-41</v>
      </c>
      <c r="E184" s="13">
        <v>3820</v>
      </c>
      <c r="F184" s="13">
        <v>3902</v>
      </c>
      <c r="G184" s="13">
        <v>3988</v>
      </c>
      <c r="H184" s="13">
        <v>4174</v>
      </c>
      <c r="I184" s="13">
        <v>4243</v>
      </c>
      <c r="J184" s="13">
        <v>4090</v>
      </c>
      <c r="K184" s="13">
        <v>4023</v>
      </c>
      <c r="L184" s="13">
        <v>3892</v>
      </c>
      <c r="M184" s="13">
        <v>3830</v>
      </c>
      <c r="N184" s="13">
        <v>3796</v>
      </c>
      <c r="O184" s="13">
        <v>3838</v>
      </c>
      <c r="P184" s="13">
        <v>3766</v>
      </c>
      <c r="Q184" s="13">
        <v>3694</v>
      </c>
      <c r="R184" s="13">
        <v>3709</v>
      </c>
      <c r="S184" s="13">
        <v>3657</v>
      </c>
      <c r="T184" s="13">
        <v>3621</v>
      </c>
      <c r="U184" s="13">
        <v>3659</v>
      </c>
      <c r="V184" s="13">
        <v>3664</v>
      </c>
      <c r="W184" s="13">
        <v>3700</v>
      </c>
      <c r="X184" s="13">
        <v>3559</v>
      </c>
      <c r="Y184" s="13">
        <v>3514</v>
      </c>
      <c r="Z184" s="13">
        <v>3453</v>
      </c>
      <c r="AA184" s="13">
        <v>3384</v>
      </c>
      <c r="AB184" s="13">
        <v>3469</v>
      </c>
      <c r="AC184" s="13">
        <v>3485</v>
      </c>
      <c r="AD184" s="13">
        <v>3420</v>
      </c>
      <c r="AE184" s="13">
        <v>3341</v>
      </c>
      <c r="AF184" s="13">
        <v>3371</v>
      </c>
      <c r="AG184" s="13">
        <v>3346</v>
      </c>
      <c r="AH184" s="13">
        <v>3259</v>
      </c>
      <c r="AI184" s="13">
        <v>3256</v>
      </c>
      <c r="AJ184" s="13">
        <v>3331</v>
      </c>
      <c r="AK184" s="13">
        <v>3297</v>
      </c>
      <c r="AL184" s="13">
        <v>3351</v>
      </c>
      <c r="AM184" s="13">
        <v>3350</v>
      </c>
      <c r="AN184" s="13">
        <v>3365</v>
      </c>
      <c r="AO184" s="13">
        <v>3405</v>
      </c>
      <c r="AP184" s="13">
        <v>3507</v>
      </c>
      <c r="AQ184" s="13">
        <v>3394</v>
      </c>
      <c r="AR184" s="13">
        <v>3345</v>
      </c>
      <c r="AS184" s="13">
        <v>3297</v>
      </c>
      <c r="AT184" s="13">
        <v>3325</v>
      </c>
      <c r="AU184" s="13">
        <v>3364</v>
      </c>
      <c r="AV184" s="13">
        <v>3479</v>
      </c>
      <c r="AW184" s="13">
        <v>3471</v>
      </c>
      <c r="AX184" s="13">
        <v>3500</v>
      </c>
      <c r="AY184" s="13">
        <v>3552</v>
      </c>
      <c r="AZ184" s="13">
        <v>3553</v>
      </c>
      <c r="BA184" s="13">
        <v>3535</v>
      </c>
      <c r="BB184" s="13">
        <v>3550</v>
      </c>
      <c r="BC184" s="13">
        <v>3609</v>
      </c>
      <c r="BD184" s="13">
        <v>3557</v>
      </c>
      <c r="BE184" s="13">
        <v>3634</v>
      </c>
      <c r="BF184" s="13">
        <v>3618</v>
      </c>
      <c r="BG184" s="13">
        <v>3626</v>
      </c>
      <c r="BH184" s="13">
        <v>3582</v>
      </c>
      <c r="BI184" s="13">
        <v>3580</v>
      </c>
      <c r="BJ184" s="13">
        <v>3579</v>
      </c>
      <c r="BK184" s="13">
        <v>3681</v>
      </c>
      <c r="BL184" s="13">
        <v>3611</v>
      </c>
      <c r="BM184" s="4">
        <v>3744</v>
      </c>
      <c r="BN184" s="4">
        <v>4069</v>
      </c>
      <c r="BO184" s="4">
        <v>4052</v>
      </c>
      <c r="BP184" s="4">
        <v>4110</v>
      </c>
      <c r="BQ184" s="4">
        <v>4039</v>
      </c>
      <c r="BR184" s="4">
        <v>4149</v>
      </c>
      <c r="BS184" s="4">
        <v>4213</v>
      </c>
      <c r="BT184" s="4">
        <v>4253</v>
      </c>
      <c r="BU184" s="4">
        <v>4195</v>
      </c>
      <c r="BV184" s="4">
        <v>4251</v>
      </c>
      <c r="BW184" s="4">
        <v>4325</v>
      </c>
      <c r="BX184" s="4">
        <v>4193</v>
      </c>
      <c r="BY184" s="4">
        <v>4220</v>
      </c>
      <c r="BZ184" s="4">
        <v>4196</v>
      </c>
    </row>
    <row r="185" spans="1:78" ht="15.9" customHeight="1">
      <c r="A185" s="61" t="s">
        <v>364</v>
      </c>
      <c r="B185" s="6" t="s">
        <v>365</v>
      </c>
      <c r="C185" s="15">
        <f>_xll.RssMarket("9536","現在値")</f>
        <v>2352</v>
      </c>
      <c r="D185" s="16">
        <f t="shared" si="5"/>
        <v>-29</v>
      </c>
      <c r="E185" s="13">
        <v>2381</v>
      </c>
      <c r="F185" s="13">
        <v>2419</v>
      </c>
      <c r="G185" s="13">
        <v>2361</v>
      </c>
      <c r="H185" s="13">
        <v>2382</v>
      </c>
      <c r="I185" s="13">
        <v>2369</v>
      </c>
      <c r="J185" s="13">
        <v>2351</v>
      </c>
      <c r="K185" s="13">
        <v>2393</v>
      </c>
      <c r="L185" s="13">
        <v>2361</v>
      </c>
      <c r="M185" s="13">
        <v>2354</v>
      </c>
      <c r="N185" s="13">
        <v>2366</v>
      </c>
      <c r="O185" s="13">
        <v>2349</v>
      </c>
      <c r="P185" s="13">
        <v>2318</v>
      </c>
      <c r="Q185" s="13">
        <v>2333</v>
      </c>
      <c r="R185" s="13">
        <v>2302</v>
      </c>
      <c r="S185" s="13">
        <v>2295</v>
      </c>
      <c r="T185" s="13">
        <v>2328</v>
      </c>
      <c r="U185" s="13">
        <v>2347</v>
      </c>
      <c r="V185" s="13">
        <v>2356</v>
      </c>
      <c r="W185" s="13">
        <v>2324</v>
      </c>
      <c r="X185" s="13">
        <v>2303</v>
      </c>
      <c r="Y185" s="13">
        <v>2257</v>
      </c>
      <c r="Z185" s="13">
        <v>2225</v>
      </c>
      <c r="AA185" s="13">
        <v>2225</v>
      </c>
      <c r="AB185" s="13">
        <v>2248</v>
      </c>
      <c r="AC185" s="13">
        <v>2270</v>
      </c>
      <c r="AD185" s="13">
        <v>2246</v>
      </c>
      <c r="AE185" s="13">
        <v>2211</v>
      </c>
      <c r="AF185" s="13">
        <v>2220</v>
      </c>
      <c r="AG185" s="13">
        <v>2213</v>
      </c>
      <c r="AH185" s="13">
        <v>2213</v>
      </c>
      <c r="AI185" s="13">
        <v>2238</v>
      </c>
      <c r="AJ185" s="13">
        <v>2237</v>
      </c>
      <c r="AK185" s="13">
        <v>2240</v>
      </c>
      <c r="AL185" s="13">
        <v>2238</v>
      </c>
      <c r="AM185" s="13">
        <v>2263</v>
      </c>
      <c r="AN185" s="13">
        <v>2243</v>
      </c>
      <c r="AO185" s="13">
        <v>2232</v>
      </c>
      <c r="AP185" s="13">
        <v>2229</v>
      </c>
      <c r="AQ185" s="13">
        <v>2210</v>
      </c>
      <c r="AR185" s="13">
        <v>2201</v>
      </c>
      <c r="AS185" s="13">
        <v>2182</v>
      </c>
      <c r="AT185" s="13">
        <v>2189</v>
      </c>
      <c r="AU185" s="13">
        <v>2154</v>
      </c>
      <c r="AV185" s="13">
        <v>2195</v>
      </c>
      <c r="AW185" s="13">
        <v>2182</v>
      </c>
      <c r="AX185" s="13">
        <v>2222</v>
      </c>
      <c r="AY185" s="13">
        <v>2198</v>
      </c>
      <c r="AZ185" s="13">
        <v>2221</v>
      </c>
      <c r="BA185" s="13">
        <v>2201</v>
      </c>
      <c r="BB185" s="13">
        <v>2208</v>
      </c>
      <c r="BC185" s="13">
        <v>2238</v>
      </c>
      <c r="BD185" s="13">
        <v>2201</v>
      </c>
      <c r="BE185" s="13">
        <v>2261</v>
      </c>
      <c r="BF185" s="13">
        <v>2244</v>
      </c>
      <c r="BG185" s="13">
        <v>2225</v>
      </c>
      <c r="BH185" s="13">
        <v>2233</v>
      </c>
      <c r="BI185" s="13">
        <v>2241</v>
      </c>
      <c r="BJ185" s="13">
        <v>2222</v>
      </c>
      <c r="BK185" s="13">
        <v>2275</v>
      </c>
      <c r="BL185" s="13">
        <v>2208</v>
      </c>
      <c r="BM185" s="4">
        <v>2236</v>
      </c>
      <c r="BN185" s="4">
        <v>2457</v>
      </c>
      <c r="BO185" s="4">
        <v>2423</v>
      </c>
      <c r="BP185" s="4">
        <v>2470</v>
      </c>
      <c r="BQ185" s="4">
        <v>2441</v>
      </c>
      <c r="BR185" s="4">
        <v>2460</v>
      </c>
      <c r="BS185" s="4">
        <v>2529</v>
      </c>
      <c r="BT185" s="4">
        <v>2535</v>
      </c>
      <c r="BU185" s="4">
        <v>2595</v>
      </c>
      <c r="BV185" s="4">
        <v>2615</v>
      </c>
      <c r="BW185" s="4">
        <v>2586</v>
      </c>
      <c r="BX185" s="4">
        <v>2574</v>
      </c>
      <c r="BY185" s="4">
        <v>2573</v>
      </c>
      <c r="BZ185" s="4">
        <v>2552</v>
      </c>
    </row>
    <row r="186" spans="1:78" ht="15.9" customHeight="1">
      <c r="A186" s="61" t="s">
        <v>366</v>
      </c>
      <c r="B186" s="6" t="s">
        <v>367</v>
      </c>
      <c r="C186" s="15">
        <f>_xll.RssMarket("9506","現在値")</f>
        <v>1192.5</v>
      </c>
      <c r="D186" s="16">
        <f t="shared" si="5"/>
        <v>6</v>
      </c>
      <c r="E186" s="13">
        <v>1186.5</v>
      </c>
      <c r="F186" s="13">
        <v>1190.5</v>
      </c>
      <c r="G186" s="13">
        <v>1180.5</v>
      </c>
      <c r="H186" s="13">
        <v>1179</v>
      </c>
      <c r="I186" s="13">
        <v>1192.5</v>
      </c>
      <c r="J186" s="13">
        <v>1163.5</v>
      </c>
      <c r="K186" s="13">
        <v>1177.5</v>
      </c>
      <c r="L186" s="13">
        <v>1142</v>
      </c>
      <c r="M186" s="13">
        <v>1146.5</v>
      </c>
      <c r="N186" s="13">
        <v>1140.5</v>
      </c>
      <c r="O186" s="13">
        <v>1146</v>
      </c>
      <c r="P186" s="13">
        <v>1127</v>
      </c>
      <c r="Q186" s="13">
        <v>1127.5</v>
      </c>
      <c r="R186" s="13">
        <v>1103</v>
      </c>
      <c r="S186" s="13">
        <v>1088</v>
      </c>
      <c r="T186" s="13">
        <v>1089.5</v>
      </c>
      <c r="U186" s="13">
        <v>1095</v>
      </c>
      <c r="V186" s="13">
        <v>1093</v>
      </c>
      <c r="W186" s="13">
        <v>1087</v>
      </c>
      <c r="X186" s="13">
        <v>1097.5</v>
      </c>
      <c r="Y186" s="13">
        <v>1069</v>
      </c>
      <c r="Z186" s="13">
        <v>1063.5</v>
      </c>
      <c r="AA186" s="13">
        <v>1062</v>
      </c>
      <c r="AB186" s="13">
        <v>1064.5</v>
      </c>
      <c r="AC186" s="13">
        <v>1050</v>
      </c>
      <c r="AD186" s="13">
        <v>1042</v>
      </c>
      <c r="AE186" s="13">
        <v>1044</v>
      </c>
      <c r="AF186" s="13">
        <v>1029.5</v>
      </c>
      <c r="AG186" s="13">
        <v>1030.5</v>
      </c>
      <c r="AH186" s="13">
        <v>1041</v>
      </c>
      <c r="AI186" s="13">
        <v>1049</v>
      </c>
      <c r="AJ186" s="13">
        <v>1050</v>
      </c>
      <c r="AK186" s="13">
        <v>1046</v>
      </c>
      <c r="AL186" s="13">
        <v>1043.5</v>
      </c>
      <c r="AM186" s="13">
        <v>1066</v>
      </c>
      <c r="AN186" s="13">
        <v>1019.5</v>
      </c>
      <c r="AO186" s="13">
        <v>1018.5</v>
      </c>
      <c r="AP186" s="13">
        <v>1015.5</v>
      </c>
      <c r="AQ186" s="13">
        <v>1006.5</v>
      </c>
      <c r="AR186" s="13">
        <v>993.3</v>
      </c>
      <c r="AS186" s="13">
        <v>991.4</v>
      </c>
      <c r="AT186" s="13">
        <v>1013.5</v>
      </c>
      <c r="AU186" s="13">
        <v>983.6</v>
      </c>
      <c r="AV186" s="13">
        <v>1006.5</v>
      </c>
      <c r="AW186" s="13">
        <v>996.7</v>
      </c>
      <c r="AX186" s="13">
        <v>998</v>
      </c>
      <c r="AY186" s="13">
        <v>1009</v>
      </c>
      <c r="AZ186" s="13">
        <v>1011</v>
      </c>
      <c r="BA186" s="13">
        <v>1024.5</v>
      </c>
      <c r="BB186" s="13">
        <v>1006</v>
      </c>
      <c r="BC186" s="13">
        <v>1019</v>
      </c>
      <c r="BD186" s="13">
        <v>1006.5</v>
      </c>
      <c r="BE186" s="13">
        <v>1051.5</v>
      </c>
      <c r="BF186" s="13">
        <v>1052.5</v>
      </c>
      <c r="BG186" s="13">
        <v>1064</v>
      </c>
      <c r="BH186" s="13">
        <v>1064</v>
      </c>
      <c r="BI186" s="13">
        <v>1060</v>
      </c>
      <c r="BJ186" s="13">
        <v>1055.5</v>
      </c>
      <c r="BK186" s="13">
        <v>1092.5</v>
      </c>
      <c r="BL186" s="13">
        <v>1064</v>
      </c>
      <c r="BM186" s="4">
        <v>1088.5</v>
      </c>
      <c r="BN186" s="4">
        <v>1157</v>
      </c>
      <c r="BO186" s="4">
        <v>1122</v>
      </c>
      <c r="BP186" s="4">
        <v>1128.5</v>
      </c>
      <c r="BQ186" s="4">
        <v>1117.5</v>
      </c>
      <c r="BR186" s="4">
        <v>1130</v>
      </c>
      <c r="BS186" s="4">
        <v>1144.5</v>
      </c>
      <c r="BT186" s="4">
        <v>1170.5</v>
      </c>
      <c r="BU186" s="4">
        <v>1178</v>
      </c>
      <c r="BV186" s="4">
        <v>1182.5</v>
      </c>
      <c r="BW186" s="4">
        <v>1172</v>
      </c>
      <c r="BX186" s="4">
        <v>1170.5</v>
      </c>
      <c r="BY186" s="4">
        <v>1158.5</v>
      </c>
      <c r="BZ186" s="4">
        <v>1164</v>
      </c>
    </row>
    <row r="187" spans="1:78" ht="15.9" customHeight="1">
      <c r="A187" s="61" t="s">
        <v>368</v>
      </c>
      <c r="B187" s="6" t="s">
        <v>369</v>
      </c>
      <c r="C187" s="15">
        <f>_xll.RssMarket("2127","現在値")</f>
        <v>636.29999999999995</v>
      </c>
      <c r="D187" s="16">
        <f t="shared" si="5"/>
        <v>1.0999999999999091</v>
      </c>
      <c r="E187" s="13">
        <v>635.20000000000005</v>
      </c>
      <c r="F187" s="13">
        <v>639.29999999999995</v>
      </c>
      <c r="G187" s="13">
        <v>637.6</v>
      </c>
      <c r="H187" s="13">
        <v>701.8</v>
      </c>
      <c r="I187" s="13">
        <v>696.5</v>
      </c>
      <c r="J187" s="13">
        <v>679.9</v>
      </c>
      <c r="K187" s="13">
        <v>681.1</v>
      </c>
      <c r="L187" s="13">
        <v>664</v>
      </c>
      <c r="M187" s="13">
        <v>660.4</v>
      </c>
      <c r="N187" s="13">
        <v>664.4</v>
      </c>
      <c r="O187" s="13">
        <v>676.5</v>
      </c>
      <c r="P187" s="13">
        <v>672.2</v>
      </c>
      <c r="Q187" s="13">
        <v>678.7</v>
      </c>
      <c r="R187" s="13">
        <v>679.4</v>
      </c>
      <c r="S187" s="13">
        <v>671.4</v>
      </c>
      <c r="T187" s="13">
        <v>676.7</v>
      </c>
      <c r="U187" s="13">
        <v>676.5</v>
      </c>
      <c r="V187" s="13">
        <v>682</v>
      </c>
      <c r="W187" s="13">
        <v>689.9</v>
      </c>
      <c r="X187" s="13">
        <v>679.5</v>
      </c>
      <c r="Y187" s="13">
        <v>656.5</v>
      </c>
      <c r="Z187" s="13">
        <v>649.4</v>
      </c>
      <c r="AA187" s="13">
        <v>635.29999999999995</v>
      </c>
      <c r="AB187" s="13">
        <v>636.70000000000005</v>
      </c>
      <c r="AC187" s="13">
        <v>634</v>
      </c>
      <c r="AD187" s="13">
        <v>620.20000000000005</v>
      </c>
      <c r="AE187" s="13">
        <v>623.79999999999995</v>
      </c>
      <c r="AF187" s="13">
        <v>629.5</v>
      </c>
      <c r="AG187" s="13">
        <v>628</v>
      </c>
      <c r="AH187" s="13">
        <v>634.1</v>
      </c>
      <c r="AI187" s="13">
        <v>644.1</v>
      </c>
      <c r="AJ187" s="13">
        <v>661.9</v>
      </c>
      <c r="AK187" s="13">
        <v>650.9</v>
      </c>
      <c r="AL187" s="13">
        <v>638.29999999999995</v>
      </c>
      <c r="AM187" s="13">
        <v>643.5</v>
      </c>
      <c r="AN187" s="13">
        <v>636</v>
      </c>
      <c r="AO187" s="13">
        <v>643.5</v>
      </c>
      <c r="AP187" s="13">
        <v>637.5</v>
      </c>
      <c r="AQ187" s="13">
        <v>632.9</v>
      </c>
      <c r="AR187" s="13">
        <v>637.1</v>
      </c>
      <c r="AS187" s="13">
        <v>624</v>
      </c>
      <c r="AT187" s="13">
        <v>645</v>
      </c>
      <c r="AU187" s="13">
        <v>655.8</v>
      </c>
      <c r="AV187" s="13">
        <v>652</v>
      </c>
      <c r="AW187" s="13">
        <v>652.79999999999995</v>
      </c>
      <c r="AX187" s="13">
        <v>665.5</v>
      </c>
      <c r="AY187" s="13">
        <v>655.1</v>
      </c>
      <c r="AZ187" s="13">
        <v>661.9</v>
      </c>
      <c r="BA187" s="13">
        <v>657.2</v>
      </c>
      <c r="BB187" s="13">
        <v>645</v>
      </c>
      <c r="BC187" s="13">
        <v>660.2</v>
      </c>
      <c r="BD187" s="13">
        <v>633.4</v>
      </c>
      <c r="BE187" s="13">
        <v>638.29999999999995</v>
      </c>
      <c r="BF187" s="13">
        <v>638.79999999999995</v>
      </c>
      <c r="BG187" s="13">
        <v>644.70000000000005</v>
      </c>
      <c r="BH187" s="13">
        <v>639.5</v>
      </c>
      <c r="BI187" s="13">
        <v>658.8</v>
      </c>
      <c r="BJ187" s="13">
        <v>656.1</v>
      </c>
      <c r="BK187" s="13">
        <v>652.29999999999995</v>
      </c>
      <c r="BL187" s="13">
        <v>626.9</v>
      </c>
      <c r="BM187" s="4">
        <v>654.5</v>
      </c>
      <c r="BN187" s="4">
        <v>690</v>
      </c>
      <c r="BO187" s="4">
        <v>677.5</v>
      </c>
      <c r="BP187" s="4">
        <v>668.7</v>
      </c>
      <c r="BQ187" s="4">
        <v>683</v>
      </c>
      <c r="BR187" s="4">
        <v>688.8</v>
      </c>
      <c r="BS187" s="4">
        <v>690.3</v>
      </c>
      <c r="BT187" s="4">
        <v>682.3</v>
      </c>
      <c r="BU187" s="4">
        <v>689.8</v>
      </c>
      <c r="BV187" s="4">
        <v>689.8</v>
      </c>
      <c r="BW187" s="4">
        <v>676.5</v>
      </c>
      <c r="BX187" s="4">
        <v>667.9</v>
      </c>
      <c r="BY187" s="4">
        <v>655.7</v>
      </c>
      <c r="BZ187" s="4">
        <v>658.3</v>
      </c>
    </row>
    <row r="188" spans="1:78" ht="15.9" customHeight="1">
      <c r="A188" s="61" t="s">
        <v>370</v>
      </c>
      <c r="B188" s="6" t="s">
        <v>371</v>
      </c>
      <c r="C188" s="15">
        <f>_xll.RssMarket("6753","現在値")</f>
        <v>622.29999999999995</v>
      </c>
      <c r="D188" s="16">
        <f t="shared" si="5"/>
        <v>4.5999999999999091</v>
      </c>
      <c r="E188" s="13">
        <v>617.70000000000005</v>
      </c>
      <c r="F188" s="13">
        <v>623.1</v>
      </c>
      <c r="G188" s="13">
        <v>618.4</v>
      </c>
      <c r="H188" s="13">
        <v>632.9</v>
      </c>
      <c r="I188" s="13">
        <v>635.6</v>
      </c>
      <c r="J188" s="13">
        <v>610.20000000000005</v>
      </c>
      <c r="K188" s="13">
        <v>608.70000000000005</v>
      </c>
      <c r="L188" s="13">
        <v>586.79999999999995</v>
      </c>
      <c r="M188" s="13">
        <v>610.29999999999995</v>
      </c>
      <c r="N188" s="13">
        <v>622.20000000000005</v>
      </c>
      <c r="O188" s="13">
        <v>623.79999999999995</v>
      </c>
      <c r="P188" s="13">
        <v>627.29999999999995</v>
      </c>
      <c r="Q188" s="13">
        <v>637</v>
      </c>
      <c r="R188" s="13">
        <v>645</v>
      </c>
      <c r="S188" s="13">
        <v>637.4</v>
      </c>
      <c r="T188" s="13">
        <v>648.29999999999995</v>
      </c>
      <c r="U188" s="13">
        <v>647.1</v>
      </c>
      <c r="V188" s="13">
        <v>643.29999999999995</v>
      </c>
      <c r="W188" s="13">
        <v>655.8</v>
      </c>
      <c r="X188" s="13">
        <v>640.5</v>
      </c>
      <c r="Y188" s="13">
        <v>639.1</v>
      </c>
      <c r="Z188" s="13">
        <v>643.6</v>
      </c>
      <c r="AA188" s="13">
        <v>636.20000000000005</v>
      </c>
      <c r="AB188" s="13">
        <v>651.29999999999995</v>
      </c>
      <c r="AC188" s="13">
        <v>633.20000000000005</v>
      </c>
      <c r="AD188" s="13">
        <v>606.20000000000005</v>
      </c>
      <c r="AE188" s="13">
        <v>601</v>
      </c>
      <c r="AF188" s="13">
        <v>665.5</v>
      </c>
      <c r="AG188" s="13">
        <v>578</v>
      </c>
      <c r="AH188" s="13">
        <v>585</v>
      </c>
      <c r="AI188" s="13">
        <v>573.20000000000005</v>
      </c>
      <c r="AJ188" s="13">
        <v>596.29999999999995</v>
      </c>
      <c r="AK188" s="13">
        <v>594.4</v>
      </c>
      <c r="AL188" s="13">
        <v>593.79999999999995</v>
      </c>
      <c r="AM188" s="13">
        <v>614.20000000000005</v>
      </c>
      <c r="AN188" s="13">
        <v>609.20000000000005</v>
      </c>
      <c r="AO188" s="13">
        <v>620.5</v>
      </c>
      <c r="AP188" s="13">
        <v>636.20000000000005</v>
      </c>
      <c r="AQ188" s="13">
        <v>657.2</v>
      </c>
      <c r="AR188" s="13">
        <v>658.1</v>
      </c>
      <c r="AS188" s="13">
        <v>671.6</v>
      </c>
      <c r="AT188" s="13">
        <v>668.5</v>
      </c>
      <c r="AU188" s="13">
        <v>651.9</v>
      </c>
      <c r="AV188" s="13">
        <v>621.5</v>
      </c>
      <c r="AW188" s="13">
        <v>621.6</v>
      </c>
      <c r="AX188" s="13">
        <v>610.1</v>
      </c>
      <c r="AY188" s="13">
        <v>638.6</v>
      </c>
      <c r="AZ188" s="13">
        <v>631.5</v>
      </c>
      <c r="BA188" s="13">
        <v>606.29999999999995</v>
      </c>
      <c r="BB188" s="13">
        <v>601</v>
      </c>
      <c r="BC188" s="13">
        <v>640.20000000000005</v>
      </c>
      <c r="BD188" s="13">
        <v>606.5</v>
      </c>
      <c r="BE188" s="13">
        <v>603.9</v>
      </c>
      <c r="BF188" s="13">
        <v>571.70000000000005</v>
      </c>
      <c r="BG188" s="13">
        <v>591.1</v>
      </c>
      <c r="BH188" s="13">
        <v>592.79999999999995</v>
      </c>
      <c r="BI188" s="13">
        <v>561</v>
      </c>
      <c r="BJ188" s="13">
        <v>564.29999999999995</v>
      </c>
      <c r="BK188" s="13">
        <v>559.4</v>
      </c>
      <c r="BL188" s="13">
        <v>582.4</v>
      </c>
      <c r="BM188" s="4">
        <v>559.5</v>
      </c>
      <c r="BN188" s="4">
        <v>566.1</v>
      </c>
      <c r="BO188" s="4">
        <v>545.29999999999995</v>
      </c>
      <c r="BP188" s="4">
        <v>555</v>
      </c>
      <c r="BQ188" s="4">
        <v>592.6</v>
      </c>
      <c r="BR188" s="4">
        <v>611.29999999999995</v>
      </c>
      <c r="BS188" s="4">
        <v>612</v>
      </c>
      <c r="BT188" s="4">
        <v>613.79999999999995</v>
      </c>
      <c r="BU188" s="4">
        <v>616.1</v>
      </c>
      <c r="BV188" s="4">
        <v>603.6</v>
      </c>
      <c r="BW188" s="4">
        <v>594.70000000000005</v>
      </c>
      <c r="BX188" s="4">
        <v>589.4</v>
      </c>
      <c r="BY188" s="4">
        <v>587.79999999999995</v>
      </c>
      <c r="BZ188" s="4">
        <v>604.4</v>
      </c>
    </row>
    <row r="189" spans="1:78" ht="15.9" customHeight="1">
      <c r="A189" s="61" t="s">
        <v>372</v>
      </c>
      <c r="B189" s="6" t="str">
        <f>銘柄管理!C189</f>
        <v>ヤマトホールディングス</v>
      </c>
      <c r="C189" s="15">
        <f>_xll.RssMarket("9064","現在値")</f>
        <v>1891.5</v>
      </c>
      <c r="D189" s="16"/>
      <c r="E189" s="13">
        <v>1915.5</v>
      </c>
      <c r="F189" s="13">
        <v>2041</v>
      </c>
      <c r="G189" s="13">
        <v>2069.5</v>
      </c>
      <c r="H189" s="13">
        <v>2139</v>
      </c>
      <c r="I189" s="13">
        <v>2180</v>
      </c>
      <c r="J189" s="13">
        <v>2119</v>
      </c>
      <c r="K189" s="13">
        <v>2067.5</v>
      </c>
      <c r="L189" s="13">
        <v>2044.5</v>
      </c>
      <c r="M189" s="13">
        <v>2034</v>
      </c>
      <c r="N189" s="13">
        <v>2017</v>
      </c>
      <c r="O189" s="13">
        <v>2022</v>
      </c>
      <c r="P189" s="13">
        <v>2003</v>
      </c>
      <c r="Q189" s="13">
        <v>1970.5</v>
      </c>
      <c r="R189" s="13">
        <v>1960</v>
      </c>
      <c r="S189" s="13">
        <v>1937.5</v>
      </c>
      <c r="T189" s="13">
        <v>1944</v>
      </c>
      <c r="U189" s="13">
        <v>1953</v>
      </c>
      <c r="V189" s="13">
        <v>1969.5</v>
      </c>
      <c r="W189" s="13">
        <v>1980</v>
      </c>
      <c r="X189" s="13">
        <v>1995.5</v>
      </c>
      <c r="Y189" s="13">
        <v>1945.5</v>
      </c>
      <c r="Z189" s="13">
        <v>1909</v>
      </c>
      <c r="AA189" s="13">
        <v>1839.5</v>
      </c>
      <c r="AB189" s="13">
        <v>1834.5</v>
      </c>
      <c r="AC189" s="13">
        <v>1854</v>
      </c>
      <c r="AD189" s="13">
        <v>1819.5</v>
      </c>
      <c r="AE189" s="13">
        <v>1812</v>
      </c>
      <c r="AF189" s="13">
        <v>1756.5</v>
      </c>
      <c r="AG189" s="13">
        <v>1775</v>
      </c>
      <c r="AH189" s="13">
        <v>1757</v>
      </c>
      <c r="AI189" s="13">
        <v>1770.5</v>
      </c>
      <c r="AJ189" s="13">
        <v>1765</v>
      </c>
      <c r="AK189" s="13">
        <v>1769.5</v>
      </c>
      <c r="AL189" s="13">
        <v>1774.5</v>
      </c>
      <c r="AM189" s="13">
        <v>1785</v>
      </c>
      <c r="AN189" s="13">
        <v>1785</v>
      </c>
      <c r="AO189" s="13">
        <v>1815.5</v>
      </c>
      <c r="AP189" s="13">
        <v>1805</v>
      </c>
      <c r="AQ189" s="13">
        <v>1792.5</v>
      </c>
      <c r="AR189" s="13">
        <v>1799</v>
      </c>
      <c r="AS189" s="13">
        <v>1800.5</v>
      </c>
      <c r="AT189" s="13">
        <v>1825.5</v>
      </c>
      <c r="AU189" s="13">
        <v>1800</v>
      </c>
      <c r="AV189" s="13">
        <v>1818</v>
      </c>
      <c r="AW189" s="13">
        <v>1778.5</v>
      </c>
      <c r="AX189" s="13">
        <v>1763</v>
      </c>
      <c r="AY189" s="13">
        <v>1773.5</v>
      </c>
      <c r="AZ189" s="13">
        <v>1771</v>
      </c>
      <c r="BA189" s="13">
        <v>1787</v>
      </c>
      <c r="BB189" s="13">
        <v>1750</v>
      </c>
      <c r="BC189" s="13">
        <v>1780</v>
      </c>
      <c r="BD189" s="13">
        <v>1727</v>
      </c>
      <c r="BE189" s="13">
        <v>1732.5</v>
      </c>
      <c r="BF189" s="13">
        <v>1780</v>
      </c>
      <c r="BG189" s="13">
        <v>1752.5</v>
      </c>
      <c r="BH189" s="13">
        <v>1745.5</v>
      </c>
      <c r="BI189" s="13">
        <v>1730.5</v>
      </c>
      <c r="BJ189" s="13">
        <v>1800</v>
      </c>
      <c r="BK189" s="13">
        <v>1822.5</v>
      </c>
      <c r="BL189" s="13">
        <v>1748.5</v>
      </c>
      <c r="BM189" s="4">
        <v>1764.5</v>
      </c>
      <c r="BN189" s="4">
        <v>1802.5</v>
      </c>
      <c r="BO189" s="4">
        <v>1774</v>
      </c>
      <c r="BP189" s="4">
        <v>1768</v>
      </c>
      <c r="BQ189" s="4">
        <v>1773</v>
      </c>
      <c r="BR189" s="4">
        <v>1809</v>
      </c>
      <c r="BS189" s="4">
        <v>1832.5</v>
      </c>
      <c r="BT189" s="4">
        <v>1821.5</v>
      </c>
      <c r="BU189" s="4">
        <v>1845</v>
      </c>
      <c r="BV189" s="4">
        <v>1862.5</v>
      </c>
      <c r="BW189" s="4">
        <v>1866.5</v>
      </c>
      <c r="BX189" s="4">
        <v>1861</v>
      </c>
      <c r="BY189" s="4">
        <v>1846.5</v>
      </c>
      <c r="BZ189" s="4">
        <v>1836</v>
      </c>
    </row>
    <row r="190" spans="1:78" ht="15.9" customHeight="1">
      <c r="A190" s="61" t="s">
        <v>373</v>
      </c>
      <c r="B190" s="6" t="s">
        <v>374</v>
      </c>
      <c r="C190" s="15">
        <f>_xll.RssMarket("7181","現在値")</f>
        <v>1728</v>
      </c>
      <c r="D190" s="16">
        <f>C190-E190</f>
        <v>42</v>
      </c>
      <c r="E190" s="13">
        <v>1686</v>
      </c>
      <c r="F190" s="13">
        <v>1728</v>
      </c>
      <c r="G190" s="13">
        <v>1771</v>
      </c>
      <c r="H190" s="13">
        <v>1766</v>
      </c>
      <c r="I190" s="13">
        <v>1783.5</v>
      </c>
      <c r="J190" s="13">
        <v>1752.5</v>
      </c>
      <c r="K190" s="13">
        <v>1795.5</v>
      </c>
      <c r="L190" s="13">
        <v>1769</v>
      </c>
      <c r="M190" s="13">
        <v>1749</v>
      </c>
      <c r="N190" s="13">
        <v>1728</v>
      </c>
      <c r="O190" s="13">
        <v>1686</v>
      </c>
      <c r="P190" s="13">
        <v>1610.5</v>
      </c>
      <c r="Q190" s="13">
        <v>1672.5</v>
      </c>
      <c r="R190" s="13">
        <v>1660</v>
      </c>
      <c r="S190" s="13">
        <v>1622.5</v>
      </c>
      <c r="T190" s="13">
        <v>1612.5</v>
      </c>
      <c r="U190" s="13">
        <v>1641.5</v>
      </c>
      <c r="V190" s="13">
        <v>1646</v>
      </c>
      <c r="W190" s="13">
        <v>1667</v>
      </c>
      <c r="X190" s="13">
        <v>1654.5</v>
      </c>
      <c r="Y190" s="13">
        <v>1613</v>
      </c>
      <c r="Z190" s="13">
        <v>1581.5</v>
      </c>
      <c r="AA190" s="13">
        <v>1519</v>
      </c>
      <c r="AB190" s="13">
        <v>1526.5</v>
      </c>
      <c r="AC190" s="13">
        <v>1499</v>
      </c>
      <c r="AD190" s="13">
        <v>1491.5</v>
      </c>
      <c r="AE190" s="13">
        <v>1473.5</v>
      </c>
      <c r="AF190" s="13">
        <v>1487</v>
      </c>
      <c r="AG190" s="13">
        <v>1518.5</v>
      </c>
      <c r="AH190" s="13">
        <v>1524.5</v>
      </c>
      <c r="AI190" s="13">
        <v>1525</v>
      </c>
      <c r="AJ190" s="13">
        <v>1550</v>
      </c>
      <c r="AK190" s="13">
        <v>1516</v>
      </c>
      <c r="AL190" s="13">
        <v>1560</v>
      </c>
      <c r="AM190" s="13">
        <v>1564.5</v>
      </c>
      <c r="AN190" s="13">
        <v>1541</v>
      </c>
      <c r="AO190" s="13">
        <v>1535</v>
      </c>
      <c r="AP190" s="13">
        <v>1568</v>
      </c>
      <c r="AQ190" s="13">
        <v>1455</v>
      </c>
      <c r="AR190" s="13">
        <v>1422.5</v>
      </c>
      <c r="AS190" s="13">
        <v>1404.5</v>
      </c>
      <c r="AT190" s="13">
        <v>1429.5</v>
      </c>
      <c r="AU190" s="13">
        <v>1407.5</v>
      </c>
      <c r="AV190" s="13">
        <v>1429.5</v>
      </c>
      <c r="AW190" s="13">
        <v>1413.5</v>
      </c>
      <c r="AX190" s="13">
        <v>1479</v>
      </c>
      <c r="AY190" s="13">
        <v>1473.5</v>
      </c>
      <c r="AZ190" s="13">
        <v>1526.5</v>
      </c>
      <c r="BA190" s="13">
        <v>1543.5</v>
      </c>
      <c r="BB190" s="13">
        <v>1529</v>
      </c>
      <c r="BC190" s="13">
        <v>1525</v>
      </c>
      <c r="BD190" s="13">
        <v>1463.5</v>
      </c>
      <c r="BE190" s="13">
        <v>1648</v>
      </c>
      <c r="BF190" s="13">
        <v>1594.5</v>
      </c>
      <c r="BG190" s="13">
        <v>1618</v>
      </c>
      <c r="BH190" s="13">
        <v>1554</v>
      </c>
      <c r="BI190" s="13">
        <v>1547.5</v>
      </c>
      <c r="BJ190" s="13">
        <v>1558.5</v>
      </c>
      <c r="BK190" s="13">
        <v>1573</v>
      </c>
      <c r="BL190" s="13">
        <v>1531</v>
      </c>
      <c r="BM190" s="4">
        <v>1525.5</v>
      </c>
      <c r="BN190" s="4">
        <v>1525.5</v>
      </c>
      <c r="BO190" s="4">
        <v>1491</v>
      </c>
      <c r="BP190" s="4">
        <v>1495.5</v>
      </c>
      <c r="BQ190" s="4">
        <v>1506</v>
      </c>
      <c r="BR190" s="4">
        <v>1498</v>
      </c>
      <c r="BS190" s="4">
        <v>1542.5</v>
      </c>
      <c r="BT190" s="4">
        <v>1576.5</v>
      </c>
      <c r="BU190" s="4">
        <v>1600.5</v>
      </c>
      <c r="BV190" s="4">
        <v>1670</v>
      </c>
      <c r="BW190" s="4">
        <v>1644.5</v>
      </c>
      <c r="BX190" s="4">
        <v>1625</v>
      </c>
      <c r="BY190" s="4">
        <v>1584.5</v>
      </c>
      <c r="BZ190" s="4">
        <v>1595.5</v>
      </c>
    </row>
    <row r="191" spans="1:78" ht="15.9" customHeight="1">
      <c r="A191" s="61" t="s">
        <v>375</v>
      </c>
      <c r="B191" s="6" t="str">
        <f>銘柄管理!C191</f>
        <v>前澤給装工業</v>
      </c>
      <c r="C191" s="15">
        <f>_xll.RssMarket("6485","現在値")</f>
        <v>1576</v>
      </c>
      <c r="D191" s="16"/>
      <c r="E191" s="13">
        <v>1573</v>
      </c>
      <c r="F191" s="13">
        <v>1569</v>
      </c>
      <c r="G191" s="13">
        <v>1572</v>
      </c>
      <c r="H191" s="13">
        <v>1588</v>
      </c>
      <c r="I191" s="13">
        <v>1595</v>
      </c>
      <c r="J191" s="13">
        <v>1567</v>
      </c>
      <c r="K191" s="13">
        <v>1581</v>
      </c>
      <c r="L191" s="13">
        <v>1544</v>
      </c>
      <c r="M191" s="13">
        <v>1544</v>
      </c>
      <c r="N191" s="13">
        <v>1544</v>
      </c>
      <c r="O191" s="13">
        <v>1537</v>
      </c>
      <c r="P191" s="13">
        <v>1526</v>
      </c>
      <c r="Q191" s="13">
        <v>1554</v>
      </c>
      <c r="R191" s="13">
        <v>1536</v>
      </c>
      <c r="S191" s="13">
        <v>1539</v>
      </c>
      <c r="T191" s="13">
        <v>1572</v>
      </c>
      <c r="U191" s="13">
        <v>1546</v>
      </c>
      <c r="V191" s="13">
        <v>1547</v>
      </c>
      <c r="W191" s="13">
        <v>1527</v>
      </c>
      <c r="X191" s="13">
        <v>1524</v>
      </c>
      <c r="Y191" s="13">
        <v>1520</v>
      </c>
      <c r="Z191" s="13">
        <v>1529</v>
      </c>
      <c r="AA191" s="13">
        <v>1519</v>
      </c>
      <c r="AB191" s="13">
        <v>1496</v>
      </c>
      <c r="AC191" s="13">
        <v>1509</v>
      </c>
      <c r="AD191" s="13">
        <v>1501</v>
      </c>
      <c r="AE191" s="13">
        <v>1483</v>
      </c>
      <c r="AF191" s="13">
        <v>1464</v>
      </c>
      <c r="AG191" s="13">
        <v>1464</v>
      </c>
      <c r="AH191" s="13">
        <v>1482</v>
      </c>
      <c r="AI191" s="13">
        <v>1459</v>
      </c>
      <c r="AJ191" s="13">
        <v>1473</v>
      </c>
      <c r="AK191" s="13">
        <v>1454</v>
      </c>
      <c r="AL191" s="13">
        <v>1449</v>
      </c>
      <c r="AM191" s="13">
        <v>1440</v>
      </c>
      <c r="AN191" s="13">
        <v>1424</v>
      </c>
      <c r="AO191" s="13">
        <v>1411</v>
      </c>
      <c r="AP191" s="13">
        <v>1429</v>
      </c>
      <c r="AQ191" s="13">
        <v>1419</v>
      </c>
      <c r="AR191" s="13">
        <v>1435</v>
      </c>
      <c r="AS191" s="13">
        <v>1414</v>
      </c>
      <c r="AT191" s="13">
        <v>1402</v>
      </c>
      <c r="AU191" s="13">
        <v>1376</v>
      </c>
      <c r="AV191" s="13">
        <v>1417</v>
      </c>
      <c r="AW191" s="13">
        <v>1425</v>
      </c>
      <c r="AX191" s="13">
        <v>1420</v>
      </c>
      <c r="AY191" s="13">
        <v>1411</v>
      </c>
      <c r="AZ191" s="13">
        <v>1411</v>
      </c>
      <c r="BA191" s="13">
        <v>1411</v>
      </c>
      <c r="BB191" s="13">
        <v>1428</v>
      </c>
      <c r="BC191" s="13">
        <v>1455</v>
      </c>
      <c r="BD191" s="13">
        <v>1442</v>
      </c>
      <c r="BE191" s="13">
        <v>1497</v>
      </c>
      <c r="BF191" s="13">
        <v>1485</v>
      </c>
      <c r="BG191" s="13">
        <v>1500</v>
      </c>
      <c r="BH191" s="13">
        <v>1524</v>
      </c>
      <c r="BI191" s="13">
        <v>1508</v>
      </c>
      <c r="BJ191" s="13">
        <v>1507</v>
      </c>
      <c r="BK191" s="13">
        <v>1512</v>
      </c>
      <c r="BL191" s="13">
        <v>1503</v>
      </c>
      <c r="BM191" s="4">
        <v>1493</v>
      </c>
      <c r="BN191" s="4">
        <v>1555</v>
      </c>
      <c r="BO191" s="4">
        <v>1491</v>
      </c>
      <c r="BP191" s="4">
        <v>1498</v>
      </c>
      <c r="BQ191" s="4">
        <v>1504</v>
      </c>
      <c r="BR191" s="4">
        <v>1525</v>
      </c>
      <c r="BS191" s="4">
        <v>1554</v>
      </c>
      <c r="BT191" s="4">
        <v>1554</v>
      </c>
      <c r="BU191" s="4">
        <v>1555</v>
      </c>
      <c r="BV191" s="4">
        <v>1567</v>
      </c>
      <c r="BW191" s="4">
        <v>1576</v>
      </c>
      <c r="BX191" s="4">
        <v>1574</v>
      </c>
      <c r="BY191" s="4">
        <v>1594</v>
      </c>
      <c r="BZ191" s="4">
        <v>1611</v>
      </c>
    </row>
    <row r="192" spans="1:78" ht="15.9" customHeight="1">
      <c r="A192" s="61" t="s">
        <v>376</v>
      </c>
      <c r="B192" s="6" t="s">
        <v>377</v>
      </c>
      <c r="C192" s="15">
        <f>_xll.RssMarket("4887","現在値")</f>
        <v>1604</v>
      </c>
      <c r="D192" s="16">
        <f t="shared" ref="D192:D208" si="6">C192-E192</f>
        <v>2.5</v>
      </c>
      <c r="E192" s="13">
        <v>1601.5</v>
      </c>
      <c r="F192" s="13">
        <v>1616.5</v>
      </c>
      <c r="G192" s="13">
        <v>1650.5</v>
      </c>
      <c r="H192" s="13">
        <v>1697.5</v>
      </c>
      <c r="I192" s="13">
        <v>1710.5</v>
      </c>
      <c r="J192" s="13">
        <v>1675</v>
      </c>
      <c r="K192" s="13">
        <v>1679</v>
      </c>
      <c r="L192" s="13">
        <v>1659.5</v>
      </c>
      <c r="M192" s="13">
        <v>1662.5</v>
      </c>
      <c r="N192" s="13">
        <v>1680.5</v>
      </c>
      <c r="O192" s="13">
        <v>1681</v>
      </c>
      <c r="P192" s="13">
        <v>1681</v>
      </c>
      <c r="Q192" s="13">
        <v>1693.5</v>
      </c>
      <c r="R192" s="13">
        <v>1675</v>
      </c>
      <c r="S192" s="13">
        <v>1661</v>
      </c>
      <c r="T192" s="13">
        <v>1673</v>
      </c>
      <c r="U192" s="13">
        <v>1690</v>
      </c>
      <c r="V192" s="13">
        <v>1716</v>
      </c>
      <c r="W192" s="13">
        <v>1740.5</v>
      </c>
      <c r="X192" s="13">
        <v>1747.5</v>
      </c>
      <c r="Y192" s="13">
        <v>1718</v>
      </c>
      <c r="Z192" s="13">
        <v>1702</v>
      </c>
      <c r="AA192" s="13">
        <v>1675</v>
      </c>
      <c r="AB192" s="13">
        <v>1685</v>
      </c>
      <c r="AC192" s="13">
        <v>1663.5</v>
      </c>
      <c r="AD192" s="13">
        <v>1626</v>
      </c>
      <c r="AE192" s="13">
        <v>1650.5</v>
      </c>
      <c r="AF192" s="13">
        <v>1658</v>
      </c>
      <c r="AG192" s="13">
        <v>1646.5</v>
      </c>
      <c r="AH192" s="13">
        <v>1633.5</v>
      </c>
      <c r="AI192" s="13">
        <v>1638</v>
      </c>
      <c r="AJ192" s="13">
        <v>1652.5</v>
      </c>
      <c r="AK192" s="13">
        <v>1676.5</v>
      </c>
      <c r="AL192" s="13">
        <v>1650.5</v>
      </c>
      <c r="AM192" s="13">
        <v>1674</v>
      </c>
      <c r="AN192" s="13">
        <v>1711</v>
      </c>
      <c r="AO192" s="13">
        <v>1711</v>
      </c>
      <c r="AP192" s="13">
        <v>1720</v>
      </c>
      <c r="AQ192" s="13">
        <v>1688</v>
      </c>
      <c r="AR192" s="13">
        <v>1712.5</v>
      </c>
      <c r="AS192" s="13">
        <v>1717</v>
      </c>
      <c r="AT192" s="13">
        <v>1719.5</v>
      </c>
      <c r="AU192" s="13">
        <v>1707.5</v>
      </c>
      <c r="AV192" s="13">
        <v>1749</v>
      </c>
      <c r="AW192" s="13">
        <v>1734.5</v>
      </c>
      <c r="AX192" s="13">
        <v>1773.5</v>
      </c>
      <c r="AY192" s="13">
        <v>1788.5</v>
      </c>
      <c r="AZ192" s="13">
        <v>1768</v>
      </c>
      <c r="BA192" s="13">
        <v>1757.5</v>
      </c>
      <c r="BB192" s="13">
        <v>1789</v>
      </c>
      <c r="BC192" s="13">
        <v>1805</v>
      </c>
      <c r="BD192" s="13">
        <v>1740</v>
      </c>
      <c r="BE192" s="13">
        <v>2032.5</v>
      </c>
      <c r="BF192" s="13">
        <v>2082.5</v>
      </c>
      <c r="BG192" s="13">
        <v>2080.5</v>
      </c>
      <c r="BH192" s="13">
        <v>2081</v>
      </c>
      <c r="BI192" s="13">
        <v>2097.5</v>
      </c>
      <c r="BJ192" s="13">
        <v>2102</v>
      </c>
      <c r="BK192" s="13">
        <v>2135</v>
      </c>
      <c r="BL192" s="13">
        <v>2066</v>
      </c>
      <c r="BM192" s="4">
        <v>2104.5</v>
      </c>
      <c r="BN192" s="4">
        <v>2098.5</v>
      </c>
      <c r="BO192" s="4">
        <v>2080.5</v>
      </c>
      <c r="BP192" s="4">
        <v>2121</v>
      </c>
      <c r="BQ192" s="4">
        <v>2099</v>
      </c>
      <c r="BR192" s="4">
        <v>2110.5</v>
      </c>
      <c r="BS192" s="4">
        <v>2174</v>
      </c>
      <c r="BT192" s="4">
        <v>2189.5</v>
      </c>
      <c r="BU192" s="4">
        <v>2208</v>
      </c>
      <c r="BV192" s="4">
        <v>2248</v>
      </c>
      <c r="BW192" s="4">
        <v>2222</v>
      </c>
      <c r="BX192" s="4">
        <v>2177</v>
      </c>
      <c r="BY192" s="4">
        <v>2224.5</v>
      </c>
      <c r="BZ192" s="4">
        <v>2255.5</v>
      </c>
    </row>
    <row r="193" spans="1:78" ht="15.9" customHeight="1">
      <c r="A193" s="61" t="s">
        <v>378</v>
      </c>
      <c r="B193" s="6" t="s">
        <v>379</v>
      </c>
      <c r="C193" s="15">
        <f>_xll.RssMarket("5243","現在値")</f>
        <v>2269</v>
      </c>
      <c r="D193" s="16">
        <f t="shared" si="6"/>
        <v>111</v>
      </c>
      <c r="E193" s="13">
        <v>2158</v>
      </c>
      <c r="F193" s="13">
        <v>1984</v>
      </c>
      <c r="G193" s="13">
        <v>2129</v>
      </c>
      <c r="H193" s="13">
        <v>2039</v>
      </c>
      <c r="I193" s="13">
        <v>2065</v>
      </c>
      <c r="J193" s="13">
        <v>2045</v>
      </c>
      <c r="K193" s="13">
        <v>2112</v>
      </c>
      <c r="L193" s="13">
        <v>2025</v>
      </c>
      <c r="M193" s="13">
        <v>2013</v>
      </c>
      <c r="N193" s="13">
        <v>1930</v>
      </c>
      <c r="O193" s="13">
        <v>2042</v>
      </c>
      <c r="P193" s="13">
        <v>2050</v>
      </c>
      <c r="Q193" s="13">
        <v>2144</v>
      </c>
      <c r="R193" s="13">
        <v>2061</v>
      </c>
      <c r="S193" s="13">
        <v>2106</v>
      </c>
      <c r="T193" s="13">
        <v>2258</v>
      </c>
      <c r="U193" s="13">
        <v>2010</v>
      </c>
      <c r="V193" s="13">
        <v>2289</v>
      </c>
      <c r="W193" s="13">
        <v>2219</v>
      </c>
      <c r="X193" s="13">
        <v>2250</v>
      </c>
      <c r="Y193" s="13">
        <v>2075</v>
      </c>
      <c r="Z193" s="13">
        <v>2024</v>
      </c>
      <c r="AA193" s="13">
        <v>1920</v>
      </c>
      <c r="AB193" s="13">
        <v>1920</v>
      </c>
      <c r="AC193" s="13">
        <v>1838</v>
      </c>
      <c r="AD193" s="13">
        <v>1745</v>
      </c>
      <c r="AE193" s="13">
        <v>1730</v>
      </c>
      <c r="AF193" s="13">
        <v>1736</v>
      </c>
      <c r="AG193" s="13">
        <v>1741</v>
      </c>
      <c r="AH193" s="13">
        <v>1800</v>
      </c>
      <c r="AI193" s="13">
        <v>1760</v>
      </c>
      <c r="AJ193" s="13">
        <v>1881</v>
      </c>
      <c r="AK193" s="13">
        <v>1821</v>
      </c>
      <c r="AL193" s="13">
        <v>1728</v>
      </c>
      <c r="AM193" s="13">
        <v>1673</v>
      </c>
      <c r="AN193" s="13">
        <v>1655</v>
      </c>
      <c r="AO193" s="13">
        <v>1683</v>
      </c>
      <c r="AP193" s="13">
        <v>1676</v>
      </c>
      <c r="AQ193" s="13">
        <v>1754</v>
      </c>
      <c r="AR193" s="13">
        <v>1848</v>
      </c>
      <c r="AS193" s="13">
        <v>1816</v>
      </c>
      <c r="AT193" s="13">
        <v>1935</v>
      </c>
      <c r="AU193" s="13">
        <v>1901</v>
      </c>
      <c r="AV193" s="13">
        <v>2070</v>
      </c>
      <c r="AW193" s="13">
        <v>2063</v>
      </c>
      <c r="AX193" s="13">
        <v>2060</v>
      </c>
      <c r="AY193" s="13">
        <v>2191</v>
      </c>
      <c r="AZ193" s="13">
        <v>2248</v>
      </c>
      <c r="BA193" s="13">
        <v>2216</v>
      </c>
      <c r="BB193" s="13">
        <v>2147</v>
      </c>
      <c r="BC193" s="13">
        <v>2205</v>
      </c>
      <c r="BD193" s="13">
        <v>2264</v>
      </c>
      <c r="BE193" s="13">
        <v>2255</v>
      </c>
      <c r="BF193" s="13">
        <v>2297</v>
      </c>
      <c r="BG193" s="13">
        <v>2407</v>
      </c>
      <c r="BH193" s="13">
        <v>2245</v>
      </c>
      <c r="BI193" s="13">
        <v>2135</v>
      </c>
      <c r="BJ193" s="13">
        <v>2150</v>
      </c>
      <c r="BK193" s="13">
        <v>2251</v>
      </c>
      <c r="BL193" s="13">
        <v>2363</v>
      </c>
      <c r="BM193" s="4">
        <v>2424</v>
      </c>
      <c r="BN193" s="4">
        <v>2503</v>
      </c>
      <c r="BO193" s="4">
        <v>2330</v>
      </c>
      <c r="BP193" s="4">
        <v>2449</v>
      </c>
      <c r="BQ193" s="4">
        <v>2490</v>
      </c>
      <c r="BR193" s="4">
        <v>2691</v>
      </c>
      <c r="BS193" s="4">
        <v>2571</v>
      </c>
      <c r="BT193" s="4">
        <v>2609</v>
      </c>
      <c r="BU193" s="4">
        <v>2608</v>
      </c>
      <c r="BV193" s="4">
        <v>2769</v>
      </c>
      <c r="BW193" s="4">
        <v>2521</v>
      </c>
      <c r="BX193" s="4">
        <v>3010</v>
      </c>
      <c r="BY193" s="4">
        <v>2909</v>
      </c>
      <c r="BZ193" s="4">
        <v>2703</v>
      </c>
    </row>
    <row r="194" spans="1:78" ht="15.9" customHeight="1">
      <c r="A194" s="61" t="s">
        <v>380</v>
      </c>
      <c r="B194" s="6" t="s">
        <v>381</v>
      </c>
      <c r="C194" s="15">
        <f>_xll.RssMarket("2702","現在値")</f>
        <v>8020</v>
      </c>
      <c r="D194" s="16">
        <f t="shared" si="6"/>
        <v>-130</v>
      </c>
      <c r="E194" s="13">
        <v>8150</v>
      </c>
      <c r="F194" s="13">
        <v>8220</v>
      </c>
      <c r="G194" s="13">
        <v>8080</v>
      </c>
      <c r="H194" s="13">
        <v>8190</v>
      </c>
      <c r="I194" s="13">
        <v>8060</v>
      </c>
      <c r="J194" s="13">
        <v>7910</v>
      </c>
      <c r="K194" s="13">
        <v>7730</v>
      </c>
      <c r="L194" s="13"/>
      <c r="M194" s="13">
        <v>7550</v>
      </c>
      <c r="N194" s="13">
        <v>7540</v>
      </c>
      <c r="O194" s="13">
        <v>7580</v>
      </c>
      <c r="P194" s="13">
        <v>7630</v>
      </c>
      <c r="Q194" s="13">
        <v>7580</v>
      </c>
      <c r="R194" s="13">
        <v>7700</v>
      </c>
      <c r="S194" s="13">
        <v>7730</v>
      </c>
      <c r="T194" s="13">
        <v>7680</v>
      </c>
      <c r="U194" s="13">
        <v>7890</v>
      </c>
      <c r="V194" s="13">
        <v>7750</v>
      </c>
      <c r="W194" s="13">
        <v>7760</v>
      </c>
      <c r="X194" s="13">
        <v>7640</v>
      </c>
      <c r="Y194" s="13">
        <v>7650</v>
      </c>
      <c r="Z194" s="13">
        <v>7570</v>
      </c>
      <c r="AA194" s="13">
        <v>7340</v>
      </c>
      <c r="AB194" s="13">
        <v>7480</v>
      </c>
      <c r="AC194" s="13">
        <v>7580</v>
      </c>
      <c r="AD194" s="13">
        <v>7460</v>
      </c>
      <c r="AE194" s="13">
        <v>7400</v>
      </c>
      <c r="AF194" s="13">
        <v>7250</v>
      </c>
      <c r="AG194" s="13">
        <v>7100</v>
      </c>
      <c r="AH194" s="13">
        <v>7150</v>
      </c>
      <c r="AI194" s="13">
        <v>7240</v>
      </c>
      <c r="AJ194" s="13">
        <v>7330</v>
      </c>
      <c r="AK194" s="13">
        <v>7410</v>
      </c>
      <c r="AL194" s="13">
        <v>7380</v>
      </c>
      <c r="AM194" s="13">
        <v>7410</v>
      </c>
      <c r="AN194" s="13">
        <v>7500</v>
      </c>
      <c r="AO194" s="13">
        <v>7470</v>
      </c>
      <c r="AP194" s="13">
        <v>7280</v>
      </c>
      <c r="AQ194" s="13">
        <v>7430</v>
      </c>
      <c r="AR194" s="13">
        <v>7360</v>
      </c>
      <c r="AS194" s="13">
        <v>7310</v>
      </c>
      <c r="AT194" s="13">
        <v>7490</v>
      </c>
      <c r="AU194" s="13">
        <v>7570</v>
      </c>
      <c r="AV194" s="13">
        <v>7790</v>
      </c>
      <c r="AW194" s="13">
        <v>7780</v>
      </c>
      <c r="AX194" s="13">
        <v>7870</v>
      </c>
      <c r="AY194" s="13">
        <v>8080</v>
      </c>
      <c r="AZ194" s="13">
        <v>8130</v>
      </c>
      <c r="BA194" s="13">
        <v>7980</v>
      </c>
      <c r="BB194" s="13">
        <v>8070</v>
      </c>
      <c r="BC194" s="13">
        <v>8000</v>
      </c>
      <c r="BD194" s="13">
        <v>7800</v>
      </c>
      <c r="BE194" s="13">
        <v>8130</v>
      </c>
      <c r="BF194" s="13">
        <v>8330</v>
      </c>
      <c r="BG194" s="13">
        <v>8590</v>
      </c>
      <c r="BH194" s="13">
        <v>7690</v>
      </c>
      <c r="BI194" s="13">
        <v>7740</v>
      </c>
      <c r="BJ194" s="13">
        <v>7870</v>
      </c>
      <c r="BK194" s="13">
        <v>8000</v>
      </c>
      <c r="BL194" s="13">
        <v>8130</v>
      </c>
      <c r="BM194" s="4">
        <v>8120</v>
      </c>
      <c r="BN194" s="4">
        <v>8190</v>
      </c>
      <c r="BO194" s="4">
        <v>8210</v>
      </c>
      <c r="BP194" s="4">
        <v>8100</v>
      </c>
      <c r="BQ194" s="4">
        <v>8120</v>
      </c>
      <c r="BR194" s="4">
        <v>8210</v>
      </c>
      <c r="BS194" s="4">
        <v>8250</v>
      </c>
      <c r="BT194" s="4">
        <v>8260</v>
      </c>
      <c r="BU194" s="4">
        <v>8190</v>
      </c>
      <c r="BV194" s="4">
        <v>8200</v>
      </c>
      <c r="BW194" s="4">
        <v>8240</v>
      </c>
      <c r="BX194" s="4">
        <v>8030</v>
      </c>
      <c r="BY194" s="4">
        <v>8090</v>
      </c>
      <c r="BZ194" s="4">
        <v>8240</v>
      </c>
    </row>
    <row r="195" spans="1:78" ht="15.9" customHeight="1">
      <c r="A195" s="61" t="s">
        <v>382</v>
      </c>
      <c r="B195" s="6" t="s">
        <v>383</v>
      </c>
      <c r="C195" s="15">
        <f>_xll.RssMarket("6890","現在値")</f>
        <v>9370</v>
      </c>
      <c r="D195" s="16">
        <f t="shared" si="6"/>
        <v>630</v>
      </c>
      <c r="E195" s="13">
        <v>8740</v>
      </c>
      <c r="F195" s="13">
        <v>8190</v>
      </c>
      <c r="G195" s="13">
        <v>8300</v>
      </c>
      <c r="H195" s="13">
        <v>7160</v>
      </c>
      <c r="I195" s="13">
        <v>7250</v>
      </c>
      <c r="J195" s="13">
        <v>7550</v>
      </c>
      <c r="K195" s="13">
        <v>8620</v>
      </c>
      <c r="L195" s="13">
        <v>8920</v>
      </c>
      <c r="M195" s="13">
        <v>8940</v>
      </c>
      <c r="N195" s="13">
        <v>7440</v>
      </c>
      <c r="O195" s="13">
        <v>7200</v>
      </c>
      <c r="P195" s="13">
        <v>7010</v>
      </c>
      <c r="Q195" s="13">
        <v>8260</v>
      </c>
      <c r="R195" s="13">
        <v>8100</v>
      </c>
      <c r="S195" s="13">
        <v>8430</v>
      </c>
      <c r="T195" s="13">
        <v>9090</v>
      </c>
      <c r="U195" s="13">
        <v>8330</v>
      </c>
      <c r="V195" s="13">
        <v>8150</v>
      </c>
      <c r="W195" s="13">
        <v>8440</v>
      </c>
      <c r="X195" s="13">
        <v>9060</v>
      </c>
      <c r="Y195" s="13">
        <v>9280</v>
      </c>
      <c r="Z195" s="13">
        <v>8950</v>
      </c>
      <c r="AA195" s="13">
        <v>9720</v>
      </c>
      <c r="AB195" s="13">
        <v>9530</v>
      </c>
      <c r="AC195" s="13">
        <v>9140</v>
      </c>
      <c r="AD195" s="13">
        <v>9460</v>
      </c>
      <c r="AE195" s="13">
        <v>10260</v>
      </c>
      <c r="AF195" s="13">
        <v>9800</v>
      </c>
      <c r="AG195" s="13">
        <v>10590</v>
      </c>
      <c r="AH195" s="13">
        <v>11590</v>
      </c>
      <c r="AI195" s="13">
        <v>10470</v>
      </c>
      <c r="AJ195" s="13">
        <v>10280</v>
      </c>
      <c r="AK195" s="13">
        <v>9440</v>
      </c>
      <c r="AL195" s="13">
        <v>9300</v>
      </c>
      <c r="AM195" s="13">
        <v>9300</v>
      </c>
      <c r="AN195" s="13">
        <v>9100</v>
      </c>
      <c r="AO195" s="13">
        <v>7940</v>
      </c>
      <c r="AP195" s="13">
        <v>7880</v>
      </c>
      <c r="AQ195" s="13">
        <v>8230</v>
      </c>
      <c r="AR195" s="13">
        <v>9100</v>
      </c>
      <c r="AS195" s="13">
        <v>9020</v>
      </c>
      <c r="AT195" s="13">
        <v>7950</v>
      </c>
      <c r="AU195" s="13">
        <v>8010</v>
      </c>
      <c r="AV195" s="13">
        <v>8690</v>
      </c>
      <c r="AW195" s="13">
        <v>8540</v>
      </c>
      <c r="AX195" s="13">
        <v>8530</v>
      </c>
      <c r="AY195" s="13">
        <v>9220</v>
      </c>
      <c r="AZ195" s="13">
        <v>8930</v>
      </c>
      <c r="BA195" s="13">
        <v>8720</v>
      </c>
      <c r="BB195" s="13">
        <v>8760</v>
      </c>
      <c r="BC195" s="13">
        <v>8550</v>
      </c>
      <c r="BD195" s="13">
        <v>9200</v>
      </c>
      <c r="BE195" s="13">
        <v>9460</v>
      </c>
      <c r="BF195" s="13">
        <v>9800</v>
      </c>
      <c r="BG195" s="13">
        <v>9430</v>
      </c>
      <c r="BH195" s="13">
        <v>9620</v>
      </c>
      <c r="BI195" s="13">
        <v>9610</v>
      </c>
      <c r="BJ195" s="13">
        <v>9580</v>
      </c>
      <c r="BK195" s="13">
        <v>9150</v>
      </c>
      <c r="BL195" s="13">
        <v>8090</v>
      </c>
      <c r="BM195" s="4">
        <v>7530</v>
      </c>
      <c r="BN195" s="4">
        <v>7750</v>
      </c>
      <c r="BO195" s="4">
        <v>7230</v>
      </c>
      <c r="BP195" s="4">
        <v>7480</v>
      </c>
      <c r="BQ195" s="4">
        <v>7200</v>
      </c>
      <c r="BR195" s="4">
        <v>7000</v>
      </c>
      <c r="BS195" s="4">
        <v>6810</v>
      </c>
      <c r="BT195" s="4">
        <v>6700</v>
      </c>
      <c r="BU195" s="4">
        <v>6700</v>
      </c>
      <c r="BV195" s="4">
        <v>6760</v>
      </c>
      <c r="BW195" s="4">
        <v>6760</v>
      </c>
      <c r="BX195" s="4">
        <v>6930</v>
      </c>
      <c r="BY195" s="4">
        <v>6940</v>
      </c>
      <c r="BZ195" s="4">
        <v>6980</v>
      </c>
    </row>
    <row r="196" spans="1:78" ht="15.9" customHeight="1">
      <c r="A196" s="61" t="s">
        <v>384</v>
      </c>
      <c r="B196" s="6" t="s">
        <v>385</v>
      </c>
      <c r="C196" s="15">
        <f>_xll.RssMarket("4966","現在値")</f>
        <v>25610</v>
      </c>
      <c r="D196" s="16">
        <f t="shared" si="6"/>
        <v>1710</v>
      </c>
      <c r="E196" s="13">
        <v>23900</v>
      </c>
      <c r="F196" s="13">
        <v>22930</v>
      </c>
      <c r="G196" s="13">
        <v>22380</v>
      </c>
      <c r="H196" s="13">
        <v>20450</v>
      </c>
      <c r="I196" s="13">
        <v>20230</v>
      </c>
      <c r="J196" s="13">
        <v>21630</v>
      </c>
      <c r="K196" s="13">
        <v>23130</v>
      </c>
      <c r="L196" s="13">
        <v>23430</v>
      </c>
      <c r="M196" s="13">
        <v>24130</v>
      </c>
      <c r="N196" s="13">
        <v>23910</v>
      </c>
      <c r="O196" s="13">
        <v>23980</v>
      </c>
      <c r="P196" s="13">
        <v>23000</v>
      </c>
      <c r="Q196" s="13">
        <v>25250</v>
      </c>
      <c r="R196" s="13">
        <v>24020</v>
      </c>
      <c r="S196" s="13">
        <v>23490</v>
      </c>
      <c r="T196" s="13">
        <v>24740</v>
      </c>
      <c r="U196" s="13">
        <v>24250</v>
      </c>
      <c r="V196" s="13">
        <v>23750</v>
      </c>
      <c r="W196" s="13">
        <v>24150</v>
      </c>
      <c r="X196" s="13">
        <v>25730</v>
      </c>
      <c r="Y196" s="13">
        <v>26630</v>
      </c>
      <c r="Z196" s="13">
        <v>25750</v>
      </c>
      <c r="AA196" s="13">
        <v>27610</v>
      </c>
      <c r="AB196" s="13">
        <v>27440</v>
      </c>
      <c r="AC196" s="13">
        <v>26830</v>
      </c>
      <c r="AD196" s="13">
        <v>26930</v>
      </c>
      <c r="AE196" s="13">
        <v>27570</v>
      </c>
      <c r="AF196" s="13">
        <v>27190</v>
      </c>
      <c r="AG196" s="13">
        <v>26950</v>
      </c>
      <c r="AH196" s="13">
        <v>28050</v>
      </c>
      <c r="AI196" s="13">
        <v>27070</v>
      </c>
      <c r="AJ196" s="13">
        <v>27070</v>
      </c>
      <c r="AK196" s="13">
        <v>26340</v>
      </c>
      <c r="AL196" s="13">
        <v>26410</v>
      </c>
      <c r="AM196" s="13">
        <v>26190</v>
      </c>
      <c r="AN196" s="13">
        <v>24160</v>
      </c>
      <c r="AO196" s="13">
        <v>23150</v>
      </c>
      <c r="AP196" s="13">
        <v>22470</v>
      </c>
      <c r="AQ196" s="13">
        <v>21800</v>
      </c>
      <c r="AR196" s="13">
        <v>22740</v>
      </c>
      <c r="AS196" s="13">
        <v>23020</v>
      </c>
      <c r="AT196" s="13">
        <v>23580</v>
      </c>
      <c r="AU196" s="13">
        <v>23160</v>
      </c>
      <c r="AV196" s="13">
        <v>23320</v>
      </c>
      <c r="AW196" s="13">
        <v>23470</v>
      </c>
      <c r="AX196" s="13">
        <v>23780</v>
      </c>
      <c r="AY196" s="13">
        <v>23890</v>
      </c>
      <c r="AZ196" s="13">
        <v>24250</v>
      </c>
      <c r="BA196" s="13">
        <v>23440</v>
      </c>
      <c r="BB196" s="13">
        <v>22750</v>
      </c>
      <c r="BC196" s="13">
        <v>22810</v>
      </c>
      <c r="BD196" s="13">
        <v>23800</v>
      </c>
      <c r="BE196" s="13">
        <v>23990</v>
      </c>
      <c r="BF196" s="13">
        <v>25680</v>
      </c>
      <c r="BG196" s="13">
        <v>24970</v>
      </c>
      <c r="BH196" s="13">
        <v>24600</v>
      </c>
      <c r="BI196" s="13">
        <v>23830</v>
      </c>
      <c r="BJ196" s="13">
        <v>23710</v>
      </c>
      <c r="BK196" s="13">
        <v>23800</v>
      </c>
      <c r="BL196" s="13">
        <v>22600</v>
      </c>
      <c r="BM196" s="4">
        <v>23440</v>
      </c>
      <c r="BN196" s="4">
        <v>23320</v>
      </c>
      <c r="BO196" s="4">
        <v>23270</v>
      </c>
      <c r="BP196" s="4">
        <v>23320</v>
      </c>
      <c r="BQ196" s="4">
        <v>23060</v>
      </c>
      <c r="BR196" s="4">
        <v>23410</v>
      </c>
      <c r="BS196" s="4">
        <v>23020</v>
      </c>
      <c r="BT196" s="4">
        <v>22810</v>
      </c>
      <c r="BU196" s="4">
        <v>23140</v>
      </c>
      <c r="BV196" s="4">
        <v>23680</v>
      </c>
      <c r="BW196" s="4">
        <v>23980</v>
      </c>
      <c r="BX196" s="4">
        <v>24000</v>
      </c>
      <c r="BY196" s="4">
        <v>23230</v>
      </c>
      <c r="BZ196" s="4">
        <v>22960</v>
      </c>
    </row>
    <row r="197" spans="1:78" ht="15.9" customHeight="1">
      <c r="A197" s="61" t="s">
        <v>386</v>
      </c>
      <c r="B197" s="6" t="s">
        <v>387</v>
      </c>
      <c r="C197" s="15">
        <f>_xll.RssMarket("6146","現在値")</f>
        <v>63950</v>
      </c>
      <c r="D197" s="16">
        <f t="shared" si="6"/>
        <v>3060</v>
      </c>
      <c r="E197" s="13">
        <v>60890</v>
      </c>
      <c r="F197" s="13">
        <v>60520</v>
      </c>
      <c r="G197" s="13">
        <v>58480</v>
      </c>
      <c r="H197" s="13">
        <v>51870</v>
      </c>
      <c r="I197" s="13">
        <v>51320</v>
      </c>
      <c r="J197" s="13">
        <v>54900</v>
      </c>
      <c r="K197" s="13">
        <v>62650</v>
      </c>
      <c r="L197" s="13">
        <v>60890</v>
      </c>
      <c r="M197" s="13">
        <v>69410</v>
      </c>
      <c r="N197" s="13">
        <v>68590</v>
      </c>
      <c r="O197" s="13">
        <v>66840</v>
      </c>
      <c r="P197" s="13">
        <v>64780</v>
      </c>
      <c r="Q197" s="13">
        <v>73550</v>
      </c>
      <c r="R197" s="13">
        <v>71650</v>
      </c>
      <c r="S197" s="13">
        <v>70870</v>
      </c>
      <c r="T197" s="13">
        <v>72560</v>
      </c>
      <c r="U197" s="13">
        <v>71510</v>
      </c>
      <c r="V197" s="13">
        <v>68230</v>
      </c>
      <c r="W197" s="13">
        <v>71900</v>
      </c>
      <c r="X197" s="13">
        <v>78000</v>
      </c>
      <c r="Y197" s="13">
        <v>76590</v>
      </c>
      <c r="Z197" s="13">
        <v>76860</v>
      </c>
      <c r="AA197" s="13">
        <v>84520</v>
      </c>
      <c r="AB197" s="13">
        <v>81260</v>
      </c>
      <c r="AC197" s="13">
        <v>79550</v>
      </c>
      <c r="AD197" s="13">
        <v>78510</v>
      </c>
      <c r="AE197" s="13">
        <v>85970</v>
      </c>
      <c r="AF197" s="13">
        <v>79740</v>
      </c>
      <c r="AG197" s="13">
        <v>82870</v>
      </c>
      <c r="AH197" s="13">
        <v>88480</v>
      </c>
      <c r="AI197" s="13">
        <v>84900</v>
      </c>
      <c r="AJ197" s="13">
        <v>84990</v>
      </c>
      <c r="AK197" s="13">
        <v>83700</v>
      </c>
      <c r="AL197" s="13">
        <v>81550</v>
      </c>
      <c r="AM197" s="13">
        <v>85250</v>
      </c>
      <c r="AN197" s="13">
        <v>79900</v>
      </c>
      <c r="AO197" s="13">
        <v>70030</v>
      </c>
      <c r="AP197" s="13">
        <v>70060</v>
      </c>
      <c r="AQ197" s="13">
        <v>67480</v>
      </c>
      <c r="AR197" s="13">
        <v>72580</v>
      </c>
      <c r="AS197" s="13">
        <v>72210</v>
      </c>
      <c r="AT197" s="13">
        <v>68710</v>
      </c>
      <c r="AU197" s="13">
        <v>64200</v>
      </c>
      <c r="AV197" s="13">
        <v>65090</v>
      </c>
      <c r="AW197" s="13">
        <v>66350</v>
      </c>
      <c r="AX197" s="13">
        <v>67630</v>
      </c>
      <c r="AY197" s="13">
        <v>69780</v>
      </c>
      <c r="AZ197" s="13">
        <v>65860</v>
      </c>
      <c r="BA197" s="13">
        <v>65650</v>
      </c>
      <c r="BB197" s="13">
        <v>61340</v>
      </c>
      <c r="BC197" s="13">
        <v>61600</v>
      </c>
      <c r="BD197" s="13">
        <v>63500</v>
      </c>
      <c r="BE197" s="13">
        <v>64900</v>
      </c>
      <c r="BF197" s="13">
        <v>70000</v>
      </c>
      <c r="BG197" s="13">
        <v>72840</v>
      </c>
      <c r="BH197" s="13">
        <v>72800</v>
      </c>
      <c r="BI197" s="13">
        <v>73380</v>
      </c>
      <c r="BJ197" s="13">
        <v>75000</v>
      </c>
      <c r="BK197" s="13">
        <v>76590</v>
      </c>
      <c r="BL197" s="13">
        <v>72250</v>
      </c>
      <c r="BM197" s="4">
        <v>74010</v>
      </c>
      <c r="BN197" s="4">
        <v>76440</v>
      </c>
      <c r="BO197" s="4">
        <v>76030</v>
      </c>
      <c r="BP197" s="4">
        <v>71700</v>
      </c>
      <c r="BQ197" s="4">
        <v>72000</v>
      </c>
      <c r="BR197" s="4">
        <v>74830</v>
      </c>
      <c r="BS197" s="4">
        <v>74240</v>
      </c>
      <c r="BT197" s="4">
        <v>72950</v>
      </c>
      <c r="BU197" s="4">
        <v>72900</v>
      </c>
      <c r="BV197" s="4">
        <v>73030</v>
      </c>
      <c r="BW197" s="4">
        <v>70580</v>
      </c>
      <c r="BX197" s="4">
        <v>71630</v>
      </c>
      <c r="BY197" s="4">
        <v>67370</v>
      </c>
      <c r="BZ197" s="4">
        <v>66890</v>
      </c>
    </row>
    <row r="198" spans="1:78" ht="15.9" customHeight="1">
      <c r="A198" s="61" t="s">
        <v>388</v>
      </c>
      <c r="B198" s="6" t="s">
        <v>389</v>
      </c>
      <c r="C198" s="15">
        <f>_xll.RssMarket("8035","現在値")</f>
        <v>58720</v>
      </c>
      <c r="D198" s="16">
        <f t="shared" si="6"/>
        <v>2020</v>
      </c>
      <c r="E198" s="13">
        <v>56700</v>
      </c>
      <c r="F198" s="13">
        <v>54990</v>
      </c>
      <c r="G198" s="13">
        <v>55500</v>
      </c>
      <c r="H198" s="13">
        <v>52240</v>
      </c>
      <c r="I198" s="13">
        <v>50000</v>
      </c>
      <c r="J198" s="13">
        <v>55920</v>
      </c>
      <c r="K198" s="13">
        <v>62800</v>
      </c>
      <c r="L198" s="13">
        <v>62660</v>
      </c>
      <c r="M198" s="13">
        <v>65950</v>
      </c>
      <c r="N198" s="13">
        <v>65960</v>
      </c>
      <c r="O198" s="13">
        <v>66570</v>
      </c>
      <c r="P198" s="13">
        <v>65100</v>
      </c>
      <c r="Q198" s="13">
        <v>74240</v>
      </c>
      <c r="R198" s="13">
        <v>71130</v>
      </c>
      <c r="S198" s="13">
        <v>71300</v>
      </c>
      <c r="T198" s="13">
        <v>72940</v>
      </c>
      <c r="U198" s="13">
        <v>71060</v>
      </c>
      <c r="V198" s="13">
        <v>67350</v>
      </c>
      <c r="W198" s="13">
        <v>69470</v>
      </c>
      <c r="X198" s="13">
        <v>72320</v>
      </c>
      <c r="Y198" s="13">
        <v>73200</v>
      </c>
      <c r="Z198" s="13">
        <v>72940</v>
      </c>
      <c r="AA198" s="13">
        <v>78800</v>
      </c>
      <c r="AB198" s="13">
        <v>77150</v>
      </c>
      <c r="AC198" s="13">
        <v>74700</v>
      </c>
      <c r="AD198" s="13">
        <v>72920</v>
      </c>
      <c r="AE198" s="13">
        <v>75340</v>
      </c>
      <c r="AF198" s="13">
        <v>69900</v>
      </c>
      <c r="AG198" s="13">
        <v>72960</v>
      </c>
      <c r="AH198" s="13">
        <v>77800</v>
      </c>
      <c r="AI198" s="13">
        <v>75360</v>
      </c>
      <c r="AJ198" s="13">
        <v>76080</v>
      </c>
      <c r="AK198" s="13">
        <v>72640</v>
      </c>
      <c r="AL198" s="13">
        <v>70860</v>
      </c>
      <c r="AM198" s="13">
        <v>72760</v>
      </c>
      <c r="AN198" s="13">
        <v>68000</v>
      </c>
      <c r="AO198" s="13">
        <v>63400</v>
      </c>
      <c r="AP198" s="13">
        <v>61830</v>
      </c>
      <c r="AQ198" s="13">
        <v>55020</v>
      </c>
      <c r="AR198" s="13">
        <v>59450</v>
      </c>
      <c r="AS198" s="13">
        <v>63660</v>
      </c>
      <c r="AT198" s="13">
        <v>60900</v>
      </c>
      <c r="AU198" s="13">
        <v>53710</v>
      </c>
      <c r="AV198" s="13">
        <v>52420</v>
      </c>
      <c r="AW198" s="13">
        <v>52320</v>
      </c>
      <c r="AX198" s="13">
        <v>52500</v>
      </c>
      <c r="AY198" s="13">
        <v>52180</v>
      </c>
      <c r="AZ198" s="13">
        <v>49830</v>
      </c>
      <c r="BA198" s="13">
        <v>48800</v>
      </c>
      <c r="BB198" s="13">
        <v>46100</v>
      </c>
      <c r="BC198" s="13">
        <v>47160</v>
      </c>
      <c r="BD198" s="13">
        <v>49260</v>
      </c>
      <c r="BE198" s="13">
        <v>50290</v>
      </c>
      <c r="BF198" s="13">
        <v>51200</v>
      </c>
      <c r="BG198" s="13">
        <v>51340</v>
      </c>
      <c r="BH198" s="13">
        <v>52160</v>
      </c>
      <c r="BI198" s="13">
        <v>52080</v>
      </c>
      <c r="BJ198" s="13">
        <v>52450</v>
      </c>
      <c r="BK198" s="13">
        <v>51720</v>
      </c>
      <c r="BL198" s="13">
        <v>47450</v>
      </c>
      <c r="BM198" s="4">
        <v>44390</v>
      </c>
      <c r="BN198" s="4">
        <v>45150</v>
      </c>
      <c r="BO198" s="4">
        <v>47100</v>
      </c>
      <c r="BP198" s="4">
        <v>45850</v>
      </c>
      <c r="BQ198" s="4">
        <v>45480</v>
      </c>
      <c r="BR198" s="4">
        <v>45500</v>
      </c>
      <c r="BS198" s="4">
        <v>45780</v>
      </c>
      <c r="BT198" s="4">
        <v>44250</v>
      </c>
      <c r="BU198" s="4">
        <v>44010</v>
      </c>
      <c r="BV198" s="4">
        <v>45820</v>
      </c>
      <c r="BW198" s="4">
        <v>43500</v>
      </c>
      <c r="BX198" s="4">
        <v>43700</v>
      </c>
      <c r="BY198" s="4">
        <v>42460</v>
      </c>
      <c r="BZ198" s="4">
        <v>44040</v>
      </c>
    </row>
    <row r="199" spans="1:78" ht="15.9" customHeight="1">
      <c r="A199" s="61" t="s">
        <v>390</v>
      </c>
      <c r="B199" s="6" t="s">
        <v>391</v>
      </c>
      <c r="C199" s="15">
        <f>_xll.RssMarket("6920","現在値")</f>
        <v>46420</v>
      </c>
      <c r="D199" s="16">
        <f t="shared" si="6"/>
        <v>2320</v>
      </c>
      <c r="E199" s="13">
        <v>44100</v>
      </c>
      <c r="F199" s="13">
        <v>40910</v>
      </c>
      <c r="G199" s="13">
        <v>37910</v>
      </c>
      <c r="H199" s="13">
        <v>33620</v>
      </c>
      <c r="I199" s="13">
        <v>34330</v>
      </c>
      <c r="J199" s="13">
        <v>37440</v>
      </c>
      <c r="K199" s="13">
        <v>43560</v>
      </c>
      <c r="L199" s="13">
        <v>43170</v>
      </c>
      <c r="M199" s="13">
        <v>45130</v>
      </c>
      <c r="N199" s="13">
        <v>42990</v>
      </c>
      <c r="O199" s="13">
        <v>42670</v>
      </c>
      <c r="P199" s="13">
        <v>41890</v>
      </c>
      <c r="Q199" s="13">
        <v>49690</v>
      </c>
      <c r="R199" s="13">
        <v>45100</v>
      </c>
      <c r="S199" s="13">
        <v>44770</v>
      </c>
      <c r="T199" s="13">
        <v>44380</v>
      </c>
      <c r="U199" s="13">
        <v>43020</v>
      </c>
      <c r="V199" s="13">
        <v>42000</v>
      </c>
      <c r="W199" s="13">
        <v>44050</v>
      </c>
      <c r="X199" s="13">
        <v>47040</v>
      </c>
      <c r="Y199" s="13">
        <v>47650</v>
      </c>
      <c r="Z199" s="13">
        <v>47740</v>
      </c>
      <c r="AA199" s="13">
        <v>50790</v>
      </c>
      <c r="AB199" s="13">
        <v>49700</v>
      </c>
      <c r="AC199" s="13">
        <v>49200</v>
      </c>
      <c r="AD199" s="13">
        <v>50000</v>
      </c>
      <c r="AE199" s="13">
        <v>53180</v>
      </c>
      <c r="AF199" s="13">
        <v>50610</v>
      </c>
      <c r="AG199" s="13">
        <v>52000</v>
      </c>
      <c r="AH199" s="13">
        <v>57490</v>
      </c>
      <c r="AI199" s="13">
        <v>55100</v>
      </c>
      <c r="AJ199" s="13">
        <v>56450</v>
      </c>
      <c r="AK199" s="13">
        <v>52700</v>
      </c>
      <c r="AL199" s="13">
        <v>46570</v>
      </c>
      <c r="AM199" s="13">
        <v>48300</v>
      </c>
      <c r="AN199" s="13">
        <v>44000</v>
      </c>
      <c r="AO199" s="13">
        <v>40200</v>
      </c>
      <c r="AP199" s="13">
        <v>40650</v>
      </c>
      <c r="AQ199" s="13">
        <v>39100</v>
      </c>
      <c r="AR199" s="13">
        <v>42180</v>
      </c>
      <c r="AS199" s="13">
        <v>42750</v>
      </c>
      <c r="AT199" s="13">
        <v>41770</v>
      </c>
      <c r="AU199" s="13">
        <v>39250</v>
      </c>
      <c r="AV199" s="13">
        <v>40130</v>
      </c>
      <c r="AW199" s="13">
        <v>40110</v>
      </c>
      <c r="AX199" s="13">
        <v>41530</v>
      </c>
      <c r="AY199" s="13">
        <v>43020</v>
      </c>
      <c r="AZ199" s="13">
        <v>38130</v>
      </c>
      <c r="BA199" s="13">
        <v>38060</v>
      </c>
      <c r="BB199" s="13">
        <v>35650</v>
      </c>
      <c r="BC199" s="13">
        <v>36060</v>
      </c>
      <c r="BD199" s="13">
        <v>38190</v>
      </c>
      <c r="BE199" s="13">
        <v>38410</v>
      </c>
      <c r="BF199" s="13">
        <v>40560</v>
      </c>
      <c r="BG199" s="13">
        <v>42490</v>
      </c>
      <c r="BH199" s="13">
        <v>43490</v>
      </c>
      <c r="BI199" s="13">
        <v>44110</v>
      </c>
      <c r="BJ199" s="13">
        <v>43770</v>
      </c>
      <c r="BK199" s="13">
        <v>44920</v>
      </c>
      <c r="BL199" s="13">
        <v>42930</v>
      </c>
      <c r="BM199" s="4">
        <v>42690</v>
      </c>
      <c r="BN199" s="4">
        <v>44330</v>
      </c>
      <c r="BO199" s="4">
        <v>45770</v>
      </c>
      <c r="BP199" s="4">
        <v>45060</v>
      </c>
      <c r="BQ199" s="4">
        <v>43400</v>
      </c>
      <c r="BR199" s="4">
        <v>44800</v>
      </c>
      <c r="BS199" s="4">
        <v>44520</v>
      </c>
      <c r="BT199" s="4">
        <v>42120</v>
      </c>
      <c r="BU199" s="4">
        <v>39950</v>
      </c>
      <c r="BV199" s="4">
        <v>42020</v>
      </c>
      <c r="BW199" s="4">
        <v>41370</v>
      </c>
      <c r="BX199" s="4">
        <v>42800</v>
      </c>
      <c r="BY199" s="4">
        <v>41230</v>
      </c>
      <c r="BZ199" s="4">
        <v>41580</v>
      </c>
    </row>
    <row r="200" spans="1:78" ht="15.9" customHeight="1">
      <c r="A200" s="61" t="s">
        <v>392</v>
      </c>
      <c r="B200" s="6" t="s">
        <v>393</v>
      </c>
      <c r="C200" s="15">
        <f>_xll.RssMarket("5801","現在値")</f>
        <v>3923</v>
      </c>
      <c r="D200" s="16">
        <f t="shared" si="6"/>
        <v>357</v>
      </c>
      <c r="E200" s="13">
        <v>3566</v>
      </c>
      <c r="F200" s="13">
        <v>3200</v>
      </c>
      <c r="G200" s="13">
        <v>3145</v>
      </c>
      <c r="H200" s="13">
        <v>2777.5</v>
      </c>
      <c r="I200" s="13">
        <v>2772.5</v>
      </c>
      <c r="J200" s="13">
        <v>3008</v>
      </c>
      <c r="K200" s="13">
        <v>3277</v>
      </c>
      <c r="L200" s="13">
        <v>3388</v>
      </c>
      <c r="M200" s="13">
        <v>3513</v>
      </c>
      <c r="N200" s="13">
        <v>3525</v>
      </c>
      <c r="O200" s="13">
        <v>3419</v>
      </c>
      <c r="P200" s="13">
        <v>3262</v>
      </c>
      <c r="Q200" s="13">
        <v>3766</v>
      </c>
      <c r="R200" s="13">
        <v>3520</v>
      </c>
      <c r="S200" s="13">
        <v>3589</v>
      </c>
      <c r="T200" s="13">
        <v>3725</v>
      </c>
      <c r="U200" s="13">
        <v>3543</v>
      </c>
      <c r="V200" s="13">
        <v>3541</v>
      </c>
      <c r="W200" s="13">
        <v>3674</v>
      </c>
      <c r="X200" s="13">
        <v>3888</v>
      </c>
      <c r="Y200" s="13">
        <v>4000</v>
      </c>
      <c r="Z200" s="13">
        <v>3976</v>
      </c>
      <c r="AA200" s="13">
        <v>4351</v>
      </c>
      <c r="AB200" s="13">
        <v>4730</v>
      </c>
      <c r="AC200" s="13">
        <v>4419</v>
      </c>
      <c r="AD200" s="13">
        <v>4528</v>
      </c>
      <c r="AE200" s="13">
        <v>4992</v>
      </c>
      <c r="AF200" s="13">
        <v>4803</v>
      </c>
      <c r="AG200" s="13">
        <v>4900</v>
      </c>
      <c r="AH200" s="13">
        <v>5800</v>
      </c>
      <c r="AI200" s="13">
        <v>5336</v>
      </c>
      <c r="AJ200" s="13">
        <v>4636</v>
      </c>
      <c r="AK200" s="13">
        <v>4744</v>
      </c>
      <c r="AL200" s="13">
        <v>4613</v>
      </c>
      <c r="AM200" s="13">
        <v>4397</v>
      </c>
      <c r="AN200" s="13">
        <v>4209</v>
      </c>
      <c r="AO200" s="13">
        <v>4078</v>
      </c>
      <c r="AP200" s="13">
        <v>4104</v>
      </c>
      <c r="AQ200" s="13">
        <v>4526</v>
      </c>
      <c r="AR200" s="13">
        <v>4905</v>
      </c>
      <c r="AS200" s="13">
        <v>5110</v>
      </c>
      <c r="AT200" s="13">
        <v>5310</v>
      </c>
      <c r="AU200" s="13">
        <v>5091</v>
      </c>
      <c r="AV200" s="13">
        <v>5206</v>
      </c>
      <c r="AW200" s="13">
        <v>5200</v>
      </c>
      <c r="AX200" s="13">
        <v>5611</v>
      </c>
      <c r="AY200" s="13">
        <v>5808</v>
      </c>
      <c r="AZ200" s="13">
        <v>5365</v>
      </c>
      <c r="BA200" s="13">
        <v>4928</v>
      </c>
      <c r="BB200" s="13">
        <v>5086</v>
      </c>
      <c r="BC200" s="13">
        <v>5025</v>
      </c>
      <c r="BD200" s="13">
        <v>5484</v>
      </c>
      <c r="BE200" s="13">
        <v>5448</v>
      </c>
      <c r="BF200" s="13">
        <v>5722</v>
      </c>
      <c r="BG200" s="13">
        <v>5813</v>
      </c>
      <c r="BH200" s="13">
        <v>5043</v>
      </c>
      <c r="BI200" s="13">
        <v>4343</v>
      </c>
      <c r="BJ200" s="13">
        <v>4487</v>
      </c>
      <c r="BK200" s="13">
        <v>4630</v>
      </c>
      <c r="BL200" s="13">
        <v>4119</v>
      </c>
      <c r="BM200" s="4">
        <v>4237</v>
      </c>
      <c r="BN200" s="4">
        <v>4290</v>
      </c>
      <c r="BO200" s="4">
        <v>4262</v>
      </c>
      <c r="BP200" s="4">
        <v>4295</v>
      </c>
      <c r="BQ200" s="4">
        <v>4253</v>
      </c>
      <c r="BR200" s="4">
        <v>4405</v>
      </c>
      <c r="BS200" s="4">
        <v>4426</v>
      </c>
      <c r="BT200" s="4">
        <v>4307</v>
      </c>
      <c r="BU200" s="4">
        <v>4496</v>
      </c>
      <c r="BV200" s="4">
        <v>4572</v>
      </c>
      <c r="BW200" s="4">
        <v>4424</v>
      </c>
      <c r="BX200" s="4">
        <v>4688</v>
      </c>
      <c r="BY200" s="4">
        <v>4531</v>
      </c>
      <c r="BZ200" s="4">
        <v>4580</v>
      </c>
    </row>
    <row r="201" spans="1:78" ht="15.9" customHeight="1">
      <c r="A201" s="61" t="s">
        <v>394</v>
      </c>
      <c r="B201" s="6" t="s">
        <v>395</v>
      </c>
      <c r="C201" s="15">
        <f>_xll.RssMarket("6506","現在値")</f>
        <v>5374</v>
      </c>
      <c r="D201" s="16">
        <f t="shared" si="6"/>
        <v>241</v>
      </c>
      <c r="E201" s="13">
        <v>5133</v>
      </c>
      <c r="F201" s="13">
        <v>4935</v>
      </c>
      <c r="G201" s="13">
        <v>4867</v>
      </c>
      <c r="H201" s="13">
        <v>4544</v>
      </c>
      <c r="I201" s="13">
        <v>4629</v>
      </c>
      <c r="J201" s="13">
        <v>4756</v>
      </c>
      <c r="K201" s="13">
        <v>5257</v>
      </c>
      <c r="L201" s="13">
        <v>5117</v>
      </c>
      <c r="M201" s="13">
        <v>5335</v>
      </c>
      <c r="N201" s="13">
        <v>5213</v>
      </c>
      <c r="O201" s="13">
        <v>5119</v>
      </c>
      <c r="P201" s="13">
        <v>5116</v>
      </c>
      <c r="Q201" s="13">
        <v>5490</v>
      </c>
      <c r="R201" s="13">
        <v>5436</v>
      </c>
      <c r="S201" s="13">
        <v>5972</v>
      </c>
      <c r="T201" s="13">
        <v>6972</v>
      </c>
      <c r="U201" s="13">
        <v>6816</v>
      </c>
      <c r="V201" s="13">
        <v>6636</v>
      </c>
      <c r="W201" s="13">
        <v>6900</v>
      </c>
      <c r="X201" s="13">
        <v>7449</v>
      </c>
      <c r="Y201" s="13">
        <v>7479</v>
      </c>
      <c r="Z201" s="13">
        <v>6942</v>
      </c>
      <c r="AA201" s="13">
        <v>7302</v>
      </c>
      <c r="AB201" s="13">
        <v>7027</v>
      </c>
      <c r="AC201" s="13">
        <v>6902</v>
      </c>
      <c r="AD201" s="13">
        <v>6810</v>
      </c>
      <c r="AE201" s="13">
        <v>7223</v>
      </c>
      <c r="AF201" s="13">
        <v>7071</v>
      </c>
      <c r="AG201" s="13">
        <v>7156</v>
      </c>
      <c r="AH201" s="13">
        <v>7655</v>
      </c>
      <c r="AI201" s="13">
        <v>7128</v>
      </c>
      <c r="AJ201" s="13">
        <v>7253</v>
      </c>
      <c r="AK201" s="13">
        <v>7046</v>
      </c>
      <c r="AL201" s="13">
        <v>6845</v>
      </c>
      <c r="AM201" s="13">
        <v>6655</v>
      </c>
      <c r="AN201" s="13">
        <v>6335</v>
      </c>
      <c r="AO201" s="13">
        <v>6016</v>
      </c>
      <c r="AP201" s="13">
        <v>5988</v>
      </c>
      <c r="AQ201" s="13">
        <v>6425</v>
      </c>
      <c r="AR201" s="13">
        <v>6862</v>
      </c>
      <c r="AS201" s="13">
        <v>6942</v>
      </c>
      <c r="AT201" s="13">
        <v>7152</v>
      </c>
      <c r="AU201" s="13">
        <v>6622</v>
      </c>
      <c r="AV201" s="13">
        <v>7208</v>
      </c>
      <c r="AW201" s="13">
        <v>7136</v>
      </c>
      <c r="AX201" s="13">
        <v>7107</v>
      </c>
      <c r="AY201" s="13">
        <v>7481</v>
      </c>
      <c r="AZ201" s="13">
        <v>7052</v>
      </c>
      <c r="BA201" s="13">
        <v>6698</v>
      </c>
      <c r="BB201" s="13">
        <v>6076</v>
      </c>
      <c r="BC201" s="13">
        <v>6338</v>
      </c>
      <c r="BD201" s="13">
        <v>6682</v>
      </c>
      <c r="BE201" s="13">
        <v>6987</v>
      </c>
      <c r="BF201" s="13">
        <v>7006</v>
      </c>
      <c r="BG201" s="13">
        <v>6980</v>
      </c>
      <c r="BH201" s="13">
        <v>6970</v>
      </c>
      <c r="BI201" s="13">
        <v>6574</v>
      </c>
      <c r="BJ201" s="13">
        <v>6367</v>
      </c>
      <c r="BK201" s="13">
        <v>5973</v>
      </c>
      <c r="BL201" s="13">
        <v>5521</v>
      </c>
      <c r="BM201" s="4">
        <v>5520</v>
      </c>
      <c r="BN201" s="4">
        <v>5381</v>
      </c>
      <c r="BO201" s="4">
        <v>5462</v>
      </c>
      <c r="BP201" s="4">
        <v>5150</v>
      </c>
      <c r="BQ201" s="4">
        <v>5151</v>
      </c>
      <c r="BR201" s="4">
        <v>5356</v>
      </c>
      <c r="BS201" s="4">
        <v>5495</v>
      </c>
      <c r="BT201" s="4">
        <v>5420</v>
      </c>
      <c r="BU201" s="4">
        <v>5187</v>
      </c>
      <c r="BV201" s="4">
        <v>5288</v>
      </c>
      <c r="BW201" s="4">
        <v>5277</v>
      </c>
      <c r="BX201" s="4">
        <v>5151</v>
      </c>
      <c r="BY201" s="4">
        <v>5239</v>
      </c>
      <c r="BZ201" s="4">
        <v>4894</v>
      </c>
    </row>
    <row r="202" spans="1:78" ht="15.9" customHeight="1">
      <c r="A202" s="61" t="s">
        <v>396</v>
      </c>
      <c r="B202" s="6" t="s">
        <v>397</v>
      </c>
      <c r="C202" s="15">
        <f>_xll.RssMarket("2768","現在値")</f>
        <v>5372</v>
      </c>
      <c r="D202" s="16">
        <f t="shared" si="6"/>
        <v>140</v>
      </c>
      <c r="E202" s="13">
        <v>5232</v>
      </c>
      <c r="F202" s="13">
        <v>5193</v>
      </c>
      <c r="G202" s="13">
        <v>5381</v>
      </c>
      <c r="H202" s="13">
        <v>5345</v>
      </c>
      <c r="I202" s="13">
        <v>5338</v>
      </c>
      <c r="J202" s="13">
        <v>5359</v>
      </c>
      <c r="K202" s="13">
        <v>5446</v>
      </c>
      <c r="L202" s="13">
        <v>5390</v>
      </c>
      <c r="M202" s="13">
        <v>5470</v>
      </c>
      <c r="N202" s="13">
        <v>5389</v>
      </c>
      <c r="O202" s="13">
        <v>5277</v>
      </c>
      <c r="P202" s="13">
        <v>5072</v>
      </c>
      <c r="Q202" s="13">
        <v>5220</v>
      </c>
      <c r="R202" s="13">
        <v>5120</v>
      </c>
      <c r="S202" s="13">
        <v>5054</v>
      </c>
      <c r="T202" s="13">
        <v>5100</v>
      </c>
      <c r="U202" s="13">
        <v>5147</v>
      </c>
      <c r="V202" s="13">
        <v>5199</v>
      </c>
      <c r="W202" s="13">
        <v>5240</v>
      </c>
      <c r="X202" s="13">
        <v>5326</v>
      </c>
      <c r="Y202" s="13">
        <v>5227</v>
      </c>
      <c r="Z202" s="13">
        <v>5206</v>
      </c>
      <c r="AA202" s="13">
        <v>5159</v>
      </c>
      <c r="AB202" s="13">
        <v>5171</v>
      </c>
      <c r="AC202" s="13">
        <v>5225</v>
      </c>
      <c r="AD202" s="13">
        <v>5283</v>
      </c>
      <c r="AE202" s="13">
        <v>5235</v>
      </c>
      <c r="AF202" s="13">
        <v>5187</v>
      </c>
      <c r="AG202" s="13">
        <v>5187</v>
      </c>
      <c r="AH202" s="13">
        <v>5296</v>
      </c>
      <c r="AI202" s="13">
        <v>5297</v>
      </c>
      <c r="AJ202" s="13">
        <v>5352</v>
      </c>
      <c r="AK202" s="13">
        <v>5296</v>
      </c>
      <c r="AL202" s="13">
        <v>5291</v>
      </c>
      <c r="AM202" s="13">
        <v>5316</v>
      </c>
      <c r="AN202" s="13">
        <v>5081</v>
      </c>
      <c r="AO202" s="13">
        <v>5028</v>
      </c>
      <c r="AP202" s="13">
        <v>5089</v>
      </c>
      <c r="AQ202" s="13">
        <v>5092</v>
      </c>
      <c r="AR202" s="13">
        <v>5191</v>
      </c>
      <c r="AS202" s="13">
        <v>5155</v>
      </c>
      <c r="AT202" s="13">
        <v>5157</v>
      </c>
      <c r="AU202" s="13">
        <v>5121</v>
      </c>
      <c r="AV202" s="13">
        <v>5391</v>
      </c>
      <c r="AW202" s="13">
        <v>5427</v>
      </c>
      <c r="AX202" s="13">
        <v>5510</v>
      </c>
      <c r="AY202" s="13">
        <v>5594</v>
      </c>
      <c r="AZ202" s="13">
        <v>5550</v>
      </c>
      <c r="BA202" s="13">
        <v>5564</v>
      </c>
      <c r="BB202" s="13">
        <v>5533</v>
      </c>
      <c r="BC202" s="13">
        <v>5709</v>
      </c>
      <c r="BD202" s="13">
        <v>5696</v>
      </c>
      <c r="BE202" s="13">
        <v>5914</v>
      </c>
      <c r="BF202" s="13">
        <v>5863</v>
      </c>
      <c r="BG202" s="13">
        <v>5926</v>
      </c>
      <c r="BH202" s="13">
        <v>5855</v>
      </c>
      <c r="BI202" s="13">
        <v>5726</v>
      </c>
      <c r="BJ202" s="13">
        <v>5690</v>
      </c>
      <c r="BK202" s="13">
        <v>5909</v>
      </c>
      <c r="BL202" s="13">
        <v>6218</v>
      </c>
      <c r="BM202" s="4">
        <v>5860</v>
      </c>
      <c r="BN202" s="4">
        <v>5971</v>
      </c>
      <c r="BO202" s="4">
        <v>5825</v>
      </c>
      <c r="BP202" s="4">
        <v>5914</v>
      </c>
      <c r="BQ202" s="4">
        <v>5885</v>
      </c>
      <c r="BR202" s="4">
        <v>5902</v>
      </c>
      <c r="BS202" s="4">
        <v>6070</v>
      </c>
      <c r="BT202" s="4">
        <v>6043</v>
      </c>
      <c r="BU202" s="4">
        <v>6091</v>
      </c>
      <c r="BV202" s="4">
        <v>6254</v>
      </c>
      <c r="BW202" s="4">
        <v>6146</v>
      </c>
      <c r="BX202" s="4">
        <v>6235</v>
      </c>
      <c r="BY202" s="4">
        <v>6358</v>
      </c>
      <c r="BZ202" s="4">
        <v>6383</v>
      </c>
    </row>
    <row r="203" spans="1:78" ht="15.9" customHeight="1">
      <c r="A203" s="61" t="s">
        <v>398</v>
      </c>
      <c r="B203" s="6" t="s">
        <v>399</v>
      </c>
      <c r="C203" s="15">
        <f>_xll.RssMarket("6305","現在値")</f>
        <v>5443</v>
      </c>
      <c r="D203" s="16">
        <f t="shared" si="6"/>
        <v>138</v>
      </c>
      <c r="E203" s="13">
        <v>5305</v>
      </c>
      <c r="F203" s="13">
        <v>5244</v>
      </c>
      <c r="G203" s="13">
        <v>5394</v>
      </c>
      <c r="H203" s="13">
        <v>5598</v>
      </c>
      <c r="I203" s="13">
        <v>5613</v>
      </c>
      <c r="J203" s="13">
        <v>5438</v>
      </c>
      <c r="K203" s="13">
        <v>5680</v>
      </c>
      <c r="L203" s="13">
        <v>5352</v>
      </c>
      <c r="M203" s="13">
        <v>5415</v>
      </c>
      <c r="N203" s="13">
        <v>5294</v>
      </c>
      <c r="O203" s="13">
        <v>5207</v>
      </c>
      <c r="P203" s="13">
        <v>5114</v>
      </c>
      <c r="Q203" s="13">
        <v>5249</v>
      </c>
      <c r="R203" s="13">
        <v>5229</v>
      </c>
      <c r="S203" s="13">
        <v>5181</v>
      </c>
      <c r="T203" s="13">
        <v>5247</v>
      </c>
      <c r="U203" s="13">
        <v>5228</v>
      </c>
      <c r="V203" s="13">
        <v>5293</v>
      </c>
      <c r="W203" s="13">
        <v>5405</v>
      </c>
      <c r="X203" s="13">
        <v>5453</v>
      </c>
      <c r="Y203" s="13">
        <v>5352</v>
      </c>
      <c r="Z203" s="13">
        <v>5206</v>
      </c>
      <c r="AA203" s="13">
        <v>5206</v>
      </c>
      <c r="AB203" s="13">
        <v>5254</v>
      </c>
      <c r="AC203" s="13">
        <v>5271</v>
      </c>
      <c r="AD203" s="13">
        <v>5347</v>
      </c>
      <c r="AE203" s="13">
        <v>5281</v>
      </c>
      <c r="AF203" s="13">
        <v>5287</v>
      </c>
      <c r="AG203" s="13">
        <v>5330</v>
      </c>
      <c r="AH203" s="13">
        <v>5414</v>
      </c>
      <c r="AI203" s="13">
        <v>5408</v>
      </c>
      <c r="AJ203" s="13">
        <v>5439</v>
      </c>
      <c r="AK203" s="13">
        <v>5417</v>
      </c>
      <c r="AL203" s="13">
        <v>5419</v>
      </c>
      <c r="AM203" s="13">
        <v>5559</v>
      </c>
      <c r="AN203" s="13">
        <v>5303</v>
      </c>
      <c r="AO203" s="13">
        <v>5150</v>
      </c>
      <c r="AP203" s="13">
        <v>5267</v>
      </c>
      <c r="AQ203" s="13">
        <v>5247</v>
      </c>
      <c r="AR203" s="13">
        <v>5415</v>
      </c>
      <c r="AS203" s="13">
        <v>5339</v>
      </c>
      <c r="AT203" s="13">
        <v>5385</v>
      </c>
      <c r="AU203" s="13">
        <v>5094</v>
      </c>
      <c r="AV203" s="13">
        <v>5199</v>
      </c>
      <c r="AW203" s="13">
        <v>5228</v>
      </c>
      <c r="AX203" s="13">
        <v>5222</v>
      </c>
      <c r="AY203" s="13">
        <v>5049</v>
      </c>
      <c r="AZ203" s="13">
        <v>4982</v>
      </c>
      <c r="BA203" s="13">
        <v>4987</v>
      </c>
      <c r="BB203" s="13">
        <v>4912</v>
      </c>
      <c r="BC203" s="13">
        <v>5056</v>
      </c>
      <c r="BD203" s="13">
        <v>5052</v>
      </c>
      <c r="BE203" s="13">
        <v>5226</v>
      </c>
      <c r="BF203" s="13">
        <v>5301</v>
      </c>
      <c r="BG203" s="13">
        <v>5290</v>
      </c>
      <c r="BH203" s="13">
        <v>5443</v>
      </c>
      <c r="BI203" s="13">
        <v>5674</v>
      </c>
      <c r="BJ203" s="13">
        <v>5679</v>
      </c>
      <c r="BK203" s="13">
        <v>5521</v>
      </c>
      <c r="BL203" s="13">
        <v>5541</v>
      </c>
      <c r="BM203" s="4">
        <v>5472</v>
      </c>
      <c r="BN203" s="4">
        <v>5644</v>
      </c>
      <c r="BO203" s="4">
        <v>5432</v>
      </c>
      <c r="BP203" s="4">
        <v>5443</v>
      </c>
      <c r="BQ203" s="4">
        <v>5490</v>
      </c>
      <c r="BR203" s="4">
        <v>5388</v>
      </c>
      <c r="BS203" s="4">
        <v>5497</v>
      </c>
      <c r="BT203" s="4">
        <v>5430</v>
      </c>
      <c r="BU203" s="4">
        <v>5365</v>
      </c>
      <c r="BV203" s="4">
        <v>5550</v>
      </c>
      <c r="BW203" s="4">
        <v>5683</v>
      </c>
      <c r="BX203" s="4">
        <v>5640</v>
      </c>
      <c r="BY203" s="4">
        <v>5658</v>
      </c>
      <c r="BZ203" s="4">
        <v>5707</v>
      </c>
    </row>
    <row r="204" spans="1:78" ht="15.9" customHeight="1">
      <c r="A204" s="61" t="s">
        <v>400</v>
      </c>
      <c r="B204" s="6" t="s">
        <v>401</v>
      </c>
      <c r="C204" s="15">
        <f>_xll.RssMarket("8015","現在値")</f>
        <v>7159</v>
      </c>
      <c r="D204" s="16">
        <f t="shared" si="6"/>
        <v>355</v>
      </c>
      <c r="E204" s="13">
        <v>6804</v>
      </c>
      <c r="F204" s="13">
        <v>6669</v>
      </c>
      <c r="G204" s="13">
        <v>6722</v>
      </c>
      <c r="H204" s="13">
        <v>6625</v>
      </c>
      <c r="I204" s="13">
        <v>6577</v>
      </c>
      <c r="J204" s="13">
        <v>6465</v>
      </c>
      <c r="K204" s="13">
        <v>6558</v>
      </c>
      <c r="L204" s="13">
        <v>6425</v>
      </c>
      <c r="M204" s="13">
        <v>6594</v>
      </c>
      <c r="N204" s="13">
        <v>6454</v>
      </c>
      <c r="O204" s="13">
        <v>6504</v>
      </c>
      <c r="P204" s="13">
        <v>6076</v>
      </c>
      <c r="Q204" s="13">
        <v>6223</v>
      </c>
      <c r="R204" s="13">
        <v>6065</v>
      </c>
      <c r="S204" s="13">
        <v>6054</v>
      </c>
      <c r="T204" s="13">
        <v>6034</v>
      </c>
      <c r="U204" s="13">
        <v>6110</v>
      </c>
      <c r="V204" s="13">
        <v>6142</v>
      </c>
      <c r="W204" s="13">
        <v>6276</v>
      </c>
      <c r="X204" s="13">
        <v>6286</v>
      </c>
      <c r="Y204" s="13">
        <v>6216</v>
      </c>
      <c r="Z204" s="13">
        <v>6107</v>
      </c>
      <c r="AA204" s="13">
        <v>6015</v>
      </c>
      <c r="AB204" s="13">
        <v>5978</v>
      </c>
      <c r="AC204" s="13">
        <v>5964</v>
      </c>
      <c r="AD204" s="13">
        <v>5958</v>
      </c>
      <c r="AE204" s="13">
        <v>6000</v>
      </c>
      <c r="AF204" s="13">
        <v>6081</v>
      </c>
      <c r="AG204" s="13">
        <v>6130</v>
      </c>
      <c r="AH204" s="13">
        <v>6171</v>
      </c>
      <c r="AI204" s="13">
        <v>6191</v>
      </c>
      <c r="AJ204" s="13">
        <v>6217</v>
      </c>
      <c r="AK204" s="13">
        <v>6344</v>
      </c>
      <c r="AL204" s="13">
        <v>6416</v>
      </c>
      <c r="AM204" s="13">
        <v>6505</v>
      </c>
      <c r="AN204" s="13">
        <v>6174</v>
      </c>
      <c r="AO204" s="13">
        <v>5969</v>
      </c>
      <c r="AP204" s="13">
        <v>6092</v>
      </c>
      <c r="AQ204" s="13">
        <v>6165</v>
      </c>
      <c r="AR204" s="13">
        <v>6456</v>
      </c>
      <c r="AS204" s="13">
        <v>6436</v>
      </c>
      <c r="AT204" s="13">
        <v>6500</v>
      </c>
      <c r="AU204" s="13">
        <v>6467</v>
      </c>
      <c r="AV204" s="13">
        <v>6930</v>
      </c>
      <c r="AW204" s="13">
        <v>6729</v>
      </c>
      <c r="AX204" s="13">
        <v>6841</v>
      </c>
      <c r="AY204" s="13">
        <v>7096</v>
      </c>
      <c r="AZ204" s="13">
        <v>6974</v>
      </c>
      <c r="BA204" s="13">
        <v>6811</v>
      </c>
      <c r="BB204" s="13">
        <v>6763</v>
      </c>
      <c r="BC204" s="13">
        <v>7056</v>
      </c>
      <c r="BD204" s="13">
        <v>7064</v>
      </c>
      <c r="BE204" s="13">
        <v>7387</v>
      </c>
      <c r="BF204" s="13">
        <v>7370</v>
      </c>
      <c r="BG204" s="13">
        <v>7397</v>
      </c>
      <c r="BH204" s="13">
        <v>7130</v>
      </c>
      <c r="BI204" s="13">
        <v>6991</v>
      </c>
      <c r="BJ204" s="13">
        <v>6743</v>
      </c>
      <c r="BK204" s="13">
        <v>6840</v>
      </c>
      <c r="BL204" s="13">
        <v>6868</v>
      </c>
      <c r="BM204" s="4">
        <v>6101</v>
      </c>
      <c r="BN204" s="4">
        <v>6379</v>
      </c>
      <c r="BO204" s="4">
        <v>6205</v>
      </c>
      <c r="BP204" s="4">
        <v>6124</v>
      </c>
      <c r="BQ204" s="4">
        <v>6154</v>
      </c>
      <c r="BR204" s="4">
        <v>6177</v>
      </c>
      <c r="BS204" s="4">
        <v>6315</v>
      </c>
      <c r="BT204" s="4">
        <v>6284</v>
      </c>
      <c r="BU204" s="4">
        <v>6241</v>
      </c>
      <c r="BV204" s="4">
        <v>6332</v>
      </c>
      <c r="BW204" s="4">
        <v>6255</v>
      </c>
      <c r="BX204" s="4">
        <v>6386</v>
      </c>
      <c r="BY204" s="4">
        <v>6386</v>
      </c>
      <c r="BZ204" s="4">
        <v>6610</v>
      </c>
    </row>
    <row r="205" spans="1:78">
      <c r="A205" s="62" t="s">
        <v>402</v>
      </c>
      <c r="B205" s="4" t="s">
        <v>403</v>
      </c>
      <c r="C205" s="55">
        <f>_xll.RssMarket("6758","現在値")</f>
        <v>3545</v>
      </c>
      <c r="D205" s="56">
        <f t="shared" si="6"/>
        <v>3545</v>
      </c>
      <c r="E205" s="67"/>
      <c r="F205" s="67"/>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78">
      <c r="A206" s="62" t="s">
        <v>404</v>
      </c>
      <c r="B206" s="4" t="s">
        <v>405</v>
      </c>
      <c r="C206" s="55">
        <f>_xll.RssMarket("9101","現在値")</f>
        <v>5760</v>
      </c>
      <c r="D206" s="56">
        <f t="shared" si="6"/>
        <v>-259</v>
      </c>
      <c r="E206" s="67">
        <v>6019</v>
      </c>
      <c r="F206" s="67">
        <v>6042</v>
      </c>
      <c r="G206" s="67">
        <v>6110</v>
      </c>
      <c r="H206" s="67">
        <v>6101</v>
      </c>
      <c r="I206" s="67">
        <v>6141</v>
      </c>
      <c r="J206" s="67">
        <v>6020</v>
      </c>
      <c r="K206" s="67">
        <v>6076</v>
      </c>
      <c r="L206" s="67">
        <v>5946</v>
      </c>
      <c r="M206" s="67">
        <v>5817</v>
      </c>
      <c r="N206" s="67">
        <v>5818</v>
      </c>
      <c r="O206" s="67">
        <v>5746</v>
      </c>
      <c r="P206" s="67">
        <v>5706</v>
      </c>
      <c r="Q206" s="67">
        <v>5614</v>
      </c>
      <c r="R206" s="67">
        <v>5506</v>
      </c>
      <c r="S206" s="67">
        <v>5319</v>
      </c>
      <c r="T206" s="67">
        <v>5286</v>
      </c>
      <c r="U206" s="67">
        <v>5421</v>
      </c>
      <c r="V206" s="67">
        <v>5356</v>
      </c>
      <c r="W206" s="67">
        <v>5253</v>
      </c>
      <c r="X206" s="67">
        <v>5370</v>
      </c>
      <c r="Y206" s="67">
        <v>5211</v>
      </c>
      <c r="Z206" s="67">
        <v>5183</v>
      </c>
      <c r="AA206" s="67">
        <v>5080</v>
      </c>
      <c r="AB206" s="67">
        <v>5216</v>
      </c>
      <c r="AC206" s="67">
        <v>5198</v>
      </c>
      <c r="AD206" s="67">
        <v>5265</v>
      </c>
      <c r="AE206" s="67">
        <v>5271</v>
      </c>
      <c r="AF206" s="67">
        <v>5352</v>
      </c>
      <c r="AG206" s="67">
        <v>5272</v>
      </c>
      <c r="AH206" s="67">
        <v>5203</v>
      </c>
      <c r="AI206" s="67">
        <v>5152</v>
      </c>
      <c r="AJ206" s="67">
        <v>5270</v>
      </c>
      <c r="AK206" s="67">
        <v>5348</v>
      </c>
      <c r="AL206" s="67">
        <v>5466</v>
      </c>
      <c r="AM206" s="67">
        <v>5524</v>
      </c>
      <c r="AN206" s="67">
        <v>5630</v>
      </c>
      <c r="AO206" s="67">
        <v>5660</v>
      </c>
      <c r="AP206" s="67">
        <v>5566</v>
      </c>
      <c r="AQ206" s="67">
        <v>5646</v>
      </c>
      <c r="AR206" s="67">
        <v>5609</v>
      </c>
      <c r="AS206" s="67">
        <v>5438</v>
      </c>
      <c r="AT206" s="67">
        <v>5362</v>
      </c>
      <c r="AU206" s="67">
        <v>5319</v>
      </c>
      <c r="AV206" s="67">
        <v>5313</v>
      </c>
      <c r="AW206" s="67">
        <v>5322</v>
      </c>
      <c r="AX206" s="67">
        <v>5230</v>
      </c>
      <c r="AY206" s="67">
        <v>5321</v>
      </c>
      <c r="AZ206" s="67">
        <v>5391</v>
      </c>
      <c r="BA206" s="67">
        <v>5498</v>
      </c>
      <c r="BB206" s="67">
        <v>5610</v>
      </c>
      <c r="BC206" s="67">
        <v>5619</v>
      </c>
      <c r="BD206" s="67">
        <v>5558</v>
      </c>
      <c r="BE206" s="67">
        <v>5498</v>
      </c>
      <c r="BF206" s="67">
        <v>5446</v>
      </c>
      <c r="BG206" s="67">
        <v>5358</v>
      </c>
      <c r="BH206" s="67">
        <v>5301</v>
      </c>
      <c r="BI206" s="67">
        <v>5471</v>
      </c>
      <c r="BJ206" s="67">
        <v>5571</v>
      </c>
      <c r="BK206" s="67">
        <v>5660</v>
      </c>
      <c r="BL206" s="67">
        <v>5629</v>
      </c>
      <c r="BM206" s="4">
        <v>5669</v>
      </c>
      <c r="BN206" s="4">
        <v>5662</v>
      </c>
      <c r="BO206" s="4">
        <v>5580</v>
      </c>
      <c r="BP206" s="4">
        <v>5874</v>
      </c>
      <c r="BQ206" s="4">
        <v>5807</v>
      </c>
      <c r="BR206" s="4">
        <v>5828</v>
      </c>
      <c r="BS206" s="4">
        <v>5872</v>
      </c>
      <c r="BT206" s="4">
        <v>5908</v>
      </c>
      <c r="BU206" s="4">
        <v>6096</v>
      </c>
      <c r="BV206" s="4">
        <v>6053</v>
      </c>
      <c r="BW206" s="4">
        <v>6044</v>
      </c>
      <c r="BX206" s="4">
        <v>6117</v>
      </c>
      <c r="BY206" s="4">
        <v>6104</v>
      </c>
      <c r="BZ206" s="4">
        <v>6163</v>
      </c>
    </row>
    <row r="207" spans="1:78">
      <c r="A207" s="62" t="s">
        <v>406</v>
      </c>
      <c r="B207" s="4" t="s">
        <v>407</v>
      </c>
      <c r="C207" s="55">
        <f>_xll.RssMarket("7011","現在値")</f>
        <v>3979</v>
      </c>
      <c r="D207" s="56">
        <f t="shared" si="6"/>
        <v>-112</v>
      </c>
      <c r="E207" s="67">
        <v>4091</v>
      </c>
      <c r="F207" s="67">
        <v>3799</v>
      </c>
      <c r="G207" s="67">
        <v>3764</v>
      </c>
      <c r="H207" s="67">
        <v>3736</v>
      </c>
      <c r="I207" s="67">
        <v>3740</v>
      </c>
      <c r="J207" s="67">
        <v>3805</v>
      </c>
      <c r="K207" s="67">
        <v>3891</v>
      </c>
      <c r="L207" s="67">
        <v>3945</v>
      </c>
      <c r="M207" s="67">
        <v>3930</v>
      </c>
      <c r="N207" s="67">
        <v>3892</v>
      </c>
      <c r="O207" s="67">
        <v>3852</v>
      </c>
      <c r="P207" s="67">
        <v>3681</v>
      </c>
      <c r="Q207" s="67">
        <v>3828</v>
      </c>
      <c r="R207" s="67">
        <v>3746</v>
      </c>
      <c r="S207" s="67">
        <v>3758</v>
      </c>
      <c r="T207" s="67">
        <v>3818</v>
      </c>
      <c r="U207" s="67">
        <v>3805</v>
      </c>
      <c r="V207" s="67">
        <v>3821</v>
      </c>
      <c r="W207" s="67">
        <v>4009</v>
      </c>
      <c r="X207" s="67">
        <v>4110</v>
      </c>
      <c r="Y207" s="67">
        <v>3792</v>
      </c>
      <c r="Z207" s="67">
        <v>3788</v>
      </c>
      <c r="AA207" s="67">
        <v>3736</v>
      </c>
      <c r="AB207" s="67">
        <v>3666</v>
      </c>
      <c r="AC207" s="67">
        <v>3651</v>
      </c>
      <c r="AD207" s="67">
        <v>3567</v>
      </c>
      <c r="AE207" s="67">
        <v>3618</v>
      </c>
      <c r="AF207" s="67">
        <v>3743</v>
      </c>
      <c r="AG207" s="67">
        <v>3742</v>
      </c>
      <c r="AH207" s="67">
        <v>3909</v>
      </c>
      <c r="AI207" s="67">
        <v>3917</v>
      </c>
      <c r="AJ207" s="67">
        <v>3968</v>
      </c>
      <c r="AK207" s="67">
        <v>3860</v>
      </c>
      <c r="AL207" s="67">
        <v>3810</v>
      </c>
      <c r="AM207" s="67">
        <v>3659</v>
      </c>
      <c r="AN207" s="67">
        <v>3540</v>
      </c>
      <c r="AO207" s="67">
        <v>3494</v>
      </c>
      <c r="AP207" s="67">
        <v>3578</v>
      </c>
      <c r="AQ207" s="67">
        <v>3699</v>
      </c>
      <c r="AR207" s="67">
        <v>3790</v>
      </c>
      <c r="AS207" s="67">
        <v>3701</v>
      </c>
      <c r="AT207" s="67">
        <v>3573</v>
      </c>
      <c r="AU207" s="67">
        <v>3516</v>
      </c>
      <c r="AV207" s="67">
        <v>3806</v>
      </c>
      <c r="AW207" s="67">
        <v>3804</v>
      </c>
      <c r="AX207" s="67">
        <v>3898</v>
      </c>
      <c r="AY207" s="67">
        <v>3908</v>
      </c>
      <c r="AZ207" s="67">
        <v>3969</v>
      </c>
      <c r="BA207" s="67">
        <v>3958</v>
      </c>
      <c r="BB207" s="67">
        <v>4024</v>
      </c>
      <c r="BC207" s="67">
        <v>4126</v>
      </c>
      <c r="BD207" s="67">
        <v>4102</v>
      </c>
      <c r="BE207" s="67">
        <v>4080</v>
      </c>
      <c r="BF207" s="67">
        <v>4162</v>
      </c>
      <c r="BG207" s="67">
        <v>4406</v>
      </c>
      <c r="BH207" s="67">
        <v>4300</v>
      </c>
      <c r="BI207" s="67">
        <v>4384</v>
      </c>
      <c r="BJ207" s="67">
        <v>4510</v>
      </c>
      <c r="BK207" s="67">
        <v>4527</v>
      </c>
      <c r="BL207" s="67">
        <v>4586</v>
      </c>
      <c r="BM207" s="4">
        <v>4615</v>
      </c>
      <c r="BN207" s="4">
        <v>4797</v>
      </c>
      <c r="BO207" s="4">
        <v>4689</v>
      </c>
      <c r="BP207" s="4">
        <v>4738</v>
      </c>
      <c r="BQ207" s="4">
        <v>4754</v>
      </c>
      <c r="BR207" s="4">
        <v>4508</v>
      </c>
      <c r="BS207" s="4">
        <v>4522</v>
      </c>
      <c r="BT207" s="4">
        <v>4506</v>
      </c>
      <c r="BU207" s="4">
        <v>4371</v>
      </c>
      <c r="BV207" s="4">
        <v>4571</v>
      </c>
      <c r="BW207" s="4">
        <v>4561</v>
      </c>
      <c r="BX207" s="4">
        <v>4749</v>
      </c>
      <c r="BY207" s="4">
        <v>4761</v>
      </c>
      <c r="BZ207" s="4">
        <v>4745</v>
      </c>
    </row>
    <row r="208" spans="1:78">
      <c r="A208" s="62" t="s">
        <v>408</v>
      </c>
      <c r="B208" s="4" t="s">
        <v>409</v>
      </c>
      <c r="C208" s="55">
        <f>_xll.RssMarket("1812","現在値")</f>
        <v>5224</v>
      </c>
      <c r="D208" s="56">
        <f t="shared" si="6"/>
        <v>-86</v>
      </c>
      <c r="E208" s="67">
        <v>5310</v>
      </c>
      <c r="F208" s="67">
        <v>5255</v>
      </c>
      <c r="G208" s="67">
        <v>5383</v>
      </c>
      <c r="H208" s="67">
        <v>5382</v>
      </c>
      <c r="I208" s="67">
        <v>5397</v>
      </c>
      <c r="J208" s="67">
        <v>5485</v>
      </c>
      <c r="K208" s="67">
        <v>5655</v>
      </c>
      <c r="L208" s="67">
        <v>5580</v>
      </c>
      <c r="M208" s="67">
        <v>5655</v>
      </c>
      <c r="N208" s="67">
        <v>5598</v>
      </c>
      <c r="O208" s="67">
        <v>5604</v>
      </c>
      <c r="P208" s="67">
        <v>5524</v>
      </c>
      <c r="Q208" s="67">
        <v>5715</v>
      </c>
      <c r="R208" s="67">
        <v>5559</v>
      </c>
      <c r="S208" s="67">
        <v>5627</v>
      </c>
      <c r="T208" s="67">
        <v>5760</v>
      </c>
      <c r="U208" s="67">
        <v>5815</v>
      </c>
      <c r="V208" s="67">
        <v>5840</v>
      </c>
      <c r="W208" s="67">
        <v>6089</v>
      </c>
      <c r="X208" s="67">
        <v>6227</v>
      </c>
      <c r="Y208" s="67">
        <v>6128</v>
      </c>
      <c r="Z208" s="67">
        <v>5992</v>
      </c>
      <c r="AA208" s="67">
        <v>5958</v>
      </c>
      <c r="AB208" s="67">
        <v>5872</v>
      </c>
      <c r="AC208" s="67">
        <v>5867</v>
      </c>
      <c r="AD208" s="67">
        <v>5769</v>
      </c>
      <c r="AE208" s="67">
        <v>5670</v>
      </c>
      <c r="AF208" s="67">
        <v>5701</v>
      </c>
      <c r="AG208" s="67">
        <v>5725</v>
      </c>
      <c r="AH208" s="67">
        <v>5970</v>
      </c>
      <c r="AI208" s="67">
        <v>5961</v>
      </c>
      <c r="AJ208" s="67">
        <v>6001</v>
      </c>
      <c r="AK208" s="67">
        <v>5920</v>
      </c>
      <c r="AL208" s="67">
        <v>5899</v>
      </c>
      <c r="AM208" s="67">
        <v>6130</v>
      </c>
      <c r="AN208" s="67">
        <v>5521</v>
      </c>
      <c r="AO208" s="67">
        <v>5450</v>
      </c>
      <c r="AP208" s="67">
        <v>5567</v>
      </c>
      <c r="AQ208" s="67">
        <v>5391</v>
      </c>
      <c r="AR208" s="67">
        <v>5559</v>
      </c>
      <c r="AS208" s="67">
        <v>5455</v>
      </c>
      <c r="AT208" s="67">
        <v>5535</v>
      </c>
      <c r="AU208" s="67">
        <v>5521</v>
      </c>
      <c r="AV208" s="67">
        <v>5907</v>
      </c>
      <c r="AW208" s="67">
        <v>5760</v>
      </c>
      <c r="AX208" s="67">
        <v>5754</v>
      </c>
      <c r="AY208" s="67">
        <v>5656</v>
      </c>
      <c r="AZ208" s="67">
        <v>5469</v>
      </c>
      <c r="BA208" s="67">
        <v>5591</v>
      </c>
      <c r="BB208" s="67">
        <v>5567</v>
      </c>
      <c r="BC208" s="67">
        <v>5836</v>
      </c>
      <c r="BD208" s="67">
        <v>5650</v>
      </c>
      <c r="BE208" s="67">
        <v>5843</v>
      </c>
      <c r="BF208" s="67">
        <v>6187</v>
      </c>
      <c r="BG208" s="67">
        <v>6477</v>
      </c>
      <c r="BH208" s="67">
        <v>6570</v>
      </c>
      <c r="BI208" s="67">
        <v>6257</v>
      </c>
      <c r="BJ208" s="67">
        <v>6141</v>
      </c>
      <c r="BK208" s="67">
        <v>6262</v>
      </c>
      <c r="BL208" s="67">
        <v>6077</v>
      </c>
      <c r="BM208" s="4">
        <v>6117</v>
      </c>
      <c r="BN208" s="4">
        <v>6499</v>
      </c>
      <c r="BO208" s="4">
        <v>5954</v>
      </c>
      <c r="BP208" s="4">
        <v>5907</v>
      </c>
      <c r="BQ208" s="4">
        <v>5959</v>
      </c>
      <c r="BR208" s="4">
        <v>5969</v>
      </c>
      <c r="BS208" s="4">
        <v>6045</v>
      </c>
      <c r="BT208" s="4">
        <v>6092</v>
      </c>
      <c r="BU208" s="4">
        <v>5932</v>
      </c>
      <c r="BV208" s="4">
        <v>6175</v>
      </c>
      <c r="BW208" s="4">
        <v>6135</v>
      </c>
      <c r="BX208" s="4">
        <v>6149</v>
      </c>
      <c r="BY208" s="4">
        <v>6177</v>
      </c>
      <c r="BZ208" s="4">
        <v>6202</v>
      </c>
    </row>
    <row r="209" spans="1:78">
      <c r="A209" s="62" t="s">
        <v>410</v>
      </c>
      <c r="B209" s="4" t="str">
        <f>銘柄管理!C209</f>
        <v>キーエンス</v>
      </c>
      <c r="C209" s="55">
        <f>_xll.RssMarket("6861","現在値")</f>
        <v>87040</v>
      </c>
      <c r="D209" s="56"/>
      <c r="E209" s="67">
        <v>82900</v>
      </c>
      <c r="F209" s="67">
        <v>80610</v>
      </c>
      <c r="G209" s="67">
        <v>81150</v>
      </c>
      <c r="H209" s="67">
        <v>78970</v>
      </c>
      <c r="I209" s="67">
        <v>77590</v>
      </c>
      <c r="J209" s="67">
        <v>70950</v>
      </c>
      <c r="K209" s="67">
        <v>74170</v>
      </c>
      <c r="L209" s="67">
        <v>71820</v>
      </c>
      <c r="M209" s="67">
        <v>72260</v>
      </c>
      <c r="N209" s="67">
        <v>72110</v>
      </c>
      <c r="O209" s="67">
        <v>71960</v>
      </c>
      <c r="P209" s="67">
        <v>70880</v>
      </c>
      <c r="Q209" s="67">
        <v>76620</v>
      </c>
      <c r="R209" s="67">
        <v>75390</v>
      </c>
      <c r="S209" s="67">
        <v>76700</v>
      </c>
      <c r="T209" s="67">
        <v>76970</v>
      </c>
      <c r="U209" s="67">
        <v>75600</v>
      </c>
      <c r="V209" s="67">
        <v>74700</v>
      </c>
      <c r="W209" s="67">
        <v>78180</v>
      </c>
      <c r="X209" s="67">
        <v>80910</v>
      </c>
      <c r="Y209" s="67">
        <v>80300</v>
      </c>
      <c r="Z209" s="67">
        <v>80400</v>
      </c>
      <c r="AA209" s="67">
        <v>81630</v>
      </c>
      <c r="AB209" s="67">
        <v>81060</v>
      </c>
      <c r="AC209" s="67">
        <v>78200</v>
      </c>
      <c r="AD209" s="67">
        <v>77100</v>
      </c>
      <c r="AE209" s="67">
        <v>77370</v>
      </c>
      <c r="AF209" s="67">
        <v>76750</v>
      </c>
      <c r="AG209" s="67">
        <v>75680</v>
      </c>
      <c r="AH209" s="67">
        <v>77990</v>
      </c>
      <c r="AI209" s="67">
        <v>77700</v>
      </c>
      <c r="AJ209" s="67">
        <v>77520</v>
      </c>
      <c r="AK209" s="67">
        <v>75600</v>
      </c>
      <c r="AL209" s="67">
        <v>75500</v>
      </c>
      <c r="AM209" s="67">
        <v>75650</v>
      </c>
      <c r="AN209" s="67">
        <v>72620</v>
      </c>
      <c r="AO209" s="67">
        <v>71270</v>
      </c>
      <c r="AP209" s="67">
        <v>72890</v>
      </c>
      <c r="AQ209" s="67">
        <v>74980</v>
      </c>
      <c r="AR209" s="67">
        <v>78070</v>
      </c>
      <c r="AS209" s="67">
        <v>80040</v>
      </c>
      <c r="AT209" s="67">
        <v>80630</v>
      </c>
      <c r="AU209" s="67">
        <v>78340</v>
      </c>
      <c r="AV209" s="67">
        <v>80110</v>
      </c>
      <c r="AW209" s="67">
        <v>75180</v>
      </c>
      <c r="AX209" s="67">
        <v>75780</v>
      </c>
      <c r="AY209" s="67">
        <v>78860</v>
      </c>
      <c r="AZ209" s="67">
        <v>79370</v>
      </c>
      <c r="BA209" s="67">
        <v>76960</v>
      </c>
      <c r="BB209" s="67">
        <v>72910</v>
      </c>
      <c r="BC209" s="67">
        <v>75000</v>
      </c>
      <c r="BD209" s="67">
        <v>76830</v>
      </c>
      <c r="BE209" s="67">
        <v>77180</v>
      </c>
      <c r="BF209" s="67">
        <v>77310</v>
      </c>
      <c r="BG209" s="67">
        <v>79440</v>
      </c>
      <c r="BH209" s="67">
        <v>79260</v>
      </c>
      <c r="BI209" s="67">
        <v>82300</v>
      </c>
      <c r="BJ209" s="67">
        <v>84170</v>
      </c>
      <c r="BK209" s="67">
        <v>79350</v>
      </c>
      <c r="BL209" s="67">
        <v>76460</v>
      </c>
      <c r="BM209" s="4">
        <v>71300</v>
      </c>
      <c r="BN209" s="4">
        <v>73800</v>
      </c>
      <c r="BO209" s="4">
        <v>73180</v>
      </c>
      <c r="BP209" s="4">
        <v>63180</v>
      </c>
      <c r="BQ209" s="4">
        <v>63470</v>
      </c>
      <c r="BR209" s="4">
        <v>63800</v>
      </c>
      <c r="BS209" s="4">
        <v>63170</v>
      </c>
      <c r="BT209" s="4">
        <v>64030</v>
      </c>
      <c r="BU209" s="4">
        <v>62810</v>
      </c>
      <c r="BV209" s="4">
        <v>63030</v>
      </c>
      <c r="BW209" s="4">
        <v>62750</v>
      </c>
      <c r="BX209" s="4">
        <v>62850</v>
      </c>
      <c r="BY209" s="4">
        <v>63520</v>
      </c>
      <c r="BZ209" s="4">
        <v>62440</v>
      </c>
    </row>
    <row r="210" spans="1:78">
      <c r="A210" s="62" t="s">
        <v>411</v>
      </c>
      <c r="B210" s="4" t="s">
        <v>412</v>
      </c>
      <c r="C210" s="55">
        <f>_xll.RssMarket("6324","現在値")</f>
        <v>7340</v>
      </c>
      <c r="D210" s="56">
        <f t="shared" ref="D210:D273" si="7">C210-E210</f>
        <v>500</v>
      </c>
      <c r="E210" s="67">
        <v>6840</v>
      </c>
      <c r="F210" s="67">
        <v>6330</v>
      </c>
      <c r="G210" s="67">
        <v>6140</v>
      </c>
      <c r="H210" s="67">
        <v>5500</v>
      </c>
      <c r="I210" s="67">
        <v>5440</v>
      </c>
      <c r="J210" s="67">
        <v>5780</v>
      </c>
      <c r="K210" s="67">
        <v>6590</v>
      </c>
      <c r="L210" s="67">
        <v>6560</v>
      </c>
      <c r="M210" s="67">
        <v>6870</v>
      </c>
      <c r="N210" s="67">
        <v>6880</v>
      </c>
      <c r="O210" s="67">
        <v>6570</v>
      </c>
      <c r="P210" s="67">
        <v>6470</v>
      </c>
      <c r="Q210" s="67">
        <v>7430</v>
      </c>
      <c r="R210" s="67">
        <v>7540</v>
      </c>
      <c r="S210" s="67">
        <v>7240</v>
      </c>
      <c r="T210" s="67">
        <v>7880</v>
      </c>
      <c r="U210" s="67">
        <v>7510</v>
      </c>
      <c r="V210" s="67">
        <v>7590</v>
      </c>
      <c r="W210" s="67">
        <v>7940</v>
      </c>
      <c r="X210" s="67">
        <v>8890</v>
      </c>
      <c r="Y210" s="67">
        <v>8840</v>
      </c>
      <c r="Z210" s="67">
        <v>8130</v>
      </c>
      <c r="AA210" s="67">
        <v>8010</v>
      </c>
      <c r="AB210" s="67">
        <v>7790</v>
      </c>
      <c r="AC210" s="67">
        <v>7120</v>
      </c>
      <c r="AD210" s="67">
        <v>7100</v>
      </c>
      <c r="AE210" s="67">
        <v>7900</v>
      </c>
      <c r="AF210" s="67">
        <v>7830</v>
      </c>
      <c r="AG210" s="67">
        <v>7700</v>
      </c>
      <c r="AH210" s="67">
        <v>8710</v>
      </c>
      <c r="AI210" s="67">
        <v>7770</v>
      </c>
      <c r="AJ210" s="67">
        <v>7770</v>
      </c>
      <c r="AK210" s="67">
        <v>7850</v>
      </c>
      <c r="AL210" s="67">
        <v>7000</v>
      </c>
      <c r="AM210" s="67">
        <v>6860</v>
      </c>
      <c r="AN210" s="67">
        <v>6550</v>
      </c>
      <c r="AO210" s="67">
        <v>6280</v>
      </c>
      <c r="AP210" s="67">
        <v>6240</v>
      </c>
      <c r="AQ210" s="67">
        <v>7160</v>
      </c>
      <c r="AR210" s="67">
        <v>7090</v>
      </c>
      <c r="AS210" s="67">
        <v>6910</v>
      </c>
      <c r="AT210" s="67">
        <v>7410</v>
      </c>
      <c r="AU210" s="67">
        <v>7110</v>
      </c>
      <c r="AV210" s="67">
        <v>7800</v>
      </c>
      <c r="AW210" s="67">
        <v>7690</v>
      </c>
      <c r="AX210" s="67">
        <v>7850</v>
      </c>
      <c r="AY210" s="67">
        <v>7660</v>
      </c>
      <c r="AZ210" s="67">
        <v>7010</v>
      </c>
      <c r="BA210" s="67">
        <v>6550</v>
      </c>
      <c r="BB210" s="67">
        <v>5920</v>
      </c>
      <c r="BC210" s="67">
        <v>6030</v>
      </c>
      <c r="BD210" s="67">
        <v>6800</v>
      </c>
      <c r="BE210" s="67">
        <v>7100</v>
      </c>
      <c r="BF210" s="67">
        <v>6430</v>
      </c>
      <c r="BG210" s="67">
        <v>6970</v>
      </c>
      <c r="BH210" s="67">
        <v>6600</v>
      </c>
      <c r="BI210" s="67">
        <v>6400</v>
      </c>
      <c r="BJ210" s="67">
        <v>6230</v>
      </c>
      <c r="BK210" s="67">
        <v>5710</v>
      </c>
      <c r="BL210" s="67">
        <v>5150</v>
      </c>
      <c r="BM210" s="4">
        <v>5220</v>
      </c>
      <c r="BN210" s="4">
        <v>4745</v>
      </c>
      <c r="BO210" s="4">
        <v>4885</v>
      </c>
      <c r="BP210" s="4">
        <v>4195</v>
      </c>
      <c r="BQ210" s="4">
        <v>4270</v>
      </c>
      <c r="BR210" s="4">
        <v>4385</v>
      </c>
      <c r="BS210" s="4">
        <v>4490</v>
      </c>
      <c r="BT210" s="4">
        <v>4515</v>
      </c>
      <c r="BU210" s="4">
        <v>4430</v>
      </c>
      <c r="BV210" s="4">
        <v>4695</v>
      </c>
      <c r="BW210" s="4">
        <v>4350</v>
      </c>
      <c r="BX210" s="4">
        <v>4080</v>
      </c>
      <c r="BY210" s="4">
        <v>4155</v>
      </c>
      <c r="BZ210" s="4">
        <v>3990</v>
      </c>
    </row>
    <row r="211" spans="1:78">
      <c r="A211" s="62" t="s">
        <v>413</v>
      </c>
      <c r="B211" s="4" t="s">
        <v>414</v>
      </c>
      <c r="C211" s="55">
        <f>_xll.RssMarket("6273","現在値")</f>
        <v>75700</v>
      </c>
      <c r="D211" s="56">
        <f t="shared" si="7"/>
        <v>2050</v>
      </c>
      <c r="E211" s="67">
        <v>73650</v>
      </c>
      <c r="F211" s="67">
        <v>70980</v>
      </c>
      <c r="G211" s="67">
        <v>70480</v>
      </c>
      <c r="H211" s="67">
        <v>66160</v>
      </c>
      <c r="I211" s="67">
        <v>64930</v>
      </c>
      <c r="J211" s="67">
        <v>65190</v>
      </c>
      <c r="K211" s="67">
        <v>71800</v>
      </c>
      <c r="L211" s="67">
        <v>70970</v>
      </c>
      <c r="M211" s="67">
        <v>72960</v>
      </c>
      <c r="N211" s="67">
        <v>71850</v>
      </c>
      <c r="O211" s="67">
        <v>70460</v>
      </c>
      <c r="P211" s="67">
        <v>69230</v>
      </c>
      <c r="Q211" s="67">
        <v>75000</v>
      </c>
      <c r="R211" s="67">
        <v>72660</v>
      </c>
      <c r="S211" s="67">
        <v>73820</v>
      </c>
      <c r="T211" s="67">
        <v>75570</v>
      </c>
      <c r="U211" s="67">
        <v>72020</v>
      </c>
      <c r="V211" s="67">
        <v>70500</v>
      </c>
      <c r="W211" s="67">
        <v>72540</v>
      </c>
      <c r="X211" s="67">
        <v>75790</v>
      </c>
      <c r="Y211" s="67">
        <v>75800</v>
      </c>
      <c r="Z211" s="67">
        <v>72680</v>
      </c>
      <c r="AA211" s="67">
        <v>75190</v>
      </c>
      <c r="AB211" s="67">
        <v>71280</v>
      </c>
      <c r="AC211" s="67">
        <v>70450</v>
      </c>
      <c r="AD211" s="67">
        <v>71630</v>
      </c>
      <c r="AE211" s="67">
        <v>72930</v>
      </c>
      <c r="AF211" s="67">
        <v>69130</v>
      </c>
      <c r="AG211" s="67">
        <v>71330</v>
      </c>
      <c r="AH211" s="67">
        <v>74240</v>
      </c>
      <c r="AI211" s="67">
        <v>72840</v>
      </c>
      <c r="AJ211" s="67">
        <v>72600</v>
      </c>
      <c r="AK211" s="67">
        <v>72600</v>
      </c>
      <c r="AL211" s="67">
        <v>69030</v>
      </c>
      <c r="AM211" s="67">
        <v>70130</v>
      </c>
      <c r="AN211" s="67">
        <v>65510</v>
      </c>
      <c r="AO211" s="67">
        <v>61920</v>
      </c>
      <c r="AP211" s="67">
        <v>61840</v>
      </c>
      <c r="AQ211" s="67">
        <v>62210</v>
      </c>
      <c r="AR211" s="67">
        <v>65260</v>
      </c>
      <c r="AS211" s="67">
        <v>65070</v>
      </c>
      <c r="AT211" s="67">
        <v>64000</v>
      </c>
      <c r="AU211" s="67">
        <v>63680</v>
      </c>
      <c r="AV211" s="67">
        <v>69110</v>
      </c>
      <c r="AW211" s="67">
        <v>67880</v>
      </c>
      <c r="AX211" s="67">
        <v>66470</v>
      </c>
      <c r="AY211" s="67">
        <v>66930</v>
      </c>
      <c r="AZ211" s="67">
        <v>66270</v>
      </c>
      <c r="BA211" s="67">
        <v>64770</v>
      </c>
      <c r="BB211" s="67">
        <v>64820</v>
      </c>
      <c r="BC211" s="67">
        <v>67120</v>
      </c>
      <c r="BD211" s="67">
        <v>66780</v>
      </c>
      <c r="BE211" s="67">
        <v>67880</v>
      </c>
      <c r="BF211" s="67">
        <v>79470</v>
      </c>
      <c r="BG211" s="67">
        <v>84250</v>
      </c>
      <c r="BH211" s="67">
        <v>84560</v>
      </c>
      <c r="BI211" s="67">
        <v>82320</v>
      </c>
      <c r="BJ211" s="67">
        <v>82860</v>
      </c>
      <c r="BK211" s="67">
        <v>78840</v>
      </c>
      <c r="BL211" s="67">
        <v>75230</v>
      </c>
      <c r="BM211" s="4">
        <v>76080</v>
      </c>
      <c r="BN211" s="4">
        <v>77000</v>
      </c>
      <c r="BO211" s="4">
        <v>75480</v>
      </c>
      <c r="BP211" s="4">
        <v>70470</v>
      </c>
      <c r="BQ211" s="4">
        <v>69530</v>
      </c>
      <c r="BR211" s="4">
        <v>70740</v>
      </c>
      <c r="BS211" s="4">
        <v>71630</v>
      </c>
      <c r="BT211" s="4">
        <v>71470</v>
      </c>
      <c r="BU211" s="4">
        <v>70100</v>
      </c>
      <c r="BV211" s="4">
        <v>71940</v>
      </c>
      <c r="BW211" s="4">
        <v>71960</v>
      </c>
      <c r="BX211" s="4">
        <v>71290</v>
      </c>
      <c r="BY211" s="4">
        <v>71780</v>
      </c>
      <c r="BZ211" s="4">
        <v>70500</v>
      </c>
    </row>
    <row r="212" spans="1:78">
      <c r="A212" s="62" t="s">
        <v>415</v>
      </c>
      <c r="B212" s="4" t="s">
        <v>416</v>
      </c>
      <c r="C212" s="55">
        <f>_xll.RssMarket("4502","現在値")</f>
        <v>5269</v>
      </c>
      <c r="D212" s="56">
        <f t="shared" si="7"/>
        <v>-17</v>
      </c>
      <c r="E212" s="67">
        <v>5286</v>
      </c>
      <c r="F212" s="67">
        <v>5408</v>
      </c>
      <c r="G212" s="67">
        <v>5513</v>
      </c>
      <c r="H212" s="67">
        <v>5718</v>
      </c>
      <c r="I212" s="67">
        <v>5847</v>
      </c>
      <c r="J212" s="67">
        <v>5744</v>
      </c>
      <c r="K212" s="67">
        <v>5769</v>
      </c>
      <c r="L212" s="67">
        <v>5648</v>
      </c>
      <c r="M212" s="67">
        <v>5505</v>
      </c>
      <c r="N212" s="67">
        <v>5552</v>
      </c>
      <c r="O212" s="67">
        <v>5555</v>
      </c>
      <c r="P212" s="67">
        <v>5480</v>
      </c>
      <c r="Q212" s="67">
        <v>5288</v>
      </c>
      <c r="R212" s="67">
        <v>5327</v>
      </c>
      <c r="S212" s="67">
        <v>5318</v>
      </c>
      <c r="T212" s="67">
        <v>5359</v>
      </c>
      <c r="U212" s="67">
        <v>5398</v>
      </c>
      <c r="V212" s="67">
        <v>5451</v>
      </c>
      <c r="W212" s="67">
        <v>5448</v>
      </c>
      <c r="X212" s="67">
        <v>5517</v>
      </c>
      <c r="Y212" s="67">
        <v>5359</v>
      </c>
      <c r="Z212" s="67">
        <v>5274</v>
      </c>
      <c r="AA212" s="67">
        <v>5150</v>
      </c>
      <c r="AB212" s="67">
        <v>5155</v>
      </c>
      <c r="AC212" s="67">
        <v>5176</v>
      </c>
      <c r="AD212" s="67">
        <v>5087</v>
      </c>
      <c r="AE212" s="67">
        <v>5054</v>
      </c>
      <c r="AF212" s="67">
        <v>5104</v>
      </c>
      <c r="AG212" s="67">
        <v>5011</v>
      </c>
      <c r="AH212" s="67">
        <v>4975</v>
      </c>
      <c r="AI212" s="67">
        <v>4934</v>
      </c>
      <c r="AJ212" s="67">
        <v>5037</v>
      </c>
      <c r="AK212" s="67">
        <v>4938</v>
      </c>
      <c r="AL212" s="67">
        <v>5020</v>
      </c>
      <c r="AM212" s="67">
        <v>5088</v>
      </c>
      <c r="AN212" s="67">
        <v>5082</v>
      </c>
      <c r="AO212" s="67">
        <v>5033</v>
      </c>
      <c r="AP212" s="67">
        <v>5070</v>
      </c>
      <c r="AQ212" s="67">
        <v>5050</v>
      </c>
      <c r="AR212" s="67">
        <v>4926</v>
      </c>
      <c r="AS212" s="67">
        <v>4850</v>
      </c>
      <c r="AT212" s="67">
        <v>4748</v>
      </c>
      <c r="AU212" s="67">
        <v>4850</v>
      </c>
      <c r="AV212" s="67">
        <v>5118</v>
      </c>
      <c r="AW212" s="67">
        <v>5120</v>
      </c>
      <c r="AX212" s="67">
        <v>5128</v>
      </c>
      <c r="AY212" s="67">
        <v>5104</v>
      </c>
      <c r="AZ212" s="67">
        <v>5109</v>
      </c>
      <c r="BA212" s="67">
        <v>5180</v>
      </c>
      <c r="BB212" s="67">
        <v>5255</v>
      </c>
      <c r="BC212" s="67">
        <v>5255</v>
      </c>
      <c r="BD212" s="67">
        <v>5249</v>
      </c>
      <c r="BE212" s="67">
        <v>5277</v>
      </c>
      <c r="BF212" s="67">
        <v>5256</v>
      </c>
      <c r="BG212" s="67">
        <v>5192</v>
      </c>
      <c r="BH212" s="67">
        <v>5168</v>
      </c>
      <c r="BI212" s="67">
        <v>5162</v>
      </c>
      <c r="BJ212" s="67">
        <v>5213</v>
      </c>
      <c r="BK212" s="67">
        <v>5310</v>
      </c>
      <c r="BL212" s="67">
        <v>5239</v>
      </c>
      <c r="BM212" s="4">
        <v>5270</v>
      </c>
      <c r="BN212" s="4">
        <v>5289</v>
      </c>
      <c r="BO212" s="4">
        <v>5218</v>
      </c>
      <c r="BP212" s="4">
        <v>5335</v>
      </c>
      <c r="BQ212" s="4">
        <v>5331</v>
      </c>
      <c r="BR212" s="4">
        <v>5318</v>
      </c>
      <c r="BS212" s="4">
        <v>5488</v>
      </c>
      <c r="BT212" s="4">
        <v>5575</v>
      </c>
      <c r="BU212" s="4">
        <v>5586</v>
      </c>
      <c r="BV212" s="4">
        <v>5646</v>
      </c>
      <c r="BW212" s="4">
        <v>5654</v>
      </c>
      <c r="BX212" s="4">
        <v>5604</v>
      </c>
      <c r="BY212" s="4">
        <v>5636</v>
      </c>
      <c r="BZ212" s="4">
        <v>5732</v>
      </c>
    </row>
    <row r="213" spans="1:78">
      <c r="A213" s="62" t="s">
        <v>417</v>
      </c>
      <c r="B213" s="4" t="s">
        <v>418</v>
      </c>
      <c r="C213" s="55">
        <f>_xll.RssMarket("4004","現在値")</f>
        <v>16180</v>
      </c>
      <c r="D213" s="56">
        <f t="shared" si="7"/>
        <v>1495</v>
      </c>
      <c r="E213" s="67">
        <v>14685</v>
      </c>
      <c r="F213" s="67">
        <v>14060</v>
      </c>
      <c r="G213" s="67">
        <v>13725</v>
      </c>
      <c r="H213" s="67">
        <v>12125</v>
      </c>
      <c r="I213" s="67">
        <v>12245</v>
      </c>
      <c r="J213" s="67">
        <v>12365</v>
      </c>
      <c r="K213" s="67">
        <v>13970</v>
      </c>
      <c r="L213" s="67">
        <v>14505</v>
      </c>
      <c r="M213" s="67">
        <v>15395</v>
      </c>
      <c r="N213" s="67">
        <v>15250</v>
      </c>
      <c r="O213" s="67">
        <v>14580</v>
      </c>
      <c r="P213" s="67">
        <v>13910</v>
      </c>
      <c r="Q213" s="67">
        <v>15950</v>
      </c>
      <c r="R213" s="67">
        <v>15415</v>
      </c>
      <c r="S213" s="67">
        <v>15330</v>
      </c>
      <c r="T213" s="67">
        <v>16150</v>
      </c>
      <c r="U213" s="67">
        <v>15750</v>
      </c>
      <c r="V213" s="67">
        <v>15330</v>
      </c>
      <c r="W213" s="67">
        <v>15675</v>
      </c>
      <c r="X213" s="67">
        <v>16750</v>
      </c>
      <c r="Y213" s="67">
        <v>17500</v>
      </c>
      <c r="Z213" s="67">
        <v>17900</v>
      </c>
      <c r="AA213" s="67">
        <v>18680</v>
      </c>
      <c r="AB213" s="67">
        <v>17700</v>
      </c>
      <c r="AC213" s="67">
        <v>17865</v>
      </c>
      <c r="AD213" s="67">
        <v>17330</v>
      </c>
      <c r="AE213" s="67">
        <v>17770</v>
      </c>
      <c r="AF213" s="67">
        <v>17750</v>
      </c>
      <c r="AG213" s="67">
        <v>18350</v>
      </c>
      <c r="AH213" s="67">
        <v>19325</v>
      </c>
      <c r="AI213" s="67">
        <v>18390</v>
      </c>
      <c r="AJ213" s="67">
        <v>18420</v>
      </c>
      <c r="AK213" s="67">
        <v>18520</v>
      </c>
      <c r="AL213" s="67">
        <v>18290</v>
      </c>
      <c r="AM213" s="67">
        <v>18395</v>
      </c>
      <c r="AN213" s="67">
        <v>16950</v>
      </c>
      <c r="AO213" s="67">
        <v>16375</v>
      </c>
      <c r="AP213" s="67">
        <v>15335</v>
      </c>
      <c r="AQ213" s="67">
        <v>15970</v>
      </c>
      <c r="AR213" s="67">
        <v>17315</v>
      </c>
      <c r="AS213" s="67">
        <v>17860</v>
      </c>
      <c r="AT213" s="67">
        <v>18700</v>
      </c>
      <c r="AU213" s="67">
        <v>17825</v>
      </c>
      <c r="AV213" s="67">
        <v>18720</v>
      </c>
      <c r="AW213" s="67">
        <v>18500</v>
      </c>
      <c r="AX213" s="67">
        <v>19100</v>
      </c>
      <c r="AY213" s="67">
        <v>19450</v>
      </c>
      <c r="AZ213" s="67">
        <v>18010</v>
      </c>
      <c r="BA213" s="67">
        <v>17310</v>
      </c>
      <c r="BB213" s="67">
        <v>15910</v>
      </c>
      <c r="BC213" s="67">
        <v>16300</v>
      </c>
      <c r="BD213" s="67">
        <v>16690</v>
      </c>
      <c r="BE213" s="67">
        <v>17200</v>
      </c>
      <c r="BF213" s="67">
        <v>18690</v>
      </c>
      <c r="BG213" s="67">
        <v>17815</v>
      </c>
      <c r="BH213" s="67">
        <v>17815</v>
      </c>
      <c r="BI213" s="67">
        <v>16850</v>
      </c>
      <c r="BJ213" s="67">
        <v>16000</v>
      </c>
      <c r="BK213" s="67">
        <v>15590</v>
      </c>
      <c r="BL213" s="67">
        <v>14045</v>
      </c>
      <c r="BM213" s="4">
        <v>14215</v>
      </c>
      <c r="BN213" s="4">
        <v>14155</v>
      </c>
      <c r="BO213" s="4">
        <v>13990</v>
      </c>
      <c r="BP213" s="4">
        <v>13770</v>
      </c>
      <c r="BQ213" s="4">
        <v>13750</v>
      </c>
      <c r="BR213" s="4">
        <v>14455</v>
      </c>
      <c r="BS213" s="4">
        <v>13330</v>
      </c>
      <c r="BT213" s="4">
        <v>12500</v>
      </c>
      <c r="BU213" s="4">
        <v>12460</v>
      </c>
      <c r="BV213" s="4">
        <v>13200</v>
      </c>
      <c r="BW213" s="4">
        <v>12875</v>
      </c>
      <c r="BX213" s="4">
        <v>13490</v>
      </c>
      <c r="BY213" s="4">
        <v>13300</v>
      </c>
      <c r="BZ213" s="4">
        <v>13405</v>
      </c>
    </row>
    <row r="214" spans="1:78">
      <c r="A214" s="62" t="s">
        <v>419</v>
      </c>
      <c r="B214" s="4" t="s">
        <v>420</v>
      </c>
      <c r="C214" s="55">
        <f>_xll.RssMarket("9519","現在値")</f>
        <v>919</v>
      </c>
      <c r="D214" s="56">
        <f t="shared" si="7"/>
        <v>0</v>
      </c>
      <c r="E214" s="67">
        <v>919</v>
      </c>
      <c r="F214" s="67">
        <v>904</v>
      </c>
      <c r="G214" s="67">
        <v>930</v>
      </c>
      <c r="H214" s="67">
        <v>928</v>
      </c>
      <c r="I214" s="67">
        <v>963</v>
      </c>
      <c r="J214" s="67">
        <v>983</v>
      </c>
      <c r="K214" s="67">
        <v>1029</v>
      </c>
      <c r="L214" s="67">
        <v>1005</v>
      </c>
      <c r="M214" s="67">
        <v>977</v>
      </c>
      <c r="N214" s="67">
        <v>997</v>
      </c>
      <c r="O214" s="67">
        <v>985</v>
      </c>
      <c r="P214" s="67">
        <v>981</v>
      </c>
      <c r="Q214" s="67">
        <v>1035</v>
      </c>
      <c r="R214" s="67">
        <v>964</v>
      </c>
      <c r="S214" s="67">
        <v>921</v>
      </c>
      <c r="T214" s="67">
        <v>923</v>
      </c>
      <c r="U214" s="67">
        <v>939</v>
      </c>
      <c r="V214" s="67">
        <v>938</v>
      </c>
      <c r="W214" s="67">
        <v>978</v>
      </c>
      <c r="X214" s="67">
        <v>964</v>
      </c>
      <c r="Y214" s="67">
        <v>1000</v>
      </c>
      <c r="Z214" s="67">
        <v>981</v>
      </c>
      <c r="AA214" s="67">
        <v>966</v>
      </c>
      <c r="AB214" s="67">
        <v>985</v>
      </c>
      <c r="AC214" s="67">
        <v>982</v>
      </c>
      <c r="AD214" s="67">
        <v>914</v>
      </c>
      <c r="AE214" s="67">
        <v>883</v>
      </c>
      <c r="AF214" s="67">
        <v>925</v>
      </c>
      <c r="AG214" s="67">
        <v>920</v>
      </c>
      <c r="AH214" s="67">
        <v>890</v>
      </c>
      <c r="AI214" s="67">
        <v>817</v>
      </c>
      <c r="AJ214" s="67">
        <v>831</v>
      </c>
      <c r="AK214" s="67">
        <v>883</v>
      </c>
      <c r="AL214" s="67">
        <v>883</v>
      </c>
      <c r="AM214" s="67">
        <v>895</v>
      </c>
      <c r="AN214" s="67">
        <v>893</v>
      </c>
      <c r="AO214" s="67">
        <v>901</v>
      </c>
      <c r="AP214" s="67">
        <v>920</v>
      </c>
      <c r="AQ214" s="67">
        <v>1003</v>
      </c>
      <c r="AR214" s="67">
        <v>1026</v>
      </c>
      <c r="AS214" s="67">
        <v>984</v>
      </c>
      <c r="AT214" s="67">
        <v>1023</v>
      </c>
      <c r="AU214" s="67">
        <v>1110</v>
      </c>
      <c r="AV214" s="67">
        <v>1203</v>
      </c>
      <c r="AW214" s="67">
        <v>1223</v>
      </c>
      <c r="AX214" s="67">
        <v>1288</v>
      </c>
      <c r="AY214" s="67">
        <v>1335</v>
      </c>
      <c r="AZ214" s="67">
        <v>1350</v>
      </c>
      <c r="BA214" s="67">
        <v>1305</v>
      </c>
      <c r="BB214" s="67">
        <v>1262</v>
      </c>
      <c r="BC214" s="67">
        <v>1375</v>
      </c>
      <c r="BD214" s="67">
        <v>1273</v>
      </c>
      <c r="BE214" s="67">
        <v>1346</v>
      </c>
      <c r="BF214" s="67">
        <v>1302</v>
      </c>
      <c r="BG214" s="67">
        <v>1220</v>
      </c>
      <c r="BH214" s="67">
        <v>1245</v>
      </c>
      <c r="BI214" s="67">
        <v>1225</v>
      </c>
      <c r="BJ214" s="67">
        <v>1160</v>
      </c>
      <c r="BK214" s="67">
        <v>1138</v>
      </c>
      <c r="BL214" s="67">
        <v>1111</v>
      </c>
      <c r="BM214" s="4">
        <v>1111</v>
      </c>
      <c r="BN214" s="4">
        <v>1128</v>
      </c>
      <c r="BO214" s="4">
        <v>1070</v>
      </c>
      <c r="BP214" s="4">
        <v>1059</v>
      </c>
      <c r="BQ214" s="4">
        <v>988</v>
      </c>
      <c r="BR214" s="4">
        <v>949</v>
      </c>
      <c r="BS214" s="4">
        <v>980</v>
      </c>
      <c r="BT214" s="4">
        <v>1033</v>
      </c>
      <c r="BU214" s="4">
        <v>1041</v>
      </c>
      <c r="BV214" s="4">
        <v>1079</v>
      </c>
      <c r="BW214" s="4">
        <v>1060</v>
      </c>
      <c r="BX214" s="4">
        <v>1009</v>
      </c>
      <c r="BY214" s="4">
        <v>997</v>
      </c>
      <c r="BZ214" s="4">
        <v>945</v>
      </c>
    </row>
    <row r="215" spans="1:78">
      <c r="A215" s="62" t="s">
        <v>421</v>
      </c>
      <c r="B215" s="4" t="s">
        <v>422</v>
      </c>
      <c r="C215" s="55">
        <f>_xll.RssMarket("6752","現在値")</f>
        <v>4446</v>
      </c>
      <c r="D215" s="56">
        <f t="shared" si="7"/>
        <v>211</v>
      </c>
      <c r="E215" s="67">
        <v>4235</v>
      </c>
      <c r="F215" s="67">
        <v>4281</v>
      </c>
      <c r="G215" s="67">
        <v>4284</v>
      </c>
      <c r="H215" s="67">
        <v>3584</v>
      </c>
      <c r="I215" s="67">
        <v>3507</v>
      </c>
      <c r="J215" s="67">
        <v>3604</v>
      </c>
      <c r="K215" s="67">
        <v>3886</v>
      </c>
      <c r="L215" s="67">
        <v>3883</v>
      </c>
      <c r="M215" s="67">
        <v>4016</v>
      </c>
      <c r="N215" s="67">
        <v>4095</v>
      </c>
      <c r="O215" s="67">
        <v>4073</v>
      </c>
      <c r="P215" s="67">
        <v>3993</v>
      </c>
      <c r="Q215" s="67">
        <v>4318</v>
      </c>
      <c r="R215" s="67">
        <v>4173</v>
      </c>
      <c r="S215" s="67">
        <v>4419</v>
      </c>
      <c r="T215" s="67">
        <v>4480</v>
      </c>
      <c r="U215" s="67">
        <v>4455</v>
      </c>
      <c r="V215" s="67">
        <v>4333</v>
      </c>
      <c r="W215" s="67">
        <v>4400</v>
      </c>
      <c r="X215" s="67">
        <v>4557</v>
      </c>
      <c r="Y215" s="67">
        <v>4522</v>
      </c>
      <c r="Z215" s="67">
        <v>4547</v>
      </c>
      <c r="AA215" s="67">
        <v>4770</v>
      </c>
      <c r="AB215" s="67">
        <v>4502</v>
      </c>
      <c r="AC215" s="67">
        <v>4393</v>
      </c>
      <c r="AD215" s="67">
        <v>4540</v>
      </c>
      <c r="AE215" s="67">
        <v>4610</v>
      </c>
      <c r="AF215" s="67">
        <v>4454</v>
      </c>
      <c r="AG215" s="67">
        <v>4230</v>
      </c>
      <c r="AH215" s="67">
        <v>4393</v>
      </c>
      <c r="AI215" s="67">
        <v>4419</v>
      </c>
      <c r="AJ215" s="67">
        <v>4305</v>
      </c>
      <c r="AK215" s="67">
        <v>4200</v>
      </c>
      <c r="AL215" s="67">
        <v>4079</v>
      </c>
      <c r="AM215" s="67">
        <v>4010</v>
      </c>
      <c r="AN215" s="67">
        <v>3800</v>
      </c>
      <c r="AO215" s="67">
        <v>3767</v>
      </c>
      <c r="AP215" s="67">
        <v>3756</v>
      </c>
      <c r="AQ215" s="67">
        <v>3574</v>
      </c>
      <c r="AR215" s="67">
        <v>3754</v>
      </c>
      <c r="AS215" s="67">
        <v>3800</v>
      </c>
      <c r="AT215" s="67">
        <v>3916</v>
      </c>
      <c r="AU215" s="67">
        <v>3595</v>
      </c>
      <c r="AV215" s="67">
        <v>3700</v>
      </c>
      <c r="AW215" s="67">
        <v>3544</v>
      </c>
      <c r="AX215" s="67">
        <v>3569</v>
      </c>
      <c r="AY215" s="67">
        <v>3566</v>
      </c>
      <c r="AZ215" s="67">
        <v>3507</v>
      </c>
      <c r="BA215" s="67">
        <v>3421</v>
      </c>
      <c r="BB215" s="67">
        <v>3207</v>
      </c>
      <c r="BC215" s="67">
        <v>3353</v>
      </c>
      <c r="BD215" s="67">
        <v>3348</v>
      </c>
      <c r="BE215" s="67">
        <v>3293</v>
      </c>
      <c r="BF215" s="67">
        <v>3377</v>
      </c>
      <c r="BG215" s="67">
        <v>3275</v>
      </c>
      <c r="BH215" s="67">
        <v>3405</v>
      </c>
      <c r="BI215" s="67">
        <v>3334</v>
      </c>
      <c r="BJ215" s="67">
        <v>3318</v>
      </c>
      <c r="BK215" s="67">
        <v>3349</v>
      </c>
      <c r="BL215" s="67">
        <v>3324</v>
      </c>
      <c r="BM215" s="4">
        <v>3203</v>
      </c>
      <c r="BN215" s="4">
        <v>3061</v>
      </c>
      <c r="BO215" s="4">
        <v>3103</v>
      </c>
      <c r="BP215" s="4">
        <v>2879</v>
      </c>
      <c r="BQ215" s="4">
        <v>2904.5</v>
      </c>
      <c r="BR215" s="4">
        <v>2985</v>
      </c>
      <c r="BS215" s="4">
        <v>3019</v>
      </c>
      <c r="BT215" s="4">
        <v>2982.5</v>
      </c>
      <c r="BU215" s="4">
        <v>2897</v>
      </c>
      <c r="BV215" s="4">
        <v>2996</v>
      </c>
      <c r="BW215" s="4">
        <v>2925</v>
      </c>
      <c r="BX215" s="4">
        <v>2917.5</v>
      </c>
      <c r="BY215" s="4">
        <v>2879.5</v>
      </c>
      <c r="BZ215" s="4">
        <v>2861</v>
      </c>
    </row>
    <row r="216" spans="1:78">
      <c r="A216" s="62" t="s">
        <v>423</v>
      </c>
      <c r="B216" s="4" t="s">
        <v>424</v>
      </c>
      <c r="C216" s="55">
        <f>_xll.RssMarket("6622","現在値")</f>
        <v>15430</v>
      </c>
      <c r="D216" s="56">
        <f t="shared" si="7"/>
        <v>650</v>
      </c>
      <c r="E216" s="67">
        <v>14780</v>
      </c>
      <c r="F216" s="67">
        <v>13700</v>
      </c>
      <c r="G216" s="67">
        <v>13790</v>
      </c>
      <c r="H216" s="67">
        <v>12250</v>
      </c>
      <c r="I216" s="67">
        <v>11900</v>
      </c>
      <c r="J216" s="67">
        <v>13110</v>
      </c>
      <c r="K216" s="67">
        <v>14620</v>
      </c>
      <c r="L216" s="67">
        <v>14650</v>
      </c>
      <c r="M216" s="67">
        <v>15020</v>
      </c>
      <c r="N216" s="67">
        <v>14850</v>
      </c>
      <c r="O216" s="67">
        <v>14570</v>
      </c>
      <c r="P216" s="67">
        <v>14040</v>
      </c>
      <c r="Q216" s="67">
        <v>15730</v>
      </c>
      <c r="R216" s="67">
        <v>15120</v>
      </c>
      <c r="S216" s="67">
        <v>15070</v>
      </c>
      <c r="T216" s="67">
        <v>15590</v>
      </c>
      <c r="U216" s="67">
        <v>15280</v>
      </c>
      <c r="V216" s="67">
        <v>14790</v>
      </c>
      <c r="W216" s="67">
        <v>16000</v>
      </c>
      <c r="X216" s="67">
        <v>17160</v>
      </c>
      <c r="Y216" s="67">
        <v>17000</v>
      </c>
      <c r="Z216" s="67">
        <v>17130</v>
      </c>
      <c r="AA216" s="67">
        <v>18550</v>
      </c>
      <c r="AB216" s="67">
        <v>18050</v>
      </c>
      <c r="AC216" s="67">
        <v>17750</v>
      </c>
      <c r="AD216" s="67">
        <v>18310</v>
      </c>
      <c r="AE216" s="67">
        <v>18930</v>
      </c>
      <c r="AF216" s="67">
        <v>18420</v>
      </c>
      <c r="AG216" s="67">
        <v>18670</v>
      </c>
      <c r="AH216" s="67">
        <v>19450</v>
      </c>
      <c r="AI216" s="67">
        <v>17840</v>
      </c>
      <c r="AJ216" s="67">
        <v>18240</v>
      </c>
      <c r="AK216" s="67">
        <v>16830</v>
      </c>
      <c r="AL216" s="67">
        <v>16230</v>
      </c>
      <c r="AM216" s="67">
        <v>16220</v>
      </c>
      <c r="AN216" s="67">
        <v>14970</v>
      </c>
      <c r="AO216" s="67">
        <v>14440</v>
      </c>
      <c r="AP216" s="67">
        <v>14730</v>
      </c>
      <c r="AQ216" s="67">
        <v>15360</v>
      </c>
      <c r="AR216" s="67">
        <v>16200</v>
      </c>
      <c r="AS216" s="67">
        <v>15760</v>
      </c>
      <c r="AT216" s="67">
        <v>15700</v>
      </c>
      <c r="AU216" s="67">
        <v>15280</v>
      </c>
      <c r="AV216" s="67">
        <v>15850</v>
      </c>
      <c r="AW216" s="67">
        <v>16380</v>
      </c>
      <c r="AX216" s="67">
        <v>16620</v>
      </c>
      <c r="AY216" s="67">
        <v>16830</v>
      </c>
      <c r="AZ216" s="67">
        <v>16340</v>
      </c>
      <c r="BA216" s="67">
        <v>15820</v>
      </c>
      <c r="BB216" s="67">
        <v>15280</v>
      </c>
      <c r="BC216" s="67">
        <v>15840</v>
      </c>
      <c r="BD216" s="67">
        <v>16540</v>
      </c>
      <c r="BE216" s="67">
        <v>16900</v>
      </c>
      <c r="BF216" s="67">
        <v>17330</v>
      </c>
      <c r="BG216" s="67">
        <v>18070</v>
      </c>
      <c r="BH216" s="67">
        <v>17720</v>
      </c>
      <c r="BI216" s="67">
        <v>17620</v>
      </c>
      <c r="BJ216" s="67">
        <v>17280</v>
      </c>
      <c r="BK216" s="67">
        <v>16900</v>
      </c>
      <c r="BL216" s="67">
        <v>15760</v>
      </c>
      <c r="BM216" s="4">
        <v>15380</v>
      </c>
      <c r="BN216" s="4">
        <v>14980</v>
      </c>
      <c r="BO216" s="4">
        <v>14770</v>
      </c>
      <c r="BP216" s="4">
        <v>13900</v>
      </c>
      <c r="BQ216" s="4">
        <v>13720</v>
      </c>
      <c r="BR216" s="4">
        <v>13930</v>
      </c>
      <c r="BS216" s="4">
        <v>14100</v>
      </c>
      <c r="BT216" s="4">
        <v>13950</v>
      </c>
      <c r="BU216" s="4">
        <v>13880</v>
      </c>
      <c r="BV216" s="4">
        <v>14310</v>
      </c>
      <c r="BW216" s="4">
        <v>13970</v>
      </c>
      <c r="BX216" s="4">
        <v>14380</v>
      </c>
      <c r="BY216" s="4">
        <v>14020</v>
      </c>
      <c r="BZ216" s="4">
        <v>13950</v>
      </c>
    </row>
    <row r="217" spans="1:78">
      <c r="A217" s="62" t="s">
        <v>425</v>
      </c>
      <c r="B217" s="4" t="s">
        <v>426</v>
      </c>
      <c r="C217" s="55">
        <f>_xll.RssMarket("1407","現在値")</f>
        <v>2710</v>
      </c>
      <c r="D217" s="56">
        <f t="shared" si="7"/>
        <v>-20</v>
      </c>
      <c r="E217" s="67">
        <v>2730</v>
      </c>
      <c r="F217" s="67">
        <v>2622</v>
      </c>
      <c r="G217" s="67">
        <v>2529</v>
      </c>
      <c r="H217" s="67">
        <v>2475</v>
      </c>
      <c r="I217" s="67">
        <v>2648</v>
      </c>
      <c r="J217" s="67">
        <v>2634</v>
      </c>
      <c r="K217" s="67">
        <v>2783</v>
      </c>
      <c r="L217" s="67">
        <v>2800</v>
      </c>
      <c r="M217" s="67">
        <v>2695</v>
      </c>
      <c r="N217" s="67">
        <v>2641</v>
      </c>
      <c r="O217" s="67">
        <v>2734</v>
      </c>
      <c r="P217" s="67">
        <v>2835</v>
      </c>
      <c r="Q217" s="67">
        <v>2802</v>
      </c>
      <c r="R217" s="67">
        <v>2302</v>
      </c>
      <c r="S217" s="67">
        <v>2179</v>
      </c>
      <c r="T217" s="67">
        <v>2151</v>
      </c>
      <c r="U217" s="67">
        <v>2274</v>
      </c>
      <c r="V217" s="67">
        <v>2237</v>
      </c>
      <c r="W217" s="67">
        <v>2275</v>
      </c>
      <c r="X217" s="67">
        <v>2321</v>
      </c>
      <c r="Y217" s="67">
        <v>2389</v>
      </c>
      <c r="Z217" s="67">
        <v>2346</v>
      </c>
      <c r="AA217" s="67">
        <v>2406</v>
      </c>
      <c r="AB217" s="67">
        <v>2383</v>
      </c>
      <c r="AC217" s="67">
        <v>2427</v>
      </c>
      <c r="AD217" s="67">
        <v>2345</v>
      </c>
      <c r="AE217" s="67">
        <v>2291</v>
      </c>
      <c r="AF217" s="67">
        <v>2345</v>
      </c>
      <c r="AG217" s="67">
        <v>2400</v>
      </c>
      <c r="AH217" s="67">
        <v>2250</v>
      </c>
      <c r="AI217" s="67">
        <v>2216</v>
      </c>
      <c r="AJ217" s="67">
        <v>2308</v>
      </c>
      <c r="AK217" s="67">
        <v>2310</v>
      </c>
      <c r="AL217" s="67">
        <v>2256</v>
      </c>
      <c r="AM217" s="67">
        <v>2280</v>
      </c>
      <c r="AN217" s="67">
        <v>2313</v>
      </c>
      <c r="AO217" s="67">
        <v>2305</v>
      </c>
      <c r="AP217" s="67">
        <v>2297</v>
      </c>
      <c r="AQ217" s="67">
        <v>2450</v>
      </c>
      <c r="AR217" s="67">
        <v>2478</v>
      </c>
      <c r="AS217" s="67">
        <v>2436</v>
      </c>
      <c r="AT217" s="67">
        <v>2578</v>
      </c>
      <c r="AU217" s="67">
        <v>2489</v>
      </c>
      <c r="AV217" s="67">
        <v>2695</v>
      </c>
      <c r="AW217" s="67">
        <v>2936</v>
      </c>
      <c r="AX217" s="67">
        <v>3115</v>
      </c>
      <c r="AY217" s="67">
        <v>2991</v>
      </c>
      <c r="AZ217" s="67">
        <v>2891</v>
      </c>
      <c r="BA217" s="67">
        <v>2923</v>
      </c>
      <c r="BB217" s="67">
        <v>3085</v>
      </c>
      <c r="BC217" s="67">
        <v>3040</v>
      </c>
      <c r="BD217" s="67">
        <v>2980</v>
      </c>
      <c r="BE217" s="67">
        <v>3005</v>
      </c>
      <c r="BF217" s="67">
        <v>3070</v>
      </c>
      <c r="BG217" s="67">
        <v>3015</v>
      </c>
      <c r="BH217" s="67">
        <v>2950</v>
      </c>
      <c r="BI217" s="67">
        <v>3115</v>
      </c>
      <c r="BJ217" s="67">
        <v>2980</v>
      </c>
      <c r="BK217" s="67">
        <v>2860</v>
      </c>
      <c r="BL217" s="67">
        <v>2884</v>
      </c>
      <c r="BM217" s="4">
        <v>2877</v>
      </c>
      <c r="BN217" s="4">
        <v>2756</v>
      </c>
      <c r="BO217" s="4">
        <v>2637</v>
      </c>
      <c r="BP217" s="4">
        <v>2548</v>
      </c>
      <c r="BQ217" s="4">
        <v>2356</v>
      </c>
      <c r="BR217" s="4">
        <v>2270</v>
      </c>
      <c r="BS217" s="4">
        <v>2288</v>
      </c>
      <c r="BT217" s="4">
        <v>2279</v>
      </c>
      <c r="BU217" s="4">
        <v>2239</v>
      </c>
      <c r="BV217" s="4">
        <v>2320</v>
      </c>
      <c r="BW217" s="4">
        <v>2122</v>
      </c>
      <c r="BX217" s="4">
        <v>1947</v>
      </c>
      <c r="BY217" s="4">
        <v>1855</v>
      </c>
      <c r="BZ217" s="4">
        <v>1848</v>
      </c>
    </row>
    <row r="218" spans="1:78">
      <c r="A218" s="62" t="s">
        <v>427</v>
      </c>
      <c r="B218" s="4" t="s">
        <v>428</v>
      </c>
      <c r="C218" s="55">
        <f>_xll.RssMarket("285A","現在値")</f>
        <v>54590</v>
      </c>
      <c r="D218" s="56">
        <f t="shared" si="7"/>
        <v>2500</v>
      </c>
      <c r="E218" s="67">
        <v>52090</v>
      </c>
      <c r="F218" s="67">
        <v>49160</v>
      </c>
      <c r="G218" s="67">
        <v>46500</v>
      </c>
      <c r="H218" s="67">
        <v>39500</v>
      </c>
      <c r="I218" s="67">
        <v>38380</v>
      </c>
      <c r="J218" s="67">
        <v>44550</v>
      </c>
      <c r="K218" s="67">
        <v>54550</v>
      </c>
      <c r="L218" s="67">
        <v>56010</v>
      </c>
      <c r="M218" s="67">
        <v>61880</v>
      </c>
      <c r="N218" s="67">
        <v>64270</v>
      </c>
      <c r="O218" s="67">
        <v>61060</v>
      </c>
      <c r="P218" s="67">
        <v>52110</v>
      </c>
      <c r="Q218" s="67">
        <v>73100</v>
      </c>
      <c r="R218" s="67">
        <v>69100</v>
      </c>
      <c r="S218" s="67">
        <v>67100</v>
      </c>
      <c r="T218" s="67">
        <v>77000</v>
      </c>
      <c r="U218" s="67">
        <v>77860</v>
      </c>
      <c r="V218" s="67">
        <v>71870</v>
      </c>
      <c r="W218" s="67">
        <v>72400</v>
      </c>
      <c r="X218" s="67">
        <v>81590</v>
      </c>
      <c r="Y218" s="67">
        <v>83300</v>
      </c>
      <c r="Z218" s="67">
        <v>76260</v>
      </c>
      <c r="AA218" s="67">
        <v>88130</v>
      </c>
      <c r="AB218" s="67">
        <v>89680</v>
      </c>
      <c r="AC218" s="67">
        <v>88450</v>
      </c>
      <c r="AD218" s="67">
        <v>92180</v>
      </c>
      <c r="AE218" s="67">
        <v>103850</v>
      </c>
      <c r="AF218" s="67">
        <v>92500</v>
      </c>
      <c r="AG218" s="67">
        <v>92290</v>
      </c>
      <c r="AH218" s="67">
        <v>108700</v>
      </c>
      <c r="AI218" s="67">
        <v>108600</v>
      </c>
      <c r="AJ218" s="67">
        <v>96900</v>
      </c>
      <c r="AK218" s="67">
        <v>96000</v>
      </c>
      <c r="AL218" s="67">
        <v>94720</v>
      </c>
      <c r="AM218" s="67">
        <v>90910</v>
      </c>
      <c r="AN218" s="67">
        <v>81200</v>
      </c>
      <c r="AO218" s="67">
        <v>75440</v>
      </c>
      <c r="AP218" s="67">
        <v>70500</v>
      </c>
      <c r="AQ218" s="67">
        <v>71880</v>
      </c>
      <c r="AR218" s="67">
        <v>78140</v>
      </c>
      <c r="AS218" s="67">
        <v>76920</v>
      </c>
      <c r="AT218" s="67">
        <v>78080</v>
      </c>
      <c r="AU218" s="67">
        <v>77540</v>
      </c>
      <c r="AV218" s="67">
        <v>65850</v>
      </c>
      <c r="AW218" s="67">
        <v>61280</v>
      </c>
      <c r="AX218" s="67">
        <v>60550</v>
      </c>
      <c r="AY218" s="67">
        <v>65450</v>
      </c>
      <c r="AZ218" s="67">
        <v>57400</v>
      </c>
      <c r="BA218" s="67">
        <v>55340</v>
      </c>
      <c r="BB218" s="67">
        <v>51290</v>
      </c>
      <c r="BC218" s="67">
        <v>49770</v>
      </c>
      <c r="BD218" s="67">
        <v>51450</v>
      </c>
      <c r="BE218" s="67">
        <v>44450</v>
      </c>
      <c r="BF218" s="67">
        <v>48460</v>
      </c>
      <c r="BG218" s="67">
        <v>50500</v>
      </c>
      <c r="BH218" s="67">
        <v>46100</v>
      </c>
      <c r="BI218" s="67">
        <v>45940</v>
      </c>
      <c r="BJ218" s="67">
        <v>44490</v>
      </c>
      <c r="BK218" s="67">
        <v>43410</v>
      </c>
      <c r="BL218" s="67">
        <v>36410</v>
      </c>
      <c r="BM218" s="4">
        <v>37560</v>
      </c>
      <c r="BN218" s="4">
        <v>36320</v>
      </c>
      <c r="BO218" s="4">
        <v>35470</v>
      </c>
      <c r="BP218" s="4">
        <v>34580</v>
      </c>
      <c r="BQ218" s="4">
        <v>35380</v>
      </c>
      <c r="BR218" s="4">
        <v>34800</v>
      </c>
      <c r="BS218" s="4">
        <v>32740</v>
      </c>
      <c r="BT218" s="4">
        <v>30510</v>
      </c>
      <c r="BU218" s="4">
        <v>30530</v>
      </c>
      <c r="BV218" s="4">
        <v>33870</v>
      </c>
      <c r="BW218" s="4">
        <v>32410</v>
      </c>
      <c r="BX218" s="4">
        <v>35000</v>
      </c>
      <c r="BY218" s="4">
        <v>31270</v>
      </c>
      <c r="BZ218" s="4">
        <v>30140</v>
      </c>
    </row>
    <row r="219" spans="1:78">
      <c r="A219" s="62" t="s">
        <v>429</v>
      </c>
      <c r="B219" s="4" t="s">
        <v>430</v>
      </c>
      <c r="C219" s="55">
        <f>_xll.RssMarket("141A","現在値")</f>
        <v>3220</v>
      </c>
      <c r="D219" s="56">
        <f t="shared" si="7"/>
        <v>-30</v>
      </c>
      <c r="E219" s="67">
        <v>3250</v>
      </c>
      <c r="F219" s="67">
        <v>3215</v>
      </c>
      <c r="G219" s="67">
        <v>3130</v>
      </c>
      <c r="H219" s="67">
        <v>3085</v>
      </c>
      <c r="I219" s="67">
        <v>3035</v>
      </c>
      <c r="J219" s="67">
        <v>3045</v>
      </c>
      <c r="K219" s="67">
        <v>3025</v>
      </c>
      <c r="L219" s="67"/>
      <c r="M219" s="67">
        <v>2995</v>
      </c>
      <c r="N219" s="67">
        <v>3005</v>
      </c>
      <c r="O219" s="67">
        <v>3015</v>
      </c>
      <c r="P219" s="67">
        <v>2980</v>
      </c>
      <c r="Q219" s="67">
        <v>3005</v>
      </c>
      <c r="R219" s="67">
        <v>3045</v>
      </c>
      <c r="S219" s="67">
        <v>3055</v>
      </c>
      <c r="T219" s="67">
        <v>3040</v>
      </c>
      <c r="U219" s="67">
        <v>3100</v>
      </c>
      <c r="V219" s="67">
        <v>3010</v>
      </c>
      <c r="W219" s="67">
        <v>3140</v>
      </c>
      <c r="X219" s="67">
        <v>3035</v>
      </c>
      <c r="Y219" s="67">
        <v>3075</v>
      </c>
      <c r="Z219" s="67">
        <v>2998</v>
      </c>
      <c r="AA219" s="67">
        <v>2889</v>
      </c>
      <c r="AB219" s="67">
        <v>2992</v>
      </c>
      <c r="AC219" s="67">
        <v>3070</v>
      </c>
      <c r="AD219" s="67">
        <v>2952</v>
      </c>
      <c r="AE219" s="67">
        <v>3025</v>
      </c>
      <c r="AF219" s="67">
        <v>3035</v>
      </c>
      <c r="AG219" s="67">
        <v>2803</v>
      </c>
      <c r="AH219" s="67">
        <v>2743</v>
      </c>
      <c r="AI219" s="67">
        <v>2745</v>
      </c>
      <c r="AJ219" s="67">
        <v>2731</v>
      </c>
      <c r="AK219" s="67">
        <v>2803</v>
      </c>
      <c r="AL219" s="67">
        <v>2744</v>
      </c>
      <c r="AM219" s="67">
        <v>2833</v>
      </c>
      <c r="AN219" s="67">
        <v>2789</v>
      </c>
      <c r="AO219" s="67">
        <v>2850</v>
      </c>
      <c r="AP219" s="67">
        <v>2793</v>
      </c>
      <c r="AQ219" s="67">
        <v>2782</v>
      </c>
      <c r="AR219" s="67">
        <v>2774</v>
      </c>
      <c r="AS219" s="67">
        <v>2668</v>
      </c>
      <c r="AT219" s="67">
        <v>2734</v>
      </c>
      <c r="AU219" s="67">
        <v>2570</v>
      </c>
      <c r="AV219" s="67">
        <v>2865</v>
      </c>
      <c r="AW219" s="67">
        <v>2900</v>
      </c>
      <c r="AX219" s="67">
        <v>2805</v>
      </c>
      <c r="AY219" s="67">
        <v>2878</v>
      </c>
      <c r="AZ219" s="67">
        <v>2971</v>
      </c>
      <c r="BA219" s="67">
        <v>3055</v>
      </c>
      <c r="BB219" s="67">
        <v>3105</v>
      </c>
      <c r="BC219" s="67">
        <v>3180</v>
      </c>
      <c r="BD219" s="67">
        <v>2911</v>
      </c>
      <c r="BE219" s="67">
        <v>3570</v>
      </c>
      <c r="BF219" s="67">
        <v>4270</v>
      </c>
      <c r="BG219" s="67">
        <v>4440</v>
      </c>
      <c r="BH219" s="67">
        <v>4330</v>
      </c>
      <c r="BI219" s="67">
        <v>4225</v>
      </c>
      <c r="BJ219" s="67">
        <v>4140</v>
      </c>
      <c r="BK219" s="67">
        <v>4155</v>
      </c>
      <c r="BL219" s="67">
        <v>3885</v>
      </c>
      <c r="BM219" s="4">
        <v>3920</v>
      </c>
      <c r="BN219" s="4">
        <v>4045</v>
      </c>
      <c r="BO219" s="4">
        <v>3905</v>
      </c>
      <c r="BP219" s="4">
        <v>3985</v>
      </c>
      <c r="BQ219" s="4">
        <v>4255</v>
      </c>
      <c r="BR219" s="4">
        <v>4525</v>
      </c>
      <c r="BS219" s="4">
        <v>4745</v>
      </c>
      <c r="BT219" s="4">
        <v>4585</v>
      </c>
      <c r="BU219" s="4">
        <v>4445</v>
      </c>
      <c r="BV219" s="4">
        <v>4495</v>
      </c>
      <c r="BW219" s="4">
        <v>4380</v>
      </c>
      <c r="BX219" s="4">
        <v>4255</v>
      </c>
      <c r="BY219" s="4">
        <v>4170</v>
      </c>
      <c r="BZ219" s="4">
        <v>4445</v>
      </c>
    </row>
    <row r="220" spans="1:78">
      <c r="A220" s="62" t="s">
        <v>431</v>
      </c>
      <c r="B220" s="4" t="s">
        <v>432</v>
      </c>
      <c r="C220" s="55">
        <f>_xll.RssMarket("464A","現在値")</f>
        <v>1651</v>
      </c>
      <c r="D220" s="56">
        <f t="shared" si="7"/>
        <v>61</v>
      </c>
      <c r="E220" s="67">
        <v>1590</v>
      </c>
      <c r="F220" s="67">
        <v>1528</v>
      </c>
      <c r="G220" s="67">
        <v>1537</v>
      </c>
      <c r="H220" s="67">
        <v>1388</v>
      </c>
      <c r="I220" s="67">
        <v>1371</v>
      </c>
      <c r="J220" s="67">
        <v>1517</v>
      </c>
      <c r="K220" s="67">
        <v>1443</v>
      </c>
      <c r="L220" s="67">
        <v>1509</v>
      </c>
      <c r="M220" s="67">
        <v>1620</v>
      </c>
      <c r="N220" s="67">
        <v>1621</v>
      </c>
      <c r="O220" s="67">
        <v>1645</v>
      </c>
      <c r="P220" s="67">
        <v>1597</v>
      </c>
      <c r="Q220" s="67">
        <v>1886</v>
      </c>
      <c r="R220" s="67">
        <v>1844</v>
      </c>
      <c r="S220" s="67">
        <v>1821</v>
      </c>
      <c r="T220" s="67">
        <v>1833</v>
      </c>
      <c r="U220" s="67">
        <v>1825</v>
      </c>
      <c r="V220" s="67">
        <v>1797</v>
      </c>
      <c r="W220" s="67">
        <v>1948</v>
      </c>
      <c r="X220" s="67">
        <v>2054</v>
      </c>
      <c r="Y220" s="67">
        <v>2098</v>
      </c>
      <c r="Z220" s="67">
        <v>1983</v>
      </c>
      <c r="AA220" s="67">
        <v>1908</v>
      </c>
      <c r="AB220" s="67">
        <v>1948</v>
      </c>
      <c r="AC220" s="67">
        <v>1874</v>
      </c>
      <c r="AD220" s="67">
        <v>1866</v>
      </c>
      <c r="AE220" s="67">
        <v>1986</v>
      </c>
      <c r="AF220" s="67">
        <v>1964</v>
      </c>
      <c r="AG220" s="67">
        <v>2011</v>
      </c>
      <c r="AH220" s="67">
        <v>2277</v>
      </c>
      <c r="AI220" s="67">
        <v>2180</v>
      </c>
      <c r="AJ220" s="67">
        <v>2251</v>
      </c>
      <c r="AK220" s="67">
        <v>2202</v>
      </c>
      <c r="AL220" s="67">
        <v>2280</v>
      </c>
      <c r="AM220" s="67">
        <v>2324</v>
      </c>
      <c r="AN220" s="67">
        <v>2792</v>
      </c>
      <c r="AO220" s="67">
        <v>2607</v>
      </c>
      <c r="AP220" s="67">
        <v>2533</v>
      </c>
      <c r="AQ220" s="67">
        <v>2870</v>
      </c>
      <c r="AR220" s="67">
        <v>2919</v>
      </c>
      <c r="AS220" s="67">
        <v>2720</v>
      </c>
      <c r="AT220" s="67">
        <v>2998</v>
      </c>
      <c r="AU220" s="67">
        <v>3080</v>
      </c>
      <c r="AV220" s="67">
        <v>4060</v>
      </c>
      <c r="AW220" s="67">
        <v>4365</v>
      </c>
      <c r="AX220" s="67">
        <v>4200</v>
      </c>
      <c r="AY220" s="67">
        <v>3930</v>
      </c>
      <c r="AZ220" s="67">
        <v>3725</v>
      </c>
      <c r="BA220" s="67">
        <v>3435</v>
      </c>
      <c r="BB220" s="67">
        <v>3240</v>
      </c>
      <c r="BC220" s="67">
        <v>3565</v>
      </c>
      <c r="BD220" s="67">
        <v>3230</v>
      </c>
      <c r="BE220" s="67">
        <v>3300</v>
      </c>
      <c r="BF220" s="67">
        <v>3280</v>
      </c>
      <c r="BG220" s="67">
        <v>3120</v>
      </c>
      <c r="BH220" s="67">
        <v>2954</v>
      </c>
      <c r="BI220" s="67">
        <v>2990</v>
      </c>
      <c r="BJ220" s="67">
        <v>2825</v>
      </c>
      <c r="BK220" s="67">
        <v>2676</v>
      </c>
      <c r="BL220" s="67">
        <v>2530</v>
      </c>
      <c r="BM220" s="4">
        <v>2520</v>
      </c>
      <c r="BN220" s="4">
        <v>2534</v>
      </c>
      <c r="BO220" s="4">
        <v>2423</v>
      </c>
      <c r="BP220" s="4">
        <v>2580</v>
      </c>
      <c r="BQ220" s="4">
        <v>2582</v>
      </c>
      <c r="BR220" s="4">
        <v>2669</v>
      </c>
      <c r="BS220" s="4">
        <v>2750</v>
      </c>
      <c r="BT220" s="4">
        <v>2659</v>
      </c>
      <c r="BU220" s="4">
        <v>2647</v>
      </c>
      <c r="BV220" s="4">
        <v>2630</v>
      </c>
      <c r="BW220" s="4">
        <v>2514</v>
      </c>
      <c r="BX220" s="4">
        <v>2610</v>
      </c>
      <c r="BY220" s="4">
        <v>2787</v>
      </c>
      <c r="BZ220" s="4">
        <v>2832</v>
      </c>
    </row>
    <row r="221" spans="1:78">
      <c r="A221" s="62" t="s">
        <v>433</v>
      </c>
      <c r="B221" s="4" t="s">
        <v>434</v>
      </c>
      <c r="C221" s="55">
        <f>_xll.RssMarket("485A","現在値")</f>
        <v>1900</v>
      </c>
      <c r="D221" s="56">
        <f t="shared" si="7"/>
        <v>1900</v>
      </c>
      <c r="E221" s="67"/>
      <c r="F221" s="67"/>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78">
      <c r="A222" s="62" t="s">
        <v>435</v>
      </c>
      <c r="B222" s="4" t="str">
        <f>銘柄管理!C222</f>
        <v>ＮＦ日経レバ</v>
      </c>
      <c r="C222" s="55">
        <f>_xll.RssMarket("1570","現在値")</f>
        <v>69470</v>
      </c>
      <c r="D222" s="56">
        <f t="shared" si="7"/>
        <v>4290</v>
      </c>
      <c r="E222" s="67">
        <v>65180</v>
      </c>
      <c r="F222" s="67">
        <v>64610</v>
      </c>
      <c r="G222" s="67">
        <v>66020</v>
      </c>
      <c r="H222" s="67">
        <v>61170</v>
      </c>
      <c r="I222" s="67">
        <v>60430</v>
      </c>
      <c r="J222" s="67">
        <v>62100</v>
      </c>
      <c r="K222" s="67">
        <v>67590</v>
      </c>
      <c r="L222" s="67">
        <v>66770</v>
      </c>
      <c r="M222" s="67">
        <v>70470</v>
      </c>
      <c r="N222" s="67">
        <v>69780</v>
      </c>
      <c r="O222" s="67">
        <v>70080</v>
      </c>
      <c r="P222" s="67">
        <v>66090</v>
      </c>
      <c r="Q222" s="67">
        <v>75920</v>
      </c>
      <c r="R222" s="67">
        <v>73770</v>
      </c>
      <c r="S222" s="67">
        <v>72730</v>
      </c>
      <c r="T222" s="67">
        <v>75850</v>
      </c>
      <c r="U222" s="67">
        <v>74350</v>
      </c>
      <c r="V222" s="67">
        <v>72500</v>
      </c>
      <c r="W222" s="67">
        <v>75400</v>
      </c>
      <c r="X222" s="67">
        <v>78500</v>
      </c>
      <c r="Y222" s="67">
        <v>78680</v>
      </c>
      <c r="Z222" s="67">
        <v>76380</v>
      </c>
      <c r="AA222" s="67">
        <v>80090</v>
      </c>
      <c r="AB222" s="67">
        <v>79510</v>
      </c>
      <c r="AC222" s="67">
        <v>78020</v>
      </c>
      <c r="AD222" s="67">
        <v>77620</v>
      </c>
      <c r="AE222" s="67">
        <v>84770</v>
      </c>
      <c r="AF222" s="67">
        <v>77660</v>
      </c>
      <c r="AG222" s="67">
        <v>79140</v>
      </c>
      <c r="AH222" s="67">
        <v>85450</v>
      </c>
      <c r="AI222" s="67">
        <v>82660</v>
      </c>
      <c r="AJ222" s="67">
        <v>82200</v>
      </c>
      <c r="AK222" s="67">
        <v>79550</v>
      </c>
      <c r="AL222" s="67">
        <v>78180</v>
      </c>
      <c r="AM222" s="67">
        <v>78170</v>
      </c>
      <c r="AN222" s="67">
        <v>71130</v>
      </c>
      <c r="AO222" s="67">
        <v>67250</v>
      </c>
      <c r="AP222" s="67">
        <v>67450</v>
      </c>
      <c r="AQ222" s="67">
        <v>67010</v>
      </c>
      <c r="AR222" s="67">
        <v>72640</v>
      </c>
      <c r="AS222" s="67">
        <v>74620</v>
      </c>
      <c r="AT222" s="67">
        <v>76720</v>
      </c>
      <c r="AU222" s="67">
        <v>72930</v>
      </c>
      <c r="AV222" s="67">
        <v>72090</v>
      </c>
      <c r="AW222" s="67">
        <v>68680</v>
      </c>
      <c r="AX222" s="67">
        <v>69560</v>
      </c>
      <c r="AY222" s="67">
        <v>70010</v>
      </c>
      <c r="AZ222" s="67">
        <v>65880</v>
      </c>
      <c r="BA222" s="67">
        <v>62540</v>
      </c>
      <c r="BB222" s="67">
        <v>59060</v>
      </c>
      <c r="BC222" s="67">
        <v>60530</v>
      </c>
      <c r="BD222" s="67">
        <v>60970</v>
      </c>
      <c r="BE222" s="67">
        <v>62240</v>
      </c>
      <c r="BF222" s="67">
        <v>64770</v>
      </c>
      <c r="BG222" s="67">
        <v>66000</v>
      </c>
      <c r="BH222" s="67">
        <v>64830</v>
      </c>
      <c r="BI222" s="67">
        <v>64310</v>
      </c>
      <c r="BJ222" s="67">
        <v>64800</v>
      </c>
      <c r="BK222" s="67">
        <v>65520</v>
      </c>
      <c r="BL222" s="67">
        <v>58570</v>
      </c>
      <c r="BM222" s="4">
        <v>58070</v>
      </c>
      <c r="BN222" s="4">
        <v>59440</v>
      </c>
      <c r="BO222" s="4">
        <v>60810</v>
      </c>
      <c r="BP222" s="4">
        <v>59020</v>
      </c>
      <c r="BQ222" s="4">
        <v>57970</v>
      </c>
      <c r="BR222" s="4">
        <v>58850</v>
      </c>
      <c r="BS222" s="4">
        <v>58390</v>
      </c>
      <c r="BT222" s="4">
        <v>57370</v>
      </c>
      <c r="BU222" s="4">
        <v>57070</v>
      </c>
      <c r="BV222" s="4">
        <v>59020</v>
      </c>
      <c r="BW222" s="4">
        <v>56180</v>
      </c>
      <c r="BX222" s="4">
        <v>55560</v>
      </c>
      <c r="BY222" s="4">
        <v>53100</v>
      </c>
      <c r="BZ222" s="4">
        <v>53800</v>
      </c>
    </row>
    <row r="223" spans="1:78">
      <c r="A223" s="62" t="s">
        <v>436</v>
      </c>
      <c r="B223" s="4" t="str">
        <f>銘柄管理!C223</f>
        <v>牧野フライス</v>
      </c>
      <c r="C223" s="55">
        <f>_xll.RssMarket("6135","現在値")</f>
        <v>15180</v>
      </c>
      <c r="D223" s="56">
        <f t="shared" si="7"/>
        <v>300</v>
      </c>
      <c r="E223" s="67">
        <v>14880</v>
      </c>
      <c r="F223" s="4">
        <v>14710</v>
      </c>
      <c r="G223" s="4">
        <v>13920</v>
      </c>
      <c r="H223" s="4">
        <v>14080</v>
      </c>
      <c r="I223" s="4">
        <v>13930</v>
      </c>
      <c r="J223" s="4">
        <v>14270</v>
      </c>
      <c r="K223" s="4">
        <v>14790</v>
      </c>
      <c r="L223" s="4">
        <v>14710</v>
      </c>
      <c r="M223" s="4">
        <v>14860</v>
      </c>
      <c r="N223" s="4">
        <v>14490</v>
      </c>
      <c r="O223" s="4">
        <v>14410</v>
      </c>
      <c r="P223" s="4">
        <v>14420</v>
      </c>
      <c r="Q223" s="4">
        <v>14790</v>
      </c>
      <c r="R223" s="4">
        <v>14790</v>
      </c>
      <c r="S223" s="4">
        <v>14820</v>
      </c>
      <c r="T223" s="4">
        <v>14960</v>
      </c>
      <c r="U223" s="4">
        <v>14810</v>
      </c>
      <c r="V223" s="4">
        <v>14580</v>
      </c>
      <c r="W223" s="4">
        <v>14830</v>
      </c>
      <c r="X223" s="4">
        <v>15100</v>
      </c>
      <c r="Y223" s="4">
        <v>15330</v>
      </c>
      <c r="Z223" s="4">
        <v>15200</v>
      </c>
      <c r="AA223" s="4">
        <v>15410</v>
      </c>
      <c r="AB223" s="4">
        <v>15200</v>
      </c>
      <c r="AC223" s="4">
        <v>15130</v>
      </c>
      <c r="AD223" s="4">
        <v>15340</v>
      </c>
      <c r="AE223" s="4">
        <v>15710</v>
      </c>
      <c r="AF223" s="4">
        <v>14310</v>
      </c>
      <c r="AG223" s="4">
        <v>14120</v>
      </c>
      <c r="AH223" s="4">
        <v>14550</v>
      </c>
      <c r="AI223" s="4">
        <v>14560</v>
      </c>
      <c r="AJ223" s="4">
        <v>14320</v>
      </c>
      <c r="AK223" s="4">
        <v>14250</v>
      </c>
      <c r="AL223" s="4">
        <v>14390</v>
      </c>
      <c r="AM223" s="4">
        <v>14170</v>
      </c>
      <c r="AN223" s="4">
        <v>13980</v>
      </c>
      <c r="AO223" s="4">
        <v>14150</v>
      </c>
      <c r="AP223" s="4">
        <v>14490</v>
      </c>
      <c r="AQ223" s="4">
        <v>14190</v>
      </c>
      <c r="AR223" s="4">
        <v>14510</v>
      </c>
      <c r="AS223" s="4">
        <v>14050</v>
      </c>
      <c r="AT223" s="4">
        <v>13990</v>
      </c>
      <c r="AU223" s="4">
        <v>13750</v>
      </c>
      <c r="AV223" s="4">
        <v>13240</v>
      </c>
      <c r="AW223" s="4">
        <v>13210</v>
      </c>
      <c r="AX223" s="4">
        <v>13220</v>
      </c>
      <c r="AY223" s="4">
        <v>13400</v>
      </c>
      <c r="AZ223" s="4">
        <v>13110</v>
      </c>
      <c r="BA223" s="4">
        <v>13290</v>
      </c>
      <c r="BB223" s="4">
        <v>13190</v>
      </c>
      <c r="BC223" s="4">
        <v>13810</v>
      </c>
      <c r="BD223" s="4">
        <v>13680</v>
      </c>
      <c r="BE223" s="4">
        <v>13620</v>
      </c>
      <c r="BF223" s="4">
        <v>13960</v>
      </c>
      <c r="BG223" s="4">
        <v>13610</v>
      </c>
      <c r="BH223" s="4">
        <v>13750</v>
      </c>
      <c r="BI223" s="4">
        <v>13680</v>
      </c>
      <c r="BJ223" s="4">
        <v>13200</v>
      </c>
      <c r="BK223" s="4">
        <v>13650</v>
      </c>
      <c r="BL223" s="4">
        <v>12660</v>
      </c>
      <c r="BM223" s="4">
        <v>11900</v>
      </c>
      <c r="BN223" s="4">
        <v>11800</v>
      </c>
      <c r="BO223" s="4">
        <v>11800</v>
      </c>
      <c r="BP223" s="4">
        <v>11790</v>
      </c>
      <c r="BQ223" s="4">
        <v>10570</v>
      </c>
      <c r="BR223" s="4">
        <v>11590</v>
      </c>
      <c r="BS223" s="4">
        <v>11620</v>
      </c>
      <c r="BT223" s="4">
        <v>11630</v>
      </c>
      <c r="BU223" s="4">
        <v>11630</v>
      </c>
      <c r="BV223" s="4">
        <v>11600</v>
      </c>
      <c r="BW223" s="4">
        <v>11610</v>
      </c>
      <c r="BX223" s="4">
        <v>11610</v>
      </c>
      <c r="BY223" s="4">
        <v>11590</v>
      </c>
      <c r="BZ223" s="4">
        <v>11600</v>
      </c>
    </row>
    <row r="224" spans="1:78">
      <c r="A224" s="62" t="s">
        <v>437</v>
      </c>
      <c r="B224" s="4" t="str">
        <f>銘柄管理!C224</f>
        <v>ジャパンマテリアル</v>
      </c>
      <c r="C224" s="55">
        <f>_xll.RssMarket("6055","現在値")</f>
        <v>2437</v>
      </c>
      <c r="D224" s="56">
        <f t="shared" si="7"/>
        <v>110</v>
      </c>
      <c r="E224" s="67">
        <v>2327</v>
      </c>
      <c r="F224" s="4">
        <v>2278</v>
      </c>
      <c r="G224" s="4">
        <v>2267</v>
      </c>
      <c r="H224" s="4">
        <v>2019</v>
      </c>
      <c r="I224" s="4">
        <v>1983</v>
      </c>
      <c r="J224" s="4">
        <v>2103</v>
      </c>
      <c r="K224" s="4">
        <v>2300</v>
      </c>
      <c r="L224" s="4">
        <v>2238</v>
      </c>
      <c r="M224" s="4">
        <v>2326</v>
      </c>
      <c r="N224" s="4">
        <v>2313</v>
      </c>
      <c r="O224" s="4">
        <v>2320</v>
      </c>
      <c r="P224" s="4">
        <v>2253</v>
      </c>
      <c r="Q224" s="4">
        <v>2610</v>
      </c>
      <c r="R224" s="4">
        <v>2567</v>
      </c>
      <c r="S224" s="4">
        <v>2623</v>
      </c>
      <c r="T224" s="4">
        <v>2657</v>
      </c>
      <c r="U224" s="4">
        <v>2549</v>
      </c>
      <c r="V224" s="4">
        <v>2474</v>
      </c>
      <c r="W224" s="4">
        <v>2640</v>
      </c>
      <c r="X224" s="4">
        <v>2451</v>
      </c>
      <c r="Y224" s="4">
        <v>2500</v>
      </c>
      <c r="Z224" s="4">
        <v>2490</v>
      </c>
      <c r="AA224" s="4">
        <v>2684</v>
      </c>
      <c r="AB224" s="4">
        <v>2570</v>
      </c>
      <c r="AC224" s="4">
        <v>2605</v>
      </c>
      <c r="AD224" s="4">
        <v>2633</v>
      </c>
      <c r="AE224" s="4">
        <v>2718</v>
      </c>
      <c r="AF224" s="4">
        <v>2526</v>
      </c>
      <c r="AG224" s="4">
        <v>2555</v>
      </c>
      <c r="AH224" s="4">
        <v>2632</v>
      </c>
      <c r="AI224" s="4">
        <v>2454</v>
      </c>
      <c r="AJ224" s="4">
        <v>2441</v>
      </c>
      <c r="AK224" s="4">
        <v>2361</v>
      </c>
      <c r="AL224" s="4">
        <v>2396</v>
      </c>
      <c r="AM224" s="4">
        <v>2470</v>
      </c>
      <c r="AN224" s="4">
        <v>2267</v>
      </c>
      <c r="AO224" s="4">
        <v>2167</v>
      </c>
      <c r="AP224" s="4">
        <v>2118</v>
      </c>
      <c r="AQ224" s="4">
        <v>2084</v>
      </c>
      <c r="AR224" s="4">
        <v>2266</v>
      </c>
      <c r="AS224" s="4">
        <v>2422</v>
      </c>
      <c r="AT224" s="4">
        <v>2117</v>
      </c>
      <c r="AU224" s="4">
        <v>2007</v>
      </c>
      <c r="AV224" s="4">
        <v>2053</v>
      </c>
      <c r="AW224" s="4">
        <v>2053</v>
      </c>
      <c r="AX224" s="4">
        <v>2051</v>
      </c>
      <c r="AY224" s="4">
        <v>2124</v>
      </c>
      <c r="AZ224" s="4">
        <v>1993</v>
      </c>
      <c r="BA224" s="4">
        <v>2011</v>
      </c>
      <c r="BB224" s="4">
        <v>1933</v>
      </c>
      <c r="BC224" s="4">
        <v>1972</v>
      </c>
      <c r="BD224" s="4">
        <v>2078</v>
      </c>
      <c r="BE224" s="4">
        <v>1992</v>
      </c>
      <c r="BF224" s="4">
        <v>2012</v>
      </c>
      <c r="BG224" s="4">
        <v>2146</v>
      </c>
      <c r="BH224" s="4">
        <v>2173</v>
      </c>
      <c r="BI224" s="4">
        <v>2077</v>
      </c>
      <c r="BJ224" s="4">
        <v>1953</v>
      </c>
      <c r="BK224" s="4">
        <v>1933</v>
      </c>
      <c r="BL224" s="4">
        <v>1800</v>
      </c>
      <c r="BM224" s="4">
        <v>1778</v>
      </c>
      <c r="BN224" s="4">
        <v>1802</v>
      </c>
      <c r="BO224" s="4">
        <v>1872</v>
      </c>
      <c r="BP224" s="4">
        <v>1814</v>
      </c>
      <c r="BQ224" s="4">
        <v>1786</v>
      </c>
      <c r="BR224" s="4">
        <v>1824</v>
      </c>
      <c r="BS224" s="4">
        <v>1844</v>
      </c>
      <c r="BT224" s="4">
        <v>1847</v>
      </c>
      <c r="BU224" s="4">
        <v>1862</v>
      </c>
      <c r="BV224" s="4">
        <v>1900</v>
      </c>
      <c r="BW224" s="4">
        <v>1900</v>
      </c>
      <c r="BX224" s="4">
        <v>1905</v>
      </c>
      <c r="BY224" s="4">
        <v>1793</v>
      </c>
      <c r="BZ224" s="4">
        <v>1801</v>
      </c>
    </row>
    <row r="225" spans="1:78">
      <c r="A225" s="62" t="s">
        <v>438</v>
      </c>
      <c r="B225" s="4" t="str">
        <f>銘柄管理!C225</f>
        <v>ミナトホールディングス</v>
      </c>
      <c r="C225" s="4">
        <f>_xll.RssMarket("6862","現在値")</f>
        <v>2338</v>
      </c>
      <c r="D225" s="4">
        <f t="shared" si="7"/>
        <v>98</v>
      </c>
      <c r="E225" s="67">
        <v>2240</v>
      </c>
      <c r="F225" s="4">
        <v>2116</v>
      </c>
      <c r="G225" s="4">
        <v>2022</v>
      </c>
      <c r="H225" s="4">
        <v>1829</v>
      </c>
      <c r="I225" s="4">
        <v>1567</v>
      </c>
      <c r="J225" s="4">
        <v>1677</v>
      </c>
      <c r="K225" s="4">
        <v>1851</v>
      </c>
      <c r="L225" s="4">
        <v>1846</v>
      </c>
      <c r="M225" s="4">
        <v>1919</v>
      </c>
      <c r="N225" s="4">
        <v>1870</v>
      </c>
      <c r="O225" s="4">
        <v>1863</v>
      </c>
      <c r="P225" s="4">
        <v>1765</v>
      </c>
      <c r="Q225" s="4">
        <v>2073</v>
      </c>
      <c r="R225" s="4">
        <v>2009</v>
      </c>
      <c r="S225" s="4">
        <v>1976</v>
      </c>
      <c r="T225" s="4">
        <v>2044</v>
      </c>
      <c r="U225" s="4">
        <v>1972</v>
      </c>
      <c r="V225" s="4">
        <v>1931</v>
      </c>
      <c r="W225" s="4">
        <v>2000</v>
      </c>
      <c r="X225" s="4">
        <v>2078</v>
      </c>
      <c r="Y225" s="4">
        <v>2139</v>
      </c>
      <c r="Z225" s="4">
        <v>2125</v>
      </c>
      <c r="AA225" s="4">
        <v>2133</v>
      </c>
      <c r="AB225" s="4">
        <v>2109</v>
      </c>
      <c r="AC225" s="4">
        <v>2117</v>
      </c>
      <c r="AD225" s="4">
        <v>2179</v>
      </c>
      <c r="AE225" s="4">
        <v>2330</v>
      </c>
      <c r="AF225" s="4">
        <v>2233</v>
      </c>
      <c r="AG225" s="4">
        <v>2210</v>
      </c>
      <c r="AH225" s="4">
        <v>2340</v>
      </c>
      <c r="AI225" s="4">
        <v>2540</v>
      </c>
      <c r="AJ225" s="4">
        <v>2215</v>
      </c>
      <c r="AK225" s="4">
        <v>2191</v>
      </c>
      <c r="AL225" s="4">
        <v>2138</v>
      </c>
      <c r="AM225" s="4">
        <v>2034</v>
      </c>
      <c r="AN225" s="4">
        <v>1920</v>
      </c>
      <c r="AO225" s="4">
        <v>1907</v>
      </c>
      <c r="AP225" s="4">
        <v>1962</v>
      </c>
      <c r="AQ225" s="4">
        <v>2099</v>
      </c>
      <c r="AR225" s="4">
        <v>2269</v>
      </c>
      <c r="AS225" s="4">
        <v>2135</v>
      </c>
      <c r="AT225" s="4">
        <v>2260</v>
      </c>
      <c r="AU225" s="4">
        <v>2196</v>
      </c>
      <c r="AV225" s="4">
        <v>2204</v>
      </c>
      <c r="AW225" s="4">
        <v>2192</v>
      </c>
      <c r="AX225" s="4">
        <v>2260</v>
      </c>
      <c r="AY225" s="4">
        <v>2541</v>
      </c>
      <c r="AZ225" s="4">
        <v>2548</v>
      </c>
      <c r="BA225" s="4">
        <v>2417</v>
      </c>
      <c r="BB225" s="4">
        <v>2355</v>
      </c>
      <c r="BC225" s="4">
        <v>2533</v>
      </c>
      <c r="BD225" s="4">
        <v>2743</v>
      </c>
      <c r="BE225" s="4">
        <v>2729</v>
      </c>
      <c r="BF225" s="4">
        <v>2975</v>
      </c>
      <c r="BG225" s="4">
        <v>2930</v>
      </c>
      <c r="BH225" s="4">
        <v>3630</v>
      </c>
      <c r="BI225" s="4">
        <v>3485</v>
      </c>
      <c r="BJ225" s="4">
        <v>3885</v>
      </c>
      <c r="BK225" s="4">
        <v>3760</v>
      </c>
      <c r="BL225" s="4">
        <v>3060</v>
      </c>
      <c r="BM225" s="4">
        <v>2841</v>
      </c>
      <c r="BN225" s="4">
        <v>2622</v>
      </c>
      <c r="BO225" s="4">
        <v>2696</v>
      </c>
      <c r="BP225" s="4">
        <v>2482</v>
      </c>
      <c r="BQ225" s="4">
        <v>2453</v>
      </c>
      <c r="BR225" s="4">
        <v>2480</v>
      </c>
      <c r="BS225" s="4">
        <v>2518</v>
      </c>
      <c r="BT225" s="4">
        <v>2509</v>
      </c>
      <c r="BU225" s="4">
        <v>2372</v>
      </c>
      <c r="BV225" s="4">
        <v>2467</v>
      </c>
      <c r="BW225" s="4">
        <v>2388</v>
      </c>
      <c r="BX225" s="4">
        <v>2591</v>
      </c>
      <c r="BY225" s="4">
        <v>2312</v>
      </c>
      <c r="BZ225" s="4">
        <v>2198</v>
      </c>
    </row>
    <row r="226" spans="1:78">
      <c r="A226" s="62" t="s">
        <v>439</v>
      </c>
      <c r="B226" s="4" t="str">
        <f>銘柄管理!C226</f>
        <v>ヤクルト</v>
      </c>
      <c r="C226" s="4">
        <f>_xll.RssMarket("2267","現在値")</f>
        <v>2758</v>
      </c>
      <c r="D226" s="4">
        <f t="shared" si="7"/>
        <v>-37.5</v>
      </c>
      <c r="E226" s="67">
        <v>2795.5</v>
      </c>
      <c r="F226" s="4">
        <v>2781.5</v>
      </c>
      <c r="G226" s="4">
        <v>2819</v>
      </c>
      <c r="H226" s="4">
        <v>2903</v>
      </c>
      <c r="I226" s="4">
        <v>2911.5</v>
      </c>
      <c r="J226" s="4">
        <v>2812.5</v>
      </c>
      <c r="K226" s="4">
        <v>2815.5</v>
      </c>
      <c r="L226" s="4">
        <v>2746</v>
      </c>
      <c r="M226" s="4">
        <v>2762.5</v>
      </c>
      <c r="N226" s="4">
        <v>2775.5</v>
      </c>
      <c r="O226" s="4">
        <v>2792</v>
      </c>
      <c r="P226" s="4">
        <v>2834.5</v>
      </c>
      <c r="Q226" s="4">
        <v>2820</v>
      </c>
      <c r="R226" s="4">
        <v>2840</v>
      </c>
      <c r="S226" s="4">
        <v>2850</v>
      </c>
      <c r="T226" s="4">
        <v>2840.5</v>
      </c>
      <c r="U226" s="4">
        <v>2836.5</v>
      </c>
      <c r="V226" s="4">
        <v>2920</v>
      </c>
      <c r="W226" s="4">
        <v>2889</v>
      </c>
      <c r="X226" s="4">
        <v>2904</v>
      </c>
      <c r="Y226" s="4">
        <v>2846.5</v>
      </c>
      <c r="Z226" s="4">
        <v>2790.5</v>
      </c>
      <c r="AA226" s="4">
        <v>2703</v>
      </c>
      <c r="AB226" s="4">
        <v>2746</v>
      </c>
      <c r="AC226" s="4">
        <v>2749.5</v>
      </c>
      <c r="AD226" s="4">
        <v>2753</v>
      </c>
      <c r="AE226" s="4">
        <v>2725.5</v>
      </c>
      <c r="AF226" s="4">
        <v>2721.5</v>
      </c>
      <c r="AG226" s="4">
        <v>2700.5</v>
      </c>
      <c r="AH226" s="4">
        <v>2705</v>
      </c>
      <c r="AI226" s="4">
        <v>2703</v>
      </c>
      <c r="AJ226" s="4">
        <v>2686.5</v>
      </c>
      <c r="AK226" s="4">
        <v>2619.5</v>
      </c>
      <c r="AL226" s="4">
        <v>2634.5</v>
      </c>
      <c r="AM226" s="4">
        <v>2645.5</v>
      </c>
      <c r="AN226" s="4">
        <v>2667</v>
      </c>
      <c r="AO226" s="4">
        <v>2658</v>
      </c>
      <c r="AP226" s="4">
        <v>2682</v>
      </c>
      <c r="AQ226" s="4">
        <v>2675</v>
      </c>
      <c r="AR226" s="4">
        <v>2630</v>
      </c>
      <c r="AS226" s="4">
        <v>2684.5</v>
      </c>
      <c r="AT226" s="4">
        <v>2714</v>
      </c>
      <c r="AU226" s="4">
        <v>2683.5</v>
      </c>
      <c r="AV226" s="4">
        <v>2681.5</v>
      </c>
      <c r="AW226" s="4">
        <v>2720.5</v>
      </c>
      <c r="AX226" s="4">
        <v>2733.5</v>
      </c>
      <c r="AY226" s="4">
        <v>2773.5</v>
      </c>
      <c r="AZ226" s="4">
        <v>2806.5</v>
      </c>
      <c r="BA226" s="4">
        <v>2765</v>
      </c>
      <c r="BB226" s="4">
        <v>2772.5</v>
      </c>
      <c r="BC226" s="4">
        <v>2811</v>
      </c>
      <c r="BD226" s="4">
        <v>2713</v>
      </c>
      <c r="BE226" s="4">
        <v>2761.5</v>
      </c>
      <c r="BF226" s="4">
        <v>2784.5</v>
      </c>
      <c r="BG226" s="4">
        <v>2800.5</v>
      </c>
      <c r="BH226" s="4">
        <v>2620</v>
      </c>
      <c r="BI226" s="4">
        <v>2906</v>
      </c>
      <c r="BJ226" s="4">
        <v>2924.5</v>
      </c>
      <c r="BK226" s="4">
        <v>2961.5</v>
      </c>
      <c r="BL226" s="4">
        <v>3087</v>
      </c>
      <c r="BM226" s="4">
        <v>2732.5</v>
      </c>
      <c r="BN226" s="4">
        <v>2722.5</v>
      </c>
      <c r="BO226" s="4">
        <v>2732.5</v>
      </c>
      <c r="BP226" s="4">
        <v>2768.5</v>
      </c>
      <c r="BQ226" s="4">
        <v>2622.5</v>
      </c>
      <c r="BR226" s="4">
        <v>2600</v>
      </c>
      <c r="BS226" s="4">
        <v>2608.5</v>
      </c>
      <c r="BT226" s="4">
        <v>2620.5</v>
      </c>
      <c r="BU226" s="4">
        <v>2644.5</v>
      </c>
      <c r="BV226" s="4">
        <v>2654</v>
      </c>
      <c r="BW226" s="4">
        <v>2720</v>
      </c>
      <c r="BX226" s="4">
        <v>2628.5</v>
      </c>
      <c r="BY226" s="4">
        <v>2638</v>
      </c>
      <c r="BZ226" s="4">
        <v>2647</v>
      </c>
    </row>
    <row r="227" spans="1:78">
      <c r="A227" s="62" t="s">
        <v>440</v>
      </c>
      <c r="B227" s="4" t="str">
        <f>銘柄管理!C227</f>
        <v>ＮＦエネ資源Ｔ１７</v>
      </c>
      <c r="C227" s="4">
        <f>_xll.RssMarket("1618","現在値")</f>
        <v>32260</v>
      </c>
      <c r="D227" s="4">
        <f t="shared" si="7"/>
        <v>-250</v>
      </c>
      <c r="E227" s="67">
        <v>32510</v>
      </c>
      <c r="F227" s="4">
        <v>32980</v>
      </c>
      <c r="G227" s="4">
        <v>33640</v>
      </c>
      <c r="H227" s="4">
        <v>33600</v>
      </c>
      <c r="I227" s="4">
        <v>33750</v>
      </c>
      <c r="J227" s="4">
        <v>33460</v>
      </c>
      <c r="K227" s="4">
        <v>33890</v>
      </c>
      <c r="L227" s="4">
        <v>34210</v>
      </c>
      <c r="M227" s="4">
        <v>34040</v>
      </c>
      <c r="N227" s="4">
        <v>33490</v>
      </c>
      <c r="O227" s="4">
        <v>33120</v>
      </c>
      <c r="P227" s="4">
        <v>31670</v>
      </c>
      <c r="Q227" s="4">
        <v>32490</v>
      </c>
      <c r="R227" s="4">
        <v>32010</v>
      </c>
      <c r="S227" s="4">
        <v>32570</v>
      </c>
      <c r="T227" s="4">
        <v>32590</v>
      </c>
      <c r="U227" s="4">
        <v>32620</v>
      </c>
      <c r="V227" s="4">
        <v>32400</v>
      </c>
      <c r="W227" s="4">
        <v>32580</v>
      </c>
      <c r="X227" s="4">
        <v>32500</v>
      </c>
      <c r="Y227" s="4">
        <v>31720</v>
      </c>
      <c r="Z227" s="4">
        <v>31360</v>
      </c>
      <c r="AA227" s="4">
        <v>31120</v>
      </c>
      <c r="AB227" s="4">
        <v>31070</v>
      </c>
      <c r="AC227" s="4">
        <v>31660</v>
      </c>
      <c r="AD227" s="4">
        <v>31330</v>
      </c>
      <c r="AE227" s="4">
        <v>31060</v>
      </c>
      <c r="AF227" s="4">
        <v>31770</v>
      </c>
      <c r="AG227" s="4">
        <v>32250</v>
      </c>
      <c r="AH227" s="4">
        <v>32520</v>
      </c>
      <c r="AI227" s="4">
        <v>32950</v>
      </c>
      <c r="AJ227" s="4">
        <v>32320</v>
      </c>
      <c r="AK227" s="4">
        <v>32410</v>
      </c>
      <c r="AL227" s="4">
        <v>32260</v>
      </c>
      <c r="AM227" s="4">
        <v>32890</v>
      </c>
      <c r="AN227" s="4">
        <v>32420</v>
      </c>
      <c r="AO227" s="4">
        <v>32910</v>
      </c>
      <c r="AP227" s="4">
        <v>32130</v>
      </c>
      <c r="AQ227" s="4">
        <v>33540</v>
      </c>
      <c r="AR227" s="4">
        <v>34010</v>
      </c>
      <c r="AS227" s="4">
        <v>33900</v>
      </c>
      <c r="AT227" s="4">
        <v>34900</v>
      </c>
      <c r="AU227" s="4">
        <v>33640</v>
      </c>
      <c r="AV227" s="4">
        <v>34020</v>
      </c>
      <c r="AW227" s="4">
        <v>34140</v>
      </c>
      <c r="AX227" s="4">
        <v>34190</v>
      </c>
      <c r="AY227" s="4">
        <v>34050</v>
      </c>
      <c r="AZ227" s="4">
        <v>34840</v>
      </c>
      <c r="BA227" s="4">
        <v>35000</v>
      </c>
      <c r="BB227" s="4">
        <v>35570</v>
      </c>
      <c r="BC227" s="4">
        <v>36050</v>
      </c>
      <c r="BD227" s="4">
        <v>35830</v>
      </c>
      <c r="BE227" s="4">
        <v>36390</v>
      </c>
      <c r="BF227" s="4">
        <v>35670</v>
      </c>
      <c r="BG227" s="4">
        <v>36000</v>
      </c>
      <c r="BH227" s="4">
        <v>36560</v>
      </c>
      <c r="BI227" s="4">
        <v>35330</v>
      </c>
      <c r="BJ227" s="4">
        <v>34850</v>
      </c>
      <c r="BK227" s="4">
        <v>35260</v>
      </c>
      <c r="BL227" s="4">
        <v>36430</v>
      </c>
      <c r="BM227" s="4">
        <v>36110</v>
      </c>
      <c r="BN227" s="4">
        <v>36200</v>
      </c>
      <c r="BO227" s="4">
        <v>35000</v>
      </c>
      <c r="BP227" s="4">
        <v>36020</v>
      </c>
      <c r="BQ227" s="4">
        <v>35630</v>
      </c>
      <c r="BR227" s="4">
        <v>35340</v>
      </c>
      <c r="BS227" s="4">
        <v>35700</v>
      </c>
      <c r="BT227" s="4">
        <v>36070</v>
      </c>
      <c r="BU227" s="4">
        <v>37180</v>
      </c>
      <c r="BV227" s="4">
        <v>37580</v>
      </c>
      <c r="BW227" s="4">
        <v>38060</v>
      </c>
      <c r="BX227" s="4">
        <v>38660</v>
      </c>
      <c r="BY227" s="4">
        <v>39070</v>
      </c>
      <c r="BZ227" s="4">
        <v>38600</v>
      </c>
    </row>
    <row r="228" spans="1:78">
      <c r="A228" s="62" t="s">
        <v>441</v>
      </c>
      <c r="C228" s="4">
        <f>_xll.RssMarket("3696","現在値")</f>
        <v>2076</v>
      </c>
      <c r="D228" s="4">
        <f t="shared" si="7"/>
        <v>2076</v>
      </c>
      <c r="E228" s="67"/>
    </row>
    <row r="229" spans="1:78">
      <c r="A229" s="62" t="s">
        <v>442</v>
      </c>
      <c r="B229" s="4" t="str">
        <f>銘柄管理!C229</f>
        <v>児玉化学</v>
      </c>
      <c r="C229" s="4">
        <f>_xll.RssMarket("4222","現在値")</f>
        <v>613</v>
      </c>
      <c r="D229" s="4">
        <f t="shared" si="7"/>
        <v>23</v>
      </c>
      <c r="E229" s="67">
        <v>590</v>
      </c>
      <c r="F229" s="4">
        <v>566</v>
      </c>
      <c r="G229" s="4">
        <v>572</v>
      </c>
      <c r="H229" s="4">
        <v>550</v>
      </c>
      <c r="I229" s="4">
        <v>556</v>
      </c>
      <c r="J229" s="4">
        <v>569</v>
      </c>
      <c r="K229" s="4">
        <v>593</v>
      </c>
      <c r="M229" s="4">
        <v>611</v>
      </c>
      <c r="N229" s="4">
        <v>615</v>
      </c>
      <c r="O229" s="4">
        <v>610</v>
      </c>
      <c r="P229" s="4">
        <v>601</v>
      </c>
      <c r="Q229" s="4">
        <v>650</v>
      </c>
      <c r="R229" s="4">
        <v>650</v>
      </c>
      <c r="S229" s="4">
        <v>649</v>
      </c>
      <c r="T229" s="4">
        <v>661</v>
      </c>
      <c r="U229" s="4">
        <v>646</v>
      </c>
      <c r="V229" s="4">
        <v>645</v>
      </c>
      <c r="W229" s="4">
        <v>664</v>
      </c>
      <c r="X229" s="4">
        <v>679</v>
      </c>
      <c r="Y229" s="4">
        <v>681</v>
      </c>
      <c r="Z229" s="4">
        <v>653</v>
      </c>
      <c r="AA229" s="4">
        <v>649</v>
      </c>
      <c r="AB229" s="4">
        <v>641</v>
      </c>
      <c r="AC229" s="4">
        <v>653</v>
      </c>
      <c r="AD229" s="4">
        <v>658</v>
      </c>
      <c r="AE229" s="4">
        <v>666</v>
      </c>
      <c r="AF229" s="4">
        <v>671</v>
      </c>
      <c r="AG229" s="4">
        <v>700</v>
      </c>
      <c r="AH229" s="4">
        <v>718</v>
      </c>
      <c r="AI229" s="4">
        <v>707</v>
      </c>
      <c r="AJ229" s="4">
        <v>701</v>
      </c>
      <c r="AK229" s="4">
        <v>723</v>
      </c>
      <c r="AL229" s="4">
        <v>691</v>
      </c>
      <c r="AM229" s="4">
        <v>697</v>
      </c>
      <c r="AN229" s="4">
        <v>654</v>
      </c>
      <c r="AO229" s="4">
        <v>660</v>
      </c>
      <c r="AP229" s="4">
        <v>665</v>
      </c>
      <c r="AQ229" s="4">
        <v>693</v>
      </c>
      <c r="AR229" s="4">
        <v>714</v>
      </c>
      <c r="AS229" s="4">
        <v>697</v>
      </c>
      <c r="AT229" s="4">
        <v>715</v>
      </c>
      <c r="AU229" s="4">
        <v>688</v>
      </c>
      <c r="AV229" s="4">
        <v>731</v>
      </c>
      <c r="AW229" s="4">
        <v>744</v>
      </c>
      <c r="AX229" s="4">
        <v>755</v>
      </c>
      <c r="AY229" s="4">
        <v>791</v>
      </c>
      <c r="AZ229" s="4">
        <v>788</v>
      </c>
      <c r="BA229" s="4">
        <v>800</v>
      </c>
      <c r="BB229" s="4">
        <v>809</v>
      </c>
      <c r="BC229" s="4">
        <v>855</v>
      </c>
      <c r="BD229" s="4">
        <v>859</v>
      </c>
      <c r="BE229" s="4">
        <v>894</v>
      </c>
      <c r="BF229" s="4">
        <v>1194</v>
      </c>
      <c r="BG229" s="4">
        <v>1235</v>
      </c>
      <c r="BH229" s="4">
        <v>1266</v>
      </c>
      <c r="BI229" s="4">
        <v>1262</v>
      </c>
      <c r="BJ229" s="4">
        <v>1165</v>
      </c>
      <c r="BK229" s="4">
        <v>1146</v>
      </c>
      <c r="BL229" s="4">
        <v>1109</v>
      </c>
      <c r="BM229" s="4">
        <v>1118</v>
      </c>
      <c r="BN229" s="4">
        <v>1124</v>
      </c>
      <c r="BO229" s="4">
        <v>1140</v>
      </c>
      <c r="BP229" s="4">
        <v>1149</v>
      </c>
      <c r="BQ229" s="4">
        <v>1134</v>
      </c>
      <c r="BR229" s="4">
        <v>1159</v>
      </c>
      <c r="BS229" s="4">
        <v>1186</v>
      </c>
      <c r="BT229" s="4">
        <v>1199</v>
      </c>
      <c r="BU229" s="4">
        <v>1151</v>
      </c>
      <c r="BV229" s="4">
        <v>1160</v>
      </c>
      <c r="BW229" s="4">
        <v>1140</v>
      </c>
      <c r="BX229" s="4">
        <v>1138</v>
      </c>
      <c r="BY229" s="4">
        <v>1121</v>
      </c>
      <c r="BZ229" s="4">
        <v>1108</v>
      </c>
    </row>
    <row r="230" spans="1:78">
      <c r="A230" s="62" t="s">
        <v>443</v>
      </c>
      <c r="B230" s="4" t="str">
        <f>銘柄管理!C230</f>
        <v>ＦＯＯＤ＆ＬＩＦＥＣＯＭＰＡＮ</v>
      </c>
      <c r="C230" s="4">
        <f>_xll.RssMarket("3563","現在値")</f>
        <v>5811</v>
      </c>
      <c r="D230" s="4">
        <f t="shared" si="7"/>
        <v>5811</v>
      </c>
    </row>
    <row r="231" spans="1:78">
      <c r="A231" s="62" t="s">
        <v>444</v>
      </c>
      <c r="B231" s="4" t="str">
        <f>銘柄管理!C231</f>
        <v>ＩＨＩ</v>
      </c>
      <c r="C231" s="4">
        <f>_xll.RssMarket("7013","現在値")</f>
        <v>2742.5</v>
      </c>
      <c r="D231" s="4">
        <f t="shared" si="7"/>
        <v>-137</v>
      </c>
      <c r="E231" s="4">
        <v>2879.5</v>
      </c>
      <c r="F231" s="4">
        <v>2771</v>
      </c>
      <c r="G231" s="4">
        <v>2827.5</v>
      </c>
      <c r="H231" s="4">
        <v>2771.5</v>
      </c>
      <c r="I231" s="4">
        <v>2755</v>
      </c>
      <c r="J231" s="4">
        <v>2774.5</v>
      </c>
      <c r="K231" s="4">
        <v>2836</v>
      </c>
      <c r="M231" s="4">
        <v>2889</v>
      </c>
      <c r="N231" s="4">
        <v>2779</v>
      </c>
      <c r="O231" s="4">
        <v>2780</v>
      </c>
      <c r="P231" s="4">
        <v>2666.5</v>
      </c>
      <c r="Q231" s="4">
        <v>2811.5</v>
      </c>
      <c r="R231" s="4">
        <v>2815</v>
      </c>
      <c r="S231" s="4">
        <v>2812.5</v>
      </c>
      <c r="T231" s="4">
        <v>2810.5</v>
      </c>
      <c r="U231" s="4">
        <v>2813</v>
      </c>
      <c r="V231" s="4">
        <v>2892</v>
      </c>
      <c r="W231" s="4">
        <v>2982</v>
      </c>
      <c r="X231" s="4">
        <v>3071</v>
      </c>
      <c r="Y231" s="4">
        <v>2869.5</v>
      </c>
      <c r="Z231" s="4">
        <v>2801.5</v>
      </c>
      <c r="AA231" s="4">
        <v>2673.5</v>
      </c>
      <c r="AB231" s="4">
        <v>2711.5</v>
      </c>
      <c r="AC231" s="4">
        <v>2675</v>
      </c>
      <c r="AD231" s="4">
        <v>2672.5</v>
      </c>
      <c r="AE231" s="4">
        <v>2719</v>
      </c>
      <c r="AF231" s="4">
        <v>2782.5</v>
      </c>
      <c r="AG231" s="4">
        <v>2717.5</v>
      </c>
      <c r="AH231" s="4">
        <v>2816.5</v>
      </c>
      <c r="AI231" s="4">
        <v>2817</v>
      </c>
      <c r="AJ231" s="4">
        <v>2866</v>
      </c>
      <c r="AK231" s="4">
        <v>2916.5</v>
      </c>
      <c r="AL231" s="4">
        <v>2774.5</v>
      </c>
      <c r="AM231" s="4">
        <v>2705</v>
      </c>
      <c r="AN231" s="4">
        <v>2430</v>
      </c>
      <c r="AO231" s="4">
        <v>2358</v>
      </c>
      <c r="AP231" s="4">
        <v>2439.5</v>
      </c>
      <c r="AQ231" s="4">
        <v>2505</v>
      </c>
      <c r="AR231" s="4">
        <v>2574</v>
      </c>
      <c r="AS231" s="4">
        <v>2538.5</v>
      </c>
      <c r="AT231" s="4">
        <v>2486.5</v>
      </c>
      <c r="AU231" s="4">
        <v>2588.5</v>
      </c>
      <c r="AV231" s="4">
        <v>2766.5</v>
      </c>
      <c r="AW231" s="4">
        <v>2730</v>
      </c>
      <c r="AX231" s="4">
        <v>2818</v>
      </c>
      <c r="AY231" s="4">
        <v>2839.5</v>
      </c>
      <c r="AZ231" s="4">
        <v>2761</v>
      </c>
      <c r="BA231" s="4">
        <v>2675</v>
      </c>
      <c r="BB231" s="4">
        <v>2554.5</v>
      </c>
      <c r="BC231" s="4">
        <v>2561</v>
      </c>
      <c r="BD231" s="4">
        <v>2670.5</v>
      </c>
      <c r="BE231" s="4">
        <v>2685</v>
      </c>
      <c r="BF231" s="4">
        <v>2679.5</v>
      </c>
      <c r="BG231" s="4">
        <v>2832.5</v>
      </c>
      <c r="BH231" s="4">
        <v>2806</v>
      </c>
      <c r="BI231" s="4">
        <v>2870</v>
      </c>
      <c r="BJ231" s="4">
        <v>3059</v>
      </c>
      <c r="BK231" s="4">
        <v>3045</v>
      </c>
      <c r="BL231" s="4">
        <v>2880</v>
      </c>
      <c r="BM231" s="4">
        <v>2853</v>
      </c>
      <c r="BN231" s="4">
        <v>2959.5</v>
      </c>
      <c r="BO231" s="4">
        <v>2901</v>
      </c>
      <c r="BP231" s="4">
        <v>2995</v>
      </c>
      <c r="BQ231" s="4">
        <v>3027</v>
      </c>
      <c r="BR231" s="4">
        <v>3054</v>
      </c>
      <c r="BS231" s="4">
        <v>3087</v>
      </c>
      <c r="BT231" s="4">
        <v>3153</v>
      </c>
      <c r="BU231" s="4">
        <v>3120</v>
      </c>
      <c r="BV231" s="4">
        <v>3210</v>
      </c>
      <c r="BW231" s="4">
        <v>3153</v>
      </c>
      <c r="BX231" s="4">
        <v>3293</v>
      </c>
      <c r="BY231" s="4">
        <v>3281</v>
      </c>
      <c r="BZ231" s="4">
        <v>3303</v>
      </c>
    </row>
    <row r="232" spans="1:78">
      <c r="A232" s="62" t="s">
        <v>445</v>
      </c>
      <c r="B232" s="4" t="str">
        <f>銘柄管理!C232</f>
        <v>ＮＥＣキャピタルソリューション</v>
      </c>
      <c r="C232" s="4">
        <f>_xll.RssMarket("8793","現在値")</f>
        <v>4035</v>
      </c>
      <c r="D232" s="4">
        <f t="shared" si="7"/>
        <v>15</v>
      </c>
      <c r="E232" s="4">
        <v>4020</v>
      </c>
      <c r="F232" s="4">
        <v>4085</v>
      </c>
      <c r="G232" s="4">
        <v>4150</v>
      </c>
      <c r="H232" s="4">
        <v>4200</v>
      </c>
      <c r="I232" s="4">
        <v>4205</v>
      </c>
      <c r="J232" s="4">
        <v>4110</v>
      </c>
      <c r="K232" s="4">
        <v>4120</v>
      </c>
      <c r="L232" s="4">
        <v>4065</v>
      </c>
      <c r="M232" s="4">
        <v>4110</v>
      </c>
      <c r="N232" s="4">
        <v>4115</v>
      </c>
      <c r="O232" s="4">
        <v>4085</v>
      </c>
      <c r="P232" s="4">
        <v>4015</v>
      </c>
      <c r="Q232" s="4">
        <v>4105</v>
      </c>
      <c r="R232" s="4">
        <v>4130</v>
      </c>
      <c r="S232" s="4">
        <v>4135</v>
      </c>
      <c r="T232" s="4">
        <v>4145</v>
      </c>
      <c r="U232" s="4">
        <v>4120</v>
      </c>
      <c r="V232" s="4">
        <v>4105</v>
      </c>
      <c r="W232" s="4">
        <v>4090</v>
      </c>
      <c r="X232" s="4">
        <v>4075</v>
      </c>
      <c r="Y232" s="4">
        <v>3990</v>
      </c>
      <c r="Z232" s="4">
        <v>3970</v>
      </c>
      <c r="AA232" s="4">
        <v>3970</v>
      </c>
      <c r="AB232" s="4">
        <v>3985</v>
      </c>
      <c r="AC232" s="4">
        <v>3980</v>
      </c>
      <c r="AD232" s="4">
        <v>3970</v>
      </c>
      <c r="AE232" s="4">
        <v>4030</v>
      </c>
      <c r="AF232" s="4">
        <v>4010</v>
      </c>
      <c r="AG232" s="4">
        <v>4025</v>
      </c>
      <c r="AH232" s="4">
        <v>4065</v>
      </c>
      <c r="AI232" s="4">
        <v>4100</v>
      </c>
      <c r="AJ232" s="4">
        <v>4095</v>
      </c>
      <c r="AK232" s="4">
        <v>4100</v>
      </c>
      <c r="AL232" s="4">
        <v>4135</v>
      </c>
      <c r="AM232" s="4">
        <v>4145</v>
      </c>
      <c r="AN232" s="4">
        <v>4175</v>
      </c>
      <c r="AO232" s="4">
        <v>4105</v>
      </c>
      <c r="AP232" s="4">
        <v>4130</v>
      </c>
      <c r="AQ232" s="4">
        <v>4025</v>
      </c>
      <c r="AR232" s="4">
        <v>4045</v>
      </c>
      <c r="AS232" s="4">
        <v>3945</v>
      </c>
      <c r="AT232" s="4">
        <v>3930</v>
      </c>
      <c r="AU232" s="4">
        <v>3870</v>
      </c>
      <c r="AV232" s="4">
        <v>3970</v>
      </c>
      <c r="AW232" s="4">
        <v>3960</v>
      </c>
      <c r="AX232" s="4">
        <v>3940</v>
      </c>
      <c r="AY232" s="4">
        <v>3950</v>
      </c>
      <c r="AZ232" s="4">
        <v>3985</v>
      </c>
      <c r="BA232" s="4">
        <v>4010</v>
      </c>
      <c r="BB232" s="4">
        <v>3965</v>
      </c>
      <c r="BC232" s="4">
        <v>3970</v>
      </c>
      <c r="BD232" s="4">
        <v>3910</v>
      </c>
      <c r="BE232" s="4">
        <v>3975</v>
      </c>
      <c r="BF232" s="4">
        <v>3990</v>
      </c>
      <c r="BG232" s="4">
        <v>4015</v>
      </c>
      <c r="BH232" s="4">
        <v>4020</v>
      </c>
      <c r="BI232" s="4">
        <v>4035</v>
      </c>
      <c r="BJ232" s="4">
        <v>4055</v>
      </c>
      <c r="BK232" s="4">
        <v>4040</v>
      </c>
      <c r="BL232" s="4">
        <v>4000</v>
      </c>
      <c r="BM232" s="4">
        <v>4055</v>
      </c>
      <c r="BN232" s="4">
        <v>4265</v>
      </c>
      <c r="BO232" s="4">
        <v>4165</v>
      </c>
      <c r="BP232" s="4">
        <v>4265</v>
      </c>
      <c r="BQ232" s="4">
        <v>4195</v>
      </c>
      <c r="BR232" s="4">
        <v>4215</v>
      </c>
      <c r="BS232" s="4">
        <v>4255</v>
      </c>
      <c r="BT232" s="4">
        <v>4285</v>
      </c>
      <c r="BU232" s="4">
        <v>4265</v>
      </c>
      <c r="BV232" s="4">
        <v>4280</v>
      </c>
      <c r="BW232" s="4">
        <v>4275</v>
      </c>
      <c r="BX232" s="4">
        <v>4215</v>
      </c>
      <c r="BY232" s="4">
        <v>4170</v>
      </c>
      <c r="BZ232" s="4">
        <v>4170</v>
      </c>
    </row>
    <row r="233" spans="1:78">
      <c r="A233" s="62" t="s">
        <v>446</v>
      </c>
      <c r="B233" s="4" t="str">
        <f>銘柄管理!C233</f>
        <v>ミスミグループ本社</v>
      </c>
      <c r="C233" s="4">
        <f>_xll.RssMarket("9962","現在値")</f>
        <v>3831</v>
      </c>
      <c r="D233" s="4">
        <f t="shared" si="7"/>
        <v>-220</v>
      </c>
      <c r="E233" s="4">
        <v>4051</v>
      </c>
      <c r="F233" s="4">
        <v>3952</v>
      </c>
      <c r="G233" s="4">
        <v>3861</v>
      </c>
      <c r="H233" s="4">
        <v>3479</v>
      </c>
      <c r="I233" s="4">
        <v>3518</v>
      </c>
      <c r="J233" s="4">
        <v>3459</v>
      </c>
      <c r="K233" s="4">
        <v>3677</v>
      </c>
      <c r="L233" s="4">
        <v>3583</v>
      </c>
      <c r="M233" s="4">
        <v>3739</v>
      </c>
      <c r="N233" s="4">
        <v>3711</v>
      </c>
      <c r="O233" s="4">
        <v>3723</v>
      </c>
      <c r="P233" s="4">
        <v>3632</v>
      </c>
      <c r="Q233" s="4">
        <v>3854</v>
      </c>
      <c r="R233" s="4">
        <v>3783</v>
      </c>
      <c r="S233" s="4">
        <v>3872</v>
      </c>
      <c r="T233" s="4">
        <v>3994</v>
      </c>
      <c r="U233" s="4">
        <v>3951</v>
      </c>
      <c r="V233" s="4">
        <v>3899</v>
      </c>
      <c r="W233" s="4">
        <v>3999</v>
      </c>
      <c r="X233" s="4">
        <v>4150</v>
      </c>
      <c r="Y233" s="4">
        <v>4187</v>
      </c>
      <c r="Z233" s="4">
        <v>4065</v>
      </c>
      <c r="AA233" s="4">
        <v>3981</v>
      </c>
      <c r="AB233" s="4">
        <v>3994</v>
      </c>
      <c r="AC233" s="4">
        <v>3932</v>
      </c>
      <c r="AD233" s="4">
        <v>3814</v>
      </c>
      <c r="AE233" s="4">
        <v>3767</v>
      </c>
      <c r="AF233" s="4">
        <v>3773</v>
      </c>
      <c r="AG233" s="4">
        <v>3684</v>
      </c>
      <c r="AH233" s="4">
        <v>3860</v>
      </c>
      <c r="AI233" s="4">
        <v>3850</v>
      </c>
      <c r="AJ233" s="4">
        <v>3895</v>
      </c>
      <c r="AK233" s="4">
        <v>3859</v>
      </c>
      <c r="AL233" s="4">
        <v>3875</v>
      </c>
      <c r="AM233" s="4">
        <v>3811</v>
      </c>
      <c r="AN233" s="4">
        <v>3705</v>
      </c>
      <c r="AO233" s="4">
        <v>3645</v>
      </c>
      <c r="AP233" s="4">
        <v>3638</v>
      </c>
      <c r="AQ233" s="4">
        <v>3611</v>
      </c>
      <c r="AR233" s="4">
        <v>3742</v>
      </c>
      <c r="AS233" s="4">
        <v>3768</v>
      </c>
      <c r="AT233" s="4">
        <v>3828</v>
      </c>
      <c r="AU233" s="4">
        <v>3627</v>
      </c>
      <c r="AV233" s="4">
        <v>3773</v>
      </c>
      <c r="AW233" s="4">
        <v>3635</v>
      </c>
      <c r="AX233" s="4">
        <v>3555</v>
      </c>
      <c r="AY233" s="4">
        <v>3509</v>
      </c>
      <c r="AZ233" s="4">
        <v>3376</v>
      </c>
      <c r="BA233" s="4">
        <v>3227</v>
      </c>
      <c r="BB233" s="4">
        <v>3129</v>
      </c>
      <c r="BC233" s="4">
        <v>3129</v>
      </c>
      <c r="BD233" s="4">
        <v>3151</v>
      </c>
      <c r="BE233" s="4">
        <v>3229</v>
      </c>
      <c r="BF233" s="4">
        <v>3374</v>
      </c>
      <c r="BG233" s="4">
        <v>3289</v>
      </c>
      <c r="BH233" s="4">
        <v>3382</v>
      </c>
      <c r="BI233" s="4">
        <v>3426</v>
      </c>
      <c r="BJ233" s="4">
        <v>3490</v>
      </c>
      <c r="BK233" s="4">
        <v>3452</v>
      </c>
      <c r="BL233" s="4">
        <v>3428</v>
      </c>
      <c r="BM233" s="4">
        <v>3589</v>
      </c>
      <c r="BN233" s="4">
        <v>3335</v>
      </c>
      <c r="BO233" s="4">
        <v>3393</v>
      </c>
      <c r="BP233" s="4">
        <v>3042</v>
      </c>
      <c r="BQ233" s="4">
        <v>3001</v>
      </c>
      <c r="BR233" s="4">
        <v>3090</v>
      </c>
      <c r="BS233" s="4">
        <v>3111</v>
      </c>
      <c r="BT233" s="4">
        <v>3132</v>
      </c>
      <c r="BU233" s="4">
        <v>3051</v>
      </c>
      <c r="BV233" s="4">
        <v>3049</v>
      </c>
      <c r="BW233" s="4">
        <v>3025</v>
      </c>
      <c r="BX233" s="4">
        <v>2959</v>
      </c>
      <c r="BY233" s="4">
        <v>2984.5</v>
      </c>
      <c r="BZ233" s="4">
        <v>3017</v>
      </c>
    </row>
    <row r="234" spans="1:78">
      <c r="A234" s="62" t="s">
        <v>447</v>
      </c>
      <c r="B234" s="4" t="str">
        <f>銘柄管理!C234</f>
        <v>ＴＤＫ</v>
      </c>
      <c r="C234" s="4">
        <f>_xll.RssMarket("6762","現在値")</f>
        <v>3170</v>
      </c>
      <c r="D234" s="4">
        <f t="shared" si="7"/>
        <v>118</v>
      </c>
      <c r="E234" s="4">
        <v>3052</v>
      </c>
      <c r="F234" s="4">
        <v>3092</v>
      </c>
      <c r="G234" s="4">
        <v>3008</v>
      </c>
      <c r="H234" s="4">
        <v>2811.5</v>
      </c>
      <c r="I234" s="4">
        <v>2746</v>
      </c>
      <c r="J234" s="4">
        <v>2927.5</v>
      </c>
      <c r="K234" s="4">
        <v>3012</v>
      </c>
      <c r="L234" s="4">
        <v>3021</v>
      </c>
      <c r="M234" s="4">
        <v>3116</v>
      </c>
      <c r="N234" s="4">
        <v>3107</v>
      </c>
      <c r="O234" s="4">
        <v>3073</v>
      </c>
      <c r="P234" s="4">
        <v>2968</v>
      </c>
      <c r="Q234" s="4">
        <v>3246</v>
      </c>
      <c r="R234" s="4">
        <v>3234</v>
      </c>
      <c r="S234" s="4">
        <v>3203</v>
      </c>
      <c r="T234" s="4">
        <v>3389</v>
      </c>
      <c r="U234" s="4">
        <v>3382</v>
      </c>
      <c r="V234" s="4">
        <v>3298</v>
      </c>
      <c r="W234" s="4">
        <v>3357</v>
      </c>
      <c r="X234" s="4">
        <v>3501</v>
      </c>
      <c r="Y234" s="4">
        <v>3699</v>
      </c>
      <c r="Z234" s="4">
        <v>3660</v>
      </c>
      <c r="AA234" s="4">
        <v>3700</v>
      </c>
      <c r="AB234" s="4">
        <v>3570</v>
      </c>
      <c r="AC234" s="4">
        <v>3593</v>
      </c>
      <c r="AD234" s="4">
        <v>3575</v>
      </c>
      <c r="AE234" s="4">
        <v>3908</v>
      </c>
      <c r="AF234" s="4">
        <v>3816</v>
      </c>
      <c r="AG234" s="4">
        <v>3943</v>
      </c>
      <c r="AH234" s="4">
        <v>4063</v>
      </c>
      <c r="AI234" s="4">
        <v>3909</v>
      </c>
      <c r="AJ234" s="4">
        <v>3855</v>
      </c>
      <c r="AK234" s="4">
        <v>3830</v>
      </c>
      <c r="AL234" s="4">
        <v>3802</v>
      </c>
      <c r="AM234" s="4">
        <v>3906</v>
      </c>
      <c r="AN234" s="4">
        <v>3504</v>
      </c>
      <c r="AO234" s="4">
        <v>3561</v>
      </c>
      <c r="AP234" s="4">
        <v>3640</v>
      </c>
      <c r="AQ234" s="4">
        <v>3715</v>
      </c>
      <c r="AR234" s="4">
        <v>4111</v>
      </c>
      <c r="AS234" s="4">
        <v>3950</v>
      </c>
      <c r="AT234" s="4">
        <v>3950</v>
      </c>
      <c r="AU234" s="4">
        <v>3849</v>
      </c>
      <c r="AV234" s="4">
        <v>4108</v>
      </c>
      <c r="AW234" s="4">
        <v>3796</v>
      </c>
      <c r="AX234" s="4">
        <v>3608</v>
      </c>
      <c r="AY234" s="4">
        <v>3715</v>
      </c>
      <c r="AZ234" s="4">
        <v>3370</v>
      </c>
      <c r="BA234" s="4">
        <v>3141</v>
      </c>
      <c r="BB234" s="4">
        <v>2943</v>
      </c>
      <c r="BC234" s="4">
        <v>2985.5</v>
      </c>
      <c r="BD234" s="4">
        <v>2977.5</v>
      </c>
      <c r="BE234" s="4">
        <v>2993</v>
      </c>
      <c r="BF234" s="4">
        <v>3072</v>
      </c>
      <c r="BG234" s="4">
        <v>2916.5</v>
      </c>
      <c r="BH234" s="4">
        <v>2961</v>
      </c>
      <c r="BI234" s="4">
        <v>2936</v>
      </c>
      <c r="BJ234" s="4">
        <v>2923.5</v>
      </c>
      <c r="BK234" s="4">
        <v>2896</v>
      </c>
      <c r="BL234" s="4">
        <v>2775.5</v>
      </c>
      <c r="BM234" s="4">
        <v>2890.5</v>
      </c>
      <c r="BN234" s="4">
        <v>2677</v>
      </c>
      <c r="BO234" s="4">
        <v>2718</v>
      </c>
      <c r="BP234" s="4">
        <v>2689.5</v>
      </c>
      <c r="BQ234" s="4">
        <v>2662</v>
      </c>
      <c r="BR234" s="4">
        <v>2700.5</v>
      </c>
      <c r="BS234" s="4">
        <v>2576</v>
      </c>
      <c r="BT234" s="4">
        <v>2542</v>
      </c>
      <c r="BU234" s="4">
        <v>2616</v>
      </c>
      <c r="BV234" s="4">
        <v>2540</v>
      </c>
      <c r="BW234" s="4">
        <v>2246.5</v>
      </c>
      <c r="BX234" s="4">
        <v>2273</v>
      </c>
      <c r="BY234" s="4">
        <v>2266</v>
      </c>
      <c r="BZ234" s="4">
        <v>2310</v>
      </c>
    </row>
    <row r="235" spans="1:78">
      <c r="A235" s="62" t="s">
        <v>448</v>
      </c>
      <c r="B235" s="4" t="str">
        <f>銘柄管理!C235</f>
        <v>ＦＩＧ</v>
      </c>
      <c r="C235" s="4">
        <f>_xll.RssMarket("4392","現在値")</f>
        <v>930</v>
      </c>
      <c r="D235" s="4">
        <f t="shared" si="7"/>
        <v>59</v>
      </c>
      <c r="E235" s="4">
        <v>871</v>
      </c>
      <c r="F235" s="4">
        <v>836</v>
      </c>
      <c r="G235" s="4">
        <v>875</v>
      </c>
      <c r="H235" s="4">
        <v>817</v>
      </c>
      <c r="I235" s="4">
        <v>847</v>
      </c>
      <c r="J235" s="4">
        <v>891</v>
      </c>
      <c r="K235" s="4">
        <v>949</v>
      </c>
      <c r="L235" s="4">
        <v>1015</v>
      </c>
      <c r="M235" s="4">
        <v>1075</v>
      </c>
      <c r="N235" s="4">
        <v>1065</v>
      </c>
      <c r="O235" s="4">
        <v>1070</v>
      </c>
      <c r="P235" s="4">
        <v>1064</v>
      </c>
      <c r="Q235" s="4">
        <v>1108</v>
      </c>
      <c r="R235" s="4">
        <v>1032</v>
      </c>
      <c r="S235" s="4">
        <v>1051</v>
      </c>
      <c r="T235" s="4">
        <v>1090</v>
      </c>
      <c r="U235" s="4">
        <v>1057</v>
      </c>
      <c r="V235" s="4">
        <v>1102</v>
      </c>
      <c r="W235" s="4">
        <v>1097</v>
      </c>
      <c r="X235" s="4">
        <v>1137</v>
      </c>
      <c r="Y235" s="4">
        <v>1171</v>
      </c>
      <c r="Z235" s="4">
        <v>1115</v>
      </c>
      <c r="AA235" s="4">
        <v>1100</v>
      </c>
      <c r="AB235" s="4">
        <v>1126</v>
      </c>
      <c r="AC235" s="4">
        <v>1110</v>
      </c>
      <c r="AD235" s="4">
        <v>1115</v>
      </c>
      <c r="AE235" s="4">
        <v>1160</v>
      </c>
      <c r="AF235" s="4">
        <v>1203</v>
      </c>
      <c r="AG235" s="4">
        <v>1125</v>
      </c>
      <c r="AH235" s="4">
        <v>1197</v>
      </c>
      <c r="AI235" s="4">
        <v>1143</v>
      </c>
      <c r="AJ235" s="4">
        <v>1280</v>
      </c>
      <c r="AK235" s="4">
        <v>1270</v>
      </c>
      <c r="AL235" s="4">
        <v>1246</v>
      </c>
      <c r="AM235" s="4">
        <v>1317</v>
      </c>
      <c r="AN235" s="4">
        <v>1347</v>
      </c>
      <c r="AO235" s="4">
        <v>1421</v>
      </c>
      <c r="AP235" s="4">
        <v>1588</v>
      </c>
      <c r="AQ235" s="4">
        <v>1596</v>
      </c>
      <c r="AR235" s="4">
        <v>1360</v>
      </c>
      <c r="AS235" s="4">
        <v>1363</v>
      </c>
      <c r="AT235" s="4">
        <v>1629</v>
      </c>
      <c r="AU235" s="4">
        <v>1705</v>
      </c>
      <c r="AV235" s="4">
        <v>1781</v>
      </c>
      <c r="AW235" s="4">
        <v>2039</v>
      </c>
      <c r="AX235" s="4">
        <v>2246</v>
      </c>
      <c r="AY235" s="4">
        <v>2185</v>
      </c>
      <c r="AZ235" s="4">
        <v>1785</v>
      </c>
      <c r="BA235" s="4">
        <v>1981</v>
      </c>
      <c r="BB235" s="4">
        <v>1581</v>
      </c>
      <c r="BC235" s="4">
        <v>1360</v>
      </c>
      <c r="BD235" s="4">
        <v>1060</v>
      </c>
      <c r="BE235" s="4">
        <v>910</v>
      </c>
      <c r="BF235" s="4">
        <v>760</v>
      </c>
      <c r="BG235" s="4">
        <v>735</v>
      </c>
      <c r="BH235" s="4">
        <v>870</v>
      </c>
      <c r="BI235" s="4">
        <v>509</v>
      </c>
      <c r="BJ235" s="4">
        <v>429</v>
      </c>
      <c r="BK235" s="4">
        <v>349</v>
      </c>
      <c r="BL235" s="4">
        <v>345</v>
      </c>
      <c r="BM235" s="4">
        <v>344</v>
      </c>
      <c r="BN235" s="4">
        <v>353</v>
      </c>
      <c r="BO235" s="4">
        <v>356</v>
      </c>
      <c r="BP235" s="4">
        <v>348</v>
      </c>
      <c r="BQ235" s="4">
        <v>347</v>
      </c>
      <c r="BR235" s="4">
        <v>350</v>
      </c>
      <c r="BS235" s="4">
        <v>347</v>
      </c>
      <c r="BT235" s="4">
        <v>336</v>
      </c>
      <c r="BU235" s="4">
        <v>328</v>
      </c>
      <c r="BV235" s="4">
        <v>329</v>
      </c>
      <c r="BW235" s="4">
        <v>323</v>
      </c>
      <c r="BX235" s="4">
        <v>322</v>
      </c>
      <c r="BY235" s="4">
        <v>319</v>
      </c>
      <c r="BZ235" s="4">
        <v>322</v>
      </c>
    </row>
    <row r="236" spans="1:78">
      <c r="A236" s="62" t="s">
        <v>449</v>
      </c>
      <c r="B236" s="4" t="str">
        <f>銘柄管理!C236</f>
        <v>スクロール</v>
      </c>
      <c r="C236" s="4">
        <f>_xll.RssMarket("8005","現在値")</f>
        <v>1815</v>
      </c>
      <c r="D236" s="4">
        <f t="shared" si="7"/>
        <v>6</v>
      </c>
      <c r="E236" s="4">
        <v>1809</v>
      </c>
      <c r="F236" s="4">
        <v>1814</v>
      </c>
      <c r="G236" s="4">
        <v>1701</v>
      </c>
      <c r="H236" s="4">
        <v>1723</v>
      </c>
      <c r="I236" s="4">
        <v>1725</v>
      </c>
      <c r="J236" s="4">
        <v>1714</v>
      </c>
      <c r="K236" s="4">
        <v>1716</v>
      </c>
      <c r="L236" s="4">
        <v>1695</v>
      </c>
      <c r="M236" s="4">
        <v>1711</v>
      </c>
      <c r="N236" s="4">
        <v>1721</v>
      </c>
      <c r="O236" s="4">
        <v>1742</v>
      </c>
      <c r="P236" s="4">
        <v>1713</v>
      </c>
      <c r="Q236" s="4">
        <v>1743</v>
      </c>
      <c r="R236" s="4">
        <v>1728</v>
      </c>
      <c r="S236" s="4">
        <v>1728</v>
      </c>
      <c r="T236" s="4">
        <v>1715</v>
      </c>
      <c r="U236" s="4">
        <v>1706</v>
      </c>
      <c r="V236" s="4">
        <v>1723</v>
      </c>
      <c r="W236" s="4">
        <v>1711</v>
      </c>
      <c r="X236" s="4">
        <v>1706</v>
      </c>
      <c r="Y236" s="4">
        <v>1670</v>
      </c>
      <c r="Z236" s="4">
        <v>1645</v>
      </c>
      <c r="AA236" s="4">
        <v>1618</v>
      </c>
      <c r="AB236" s="4">
        <v>1628</v>
      </c>
      <c r="AC236" s="4">
        <v>1639</v>
      </c>
      <c r="AD236" s="4">
        <v>1631</v>
      </c>
      <c r="AE236" s="4">
        <v>1642</v>
      </c>
      <c r="AF236" s="4">
        <v>1625</v>
      </c>
      <c r="AG236" s="4">
        <v>1640</v>
      </c>
      <c r="AH236" s="4">
        <v>1644</v>
      </c>
      <c r="AI236" s="4">
        <v>1636</v>
      </c>
      <c r="AJ236" s="4">
        <v>1655</v>
      </c>
      <c r="AK236" s="4">
        <v>1643</v>
      </c>
      <c r="AL236" s="4">
        <v>1627</v>
      </c>
      <c r="AM236" s="4">
        <v>1619</v>
      </c>
      <c r="AN236" s="4">
        <v>1615</v>
      </c>
      <c r="AO236" s="4">
        <v>1634</v>
      </c>
      <c r="AP236" s="4">
        <v>1628</v>
      </c>
      <c r="AQ236" s="4">
        <v>1620</v>
      </c>
      <c r="AR236" s="4">
        <v>1637</v>
      </c>
      <c r="AS236" s="4">
        <v>1620</v>
      </c>
      <c r="AT236" s="4">
        <v>1643</v>
      </c>
      <c r="AU236" s="4">
        <v>1638</v>
      </c>
      <c r="AV236" s="4">
        <v>1649</v>
      </c>
      <c r="AW236" s="4">
        <v>1626</v>
      </c>
      <c r="AX236" s="4">
        <v>1628</v>
      </c>
      <c r="AY236" s="4">
        <v>1642</v>
      </c>
      <c r="AZ236" s="4">
        <v>1634</v>
      </c>
      <c r="BA236" s="4">
        <v>1642</v>
      </c>
      <c r="BB236" s="4">
        <v>1657</v>
      </c>
      <c r="BC236" s="4">
        <v>1682</v>
      </c>
      <c r="BD236" s="4">
        <v>1649</v>
      </c>
      <c r="BE236" s="4">
        <v>1618</v>
      </c>
      <c r="BF236" s="4">
        <v>1623</v>
      </c>
      <c r="BG236" s="4">
        <v>1631</v>
      </c>
      <c r="BH236" s="4">
        <v>1655</v>
      </c>
      <c r="BI236" s="4">
        <v>1705</v>
      </c>
      <c r="BJ236" s="4">
        <v>1597</v>
      </c>
      <c r="BK236" s="4">
        <v>1297</v>
      </c>
      <c r="BL236" s="4">
        <v>1305</v>
      </c>
      <c r="BM236" s="4">
        <v>1325</v>
      </c>
      <c r="BN236" s="4">
        <v>1333</v>
      </c>
      <c r="BO236" s="4">
        <v>1314</v>
      </c>
      <c r="BP236" s="4">
        <v>1322</v>
      </c>
      <c r="BQ236" s="4">
        <v>1317</v>
      </c>
      <c r="BR236" s="4">
        <v>1327</v>
      </c>
      <c r="BS236" s="4">
        <v>1347</v>
      </c>
      <c r="BT236" s="4">
        <v>1352</v>
      </c>
      <c r="BU236" s="4">
        <v>1352</v>
      </c>
      <c r="BV236" s="4">
        <v>1355</v>
      </c>
      <c r="BW236" s="4">
        <v>1334</v>
      </c>
      <c r="BX236" s="4">
        <v>1316</v>
      </c>
      <c r="BY236" s="4">
        <v>1312</v>
      </c>
      <c r="BZ236" s="4">
        <v>1329</v>
      </c>
    </row>
    <row r="237" spans="1:78">
      <c r="A237" s="62" t="s">
        <v>450</v>
      </c>
      <c r="B237" s="4" t="str">
        <f>銘柄管理!C237</f>
        <v>デジタルアーツ</v>
      </c>
      <c r="C237" s="4">
        <f>_xll.RssMarket("2326","現在値")</f>
        <v>4305</v>
      </c>
      <c r="D237" s="4">
        <f t="shared" si="7"/>
        <v>-20</v>
      </c>
      <c r="E237" s="4">
        <v>4325</v>
      </c>
      <c r="F237" s="4">
        <v>4205</v>
      </c>
      <c r="G237" s="4">
        <v>4065</v>
      </c>
      <c r="H237" s="4">
        <v>4105</v>
      </c>
      <c r="I237" s="4">
        <v>4165</v>
      </c>
      <c r="J237" s="4">
        <v>4100</v>
      </c>
      <c r="K237" s="4">
        <v>4050</v>
      </c>
      <c r="L237" s="4">
        <v>3935</v>
      </c>
      <c r="M237" s="4">
        <v>4025</v>
      </c>
      <c r="N237" s="4">
        <v>4035</v>
      </c>
      <c r="O237" s="4">
        <v>4080</v>
      </c>
      <c r="P237" s="4">
        <v>3995</v>
      </c>
      <c r="Q237" s="4">
        <v>4035</v>
      </c>
      <c r="R237" s="4">
        <v>4000</v>
      </c>
      <c r="S237" s="4">
        <v>3980</v>
      </c>
      <c r="T237" s="4">
        <v>3965</v>
      </c>
      <c r="U237" s="4">
        <v>3920</v>
      </c>
      <c r="V237" s="4">
        <v>3890</v>
      </c>
      <c r="W237" s="4">
        <v>3925</v>
      </c>
      <c r="X237" s="4">
        <v>3880</v>
      </c>
      <c r="Y237" s="4">
        <v>3845</v>
      </c>
      <c r="Z237" s="4">
        <v>3755</v>
      </c>
      <c r="AA237" s="4">
        <v>3655</v>
      </c>
      <c r="AB237" s="4">
        <v>3705</v>
      </c>
      <c r="AC237" s="4">
        <v>3695</v>
      </c>
      <c r="AD237" s="4">
        <v>3625</v>
      </c>
      <c r="AE237" s="4">
        <v>3570</v>
      </c>
      <c r="AF237" s="4">
        <v>3555</v>
      </c>
      <c r="AG237" s="4">
        <v>3530</v>
      </c>
      <c r="AH237" s="4">
        <v>3605</v>
      </c>
      <c r="AI237" s="4">
        <v>3525</v>
      </c>
      <c r="AJ237" s="4">
        <v>3625</v>
      </c>
      <c r="AK237" s="4">
        <v>3610</v>
      </c>
      <c r="AL237" s="4">
        <v>3580</v>
      </c>
      <c r="AM237" s="4">
        <v>3610</v>
      </c>
      <c r="AN237" s="4">
        <v>3565</v>
      </c>
      <c r="AO237" s="4">
        <v>3610</v>
      </c>
      <c r="AP237" s="4">
        <v>3625</v>
      </c>
      <c r="AQ237" s="4">
        <v>3700</v>
      </c>
      <c r="AR237" s="4">
        <v>3830</v>
      </c>
      <c r="AS237" s="4">
        <v>3695</v>
      </c>
      <c r="AT237" s="4">
        <v>3695</v>
      </c>
      <c r="AU237" s="4">
        <v>3745</v>
      </c>
      <c r="AV237" s="4">
        <v>3980</v>
      </c>
      <c r="AW237" s="4">
        <v>4045</v>
      </c>
      <c r="AX237" s="4">
        <v>4145</v>
      </c>
      <c r="AY237" s="4">
        <v>4100</v>
      </c>
      <c r="AZ237" s="4">
        <v>4150</v>
      </c>
      <c r="BA237" s="4">
        <v>4120</v>
      </c>
      <c r="BB237" s="4">
        <v>4145</v>
      </c>
      <c r="BC237" s="4">
        <v>4350</v>
      </c>
      <c r="BD237" s="4">
        <v>4245</v>
      </c>
      <c r="BE237" s="4">
        <v>4240</v>
      </c>
      <c r="BF237" s="4">
        <v>4030</v>
      </c>
      <c r="BG237" s="4">
        <v>4110</v>
      </c>
      <c r="BH237" s="4">
        <v>4020</v>
      </c>
      <c r="BI237" s="4">
        <v>4240</v>
      </c>
      <c r="BJ237" s="4">
        <v>4940</v>
      </c>
      <c r="BK237" s="4">
        <v>5940</v>
      </c>
      <c r="BL237" s="4">
        <v>5590</v>
      </c>
      <c r="BM237" s="4">
        <v>5600</v>
      </c>
      <c r="BN237" s="4">
        <v>5550</v>
      </c>
      <c r="BO237" s="4">
        <v>5490</v>
      </c>
      <c r="BP237" s="4">
        <v>5510</v>
      </c>
      <c r="BQ237" s="4">
        <v>5660</v>
      </c>
      <c r="BR237" s="4">
        <v>6050</v>
      </c>
      <c r="BS237" s="4">
        <v>5910</v>
      </c>
      <c r="BT237" s="4">
        <v>5850</v>
      </c>
      <c r="BU237" s="4">
        <v>5830</v>
      </c>
      <c r="BV237" s="4">
        <v>5770</v>
      </c>
      <c r="BW237" s="4">
        <v>5550</v>
      </c>
      <c r="BX237" s="4">
        <v>5480</v>
      </c>
      <c r="BY237" s="4">
        <v>5400</v>
      </c>
      <c r="BZ237" s="4">
        <v>5440</v>
      </c>
    </row>
    <row r="238" spans="1:78">
      <c r="A238" s="62" t="s">
        <v>451</v>
      </c>
      <c r="B238" s="4" t="str">
        <f>銘柄管理!C238</f>
        <v>ＴＯＡ</v>
      </c>
      <c r="C238" s="4">
        <f>_xll.RssMarket("6809","現在値")</f>
        <v>1633</v>
      </c>
      <c r="D238" s="4">
        <f t="shared" si="7"/>
        <v>25</v>
      </c>
      <c r="E238" s="4">
        <v>1608</v>
      </c>
      <c r="F238" s="4">
        <v>1602</v>
      </c>
      <c r="G238" s="4">
        <v>1628</v>
      </c>
      <c r="H238" s="4">
        <v>1633</v>
      </c>
      <c r="I238" s="4">
        <v>1639</v>
      </c>
      <c r="J238" s="4">
        <v>1636</v>
      </c>
      <c r="K238" s="4">
        <v>1639</v>
      </c>
      <c r="M238" s="4">
        <v>1619</v>
      </c>
      <c r="N238" s="4">
        <v>1620</v>
      </c>
      <c r="O238" s="4">
        <v>1615</v>
      </c>
      <c r="P238" s="4">
        <v>1569</v>
      </c>
      <c r="Q238" s="4">
        <v>1608</v>
      </c>
      <c r="R238" s="4">
        <v>1600</v>
      </c>
      <c r="S238" s="4">
        <v>1587</v>
      </c>
      <c r="T238" s="4">
        <v>1610</v>
      </c>
      <c r="U238" s="4">
        <v>1615</v>
      </c>
      <c r="V238" s="4">
        <v>1633</v>
      </c>
      <c r="W238" s="4">
        <v>1640</v>
      </c>
      <c r="X238" s="4">
        <v>1625</v>
      </c>
      <c r="Y238" s="4">
        <v>1600</v>
      </c>
      <c r="Z238" s="4">
        <v>1566</v>
      </c>
      <c r="AA238" s="4">
        <v>1552</v>
      </c>
      <c r="AB238" s="4">
        <v>1565</v>
      </c>
      <c r="AC238" s="4">
        <v>1576</v>
      </c>
      <c r="AD238" s="4">
        <v>1583</v>
      </c>
      <c r="AE238" s="4">
        <v>1580</v>
      </c>
      <c r="AF238" s="4">
        <v>1554</v>
      </c>
      <c r="AG238" s="4">
        <v>1558</v>
      </c>
      <c r="AH238" s="4">
        <v>1557</v>
      </c>
      <c r="AI238" s="4">
        <v>1560</v>
      </c>
      <c r="AJ238" s="4">
        <v>1571</v>
      </c>
      <c r="AK238" s="4">
        <v>1567</v>
      </c>
      <c r="AL238" s="4">
        <v>1565</v>
      </c>
      <c r="AM238" s="4">
        <v>1571</v>
      </c>
      <c r="AN238" s="4">
        <v>1556</v>
      </c>
      <c r="AO238" s="4">
        <v>1548</v>
      </c>
      <c r="AP238" s="4">
        <v>1562</v>
      </c>
      <c r="AQ238" s="4">
        <v>1549</v>
      </c>
      <c r="AR238" s="4">
        <v>1573</v>
      </c>
      <c r="AS238" s="4">
        <v>1544</v>
      </c>
      <c r="AT238" s="4">
        <v>1540</v>
      </c>
      <c r="AU238" s="4">
        <v>1558</v>
      </c>
      <c r="AV238" s="4">
        <v>1552</v>
      </c>
      <c r="AW238" s="4">
        <v>1544</v>
      </c>
      <c r="AX238" s="4">
        <v>1537</v>
      </c>
      <c r="AY238" s="4">
        <v>1560</v>
      </c>
      <c r="AZ238" s="4">
        <v>1557</v>
      </c>
      <c r="BA238" s="4">
        <v>1535</v>
      </c>
      <c r="BB238" s="4">
        <v>1525</v>
      </c>
      <c r="BC238" s="4">
        <v>1599</v>
      </c>
      <c r="BD238" s="4">
        <v>1577</v>
      </c>
      <c r="BE238" s="4">
        <v>1605</v>
      </c>
      <c r="BF238" s="4">
        <v>1581</v>
      </c>
      <c r="BG238" s="4">
        <v>1573</v>
      </c>
      <c r="BH238" s="4">
        <v>1558</v>
      </c>
      <c r="BI238" s="4">
        <v>1570</v>
      </c>
      <c r="BJ238" s="4">
        <v>1569</v>
      </c>
      <c r="BK238" s="4">
        <v>1780</v>
      </c>
      <c r="BL238" s="4">
        <v>1747</v>
      </c>
      <c r="BM238" s="4">
        <v>1730</v>
      </c>
      <c r="BN238" s="4">
        <v>1744</v>
      </c>
      <c r="BO238" s="4">
        <v>1707</v>
      </c>
      <c r="BP238" s="4">
        <v>1713</v>
      </c>
      <c r="BQ238" s="4">
        <v>1745</v>
      </c>
      <c r="BR238" s="4">
        <v>1761</v>
      </c>
      <c r="BS238" s="4">
        <v>1786</v>
      </c>
      <c r="BT238" s="4">
        <v>1769</v>
      </c>
      <c r="BU238" s="4">
        <v>1791</v>
      </c>
      <c r="BV238" s="4">
        <v>1776</v>
      </c>
      <c r="BW238" s="4">
        <v>1780</v>
      </c>
      <c r="BX238" s="4">
        <v>1777</v>
      </c>
      <c r="BY238" s="4">
        <v>1786</v>
      </c>
      <c r="BZ238" s="4">
        <v>1807</v>
      </c>
    </row>
    <row r="239" spans="1:78">
      <c r="A239" s="62" t="s">
        <v>452</v>
      </c>
      <c r="B239" s="4" t="str">
        <f>銘柄管理!C239</f>
        <v>ユーザーローカル</v>
      </c>
      <c r="C239" s="4">
        <f>_xll.RssMarket("3984","現在値")</f>
        <v>1845</v>
      </c>
      <c r="D239" s="4">
        <f t="shared" si="7"/>
        <v>36</v>
      </c>
      <c r="E239" s="4">
        <v>1809</v>
      </c>
      <c r="F239" s="4">
        <v>1795</v>
      </c>
      <c r="G239" s="4">
        <v>1816</v>
      </c>
      <c r="H239" s="4">
        <v>1801</v>
      </c>
      <c r="I239" s="4">
        <v>1795</v>
      </c>
      <c r="J239" s="4">
        <v>1791</v>
      </c>
      <c r="K239" s="4">
        <v>1805</v>
      </c>
      <c r="M239" s="4">
        <v>1721</v>
      </c>
      <c r="N239" s="4">
        <v>1774</v>
      </c>
      <c r="O239" s="4">
        <v>1781</v>
      </c>
      <c r="P239" s="4">
        <v>1797</v>
      </c>
      <c r="Q239" s="4">
        <v>1835</v>
      </c>
      <c r="R239" s="4">
        <v>1805</v>
      </c>
      <c r="S239" s="4">
        <v>1794</v>
      </c>
      <c r="T239" s="4">
        <v>1784</v>
      </c>
      <c r="U239" s="4">
        <v>1768</v>
      </c>
      <c r="V239" s="4">
        <v>1771</v>
      </c>
      <c r="W239" s="4">
        <v>1778</v>
      </c>
      <c r="X239" s="4">
        <v>1780</v>
      </c>
      <c r="Y239" s="4">
        <v>1793</v>
      </c>
      <c r="Z239" s="4">
        <v>1725</v>
      </c>
      <c r="AA239" s="4">
        <v>1707</v>
      </c>
      <c r="AB239" s="4">
        <v>1644</v>
      </c>
      <c r="AC239" s="4">
        <v>1604</v>
      </c>
      <c r="AD239" s="4">
        <v>1588</v>
      </c>
      <c r="AE239" s="4">
        <v>1655</v>
      </c>
      <c r="AF239" s="4">
        <v>1680</v>
      </c>
      <c r="AG239" s="4">
        <v>1685</v>
      </c>
      <c r="AH239" s="4">
        <v>1750</v>
      </c>
      <c r="AI239" s="4">
        <v>1735</v>
      </c>
      <c r="AJ239" s="4">
        <v>1813</v>
      </c>
      <c r="AK239" s="4">
        <v>1810</v>
      </c>
      <c r="AL239" s="4">
        <v>1773</v>
      </c>
      <c r="AM239" s="4">
        <v>1775</v>
      </c>
      <c r="AN239" s="4">
        <v>1753</v>
      </c>
      <c r="AO239" s="4">
        <v>1800</v>
      </c>
      <c r="AP239" s="4">
        <v>1791</v>
      </c>
      <c r="AQ239" s="4">
        <v>1825</v>
      </c>
      <c r="AR239" s="4">
        <v>1910</v>
      </c>
      <c r="AS239" s="4">
        <v>1807</v>
      </c>
      <c r="AT239" s="4">
        <v>1815</v>
      </c>
      <c r="AU239" s="4">
        <v>1820</v>
      </c>
      <c r="AV239" s="4">
        <v>1720</v>
      </c>
      <c r="AW239" s="4">
        <v>1670</v>
      </c>
      <c r="AX239" s="4">
        <v>1706</v>
      </c>
      <c r="AY239" s="4">
        <v>1741</v>
      </c>
      <c r="AZ239" s="4">
        <v>1791</v>
      </c>
      <c r="BA239" s="4">
        <v>1758</v>
      </c>
      <c r="BB239" s="4">
        <v>1736</v>
      </c>
      <c r="BC239" s="4">
        <v>1729</v>
      </c>
      <c r="BD239" s="4">
        <v>1706</v>
      </c>
      <c r="BE239" s="4">
        <v>1702</v>
      </c>
      <c r="BF239" s="4">
        <v>1700</v>
      </c>
      <c r="BG239" s="4">
        <v>1745</v>
      </c>
      <c r="BH239" s="4">
        <v>1724</v>
      </c>
      <c r="BI239" s="4">
        <v>1812</v>
      </c>
      <c r="BJ239" s="4">
        <v>1793</v>
      </c>
      <c r="BK239" s="4">
        <v>1600</v>
      </c>
      <c r="BL239" s="4">
        <v>1540</v>
      </c>
      <c r="BM239" s="4">
        <v>1544</v>
      </c>
      <c r="BN239" s="4">
        <v>1559</v>
      </c>
      <c r="BO239" s="4">
        <v>1554</v>
      </c>
      <c r="BP239" s="4">
        <v>1567</v>
      </c>
      <c r="BQ239" s="4">
        <v>1577</v>
      </c>
      <c r="BR239" s="4">
        <v>1608</v>
      </c>
      <c r="BS239" s="4">
        <v>1580</v>
      </c>
      <c r="BT239" s="4">
        <v>1565</v>
      </c>
      <c r="BU239" s="4">
        <v>1575</v>
      </c>
      <c r="BV239" s="4">
        <v>1576</v>
      </c>
      <c r="BW239" s="4">
        <v>1508</v>
      </c>
      <c r="BX239" s="4">
        <v>1468</v>
      </c>
      <c r="BY239" s="4">
        <v>1448</v>
      </c>
      <c r="BZ239" s="4">
        <v>1458</v>
      </c>
    </row>
    <row r="240" spans="1:78">
      <c r="A240" s="62" t="s">
        <v>453</v>
      </c>
      <c r="B240" s="4" t="str">
        <f>銘柄管理!C240</f>
        <v>ダイトロン</v>
      </c>
      <c r="C240" s="4">
        <f>_xll.RssMarket("7609","現在値")</f>
        <v>4260</v>
      </c>
      <c r="D240" s="4">
        <f t="shared" si="7"/>
        <v>110</v>
      </c>
      <c r="E240" s="4">
        <v>4150</v>
      </c>
      <c r="F240" s="4">
        <v>3580</v>
      </c>
      <c r="G240" s="4">
        <v>3320</v>
      </c>
      <c r="H240" s="4">
        <v>3150</v>
      </c>
      <c r="I240" s="4">
        <v>3080</v>
      </c>
      <c r="J240" s="4">
        <v>3285</v>
      </c>
      <c r="K240" s="4">
        <v>3460</v>
      </c>
      <c r="M240" s="4">
        <v>3540</v>
      </c>
      <c r="N240" s="4">
        <v>3520</v>
      </c>
      <c r="O240" s="4">
        <v>3385</v>
      </c>
      <c r="P240" s="4">
        <v>3300</v>
      </c>
      <c r="Q240" s="4">
        <v>3495</v>
      </c>
      <c r="R240" s="4">
        <v>3335</v>
      </c>
      <c r="S240" s="4">
        <v>3385</v>
      </c>
      <c r="T240" s="4">
        <v>3560</v>
      </c>
      <c r="U240" s="4">
        <v>3475</v>
      </c>
      <c r="V240" s="4">
        <v>3410</v>
      </c>
      <c r="W240" s="4">
        <v>3525</v>
      </c>
      <c r="X240" s="4">
        <v>3640</v>
      </c>
      <c r="Y240" s="4">
        <v>3670</v>
      </c>
      <c r="Z240" s="4">
        <v>3640</v>
      </c>
      <c r="AA240" s="4">
        <v>3785</v>
      </c>
      <c r="AB240" s="4">
        <v>3675</v>
      </c>
      <c r="AC240" s="4">
        <v>3650</v>
      </c>
      <c r="AD240" s="4">
        <v>3735</v>
      </c>
      <c r="AE240" s="4">
        <v>3815</v>
      </c>
      <c r="AF240" s="4">
        <v>3695</v>
      </c>
      <c r="AG240" s="4">
        <v>3770</v>
      </c>
      <c r="AH240" s="4">
        <v>3935</v>
      </c>
      <c r="AI240" s="4">
        <v>3900</v>
      </c>
      <c r="AJ240" s="4">
        <v>3830</v>
      </c>
      <c r="AK240" s="4">
        <v>3635</v>
      </c>
      <c r="AL240" s="4">
        <v>3565</v>
      </c>
      <c r="AM240" s="4">
        <v>3595</v>
      </c>
      <c r="AN240" s="4">
        <v>3465</v>
      </c>
      <c r="AO240" s="4">
        <v>3430</v>
      </c>
      <c r="AP240" s="4">
        <v>3435</v>
      </c>
      <c r="AQ240" s="4">
        <v>3565</v>
      </c>
      <c r="AR240" s="4">
        <v>3775</v>
      </c>
      <c r="AS240" s="4">
        <v>3725</v>
      </c>
      <c r="AT240" s="4">
        <v>3695</v>
      </c>
      <c r="AU240" s="4">
        <v>3575</v>
      </c>
      <c r="AV240" s="4">
        <v>3570</v>
      </c>
      <c r="AW240" s="4">
        <v>3540</v>
      </c>
      <c r="AX240" s="4">
        <v>3530</v>
      </c>
      <c r="AY240" s="4">
        <v>3655</v>
      </c>
      <c r="AZ240" s="4">
        <v>3615</v>
      </c>
      <c r="BA240" s="4">
        <v>3535</v>
      </c>
      <c r="BB240" s="4">
        <v>3490</v>
      </c>
      <c r="BC240" s="4">
        <v>3575</v>
      </c>
      <c r="BD240" s="4">
        <v>3855</v>
      </c>
      <c r="BE240" s="4">
        <v>3825</v>
      </c>
      <c r="BF240" s="4">
        <v>3930</v>
      </c>
      <c r="BG240" s="4">
        <v>3870</v>
      </c>
      <c r="BH240" s="4">
        <v>3940</v>
      </c>
      <c r="BI240" s="4">
        <v>3950</v>
      </c>
      <c r="BJ240" s="4">
        <v>3840</v>
      </c>
      <c r="BK240" s="4">
        <v>3380</v>
      </c>
      <c r="BL240" s="4">
        <v>3140</v>
      </c>
      <c r="BM240" s="4">
        <v>2909</v>
      </c>
      <c r="BN240" s="4">
        <v>2894</v>
      </c>
      <c r="BO240" s="4">
        <v>2889</v>
      </c>
      <c r="BP240" s="4">
        <v>2891</v>
      </c>
      <c r="BQ240" s="4">
        <v>2862</v>
      </c>
      <c r="BR240" s="4">
        <v>2827</v>
      </c>
      <c r="BS240" s="4">
        <v>2883</v>
      </c>
      <c r="BT240" s="4">
        <v>2883</v>
      </c>
      <c r="BU240" s="4">
        <v>2873</v>
      </c>
      <c r="BV240" s="4">
        <v>2961</v>
      </c>
      <c r="BW240" s="4">
        <v>2870</v>
      </c>
      <c r="BX240" s="4">
        <v>2930</v>
      </c>
      <c r="BY240" s="4">
        <v>2839</v>
      </c>
      <c r="BZ240" s="4">
        <v>2823</v>
      </c>
    </row>
    <row r="241" spans="1:78">
      <c r="A241" s="62" t="s">
        <v>454</v>
      </c>
      <c r="B241" s="4" t="str">
        <f>銘柄管理!C241</f>
        <v>イトーキ</v>
      </c>
      <c r="C241" s="4">
        <f>_xll.RssMarket("7972","現在値")</f>
        <v>2884</v>
      </c>
      <c r="D241" s="4">
        <f t="shared" si="7"/>
        <v>-10</v>
      </c>
      <c r="E241" s="4">
        <v>2894</v>
      </c>
      <c r="F241" s="4">
        <v>2883</v>
      </c>
      <c r="G241" s="4">
        <v>2940</v>
      </c>
      <c r="H241" s="4">
        <v>2901</v>
      </c>
      <c r="I241" s="4">
        <v>2887</v>
      </c>
      <c r="J241" s="4">
        <v>2905</v>
      </c>
      <c r="K241" s="4">
        <v>2938</v>
      </c>
      <c r="L241" s="4">
        <v>2862</v>
      </c>
      <c r="M241" s="4">
        <v>2846</v>
      </c>
      <c r="N241" s="4">
        <v>2856</v>
      </c>
      <c r="O241" s="4">
        <v>2858</v>
      </c>
      <c r="P241" s="4">
        <v>2720</v>
      </c>
      <c r="Q241" s="4">
        <v>2850</v>
      </c>
      <c r="R241" s="4">
        <v>2836</v>
      </c>
      <c r="S241" s="4">
        <v>2760</v>
      </c>
      <c r="T241" s="4">
        <v>2810</v>
      </c>
      <c r="U241" s="4">
        <v>2849</v>
      </c>
      <c r="V241" s="4">
        <v>2857</v>
      </c>
      <c r="W241" s="4">
        <v>2853</v>
      </c>
      <c r="X241" s="4">
        <v>2834</v>
      </c>
      <c r="Y241" s="4">
        <v>2730</v>
      </c>
      <c r="Z241" s="4">
        <v>2654</v>
      </c>
      <c r="AA241" s="4">
        <v>2623</v>
      </c>
      <c r="AB241" s="4">
        <v>2643</v>
      </c>
      <c r="AC241" s="4">
        <v>2666</v>
      </c>
      <c r="AD241" s="4">
        <v>2631</v>
      </c>
      <c r="AE241" s="4">
        <v>2571</v>
      </c>
      <c r="AF241" s="4">
        <v>2559</v>
      </c>
      <c r="AG241" s="4">
        <v>2534</v>
      </c>
      <c r="AH241" s="4">
        <v>2571</v>
      </c>
      <c r="AI241" s="4">
        <v>2515</v>
      </c>
      <c r="AJ241" s="4">
        <v>2486</v>
      </c>
      <c r="AK241" s="4">
        <v>2431</v>
      </c>
      <c r="AL241" s="4">
        <v>2455</v>
      </c>
      <c r="AM241" s="4">
        <v>2449</v>
      </c>
      <c r="AN241" s="4">
        <v>2438</v>
      </c>
      <c r="AO241" s="4">
        <v>2416</v>
      </c>
      <c r="AP241" s="4">
        <v>2408</v>
      </c>
      <c r="AQ241" s="4">
        <v>2425</v>
      </c>
      <c r="AR241" s="4">
        <v>2422</v>
      </c>
      <c r="AS241" s="4">
        <v>2369</v>
      </c>
      <c r="AT241" s="4">
        <v>2446</v>
      </c>
      <c r="AU241" s="4">
        <v>2455</v>
      </c>
      <c r="AV241" s="4">
        <v>2567</v>
      </c>
      <c r="AW241" s="4">
        <v>2615</v>
      </c>
      <c r="AX241" s="4">
        <v>2713</v>
      </c>
      <c r="AY241" s="4">
        <v>2622</v>
      </c>
      <c r="AZ241" s="4">
        <v>2625</v>
      </c>
      <c r="BA241" s="4">
        <v>2573</v>
      </c>
      <c r="BB241" s="4">
        <v>2653</v>
      </c>
      <c r="BC241" s="4">
        <v>2704</v>
      </c>
      <c r="BD241" s="4">
        <v>2698</v>
      </c>
      <c r="BE241" s="4">
        <v>2715</v>
      </c>
      <c r="BF241" s="4">
        <v>2789</v>
      </c>
      <c r="BG241" s="4">
        <v>2799</v>
      </c>
      <c r="BH241" s="4">
        <v>2787</v>
      </c>
      <c r="BI241" s="4">
        <v>2760</v>
      </c>
      <c r="BJ241" s="4">
        <v>2893</v>
      </c>
      <c r="BK241" s="4">
        <v>3250</v>
      </c>
      <c r="BL241" s="4">
        <v>3160</v>
      </c>
      <c r="BM241" s="4">
        <v>3165</v>
      </c>
      <c r="BN241" s="4">
        <v>3290</v>
      </c>
      <c r="BO241" s="4">
        <v>3215</v>
      </c>
      <c r="BP241" s="4">
        <v>3190</v>
      </c>
      <c r="BQ241" s="4">
        <v>3235</v>
      </c>
      <c r="BR241" s="4">
        <v>3265</v>
      </c>
      <c r="BS241" s="4">
        <v>3300</v>
      </c>
      <c r="BT241" s="4">
        <v>3285</v>
      </c>
      <c r="BU241" s="4">
        <v>3295</v>
      </c>
      <c r="BV241" s="4">
        <v>3350</v>
      </c>
      <c r="BW241" s="4">
        <v>3365</v>
      </c>
      <c r="BX241" s="4">
        <v>3535</v>
      </c>
      <c r="BY241" s="4">
        <v>3535</v>
      </c>
      <c r="BZ241" s="4">
        <v>3480</v>
      </c>
    </row>
    <row r="242" spans="1:78">
      <c r="A242" s="62" t="s">
        <v>455</v>
      </c>
      <c r="B242" s="4" t="str">
        <f>銘柄管理!C242</f>
        <v>オキサイド</v>
      </c>
      <c r="C242" s="4">
        <f>_xll.RssMarket("6521","現在値")</f>
        <v>3240</v>
      </c>
      <c r="D242" s="4">
        <f t="shared" si="7"/>
        <v>155</v>
      </c>
      <c r="E242" s="4">
        <v>3085</v>
      </c>
      <c r="F242" s="4">
        <v>2972</v>
      </c>
      <c r="G242" s="4">
        <v>2903</v>
      </c>
      <c r="H242" s="4">
        <v>2698</v>
      </c>
      <c r="I242" s="4">
        <v>2783</v>
      </c>
      <c r="J242" s="4">
        <v>2925</v>
      </c>
      <c r="K242" s="4">
        <v>3180</v>
      </c>
      <c r="L242" s="4">
        <v>3290</v>
      </c>
      <c r="M242" s="4">
        <v>3420</v>
      </c>
      <c r="N242" s="4">
        <v>3340</v>
      </c>
      <c r="O242" s="4">
        <v>3425</v>
      </c>
      <c r="P242" s="4">
        <v>3385</v>
      </c>
      <c r="Q242" s="4">
        <v>3950</v>
      </c>
      <c r="R242" s="4">
        <v>3830</v>
      </c>
      <c r="S242" s="4">
        <v>4185</v>
      </c>
      <c r="T242" s="4">
        <v>4300</v>
      </c>
      <c r="U242" s="4">
        <v>4200</v>
      </c>
      <c r="V242" s="4">
        <v>4070</v>
      </c>
      <c r="W242" s="4">
        <v>4220</v>
      </c>
      <c r="X242" s="4">
        <v>4450</v>
      </c>
      <c r="Y242" s="4">
        <v>4585</v>
      </c>
      <c r="Z242" s="4">
        <v>4415</v>
      </c>
      <c r="AA242" s="4">
        <v>4580</v>
      </c>
      <c r="AB242" s="4">
        <v>4710</v>
      </c>
      <c r="AC242" s="4">
        <v>4660</v>
      </c>
      <c r="AD242" s="4">
        <v>4720</v>
      </c>
      <c r="AE242" s="4">
        <v>5140</v>
      </c>
      <c r="AF242" s="4">
        <v>5100</v>
      </c>
      <c r="AG242" s="4">
        <v>4840</v>
      </c>
      <c r="AH242" s="4">
        <v>5140</v>
      </c>
      <c r="AI242" s="4">
        <v>5060</v>
      </c>
      <c r="AJ242" s="4">
        <v>4690</v>
      </c>
      <c r="AK242" s="4">
        <v>4810</v>
      </c>
      <c r="AL242" s="4">
        <v>4680</v>
      </c>
      <c r="AM242" s="4">
        <v>4480</v>
      </c>
      <c r="AN242" s="4">
        <v>4400</v>
      </c>
      <c r="AO242" s="4">
        <v>4430</v>
      </c>
      <c r="AP242" s="4">
        <v>4495</v>
      </c>
      <c r="AQ242" s="4">
        <v>4850</v>
      </c>
      <c r="AR242" s="4">
        <v>5130</v>
      </c>
      <c r="AS242" s="4">
        <v>4915</v>
      </c>
      <c r="AT242" s="4">
        <v>5200</v>
      </c>
      <c r="AU242" s="4">
        <v>5030</v>
      </c>
      <c r="AV242" s="4">
        <v>5420</v>
      </c>
      <c r="AW242" s="4">
        <v>5850</v>
      </c>
      <c r="AX242" s="4">
        <v>5590</v>
      </c>
      <c r="AY242" s="4">
        <v>6100</v>
      </c>
      <c r="AZ242" s="4">
        <v>6410</v>
      </c>
      <c r="BA242" s="4">
        <v>5590</v>
      </c>
      <c r="BB242" s="4">
        <v>5780</v>
      </c>
      <c r="BC242" s="4">
        <v>5820</v>
      </c>
      <c r="BD242" s="4">
        <v>6780</v>
      </c>
      <c r="BE242" s="4">
        <v>6030</v>
      </c>
      <c r="BF242" s="4">
        <v>6460</v>
      </c>
      <c r="BG242" s="4">
        <v>6330</v>
      </c>
      <c r="BH242" s="4">
        <v>6530</v>
      </c>
      <c r="BI242" s="4">
        <v>6570</v>
      </c>
      <c r="BJ242" s="4">
        <v>6210</v>
      </c>
      <c r="BK242" s="4">
        <v>5280</v>
      </c>
      <c r="BL242" s="4">
        <v>4680</v>
      </c>
      <c r="BM242" s="4">
        <v>4595</v>
      </c>
      <c r="BN242" s="4">
        <v>4745</v>
      </c>
      <c r="BO242" s="4">
        <v>4645</v>
      </c>
      <c r="BP242" s="4">
        <v>4755</v>
      </c>
      <c r="BQ242" s="4">
        <v>4600</v>
      </c>
      <c r="BR242" s="4">
        <v>4905</v>
      </c>
      <c r="BS242" s="4">
        <v>5090</v>
      </c>
      <c r="BT242" s="4">
        <v>4385</v>
      </c>
      <c r="BU242" s="4">
        <v>4050</v>
      </c>
      <c r="BV242" s="4">
        <v>4435</v>
      </c>
      <c r="BW242" s="4">
        <v>4350</v>
      </c>
      <c r="BX242" s="4">
        <v>5010</v>
      </c>
      <c r="BY242" s="4">
        <v>5050</v>
      </c>
      <c r="BZ242" s="4">
        <v>4685</v>
      </c>
    </row>
    <row r="243" spans="1:78">
      <c r="A243" s="62" t="s">
        <v>456</v>
      </c>
      <c r="B243" s="4" t="str">
        <f>銘柄管理!C243</f>
        <v>クオルテック</v>
      </c>
      <c r="C243" s="4">
        <f>_xll.RssMarket("9165","現在値")</f>
        <v>1755</v>
      </c>
      <c r="D243" s="4">
        <f t="shared" si="7"/>
        <v>-1</v>
      </c>
      <c r="E243" s="4">
        <v>1756</v>
      </c>
      <c r="F243" s="4">
        <v>1707</v>
      </c>
      <c r="G243" s="4">
        <v>1715</v>
      </c>
      <c r="H243" s="4">
        <v>1742</v>
      </c>
      <c r="I243" s="4">
        <v>1715</v>
      </c>
      <c r="J243" s="4">
        <v>1695</v>
      </c>
      <c r="K243" s="4">
        <v>1715</v>
      </c>
      <c r="L243" s="4">
        <v>1701</v>
      </c>
      <c r="M243" s="4">
        <v>1721</v>
      </c>
      <c r="N243" s="4">
        <v>1736</v>
      </c>
      <c r="O243" s="4">
        <v>1713</v>
      </c>
      <c r="P243" s="4">
        <v>1702</v>
      </c>
      <c r="Q243" s="4">
        <v>1727</v>
      </c>
      <c r="R243" s="4">
        <v>1708</v>
      </c>
      <c r="S243" s="4">
        <v>1746</v>
      </c>
      <c r="T243" s="4">
        <v>1758</v>
      </c>
      <c r="U243" s="4">
        <v>1764</v>
      </c>
      <c r="V243" s="4">
        <v>1718</v>
      </c>
      <c r="W243" s="4">
        <v>1754</v>
      </c>
      <c r="X243" s="4">
        <v>1751</v>
      </c>
      <c r="Y243" s="4">
        <v>1777</v>
      </c>
      <c r="Z243" s="4">
        <v>1748</v>
      </c>
      <c r="AA243" s="4">
        <v>1761</v>
      </c>
      <c r="AB243" s="4">
        <v>1695</v>
      </c>
      <c r="AC243" s="4">
        <v>1684</v>
      </c>
      <c r="AD243" s="4">
        <v>1729</v>
      </c>
      <c r="AE243" s="4">
        <v>1741</v>
      </c>
      <c r="AF243" s="4">
        <v>1729</v>
      </c>
      <c r="AG243" s="4">
        <v>1761</v>
      </c>
      <c r="AH243" s="4">
        <v>1791</v>
      </c>
      <c r="AI243" s="4">
        <v>1694</v>
      </c>
      <c r="AJ243" s="4">
        <v>1724</v>
      </c>
      <c r="AK243" s="4">
        <v>1691</v>
      </c>
      <c r="AL243" s="4">
        <v>1708</v>
      </c>
      <c r="AM243" s="4">
        <v>1702</v>
      </c>
      <c r="AN243" s="4">
        <v>1711</v>
      </c>
      <c r="AO243" s="4">
        <v>1680</v>
      </c>
      <c r="AP243" s="4">
        <v>1707</v>
      </c>
      <c r="AQ243" s="4">
        <v>1726</v>
      </c>
      <c r="AR243" s="4">
        <v>1841</v>
      </c>
      <c r="AS243" s="4">
        <v>1801</v>
      </c>
      <c r="AT243" s="4">
        <v>1808</v>
      </c>
      <c r="AU243" s="4">
        <v>1778</v>
      </c>
      <c r="AV243" s="4">
        <v>1873</v>
      </c>
      <c r="AW243" s="4">
        <v>1865</v>
      </c>
      <c r="AX243" s="4">
        <v>1945</v>
      </c>
      <c r="AY243" s="4">
        <v>2193</v>
      </c>
      <c r="AZ243" s="4">
        <v>2005</v>
      </c>
      <c r="BA243" s="4">
        <v>1750</v>
      </c>
      <c r="BB243" s="4">
        <v>1820</v>
      </c>
      <c r="BC243" s="4">
        <v>1838</v>
      </c>
      <c r="BD243" s="4">
        <v>1844</v>
      </c>
      <c r="BE243" s="4">
        <v>1683</v>
      </c>
      <c r="BF243" s="4">
        <v>1724</v>
      </c>
      <c r="BG243" s="4">
        <v>1777</v>
      </c>
      <c r="BH243" s="4">
        <v>1765</v>
      </c>
      <c r="BI243" s="4">
        <v>1857</v>
      </c>
      <c r="BJ243" s="4">
        <v>1800</v>
      </c>
      <c r="BK243" s="4">
        <v>1611</v>
      </c>
      <c r="BL243" s="4">
        <v>1490</v>
      </c>
      <c r="BM243" s="4">
        <v>1479</v>
      </c>
      <c r="BN243" s="4">
        <v>1470</v>
      </c>
      <c r="BO243" s="4">
        <v>1467</v>
      </c>
      <c r="BP243" s="4">
        <v>1469</v>
      </c>
      <c r="BQ243" s="4">
        <v>1468</v>
      </c>
      <c r="BR243" s="4">
        <v>1470</v>
      </c>
      <c r="BS243" s="4">
        <v>1469</v>
      </c>
      <c r="BT243" s="4">
        <v>1449</v>
      </c>
      <c r="BU243" s="4">
        <v>1451</v>
      </c>
      <c r="BV243" s="4">
        <v>1460</v>
      </c>
      <c r="BW243" s="4">
        <v>1457</v>
      </c>
      <c r="BX243" s="4">
        <v>1440</v>
      </c>
      <c r="BY243" s="4">
        <v>1422</v>
      </c>
      <c r="BZ243" s="4">
        <v>1421</v>
      </c>
    </row>
    <row r="244" spans="1:78">
      <c r="A244" s="62" t="s">
        <v>457</v>
      </c>
      <c r="B244" s="4" t="str">
        <f>銘柄管理!C244</f>
        <v>デンソー</v>
      </c>
      <c r="C244" s="4">
        <f>_xll.RssMarket("6902","現在値")</f>
        <v>1912.5</v>
      </c>
      <c r="D244" s="4">
        <f t="shared" si="7"/>
        <v>22</v>
      </c>
      <c r="E244" s="4">
        <v>1890.5</v>
      </c>
      <c r="F244" s="4">
        <v>1928</v>
      </c>
      <c r="G244" s="4">
        <v>1967.5</v>
      </c>
      <c r="H244" s="4">
        <v>2197.5</v>
      </c>
      <c r="I244" s="4">
        <v>2208</v>
      </c>
      <c r="J244" s="4">
        <v>2079.5</v>
      </c>
      <c r="K244" s="4">
        <v>2056</v>
      </c>
      <c r="L244" s="4">
        <v>1977</v>
      </c>
      <c r="M244" s="4">
        <v>1993</v>
      </c>
      <c r="N244" s="4">
        <v>1989.5</v>
      </c>
      <c r="O244" s="4">
        <v>1992.5</v>
      </c>
      <c r="P244" s="4">
        <v>1964</v>
      </c>
      <c r="Q244" s="4">
        <v>1953.5</v>
      </c>
      <c r="R244" s="4">
        <v>1941.5</v>
      </c>
      <c r="S244" s="4">
        <v>1925.5</v>
      </c>
      <c r="T244" s="4">
        <v>1933.5</v>
      </c>
      <c r="U244" s="4">
        <v>1928</v>
      </c>
      <c r="V244" s="4">
        <v>1945</v>
      </c>
      <c r="W244" s="4">
        <v>1985</v>
      </c>
      <c r="X244" s="4">
        <v>1992</v>
      </c>
      <c r="Y244" s="4">
        <v>1955.5</v>
      </c>
      <c r="Z244" s="4">
        <v>1932.5</v>
      </c>
      <c r="AA244" s="4">
        <v>1870.5</v>
      </c>
      <c r="AB244" s="4">
        <v>1876</v>
      </c>
      <c r="AC244" s="4">
        <v>1888</v>
      </c>
      <c r="AD244" s="4">
        <v>1875</v>
      </c>
      <c r="AE244" s="4">
        <v>1860.5</v>
      </c>
      <c r="AF244" s="4">
        <v>1869.5</v>
      </c>
      <c r="AG244" s="4">
        <v>1885.5</v>
      </c>
      <c r="AH244" s="4">
        <v>1892</v>
      </c>
      <c r="AI244" s="4">
        <v>1900.5</v>
      </c>
      <c r="AJ244" s="4">
        <v>1935</v>
      </c>
      <c r="AK244" s="4">
        <v>1917</v>
      </c>
      <c r="AL244" s="4">
        <v>1893.5</v>
      </c>
      <c r="AM244" s="4">
        <v>1906.5</v>
      </c>
      <c r="AN244" s="4">
        <v>1854</v>
      </c>
      <c r="AO244" s="4">
        <v>1834.5</v>
      </c>
      <c r="AP244" s="4">
        <v>1882.5</v>
      </c>
      <c r="AQ244" s="4">
        <v>1903.5</v>
      </c>
      <c r="AR244" s="4">
        <v>1887</v>
      </c>
      <c r="AS244" s="4">
        <v>1907</v>
      </c>
      <c r="AT244" s="4">
        <v>1926</v>
      </c>
      <c r="AU244" s="4">
        <v>1867.5</v>
      </c>
      <c r="AV244" s="4">
        <v>1908</v>
      </c>
      <c r="AW244" s="4">
        <v>1886</v>
      </c>
      <c r="AX244" s="4">
        <v>1888.5</v>
      </c>
      <c r="AY244" s="4">
        <v>1837</v>
      </c>
      <c r="AZ244" s="4">
        <v>1834.5</v>
      </c>
      <c r="BA244" s="4">
        <v>1850</v>
      </c>
      <c r="BB244" s="4">
        <v>1835.5</v>
      </c>
      <c r="BC244" s="4">
        <v>1859.5</v>
      </c>
      <c r="BD244" s="4">
        <v>1838.5</v>
      </c>
      <c r="BE244" s="4">
        <v>1944</v>
      </c>
      <c r="BF244" s="4">
        <v>1884</v>
      </c>
      <c r="BG244" s="4">
        <v>1917</v>
      </c>
      <c r="BH244" s="4">
        <v>1878</v>
      </c>
      <c r="BI244" s="4">
        <v>1879</v>
      </c>
      <c r="BJ244" s="4">
        <v>1919</v>
      </c>
      <c r="BK244" s="4">
        <v>1914.5</v>
      </c>
      <c r="BL244" s="4">
        <v>1895.5</v>
      </c>
      <c r="BM244" s="4">
        <v>1882.5</v>
      </c>
      <c r="BN244" s="4">
        <v>1846.5</v>
      </c>
      <c r="BO244" s="4">
        <v>1883.5</v>
      </c>
      <c r="BP244" s="4">
        <v>1868</v>
      </c>
      <c r="BQ244" s="4">
        <v>1893.5</v>
      </c>
      <c r="BR244" s="4">
        <v>1925.5</v>
      </c>
      <c r="BS244" s="4">
        <v>1944</v>
      </c>
      <c r="BT244" s="4">
        <v>1962.5</v>
      </c>
      <c r="BU244" s="4">
        <v>1926</v>
      </c>
      <c r="BV244" s="4">
        <v>1917.5</v>
      </c>
      <c r="BW244" s="4">
        <v>1915</v>
      </c>
      <c r="BX244" s="4">
        <v>1926.5</v>
      </c>
      <c r="BY244" s="4">
        <v>1917</v>
      </c>
      <c r="BZ244" s="4">
        <v>1933</v>
      </c>
    </row>
    <row r="245" spans="1:78">
      <c r="A245" s="62" t="s">
        <v>458</v>
      </c>
      <c r="B245" s="4" t="str">
        <f>銘柄管理!C245</f>
        <v>グローバルウェイ</v>
      </c>
      <c r="C245" s="4">
        <f>_xll.RssMarket("3936","現在値")</f>
        <v>159</v>
      </c>
      <c r="D245" s="4">
        <f t="shared" si="7"/>
        <v>159</v>
      </c>
    </row>
    <row r="246" spans="1:78">
      <c r="A246" s="62" t="s">
        <v>459</v>
      </c>
      <c r="B246" s="4" t="str">
        <f>銘柄管理!C246</f>
        <v>エノモト</v>
      </c>
      <c r="C246" s="4">
        <f>_xll.RssMarket("6928","現在値")</f>
        <v>2669</v>
      </c>
      <c r="D246" s="4">
        <f t="shared" si="7"/>
        <v>121</v>
      </c>
      <c r="E246" s="4">
        <v>2548</v>
      </c>
      <c r="F246" s="4">
        <v>2433</v>
      </c>
      <c r="G246" s="4">
        <v>2361</v>
      </c>
      <c r="H246" s="4">
        <v>2237</v>
      </c>
      <c r="I246" s="4">
        <v>2174</v>
      </c>
      <c r="J246" s="4">
        <v>2339</v>
      </c>
      <c r="K246" s="4">
        <v>2514</v>
      </c>
      <c r="L246" s="4">
        <v>2576</v>
      </c>
      <c r="M246" s="4">
        <v>2572</v>
      </c>
      <c r="N246" s="4">
        <v>2590</v>
      </c>
      <c r="O246" s="4">
        <v>2606</v>
      </c>
      <c r="P246" s="4">
        <v>2530</v>
      </c>
      <c r="Q246" s="4">
        <v>2878</v>
      </c>
      <c r="R246" s="4">
        <v>2850</v>
      </c>
      <c r="S246" s="4">
        <v>2885</v>
      </c>
      <c r="T246" s="4">
        <v>2841</v>
      </c>
      <c r="U246" s="4">
        <v>2858</v>
      </c>
      <c r="V246" s="4">
        <v>2725</v>
      </c>
      <c r="W246" s="4">
        <v>2823</v>
      </c>
      <c r="X246" s="4">
        <v>2900</v>
      </c>
      <c r="Y246" s="4">
        <v>2911</v>
      </c>
      <c r="Z246" s="4">
        <v>2921</v>
      </c>
      <c r="AA246" s="4">
        <v>3030</v>
      </c>
      <c r="AB246" s="4">
        <v>3110</v>
      </c>
      <c r="AC246" s="4">
        <v>3115</v>
      </c>
      <c r="AD246" s="4">
        <v>3165</v>
      </c>
      <c r="AE246" s="4">
        <v>3370</v>
      </c>
      <c r="AF246" s="4">
        <v>3375</v>
      </c>
      <c r="AG246" s="4">
        <v>3385</v>
      </c>
      <c r="AH246" s="4">
        <v>3465</v>
      </c>
      <c r="AI246" s="4">
        <v>3465</v>
      </c>
      <c r="AJ246" s="4">
        <v>3500</v>
      </c>
      <c r="AK246" s="4">
        <v>3365</v>
      </c>
      <c r="AL246" s="4">
        <v>3320</v>
      </c>
      <c r="AM246" s="4">
        <v>3355</v>
      </c>
      <c r="AN246" s="4">
        <v>3160</v>
      </c>
      <c r="AO246" s="4">
        <v>3315</v>
      </c>
      <c r="AP246" s="4">
        <v>3455</v>
      </c>
      <c r="AQ246" s="4">
        <v>3430</v>
      </c>
      <c r="AR246" s="4">
        <v>3635</v>
      </c>
      <c r="AS246" s="4">
        <v>3675</v>
      </c>
      <c r="AT246" s="4">
        <v>3700</v>
      </c>
      <c r="AU246" s="4">
        <v>3720</v>
      </c>
      <c r="AV246" s="4">
        <v>3805</v>
      </c>
      <c r="AW246" s="4">
        <v>3735</v>
      </c>
      <c r="AX246" s="4">
        <v>3530</v>
      </c>
      <c r="AY246" s="4">
        <v>3655</v>
      </c>
      <c r="AZ246" s="4">
        <v>3650</v>
      </c>
      <c r="BA246" s="4">
        <v>3485</v>
      </c>
      <c r="BB246" s="4">
        <v>3500</v>
      </c>
      <c r="BC246" s="4">
        <v>3475</v>
      </c>
      <c r="BD246" s="4">
        <v>3510</v>
      </c>
      <c r="BE246" s="4">
        <v>3470</v>
      </c>
      <c r="BF246" s="4">
        <v>3435</v>
      </c>
      <c r="BG246" s="4">
        <v>3505</v>
      </c>
      <c r="BH246" s="4">
        <v>3440</v>
      </c>
      <c r="BI246" s="4">
        <v>3480</v>
      </c>
      <c r="BJ246" s="4">
        <v>3620</v>
      </c>
      <c r="BK246" s="4">
        <v>3600</v>
      </c>
      <c r="BL246" s="4">
        <v>3445</v>
      </c>
      <c r="BM246" s="4">
        <v>3285</v>
      </c>
      <c r="BN246" s="4">
        <v>3220</v>
      </c>
      <c r="BO246" s="4">
        <v>3120</v>
      </c>
      <c r="BP246" s="4">
        <v>3165</v>
      </c>
      <c r="BQ246" s="4">
        <v>3105</v>
      </c>
      <c r="BR246" s="4">
        <v>3200</v>
      </c>
      <c r="BS246" s="4">
        <v>3235</v>
      </c>
      <c r="BT246" s="4">
        <v>3230</v>
      </c>
      <c r="BU246" s="4">
        <v>3230</v>
      </c>
      <c r="BV246" s="4">
        <v>3325</v>
      </c>
      <c r="BW246" s="4">
        <v>3290</v>
      </c>
      <c r="BX246" s="4">
        <v>3195</v>
      </c>
      <c r="BY246" s="4">
        <v>3150</v>
      </c>
      <c r="BZ246" s="4">
        <v>3115</v>
      </c>
    </row>
    <row r="247" spans="1:78">
      <c r="A247" s="62" t="s">
        <v>460</v>
      </c>
      <c r="B247" s="4" t="str">
        <f>銘柄管理!C247</f>
        <v>三菱製鋼</v>
      </c>
      <c r="C247" s="4">
        <f>_xll.RssMarket("5632","現在値")</f>
        <v>2250</v>
      </c>
      <c r="D247" s="4">
        <f t="shared" si="7"/>
        <v>74</v>
      </c>
      <c r="E247" s="4">
        <v>2176</v>
      </c>
      <c r="F247" s="4">
        <v>2168</v>
      </c>
      <c r="G247" s="4">
        <v>2180</v>
      </c>
      <c r="H247" s="4">
        <v>2137</v>
      </c>
      <c r="I247" s="4">
        <v>2119</v>
      </c>
      <c r="J247" s="4">
        <v>2124</v>
      </c>
      <c r="K247" s="4">
        <v>2186</v>
      </c>
      <c r="M247" s="4">
        <v>2183</v>
      </c>
      <c r="N247" s="4">
        <v>2148</v>
      </c>
      <c r="O247" s="4">
        <v>2139</v>
      </c>
      <c r="P247" s="4">
        <v>2101</v>
      </c>
      <c r="Q247" s="4">
        <v>2181</v>
      </c>
      <c r="R247" s="4">
        <v>2143</v>
      </c>
      <c r="S247" s="4">
        <v>2072</v>
      </c>
      <c r="T247" s="4">
        <v>2107</v>
      </c>
      <c r="U247" s="4">
        <v>2098</v>
      </c>
      <c r="V247" s="4">
        <v>2122</v>
      </c>
      <c r="W247" s="4">
        <v>2170</v>
      </c>
      <c r="X247" s="4">
        <v>2188</v>
      </c>
      <c r="Y247" s="4">
        <v>2208</v>
      </c>
      <c r="Z247" s="4">
        <v>2146</v>
      </c>
      <c r="AA247" s="4">
        <v>2140</v>
      </c>
      <c r="AB247" s="4">
        <v>2152</v>
      </c>
      <c r="AC247" s="4">
        <v>2208</v>
      </c>
      <c r="AD247" s="4">
        <v>2177</v>
      </c>
      <c r="AE247" s="4">
        <v>2217</v>
      </c>
      <c r="AF247" s="4">
        <v>2215</v>
      </c>
      <c r="AG247" s="4">
        <v>2258</v>
      </c>
      <c r="AH247" s="4">
        <v>2425</v>
      </c>
      <c r="AI247" s="4">
        <v>2331</v>
      </c>
      <c r="AJ247" s="4">
        <v>2288</v>
      </c>
      <c r="AK247" s="4">
        <v>2141</v>
      </c>
      <c r="AL247" s="4">
        <v>2171</v>
      </c>
      <c r="AM247" s="4">
        <v>2196</v>
      </c>
      <c r="AN247" s="4">
        <v>2139</v>
      </c>
      <c r="AO247" s="4">
        <v>2111</v>
      </c>
      <c r="AP247" s="4">
        <v>2107</v>
      </c>
      <c r="AQ247" s="4">
        <v>2103</v>
      </c>
      <c r="AR247" s="4">
        <v>2150</v>
      </c>
      <c r="AS247" s="4">
        <v>2103</v>
      </c>
      <c r="AT247" s="4">
        <v>2083</v>
      </c>
      <c r="AU247" s="4">
        <v>2076</v>
      </c>
      <c r="AV247" s="4">
        <v>2157</v>
      </c>
      <c r="AW247" s="4">
        <v>2126</v>
      </c>
      <c r="AX247" s="4">
        <v>2143</v>
      </c>
      <c r="AY247" s="4">
        <v>2135</v>
      </c>
      <c r="AZ247" s="4">
        <v>2144</v>
      </c>
      <c r="BA247" s="4">
        <v>2105</v>
      </c>
      <c r="BB247" s="4">
        <v>2015</v>
      </c>
      <c r="BC247" s="4">
        <v>2083</v>
      </c>
      <c r="BD247" s="4">
        <v>2053</v>
      </c>
      <c r="BE247" s="4">
        <v>2169</v>
      </c>
      <c r="BF247" s="4">
        <v>2074</v>
      </c>
      <c r="BG247" s="4">
        <v>1980</v>
      </c>
      <c r="BH247" s="4">
        <v>1863</v>
      </c>
      <c r="BI247" s="4">
        <v>1892</v>
      </c>
      <c r="BJ247" s="4">
        <v>1835</v>
      </c>
      <c r="BK247" s="4">
        <v>1845</v>
      </c>
      <c r="BL247" s="4">
        <v>1812</v>
      </c>
      <c r="BM247" s="4">
        <v>1795</v>
      </c>
      <c r="BN247" s="4">
        <v>1824</v>
      </c>
      <c r="BO247" s="4">
        <v>1788</v>
      </c>
      <c r="BP247" s="4">
        <v>1789</v>
      </c>
      <c r="BQ247" s="4">
        <v>1806</v>
      </c>
      <c r="BR247" s="4">
        <v>1804</v>
      </c>
      <c r="BS247" s="4">
        <v>1833</v>
      </c>
      <c r="BT247" s="4">
        <v>1838</v>
      </c>
      <c r="BU247" s="4">
        <v>1822</v>
      </c>
      <c r="BV247" s="4">
        <v>1837</v>
      </c>
      <c r="BW247" s="4">
        <v>1826</v>
      </c>
      <c r="BX247" s="4">
        <v>1813</v>
      </c>
      <c r="BY247" s="4">
        <v>1796</v>
      </c>
      <c r="BZ247" s="4">
        <v>1791</v>
      </c>
    </row>
    <row r="248" spans="1:78">
      <c r="A248" s="62" t="s">
        <v>461</v>
      </c>
      <c r="B248" s="4" t="str">
        <f>銘柄管理!C248</f>
        <v>リクルートホールディングス</v>
      </c>
      <c r="C248" s="4">
        <f>_xll.RssMarket("6098","現在値")</f>
        <v>12680</v>
      </c>
      <c r="D248" s="4">
        <f t="shared" si="7"/>
        <v>265</v>
      </c>
      <c r="E248" s="4">
        <v>12415</v>
      </c>
      <c r="F248" s="4">
        <v>12385</v>
      </c>
      <c r="G248" s="4">
        <v>12550</v>
      </c>
      <c r="H248" s="4">
        <v>12915</v>
      </c>
      <c r="I248" s="4">
        <v>13100</v>
      </c>
      <c r="J248" s="4">
        <v>12595</v>
      </c>
      <c r="K248" s="4">
        <v>12510</v>
      </c>
      <c r="L248" s="4">
        <v>12055</v>
      </c>
      <c r="M248" s="4">
        <v>12355</v>
      </c>
      <c r="N248" s="4">
        <v>12305</v>
      </c>
      <c r="O248" s="4">
        <v>12920</v>
      </c>
      <c r="P248" s="4">
        <v>12820</v>
      </c>
      <c r="Q248" s="4">
        <v>12580</v>
      </c>
      <c r="R248" s="4">
        <v>12660</v>
      </c>
      <c r="S248" s="4">
        <v>12350</v>
      </c>
      <c r="T248" s="4">
        <v>12240</v>
      </c>
      <c r="U248" s="4">
        <v>12505</v>
      </c>
      <c r="V248" s="4">
        <v>12180</v>
      </c>
      <c r="W248" s="4">
        <v>12300</v>
      </c>
      <c r="X248" s="4">
        <v>11895</v>
      </c>
      <c r="Y248" s="4">
        <v>11920</v>
      </c>
      <c r="Z248" s="4">
        <v>11630</v>
      </c>
      <c r="AA248" s="4">
        <v>11530</v>
      </c>
      <c r="AB248" s="4">
        <v>11330</v>
      </c>
      <c r="AC248" s="4">
        <v>11295</v>
      </c>
      <c r="AD248" s="4">
        <v>11040</v>
      </c>
      <c r="AE248" s="4">
        <v>11240</v>
      </c>
      <c r="AF248" s="4">
        <v>11225</v>
      </c>
      <c r="AG248" s="4">
        <v>11115</v>
      </c>
      <c r="AH248" s="4">
        <v>11050</v>
      </c>
      <c r="AI248" s="4">
        <v>10865</v>
      </c>
      <c r="AJ248" s="4">
        <v>11165</v>
      </c>
      <c r="AK248" s="4">
        <v>10520</v>
      </c>
      <c r="AL248" s="4">
        <v>10750</v>
      </c>
      <c r="AM248" s="4">
        <v>10720</v>
      </c>
      <c r="AN248" s="4">
        <v>10790</v>
      </c>
      <c r="AO248" s="4">
        <v>11155</v>
      </c>
      <c r="AP248" s="4">
        <v>11380</v>
      </c>
      <c r="AQ248" s="4">
        <v>10755</v>
      </c>
      <c r="AR248" s="4">
        <v>10595</v>
      </c>
      <c r="AS248" s="4">
        <v>10615</v>
      </c>
      <c r="AT248" s="4">
        <v>10920</v>
      </c>
      <c r="AU248" s="4">
        <v>10845</v>
      </c>
      <c r="AV248" s="4">
        <v>10570</v>
      </c>
      <c r="AW248" s="4">
        <v>10185</v>
      </c>
      <c r="AX248" s="4">
        <v>9907</v>
      </c>
      <c r="AY248" s="4">
        <v>9688</v>
      </c>
      <c r="AZ248" s="4">
        <v>9789</v>
      </c>
      <c r="BA248" s="4">
        <v>9564</v>
      </c>
      <c r="BB248" s="4">
        <v>9653</v>
      </c>
      <c r="BC248" s="4">
        <v>9846</v>
      </c>
      <c r="BD248" s="4">
        <v>9122</v>
      </c>
      <c r="BE248" s="4">
        <v>7825</v>
      </c>
      <c r="BF248" s="4">
        <v>7780</v>
      </c>
      <c r="BG248" s="4">
        <v>7800</v>
      </c>
      <c r="BH248" s="4">
        <v>7573</v>
      </c>
      <c r="BI248" s="4">
        <v>7700</v>
      </c>
      <c r="BJ248" s="4">
        <v>7822</v>
      </c>
      <c r="BK248" s="4">
        <v>7475</v>
      </c>
      <c r="BL248" s="4">
        <v>7361</v>
      </c>
      <c r="BM248" s="4">
        <v>7303</v>
      </c>
      <c r="BN248" s="4">
        <v>7464</v>
      </c>
      <c r="BO248" s="4">
        <v>7302</v>
      </c>
      <c r="BP248" s="4">
        <v>7308</v>
      </c>
      <c r="BQ248" s="4">
        <v>7561</v>
      </c>
      <c r="BR248" s="4">
        <v>7953</v>
      </c>
      <c r="BS248" s="4">
        <v>7853</v>
      </c>
      <c r="BT248" s="4">
        <v>7625</v>
      </c>
      <c r="BU248" s="4">
        <v>7524</v>
      </c>
      <c r="BV248" s="4">
        <v>7275</v>
      </c>
      <c r="BW248" s="4">
        <v>7163</v>
      </c>
      <c r="BX248" s="4">
        <v>7030</v>
      </c>
      <c r="BY248" s="4">
        <v>6996</v>
      </c>
      <c r="BZ248" s="4">
        <v>7117</v>
      </c>
    </row>
    <row r="249" spans="1:78">
      <c r="A249" s="62" t="s">
        <v>462</v>
      </c>
      <c r="B249" s="4" t="str">
        <f>銘柄管理!C249</f>
        <v>荏原製作所</v>
      </c>
      <c r="C249" s="4">
        <f>_xll.RssMarket("6361","現在値")</f>
        <v>6015</v>
      </c>
      <c r="D249" s="4">
        <f t="shared" si="7"/>
        <v>228</v>
      </c>
      <c r="E249" s="4">
        <v>5787</v>
      </c>
      <c r="F249" s="4">
        <v>5555</v>
      </c>
      <c r="G249" s="4">
        <v>5558</v>
      </c>
      <c r="H249" s="4">
        <v>4953</v>
      </c>
      <c r="I249" s="4">
        <v>4871</v>
      </c>
      <c r="J249" s="4">
        <v>5151</v>
      </c>
      <c r="K249" s="4">
        <v>5641</v>
      </c>
      <c r="L249" s="4">
        <v>5681</v>
      </c>
      <c r="M249" s="4">
        <v>5752</v>
      </c>
      <c r="N249" s="4">
        <v>5593</v>
      </c>
      <c r="O249" s="4">
        <v>5587</v>
      </c>
      <c r="P249" s="4">
        <v>5384</v>
      </c>
      <c r="Q249" s="4">
        <v>6230</v>
      </c>
      <c r="R249" s="4">
        <v>5881</v>
      </c>
      <c r="S249" s="4">
        <v>5908</v>
      </c>
      <c r="T249" s="4">
        <v>6127</v>
      </c>
      <c r="U249" s="4">
        <v>5859</v>
      </c>
      <c r="V249" s="4">
        <v>5808</v>
      </c>
      <c r="W249" s="4">
        <v>5923</v>
      </c>
      <c r="X249" s="4">
        <v>6223</v>
      </c>
      <c r="Y249" s="4">
        <v>6063</v>
      </c>
      <c r="Z249" s="4">
        <v>5989</v>
      </c>
      <c r="AA249" s="4">
        <v>6300</v>
      </c>
      <c r="AB249" s="4">
        <v>6256</v>
      </c>
      <c r="AC249" s="4">
        <v>6164</v>
      </c>
      <c r="AD249" s="4">
        <v>6248</v>
      </c>
      <c r="AE249" s="4">
        <v>6464</v>
      </c>
      <c r="AF249" s="4">
        <v>6279</v>
      </c>
      <c r="AG249" s="4">
        <v>6356</v>
      </c>
      <c r="AH249" s="4">
        <v>6775</v>
      </c>
      <c r="AI249" s="4">
        <v>6560</v>
      </c>
      <c r="AJ249" s="4">
        <v>6694</v>
      </c>
      <c r="AK249" s="4">
        <v>6527</v>
      </c>
      <c r="AL249" s="4">
        <v>6232</v>
      </c>
      <c r="AM249" s="4">
        <v>6204</v>
      </c>
      <c r="AN249" s="4">
        <v>5506</v>
      </c>
      <c r="AO249" s="4">
        <v>5243</v>
      </c>
      <c r="AP249" s="4">
        <v>5265</v>
      </c>
      <c r="AQ249" s="4">
        <v>5030</v>
      </c>
      <c r="AR249" s="4">
        <v>5535</v>
      </c>
      <c r="AS249" s="4">
        <v>5480</v>
      </c>
      <c r="AT249" s="4">
        <v>5626</v>
      </c>
      <c r="AU249" s="4">
        <v>5357</v>
      </c>
      <c r="AV249" s="4">
        <v>5683</v>
      </c>
      <c r="AW249" s="4">
        <v>5499</v>
      </c>
      <c r="AX249" s="4">
        <v>5472</v>
      </c>
      <c r="AY249" s="4">
        <v>5693</v>
      </c>
      <c r="AZ249" s="4">
        <v>5452</v>
      </c>
      <c r="BA249" s="4">
        <v>5036</v>
      </c>
      <c r="BB249" s="4">
        <v>4935</v>
      </c>
      <c r="BC249" s="4">
        <v>5153</v>
      </c>
      <c r="BD249" s="4">
        <v>5349</v>
      </c>
      <c r="BE249" s="4">
        <v>5533</v>
      </c>
      <c r="BF249" s="4">
        <v>5729</v>
      </c>
      <c r="BG249" s="4">
        <v>5740</v>
      </c>
      <c r="BH249" s="4">
        <v>5841</v>
      </c>
      <c r="BI249" s="4">
        <v>5902</v>
      </c>
      <c r="BJ249" s="4">
        <v>5750</v>
      </c>
      <c r="BK249" s="4">
        <v>5763</v>
      </c>
      <c r="BL249" s="4">
        <v>5242</v>
      </c>
      <c r="BM249" s="4">
        <v>5327</v>
      </c>
      <c r="BN249" s="4">
        <v>5423</v>
      </c>
      <c r="BO249" s="4">
        <v>5446</v>
      </c>
      <c r="BP249" s="4">
        <v>5304</v>
      </c>
      <c r="BQ249" s="4">
        <v>5309</v>
      </c>
      <c r="BR249" s="4">
        <v>5471</v>
      </c>
      <c r="BS249" s="4">
        <v>5137</v>
      </c>
      <c r="BT249" s="4">
        <v>5131</v>
      </c>
      <c r="BU249" s="4">
        <v>4933</v>
      </c>
      <c r="BV249" s="4">
        <v>5161</v>
      </c>
      <c r="BW249" s="4">
        <v>5004</v>
      </c>
      <c r="BX249" s="4">
        <v>5171</v>
      </c>
      <c r="BY249" s="4">
        <v>5087</v>
      </c>
      <c r="BZ249" s="4">
        <v>5124</v>
      </c>
    </row>
    <row r="250" spans="1:78">
      <c r="A250" s="62" t="s">
        <v>463</v>
      </c>
      <c r="B250" s="4" t="str">
        <f>銘柄管理!C250</f>
        <v>情報戦略テクノロジー</v>
      </c>
      <c r="C250" s="4">
        <f>_xll.RssMarket("155A","現在値")</f>
        <v>854</v>
      </c>
      <c r="D250" s="4">
        <f t="shared" si="7"/>
        <v>21</v>
      </c>
      <c r="E250" s="4">
        <v>833</v>
      </c>
      <c r="F250" s="4">
        <v>833</v>
      </c>
      <c r="G250" s="4">
        <v>831</v>
      </c>
      <c r="H250" s="4">
        <v>828</v>
      </c>
      <c r="I250" s="4">
        <v>814</v>
      </c>
      <c r="J250" s="4">
        <v>832</v>
      </c>
      <c r="K250" s="4">
        <v>852</v>
      </c>
      <c r="M250" s="4">
        <v>859</v>
      </c>
      <c r="N250" s="4">
        <v>860</v>
      </c>
      <c r="O250" s="4">
        <v>870</v>
      </c>
      <c r="P250" s="4">
        <v>843</v>
      </c>
      <c r="Q250" s="4">
        <v>893</v>
      </c>
      <c r="R250" s="4">
        <v>909</v>
      </c>
      <c r="S250" s="4">
        <v>902</v>
      </c>
      <c r="T250" s="4">
        <v>907</v>
      </c>
      <c r="U250" s="4">
        <v>883</v>
      </c>
      <c r="V250" s="4">
        <v>884</v>
      </c>
      <c r="W250" s="4">
        <v>906</v>
      </c>
      <c r="X250" s="4">
        <v>917</v>
      </c>
      <c r="Y250" s="4">
        <v>890</v>
      </c>
      <c r="Z250" s="4">
        <v>870</v>
      </c>
      <c r="AA250" s="4">
        <v>878</v>
      </c>
      <c r="AB250" s="4">
        <v>876</v>
      </c>
      <c r="AC250" s="4">
        <v>861</v>
      </c>
      <c r="AD250" s="4">
        <v>840</v>
      </c>
      <c r="AE250" s="4">
        <v>869</v>
      </c>
      <c r="AF250" s="4">
        <v>844</v>
      </c>
      <c r="AG250" s="4">
        <v>896</v>
      </c>
      <c r="AH250" s="4">
        <v>914</v>
      </c>
      <c r="AI250" s="4">
        <v>883</v>
      </c>
      <c r="AJ250" s="4">
        <v>886</v>
      </c>
      <c r="AK250" s="4">
        <v>866</v>
      </c>
      <c r="AL250" s="4">
        <v>820</v>
      </c>
      <c r="AM250" s="4">
        <v>846</v>
      </c>
      <c r="AN250" s="4">
        <v>835</v>
      </c>
      <c r="AO250" s="4">
        <v>858</v>
      </c>
      <c r="AP250" s="4">
        <v>889</v>
      </c>
      <c r="AQ250" s="4">
        <v>839</v>
      </c>
      <c r="AR250" s="4">
        <v>868</v>
      </c>
      <c r="AS250" s="4">
        <v>844</v>
      </c>
      <c r="AT250" s="4">
        <v>833</v>
      </c>
      <c r="AU250" s="4">
        <v>828</v>
      </c>
      <c r="AV250" s="4">
        <v>872</v>
      </c>
      <c r="AW250" s="4">
        <v>860</v>
      </c>
      <c r="AX250" s="4">
        <v>879</v>
      </c>
      <c r="AY250" s="4">
        <v>880</v>
      </c>
      <c r="AZ250" s="4">
        <v>852</v>
      </c>
      <c r="BA250" s="4">
        <v>846</v>
      </c>
      <c r="BB250" s="4">
        <v>835</v>
      </c>
      <c r="BC250" s="4">
        <v>875</v>
      </c>
      <c r="BD250" s="4">
        <v>880</v>
      </c>
      <c r="BE250" s="4">
        <v>889</v>
      </c>
      <c r="BF250" s="4">
        <v>739</v>
      </c>
      <c r="BG250" s="4">
        <v>770</v>
      </c>
      <c r="BH250" s="4">
        <v>791</v>
      </c>
      <c r="BI250" s="4">
        <v>798</v>
      </c>
      <c r="BJ250" s="4">
        <v>815</v>
      </c>
      <c r="BK250" s="4">
        <v>816</v>
      </c>
      <c r="BL250" s="4">
        <v>801</v>
      </c>
      <c r="BM250" s="4">
        <v>801</v>
      </c>
      <c r="BN250" s="4">
        <v>807</v>
      </c>
      <c r="BO250" s="4">
        <v>813</v>
      </c>
      <c r="BP250" s="4">
        <v>821</v>
      </c>
      <c r="BQ250" s="4">
        <v>835</v>
      </c>
      <c r="BR250" s="4">
        <v>860</v>
      </c>
      <c r="BS250" s="4">
        <v>852</v>
      </c>
      <c r="BT250" s="4">
        <v>836</v>
      </c>
      <c r="BU250" s="4">
        <v>842</v>
      </c>
      <c r="BV250" s="4">
        <v>833</v>
      </c>
      <c r="BW250" s="4">
        <v>829</v>
      </c>
      <c r="BX250" s="4">
        <v>812</v>
      </c>
      <c r="BY250" s="4">
        <v>808</v>
      </c>
      <c r="BZ250" s="4">
        <v>823</v>
      </c>
    </row>
    <row r="251" spans="1:78">
      <c r="A251" s="62" t="s">
        <v>464</v>
      </c>
      <c r="B251" s="4" t="str">
        <f>銘柄管理!C251</f>
        <v>ＴＥＲＲＡＤＲＯＮＥ</v>
      </c>
      <c r="C251" s="4">
        <f>_xll.RssMarket("278A","現在値")</f>
        <v>13510</v>
      </c>
      <c r="D251" s="4">
        <f t="shared" si="7"/>
        <v>-850</v>
      </c>
      <c r="E251" s="4">
        <v>14360</v>
      </c>
      <c r="F251" s="4">
        <v>12000</v>
      </c>
      <c r="G251" s="4">
        <v>10540</v>
      </c>
      <c r="H251" s="4">
        <v>10270</v>
      </c>
      <c r="I251" s="4">
        <v>10140</v>
      </c>
      <c r="J251" s="4">
        <v>10380</v>
      </c>
      <c r="K251" s="4">
        <v>12920</v>
      </c>
      <c r="L251" s="4">
        <v>12690</v>
      </c>
      <c r="M251" s="4">
        <v>13770</v>
      </c>
      <c r="N251" s="4">
        <v>15550</v>
      </c>
      <c r="O251" s="4">
        <v>15370</v>
      </c>
      <c r="P251" s="4">
        <v>13770</v>
      </c>
      <c r="Q251" s="4">
        <v>13100</v>
      </c>
      <c r="R251" s="4">
        <v>10700</v>
      </c>
      <c r="S251" s="4">
        <v>11400</v>
      </c>
      <c r="T251" s="4">
        <v>10860</v>
      </c>
      <c r="U251" s="4">
        <v>9500</v>
      </c>
      <c r="V251" s="4">
        <v>8750</v>
      </c>
      <c r="W251" s="4">
        <v>9130</v>
      </c>
      <c r="X251" s="4">
        <v>9750</v>
      </c>
      <c r="Y251" s="4">
        <v>8410</v>
      </c>
      <c r="Z251" s="4">
        <v>8110</v>
      </c>
      <c r="AA251" s="4">
        <v>7810</v>
      </c>
      <c r="AB251" s="4">
        <v>7700</v>
      </c>
      <c r="AC251" s="4">
        <v>7830</v>
      </c>
      <c r="AD251" s="4">
        <v>7650</v>
      </c>
      <c r="AE251" s="4">
        <v>8000</v>
      </c>
      <c r="AF251" s="4">
        <v>8020</v>
      </c>
      <c r="AG251" s="4">
        <v>7990</v>
      </c>
      <c r="AH251" s="4">
        <v>9420</v>
      </c>
      <c r="AI251" s="4">
        <v>7920</v>
      </c>
      <c r="AJ251" s="4">
        <v>8410</v>
      </c>
      <c r="AK251" s="4">
        <v>8020</v>
      </c>
      <c r="AL251" s="4">
        <v>8750</v>
      </c>
      <c r="AM251" s="4">
        <v>7250</v>
      </c>
      <c r="AN251" s="4">
        <v>8100</v>
      </c>
      <c r="AO251" s="4">
        <v>8570</v>
      </c>
      <c r="AP251" s="4">
        <v>8990</v>
      </c>
      <c r="AQ251" s="4">
        <v>8260</v>
      </c>
      <c r="AR251" s="4">
        <v>8190</v>
      </c>
      <c r="AS251" s="4">
        <v>8050</v>
      </c>
      <c r="AT251" s="4">
        <v>8590</v>
      </c>
      <c r="AU251" s="4">
        <v>8540</v>
      </c>
      <c r="AV251" s="4">
        <v>9690</v>
      </c>
      <c r="AW251" s="4">
        <v>10010</v>
      </c>
      <c r="AX251" s="4">
        <v>9210</v>
      </c>
      <c r="AY251" s="4">
        <v>10870</v>
      </c>
      <c r="AZ251" s="4">
        <v>11320</v>
      </c>
      <c r="BA251" s="4">
        <v>10910</v>
      </c>
      <c r="BB251" s="4">
        <v>11100</v>
      </c>
      <c r="BC251" s="4">
        <v>12560</v>
      </c>
      <c r="BD251" s="4">
        <v>12750</v>
      </c>
      <c r="BE251" s="4">
        <v>12190</v>
      </c>
      <c r="BF251" s="4">
        <v>10740</v>
      </c>
      <c r="BG251" s="4">
        <v>11470</v>
      </c>
      <c r="BH251" s="4">
        <v>12400</v>
      </c>
      <c r="BI251" s="4">
        <v>16400</v>
      </c>
      <c r="BJ251" s="4">
        <v>13400</v>
      </c>
      <c r="BK251" s="4">
        <v>12850</v>
      </c>
      <c r="BL251" s="4">
        <v>10770</v>
      </c>
      <c r="BM251" s="4">
        <v>9270</v>
      </c>
      <c r="BN251" s="4">
        <v>7770</v>
      </c>
      <c r="BO251" s="4">
        <v>7450</v>
      </c>
      <c r="BP251" s="4">
        <v>7840</v>
      </c>
      <c r="BQ251" s="4">
        <v>8260</v>
      </c>
      <c r="BR251" s="4">
        <v>7220</v>
      </c>
      <c r="BS251" s="4">
        <v>6220</v>
      </c>
      <c r="BT251" s="4">
        <v>6550</v>
      </c>
      <c r="BU251" s="4">
        <v>6480</v>
      </c>
      <c r="BV251" s="4">
        <v>6700</v>
      </c>
      <c r="BW251" s="4">
        <v>6000</v>
      </c>
      <c r="BX251" s="4">
        <v>5660</v>
      </c>
      <c r="BY251" s="4">
        <v>5660</v>
      </c>
      <c r="BZ251" s="4">
        <v>4960</v>
      </c>
    </row>
    <row r="252" spans="1:78">
      <c r="A252" s="62" t="s">
        <v>465</v>
      </c>
      <c r="B252" s="4" t="str">
        <f>銘柄管理!C252</f>
        <v>ＭＩＣ</v>
      </c>
      <c r="C252" s="4">
        <f>_xll.RssMarket("300A","現在値")</f>
        <v>3020</v>
      </c>
      <c r="D252" s="4">
        <f t="shared" si="7"/>
        <v>20</v>
      </c>
      <c r="E252" s="4">
        <v>3000</v>
      </c>
      <c r="F252" s="4">
        <v>2957</v>
      </c>
      <c r="G252" s="4">
        <v>3000</v>
      </c>
      <c r="H252" s="4">
        <v>3000</v>
      </c>
      <c r="I252" s="4">
        <v>2978</v>
      </c>
      <c r="J252" s="4">
        <v>2979</v>
      </c>
      <c r="K252" s="4">
        <v>2946</v>
      </c>
      <c r="M252" s="4">
        <v>2985</v>
      </c>
      <c r="N252" s="4">
        <v>2948</v>
      </c>
      <c r="O252" s="4">
        <v>2915</v>
      </c>
      <c r="P252" s="4">
        <v>2874</v>
      </c>
      <c r="Q252" s="4">
        <v>2880</v>
      </c>
      <c r="R252" s="4">
        <v>2842</v>
      </c>
      <c r="S252" s="4">
        <v>2837</v>
      </c>
      <c r="T252" s="4">
        <v>2908</v>
      </c>
      <c r="U252" s="4">
        <v>2860</v>
      </c>
      <c r="V252" s="4">
        <v>2910</v>
      </c>
      <c r="W252" s="4">
        <v>2910</v>
      </c>
      <c r="X252" s="4">
        <v>2912</v>
      </c>
      <c r="Y252" s="4">
        <v>2917</v>
      </c>
      <c r="Z252" s="4">
        <v>2917</v>
      </c>
      <c r="AA252" s="4">
        <v>2971</v>
      </c>
      <c r="AB252" s="4">
        <v>2929</v>
      </c>
      <c r="AC252" s="4">
        <v>2900</v>
      </c>
      <c r="AD252" s="4">
        <v>2824</v>
      </c>
      <c r="AE252" s="4">
        <v>2790</v>
      </c>
      <c r="AF252" s="4">
        <v>2791</v>
      </c>
      <c r="AG252" s="4">
        <v>2801</v>
      </c>
      <c r="AH252" s="4">
        <v>2800</v>
      </c>
      <c r="AI252" s="4">
        <v>2800</v>
      </c>
      <c r="AJ252" s="4">
        <v>2796</v>
      </c>
      <c r="AK252" s="4">
        <v>2847</v>
      </c>
      <c r="AL252" s="4">
        <v>2810</v>
      </c>
      <c r="AM252" s="4">
        <v>2816</v>
      </c>
      <c r="AN252" s="4">
        <v>2867</v>
      </c>
      <c r="AO252" s="4">
        <v>2780</v>
      </c>
      <c r="AP252" s="4">
        <v>2800</v>
      </c>
      <c r="AQ252" s="4">
        <v>2737</v>
      </c>
      <c r="AR252" s="4">
        <v>2804</v>
      </c>
      <c r="AS252" s="4">
        <v>2755</v>
      </c>
      <c r="AT252" s="4">
        <v>2804</v>
      </c>
      <c r="AU252" s="4">
        <v>2844</v>
      </c>
      <c r="AV252" s="4">
        <v>2835</v>
      </c>
      <c r="AW252" s="4">
        <v>2887</v>
      </c>
      <c r="AX252" s="4">
        <v>2844</v>
      </c>
      <c r="AY252" s="4">
        <v>2869</v>
      </c>
      <c r="AZ252" s="4">
        <v>2918</v>
      </c>
      <c r="BA252" s="4">
        <v>2864</v>
      </c>
      <c r="BB252" s="4">
        <v>2891</v>
      </c>
      <c r="BC252" s="4">
        <v>2900</v>
      </c>
      <c r="BD252" s="4">
        <v>2874</v>
      </c>
      <c r="BE252" s="4">
        <v>2950</v>
      </c>
      <c r="BF252" s="4">
        <v>2604</v>
      </c>
      <c r="BG252" s="4">
        <v>2781</v>
      </c>
      <c r="BH252" s="4">
        <v>2731</v>
      </c>
      <c r="BI252" s="4">
        <v>2802</v>
      </c>
      <c r="BJ252" s="4">
        <v>2782</v>
      </c>
      <c r="BK252" s="4">
        <v>2753</v>
      </c>
      <c r="BL252" s="4">
        <v>2795</v>
      </c>
      <c r="BM252" s="4">
        <v>2768</v>
      </c>
      <c r="BN252" s="4">
        <v>2849</v>
      </c>
      <c r="BO252" s="4">
        <v>2762</v>
      </c>
      <c r="BP252" s="4">
        <v>2879</v>
      </c>
      <c r="BQ252" s="4">
        <v>2950</v>
      </c>
      <c r="BR252" s="4">
        <v>3060</v>
      </c>
      <c r="BS252" s="4">
        <v>3075</v>
      </c>
      <c r="BT252" s="4">
        <v>3045</v>
      </c>
      <c r="BU252" s="4">
        <v>2982</v>
      </c>
      <c r="BV252" s="4">
        <v>2998</v>
      </c>
      <c r="BW252" s="4">
        <v>2945</v>
      </c>
      <c r="BX252" s="4">
        <v>2913</v>
      </c>
      <c r="BY252" s="4">
        <v>2898</v>
      </c>
      <c r="BZ252" s="4">
        <v>2928</v>
      </c>
    </row>
    <row r="253" spans="1:78">
      <c r="A253" s="62" t="s">
        <v>466</v>
      </c>
      <c r="B253" s="4" t="str">
        <f>銘柄管理!C253</f>
        <v>サイボウズ</v>
      </c>
      <c r="C253" s="4">
        <f>_xll.RssMarket("4776","現在値")</f>
        <v>2727</v>
      </c>
      <c r="D253" s="4">
        <f t="shared" si="7"/>
        <v>50</v>
      </c>
      <c r="E253" s="4">
        <v>2677</v>
      </c>
      <c r="F253" s="4">
        <v>2653</v>
      </c>
      <c r="G253" s="4">
        <v>2695</v>
      </c>
      <c r="H253" s="4">
        <v>2749</v>
      </c>
      <c r="I253" s="4">
        <v>2831</v>
      </c>
      <c r="J253" s="4">
        <v>2659</v>
      </c>
      <c r="K253" s="4">
        <v>2625</v>
      </c>
      <c r="L253" s="4">
        <v>2485</v>
      </c>
      <c r="M253" s="4">
        <v>2473</v>
      </c>
      <c r="N253" s="4">
        <v>2532</v>
      </c>
      <c r="O253" s="4">
        <v>2610</v>
      </c>
      <c r="P253" s="4">
        <v>2566</v>
      </c>
      <c r="Q253" s="4">
        <v>2563</v>
      </c>
      <c r="R253" s="4">
        <v>2590</v>
      </c>
      <c r="S253" s="4">
        <v>2571</v>
      </c>
      <c r="T253" s="4">
        <v>2602</v>
      </c>
      <c r="U253" s="4">
        <v>2623</v>
      </c>
      <c r="V253" s="4">
        <v>2623</v>
      </c>
      <c r="W253" s="4">
        <v>2613</v>
      </c>
      <c r="X253" s="4">
        <v>2580</v>
      </c>
      <c r="Y253" s="4">
        <v>2533</v>
      </c>
      <c r="Z253" s="4">
        <v>2474</v>
      </c>
      <c r="AA253" s="4">
        <v>2286</v>
      </c>
      <c r="AB253" s="4">
        <v>2259</v>
      </c>
      <c r="AC253" s="4">
        <v>2326</v>
      </c>
      <c r="AD253" s="4">
        <v>2136</v>
      </c>
      <c r="AE253" s="4">
        <v>2165</v>
      </c>
      <c r="AF253" s="4">
        <v>2237</v>
      </c>
      <c r="AG253" s="4">
        <v>2222</v>
      </c>
      <c r="AH253" s="4">
        <v>2295</v>
      </c>
      <c r="AI253" s="4">
        <v>2317</v>
      </c>
      <c r="AJ253" s="4">
        <v>2379</v>
      </c>
      <c r="AK253" s="4">
        <v>2299</v>
      </c>
      <c r="AL253" s="4">
        <v>2297</v>
      </c>
      <c r="AM253" s="4">
        <v>2359</v>
      </c>
      <c r="AN253" s="4">
        <v>2293</v>
      </c>
      <c r="AO253" s="4">
        <v>2322</v>
      </c>
      <c r="AP253" s="4">
        <v>2339</v>
      </c>
      <c r="AQ253" s="4">
        <v>2368</v>
      </c>
      <c r="AR253" s="4">
        <v>2462</v>
      </c>
      <c r="AS253" s="4">
        <v>2400</v>
      </c>
      <c r="AT253" s="4">
        <v>2469</v>
      </c>
      <c r="AU253" s="4">
        <v>2657</v>
      </c>
      <c r="AV253" s="4">
        <v>2539</v>
      </c>
      <c r="AW253" s="4">
        <v>2515</v>
      </c>
      <c r="AX253" s="4">
        <v>2559</v>
      </c>
      <c r="AY253" s="4">
        <v>2587</v>
      </c>
      <c r="AZ253" s="4">
        <v>2513</v>
      </c>
      <c r="BA253" s="4">
        <v>2495</v>
      </c>
      <c r="BB253" s="4">
        <v>2452</v>
      </c>
      <c r="BC253" s="4">
        <v>2449</v>
      </c>
      <c r="BD253" s="4">
        <v>2365</v>
      </c>
      <c r="BE253" s="4">
        <v>2392</v>
      </c>
      <c r="BF253" s="4">
        <v>2124</v>
      </c>
      <c r="BG253" s="4">
        <v>2197</v>
      </c>
      <c r="BH253" s="4">
        <v>2136</v>
      </c>
      <c r="BI253" s="4">
        <v>2178</v>
      </c>
      <c r="BJ253" s="4">
        <v>2185</v>
      </c>
      <c r="BK253" s="4">
        <v>2121</v>
      </c>
      <c r="BL253" s="4">
        <v>2082</v>
      </c>
      <c r="BM253" s="4">
        <v>2078</v>
      </c>
      <c r="BN253" s="4">
        <v>2116</v>
      </c>
      <c r="BO253" s="4">
        <v>2113</v>
      </c>
      <c r="BP253" s="4">
        <v>2116</v>
      </c>
      <c r="BQ253" s="4">
        <v>2116</v>
      </c>
      <c r="BR253" s="4">
        <v>2158</v>
      </c>
      <c r="BS253" s="4">
        <v>2133</v>
      </c>
      <c r="BT253" s="4">
        <v>2180</v>
      </c>
      <c r="BU253" s="4">
        <v>2282</v>
      </c>
      <c r="BV253" s="4">
        <v>2187</v>
      </c>
      <c r="BW253" s="4">
        <v>2113</v>
      </c>
      <c r="BX253" s="4">
        <v>2041</v>
      </c>
      <c r="BY253" s="4">
        <v>1965</v>
      </c>
      <c r="BZ253" s="4">
        <v>1977</v>
      </c>
    </row>
    <row r="254" spans="1:78">
      <c r="A254" s="62" t="s">
        <v>467</v>
      </c>
      <c r="B254" s="4" t="str">
        <f>銘柄管理!C254</f>
        <v>トレンドマイクロ</v>
      </c>
      <c r="C254" s="4">
        <f>_xll.RssMarket("4704","現在値")</f>
        <v>6464</v>
      </c>
      <c r="D254" s="4">
        <f t="shared" si="7"/>
        <v>-2</v>
      </c>
      <c r="E254" s="4">
        <v>6466</v>
      </c>
      <c r="F254" s="4">
        <v>6304</v>
      </c>
      <c r="G254" s="4">
        <v>6341</v>
      </c>
      <c r="H254" s="4">
        <v>6743</v>
      </c>
      <c r="I254" s="4">
        <v>6799</v>
      </c>
      <c r="J254" s="4">
        <v>6574</v>
      </c>
      <c r="K254" s="4">
        <v>6490</v>
      </c>
      <c r="L254" s="4">
        <v>6269</v>
      </c>
      <c r="M254" s="4">
        <v>6165</v>
      </c>
      <c r="N254" s="4">
        <v>6319</v>
      </c>
      <c r="O254" s="4">
        <v>6364</v>
      </c>
      <c r="P254" s="4">
        <v>6480</v>
      </c>
      <c r="Q254" s="4">
        <v>6391</v>
      </c>
      <c r="R254" s="4">
        <v>6335</v>
      </c>
      <c r="S254" s="4">
        <v>6242</v>
      </c>
      <c r="T254" s="4">
        <v>6277</v>
      </c>
      <c r="U254" s="4">
        <v>6257</v>
      </c>
      <c r="V254" s="4">
        <v>6242</v>
      </c>
      <c r="W254" s="4">
        <v>6382</v>
      </c>
      <c r="X254" s="4">
        <v>6372</v>
      </c>
      <c r="Y254" s="4">
        <v>6267</v>
      </c>
      <c r="Z254" s="4">
        <v>6261</v>
      </c>
      <c r="AA254" s="4">
        <v>5962</v>
      </c>
      <c r="AB254" s="4">
        <v>5982</v>
      </c>
      <c r="AC254" s="4">
        <v>5973</v>
      </c>
      <c r="AD254" s="4">
        <v>5590</v>
      </c>
      <c r="AE254" s="4">
        <v>5698</v>
      </c>
      <c r="AF254" s="4">
        <v>5643</v>
      </c>
      <c r="AG254" s="4">
        <v>5490</v>
      </c>
      <c r="AH254" s="4">
        <v>5646</v>
      </c>
      <c r="AI254" s="4">
        <v>5606</v>
      </c>
      <c r="AJ254" s="4">
        <v>5909</v>
      </c>
      <c r="AK254" s="4">
        <v>5820</v>
      </c>
      <c r="AL254" s="4">
        <v>5749</v>
      </c>
      <c r="AM254" s="4">
        <v>5865</v>
      </c>
      <c r="AN254" s="4">
        <v>5900</v>
      </c>
      <c r="AO254" s="4">
        <v>6135</v>
      </c>
      <c r="AP254" s="4">
        <v>6217</v>
      </c>
      <c r="AQ254" s="4">
        <v>6328</v>
      </c>
      <c r="AR254" s="4">
        <v>6678</v>
      </c>
      <c r="AS254" s="4">
        <v>6225</v>
      </c>
      <c r="AT254" s="4">
        <v>6333</v>
      </c>
      <c r="AU254" s="4">
        <v>6351</v>
      </c>
      <c r="AV254" s="4">
        <v>6010</v>
      </c>
      <c r="AW254" s="4">
        <v>5880</v>
      </c>
      <c r="AX254" s="4">
        <v>6065</v>
      </c>
      <c r="AY254" s="4">
        <v>6356</v>
      </c>
      <c r="AZ254" s="4">
        <v>6184</v>
      </c>
      <c r="BA254" s="4">
        <v>5990</v>
      </c>
      <c r="BB254" s="4">
        <v>5944</v>
      </c>
      <c r="BC254" s="4">
        <v>6113</v>
      </c>
      <c r="BD254" s="4">
        <v>5905</v>
      </c>
      <c r="BE254" s="4">
        <v>5537</v>
      </c>
      <c r="BF254" s="4">
        <v>5471</v>
      </c>
      <c r="BG254" s="4">
        <v>5607</v>
      </c>
      <c r="BH254" s="4">
        <v>5594</v>
      </c>
      <c r="BI254" s="4">
        <v>5645</v>
      </c>
      <c r="BJ254" s="4">
        <v>5645</v>
      </c>
      <c r="BK254" s="4">
        <v>5535</v>
      </c>
      <c r="BL254" s="4">
        <v>5304</v>
      </c>
      <c r="BM254" s="4">
        <v>5476</v>
      </c>
      <c r="BN254" s="4">
        <v>5611</v>
      </c>
      <c r="BO254" s="4">
        <v>5476</v>
      </c>
      <c r="BP254" s="4">
        <v>5576</v>
      </c>
      <c r="BQ254" s="4">
        <v>5765</v>
      </c>
      <c r="BR254" s="4">
        <v>5879</v>
      </c>
      <c r="BS254" s="4">
        <v>5986</v>
      </c>
      <c r="BT254" s="4">
        <v>5756</v>
      </c>
      <c r="BU254" s="4">
        <v>5978</v>
      </c>
      <c r="BV254" s="4">
        <v>5998</v>
      </c>
      <c r="BW254" s="4">
        <v>5459</v>
      </c>
      <c r="BX254" s="4">
        <v>5361</v>
      </c>
      <c r="BY254" s="4">
        <v>5143</v>
      </c>
      <c r="BZ254" s="4">
        <v>5135</v>
      </c>
    </row>
    <row r="255" spans="1:78">
      <c r="A255" s="62" t="s">
        <v>468</v>
      </c>
      <c r="B255" s="4" t="str">
        <f>銘柄管理!C255</f>
        <v>栗田工業</v>
      </c>
      <c r="C255" s="4">
        <f>_xll.RssMarket("6370","現在値")</f>
        <v>9145</v>
      </c>
      <c r="D255" s="4">
        <f t="shared" si="7"/>
        <v>195</v>
      </c>
      <c r="E255" s="4">
        <v>8950</v>
      </c>
      <c r="F255" s="4">
        <v>8723</v>
      </c>
      <c r="G255" s="4">
        <v>8742</v>
      </c>
      <c r="H255" s="4">
        <v>8180</v>
      </c>
      <c r="I255" s="4">
        <v>8178</v>
      </c>
      <c r="J255" s="4">
        <v>8301</v>
      </c>
      <c r="K255" s="4">
        <v>8978</v>
      </c>
      <c r="L255" s="4">
        <v>8943</v>
      </c>
      <c r="M255" s="4">
        <v>9043</v>
      </c>
      <c r="N255" s="4">
        <v>8911</v>
      </c>
      <c r="O255" s="4">
        <v>8806</v>
      </c>
      <c r="P255" s="4">
        <v>8575</v>
      </c>
      <c r="Q255" s="4">
        <v>9270</v>
      </c>
      <c r="R255" s="4">
        <v>9065</v>
      </c>
      <c r="S255" s="4">
        <v>9054</v>
      </c>
      <c r="T255" s="4">
        <v>9105</v>
      </c>
      <c r="U255" s="4">
        <v>8947</v>
      </c>
      <c r="V255" s="4">
        <v>8702</v>
      </c>
      <c r="W255" s="4">
        <v>8939</v>
      </c>
      <c r="X255" s="4">
        <v>9500</v>
      </c>
      <c r="Y255" s="4">
        <v>9398</v>
      </c>
      <c r="Z255" s="4">
        <v>9100</v>
      </c>
      <c r="AA255" s="4">
        <v>9455</v>
      </c>
      <c r="AB255" s="4">
        <v>9151</v>
      </c>
      <c r="AC255" s="4">
        <v>9071</v>
      </c>
      <c r="AD255" s="4">
        <v>9080</v>
      </c>
      <c r="AE255" s="4">
        <v>9382</v>
      </c>
      <c r="AF255" s="4">
        <v>9239</v>
      </c>
      <c r="AG255" s="4">
        <v>9274</v>
      </c>
      <c r="AH255" s="4">
        <v>9562</v>
      </c>
      <c r="AI255" s="4">
        <v>9563</v>
      </c>
      <c r="AJ255" s="4">
        <v>9537</v>
      </c>
      <c r="AK255" s="4">
        <v>9370</v>
      </c>
      <c r="AL255" s="4">
        <v>9187</v>
      </c>
      <c r="AM255" s="4">
        <v>8696</v>
      </c>
      <c r="AN255" s="4">
        <v>8383</v>
      </c>
      <c r="AO255" s="4">
        <v>8125</v>
      </c>
      <c r="AP255" s="4">
        <v>8200</v>
      </c>
      <c r="AQ255" s="4">
        <v>8279</v>
      </c>
      <c r="AR255" s="4">
        <v>8769</v>
      </c>
      <c r="AS255" s="4">
        <v>8839</v>
      </c>
      <c r="AT255" s="4">
        <v>8856</v>
      </c>
      <c r="AU255" s="4">
        <v>8490</v>
      </c>
      <c r="AV255" s="4">
        <v>8753</v>
      </c>
      <c r="AW255" s="4">
        <v>8691</v>
      </c>
      <c r="AX255" s="4">
        <v>8819</v>
      </c>
      <c r="AY255" s="4">
        <v>8776</v>
      </c>
      <c r="AZ255" s="4">
        <v>8684</v>
      </c>
      <c r="BA255" s="4">
        <v>8563</v>
      </c>
      <c r="BB255" s="4">
        <v>8388</v>
      </c>
      <c r="BC255" s="4">
        <v>8766</v>
      </c>
      <c r="BD255" s="4">
        <v>8720</v>
      </c>
      <c r="BE255" s="4">
        <v>9000</v>
      </c>
      <c r="BF255" s="4">
        <v>8809</v>
      </c>
      <c r="BG255" s="4">
        <v>8917</v>
      </c>
      <c r="BH255" s="4">
        <v>9036</v>
      </c>
      <c r="BI255" s="4">
        <v>8937</v>
      </c>
      <c r="BJ255" s="4">
        <v>8648</v>
      </c>
      <c r="BK255" s="4">
        <v>8358</v>
      </c>
      <c r="BL255" s="4">
        <v>8044</v>
      </c>
      <c r="BM255" s="4">
        <v>8429</v>
      </c>
      <c r="BN255" s="4">
        <v>8477</v>
      </c>
      <c r="BO255" s="4">
        <v>8303</v>
      </c>
      <c r="BP255" s="4">
        <v>7796</v>
      </c>
      <c r="BQ255" s="4">
        <v>7827</v>
      </c>
      <c r="BR255" s="4">
        <v>7818</v>
      </c>
      <c r="BS255" s="4">
        <v>8038</v>
      </c>
      <c r="BT255" s="4">
        <v>8163</v>
      </c>
      <c r="BU255" s="4">
        <v>8080</v>
      </c>
      <c r="BV255" s="4">
        <v>7971</v>
      </c>
      <c r="BW255" s="4">
        <v>7916</v>
      </c>
      <c r="BX255" s="4">
        <v>7947</v>
      </c>
      <c r="BY255" s="4">
        <v>8090</v>
      </c>
      <c r="BZ255" s="4">
        <v>8118</v>
      </c>
    </row>
    <row r="256" spans="1:78">
      <c r="A256" s="62" t="s">
        <v>469</v>
      </c>
      <c r="B256" s="4" t="str">
        <f>銘柄管理!C256</f>
        <v>名村造船所</v>
      </c>
      <c r="C256" s="4">
        <f>_xll.RssMarket("7014","現在値")</f>
        <v>4320</v>
      </c>
      <c r="D256" s="4">
        <f t="shared" si="7"/>
        <v>165</v>
      </c>
      <c r="E256" s="4">
        <v>4155</v>
      </c>
      <c r="F256" s="4">
        <v>4125</v>
      </c>
      <c r="G256" s="4">
        <v>4340</v>
      </c>
      <c r="H256" s="4">
        <v>4250</v>
      </c>
      <c r="I256" s="4">
        <v>4135</v>
      </c>
      <c r="J256" s="4">
        <v>4375</v>
      </c>
      <c r="K256" s="4">
        <v>4460</v>
      </c>
      <c r="L256" s="4">
        <v>4285</v>
      </c>
      <c r="M256" s="4">
        <v>4240</v>
      </c>
      <c r="N256" s="4">
        <v>4160</v>
      </c>
      <c r="O256" s="4">
        <v>3895</v>
      </c>
      <c r="P256" s="4">
        <v>3785</v>
      </c>
      <c r="Q256" s="4">
        <v>4015</v>
      </c>
      <c r="R256" s="4">
        <v>3880</v>
      </c>
      <c r="S256" s="4">
        <v>3795</v>
      </c>
      <c r="T256" s="4">
        <v>3800</v>
      </c>
      <c r="U256" s="4">
        <v>3760</v>
      </c>
      <c r="V256" s="4">
        <v>3890</v>
      </c>
      <c r="W256" s="4">
        <v>4200</v>
      </c>
      <c r="X256" s="4">
        <v>4180</v>
      </c>
      <c r="Y256" s="4">
        <v>3640</v>
      </c>
      <c r="Z256" s="4">
        <v>3570</v>
      </c>
      <c r="AA256" s="4">
        <v>3515</v>
      </c>
      <c r="AB256" s="4">
        <v>3545</v>
      </c>
      <c r="AC256" s="4">
        <v>3590</v>
      </c>
      <c r="AD256" s="4">
        <v>3690</v>
      </c>
      <c r="AE256" s="4">
        <v>3640</v>
      </c>
      <c r="AF256" s="4">
        <v>3660</v>
      </c>
      <c r="AG256" s="4">
        <v>3675</v>
      </c>
      <c r="AH256" s="4">
        <v>3840</v>
      </c>
      <c r="AI256" s="4">
        <v>3840</v>
      </c>
      <c r="AJ256" s="4">
        <v>3840</v>
      </c>
      <c r="AK256" s="4">
        <v>3875</v>
      </c>
      <c r="AL256" s="4">
        <v>3770</v>
      </c>
      <c r="AM256" s="4">
        <v>3765</v>
      </c>
      <c r="AN256" s="4">
        <v>3545</v>
      </c>
      <c r="AO256" s="4">
        <v>3430</v>
      </c>
      <c r="AP256" s="4">
        <v>3415</v>
      </c>
      <c r="AQ256" s="4">
        <v>3590</v>
      </c>
      <c r="AR256" s="4">
        <v>3695</v>
      </c>
      <c r="AS256" s="4">
        <v>3445</v>
      </c>
      <c r="AT256" s="4">
        <v>3555</v>
      </c>
      <c r="AU256" s="4">
        <v>3470</v>
      </c>
      <c r="AV256" s="4">
        <v>3735</v>
      </c>
      <c r="AW256" s="4">
        <v>3800</v>
      </c>
      <c r="AX256" s="4">
        <v>4075</v>
      </c>
      <c r="AY256" s="4">
        <v>4080</v>
      </c>
      <c r="AZ256" s="4">
        <v>3815</v>
      </c>
      <c r="BA256" s="4">
        <v>3755</v>
      </c>
      <c r="BB256" s="4">
        <v>3675</v>
      </c>
      <c r="BC256" s="4">
        <v>3885</v>
      </c>
      <c r="BD256" s="4">
        <v>4150</v>
      </c>
      <c r="BE256" s="4">
        <v>4375</v>
      </c>
      <c r="BF256" s="4">
        <v>3675</v>
      </c>
      <c r="BG256" s="4">
        <v>4030</v>
      </c>
      <c r="BH256" s="4">
        <v>4020</v>
      </c>
      <c r="BI256" s="4">
        <v>4015</v>
      </c>
      <c r="BJ256" s="4">
        <v>3980</v>
      </c>
      <c r="BK256" s="4">
        <v>4055</v>
      </c>
      <c r="BL256" s="4">
        <v>4025</v>
      </c>
      <c r="BM256" s="4">
        <v>4050</v>
      </c>
      <c r="BN256" s="4">
        <v>4145</v>
      </c>
      <c r="BO256" s="4">
        <v>4130</v>
      </c>
      <c r="BP256" s="4">
        <v>4055</v>
      </c>
      <c r="BQ256" s="4">
        <v>4055</v>
      </c>
      <c r="BR256" s="4">
        <v>4390</v>
      </c>
      <c r="BS256" s="4">
        <v>4055</v>
      </c>
      <c r="BT256" s="4">
        <v>4075</v>
      </c>
      <c r="BU256" s="4">
        <v>4055</v>
      </c>
      <c r="BV256" s="4">
        <v>4115</v>
      </c>
      <c r="BW256" s="4">
        <v>4030</v>
      </c>
      <c r="BX256" s="4">
        <v>4175</v>
      </c>
      <c r="BY256" s="4">
        <v>4120</v>
      </c>
      <c r="BZ256" s="4">
        <v>4070</v>
      </c>
    </row>
    <row r="257" spans="1:78">
      <c r="A257" s="62" t="s">
        <v>470</v>
      </c>
      <c r="B257" s="4" t="str">
        <f>銘柄管理!C257</f>
        <v>イノテック</v>
      </c>
      <c r="C257" s="4">
        <f>_xll.RssMarket("9880","現在値")</f>
        <v>3740</v>
      </c>
      <c r="D257" s="4">
        <f t="shared" si="7"/>
        <v>140</v>
      </c>
      <c r="E257" s="4">
        <v>3600</v>
      </c>
      <c r="F257" s="4">
        <v>3445</v>
      </c>
      <c r="G257" s="4">
        <v>3380</v>
      </c>
      <c r="H257" s="4">
        <v>3105</v>
      </c>
      <c r="I257" s="4">
        <v>3005</v>
      </c>
      <c r="J257" s="4">
        <v>3095</v>
      </c>
      <c r="K257" s="4">
        <v>3310</v>
      </c>
      <c r="L257" s="4">
        <v>3315</v>
      </c>
      <c r="M257" s="4">
        <v>3390</v>
      </c>
      <c r="N257" s="4">
        <v>3390</v>
      </c>
      <c r="O257" s="4">
        <v>3330</v>
      </c>
      <c r="P257" s="4">
        <v>3230</v>
      </c>
      <c r="Q257" s="4">
        <v>3540</v>
      </c>
      <c r="R257" s="4">
        <v>3500</v>
      </c>
      <c r="S257" s="4">
        <v>3490</v>
      </c>
      <c r="T257" s="4">
        <v>3575</v>
      </c>
      <c r="U257" s="4">
        <v>3540</v>
      </c>
      <c r="V257" s="4">
        <v>3535</v>
      </c>
      <c r="W257" s="4">
        <v>3550</v>
      </c>
      <c r="X257" s="4">
        <v>3775</v>
      </c>
      <c r="Y257" s="4">
        <v>3820</v>
      </c>
      <c r="Z257" s="4">
        <v>3775</v>
      </c>
      <c r="AA257" s="4">
        <v>3910</v>
      </c>
      <c r="AB257" s="4">
        <v>3980</v>
      </c>
      <c r="AC257" s="4">
        <v>3930</v>
      </c>
      <c r="AD257" s="4">
        <v>4130</v>
      </c>
      <c r="AE257" s="4">
        <v>4285</v>
      </c>
      <c r="AF257" s="4">
        <v>4180</v>
      </c>
      <c r="AG257" s="4">
        <v>4310</v>
      </c>
      <c r="AH257" s="4">
        <v>4555</v>
      </c>
      <c r="AI257" s="4">
        <v>4260</v>
      </c>
      <c r="AJ257" s="4">
        <v>4190</v>
      </c>
      <c r="AK257" s="4">
        <v>4115</v>
      </c>
      <c r="AL257" s="4">
        <v>3955</v>
      </c>
      <c r="AM257" s="4">
        <v>4105</v>
      </c>
      <c r="AN257" s="4">
        <v>4005</v>
      </c>
      <c r="AO257" s="4">
        <v>4035</v>
      </c>
      <c r="AP257" s="4">
        <v>4100</v>
      </c>
      <c r="AQ257" s="4">
        <v>4195</v>
      </c>
      <c r="AR257" s="4">
        <v>4480</v>
      </c>
      <c r="AS257" s="4">
        <v>4530</v>
      </c>
      <c r="AT257" s="4">
        <v>4370</v>
      </c>
      <c r="AU257" s="4">
        <v>4270</v>
      </c>
      <c r="AV257" s="4">
        <v>4185</v>
      </c>
      <c r="AW257" s="4">
        <v>4320</v>
      </c>
      <c r="AX257" s="4">
        <v>4310</v>
      </c>
      <c r="AY257" s="4">
        <v>4585</v>
      </c>
      <c r="AZ257" s="4">
        <v>4345</v>
      </c>
      <c r="BA257" s="4">
        <v>4305</v>
      </c>
      <c r="BB257" s="4">
        <v>4100</v>
      </c>
      <c r="BC257" s="4">
        <v>4280</v>
      </c>
      <c r="BD257" s="4">
        <v>4540</v>
      </c>
      <c r="BE257" s="4">
        <v>3840</v>
      </c>
      <c r="BF257" s="4">
        <v>3345</v>
      </c>
      <c r="BG257" s="4">
        <v>3290</v>
      </c>
      <c r="BH257" s="4">
        <v>3370</v>
      </c>
      <c r="BI257" s="4">
        <v>3385</v>
      </c>
      <c r="BJ257" s="4">
        <v>3220</v>
      </c>
      <c r="BK257" s="4">
        <v>3225</v>
      </c>
      <c r="BL257" s="4">
        <v>2823</v>
      </c>
      <c r="BM257" s="4">
        <v>2859</v>
      </c>
      <c r="BN257" s="4">
        <v>2814</v>
      </c>
      <c r="BO257" s="4">
        <v>2764</v>
      </c>
      <c r="BP257" s="4">
        <v>2749</v>
      </c>
      <c r="BQ257" s="4">
        <v>2633</v>
      </c>
      <c r="BR257" s="4">
        <v>2672</v>
      </c>
      <c r="BS257" s="4">
        <v>2737</v>
      </c>
      <c r="BT257" s="4">
        <v>2755</v>
      </c>
      <c r="BU257" s="4">
        <v>2807</v>
      </c>
      <c r="BV257" s="4">
        <v>2895</v>
      </c>
      <c r="BW257" s="4">
        <v>2852</v>
      </c>
      <c r="BX257" s="4">
        <v>2678</v>
      </c>
      <c r="BY257" s="4">
        <v>2610</v>
      </c>
      <c r="BZ257" s="4">
        <v>2594</v>
      </c>
    </row>
    <row r="258" spans="1:78">
      <c r="A258" s="62" t="s">
        <v>471</v>
      </c>
      <c r="B258" s="4" t="str">
        <f>銘柄管理!C258</f>
        <v>カバー</v>
      </c>
      <c r="C258" s="4">
        <f>_xll.RssMarket("5253","現在値")</f>
        <v>1527</v>
      </c>
      <c r="D258" s="4">
        <f t="shared" si="7"/>
        <v>68</v>
      </c>
      <c r="E258" s="4">
        <v>1459</v>
      </c>
      <c r="F258" s="4">
        <v>1457</v>
      </c>
      <c r="G258" s="4">
        <v>1460</v>
      </c>
      <c r="H258" s="4">
        <v>1546</v>
      </c>
      <c r="I258" s="4">
        <v>1547</v>
      </c>
      <c r="J258" s="4">
        <v>1608</v>
      </c>
      <c r="K258" s="4">
        <v>1650</v>
      </c>
      <c r="M258" s="4">
        <v>1545</v>
      </c>
      <c r="N258" s="4">
        <v>1692</v>
      </c>
      <c r="O258" s="4">
        <v>1633</v>
      </c>
      <c r="P258" s="4">
        <v>1640</v>
      </c>
      <c r="Q258" s="4">
        <v>1697</v>
      </c>
      <c r="R258" s="4">
        <v>1694</v>
      </c>
      <c r="S258" s="4">
        <v>1641</v>
      </c>
      <c r="T258" s="4">
        <v>1612</v>
      </c>
      <c r="U258" s="4">
        <v>1632</v>
      </c>
      <c r="V258" s="4">
        <v>1618</v>
      </c>
      <c r="W258" s="4">
        <v>1625</v>
      </c>
      <c r="X258" s="4">
        <v>1616</v>
      </c>
      <c r="Y258" s="4">
        <v>1548</v>
      </c>
      <c r="Z258" s="4">
        <v>1458</v>
      </c>
      <c r="AA258" s="4">
        <v>1344</v>
      </c>
      <c r="AB258" s="4">
        <v>1371</v>
      </c>
      <c r="AC258" s="4">
        <v>1357</v>
      </c>
      <c r="AD258" s="4">
        <v>1218</v>
      </c>
      <c r="AE258" s="4">
        <v>1165</v>
      </c>
      <c r="AF258" s="4">
        <v>1176</v>
      </c>
      <c r="AG258" s="4">
        <v>1200</v>
      </c>
      <c r="AH258" s="4">
        <v>1282</v>
      </c>
      <c r="AI258" s="4">
        <v>1301</v>
      </c>
      <c r="AJ258" s="4">
        <v>1440</v>
      </c>
      <c r="AK258" s="4">
        <v>1449</v>
      </c>
      <c r="AL258" s="4">
        <v>1415</v>
      </c>
      <c r="AM258" s="4">
        <v>1418</v>
      </c>
      <c r="AN258" s="4">
        <v>1429</v>
      </c>
      <c r="AO258" s="4">
        <v>1522</v>
      </c>
      <c r="AP258" s="4">
        <v>1520</v>
      </c>
      <c r="AQ258" s="4">
        <v>1636</v>
      </c>
      <c r="AR258" s="4">
        <v>1630</v>
      </c>
      <c r="AS258" s="4">
        <v>1600</v>
      </c>
      <c r="AT258" s="4">
        <v>1637</v>
      </c>
      <c r="AU258" s="4">
        <v>1633</v>
      </c>
      <c r="AV258" s="4">
        <v>1600</v>
      </c>
      <c r="AW258" s="4">
        <v>1587</v>
      </c>
      <c r="AX258" s="4">
        <v>1564</v>
      </c>
      <c r="AY258" s="4">
        <v>1693</v>
      </c>
      <c r="AZ258" s="4">
        <v>1760</v>
      </c>
      <c r="BA258" s="4">
        <v>1743</v>
      </c>
      <c r="BB258" s="4">
        <v>1700</v>
      </c>
      <c r="BC258" s="4">
        <v>1671</v>
      </c>
      <c r="BD258" s="4">
        <v>1572</v>
      </c>
      <c r="BE258" s="4">
        <v>1466</v>
      </c>
      <c r="BF258" s="4">
        <v>1433</v>
      </c>
      <c r="BG258" s="4">
        <v>1430</v>
      </c>
      <c r="BH258" s="4">
        <v>1382</v>
      </c>
      <c r="BI258" s="4">
        <v>1411</v>
      </c>
      <c r="BJ258" s="4">
        <v>1418</v>
      </c>
      <c r="BK258" s="4">
        <v>1415</v>
      </c>
      <c r="BL258" s="4">
        <v>1435</v>
      </c>
      <c r="BM258" s="4">
        <v>1372</v>
      </c>
      <c r="BN258" s="4">
        <v>1376</v>
      </c>
      <c r="BO258" s="4">
        <v>1350</v>
      </c>
      <c r="BP258" s="4">
        <v>1385</v>
      </c>
      <c r="BQ258" s="4">
        <v>1419</v>
      </c>
      <c r="BR258" s="4">
        <v>1425</v>
      </c>
      <c r="BS258" s="4">
        <v>1449</v>
      </c>
      <c r="BT258" s="4">
        <v>1450</v>
      </c>
      <c r="BU258" s="4">
        <v>1465</v>
      </c>
      <c r="BV258" s="4">
        <v>1441</v>
      </c>
      <c r="BW258" s="4">
        <v>1470</v>
      </c>
      <c r="BX258" s="4">
        <v>1441</v>
      </c>
      <c r="BY258" s="4">
        <v>1408</v>
      </c>
      <c r="BZ258" s="4">
        <v>1425</v>
      </c>
    </row>
    <row r="259" spans="1:78">
      <c r="A259" s="62" t="s">
        <v>472</v>
      </c>
      <c r="B259" s="4" t="str">
        <f>銘柄管理!C259</f>
        <v>商船三井</v>
      </c>
      <c r="C259" s="4">
        <f>_xll.RssMarket("9104","現在値")</f>
        <v>5935</v>
      </c>
      <c r="D259" s="4">
        <f t="shared" si="7"/>
        <v>-123</v>
      </c>
      <c r="E259" s="4">
        <v>6058</v>
      </c>
      <c r="F259" s="4">
        <v>5801</v>
      </c>
      <c r="G259" s="4">
        <v>5894</v>
      </c>
      <c r="H259" s="4">
        <v>5933</v>
      </c>
      <c r="I259" s="4">
        <v>5953</v>
      </c>
      <c r="J259" s="4">
        <v>5863</v>
      </c>
      <c r="K259" s="4">
        <v>5912</v>
      </c>
      <c r="L259" s="4">
        <v>5843</v>
      </c>
      <c r="M259" s="4">
        <v>5795</v>
      </c>
      <c r="N259" s="4">
        <v>5783</v>
      </c>
      <c r="O259" s="4">
        <v>5670</v>
      </c>
      <c r="P259" s="4">
        <v>5609</v>
      </c>
      <c r="Q259" s="4">
        <v>5605</v>
      </c>
      <c r="R259" s="4">
        <v>5500</v>
      </c>
      <c r="S259" s="4">
        <v>5340</v>
      </c>
      <c r="T259" s="4">
        <v>5324</v>
      </c>
      <c r="U259" s="4">
        <v>5478</v>
      </c>
      <c r="V259" s="4">
        <v>5421</v>
      </c>
      <c r="W259" s="4">
        <v>5322</v>
      </c>
      <c r="X259" s="4">
        <v>5379</v>
      </c>
      <c r="Y259" s="4">
        <v>5193</v>
      </c>
      <c r="Z259" s="4">
        <v>5121</v>
      </c>
      <c r="AA259" s="4">
        <v>5031</v>
      </c>
      <c r="AB259" s="4">
        <v>5213</v>
      </c>
      <c r="AC259" s="4">
        <v>5234</v>
      </c>
      <c r="AD259" s="4">
        <v>5219</v>
      </c>
      <c r="AE259" s="4">
        <v>5255</v>
      </c>
      <c r="AF259" s="4">
        <v>5370</v>
      </c>
      <c r="AG259" s="4">
        <v>5328</v>
      </c>
      <c r="AH259" s="4">
        <v>5293</v>
      </c>
      <c r="AI259" s="4">
        <v>5264</v>
      </c>
      <c r="AJ259" s="4">
        <v>5362</v>
      </c>
      <c r="AK259" s="4">
        <v>5438</v>
      </c>
      <c r="AL259" s="4">
        <v>5559</v>
      </c>
      <c r="AM259" s="4">
        <v>5686</v>
      </c>
      <c r="AN259" s="4">
        <v>5765</v>
      </c>
      <c r="AO259" s="4">
        <v>5712</v>
      </c>
      <c r="AP259" s="4">
        <v>5689</v>
      </c>
      <c r="AQ259" s="4">
        <v>5767</v>
      </c>
      <c r="AR259" s="4">
        <v>5801</v>
      </c>
      <c r="AS259" s="4">
        <v>5534</v>
      </c>
      <c r="AT259" s="4">
        <v>5459</v>
      </c>
      <c r="AU259" s="4">
        <v>5500</v>
      </c>
      <c r="AV259" s="4">
        <v>5476</v>
      </c>
      <c r="AW259" s="4">
        <v>5433</v>
      </c>
      <c r="AX259" s="4">
        <v>5454</v>
      </c>
      <c r="AY259" s="4">
        <v>5560</v>
      </c>
      <c r="AZ259" s="4">
        <v>5650</v>
      </c>
      <c r="BA259" s="4">
        <v>5709</v>
      </c>
      <c r="BB259" s="4">
        <v>5795</v>
      </c>
      <c r="BC259" s="4">
        <v>5824</v>
      </c>
      <c r="BD259" s="4">
        <v>5851</v>
      </c>
      <c r="BE259" s="4">
        <v>5863</v>
      </c>
      <c r="BF259" s="4">
        <v>5901</v>
      </c>
      <c r="BG259" s="4">
        <v>5873</v>
      </c>
      <c r="BH259" s="4">
        <v>5846</v>
      </c>
      <c r="BI259" s="4">
        <v>5802</v>
      </c>
      <c r="BJ259" s="4">
        <v>5774</v>
      </c>
      <c r="BK259" s="4">
        <v>5870</v>
      </c>
      <c r="BL259" s="4">
        <v>5917</v>
      </c>
      <c r="BM259" s="4">
        <v>5935</v>
      </c>
      <c r="BN259" s="4">
        <v>5965</v>
      </c>
      <c r="BO259" s="4">
        <v>5773</v>
      </c>
      <c r="BP259" s="4">
        <v>6122</v>
      </c>
      <c r="BQ259" s="4">
        <v>5999</v>
      </c>
      <c r="BR259" s="4">
        <v>6089</v>
      </c>
      <c r="BS259" s="4">
        <v>6088</v>
      </c>
      <c r="BT259" s="4">
        <v>6106</v>
      </c>
      <c r="BU259" s="4">
        <v>6307</v>
      </c>
      <c r="BV259" s="4">
        <v>6380</v>
      </c>
      <c r="BW259" s="4">
        <v>6362</v>
      </c>
      <c r="BX259" s="4">
        <v>6408</v>
      </c>
      <c r="BY259" s="4">
        <v>6387</v>
      </c>
      <c r="BZ259" s="4">
        <v>6473</v>
      </c>
    </row>
    <row r="260" spans="1:78">
      <c r="A260" s="62" t="s">
        <v>473</v>
      </c>
      <c r="B260" s="4" t="str">
        <f>銘柄管理!C260</f>
        <v>千代田化工建</v>
      </c>
      <c r="C260" s="4">
        <f>_xll.RssMarket("6366","現在値")</f>
        <v>705</v>
      </c>
      <c r="D260" s="4">
        <f t="shared" si="7"/>
        <v>34</v>
      </c>
      <c r="E260" s="4">
        <v>671</v>
      </c>
      <c r="F260" s="4">
        <v>649</v>
      </c>
      <c r="G260" s="4">
        <v>659</v>
      </c>
      <c r="H260" s="4">
        <v>632</v>
      </c>
      <c r="I260" s="4">
        <v>630</v>
      </c>
      <c r="J260" s="4">
        <v>703</v>
      </c>
      <c r="K260" s="4">
        <v>726</v>
      </c>
      <c r="L260" s="4">
        <v>707</v>
      </c>
      <c r="M260" s="4">
        <v>705</v>
      </c>
      <c r="N260" s="4">
        <v>690</v>
      </c>
      <c r="O260" s="4">
        <v>690</v>
      </c>
      <c r="P260" s="4">
        <v>636</v>
      </c>
      <c r="Q260" s="4">
        <v>702</v>
      </c>
      <c r="R260" s="4">
        <v>672</v>
      </c>
      <c r="S260" s="4">
        <v>654</v>
      </c>
      <c r="T260" s="4">
        <v>685</v>
      </c>
      <c r="U260" s="4">
        <v>692</v>
      </c>
      <c r="V260" s="4">
        <v>704</v>
      </c>
      <c r="W260" s="4">
        <v>735</v>
      </c>
      <c r="X260" s="4">
        <v>744</v>
      </c>
      <c r="Y260" s="4">
        <v>694</v>
      </c>
      <c r="Z260" s="4">
        <v>691</v>
      </c>
      <c r="AA260" s="4">
        <v>649</v>
      </c>
      <c r="AB260" s="4">
        <v>670</v>
      </c>
      <c r="AC260" s="4">
        <v>686</v>
      </c>
      <c r="AD260" s="4">
        <v>675</v>
      </c>
      <c r="AE260" s="4">
        <v>687</v>
      </c>
      <c r="AF260" s="4">
        <v>728</v>
      </c>
      <c r="AG260" s="4">
        <v>704</v>
      </c>
      <c r="AH260" s="4">
        <v>727</v>
      </c>
      <c r="AI260" s="4">
        <v>760</v>
      </c>
      <c r="AJ260" s="4">
        <v>776</v>
      </c>
      <c r="AK260" s="4">
        <v>798</v>
      </c>
      <c r="AL260" s="4">
        <v>762</v>
      </c>
      <c r="AM260" s="4">
        <v>763</v>
      </c>
      <c r="AN260" s="4">
        <v>708</v>
      </c>
      <c r="AO260" s="4">
        <v>668</v>
      </c>
      <c r="AP260" s="4">
        <v>670</v>
      </c>
      <c r="AQ260" s="4">
        <v>694</v>
      </c>
      <c r="AR260" s="4">
        <v>732</v>
      </c>
      <c r="AS260" s="4">
        <v>717</v>
      </c>
      <c r="AT260" s="4">
        <v>706</v>
      </c>
      <c r="AU260" s="4">
        <v>722</v>
      </c>
      <c r="AV260" s="4">
        <v>753</v>
      </c>
      <c r="AW260" s="4">
        <v>745</v>
      </c>
      <c r="AX260" s="4">
        <v>772</v>
      </c>
      <c r="AY260" s="4">
        <v>811</v>
      </c>
      <c r="AZ260" s="4">
        <v>747</v>
      </c>
      <c r="BA260" s="4">
        <v>712</v>
      </c>
      <c r="BB260" s="4">
        <v>712</v>
      </c>
      <c r="BC260" s="4">
        <v>771</v>
      </c>
      <c r="BD260" s="4">
        <v>751</v>
      </c>
      <c r="BE260" s="4">
        <v>813</v>
      </c>
      <c r="BF260" s="4">
        <v>821</v>
      </c>
      <c r="BG260" s="4">
        <v>822</v>
      </c>
      <c r="BH260" s="4">
        <v>794</v>
      </c>
      <c r="BI260" s="4">
        <v>843</v>
      </c>
      <c r="BJ260" s="4">
        <v>993</v>
      </c>
      <c r="BK260" s="4">
        <v>1045</v>
      </c>
      <c r="BL260" s="4">
        <v>1023</v>
      </c>
      <c r="BM260" s="4">
        <v>1011</v>
      </c>
      <c r="BN260" s="4">
        <v>1074</v>
      </c>
      <c r="BO260" s="4">
        <v>1027</v>
      </c>
      <c r="BP260" s="4">
        <v>1027</v>
      </c>
      <c r="BQ260" s="4">
        <v>1064</v>
      </c>
      <c r="BR260" s="4">
        <v>1064</v>
      </c>
      <c r="BS260" s="4">
        <v>1091</v>
      </c>
      <c r="BT260" s="4">
        <v>1111</v>
      </c>
      <c r="BU260" s="4">
        <v>1155</v>
      </c>
      <c r="BV260" s="4">
        <v>1173</v>
      </c>
      <c r="BW260" s="4">
        <v>1118</v>
      </c>
      <c r="BX260" s="4">
        <v>1135</v>
      </c>
      <c r="BY260" s="4">
        <v>1132</v>
      </c>
      <c r="BZ260" s="4">
        <v>1165</v>
      </c>
    </row>
    <row r="261" spans="1:78">
      <c r="A261" s="62" t="s">
        <v>474</v>
      </c>
      <c r="B261" s="4" t="str">
        <f>銘柄管理!C261</f>
        <v>旭ダイヤモンド</v>
      </c>
      <c r="C261" s="4">
        <f>_xll.RssMarket("6140","現在値")</f>
        <v>1213</v>
      </c>
      <c r="D261" s="4">
        <f t="shared" si="7"/>
        <v>77</v>
      </c>
      <c r="E261" s="4">
        <v>1136</v>
      </c>
      <c r="F261" s="4">
        <v>1104</v>
      </c>
      <c r="G261" s="4">
        <v>1103</v>
      </c>
      <c r="H261" s="4">
        <v>1058</v>
      </c>
      <c r="I261" s="4">
        <v>1048</v>
      </c>
      <c r="J261" s="4">
        <v>1073</v>
      </c>
      <c r="K261" s="4">
        <v>1142</v>
      </c>
      <c r="M261" s="4">
        <v>1146</v>
      </c>
      <c r="N261" s="4">
        <v>1149</v>
      </c>
      <c r="O261" s="4">
        <v>1136</v>
      </c>
      <c r="P261" s="4">
        <v>1153</v>
      </c>
      <c r="Q261" s="4">
        <v>1218</v>
      </c>
      <c r="R261" s="4">
        <v>1178</v>
      </c>
      <c r="S261" s="4">
        <v>1157</v>
      </c>
      <c r="T261" s="4">
        <v>1186</v>
      </c>
      <c r="U261" s="4">
        <v>1173</v>
      </c>
      <c r="V261" s="4">
        <v>1183</v>
      </c>
      <c r="W261" s="4">
        <v>1194</v>
      </c>
      <c r="X261" s="4">
        <v>1245</v>
      </c>
      <c r="Y261" s="4">
        <v>1249</v>
      </c>
      <c r="Z261" s="4">
        <v>1222</v>
      </c>
      <c r="AA261" s="4">
        <v>1234</v>
      </c>
      <c r="AB261" s="4">
        <v>1213</v>
      </c>
      <c r="AC261" s="4">
        <v>1227</v>
      </c>
      <c r="AD261" s="4">
        <v>1217</v>
      </c>
      <c r="AE261" s="4">
        <v>1230</v>
      </c>
      <c r="AF261" s="4">
        <v>1201</v>
      </c>
      <c r="AG261" s="4">
        <v>1228</v>
      </c>
      <c r="AH261" s="4">
        <v>1332</v>
      </c>
      <c r="AI261" s="4">
        <v>1305</v>
      </c>
      <c r="AJ261" s="4">
        <v>1298</v>
      </c>
      <c r="AK261" s="4">
        <v>1323</v>
      </c>
      <c r="AL261" s="4">
        <v>1283</v>
      </c>
      <c r="AM261" s="4">
        <v>1315</v>
      </c>
      <c r="AN261" s="4">
        <v>1235</v>
      </c>
      <c r="AO261" s="4">
        <v>1214</v>
      </c>
      <c r="AP261" s="4">
        <v>1226</v>
      </c>
      <c r="AQ261" s="4">
        <v>1289</v>
      </c>
      <c r="AR261" s="4">
        <v>1339</v>
      </c>
      <c r="AS261" s="4">
        <v>1315</v>
      </c>
      <c r="AT261" s="4">
        <v>1318</v>
      </c>
      <c r="AU261" s="4">
        <v>1323</v>
      </c>
      <c r="AV261" s="4">
        <v>1343</v>
      </c>
      <c r="AW261" s="4">
        <v>1362</v>
      </c>
      <c r="AX261" s="4">
        <v>1350</v>
      </c>
      <c r="AY261" s="4">
        <v>1396</v>
      </c>
      <c r="AZ261" s="4">
        <v>1362</v>
      </c>
      <c r="BA261" s="4">
        <v>1275</v>
      </c>
      <c r="BB261" s="4">
        <v>1289</v>
      </c>
      <c r="BC261" s="4">
        <v>1296</v>
      </c>
      <c r="BD261" s="4">
        <v>1290</v>
      </c>
      <c r="BE261" s="4">
        <v>1336</v>
      </c>
      <c r="BF261" s="4">
        <v>1356</v>
      </c>
      <c r="BG261" s="4">
        <v>1384</v>
      </c>
      <c r="BH261" s="4">
        <v>1341</v>
      </c>
      <c r="BI261" s="4">
        <v>1319</v>
      </c>
      <c r="BJ261" s="4">
        <v>1330</v>
      </c>
      <c r="BK261" s="4">
        <v>1318</v>
      </c>
      <c r="BL261" s="4">
        <v>1292</v>
      </c>
      <c r="BM261" s="4">
        <v>1291</v>
      </c>
      <c r="BN261" s="4">
        <v>1314</v>
      </c>
      <c r="BO261" s="4">
        <v>1286</v>
      </c>
      <c r="BP261" s="4">
        <v>1310</v>
      </c>
      <c r="BQ261" s="4">
        <v>1272</v>
      </c>
      <c r="BR261" s="4">
        <v>1297</v>
      </c>
      <c r="BS261" s="4">
        <v>1311</v>
      </c>
      <c r="BT261" s="4">
        <v>1312</v>
      </c>
      <c r="BU261" s="4">
        <v>1332</v>
      </c>
      <c r="BV261" s="4">
        <v>1191</v>
      </c>
      <c r="BW261" s="4">
        <v>1164</v>
      </c>
      <c r="BX261" s="4">
        <v>1176</v>
      </c>
      <c r="BY261" s="4">
        <v>1164</v>
      </c>
      <c r="BZ261" s="4">
        <v>1173</v>
      </c>
    </row>
    <row r="262" spans="1:78">
      <c r="A262" s="62" t="s">
        <v>475</v>
      </c>
      <c r="B262" s="4" t="str">
        <f>銘柄管理!C262</f>
        <v>住石ホールディングス</v>
      </c>
      <c r="C262" s="4">
        <f>_xll.RssMarket("1514","現在値")</f>
        <v>596</v>
      </c>
      <c r="D262" s="4">
        <f t="shared" si="7"/>
        <v>-4</v>
      </c>
      <c r="E262" s="4">
        <v>600</v>
      </c>
      <c r="F262" s="4">
        <v>584</v>
      </c>
      <c r="G262" s="4">
        <v>577</v>
      </c>
      <c r="H262" s="4">
        <v>566</v>
      </c>
      <c r="I262" s="4">
        <v>570</v>
      </c>
      <c r="J262" s="4">
        <v>581</v>
      </c>
      <c r="K262" s="4">
        <v>600</v>
      </c>
      <c r="L262" s="4">
        <v>593</v>
      </c>
      <c r="M262" s="4">
        <v>600</v>
      </c>
      <c r="N262" s="4">
        <v>595</v>
      </c>
      <c r="O262" s="4">
        <v>582</v>
      </c>
      <c r="P262" s="4">
        <v>560</v>
      </c>
      <c r="Q262" s="4">
        <v>593</v>
      </c>
      <c r="R262" s="4">
        <v>584</v>
      </c>
      <c r="S262" s="4">
        <v>571</v>
      </c>
      <c r="T262" s="4">
        <v>577</v>
      </c>
      <c r="U262" s="4">
        <v>560</v>
      </c>
      <c r="V262" s="4">
        <v>555</v>
      </c>
      <c r="W262" s="4">
        <v>555</v>
      </c>
      <c r="X262" s="4">
        <v>580</v>
      </c>
      <c r="Y262" s="4">
        <v>546</v>
      </c>
      <c r="Z262" s="4">
        <v>544</v>
      </c>
      <c r="AA262" s="4">
        <v>525</v>
      </c>
      <c r="AB262" s="4">
        <v>526</v>
      </c>
      <c r="AC262" s="4">
        <v>520</v>
      </c>
      <c r="AD262" s="4">
        <v>520</v>
      </c>
      <c r="AE262" s="4">
        <v>526</v>
      </c>
      <c r="AF262" s="4">
        <v>525</v>
      </c>
      <c r="AG262" s="4">
        <v>532</v>
      </c>
      <c r="AH262" s="4">
        <v>550</v>
      </c>
      <c r="AI262" s="4">
        <v>524</v>
      </c>
      <c r="AJ262" s="4">
        <v>537</v>
      </c>
      <c r="AK262" s="4">
        <v>550</v>
      </c>
      <c r="AL262" s="4">
        <v>545</v>
      </c>
      <c r="AM262" s="4">
        <v>551</v>
      </c>
      <c r="AN262" s="4">
        <v>553</v>
      </c>
      <c r="AO262" s="4">
        <v>548</v>
      </c>
      <c r="AP262" s="4">
        <v>555</v>
      </c>
      <c r="AQ262" s="4">
        <v>577</v>
      </c>
      <c r="AR262" s="4">
        <v>579</v>
      </c>
      <c r="AS262" s="4">
        <v>550</v>
      </c>
      <c r="AT262" s="4">
        <v>561</v>
      </c>
      <c r="AU262" s="4">
        <v>569</v>
      </c>
      <c r="AV262" s="4">
        <v>587</v>
      </c>
      <c r="AW262" s="4">
        <v>591</v>
      </c>
      <c r="AX262" s="4">
        <v>606</v>
      </c>
      <c r="AY262" s="4">
        <v>596</v>
      </c>
      <c r="AZ262" s="4">
        <v>603</v>
      </c>
      <c r="BA262" s="4">
        <v>597</v>
      </c>
      <c r="BB262" s="4">
        <v>589</v>
      </c>
      <c r="BC262" s="4">
        <v>617</v>
      </c>
      <c r="BD262" s="4">
        <v>621</v>
      </c>
      <c r="BE262" s="4">
        <v>704</v>
      </c>
      <c r="BF262" s="4">
        <v>708</v>
      </c>
      <c r="BG262" s="4">
        <v>723</v>
      </c>
      <c r="BH262" s="4">
        <v>730</v>
      </c>
      <c r="BI262" s="4">
        <v>741</v>
      </c>
      <c r="BJ262" s="4">
        <v>741</v>
      </c>
      <c r="BK262" s="4">
        <v>753</v>
      </c>
      <c r="BL262" s="4">
        <v>760</v>
      </c>
      <c r="BM262" s="4">
        <v>769</v>
      </c>
      <c r="BN262" s="4">
        <v>783</v>
      </c>
      <c r="BO262" s="4">
        <v>783</v>
      </c>
      <c r="BP262" s="4">
        <v>791</v>
      </c>
      <c r="BQ262" s="4">
        <v>808</v>
      </c>
      <c r="BR262" s="4">
        <v>827</v>
      </c>
      <c r="BS262" s="4">
        <v>854</v>
      </c>
      <c r="BT262" s="4">
        <v>861</v>
      </c>
      <c r="BU262" s="4">
        <v>841</v>
      </c>
      <c r="BV262" s="4">
        <v>873</v>
      </c>
      <c r="BW262" s="4">
        <v>850</v>
      </c>
      <c r="BX262" s="4">
        <v>856</v>
      </c>
      <c r="BY262" s="4">
        <v>879</v>
      </c>
      <c r="BZ262" s="4">
        <v>828</v>
      </c>
    </row>
    <row r="263" spans="1:78">
      <c r="A263" s="62" t="s">
        <v>476</v>
      </c>
      <c r="B263" s="4" t="str">
        <f>銘柄管理!C263</f>
        <v>日本製鋼所</v>
      </c>
      <c r="C263" s="4">
        <f>_xll.RssMarket("5631","現在値")</f>
        <v>7688</v>
      </c>
      <c r="D263" s="4">
        <f t="shared" si="7"/>
        <v>92</v>
      </c>
      <c r="E263" s="4">
        <v>7596</v>
      </c>
      <c r="F263" s="4">
        <v>7491</v>
      </c>
      <c r="G263" s="4">
        <v>7490</v>
      </c>
      <c r="H263" s="4">
        <v>7378</v>
      </c>
      <c r="I263" s="4">
        <v>7223</v>
      </c>
      <c r="J263" s="4">
        <v>7429</v>
      </c>
      <c r="K263" s="4">
        <v>7678</v>
      </c>
      <c r="L263" s="4">
        <v>7756</v>
      </c>
      <c r="M263" s="4">
        <v>7750</v>
      </c>
      <c r="N263" s="4">
        <v>7507</v>
      </c>
      <c r="O263" s="4">
        <v>7464</v>
      </c>
      <c r="P263" s="4">
        <v>7335</v>
      </c>
      <c r="Q263" s="4">
        <v>7821</v>
      </c>
      <c r="R263" s="4">
        <v>7700</v>
      </c>
      <c r="S263" s="4">
        <v>7827</v>
      </c>
      <c r="T263" s="4">
        <v>7815</v>
      </c>
      <c r="U263" s="4">
        <v>7940</v>
      </c>
      <c r="V263" s="4">
        <v>8253</v>
      </c>
      <c r="W263" s="4">
        <v>8272</v>
      </c>
      <c r="X263" s="4">
        <v>8550</v>
      </c>
      <c r="Y263" s="4">
        <v>7955</v>
      </c>
      <c r="Z263" s="4">
        <v>7930</v>
      </c>
      <c r="AA263" s="4">
        <v>7833</v>
      </c>
      <c r="AB263" s="4">
        <v>7677</v>
      </c>
      <c r="AC263" s="4">
        <v>7591</v>
      </c>
      <c r="AD263" s="4">
        <v>7724</v>
      </c>
      <c r="AE263" s="4">
        <v>7945</v>
      </c>
      <c r="AF263" s="4">
        <v>8029</v>
      </c>
      <c r="AG263" s="4">
        <v>7755</v>
      </c>
      <c r="AH263" s="4">
        <v>8163</v>
      </c>
      <c r="AI263" s="4">
        <v>7903</v>
      </c>
      <c r="AJ263" s="4">
        <v>8247</v>
      </c>
      <c r="AK263" s="4">
        <v>8295</v>
      </c>
      <c r="AL263" s="4">
        <v>7747</v>
      </c>
      <c r="AM263" s="4">
        <v>7640</v>
      </c>
      <c r="AN263" s="4">
        <v>7549</v>
      </c>
      <c r="AO263" s="4">
        <v>7114</v>
      </c>
      <c r="AP263" s="4">
        <v>7091</v>
      </c>
      <c r="AQ263" s="4">
        <v>7470</v>
      </c>
      <c r="AR263" s="4">
        <v>7930</v>
      </c>
      <c r="AS263" s="4">
        <v>7276</v>
      </c>
      <c r="AT263" s="4">
        <v>7328</v>
      </c>
      <c r="AU263" s="4">
        <v>7266</v>
      </c>
      <c r="AV263" s="4">
        <v>7669</v>
      </c>
      <c r="AW263" s="4">
        <v>7847</v>
      </c>
      <c r="AX263" s="4">
        <v>8007</v>
      </c>
      <c r="AY263" s="4">
        <v>7889</v>
      </c>
      <c r="AZ263" s="4">
        <v>7924</v>
      </c>
      <c r="BA263" s="4">
        <v>7742</v>
      </c>
      <c r="BB263" s="4">
        <v>8094</v>
      </c>
      <c r="BC263" s="4">
        <v>7998</v>
      </c>
      <c r="BD263" s="4">
        <v>7806</v>
      </c>
      <c r="BE263" s="4">
        <v>7863</v>
      </c>
      <c r="BF263" s="4">
        <v>8076</v>
      </c>
      <c r="BG263" s="4">
        <v>8806</v>
      </c>
      <c r="BH263" s="4">
        <v>8819</v>
      </c>
      <c r="BI263" s="4">
        <v>9069</v>
      </c>
      <c r="BJ263" s="4">
        <v>9209</v>
      </c>
      <c r="BK263" s="4">
        <v>9317</v>
      </c>
      <c r="BL263" s="4">
        <v>9283</v>
      </c>
      <c r="BM263" s="4">
        <v>9489</v>
      </c>
      <c r="BN263" s="4">
        <v>9760</v>
      </c>
      <c r="BO263" s="4">
        <v>9748</v>
      </c>
      <c r="BP263" s="4">
        <v>9872</v>
      </c>
      <c r="BQ263" s="4">
        <v>9755</v>
      </c>
      <c r="BR263" s="4">
        <v>9490</v>
      </c>
      <c r="BS263" s="4">
        <v>9425</v>
      </c>
      <c r="BT263" s="4">
        <v>9129</v>
      </c>
      <c r="BU263" s="4">
        <v>9061</v>
      </c>
      <c r="BV263" s="4">
        <v>9300</v>
      </c>
      <c r="BW263" s="4">
        <v>9047</v>
      </c>
      <c r="BX263" s="4">
        <v>9726</v>
      </c>
      <c r="BY263" s="4">
        <v>9738</v>
      </c>
      <c r="BZ263" s="4">
        <v>9836</v>
      </c>
    </row>
    <row r="264" spans="1:78">
      <c r="A264" s="62" t="s">
        <v>477</v>
      </c>
      <c r="B264" s="4" t="str">
        <f>銘柄管理!C264</f>
        <v>ジーエス・ユアサコーポ</v>
      </c>
      <c r="C264" s="4">
        <f>_xll.RssMarket("6674","現在値")</f>
        <v>5980</v>
      </c>
      <c r="D264" s="4">
        <f t="shared" si="7"/>
        <v>255</v>
      </c>
      <c r="E264" s="4">
        <v>5725</v>
      </c>
      <c r="F264" s="4">
        <v>5499</v>
      </c>
      <c r="G264" s="4">
        <v>5482</v>
      </c>
      <c r="H264" s="4">
        <v>5255</v>
      </c>
      <c r="I264" s="4">
        <v>5178</v>
      </c>
      <c r="J264" s="4">
        <v>5461</v>
      </c>
      <c r="K264" s="4">
        <v>5793</v>
      </c>
      <c r="L264" s="4">
        <v>5850</v>
      </c>
      <c r="M264" s="4">
        <v>6015</v>
      </c>
      <c r="N264" s="4">
        <v>5914</v>
      </c>
      <c r="O264" s="4">
        <v>5724</v>
      </c>
      <c r="P264" s="4">
        <v>5572</v>
      </c>
      <c r="Q264" s="4">
        <v>6080</v>
      </c>
      <c r="R264" s="4">
        <v>5966</v>
      </c>
      <c r="S264" s="4">
        <v>6015</v>
      </c>
      <c r="T264" s="4">
        <v>6178</v>
      </c>
      <c r="U264" s="4">
        <v>6193</v>
      </c>
      <c r="V264" s="4">
        <v>6174</v>
      </c>
      <c r="W264" s="4">
        <v>6475</v>
      </c>
      <c r="X264" s="4">
        <v>6656</v>
      </c>
      <c r="Y264" s="4">
        <v>6737</v>
      </c>
      <c r="Z264" s="4">
        <v>6602</v>
      </c>
      <c r="AA264" s="4">
        <v>6667</v>
      </c>
      <c r="AB264" s="4">
        <v>6466</v>
      </c>
      <c r="AC264" s="4">
        <v>6700</v>
      </c>
      <c r="AD264" s="4">
        <v>6766</v>
      </c>
      <c r="AE264" s="4">
        <v>7129</v>
      </c>
      <c r="AF264" s="4">
        <v>7193</v>
      </c>
      <c r="AG264" s="4">
        <v>7088</v>
      </c>
      <c r="AH264" s="4">
        <v>7517</v>
      </c>
      <c r="AI264" s="4">
        <v>7016</v>
      </c>
      <c r="AJ264" s="4">
        <v>6717</v>
      </c>
      <c r="AK264" s="4">
        <v>6718</v>
      </c>
      <c r="AL264" s="4">
        <v>6568</v>
      </c>
      <c r="AM264" s="4">
        <v>6318</v>
      </c>
      <c r="AN264" s="4">
        <v>6197</v>
      </c>
      <c r="AO264" s="4">
        <v>6297</v>
      </c>
      <c r="AP264" s="4">
        <v>6412</v>
      </c>
      <c r="AQ264" s="4">
        <v>6654</v>
      </c>
      <c r="AR264" s="4">
        <v>7280</v>
      </c>
      <c r="AS264" s="4">
        <v>7185</v>
      </c>
      <c r="AT264" s="4">
        <v>7495</v>
      </c>
      <c r="AU264" s="4">
        <v>6861</v>
      </c>
      <c r="AV264" s="4">
        <v>6560</v>
      </c>
      <c r="AW264" s="4">
        <v>6438</v>
      </c>
      <c r="AX264" s="4">
        <v>6298</v>
      </c>
      <c r="AY264" s="4">
        <v>6320</v>
      </c>
      <c r="AZ264" s="4">
        <v>6148</v>
      </c>
      <c r="BA264" s="4">
        <v>6038</v>
      </c>
      <c r="BB264" s="4">
        <v>6118</v>
      </c>
      <c r="BC264" s="4">
        <v>6336</v>
      </c>
      <c r="BD264" s="4">
        <v>6285</v>
      </c>
      <c r="BE264" s="4">
        <v>6450</v>
      </c>
      <c r="BF264" s="4">
        <v>6286</v>
      </c>
      <c r="BG264" s="4">
        <v>6339</v>
      </c>
      <c r="BH264" s="4">
        <v>6710</v>
      </c>
      <c r="BI264" s="4">
        <v>6565</v>
      </c>
      <c r="BJ264" s="4">
        <v>6620</v>
      </c>
      <c r="BK264" s="4">
        <v>6495</v>
      </c>
      <c r="BL264" s="4">
        <v>6278</v>
      </c>
      <c r="BM264" s="4">
        <v>6317</v>
      </c>
      <c r="BN264" s="4">
        <v>6164</v>
      </c>
      <c r="BO264" s="4">
        <v>6235</v>
      </c>
      <c r="BP264" s="4">
        <v>6250</v>
      </c>
      <c r="BQ264" s="4">
        <v>6323</v>
      </c>
      <c r="BR264" s="4">
        <v>6452</v>
      </c>
      <c r="BS264" s="4">
        <v>6669</v>
      </c>
      <c r="BT264" s="4">
        <v>6603</v>
      </c>
      <c r="BU264" s="4">
        <v>6745</v>
      </c>
      <c r="BV264" s="4">
        <v>6778</v>
      </c>
      <c r="BW264" s="4">
        <v>6613</v>
      </c>
      <c r="BX264" s="4">
        <v>6590</v>
      </c>
      <c r="BY264" s="4">
        <v>6343</v>
      </c>
      <c r="BZ264" s="4">
        <v>6331</v>
      </c>
    </row>
    <row r="265" spans="1:78">
      <c r="A265" s="62" t="s">
        <v>478</v>
      </c>
      <c r="B265" s="4" t="str">
        <f>銘柄管理!C265</f>
        <v>ＦＤＫ</v>
      </c>
      <c r="C265" s="4">
        <f>_xll.RssMarket("6955","現在値")</f>
        <v>400</v>
      </c>
      <c r="D265" s="4">
        <f t="shared" si="7"/>
        <v>11</v>
      </c>
      <c r="E265" s="4">
        <v>389</v>
      </c>
      <c r="F265" s="4">
        <v>381</v>
      </c>
      <c r="G265" s="4">
        <v>390</v>
      </c>
      <c r="H265" s="4">
        <v>390</v>
      </c>
      <c r="I265" s="4">
        <v>387</v>
      </c>
      <c r="J265" s="4">
        <v>392</v>
      </c>
      <c r="K265" s="4">
        <v>406</v>
      </c>
      <c r="M265" s="4">
        <v>416</v>
      </c>
      <c r="N265" s="4">
        <v>414</v>
      </c>
      <c r="O265" s="4">
        <v>406</v>
      </c>
      <c r="P265" s="4">
        <v>404</v>
      </c>
      <c r="Q265" s="4">
        <v>431</v>
      </c>
      <c r="R265" s="4">
        <v>427</v>
      </c>
      <c r="S265" s="4">
        <v>438</v>
      </c>
      <c r="T265" s="4">
        <v>436</v>
      </c>
      <c r="U265" s="4">
        <v>430</v>
      </c>
      <c r="V265" s="4">
        <v>429</v>
      </c>
      <c r="W265" s="4">
        <v>451</v>
      </c>
      <c r="X265" s="4">
        <v>452</v>
      </c>
      <c r="Y265" s="4">
        <v>483</v>
      </c>
      <c r="Z265" s="4">
        <v>498</v>
      </c>
      <c r="AA265" s="4">
        <v>484</v>
      </c>
      <c r="AB265" s="4">
        <v>493</v>
      </c>
      <c r="AC265" s="4">
        <v>499</v>
      </c>
      <c r="AD265" s="4">
        <v>495</v>
      </c>
      <c r="AE265" s="4">
        <v>523</v>
      </c>
      <c r="AF265" s="4">
        <v>518</v>
      </c>
      <c r="AG265" s="4">
        <v>516</v>
      </c>
      <c r="AH265" s="4">
        <v>545</v>
      </c>
      <c r="AI265" s="4">
        <v>513</v>
      </c>
      <c r="AJ265" s="4">
        <v>513</v>
      </c>
      <c r="AK265" s="4">
        <v>513</v>
      </c>
      <c r="AL265" s="4">
        <v>502</v>
      </c>
      <c r="AM265" s="4">
        <v>478</v>
      </c>
      <c r="AN265" s="4">
        <v>499</v>
      </c>
      <c r="AO265" s="4">
        <v>505</v>
      </c>
      <c r="AP265" s="4">
        <v>525</v>
      </c>
      <c r="AQ265" s="4">
        <v>640</v>
      </c>
      <c r="AR265" s="4">
        <v>574</v>
      </c>
      <c r="AS265" s="4">
        <v>494</v>
      </c>
      <c r="AT265" s="4">
        <v>503</v>
      </c>
      <c r="AU265" s="4">
        <v>437</v>
      </c>
      <c r="AV265" s="4">
        <v>422</v>
      </c>
      <c r="AW265" s="4">
        <v>449</v>
      </c>
      <c r="AX265" s="4">
        <v>432</v>
      </c>
      <c r="AY265" s="4">
        <v>403</v>
      </c>
      <c r="AZ265" s="4">
        <v>414</v>
      </c>
      <c r="BA265" s="4">
        <v>406</v>
      </c>
      <c r="BB265" s="4">
        <v>410</v>
      </c>
      <c r="BC265" s="4">
        <v>416</v>
      </c>
      <c r="BD265" s="4">
        <v>415</v>
      </c>
      <c r="BE265" s="4">
        <v>422</v>
      </c>
      <c r="BF265" s="4">
        <v>429</v>
      </c>
      <c r="BG265" s="4">
        <v>426</v>
      </c>
      <c r="BH265" s="4">
        <v>433</v>
      </c>
      <c r="BI265" s="4">
        <v>432</v>
      </c>
      <c r="BJ265" s="4">
        <v>443</v>
      </c>
      <c r="BK265" s="4">
        <v>455</v>
      </c>
      <c r="BL265" s="4">
        <v>428</v>
      </c>
      <c r="BM265" s="4">
        <v>433</v>
      </c>
      <c r="BN265" s="4">
        <v>447</v>
      </c>
      <c r="BO265" s="4">
        <v>454</v>
      </c>
      <c r="BP265" s="4">
        <v>450</v>
      </c>
      <c r="BQ265" s="4">
        <v>450</v>
      </c>
      <c r="BR265" s="4">
        <v>448</v>
      </c>
      <c r="BS265" s="4">
        <v>452</v>
      </c>
      <c r="BT265" s="4">
        <v>456</v>
      </c>
      <c r="BU265" s="4">
        <v>448</v>
      </c>
      <c r="BV265" s="4">
        <v>463</v>
      </c>
      <c r="BW265" s="4">
        <v>446</v>
      </c>
      <c r="BX265" s="4">
        <v>457</v>
      </c>
      <c r="BY265" s="4">
        <v>451</v>
      </c>
      <c r="BZ265" s="4">
        <v>448</v>
      </c>
    </row>
    <row r="266" spans="1:78">
      <c r="A266" s="62" t="s">
        <v>479</v>
      </c>
      <c r="B266" s="4" t="str">
        <f>銘柄管理!C266</f>
        <v>インフォメティス</v>
      </c>
      <c r="C266" s="4">
        <f>_xll.RssMarket("281A","現在値")</f>
        <v>474</v>
      </c>
      <c r="D266" s="4">
        <f t="shared" si="7"/>
        <v>-1</v>
      </c>
      <c r="E266" s="4">
        <v>475</v>
      </c>
      <c r="F266" s="4">
        <v>457</v>
      </c>
      <c r="G266" s="4">
        <v>429</v>
      </c>
      <c r="H266" s="4">
        <v>416</v>
      </c>
      <c r="I266" s="4">
        <v>419</v>
      </c>
      <c r="J266" s="4">
        <v>428</v>
      </c>
      <c r="K266" s="4">
        <v>450</v>
      </c>
      <c r="L266" s="4">
        <v>467</v>
      </c>
      <c r="M266" s="4">
        <v>467</v>
      </c>
      <c r="N266" s="4">
        <v>467</v>
      </c>
      <c r="O266" s="4">
        <v>472</v>
      </c>
      <c r="P266" s="4">
        <v>455</v>
      </c>
      <c r="Q266" s="4">
        <v>515</v>
      </c>
      <c r="R266" s="4">
        <v>509</v>
      </c>
      <c r="S266" s="4">
        <v>530</v>
      </c>
      <c r="T266" s="4">
        <v>514</v>
      </c>
      <c r="U266" s="4">
        <v>489</v>
      </c>
      <c r="V266" s="4">
        <v>519</v>
      </c>
      <c r="W266" s="4">
        <v>619</v>
      </c>
      <c r="X266" s="4">
        <v>625</v>
      </c>
      <c r="Y266" s="4">
        <v>626</v>
      </c>
      <c r="Z266" s="4">
        <v>627</v>
      </c>
      <c r="AA266" s="4">
        <v>628</v>
      </c>
      <c r="AB266" s="4">
        <v>670</v>
      </c>
      <c r="AC266" s="4">
        <v>710</v>
      </c>
      <c r="AD266" s="4">
        <v>676</v>
      </c>
      <c r="AE266" s="4">
        <v>753</v>
      </c>
      <c r="AF266" s="4">
        <v>737</v>
      </c>
      <c r="AG266" s="4">
        <v>637</v>
      </c>
      <c r="AH266" s="4">
        <v>601</v>
      </c>
      <c r="AI266" s="4">
        <v>574</v>
      </c>
      <c r="AJ266" s="4">
        <v>623</v>
      </c>
      <c r="AK266" s="4">
        <v>647</v>
      </c>
      <c r="AL266" s="4">
        <v>615</v>
      </c>
      <c r="AM266" s="4">
        <v>634</v>
      </c>
      <c r="AN266" s="4">
        <v>534</v>
      </c>
      <c r="AO266" s="4">
        <v>548</v>
      </c>
      <c r="AP266" s="4">
        <v>543</v>
      </c>
      <c r="AQ266" s="4">
        <v>582</v>
      </c>
      <c r="AR266" s="4">
        <v>613</v>
      </c>
      <c r="AS266" s="4">
        <v>652</v>
      </c>
      <c r="AT266" s="4">
        <v>695</v>
      </c>
      <c r="AU266" s="4">
        <v>689</v>
      </c>
      <c r="AV266" s="4">
        <v>760</v>
      </c>
      <c r="AW266" s="4">
        <v>829</v>
      </c>
      <c r="AX266" s="4">
        <v>825</v>
      </c>
      <c r="AY266" s="4">
        <v>895</v>
      </c>
      <c r="AZ266" s="4">
        <v>805</v>
      </c>
      <c r="BA266" s="4">
        <v>773</v>
      </c>
      <c r="BB266" s="4">
        <v>775</v>
      </c>
      <c r="BC266" s="4">
        <v>842</v>
      </c>
      <c r="BD266" s="4">
        <v>823</v>
      </c>
      <c r="BE266" s="4">
        <v>765</v>
      </c>
      <c r="BF266" s="4">
        <v>716</v>
      </c>
      <c r="BG266" s="4">
        <v>746</v>
      </c>
      <c r="BH266" s="4">
        <v>756</v>
      </c>
      <c r="BI266" s="4">
        <v>806</v>
      </c>
      <c r="BJ266" s="4">
        <v>819</v>
      </c>
      <c r="BK266" s="4">
        <v>757</v>
      </c>
      <c r="BL266" s="4">
        <v>740</v>
      </c>
      <c r="BM266" s="4">
        <v>693</v>
      </c>
      <c r="BN266" s="4">
        <v>712</v>
      </c>
      <c r="BO266" s="4">
        <v>763</v>
      </c>
      <c r="BP266" s="4">
        <v>763</v>
      </c>
      <c r="BQ266" s="4">
        <v>811</v>
      </c>
      <c r="BR266" s="4">
        <v>799</v>
      </c>
      <c r="BS266" s="4">
        <v>895</v>
      </c>
      <c r="BT266" s="4">
        <v>958</v>
      </c>
      <c r="BU266" s="4">
        <v>808</v>
      </c>
      <c r="BV266" s="4">
        <v>757</v>
      </c>
      <c r="BW266" s="4">
        <v>780</v>
      </c>
      <c r="BX266" s="4">
        <v>680</v>
      </c>
      <c r="BY266" s="4">
        <v>664</v>
      </c>
      <c r="BZ266" s="4">
        <v>627</v>
      </c>
    </row>
    <row r="267" spans="1:78">
      <c r="A267" s="62" t="s">
        <v>480</v>
      </c>
      <c r="B267" s="4" t="str">
        <f>銘柄管理!C267</f>
        <v>日本ギア工業</v>
      </c>
      <c r="C267" s="4">
        <f>_xll.RssMarket("6356","現在値")</f>
        <v>1379</v>
      </c>
      <c r="D267" s="4">
        <f t="shared" si="7"/>
        <v>41</v>
      </c>
      <c r="E267" s="4">
        <v>1338</v>
      </c>
      <c r="F267" s="4">
        <v>1284</v>
      </c>
      <c r="G267" s="4">
        <v>1266</v>
      </c>
      <c r="H267" s="4">
        <v>1255</v>
      </c>
      <c r="I267" s="4">
        <v>1250</v>
      </c>
      <c r="J267" s="4">
        <v>1296</v>
      </c>
      <c r="K267" s="4">
        <v>1379</v>
      </c>
      <c r="L267" s="4">
        <v>1362</v>
      </c>
      <c r="M267" s="4">
        <v>1407</v>
      </c>
      <c r="N267" s="4">
        <v>1412</v>
      </c>
      <c r="O267" s="4">
        <v>1375</v>
      </c>
      <c r="P267" s="4">
        <v>1410</v>
      </c>
      <c r="Q267" s="4">
        <v>1578</v>
      </c>
      <c r="R267" s="4">
        <v>1571</v>
      </c>
      <c r="S267" s="4">
        <v>1500</v>
      </c>
      <c r="T267" s="4">
        <v>1500</v>
      </c>
      <c r="U267" s="4">
        <v>1489</v>
      </c>
      <c r="V267" s="4">
        <v>1500</v>
      </c>
      <c r="W267" s="4">
        <v>1575</v>
      </c>
      <c r="X267" s="4">
        <v>1747</v>
      </c>
      <c r="Y267" s="4">
        <v>1647</v>
      </c>
      <c r="Z267" s="4">
        <v>1527</v>
      </c>
      <c r="AA267" s="4">
        <v>1480</v>
      </c>
      <c r="AB267" s="4">
        <v>1490</v>
      </c>
      <c r="AC267" s="4">
        <v>1499</v>
      </c>
      <c r="AD267" s="4">
        <v>1460</v>
      </c>
      <c r="AE267" s="4">
        <v>1516</v>
      </c>
      <c r="AF267" s="4">
        <v>1490</v>
      </c>
      <c r="AG267" s="4">
        <v>1452</v>
      </c>
      <c r="AH267" s="4">
        <v>1585</v>
      </c>
      <c r="AI267" s="4">
        <v>1495</v>
      </c>
      <c r="AJ267" s="4">
        <v>1526</v>
      </c>
      <c r="AK267" s="4">
        <v>1630</v>
      </c>
      <c r="AL267" s="4">
        <v>1378</v>
      </c>
      <c r="AM267" s="4">
        <v>1433</v>
      </c>
      <c r="AN267" s="4">
        <v>1416</v>
      </c>
      <c r="AO267" s="4">
        <v>1378</v>
      </c>
      <c r="AP267" s="4">
        <v>1425</v>
      </c>
      <c r="AQ267" s="4">
        <v>1499</v>
      </c>
      <c r="AR267" s="4">
        <v>1604</v>
      </c>
      <c r="AS267" s="4">
        <v>1455</v>
      </c>
      <c r="AT267" s="4">
        <v>1488</v>
      </c>
      <c r="AU267" s="4">
        <v>1457</v>
      </c>
      <c r="AV267" s="4">
        <v>1660</v>
      </c>
      <c r="AW267" s="4">
        <v>1690</v>
      </c>
      <c r="AX267" s="4">
        <v>1720</v>
      </c>
      <c r="AY267" s="4">
        <v>1560</v>
      </c>
      <c r="AZ267" s="4">
        <v>1502</v>
      </c>
      <c r="BA267" s="4">
        <v>1355</v>
      </c>
      <c r="BB267" s="4">
        <v>1373</v>
      </c>
      <c r="BC267" s="4">
        <v>1415</v>
      </c>
      <c r="BD267" s="4">
        <v>1449</v>
      </c>
      <c r="BE267" s="4">
        <v>1410</v>
      </c>
      <c r="BF267" s="4">
        <v>1438</v>
      </c>
      <c r="BG267" s="4">
        <v>1403</v>
      </c>
      <c r="BH267" s="4">
        <v>1523</v>
      </c>
      <c r="BI267" s="4">
        <v>1517</v>
      </c>
      <c r="BJ267" s="4">
        <v>1489</v>
      </c>
      <c r="BK267" s="4">
        <v>1481</v>
      </c>
      <c r="BL267" s="4">
        <v>1501</v>
      </c>
      <c r="BM267" s="4">
        <v>1586</v>
      </c>
      <c r="BN267" s="4">
        <v>1685</v>
      </c>
      <c r="BO267" s="4">
        <v>1640</v>
      </c>
      <c r="BP267" s="4">
        <v>1666</v>
      </c>
      <c r="BQ267" s="4">
        <v>1526</v>
      </c>
      <c r="BR267" s="4">
        <v>1226</v>
      </c>
      <c r="BS267" s="4">
        <v>1277</v>
      </c>
      <c r="BT267" s="4">
        <v>1304</v>
      </c>
      <c r="BU267" s="4">
        <v>1333</v>
      </c>
      <c r="BV267" s="4">
        <v>1328</v>
      </c>
      <c r="BW267" s="4">
        <v>1277</v>
      </c>
      <c r="BX267" s="4">
        <v>1281</v>
      </c>
      <c r="BY267" s="4">
        <v>1305</v>
      </c>
      <c r="BZ267" s="4">
        <v>1238</v>
      </c>
    </row>
    <row r="268" spans="1:78">
      <c r="A268" s="62" t="s">
        <v>481</v>
      </c>
      <c r="B268" s="4" t="str">
        <f>銘柄管理!C268</f>
        <v>助川電気工業</v>
      </c>
      <c r="C268" s="4">
        <f>_xll.RssMarket("7711","現在値")</f>
        <v>4610</v>
      </c>
      <c r="D268" s="4">
        <f t="shared" si="7"/>
        <v>135</v>
      </c>
      <c r="E268" s="4">
        <v>4475</v>
      </c>
      <c r="F268" s="4">
        <v>4280</v>
      </c>
      <c r="G268" s="4">
        <v>4275</v>
      </c>
      <c r="H268" s="4">
        <v>4140</v>
      </c>
      <c r="I268" s="4">
        <v>4120</v>
      </c>
      <c r="J268" s="4">
        <v>4250</v>
      </c>
      <c r="K268" s="4">
        <v>4510</v>
      </c>
      <c r="M268" s="4">
        <v>4800</v>
      </c>
      <c r="N268" s="4">
        <v>4675</v>
      </c>
      <c r="O268" s="4">
        <v>4595</v>
      </c>
      <c r="P268" s="4">
        <v>4455</v>
      </c>
      <c r="Q268" s="4">
        <v>5130</v>
      </c>
      <c r="R268" s="4">
        <v>5030</v>
      </c>
      <c r="S268" s="4">
        <v>4780</v>
      </c>
      <c r="T268" s="4">
        <v>4730</v>
      </c>
      <c r="U268" s="4">
        <v>4635</v>
      </c>
      <c r="V268" s="4">
        <v>4850</v>
      </c>
      <c r="W268" s="4">
        <v>4965</v>
      </c>
      <c r="X268" s="4">
        <v>5150</v>
      </c>
      <c r="Y268" s="4">
        <v>5030</v>
      </c>
      <c r="Z268" s="4">
        <v>4810</v>
      </c>
      <c r="AA268" s="4">
        <v>4840</v>
      </c>
      <c r="AB268" s="4">
        <v>4910</v>
      </c>
      <c r="AC268" s="4">
        <v>4905</v>
      </c>
      <c r="AD268" s="4">
        <v>4905</v>
      </c>
      <c r="AE268" s="4">
        <v>5060</v>
      </c>
      <c r="AF268" s="4">
        <v>5030</v>
      </c>
      <c r="AG268" s="4">
        <v>5050</v>
      </c>
      <c r="AH268" s="4">
        <v>5500</v>
      </c>
      <c r="AI268" s="4">
        <v>5490</v>
      </c>
      <c r="AJ268" s="4">
        <v>5470</v>
      </c>
      <c r="AK268" s="4">
        <v>5650</v>
      </c>
      <c r="AL268" s="4">
        <v>4945</v>
      </c>
      <c r="AM268" s="4">
        <v>4830</v>
      </c>
      <c r="AN268" s="4">
        <v>4825</v>
      </c>
      <c r="AO268" s="4">
        <v>4635</v>
      </c>
      <c r="AP268" s="4">
        <v>4710</v>
      </c>
      <c r="AQ268" s="4">
        <v>5050</v>
      </c>
      <c r="AR268" s="4">
        <v>5490</v>
      </c>
      <c r="AS268" s="4">
        <v>5060</v>
      </c>
      <c r="AT268" s="4">
        <v>5140</v>
      </c>
      <c r="AU268" s="4">
        <v>5200</v>
      </c>
      <c r="AV268" s="4">
        <v>5360</v>
      </c>
      <c r="AW268" s="4">
        <v>5380</v>
      </c>
      <c r="AX268" s="4">
        <v>5480</v>
      </c>
      <c r="AY268" s="4">
        <v>5420</v>
      </c>
      <c r="AZ268" s="4">
        <v>5360</v>
      </c>
      <c r="BA268" s="4">
        <v>5080</v>
      </c>
      <c r="BB268" s="4">
        <v>5020</v>
      </c>
      <c r="BC268" s="4">
        <v>5180</v>
      </c>
      <c r="BD268" s="4">
        <v>5310</v>
      </c>
      <c r="BE268" s="4">
        <v>5420</v>
      </c>
      <c r="BF268" s="4">
        <v>5370</v>
      </c>
      <c r="BG268" s="4">
        <v>5650</v>
      </c>
      <c r="BH268" s="4">
        <v>5620</v>
      </c>
      <c r="BI268" s="4">
        <v>5820</v>
      </c>
      <c r="BJ268" s="4">
        <v>6000</v>
      </c>
      <c r="BK268" s="4">
        <v>6200</v>
      </c>
      <c r="BL268" s="4">
        <v>5920</v>
      </c>
      <c r="BM268" s="4">
        <v>6000</v>
      </c>
      <c r="BN268" s="4">
        <v>6130</v>
      </c>
      <c r="BO268" s="4">
        <v>6170</v>
      </c>
      <c r="BP268" s="4">
        <v>6350</v>
      </c>
      <c r="BQ268" s="4">
        <v>6600</v>
      </c>
      <c r="BR268" s="4">
        <v>6280</v>
      </c>
      <c r="BS268" s="4">
        <v>6320</v>
      </c>
      <c r="BT268" s="4">
        <v>6350</v>
      </c>
      <c r="BU268" s="4">
        <v>6280</v>
      </c>
      <c r="BV268" s="4">
        <v>6340</v>
      </c>
      <c r="BW268" s="4">
        <v>6110</v>
      </c>
      <c r="BX268" s="4">
        <v>6250</v>
      </c>
      <c r="BY268" s="4">
        <v>6260</v>
      </c>
      <c r="BZ268" s="4">
        <v>6240</v>
      </c>
    </row>
    <row r="269" spans="1:78">
      <c r="A269" s="62" t="s">
        <v>482</v>
      </c>
      <c r="B269" s="4" t="str">
        <f>銘柄管理!C269</f>
        <v>日機装</v>
      </c>
      <c r="C269" s="4">
        <f>_xll.RssMarket("6376","現在値")</f>
        <v>4020</v>
      </c>
      <c r="D269" s="4">
        <f t="shared" si="7"/>
        <v>45</v>
      </c>
      <c r="E269" s="4">
        <v>3975</v>
      </c>
      <c r="F269" s="4">
        <v>3780</v>
      </c>
      <c r="G269" s="4">
        <v>3750</v>
      </c>
      <c r="H269" s="4">
        <v>3525</v>
      </c>
      <c r="I269" s="4">
        <v>3565</v>
      </c>
      <c r="J269" s="4">
        <v>3730</v>
      </c>
      <c r="K269" s="4">
        <v>4060</v>
      </c>
      <c r="L269" s="4">
        <v>4000</v>
      </c>
      <c r="M269" s="4">
        <v>3985</v>
      </c>
      <c r="N269" s="4">
        <v>3965</v>
      </c>
      <c r="O269" s="4">
        <v>4120</v>
      </c>
      <c r="P269" s="4">
        <v>3820</v>
      </c>
      <c r="Q269" s="4">
        <v>3895</v>
      </c>
      <c r="R269" s="4">
        <v>3785</v>
      </c>
      <c r="S269" s="4">
        <v>3605</v>
      </c>
      <c r="T269" s="4">
        <v>3700</v>
      </c>
      <c r="U269" s="4">
        <v>3715</v>
      </c>
      <c r="V269" s="4">
        <v>3730</v>
      </c>
      <c r="W269" s="4">
        <v>3825</v>
      </c>
      <c r="X269" s="4">
        <v>4070</v>
      </c>
      <c r="Y269" s="4">
        <v>4060</v>
      </c>
      <c r="Z269" s="4">
        <v>3930</v>
      </c>
      <c r="AA269" s="4">
        <v>3890</v>
      </c>
      <c r="AB269" s="4">
        <v>4050</v>
      </c>
      <c r="AC269" s="4">
        <v>4155</v>
      </c>
      <c r="AD269" s="4">
        <v>4230</v>
      </c>
      <c r="AE269" s="4">
        <v>4160</v>
      </c>
      <c r="AF269" s="4">
        <v>4030</v>
      </c>
      <c r="AG269" s="4">
        <v>4025</v>
      </c>
      <c r="AH269" s="4">
        <v>4090</v>
      </c>
      <c r="AI269" s="4">
        <v>3880</v>
      </c>
      <c r="AJ269" s="4">
        <v>3945</v>
      </c>
      <c r="AK269" s="4">
        <v>3855</v>
      </c>
      <c r="AL269" s="4">
        <v>3715</v>
      </c>
      <c r="AM269" s="4">
        <v>3705</v>
      </c>
      <c r="AN269" s="4">
        <v>3600</v>
      </c>
      <c r="AO269" s="4">
        <v>3570</v>
      </c>
      <c r="AP269" s="4">
        <v>3570</v>
      </c>
      <c r="AQ269" s="4">
        <v>3280</v>
      </c>
      <c r="AR269" s="4">
        <v>3330</v>
      </c>
      <c r="AS269" s="4">
        <v>3195</v>
      </c>
      <c r="AT269" s="4">
        <v>3140</v>
      </c>
      <c r="AU269" s="4">
        <v>3125</v>
      </c>
      <c r="AV269" s="4">
        <v>3105</v>
      </c>
      <c r="AW269" s="4">
        <v>3240</v>
      </c>
      <c r="AX269" s="4">
        <v>3280</v>
      </c>
      <c r="AY269" s="4">
        <v>3450</v>
      </c>
      <c r="AZ269" s="4">
        <v>3205</v>
      </c>
      <c r="BA269" s="4">
        <v>3000</v>
      </c>
      <c r="BB269" s="4">
        <v>2861</v>
      </c>
      <c r="BC269" s="4">
        <v>2887</v>
      </c>
      <c r="BD269" s="4">
        <v>2991</v>
      </c>
      <c r="BE269" s="4">
        <v>2911</v>
      </c>
      <c r="BF269" s="4">
        <v>2682</v>
      </c>
      <c r="BG269" s="4">
        <v>2660</v>
      </c>
      <c r="BH269" s="4">
        <v>2648</v>
      </c>
      <c r="BI269" s="4">
        <v>2641</v>
      </c>
      <c r="BJ269" s="4">
        <v>2650</v>
      </c>
      <c r="BK269" s="4">
        <v>2644</v>
      </c>
      <c r="BL269" s="4">
        <v>2634</v>
      </c>
      <c r="BM269" s="4">
        <v>2658</v>
      </c>
      <c r="BN269" s="4">
        <v>2634</v>
      </c>
      <c r="BO269" s="4">
        <v>2589</v>
      </c>
      <c r="BP269" s="4">
        <v>2644</v>
      </c>
      <c r="BQ269" s="4">
        <v>2576</v>
      </c>
      <c r="BR269" s="4">
        <v>2563</v>
      </c>
      <c r="BS269" s="4">
        <v>2573</v>
      </c>
      <c r="BT269" s="4">
        <v>2629</v>
      </c>
      <c r="BU269" s="4">
        <v>2657</v>
      </c>
      <c r="BV269" s="4">
        <v>2719</v>
      </c>
      <c r="BW269" s="4">
        <v>2773</v>
      </c>
      <c r="BX269" s="4">
        <v>2816</v>
      </c>
      <c r="BY269" s="4">
        <v>2840</v>
      </c>
      <c r="BZ269" s="4">
        <v>2820</v>
      </c>
    </row>
    <row r="270" spans="1:78">
      <c r="A270" s="62" t="s">
        <v>483</v>
      </c>
      <c r="B270" s="4" t="str">
        <f>銘柄管理!C270</f>
        <v>明海グループ</v>
      </c>
      <c r="C270" s="4">
        <f>_xll.RssMarket("9115","現在値")</f>
        <v>872</v>
      </c>
      <c r="D270" s="4">
        <f t="shared" si="7"/>
        <v>26</v>
      </c>
      <c r="E270" s="4">
        <v>846</v>
      </c>
      <c r="F270" s="4">
        <v>815</v>
      </c>
      <c r="G270" s="4">
        <v>814</v>
      </c>
      <c r="H270" s="4">
        <v>788</v>
      </c>
      <c r="I270" s="4">
        <v>796</v>
      </c>
      <c r="J270" s="4">
        <v>851</v>
      </c>
      <c r="K270" s="4">
        <v>881</v>
      </c>
      <c r="L270" s="4">
        <v>891</v>
      </c>
      <c r="M270" s="4">
        <v>845</v>
      </c>
      <c r="N270" s="4">
        <v>894</v>
      </c>
      <c r="O270" s="4">
        <v>829</v>
      </c>
      <c r="P270" s="4">
        <v>821</v>
      </c>
      <c r="Q270" s="4">
        <v>853</v>
      </c>
      <c r="R270" s="4">
        <v>834</v>
      </c>
      <c r="S270" s="4">
        <v>811</v>
      </c>
      <c r="T270" s="4">
        <v>809</v>
      </c>
      <c r="U270" s="4">
        <v>845</v>
      </c>
      <c r="V270" s="4">
        <v>819</v>
      </c>
      <c r="W270" s="4">
        <v>822</v>
      </c>
      <c r="X270" s="4">
        <v>849</v>
      </c>
      <c r="Y270" s="4">
        <v>839</v>
      </c>
      <c r="Z270" s="4">
        <v>818</v>
      </c>
      <c r="AA270" s="4">
        <v>818</v>
      </c>
      <c r="AB270" s="4">
        <v>801</v>
      </c>
      <c r="AC270" s="4">
        <v>811</v>
      </c>
      <c r="AD270" s="4">
        <v>800</v>
      </c>
      <c r="AE270" s="4">
        <v>798</v>
      </c>
      <c r="AF270" s="4">
        <v>790</v>
      </c>
      <c r="AG270" s="4">
        <v>802</v>
      </c>
      <c r="AH270" s="4">
        <v>759</v>
      </c>
      <c r="AI270" s="4">
        <v>768</v>
      </c>
      <c r="AJ270" s="4">
        <v>781</v>
      </c>
      <c r="AK270" s="4">
        <v>805</v>
      </c>
      <c r="AL270" s="4">
        <v>826</v>
      </c>
      <c r="AM270" s="4">
        <v>835</v>
      </c>
      <c r="AN270" s="4">
        <v>848</v>
      </c>
      <c r="AO270" s="4">
        <v>899</v>
      </c>
      <c r="AP270" s="4">
        <v>904</v>
      </c>
      <c r="AQ270" s="4">
        <v>973</v>
      </c>
      <c r="AR270" s="4">
        <v>981</v>
      </c>
      <c r="AS270" s="4">
        <v>999</v>
      </c>
      <c r="AT270" s="4">
        <v>1020</v>
      </c>
      <c r="AU270" s="4">
        <v>1036</v>
      </c>
      <c r="AV270" s="4">
        <v>1110</v>
      </c>
      <c r="AW270" s="4">
        <v>1137</v>
      </c>
      <c r="AX270" s="4">
        <v>1143</v>
      </c>
      <c r="AY270" s="4">
        <v>1162</v>
      </c>
      <c r="AZ270" s="4">
        <v>1152</v>
      </c>
      <c r="BA270" s="4">
        <v>1130</v>
      </c>
      <c r="BB270" s="4">
        <v>1103</v>
      </c>
      <c r="BC270" s="4">
        <v>1176</v>
      </c>
      <c r="BD270" s="4">
        <v>1218</v>
      </c>
      <c r="BE270" s="4">
        <v>1227</v>
      </c>
      <c r="BF270" s="4">
        <v>1196</v>
      </c>
      <c r="BG270" s="4">
        <v>1208</v>
      </c>
      <c r="BH270" s="4">
        <v>1216</v>
      </c>
      <c r="BI270" s="4">
        <v>1272</v>
      </c>
      <c r="BJ270" s="4">
        <v>1244</v>
      </c>
      <c r="BK270" s="4">
        <v>1329</v>
      </c>
      <c r="BL270" s="4">
        <v>1294</v>
      </c>
      <c r="BM270" s="4">
        <v>1274</v>
      </c>
      <c r="BN270" s="4">
        <v>1249</v>
      </c>
      <c r="BO270" s="4">
        <v>1180</v>
      </c>
      <c r="BP270" s="4">
        <v>1175</v>
      </c>
      <c r="BQ270" s="4">
        <v>1178</v>
      </c>
      <c r="BR270" s="4">
        <v>1214</v>
      </c>
      <c r="BS270" s="4">
        <v>1267</v>
      </c>
      <c r="BT270" s="4">
        <v>1282</v>
      </c>
      <c r="BU270" s="4">
        <v>1241</v>
      </c>
      <c r="BV270" s="4">
        <v>1285</v>
      </c>
      <c r="BW270" s="4">
        <v>1289</v>
      </c>
      <c r="BX270" s="4">
        <v>1303</v>
      </c>
      <c r="BY270" s="4">
        <v>1290</v>
      </c>
      <c r="BZ270" s="4">
        <v>1269</v>
      </c>
    </row>
    <row r="271" spans="1:78">
      <c r="A271" s="62" t="s">
        <v>484</v>
      </c>
      <c r="B271" s="4" t="str">
        <f>銘柄管理!C271</f>
        <v>三菱製紙</v>
      </c>
      <c r="C271" s="4">
        <f>_xll.RssMarket("3864","現在値")</f>
        <v>1163</v>
      </c>
      <c r="D271" s="4">
        <f t="shared" si="7"/>
        <v>11</v>
      </c>
      <c r="E271" s="4">
        <v>1152</v>
      </c>
      <c r="F271" s="4">
        <v>1117</v>
      </c>
      <c r="G271" s="4">
        <v>1123</v>
      </c>
      <c r="H271" s="4">
        <v>1117</v>
      </c>
      <c r="I271" s="4">
        <v>1122</v>
      </c>
      <c r="J271" s="4">
        <v>1091</v>
      </c>
      <c r="K271" s="4">
        <v>1151</v>
      </c>
      <c r="L271" s="4">
        <v>1133</v>
      </c>
      <c r="M271" s="4">
        <v>1198</v>
      </c>
      <c r="N271" s="4">
        <v>1175</v>
      </c>
      <c r="O271" s="4">
        <v>1226</v>
      </c>
      <c r="P271" s="4">
        <v>1092</v>
      </c>
      <c r="Q271" s="4">
        <v>1108</v>
      </c>
      <c r="R271" s="4">
        <v>1080</v>
      </c>
      <c r="S271" s="4">
        <v>1055</v>
      </c>
      <c r="T271" s="4">
        <v>1001</v>
      </c>
      <c r="U271" s="4">
        <v>1009</v>
      </c>
      <c r="V271" s="4">
        <v>1013</v>
      </c>
      <c r="W271" s="4">
        <v>999</v>
      </c>
      <c r="X271" s="4">
        <v>1016</v>
      </c>
      <c r="Y271" s="4">
        <v>1015</v>
      </c>
      <c r="Z271" s="4">
        <v>1008</v>
      </c>
      <c r="AA271" s="4">
        <v>1005</v>
      </c>
      <c r="AB271" s="4">
        <v>1012</v>
      </c>
      <c r="AC271" s="4">
        <v>1015</v>
      </c>
      <c r="AD271" s="4">
        <v>1039</v>
      </c>
      <c r="AE271" s="4">
        <v>1034</v>
      </c>
      <c r="AF271" s="4">
        <v>1034</v>
      </c>
      <c r="AG271" s="4">
        <v>1029</v>
      </c>
      <c r="AH271" s="4">
        <v>1035</v>
      </c>
      <c r="AI271" s="4">
        <v>1032</v>
      </c>
      <c r="AJ271" s="4">
        <v>1030</v>
      </c>
      <c r="AK271" s="4">
        <v>1059</v>
      </c>
      <c r="AL271" s="4">
        <v>1074</v>
      </c>
      <c r="AM271" s="4">
        <v>1104</v>
      </c>
      <c r="AN271" s="4">
        <v>1061</v>
      </c>
      <c r="AO271" s="4">
        <v>1054</v>
      </c>
      <c r="AP271" s="4">
        <v>1074</v>
      </c>
      <c r="AQ271" s="4">
        <v>1052</v>
      </c>
      <c r="AR271" s="4">
        <v>1061</v>
      </c>
      <c r="AS271" s="4">
        <v>1040</v>
      </c>
      <c r="AT271" s="4">
        <v>1060</v>
      </c>
      <c r="AU271" s="4">
        <v>1045</v>
      </c>
      <c r="AV271" s="4">
        <v>1100</v>
      </c>
      <c r="AW271" s="4">
        <v>1131</v>
      </c>
      <c r="AX271" s="4">
        <v>1096</v>
      </c>
      <c r="AY271" s="4">
        <v>1088</v>
      </c>
      <c r="AZ271" s="4">
        <v>1095</v>
      </c>
      <c r="BA271" s="4">
        <v>1090</v>
      </c>
      <c r="BB271" s="4">
        <v>1034</v>
      </c>
      <c r="BC271" s="4">
        <v>1018</v>
      </c>
      <c r="BD271" s="4">
        <v>1036</v>
      </c>
      <c r="BE271" s="4">
        <v>1009</v>
      </c>
      <c r="BF271" s="4">
        <v>928</v>
      </c>
      <c r="BG271" s="4">
        <v>913</v>
      </c>
      <c r="BH271" s="4">
        <v>916</v>
      </c>
      <c r="BI271" s="4">
        <v>935</v>
      </c>
      <c r="BJ271" s="4">
        <v>944</v>
      </c>
      <c r="BK271" s="4">
        <v>934</v>
      </c>
      <c r="BL271" s="4">
        <v>928</v>
      </c>
      <c r="BM271" s="4">
        <v>932</v>
      </c>
      <c r="BN271" s="4">
        <v>937</v>
      </c>
      <c r="BO271" s="4">
        <v>936</v>
      </c>
      <c r="BP271" s="4">
        <v>959</v>
      </c>
      <c r="BQ271" s="4">
        <v>951</v>
      </c>
      <c r="BR271" s="4">
        <v>959</v>
      </c>
      <c r="BS271" s="4">
        <v>978</v>
      </c>
      <c r="BT271" s="4">
        <v>972</v>
      </c>
      <c r="BU271" s="4">
        <v>990</v>
      </c>
      <c r="BV271" s="4">
        <v>982</v>
      </c>
      <c r="BW271" s="4">
        <v>951</v>
      </c>
      <c r="BX271" s="4">
        <v>927</v>
      </c>
      <c r="BY271" s="4">
        <v>921</v>
      </c>
      <c r="BZ271" s="4">
        <v>895</v>
      </c>
    </row>
    <row r="272" spans="1:78">
      <c r="A272" s="62" t="s">
        <v>485</v>
      </c>
      <c r="B272" s="4" t="str">
        <f>銘柄管理!C272</f>
        <v>日本ケミコン</v>
      </c>
      <c r="C272" s="4">
        <f>_xll.RssMarket("6997","現在値")</f>
        <v>3545</v>
      </c>
      <c r="D272" s="4">
        <f t="shared" si="7"/>
        <v>300</v>
      </c>
      <c r="E272" s="4">
        <v>3245</v>
      </c>
      <c r="F272" s="4">
        <v>3210</v>
      </c>
      <c r="G272" s="4">
        <v>3120</v>
      </c>
      <c r="H272" s="4">
        <v>2628</v>
      </c>
      <c r="I272" s="4">
        <v>2570</v>
      </c>
      <c r="J272" s="4">
        <v>2826</v>
      </c>
      <c r="K272" s="4">
        <v>3200</v>
      </c>
      <c r="L272" s="4">
        <v>3240</v>
      </c>
      <c r="M272" s="4">
        <v>3290</v>
      </c>
      <c r="N272" s="4">
        <v>3345</v>
      </c>
      <c r="O272" s="4">
        <v>3100</v>
      </c>
      <c r="P272" s="4">
        <v>3160</v>
      </c>
      <c r="Q272" s="4">
        <v>3700</v>
      </c>
      <c r="R272" s="4">
        <v>3665</v>
      </c>
      <c r="S272" s="4">
        <v>3655</v>
      </c>
      <c r="T272" s="4">
        <v>3965</v>
      </c>
      <c r="U272" s="4">
        <v>3920</v>
      </c>
      <c r="V272" s="4">
        <v>3920</v>
      </c>
      <c r="W272" s="4">
        <v>4250</v>
      </c>
      <c r="X272" s="4">
        <v>5020</v>
      </c>
      <c r="Y272" s="4">
        <v>5570</v>
      </c>
      <c r="Z272" s="4">
        <v>5140</v>
      </c>
      <c r="AA272" s="4">
        <v>5790</v>
      </c>
      <c r="AB272" s="4">
        <v>5490</v>
      </c>
      <c r="AC272" s="4">
        <v>5590</v>
      </c>
      <c r="AD272" s="4">
        <v>5590</v>
      </c>
      <c r="AE272" s="4">
        <v>5980</v>
      </c>
      <c r="AF272" s="4">
        <v>5360</v>
      </c>
      <c r="AG272" s="4">
        <v>5340</v>
      </c>
      <c r="AH272" s="4">
        <v>5810</v>
      </c>
      <c r="AI272" s="4">
        <v>5670</v>
      </c>
      <c r="AJ272" s="4">
        <v>5530</v>
      </c>
      <c r="AK272" s="4">
        <v>5240</v>
      </c>
      <c r="AL272" s="4">
        <v>4540</v>
      </c>
      <c r="AM272" s="4">
        <v>4790</v>
      </c>
      <c r="AN272" s="4">
        <v>4175</v>
      </c>
      <c r="AO272" s="4">
        <v>4110</v>
      </c>
      <c r="AP272" s="4">
        <v>4245</v>
      </c>
      <c r="AQ272" s="4">
        <v>4535</v>
      </c>
      <c r="AR272" s="4">
        <v>4980</v>
      </c>
      <c r="AS272" s="4">
        <v>4945</v>
      </c>
      <c r="AT272" s="4">
        <v>4840</v>
      </c>
      <c r="AU272" s="4">
        <v>4785</v>
      </c>
      <c r="AV272" s="4">
        <v>5080</v>
      </c>
      <c r="AW272" s="4">
        <v>4380</v>
      </c>
      <c r="AX272" s="4">
        <v>3865</v>
      </c>
      <c r="AY272" s="4">
        <v>4065</v>
      </c>
      <c r="AZ272" s="4">
        <v>3365</v>
      </c>
      <c r="BA272" s="4">
        <v>2923</v>
      </c>
      <c r="BB272" s="4">
        <v>2991</v>
      </c>
      <c r="BC272" s="4">
        <v>3055</v>
      </c>
      <c r="BD272" s="4">
        <v>2944</v>
      </c>
      <c r="BE272" s="4">
        <v>2996</v>
      </c>
      <c r="BF272" s="4">
        <v>3415</v>
      </c>
      <c r="BG272" s="4">
        <v>3180</v>
      </c>
      <c r="BH272" s="4">
        <v>3200</v>
      </c>
      <c r="BI272" s="4">
        <v>3170</v>
      </c>
      <c r="BJ272" s="4">
        <v>3160</v>
      </c>
      <c r="BK272" s="4">
        <v>2960</v>
      </c>
      <c r="BL272" s="4">
        <v>2651</v>
      </c>
      <c r="BM272" s="4">
        <v>2660</v>
      </c>
      <c r="BN272" s="4">
        <v>2462</v>
      </c>
      <c r="BO272" s="4">
        <v>2321</v>
      </c>
      <c r="BP272" s="4">
        <v>2295</v>
      </c>
      <c r="BQ272" s="4">
        <v>2243</v>
      </c>
      <c r="BR272" s="4">
        <v>2450</v>
      </c>
      <c r="BS272" s="4">
        <v>2354</v>
      </c>
      <c r="BT272" s="4">
        <v>2384</v>
      </c>
      <c r="BU272" s="4">
        <v>2243</v>
      </c>
      <c r="BV272" s="4">
        <v>2265</v>
      </c>
      <c r="BW272" s="4">
        <v>2055</v>
      </c>
      <c r="BX272" s="4">
        <v>1942</v>
      </c>
      <c r="BY272" s="4">
        <v>1762</v>
      </c>
      <c r="BZ272" s="4">
        <v>1660</v>
      </c>
    </row>
    <row r="273" spans="1:78">
      <c r="A273" s="62" t="s">
        <v>486</v>
      </c>
      <c r="B273" s="4" t="str">
        <f>銘柄管理!C273</f>
        <v>ＨＵグループＨＤ</v>
      </c>
      <c r="C273" s="4">
        <f>_xll.RssMarket("4544","現在値")</f>
        <v>3337</v>
      </c>
      <c r="D273" s="4">
        <f t="shared" si="7"/>
        <v>-9</v>
      </c>
      <c r="E273" s="4">
        <v>3346</v>
      </c>
      <c r="F273" s="4">
        <v>3360</v>
      </c>
      <c r="G273" s="4">
        <v>3411</v>
      </c>
      <c r="H273" s="4">
        <v>3478</v>
      </c>
      <c r="I273" s="4">
        <v>3595</v>
      </c>
      <c r="J273" s="4">
        <v>3472</v>
      </c>
      <c r="K273" s="4">
        <v>3434</v>
      </c>
      <c r="L273" s="4">
        <v>3347</v>
      </c>
      <c r="M273" s="4">
        <v>3313</v>
      </c>
      <c r="N273" s="4">
        <v>3344</v>
      </c>
      <c r="O273" s="4">
        <v>3376</v>
      </c>
      <c r="P273" s="4">
        <v>3388</v>
      </c>
      <c r="Q273" s="4">
        <v>3375</v>
      </c>
      <c r="R273" s="4">
        <v>3352</v>
      </c>
      <c r="S273" s="4">
        <v>3344</v>
      </c>
      <c r="T273" s="4">
        <v>3381</v>
      </c>
      <c r="U273" s="4">
        <v>3347</v>
      </c>
      <c r="V273" s="4">
        <v>3478</v>
      </c>
      <c r="W273" s="4">
        <v>3470</v>
      </c>
      <c r="X273" s="4">
        <v>3436</v>
      </c>
      <c r="Y273" s="4">
        <v>3391</v>
      </c>
      <c r="Z273" s="4">
        <v>3389</v>
      </c>
      <c r="AA273" s="4">
        <v>3258</v>
      </c>
      <c r="AB273" s="4">
        <v>3295</v>
      </c>
      <c r="AC273" s="4">
        <v>3288</v>
      </c>
      <c r="AD273" s="4">
        <v>3244</v>
      </c>
      <c r="AE273" s="4">
        <v>3198</v>
      </c>
      <c r="AF273" s="4">
        <v>3157</v>
      </c>
      <c r="AG273" s="4">
        <v>3148</v>
      </c>
      <c r="AH273" s="4">
        <v>3173</v>
      </c>
      <c r="AI273" s="4">
        <v>3136</v>
      </c>
      <c r="AJ273" s="4">
        <v>3165</v>
      </c>
      <c r="AK273" s="4">
        <v>3190</v>
      </c>
      <c r="AL273" s="4">
        <v>3251</v>
      </c>
      <c r="AM273" s="4">
        <v>3244</v>
      </c>
      <c r="AN273" s="4">
        <v>3392</v>
      </c>
      <c r="AO273" s="4">
        <v>3411</v>
      </c>
      <c r="AP273" s="4">
        <v>3462</v>
      </c>
      <c r="AQ273" s="4">
        <v>3343</v>
      </c>
      <c r="AR273" s="4">
        <v>3357</v>
      </c>
      <c r="AS273" s="4">
        <v>3298</v>
      </c>
      <c r="AT273" s="4">
        <v>3302</v>
      </c>
      <c r="AU273" s="4">
        <v>3139</v>
      </c>
      <c r="AV273" s="4">
        <v>3117</v>
      </c>
      <c r="AW273" s="4">
        <v>3146</v>
      </c>
      <c r="AX273" s="4">
        <v>3140</v>
      </c>
      <c r="AY273" s="4">
        <v>3195</v>
      </c>
      <c r="AZ273" s="4">
        <v>3193</v>
      </c>
      <c r="BA273" s="4">
        <v>3168</v>
      </c>
      <c r="BB273" s="4">
        <v>3240</v>
      </c>
      <c r="BC273" s="4">
        <v>3226</v>
      </c>
      <c r="BD273" s="4">
        <v>3174</v>
      </c>
      <c r="BE273" s="4">
        <v>3228</v>
      </c>
      <c r="BF273" s="4">
        <v>3228</v>
      </c>
      <c r="BG273" s="4">
        <v>3135</v>
      </c>
      <c r="BH273" s="4">
        <v>3093</v>
      </c>
      <c r="BI273" s="4">
        <v>3112</v>
      </c>
      <c r="BJ273" s="4">
        <v>3122</v>
      </c>
      <c r="BK273" s="4">
        <v>3134</v>
      </c>
      <c r="BL273" s="4">
        <v>3100</v>
      </c>
      <c r="BM273" s="4">
        <v>3111</v>
      </c>
      <c r="BN273" s="4">
        <v>3192</v>
      </c>
      <c r="BO273" s="4">
        <v>3258</v>
      </c>
      <c r="BP273" s="4">
        <v>3190</v>
      </c>
      <c r="BQ273" s="4">
        <v>3176</v>
      </c>
      <c r="BR273" s="4">
        <v>3169</v>
      </c>
      <c r="BS273" s="4">
        <v>3121</v>
      </c>
      <c r="BT273" s="4">
        <v>3170</v>
      </c>
      <c r="BU273" s="4">
        <v>3147</v>
      </c>
      <c r="BV273" s="4">
        <v>3183</v>
      </c>
      <c r="BW273" s="4">
        <v>3166</v>
      </c>
      <c r="BX273" s="4">
        <v>3133</v>
      </c>
      <c r="BY273" s="4">
        <v>3126</v>
      </c>
      <c r="BZ273" s="4">
        <v>3122</v>
      </c>
    </row>
    <row r="274" spans="1:78">
      <c r="A274" s="62" t="s">
        <v>487</v>
      </c>
      <c r="B274" s="4" t="str">
        <f>銘柄管理!C274</f>
        <v>東亜ディーケーケー</v>
      </c>
      <c r="C274" s="4">
        <f>_xll.RssMarket("6848","現在値")</f>
        <v>857</v>
      </c>
      <c r="D274" s="4">
        <f t="shared" ref="D274:D305" si="8">C274-E274</f>
        <v>3</v>
      </c>
      <c r="E274" s="4">
        <v>854</v>
      </c>
      <c r="F274" s="4">
        <v>854</v>
      </c>
      <c r="G274" s="4">
        <v>858</v>
      </c>
      <c r="H274" s="4">
        <v>854</v>
      </c>
      <c r="I274" s="4">
        <v>854</v>
      </c>
      <c r="J274" s="4">
        <v>852</v>
      </c>
      <c r="K274" s="4">
        <v>854</v>
      </c>
      <c r="M274" s="4">
        <v>851</v>
      </c>
      <c r="N274" s="4">
        <v>858</v>
      </c>
      <c r="O274" s="4">
        <v>856</v>
      </c>
      <c r="P274" s="4">
        <v>851</v>
      </c>
      <c r="Q274" s="4">
        <v>855</v>
      </c>
      <c r="R274" s="4">
        <v>854</v>
      </c>
      <c r="S274" s="4">
        <v>859</v>
      </c>
      <c r="T274" s="4">
        <v>851</v>
      </c>
      <c r="U274" s="4">
        <v>850</v>
      </c>
      <c r="V274" s="4">
        <v>854</v>
      </c>
      <c r="W274" s="4">
        <v>860</v>
      </c>
      <c r="X274" s="4">
        <v>866</v>
      </c>
      <c r="Y274" s="4">
        <v>864</v>
      </c>
      <c r="Z274" s="4">
        <v>851</v>
      </c>
      <c r="AA274" s="4">
        <v>854</v>
      </c>
      <c r="AB274" s="4">
        <v>873</v>
      </c>
      <c r="AC274" s="4">
        <v>859</v>
      </c>
      <c r="AD274" s="4">
        <v>858</v>
      </c>
      <c r="AE274" s="4">
        <v>856</v>
      </c>
      <c r="AF274" s="4">
        <v>857</v>
      </c>
      <c r="AG274" s="4">
        <v>864</v>
      </c>
      <c r="AH274" s="4">
        <v>885</v>
      </c>
      <c r="AI274" s="4">
        <v>852</v>
      </c>
      <c r="AJ274" s="4">
        <v>857</v>
      </c>
      <c r="AK274" s="4">
        <v>864</v>
      </c>
      <c r="AL274" s="4">
        <v>855</v>
      </c>
      <c r="AM274" s="4">
        <v>857</v>
      </c>
      <c r="AN274" s="4">
        <v>851</v>
      </c>
      <c r="AO274" s="4">
        <v>878</v>
      </c>
      <c r="AP274" s="4">
        <v>850</v>
      </c>
      <c r="AQ274" s="4">
        <v>854</v>
      </c>
      <c r="AR274" s="4">
        <v>871</v>
      </c>
      <c r="AS274" s="4">
        <v>852</v>
      </c>
      <c r="AT274" s="4">
        <v>861</v>
      </c>
      <c r="AU274" s="4">
        <v>869</v>
      </c>
      <c r="AV274" s="4">
        <v>855</v>
      </c>
      <c r="AW274" s="4">
        <v>854</v>
      </c>
      <c r="AX274" s="4">
        <v>853</v>
      </c>
      <c r="AY274" s="4">
        <v>864</v>
      </c>
      <c r="AZ274" s="4">
        <v>864</v>
      </c>
      <c r="BA274" s="4">
        <v>862</v>
      </c>
      <c r="BB274" s="4">
        <v>843</v>
      </c>
      <c r="BC274" s="4">
        <v>869</v>
      </c>
      <c r="BD274" s="4">
        <v>873</v>
      </c>
      <c r="BE274" s="4">
        <v>858</v>
      </c>
      <c r="BF274" s="4">
        <v>870</v>
      </c>
      <c r="BG274" s="4">
        <v>877</v>
      </c>
      <c r="BH274" s="4">
        <v>869</v>
      </c>
      <c r="BI274" s="4">
        <v>869</v>
      </c>
      <c r="BJ274" s="4">
        <v>872</v>
      </c>
      <c r="BK274" s="4">
        <v>870</v>
      </c>
      <c r="BL274" s="4">
        <v>862</v>
      </c>
      <c r="BM274" s="4">
        <v>871</v>
      </c>
      <c r="BN274" s="4">
        <v>876</v>
      </c>
      <c r="BO274" s="4">
        <v>870</v>
      </c>
      <c r="BP274" s="4">
        <v>881</v>
      </c>
      <c r="BQ274" s="4">
        <v>874</v>
      </c>
      <c r="BR274" s="4">
        <v>878</v>
      </c>
      <c r="BS274" s="4">
        <v>879</v>
      </c>
      <c r="BT274" s="4">
        <v>879</v>
      </c>
      <c r="BU274" s="4">
        <v>877</v>
      </c>
      <c r="BV274" s="4">
        <v>869</v>
      </c>
      <c r="BW274" s="4">
        <v>870</v>
      </c>
      <c r="BX274" s="4">
        <v>873</v>
      </c>
      <c r="BY274" s="4">
        <v>872</v>
      </c>
      <c r="BZ274" s="4">
        <v>871</v>
      </c>
    </row>
    <row r="275" spans="1:78">
      <c r="A275" s="62" t="s">
        <v>488</v>
      </c>
      <c r="B275" s="4" t="str">
        <f>銘柄管理!C275</f>
        <v>大紀アルミニウム</v>
      </c>
      <c r="C275" s="4">
        <f>_xll.RssMarket("5702","現在値")</f>
        <v>1581</v>
      </c>
      <c r="D275" s="4">
        <f t="shared" si="8"/>
        <v>54</v>
      </c>
      <c r="E275" s="4">
        <v>1527</v>
      </c>
      <c r="F275" s="4">
        <v>1531</v>
      </c>
      <c r="G275" s="4">
        <v>1481</v>
      </c>
      <c r="H275" s="4">
        <v>1448</v>
      </c>
      <c r="I275" s="4">
        <v>1453</v>
      </c>
      <c r="J275" s="4">
        <v>1455</v>
      </c>
      <c r="K275" s="4">
        <v>1498</v>
      </c>
      <c r="L275" s="4">
        <v>1482</v>
      </c>
      <c r="M275" s="4">
        <v>1512</v>
      </c>
      <c r="N275" s="4">
        <v>1486</v>
      </c>
      <c r="O275" s="4">
        <v>1483</v>
      </c>
      <c r="P275" s="4">
        <v>1445</v>
      </c>
      <c r="Q275" s="4">
        <v>1508</v>
      </c>
      <c r="R275" s="4">
        <v>1511</v>
      </c>
      <c r="S275" s="4">
        <v>1461</v>
      </c>
      <c r="T275" s="4">
        <v>1472</v>
      </c>
      <c r="U275" s="4">
        <v>1472</v>
      </c>
      <c r="V275" s="4">
        <v>1456</v>
      </c>
      <c r="W275" s="4">
        <v>1485</v>
      </c>
      <c r="X275" s="4">
        <v>1511</v>
      </c>
      <c r="Y275" s="4">
        <v>1514</v>
      </c>
      <c r="Z275" s="4">
        <v>1485</v>
      </c>
      <c r="AA275" s="4">
        <v>1500</v>
      </c>
      <c r="AB275" s="4">
        <v>1483</v>
      </c>
      <c r="AC275" s="4">
        <v>1494</v>
      </c>
      <c r="AD275" s="4">
        <v>1511</v>
      </c>
      <c r="AE275" s="4">
        <v>1526</v>
      </c>
      <c r="AF275" s="4">
        <v>1589</v>
      </c>
      <c r="AG275" s="4">
        <v>1600</v>
      </c>
      <c r="AH275" s="4">
        <v>1653</v>
      </c>
      <c r="AI275" s="4">
        <v>1660</v>
      </c>
      <c r="AJ275" s="4">
        <v>1702</v>
      </c>
      <c r="AK275" s="4">
        <v>1704</v>
      </c>
      <c r="AL275" s="4">
        <v>1732</v>
      </c>
      <c r="AM275" s="4">
        <v>1829</v>
      </c>
      <c r="AN275" s="4">
        <v>1825</v>
      </c>
      <c r="AO275" s="4">
        <v>1816</v>
      </c>
      <c r="AP275" s="4">
        <v>1831</v>
      </c>
      <c r="AQ275" s="4">
        <v>1858</v>
      </c>
      <c r="AR275" s="4">
        <v>1931</v>
      </c>
      <c r="AS275" s="4">
        <v>1905</v>
      </c>
      <c r="AT275" s="4">
        <v>2007</v>
      </c>
      <c r="AU275" s="4">
        <v>1956</v>
      </c>
      <c r="AV275" s="4">
        <v>1923</v>
      </c>
      <c r="AW275" s="4">
        <v>1966</v>
      </c>
      <c r="AX275" s="4">
        <v>1973</v>
      </c>
      <c r="AY275" s="4">
        <v>1967</v>
      </c>
      <c r="AZ275" s="4">
        <v>1906</v>
      </c>
      <c r="BA275" s="4">
        <v>1857</v>
      </c>
      <c r="BB275" s="4">
        <v>1797</v>
      </c>
      <c r="BC275" s="4">
        <v>1828</v>
      </c>
      <c r="BD275" s="4">
        <v>1796</v>
      </c>
      <c r="BE275" s="4">
        <v>1848</v>
      </c>
      <c r="BF275" s="4">
        <v>1787</v>
      </c>
      <c r="BG275" s="4">
        <v>1603</v>
      </c>
      <c r="BH275" s="4">
        <v>1587</v>
      </c>
      <c r="BI275" s="4">
        <v>1596</v>
      </c>
      <c r="BJ275" s="4">
        <v>1613</v>
      </c>
      <c r="BK275" s="4">
        <v>1543</v>
      </c>
      <c r="BL275" s="4">
        <v>1496</v>
      </c>
      <c r="BM275" s="4">
        <v>1465</v>
      </c>
      <c r="BN275" s="4">
        <v>1491</v>
      </c>
      <c r="BO275" s="4">
        <v>1459</v>
      </c>
      <c r="BP275" s="4">
        <v>1447</v>
      </c>
      <c r="BQ275" s="4">
        <v>1462</v>
      </c>
      <c r="BR275" s="4">
        <v>1476</v>
      </c>
      <c r="BS275" s="4">
        <v>1495</v>
      </c>
      <c r="BT275" s="4">
        <v>1474</v>
      </c>
      <c r="BU275" s="4">
        <v>1521</v>
      </c>
      <c r="BV275" s="4">
        <v>1556</v>
      </c>
      <c r="BW275" s="4">
        <v>1559</v>
      </c>
      <c r="BX275" s="4">
        <v>1595</v>
      </c>
      <c r="BY275" s="4">
        <v>1565</v>
      </c>
      <c r="BZ275" s="4">
        <v>1543</v>
      </c>
    </row>
    <row r="276" spans="1:78">
      <c r="A276" s="62" t="s">
        <v>489</v>
      </c>
      <c r="B276" s="4" t="str">
        <f>銘柄管理!C276</f>
        <v>河合楽器</v>
      </c>
      <c r="C276" s="4">
        <f>_xll.RssMarket("7952","現在値")</f>
        <v>3585</v>
      </c>
      <c r="D276" s="4">
        <f t="shared" si="8"/>
        <v>20</v>
      </c>
      <c r="E276" s="4">
        <v>3565</v>
      </c>
      <c r="F276" s="4">
        <v>3545</v>
      </c>
      <c r="G276" s="4">
        <v>3480</v>
      </c>
      <c r="H276" s="4">
        <v>3390</v>
      </c>
      <c r="I276" s="4">
        <v>3365</v>
      </c>
      <c r="J276" s="4">
        <v>3200</v>
      </c>
      <c r="K276" s="4">
        <v>3285</v>
      </c>
      <c r="L276" s="4">
        <v>3265</v>
      </c>
      <c r="M276" s="4">
        <v>3300</v>
      </c>
      <c r="N276" s="4">
        <v>3280</v>
      </c>
      <c r="O276" s="4">
        <v>3300</v>
      </c>
      <c r="P276" s="4">
        <v>3205</v>
      </c>
      <c r="Q276" s="4">
        <v>3195</v>
      </c>
      <c r="R276" s="4">
        <v>3200</v>
      </c>
      <c r="S276" s="4">
        <v>3170</v>
      </c>
      <c r="T276" s="4">
        <v>3205</v>
      </c>
      <c r="U276" s="4">
        <v>3210</v>
      </c>
      <c r="V276" s="4">
        <v>3215</v>
      </c>
      <c r="W276" s="4">
        <v>3285</v>
      </c>
      <c r="X276" s="4">
        <v>3300</v>
      </c>
      <c r="Y276" s="4">
        <v>3265</v>
      </c>
      <c r="Z276" s="4">
        <v>3215</v>
      </c>
      <c r="AA276" s="4">
        <v>3170</v>
      </c>
      <c r="AB276" s="4">
        <v>3215</v>
      </c>
      <c r="AC276" s="4">
        <v>3210</v>
      </c>
      <c r="AD276" s="4">
        <v>3320</v>
      </c>
      <c r="AE276" s="4">
        <v>3350</v>
      </c>
      <c r="AF276" s="4">
        <v>3265</v>
      </c>
      <c r="AG276" s="4">
        <v>3275</v>
      </c>
      <c r="AH276" s="4">
        <v>3340</v>
      </c>
      <c r="AI276" s="4">
        <v>3295</v>
      </c>
      <c r="AJ276" s="4">
        <v>3275</v>
      </c>
      <c r="AK276" s="4">
        <v>3245</v>
      </c>
      <c r="AL276" s="4">
        <v>3250</v>
      </c>
      <c r="AM276" s="4">
        <v>3150</v>
      </c>
      <c r="AN276" s="4">
        <v>3020</v>
      </c>
      <c r="AO276" s="4">
        <v>3010</v>
      </c>
      <c r="AP276" s="4">
        <v>3095</v>
      </c>
      <c r="AQ276" s="4">
        <v>3145</v>
      </c>
      <c r="AR276" s="4">
        <v>3140</v>
      </c>
      <c r="AS276" s="4">
        <v>3195</v>
      </c>
      <c r="AT276" s="4">
        <v>3215</v>
      </c>
      <c r="AU276" s="4">
        <v>3135</v>
      </c>
      <c r="AV276" s="4">
        <v>3300</v>
      </c>
      <c r="AW276" s="4">
        <v>3210</v>
      </c>
      <c r="AX276" s="4">
        <v>3055</v>
      </c>
      <c r="AY276" s="4">
        <v>3035</v>
      </c>
      <c r="AZ276" s="4">
        <v>2950</v>
      </c>
      <c r="BA276" s="4">
        <v>2961</v>
      </c>
      <c r="BB276" s="4">
        <v>2930</v>
      </c>
      <c r="BC276" s="4">
        <v>3100</v>
      </c>
      <c r="BD276" s="4">
        <v>3080</v>
      </c>
      <c r="BE276" s="4">
        <v>3120</v>
      </c>
      <c r="BF276" s="4">
        <v>3005</v>
      </c>
      <c r="BG276" s="4">
        <v>2981</v>
      </c>
      <c r="BH276" s="4">
        <v>2937</v>
      </c>
      <c r="BI276" s="4">
        <v>2812</v>
      </c>
      <c r="BJ276" s="4">
        <v>2740</v>
      </c>
      <c r="BK276" s="4">
        <v>2825</v>
      </c>
      <c r="BL276" s="4">
        <v>2769</v>
      </c>
      <c r="BM276" s="4">
        <v>2745</v>
      </c>
      <c r="BN276" s="4">
        <v>2839</v>
      </c>
      <c r="BO276" s="4">
        <v>2829</v>
      </c>
      <c r="BP276" s="4">
        <v>2786</v>
      </c>
      <c r="BQ276" s="4">
        <v>2868</v>
      </c>
      <c r="BR276" s="4">
        <v>3025</v>
      </c>
      <c r="BS276" s="4">
        <v>3065</v>
      </c>
      <c r="BT276" s="4">
        <v>3050</v>
      </c>
      <c r="BU276" s="4">
        <v>3050</v>
      </c>
      <c r="BV276" s="4">
        <v>3135</v>
      </c>
      <c r="BW276" s="4">
        <v>3070</v>
      </c>
      <c r="BX276" s="4">
        <v>3020</v>
      </c>
      <c r="BY276" s="4">
        <v>3005</v>
      </c>
      <c r="BZ276" s="4">
        <v>3030</v>
      </c>
    </row>
    <row r="277" spans="1:78">
      <c r="A277" s="62" t="s">
        <v>490</v>
      </c>
      <c r="B277" s="4" t="str">
        <f>銘柄管理!C277</f>
        <v>グンゼ</v>
      </c>
      <c r="C277" s="4">
        <f>_xll.RssMarket("3002","現在値")</f>
        <v>4070</v>
      </c>
      <c r="D277" s="4">
        <f t="shared" si="8"/>
        <v>70</v>
      </c>
      <c r="E277" s="4">
        <v>4000</v>
      </c>
      <c r="F277" s="4">
        <v>3990</v>
      </c>
      <c r="G277" s="4">
        <v>4020</v>
      </c>
      <c r="H277" s="4">
        <v>4070</v>
      </c>
      <c r="I277" s="4">
        <v>4060</v>
      </c>
      <c r="J277" s="4">
        <v>4065</v>
      </c>
      <c r="K277" s="4">
        <v>4065</v>
      </c>
      <c r="M277" s="4">
        <v>3960</v>
      </c>
      <c r="N277" s="4">
        <v>3980</v>
      </c>
      <c r="O277" s="4">
        <v>3975</v>
      </c>
      <c r="P277" s="4">
        <v>3935</v>
      </c>
      <c r="Q277" s="4">
        <v>3995</v>
      </c>
      <c r="R277" s="4">
        <v>3980</v>
      </c>
      <c r="S277" s="4">
        <v>3970</v>
      </c>
      <c r="T277" s="4">
        <v>3980</v>
      </c>
      <c r="U277" s="4">
        <v>4035</v>
      </c>
      <c r="V277" s="4">
        <v>4020</v>
      </c>
      <c r="W277" s="4">
        <v>4040</v>
      </c>
      <c r="X277" s="4">
        <v>4040</v>
      </c>
      <c r="Y277" s="4">
        <v>4000</v>
      </c>
      <c r="Z277" s="4">
        <v>3935</v>
      </c>
      <c r="AA277" s="4">
        <v>3855</v>
      </c>
      <c r="AB277" s="4">
        <v>3865</v>
      </c>
      <c r="AC277" s="4">
        <v>3865</v>
      </c>
      <c r="AD277" s="4">
        <v>3845</v>
      </c>
      <c r="AE277" s="4">
        <v>3870</v>
      </c>
      <c r="AF277" s="4">
        <v>3800</v>
      </c>
      <c r="AG277" s="4">
        <v>3820</v>
      </c>
      <c r="AH277" s="4">
        <v>3850</v>
      </c>
      <c r="AI277" s="4">
        <v>3810</v>
      </c>
      <c r="AJ277" s="4">
        <v>3845</v>
      </c>
      <c r="AK277" s="4">
        <v>3820</v>
      </c>
      <c r="AL277" s="4">
        <v>3815</v>
      </c>
      <c r="AM277" s="4">
        <v>3815</v>
      </c>
      <c r="AN277" s="4">
        <v>3845</v>
      </c>
      <c r="AO277" s="4">
        <v>3725</v>
      </c>
      <c r="AP277" s="4">
        <v>3740</v>
      </c>
      <c r="AQ277" s="4">
        <v>3665</v>
      </c>
      <c r="AR277" s="4">
        <v>3715</v>
      </c>
      <c r="AS277" s="4">
        <v>3680</v>
      </c>
      <c r="AT277" s="4">
        <v>3700</v>
      </c>
      <c r="AU277" s="4">
        <v>3660</v>
      </c>
      <c r="AV277" s="4">
        <v>3725</v>
      </c>
      <c r="AW277" s="4">
        <v>3700</v>
      </c>
      <c r="AX277" s="4">
        <v>3725</v>
      </c>
      <c r="AY277" s="4">
        <v>3660</v>
      </c>
      <c r="AZ277" s="4">
        <v>3655</v>
      </c>
      <c r="BA277" s="4">
        <v>3695</v>
      </c>
      <c r="BB277" s="4">
        <v>3650</v>
      </c>
      <c r="BC277" s="4">
        <v>3725</v>
      </c>
      <c r="BD277" s="4">
        <v>3715</v>
      </c>
      <c r="BE277" s="4">
        <v>3735</v>
      </c>
      <c r="BF277" s="4">
        <v>3815</v>
      </c>
      <c r="BG277" s="4">
        <v>3585</v>
      </c>
      <c r="BH277" s="4">
        <v>3595</v>
      </c>
      <c r="BI277" s="4">
        <v>3620</v>
      </c>
      <c r="BJ277" s="4">
        <v>3620</v>
      </c>
      <c r="BK277" s="4">
        <v>3640</v>
      </c>
      <c r="BL277" s="4">
        <v>3595</v>
      </c>
      <c r="BM277" s="4">
        <v>3610</v>
      </c>
      <c r="BN277" s="4">
        <v>3710</v>
      </c>
      <c r="BO277" s="4">
        <v>3660</v>
      </c>
      <c r="BP277" s="4">
        <v>3670</v>
      </c>
      <c r="BQ277" s="4">
        <v>3700</v>
      </c>
      <c r="BR277" s="4">
        <v>3750</v>
      </c>
      <c r="BS277" s="4">
        <v>3840</v>
      </c>
      <c r="BT277" s="4">
        <v>3945</v>
      </c>
      <c r="BU277" s="4">
        <v>3910</v>
      </c>
      <c r="BV277" s="4">
        <v>3925</v>
      </c>
      <c r="BW277" s="4">
        <v>3860</v>
      </c>
      <c r="BX277" s="4">
        <v>3890</v>
      </c>
      <c r="BY277" s="4">
        <v>3920</v>
      </c>
      <c r="BZ277" s="4">
        <v>3945</v>
      </c>
    </row>
    <row r="278" spans="1:78">
      <c r="A278" s="62" t="s">
        <v>491</v>
      </c>
      <c r="B278" s="4" t="str">
        <f>銘柄管理!C278</f>
        <v>ゴールドクレスト</v>
      </c>
      <c r="C278" s="4">
        <f>_xll.RssMarket("8871","現在値")</f>
        <v>3225</v>
      </c>
      <c r="D278" s="4">
        <f t="shared" si="8"/>
        <v>25</v>
      </c>
      <c r="E278" s="4">
        <v>3200</v>
      </c>
      <c r="F278" s="4">
        <v>3255</v>
      </c>
      <c r="G278" s="4">
        <v>3245</v>
      </c>
      <c r="H278" s="4">
        <v>3325</v>
      </c>
      <c r="I278" s="4">
        <v>3400</v>
      </c>
      <c r="J278" s="4">
        <v>3360</v>
      </c>
      <c r="K278" s="4">
        <v>3375</v>
      </c>
      <c r="M278" s="4">
        <v>3355</v>
      </c>
      <c r="N278" s="4">
        <v>3365</v>
      </c>
      <c r="O278" s="4">
        <v>3365</v>
      </c>
      <c r="P278" s="4">
        <v>3300</v>
      </c>
      <c r="Q278" s="4">
        <v>3380</v>
      </c>
      <c r="R278" s="4">
        <v>3360</v>
      </c>
      <c r="S278" s="4">
        <v>3330</v>
      </c>
      <c r="T278" s="4">
        <v>3345</v>
      </c>
      <c r="U278" s="4">
        <v>3365</v>
      </c>
      <c r="V278" s="4">
        <v>3390</v>
      </c>
      <c r="W278" s="4">
        <v>3355</v>
      </c>
      <c r="X278" s="4">
        <v>3330</v>
      </c>
      <c r="Y278" s="4">
        <v>3280</v>
      </c>
      <c r="Z278" s="4">
        <v>3280</v>
      </c>
      <c r="AA278" s="4">
        <v>3250</v>
      </c>
      <c r="AB278" s="4">
        <v>3255</v>
      </c>
      <c r="AC278" s="4">
        <v>3325</v>
      </c>
      <c r="AD278" s="4">
        <v>3270</v>
      </c>
      <c r="AE278" s="4">
        <v>3215</v>
      </c>
      <c r="AF278" s="4">
        <v>3225</v>
      </c>
      <c r="AG278" s="4">
        <v>3230</v>
      </c>
      <c r="AH278" s="4">
        <v>3230</v>
      </c>
      <c r="AI278" s="4">
        <v>3290</v>
      </c>
      <c r="AJ278" s="4">
        <v>3230</v>
      </c>
      <c r="AK278" s="4">
        <v>3245</v>
      </c>
      <c r="AL278" s="4">
        <v>3305</v>
      </c>
      <c r="AM278" s="4">
        <v>3340</v>
      </c>
      <c r="AN278" s="4">
        <v>3355</v>
      </c>
      <c r="AO278" s="4">
        <v>3325</v>
      </c>
      <c r="AP278" s="4">
        <v>3330</v>
      </c>
      <c r="AQ278" s="4">
        <v>3265</v>
      </c>
      <c r="AR278" s="4">
        <v>3265</v>
      </c>
      <c r="AS278" s="4">
        <v>3220</v>
      </c>
      <c r="AT278" s="4">
        <v>3305</v>
      </c>
      <c r="AU278" s="4">
        <v>3415</v>
      </c>
      <c r="AV278" s="4">
        <v>3575</v>
      </c>
      <c r="AW278" s="4">
        <v>3570</v>
      </c>
      <c r="AX278" s="4">
        <v>3540</v>
      </c>
      <c r="AY278" s="4">
        <v>3500</v>
      </c>
      <c r="AZ278" s="4">
        <v>3520</v>
      </c>
      <c r="BA278" s="4">
        <v>3585</v>
      </c>
      <c r="BB278" s="4">
        <v>3560</v>
      </c>
      <c r="BC278" s="4">
        <v>3660</v>
      </c>
      <c r="BD278" s="4">
        <v>3700</v>
      </c>
      <c r="BE278" s="4">
        <v>3650</v>
      </c>
      <c r="BF278" s="4">
        <v>3290</v>
      </c>
      <c r="BG278" s="4">
        <v>3305</v>
      </c>
      <c r="BH278" s="4">
        <v>3345</v>
      </c>
      <c r="BI278" s="4">
        <v>3320</v>
      </c>
      <c r="BJ278" s="4">
        <v>3320</v>
      </c>
      <c r="BK278" s="4">
        <v>3330</v>
      </c>
      <c r="BL278" s="4">
        <v>3325</v>
      </c>
      <c r="BM278" s="4">
        <v>3340</v>
      </c>
      <c r="BN278" s="4">
        <v>3355</v>
      </c>
      <c r="BO278" s="4">
        <v>3335</v>
      </c>
      <c r="BP278" s="4">
        <v>3310</v>
      </c>
      <c r="BQ278" s="4">
        <v>3320</v>
      </c>
      <c r="BR278" s="4">
        <v>3310</v>
      </c>
      <c r="BS278" s="4">
        <v>3405</v>
      </c>
      <c r="BT278" s="4">
        <v>3420</v>
      </c>
      <c r="BU278" s="4">
        <v>3420</v>
      </c>
      <c r="BV278" s="4">
        <v>3465</v>
      </c>
      <c r="BW278" s="4">
        <v>3480</v>
      </c>
      <c r="BX278" s="4">
        <v>3465</v>
      </c>
      <c r="BY278" s="4">
        <v>3460</v>
      </c>
      <c r="BZ278" s="4">
        <v>3510</v>
      </c>
    </row>
    <row r="279" spans="1:78">
      <c r="A279" s="62" t="s">
        <v>492</v>
      </c>
      <c r="B279" s="4" t="str">
        <f>銘柄管理!C279</f>
        <v>アバールデータ</v>
      </c>
      <c r="C279" s="4">
        <f>_xll.RssMarket("6918","現在値")</f>
        <v>3345</v>
      </c>
      <c r="D279" s="4">
        <f t="shared" si="8"/>
        <v>135</v>
      </c>
      <c r="E279" s="4">
        <v>3210</v>
      </c>
      <c r="F279" s="4">
        <v>3095</v>
      </c>
      <c r="G279" s="4">
        <v>3120</v>
      </c>
      <c r="H279" s="4">
        <v>2949</v>
      </c>
      <c r="I279" s="4">
        <v>2916</v>
      </c>
      <c r="J279" s="4">
        <v>3100</v>
      </c>
      <c r="K279" s="4">
        <v>3180</v>
      </c>
      <c r="M279" s="4">
        <v>3275</v>
      </c>
      <c r="N279" s="4">
        <v>3260</v>
      </c>
      <c r="O279" s="4">
        <v>3200</v>
      </c>
      <c r="P279" s="4">
        <v>3025</v>
      </c>
      <c r="Q279" s="4">
        <v>3330</v>
      </c>
      <c r="R279" s="4">
        <v>3240</v>
      </c>
      <c r="S279" s="4">
        <v>3230</v>
      </c>
      <c r="T279" s="4">
        <v>3280</v>
      </c>
      <c r="U279" s="4">
        <v>3190</v>
      </c>
      <c r="V279" s="4">
        <v>3120</v>
      </c>
      <c r="W279" s="4">
        <v>3230</v>
      </c>
      <c r="X279" s="4">
        <v>3355</v>
      </c>
      <c r="Y279" s="4">
        <v>3375</v>
      </c>
      <c r="Z279" s="4">
        <v>3350</v>
      </c>
      <c r="AA279" s="4">
        <v>3380</v>
      </c>
      <c r="AB279" s="4">
        <v>3300</v>
      </c>
      <c r="AC279" s="4">
        <v>3265</v>
      </c>
      <c r="AD279" s="4">
        <v>3270</v>
      </c>
      <c r="AE279" s="4">
        <v>3410</v>
      </c>
      <c r="AF279" s="4">
        <v>3340</v>
      </c>
      <c r="AG279" s="4">
        <v>3390</v>
      </c>
      <c r="AH279" s="4">
        <v>3540</v>
      </c>
      <c r="AI279" s="4">
        <v>3365</v>
      </c>
      <c r="AJ279" s="4">
        <v>3450</v>
      </c>
      <c r="AK279" s="4">
        <v>3335</v>
      </c>
      <c r="AL279" s="4">
        <v>3270</v>
      </c>
      <c r="AM279" s="4">
        <v>3200</v>
      </c>
      <c r="AN279" s="4">
        <v>3055</v>
      </c>
      <c r="AO279" s="4">
        <v>2975</v>
      </c>
      <c r="AP279" s="4">
        <v>2900</v>
      </c>
      <c r="AQ279" s="4">
        <v>3060</v>
      </c>
      <c r="AR279" s="4">
        <v>3255</v>
      </c>
      <c r="AS279" s="4">
        <v>3285</v>
      </c>
      <c r="AT279" s="4">
        <v>3305</v>
      </c>
      <c r="AU279" s="4">
        <v>3415</v>
      </c>
      <c r="AV279" s="4">
        <v>3525</v>
      </c>
      <c r="AW279" s="4">
        <v>3490</v>
      </c>
      <c r="AX279" s="4">
        <v>3315</v>
      </c>
      <c r="AY279" s="4">
        <v>3470</v>
      </c>
      <c r="AZ279" s="4">
        <v>3400</v>
      </c>
      <c r="BA279" s="4">
        <v>3435</v>
      </c>
      <c r="BB279" s="4">
        <v>3310</v>
      </c>
      <c r="BC279" s="4">
        <v>3570</v>
      </c>
      <c r="BD279" s="4">
        <v>3760</v>
      </c>
      <c r="BE279" s="4">
        <v>3520</v>
      </c>
      <c r="BF279" s="4">
        <v>3535</v>
      </c>
      <c r="BG279" s="4">
        <v>3645</v>
      </c>
      <c r="BH279" s="4">
        <v>3670</v>
      </c>
      <c r="BI279" s="4">
        <v>3685</v>
      </c>
      <c r="BJ279" s="4">
        <v>3325</v>
      </c>
      <c r="BK279" s="4">
        <v>3295</v>
      </c>
      <c r="BL279" s="4">
        <v>3105</v>
      </c>
      <c r="BM279" s="4">
        <v>2933</v>
      </c>
      <c r="BN279" s="4">
        <v>2899</v>
      </c>
      <c r="BO279" s="4">
        <v>2969</v>
      </c>
      <c r="BP279" s="4">
        <v>3030</v>
      </c>
      <c r="BQ279" s="4">
        <v>3005</v>
      </c>
      <c r="BR279" s="4">
        <v>3060</v>
      </c>
      <c r="BS279" s="4">
        <v>3055</v>
      </c>
      <c r="BT279" s="4">
        <v>2957</v>
      </c>
      <c r="BU279" s="4">
        <v>2801</v>
      </c>
      <c r="BV279" s="4">
        <v>2854</v>
      </c>
      <c r="BW279" s="4">
        <v>2834</v>
      </c>
      <c r="BX279" s="4">
        <v>2852</v>
      </c>
      <c r="BY279" s="4">
        <v>2803</v>
      </c>
      <c r="BZ279" s="4">
        <v>2764</v>
      </c>
    </row>
    <row r="280" spans="1:78">
      <c r="A280" s="62" t="s">
        <v>493</v>
      </c>
      <c r="B280" s="4" t="str">
        <f>銘柄管理!C280</f>
        <v>ヨシタケ</v>
      </c>
      <c r="C280" s="4">
        <f>_xll.RssMarket("6488","現在値")</f>
        <v>988</v>
      </c>
      <c r="D280" s="4">
        <f t="shared" si="8"/>
        <v>-2</v>
      </c>
      <c r="E280" s="4">
        <v>990</v>
      </c>
      <c r="F280" s="4">
        <v>983</v>
      </c>
      <c r="G280" s="4">
        <v>980</v>
      </c>
      <c r="H280" s="4">
        <v>990</v>
      </c>
      <c r="I280" s="4">
        <v>986</v>
      </c>
      <c r="J280" s="4">
        <v>980</v>
      </c>
      <c r="K280" s="4">
        <v>980</v>
      </c>
      <c r="L280" s="4">
        <v>984</v>
      </c>
      <c r="M280" s="4">
        <v>977</v>
      </c>
      <c r="N280" s="4">
        <v>984</v>
      </c>
      <c r="O280" s="4">
        <v>979</v>
      </c>
      <c r="P280" s="4">
        <v>971</v>
      </c>
      <c r="Q280" s="4">
        <v>978</v>
      </c>
      <c r="R280" s="4">
        <v>979</v>
      </c>
      <c r="S280" s="4">
        <v>976</v>
      </c>
      <c r="T280" s="4">
        <v>966</v>
      </c>
      <c r="U280" s="4">
        <v>963</v>
      </c>
      <c r="V280" s="4">
        <v>960</v>
      </c>
      <c r="W280" s="4">
        <v>961</v>
      </c>
      <c r="X280" s="4">
        <v>966</v>
      </c>
      <c r="Y280" s="4">
        <v>965</v>
      </c>
      <c r="Z280" s="4">
        <v>968</v>
      </c>
      <c r="AA280" s="4">
        <v>939</v>
      </c>
      <c r="AB280" s="4">
        <v>940</v>
      </c>
      <c r="AC280" s="4">
        <v>939</v>
      </c>
      <c r="AD280" s="4">
        <v>934</v>
      </c>
      <c r="AE280" s="4">
        <v>935</v>
      </c>
      <c r="AF280" s="4">
        <v>937</v>
      </c>
      <c r="AG280" s="4">
        <v>942</v>
      </c>
      <c r="AH280" s="4">
        <v>942</v>
      </c>
      <c r="AI280" s="4">
        <v>935</v>
      </c>
      <c r="AJ280" s="4">
        <v>923</v>
      </c>
      <c r="AK280" s="4">
        <v>924</v>
      </c>
      <c r="AL280" s="4">
        <v>918</v>
      </c>
      <c r="AM280" s="4">
        <v>920</v>
      </c>
      <c r="AN280" s="4">
        <v>913</v>
      </c>
      <c r="AO280" s="4">
        <v>915</v>
      </c>
      <c r="AP280" s="4">
        <v>921</v>
      </c>
      <c r="AQ280" s="4">
        <v>933</v>
      </c>
      <c r="AR280" s="4">
        <v>936</v>
      </c>
      <c r="AS280" s="4">
        <v>934</v>
      </c>
      <c r="AT280" s="4">
        <v>931</v>
      </c>
      <c r="AU280" s="4">
        <v>931</v>
      </c>
      <c r="AV280" s="4">
        <v>932</v>
      </c>
      <c r="AW280" s="4">
        <v>926</v>
      </c>
      <c r="AX280" s="4">
        <v>932</v>
      </c>
      <c r="AY280" s="4">
        <v>950</v>
      </c>
      <c r="AZ280" s="4">
        <v>951</v>
      </c>
      <c r="BA280" s="4">
        <v>961</v>
      </c>
      <c r="BB280" s="4">
        <v>953</v>
      </c>
      <c r="BC280" s="4">
        <v>972</v>
      </c>
      <c r="BD280" s="4">
        <v>955</v>
      </c>
      <c r="BE280" s="4">
        <v>958</v>
      </c>
      <c r="BF280" s="4">
        <v>980</v>
      </c>
      <c r="BG280" s="4">
        <v>933</v>
      </c>
      <c r="BH280" s="4">
        <v>932</v>
      </c>
      <c r="BI280" s="4">
        <v>937</v>
      </c>
      <c r="BJ280" s="4">
        <v>936</v>
      </c>
      <c r="BK280" s="4">
        <v>935</v>
      </c>
      <c r="BL280" s="4">
        <v>935</v>
      </c>
      <c r="BM280" s="4">
        <v>943</v>
      </c>
      <c r="BN280" s="4">
        <v>944</v>
      </c>
      <c r="BO280" s="4">
        <v>937</v>
      </c>
      <c r="BP280" s="4">
        <v>934</v>
      </c>
      <c r="BQ280" s="4">
        <v>934</v>
      </c>
      <c r="BR280" s="4">
        <v>934</v>
      </c>
      <c r="BS280" s="4">
        <v>940</v>
      </c>
      <c r="BT280" s="4">
        <v>953</v>
      </c>
      <c r="BU280" s="4">
        <v>956</v>
      </c>
      <c r="BV280" s="4">
        <v>952</v>
      </c>
      <c r="BW280" s="4">
        <v>940</v>
      </c>
      <c r="BX280" s="4">
        <v>940</v>
      </c>
      <c r="BY280" s="4">
        <v>944</v>
      </c>
      <c r="BZ280" s="4">
        <v>945</v>
      </c>
    </row>
    <row r="281" spans="1:78">
      <c r="A281" s="62" t="s">
        <v>494</v>
      </c>
      <c r="B281" s="4" t="str">
        <f>銘柄管理!C281</f>
        <v>高島</v>
      </c>
      <c r="C281" s="4">
        <f>_xll.RssMarket("8007","現在値")</f>
        <v>793</v>
      </c>
      <c r="D281" s="4">
        <f t="shared" si="8"/>
        <v>0</v>
      </c>
      <c r="E281" s="4">
        <v>793</v>
      </c>
      <c r="F281" s="4">
        <v>797</v>
      </c>
      <c r="G281" s="4">
        <v>812</v>
      </c>
      <c r="H281" s="4">
        <v>814</v>
      </c>
      <c r="I281" s="4">
        <v>811</v>
      </c>
      <c r="J281" s="4">
        <v>805</v>
      </c>
      <c r="K281" s="4">
        <v>804</v>
      </c>
      <c r="L281" s="4">
        <v>795</v>
      </c>
      <c r="M281" s="4">
        <v>798</v>
      </c>
      <c r="N281" s="4">
        <v>792</v>
      </c>
      <c r="O281" s="4">
        <v>785</v>
      </c>
      <c r="P281" s="4">
        <v>778</v>
      </c>
      <c r="Q281" s="4">
        <v>790</v>
      </c>
      <c r="R281" s="4">
        <v>782</v>
      </c>
      <c r="S281" s="4">
        <v>776</v>
      </c>
      <c r="T281" s="4">
        <v>780</v>
      </c>
      <c r="U281" s="4">
        <v>772</v>
      </c>
      <c r="V281" s="4">
        <v>770</v>
      </c>
      <c r="W281" s="4">
        <v>770</v>
      </c>
      <c r="X281" s="4">
        <v>771</v>
      </c>
      <c r="Y281" s="4">
        <v>764</v>
      </c>
      <c r="Z281" s="4">
        <v>755</v>
      </c>
      <c r="AA281" s="4">
        <v>754</v>
      </c>
      <c r="AB281" s="4">
        <v>765</v>
      </c>
      <c r="AC281" s="4">
        <v>758</v>
      </c>
      <c r="AD281" s="4">
        <v>751</v>
      </c>
      <c r="AE281" s="4">
        <v>745</v>
      </c>
      <c r="AF281" s="4">
        <v>742</v>
      </c>
      <c r="AG281" s="4">
        <v>738</v>
      </c>
      <c r="AH281" s="4">
        <v>748</v>
      </c>
      <c r="AI281" s="4">
        <v>741</v>
      </c>
      <c r="AJ281" s="4">
        <v>747</v>
      </c>
      <c r="AK281" s="4">
        <v>749</v>
      </c>
      <c r="AL281" s="4">
        <v>746</v>
      </c>
      <c r="AM281" s="4">
        <v>763</v>
      </c>
      <c r="AN281" s="4">
        <v>740</v>
      </c>
      <c r="AO281" s="4">
        <v>736</v>
      </c>
      <c r="AP281" s="4">
        <v>741</v>
      </c>
      <c r="AQ281" s="4">
        <v>740</v>
      </c>
      <c r="AR281" s="4">
        <v>736</v>
      </c>
      <c r="AS281" s="4">
        <v>729</v>
      </c>
      <c r="AT281" s="4">
        <v>731</v>
      </c>
      <c r="AU281" s="4">
        <v>725</v>
      </c>
      <c r="AV281" s="4">
        <v>766</v>
      </c>
      <c r="AW281" s="4">
        <v>763</v>
      </c>
      <c r="AX281" s="4">
        <v>753</v>
      </c>
      <c r="AY281" s="4">
        <v>745</v>
      </c>
      <c r="AZ281" s="4">
        <v>736</v>
      </c>
      <c r="BA281" s="4">
        <v>741</v>
      </c>
      <c r="BB281" s="4">
        <v>728</v>
      </c>
      <c r="BC281" s="4">
        <v>744</v>
      </c>
      <c r="BD281" s="4">
        <v>754</v>
      </c>
      <c r="BE281" s="4">
        <v>764</v>
      </c>
      <c r="BF281" s="4">
        <v>773</v>
      </c>
      <c r="BG281" s="4">
        <v>689</v>
      </c>
      <c r="BH281" s="4">
        <v>768</v>
      </c>
      <c r="BI281" s="4">
        <v>769</v>
      </c>
      <c r="BJ281" s="4">
        <v>782</v>
      </c>
      <c r="BK281" s="4">
        <v>793</v>
      </c>
      <c r="BL281" s="4">
        <v>794</v>
      </c>
      <c r="BM281" s="4">
        <v>784</v>
      </c>
      <c r="BN281" s="4">
        <v>798</v>
      </c>
      <c r="BO281" s="4">
        <v>772</v>
      </c>
      <c r="BP281" s="4">
        <v>768</v>
      </c>
      <c r="BQ281" s="4">
        <v>775</v>
      </c>
      <c r="BR281" s="4">
        <v>776</v>
      </c>
      <c r="BS281" s="4">
        <v>786</v>
      </c>
      <c r="BT281" s="4">
        <v>794</v>
      </c>
      <c r="BU281" s="4">
        <v>806</v>
      </c>
      <c r="BV281" s="4">
        <v>812</v>
      </c>
      <c r="BW281" s="4">
        <v>810</v>
      </c>
      <c r="BX281" s="4">
        <v>810</v>
      </c>
      <c r="BY281" s="4">
        <v>812</v>
      </c>
      <c r="BZ281" s="4">
        <v>817</v>
      </c>
    </row>
    <row r="282" spans="1:78">
      <c r="A282" s="62" t="s">
        <v>495</v>
      </c>
      <c r="B282" s="4" t="str">
        <f>銘柄管理!C282</f>
        <v>ニチバン</v>
      </c>
      <c r="C282" s="4">
        <f>_xll.RssMarket("4218","現在値")</f>
        <v>1949</v>
      </c>
      <c r="D282" s="4">
        <f t="shared" si="8"/>
        <v>8</v>
      </c>
      <c r="E282" s="4">
        <v>1941</v>
      </c>
      <c r="F282" s="4">
        <v>1928</v>
      </c>
      <c r="G282" s="4">
        <v>1947</v>
      </c>
      <c r="H282" s="4">
        <v>1961</v>
      </c>
      <c r="I282" s="4">
        <v>1974</v>
      </c>
      <c r="J282" s="4">
        <v>1942</v>
      </c>
      <c r="K282" s="4">
        <v>1932</v>
      </c>
      <c r="L282" s="4">
        <v>1910</v>
      </c>
      <c r="M282" s="4">
        <v>1910</v>
      </c>
      <c r="N282" s="4">
        <v>1913</v>
      </c>
      <c r="O282" s="4">
        <v>1913</v>
      </c>
      <c r="P282" s="4">
        <v>1934</v>
      </c>
      <c r="Q282" s="4">
        <v>1912</v>
      </c>
      <c r="R282" s="4">
        <v>1912</v>
      </c>
      <c r="S282" s="4">
        <v>1894</v>
      </c>
      <c r="T282" s="4">
        <v>1897</v>
      </c>
      <c r="U282" s="4">
        <v>1906</v>
      </c>
      <c r="V282" s="4">
        <v>1913</v>
      </c>
      <c r="W282" s="4">
        <v>1903</v>
      </c>
      <c r="X282" s="4">
        <v>1886</v>
      </c>
      <c r="Y282" s="4">
        <v>1895</v>
      </c>
      <c r="Z282" s="4">
        <v>1895</v>
      </c>
      <c r="AA282" s="4">
        <v>1875</v>
      </c>
      <c r="AB282" s="4">
        <v>1873</v>
      </c>
      <c r="AC282" s="4">
        <v>1894</v>
      </c>
      <c r="AD282" s="4">
        <v>1867</v>
      </c>
      <c r="AE282" s="4">
        <v>1849</v>
      </c>
      <c r="AF282" s="4">
        <v>1844</v>
      </c>
      <c r="AG282" s="4">
        <v>1842</v>
      </c>
      <c r="AH282" s="4">
        <v>1828</v>
      </c>
      <c r="AI282" s="4">
        <v>1829</v>
      </c>
      <c r="AJ282" s="4">
        <v>1847</v>
      </c>
      <c r="AK282" s="4">
        <v>1834</v>
      </c>
      <c r="AL282" s="4">
        <v>1835</v>
      </c>
      <c r="AM282" s="4">
        <v>1841</v>
      </c>
      <c r="AN282" s="4">
        <v>1837</v>
      </c>
      <c r="AO282" s="4">
        <v>1835</v>
      </c>
      <c r="AP282" s="4">
        <v>1826</v>
      </c>
      <c r="AQ282" s="4">
        <v>1800</v>
      </c>
      <c r="AR282" s="4">
        <v>1805</v>
      </c>
      <c r="AS282" s="4">
        <v>1792</v>
      </c>
      <c r="AT282" s="4">
        <v>1813</v>
      </c>
      <c r="AU282" s="4">
        <v>1792</v>
      </c>
      <c r="AV282" s="4">
        <v>1825</v>
      </c>
      <c r="AW282" s="4">
        <v>1849</v>
      </c>
      <c r="AX282" s="4">
        <v>1863</v>
      </c>
      <c r="AY282" s="4">
        <v>1866</v>
      </c>
      <c r="AZ282" s="4">
        <v>1869</v>
      </c>
      <c r="BA282" s="4">
        <v>1859</v>
      </c>
      <c r="BB282" s="4">
        <v>1863</v>
      </c>
      <c r="BC282" s="4">
        <v>1880</v>
      </c>
      <c r="BD282" s="4">
        <v>1866</v>
      </c>
      <c r="BE282" s="4">
        <v>1902</v>
      </c>
      <c r="BF282" s="4">
        <v>1897</v>
      </c>
      <c r="BG282" s="4">
        <v>1849</v>
      </c>
      <c r="BH282" s="4">
        <v>1830</v>
      </c>
      <c r="BI282" s="4">
        <v>1821</v>
      </c>
      <c r="BJ282" s="4">
        <v>1836</v>
      </c>
      <c r="BK282" s="4">
        <v>1849</v>
      </c>
      <c r="BL282" s="4">
        <v>1833</v>
      </c>
      <c r="BM282" s="4">
        <v>1817</v>
      </c>
      <c r="BN282" s="4">
        <v>1825</v>
      </c>
      <c r="BO282" s="4">
        <v>1818</v>
      </c>
      <c r="BP282" s="4">
        <v>1824</v>
      </c>
      <c r="BQ282" s="4">
        <v>1842</v>
      </c>
      <c r="BR282" s="4">
        <v>1856</v>
      </c>
      <c r="BS282" s="4">
        <v>1872</v>
      </c>
      <c r="BT282" s="4">
        <v>1885</v>
      </c>
      <c r="BU282" s="4">
        <v>1889</v>
      </c>
      <c r="BV282" s="4">
        <v>1884</v>
      </c>
      <c r="BW282" s="4">
        <v>1887</v>
      </c>
      <c r="BX282" s="4">
        <v>1882</v>
      </c>
      <c r="BY282" s="4">
        <v>1890</v>
      </c>
      <c r="BZ282" s="4">
        <v>1896</v>
      </c>
    </row>
    <row r="283" spans="1:78">
      <c r="A283" s="62" t="s">
        <v>496</v>
      </c>
      <c r="B283" s="4" t="str">
        <f>銘柄管理!C283</f>
        <v>ＳＣＲＥＥＮホールディングス</v>
      </c>
      <c r="C283" s="4">
        <f>_xll.RssMarket("7735","現在値")</f>
        <v>13750</v>
      </c>
      <c r="D283" s="4">
        <f t="shared" si="8"/>
        <v>680</v>
      </c>
      <c r="E283" s="4">
        <v>13070</v>
      </c>
      <c r="F283" s="4">
        <v>12350</v>
      </c>
      <c r="G283" s="4">
        <v>12600</v>
      </c>
      <c r="H283" s="4">
        <v>11980</v>
      </c>
      <c r="I283" s="4">
        <v>11730</v>
      </c>
      <c r="J283" s="4">
        <v>14175</v>
      </c>
      <c r="K283" s="4">
        <v>15895</v>
      </c>
      <c r="L283" s="4">
        <v>15850</v>
      </c>
      <c r="M283" s="4">
        <v>16650</v>
      </c>
      <c r="N283" s="4">
        <v>16500</v>
      </c>
      <c r="O283" s="4">
        <v>16980</v>
      </c>
      <c r="P283" s="4">
        <v>16510</v>
      </c>
      <c r="Q283" s="4">
        <v>18930</v>
      </c>
      <c r="R283" s="4">
        <v>18160</v>
      </c>
      <c r="S283" s="4">
        <v>17755</v>
      </c>
      <c r="T283" s="4">
        <v>18150</v>
      </c>
      <c r="U283" s="4">
        <v>17750</v>
      </c>
      <c r="V283" s="4">
        <v>16890</v>
      </c>
      <c r="W283" s="4">
        <v>17090</v>
      </c>
      <c r="X283" s="4">
        <v>17860</v>
      </c>
      <c r="Y283" s="4">
        <v>18940</v>
      </c>
      <c r="Z283" s="4">
        <v>18055</v>
      </c>
      <c r="AA283" s="4">
        <v>19490</v>
      </c>
      <c r="AB283" s="4">
        <v>17805</v>
      </c>
      <c r="AC283" s="4">
        <v>16765</v>
      </c>
      <c r="AD283" s="4">
        <v>16535</v>
      </c>
      <c r="AE283" s="4">
        <v>17625</v>
      </c>
      <c r="AF283" s="4">
        <v>16130</v>
      </c>
      <c r="AG283" s="4">
        <v>16150</v>
      </c>
      <c r="AH283" s="4">
        <v>17010</v>
      </c>
      <c r="AI283" s="4">
        <v>16745</v>
      </c>
      <c r="AJ283" s="4">
        <v>16425</v>
      </c>
      <c r="AK283" s="4">
        <v>15320</v>
      </c>
      <c r="AL283" s="4">
        <v>14970</v>
      </c>
      <c r="AM283" s="4">
        <v>14860</v>
      </c>
      <c r="AN283" s="4">
        <v>13945</v>
      </c>
      <c r="AO283" s="4">
        <v>12990</v>
      </c>
      <c r="AP283" s="4">
        <v>12980</v>
      </c>
      <c r="AQ283" s="4">
        <v>11760</v>
      </c>
      <c r="AR283" s="4">
        <v>12630</v>
      </c>
      <c r="AS283" s="4">
        <v>13440</v>
      </c>
      <c r="AT283" s="4">
        <v>13345</v>
      </c>
      <c r="AU283" s="4">
        <v>11315</v>
      </c>
      <c r="AV283" s="4">
        <v>11120</v>
      </c>
      <c r="AW283" s="4">
        <v>11030</v>
      </c>
      <c r="AX283" s="4">
        <v>11220</v>
      </c>
      <c r="AY283" s="4">
        <v>11035</v>
      </c>
      <c r="AZ283" s="4">
        <v>10765</v>
      </c>
      <c r="BA283" s="4">
        <v>10730</v>
      </c>
      <c r="BB283" s="4">
        <v>10545</v>
      </c>
      <c r="BC283" s="4">
        <v>10520</v>
      </c>
      <c r="BD283" s="4">
        <v>10885</v>
      </c>
      <c r="BE283" s="4">
        <v>11335</v>
      </c>
      <c r="BF283" s="4">
        <v>12205</v>
      </c>
      <c r="BG283" s="4">
        <v>11215</v>
      </c>
      <c r="BH283" s="4">
        <v>11430</v>
      </c>
      <c r="BI283" s="4">
        <v>11410</v>
      </c>
      <c r="BJ283" s="4">
        <v>11380</v>
      </c>
      <c r="BK283" s="4">
        <v>11300</v>
      </c>
      <c r="BL283" s="4">
        <v>10390</v>
      </c>
      <c r="BM283" s="4">
        <v>10230</v>
      </c>
      <c r="BN283" s="4">
        <v>10445</v>
      </c>
      <c r="BO283" s="4">
        <v>10805</v>
      </c>
      <c r="BP283" s="4">
        <v>10610</v>
      </c>
      <c r="BQ283" s="4">
        <v>10335</v>
      </c>
      <c r="BR283" s="4">
        <v>10435</v>
      </c>
      <c r="BS283" s="4">
        <v>10700</v>
      </c>
      <c r="BT283" s="4">
        <v>10575</v>
      </c>
      <c r="BU283" s="4">
        <v>10510</v>
      </c>
      <c r="BV283" s="4">
        <v>11280</v>
      </c>
      <c r="BW283" s="4">
        <v>10930</v>
      </c>
      <c r="BX283" s="4">
        <v>11200</v>
      </c>
      <c r="BY283" s="4">
        <v>10695</v>
      </c>
      <c r="BZ283" s="4">
        <v>10745</v>
      </c>
    </row>
    <row r="284" spans="1:78">
      <c r="A284" s="62" t="s">
        <v>497</v>
      </c>
      <c r="B284" s="4" t="str">
        <f>銘柄管理!C284</f>
        <v>データセクション</v>
      </c>
      <c r="C284" s="4">
        <f>_xll.RssMarket("3905","現在値")</f>
        <v>2254</v>
      </c>
      <c r="D284" s="4">
        <f t="shared" si="8"/>
        <v>99</v>
      </c>
      <c r="E284" s="4">
        <v>2155</v>
      </c>
      <c r="F284" s="4">
        <v>2200</v>
      </c>
      <c r="G284" s="4">
        <v>2134</v>
      </c>
      <c r="H284" s="4">
        <v>1876</v>
      </c>
      <c r="I284" s="4">
        <v>1930</v>
      </c>
      <c r="J284" s="4">
        <v>2094</v>
      </c>
      <c r="K284" s="4">
        <v>2323</v>
      </c>
      <c r="L284" s="4">
        <v>2328</v>
      </c>
      <c r="M284" s="4">
        <v>2435</v>
      </c>
      <c r="N284" s="4">
        <v>2419</v>
      </c>
      <c r="O284" s="4">
        <v>2511</v>
      </c>
      <c r="P284" s="4">
        <v>2527</v>
      </c>
      <c r="Q284" s="4">
        <v>2994</v>
      </c>
      <c r="R284" s="4">
        <v>2845</v>
      </c>
      <c r="S284" s="4">
        <v>2840</v>
      </c>
      <c r="T284" s="4">
        <v>2871</v>
      </c>
      <c r="U284" s="4">
        <v>2925</v>
      </c>
      <c r="V284" s="4">
        <v>2734</v>
      </c>
      <c r="W284" s="4">
        <v>2795</v>
      </c>
      <c r="X284" s="4">
        <v>2999</v>
      </c>
      <c r="Y284" s="4">
        <v>3160</v>
      </c>
      <c r="Z284" s="4">
        <v>3105</v>
      </c>
      <c r="AA284" s="4">
        <v>3420</v>
      </c>
      <c r="AB284" s="4">
        <v>3465</v>
      </c>
      <c r="AC284" s="4">
        <v>3595</v>
      </c>
      <c r="AD284" s="4">
        <v>4180</v>
      </c>
      <c r="AE284" s="4">
        <v>4860</v>
      </c>
      <c r="AF284" s="4">
        <v>4640</v>
      </c>
      <c r="AG284" s="4">
        <v>4520</v>
      </c>
      <c r="AH284" s="4">
        <v>5030</v>
      </c>
      <c r="AI284" s="4">
        <v>5270</v>
      </c>
      <c r="AJ284" s="4">
        <v>5110</v>
      </c>
      <c r="AK284" s="4">
        <v>4915</v>
      </c>
      <c r="AL284" s="4">
        <v>5200</v>
      </c>
      <c r="AM284" s="4">
        <v>4845</v>
      </c>
      <c r="AN284" s="4">
        <v>4580</v>
      </c>
      <c r="AO284" s="4">
        <v>4340</v>
      </c>
      <c r="AP284" s="4">
        <v>4315</v>
      </c>
      <c r="AQ284" s="4">
        <v>4940</v>
      </c>
      <c r="AR284" s="4">
        <v>4900</v>
      </c>
      <c r="AS284" s="4">
        <v>5690</v>
      </c>
      <c r="AT284" s="4">
        <v>5060</v>
      </c>
      <c r="AU284" s="4">
        <v>4360</v>
      </c>
      <c r="AV284" s="4">
        <v>6140</v>
      </c>
      <c r="AW284" s="4">
        <v>5140</v>
      </c>
      <c r="AX284" s="4">
        <v>4435</v>
      </c>
      <c r="AY284" s="4">
        <v>4490</v>
      </c>
      <c r="AZ284" s="4">
        <v>4800</v>
      </c>
      <c r="BA284" s="4">
        <v>4100</v>
      </c>
      <c r="BB284" s="4">
        <v>3400</v>
      </c>
      <c r="BC284" s="4">
        <v>3345</v>
      </c>
      <c r="BD284" s="4">
        <v>2843</v>
      </c>
      <c r="BE284" s="4">
        <v>2343</v>
      </c>
      <c r="BF284" s="4">
        <v>2149</v>
      </c>
      <c r="BG284" s="4">
        <v>2279</v>
      </c>
      <c r="BH284" s="4">
        <v>2250</v>
      </c>
      <c r="BI284" s="4">
        <v>2360</v>
      </c>
      <c r="BJ284" s="4">
        <v>2089</v>
      </c>
      <c r="BK284" s="4">
        <v>1689</v>
      </c>
      <c r="BL284" s="4">
        <v>1474</v>
      </c>
      <c r="BM284" s="4">
        <v>1487</v>
      </c>
      <c r="BN284" s="4">
        <v>1503</v>
      </c>
      <c r="BO284" s="4">
        <v>1467</v>
      </c>
      <c r="BP284" s="4">
        <v>1479</v>
      </c>
      <c r="BQ284" s="4">
        <v>1504</v>
      </c>
      <c r="BR284" s="4">
        <v>1526</v>
      </c>
      <c r="BS284" s="4">
        <v>1589</v>
      </c>
      <c r="BT284" s="4">
        <v>1590</v>
      </c>
      <c r="BU284" s="4">
        <v>1602</v>
      </c>
      <c r="BV284" s="4">
        <v>1547</v>
      </c>
      <c r="BW284" s="4">
        <v>1473</v>
      </c>
      <c r="BX284" s="4">
        <v>1447</v>
      </c>
      <c r="BY284" s="4">
        <v>1363</v>
      </c>
      <c r="BZ284" s="4">
        <v>1365</v>
      </c>
    </row>
    <row r="285" spans="1:78">
      <c r="A285" s="62" t="s">
        <v>498</v>
      </c>
      <c r="B285" s="4" t="str">
        <f>銘柄管理!C285</f>
        <v>トリドールホールディングス</v>
      </c>
      <c r="C285" s="4">
        <f>_xll.RssMarket("3397","現在値")</f>
        <v>4142</v>
      </c>
      <c r="D285" s="4">
        <f t="shared" si="8"/>
        <v>-13</v>
      </c>
      <c r="E285" s="4">
        <v>4155</v>
      </c>
      <c r="F285" s="4">
        <v>4305</v>
      </c>
      <c r="G285" s="4">
        <v>4345</v>
      </c>
      <c r="H285" s="4">
        <v>4509</v>
      </c>
      <c r="I285" s="4">
        <v>4584</v>
      </c>
      <c r="J285" s="4">
        <v>4307</v>
      </c>
      <c r="K285" s="4">
        <v>4185</v>
      </c>
      <c r="L285" s="4">
        <v>4070</v>
      </c>
      <c r="M285" s="4">
        <v>4036</v>
      </c>
      <c r="N285" s="4">
        <v>4065</v>
      </c>
      <c r="O285" s="4">
        <v>4171</v>
      </c>
      <c r="P285" s="4">
        <v>4150</v>
      </c>
      <c r="Q285" s="4">
        <v>4067</v>
      </c>
      <c r="R285" s="4">
        <v>4109</v>
      </c>
      <c r="S285" s="4">
        <v>4019</v>
      </c>
      <c r="T285" s="4">
        <v>3968</v>
      </c>
      <c r="U285" s="4">
        <v>4025</v>
      </c>
      <c r="V285" s="4">
        <v>4026</v>
      </c>
      <c r="W285" s="4">
        <v>3983</v>
      </c>
      <c r="X285" s="4">
        <v>3900</v>
      </c>
      <c r="Y285" s="4">
        <v>3840</v>
      </c>
      <c r="Z285" s="4">
        <v>3892</v>
      </c>
      <c r="AA285" s="4">
        <v>3794</v>
      </c>
      <c r="AB285" s="4">
        <v>3845</v>
      </c>
      <c r="AC285" s="4">
        <v>3886</v>
      </c>
      <c r="AD285" s="4">
        <v>3736</v>
      </c>
      <c r="AE285" s="4">
        <v>3764</v>
      </c>
      <c r="AF285" s="4">
        <v>3654</v>
      </c>
      <c r="AG285" s="4">
        <v>3600</v>
      </c>
      <c r="AH285" s="4">
        <v>3598</v>
      </c>
      <c r="AI285" s="4">
        <v>3569</v>
      </c>
      <c r="AJ285" s="4">
        <v>3574</v>
      </c>
      <c r="AK285" s="4">
        <v>3653</v>
      </c>
      <c r="AL285" s="4">
        <v>3733</v>
      </c>
      <c r="AM285" s="4">
        <v>3740</v>
      </c>
      <c r="AN285" s="4">
        <v>3821</v>
      </c>
      <c r="AO285" s="4">
        <v>3905</v>
      </c>
      <c r="AP285" s="4">
        <v>3856</v>
      </c>
      <c r="AQ285" s="4">
        <v>3775</v>
      </c>
      <c r="AR285" s="4">
        <v>3676</v>
      </c>
      <c r="AS285" s="4">
        <v>3731</v>
      </c>
      <c r="AT285" s="4">
        <v>3824</v>
      </c>
      <c r="AU285" s="4">
        <v>3831</v>
      </c>
      <c r="AV285" s="4">
        <v>3783</v>
      </c>
      <c r="AW285" s="4">
        <v>3789</v>
      </c>
      <c r="AX285" s="4">
        <v>3739</v>
      </c>
      <c r="AY285" s="4">
        <v>3895</v>
      </c>
      <c r="AZ285" s="4">
        <v>3855</v>
      </c>
      <c r="BA285" s="4">
        <v>3800</v>
      </c>
      <c r="BB285" s="4">
        <v>3895</v>
      </c>
      <c r="BC285" s="4">
        <v>3856</v>
      </c>
      <c r="BD285" s="4">
        <v>3750</v>
      </c>
      <c r="BE285" s="4">
        <v>3758</v>
      </c>
      <c r="BF285" s="4">
        <v>3886</v>
      </c>
      <c r="BG285" s="4">
        <v>3995</v>
      </c>
      <c r="BH285" s="4">
        <v>3930</v>
      </c>
      <c r="BI285" s="4">
        <v>3960</v>
      </c>
      <c r="BJ285" s="4">
        <v>3965</v>
      </c>
      <c r="BK285" s="4">
        <v>3995</v>
      </c>
      <c r="BL285" s="4">
        <v>4008</v>
      </c>
      <c r="BM285" s="4">
        <v>4045</v>
      </c>
      <c r="BN285" s="4">
        <v>4108</v>
      </c>
      <c r="BO285" s="4">
        <v>4055</v>
      </c>
      <c r="BP285" s="4">
        <v>4072</v>
      </c>
      <c r="BQ285" s="4">
        <v>4111</v>
      </c>
      <c r="BR285" s="4">
        <v>4155</v>
      </c>
      <c r="BS285" s="4">
        <v>4157</v>
      </c>
      <c r="BT285" s="4">
        <v>4215</v>
      </c>
      <c r="BU285" s="4">
        <v>4180</v>
      </c>
      <c r="BV285" s="4">
        <v>4215</v>
      </c>
      <c r="BW285" s="4">
        <v>4272</v>
      </c>
      <c r="BX285" s="4">
        <v>4225</v>
      </c>
      <c r="BY285" s="4">
        <v>4258</v>
      </c>
      <c r="BZ285" s="4">
        <v>4293</v>
      </c>
    </row>
    <row r="286" spans="1:78">
      <c r="A286" s="62" t="s">
        <v>499</v>
      </c>
      <c r="B286" s="4" t="str">
        <f>銘柄管理!C286</f>
        <v>ＳＵＢＡＲＵ</v>
      </c>
      <c r="C286" s="4">
        <f>_xll.RssMarket("7270","現在値")</f>
        <v>2466.5</v>
      </c>
      <c r="D286" s="4">
        <f t="shared" si="8"/>
        <v>-117.5</v>
      </c>
      <c r="E286" s="4">
        <v>2584</v>
      </c>
      <c r="F286" s="4">
        <v>2618</v>
      </c>
      <c r="G286" s="4">
        <v>2715.5</v>
      </c>
      <c r="H286" s="4">
        <v>2823</v>
      </c>
      <c r="I286" s="4">
        <v>2848.5</v>
      </c>
      <c r="J286" s="4">
        <v>2680</v>
      </c>
      <c r="K286" s="4">
        <v>2663.5</v>
      </c>
      <c r="L286" s="4">
        <v>2557</v>
      </c>
      <c r="M286" s="4">
        <v>2611.5</v>
      </c>
      <c r="N286" s="4">
        <v>2583</v>
      </c>
      <c r="O286" s="4">
        <v>2591</v>
      </c>
      <c r="P286" s="4">
        <v>2534</v>
      </c>
      <c r="Q286" s="4">
        <v>2499.5</v>
      </c>
      <c r="R286" s="4">
        <v>2485.5</v>
      </c>
      <c r="S286" s="4">
        <v>2475</v>
      </c>
      <c r="T286" s="4">
        <v>2492.5</v>
      </c>
      <c r="U286" s="4">
        <v>2488.5</v>
      </c>
      <c r="V286" s="4">
        <v>2525</v>
      </c>
      <c r="W286" s="4">
        <v>2573.5</v>
      </c>
      <c r="X286" s="4">
        <v>2589.5</v>
      </c>
      <c r="Y286" s="4">
        <v>2515.5</v>
      </c>
      <c r="Z286" s="4">
        <v>2501.5</v>
      </c>
      <c r="AA286" s="4">
        <v>2406</v>
      </c>
      <c r="AB286" s="4">
        <v>2390</v>
      </c>
      <c r="AC286" s="4">
        <v>2401.5</v>
      </c>
      <c r="AD286" s="4">
        <v>2401</v>
      </c>
      <c r="AE286" s="4">
        <v>2401.5</v>
      </c>
      <c r="AF286" s="4">
        <v>2375</v>
      </c>
      <c r="AG286" s="4">
        <v>2391.5</v>
      </c>
      <c r="AH286" s="4">
        <v>2427.5</v>
      </c>
      <c r="AI286" s="4">
        <v>2440.5</v>
      </c>
      <c r="AJ286" s="4">
        <v>2577</v>
      </c>
      <c r="AK286" s="4">
        <v>2582.5</v>
      </c>
      <c r="AL286" s="4">
        <v>2564.5</v>
      </c>
      <c r="AM286" s="4">
        <v>2568</v>
      </c>
      <c r="AN286" s="4">
        <v>2474</v>
      </c>
      <c r="AO286" s="4">
        <v>2480</v>
      </c>
      <c r="AP286" s="4">
        <v>2535.5</v>
      </c>
      <c r="AQ286" s="4">
        <v>2493</v>
      </c>
      <c r="AR286" s="4">
        <v>2454.5</v>
      </c>
      <c r="AS286" s="4">
        <v>2474.5</v>
      </c>
      <c r="AT286" s="4">
        <v>2471</v>
      </c>
      <c r="AU286" s="4">
        <v>2438.5</v>
      </c>
      <c r="AV286" s="4">
        <v>2442</v>
      </c>
      <c r="AW286" s="4">
        <v>2465.5</v>
      </c>
      <c r="AX286" s="4">
        <v>2437</v>
      </c>
      <c r="AY286" s="4">
        <v>2464.5</v>
      </c>
      <c r="AZ286" s="4">
        <v>2441</v>
      </c>
      <c r="BA286" s="4">
        <v>2493</v>
      </c>
      <c r="BB286" s="4">
        <v>2437</v>
      </c>
      <c r="BC286" s="4">
        <v>2450</v>
      </c>
      <c r="BD286" s="4">
        <v>2385</v>
      </c>
      <c r="BE286" s="4">
        <v>2567.5</v>
      </c>
      <c r="BF286" s="4">
        <v>2402</v>
      </c>
      <c r="BG286" s="4">
        <v>2346</v>
      </c>
      <c r="BH286" s="4">
        <v>2288</v>
      </c>
      <c r="BI286" s="4">
        <v>2319.5</v>
      </c>
      <c r="BJ286" s="4">
        <v>2358</v>
      </c>
      <c r="BK286" s="4">
        <v>2343</v>
      </c>
      <c r="BL286" s="4">
        <v>2369.5</v>
      </c>
      <c r="BM286" s="4">
        <v>2349.5</v>
      </c>
      <c r="BN286" s="4">
        <v>2438.5</v>
      </c>
      <c r="BO286" s="4">
        <v>2440</v>
      </c>
      <c r="BP286" s="4">
        <v>2447.5</v>
      </c>
      <c r="BQ286" s="4">
        <v>2501</v>
      </c>
      <c r="BR286" s="4">
        <v>2500.5</v>
      </c>
      <c r="BS286" s="4">
        <v>2570.5</v>
      </c>
      <c r="BT286" s="4">
        <v>2569</v>
      </c>
      <c r="BU286" s="4">
        <v>2537.5</v>
      </c>
      <c r="BV286" s="4">
        <v>2548</v>
      </c>
      <c r="BW286" s="4">
        <v>2506</v>
      </c>
      <c r="BX286" s="4">
        <v>2539</v>
      </c>
      <c r="BY286" s="4">
        <v>2506</v>
      </c>
      <c r="BZ286" s="4">
        <v>2544.5</v>
      </c>
    </row>
    <row r="287" spans="1:78">
      <c r="A287" s="62" t="s">
        <v>500</v>
      </c>
      <c r="B287" s="4" t="str">
        <f>銘柄管理!C287</f>
        <v>サン電子</v>
      </c>
      <c r="C287" s="4">
        <f>_xll.RssMarket("6736","現在値")</f>
        <v>11190</v>
      </c>
      <c r="D287" s="4">
        <f t="shared" si="8"/>
        <v>530</v>
      </c>
      <c r="E287" s="4">
        <v>10660</v>
      </c>
      <c r="F287" s="4">
        <v>9670</v>
      </c>
      <c r="G287" s="4">
        <v>9760</v>
      </c>
      <c r="H287" s="4">
        <v>9180</v>
      </c>
      <c r="I287" s="4">
        <v>9130</v>
      </c>
      <c r="J287" s="4">
        <v>9340</v>
      </c>
      <c r="K287" s="4">
        <v>9860</v>
      </c>
      <c r="L287" s="4">
        <v>9260</v>
      </c>
      <c r="M287" s="4">
        <v>8990</v>
      </c>
      <c r="N287" s="4">
        <v>8990</v>
      </c>
      <c r="O287" s="4">
        <v>9280</v>
      </c>
      <c r="P287" s="4">
        <v>8870</v>
      </c>
      <c r="Q287" s="4">
        <v>9050</v>
      </c>
      <c r="R287" s="4">
        <v>9200</v>
      </c>
      <c r="S287" s="4">
        <v>9510</v>
      </c>
      <c r="T287" s="4">
        <v>9870</v>
      </c>
      <c r="U287" s="4">
        <v>10850</v>
      </c>
      <c r="V287" s="4">
        <v>10520</v>
      </c>
      <c r="W287" s="4">
        <v>11340</v>
      </c>
      <c r="X287" s="4">
        <v>10810</v>
      </c>
      <c r="Y287" s="4">
        <v>9390</v>
      </c>
      <c r="Z287" s="4">
        <v>9680</v>
      </c>
      <c r="AA287" s="4">
        <v>8790</v>
      </c>
      <c r="AB287" s="4">
        <v>8580</v>
      </c>
      <c r="AC287" s="4">
        <v>8670</v>
      </c>
      <c r="AD287" s="4">
        <v>9030</v>
      </c>
      <c r="AE287" s="4">
        <v>8840</v>
      </c>
      <c r="AF287" s="4">
        <v>8490</v>
      </c>
      <c r="AG287" s="4">
        <v>8970</v>
      </c>
      <c r="AH287" s="4">
        <v>9060</v>
      </c>
      <c r="AI287" s="4">
        <v>9010</v>
      </c>
      <c r="AJ287" s="4">
        <v>9170</v>
      </c>
      <c r="AK287" s="4">
        <v>9100</v>
      </c>
      <c r="AL287" s="4">
        <v>9100</v>
      </c>
      <c r="AM287" s="4">
        <v>9110</v>
      </c>
      <c r="AN287" s="4">
        <v>8780</v>
      </c>
      <c r="AO287" s="4">
        <v>8690</v>
      </c>
      <c r="AP287" s="4">
        <v>9030</v>
      </c>
      <c r="AQ287" s="4">
        <v>8690</v>
      </c>
      <c r="AR287" s="4">
        <v>8610</v>
      </c>
      <c r="AS287" s="4">
        <v>8670</v>
      </c>
      <c r="AT287" s="4">
        <v>8940</v>
      </c>
      <c r="AU287" s="4">
        <v>9100</v>
      </c>
      <c r="AV287" s="4">
        <v>9230</v>
      </c>
      <c r="AW287" s="4">
        <v>9230</v>
      </c>
      <c r="AX287" s="4">
        <v>9060</v>
      </c>
      <c r="AY287" s="4">
        <v>9150</v>
      </c>
      <c r="AZ287" s="4">
        <v>9180</v>
      </c>
      <c r="BA287" s="4">
        <v>9430</v>
      </c>
      <c r="BB287" s="4">
        <v>8900</v>
      </c>
      <c r="BC287" s="4">
        <v>8640</v>
      </c>
      <c r="BD287" s="4">
        <v>9680</v>
      </c>
      <c r="BE287" s="4">
        <v>9120</v>
      </c>
      <c r="BF287" s="4">
        <v>8760</v>
      </c>
      <c r="BG287" s="4">
        <v>8500</v>
      </c>
      <c r="BH287" s="4">
        <v>8480</v>
      </c>
      <c r="BI287" s="4">
        <v>9070</v>
      </c>
      <c r="BJ287" s="4">
        <v>8660</v>
      </c>
      <c r="BK287" s="4">
        <v>8590</v>
      </c>
      <c r="BL287" s="4">
        <v>8610</v>
      </c>
      <c r="BM287" s="4">
        <v>8670</v>
      </c>
      <c r="BN287" s="4">
        <v>8300</v>
      </c>
      <c r="BO287" s="4">
        <v>8190</v>
      </c>
      <c r="BP287" s="4">
        <v>7980</v>
      </c>
      <c r="BQ287" s="4">
        <v>8100</v>
      </c>
      <c r="BR287" s="4">
        <v>8290</v>
      </c>
      <c r="BS287" s="4">
        <v>7990</v>
      </c>
      <c r="BT287" s="4">
        <v>7980</v>
      </c>
      <c r="BU287" s="4">
        <v>7970</v>
      </c>
      <c r="BV287" s="4">
        <v>7860</v>
      </c>
      <c r="BW287" s="4">
        <v>7840</v>
      </c>
      <c r="BX287" s="4">
        <v>7260</v>
      </c>
      <c r="BY287" s="4">
        <v>7640</v>
      </c>
      <c r="BZ287" s="4">
        <v>8550</v>
      </c>
    </row>
    <row r="288" spans="1:78">
      <c r="A288" s="62" t="s">
        <v>501</v>
      </c>
      <c r="B288" s="4" t="str">
        <f>銘柄管理!C288</f>
        <v>紀文食品</v>
      </c>
      <c r="C288" s="4">
        <f>_xll.RssMarket("2933","現在値")</f>
        <v>1088</v>
      </c>
      <c r="D288" s="4">
        <f t="shared" si="8"/>
        <v>-4</v>
      </c>
      <c r="E288" s="4">
        <v>1092</v>
      </c>
      <c r="F288" s="4">
        <v>1103</v>
      </c>
      <c r="G288" s="4">
        <v>1088</v>
      </c>
      <c r="H288" s="4">
        <v>1107</v>
      </c>
      <c r="I288" s="4">
        <v>1117</v>
      </c>
      <c r="J288" s="4">
        <v>1097</v>
      </c>
      <c r="K288" s="4">
        <v>1091</v>
      </c>
      <c r="M288" s="4">
        <v>1083</v>
      </c>
      <c r="N288" s="4">
        <v>1082</v>
      </c>
      <c r="O288" s="4">
        <v>1080</v>
      </c>
      <c r="P288" s="4">
        <v>1090</v>
      </c>
      <c r="Q288" s="4">
        <v>1078</v>
      </c>
      <c r="R288" s="4">
        <v>1076</v>
      </c>
      <c r="S288" s="4">
        <v>1075</v>
      </c>
      <c r="T288" s="4">
        <v>1079</v>
      </c>
      <c r="U288" s="4">
        <v>1075</v>
      </c>
      <c r="V288" s="4">
        <v>1080</v>
      </c>
      <c r="W288" s="4">
        <v>1075</v>
      </c>
      <c r="X288" s="4">
        <v>1066</v>
      </c>
      <c r="Y288" s="4">
        <v>1065</v>
      </c>
      <c r="Z288" s="4">
        <v>1064</v>
      </c>
      <c r="AA288" s="4">
        <v>1058</v>
      </c>
      <c r="AB288" s="4">
        <v>1055</v>
      </c>
      <c r="AC288" s="4">
        <v>1065</v>
      </c>
      <c r="AD288" s="4">
        <v>1062</v>
      </c>
      <c r="AE288" s="4">
        <v>1055</v>
      </c>
      <c r="AF288" s="4">
        <v>1053</v>
      </c>
      <c r="AG288" s="4">
        <v>1061</v>
      </c>
      <c r="AH288" s="4">
        <v>1058</v>
      </c>
      <c r="AI288" s="4">
        <v>1065</v>
      </c>
      <c r="AJ288" s="4">
        <v>1056</v>
      </c>
      <c r="AK288" s="4">
        <v>1050</v>
      </c>
      <c r="AL288" s="4">
        <v>1044</v>
      </c>
      <c r="AM288" s="4">
        <v>1045</v>
      </c>
      <c r="AN288" s="4">
        <v>1044</v>
      </c>
      <c r="AO288" s="4">
        <v>1050</v>
      </c>
      <c r="AP288" s="4">
        <v>1048</v>
      </c>
      <c r="AQ288" s="4">
        <v>1035</v>
      </c>
      <c r="AR288" s="4">
        <v>1030</v>
      </c>
      <c r="AS288" s="4">
        <v>1022</v>
      </c>
      <c r="AT288" s="4">
        <v>1028</v>
      </c>
      <c r="AU288" s="4">
        <v>1018</v>
      </c>
      <c r="AV288" s="4">
        <v>1036</v>
      </c>
      <c r="AW288" s="4">
        <v>1044</v>
      </c>
      <c r="AX288" s="4">
        <v>1036</v>
      </c>
      <c r="AY288" s="4">
        <v>1038</v>
      </c>
      <c r="AZ288" s="4">
        <v>1040</v>
      </c>
      <c r="BA288" s="4">
        <v>1040</v>
      </c>
      <c r="BB288" s="4">
        <v>1043</v>
      </c>
      <c r="BC288" s="4">
        <v>1042</v>
      </c>
      <c r="BD288" s="4">
        <v>1035</v>
      </c>
      <c r="BE288" s="4">
        <v>1040</v>
      </c>
      <c r="BF288" s="4">
        <v>1030</v>
      </c>
      <c r="BG288" s="4">
        <v>1030</v>
      </c>
      <c r="BH288" s="4">
        <v>1031</v>
      </c>
      <c r="BI288" s="4">
        <v>1025</v>
      </c>
      <c r="BJ288" s="4">
        <v>1024</v>
      </c>
      <c r="BK288" s="4">
        <v>1032</v>
      </c>
      <c r="BL288" s="4">
        <v>1031</v>
      </c>
      <c r="BM288" s="4">
        <v>1032</v>
      </c>
      <c r="BN288" s="4">
        <v>1028</v>
      </c>
      <c r="BO288" s="4">
        <v>1026</v>
      </c>
      <c r="BP288" s="4">
        <v>1030</v>
      </c>
      <c r="BQ288" s="4">
        <v>1034</v>
      </c>
      <c r="BR288" s="4">
        <v>1040</v>
      </c>
      <c r="BS288" s="4">
        <v>1052</v>
      </c>
      <c r="BT288" s="4">
        <v>1061</v>
      </c>
      <c r="BU288" s="4">
        <v>1062</v>
      </c>
      <c r="BV288" s="4">
        <v>1058</v>
      </c>
      <c r="BW288" s="4">
        <v>1058</v>
      </c>
      <c r="BX288" s="4">
        <v>1051</v>
      </c>
      <c r="BY288" s="4">
        <v>1059</v>
      </c>
      <c r="BZ288" s="4">
        <v>1057</v>
      </c>
    </row>
    <row r="289" spans="1:78">
      <c r="A289" s="62" t="s">
        <v>502</v>
      </c>
      <c r="B289" s="4" t="str">
        <f>銘柄管理!C289</f>
        <v>関東電化</v>
      </c>
      <c r="C289" s="4">
        <f>_xll.RssMarket("4047","現在値")</f>
        <v>3045</v>
      </c>
      <c r="D289" s="4">
        <f t="shared" si="8"/>
        <v>208</v>
      </c>
      <c r="E289" s="4">
        <v>2837</v>
      </c>
      <c r="F289" s="4">
        <v>2777</v>
      </c>
      <c r="G289" s="4">
        <v>2669</v>
      </c>
      <c r="H289" s="4">
        <v>2426</v>
      </c>
      <c r="I289" s="4">
        <v>2420</v>
      </c>
      <c r="J289" s="4">
        <v>2521</v>
      </c>
      <c r="K289" s="4">
        <v>2782</v>
      </c>
      <c r="L289" s="4">
        <v>2790</v>
      </c>
      <c r="M289" s="4">
        <v>2938</v>
      </c>
      <c r="N289" s="4">
        <v>2914</v>
      </c>
      <c r="O289" s="4">
        <v>2795</v>
      </c>
      <c r="P289" s="4">
        <v>2701</v>
      </c>
      <c r="Q289" s="4">
        <v>3055</v>
      </c>
      <c r="R289" s="4">
        <v>3035</v>
      </c>
      <c r="S289" s="4">
        <v>2935</v>
      </c>
      <c r="T289" s="4">
        <v>3070</v>
      </c>
      <c r="U289" s="4">
        <v>3075</v>
      </c>
      <c r="V289" s="4">
        <v>3055</v>
      </c>
      <c r="W289" s="4">
        <v>3175</v>
      </c>
      <c r="X289" s="4">
        <v>3355</v>
      </c>
      <c r="Y289" s="4">
        <v>3480</v>
      </c>
      <c r="Z289" s="4">
        <v>3345</v>
      </c>
      <c r="AA289" s="4">
        <v>3570</v>
      </c>
      <c r="AB289" s="4">
        <v>3555</v>
      </c>
      <c r="AC289" s="4">
        <v>3630</v>
      </c>
      <c r="AD289" s="4">
        <v>3700</v>
      </c>
      <c r="AE289" s="4">
        <v>4055</v>
      </c>
      <c r="AF289" s="4">
        <v>3880</v>
      </c>
      <c r="AG289" s="4">
        <v>3670</v>
      </c>
      <c r="AH289" s="4">
        <v>3895</v>
      </c>
      <c r="AI289" s="4">
        <v>4015</v>
      </c>
      <c r="AJ289" s="4">
        <v>3845</v>
      </c>
      <c r="AK289" s="4">
        <v>3895</v>
      </c>
      <c r="AL289" s="4">
        <v>3760</v>
      </c>
      <c r="AM289" s="4">
        <v>3885</v>
      </c>
      <c r="AN289" s="4">
        <v>3750</v>
      </c>
      <c r="AO289" s="4">
        <v>4020</v>
      </c>
      <c r="AP289" s="4">
        <v>3860</v>
      </c>
      <c r="AQ289" s="4">
        <v>3905</v>
      </c>
      <c r="AR289" s="4">
        <v>4095</v>
      </c>
      <c r="AS289" s="4">
        <v>4405</v>
      </c>
      <c r="AT289" s="4">
        <v>3705</v>
      </c>
      <c r="AU289" s="4">
        <v>3530</v>
      </c>
      <c r="AV289" s="4">
        <v>3625</v>
      </c>
      <c r="AW289" s="4">
        <v>3455</v>
      </c>
      <c r="AX289" s="4">
        <v>3330</v>
      </c>
      <c r="AY289" s="4">
        <v>3305</v>
      </c>
      <c r="AZ289" s="4">
        <v>3040</v>
      </c>
      <c r="BA289" s="4">
        <v>2870</v>
      </c>
      <c r="BB289" s="4">
        <v>2666</v>
      </c>
      <c r="BC289" s="4">
        <v>2770</v>
      </c>
      <c r="BD289" s="4">
        <v>2550</v>
      </c>
      <c r="BE289" s="4">
        <v>2050</v>
      </c>
      <c r="BF289" s="4">
        <v>2175</v>
      </c>
      <c r="BG289" s="4">
        <v>2112</v>
      </c>
      <c r="BH289" s="4">
        <v>1971</v>
      </c>
      <c r="BI289" s="4">
        <v>1909</v>
      </c>
      <c r="BJ289" s="4">
        <v>1856</v>
      </c>
      <c r="BK289" s="4">
        <v>1813</v>
      </c>
      <c r="BL289" s="4">
        <v>1706</v>
      </c>
      <c r="BM289" s="4">
        <v>1671</v>
      </c>
      <c r="BN289" s="4">
        <v>1700</v>
      </c>
      <c r="BO289" s="4">
        <v>1649</v>
      </c>
      <c r="BP289" s="4">
        <v>1646</v>
      </c>
      <c r="BQ289" s="4">
        <v>1632</v>
      </c>
      <c r="BR289" s="4">
        <v>1657</v>
      </c>
      <c r="BS289" s="4">
        <v>1671</v>
      </c>
      <c r="BT289" s="4">
        <v>1632</v>
      </c>
      <c r="BU289" s="4">
        <v>1632</v>
      </c>
      <c r="BV289" s="4">
        <v>1671</v>
      </c>
      <c r="BW289" s="4">
        <v>1659</v>
      </c>
      <c r="BX289" s="4">
        <v>1700</v>
      </c>
      <c r="BY289" s="4">
        <v>1635</v>
      </c>
      <c r="BZ289" s="4">
        <v>1625</v>
      </c>
    </row>
    <row r="290" spans="1:78">
      <c r="A290" s="62" t="s">
        <v>503</v>
      </c>
      <c r="B290" s="4" t="str">
        <f>銘柄管理!C290</f>
        <v>ＹＵＳＨＩＮ</v>
      </c>
      <c r="C290" s="4">
        <f>_xll.RssMarket("6482","現在値")</f>
        <v>683</v>
      </c>
      <c r="D290" s="4">
        <f t="shared" si="8"/>
        <v>4</v>
      </c>
      <c r="E290" s="4">
        <v>679</v>
      </c>
      <c r="F290" s="4">
        <v>663</v>
      </c>
      <c r="G290" s="4">
        <v>668</v>
      </c>
      <c r="H290" s="4">
        <v>674</v>
      </c>
      <c r="I290" s="4">
        <v>666</v>
      </c>
      <c r="J290" s="4">
        <v>669</v>
      </c>
      <c r="K290" s="4">
        <v>695</v>
      </c>
      <c r="L290" s="4">
        <v>688</v>
      </c>
      <c r="M290" s="4">
        <v>691</v>
      </c>
      <c r="N290" s="4">
        <v>682</v>
      </c>
      <c r="O290" s="4">
        <v>689</v>
      </c>
      <c r="P290" s="4">
        <v>676</v>
      </c>
      <c r="Q290" s="4">
        <v>669</v>
      </c>
      <c r="R290" s="4">
        <v>664</v>
      </c>
      <c r="S290" s="4">
        <v>671</v>
      </c>
      <c r="T290" s="4">
        <v>681</v>
      </c>
      <c r="U290" s="4">
        <v>675</v>
      </c>
      <c r="V290" s="4">
        <v>691</v>
      </c>
      <c r="W290" s="4">
        <v>698</v>
      </c>
      <c r="X290" s="4">
        <v>700</v>
      </c>
      <c r="Y290" s="4">
        <v>686</v>
      </c>
      <c r="Z290" s="4">
        <v>693</v>
      </c>
      <c r="AA290" s="4">
        <v>698</v>
      </c>
      <c r="AB290" s="4">
        <v>688</v>
      </c>
      <c r="AC290" s="4">
        <v>703</v>
      </c>
      <c r="AD290" s="4">
        <v>705</v>
      </c>
      <c r="AE290" s="4">
        <v>715</v>
      </c>
      <c r="AF290" s="4">
        <v>706</v>
      </c>
      <c r="AG290" s="4">
        <v>736</v>
      </c>
      <c r="AH290" s="4">
        <v>740</v>
      </c>
      <c r="AI290" s="4">
        <v>734</v>
      </c>
      <c r="AJ290" s="4">
        <v>741</v>
      </c>
      <c r="AK290" s="4">
        <v>770</v>
      </c>
      <c r="AL290" s="4">
        <v>713</v>
      </c>
      <c r="AM290" s="4">
        <v>700</v>
      </c>
      <c r="AN290" s="4">
        <v>677</v>
      </c>
      <c r="AO290" s="4">
        <v>672</v>
      </c>
      <c r="AP290" s="4">
        <v>668</v>
      </c>
      <c r="AQ290" s="4">
        <v>659</v>
      </c>
      <c r="AR290" s="4">
        <v>672</v>
      </c>
      <c r="AS290" s="4">
        <v>665</v>
      </c>
      <c r="AT290" s="4">
        <v>658</v>
      </c>
      <c r="AU290" s="4">
        <v>646</v>
      </c>
      <c r="AV290" s="4">
        <v>667</v>
      </c>
      <c r="AW290" s="4">
        <v>677</v>
      </c>
      <c r="AX290" s="4">
        <v>670</v>
      </c>
      <c r="AY290" s="4">
        <v>710</v>
      </c>
      <c r="AZ290" s="4">
        <v>721</v>
      </c>
      <c r="BA290" s="4">
        <v>707</v>
      </c>
      <c r="BB290" s="4">
        <v>708</v>
      </c>
      <c r="BC290" s="4">
        <v>712</v>
      </c>
      <c r="BD290" s="4">
        <v>720</v>
      </c>
      <c r="BE290" s="4">
        <v>734</v>
      </c>
      <c r="BF290" s="4">
        <v>754</v>
      </c>
      <c r="BG290" s="4">
        <v>731</v>
      </c>
      <c r="BH290" s="4">
        <v>724</v>
      </c>
      <c r="BI290" s="4">
        <v>701</v>
      </c>
      <c r="BJ290" s="4">
        <v>683</v>
      </c>
      <c r="BK290" s="4">
        <v>690</v>
      </c>
      <c r="BL290" s="4">
        <v>681</v>
      </c>
      <c r="BM290" s="4">
        <v>667</v>
      </c>
      <c r="BN290" s="4">
        <v>669</v>
      </c>
      <c r="BO290" s="4">
        <v>658</v>
      </c>
      <c r="BP290" s="4">
        <v>659</v>
      </c>
      <c r="BQ290" s="4">
        <v>659</v>
      </c>
      <c r="BR290" s="4">
        <v>671</v>
      </c>
      <c r="BS290" s="4">
        <v>678</v>
      </c>
      <c r="BT290" s="4">
        <v>676</v>
      </c>
      <c r="BU290" s="4">
        <v>671</v>
      </c>
      <c r="BV290" s="4">
        <v>678</v>
      </c>
      <c r="BW290" s="4">
        <v>680</v>
      </c>
      <c r="BX290" s="4">
        <v>679</v>
      </c>
      <c r="BY290" s="4">
        <v>676</v>
      </c>
      <c r="BZ290" s="4">
        <v>679</v>
      </c>
    </row>
    <row r="291" spans="1:78">
      <c r="A291" s="62" t="s">
        <v>504</v>
      </c>
      <c r="B291" s="4" t="str">
        <f>銘柄管理!C291</f>
        <v>電気興業</v>
      </c>
      <c r="C291" s="4">
        <f>_xll.RssMarket("6706","現在値")</f>
        <v>3195</v>
      </c>
      <c r="D291" s="4">
        <f t="shared" si="8"/>
        <v>110</v>
      </c>
      <c r="E291" s="4">
        <v>3085</v>
      </c>
      <c r="F291" s="4">
        <v>3065</v>
      </c>
      <c r="G291" s="4">
        <v>3085</v>
      </c>
      <c r="H291" s="4">
        <v>3055</v>
      </c>
      <c r="I291" s="4">
        <v>3005</v>
      </c>
      <c r="J291" s="4">
        <v>2991</v>
      </c>
      <c r="K291" s="4">
        <v>3020</v>
      </c>
      <c r="M291" s="4">
        <v>3015</v>
      </c>
      <c r="N291" s="4">
        <v>3010</v>
      </c>
      <c r="O291" s="4">
        <v>2929</v>
      </c>
      <c r="P291" s="4">
        <v>2875</v>
      </c>
      <c r="Q291" s="4">
        <v>3030</v>
      </c>
      <c r="R291" s="4">
        <v>3000</v>
      </c>
      <c r="S291" s="4">
        <v>2988</v>
      </c>
      <c r="T291" s="4">
        <v>3020</v>
      </c>
      <c r="U291" s="4">
        <v>3080</v>
      </c>
      <c r="V291" s="4">
        <v>2930</v>
      </c>
      <c r="W291" s="4">
        <v>2972</v>
      </c>
      <c r="X291" s="4">
        <v>3010</v>
      </c>
      <c r="Y291" s="4">
        <v>3035</v>
      </c>
      <c r="Z291" s="4">
        <v>3045</v>
      </c>
      <c r="AA291" s="4">
        <v>3060</v>
      </c>
      <c r="AB291" s="4">
        <v>3040</v>
      </c>
      <c r="AC291" s="4">
        <v>3125</v>
      </c>
      <c r="AD291" s="4">
        <v>3085</v>
      </c>
      <c r="AE291" s="4">
        <v>3130</v>
      </c>
      <c r="AF291" s="4">
        <v>3120</v>
      </c>
      <c r="AG291" s="4">
        <v>3100</v>
      </c>
      <c r="AH291" s="4">
        <v>3135</v>
      </c>
      <c r="AI291" s="4">
        <v>3175</v>
      </c>
      <c r="AJ291" s="4">
        <v>3155</v>
      </c>
      <c r="AK291" s="4">
        <v>3155</v>
      </c>
      <c r="AL291" s="4">
        <v>3180</v>
      </c>
      <c r="AM291" s="4">
        <v>3285</v>
      </c>
      <c r="AN291" s="4">
        <v>3180</v>
      </c>
      <c r="AO291" s="4">
        <v>3175</v>
      </c>
      <c r="AP291" s="4">
        <v>3290</v>
      </c>
      <c r="AQ291" s="4">
        <v>3390</v>
      </c>
      <c r="AR291" s="4">
        <v>3465</v>
      </c>
      <c r="AS291" s="4">
        <v>3475</v>
      </c>
      <c r="AT291" s="4">
        <v>3510</v>
      </c>
      <c r="AU291" s="4">
        <v>3475</v>
      </c>
      <c r="AV291" s="4">
        <v>3510</v>
      </c>
      <c r="AW291" s="4">
        <v>3520</v>
      </c>
      <c r="AX291" s="4">
        <v>3480</v>
      </c>
      <c r="AY291" s="4">
        <v>3470</v>
      </c>
      <c r="AZ291" s="4">
        <v>3405</v>
      </c>
      <c r="BA291" s="4">
        <v>3415</v>
      </c>
      <c r="BB291" s="4">
        <v>3415</v>
      </c>
      <c r="BC291" s="4">
        <v>3415</v>
      </c>
      <c r="BD291" s="4">
        <v>3445</v>
      </c>
      <c r="BE291" s="4">
        <v>3460</v>
      </c>
      <c r="BF291" s="4">
        <v>3470</v>
      </c>
      <c r="BG291" s="4">
        <v>3485</v>
      </c>
      <c r="BH291" s="4">
        <v>3465</v>
      </c>
      <c r="BI291" s="4">
        <v>3425</v>
      </c>
      <c r="BJ291" s="4">
        <v>3410</v>
      </c>
      <c r="BK291" s="4">
        <v>3415</v>
      </c>
      <c r="BL291" s="4">
        <v>3335</v>
      </c>
      <c r="BM291" s="4">
        <v>3315</v>
      </c>
      <c r="BN291" s="4">
        <v>3345</v>
      </c>
      <c r="BO291" s="4">
        <v>3295</v>
      </c>
      <c r="BP291" s="4">
        <v>3325</v>
      </c>
      <c r="BQ291" s="4">
        <v>3330</v>
      </c>
      <c r="BR291" s="4">
        <v>3280</v>
      </c>
      <c r="BS291" s="4">
        <v>3300</v>
      </c>
      <c r="BT291" s="4">
        <v>3310</v>
      </c>
      <c r="BU291" s="4">
        <v>3275</v>
      </c>
      <c r="BV291" s="4">
        <v>3295</v>
      </c>
      <c r="BW291" s="4">
        <v>3255</v>
      </c>
      <c r="BX291" s="4">
        <v>3220</v>
      </c>
      <c r="BY291" s="4">
        <v>3165</v>
      </c>
      <c r="BZ291" s="4">
        <v>3080</v>
      </c>
    </row>
    <row r="292" spans="1:78">
      <c r="A292" s="62" t="s">
        <v>505</v>
      </c>
      <c r="B292" s="4" t="str">
        <f>銘柄管理!C292</f>
        <v>新光商事</v>
      </c>
      <c r="C292" s="4">
        <f>_xll.RssMarket("8141","現在値")</f>
        <v>1565</v>
      </c>
      <c r="D292" s="4">
        <f t="shared" si="8"/>
        <v>-14</v>
      </c>
      <c r="E292" s="4">
        <v>1579</v>
      </c>
      <c r="F292" s="4">
        <v>1569</v>
      </c>
      <c r="G292" s="4">
        <v>1556</v>
      </c>
      <c r="H292" s="4">
        <v>1560</v>
      </c>
      <c r="I292" s="4">
        <v>1572</v>
      </c>
      <c r="J292" s="4">
        <v>1580</v>
      </c>
      <c r="K292" s="4">
        <v>1579</v>
      </c>
      <c r="M292" s="4">
        <v>1587</v>
      </c>
      <c r="N292" s="4">
        <v>1590</v>
      </c>
      <c r="O292" s="4">
        <v>1581</v>
      </c>
      <c r="P292" s="4">
        <v>1605</v>
      </c>
      <c r="Q292" s="4">
        <v>1622</v>
      </c>
      <c r="R292" s="4">
        <v>1588</v>
      </c>
      <c r="S292" s="4">
        <v>1586</v>
      </c>
      <c r="T292" s="4">
        <v>1588</v>
      </c>
      <c r="U292" s="4">
        <v>1588</v>
      </c>
      <c r="V292" s="4">
        <v>1590</v>
      </c>
      <c r="W292" s="4">
        <v>1588</v>
      </c>
      <c r="X292" s="4">
        <v>1589</v>
      </c>
      <c r="Y292" s="4">
        <v>1587</v>
      </c>
      <c r="Z292" s="4">
        <v>1588</v>
      </c>
      <c r="AA292" s="4">
        <v>1588</v>
      </c>
      <c r="AB292" s="4">
        <v>1590</v>
      </c>
      <c r="AC292" s="4">
        <v>1583</v>
      </c>
      <c r="AD292" s="4">
        <v>1565</v>
      </c>
      <c r="AE292" s="4">
        <v>1574</v>
      </c>
      <c r="AF292" s="4">
        <v>1577</v>
      </c>
      <c r="AG292" s="4">
        <v>1579</v>
      </c>
      <c r="AH292" s="4">
        <v>1599</v>
      </c>
      <c r="AI292" s="4">
        <v>1580</v>
      </c>
      <c r="AJ292" s="4">
        <v>1583</v>
      </c>
      <c r="AK292" s="4">
        <v>1581</v>
      </c>
      <c r="AL292" s="4">
        <v>1580</v>
      </c>
      <c r="AM292" s="4">
        <v>1577</v>
      </c>
      <c r="AN292" s="4">
        <v>1580</v>
      </c>
      <c r="AO292" s="4">
        <v>1579</v>
      </c>
      <c r="AP292" s="4">
        <v>1578</v>
      </c>
      <c r="AQ292" s="4">
        <v>1583</v>
      </c>
      <c r="AR292" s="4">
        <v>1585</v>
      </c>
      <c r="AS292" s="4">
        <v>1584</v>
      </c>
      <c r="AT292" s="4">
        <v>1579</v>
      </c>
      <c r="AU292" s="4">
        <v>1579</v>
      </c>
      <c r="AV292" s="4">
        <v>1575</v>
      </c>
      <c r="AW292" s="4">
        <v>1579</v>
      </c>
      <c r="AX292" s="4">
        <v>1595</v>
      </c>
      <c r="AY292" s="4">
        <v>1600</v>
      </c>
      <c r="AZ292" s="4">
        <v>1603</v>
      </c>
      <c r="BA292" s="4">
        <v>1613</v>
      </c>
      <c r="BB292" s="4">
        <v>1606</v>
      </c>
      <c r="BC292" s="4">
        <v>1613</v>
      </c>
      <c r="BD292" s="4">
        <v>1595</v>
      </c>
      <c r="BE292" s="4">
        <v>1525</v>
      </c>
      <c r="BF292" s="4">
        <v>1485</v>
      </c>
      <c r="BG292" s="4">
        <v>1575</v>
      </c>
      <c r="BH292" s="4">
        <v>1665</v>
      </c>
      <c r="BI292" s="4">
        <v>1662</v>
      </c>
      <c r="BJ292" s="4">
        <v>1714</v>
      </c>
      <c r="BK292" s="4">
        <v>1740</v>
      </c>
      <c r="BL292" s="4">
        <v>1668</v>
      </c>
      <c r="BM292" s="4">
        <v>1631</v>
      </c>
      <c r="BN292" s="4">
        <v>1601</v>
      </c>
      <c r="BO292" s="4">
        <v>1540</v>
      </c>
      <c r="BP292" s="4">
        <v>1517</v>
      </c>
      <c r="BQ292" s="4">
        <v>1539</v>
      </c>
      <c r="BR292" s="4">
        <v>1577</v>
      </c>
      <c r="BS292" s="4">
        <v>1550</v>
      </c>
      <c r="BT292" s="4">
        <v>1539</v>
      </c>
      <c r="BU292" s="4">
        <v>1490</v>
      </c>
      <c r="BV292" s="4">
        <v>1450</v>
      </c>
      <c r="BW292" s="4">
        <v>1419</v>
      </c>
      <c r="BX292" s="4">
        <v>1371</v>
      </c>
      <c r="BY292" s="4">
        <v>1447</v>
      </c>
      <c r="BZ292" s="4">
        <v>1405</v>
      </c>
    </row>
    <row r="293" spans="1:78">
      <c r="A293" s="62" t="s">
        <v>506</v>
      </c>
      <c r="B293" s="4" t="str">
        <f>銘柄管理!C293</f>
        <v>山形銀行</v>
      </c>
      <c r="C293" s="4">
        <f>_xll.RssMarket("8344","現在値")</f>
        <v>4010</v>
      </c>
      <c r="D293" s="4">
        <f t="shared" si="8"/>
        <v>110</v>
      </c>
      <c r="E293" s="4">
        <v>3900</v>
      </c>
      <c r="F293" s="4">
        <v>3780</v>
      </c>
      <c r="G293" s="4">
        <v>3740</v>
      </c>
      <c r="H293" s="4">
        <v>3700</v>
      </c>
      <c r="I293" s="4">
        <v>3865</v>
      </c>
      <c r="J293" s="4">
        <v>4020</v>
      </c>
      <c r="K293" s="4">
        <v>4195</v>
      </c>
      <c r="L293" s="4">
        <v>4000</v>
      </c>
      <c r="M293" s="4">
        <v>3935</v>
      </c>
      <c r="N293" s="4">
        <v>3875</v>
      </c>
      <c r="O293" s="4">
        <v>3760</v>
      </c>
      <c r="P293" s="4">
        <v>3615</v>
      </c>
      <c r="Q293" s="4">
        <v>3930</v>
      </c>
      <c r="R293" s="4">
        <v>3765</v>
      </c>
      <c r="S293" s="4">
        <v>3690</v>
      </c>
      <c r="T293" s="4">
        <v>3690</v>
      </c>
      <c r="U293" s="4">
        <v>3785</v>
      </c>
      <c r="V293" s="4">
        <v>3865</v>
      </c>
      <c r="W293" s="4">
        <v>3875</v>
      </c>
      <c r="X293" s="4">
        <v>4015</v>
      </c>
      <c r="Y293" s="4">
        <v>3965</v>
      </c>
      <c r="Z293" s="4">
        <v>3825</v>
      </c>
      <c r="AA293" s="4">
        <v>3600</v>
      </c>
      <c r="AB293" s="4">
        <v>3525</v>
      </c>
      <c r="AC293" s="4">
        <v>3455</v>
      </c>
      <c r="AD293" s="4">
        <v>3365</v>
      </c>
      <c r="AE293" s="4">
        <v>3285</v>
      </c>
      <c r="AF293" s="4">
        <v>3250</v>
      </c>
      <c r="AG293" s="4">
        <v>3335</v>
      </c>
      <c r="AH293" s="4">
        <v>3355</v>
      </c>
      <c r="AI293" s="4">
        <v>3370</v>
      </c>
      <c r="AJ293" s="4">
        <v>3480</v>
      </c>
      <c r="AK293" s="4">
        <v>3465</v>
      </c>
      <c r="AL293" s="4">
        <v>3560</v>
      </c>
      <c r="AM293" s="4">
        <v>3550</v>
      </c>
      <c r="AN293" s="4">
        <v>3495</v>
      </c>
      <c r="AO293" s="4">
        <v>3370</v>
      </c>
      <c r="AP293" s="4">
        <v>3350</v>
      </c>
      <c r="AQ293" s="4">
        <v>3075</v>
      </c>
      <c r="AR293" s="4">
        <v>3075</v>
      </c>
      <c r="AS293" s="4">
        <v>3035</v>
      </c>
      <c r="AT293" s="4">
        <v>2975</v>
      </c>
      <c r="AU293" s="4">
        <v>3055</v>
      </c>
      <c r="AV293" s="4">
        <v>3095</v>
      </c>
      <c r="AW293" s="4">
        <v>3095</v>
      </c>
      <c r="AX293" s="4">
        <v>3080</v>
      </c>
      <c r="AY293" s="4">
        <v>2991</v>
      </c>
      <c r="AZ293" s="4">
        <v>3055</v>
      </c>
      <c r="BA293" s="4">
        <v>3035</v>
      </c>
      <c r="BB293" s="4">
        <v>2994</v>
      </c>
      <c r="BC293" s="4">
        <v>2940</v>
      </c>
      <c r="BD293" s="4">
        <v>2876</v>
      </c>
      <c r="BE293" s="4">
        <v>2655</v>
      </c>
      <c r="BF293" s="4">
        <v>2636</v>
      </c>
      <c r="BG293" s="4">
        <v>2616</v>
      </c>
      <c r="BH293" s="4">
        <v>2548</v>
      </c>
      <c r="BI293" s="4">
        <v>2535</v>
      </c>
      <c r="BJ293" s="4">
        <v>2515</v>
      </c>
      <c r="BK293" s="4">
        <v>2595</v>
      </c>
      <c r="BL293" s="4">
        <v>2503</v>
      </c>
      <c r="BM293" s="4">
        <v>2537</v>
      </c>
      <c r="BN293" s="4">
        <v>2563</v>
      </c>
      <c r="BO293" s="4">
        <v>2396</v>
      </c>
      <c r="BP293" s="4">
        <v>2415</v>
      </c>
      <c r="BQ293" s="4">
        <v>2477</v>
      </c>
      <c r="BR293" s="4">
        <v>2538</v>
      </c>
      <c r="BS293" s="4">
        <v>2638</v>
      </c>
      <c r="BT293" s="4">
        <v>2726</v>
      </c>
      <c r="BU293" s="4">
        <v>2786</v>
      </c>
      <c r="BV293" s="4">
        <v>2780</v>
      </c>
      <c r="BW293" s="4">
        <v>2740</v>
      </c>
      <c r="BX293" s="4">
        <v>2688</v>
      </c>
      <c r="BY293" s="4">
        <v>2683</v>
      </c>
      <c r="BZ293" s="4">
        <v>2678</v>
      </c>
    </row>
    <row r="294" spans="1:78">
      <c r="A294" s="62" t="s">
        <v>507</v>
      </c>
      <c r="B294" s="4" t="str">
        <f>銘柄管理!C294</f>
        <v>小野建</v>
      </c>
      <c r="C294" s="4">
        <f>_xll.RssMarket("7414","現在値")</f>
        <v>1415</v>
      </c>
      <c r="D294" s="4">
        <f t="shared" si="8"/>
        <v>10</v>
      </c>
      <c r="E294" s="4">
        <v>1405</v>
      </c>
      <c r="F294" s="4">
        <v>1416</v>
      </c>
      <c r="G294" s="4">
        <v>1438</v>
      </c>
      <c r="H294" s="4">
        <v>1462</v>
      </c>
      <c r="I294" s="4">
        <v>1465</v>
      </c>
      <c r="J294" s="4">
        <v>1438</v>
      </c>
      <c r="K294" s="4">
        <v>1447</v>
      </c>
      <c r="M294" s="4">
        <v>1435</v>
      </c>
      <c r="N294" s="4">
        <v>1430</v>
      </c>
      <c r="O294" s="4">
        <v>1411</v>
      </c>
      <c r="P294" s="4">
        <v>1405</v>
      </c>
      <c r="Q294" s="4">
        <v>1422</v>
      </c>
      <c r="R294" s="4">
        <v>1382</v>
      </c>
      <c r="S294" s="4">
        <v>1380</v>
      </c>
      <c r="T294" s="4">
        <v>1385</v>
      </c>
      <c r="U294" s="4">
        <v>1374</v>
      </c>
      <c r="V294" s="4">
        <v>1377</v>
      </c>
      <c r="W294" s="4">
        <v>1371</v>
      </c>
      <c r="X294" s="4">
        <v>1364</v>
      </c>
      <c r="Y294" s="4">
        <v>1357</v>
      </c>
      <c r="Z294" s="4">
        <v>1342</v>
      </c>
      <c r="AA294" s="4">
        <v>1323</v>
      </c>
      <c r="AB294" s="4">
        <v>1334</v>
      </c>
      <c r="AC294" s="4">
        <v>1336</v>
      </c>
      <c r="AD294" s="4">
        <v>1326</v>
      </c>
      <c r="AE294" s="4">
        <v>1321</v>
      </c>
      <c r="AF294" s="4">
        <v>1322</v>
      </c>
      <c r="AG294" s="4">
        <v>1324</v>
      </c>
      <c r="AH294" s="4">
        <v>1331</v>
      </c>
      <c r="AI294" s="4">
        <v>1319</v>
      </c>
      <c r="AJ294" s="4">
        <v>1336</v>
      </c>
      <c r="AK294" s="4">
        <v>1330</v>
      </c>
      <c r="AL294" s="4">
        <v>1324</v>
      </c>
      <c r="AM294" s="4">
        <v>1325</v>
      </c>
      <c r="AN294" s="4">
        <v>1318</v>
      </c>
      <c r="AO294" s="4">
        <v>1309</v>
      </c>
      <c r="AP294" s="4">
        <v>1311</v>
      </c>
      <c r="AQ294" s="4">
        <v>1310</v>
      </c>
      <c r="AR294" s="4">
        <v>1330</v>
      </c>
      <c r="AS294" s="4">
        <v>1308</v>
      </c>
      <c r="AT294" s="4">
        <v>1313</v>
      </c>
      <c r="AU294" s="4">
        <v>1301</v>
      </c>
      <c r="AV294" s="4">
        <v>1347</v>
      </c>
      <c r="AW294" s="4">
        <v>1344</v>
      </c>
      <c r="AX294" s="4">
        <v>1338</v>
      </c>
      <c r="AY294" s="4">
        <v>1318</v>
      </c>
      <c r="AZ294" s="4">
        <v>1326</v>
      </c>
      <c r="BA294" s="4">
        <v>1329</v>
      </c>
      <c r="BB294" s="4">
        <v>1322</v>
      </c>
      <c r="BC294" s="4">
        <v>1344</v>
      </c>
      <c r="BD294" s="4">
        <v>1339</v>
      </c>
      <c r="BE294" s="4">
        <v>1366</v>
      </c>
      <c r="BF294" s="4">
        <v>1440</v>
      </c>
      <c r="BG294" s="4">
        <v>1428</v>
      </c>
      <c r="BH294" s="4">
        <v>1440</v>
      </c>
      <c r="BI294" s="4">
        <v>1435</v>
      </c>
      <c r="BJ294" s="4">
        <v>1424</v>
      </c>
      <c r="BK294" s="4">
        <v>1447</v>
      </c>
      <c r="BL294" s="4">
        <v>1413</v>
      </c>
      <c r="BM294" s="4">
        <v>1394</v>
      </c>
      <c r="BN294" s="4">
        <v>1402</v>
      </c>
      <c r="BO294" s="4">
        <v>1375</v>
      </c>
      <c r="BP294" s="4">
        <v>1382</v>
      </c>
      <c r="BQ294" s="4">
        <v>1376</v>
      </c>
      <c r="BR294" s="4">
        <v>1380</v>
      </c>
      <c r="BS294" s="4">
        <v>1394</v>
      </c>
      <c r="BT294" s="4">
        <v>1406</v>
      </c>
      <c r="BU294" s="4">
        <v>1396</v>
      </c>
      <c r="BV294" s="4">
        <v>1400</v>
      </c>
      <c r="BW294" s="4">
        <v>1407</v>
      </c>
      <c r="BX294" s="4">
        <v>1406</v>
      </c>
      <c r="BY294" s="4">
        <v>1404</v>
      </c>
      <c r="BZ294" s="4">
        <v>1410</v>
      </c>
    </row>
    <row r="295" spans="1:78">
      <c r="A295" s="62" t="s">
        <v>508</v>
      </c>
      <c r="B295" s="4" t="str">
        <f>銘柄管理!C295</f>
        <v>ＣＫＤ</v>
      </c>
      <c r="C295" s="4">
        <f>_xll.RssMarket("6407","現在値")</f>
        <v>6690</v>
      </c>
      <c r="D295" s="4">
        <f t="shared" si="8"/>
        <v>360</v>
      </c>
      <c r="E295" s="4">
        <v>6330</v>
      </c>
      <c r="F295" s="4">
        <v>5870</v>
      </c>
      <c r="G295" s="4">
        <v>6000</v>
      </c>
      <c r="H295" s="4">
        <v>5250</v>
      </c>
      <c r="I295" s="4">
        <v>5130</v>
      </c>
      <c r="J295" s="4">
        <v>5560</v>
      </c>
      <c r="K295" s="4">
        <v>6340</v>
      </c>
      <c r="M295" s="4">
        <v>6720</v>
      </c>
      <c r="N295" s="4">
        <v>6570</v>
      </c>
      <c r="O295" s="4">
        <v>6600</v>
      </c>
      <c r="P295" s="4">
        <v>6280</v>
      </c>
      <c r="Q295" s="4">
        <v>7210</v>
      </c>
      <c r="R295" s="4">
        <v>6730</v>
      </c>
      <c r="S295" s="4">
        <v>6850</v>
      </c>
      <c r="T295" s="4">
        <v>7230</v>
      </c>
      <c r="U295" s="4">
        <v>6860</v>
      </c>
      <c r="V295" s="4">
        <v>6720</v>
      </c>
      <c r="W295" s="4">
        <v>6880</v>
      </c>
      <c r="X295" s="4">
        <v>7480</v>
      </c>
      <c r="Y295" s="4">
        <v>7490</v>
      </c>
      <c r="Z295" s="4">
        <v>7460</v>
      </c>
      <c r="AA295" s="4">
        <v>7860</v>
      </c>
      <c r="AB295" s="4">
        <v>7470</v>
      </c>
      <c r="AC295" s="4">
        <v>7450</v>
      </c>
      <c r="AD295" s="4">
        <v>7380</v>
      </c>
      <c r="AE295" s="4">
        <v>7840</v>
      </c>
      <c r="AF295" s="4">
        <v>7450</v>
      </c>
      <c r="AG295" s="4">
        <v>7610</v>
      </c>
      <c r="AH295" s="4">
        <v>8180</v>
      </c>
      <c r="AI295" s="4">
        <v>7760</v>
      </c>
      <c r="AJ295" s="4">
        <v>7840</v>
      </c>
      <c r="AK295" s="4">
        <v>7450</v>
      </c>
      <c r="AL295" s="4">
        <v>7470</v>
      </c>
      <c r="AM295" s="4">
        <v>7390</v>
      </c>
      <c r="AN295" s="4">
        <v>6640</v>
      </c>
      <c r="AO295" s="4">
        <v>6150</v>
      </c>
      <c r="AP295" s="4">
        <v>6190</v>
      </c>
      <c r="AQ295" s="4">
        <v>5830</v>
      </c>
      <c r="AR295" s="4">
        <v>6260</v>
      </c>
      <c r="AS295" s="4">
        <v>6300</v>
      </c>
      <c r="AT295" s="4">
        <v>6480</v>
      </c>
      <c r="AU295" s="4">
        <v>6330</v>
      </c>
      <c r="AV295" s="4">
        <v>6560</v>
      </c>
      <c r="AW295" s="4">
        <v>6800</v>
      </c>
      <c r="AX295" s="4">
        <v>6730</v>
      </c>
      <c r="AY295" s="4">
        <v>6890</v>
      </c>
      <c r="AZ295" s="4">
        <v>6740</v>
      </c>
      <c r="BA295" s="4">
        <v>6360</v>
      </c>
      <c r="BB295" s="4">
        <v>5920</v>
      </c>
      <c r="BC295" s="4">
        <v>5970</v>
      </c>
      <c r="BD295" s="4">
        <v>6230</v>
      </c>
      <c r="BE295" s="4">
        <v>6790</v>
      </c>
      <c r="BF295" s="4">
        <v>7000</v>
      </c>
      <c r="BG295" s="4">
        <v>6870</v>
      </c>
      <c r="BH295" s="4">
        <v>6810</v>
      </c>
      <c r="BI295" s="4">
        <v>6680</v>
      </c>
      <c r="BJ295" s="4">
        <v>6650</v>
      </c>
      <c r="BK295" s="4">
        <v>6470</v>
      </c>
      <c r="BL295" s="4">
        <v>6030</v>
      </c>
      <c r="BM295" s="4">
        <v>6040</v>
      </c>
      <c r="BN295" s="4">
        <v>5870</v>
      </c>
      <c r="BO295" s="4">
        <v>5830</v>
      </c>
      <c r="BP295" s="4">
        <v>5520</v>
      </c>
      <c r="BQ295" s="4">
        <v>5490</v>
      </c>
      <c r="BR295" s="4">
        <v>5780</v>
      </c>
      <c r="BS295" s="4">
        <v>5630</v>
      </c>
      <c r="BT295" s="4">
        <v>5670</v>
      </c>
      <c r="BU295" s="4">
        <v>5540</v>
      </c>
      <c r="BV295" s="4">
        <v>5760</v>
      </c>
      <c r="BW295" s="4">
        <v>5600</v>
      </c>
      <c r="BX295" s="4">
        <v>5740</v>
      </c>
      <c r="BY295" s="4">
        <v>5650</v>
      </c>
      <c r="BZ295" s="4">
        <v>5570</v>
      </c>
    </row>
    <row r="296" spans="1:78">
      <c r="A296" s="62" t="s">
        <v>509</v>
      </c>
      <c r="B296" s="4" t="str">
        <f>銘柄管理!C296</f>
        <v>ベルトラ</v>
      </c>
      <c r="C296" s="4">
        <f>_xll.RssMarket("7048","現在値")</f>
        <v>159</v>
      </c>
      <c r="D296" s="4">
        <f t="shared" si="8"/>
        <v>2</v>
      </c>
      <c r="E296" s="4">
        <v>157</v>
      </c>
      <c r="F296" s="4">
        <v>159</v>
      </c>
      <c r="G296" s="4">
        <v>158</v>
      </c>
      <c r="H296" s="4">
        <v>157</v>
      </c>
      <c r="I296" s="4">
        <v>157</v>
      </c>
      <c r="J296" s="4">
        <v>156</v>
      </c>
      <c r="K296" s="4">
        <v>160</v>
      </c>
      <c r="M296" s="4">
        <v>154</v>
      </c>
      <c r="N296" s="4">
        <v>160</v>
      </c>
      <c r="O296" s="4">
        <v>166</v>
      </c>
      <c r="P296" s="4">
        <v>178</v>
      </c>
      <c r="Q296" s="4">
        <v>183</v>
      </c>
      <c r="R296" s="4">
        <v>177</v>
      </c>
      <c r="S296" s="4">
        <v>171</v>
      </c>
      <c r="T296" s="4">
        <v>173</v>
      </c>
      <c r="U296" s="4">
        <v>163</v>
      </c>
      <c r="V296" s="4">
        <v>163</v>
      </c>
      <c r="W296" s="4">
        <v>163</v>
      </c>
      <c r="X296" s="4">
        <v>169</v>
      </c>
      <c r="Y296" s="4">
        <v>172</v>
      </c>
      <c r="Z296" s="4">
        <v>171</v>
      </c>
      <c r="AA296" s="4">
        <v>163</v>
      </c>
      <c r="AB296" s="4">
        <v>164</v>
      </c>
      <c r="AC296" s="4">
        <v>164</v>
      </c>
      <c r="AD296" s="4">
        <v>162</v>
      </c>
      <c r="AE296" s="4">
        <v>163</v>
      </c>
      <c r="AF296" s="4">
        <v>176</v>
      </c>
      <c r="AG296" s="4">
        <v>197</v>
      </c>
      <c r="AH296" s="4">
        <v>171</v>
      </c>
      <c r="AI296" s="4">
        <v>152</v>
      </c>
      <c r="AJ296" s="4">
        <v>150</v>
      </c>
      <c r="AK296" s="4">
        <v>133</v>
      </c>
      <c r="AL296" s="4">
        <v>126</v>
      </c>
      <c r="AM296" s="4">
        <v>130</v>
      </c>
      <c r="AN296" s="4">
        <v>119</v>
      </c>
      <c r="AO296" s="4">
        <v>116</v>
      </c>
      <c r="AP296" s="4">
        <v>124</v>
      </c>
      <c r="AQ296" s="4">
        <v>126</v>
      </c>
      <c r="AR296" s="4">
        <v>130</v>
      </c>
      <c r="AS296" s="4">
        <v>128</v>
      </c>
      <c r="AT296" s="4">
        <v>129</v>
      </c>
      <c r="AU296" s="4">
        <v>130</v>
      </c>
      <c r="AV296" s="4">
        <v>133</v>
      </c>
      <c r="AW296" s="4">
        <v>131</v>
      </c>
      <c r="AX296" s="4">
        <v>133</v>
      </c>
      <c r="AY296" s="4">
        <v>137</v>
      </c>
      <c r="AZ296" s="4">
        <v>143</v>
      </c>
      <c r="BA296" s="4">
        <v>143</v>
      </c>
      <c r="BB296" s="4">
        <v>144</v>
      </c>
      <c r="BC296" s="4">
        <v>147</v>
      </c>
      <c r="BD296" s="4">
        <v>145</v>
      </c>
      <c r="BE296" s="4">
        <v>148</v>
      </c>
      <c r="BF296" s="4">
        <v>159</v>
      </c>
      <c r="BG296" s="4">
        <v>165</v>
      </c>
      <c r="BH296" s="4">
        <v>163</v>
      </c>
      <c r="BI296" s="4">
        <v>164</v>
      </c>
      <c r="BJ296" s="4">
        <v>164</v>
      </c>
      <c r="BK296" s="4">
        <v>163</v>
      </c>
      <c r="BL296" s="4">
        <v>162</v>
      </c>
      <c r="BM296" s="4">
        <v>160</v>
      </c>
      <c r="BN296" s="4">
        <v>164</v>
      </c>
      <c r="BO296" s="4">
        <v>161</v>
      </c>
      <c r="BP296" s="4">
        <v>163</v>
      </c>
      <c r="BQ296" s="4">
        <v>169</v>
      </c>
      <c r="BR296" s="4">
        <v>173</v>
      </c>
      <c r="BS296" s="4">
        <v>179</v>
      </c>
      <c r="BT296" s="4">
        <v>184</v>
      </c>
      <c r="BU296" s="4">
        <v>189</v>
      </c>
      <c r="BV296" s="4">
        <v>179</v>
      </c>
      <c r="BW296" s="4">
        <v>178</v>
      </c>
      <c r="BX296" s="4">
        <v>175</v>
      </c>
      <c r="BY296" s="4">
        <v>174</v>
      </c>
      <c r="BZ296" s="4">
        <v>174</v>
      </c>
    </row>
    <row r="297" spans="1:78">
      <c r="A297" s="62" t="s">
        <v>510</v>
      </c>
      <c r="B297" s="4" t="str">
        <f>銘柄管理!C297</f>
        <v>長谷工コーポレーシヨン</v>
      </c>
      <c r="C297" s="4">
        <f>_xll.RssMarket("1808","現在値")</f>
        <v>2649.5</v>
      </c>
      <c r="D297" s="4">
        <f t="shared" si="8"/>
        <v>-6.5</v>
      </c>
      <c r="E297" s="4">
        <v>2656</v>
      </c>
      <c r="F297" s="4">
        <v>2704.5</v>
      </c>
      <c r="G297" s="4">
        <v>2780</v>
      </c>
      <c r="H297" s="4">
        <v>2833</v>
      </c>
      <c r="I297" s="4">
        <v>2902.5</v>
      </c>
      <c r="J297" s="4">
        <v>2843</v>
      </c>
      <c r="K297" s="4">
        <v>2851</v>
      </c>
      <c r="L297" s="4">
        <v>2760</v>
      </c>
      <c r="M297" s="4">
        <v>2767</v>
      </c>
      <c r="N297" s="4">
        <v>2811.5</v>
      </c>
      <c r="O297" s="4">
        <v>2829</v>
      </c>
      <c r="P297" s="4">
        <v>2812.5</v>
      </c>
      <c r="Q297" s="4">
        <v>2809.5</v>
      </c>
      <c r="R297" s="4">
        <v>2809</v>
      </c>
      <c r="S297" s="4">
        <v>2772.5</v>
      </c>
      <c r="T297" s="4">
        <v>2788.5</v>
      </c>
      <c r="U297" s="4">
        <v>2781</v>
      </c>
      <c r="V297" s="4">
        <v>2836</v>
      </c>
      <c r="W297" s="4">
        <v>2868.5</v>
      </c>
      <c r="X297" s="4">
        <v>2869.5</v>
      </c>
      <c r="Y297" s="4">
        <v>2825</v>
      </c>
      <c r="Z297" s="4">
        <v>2800</v>
      </c>
      <c r="AA297" s="4">
        <v>2774</v>
      </c>
      <c r="AB297" s="4">
        <v>2843.5</v>
      </c>
      <c r="AC297" s="4">
        <v>2841.5</v>
      </c>
      <c r="AD297" s="4">
        <v>2852.5</v>
      </c>
      <c r="AE297" s="4">
        <v>2761</v>
      </c>
      <c r="AF297" s="4">
        <v>2714</v>
      </c>
      <c r="AG297" s="4">
        <v>2720</v>
      </c>
      <c r="AH297" s="4">
        <v>2718</v>
      </c>
      <c r="AI297" s="4">
        <v>2730</v>
      </c>
      <c r="AJ297" s="4">
        <v>2667</v>
      </c>
      <c r="AK297" s="4">
        <v>2706.5</v>
      </c>
      <c r="AL297" s="4">
        <v>2690</v>
      </c>
      <c r="AM297" s="4">
        <v>2706.5</v>
      </c>
      <c r="AN297" s="4">
        <v>2691</v>
      </c>
      <c r="AO297" s="4">
        <v>2731</v>
      </c>
      <c r="AP297" s="4">
        <v>2727.5</v>
      </c>
      <c r="AQ297" s="4">
        <v>2647</v>
      </c>
      <c r="AR297" s="4">
        <v>2654</v>
      </c>
      <c r="AS297" s="4">
        <v>2626.5</v>
      </c>
      <c r="AT297" s="4">
        <v>2630</v>
      </c>
      <c r="AU297" s="4">
        <v>2617.5</v>
      </c>
      <c r="AV297" s="4">
        <v>2712.5</v>
      </c>
      <c r="AW297" s="4">
        <v>2695.5</v>
      </c>
      <c r="AX297" s="4">
        <v>2696.5</v>
      </c>
      <c r="AY297" s="4">
        <v>2676.5</v>
      </c>
      <c r="AZ297" s="4">
        <v>2695</v>
      </c>
      <c r="BA297" s="4">
        <v>2719</v>
      </c>
      <c r="BB297" s="4">
        <v>2714.5</v>
      </c>
      <c r="BC297" s="4">
        <v>2790.5</v>
      </c>
      <c r="BD297" s="4">
        <v>2844</v>
      </c>
      <c r="BE297" s="4">
        <v>2684</v>
      </c>
      <c r="BF297" s="4">
        <v>2689</v>
      </c>
      <c r="BG297" s="4">
        <v>2790.5</v>
      </c>
      <c r="BH297" s="4">
        <v>2803.5</v>
      </c>
      <c r="BI297" s="4">
        <v>2767</v>
      </c>
      <c r="BJ297" s="4">
        <v>2758</v>
      </c>
      <c r="BK297" s="4">
        <v>2755</v>
      </c>
      <c r="BL297" s="4">
        <v>2744</v>
      </c>
      <c r="BM297" s="4">
        <v>2709</v>
      </c>
      <c r="BN297" s="4">
        <v>2818</v>
      </c>
      <c r="BO297" s="4">
        <v>2723.5</v>
      </c>
      <c r="BP297" s="4">
        <v>2684</v>
      </c>
      <c r="BQ297" s="4">
        <v>2724.5</v>
      </c>
      <c r="BR297" s="4">
        <v>2762.5</v>
      </c>
      <c r="BS297" s="4">
        <v>2764</v>
      </c>
      <c r="BT297" s="4">
        <v>2821</v>
      </c>
      <c r="BU297" s="4">
        <v>2766.5</v>
      </c>
      <c r="BV297" s="4">
        <v>2770.5</v>
      </c>
      <c r="BW297" s="4">
        <v>2757</v>
      </c>
      <c r="BX297" s="4">
        <v>2722</v>
      </c>
      <c r="BY297" s="4">
        <v>2885</v>
      </c>
      <c r="BZ297" s="4">
        <v>2912</v>
      </c>
    </row>
    <row r="298" spans="1:78">
      <c r="A298" s="62" t="s">
        <v>511</v>
      </c>
      <c r="B298" s="4" t="str">
        <f>銘柄管理!C298</f>
        <v>ＵＢＥ</v>
      </c>
      <c r="C298" s="4">
        <f>_xll.RssMarket("4208","現在値")</f>
        <v>3216</v>
      </c>
      <c r="D298" s="4">
        <f t="shared" si="8"/>
        <v>69</v>
      </c>
      <c r="E298" s="4">
        <v>3147</v>
      </c>
      <c r="F298" s="4">
        <v>3149</v>
      </c>
      <c r="G298" s="4">
        <v>3183</v>
      </c>
      <c r="H298" s="4">
        <v>3165</v>
      </c>
      <c r="I298" s="4">
        <v>3185</v>
      </c>
      <c r="J298" s="4">
        <v>3213</v>
      </c>
      <c r="K298" s="4">
        <v>3326</v>
      </c>
      <c r="M298" s="4">
        <v>3275</v>
      </c>
      <c r="N298" s="4">
        <v>3241</v>
      </c>
      <c r="O298" s="4">
        <v>3233</v>
      </c>
      <c r="P298" s="4">
        <v>3208</v>
      </c>
      <c r="Q298" s="4">
        <v>3273</v>
      </c>
      <c r="R298" s="4">
        <v>3216</v>
      </c>
      <c r="S298" s="4">
        <v>3100</v>
      </c>
      <c r="T298" s="4">
        <v>3147</v>
      </c>
      <c r="U298" s="4">
        <v>3165</v>
      </c>
      <c r="V298" s="4">
        <v>3172</v>
      </c>
      <c r="W298" s="4">
        <v>3212</v>
      </c>
      <c r="X298" s="4">
        <v>3261</v>
      </c>
      <c r="Y298" s="4">
        <v>3243</v>
      </c>
      <c r="Z298" s="4">
        <v>3202</v>
      </c>
      <c r="AA298" s="4">
        <v>3157</v>
      </c>
      <c r="AB298" s="4">
        <v>3180</v>
      </c>
      <c r="AC298" s="4">
        <v>3159</v>
      </c>
      <c r="AD298" s="4">
        <v>3142</v>
      </c>
      <c r="AE298" s="4">
        <v>3181</v>
      </c>
      <c r="AF298" s="4">
        <v>3108</v>
      </c>
      <c r="AG298" s="4">
        <v>3129</v>
      </c>
      <c r="AH298" s="4">
        <v>3222</v>
      </c>
      <c r="AI298" s="4">
        <v>3205</v>
      </c>
      <c r="AJ298" s="4">
        <v>3290</v>
      </c>
      <c r="AK298" s="4">
        <v>3163</v>
      </c>
      <c r="AL298" s="4">
        <v>3196</v>
      </c>
      <c r="AM298" s="4">
        <v>3203</v>
      </c>
      <c r="AN298" s="4">
        <v>3068</v>
      </c>
      <c r="AO298" s="4">
        <v>2999.5</v>
      </c>
      <c r="AP298" s="4">
        <v>3018</v>
      </c>
      <c r="AQ298" s="4">
        <v>2921</v>
      </c>
      <c r="AR298" s="4">
        <v>2955</v>
      </c>
      <c r="AS298" s="4">
        <v>2941</v>
      </c>
      <c r="AT298" s="4">
        <v>2992</v>
      </c>
      <c r="AU298" s="4">
        <v>2941</v>
      </c>
      <c r="AV298" s="4">
        <v>2952.5</v>
      </c>
      <c r="AW298" s="4">
        <v>2930.5</v>
      </c>
      <c r="AX298" s="4">
        <v>2975.5</v>
      </c>
      <c r="AY298" s="4">
        <v>2970</v>
      </c>
      <c r="AZ298" s="4">
        <v>2992</v>
      </c>
      <c r="BA298" s="4">
        <v>3046</v>
      </c>
      <c r="BB298" s="4">
        <v>2890.5</v>
      </c>
      <c r="BC298" s="4">
        <v>2390.5</v>
      </c>
      <c r="BD298" s="4">
        <v>2400.5</v>
      </c>
      <c r="BE298" s="4">
        <v>2384</v>
      </c>
      <c r="BF298" s="4">
        <v>2459</v>
      </c>
      <c r="BG298" s="4">
        <v>2350.5</v>
      </c>
      <c r="BH298" s="4">
        <v>2321.5</v>
      </c>
      <c r="BI298" s="4">
        <v>2387</v>
      </c>
      <c r="BJ298" s="4">
        <v>2388</v>
      </c>
      <c r="BK298" s="4">
        <v>2398</v>
      </c>
      <c r="BL298" s="4">
        <v>2378.5</v>
      </c>
      <c r="BM298" s="4">
        <v>2366.5</v>
      </c>
      <c r="BN298" s="4">
        <v>2391</v>
      </c>
      <c r="BO298" s="4">
        <v>2360.5</v>
      </c>
      <c r="BP298" s="4">
        <v>2351</v>
      </c>
      <c r="BQ298" s="4">
        <v>2349</v>
      </c>
      <c r="BR298" s="4">
        <v>2375.5</v>
      </c>
      <c r="BS298" s="4">
        <v>2413</v>
      </c>
      <c r="BT298" s="4">
        <v>2412.5</v>
      </c>
      <c r="BU298" s="4">
        <v>2447.5</v>
      </c>
      <c r="BV298" s="4">
        <v>2432</v>
      </c>
      <c r="BW298" s="4">
        <v>2425.5</v>
      </c>
      <c r="BX298" s="4">
        <v>2408.5</v>
      </c>
      <c r="BY298" s="4">
        <v>2418.5</v>
      </c>
      <c r="BZ298" s="4">
        <v>2447</v>
      </c>
    </row>
    <row r="299" spans="1:78">
      <c r="A299" s="62" t="s">
        <v>512</v>
      </c>
      <c r="B299" s="4" t="str">
        <f>銘柄管理!C299</f>
        <v>アストロスケールホールディンク</v>
      </c>
      <c r="C299" s="4">
        <f>_xll.RssMarket("186A","現在値")</f>
        <v>1176</v>
      </c>
      <c r="D299" s="4">
        <f t="shared" si="8"/>
        <v>41</v>
      </c>
      <c r="E299" s="4">
        <v>1135</v>
      </c>
      <c r="F299" s="4">
        <v>1040</v>
      </c>
      <c r="G299" s="4">
        <v>1012</v>
      </c>
      <c r="H299" s="4">
        <v>955</v>
      </c>
      <c r="I299" s="4">
        <v>906</v>
      </c>
      <c r="J299" s="4">
        <v>1004</v>
      </c>
      <c r="K299" s="4">
        <v>1025</v>
      </c>
      <c r="L299" s="4">
        <v>1026</v>
      </c>
      <c r="M299" s="4">
        <v>1041</v>
      </c>
      <c r="N299" s="4">
        <v>1014</v>
      </c>
      <c r="O299" s="4">
        <v>995</v>
      </c>
      <c r="P299" s="4">
        <v>981</v>
      </c>
      <c r="Q299" s="4">
        <v>1102</v>
      </c>
      <c r="R299" s="4">
        <v>1064</v>
      </c>
      <c r="S299" s="4">
        <v>1096</v>
      </c>
      <c r="T299" s="4">
        <v>1095</v>
      </c>
      <c r="U299" s="4">
        <v>1096</v>
      </c>
      <c r="V299" s="4">
        <v>1073</v>
      </c>
      <c r="W299" s="4">
        <v>1141</v>
      </c>
      <c r="X299" s="4">
        <v>1231</v>
      </c>
      <c r="Y299" s="4">
        <v>1218</v>
      </c>
      <c r="Z299" s="4">
        <v>1124</v>
      </c>
      <c r="AA299" s="4">
        <v>1138</v>
      </c>
      <c r="AB299" s="4">
        <v>1176</v>
      </c>
      <c r="AC299" s="4">
        <v>1140</v>
      </c>
      <c r="AD299" s="4">
        <v>1095</v>
      </c>
      <c r="AE299" s="4">
        <v>1162</v>
      </c>
      <c r="AF299" s="4">
        <v>1156</v>
      </c>
      <c r="AG299" s="4">
        <v>1150</v>
      </c>
      <c r="AH299" s="4">
        <v>1320</v>
      </c>
      <c r="AI299" s="4">
        <v>1198</v>
      </c>
      <c r="AJ299" s="4">
        <v>1331</v>
      </c>
      <c r="AK299" s="4">
        <v>1348</v>
      </c>
      <c r="AL299" s="4">
        <v>1375</v>
      </c>
      <c r="AM299" s="4">
        <v>1505</v>
      </c>
      <c r="AN299" s="4">
        <v>1905</v>
      </c>
      <c r="AO299" s="4">
        <v>1810</v>
      </c>
      <c r="AP299" s="4">
        <v>1749</v>
      </c>
      <c r="AQ299" s="4">
        <v>2089</v>
      </c>
      <c r="AR299" s="4">
        <v>2090</v>
      </c>
      <c r="AS299" s="4">
        <v>1955</v>
      </c>
      <c r="AT299" s="4">
        <v>2065</v>
      </c>
      <c r="AU299" s="4">
        <v>2145</v>
      </c>
      <c r="AV299" s="4">
        <v>2739</v>
      </c>
      <c r="AW299" s="4">
        <v>2868</v>
      </c>
      <c r="AX299" s="4">
        <v>2694</v>
      </c>
      <c r="AY299" s="4">
        <v>2696</v>
      </c>
      <c r="AZ299" s="4">
        <v>2352</v>
      </c>
      <c r="BA299" s="4">
        <v>1952</v>
      </c>
      <c r="BB299" s="4">
        <v>1920</v>
      </c>
      <c r="BC299" s="4">
        <v>2115</v>
      </c>
      <c r="BD299" s="4">
        <v>1892</v>
      </c>
      <c r="BE299" s="4">
        <v>1932</v>
      </c>
      <c r="BF299" s="4">
        <v>1860</v>
      </c>
      <c r="BG299" s="4">
        <v>1824</v>
      </c>
      <c r="BH299" s="4">
        <v>1838</v>
      </c>
      <c r="BI299" s="4">
        <v>1779</v>
      </c>
      <c r="BJ299" s="4">
        <v>1570</v>
      </c>
      <c r="BK299" s="4">
        <v>1413</v>
      </c>
      <c r="BL299" s="4">
        <v>1310</v>
      </c>
      <c r="BM299" s="4">
        <v>1286</v>
      </c>
      <c r="BN299" s="4">
        <v>1312</v>
      </c>
      <c r="BO299" s="4">
        <v>1240</v>
      </c>
      <c r="BP299" s="4">
        <v>1323</v>
      </c>
      <c r="BQ299" s="4">
        <v>1409</v>
      </c>
      <c r="BR299" s="4">
        <v>1450</v>
      </c>
      <c r="BS299" s="4">
        <v>1452</v>
      </c>
      <c r="BT299" s="4">
        <v>1454</v>
      </c>
      <c r="BU299" s="4">
        <v>1345</v>
      </c>
      <c r="BV299" s="4">
        <v>1384</v>
      </c>
      <c r="BW299" s="4">
        <v>1367</v>
      </c>
      <c r="BX299" s="4">
        <v>1389</v>
      </c>
      <c r="BY299" s="4">
        <v>1332</v>
      </c>
      <c r="BZ299" s="4">
        <v>1342</v>
      </c>
    </row>
    <row r="300" spans="1:78">
      <c r="A300" s="62" t="s">
        <v>513</v>
      </c>
      <c r="B300" s="4" t="str">
        <f>銘柄管理!C300</f>
        <v>浜松ホトニクス</v>
      </c>
      <c r="C300" s="4">
        <f>_xll.RssMarket("6965","現在値")</f>
        <v>2553</v>
      </c>
      <c r="D300" s="4">
        <f t="shared" si="8"/>
        <v>145</v>
      </c>
      <c r="E300" s="4">
        <v>2408</v>
      </c>
      <c r="F300" s="4">
        <v>2321</v>
      </c>
      <c r="G300" s="4">
        <v>2323</v>
      </c>
      <c r="H300" s="4">
        <v>2152.5</v>
      </c>
      <c r="I300" s="4">
        <v>2153.5</v>
      </c>
      <c r="J300" s="4">
        <v>2198</v>
      </c>
      <c r="K300" s="4">
        <v>2367.5</v>
      </c>
      <c r="M300" s="4">
        <v>2423.5</v>
      </c>
      <c r="N300" s="4">
        <v>2402</v>
      </c>
      <c r="O300" s="4">
        <v>2335.5</v>
      </c>
      <c r="P300" s="4">
        <v>2302</v>
      </c>
      <c r="Q300" s="4">
        <v>2509.5</v>
      </c>
      <c r="R300" s="4">
        <v>2437</v>
      </c>
      <c r="S300" s="4">
        <v>2453</v>
      </c>
      <c r="T300" s="4">
        <v>2508.5</v>
      </c>
      <c r="U300" s="4">
        <v>2421.5</v>
      </c>
      <c r="V300" s="4">
        <v>2424</v>
      </c>
      <c r="W300" s="4">
        <v>2477.5</v>
      </c>
      <c r="X300" s="4">
        <v>2590</v>
      </c>
      <c r="Y300" s="4">
        <v>2669</v>
      </c>
      <c r="Z300" s="4">
        <v>2648.5</v>
      </c>
      <c r="AA300" s="4">
        <v>2749.5</v>
      </c>
      <c r="AB300" s="4">
        <v>2671</v>
      </c>
      <c r="AC300" s="4">
        <v>2661</v>
      </c>
      <c r="AD300" s="4">
        <v>2625</v>
      </c>
      <c r="AE300" s="4">
        <v>2739.5</v>
      </c>
      <c r="AF300" s="4">
        <v>2670</v>
      </c>
      <c r="AG300" s="4">
        <v>2659.5</v>
      </c>
      <c r="AH300" s="4">
        <v>2825.5</v>
      </c>
      <c r="AI300" s="4">
        <v>2797.5</v>
      </c>
      <c r="AJ300" s="4">
        <v>2770.5</v>
      </c>
      <c r="AK300" s="4">
        <v>2777.5</v>
      </c>
      <c r="AL300" s="4">
        <v>2648</v>
      </c>
      <c r="AM300" s="4">
        <v>2635.5</v>
      </c>
      <c r="AN300" s="4">
        <v>2495.5</v>
      </c>
      <c r="AO300" s="4">
        <v>2427.5</v>
      </c>
      <c r="AP300" s="4">
        <v>2368.5</v>
      </c>
      <c r="AQ300" s="4">
        <v>2630</v>
      </c>
      <c r="AR300" s="4">
        <v>2864</v>
      </c>
      <c r="AS300" s="4">
        <v>2920.5</v>
      </c>
      <c r="AT300" s="4">
        <v>2877.5</v>
      </c>
      <c r="AU300" s="4">
        <v>2732</v>
      </c>
      <c r="AV300" s="4">
        <v>2863</v>
      </c>
      <c r="AW300" s="4">
        <v>2823</v>
      </c>
      <c r="AX300" s="4">
        <v>2700</v>
      </c>
      <c r="AY300" s="4">
        <v>2973.5</v>
      </c>
      <c r="AZ300" s="4">
        <v>2910.5</v>
      </c>
      <c r="BA300" s="4">
        <v>2673.5</v>
      </c>
      <c r="BB300" s="4">
        <v>2633.5</v>
      </c>
      <c r="BC300" s="4">
        <v>2685.5</v>
      </c>
      <c r="BD300" s="4">
        <v>2867</v>
      </c>
      <c r="BE300" s="4">
        <v>2657</v>
      </c>
      <c r="BF300" s="4">
        <v>2157</v>
      </c>
      <c r="BG300" s="4">
        <v>2162.5</v>
      </c>
      <c r="BH300" s="4">
        <v>2177</v>
      </c>
      <c r="BI300" s="4">
        <v>2162</v>
      </c>
      <c r="BJ300" s="4">
        <v>2193.5</v>
      </c>
      <c r="BK300" s="4">
        <v>2140</v>
      </c>
      <c r="BL300" s="4">
        <v>2006</v>
      </c>
      <c r="BM300" s="4">
        <v>2023</v>
      </c>
      <c r="BN300" s="4">
        <v>2002.5</v>
      </c>
      <c r="BO300" s="4">
        <v>2053.5</v>
      </c>
      <c r="BP300" s="4">
        <v>1921.5</v>
      </c>
      <c r="BQ300" s="4">
        <v>1913.5</v>
      </c>
      <c r="BR300" s="4">
        <v>1944.5</v>
      </c>
      <c r="BS300" s="4">
        <v>1945.5</v>
      </c>
      <c r="BT300" s="4">
        <v>1952</v>
      </c>
      <c r="BU300" s="4">
        <v>1937</v>
      </c>
      <c r="BV300" s="4">
        <v>1960</v>
      </c>
      <c r="BW300" s="4">
        <v>1902</v>
      </c>
      <c r="BX300" s="4">
        <v>1936</v>
      </c>
      <c r="BY300" s="4">
        <v>1949.5</v>
      </c>
      <c r="BZ300" s="4">
        <v>1942.5</v>
      </c>
    </row>
    <row r="301" spans="1:78">
      <c r="A301" s="62" t="s">
        <v>514</v>
      </c>
      <c r="B301" s="4" t="str">
        <f>銘柄管理!C301</f>
        <v>三菱化工機</v>
      </c>
      <c r="C301" s="4">
        <f>_xll.RssMarket("6331","現在値")</f>
        <v>3250</v>
      </c>
      <c r="D301" s="4">
        <f t="shared" si="8"/>
        <v>100</v>
      </c>
      <c r="E301" s="4">
        <v>3150</v>
      </c>
      <c r="F301" s="4">
        <v>3090</v>
      </c>
      <c r="G301" s="4">
        <v>3155</v>
      </c>
      <c r="H301" s="4">
        <v>3110</v>
      </c>
      <c r="I301" s="4">
        <v>3070</v>
      </c>
      <c r="J301" s="4">
        <v>3235</v>
      </c>
      <c r="K301" s="4">
        <v>3400</v>
      </c>
      <c r="L301" s="4">
        <v>3395</v>
      </c>
      <c r="M301" s="4">
        <v>3400</v>
      </c>
      <c r="N301" s="4">
        <v>3300</v>
      </c>
      <c r="O301" s="4">
        <v>3255</v>
      </c>
      <c r="P301" s="4">
        <v>3175</v>
      </c>
      <c r="Q301" s="4">
        <v>3465</v>
      </c>
      <c r="R301" s="4">
        <v>3415</v>
      </c>
      <c r="S301" s="4">
        <v>3430</v>
      </c>
      <c r="T301" s="4">
        <v>3555</v>
      </c>
      <c r="U301" s="4">
        <v>3490</v>
      </c>
      <c r="V301" s="4">
        <v>3600</v>
      </c>
      <c r="W301" s="4">
        <v>3880</v>
      </c>
      <c r="X301" s="4">
        <v>3955</v>
      </c>
      <c r="Y301" s="4">
        <v>3820</v>
      </c>
      <c r="Z301" s="4">
        <v>3715</v>
      </c>
      <c r="AA301" s="4">
        <v>3700</v>
      </c>
      <c r="AB301" s="4">
        <v>3650</v>
      </c>
      <c r="AC301" s="4">
        <v>3755</v>
      </c>
      <c r="AD301" s="4">
        <v>3830</v>
      </c>
      <c r="AE301" s="4">
        <v>3930</v>
      </c>
      <c r="AF301" s="4">
        <v>3840</v>
      </c>
      <c r="AG301" s="4">
        <v>3880</v>
      </c>
      <c r="AH301" s="4">
        <v>4145</v>
      </c>
      <c r="AI301" s="4">
        <v>3995</v>
      </c>
      <c r="AJ301" s="4">
        <v>4010</v>
      </c>
      <c r="AK301" s="4">
        <v>4100</v>
      </c>
      <c r="AL301" s="4">
        <v>3910</v>
      </c>
      <c r="AM301" s="4">
        <v>3840</v>
      </c>
      <c r="AN301" s="4">
        <v>3660</v>
      </c>
      <c r="AO301" s="4">
        <v>3615</v>
      </c>
      <c r="AP301" s="4">
        <v>3615</v>
      </c>
      <c r="AQ301" s="4">
        <v>3500</v>
      </c>
      <c r="AR301" s="4">
        <v>3610</v>
      </c>
      <c r="AS301" s="4">
        <v>3460</v>
      </c>
      <c r="AT301" s="4">
        <v>3640</v>
      </c>
      <c r="AU301" s="4">
        <v>3425</v>
      </c>
      <c r="AV301" s="4">
        <v>3590</v>
      </c>
      <c r="AW301" s="4">
        <v>3660</v>
      </c>
      <c r="AX301" s="4">
        <v>3665</v>
      </c>
      <c r="AY301" s="4">
        <v>3490</v>
      </c>
      <c r="AZ301" s="4">
        <v>3400</v>
      </c>
      <c r="BA301" s="4">
        <v>3495</v>
      </c>
      <c r="BB301" s="4">
        <v>3440</v>
      </c>
      <c r="BC301" s="4">
        <v>3625</v>
      </c>
      <c r="BD301" s="4">
        <v>3845</v>
      </c>
      <c r="BE301" s="4">
        <v>3660</v>
      </c>
      <c r="BF301" s="4">
        <v>3305</v>
      </c>
      <c r="BG301" s="4">
        <v>3320</v>
      </c>
      <c r="BH301" s="4">
        <v>3310</v>
      </c>
      <c r="BI301" s="4">
        <v>3285</v>
      </c>
      <c r="BJ301" s="4">
        <v>3275</v>
      </c>
      <c r="BK301" s="4">
        <v>3285</v>
      </c>
      <c r="BL301" s="4">
        <v>3260</v>
      </c>
      <c r="BM301" s="4">
        <v>3180</v>
      </c>
      <c r="BN301" s="4">
        <v>3205</v>
      </c>
      <c r="BO301" s="4">
        <v>3285</v>
      </c>
      <c r="BP301" s="4">
        <v>3210</v>
      </c>
      <c r="BQ301" s="4">
        <v>3180</v>
      </c>
      <c r="BR301" s="4">
        <v>3055</v>
      </c>
      <c r="BS301" s="4">
        <v>3035</v>
      </c>
      <c r="BT301" s="4">
        <v>3045</v>
      </c>
      <c r="BU301" s="4">
        <v>3030</v>
      </c>
      <c r="BV301" s="4">
        <v>3075</v>
      </c>
      <c r="BW301" s="4">
        <v>3045</v>
      </c>
      <c r="BX301" s="4">
        <v>3090</v>
      </c>
      <c r="BY301" s="4">
        <v>3120</v>
      </c>
      <c r="BZ301" s="4">
        <v>3185</v>
      </c>
    </row>
    <row r="302" spans="1:78">
      <c r="A302" s="62" t="s">
        <v>515</v>
      </c>
      <c r="B302" s="4" t="str">
        <f>銘柄管理!C302</f>
        <v>ＨＯＹＡ</v>
      </c>
      <c r="C302" s="4">
        <f>_xll.RssMarket("7741","現在値")</f>
        <v>25970</v>
      </c>
      <c r="D302" s="4">
        <f t="shared" si="8"/>
        <v>45</v>
      </c>
      <c r="E302" s="4">
        <v>25925</v>
      </c>
      <c r="F302" s="4">
        <v>25260</v>
      </c>
      <c r="G302" s="4">
        <v>24675</v>
      </c>
      <c r="H302" s="4">
        <v>23840</v>
      </c>
      <c r="I302" s="4">
        <v>23765</v>
      </c>
      <c r="J302" s="4">
        <v>23685</v>
      </c>
      <c r="K302" s="4">
        <v>24725</v>
      </c>
      <c r="L302" s="4">
        <v>24560</v>
      </c>
      <c r="M302" s="4">
        <v>24840</v>
      </c>
      <c r="N302" s="4">
        <v>25045</v>
      </c>
      <c r="O302" s="4">
        <v>25450</v>
      </c>
      <c r="P302" s="4">
        <v>25215</v>
      </c>
      <c r="Q302" s="4">
        <v>25330</v>
      </c>
      <c r="R302" s="4">
        <v>25570</v>
      </c>
      <c r="S302" s="4">
        <v>25480</v>
      </c>
      <c r="T302" s="4">
        <v>24975</v>
      </c>
      <c r="U302" s="4">
        <v>24780</v>
      </c>
      <c r="V302" s="4">
        <v>23910</v>
      </c>
      <c r="W302" s="4">
        <v>25645</v>
      </c>
      <c r="X302" s="4">
        <v>25575</v>
      </c>
      <c r="Y302" s="4">
        <v>25930</v>
      </c>
      <c r="Z302" s="4">
        <v>25590</v>
      </c>
      <c r="AA302" s="4">
        <v>25905</v>
      </c>
      <c r="AB302" s="4">
        <v>25950</v>
      </c>
      <c r="AC302" s="4">
        <v>25805</v>
      </c>
      <c r="AD302" s="4">
        <v>25575</v>
      </c>
      <c r="AE302" s="4">
        <v>26120</v>
      </c>
      <c r="AF302" s="4">
        <v>26350</v>
      </c>
      <c r="AG302" s="4">
        <v>26485</v>
      </c>
      <c r="AH302" s="4">
        <v>26975</v>
      </c>
      <c r="AI302" s="4">
        <v>27245</v>
      </c>
      <c r="AJ302" s="4">
        <v>28515</v>
      </c>
      <c r="AK302" s="4">
        <v>27620</v>
      </c>
      <c r="AL302" s="4">
        <v>27065</v>
      </c>
      <c r="AM302" s="4">
        <v>26630</v>
      </c>
      <c r="AN302" s="4">
        <v>26420</v>
      </c>
      <c r="AO302" s="4">
        <v>25650</v>
      </c>
      <c r="AP302" s="4">
        <v>25710</v>
      </c>
      <c r="AQ302" s="4">
        <v>25280</v>
      </c>
      <c r="AR302" s="4">
        <v>26340</v>
      </c>
      <c r="AS302" s="4">
        <v>26430</v>
      </c>
      <c r="AT302" s="4">
        <v>27495</v>
      </c>
      <c r="AU302" s="4">
        <v>26305</v>
      </c>
      <c r="AV302" s="4">
        <v>27080</v>
      </c>
      <c r="AW302" s="4">
        <v>26970</v>
      </c>
      <c r="AX302" s="4">
        <v>27195</v>
      </c>
      <c r="AY302" s="4">
        <v>26300</v>
      </c>
      <c r="AZ302" s="4">
        <v>26225</v>
      </c>
      <c r="BA302" s="4">
        <v>26580</v>
      </c>
      <c r="BB302" s="4">
        <v>26500</v>
      </c>
      <c r="BC302" s="4">
        <v>26895</v>
      </c>
      <c r="BD302" s="4">
        <v>27725</v>
      </c>
      <c r="BE302" s="4">
        <v>28005</v>
      </c>
      <c r="BF302" s="4">
        <v>27670</v>
      </c>
      <c r="BG302" s="4">
        <v>27680</v>
      </c>
      <c r="BH302" s="4">
        <v>27285</v>
      </c>
      <c r="BI302" s="4">
        <v>27235</v>
      </c>
      <c r="BJ302" s="4">
        <v>27470</v>
      </c>
      <c r="BK302" s="4">
        <v>27510</v>
      </c>
      <c r="BL302" s="4">
        <v>27830</v>
      </c>
      <c r="BM302" s="4">
        <v>29100</v>
      </c>
      <c r="BN302" s="4">
        <v>29305</v>
      </c>
      <c r="BO302" s="4">
        <v>28940</v>
      </c>
      <c r="BP302" s="4">
        <v>28590</v>
      </c>
      <c r="BQ302" s="4">
        <v>28495</v>
      </c>
      <c r="BR302" s="4">
        <v>28675</v>
      </c>
      <c r="BS302" s="4">
        <v>28970</v>
      </c>
      <c r="BT302" s="4">
        <v>29645</v>
      </c>
      <c r="BU302" s="4">
        <v>28995</v>
      </c>
      <c r="BV302" s="4">
        <v>30000</v>
      </c>
      <c r="BW302" s="4">
        <v>30030</v>
      </c>
      <c r="BX302" s="4">
        <v>29400</v>
      </c>
      <c r="BY302" s="4">
        <v>29170</v>
      </c>
      <c r="BZ302" s="4">
        <v>29490</v>
      </c>
    </row>
    <row r="303" spans="1:78">
      <c r="A303" s="62" t="s">
        <v>876</v>
      </c>
      <c r="B303" s="4" t="str">
        <f>銘柄管理!C303</f>
        <v>ＮＦ日経２２５</v>
      </c>
      <c r="C303" s="4">
        <f>_xll.RssMarket("1321","現在値")</f>
        <v>68370</v>
      </c>
      <c r="D303" s="4">
        <f t="shared" si="8"/>
        <v>2280</v>
      </c>
      <c r="E303" s="4">
        <v>66090</v>
      </c>
      <c r="F303" s="4">
        <v>65850</v>
      </c>
      <c r="G303" s="4">
        <v>66560</v>
      </c>
      <c r="H303" s="4">
        <v>64080</v>
      </c>
      <c r="I303" s="4">
        <v>63680</v>
      </c>
      <c r="J303" s="4">
        <v>64570</v>
      </c>
      <c r="K303" s="4">
        <v>67280</v>
      </c>
      <c r="L303" s="4">
        <v>66880</v>
      </c>
      <c r="M303" s="4">
        <v>68700</v>
      </c>
      <c r="N303" s="4">
        <v>68310</v>
      </c>
      <c r="O303" s="4">
        <v>68450</v>
      </c>
      <c r="P303" s="4">
        <v>66960</v>
      </c>
      <c r="Q303" s="4">
        <v>71140</v>
      </c>
      <c r="R303" s="4">
        <v>70050</v>
      </c>
      <c r="S303" s="4">
        <v>69510</v>
      </c>
      <c r="T303" s="4">
        <v>71120</v>
      </c>
      <c r="U303" s="4">
        <v>70280</v>
      </c>
      <c r="V303" s="4">
        <v>69640</v>
      </c>
      <c r="W303" s="4">
        <v>71060</v>
      </c>
      <c r="X303" s="4">
        <v>72980</v>
      </c>
      <c r="Y303" s="4">
        <v>73140</v>
      </c>
      <c r="Z303" s="4">
        <v>72000</v>
      </c>
      <c r="AA303" s="4">
        <v>73700</v>
      </c>
      <c r="AB303" s="4">
        <v>73510</v>
      </c>
      <c r="AC303" s="4">
        <v>72800</v>
      </c>
      <c r="AD303" s="4">
        <v>72560</v>
      </c>
      <c r="AE303" s="4">
        <v>75730</v>
      </c>
      <c r="AF303" s="4">
        <v>72460</v>
      </c>
      <c r="AG303" s="4">
        <v>73150</v>
      </c>
      <c r="AH303" s="4">
        <v>75970</v>
      </c>
      <c r="AI303" s="4">
        <v>74630</v>
      </c>
      <c r="AJ303" s="4">
        <v>74380</v>
      </c>
      <c r="AK303" s="4">
        <v>73190</v>
      </c>
      <c r="AL303" s="4">
        <v>72570</v>
      </c>
      <c r="AM303" s="4">
        <v>72620</v>
      </c>
      <c r="AN303" s="4">
        <v>69090</v>
      </c>
      <c r="AO303" s="4">
        <v>67210</v>
      </c>
      <c r="AP303" s="4">
        <v>67270</v>
      </c>
      <c r="AQ303" s="4">
        <v>67030</v>
      </c>
      <c r="AR303" s="4">
        <v>69700</v>
      </c>
      <c r="AS303" s="4">
        <v>70570</v>
      </c>
      <c r="AT303" s="4">
        <v>71580</v>
      </c>
      <c r="AU303" s="4">
        <v>69830</v>
      </c>
      <c r="AV303" s="4">
        <v>69310</v>
      </c>
      <c r="AW303" s="4">
        <v>67640</v>
      </c>
      <c r="AX303" s="4">
        <v>68120</v>
      </c>
      <c r="AY303" s="4">
        <v>68330</v>
      </c>
      <c r="AZ303" s="4">
        <v>66210</v>
      </c>
      <c r="BA303" s="4">
        <v>64530</v>
      </c>
      <c r="BB303" s="4">
        <v>62720</v>
      </c>
      <c r="BC303" s="4">
        <v>63470</v>
      </c>
      <c r="BD303" s="4">
        <v>63740</v>
      </c>
      <c r="BE303" s="4">
        <v>64280</v>
      </c>
      <c r="BF303" s="4">
        <v>65610</v>
      </c>
      <c r="BG303" s="4">
        <v>66200</v>
      </c>
      <c r="BH303" s="4">
        <v>65590</v>
      </c>
      <c r="BI303" s="4">
        <v>65370</v>
      </c>
      <c r="BJ303" s="4">
        <v>65600</v>
      </c>
      <c r="BK303" s="4">
        <v>65880</v>
      </c>
      <c r="BL303" s="4">
        <v>62230</v>
      </c>
      <c r="BM303" s="4">
        <v>61990</v>
      </c>
      <c r="BN303" s="4">
        <v>62650</v>
      </c>
      <c r="BO303" s="4">
        <v>63400</v>
      </c>
      <c r="BP303" s="4">
        <v>62390</v>
      </c>
      <c r="BQ303" s="4">
        <v>61870</v>
      </c>
      <c r="BR303" s="4">
        <v>62320</v>
      </c>
      <c r="BS303" s="4">
        <v>62070</v>
      </c>
      <c r="BT303" s="4">
        <v>61530</v>
      </c>
      <c r="BU303" s="4">
        <v>61360</v>
      </c>
      <c r="BV303" s="4">
        <v>62390</v>
      </c>
      <c r="BW303" s="4">
        <v>60860</v>
      </c>
      <c r="BX303" s="4">
        <v>60480</v>
      </c>
      <c r="BY303" s="4">
        <v>59160</v>
      </c>
      <c r="BZ303" s="4">
        <v>59520</v>
      </c>
    </row>
    <row r="304" spans="1:78">
      <c r="A304" s="62" t="s">
        <v>878</v>
      </c>
      <c r="B304" s="4" t="str">
        <f>銘柄管理!C304</f>
        <v>きんでん</v>
      </c>
      <c r="C304" s="4">
        <f>_xll.RssMarket("1944","現在値")</f>
        <v>7280</v>
      </c>
      <c r="D304" s="4">
        <f t="shared" si="8"/>
        <v>122</v>
      </c>
      <c r="E304" s="4">
        <v>7158</v>
      </c>
      <c r="F304" s="4">
        <v>6963</v>
      </c>
      <c r="G304" s="4">
        <v>7090</v>
      </c>
      <c r="H304" s="4">
        <v>7203</v>
      </c>
      <c r="I304" s="4">
        <v>7202</v>
      </c>
      <c r="J304" s="4">
        <v>7696</v>
      </c>
      <c r="K304" s="4">
        <v>7795</v>
      </c>
      <c r="L304" s="4">
        <v>7474</v>
      </c>
      <c r="M304" s="4">
        <v>7395</v>
      </c>
      <c r="N304" s="4">
        <v>7340</v>
      </c>
      <c r="O304" s="4">
        <v>7216</v>
      </c>
      <c r="P304" s="4">
        <v>7084</v>
      </c>
      <c r="Q304" s="4">
        <v>7553</v>
      </c>
      <c r="R304" s="4">
        <v>7374</v>
      </c>
      <c r="S304" s="4">
        <v>7387</v>
      </c>
      <c r="T304" s="4">
        <v>7634</v>
      </c>
      <c r="U304" s="4">
        <v>7702</v>
      </c>
      <c r="V304" s="4">
        <v>7792</v>
      </c>
      <c r="W304" s="4">
        <v>8142</v>
      </c>
      <c r="X304" s="4">
        <v>8038</v>
      </c>
      <c r="Y304" s="4">
        <v>7936</v>
      </c>
      <c r="Z304" s="4">
        <v>7837</v>
      </c>
      <c r="AA304" s="4">
        <v>7809</v>
      </c>
      <c r="AB304" s="4">
        <v>7946</v>
      </c>
      <c r="AC304" s="4">
        <v>8030</v>
      </c>
      <c r="AD304" s="4">
        <v>8095</v>
      </c>
      <c r="AE304" s="4">
        <v>8162</v>
      </c>
      <c r="AF304" s="4">
        <v>8209</v>
      </c>
      <c r="AG304" s="4">
        <v>8073</v>
      </c>
      <c r="AH304" s="4">
        <v>8367</v>
      </c>
      <c r="AI304" s="4">
        <v>8272</v>
      </c>
      <c r="AJ304" s="4">
        <v>7964</v>
      </c>
      <c r="AK304" s="4">
        <v>7737</v>
      </c>
      <c r="AL304" s="4">
        <v>7295</v>
      </c>
      <c r="AM304" s="4">
        <v>7304</v>
      </c>
      <c r="AN304" s="4">
        <v>6780</v>
      </c>
      <c r="AO304" s="4">
        <v>6831</v>
      </c>
      <c r="AP304" s="4">
        <v>6916</v>
      </c>
      <c r="AQ304" s="4">
        <v>6762</v>
      </c>
      <c r="AR304" s="4">
        <v>6621</v>
      </c>
      <c r="AS304" s="4">
        <v>6563</v>
      </c>
      <c r="AT304" s="4">
        <v>6533</v>
      </c>
      <c r="AU304" s="4">
        <v>6777</v>
      </c>
      <c r="AV304" s="4">
        <v>7179</v>
      </c>
      <c r="AW304" s="4">
        <v>7235</v>
      </c>
      <c r="AX304" s="4">
        <v>7050</v>
      </c>
      <c r="AY304" s="4">
        <v>7197</v>
      </c>
      <c r="AZ304" s="4">
        <v>6798</v>
      </c>
      <c r="BA304" s="4">
        <v>6819</v>
      </c>
      <c r="BB304" s="4">
        <v>6728</v>
      </c>
      <c r="BC304" s="4">
        <v>7050</v>
      </c>
      <c r="BD304" s="4">
        <v>6916</v>
      </c>
      <c r="BE304" s="4">
        <v>7458</v>
      </c>
      <c r="BF304" s="4">
        <v>7722</v>
      </c>
      <c r="BG304" s="4">
        <v>7995</v>
      </c>
      <c r="BH304" s="4">
        <v>8133</v>
      </c>
      <c r="BI304" s="4">
        <v>8226</v>
      </c>
      <c r="BJ304" s="4">
        <v>8310</v>
      </c>
      <c r="BK304" s="4">
        <v>8525</v>
      </c>
      <c r="BL304" s="4">
        <v>8140</v>
      </c>
      <c r="BM304" s="4">
        <v>8382</v>
      </c>
      <c r="BN304" s="4">
        <v>7932</v>
      </c>
      <c r="BO304" s="4">
        <v>6932</v>
      </c>
      <c r="BP304" s="4">
        <v>7213</v>
      </c>
      <c r="BQ304" s="4">
        <v>7135</v>
      </c>
      <c r="BR304" s="4">
        <v>7001</v>
      </c>
      <c r="BS304" s="4">
        <v>7014</v>
      </c>
      <c r="BT304" s="4">
        <v>7099</v>
      </c>
      <c r="BU304" s="4">
        <v>7056</v>
      </c>
      <c r="BV304" s="4">
        <v>7113</v>
      </c>
      <c r="BW304" s="4">
        <v>6903</v>
      </c>
      <c r="BX304" s="4">
        <v>7325</v>
      </c>
      <c r="BY304" s="4">
        <v>7303</v>
      </c>
      <c r="BZ304" s="4">
        <v>7426</v>
      </c>
    </row>
    <row r="305" spans="1:78">
      <c r="A305" s="62" t="s">
        <v>1039</v>
      </c>
      <c r="B305" s="4" t="str">
        <f>銘柄管理!C305</f>
        <v>パンパシフィックＨＤ</v>
      </c>
      <c r="C305" s="4">
        <f>_xll.RssMarket("7532","現在値")</f>
        <v>879</v>
      </c>
      <c r="D305" s="4">
        <f t="shared" si="8"/>
        <v>-10.100000000000023</v>
      </c>
      <c r="E305" s="4">
        <v>889.1</v>
      </c>
      <c r="F305" s="4">
        <v>896.6</v>
      </c>
      <c r="G305" s="4">
        <v>902.2</v>
      </c>
      <c r="H305" s="4">
        <v>941.4</v>
      </c>
      <c r="I305" s="4">
        <v>964.6</v>
      </c>
      <c r="J305" s="4">
        <v>923.8</v>
      </c>
      <c r="K305" s="4">
        <v>894</v>
      </c>
      <c r="L305" s="4">
        <v>862.7</v>
      </c>
      <c r="M305" s="4">
        <v>856.2</v>
      </c>
      <c r="N305" s="4">
        <v>866.3</v>
      </c>
      <c r="O305" s="4">
        <v>880.9</v>
      </c>
      <c r="P305" s="4">
        <v>889</v>
      </c>
      <c r="Q305" s="4">
        <v>858.5</v>
      </c>
      <c r="R305" s="4">
        <v>874</v>
      </c>
      <c r="S305" s="4">
        <v>872.7</v>
      </c>
      <c r="T305" s="4">
        <v>850.4</v>
      </c>
      <c r="U305" s="4">
        <v>870.9</v>
      </c>
      <c r="V305" s="4">
        <v>873.2</v>
      </c>
      <c r="W305" s="4">
        <v>866.7</v>
      </c>
      <c r="X305" s="4">
        <v>852.7</v>
      </c>
      <c r="Y305" s="4">
        <v>818.3</v>
      </c>
      <c r="Z305" s="4">
        <v>820.7</v>
      </c>
      <c r="AA305" s="4">
        <v>793.6</v>
      </c>
      <c r="AB305" s="4">
        <v>823</v>
      </c>
      <c r="AC305" s="4">
        <v>826.4</v>
      </c>
      <c r="AD305" s="4">
        <v>823</v>
      </c>
      <c r="AE305" s="4">
        <v>820.7</v>
      </c>
      <c r="AF305" s="4">
        <v>818.5</v>
      </c>
      <c r="AG305" s="4">
        <v>813.4</v>
      </c>
      <c r="AH305" s="4">
        <v>816.4</v>
      </c>
      <c r="AI305" s="4">
        <v>819</v>
      </c>
      <c r="AJ305" s="4">
        <v>835.3</v>
      </c>
      <c r="AK305" s="4">
        <v>835.6</v>
      </c>
      <c r="AL305" s="4">
        <v>834.6</v>
      </c>
      <c r="AM305" s="4">
        <v>837.2</v>
      </c>
      <c r="AN305" s="4">
        <v>855.3</v>
      </c>
      <c r="AO305" s="4">
        <v>867.8</v>
      </c>
      <c r="AP305" s="4">
        <v>849</v>
      </c>
      <c r="AQ305" s="4">
        <v>839.3</v>
      </c>
      <c r="AR305" s="4">
        <v>831.9</v>
      </c>
      <c r="AS305" s="4">
        <v>826.1</v>
      </c>
      <c r="AT305" s="4">
        <v>824.6</v>
      </c>
      <c r="AU305" s="4">
        <v>826.7</v>
      </c>
      <c r="AV305" s="4">
        <v>878.2</v>
      </c>
      <c r="AW305" s="4">
        <v>858.5</v>
      </c>
      <c r="AX305" s="4">
        <v>819</v>
      </c>
      <c r="AY305" s="4">
        <v>824.6</v>
      </c>
      <c r="AZ305" s="4">
        <v>866.9</v>
      </c>
      <c r="BA305" s="4">
        <v>867.1</v>
      </c>
      <c r="BB305" s="4">
        <v>872.1</v>
      </c>
      <c r="BC305" s="4">
        <v>884.8</v>
      </c>
      <c r="BD305" s="4">
        <v>871.3</v>
      </c>
      <c r="BE305" s="4">
        <v>871.3</v>
      </c>
      <c r="BF305" s="4">
        <v>858</v>
      </c>
      <c r="BG305" s="4">
        <v>883.6</v>
      </c>
      <c r="BH305" s="4">
        <v>893.8</v>
      </c>
      <c r="BI305" s="4">
        <v>907.3</v>
      </c>
      <c r="BJ305" s="4">
        <v>883.5</v>
      </c>
      <c r="BK305" s="4">
        <v>887.3</v>
      </c>
      <c r="BL305" s="4">
        <v>888</v>
      </c>
      <c r="BM305" s="4">
        <v>889.4</v>
      </c>
      <c r="BN305" s="4">
        <v>900.7</v>
      </c>
      <c r="BO305" s="4">
        <v>914.6</v>
      </c>
      <c r="BP305" s="4">
        <v>918.4</v>
      </c>
      <c r="BQ305" s="4">
        <v>922</v>
      </c>
      <c r="BR305" s="4">
        <v>949.4</v>
      </c>
      <c r="BS305" s="4">
        <v>942</v>
      </c>
      <c r="BT305" s="4">
        <v>959.3</v>
      </c>
      <c r="BU305" s="4">
        <v>940</v>
      </c>
      <c r="BV305" s="4">
        <v>963.2</v>
      </c>
      <c r="BW305" s="4">
        <v>961.5</v>
      </c>
      <c r="BX305" s="4">
        <v>962.6</v>
      </c>
      <c r="BY305" s="4">
        <v>954.1</v>
      </c>
      <c r="BZ305" s="4">
        <v>938.5</v>
      </c>
    </row>
    <row r="306" spans="1:78">
      <c r="A306" s="63"/>
    </row>
    <row r="307" spans="1:78">
      <c r="A307" s="63"/>
    </row>
    <row r="308" spans="1:78">
      <c r="A308" s="63"/>
    </row>
    <row r="309" spans="1:78">
      <c r="A309" s="63"/>
    </row>
    <row r="310" spans="1:78">
      <c r="A310" s="63"/>
    </row>
    <row r="311" spans="1:78">
      <c r="A311" s="63"/>
    </row>
    <row r="312" spans="1:78">
      <c r="A312" s="63"/>
    </row>
    <row r="313" spans="1:78">
      <c r="A313" s="63"/>
    </row>
    <row r="314" spans="1:78">
      <c r="A314" s="63"/>
    </row>
    <row r="315" spans="1:78">
      <c r="A315" s="63"/>
    </row>
    <row r="316" spans="1:78">
      <c r="A316" s="63"/>
    </row>
    <row r="317" spans="1:78">
      <c r="A317" s="63"/>
    </row>
    <row r="318" spans="1:78">
      <c r="A318" s="63"/>
    </row>
    <row r="319" spans="1:78">
      <c r="A319" s="63"/>
    </row>
    <row r="320" spans="1:78">
      <c r="A320" s="63"/>
    </row>
    <row r="321" spans="1:1">
      <c r="A321" s="63"/>
    </row>
    <row r="322" spans="1:1">
      <c r="A322" s="63"/>
    </row>
    <row r="323" spans="1:1">
      <c r="A323" s="63"/>
    </row>
    <row r="324" spans="1:1">
      <c r="A324" s="63"/>
    </row>
    <row r="325" spans="1:1">
      <c r="A325" s="63"/>
    </row>
    <row r="326" spans="1:1">
      <c r="A326" s="63"/>
    </row>
    <row r="327" spans="1:1">
      <c r="A327" s="63"/>
    </row>
    <row r="328" spans="1:1">
      <c r="A328" s="63"/>
    </row>
    <row r="329" spans="1:1">
      <c r="A329" s="63"/>
    </row>
    <row r="330" spans="1:1">
      <c r="A330" s="63"/>
    </row>
    <row r="331" spans="1:1">
      <c r="A331" s="63"/>
    </row>
    <row r="332" spans="1:1">
      <c r="A332" s="63"/>
    </row>
    <row r="333" spans="1:1">
      <c r="A333" s="63"/>
    </row>
    <row r="334" spans="1:1">
      <c r="A334" s="63"/>
    </row>
    <row r="335" spans="1:1">
      <c r="A335" s="63"/>
    </row>
    <row r="336" spans="1:1">
      <c r="A336" s="63"/>
    </row>
    <row r="337" spans="1:1">
      <c r="A337" s="63"/>
    </row>
    <row r="338" spans="1:1">
      <c r="A338" s="63"/>
    </row>
    <row r="339" spans="1:1">
      <c r="A339" s="63"/>
    </row>
    <row r="340" spans="1:1">
      <c r="A340" s="63"/>
    </row>
    <row r="341" spans="1:1">
      <c r="A341" s="63"/>
    </row>
    <row r="342" spans="1:1">
      <c r="A342" s="63"/>
    </row>
    <row r="343" spans="1:1">
      <c r="A343" s="63"/>
    </row>
    <row r="344" spans="1:1">
      <c r="A344" s="63"/>
    </row>
    <row r="345" spans="1:1">
      <c r="A345" s="63"/>
    </row>
    <row r="346" spans="1:1">
      <c r="A346" s="63"/>
    </row>
    <row r="347" spans="1:1">
      <c r="A347" s="63"/>
    </row>
    <row r="348" spans="1:1">
      <c r="A348" s="63"/>
    </row>
    <row r="349" spans="1:1">
      <c r="A349" s="63"/>
    </row>
    <row r="350" spans="1:1">
      <c r="A350" s="63"/>
    </row>
    <row r="351" spans="1:1">
      <c r="A351" s="63"/>
    </row>
    <row r="352" spans="1:1">
      <c r="A352" s="63"/>
    </row>
    <row r="353" spans="1:1">
      <c r="A353" s="63"/>
    </row>
    <row r="354" spans="1:1">
      <c r="A354" s="63"/>
    </row>
    <row r="355" spans="1:1">
      <c r="A355" s="63"/>
    </row>
    <row r="356" spans="1:1">
      <c r="A356" s="63"/>
    </row>
    <row r="357" spans="1:1">
      <c r="A357" s="63"/>
    </row>
    <row r="358" spans="1:1">
      <c r="A358" s="63"/>
    </row>
    <row r="359" spans="1:1">
      <c r="A359" s="63"/>
    </row>
    <row r="360" spans="1:1">
      <c r="A360" s="63"/>
    </row>
    <row r="361" spans="1:1">
      <c r="A361" s="63"/>
    </row>
    <row r="362" spans="1:1">
      <c r="A362" s="63"/>
    </row>
    <row r="363" spans="1:1">
      <c r="A363" s="63"/>
    </row>
    <row r="364" spans="1:1">
      <c r="A364" s="63"/>
    </row>
    <row r="365" spans="1:1">
      <c r="A365" s="63"/>
    </row>
    <row r="366" spans="1:1">
      <c r="A366" s="63"/>
    </row>
    <row r="367" spans="1:1">
      <c r="A367" s="63"/>
    </row>
    <row r="368" spans="1:1">
      <c r="A368" s="63"/>
    </row>
    <row r="369" spans="1:1">
      <c r="A369" s="63"/>
    </row>
    <row r="370" spans="1:1">
      <c r="A370" s="63"/>
    </row>
    <row r="371" spans="1:1">
      <c r="A371" s="63"/>
    </row>
    <row r="372" spans="1:1">
      <c r="A372" s="63"/>
    </row>
    <row r="373" spans="1:1">
      <c r="A373" s="63"/>
    </row>
    <row r="374" spans="1:1">
      <c r="A374" s="63"/>
    </row>
    <row r="375" spans="1:1">
      <c r="A375" s="63"/>
    </row>
    <row r="376" spans="1:1">
      <c r="A376" s="63"/>
    </row>
    <row r="377" spans="1:1">
      <c r="A377" s="63"/>
    </row>
    <row r="378" spans="1:1">
      <c r="A378" s="63"/>
    </row>
    <row r="379" spans="1:1">
      <c r="A379" s="63"/>
    </row>
    <row r="380" spans="1:1">
      <c r="A380" s="63"/>
    </row>
    <row r="381" spans="1:1">
      <c r="A381" s="63"/>
    </row>
    <row r="382" spans="1:1">
      <c r="A382" s="63"/>
    </row>
    <row r="383" spans="1:1">
      <c r="A383" s="63"/>
    </row>
    <row r="384" spans="1:1">
      <c r="A384" s="63"/>
    </row>
    <row r="385" spans="1:1">
      <c r="A385" s="63"/>
    </row>
    <row r="386" spans="1:1">
      <c r="A386" s="63"/>
    </row>
    <row r="387" spans="1:1">
      <c r="A387" s="63"/>
    </row>
    <row r="388" spans="1:1">
      <c r="A388" s="63"/>
    </row>
    <row r="389" spans="1:1">
      <c r="A389" s="63"/>
    </row>
    <row r="390" spans="1:1">
      <c r="A390" s="63"/>
    </row>
    <row r="391" spans="1:1">
      <c r="A391" s="63"/>
    </row>
    <row r="392" spans="1:1">
      <c r="A392" s="63"/>
    </row>
    <row r="393" spans="1:1">
      <c r="A393" s="63"/>
    </row>
    <row r="394" spans="1:1">
      <c r="A394" s="63"/>
    </row>
    <row r="395" spans="1:1">
      <c r="A395" s="63"/>
    </row>
    <row r="396" spans="1:1">
      <c r="A396" s="63"/>
    </row>
    <row r="397" spans="1:1">
      <c r="A397" s="63"/>
    </row>
    <row r="398" spans="1:1">
      <c r="A398" s="63"/>
    </row>
    <row r="399" spans="1:1">
      <c r="A399" s="63"/>
    </row>
    <row r="400" spans="1:1">
      <c r="A400" s="63"/>
    </row>
    <row r="401" spans="1:1">
      <c r="A401" s="63"/>
    </row>
    <row r="402" spans="1:1">
      <c r="A402" s="63"/>
    </row>
    <row r="403" spans="1:1">
      <c r="A403" s="63"/>
    </row>
    <row r="404" spans="1:1">
      <c r="A404" s="63"/>
    </row>
    <row r="405" spans="1:1">
      <c r="A405" s="63"/>
    </row>
    <row r="406" spans="1:1">
      <c r="A406" s="63"/>
    </row>
    <row r="407" spans="1:1">
      <c r="A407" s="63"/>
    </row>
    <row r="408" spans="1:1">
      <c r="A408" s="63"/>
    </row>
    <row r="409" spans="1:1">
      <c r="A409" s="63"/>
    </row>
    <row r="410" spans="1:1">
      <c r="A410" s="63"/>
    </row>
    <row r="411" spans="1:1">
      <c r="A411" s="63"/>
    </row>
    <row r="412" spans="1:1">
      <c r="A412" s="63"/>
    </row>
    <row r="413" spans="1:1">
      <c r="A413" s="63"/>
    </row>
    <row r="414" spans="1:1">
      <c r="A414" s="63"/>
    </row>
    <row r="415" spans="1:1">
      <c r="A415" s="63"/>
    </row>
    <row r="416" spans="1:1">
      <c r="A416" s="63"/>
    </row>
    <row r="417" spans="1:1">
      <c r="A417" s="63"/>
    </row>
    <row r="418" spans="1:1">
      <c r="A418" s="63"/>
    </row>
    <row r="419" spans="1:1">
      <c r="A419" s="63"/>
    </row>
    <row r="420" spans="1:1">
      <c r="A420" s="63"/>
    </row>
    <row r="421" spans="1:1">
      <c r="A421" s="63"/>
    </row>
    <row r="422" spans="1:1">
      <c r="A422" s="63"/>
    </row>
    <row r="423" spans="1:1">
      <c r="A423" s="63"/>
    </row>
    <row r="424" spans="1:1">
      <c r="A424" s="63"/>
    </row>
    <row r="425" spans="1:1">
      <c r="A425" s="63"/>
    </row>
    <row r="426" spans="1:1">
      <c r="A426" s="63"/>
    </row>
    <row r="427" spans="1:1">
      <c r="A427" s="63"/>
    </row>
    <row r="428" spans="1:1">
      <c r="A428" s="63"/>
    </row>
    <row r="429" spans="1:1">
      <c r="A429" s="63"/>
    </row>
    <row r="430" spans="1:1">
      <c r="A430" s="63"/>
    </row>
    <row r="431" spans="1:1">
      <c r="A431" s="63"/>
    </row>
    <row r="432" spans="1:1">
      <c r="A432" s="63"/>
    </row>
    <row r="433" spans="1:1">
      <c r="A433" s="63"/>
    </row>
    <row r="434" spans="1:1">
      <c r="A434" s="63"/>
    </row>
    <row r="435" spans="1:1">
      <c r="A435" s="63"/>
    </row>
    <row r="436" spans="1:1">
      <c r="A436" s="63"/>
    </row>
    <row r="437" spans="1:1">
      <c r="A437" s="63"/>
    </row>
    <row r="438" spans="1:1">
      <c r="A438" s="63"/>
    </row>
    <row r="439" spans="1:1">
      <c r="A439" s="63"/>
    </row>
    <row r="440" spans="1:1">
      <c r="A440" s="63"/>
    </row>
    <row r="441" spans="1:1">
      <c r="A441" s="63"/>
    </row>
    <row r="442" spans="1:1">
      <c r="A442" s="63"/>
    </row>
    <row r="443" spans="1:1">
      <c r="A443" s="63"/>
    </row>
    <row r="444" spans="1:1">
      <c r="A444" s="63"/>
    </row>
    <row r="445" spans="1:1">
      <c r="A445" s="63"/>
    </row>
    <row r="446" spans="1:1">
      <c r="A446" s="63"/>
    </row>
    <row r="447" spans="1:1">
      <c r="A447" s="63"/>
    </row>
    <row r="448" spans="1:1">
      <c r="A448" s="63"/>
    </row>
    <row r="449" spans="1:1">
      <c r="A449" s="63"/>
    </row>
    <row r="450" spans="1:1">
      <c r="A450" s="63"/>
    </row>
    <row r="451" spans="1:1">
      <c r="A451" s="63"/>
    </row>
    <row r="452" spans="1:1">
      <c r="A452" s="63"/>
    </row>
    <row r="453" spans="1:1">
      <c r="A453" s="63"/>
    </row>
    <row r="454" spans="1:1">
      <c r="A454" s="63"/>
    </row>
    <row r="455" spans="1:1">
      <c r="A455" s="63"/>
    </row>
    <row r="456" spans="1:1">
      <c r="A456" s="63"/>
    </row>
    <row r="457" spans="1:1">
      <c r="A457" s="63"/>
    </row>
    <row r="458" spans="1:1">
      <c r="A458" s="63"/>
    </row>
    <row r="459" spans="1:1">
      <c r="A459" s="63"/>
    </row>
    <row r="460" spans="1:1">
      <c r="A460" s="63"/>
    </row>
    <row r="461" spans="1:1">
      <c r="A461" s="63"/>
    </row>
    <row r="462" spans="1:1">
      <c r="A462" s="63"/>
    </row>
    <row r="463" spans="1:1">
      <c r="A463" s="63"/>
    </row>
    <row r="464" spans="1:1">
      <c r="A464" s="63"/>
    </row>
    <row r="465" spans="1:1">
      <c r="A465" s="63"/>
    </row>
    <row r="466" spans="1:1">
      <c r="A466" s="63"/>
    </row>
    <row r="467" spans="1:1">
      <c r="A467" s="63"/>
    </row>
    <row r="468" spans="1:1">
      <c r="A468" s="63"/>
    </row>
    <row r="469" spans="1:1">
      <c r="A469" s="63"/>
    </row>
    <row r="470" spans="1:1">
      <c r="A470" s="63"/>
    </row>
    <row r="471" spans="1:1">
      <c r="A471" s="63"/>
    </row>
    <row r="472" spans="1:1">
      <c r="A472" s="63"/>
    </row>
    <row r="473" spans="1:1">
      <c r="A473" s="63"/>
    </row>
    <row r="474" spans="1:1">
      <c r="A474" s="63"/>
    </row>
    <row r="475" spans="1:1">
      <c r="A475" s="63"/>
    </row>
    <row r="476" spans="1:1">
      <c r="A476" s="63"/>
    </row>
    <row r="477" spans="1:1">
      <c r="A477" s="63"/>
    </row>
    <row r="478" spans="1:1">
      <c r="A478" s="63"/>
    </row>
    <row r="479" spans="1:1">
      <c r="A479" s="63"/>
    </row>
    <row r="480" spans="1:1">
      <c r="A480" s="63"/>
    </row>
    <row r="481" spans="1:1">
      <c r="A481" s="63"/>
    </row>
    <row r="482" spans="1:1">
      <c r="A482" s="63"/>
    </row>
    <row r="483" spans="1:1">
      <c r="A483" s="63"/>
    </row>
    <row r="484" spans="1:1">
      <c r="A484" s="63"/>
    </row>
    <row r="485" spans="1:1">
      <c r="A485" s="63"/>
    </row>
    <row r="486" spans="1:1">
      <c r="A486" s="63"/>
    </row>
    <row r="487" spans="1:1">
      <c r="A487" s="63"/>
    </row>
    <row r="488" spans="1:1">
      <c r="A488" s="63"/>
    </row>
    <row r="489" spans="1:1">
      <c r="A489" s="63"/>
    </row>
    <row r="490" spans="1:1">
      <c r="A490" s="63"/>
    </row>
    <row r="491" spans="1:1">
      <c r="A491" s="63"/>
    </row>
    <row r="492" spans="1:1">
      <c r="A492" s="63"/>
    </row>
    <row r="493" spans="1:1">
      <c r="A493" s="63"/>
    </row>
    <row r="494" spans="1:1">
      <c r="A494" s="63"/>
    </row>
    <row r="495" spans="1:1">
      <c r="A495" s="63"/>
    </row>
    <row r="496" spans="1:1">
      <c r="A496" s="63"/>
    </row>
    <row r="497" spans="1:1">
      <c r="A497" s="63"/>
    </row>
    <row r="498" spans="1:1">
      <c r="A498" s="63"/>
    </row>
    <row r="499" spans="1:1">
      <c r="A499" s="63"/>
    </row>
    <row r="500" spans="1:1">
      <c r="A500" s="63"/>
    </row>
    <row r="501" spans="1:1">
      <c r="A501" s="63"/>
    </row>
    <row r="502" spans="1:1">
      <c r="A502" s="63"/>
    </row>
    <row r="503" spans="1:1">
      <c r="A503" s="63"/>
    </row>
    <row r="504" spans="1:1">
      <c r="A504" s="63"/>
    </row>
    <row r="505" spans="1:1">
      <c r="A505" s="63"/>
    </row>
  </sheetData>
  <sheetProtection algorithmName="SHA-512" hashValue="Mt1NT3evGYM4PkObRWOm/hJ5fSZcpkJP6jmpSb8TbpBjDNLDNqNkAV/rjXIOUNWovPQnOvDhjc4ZRhjh+/ijGA==" saltValue="BwPTkpOK4V/4LK4d7nEojw=="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CZ506"/>
  <sheetViews>
    <sheetView showGridLines="0" tabSelected="1" zoomScale="96" zoomScaleNormal="96" workbookViewId="0">
      <pane xSplit="4" ySplit="4" topLeftCell="E32" activePane="bottomRight" state="frozen"/>
      <selection activeCell="C162" sqref="C162"/>
      <selection pane="topRight" activeCell="C162" sqref="C162"/>
      <selection pane="bottomLeft" activeCell="C162" sqref="C162"/>
      <selection pane="bottomRight" activeCell="B86" sqref="B86"/>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104" ht="30" customHeight="1">
      <c r="A1" s="870" t="s">
        <v>584</v>
      </c>
      <c r="B1" s="848"/>
      <c r="C1" s="848"/>
      <c r="D1" s="848"/>
      <c r="E1" s="848"/>
      <c r="F1" s="848"/>
      <c r="G1" s="848"/>
      <c r="H1" s="848"/>
      <c r="I1" s="848"/>
      <c r="J1" s="848"/>
      <c r="K1" s="848"/>
      <c r="L1" s="848"/>
      <c r="M1" s="848"/>
      <c r="N1" s="848"/>
      <c r="O1" s="848"/>
      <c r="P1" s="848"/>
      <c r="Q1" s="848"/>
      <c r="R1" s="848"/>
      <c r="S1" s="848"/>
      <c r="T1" s="848"/>
      <c r="U1" s="848"/>
      <c r="V1" s="848"/>
      <c r="W1" s="848"/>
      <c r="X1" s="848"/>
      <c r="Y1" s="848"/>
      <c r="Z1" s="848"/>
      <c r="AA1" s="848"/>
      <c r="AB1" s="848"/>
      <c r="AC1" s="848"/>
      <c r="AD1" s="848"/>
      <c r="AE1" s="848"/>
      <c r="AF1" s="848"/>
      <c r="AG1" s="848"/>
      <c r="AH1" s="848"/>
      <c r="AI1" s="848"/>
      <c r="AJ1" s="848"/>
      <c r="AK1" s="848"/>
      <c r="AL1" s="848"/>
      <c r="AM1" s="848"/>
      <c r="AN1" s="848"/>
      <c r="AO1" s="848"/>
      <c r="AP1" s="848"/>
      <c r="AQ1" s="848"/>
      <c r="AR1" s="848"/>
      <c r="AS1" s="848"/>
      <c r="AT1" s="848"/>
      <c r="AU1" s="848"/>
      <c r="AV1" s="848"/>
      <c r="AW1" s="848"/>
      <c r="AX1" s="848"/>
      <c r="AY1" s="848"/>
      <c r="AZ1" s="848"/>
      <c r="BA1" s="848"/>
      <c r="BB1" s="848"/>
      <c r="BC1" s="848"/>
      <c r="BD1" s="848"/>
      <c r="BE1" s="848"/>
      <c r="BF1" s="848"/>
      <c r="BG1" s="848"/>
      <c r="BH1" s="848"/>
      <c r="BI1" s="848"/>
      <c r="BJ1" s="848"/>
      <c r="BK1" s="848"/>
      <c r="BL1" s="848"/>
    </row>
    <row r="2" spans="1:10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104" ht="14.1" customHeight="1">
      <c r="A3" s="391" t="s">
        <v>5</v>
      </c>
      <c r="B3" s="194"/>
      <c r="C3" s="194" t="s">
        <v>6</v>
      </c>
      <c r="D3" s="196"/>
      <c r="E3" s="197">
        <v>46238</v>
      </c>
      <c r="F3" s="179">
        <v>46237</v>
      </c>
      <c r="G3" s="179">
        <v>46234</v>
      </c>
      <c r="H3" s="179">
        <v>46233</v>
      </c>
      <c r="I3" s="179">
        <v>46232</v>
      </c>
      <c r="J3" s="179">
        <v>46231</v>
      </c>
      <c r="K3" s="179">
        <v>46230</v>
      </c>
      <c r="L3" s="179">
        <v>46227</v>
      </c>
      <c r="M3" s="179">
        <v>46226</v>
      </c>
      <c r="N3" s="179">
        <v>46225</v>
      </c>
      <c r="O3" s="179">
        <v>46224</v>
      </c>
      <c r="P3" s="179">
        <v>46220</v>
      </c>
      <c r="Q3" s="179">
        <v>46218</v>
      </c>
      <c r="R3" s="179">
        <v>46217</v>
      </c>
      <c r="S3" s="179">
        <v>46216</v>
      </c>
      <c r="T3" s="179">
        <v>46213</v>
      </c>
      <c r="U3" s="179">
        <v>46212</v>
      </c>
      <c r="V3" s="179">
        <v>46211</v>
      </c>
      <c r="W3" s="179">
        <v>46210</v>
      </c>
      <c r="X3" s="179">
        <v>46209</v>
      </c>
      <c r="Y3" s="179">
        <v>46206</v>
      </c>
      <c r="Z3" s="179">
        <v>46205</v>
      </c>
      <c r="AA3" s="179">
        <v>46204</v>
      </c>
      <c r="AB3" s="179">
        <v>46203</v>
      </c>
      <c r="AC3" s="179">
        <v>46202</v>
      </c>
      <c r="AD3" s="179">
        <v>46199</v>
      </c>
      <c r="AE3" s="179">
        <v>46198</v>
      </c>
      <c r="AF3" s="179">
        <v>46197</v>
      </c>
      <c r="AG3" s="179">
        <v>46196</v>
      </c>
      <c r="AH3" s="179">
        <v>46195</v>
      </c>
      <c r="AI3" s="179">
        <v>46192</v>
      </c>
      <c r="AJ3" s="179">
        <v>46191</v>
      </c>
      <c r="AK3" s="179">
        <v>46190</v>
      </c>
      <c r="AL3" s="179">
        <v>46189</v>
      </c>
      <c r="AM3" s="179">
        <v>46188</v>
      </c>
      <c r="AN3" s="179">
        <v>46185</v>
      </c>
      <c r="AO3" s="179">
        <v>46184</v>
      </c>
      <c r="AP3" s="179">
        <v>46183</v>
      </c>
      <c r="AQ3" s="179">
        <v>46181</v>
      </c>
      <c r="AR3" s="179">
        <v>46178</v>
      </c>
      <c r="AS3" s="179">
        <v>46177</v>
      </c>
      <c r="AT3" s="179">
        <v>46176</v>
      </c>
      <c r="AU3" s="179">
        <v>46175</v>
      </c>
      <c r="AV3" s="179">
        <v>46171</v>
      </c>
      <c r="AW3" s="179">
        <v>46170</v>
      </c>
      <c r="AX3" s="179">
        <v>46169</v>
      </c>
      <c r="AY3" s="179">
        <v>46167</v>
      </c>
      <c r="AZ3" s="179">
        <v>46164</v>
      </c>
      <c r="BA3" s="179">
        <v>46163</v>
      </c>
      <c r="BB3" s="179">
        <v>46162</v>
      </c>
      <c r="BC3" s="179">
        <v>46161</v>
      </c>
      <c r="BD3" s="179">
        <v>46160</v>
      </c>
      <c r="BE3" s="179">
        <v>46157</v>
      </c>
      <c r="BF3" s="179">
        <v>46156</v>
      </c>
      <c r="BG3" s="179">
        <v>46155</v>
      </c>
      <c r="BH3" s="179">
        <v>46154</v>
      </c>
      <c r="BI3" s="179">
        <v>46153</v>
      </c>
      <c r="BJ3" s="179">
        <v>46150</v>
      </c>
      <c r="BK3" s="179">
        <v>46149</v>
      </c>
      <c r="BL3" s="179">
        <v>46143</v>
      </c>
      <c r="BM3" s="895">
        <v>46142</v>
      </c>
      <c r="BN3" s="895">
        <v>46140</v>
      </c>
      <c r="BO3" s="895">
        <v>46139</v>
      </c>
      <c r="BP3" s="895">
        <v>46136</v>
      </c>
      <c r="BQ3" s="895">
        <v>46135</v>
      </c>
      <c r="BR3" s="895">
        <v>46134</v>
      </c>
      <c r="BS3" s="895">
        <v>46133</v>
      </c>
      <c r="BT3" s="895">
        <v>46132</v>
      </c>
      <c r="BU3" s="895">
        <v>46129</v>
      </c>
      <c r="BV3" s="895">
        <v>46128</v>
      </c>
      <c r="BW3" s="895">
        <v>46127</v>
      </c>
      <c r="BX3" s="895">
        <v>46126</v>
      </c>
      <c r="BY3" s="895">
        <v>46125</v>
      </c>
      <c r="BZ3" s="895">
        <v>46122</v>
      </c>
      <c r="CA3" s="895"/>
      <c r="CB3" s="895"/>
      <c r="CC3" s="895"/>
      <c r="CD3" s="895"/>
      <c r="CE3" s="895"/>
      <c r="CF3" s="895"/>
      <c r="CG3" s="895"/>
      <c r="CH3" s="895"/>
      <c r="CI3" s="895"/>
      <c r="CJ3" s="895"/>
      <c r="CK3" s="895"/>
      <c r="CL3" s="895"/>
      <c r="CM3" s="895"/>
      <c r="CN3" s="895"/>
      <c r="CO3" s="895"/>
      <c r="CP3" s="895"/>
      <c r="CQ3" s="895"/>
      <c r="CR3" s="895"/>
      <c r="CS3" s="895"/>
      <c r="CT3" s="895"/>
      <c r="CU3" s="895"/>
      <c r="CV3" s="895"/>
      <c r="CW3" s="895"/>
      <c r="CX3" s="895"/>
      <c r="CY3" s="895"/>
      <c r="CZ3" s="895"/>
    </row>
    <row r="4" spans="1:10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22.5" customHeight="1">
      <c r="A5" s="392" t="str">
        <f>IF(銘柄管理!B5="","",銘柄管理!B5)</f>
        <v>TOPX</v>
      </c>
      <c r="B5" s="46">
        <f>IF(銘柄管理!C5="","",銘柄管理!C5)</f>
        <v>4037.09</v>
      </c>
      <c r="C5" s="47">
        <f t="array" ref="C5">_xll.RssIndexMarket("TOPX", "出来高")</f>
        <v>204305</v>
      </c>
      <c r="D5" s="198"/>
      <c r="E5" s="199">
        <v>289346</v>
      </c>
      <c r="F5" s="48">
        <v>313793</v>
      </c>
      <c r="G5" s="48">
        <v>351757</v>
      </c>
      <c r="H5" s="48">
        <v>333124</v>
      </c>
      <c r="I5" s="48">
        <v>392002</v>
      </c>
      <c r="J5" s="48">
        <v>290219</v>
      </c>
      <c r="K5" s="48">
        <v>258320</v>
      </c>
      <c r="L5" s="48">
        <v>223948</v>
      </c>
      <c r="M5" s="49">
        <v>224358</v>
      </c>
      <c r="N5" s="49">
        <v>213760</v>
      </c>
      <c r="O5" s="49">
        <v>265763</v>
      </c>
      <c r="P5" s="49">
        <v>311322</v>
      </c>
      <c r="Q5" s="49">
        <v>247594</v>
      </c>
      <c r="R5" s="49">
        <v>273879</v>
      </c>
      <c r="S5" s="49">
        <v>231632</v>
      </c>
      <c r="T5" s="49">
        <v>257413</v>
      </c>
      <c r="U5" s="49">
        <v>231271</v>
      </c>
      <c r="V5" s="49">
        <v>272267</v>
      </c>
      <c r="W5" s="49">
        <v>283069</v>
      </c>
      <c r="X5" s="49">
        <v>239328</v>
      </c>
      <c r="Y5" s="49">
        <v>257931</v>
      </c>
      <c r="Z5" s="49">
        <v>273146</v>
      </c>
      <c r="AA5" s="49">
        <v>259489</v>
      </c>
      <c r="AB5" s="49">
        <v>264711</v>
      </c>
      <c r="AC5" s="49">
        <v>299540</v>
      </c>
      <c r="AD5" s="49">
        <v>270124</v>
      </c>
      <c r="AE5" s="49">
        <v>265728</v>
      </c>
      <c r="AF5" s="49">
        <v>269575</v>
      </c>
      <c r="AG5" s="49">
        <v>284296</v>
      </c>
      <c r="AH5" s="49">
        <v>237206</v>
      </c>
      <c r="AI5" s="49">
        <v>339753</v>
      </c>
      <c r="AJ5" s="49">
        <v>255563</v>
      </c>
      <c r="AK5" s="49">
        <v>234920</v>
      </c>
      <c r="AL5" s="49">
        <v>248987</v>
      </c>
      <c r="AM5" s="49">
        <v>298924</v>
      </c>
      <c r="AN5" s="49">
        <v>262899</v>
      </c>
      <c r="AO5" s="49">
        <v>275419</v>
      </c>
      <c r="AP5" s="1">
        <v>286208</v>
      </c>
      <c r="AQ5" s="48">
        <v>242344</v>
      </c>
      <c r="AR5" s="48">
        <v>254015</v>
      </c>
      <c r="AS5" s="48">
        <v>280706</v>
      </c>
      <c r="AT5" s="48">
        <v>297219</v>
      </c>
      <c r="AU5" s="48">
        <v>483567</v>
      </c>
      <c r="AV5" s="48">
        <v>281296</v>
      </c>
      <c r="AW5" s="48">
        <v>267824</v>
      </c>
      <c r="AX5" s="48">
        <v>268512</v>
      </c>
      <c r="AY5" s="48">
        <v>260652</v>
      </c>
      <c r="AZ5" s="48">
        <v>270037</v>
      </c>
      <c r="BA5" s="48">
        <v>295563</v>
      </c>
      <c r="BB5" s="48">
        <v>292537</v>
      </c>
      <c r="BC5" s="48">
        <v>293326</v>
      </c>
      <c r="BD5" s="48">
        <v>341267</v>
      </c>
      <c r="BE5" s="48">
        <v>335971</v>
      </c>
      <c r="BF5" s="48"/>
      <c r="BG5" s="48"/>
      <c r="BH5" s="48"/>
      <c r="BI5" s="48"/>
      <c r="BJ5" s="48"/>
      <c r="BK5" s="48"/>
      <c r="BL5" s="48"/>
    </row>
    <row r="6" spans="1:104" ht="22.5" customHeight="1">
      <c r="A6" s="393" t="s">
        <v>7</v>
      </c>
      <c r="B6" s="46" t="s">
        <v>8</v>
      </c>
      <c r="C6" s="50">
        <f>_xll.RssMarket("5706","出来高")</f>
        <v>1106200</v>
      </c>
      <c r="D6" s="202">
        <f t="shared" ref="D6:D69" si="0">C6-E6</f>
        <v>42000</v>
      </c>
      <c r="E6" s="203">
        <v>1064200</v>
      </c>
      <c r="F6" s="51">
        <v>976100</v>
      </c>
      <c r="G6" s="51">
        <v>2125900</v>
      </c>
      <c r="H6" s="51">
        <v>1614000</v>
      </c>
      <c r="I6" s="51">
        <v>1456900</v>
      </c>
      <c r="J6" s="51">
        <v>1116400</v>
      </c>
      <c r="K6" s="51">
        <v>944100</v>
      </c>
      <c r="L6" s="51">
        <v>722900</v>
      </c>
      <c r="M6" s="51">
        <v>792100</v>
      </c>
      <c r="N6" s="51">
        <v>1665600</v>
      </c>
      <c r="O6" s="51">
        <v>1096100</v>
      </c>
      <c r="P6" s="51">
        <v>1534300</v>
      </c>
      <c r="Q6" s="51">
        <v>940800</v>
      </c>
      <c r="R6" s="52">
        <v>1385700</v>
      </c>
      <c r="S6" s="52">
        <v>779800</v>
      </c>
      <c r="T6" s="52">
        <v>1292200</v>
      </c>
      <c r="U6" s="52">
        <v>1421900</v>
      </c>
      <c r="V6" s="52">
        <v>1701100</v>
      </c>
      <c r="W6" s="52">
        <v>1199300</v>
      </c>
      <c r="X6" s="52">
        <v>843200</v>
      </c>
      <c r="Y6" s="52">
        <v>2185000</v>
      </c>
      <c r="Z6" s="52">
        <v>1595100</v>
      </c>
      <c r="AA6" s="52">
        <v>1573700</v>
      </c>
      <c r="AB6" s="52">
        <v>1211500</v>
      </c>
      <c r="AC6" s="52">
        <v>2242000</v>
      </c>
      <c r="AD6" s="52">
        <v>1324100</v>
      </c>
      <c r="AE6" s="52">
        <v>1154800</v>
      </c>
      <c r="AF6" s="52">
        <v>1646900</v>
      </c>
      <c r="AG6" s="52">
        <v>2327400</v>
      </c>
      <c r="AH6" s="52">
        <v>1789600</v>
      </c>
      <c r="AI6" s="52">
        <v>2142500</v>
      </c>
      <c r="AJ6" s="52">
        <v>1972400</v>
      </c>
      <c r="AK6" s="52">
        <v>1716800</v>
      </c>
      <c r="AL6" s="52">
        <v>2735900</v>
      </c>
      <c r="AM6" s="52">
        <v>2434000</v>
      </c>
      <c r="AN6" s="20">
        <v>3868100</v>
      </c>
      <c r="AO6" s="20">
        <v>1698900</v>
      </c>
      <c r="AP6" s="21">
        <v>1978700</v>
      </c>
      <c r="AQ6" s="21">
        <v>1514600</v>
      </c>
      <c r="AR6" s="21">
        <v>1702400</v>
      </c>
      <c r="AS6" s="21">
        <v>1783000</v>
      </c>
      <c r="AT6" s="21">
        <v>2308800</v>
      </c>
      <c r="AU6" s="21">
        <v>2287800</v>
      </c>
      <c r="AV6" s="21">
        <v>5244100</v>
      </c>
      <c r="AW6" s="21">
        <v>2149400</v>
      </c>
      <c r="AX6" s="21">
        <v>1891300</v>
      </c>
      <c r="AY6" s="21">
        <v>1847400</v>
      </c>
      <c r="AZ6" s="21">
        <v>1964800</v>
      </c>
      <c r="BA6" s="21">
        <v>1979200</v>
      </c>
      <c r="BB6" s="21">
        <v>1759900</v>
      </c>
      <c r="BC6" s="21">
        <v>2104800</v>
      </c>
      <c r="BD6" s="21">
        <v>2872900</v>
      </c>
      <c r="BE6" s="21">
        <v>2997400</v>
      </c>
      <c r="BF6" s="21">
        <v>6185500</v>
      </c>
      <c r="BG6" s="21">
        <v>3317800</v>
      </c>
      <c r="BH6" s="21">
        <v>2098100</v>
      </c>
      <c r="BI6" s="21">
        <v>2551400</v>
      </c>
      <c r="BJ6" s="21">
        <v>2582600</v>
      </c>
      <c r="BK6" s="21">
        <v>2151900</v>
      </c>
      <c r="BL6" s="21">
        <v>1669300</v>
      </c>
      <c r="BM6" s="1">
        <v>2464100</v>
      </c>
      <c r="BN6" s="1">
        <v>2386800</v>
      </c>
      <c r="BO6" s="1">
        <v>2156100</v>
      </c>
      <c r="BP6" s="1">
        <v>1570700</v>
      </c>
      <c r="BQ6" s="1">
        <v>1560100</v>
      </c>
      <c r="BR6" s="1">
        <v>1696700</v>
      </c>
      <c r="BS6" s="1">
        <v>1472900</v>
      </c>
      <c r="BT6" s="1">
        <v>1023500</v>
      </c>
      <c r="BU6" s="1">
        <v>1262900</v>
      </c>
      <c r="BV6" s="1">
        <v>2234300</v>
      </c>
      <c r="BW6" s="1">
        <v>2707000</v>
      </c>
      <c r="BX6" s="1">
        <v>1787000</v>
      </c>
      <c r="BY6" s="1">
        <v>2012700</v>
      </c>
      <c r="BZ6" s="1">
        <v>2418600</v>
      </c>
    </row>
    <row r="7" spans="1:104" ht="15.9" customHeight="1">
      <c r="A7" s="393" t="s">
        <v>9</v>
      </c>
      <c r="B7" s="46" t="s">
        <v>10</v>
      </c>
      <c r="C7" s="50">
        <f>_xll.RssMarket("5423","出来高")</f>
        <v>137200</v>
      </c>
      <c r="D7" s="202">
        <f t="shared" si="0"/>
        <v>-197900</v>
      </c>
      <c r="E7" s="203">
        <v>335100</v>
      </c>
      <c r="F7" s="52">
        <v>486200</v>
      </c>
      <c r="G7" s="52">
        <v>421800</v>
      </c>
      <c r="H7" s="52">
        <v>399300</v>
      </c>
      <c r="I7" s="52">
        <v>409900</v>
      </c>
      <c r="J7" s="52">
        <v>528400</v>
      </c>
      <c r="K7" s="52">
        <v>280800</v>
      </c>
      <c r="L7" s="52">
        <v>308700</v>
      </c>
      <c r="M7" s="52">
        <v>311300</v>
      </c>
      <c r="N7" s="52">
        <v>478000</v>
      </c>
      <c r="O7" s="52">
        <v>751300</v>
      </c>
      <c r="P7" s="52">
        <v>1407800</v>
      </c>
      <c r="Q7" s="52">
        <v>304700</v>
      </c>
      <c r="R7" s="52">
        <v>391800</v>
      </c>
      <c r="S7" s="52">
        <v>272200</v>
      </c>
      <c r="T7" s="52">
        <v>279100</v>
      </c>
      <c r="U7" s="52">
        <v>194900</v>
      </c>
      <c r="V7" s="52">
        <v>269100</v>
      </c>
      <c r="W7" s="52">
        <v>318500</v>
      </c>
      <c r="X7" s="52">
        <v>256200</v>
      </c>
      <c r="Y7" s="52">
        <v>232100</v>
      </c>
      <c r="Z7" s="52">
        <v>268500</v>
      </c>
      <c r="AA7" s="52">
        <v>303000</v>
      </c>
      <c r="AB7" s="52">
        <v>218300</v>
      </c>
      <c r="AC7" s="52">
        <v>204700</v>
      </c>
      <c r="AD7" s="52">
        <v>220300</v>
      </c>
      <c r="AE7" s="52">
        <v>283100</v>
      </c>
      <c r="AF7" s="52">
        <v>218400</v>
      </c>
      <c r="AG7" s="52">
        <v>277200</v>
      </c>
      <c r="AH7" s="52">
        <v>238800</v>
      </c>
      <c r="AI7" s="52">
        <v>394300</v>
      </c>
      <c r="AJ7" s="52">
        <v>229800</v>
      </c>
      <c r="AK7" s="52">
        <v>385700</v>
      </c>
      <c r="AL7" s="52">
        <v>266000</v>
      </c>
      <c r="AM7" s="52">
        <v>246900</v>
      </c>
      <c r="AN7" s="52">
        <v>538200</v>
      </c>
      <c r="AO7" s="52">
        <v>289100</v>
      </c>
      <c r="AP7" s="52">
        <v>225000</v>
      </c>
      <c r="AQ7" s="21">
        <v>430800</v>
      </c>
      <c r="AR7" s="21">
        <v>190600</v>
      </c>
      <c r="AS7" s="21">
        <v>271900</v>
      </c>
      <c r="AT7" s="21">
        <v>340800</v>
      </c>
      <c r="AU7" s="21">
        <v>323000</v>
      </c>
      <c r="AV7" s="21">
        <v>496800</v>
      </c>
      <c r="AW7" s="21">
        <v>290400</v>
      </c>
      <c r="AX7" s="21">
        <v>390000</v>
      </c>
      <c r="AY7" s="21">
        <v>325400</v>
      </c>
      <c r="AZ7" s="21">
        <v>269500</v>
      </c>
      <c r="BA7" s="21">
        <v>349400</v>
      </c>
      <c r="BB7" s="21">
        <v>311700</v>
      </c>
      <c r="BC7" s="21">
        <v>394200</v>
      </c>
      <c r="BD7" s="21">
        <v>489200</v>
      </c>
      <c r="BE7" s="21">
        <v>729700</v>
      </c>
      <c r="BF7" s="21">
        <v>1307500</v>
      </c>
      <c r="BG7" s="21">
        <v>510200</v>
      </c>
      <c r="BH7" s="21">
        <v>393600</v>
      </c>
      <c r="BI7" s="21">
        <v>502600</v>
      </c>
      <c r="BJ7" s="21">
        <v>670800</v>
      </c>
      <c r="BK7" s="21">
        <v>503300</v>
      </c>
      <c r="BL7" s="21">
        <v>442900</v>
      </c>
      <c r="BM7" s="1">
        <v>509400</v>
      </c>
      <c r="BN7" s="1">
        <v>573900</v>
      </c>
      <c r="BO7" s="1">
        <v>1287300</v>
      </c>
      <c r="BP7" s="1">
        <v>1953600</v>
      </c>
      <c r="BQ7" s="1">
        <v>576200</v>
      </c>
      <c r="BR7" s="1">
        <v>561600</v>
      </c>
      <c r="BS7" s="1">
        <v>568300</v>
      </c>
      <c r="BT7" s="1">
        <v>557900</v>
      </c>
      <c r="BU7" s="1">
        <v>489200</v>
      </c>
      <c r="BV7" s="1">
        <v>572900</v>
      </c>
      <c r="BW7" s="1">
        <v>368500</v>
      </c>
      <c r="BX7" s="1">
        <v>333100</v>
      </c>
      <c r="BY7" s="1">
        <v>596600</v>
      </c>
      <c r="BZ7" s="1">
        <v>456100</v>
      </c>
    </row>
    <row r="8" spans="1:104" ht="15.9" customHeight="1">
      <c r="A8" s="393" t="s">
        <v>11</v>
      </c>
      <c r="B8" s="46" t="s">
        <v>12</v>
      </c>
      <c r="C8" s="50">
        <f>_xll.RssMarket("5713","出来高")</f>
        <v>1906800</v>
      </c>
      <c r="D8" s="202">
        <f t="shared" si="0"/>
        <v>-502000</v>
      </c>
      <c r="E8" s="203">
        <v>2408800</v>
      </c>
      <c r="F8" s="53">
        <v>3132800</v>
      </c>
      <c r="G8" s="53">
        <v>5112600</v>
      </c>
      <c r="H8" s="53">
        <v>2781900</v>
      </c>
      <c r="I8" s="53">
        <v>3262500</v>
      </c>
      <c r="J8" s="53">
        <v>2329600</v>
      </c>
      <c r="K8" s="53">
        <v>2906500</v>
      </c>
      <c r="L8" s="53">
        <v>2824800</v>
      </c>
      <c r="M8" s="53">
        <v>3238300</v>
      </c>
      <c r="N8" s="53">
        <v>3587800</v>
      </c>
      <c r="O8" s="53">
        <v>3275000</v>
      </c>
      <c r="P8" s="53">
        <v>4694300</v>
      </c>
      <c r="Q8" s="53">
        <v>2084200</v>
      </c>
      <c r="R8" s="53">
        <v>2981100</v>
      </c>
      <c r="S8" s="53">
        <v>1612700</v>
      </c>
      <c r="T8" s="53">
        <v>2142600</v>
      </c>
      <c r="U8" s="53">
        <v>3272700</v>
      </c>
      <c r="V8" s="53">
        <v>3272500</v>
      </c>
      <c r="W8" s="53">
        <v>2793700</v>
      </c>
      <c r="X8" s="53">
        <v>2240200</v>
      </c>
      <c r="Y8" s="53">
        <v>3730000</v>
      </c>
      <c r="Z8" s="53">
        <v>2866400</v>
      </c>
      <c r="AA8" s="53">
        <v>1962000</v>
      </c>
      <c r="AB8" s="53">
        <v>2680500</v>
      </c>
      <c r="AC8" s="53">
        <v>2630900</v>
      </c>
      <c r="AD8" s="53">
        <v>2936400</v>
      </c>
      <c r="AE8" s="53">
        <v>3459500</v>
      </c>
      <c r="AF8" s="53">
        <v>3127800</v>
      </c>
      <c r="AG8" s="53">
        <v>3010000</v>
      </c>
      <c r="AH8" s="53">
        <v>2386800</v>
      </c>
      <c r="AI8" s="53">
        <v>3982200</v>
      </c>
      <c r="AJ8" s="53">
        <v>2589500</v>
      </c>
      <c r="AK8" s="53">
        <v>2551700</v>
      </c>
      <c r="AL8" s="53">
        <v>2641400</v>
      </c>
      <c r="AM8" s="53">
        <v>3071400</v>
      </c>
      <c r="AN8" s="22">
        <v>4556800</v>
      </c>
      <c r="AO8" s="22">
        <v>3142400</v>
      </c>
      <c r="AP8" s="21">
        <v>3560800</v>
      </c>
      <c r="AQ8" s="21">
        <v>3843300</v>
      </c>
      <c r="AR8" s="21">
        <v>2594500</v>
      </c>
      <c r="AS8" s="21">
        <v>2081000</v>
      </c>
      <c r="AT8" s="21">
        <v>2542500</v>
      </c>
      <c r="AU8" s="21">
        <v>2932000</v>
      </c>
      <c r="AV8" s="21">
        <v>4027100</v>
      </c>
      <c r="AW8" s="21">
        <v>4084200</v>
      </c>
      <c r="AX8" s="21">
        <v>2595000</v>
      </c>
      <c r="AY8" s="21">
        <v>2050500</v>
      </c>
      <c r="AZ8" s="21">
        <v>2228600</v>
      </c>
      <c r="BA8" s="21">
        <v>2640900</v>
      </c>
      <c r="BB8" s="21">
        <v>3138100</v>
      </c>
      <c r="BC8" s="21">
        <v>2982700</v>
      </c>
      <c r="BD8" s="21">
        <v>3759600</v>
      </c>
      <c r="BE8" s="21">
        <v>4067900</v>
      </c>
      <c r="BF8" s="21">
        <v>3379600</v>
      </c>
      <c r="BG8" s="21">
        <v>3612200</v>
      </c>
      <c r="BH8" s="21">
        <v>4429700</v>
      </c>
      <c r="BI8" s="21">
        <v>8245000</v>
      </c>
      <c r="BJ8" s="21">
        <v>3684000</v>
      </c>
      <c r="BK8" s="21">
        <v>3693100</v>
      </c>
      <c r="BL8" s="21">
        <v>1976400</v>
      </c>
      <c r="BM8" s="1">
        <v>3637600</v>
      </c>
      <c r="BN8" s="1">
        <v>3034900</v>
      </c>
      <c r="BO8" s="1">
        <v>2689000</v>
      </c>
      <c r="BP8" s="1">
        <v>2050300</v>
      </c>
      <c r="BQ8" s="1">
        <v>2954900</v>
      </c>
      <c r="BR8" s="1">
        <v>2835900</v>
      </c>
      <c r="BS8" s="1">
        <v>1576200</v>
      </c>
      <c r="BT8" s="1">
        <v>1726400</v>
      </c>
      <c r="BU8" s="1">
        <v>3352800</v>
      </c>
      <c r="BV8" s="1">
        <v>2892200</v>
      </c>
      <c r="BW8" s="1">
        <v>5526000</v>
      </c>
      <c r="BX8" s="1">
        <v>2866300</v>
      </c>
      <c r="BY8" s="1">
        <v>3247400</v>
      </c>
      <c r="BZ8" s="1">
        <v>3333200</v>
      </c>
    </row>
    <row r="9" spans="1:104" ht="15.9" customHeight="1">
      <c r="A9" s="393" t="s">
        <v>13</v>
      </c>
      <c r="B9" s="46" t="s">
        <v>14</v>
      </c>
      <c r="C9" s="50">
        <f>_xll.RssMarket("5711","出来高")</f>
        <v>911000</v>
      </c>
      <c r="D9" s="202">
        <f t="shared" si="0"/>
        <v>-30100</v>
      </c>
      <c r="E9" s="200">
        <v>941100</v>
      </c>
      <c r="F9" s="21">
        <v>1167500</v>
      </c>
      <c r="G9" s="21">
        <v>1626200</v>
      </c>
      <c r="H9" s="21">
        <v>1074300</v>
      </c>
      <c r="I9" s="21">
        <v>1515100</v>
      </c>
      <c r="J9" s="21">
        <v>1079100</v>
      </c>
      <c r="K9" s="21">
        <v>847900</v>
      </c>
      <c r="L9" s="21">
        <v>917200</v>
      </c>
      <c r="M9" s="21">
        <v>725000</v>
      </c>
      <c r="N9" s="21">
        <v>2156200</v>
      </c>
      <c r="O9" s="21">
        <v>1249500</v>
      </c>
      <c r="P9" s="21">
        <v>1757500</v>
      </c>
      <c r="Q9" s="21">
        <v>1544800</v>
      </c>
      <c r="R9" s="21">
        <v>2835700</v>
      </c>
      <c r="S9" s="21">
        <v>1402600</v>
      </c>
      <c r="T9" s="21">
        <v>2463200</v>
      </c>
      <c r="U9" s="21">
        <v>3782200</v>
      </c>
      <c r="V9" s="21">
        <v>891300</v>
      </c>
      <c r="W9" s="21">
        <v>1037900</v>
      </c>
      <c r="X9" s="21">
        <v>984400</v>
      </c>
      <c r="Y9" s="21">
        <v>1089600</v>
      </c>
      <c r="Z9" s="21">
        <v>917500</v>
      </c>
      <c r="AA9" s="21">
        <v>1160400</v>
      </c>
      <c r="AB9" s="21">
        <v>1064900</v>
      </c>
      <c r="AC9" s="21">
        <v>1549600</v>
      </c>
      <c r="AD9" s="21">
        <v>1119600</v>
      </c>
      <c r="AE9" s="21">
        <v>1275000</v>
      </c>
      <c r="AF9" s="21">
        <v>766300</v>
      </c>
      <c r="AG9" s="21">
        <v>1147400</v>
      </c>
      <c r="AH9" s="21">
        <v>1290700</v>
      </c>
      <c r="AI9" s="21">
        <v>956200</v>
      </c>
      <c r="AJ9" s="21">
        <v>675400</v>
      </c>
      <c r="AK9" s="21">
        <v>659400</v>
      </c>
      <c r="AL9" s="21">
        <v>906800</v>
      </c>
      <c r="AM9" s="21">
        <v>968800</v>
      </c>
      <c r="AN9" s="21">
        <v>1201900</v>
      </c>
      <c r="AO9" s="21">
        <v>885100</v>
      </c>
      <c r="AP9" s="21">
        <v>951900</v>
      </c>
      <c r="AQ9" s="21">
        <v>1382600</v>
      </c>
      <c r="AR9" s="21">
        <v>745200</v>
      </c>
      <c r="AS9" s="21">
        <v>871200</v>
      </c>
      <c r="AT9" s="21">
        <v>1127900</v>
      </c>
      <c r="AU9" s="21">
        <v>968200</v>
      </c>
      <c r="AV9" s="21">
        <v>1620700</v>
      </c>
      <c r="AW9" s="21">
        <v>1032600</v>
      </c>
      <c r="AX9" s="21">
        <v>1015000</v>
      </c>
      <c r="AY9" s="21">
        <v>858000</v>
      </c>
      <c r="AZ9" s="21">
        <v>1242700</v>
      </c>
      <c r="BA9" s="21">
        <v>1055000</v>
      </c>
      <c r="BB9" s="21">
        <v>1708500</v>
      </c>
      <c r="BC9" s="21">
        <v>1473300</v>
      </c>
      <c r="BD9" s="21">
        <v>1722400</v>
      </c>
      <c r="BE9" s="21">
        <v>1744000</v>
      </c>
      <c r="BF9" s="21">
        <v>3907200</v>
      </c>
      <c r="BG9" s="21">
        <v>2487800</v>
      </c>
      <c r="BH9" s="21">
        <v>1799900</v>
      </c>
      <c r="BI9" s="21">
        <v>1709900</v>
      </c>
      <c r="BJ9" s="21">
        <v>1250200</v>
      </c>
      <c r="BK9" s="21">
        <v>1200800</v>
      </c>
      <c r="BL9" s="21">
        <v>701600</v>
      </c>
      <c r="BM9" s="1">
        <v>1003800</v>
      </c>
      <c r="BN9" s="1">
        <v>958100</v>
      </c>
      <c r="BO9" s="1">
        <v>838200</v>
      </c>
      <c r="BP9" s="1">
        <v>642800</v>
      </c>
      <c r="BQ9" s="1">
        <v>935400</v>
      </c>
      <c r="BR9" s="1">
        <v>879300</v>
      </c>
      <c r="BS9" s="1">
        <v>602500</v>
      </c>
      <c r="BT9" s="1">
        <v>649000</v>
      </c>
      <c r="BU9" s="1">
        <v>1068700</v>
      </c>
      <c r="BV9" s="1">
        <v>943200</v>
      </c>
      <c r="BW9" s="1">
        <v>1522000</v>
      </c>
      <c r="BX9" s="1">
        <v>1418200</v>
      </c>
      <c r="BY9" s="1">
        <v>959100</v>
      </c>
      <c r="BZ9" s="1">
        <v>1051000</v>
      </c>
    </row>
    <row r="10" spans="1:104" ht="15.9" customHeight="1">
      <c r="A10" s="393" t="s">
        <v>15</v>
      </c>
      <c r="B10" s="46" t="s">
        <v>16</v>
      </c>
      <c r="C10" s="50">
        <f>_xll.RssMarket("5714","出来高")</f>
        <v>357200</v>
      </c>
      <c r="D10" s="202">
        <f t="shared" si="0"/>
        <v>35100</v>
      </c>
      <c r="E10" s="200">
        <v>322100</v>
      </c>
      <c r="F10" s="21">
        <v>452100</v>
      </c>
      <c r="G10" s="21">
        <v>641000</v>
      </c>
      <c r="H10" s="21">
        <v>414100</v>
      </c>
      <c r="I10" s="21">
        <v>714300</v>
      </c>
      <c r="J10" s="21">
        <v>544300</v>
      </c>
      <c r="K10" s="21">
        <v>480800</v>
      </c>
      <c r="L10" s="21">
        <v>431900</v>
      </c>
      <c r="M10" s="21">
        <v>429900</v>
      </c>
      <c r="N10" s="21">
        <v>540400</v>
      </c>
      <c r="O10" s="21">
        <v>564300</v>
      </c>
      <c r="P10" s="21">
        <v>540300</v>
      </c>
      <c r="Q10" s="21">
        <v>361600</v>
      </c>
      <c r="R10" s="21">
        <v>446700</v>
      </c>
      <c r="S10" s="21">
        <v>358400</v>
      </c>
      <c r="T10" s="21">
        <v>427400</v>
      </c>
      <c r="U10" s="21">
        <v>456500</v>
      </c>
      <c r="V10" s="21">
        <v>454300</v>
      </c>
      <c r="W10" s="21">
        <v>520700</v>
      </c>
      <c r="X10" s="21">
        <v>317300</v>
      </c>
      <c r="Y10" s="21">
        <v>473600</v>
      </c>
      <c r="Z10" s="21">
        <v>429400</v>
      </c>
      <c r="AA10" s="21">
        <v>499800</v>
      </c>
      <c r="AB10" s="21">
        <v>472900</v>
      </c>
      <c r="AC10" s="21">
        <v>546000</v>
      </c>
      <c r="AD10" s="21">
        <v>387500</v>
      </c>
      <c r="AE10" s="21">
        <v>422300</v>
      </c>
      <c r="AF10" s="21">
        <v>484500</v>
      </c>
      <c r="AG10" s="21">
        <v>495400</v>
      </c>
      <c r="AH10" s="21">
        <v>275000</v>
      </c>
      <c r="AI10" s="21">
        <v>388500</v>
      </c>
      <c r="AJ10" s="21">
        <v>297300</v>
      </c>
      <c r="AK10" s="21">
        <v>365500</v>
      </c>
      <c r="AL10" s="21">
        <v>371200</v>
      </c>
      <c r="AM10" s="21">
        <v>404700</v>
      </c>
      <c r="AN10" s="21">
        <v>515700</v>
      </c>
      <c r="AO10" s="21">
        <v>552800</v>
      </c>
      <c r="AP10" s="21">
        <v>420500</v>
      </c>
      <c r="AQ10" s="21">
        <v>757100</v>
      </c>
      <c r="AR10" s="21">
        <v>451500</v>
      </c>
      <c r="AS10" s="21">
        <v>511300</v>
      </c>
      <c r="AT10" s="21">
        <v>333400</v>
      </c>
      <c r="AU10" s="21">
        <v>453000</v>
      </c>
      <c r="AV10" s="21">
        <v>585200</v>
      </c>
      <c r="AW10" s="21">
        <v>568800</v>
      </c>
      <c r="AX10" s="21">
        <v>517800</v>
      </c>
      <c r="AY10" s="21">
        <v>456800</v>
      </c>
      <c r="AZ10" s="21">
        <v>462700</v>
      </c>
      <c r="BA10" s="21">
        <v>394900</v>
      </c>
      <c r="BB10" s="21">
        <v>477900</v>
      </c>
      <c r="BC10" s="21">
        <v>542400</v>
      </c>
      <c r="BD10" s="21">
        <v>550400</v>
      </c>
      <c r="BE10" s="21">
        <v>1539600</v>
      </c>
      <c r="BF10" s="21">
        <v>618700</v>
      </c>
      <c r="BG10" s="21">
        <v>411000</v>
      </c>
      <c r="BH10" s="21">
        <v>453500</v>
      </c>
      <c r="BI10" s="21">
        <v>672000</v>
      </c>
      <c r="BJ10" s="21">
        <v>592300</v>
      </c>
      <c r="BK10" s="21">
        <v>522000</v>
      </c>
      <c r="BL10" s="21">
        <v>234200</v>
      </c>
      <c r="BM10" s="1">
        <v>356500</v>
      </c>
      <c r="BN10" s="1">
        <v>434400</v>
      </c>
      <c r="BO10" s="1">
        <v>465500</v>
      </c>
      <c r="BP10" s="1">
        <v>331300</v>
      </c>
      <c r="BQ10" s="1">
        <v>279900</v>
      </c>
      <c r="BR10" s="1">
        <v>294700</v>
      </c>
      <c r="BS10" s="1">
        <v>348200</v>
      </c>
      <c r="BT10" s="1">
        <v>339600</v>
      </c>
      <c r="BU10" s="1">
        <v>348900</v>
      </c>
      <c r="BV10" s="1">
        <v>349700</v>
      </c>
      <c r="BW10" s="1">
        <v>407600</v>
      </c>
      <c r="BX10" s="1">
        <v>386100</v>
      </c>
      <c r="BY10" s="1">
        <v>296200</v>
      </c>
      <c r="BZ10" s="1">
        <v>295900</v>
      </c>
    </row>
    <row r="11" spans="1:104" ht="15.9" customHeight="1">
      <c r="A11" s="393" t="s">
        <v>17</v>
      </c>
      <c r="B11" s="46" t="s">
        <v>18</v>
      </c>
      <c r="C11" s="50">
        <f>_xll.RssMarket("6701","出来高")</f>
        <v>2879200</v>
      </c>
      <c r="D11" s="202">
        <f t="shared" si="0"/>
        <v>-4262600</v>
      </c>
      <c r="E11" s="200">
        <v>7141800</v>
      </c>
      <c r="F11" s="21">
        <v>6344100</v>
      </c>
      <c r="G11" s="21">
        <v>11240600</v>
      </c>
      <c r="H11" s="21">
        <v>18437800</v>
      </c>
      <c r="I11" s="21">
        <v>11279600</v>
      </c>
      <c r="J11" s="21">
        <v>6861500</v>
      </c>
      <c r="K11" s="21">
        <v>5765000</v>
      </c>
      <c r="L11" s="21">
        <v>3270800</v>
      </c>
      <c r="M11" s="21">
        <v>5850900</v>
      </c>
      <c r="N11" s="21">
        <v>4401600</v>
      </c>
      <c r="O11" s="21">
        <v>4606000</v>
      </c>
      <c r="P11" s="21">
        <v>9935600</v>
      </c>
      <c r="Q11" s="21">
        <v>7197200</v>
      </c>
      <c r="R11" s="21">
        <v>8095500</v>
      </c>
      <c r="S11" s="21">
        <v>3383800</v>
      </c>
      <c r="T11" s="21">
        <v>5387700</v>
      </c>
      <c r="U11" s="21">
        <v>4375000</v>
      </c>
      <c r="V11" s="21">
        <v>6806200</v>
      </c>
      <c r="W11" s="21">
        <v>8349200</v>
      </c>
      <c r="X11" s="21">
        <v>6678800</v>
      </c>
      <c r="Y11" s="21">
        <v>7247900</v>
      </c>
      <c r="Z11" s="21">
        <v>9290900</v>
      </c>
      <c r="AA11" s="21">
        <v>4165700</v>
      </c>
      <c r="AB11" s="21">
        <v>6823100</v>
      </c>
      <c r="AC11" s="21">
        <v>11450500</v>
      </c>
      <c r="AD11" s="21">
        <v>6287300</v>
      </c>
      <c r="AE11" s="21">
        <v>6305300</v>
      </c>
      <c r="AF11" s="21">
        <v>10311500</v>
      </c>
      <c r="AG11" s="21">
        <v>7814500</v>
      </c>
      <c r="AH11" s="21">
        <v>6333600</v>
      </c>
      <c r="AI11" s="21">
        <v>13183200</v>
      </c>
      <c r="AJ11" s="21">
        <v>7205000</v>
      </c>
      <c r="AK11" s="21">
        <v>5022300</v>
      </c>
      <c r="AL11" s="21">
        <v>6248800</v>
      </c>
      <c r="AM11" s="21">
        <v>9073400</v>
      </c>
      <c r="AN11" s="21">
        <v>9142000</v>
      </c>
      <c r="AO11" s="21">
        <v>5710100</v>
      </c>
      <c r="AP11" s="21">
        <v>6012200</v>
      </c>
      <c r="AQ11" s="21">
        <v>6718600</v>
      </c>
      <c r="AR11" s="21">
        <v>5135700</v>
      </c>
      <c r="AS11" s="21">
        <v>6944800</v>
      </c>
      <c r="AT11" s="21">
        <v>7730700</v>
      </c>
      <c r="AU11" s="21">
        <v>9485400</v>
      </c>
      <c r="AV11" s="21">
        <v>16563200</v>
      </c>
      <c r="AW11" s="21">
        <v>5581400</v>
      </c>
      <c r="AX11" s="21">
        <v>8303000</v>
      </c>
      <c r="AY11" s="21">
        <v>6498500</v>
      </c>
      <c r="AZ11" s="21">
        <v>4948800</v>
      </c>
      <c r="BA11" s="21">
        <v>5967600</v>
      </c>
      <c r="BB11" s="21">
        <v>7263800</v>
      </c>
      <c r="BC11" s="21">
        <v>9282600</v>
      </c>
      <c r="BD11" s="21">
        <v>6347700</v>
      </c>
      <c r="BE11" s="21">
        <v>8545500</v>
      </c>
      <c r="BF11" s="21">
        <v>7773700</v>
      </c>
      <c r="BG11" s="21">
        <v>7433400</v>
      </c>
      <c r="BH11" s="21">
        <v>4828200</v>
      </c>
      <c r="BI11" s="21">
        <v>8014100</v>
      </c>
      <c r="BJ11" s="21">
        <v>10515600</v>
      </c>
      <c r="BK11" s="21">
        <v>10880800</v>
      </c>
      <c r="BL11" s="21">
        <v>11361500</v>
      </c>
      <c r="BM11" s="1">
        <v>21434400</v>
      </c>
      <c r="BN11" s="1">
        <v>12322800</v>
      </c>
      <c r="BO11" s="1">
        <v>13579200</v>
      </c>
      <c r="BP11" s="1">
        <v>20656900</v>
      </c>
      <c r="BQ11" s="1">
        <v>8635400</v>
      </c>
      <c r="BR11" s="1">
        <v>7058500</v>
      </c>
      <c r="BS11" s="1">
        <v>8708100</v>
      </c>
      <c r="BT11" s="1">
        <v>4965000</v>
      </c>
      <c r="BU11" s="1">
        <v>7056900</v>
      </c>
      <c r="BV11" s="1">
        <v>9060800</v>
      </c>
      <c r="BW11" s="1">
        <v>12938300</v>
      </c>
      <c r="BX11" s="1">
        <v>10135100</v>
      </c>
      <c r="BY11" s="1">
        <v>7574000</v>
      </c>
      <c r="BZ11" s="1">
        <v>10911300</v>
      </c>
    </row>
    <row r="12" spans="1:104" ht="15.9" customHeight="1">
      <c r="A12" s="393" t="s">
        <v>19</v>
      </c>
      <c r="B12" s="46" t="s">
        <v>20</v>
      </c>
      <c r="C12" s="50">
        <f>_xll.RssMarket("1605","出来高")</f>
        <v>2896500</v>
      </c>
      <c r="D12" s="202">
        <f t="shared" si="0"/>
        <v>-189000</v>
      </c>
      <c r="E12" s="200">
        <v>3085500</v>
      </c>
      <c r="F12" s="21">
        <v>4281000</v>
      </c>
      <c r="G12" s="21">
        <v>3219500</v>
      </c>
      <c r="H12" s="21">
        <v>3741500</v>
      </c>
      <c r="I12" s="21">
        <v>4149600</v>
      </c>
      <c r="J12" s="21">
        <v>4170000</v>
      </c>
      <c r="K12" s="21">
        <v>6330600</v>
      </c>
      <c r="L12" s="21">
        <v>6774300</v>
      </c>
      <c r="M12" s="21">
        <v>4803200</v>
      </c>
      <c r="N12" s="21">
        <v>4007500</v>
      </c>
      <c r="O12" s="21">
        <v>5933000</v>
      </c>
      <c r="P12" s="21">
        <v>3813400</v>
      </c>
      <c r="Q12" s="21">
        <v>4976000</v>
      </c>
      <c r="R12" s="21">
        <v>6930300</v>
      </c>
      <c r="S12" s="21">
        <v>3123300</v>
      </c>
      <c r="T12" s="21">
        <v>4012600</v>
      </c>
      <c r="U12" s="21">
        <v>5051800</v>
      </c>
      <c r="V12" s="21">
        <v>6251700</v>
      </c>
      <c r="W12" s="21">
        <v>4370300</v>
      </c>
      <c r="X12" s="21">
        <v>2810900</v>
      </c>
      <c r="Y12" s="21">
        <v>3551900</v>
      </c>
      <c r="Z12" s="21">
        <v>4501300</v>
      </c>
      <c r="AA12" s="21">
        <v>3772600</v>
      </c>
      <c r="AB12" s="21">
        <v>4977600</v>
      </c>
      <c r="AC12" s="21">
        <v>5371500</v>
      </c>
      <c r="AD12" s="21">
        <v>5818800</v>
      </c>
      <c r="AE12" s="21">
        <v>6161500</v>
      </c>
      <c r="AF12" s="21">
        <v>4381600</v>
      </c>
      <c r="AG12" s="21">
        <v>3912400</v>
      </c>
      <c r="AH12" s="21">
        <v>3710300</v>
      </c>
      <c r="AI12" s="21">
        <v>6833200</v>
      </c>
      <c r="AJ12" s="21">
        <v>5375100</v>
      </c>
      <c r="AK12" s="21">
        <v>7587200</v>
      </c>
      <c r="AL12" s="21">
        <v>6864700</v>
      </c>
      <c r="AM12" s="21">
        <v>7143700</v>
      </c>
      <c r="AN12" s="21">
        <v>5425200</v>
      </c>
      <c r="AO12" s="21">
        <v>5556700</v>
      </c>
      <c r="AP12" s="21">
        <v>4697200</v>
      </c>
      <c r="AQ12" s="21">
        <v>4637600</v>
      </c>
      <c r="AR12" s="21">
        <v>3111500</v>
      </c>
      <c r="AS12" s="21">
        <v>3446600</v>
      </c>
      <c r="AT12" s="21">
        <v>4739100</v>
      </c>
      <c r="AU12" s="21">
        <v>7383900</v>
      </c>
      <c r="AV12" s="21">
        <v>12569800</v>
      </c>
      <c r="AW12" s="21">
        <v>6084900</v>
      </c>
      <c r="AX12" s="21">
        <v>4290700</v>
      </c>
      <c r="AY12" s="21">
        <v>6971200</v>
      </c>
      <c r="AZ12" s="21">
        <v>4170500</v>
      </c>
      <c r="BA12" s="21">
        <v>5198800</v>
      </c>
      <c r="BB12" s="21">
        <v>6209900</v>
      </c>
      <c r="BC12" s="21">
        <v>5379500</v>
      </c>
      <c r="BD12" s="21">
        <v>5790500</v>
      </c>
      <c r="BE12" s="21">
        <v>6169800</v>
      </c>
      <c r="BF12" s="21">
        <v>7215000</v>
      </c>
      <c r="BG12" s="21">
        <v>6330200</v>
      </c>
      <c r="BH12" s="21">
        <v>4919900</v>
      </c>
      <c r="BI12" s="21">
        <v>5603100</v>
      </c>
      <c r="BJ12" s="21">
        <v>7428100</v>
      </c>
      <c r="BK12" s="21">
        <v>12599300</v>
      </c>
      <c r="BL12" s="21">
        <v>4706100</v>
      </c>
      <c r="BM12" s="1">
        <v>9521700</v>
      </c>
      <c r="BN12" s="1">
        <v>5972600</v>
      </c>
      <c r="BO12" s="1">
        <v>7017200</v>
      </c>
      <c r="BP12" s="1">
        <v>9212900</v>
      </c>
      <c r="BQ12" s="1">
        <v>11234600</v>
      </c>
      <c r="BR12" s="1">
        <v>7335600</v>
      </c>
      <c r="BS12" s="1">
        <v>7801500</v>
      </c>
      <c r="BT12" s="1">
        <v>9948100</v>
      </c>
      <c r="BU12" s="1">
        <v>8819000</v>
      </c>
      <c r="BV12" s="1">
        <v>8358100</v>
      </c>
      <c r="BW12" s="1">
        <v>11571700</v>
      </c>
      <c r="BX12" s="1">
        <v>8566200</v>
      </c>
      <c r="BY12" s="1">
        <v>9931200</v>
      </c>
      <c r="BZ12" s="1">
        <v>8140300</v>
      </c>
    </row>
    <row r="13" spans="1:104" ht="15.9" customHeight="1">
      <c r="A13" s="393" t="s">
        <v>21</v>
      </c>
      <c r="B13" s="46" t="s">
        <v>22</v>
      </c>
      <c r="C13" s="50">
        <f>_xll.RssMarket("5703","出来高")</f>
        <v>175500</v>
      </c>
      <c r="D13" s="202">
        <f t="shared" si="0"/>
        <v>-533700</v>
      </c>
      <c r="E13" s="200">
        <v>709200</v>
      </c>
      <c r="F13" s="21">
        <v>1122900</v>
      </c>
      <c r="G13" s="21">
        <v>623800</v>
      </c>
      <c r="H13" s="21">
        <v>346600</v>
      </c>
      <c r="I13" s="21">
        <v>449400</v>
      </c>
      <c r="J13" s="21">
        <v>368500</v>
      </c>
      <c r="K13" s="21">
        <v>344800</v>
      </c>
      <c r="L13" s="21">
        <v>313100</v>
      </c>
      <c r="M13" s="21">
        <v>261200</v>
      </c>
      <c r="N13" s="21">
        <v>283900</v>
      </c>
      <c r="O13" s="21">
        <v>282500</v>
      </c>
      <c r="P13" s="21">
        <v>373000</v>
      </c>
      <c r="Q13" s="21">
        <v>266200</v>
      </c>
      <c r="R13" s="21">
        <v>361200</v>
      </c>
      <c r="S13" s="21">
        <v>267400</v>
      </c>
      <c r="T13" s="21">
        <v>493000</v>
      </c>
      <c r="U13" s="21">
        <v>347000</v>
      </c>
      <c r="V13" s="21">
        <v>396700</v>
      </c>
      <c r="W13" s="21">
        <v>321700</v>
      </c>
      <c r="X13" s="21">
        <v>228800</v>
      </c>
      <c r="Y13" s="21">
        <v>247700</v>
      </c>
      <c r="Z13" s="21">
        <v>285900</v>
      </c>
      <c r="AA13" s="21">
        <v>402900</v>
      </c>
      <c r="AB13" s="21">
        <v>420500</v>
      </c>
      <c r="AC13" s="21">
        <v>352500</v>
      </c>
      <c r="AD13" s="21">
        <v>341100</v>
      </c>
      <c r="AE13" s="21">
        <v>328600</v>
      </c>
      <c r="AF13" s="21">
        <v>279000</v>
      </c>
      <c r="AG13" s="21">
        <v>254900</v>
      </c>
      <c r="AH13" s="21">
        <v>189600</v>
      </c>
      <c r="AI13" s="21">
        <v>297500</v>
      </c>
      <c r="AJ13" s="21">
        <v>386400</v>
      </c>
      <c r="AK13" s="21">
        <v>315700</v>
      </c>
      <c r="AL13" s="21">
        <v>263200</v>
      </c>
      <c r="AM13" s="21">
        <v>268200</v>
      </c>
      <c r="AN13" s="21">
        <v>286000</v>
      </c>
      <c r="AO13" s="21">
        <v>406300</v>
      </c>
      <c r="AP13" s="21">
        <v>273400</v>
      </c>
      <c r="AQ13" s="21">
        <v>309300</v>
      </c>
      <c r="AR13" s="21">
        <v>319100</v>
      </c>
      <c r="AS13" s="21">
        <v>226700</v>
      </c>
      <c r="AT13" s="21">
        <v>269500</v>
      </c>
      <c r="AU13" s="21">
        <v>278200</v>
      </c>
      <c r="AV13" s="21">
        <v>372100</v>
      </c>
      <c r="AW13" s="21">
        <v>352000</v>
      </c>
      <c r="AX13" s="21">
        <v>279800</v>
      </c>
      <c r="AY13" s="21">
        <v>388000</v>
      </c>
      <c r="AZ13" s="21">
        <v>243300</v>
      </c>
      <c r="BA13" s="21">
        <v>342400</v>
      </c>
      <c r="BB13" s="21">
        <v>301100</v>
      </c>
      <c r="BC13" s="21">
        <v>366100</v>
      </c>
      <c r="BD13" s="21">
        <v>476200</v>
      </c>
      <c r="BE13" s="21">
        <v>824000</v>
      </c>
      <c r="BF13" s="21">
        <v>551900</v>
      </c>
      <c r="BG13" s="21">
        <v>310800</v>
      </c>
      <c r="BH13" s="21">
        <v>235900</v>
      </c>
      <c r="BI13" s="21">
        <v>269300</v>
      </c>
      <c r="BJ13" s="21">
        <v>327600</v>
      </c>
      <c r="BK13" s="21">
        <v>352700</v>
      </c>
      <c r="BL13" s="21">
        <v>279100</v>
      </c>
      <c r="BM13" s="1">
        <v>210900</v>
      </c>
      <c r="BN13" s="1">
        <v>167000</v>
      </c>
      <c r="BO13" s="1">
        <v>197500</v>
      </c>
      <c r="BP13" s="1">
        <v>162700</v>
      </c>
      <c r="BQ13" s="1">
        <v>232800</v>
      </c>
      <c r="BR13" s="1">
        <v>151800</v>
      </c>
      <c r="BS13" s="1">
        <v>178300</v>
      </c>
      <c r="BT13" s="1">
        <v>158200</v>
      </c>
      <c r="BU13" s="1">
        <v>180700</v>
      </c>
      <c r="BV13" s="1">
        <v>144800</v>
      </c>
      <c r="BW13" s="1">
        <v>194200</v>
      </c>
      <c r="BX13" s="1">
        <v>190900</v>
      </c>
      <c r="BY13" s="1">
        <v>172700</v>
      </c>
      <c r="BZ13" s="1">
        <v>229600</v>
      </c>
    </row>
    <row r="14" spans="1:104" ht="15.9" customHeight="1">
      <c r="A14" s="393" t="s">
        <v>23</v>
      </c>
      <c r="B14" s="46" t="s">
        <v>24</v>
      </c>
      <c r="C14" s="50">
        <f>_xll.RssMarket("8002","出来高")</f>
        <v>5208400</v>
      </c>
      <c r="D14" s="202">
        <f t="shared" si="0"/>
        <v>-4214100</v>
      </c>
      <c r="E14" s="200">
        <v>9422500</v>
      </c>
      <c r="F14" s="21">
        <v>11847400</v>
      </c>
      <c r="G14" s="21">
        <v>4669900</v>
      </c>
      <c r="H14" s="21">
        <v>3551300</v>
      </c>
      <c r="I14" s="21">
        <v>6707000</v>
      </c>
      <c r="J14" s="21">
        <v>4616700</v>
      </c>
      <c r="K14" s="21">
        <v>4210700</v>
      </c>
      <c r="L14" s="21">
        <v>3407200</v>
      </c>
      <c r="M14" s="21">
        <v>4058400</v>
      </c>
      <c r="N14" s="21">
        <v>3747800</v>
      </c>
      <c r="O14" s="21">
        <v>4567600</v>
      </c>
      <c r="P14" s="21">
        <v>5592300</v>
      </c>
      <c r="Q14" s="21">
        <v>4239300</v>
      </c>
      <c r="R14" s="21">
        <v>2631500</v>
      </c>
      <c r="S14" s="21">
        <v>2955600</v>
      </c>
      <c r="T14" s="21">
        <v>3599000</v>
      </c>
      <c r="U14" s="21">
        <v>2676300</v>
      </c>
      <c r="V14" s="21">
        <v>4602400</v>
      </c>
      <c r="W14" s="21">
        <v>6195100</v>
      </c>
      <c r="X14" s="21">
        <v>6131300</v>
      </c>
      <c r="Y14" s="21">
        <v>6310500</v>
      </c>
      <c r="Z14" s="21">
        <v>4952800</v>
      </c>
      <c r="AA14" s="21">
        <v>3446100</v>
      </c>
      <c r="AB14" s="21">
        <v>3696200</v>
      </c>
      <c r="AC14" s="21">
        <v>3798800</v>
      </c>
      <c r="AD14" s="21">
        <v>5292500</v>
      </c>
      <c r="AE14" s="21">
        <v>5115700</v>
      </c>
      <c r="AF14" s="21">
        <v>4766500</v>
      </c>
      <c r="AG14" s="21">
        <v>4376300</v>
      </c>
      <c r="AH14" s="21">
        <v>2346800</v>
      </c>
      <c r="AI14" s="21">
        <v>4858000</v>
      </c>
      <c r="AJ14" s="21">
        <v>3362100</v>
      </c>
      <c r="AK14" s="21">
        <v>3994600</v>
      </c>
      <c r="AL14" s="21">
        <v>3653000</v>
      </c>
      <c r="AM14" s="21">
        <v>4310700</v>
      </c>
      <c r="AN14" s="21">
        <v>5513700</v>
      </c>
      <c r="AO14" s="21">
        <v>3907200</v>
      </c>
      <c r="AP14" s="21">
        <v>4912100</v>
      </c>
      <c r="AQ14" s="21">
        <v>4973100</v>
      </c>
      <c r="AR14" s="21">
        <v>3343800</v>
      </c>
      <c r="AS14" s="21">
        <v>3271700</v>
      </c>
      <c r="AT14" s="21">
        <v>4772000</v>
      </c>
      <c r="AU14" s="21">
        <v>5020200</v>
      </c>
      <c r="AV14" s="21">
        <v>10715100</v>
      </c>
      <c r="AW14" s="21">
        <v>4813500</v>
      </c>
      <c r="AX14" s="21">
        <v>4638300</v>
      </c>
      <c r="AY14" s="21">
        <v>3987700</v>
      </c>
      <c r="AZ14" s="21">
        <v>4239600</v>
      </c>
      <c r="BA14" s="21">
        <v>4102500</v>
      </c>
      <c r="BB14" s="21">
        <v>5603600</v>
      </c>
      <c r="BC14" s="21">
        <v>4049800</v>
      </c>
      <c r="BD14" s="21">
        <v>3827200</v>
      </c>
      <c r="BE14" s="21">
        <v>5929200</v>
      </c>
      <c r="BF14" s="21">
        <v>5671100</v>
      </c>
      <c r="BG14" s="21">
        <v>4925800</v>
      </c>
      <c r="BH14" s="21">
        <v>5564100</v>
      </c>
      <c r="BI14" s="21">
        <v>5517900</v>
      </c>
      <c r="BJ14" s="21">
        <v>8414100</v>
      </c>
      <c r="BK14" s="21">
        <v>19526800</v>
      </c>
      <c r="BL14" s="21">
        <v>15975800</v>
      </c>
      <c r="BM14" s="1">
        <v>4607700</v>
      </c>
      <c r="BN14" s="1">
        <v>3970900</v>
      </c>
      <c r="BO14" s="1">
        <v>3064200</v>
      </c>
      <c r="BP14" s="1">
        <v>2982300</v>
      </c>
      <c r="BQ14" s="1">
        <v>3732700</v>
      </c>
      <c r="BR14" s="1">
        <v>3702700</v>
      </c>
      <c r="BS14" s="1">
        <v>2998900</v>
      </c>
      <c r="BT14" s="1">
        <v>2787800</v>
      </c>
      <c r="BU14" s="1">
        <v>4098700</v>
      </c>
      <c r="BV14" s="1">
        <v>4164500</v>
      </c>
      <c r="BW14" s="1">
        <v>4862900</v>
      </c>
      <c r="BX14" s="1">
        <v>3869300</v>
      </c>
      <c r="BY14" s="1">
        <v>3193900</v>
      </c>
      <c r="BZ14" s="1">
        <v>4566600</v>
      </c>
    </row>
    <row r="15" spans="1:104" ht="15.9" customHeight="1">
      <c r="A15" s="393" t="s">
        <v>25</v>
      </c>
      <c r="B15" s="46" t="s">
        <v>26</v>
      </c>
      <c r="C15" s="50">
        <f>_xll.RssMarket("5021","出来高")</f>
        <v>167200</v>
      </c>
      <c r="D15" s="202">
        <f t="shared" si="0"/>
        <v>-244600</v>
      </c>
      <c r="E15" s="200">
        <v>411800</v>
      </c>
      <c r="F15" s="21">
        <v>608500</v>
      </c>
      <c r="G15" s="21">
        <v>947100</v>
      </c>
      <c r="H15" s="21">
        <v>522300</v>
      </c>
      <c r="I15" s="21">
        <v>470100</v>
      </c>
      <c r="J15" s="21">
        <v>489300</v>
      </c>
      <c r="K15" s="21">
        <v>560500</v>
      </c>
      <c r="L15" s="21">
        <v>391400</v>
      </c>
      <c r="M15" s="21">
        <v>431900</v>
      </c>
      <c r="N15" s="21">
        <v>576900</v>
      </c>
      <c r="O15" s="21">
        <v>785800</v>
      </c>
      <c r="P15" s="21">
        <v>989600</v>
      </c>
      <c r="Q15" s="21">
        <v>630700</v>
      </c>
      <c r="R15" s="21">
        <v>744500</v>
      </c>
      <c r="S15" s="21">
        <v>716300</v>
      </c>
      <c r="T15" s="21">
        <v>520100</v>
      </c>
      <c r="U15" s="21">
        <v>551900</v>
      </c>
      <c r="V15" s="21">
        <v>792000</v>
      </c>
      <c r="W15" s="21">
        <v>519200</v>
      </c>
      <c r="X15" s="21">
        <v>435600</v>
      </c>
      <c r="Y15" s="21">
        <v>338000</v>
      </c>
      <c r="Z15" s="21">
        <v>542500</v>
      </c>
      <c r="AA15" s="21">
        <v>744400</v>
      </c>
      <c r="AB15" s="21">
        <v>844100</v>
      </c>
      <c r="AC15" s="21">
        <v>1143000</v>
      </c>
      <c r="AD15" s="21">
        <v>608200</v>
      </c>
      <c r="AE15" s="21">
        <v>726400</v>
      </c>
      <c r="AF15" s="21">
        <v>577300</v>
      </c>
      <c r="AG15" s="21">
        <v>431200</v>
      </c>
      <c r="AH15" s="21">
        <v>611700</v>
      </c>
      <c r="AI15" s="21">
        <v>1282800</v>
      </c>
      <c r="AJ15" s="21">
        <v>809800</v>
      </c>
      <c r="AK15" s="21">
        <v>524700</v>
      </c>
      <c r="AL15" s="21">
        <v>752800</v>
      </c>
      <c r="AM15" s="21">
        <v>893500</v>
      </c>
      <c r="AN15" s="21">
        <v>1040300</v>
      </c>
      <c r="AO15" s="21">
        <v>537500</v>
      </c>
      <c r="AP15" s="21">
        <v>684000</v>
      </c>
      <c r="AQ15" s="21">
        <v>523400</v>
      </c>
      <c r="AR15" s="21">
        <v>486500</v>
      </c>
      <c r="AS15" s="21">
        <v>728600</v>
      </c>
      <c r="AT15" s="21">
        <v>727800</v>
      </c>
      <c r="AU15" s="21">
        <v>666600</v>
      </c>
      <c r="AV15" s="21">
        <v>1097100</v>
      </c>
      <c r="AW15" s="21">
        <v>555800</v>
      </c>
      <c r="AX15" s="21">
        <v>490100</v>
      </c>
      <c r="AY15" s="21">
        <v>522000</v>
      </c>
      <c r="AZ15" s="21">
        <v>473200</v>
      </c>
      <c r="BA15" s="21">
        <v>412100</v>
      </c>
      <c r="BB15" s="21">
        <v>543000</v>
      </c>
      <c r="BC15" s="21">
        <v>547900</v>
      </c>
      <c r="BD15" s="21">
        <v>757400</v>
      </c>
      <c r="BE15" s="21">
        <v>655100</v>
      </c>
      <c r="BF15" s="21">
        <v>939500</v>
      </c>
      <c r="BG15" s="21">
        <v>1405500</v>
      </c>
      <c r="BH15" s="21">
        <v>682300</v>
      </c>
      <c r="BI15" s="21">
        <v>751700</v>
      </c>
      <c r="BJ15" s="21">
        <v>813100</v>
      </c>
      <c r="BK15" s="21">
        <v>1077300</v>
      </c>
      <c r="BL15" s="21">
        <v>445500</v>
      </c>
      <c r="BM15" s="1">
        <v>841200</v>
      </c>
      <c r="BN15" s="1">
        <v>720800</v>
      </c>
      <c r="BO15" s="1">
        <v>646500</v>
      </c>
      <c r="BP15" s="1">
        <v>693900</v>
      </c>
      <c r="BQ15" s="1">
        <v>1073800</v>
      </c>
      <c r="BR15" s="1">
        <v>691100</v>
      </c>
      <c r="BS15" s="1">
        <v>462300</v>
      </c>
      <c r="BT15" s="1">
        <v>489800</v>
      </c>
      <c r="BU15" s="1">
        <v>446400</v>
      </c>
      <c r="BV15" s="1">
        <v>457900</v>
      </c>
      <c r="BW15" s="1">
        <v>427700</v>
      </c>
      <c r="BX15" s="1">
        <v>488500</v>
      </c>
      <c r="BY15" s="1">
        <v>445500</v>
      </c>
      <c r="BZ15" s="1">
        <v>548300</v>
      </c>
    </row>
    <row r="16" spans="1:104" ht="15.9" customHeight="1">
      <c r="A16" s="393" t="s">
        <v>27</v>
      </c>
      <c r="B16" s="46" t="s">
        <v>28</v>
      </c>
      <c r="C16" s="50">
        <f>_xll.RssMarket("8058","出来高")</f>
        <v>4566800</v>
      </c>
      <c r="D16" s="202">
        <f t="shared" si="0"/>
        <v>-4212200</v>
      </c>
      <c r="E16" s="200">
        <v>8779000</v>
      </c>
      <c r="F16" s="21">
        <v>17245000</v>
      </c>
      <c r="G16" s="21">
        <v>9120900</v>
      </c>
      <c r="H16" s="21">
        <v>7187300</v>
      </c>
      <c r="I16" s="21">
        <v>8119300</v>
      </c>
      <c r="J16" s="21">
        <v>7208100</v>
      </c>
      <c r="K16" s="21">
        <v>6760100</v>
      </c>
      <c r="L16" s="21">
        <v>7225200</v>
      </c>
      <c r="M16" s="21">
        <v>7903600</v>
      </c>
      <c r="N16" s="21">
        <v>12371100</v>
      </c>
      <c r="O16" s="21">
        <v>9956500</v>
      </c>
      <c r="P16" s="21">
        <v>8314500</v>
      </c>
      <c r="Q16" s="21">
        <v>7472100</v>
      </c>
      <c r="R16" s="21">
        <v>5998100</v>
      </c>
      <c r="S16" s="21">
        <v>6197500</v>
      </c>
      <c r="T16" s="21">
        <v>7058000</v>
      </c>
      <c r="U16" s="21">
        <v>7110300</v>
      </c>
      <c r="V16" s="21">
        <v>9729300</v>
      </c>
      <c r="W16" s="21">
        <v>11064300</v>
      </c>
      <c r="X16" s="21">
        <v>6155200</v>
      </c>
      <c r="Y16" s="21">
        <v>7471500</v>
      </c>
      <c r="Z16" s="21">
        <v>8436000</v>
      </c>
      <c r="AA16" s="21">
        <v>7890100</v>
      </c>
      <c r="AB16" s="21">
        <v>8781200</v>
      </c>
      <c r="AC16" s="21">
        <v>11880600</v>
      </c>
      <c r="AD16" s="21">
        <v>9415700</v>
      </c>
      <c r="AE16" s="21">
        <v>10521500</v>
      </c>
      <c r="AF16" s="21">
        <v>7881300</v>
      </c>
      <c r="AG16" s="21">
        <v>9070000</v>
      </c>
      <c r="AH16" s="21">
        <v>6645200</v>
      </c>
      <c r="AI16" s="21">
        <v>18848500</v>
      </c>
      <c r="AJ16" s="21">
        <v>7457000</v>
      </c>
      <c r="AK16" s="21">
        <v>7426100</v>
      </c>
      <c r="AL16" s="21">
        <v>7796200</v>
      </c>
      <c r="AM16" s="21">
        <v>8624000</v>
      </c>
      <c r="AN16" s="21">
        <v>11085600</v>
      </c>
      <c r="AO16" s="21">
        <v>6907100</v>
      </c>
      <c r="AP16" s="21">
        <v>10613300</v>
      </c>
      <c r="AQ16" s="21">
        <v>9103700</v>
      </c>
      <c r="AR16" s="21">
        <v>6647000</v>
      </c>
      <c r="AS16" s="21">
        <v>6381700</v>
      </c>
      <c r="AT16" s="21">
        <v>6640600</v>
      </c>
      <c r="AU16" s="21">
        <v>10546100</v>
      </c>
      <c r="AV16" s="21">
        <v>23956500</v>
      </c>
      <c r="AW16" s="21">
        <v>40475700</v>
      </c>
      <c r="AX16" s="21">
        <v>10092200</v>
      </c>
      <c r="AY16" s="21">
        <v>8281500</v>
      </c>
      <c r="AZ16" s="21">
        <v>7695500</v>
      </c>
      <c r="BA16" s="21">
        <v>7353700</v>
      </c>
      <c r="BB16" s="21">
        <v>7464700</v>
      </c>
      <c r="BC16" s="21">
        <v>7798600</v>
      </c>
      <c r="BD16" s="21">
        <v>8787900</v>
      </c>
      <c r="BE16" s="21">
        <v>9795100</v>
      </c>
      <c r="BF16" s="21">
        <v>9361000</v>
      </c>
      <c r="BG16" s="21">
        <v>16943100</v>
      </c>
      <c r="BH16" s="21">
        <v>12392700</v>
      </c>
      <c r="BI16" s="21">
        <v>9987800</v>
      </c>
      <c r="BJ16" s="21">
        <v>13304600</v>
      </c>
      <c r="BK16" s="21">
        <v>22555700</v>
      </c>
      <c r="BL16" s="21">
        <v>46978900</v>
      </c>
      <c r="BM16" s="1">
        <v>16646400</v>
      </c>
      <c r="BN16" s="1">
        <v>8775500</v>
      </c>
      <c r="BO16" s="1">
        <v>10204500</v>
      </c>
      <c r="BP16" s="1">
        <v>10913900</v>
      </c>
      <c r="BQ16" s="1">
        <v>10952800</v>
      </c>
      <c r="BR16" s="1">
        <v>9339900</v>
      </c>
      <c r="BS16" s="1">
        <v>7277300</v>
      </c>
      <c r="BT16" s="1">
        <v>8032000</v>
      </c>
      <c r="BU16" s="1">
        <v>8716300</v>
      </c>
      <c r="BV16" s="1">
        <v>9443600</v>
      </c>
      <c r="BW16" s="1">
        <v>13794100</v>
      </c>
      <c r="BX16" s="1">
        <v>8428000</v>
      </c>
      <c r="BY16" s="1">
        <v>9023000</v>
      </c>
      <c r="BZ16" s="1">
        <v>9609500</v>
      </c>
    </row>
    <row r="17" spans="1:78" ht="15.9" customHeight="1">
      <c r="A17" s="393" t="s">
        <v>29</v>
      </c>
      <c r="B17" s="46" t="s">
        <v>30</v>
      </c>
      <c r="C17" s="50">
        <f>_xll.RssMarket("5333","出来高")</f>
        <v>1197100</v>
      </c>
      <c r="D17" s="202">
        <f t="shared" si="0"/>
        <v>-537200</v>
      </c>
      <c r="E17" s="200">
        <v>1734300</v>
      </c>
      <c r="F17" s="21">
        <v>2430100</v>
      </c>
      <c r="G17" s="21">
        <v>3301400</v>
      </c>
      <c r="H17" s="21">
        <v>2918900</v>
      </c>
      <c r="I17" s="21">
        <v>2705900</v>
      </c>
      <c r="J17" s="21">
        <v>2037300</v>
      </c>
      <c r="K17" s="21">
        <v>1817900</v>
      </c>
      <c r="L17" s="21">
        <v>1013100</v>
      </c>
      <c r="M17" s="21">
        <v>1226300</v>
      </c>
      <c r="N17" s="21">
        <v>1545500</v>
      </c>
      <c r="O17" s="21">
        <v>2014000</v>
      </c>
      <c r="P17" s="21">
        <v>2453700</v>
      </c>
      <c r="Q17" s="21">
        <v>1212200</v>
      </c>
      <c r="R17" s="21">
        <v>1815100</v>
      </c>
      <c r="S17" s="21">
        <v>1732600</v>
      </c>
      <c r="T17" s="21">
        <v>1845700</v>
      </c>
      <c r="U17" s="21">
        <v>1711500</v>
      </c>
      <c r="V17" s="21">
        <v>2109900</v>
      </c>
      <c r="W17" s="21">
        <v>1822500</v>
      </c>
      <c r="X17" s="21">
        <v>1504800</v>
      </c>
      <c r="Y17" s="21">
        <v>1842400</v>
      </c>
      <c r="Z17" s="21">
        <v>1818600</v>
      </c>
      <c r="AA17" s="21">
        <v>1482200</v>
      </c>
      <c r="AB17" s="21">
        <v>1817600</v>
      </c>
      <c r="AC17" s="21">
        <v>1990100</v>
      </c>
      <c r="AD17" s="21">
        <v>2936700</v>
      </c>
      <c r="AE17" s="21">
        <v>2211800</v>
      </c>
      <c r="AF17" s="21">
        <v>1690700</v>
      </c>
      <c r="AG17" s="21">
        <v>2054100</v>
      </c>
      <c r="AH17" s="21">
        <v>1737600</v>
      </c>
      <c r="AI17" s="21">
        <v>3532200</v>
      </c>
      <c r="AJ17" s="21">
        <v>2138400</v>
      </c>
      <c r="AK17" s="21">
        <v>1474400</v>
      </c>
      <c r="AL17" s="21">
        <v>1678900</v>
      </c>
      <c r="AM17" s="21">
        <v>1780700</v>
      </c>
      <c r="AN17" s="21">
        <v>1789800</v>
      </c>
      <c r="AO17" s="21">
        <v>1795000</v>
      </c>
      <c r="AP17" s="21">
        <v>1838700</v>
      </c>
      <c r="AQ17" s="21">
        <v>2589900</v>
      </c>
      <c r="AR17" s="21">
        <v>2408700</v>
      </c>
      <c r="AS17" s="21">
        <v>1489200</v>
      </c>
      <c r="AT17" s="21">
        <v>1646400</v>
      </c>
      <c r="AU17" s="21">
        <v>2521200</v>
      </c>
      <c r="AV17" s="21">
        <v>2446600</v>
      </c>
      <c r="AW17" s="21">
        <v>1858200</v>
      </c>
      <c r="AX17" s="21">
        <v>1770600</v>
      </c>
      <c r="AY17" s="21">
        <v>1356400</v>
      </c>
      <c r="AZ17" s="21">
        <v>1421600</v>
      </c>
      <c r="BA17" s="21">
        <v>1334400</v>
      </c>
      <c r="BB17" s="21">
        <v>1787300</v>
      </c>
      <c r="BC17" s="21">
        <v>1654500</v>
      </c>
      <c r="BD17" s="21">
        <v>1248600</v>
      </c>
      <c r="BE17" s="21">
        <v>2140600</v>
      </c>
      <c r="BF17" s="21">
        <v>1649100</v>
      </c>
      <c r="BG17" s="21">
        <v>1776800</v>
      </c>
      <c r="BH17" s="21">
        <v>1621100</v>
      </c>
      <c r="BI17" s="21">
        <v>1998100</v>
      </c>
      <c r="BJ17" s="21">
        <v>2118200</v>
      </c>
      <c r="BK17" s="21">
        <v>2855100</v>
      </c>
      <c r="BL17" s="21">
        <v>2150700</v>
      </c>
      <c r="BM17" s="1">
        <v>4866100</v>
      </c>
      <c r="BN17" s="1">
        <v>1203200</v>
      </c>
      <c r="BO17" s="1">
        <v>1435800</v>
      </c>
      <c r="BP17" s="1">
        <v>885800</v>
      </c>
      <c r="BQ17" s="1">
        <v>1318400</v>
      </c>
      <c r="BR17" s="1">
        <v>714900</v>
      </c>
      <c r="BS17" s="1">
        <v>723700</v>
      </c>
      <c r="BT17" s="1">
        <v>716500</v>
      </c>
      <c r="BU17" s="1">
        <v>739000</v>
      </c>
      <c r="BV17" s="1">
        <v>1166900</v>
      </c>
      <c r="BW17" s="1">
        <v>1087600</v>
      </c>
      <c r="BX17" s="1">
        <v>652200</v>
      </c>
      <c r="BY17" s="1">
        <v>815200</v>
      </c>
      <c r="BZ17" s="1">
        <v>1151700</v>
      </c>
    </row>
    <row r="18" spans="1:78" ht="15.9" customHeight="1">
      <c r="A18" s="393" t="s">
        <v>31</v>
      </c>
      <c r="B18" s="46" t="s">
        <v>32</v>
      </c>
      <c r="C18" s="50">
        <f>_xll.RssMarket("1662","出来高")</f>
        <v>1011900</v>
      </c>
      <c r="D18" s="202">
        <f t="shared" si="0"/>
        <v>9100</v>
      </c>
      <c r="E18" s="200">
        <v>1002800</v>
      </c>
      <c r="F18" s="21">
        <v>1404600</v>
      </c>
      <c r="G18" s="21">
        <v>1333500</v>
      </c>
      <c r="H18" s="21">
        <v>1369900</v>
      </c>
      <c r="I18" s="21">
        <v>1226400</v>
      </c>
      <c r="J18" s="21">
        <v>1126000</v>
      </c>
      <c r="K18" s="21">
        <v>1946200</v>
      </c>
      <c r="L18" s="21"/>
      <c r="M18" s="21">
        <v>1163800</v>
      </c>
      <c r="N18" s="21">
        <v>1334700</v>
      </c>
      <c r="O18" s="21">
        <v>1083200</v>
      </c>
      <c r="P18" s="21">
        <v>1217100</v>
      </c>
      <c r="Q18" s="21">
        <v>1425100</v>
      </c>
      <c r="R18" s="21">
        <v>2214300</v>
      </c>
      <c r="S18" s="21">
        <v>1262600</v>
      </c>
      <c r="T18" s="21">
        <v>1271600</v>
      </c>
      <c r="U18" s="21">
        <v>1596100</v>
      </c>
      <c r="V18" s="21">
        <v>1553200</v>
      </c>
      <c r="W18" s="21">
        <v>1667800</v>
      </c>
      <c r="X18" s="21">
        <v>1180400</v>
      </c>
      <c r="Y18" s="21">
        <v>1006200</v>
      </c>
      <c r="Z18" s="21">
        <v>1012700</v>
      </c>
      <c r="AA18" s="21">
        <v>1805000</v>
      </c>
      <c r="AB18" s="21">
        <v>1004800</v>
      </c>
      <c r="AC18" s="21">
        <v>1069800</v>
      </c>
      <c r="AD18" s="21">
        <v>1411100</v>
      </c>
      <c r="AE18" s="21">
        <v>1540700</v>
      </c>
      <c r="AF18" s="21">
        <v>1256300</v>
      </c>
      <c r="AG18" s="21">
        <v>838900</v>
      </c>
      <c r="AH18" s="21">
        <v>905000</v>
      </c>
      <c r="AI18" s="21">
        <v>1705400</v>
      </c>
      <c r="AJ18" s="21">
        <v>1400300</v>
      </c>
      <c r="AK18" s="21">
        <v>1154600</v>
      </c>
      <c r="AL18" s="21">
        <v>1305200</v>
      </c>
      <c r="AM18" s="21">
        <v>1666500</v>
      </c>
      <c r="AN18" s="21">
        <v>1517300</v>
      </c>
      <c r="AO18" s="21">
        <v>1719700</v>
      </c>
      <c r="AP18" s="21">
        <v>1743500</v>
      </c>
      <c r="AQ18" s="21">
        <v>1707000</v>
      </c>
      <c r="AR18" s="21">
        <v>1577700</v>
      </c>
      <c r="AS18" s="21">
        <v>1874500</v>
      </c>
      <c r="AT18" s="21">
        <v>2445000</v>
      </c>
      <c r="AU18" s="21">
        <v>1812600</v>
      </c>
      <c r="AV18" s="21">
        <v>1828000</v>
      </c>
      <c r="AW18" s="21">
        <v>2101700</v>
      </c>
      <c r="AX18" s="21">
        <v>1838300</v>
      </c>
      <c r="AY18" s="21">
        <v>1692100</v>
      </c>
      <c r="AZ18" s="21">
        <v>1483500</v>
      </c>
      <c r="BA18" s="21">
        <v>2359600</v>
      </c>
      <c r="BB18" s="21">
        <v>2506600</v>
      </c>
      <c r="BC18" s="21">
        <v>1282700</v>
      </c>
      <c r="BD18" s="21">
        <v>1948000</v>
      </c>
      <c r="BE18" s="21">
        <v>2191500</v>
      </c>
      <c r="BF18" s="21">
        <v>2657500</v>
      </c>
      <c r="BG18" s="21">
        <v>5240000</v>
      </c>
      <c r="BH18" s="21">
        <v>1668200</v>
      </c>
      <c r="BI18" s="21">
        <v>2013700</v>
      </c>
      <c r="BJ18" s="21">
        <v>1993000</v>
      </c>
      <c r="BK18" s="21">
        <v>3022900</v>
      </c>
      <c r="BL18" s="21">
        <v>1114100</v>
      </c>
      <c r="BM18" s="1">
        <v>1939100</v>
      </c>
      <c r="BN18" s="1">
        <v>1682900</v>
      </c>
      <c r="BO18" s="1">
        <v>1397500</v>
      </c>
      <c r="BP18" s="1">
        <v>2479600</v>
      </c>
      <c r="BQ18" s="1">
        <v>4870100</v>
      </c>
      <c r="BR18" s="1">
        <v>3549200</v>
      </c>
      <c r="BS18" s="1">
        <v>3568200</v>
      </c>
      <c r="BT18" s="1">
        <v>5294900</v>
      </c>
      <c r="BU18" s="1">
        <v>2743800</v>
      </c>
      <c r="BV18" s="1">
        <v>1638200</v>
      </c>
      <c r="BW18" s="1">
        <v>1919600</v>
      </c>
      <c r="BX18" s="1">
        <v>2468500</v>
      </c>
      <c r="BY18" s="1">
        <v>3066100</v>
      </c>
      <c r="BZ18" s="1">
        <v>2021600</v>
      </c>
    </row>
    <row r="19" spans="1:78" ht="15.9" customHeight="1">
      <c r="A19" s="393" t="s">
        <v>33</v>
      </c>
      <c r="B19" s="46" t="s">
        <v>34</v>
      </c>
      <c r="C19" s="50">
        <f>_xll.RssMarket("8411","出来高")</f>
        <v>6986100</v>
      </c>
      <c r="D19" s="202">
        <f t="shared" si="0"/>
        <v>-728500</v>
      </c>
      <c r="E19" s="200">
        <v>7714600</v>
      </c>
      <c r="F19" s="21">
        <v>10847200</v>
      </c>
      <c r="G19" s="21">
        <v>13976600</v>
      </c>
      <c r="H19" s="21">
        <v>11805100</v>
      </c>
      <c r="I19" s="21">
        <v>12779000</v>
      </c>
      <c r="J19" s="21">
        <v>11809100</v>
      </c>
      <c r="K19" s="21">
        <v>9501000</v>
      </c>
      <c r="L19" s="21">
        <v>9693400</v>
      </c>
      <c r="M19" s="21">
        <v>12807600</v>
      </c>
      <c r="N19" s="21">
        <v>11822600</v>
      </c>
      <c r="O19" s="21">
        <v>9797400</v>
      </c>
      <c r="P19" s="21">
        <v>14432200</v>
      </c>
      <c r="Q19" s="21">
        <v>10893000</v>
      </c>
      <c r="R19" s="21">
        <v>8874200</v>
      </c>
      <c r="S19" s="21">
        <v>7327600</v>
      </c>
      <c r="T19" s="21">
        <v>7342800</v>
      </c>
      <c r="U19" s="21">
        <v>6615200</v>
      </c>
      <c r="V19" s="21">
        <v>7916300</v>
      </c>
      <c r="W19" s="21">
        <v>11405900</v>
      </c>
      <c r="X19" s="21">
        <v>6572200</v>
      </c>
      <c r="Y19" s="21">
        <v>6936500</v>
      </c>
      <c r="Z19" s="21">
        <v>9670300</v>
      </c>
      <c r="AA19" s="21">
        <v>5951800</v>
      </c>
      <c r="AB19" s="21">
        <v>7867000</v>
      </c>
      <c r="AC19" s="21">
        <v>10747300</v>
      </c>
      <c r="AD19" s="21">
        <v>7865800</v>
      </c>
      <c r="AE19" s="21">
        <v>6244600</v>
      </c>
      <c r="AF19" s="21">
        <v>7033300</v>
      </c>
      <c r="AG19" s="21">
        <v>8956900</v>
      </c>
      <c r="AH19" s="21">
        <v>6803400</v>
      </c>
      <c r="AI19" s="21">
        <v>14725900</v>
      </c>
      <c r="AJ19" s="21">
        <v>11516700</v>
      </c>
      <c r="AK19" s="21">
        <v>12922600</v>
      </c>
      <c r="AL19" s="21">
        <v>9797300</v>
      </c>
      <c r="AM19" s="21">
        <v>11061200</v>
      </c>
      <c r="AN19" s="21">
        <v>13140500</v>
      </c>
      <c r="AO19" s="21">
        <v>11181800</v>
      </c>
      <c r="AP19" s="21">
        <v>12418200</v>
      </c>
      <c r="AQ19" s="21">
        <v>9646600</v>
      </c>
      <c r="AR19" s="21">
        <v>10044100</v>
      </c>
      <c r="AS19" s="21">
        <v>11569200</v>
      </c>
      <c r="AT19" s="21">
        <v>12383200</v>
      </c>
      <c r="AU19" s="21">
        <v>10005100</v>
      </c>
      <c r="AV19" s="21">
        <v>16581900</v>
      </c>
      <c r="AW19" s="21">
        <v>14467400</v>
      </c>
      <c r="AX19" s="21">
        <v>10262300</v>
      </c>
      <c r="AY19" s="21">
        <v>11943500</v>
      </c>
      <c r="AZ19" s="21">
        <v>12090500</v>
      </c>
      <c r="BA19" s="21">
        <v>16998300</v>
      </c>
      <c r="BB19" s="21">
        <v>15514300</v>
      </c>
      <c r="BC19" s="21">
        <v>13730800</v>
      </c>
      <c r="BD19" s="21">
        <v>21432700</v>
      </c>
      <c r="BE19" s="21">
        <v>10413100</v>
      </c>
      <c r="BF19" s="21">
        <v>8531800</v>
      </c>
      <c r="BG19" s="21">
        <v>7008000</v>
      </c>
      <c r="BH19" s="21">
        <v>8952100</v>
      </c>
      <c r="BI19" s="21">
        <v>9143400</v>
      </c>
      <c r="BJ19" s="21">
        <v>10189400</v>
      </c>
      <c r="BK19" s="21">
        <v>11688900</v>
      </c>
      <c r="BL19" s="21">
        <v>7112700</v>
      </c>
      <c r="BM19" s="1">
        <v>10641200</v>
      </c>
      <c r="BN19" s="1">
        <v>13923800</v>
      </c>
      <c r="BO19" s="1">
        <v>9071000</v>
      </c>
      <c r="BP19" s="1">
        <v>6579700</v>
      </c>
      <c r="BQ19" s="1">
        <v>7429300</v>
      </c>
      <c r="BR19" s="1">
        <v>7751100</v>
      </c>
      <c r="BS19" s="1">
        <v>7503700</v>
      </c>
      <c r="BT19" s="1">
        <v>6356700</v>
      </c>
      <c r="BU19" s="1">
        <v>9186000</v>
      </c>
      <c r="BV19" s="1">
        <v>9620500</v>
      </c>
      <c r="BW19" s="1">
        <v>10748300</v>
      </c>
      <c r="BX19" s="1">
        <v>7541600</v>
      </c>
      <c r="BY19" s="1">
        <v>6715800</v>
      </c>
      <c r="BZ19" s="1">
        <v>6848600</v>
      </c>
    </row>
    <row r="20" spans="1:78" ht="15.9" customHeight="1">
      <c r="A20" s="393" t="s">
        <v>35</v>
      </c>
      <c r="B20" s="46" t="s">
        <v>36</v>
      </c>
      <c r="C20" s="50">
        <f>_xll.RssMarket("5541","出来高")</f>
        <v>299800</v>
      </c>
      <c r="D20" s="202">
        <f t="shared" si="0"/>
        <v>30500</v>
      </c>
      <c r="E20" s="200">
        <v>269300</v>
      </c>
      <c r="F20" s="21">
        <v>179900</v>
      </c>
      <c r="G20" s="21">
        <v>236700</v>
      </c>
      <c r="H20" s="21">
        <v>200000</v>
      </c>
      <c r="I20" s="21">
        <v>334400</v>
      </c>
      <c r="J20" s="21">
        <v>422800</v>
      </c>
      <c r="K20" s="21">
        <v>208600</v>
      </c>
      <c r="L20" s="21"/>
      <c r="M20" s="21">
        <v>118800</v>
      </c>
      <c r="N20" s="21">
        <v>168100</v>
      </c>
      <c r="O20" s="21">
        <v>210500</v>
      </c>
      <c r="P20" s="21">
        <v>231900</v>
      </c>
      <c r="Q20" s="21">
        <v>120200</v>
      </c>
      <c r="R20" s="21">
        <v>162000</v>
      </c>
      <c r="S20" s="21">
        <v>178400</v>
      </c>
      <c r="T20" s="21">
        <v>166700</v>
      </c>
      <c r="U20" s="21">
        <v>138100</v>
      </c>
      <c r="V20" s="21">
        <v>215700</v>
      </c>
      <c r="W20" s="21">
        <v>233900</v>
      </c>
      <c r="X20" s="21">
        <v>221700</v>
      </c>
      <c r="Y20" s="21">
        <v>174600</v>
      </c>
      <c r="Z20" s="21">
        <v>247700</v>
      </c>
      <c r="AA20" s="21">
        <v>227200</v>
      </c>
      <c r="AB20" s="21">
        <v>146300</v>
      </c>
      <c r="AC20" s="21">
        <v>183500</v>
      </c>
      <c r="AD20" s="21">
        <v>138400</v>
      </c>
      <c r="AE20" s="21">
        <v>194700</v>
      </c>
      <c r="AF20" s="21">
        <v>182500</v>
      </c>
      <c r="AG20" s="21">
        <v>232300</v>
      </c>
      <c r="AH20" s="21">
        <v>149000</v>
      </c>
      <c r="AI20" s="21">
        <v>141800</v>
      </c>
      <c r="AJ20" s="21">
        <v>186000</v>
      </c>
      <c r="AK20" s="21">
        <v>138100</v>
      </c>
      <c r="AL20" s="21">
        <v>248700</v>
      </c>
      <c r="AM20" s="21">
        <v>335000</v>
      </c>
      <c r="AN20" s="21">
        <v>308200</v>
      </c>
      <c r="AO20" s="21">
        <v>285100</v>
      </c>
      <c r="AP20" s="21">
        <v>280500</v>
      </c>
      <c r="AQ20" s="21">
        <v>427600</v>
      </c>
      <c r="AR20" s="21">
        <v>326000</v>
      </c>
      <c r="AS20" s="21">
        <v>194800</v>
      </c>
      <c r="AT20" s="21">
        <v>323900</v>
      </c>
      <c r="AU20" s="21">
        <v>245700</v>
      </c>
      <c r="AV20" s="21">
        <v>241600</v>
      </c>
      <c r="AW20" s="21">
        <v>296900</v>
      </c>
      <c r="AX20" s="21">
        <v>298400</v>
      </c>
      <c r="AY20" s="21">
        <v>406700</v>
      </c>
      <c r="AZ20" s="21">
        <v>463600</v>
      </c>
      <c r="BA20" s="21">
        <v>367100</v>
      </c>
      <c r="BB20" s="21">
        <v>453400</v>
      </c>
      <c r="BC20" s="21">
        <v>551500</v>
      </c>
      <c r="BD20" s="21">
        <v>485100</v>
      </c>
      <c r="BE20" s="21">
        <v>369300</v>
      </c>
      <c r="BF20" s="21">
        <v>485300</v>
      </c>
      <c r="BG20" s="21">
        <v>677400</v>
      </c>
      <c r="BH20" s="21">
        <v>719600</v>
      </c>
      <c r="BI20" s="21">
        <v>292300</v>
      </c>
      <c r="BJ20" s="21">
        <v>252100</v>
      </c>
      <c r="BK20" s="21">
        <v>427200</v>
      </c>
      <c r="BL20" s="21">
        <v>451300</v>
      </c>
      <c r="BM20" s="1">
        <v>603100</v>
      </c>
      <c r="BN20" s="1">
        <v>692900</v>
      </c>
      <c r="BO20" s="1">
        <v>424300</v>
      </c>
      <c r="BP20" s="1">
        <v>242800</v>
      </c>
      <c r="BQ20" s="1">
        <v>364900</v>
      </c>
      <c r="BR20" s="1">
        <v>281400</v>
      </c>
      <c r="BS20" s="1">
        <v>266800</v>
      </c>
      <c r="BT20" s="1">
        <v>431200</v>
      </c>
      <c r="BU20" s="1">
        <v>538200</v>
      </c>
      <c r="BV20" s="1">
        <v>331600</v>
      </c>
      <c r="BW20" s="1">
        <v>383000</v>
      </c>
      <c r="BX20" s="1">
        <v>402700</v>
      </c>
      <c r="BY20" s="1">
        <v>341500</v>
      </c>
      <c r="BZ20" s="1">
        <v>427400</v>
      </c>
    </row>
    <row r="21" spans="1:78" ht="15.9" customHeight="1">
      <c r="A21" s="393" t="s">
        <v>37</v>
      </c>
      <c r="B21" s="46" t="s">
        <v>38</v>
      </c>
      <c r="C21" s="50">
        <f>_xll.RssMarket("5332","出来高")</f>
        <v>783300</v>
      </c>
      <c r="D21" s="202">
        <f t="shared" si="0"/>
        <v>-1141000</v>
      </c>
      <c r="E21" s="200">
        <v>1924300</v>
      </c>
      <c r="F21" s="21">
        <v>3460300</v>
      </c>
      <c r="G21" s="21">
        <v>2258900</v>
      </c>
      <c r="H21" s="21">
        <v>1200600</v>
      </c>
      <c r="I21" s="21">
        <v>1649700</v>
      </c>
      <c r="J21" s="21">
        <v>1401100</v>
      </c>
      <c r="K21" s="21">
        <v>1097100</v>
      </c>
      <c r="L21" s="21"/>
      <c r="M21" s="21">
        <v>863500</v>
      </c>
      <c r="N21" s="21">
        <v>1130300</v>
      </c>
      <c r="O21" s="21">
        <v>1104400</v>
      </c>
      <c r="P21" s="21">
        <v>1479300</v>
      </c>
      <c r="Q21" s="21">
        <v>1272000</v>
      </c>
      <c r="R21" s="21">
        <v>1264100</v>
      </c>
      <c r="S21" s="21">
        <v>1115900</v>
      </c>
      <c r="T21" s="21">
        <v>1018200</v>
      </c>
      <c r="U21" s="21">
        <v>1004700</v>
      </c>
      <c r="V21" s="21">
        <v>1352900</v>
      </c>
      <c r="W21" s="21">
        <v>1029300</v>
      </c>
      <c r="X21" s="21">
        <v>804200</v>
      </c>
      <c r="Y21" s="21">
        <v>1032500</v>
      </c>
      <c r="Z21" s="21">
        <v>1385200</v>
      </c>
      <c r="AA21" s="21">
        <v>1623500</v>
      </c>
      <c r="AB21" s="21">
        <v>1159700</v>
      </c>
      <c r="AC21" s="21">
        <v>1166000</v>
      </c>
      <c r="AD21" s="21">
        <v>1456800</v>
      </c>
      <c r="AE21" s="21">
        <v>1581200</v>
      </c>
      <c r="AF21" s="21">
        <v>1864200</v>
      </c>
      <c r="AG21" s="21">
        <v>2135500</v>
      </c>
      <c r="AH21" s="21">
        <v>3085400</v>
      </c>
      <c r="AI21" s="21">
        <v>1028200</v>
      </c>
      <c r="AJ21" s="21">
        <v>1079700</v>
      </c>
      <c r="AK21" s="21">
        <v>1293200</v>
      </c>
      <c r="AL21" s="21">
        <v>1278600</v>
      </c>
      <c r="AM21" s="21">
        <v>1996200</v>
      </c>
      <c r="AN21" s="21">
        <v>1679300</v>
      </c>
      <c r="AO21" s="21">
        <v>1658800</v>
      </c>
      <c r="AP21" s="21">
        <v>1143000</v>
      </c>
      <c r="AQ21" s="21">
        <v>2109800</v>
      </c>
      <c r="AR21" s="21">
        <v>1685500</v>
      </c>
      <c r="AS21" s="21">
        <v>3165600</v>
      </c>
      <c r="AT21" s="21">
        <v>2695800</v>
      </c>
      <c r="AU21" s="21">
        <v>1561900</v>
      </c>
      <c r="AV21" s="21">
        <v>1879700</v>
      </c>
      <c r="AW21" s="21">
        <v>1239600</v>
      </c>
      <c r="AX21" s="21">
        <v>1821000</v>
      </c>
      <c r="AY21" s="21">
        <v>986300</v>
      </c>
      <c r="AZ21" s="21">
        <v>1151600</v>
      </c>
      <c r="BA21" s="21">
        <v>918300</v>
      </c>
      <c r="BB21" s="21">
        <v>1278500</v>
      </c>
      <c r="BC21" s="21">
        <v>1038100</v>
      </c>
      <c r="BD21" s="21">
        <v>921200</v>
      </c>
      <c r="BE21" s="21">
        <v>1517200</v>
      </c>
      <c r="BF21" s="21">
        <v>1886400</v>
      </c>
      <c r="BG21" s="21">
        <v>795100</v>
      </c>
      <c r="BH21" s="21">
        <v>1763500</v>
      </c>
      <c r="BI21" s="21">
        <v>1926500</v>
      </c>
      <c r="BJ21" s="21">
        <v>2574300</v>
      </c>
      <c r="BK21" s="21">
        <v>4349000</v>
      </c>
      <c r="BL21" s="21">
        <v>3169300</v>
      </c>
      <c r="BM21" s="1">
        <v>1425200</v>
      </c>
      <c r="BN21" s="1">
        <v>683400</v>
      </c>
      <c r="BO21" s="1">
        <v>914800</v>
      </c>
      <c r="BP21" s="1">
        <v>1000500</v>
      </c>
      <c r="BQ21" s="1">
        <v>1002600</v>
      </c>
      <c r="BR21" s="1">
        <v>990300</v>
      </c>
      <c r="BS21" s="1">
        <v>818600</v>
      </c>
      <c r="BT21" s="1">
        <v>418700</v>
      </c>
      <c r="BU21" s="1">
        <v>807100</v>
      </c>
      <c r="BV21" s="1">
        <v>2224500</v>
      </c>
      <c r="BW21" s="1">
        <v>1232200</v>
      </c>
      <c r="BX21" s="1">
        <v>2693100</v>
      </c>
      <c r="BY21" s="1">
        <v>6886600</v>
      </c>
      <c r="BZ21" s="1">
        <v>918400</v>
      </c>
    </row>
    <row r="22" spans="1:78" ht="15.9" customHeight="1">
      <c r="A22" s="393" t="s">
        <v>39</v>
      </c>
      <c r="B22" s="46" t="s">
        <v>40</v>
      </c>
      <c r="C22" s="50">
        <f>_xll.RssMarket("8725","出来高")</f>
        <v>1896000</v>
      </c>
      <c r="D22" s="202">
        <f t="shared" si="0"/>
        <v>-2364100</v>
      </c>
      <c r="E22" s="200">
        <v>4260100</v>
      </c>
      <c r="F22" s="21">
        <v>4692000</v>
      </c>
      <c r="G22" s="21">
        <v>4614100</v>
      </c>
      <c r="H22" s="21">
        <v>4658600</v>
      </c>
      <c r="I22" s="21">
        <v>5364200</v>
      </c>
      <c r="J22" s="21">
        <v>4544500</v>
      </c>
      <c r="K22" s="21">
        <v>4742600</v>
      </c>
      <c r="L22" s="21">
        <v>4857900</v>
      </c>
      <c r="M22" s="21">
        <v>4195200</v>
      </c>
      <c r="N22" s="21">
        <v>5351800</v>
      </c>
      <c r="O22" s="21">
        <v>7151600</v>
      </c>
      <c r="P22" s="21">
        <v>4616300</v>
      </c>
      <c r="Q22" s="21">
        <v>3969800</v>
      </c>
      <c r="R22" s="21">
        <v>3352200</v>
      </c>
      <c r="S22" s="21">
        <v>2859100</v>
      </c>
      <c r="T22" s="21">
        <v>4374500</v>
      </c>
      <c r="U22" s="21">
        <v>4504100</v>
      </c>
      <c r="V22" s="21">
        <v>4542700</v>
      </c>
      <c r="W22" s="21">
        <v>5176400</v>
      </c>
      <c r="X22" s="21">
        <v>5245600</v>
      </c>
      <c r="Y22" s="21">
        <v>5164700</v>
      </c>
      <c r="Z22" s="21">
        <v>6095600</v>
      </c>
      <c r="AA22" s="21">
        <v>6011100</v>
      </c>
      <c r="AB22" s="21">
        <v>5413800</v>
      </c>
      <c r="AC22" s="21">
        <v>7673400</v>
      </c>
      <c r="AD22" s="21">
        <v>6194800</v>
      </c>
      <c r="AE22" s="21">
        <v>7937600</v>
      </c>
      <c r="AF22" s="21">
        <v>5076400</v>
      </c>
      <c r="AG22" s="21">
        <v>3862000</v>
      </c>
      <c r="AH22" s="21">
        <v>2452700</v>
      </c>
      <c r="AI22" s="21">
        <v>5609000</v>
      </c>
      <c r="AJ22" s="21">
        <v>4416600</v>
      </c>
      <c r="AK22" s="21">
        <v>3959300</v>
      </c>
      <c r="AL22" s="21">
        <v>3133600</v>
      </c>
      <c r="AM22" s="21">
        <v>3446400</v>
      </c>
      <c r="AN22" s="21">
        <v>5475200</v>
      </c>
      <c r="AO22" s="21">
        <v>3444800</v>
      </c>
      <c r="AP22" s="21">
        <v>4882400</v>
      </c>
      <c r="AQ22" s="21">
        <v>4078900</v>
      </c>
      <c r="AR22" s="21">
        <v>2749500</v>
      </c>
      <c r="AS22" s="21">
        <v>3729600</v>
      </c>
      <c r="AT22" s="21">
        <v>4192300</v>
      </c>
      <c r="AU22" s="21">
        <v>4316300</v>
      </c>
      <c r="AV22" s="21">
        <v>21947600</v>
      </c>
      <c r="AW22" s="21">
        <v>4163600</v>
      </c>
      <c r="AX22" s="21">
        <v>4362800</v>
      </c>
      <c r="AY22" s="21">
        <v>3443400</v>
      </c>
      <c r="AZ22" s="21">
        <v>4505700</v>
      </c>
      <c r="BA22" s="21">
        <v>6554700</v>
      </c>
      <c r="BB22" s="21">
        <v>5183200</v>
      </c>
      <c r="BC22" s="21">
        <v>5100200</v>
      </c>
      <c r="BD22" s="21">
        <v>3963700</v>
      </c>
      <c r="BE22" s="21">
        <v>3998500</v>
      </c>
      <c r="BF22" s="21">
        <v>3569100</v>
      </c>
      <c r="BG22" s="21">
        <v>4277700</v>
      </c>
      <c r="BH22" s="21">
        <v>6882200</v>
      </c>
      <c r="BI22" s="21">
        <v>3290300</v>
      </c>
      <c r="BJ22" s="21">
        <v>4823000</v>
      </c>
      <c r="BK22" s="21">
        <v>4535200</v>
      </c>
      <c r="BL22" s="21">
        <v>2605900</v>
      </c>
      <c r="BM22" s="1">
        <v>4050400</v>
      </c>
      <c r="BN22" s="1">
        <v>2895400</v>
      </c>
      <c r="BO22" s="1">
        <v>2940800</v>
      </c>
      <c r="BP22" s="1">
        <v>2257500</v>
      </c>
      <c r="BQ22" s="1">
        <v>3230500</v>
      </c>
      <c r="BR22" s="1">
        <v>2525600</v>
      </c>
      <c r="BS22" s="1">
        <v>2710200</v>
      </c>
      <c r="BT22" s="1">
        <v>2132400</v>
      </c>
      <c r="BU22" s="1">
        <v>2839800</v>
      </c>
      <c r="BV22" s="1">
        <v>2705400</v>
      </c>
      <c r="BW22" s="1">
        <v>3169100</v>
      </c>
      <c r="BX22" s="1">
        <v>2703800</v>
      </c>
      <c r="BY22" s="1">
        <v>2951100</v>
      </c>
      <c r="BZ22" s="1">
        <v>2916700</v>
      </c>
    </row>
    <row r="23" spans="1:78" ht="15.9" customHeight="1">
      <c r="A23" s="393" t="s">
        <v>41</v>
      </c>
      <c r="B23" s="46" t="s">
        <v>42</v>
      </c>
      <c r="C23" s="50">
        <f>_xll.RssMarket("8795","出来高")</f>
        <v>581000</v>
      </c>
      <c r="D23" s="202">
        <f t="shared" si="0"/>
        <v>-641000</v>
      </c>
      <c r="E23" s="200">
        <v>1222000</v>
      </c>
      <c r="F23" s="21">
        <v>1262000</v>
      </c>
      <c r="G23" s="21">
        <v>1677500</v>
      </c>
      <c r="H23" s="21">
        <v>1362000</v>
      </c>
      <c r="I23" s="21">
        <v>2027300</v>
      </c>
      <c r="J23" s="21">
        <v>1647400</v>
      </c>
      <c r="K23" s="21">
        <v>1134600</v>
      </c>
      <c r="L23" s="21"/>
      <c r="M23" s="21">
        <v>928400</v>
      </c>
      <c r="N23" s="21">
        <v>1294000</v>
      </c>
      <c r="O23" s="21">
        <v>1616500</v>
      </c>
      <c r="P23" s="21">
        <v>1693200</v>
      </c>
      <c r="Q23" s="21">
        <v>1086700</v>
      </c>
      <c r="R23" s="21">
        <v>1204700</v>
      </c>
      <c r="S23" s="21">
        <v>1077500</v>
      </c>
      <c r="T23" s="21">
        <v>1050800</v>
      </c>
      <c r="U23" s="21">
        <v>1359200</v>
      </c>
      <c r="V23" s="21">
        <v>1819500</v>
      </c>
      <c r="W23" s="21">
        <v>2973000</v>
      </c>
      <c r="X23" s="21">
        <v>1887700</v>
      </c>
      <c r="Y23" s="21">
        <v>1682700</v>
      </c>
      <c r="Z23" s="21">
        <v>1814200</v>
      </c>
      <c r="AA23" s="21">
        <v>2324300</v>
      </c>
      <c r="AB23" s="21">
        <v>2402900</v>
      </c>
      <c r="AC23" s="21">
        <v>3843500</v>
      </c>
      <c r="AD23" s="21">
        <v>1611800</v>
      </c>
      <c r="AE23" s="21">
        <v>1985300</v>
      </c>
      <c r="AF23" s="21">
        <v>2951300</v>
      </c>
      <c r="AG23" s="21">
        <v>1652500</v>
      </c>
      <c r="AH23" s="21">
        <v>1584300</v>
      </c>
      <c r="AI23" s="21">
        <v>2101900</v>
      </c>
      <c r="AJ23" s="21">
        <v>1752800</v>
      </c>
      <c r="AK23" s="21">
        <v>2140500</v>
      </c>
      <c r="AL23" s="21">
        <v>2237600</v>
      </c>
      <c r="AM23" s="21">
        <v>2172900</v>
      </c>
      <c r="AN23" s="21">
        <v>2429300</v>
      </c>
      <c r="AO23" s="21">
        <v>1909300</v>
      </c>
      <c r="AP23" s="21">
        <v>3640400</v>
      </c>
      <c r="AQ23" s="21">
        <v>2067100</v>
      </c>
      <c r="AR23" s="21">
        <v>3356300</v>
      </c>
      <c r="AS23" s="21">
        <v>2187000</v>
      </c>
      <c r="AT23" s="21">
        <v>2422000</v>
      </c>
      <c r="AU23" s="21">
        <v>2299000</v>
      </c>
      <c r="AV23" s="21">
        <v>6363200</v>
      </c>
      <c r="AW23" s="21">
        <v>1641500</v>
      </c>
      <c r="AX23" s="21">
        <v>1694500</v>
      </c>
      <c r="AY23" s="21">
        <v>1880900</v>
      </c>
      <c r="AZ23" s="21">
        <v>2480400</v>
      </c>
      <c r="BA23" s="21">
        <v>2184200</v>
      </c>
      <c r="BB23" s="21">
        <v>1907700</v>
      </c>
      <c r="BC23" s="21">
        <v>2646700</v>
      </c>
      <c r="BD23" s="21">
        <v>1908800</v>
      </c>
      <c r="BE23" s="21">
        <v>2306000</v>
      </c>
      <c r="BF23" s="21">
        <v>1399500</v>
      </c>
      <c r="BG23" s="21">
        <v>1303000</v>
      </c>
      <c r="BH23" s="21">
        <v>1675300</v>
      </c>
      <c r="BI23" s="21">
        <v>1454700</v>
      </c>
      <c r="BJ23" s="21">
        <v>1796600</v>
      </c>
      <c r="BK23" s="21">
        <v>2571300</v>
      </c>
      <c r="BL23" s="21">
        <v>1250400</v>
      </c>
      <c r="BM23" s="1">
        <v>2027600</v>
      </c>
      <c r="BN23" s="1">
        <v>2276000</v>
      </c>
      <c r="BO23" s="1">
        <v>1688900</v>
      </c>
      <c r="BP23" s="1">
        <v>1701400</v>
      </c>
      <c r="BQ23" s="1">
        <v>2772300</v>
      </c>
      <c r="BR23" s="1">
        <v>2000800</v>
      </c>
      <c r="BS23" s="1">
        <v>1822300</v>
      </c>
      <c r="BT23" s="1">
        <v>1642300</v>
      </c>
      <c r="BU23" s="1">
        <v>1879600</v>
      </c>
      <c r="BV23" s="1">
        <v>1551000</v>
      </c>
      <c r="BW23" s="1">
        <v>1532900</v>
      </c>
      <c r="BX23" s="1">
        <v>1758700</v>
      </c>
      <c r="BY23" s="1">
        <v>1271400</v>
      </c>
      <c r="BZ23" s="1">
        <v>1293000</v>
      </c>
    </row>
    <row r="24" spans="1:78" ht="15.9" customHeight="1">
      <c r="A24" s="393" t="s">
        <v>43</v>
      </c>
      <c r="B24" s="46" t="s">
        <v>44</v>
      </c>
      <c r="C24" s="50">
        <f>_xll.RssMarket("5019","出来高")</f>
        <v>2064000</v>
      </c>
      <c r="D24" s="202">
        <f t="shared" si="0"/>
        <v>-693300</v>
      </c>
      <c r="E24" s="200">
        <v>2757300</v>
      </c>
      <c r="F24" s="21">
        <v>3348400</v>
      </c>
      <c r="G24" s="21">
        <v>3884800</v>
      </c>
      <c r="H24" s="21">
        <v>2876400</v>
      </c>
      <c r="I24" s="21">
        <v>3923000</v>
      </c>
      <c r="J24" s="21">
        <v>3468500</v>
      </c>
      <c r="K24" s="21">
        <v>3559900</v>
      </c>
      <c r="L24" s="21">
        <v>4190100</v>
      </c>
      <c r="M24" s="21">
        <v>3147300</v>
      </c>
      <c r="N24" s="21">
        <v>3542300</v>
      </c>
      <c r="O24" s="21">
        <v>4311600</v>
      </c>
      <c r="P24" s="21">
        <v>3461200</v>
      </c>
      <c r="Q24" s="21">
        <v>3514400</v>
      </c>
      <c r="R24" s="21">
        <v>3089700</v>
      </c>
      <c r="S24" s="21">
        <v>3061500</v>
      </c>
      <c r="T24" s="21">
        <v>3528500</v>
      </c>
      <c r="U24" s="21">
        <v>3617500</v>
      </c>
      <c r="V24" s="21">
        <v>3527500</v>
      </c>
      <c r="W24" s="21">
        <v>3805100</v>
      </c>
      <c r="X24" s="21">
        <v>2549500</v>
      </c>
      <c r="Y24" s="21">
        <v>3590400</v>
      </c>
      <c r="Z24" s="21">
        <v>3373700</v>
      </c>
      <c r="AA24" s="21">
        <v>3475400</v>
      </c>
      <c r="AB24" s="21">
        <v>5390200</v>
      </c>
      <c r="AC24" s="21">
        <v>6808700</v>
      </c>
      <c r="AD24" s="21">
        <v>3458300</v>
      </c>
      <c r="AE24" s="21">
        <v>4715400</v>
      </c>
      <c r="AF24" s="21">
        <v>3508600</v>
      </c>
      <c r="AG24" s="21">
        <v>4558800</v>
      </c>
      <c r="AH24" s="21">
        <v>3371900</v>
      </c>
      <c r="AI24" s="21">
        <v>10404900</v>
      </c>
      <c r="AJ24" s="21">
        <v>4125300</v>
      </c>
      <c r="AK24" s="21">
        <v>4040400</v>
      </c>
      <c r="AL24" s="21">
        <v>3618200</v>
      </c>
      <c r="AM24" s="21">
        <v>3327700</v>
      </c>
      <c r="AN24" s="21">
        <v>5523600</v>
      </c>
      <c r="AO24" s="21">
        <v>3531900</v>
      </c>
      <c r="AP24" s="21">
        <v>3746500</v>
      </c>
      <c r="AQ24" s="21">
        <v>4287600</v>
      </c>
      <c r="AR24" s="21">
        <v>3641300</v>
      </c>
      <c r="AS24" s="21">
        <v>3359600</v>
      </c>
      <c r="AT24" s="21">
        <v>5315700</v>
      </c>
      <c r="AU24" s="21">
        <v>5527800</v>
      </c>
      <c r="AV24" s="21">
        <v>11955600</v>
      </c>
      <c r="AW24" s="21">
        <v>8683900</v>
      </c>
      <c r="AX24" s="21">
        <v>4124300</v>
      </c>
      <c r="AY24" s="21">
        <v>3597500</v>
      </c>
      <c r="AZ24" s="21">
        <v>4180400</v>
      </c>
      <c r="BA24" s="21">
        <v>3702000</v>
      </c>
      <c r="BB24" s="21">
        <v>4665700</v>
      </c>
      <c r="BC24" s="21">
        <v>4699300</v>
      </c>
      <c r="BD24" s="21">
        <v>5863400</v>
      </c>
      <c r="BE24" s="21">
        <v>6853600</v>
      </c>
      <c r="BF24" s="21">
        <v>6963600</v>
      </c>
      <c r="BG24" s="21">
        <v>8769600</v>
      </c>
      <c r="BH24" s="21">
        <v>4718800</v>
      </c>
      <c r="BI24" s="21">
        <v>3701300</v>
      </c>
      <c r="BJ24" s="21">
        <v>5627400</v>
      </c>
      <c r="BK24" s="21">
        <v>6407600</v>
      </c>
      <c r="BL24" s="21">
        <v>4688500</v>
      </c>
      <c r="BM24" s="1">
        <v>8432600</v>
      </c>
      <c r="BN24" s="1">
        <v>3745900</v>
      </c>
      <c r="BO24" s="1">
        <v>3600600</v>
      </c>
      <c r="BP24" s="1">
        <v>4462900</v>
      </c>
      <c r="BQ24" s="1">
        <v>5735900</v>
      </c>
      <c r="BR24" s="1">
        <v>4936300</v>
      </c>
      <c r="BS24" s="1">
        <v>4973500</v>
      </c>
      <c r="BT24" s="1">
        <v>4176900</v>
      </c>
      <c r="BU24" s="1">
        <v>3527000</v>
      </c>
      <c r="BV24" s="1">
        <v>3094200</v>
      </c>
      <c r="BW24" s="1">
        <v>4061100</v>
      </c>
      <c r="BX24" s="1">
        <v>3772800</v>
      </c>
      <c r="BY24" s="1">
        <v>2946500</v>
      </c>
      <c r="BZ24" s="1">
        <v>4074200</v>
      </c>
    </row>
    <row r="25" spans="1:78" ht="15.9" customHeight="1">
      <c r="A25" s="393" t="s">
        <v>45</v>
      </c>
      <c r="B25" s="46" t="s">
        <v>46</v>
      </c>
      <c r="C25" s="50">
        <f>_xll.RssMarket("8053","出来高")</f>
        <v>6146900</v>
      </c>
      <c r="D25" s="202">
        <f t="shared" si="0"/>
        <v>6146900</v>
      </c>
      <c r="E25" s="200"/>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row>
    <row r="26" spans="1:78" ht="15.9" customHeight="1">
      <c r="A26" s="393" t="s">
        <v>47</v>
      </c>
      <c r="B26" s="46" t="s">
        <v>48</v>
      </c>
      <c r="C26" s="50">
        <f>_xll.RssMarket("8591","出来高")</f>
        <v>1734500</v>
      </c>
      <c r="D26" s="202">
        <f t="shared" si="0"/>
        <v>-1219700</v>
      </c>
      <c r="E26" s="200">
        <v>2954200</v>
      </c>
      <c r="F26" s="21">
        <v>3641200</v>
      </c>
      <c r="G26" s="21">
        <v>3900700</v>
      </c>
      <c r="H26" s="21">
        <v>4361000</v>
      </c>
      <c r="I26" s="21">
        <v>4434700</v>
      </c>
      <c r="J26" s="21">
        <v>4200700</v>
      </c>
      <c r="K26" s="21">
        <v>2955900</v>
      </c>
      <c r="L26" s="21">
        <v>2486900</v>
      </c>
      <c r="M26" s="21">
        <v>2738100</v>
      </c>
      <c r="N26" s="21">
        <v>3138200</v>
      </c>
      <c r="O26" s="21">
        <v>3598900</v>
      </c>
      <c r="P26" s="21">
        <v>4639700</v>
      </c>
      <c r="Q26" s="21">
        <v>2436800</v>
      </c>
      <c r="R26" s="21">
        <v>2358600</v>
      </c>
      <c r="S26" s="21">
        <v>2391800</v>
      </c>
      <c r="T26" s="21">
        <v>2832000</v>
      </c>
      <c r="U26" s="21">
        <v>2652900</v>
      </c>
      <c r="V26" s="21">
        <v>3304800</v>
      </c>
      <c r="W26" s="21">
        <v>3389200</v>
      </c>
      <c r="X26" s="21">
        <v>1702900</v>
      </c>
      <c r="Y26" s="21">
        <v>2361500</v>
      </c>
      <c r="Z26" s="21">
        <v>3281100</v>
      </c>
      <c r="AA26" s="21">
        <v>2784200</v>
      </c>
      <c r="AB26" s="21">
        <v>3502200</v>
      </c>
      <c r="AC26" s="21">
        <v>2698000</v>
      </c>
      <c r="AD26" s="21">
        <v>2677700</v>
      </c>
      <c r="AE26" s="21">
        <v>3437100</v>
      </c>
      <c r="AF26" s="21">
        <v>3424300</v>
      </c>
      <c r="AG26" s="21">
        <v>3533600</v>
      </c>
      <c r="AH26" s="21">
        <v>3306600</v>
      </c>
      <c r="AI26" s="21">
        <v>6392700</v>
      </c>
      <c r="AJ26" s="21">
        <v>4239900</v>
      </c>
      <c r="AK26" s="21">
        <v>3297700</v>
      </c>
      <c r="AL26" s="21">
        <v>3277700</v>
      </c>
      <c r="AM26" s="21">
        <v>3380200</v>
      </c>
      <c r="AN26" s="21">
        <v>4689200</v>
      </c>
      <c r="AO26" s="21">
        <v>3440000</v>
      </c>
      <c r="AP26" s="21">
        <v>3177200</v>
      </c>
      <c r="AQ26" s="21">
        <v>4282200</v>
      </c>
      <c r="AR26" s="21">
        <v>4106200</v>
      </c>
      <c r="AS26" s="21">
        <v>3631000</v>
      </c>
      <c r="AT26" s="21">
        <v>4230200</v>
      </c>
      <c r="AU26" s="21">
        <v>3439000</v>
      </c>
      <c r="AV26" s="21">
        <v>11231300</v>
      </c>
      <c r="AW26" s="21">
        <v>4034600</v>
      </c>
      <c r="AX26" s="21">
        <v>4177600</v>
      </c>
      <c r="AY26" s="21">
        <v>2862600</v>
      </c>
      <c r="AZ26" s="21">
        <v>2962300</v>
      </c>
      <c r="BA26" s="21">
        <v>5566600</v>
      </c>
      <c r="BB26" s="21">
        <v>5382800</v>
      </c>
      <c r="BC26" s="21">
        <v>3428300</v>
      </c>
      <c r="BD26" s="21">
        <v>3498200</v>
      </c>
      <c r="BE26" s="21">
        <v>3566600</v>
      </c>
      <c r="BF26" s="21">
        <v>3688600</v>
      </c>
      <c r="BG26" s="21">
        <v>4551800</v>
      </c>
      <c r="BH26" s="21">
        <v>9097900</v>
      </c>
      <c r="BI26" s="21">
        <v>5492700</v>
      </c>
      <c r="BJ26" s="21">
        <v>3962300</v>
      </c>
      <c r="BK26" s="21">
        <v>5074900</v>
      </c>
      <c r="BL26" s="21">
        <v>2638400</v>
      </c>
      <c r="BM26" s="1">
        <v>5308400</v>
      </c>
      <c r="BN26" s="1">
        <v>10949800</v>
      </c>
      <c r="BO26" s="1">
        <v>2361900</v>
      </c>
      <c r="BP26" s="1">
        <v>2283400</v>
      </c>
      <c r="BQ26" s="1">
        <v>2706600</v>
      </c>
      <c r="BR26" s="1">
        <v>2370200</v>
      </c>
      <c r="BS26" s="1">
        <v>2138000</v>
      </c>
      <c r="BT26" s="1">
        <v>2533100</v>
      </c>
      <c r="BU26" s="1">
        <v>3148300</v>
      </c>
      <c r="BV26" s="1">
        <v>2494000</v>
      </c>
      <c r="BW26" s="1">
        <v>3474800</v>
      </c>
      <c r="BX26" s="1">
        <v>4153800</v>
      </c>
      <c r="BY26" s="1">
        <v>2604900</v>
      </c>
      <c r="BZ26" s="1">
        <v>3085700</v>
      </c>
    </row>
    <row r="27" spans="1:78" ht="15.9" customHeight="1">
      <c r="A27" s="393" t="s">
        <v>49</v>
      </c>
      <c r="B27" s="46" t="s">
        <v>50</v>
      </c>
      <c r="C27" s="50">
        <f>_xll.RssMarket("3401","出来高")</f>
        <v>523700</v>
      </c>
      <c r="D27" s="202">
        <f t="shared" si="0"/>
        <v>523700</v>
      </c>
      <c r="E27" s="200"/>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row>
    <row r="28" spans="1:78" ht="15.9" customHeight="1">
      <c r="A28" s="393" t="s">
        <v>51</v>
      </c>
      <c r="B28" s="46" t="s">
        <v>52</v>
      </c>
      <c r="C28" s="50">
        <f>_xll.RssMarket("3436","出来高")</f>
        <v>9679400</v>
      </c>
      <c r="D28" s="202">
        <f t="shared" si="0"/>
        <v>6725200</v>
      </c>
      <c r="E28" s="200">
        <v>2954200</v>
      </c>
      <c r="F28" s="21">
        <v>3641200</v>
      </c>
      <c r="G28" s="21">
        <v>3900700</v>
      </c>
      <c r="H28" s="21">
        <v>4361000</v>
      </c>
      <c r="I28" s="21">
        <v>4434700</v>
      </c>
      <c r="J28" s="21">
        <v>4200700</v>
      </c>
      <c r="K28" s="21">
        <v>2955900</v>
      </c>
      <c r="L28" s="21">
        <v>17366400</v>
      </c>
      <c r="M28" s="21">
        <v>2738100</v>
      </c>
      <c r="N28" s="21">
        <v>3138200</v>
      </c>
      <c r="O28" s="21">
        <v>3598900</v>
      </c>
      <c r="P28" s="21">
        <v>4639700</v>
      </c>
      <c r="Q28" s="21">
        <v>2436800</v>
      </c>
      <c r="R28" s="21">
        <v>2358600</v>
      </c>
      <c r="S28" s="21">
        <v>2391800</v>
      </c>
      <c r="T28" s="21">
        <v>2832000</v>
      </c>
      <c r="U28" s="21">
        <v>2652900</v>
      </c>
      <c r="V28" s="21">
        <v>3304800</v>
      </c>
      <c r="W28" s="21">
        <v>3389200</v>
      </c>
      <c r="X28" s="21">
        <v>1702900</v>
      </c>
      <c r="Y28" s="21">
        <v>2361500</v>
      </c>
      <c r="Z28" s="21">
        <v>3281100</v>
      </c>
      <c r="AA28" s="21">
        <v>2784200</v>
      </c>
      <c r="AB28" s="21">
        <v>3502200</v>
      </c>
      <c r="AC28" s="21">
        <v>2698000</v>
      </c>
      <c r="AD28" s="21">
        <v>2677700</v>
      </c>
      <c r="AE28" s="21">
        <v>3437100</v>
      </c>
      <c r="AF28" s="21">
        <v>3424300</v>
      </c>
      <c r="AG28" s="21">
        <v>3533600</v>
      </c>
      <c r="AH28" s="21">
        <v>3306600</v>
      </c>
      <c r="AI28" s="21">
        <v>6392700</v>
      </c>
      <c r="AJ28" s="21">
        <v>4239900</v>
      </c>
      <c r="AK28" s="21">
        <v>3297700</v>
      </c>
      <c r="AL28" s="21">
        <v>3277700</v>
      </c>
      <c r="AM28" s="21">
        <v>3380200</v>
      </c>
      <c r="AN28" s="21">
        <v>4689200</v>
      </c>
      <c r="AO28" s="21">
        <v>3440000</v>
      </c>
      <c r="AP28" s="21">
        <v>3177200</v>
      </c>
      <c r="AQ28" s="21">
        <v>4282200</v>
      </c>
      <c r="AR28" s="21">
        <v>4106200</v>
      </c>
      <c r="AS28" s="21">
        <v>3631000</v>
      </c>
      <c r="AT28" s="21">
        <v>4230200</v>
      </c>
      <c r="AU28" s="21">
        <v>3439000</v>
      </c>
      <c r="AV28" s="21">
        <v>11231300</v>
      </c>
      <c r="AW28" s="21">
        <v>4034600</v>
      </c>
      <c r="AX28" s="21">
        <v>4177600</v>
      </c>
      <c r="AY28" s="21">
        <v>2862600</v>
      </c>
      <c r="AZ28" s="21">
        <v>2962300</v>
      </c>
      <c r="BA28" s="21">
        <v>5566600</v>
      </c>
      <c r="BB28" s="21">
        <v>5382800</v>
      </c>
      <c r="BC28" s="21">
        <v>3428300</v>
      </c>
      <c r="BD28" s="21">
        <v>3498200</v>
      </c>
      <c r="BE28" s="21">
        <v>3566600</v>
      </c>
      <c r="BF28" s="21">
        <v>3688600</v>
      </c>
      <c r="BG28" s="21">
        <v>4551800</v>
      </c>
      <c r="BH28" s="21">
        <v>9097900</v>
      </c>
      <c r="BI28" s="21">
        <v>5492700</v>
      </c>
      <c r="BJ28" s="21">
        <v>3962300</v>
      </c>
      <c r="BK28" s="21">
        <v>5074900</v>
      </c>
      <c r="BL28" s="21">
        <v>2638400</v>
      </c>
      <c r="BM28" s="1">
        <v>5308400</v>
      </c>
      <c r="BN28" s="1">
        <v>10949800</v>
      </c>
      <c r="BO28" s="1">
        <v>2361900</v>
      </c>
      <c r="BP28" s="1">
        <v>2283400</v>
      </c>
      <c r="BQ28" s="1">
        <v>2706600</v>
      </c>
      <c r="BR28" s="1">
        <v>2370200</v>
      </c>
      <c r="BS28" s="1">
        <v>2138000</v>
      </c>
      <c r="BT28" s="1">
        <v>2533100</v>
      </c>
      <c r="BU28" s="1">
        <v>3148300</v>
      </c>
      <c r="BV28" s="1">
        <v>2494000</v>
      </c>
      <c r="BW28" s="1">
        <v>3474800</v>
      </c>
      <c r="BX28" s="1">
        <v>4153800</v>
      </c>
      <c r="BY28" s="1">
        <v>2604900</v>
      </c>
      <c r="BZ28" s="1">
        <v>3085700</v>
      </c>
    </row>
    <row r="29" spans="1:78" ht="15.9" customHeight="1">
      <c r="A29" s="393" t="s">
        <v>53</v>
      </c>
      <c r="B29" s="46" t="s">
        <v>54</v>
      </c>
      <c r="C29" s="50">
        <f>_xll.RssMarket("5020","出来高")</f>
        <v>3076900</v>
      </c>
      <c r="D29" s="202">
        <f t="shared" si="0"/>
        <v>-2121400</v>
      </c>
      <c r="E29" s="200">
        <v>5198300</v>
      </c>
      <c r="F29" s="21">
        <v>7301000</v>
      </c>
      <c r="G29" s="21">
        <v>9821800</v>
      </c>
      <c r="H29" s="21">
        <v>7203900</v>
      </c>
      <c r="I29" s="21">
        <v>7072300</v>
      </c>
      <c r="J29" s="21">
        <v>7393700</v>
      </c>
      <c r="K29" s="21">
        <v>5950400</v>
      </c>
      <c r="L29" s="21">
        <v>8033300</v>
      </c>
      <c r="M29" s="21">
        <v>6950000</v>
      </c>
      <c r="N29" s="21">
        <v>7386500</v>
      </c>
      <c r="O29" s="21">
        <v>8556300</v>
      </c>
      <c r="P29" s="21">
        <v>8254100</v>
      </c>
      <c r="Q29" s="21">
        <v>6894900</v>
      </c>
      <c r="R29" s="21">
        <v>5010500</v>
      </c>
      <c r="S29" s="21">
        <v>4477900</v>
      </c>
      <c r="T29" s="21">
        <v>5866900</v>
      </c>
      <c r="U29" s="21">
        <v>6169200</v>
      </c>
      <c r="V29" s="21">
        <v>6832800</v>
      </c>
      <c r="W29" s="21">
        <v>6384900</v>
      </c>
      <c r="X29" s="21">
        <v>5844800</v>
      </c>
      <c r="Y29" s="21">
        <v>4827900</v>
      </c>
      <c r="Z29" s="21">
        <v>6904700</v>
      </c>
      <c r="AA29" s="21">
        <v>7240600</v>
      </c>
      <c r="AB29" s="21">
        <v>8630400</v>
      </c>
      <c r="AC29" s="21">
        <v>8192500</v>
      </c>
      <c r="AD29" s="21">
        <v>6329700</v>
      </c>
      <c r="AE29" s="21">
        <v>8691900</v>
      </c>
      <c r="AF29" s="21">
        <v>7298200</v>
      </c>
      <c r="AG29" s="21">
        <v>7973600</v>
      </c>
      <c r="AH29" s="21">
        <v>5697400</v>
      </c>
      <c r="AI29" s="21">
        <v>20621100</v>
      </c>
      <c r="AJ29" s="21">
        <v>10530000</v>
      </c>
      <c r="AK29" s="21">
        <v>6788300</v>
      </c>
      <c r="AL29" s="21">
        <v>8109600</v>
      </c>
      <c r="AM29" s="21">
        <v>7632000</v>
      </c>
      <c r="AN29" s="21">
        <v>10122700</v>
      </c>
      <c r="AO29" s="21">
        <v>7540000</v>
      </c>
      <c r="AP29" s="21">
        <v>10371000</v>
      </c>
      <c r="AQ29" s="21">
        <v>9352700</v>
      </c>
      <c r="AR29" s="21">
        <v>7151700</v>
      </c>
      <c r="AS29" s="21">
        <v>6795500</v>
      </c>
      <c r="AT29" s="21">
        <v>9637100</v>
      </c>
      <c r="AU29" s="21">
        <v>8600200</v>
      </c>
      <c r="AV29" s="21">
        <v>16776800</v>
      </c>
      <c r="AW29" s="21">
        <v>7804300</v>
      </c>
      <c r="AX29" s="21">
        <v>5327700</v>
      </c>
      <c r="AY29" s="21">
        <v>7709800</v>
      </c>
      <c r="AZ29" s="21">
        <v>7813700</v>
      </c>
      <c r="BA29" s="21">
        <v>7634400</v>
      </c>
      <c r="BB29" s="21">
        <v>8484900</v>
      </c>
      <c r="BC29" s="21">
        <v>9436800</v>
      </c>
      <c r="BD29" s="21">
        <v>9521800</v>
      </c>
      <c r="BE29" s="21">
        <v>12202500</v>
      </c>
      <c r="BF29" s="21">
        <v>20291300</v>
      </c>
      <c r="BG29" s="21">
        <v>8703600</v>
      </c>
      <c r="BH29" s="21">
        <v>11062800</v>
      </c>
      <c r="BI29" s="21">
        <v>6914000</v>
      </c>
      <c r="BJ29" s="21">
        <v>9943600</v>
      </c>
      <c r="BK29" s="21">
        <v>11850400</v>
      </c>
      <c r="BL29" s="21">
        <v>7852500</v>
      </c>
      <c r="BM29" s="1">
        <v>13650300</v>
      </c>
      <c r="BN29" s="1">
        <v>7276900</v>
      </c>
      <c r="BO29" s="1">
        <v>5581800</v>
      </c>
      <c r="BP29" s="1">
        <v>5771200</v>
      </c>
      <c r="BQ29" s="1">
        <v>7812700</v>
      </c>
      <c r="BR29" s="1">
        <v>6805400</v>
      </c>
      <c r="BS29" s="1">
        <v>7127700</v>
      </c>
      <c r="BT29" s="1">
        <v>7077200</v>
      </c>
      <c r="BU29" s="1">
        <v>9142200</v>
      </c>
      <c r="BV29" s="1">
        <v>8629400</v>
      </c>
      <c r="BW29" s="1">
        <v>8113700</v>
      </c>
      <c r="BX29" s="1">
        <v>7867700</v>
      </c>
      <c r="BY29" s="1">
        <v>6821700</v>
      </c>
      <c r="BZ29" s="1">
        <v>10342900</v>
      </c>
    </row>
    <row r="30" spans="1:78" ht="15.9" customHeight="1">
      <c r="A30" s="393" t="s">
        <v>55</v>
      </c>
      <c r="B30" s="46" t="s">
        <v>56</v>
      </c>
      <c r="C30" s="50">
        <f>_xll.RssMarket("6254","出来高")</f>
        <v>840900</v>
      </c>
      <c r="D30" s="202">
        <f t="shared" si="0"/>
        <v>-101700</v>
      </c>
      <c r="E30" s="200">
        <v>942600</v>
      </c>
      <c r="F30" s="21">
        <v>997300</v>
      </c>
      <c r="G30" s="21">
        <v>1493400</v>
      </c>
      <c r="H30" s="21">
        <v>807700</v>
      </c>
      <c r="I30" s="21">
        <v>1005700</v>
      </c>
      <c r="J30" s="21">
        <v>1172100</v>
      </c>
      <c r="K30" s="21">
        <v>728000</v>
      </c>
      <c r="L30" s="21">
        <v>661700</v>
      </c>
      <c r="M30" s="21">
        <v>745500</v>
      </c>
      <c r="N30" s="21">
        <v>884400</v>
      </c>
      <c r="O30" s="21">
        <v>748000</v>
      </c>
      <c r="P30" s="21">
        <v>1288100</v>
      </c>
      <c r="Q30" s="21">
        <v>801100</v>
      </c>
      <c r="R30" s="21">
        <v>808200</v>
      </c>
      <c r="S30" s="21">
        <v>616300</v>
      </c>
      <c r="T30" s="21">
        <v>826100</v>
      </c>
      <c r="U30" s="21">
        <v>594600</v>
      </c>
      <c r="V30" s="21">
        <v>921600</v>
      </c>
      <c r="W30" s="21">
        <v>1080200</v>
      </c>
      <c r="X30" s="21">
        <v>817400</v>
      </c>
      <c r="Y30" s="21">
        <v>1097300</v>
      </c>
      <c r="Z30" s="21">
        <v>1307500</v>
      </c>
      <c r="AA30" s="21">
        <v>916200</v>
      </c>
      <c r="AB30" s="21">
        <v>1063900</v>
      </c>
      <c r="AC30" s="21">
        <v>1938700</v>
      </c>
      <c r="AD30" s="21">
        <v>748900</v>
      </c>
      <c r="AE30" s="21">
        <v>682100</v>
      </c>
      <c r="AF30" s="21">
        <v>933000</v>
      </c>
      <c r="AG30" s="21">
        <v>1072200</v>
      </c>
      <c r="AH30" s="21">
        <v>1401700</v>
      </c>
      <c r="AI30" s="21">
        <v>946400</v>
      </c>
      <c r="AJ30" s="21">
        <v>1177000</v>
      </c>
      <c r="AK30" s="21">
        <v>1015700</v>
      </c>
      <c r="AL30" s="21">
        <v>649800</v>
      </c>
      <c r="AM30" s="21">
        <v>1420100</v>
      </c>
      <c r="AN30" s="21">
        <v>981300</v>
      </c>
      <c r="AO30" s="21">
        <v>694400</v>
      </c>
      <c r="AP30" s="21">
        <v>597700</v>
      </c>
      <c r="AQ30" s="21">
        <v>895700</v>
      </c>
      <c r="AR30" s="21">
        <v>520600</v>
      </c>
      <c r="AS30" s="21">
        <v>672900</v>
      </c>
      <c r="AT30" s="21">
        <v>1053800</v>
      </c>
      <c r="AU30" s="21">
        <v>867000</v>
      </c>
      <c r="AV30" s="21">
        <v>680800</v>
      </c>
      <c r="AW30" s="21">
        <v>763400</v>
      </c>
      <c r="AX30" s="21">
        <v>1079800</v>
      </c>
      <c r="AY30" s="21">
        <v>819500</v>
      </c>
      <c r="AZ30" s="21">
        <v>1324800</v>
      </c>
      <c r="BA30" s="21">
        <v>753700</v>
      </c>
      <c r="BB30" s="21">
        <v>743700</v>
      </c>
      <c r="BC30" s="21">
        <v>919900</v>
      </c>
      <c r="BD30" s="21">
        <v>1628000</v>
      </c>
      <c r="BE30" s="21">
        <v>3298800</v>
      </c>
      <c r="BF30" s="21">
        <v>853200</v>
      </c>
      <c r="BG30" s="21">
        <v>1135600</v>
      </c>
      <c r="BH30" s="21">
        <v>963800</v>
      </c>
      <c r="BI30" s="21">
        <v>1073500</v>
      </c>
      <c r="BJ30" s="21">
        <v>1346700</v>
      </c>
      <c r="BK30" s="21">
        <v>1466100</v>
      </c>
      <c r="BL30" s="21">
        <v>364000</v>
      </c>
      <c r="BM30" s="1">
        <v>385300</v>
      </c>
      <c r="BN30" s="1">
        <v>417000</v>
      </c>
      <c r="BO30" s="1">
        <v>564800</v>
      </c>
      <c r="BP30" s="1">
        <v>447300</v>
      </c>
      <c r="BQ30" s="1">
        <v>686500</v>
      </c>
      <c r="BR30" s="1">
        <v>732600</v>
      </c>
      <c r="BS30" s="1">
        <v>939200</v>
      </c>
      <c r="BT30" s="1">
        <v>831300</v>
      </c>
      <c r="BU30" s="1">
        <v>540100</v>
      </c>
      <c r="BV30" s="1">
        <v>735200</v>
      </c>
      <c r="BW30" s="1">
        <v>671800</v>
      </c>
      <c r="BX30" s="1">
        <v>1029900</v>
      </c>
      <c r="BY30" s="1">
        <v>606200</v>
      </c>
      <c r="BZ30" s="1">
        <v>975200</v>
      </c>
    </row>
    <row r="31" spans="1:78" ht="15.9" customHeight="1">
      <c r="A31" s="393" t="s">
        <v>57</v>
      </c>
      <c r="B31" s="46" t="s">
        <v>58</v>
      </c>
      <c r="C31" s="50">
        <f>_xll.RssMarket("8309","出来高")</f>
        <v>3664800</v>
      </c>
      <c r="D31" s="202">
        <f t="shared" si="0"/>
        <v>3664800</v>
      </c>
      <c r="E31" s="200"/>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row>
    <row r="32" spans="1:78" ht="15.9" customHeight="1">
      <c r="A32" s="393" t="s">
        <v>59</v>
      </c>
      <c r="B32" s="46" t="s">
        <v>60</v>
      </c>
      <c r="C32" s="50">
        <f>_xll.RssMarket("3863","出来高")</f>
        <v>346900</v>
      </c>
      <c r="D32" s="202">
        <f t="shared" si="0"/>
        <v>-283300</v>
      </c>
      <c r="E32" s="200">
        <v>630200</v>
      </c>
      <c r="F32" s="21">
        <v>1627900</v>
      </c>
      <c r="G32" s="21">
        <v>985800</v>
      </c>
      <c r="H32" s="21">
        <v>1677800</v>
      </c>
      <c r="I32" s="21">
        <v>1749000</v>
      </c>
      <c r="J32" s="21">
        <v>728600</v>
      </c>
      <c r="K32" s="21">
        <v>785100</v>
      </c>
      <c r="L32" s="21">
        <v>1090800</v>
      </c>
      <c r="M32" s="21">
        <v>1079700</v>
      </c>
      <c r="N32" s="21">
        <v>1024600</v>
      </c>
      <c r="O32" s="21">
        <v>714200</v>
      </c>
      <c r="P32" s="21">
        <v>946500</v>
      </c>
      <c r="Q32" s="21">
        <v>614000</v>
      </c>
      <c r="R32" s="21">
        <v>359700</v>
      </c>
      <c r="S32" s="21">
        <v>698300</v>
      </c>
      <c r="T32" s="21">
        <v>726200</v>
      </c>
      <c r="U32" s="21">
        <v>593200</v>
      </c>
      <c r="V32" s="21">
        <v>551100</v>
      </c>
      <c r="W32" s="21">
        <v>660900</v>
      </c>
      <c r="X32" s="21">
        <v>458500</v>
      </c>
      <c r="Y32" s="21">
        <v>659100</v>
      </c>
      <c r="Z32" s="21">
        <v>849200</v>
      </c>
      <c r="AA32" s="21">
        <v>856900</v>
      </c>
      <c r="AB32" s="21">
        <v>1923600</v>
      </c>
      <c r="AC32" s="21">
        <v>632200</v>
      </c>
      <c r="AD32" s="21">
        <v>714500</v>
      </c>
      <c r="AE32" s="21">
        <v>924900</v>
      </c>
      <c r="AF32" s="21">
        <v>668300</v>
      </c>
      <c r="AG32" s="21">
        <v>806500</v>
      </c>
      <c r="AH32" s="21">
        <v>702800</v>
      </c>
      <c r="AI32" s="21">
        <v>1421200</v>
      </c>
      <c r="AJ32" s="21">
        <v>1064600</v>
      </c>
      <c r="AK32" s="21">
        <v>606200</v>
      </c>
      <c r="AL32" s="21">
        <v>732100</v>
      </c>
      <c r="AM32" s="21">
        <v>674400</v>
      </c>
      <c r="AN32" s="21">
        <v>872700</v>
      </c>
      <c r="AO32" s="21">
        <v>652800</v>
      </c>
      <c r="AP32" s="21">
        <v>980600</v>
      </c>
      <c r="AQ32" s="21">
        <v>1824900</v>
      </c>
      <c r="AR32" s="21">
        <v>1528600</v>
      </c>
      <c r="AS32" s="21">
        <v>1617800</v>
      </c>
      <c r="AT32" s="21">
        <v>2471900</v>
      </c>
      <c r="AU32" s="21">
        <v>1396200</v>
      </c>
      <c r="AV32" s="21">
        <v>2523400</v>
      </c>
      <c r="AW32" s="21">
        <v>1788300</v>
      </c>
      <c r="AX32" s="21">
        <v>2122300</v>
      </c>
      <c r="AY32" s="21">
        <v>582000</v>
      </c>
      <c r="AZ32" s="21">
        <v>676300</v>
      </c>
      <c r="BA32" s="21">
        <v>799900</v>
      </c>
      <c r="BB32" s="21">
        <v>1236600</v>
      </c>
      <c r="BC32" s="21">
        <v>1086600</v>
      </c>
      <c r="BD32" s="21">
        <v>1487600</v>
      </c>
      <c r="BE32" s="21">
        <v>1738300</v>
      </c>
      <c r="BF32" s="21">
        <v>912500</v>
      </c>
      <c r="BG32" s="21">
        <v>2236200</v>
      </c>
      <c r="BH32" s="21">
        <v>1048000</v>
      </c>
      <c r="BI32" s="21">
        <v>1359100</v>
      </c>
      <c r="BJ32" s="21">
        <v>1211900</v>
      </c>
      <c r="BK32" s="21">
        <v>1761900</v>
      </c>
      <c r="BL32" s="21">
        <v>1512800</v>
      </c>
      <c r="BM32" s="1">
        <v>1657300</v>
      </c>
      <c r="BN32" s="1">
        <v>1133000</v>
      </c>
      <c r="BO32" s="1">
        <v>1885400</v>
      </c>
      <c r="BP32" s="1">
        <v>979200</v>
      </c>
      <c r="BQ32" s="1">
        <v>2324300</v>
      </c>
      <c r="BR32" s="1">
        <v>1412000</v>
      </c>
      <c r="BS32" s="1">
        <v>1410400</v>
      </c>
      <c r="BT32" s="1">
        <v>1414000</v>
      </c>
      <c r="BU32" s="1">
        <v>1241200</v>
      </c>
      <c r="BV32" s="1">
        <v>1287200</v>
      </c>
      <c r="BW32" s="1">
        <v>2021400</v>
      </c>
      <c r="BX32" s="1">
        <v>695300</v>
      </c>
      <c r="BY32" s="1">
        <v>603700</v>
      </c>
      <c r="BZ32" s="1">
        <v>760300</v>
      </c>
    </row>
    <row r="33" spans="1:78" ht="15.9" customHeight="1">
      <c r="A33" s="393" t="s">
        <v>61</v>
      </c>
      <c r="B33" s="46" t="s">
        <v>62</v>
      </c>
      <c r="C33" s="50">
        <f>_xll.RssMarket("8601","出来高")</f>
        <v>2585900</v>
      </c>
      <c r="D33" s="202">
        <f t="shared" si="0"/>
        <v>-3467500</v>
      </c>
      <c r="E33" s="200">
        <v>6053400</v>
      </c>
      <c r="F33" s="21">
        <v>7156300</v>
      </c>
      <c r="G33" s="21">
        <v>7658600</v>
      </c>
      <c r="H33" s="21">
        <v>5507400</v>
      </c>
      <c r="I33" s="21">
        <v>6916000</v>
      </c>
      <c r="J33" s="21">
        <v>4527900</v>
      </c>
      <c r="K33" s="21">
        <v>3250300</v>
      </c>
      <c r="L33" s="21">
        <v>3000100</v>
      </c>
      <c r="M33" s="21">
        <v>3316700</v>
      </c>
      <c r="N33" s="21">
        <v>4567500</v>
      </c>
      <c r="O33" s="21">
        <v>4293200</v>
      </c>
      <c r="P33" s="21">
        <v>5969800</v>
      </c>
      <c r="Q33" s="21">
        <v>6357900</v>
      </c>
      <c r="R33" s="21">
        <v>4224200</v>
      </c>
      <c r="S33" s="21">
        <v>3512600</v>
      </c>
      <c r="T33" s="21">
        <v>4541100</v>
      </c>
      <c r="U33" s="21">
        <v>5076500</v>
      </c>
      <c r="V33" s="21">
        <v>5192200</v>
      </c>
      <c r="W33" s="21">
        <v>6051900</v>
      </c>
      <c r="X33" s="21">
        <v>3826400</v>
      </c>
      <c r="Y33" s="21">
        <v>4158900</v>
      </c>
      <c r="Z33" s="21">
        <v>5103100</v>
      </c>
      <c r="AA33" s="21">
        <v>5349700</v>
      </c>
      <c r="AB33" s="21">
        <v>5457100</v>
      </c>
      <c r="AC33" s="21">
        <v>10541400</v>
      </c>
      <c r="AD33" s="21">
        <v>3528400</v>
      </c>
      <c r="AE33" s="21">
        <v>3374800</v>
      </c>
      <c r="AF33" s="21">
        <v>4567200</v>
      </c>
      <c r="AG33" s="21">
        <v>4314500</v>
      </c>
      <c r="AH33" s="21">
        <v>3805800</v>
      </c>
      <c r="AI33" s="21">
        <v>6389300</v>
      </c>
      <c r="AJ33" s="21">
        <v>4353300</v>
      </c>
      <c r="AK33" s="21">
        <v>4357200</v>
      </c>
      <c r="AL33" s="21">
        <v>4022300</v>
      </c>
      <c r="AM33" s="21">
        <v>5528200</v>
      </c>
      <c r="AN33" s="21">
        <v>5437300</v>
      </c>
      <c r="AO33" s="21">
        <v>3030000</v>
      </c>
      <c r="AP33" s="21">
        <v>4167700</v>
      </c>
      <c r="AQ33" s="21">
        <v>4322400</v>
      </c>
      <c r="AR33" s="21">
        <v>4149000</v>
      </c>
      <c r="AS33" s="21">
        <v>3463400</v>
      </c>
      <c r="AT33" s="21">
        <v>3870400</v>
      </c>
      <c r="AU33" s="21">
        <v>3797700</v>
      </c>
      <c r="AV33" s="21">
        <v>8997000</v>
      </c>
      <c r="AW33" s="21">
        <v>4196500</v>
      </c>
      <c r="AX33" s="21">
        <v>5081300</v>
      </c>
      <c r="AY33" s="21">
        <v>3631600</v>
      </c>
      <c r="AZ33" s="21">
        <v>4164800</v>
      </c>
      <c r="BA33" s="21">
        <v>3890200</v>
      </c>
      <c r="BB33" s="21">
        <v>4533600</v>
      </c>
      <c r="BC33" s="21">
        <v>3479900</v>
      </c>
      <c r="BD33" s="21">
        <v>3496800</v>
      </c>
      <c r="BE33" s="21">
        <v>4189800</v>
      </c>
      <c r="BF33" s="21">
        <v>4109400</v>
      </c>
      <c r="BG33" s="21">
        <v>3881500</v>
      </c>
      <c r="BH33" s="21">
        <v>4032100</v>
      </c>
      <c r="BI33" s="21">
        <v>4199000</v>
      </c>
      <c r="BJ33" s="21">
        <v>7216100</v>
      </c>
      <c r="BK33" s="21">
        <v>9013600</v>
      </c>
      <c r="BL33" s="21">
        <v>5777300</v>
      </c>
      <c r="BM33" s="1">
        <v>8593100</v>
      </c>
      <c r="BN33" s="1">
        <v>12085100</v>
      </c>
      <c r="BO33" s="1">
        <v>6612300</v>
      </c>
      <c r="BP33" s="1">
        <v>4046500</v>
      </c>
      <c r="BQ33" s="1">
        <v>4241200</v>
      </c>
      <c r="BR33" s="1">
        <v>3293200</v>
      </c>
      <c r="BS33" s="1">
        <v>3396500</v>
      </c>
      <c r="BT33" s="1">
        <v>3208200</v>
      </c>
      <c r="BU33" s="1">
        <v>3596600</v>
      </c>
      <c r="BV33" s="1">
        <v>4904000</v>
      </c>
      <c r="BW33" s="1">
        <v>3977300</v>
      </c>
      <c r="BX33" s="1">
        <v>3826600</v>
      </c>
      <c r="BY33" s="1">
        <v>2354100</v>
      </c>
      <c r="BZ33" s="1">
        <v>3499500</v>
      </c>
    </row>
    <row r="34" spans="1:78" ht="15.9" customHeight="1">
      <c r="A34" s="393" t="s">
        <v>63</v>
      </c>
      <c r="B34" s="46" t="s">
        <v>64</v>
      </c>
      <c r="C34" s="50">
        <f>_xll.RssMarket("5233","出来高")</f>
        <v>206100</v>
      </c>
      <c r="D34" s="202">
        <f t="shared" si="0"/>
        <v>-399500</v>
      </c>
      <c r="E34" s="200">
        <v>605600</v>
      </c>
      <c r="F34" s="21">
        <v>559600</v>
      </c>
      <c r="G34" s="21">
        <v>775700</v>
      </c>
      <c r="H34" s="21">
        <v>601300</v>
      </c>
      <c r="I34" s="21">
        <v>809900</v>
      </c>
      <c r="J34" s="21">
        <v>453100</v>
      </c>
      <c r="K34" s="21">
        <v>648000</v>
      </c>
      <c r="L34" s="21">
        <v>572900</v>
      </c>
      <c r="M34" s="21">
        <v>579900</v>
      </c>
      <c r="N34" s="21">
        <v>833400</v>
      </c>
      <c r="O34" s="21">
        <v>1078100</v>
      </c>
      <c r="P34" s="21">
        <v>646000</v>
      </c>
      <c r="Q34" s="21">
        <v>386000</v>
      </c>
      <c r="R34" s="21">
        <v>416400</v>
      </c>
      <c r="S34" s="21">
        <v>563400</v>
      </c>
      <c r="T34" s="21">
        <v>436400</v>
      </c>
      <c r="U34" s="21">
        <v>487200</v>
      </c>
      <c r="V34" s="21">
        <v>379300</v>
      </c>
      <c r="W34" s="21">
        <v>561100</v>
      </c>
      <c r="X34" s="21">
        <v>567900</v>
      </c>
      <c r="Y34" s="21">
        <v>446200</v>
      </c>
      <c r="Z34" s="21">
        <v>460700</v>
      </c>
      <c r="AA34" s="21">
        <v>730800</v>
      </c>
      <c r="AB34" s="21">
        <v>898500</v>
      </c>
      <c r="AC34" s="21">
        <v>814700</v>
      </c>
      <c r="AD34" s="21">
        <v>543000</v>
      </c>
      <c r="AE34" s="21">
        <v>620200</v>
      </c>
      <c r="AF34" s="21">
        <v>536400</v>
      </c>
      <c r="AG34" s="21">
        <v>558200</v>
      </c>
      <c r="AH34" s="21">
        <v>735500</v>
      </c>
      <c r="AI34" s="21">
        <v>700900</v>
      </c>
      <c r="AJ34" s="21">
        <v>705900</v>
      </c>
      <c r="AK34" s="21">
        <v>606300</v>
      </c>
      <c r="AL34" s="21">
        <v>503700</v>
      </c>
      <c r="AM34" s="21">
        <v>1122000</v>
      </c>
      <c r="AN34" s="21">
        <v>909000</v>
      </c>
      <c r="AO34" s="21">
        <v>728500</v>
      </c>
      <c r="AP34" s="21">
        <v>779900</v>
      </c>
      <c r="AQ34" s="21">
        <v>610100</v>
      </c>
      <c r="AR34" s="21">
        <v>456500</v>
      </c>
      <c r="AS34" s="21">
        <v>408700</v>
      </c>
      <c r="AT34" s="21">
        <v>453900</v>
      </c>
      <c r="AU34" s="21">
        <v>583600</v>
      </c>
      <c r="AV34" s="21">
        <v>1436900</v>
      </c>
      <c r="AW34" s="21">
        <v>865000</v>
      </c>
      <c r="AX34" s="21">
        <v>563600</v>
      </c>
      <c r="AY34" s="21">
        <v>533400</v>
      </c>
      <c r="AZ34" s="21">
        <v>585000</v>
      </c>
      <c r="BA34" s="21">
        <v>574900</v>
      </c>
      <c r="BB34" s="21">
        <v>660200</v>
      </c>
      <c r="BC34" s="21">
        <v>623400</v>
      </c>
      <c r="BD34" s="21">
        <v>914900</v>
      </c>
      <c r="BE34" s="21">
        <v>1020100</v>
      </c>
      <c r="BF34" s="21">
        <v>1157600</v>
      </c>
      <c r="BG34" s="21">
        <v>2078500</v>
      </c>
      <c r="BH34" s="21">
        <v>2207100</v>
      </c>
      <c r="BI34" s="21">
        <v>766600</v>
      </c>
      <c r="BJ34" s="21">
        <v>588200</v>
      </c>
      <c r="BK34" s="21">
        <v>764800</v>
      </c>
      <c r="BL34" s="21">
        <v>404700</v>
      </c>
      <c r="BM34" s="1">
        <v>633900</v>
      </c>
      <c r="BN34" s="1">
        <v>500100</v>
      </c>
      <c r="BO34" s="1">
        <v>639300</v>
      </c>
      <c r="BP34" s="1">
        <v>455200</v>
      </c>
      <c r="BQ34" s="1">
        <v>627400</v>
      </c>
      <c r="BR34" s="1">
        <v>336900</v>
      </c>
      <c r="BS34" s="1">
        <v>343900</v>
      </c>
      <c r="BT34" s="1">
        <v>548800</v>
      </c>
      <c r="BU34" s="1">
        <v>410400</v>
      </c>
      <c r="BV34" s="1">
        <v>502700</v>
      </c>
      <c r="BW34" s="1">
        <v>569200</v>
      </c>
      <c r="BX34" s="1">
        <v>401800</v>
      </c>
      <c r="BY34" s="1">
        <v>431900</v>
      </c>
      <c r="BZ34" s="1">
        <v>671000</v>
      </c>
    </row>
    <row r="35" spans="1:78" ht="15.9" customHeight="1">
      <c r="A35" s="393" t="s">
        <v>65</v>
      </c>
      <c r="B35" s="46" t="s">
        <v>66</v>
      </c>
      <c r="C35" s="50">
        <f>_xll.RssMarket("8308","出来高")</f>
        <v>6488700</v>
      </c>
      <c r="D35" s="202">
        <f t="shared" si="0"/>
        <v>-4480800</v>
      </c>
      <c r="E35" s="200">
        <v>10969500</v>
      </c>
      <c r="F35" s="21">
        <v>16504700</v>
      </c>
      <c r="G35" s="21">
        <v>12573100</v>
      </c>
      <c r="H35" s="21">
        <v>20453200</v>
      </c>
      <c r="I35" s="21">
        <v>13055900</v>
      </c>
      <c r="J35" s="21">
        <v>12507100</v>
      </c>
      <c r="K35" s="21">
        <v>9342600</v>
      </c>
      <c r="L35" s="21">
        <v>9381700</v>
      </c>
      <c r="M35" s="21">
        <v>10263800</v>
      </c>
      <c r="N35" s="21">
        <v>7836200</v>
      </c>
      <c r="O35" s="21">
        <v>9832900</v>
      </c>
      <c r="P35" s="21">
        <v>9857100</v>
      </c>
      <c r="Q35" s="21">
        <v>8911000</v>
      </c>
      <c r="R35" s="21">
        <v>7226100</v>
      </c>
      <c r="S35" s="21">
        <v>7426900</v>
      </c>
      <c r="T35" s="21">
        <v>7334900</v>
      </c>
      <c r="U35" s="21">
        <v>10020500</v>
      </c>
      <c r="V35" s="21">
        <v>9889300</v>
      </c>
      <c r="W35" s="21">
        <v>13396200</v>
      </c>
      <c r="X35" s="21">
        <v>6617300</v>
      </c>
      <c r="Y35" s="21">
        <v>8456200</v>
      </c>
      <c r="Z35" s="21">
        <v>10956300</v>
      </c>
      <c r="AA35" s="21">
        <v>7527200</v>
      </c>
      <c r="AB35" s="21">
        <v>6570900</v>
      </c>
      <c r="AC35" s="21">
        <v>7327500</v>
      </c>
      <c r="AD35" s="21">
        <v>6949600</v>
      </c>
      <c r="AE35" s="21">
        <v>8404300</v>
      </c>
      <c r="AF35" s="21">
        <v>7015000</v>
      </c>
      <c r="AG35" s="21">
        <v>9423000</v>
      </c>
      <c r="AH35" s="21">
        <v>7169400</v>
      </c>
      <c r="AI35" s="21">
        <v>14315100</v>
      </c>
      <c r="AJ35" s="21">
        <v>12098800</v>
      </c>
      <c r="AK35" s="21">
        <v>10336500</v>
      </c>
      <c r="AL35" s="21">
        <v>11756200</v>
      </c>
      <c r="AM35" s="21">
        <v>9965300</v>
      </c>
      <c r="AN35" s="21">
        <v>11972000</v>
      </c>
      <c r="AO35" s="21">
        <v>14673600</v>
      </c>
      <c r="AP35" s="21">
        <v>11797200</v>
      </c>
      <c r="AQ35" s="21">
        <v>9733400</v>
      </c>
      <c r="AR35" s="21">
        <v>8793900</v>
      </c>
      <c r="AS35" s="21">
        <v>10316900</v>
      </c>
      <c r="AT35" s="21">
        <v>7162100</v>
      </c>
      <c r="AU35" s="21">
        <v>8197400</v>
      </c>
      <c r="AV35" s="21">
        <v>9765600</v>
      </c>
      <c r="AW35" s="21">
        <v>8129700</v>
      </c>
      <c r="AX35" s="21">
        <v>9183700</v>
      </c>
      <c r="AY35" s="21">
        <v>6534900</v>
      </c>
      <c r="AZ35" s="21">
        <v>7337300</v>
      </c>
      <c r="BA35" s="21">
        <v>11942000</v>
      </c>
      <c r="BB35" s="21">
        <v>12149200</v>
      </c>
      <c r="BC35" s="21">
        <v>8930900</v>
      </c>
      <c r="BD35" s="21">
        <v>8484200</v>
      </c>
      <c r="BE35" s="21">
        <v>10223500</v>
      </c>
      <c r="BF35" s="21">
        <v>8320400</v>
      </c>
      <c r="BG35" s="21">
        <v>10331200</v>
      </c>
      <c r="BH35" s="21">
        <v>9667900</v>
      </c>
      <c r="BI35" s="21">
        <v>9074400</v>
      </c>
      <c r="BJ35" s="21">
        <v>9329900</v>
      </c>
      <c r="BK35" s="21">
        <v>12362900</v>
      </c>
      <c r="BL35" s="21">
        <v>5900900</v>
      </c>
      <c r="BM35" s="1">
        <v>12810700</v>
      </c>
      <c r="BN35" s="1">
        <v>16843800</v>
      </c>
      <c r="BO35" s="1">
        <v>5059300</v>
      </c>
      <c r="BP35" s="1">
        <v>7046400</v>
      </c>
      <c r="BQ35" s="1">
        <v>18447300</v>
      </c>
      <c r="BR35" s="1">
        <v>8762100</v>
      </c>
      <c r="BS35" s="1">
        <v>6738400</v>
      </c>
      <c r="BT35" s="1">
        <v>10064200</v>
      </c>
      <c r="BU35" s="1">
        <v>15280900</v>
      </c>
      <c r="BV35" s="1">
        <v>8546700</v>
      </c>
      <c r="BW35" s="1">
        <v>10257900</v>
      </c>
      <c r="BX35" s="1">
        <v>6005200</v>
      </c>
      <c r="BY35" s="1">
        <v>4377100</v>
      </c>
      <c r="BZ35" s="1">
        <v>7105700</v>
      </c>
    </row>
    <row r="36" spans="1:78" ht="15.9" customHeight="1">
      <c r="A36" s="393" t="s">
        <v>67</v>
      </c>
      <c r="B36" s="46" t="s">
        <v>68</v>
      </c>
      <c r="C36" s="50">
        <f>_xll.RssMarket("5938","出来高")</f>
        <v>1391100</v>
      </c>
      <c r="D36" s="202">
        <f t="shared" si="0"/>
        <v>-1265700</v>
      </c>
      <c r="E36" s="200">
        <v>2656800</v>
      </c>
      <c r="F36" s="21">
        <v>4137600</v>
      </c>
      <c r="G36" s="21">
        <v>6437700</v>
      </c>
      <c r="H36" s="21">
        <v>2101700</v>
      </c>
      <c r="I36" s="21">
        <v>3262900</v>
      </c>
      <c r="J36" s="21">
        <v>1748300</v>
      </c>
      <c r="K36" s="21">
        <v>2583800</v>
      </c>
      <c r="L36" s="21">
        <v>1668600</v>
      </c>
      <c r="M36" s="21">
        <v>1403300</v>
      </c>
      <c r="N36" s="21">
        <v>2233200</v>
      </c>
      <c r="O36" s="21">
        <v>1524200</v>
      </c>
      <c r="P36" s="21">
        <v>1601600</v>
      </c>
      <c r="Q36" s="21">
        <v>1545400</v>
      </c>
      <c r="R36" s="21">
        <v>1801500</v>
      </c>
      <c r="S36" s="21">
        <v>1195000</v>
      </c>
      <c r="T36" s="21">
        <v>1954000</v>
      </c>
      <c r="U36" s="21">
        <v>1945400</v>
      </c>
      <c r="V36" s="21">
        <v>2765900</v>
      </c>
      <c r="W36" s="21">
        <v>2424600</v>
      </c>
      <c r="X36" s="21">
        <v>1843100</v>
      </c>
      <c r="Y36" s="21">
        <v>2903800</v>
      </c>
      <c r="Z36" s="21">
        <v>2368600</v>
      </c>
      <c r="AA36" s="21">
        <v>1685800</v>
      </c>
      <c r="AB36" s="21">
        <v>2362300</v>
      </c>
      <c r="AC36" s="21">
        <v>2481300</v>
      </c>
      <c r="AD36" s="21">
        <v>2502900</v>
      </c>
      <c r="AE36" s="21">
        <v>3344500</v>
      </c>
      <c r="AF36" s="21">
        <v>2102500</v>
      </c>
      <c r="AG36" s="21">
        <v>1393200</v>
      </c>
      <c r="AH36" s="21">
        <v>1520600</v>
      </c>
      <c r="AI36" s="21">
        <v>2075500</v>
      </c>
      <c r="AJ36" s="21">
        <v>1652000</v>
      </c>
      <c r="AK36" s="21">
        <v>1721200</v>
      </c>
      <c r="AL36" s="21">
        <v>1328400</v>
      </c>
      <c r="AM36" s="21">
        <v>1653200</v>
      </c>
      <c r="AN36" s="21">
        <v>2242600</v>
      </c>
      <c r="AO36" s="21">
        <v>1681600</v>
      </c>
      <c r="AP36" s="21">
        <v>2358400</v>
      </c>
      <c r="AQ36" s="21">
        <v>2417400</v>
      </c>
      <c r="AR36" s="21">
        <v>1383200</v>
      </c>
      <c r="AS36" s="21">
        <v>1465300</v>
      </c>
      <c r="AT36" s="21">
        <v>1888000</v>
      </c>
      <c r="AU36" s="21">
        <v>2042200</v>
      </c>
      <c r="AV36" s="21">
        <v>2790900</v>
      </c>
      <c r="AW36" s="21">
        <v>1810900</v>
      </c>
      <c r="AX36" s="21">
        <v>1659800</v>
      </c>
      <c r="AY36" s="21">
        <v>1394200</v>
      </c>
      <c r="AZ36" s="21">
        <v>1022700</v>
      </c>
      <c r="BA36" s="21">
        <v>1297000</v>
      </c>
      <c r="BB36" s="21">
        <v>2376800</v>
      </c>
      <c r="BC36" s="21">
        <v>1383200</v>
      </c>
      <c r="BD36" s="21">
        <v>1636800</v>
      </c>
      <c r="BE36" s="21">
        <v>1694000</v>
      </c>
      <c r="BF36" s="21">
        <v>1620100</v>
      </c>
      <c r="BG36" s="21">
        <v>1285300</v>
      </c>
      <c r="BH36" s="21">
        <v>1666400</v>
      </c>
      <c r="BI36" s="21">
        <v>2120800</v>
      </c>
      <c r="BJ36" s="21">
        <v>2687500</v>
      </c>
      <c r="BK36" s="21">
        <v>3711700</v>
      </c>
      <c r="BL36" s="21">
        <v>3850200</v>
      </c>
      <c r="BM36" s="1">
        <v>5742500</v>
      </c>
      <c r="BN36" s="1">
        <v>1792400</v>
      </c>
      <c r="BO36" s="1">
        <v>1477000</v>
      </c>
      <c r="BP36" s="1">
        <v>1173700</v>
      </c>
      <c r="BQ36" s="1">
        <v>4119200</v>
      </c>
      <c r="BR36" s="1">
        <v>1646600</v>
      </c>
      <c r="BS36" s="1">
        <v>1471100</v>
      </c>
      <c r="BT36" s="1">
        <v>1838100</v>
      </c>
      <c r="BU36" s="1">
        <v>2059200</v>
      </c>
      <c r="BV36" s="1">
        <v>2624400</v>
      </c>
      <c r="BW36" s="1">
        <v>1958200</v>
      </c>
      <c r="BX36" s="1">
        <v>3155000</v>
      </c>
      <c r="BY36" s="1">
        <v>4855500</v>
      </c>
      <c r="BZ36" s="1">
        <v>1458300</v>
      </c>
    </row>
    <row r="37" spans="1:78" ht="15.9" customHeight="1">
      <c r="A37" s="393" t="s">
        <v>69</v>
      </c>
      <c r="B37" s="46" t="s">
        <v>70</v>
      </c>
      <c r="C37" s="50">
        <f>_xll.RssMarket("8570","出来高")</f>
        <v>139100</v>
      </c>
      <c r="D37" s="202">
        <f t="shared" si="0"/>
        <v>-350100</v>
      </c>
      <c r="E37" s="200">
        <v>489200</v>
      </c>
      <c r="F37" s="21">
        <v>607300</v>
      </c>
      <c r="G37" s="21">
        <v>664800</v>
      </c>
      <c r="H37" s="21">
        <v>439300</v>
      </c>
      <c r="I37" s="21">
        <v>511000</v>
      </c>
      <c r="J37" s="21">
        <v>343600</v>
      </c>
      <c r="K37" s="21">
        <v>381600</v>
      </c>
      <c r="L37" s="21">
        <v>377800</v>
      </c>
      <c r="M37" s="21">
        <v>269800</v>
      </c>
      <c r="N37" s="21">
        <v>471100</v>
      </c>
      <c r="O37" s="21">
        <v>529300</v>
      </c>
      <c r="P37" s="21">
        <v>486400</v>
      </c>
      <c r="Q37" s="21">
        <v>512300</v>
      </c>
      <c r="R37" s="21">
        <v>390300</v>
      </c>
      <c r="S37" s="21">
        <v>561300</v>
      </c>
      <c r="T37" s="21">
        <v>1263000</v>
      </c>
      <c r="U37" s="21">
        <v>921200</v>
      </c>
      <c r="V37" s="21">
        <v>685900</v>
      </c>
      <c r="W37" s="21">
        <v>395500</v>
      </c>
      <c r="X37" s="21">
        <v>315600</v>
      </c>
      <c r="Y37" s="21">
        <v>497000</v>
      </c>
      <c r="Z37" s="21">
        <v>560900</v>
      </c>
      <c r="AA37" s="21">
        <v>719200</v>
      </c>
      <c r="AB37" s="21">
        <v>366300</v>
      </c>
      <c r="AC37" s="21">
        <v>351200</v>
      </c>
      <c r="AD37" s="21">
        <v>396400</v>
      </c>
      <c r="AE37" s="21">
        <v>369000</v>
      </c>
      <c r="AF37" s="21">
        <v>436800</v>
      </c>
      <c r="AG37" s="21">
        <v>416100</v>
      </c>
      <c r="AH37" s="21">
        <v>578900</v>
      </c>
      <c r="AI37" s="21">
        <v>947400</v>
      </c>
      <c r="AJ37" s="21">
        <v>524100</v>
      </c>
      <c r="AK37" s="21">
        <v>338900</v>
      </c>
      <c r="AL37" s="21">
        <v>326000</v>
      </c>
      <c r="AM37" s="21">
        <v>367500</v>
      </c>
      <c r="AN37" s="21">
        <v>595600</v>
      </c>
      <c r="AO37" s="21">
        <v>448600</v>
      </c>
      <c r="AP37" s="21">
        <v>787900</v>
      </c>
      <c r="AQ37" s="21">
        <v>552000</v>
      </c>
      <c r="AR37" s="21">
        <v>589600</v>
      </c>
      <c r="AS37" s="21">
        <v>577500</v>
      </c>
      <c r="AT37" s="21">
        <v>523100</v>
      </c>
      <c r="AU37" s="21">
        <v>539600</v>
      </c>
      <c r="AV37" s="21">
        <v>785000</v>
      </c>
      <c r="AW37" s="21">
        <v>689200</v>
      </c>
      <c r="AX37" s="21">
        <v>517300</v>
      </c>
      <c r="AY37" s="21">
        <v>568400</v>
      </c>
      <c r="AZ37" s="21">
        <v>474000</v>
      </c>
      <c r="BA37" s="21">
        <v>609400</v>
      </c>
      <c r="BB37" s="21">
        <v>731900</v>
      </c>
      <c r="BC37" s="21">
        <v>865400</v>
      </c>
      <c r="BD37" s="21">
        <v>714400</v>
      </c>
      <c r="BE37" s="21">
        <v>744700</v>
      </c>
      <c r="BF37" s="21">
        <v>571700</v>
      </c>
      <c r="BG37" s="21">
        <v>503200</v>
      </c>
      <c r="BH37" s="21">
        <v>435100</v>
      </c>
      <c r="BI37" s="21">
        <v>600700</v>
      </c>
      <c r="BJ37" s="21">
        <v>1122500</v>
      </c>
      <c r="BK37" s="21">
        <v>837400</v>
      </c>
      <c r="BL37" s="21">
        <v>539300</v>
      </c>
      <c r="BM37" s="1">
        <v>749300</v>
      </c>
      <c r="BN37" s="1">
        <v>465500</v>
      </c>
      <c r="BO37" s="1">
        <v>471100</v>
      </c>
      <c r="BP37" s="1">
        <v>508100</v>
      </c>
      <c r="BQ37" s="1">
        <v>575900</v>
      </c>
      <c r="BR37" s="1">
        <v>816800</v>
      </c>
      <c r="BS37" s="1">
        <v>574800</v>
      </c>
      <c r="BT37" s="1">
        <v>460700</v>
      </c>
      <c r="BU37" s="1">
        <v>553600</v>
      </c>
      <c r="BV37" s="1">
        <v>583700</v>
      </c>
      <c r="BW37" s="1">
        <v>521200</v>
      </c>
      <c r="BX37" s="1">
        <v>733000</v>
      </c>
      <c r="BY37" s="1">
        <v>1286200</v>
      </c>
      <c r="BZ37" s="1">
        <v>1275000</v>
      </c>
    </row>
    <row r="38" spans="1:78" ht="15.9" customHeight="1">
      <c r="A38" s="393" t="s">
        <v>71</v>
      </c>
      <c r="B38" s="46" t="s">
        <v>72</v>
      </c>
      <c r="C38" s="50">
        <f>_xll.RssMarket("5406","出来高")</f>
        <v>4763000</v>
      </c>
      <c r="D38" s="202">
        <f t="shared" si="0"/>
        <v>3052300</v>
      </c>
      <c r="E38" s="200">
        <v>1710700</v>
      </c>
      <c r="F38" s="21">
        <v>2175300</v>
      </c>
      <c r="G38" s="21">
        <v>2486300</v>
      </c>
      <c r="H38" s="21">
        <v>2329900</v>
      </c>
      <c r="I38" s="21">
        <v>3488400</v>
      </c>
      <c r="J38" s="21">
        <v>2491500</v>
      </c>
      <c r="K38" s="21">
        <v>2335700</v>
      </c>
      <c r="L38" s="21">
        <v>1569300</v>
      </c>
      <c r="M38" s="21">
        <v>1632700</v>
      </c>
      <c r="N38" s="21">
        <v>1801000</v>
      </c>
      <c r="O38" s="21">
        <v>2071700</v>
      </c>
      <c r="P38" s="21">
        <v>2209000</v>
      </c>
      <c r="Q38" s="21">
        <v>1543200</v>
      </c>
      <c r="R38" s="21">
        <v>3107300</v>
      </c>
      <c r="S38" s="21">
        <v>2132400</v>
      </c>
      <c r="T38" s="21">
        <v>1814200</v>
      </c>
      <c r="U38" s="21">
        <v>1680300</v>
      </c>
      <c r="V38" s="21">
        <v>1773000</v>
      </c>
      <c r="W38" s="21">
        <v>1963800</v>
      </c>
      <c r="X38" s="21">
        <v>2172100</v>
      </c>
      <c r="Y38" s="21">
        <v>1797200</v>
      </c>
      <c r="Z38" s="21">
        <v>3717200</v>
      </c>
      <c r="AA38" s="21">
        <v>1622100</v>
      </c>
      <c r="AB38" s="21">
        <v>1857400</v>
      </c>
      <c r="AC38" s="21">
        <v>3330000</v>
      </c>
      <c r="AD38" s="21">
        <v>1587200</v>
      </c>
      <c r="AE38" s="21">
        <v>1181200</v>
      </c>
      <c r="AF38" s="21">
        <v>1369000</v>
      </c>
      <c r="AG38" s="21">
        <v>1882500</v>
      </c>
      <c r="AH38" s="21">
        <v>1377000</v>
      </c>
      <c r="AI38" s="21">
        <v>2797700</v>
      </c>
      <c r="AJ38" s="21">
        <v>1646200</v>
      </c>
      <c r="AK38" s="21">
        <v>1310000</v>
      </c>
      <c r="AL38" s="21">
        <v>1124000</v>
      </c>
      <c r="AM38" s="21">
        <v>2501500</v>
      </c>
      <c r="AN38" s="21">
        <v>2761200</v>
      </c>
      <c r="AO38" s="21">
        <v>1777900</v>
      </c>
      <c r="AP38" s="21">
        <v>1619400</v>
      </c>
      <c r="AQ38" s="21">
        <v>2268500</v>
      </c>
      <c r="AR38" s="21">
        <v>1724300</v>
      </c>
      <c r="AS38" s="21">
        <v>1785000</v>
      </c>
      <c r="AT38" s="21">
        <v>1379700</v>
      </c>
      <c r="AU38" s="21">
        <v>1761500</v>
      </c>
      <c r="AV38" s="21">
        <v>2512100</v>
      </c>
      <c r="AW38" s="21">
        <v>1853000</v>
      </c>
      <c r="AX38" s="21">
        <v>2515400</v>
      </c>
      <c r="AY38" s="21">
        <v>1639900</v>
      </c>
      <c r="AZ38" s="21">
        <v>1886300</v>
      </c>
      <c r="BA38" s="21">
        <v>1894000</v>
      </c>
      <c r="BB38" s="21">
        <v>2091100</v>
      </c>
      <c r="BC38" s="21">
        <v>2464500</v>
      </c>
      <c r="BD38" s="21">
        <v>2079800</v>
      </c>
      <c r="BE38" s="21">
        <v>1834800</v>
      </c>
      <c r="BF38" s="21">
        <v>2061400</v>
      </c>
      <c r="BG38" s="21">
        <v>2340700</v>
      </c>
      <c r="BH38" s="21">
        <v>3805000</v>
      </c>
      <c r="BI38" s="21">
        <v>9319400</v>
      </c>
      <c r="BJ38" s="21">
        <v>3010900</v>
      </c>
      <c r="BK38" s="21">
        <v>4574800</v>
      </c>
      <c r="BL38" s="21">
        <v>2241100</v>
      </c>
      <c r="BM38" s="1">
        <v>3457100</v>
      </c>
      <c r="BN38" s="1">
        <v>1905900</v>
      </c>
      <c r="BO38" s="1">
        <v>1833800</v>
      </c>
      <c r="BP38" s="1">
        <v>1590600</v>
      </c>
      <c r="BQ38" s="1">
        <v>2007300</v>
      </c>
      <c r="BR38" s="1">
        <v>1732700</v>
      </c>
      <c r="BS38" s="1">
        <v>1367300</v>
      </c>
      <c r="BT38" s="1">
        <v>1582300</v>
      </c>
      <c r="BU38" s="1">
        <v>1626400</v>
      </c>
      <c r="BV38" s="1">
        <v>1222600</v>
      </c>
      <c r="BW38" s="1">
        <v>1654400</v>
      </c>
      <c r="BX38" s="1">
        <v>1364900</v>
      </c>
      <c r="BY38" s="1">
        <v>1455100</v>
      </c>
      <c r="BZ38" s="1">
        <v>1344600</v>
      </c>
    </row>
    <row r="39" spans="1:78" ht="15.9" customHeight="1">
      <c r="A39" s="393" t="s">
        <v>73</v>
      </c>
      <c r="B39" s="46" t="s">
        <v>74</v>
      </c>
      <c r="C39" s="50">
        <f>_xll.RssMarket("8593","出来高")</f>
        <v>2117800</v>
      </c>
      <c r="D39" s="202">
        <f t="shared" si="0"/>
        <v>-2098700</v>
      </c>
      <c r="E39" s="200">
        <v>4216500</v>
      </c>
      <c r="F39" s="21">
        <v>6409500</v>
      </c>
      <c r="G39" s="21">
        <v>6968600</v>
      </c>
      <c r="H39" s="21">
        <v>4587300</v>
      </c>
      <c r="I39" s="21">
        <v>7645500</v>
      </c>
      <c r="J39" s="21">
        <v>3562100</v>
      </c>
      <c r="K39" s="21">
        <v>4148000</v>
      </c>
      <c r="L39" s="21">
        <v>3189500</v>
      </c>
      <c r="M39" s="21">
        <v>3086100</v>
      </c>
      <c r="N39" s="21">
        <v>4159900</v>
      </c>
      <c r="O39" s="21">
        <v>4888900</v>
      </c>
      <c r="P39" s="21">
        <v>5151200</v>
      </c>
      <c r="Q39" s="21">
        <v>3392200</v>
      </c>
      <c r="R39" s="21">
        <v>4764000</v>
      </c>
      <c r="S39" s="21">
        <v>3054700</v>
      </c>
      <c r="T39" s="21">
        <v>3446600</v>
      </c>
      <c r="U39" s="21">
        <v>3725600</v>
      </c>
      <c r="V39" s="21">
        <v>4145400</v>
      </c>
      <c r="W39" s="21">
        <v>3736000</v>
      </c>
      <c r="X39" s="21">
        <v>3748100</v>
      </c>
      <c r="Y39" s="21">
        <v>4308600</v>
      </c>
      <c r="Z39" s="21">
        <v>4069700</v>
      </c>
      <c r="AA39" s="21">
        <v>3984700</v>
      </c>
      <c r="AB39" s="21">
        <v>3560600</v>
      </c>
      <c r="AC39" s="21">
        <v>4385300</v>
      </c>
      <c r="AD39" s="21">
        <v>3474800</v>
      </c>
      <c r="AE39" s="21">
        <v>3068800</v>
      </c>
      <c r="AF39" s="21">
        <v>3805300</v>
      </c>
      <c r="AG39" s="21">
        <v>6159800</v>
      </c>
      <c r="AH39" s="21">
        <v>3865000</v>
      </c>
      <c r="AI39" s="21">
        <v>4213100</v>
      </c>
      <c r="AJ39" s="21">
        <v>5279700</v>
      </c>
      <c r="AK39" s="21">
        <v>3327500</v>
      </c>
      <c r="AL39" s="21">
        <v>4749600</v>
      </c>
      <c r="AM39" s="21">
        <v>4458000</v>
      </c>
      <c r="AN39" s="21">
        <v>5116300</v>
      </c>
      <c r="AO39" s="21">
        <v>5220600</v>
      </c>
      <c r="AP39" s="21">
        <v>5799200</v>
      </c>
      <c r="AQ39" s="21">
        <v>7062800</v>
      </c>
      <c r="AR39" s="21">
        <v>5135100</v>
      </c>
      <c r="AS39" s="21">
        <v>5191100</v>
      </c>
      <c r="AT39" s="21">
        <v>5407100</v>
      </c>
      <c r="AU39" s="21">
        <v>7450800</v>
      </c>
      <c r="AV39" s="21">
        <v>9865400</v>
      </c>
      <c r="AW39" s="21">
        <v>4673600</v>
      </c>
      <c r="AX39" s="21">
        <v>6031000</v>
      </c>
      <c r="AY39" s="21">
        <v>6336100</v>
      </c>
      <c r="AZ39" s="21">
        <v>6875400</v>
      </c>
      <c r="BA39" s="21">
        <v>5670200</v>
      </c>
      <c r="BB39" s="21">
        <v>6771200</v>
      </c>
      <c r="BC39" s="21">
        <v>7851100</v>
      </c>
      <c r="BD39" s="21">
        <v>16020200</v>
      </c>
      <c r="BE39" s="21">
        <v>4716600</v>
      </c>
      <c r="BF39" s="21">
        <v>3255300</v>
      </c>
      <c r="BG39" s="21">
        <v>3582500</v>
      </c>
      <c r="BH39" s="21">
        <v>3990700</v>
      </c>
      <c r="BI39" s="21">
        <v>2973000</v>
      </c>
      <c r="BJ39" s="21">
        <v>3753900</v>
      </c>
      <c r="BK39" s="21">
        <v>5815300</v>
      </c>
      <c r="BL39" s="21">
        <v>3110200</v>
      </c>
      <c r="BM39" s="1">
        <v>3725000</v>
      </c>
      <c r="BN39" s="1">
        <v>3212200</v>
      </c>
      <c r="BO39" s="1">
        <v>3319400</v>
      </c>
      <c r="BP39" s="1">
        <v>2614200</v>
      </c>
      <c r="BQ39" s="1">
        <v>3759500</v>
      </c>
      <c r="BR39" s="1">
        <v>2728700</v>
      </c>
      <c r="BS39" s="1">
        <v>3886000</v>
      </c>
      <c r="BT39" s="1">
        <v>3404200</v>
      </c>
      <c r="BU39" s="1">
        <v>2123000</v>
      </c>
      <c r="BV39" s="1">
        <v>3934300</v>
      </c>
      <c r="BW39" s="1">
        <v>3088100</v>
      </c>
      <c r="BX39" s="1">
        <v>2722900</v>
      </c>
      <c r="BY39" s="1">
        <v>2247400</v>
      </c>
      <c r="BZ39" s="1">
        <v>3247800</v>
      </c>
    </row>
    <row r="40" spans="1:78" ht="15.9" customHeight="1">
      <c r="A40" s="393" t="s">
        <v>75</v>
      </c>
      <c r="B40" s="46" t="s">
        <v>76</v>
      </c>
      <c r="C40" s="50">
        <f>_xll.RssMarket("8604","出来高")</f>
        <v>4918000</v>
      </c>
      <c r="D40" s="202">
        <f t="shared" si="0"/>
        <v>-4229400</v>
      </c>
      <c r="E40" s="200">
        <v>9147400</v>
      </c>
      <c r="F40" s="21">
        <v>12762100</v>
      </c>
      <c r="G40" s="21">
        <v>21164100</v>
      </c>
      <c r="H40" s="21">
        <v>20006600</v>
      </c>
      <c r="I40" s="21">
        <v>13171500</v>
      </c>
      <c r="J40" s="21">
        <v>9565300</v>
      </c>
      <c r="K40" s="21">
        <v>9076500</v>
      </c>
      <c r="L40" s="21">
        <v>9472200</v>
      </c>
      <c r="M40" s="21">
        <v>9924300</v>
      </c>
      <c r="N40" s="21">
        <v>9271000</v>
      </c>
      <c r="O40" s="21">
        <v>11177700</v>
      </c>
      <c r="P40" s="21">
        <v>15093000</v>
      </c>
      <c r="Q40" s="21">
        <v>14545600</v>
      </c>
      <c r="R40" s="21">
        <v>7219400</v>
      </c>
      <c r="S40" s="21">
        <v>8545500</v>
      </c>
      <c r="T40" s="21">
        <v>8748900</v>
      </c>
      <c r="U40" s="21">
        <v>9318900</v>
      </c>
      <c r="V40" s="21">
        <v>11322700</v>
      </c>
      <c r="W40" s="21">
        <v>17154400</v>
      </c>
      <c r="X40" s="21">
        <v>7782800</v>
      </c>
      <c r="Y40" s="21">
        <v>7889300</v>
      </c>
      <c r="Z40" s="21">
        <v>8388500</v>
      </c>
      <c r="AA40" s="21">
        <v>10436300</v>
      </c>
      <c r="AB40" s="21">
        <v>9562400</v>
      </c>
      <c r="AC40" s="21">
        <v>9621900</v>
      </c>
      <c r="AD40" s="21">
        <v>10827500</v>
      </c>
      <c r="AE40" s="21">
        <v>9474400</v>
      </c>
      <c r="AF40" s="21">
        <v>11416600</v>
      </c>
      <c r="AG40" s="21">
        <v>8901400</v>
      </c>
      <c r="AH40" s="21">
        <v>8371300</v>
      </c>
      <c r="AI40" s="21">
        <v>12442600</v>
      </c>
      <c r="AJ40" s="21">
        <v>12710100</v>
      </c>
      <c r="AK40" s="21">
        <v>14384100</v>
      </c>
      <c r="AL40" s="21">
        <v>7963300</v>
      </c>
      <c r="AM40" s="21">
        <v>10446400</v>
      </c>
      <c r="AN40" s="21">
        <v>9797400</v>
      </c>
      <c r="AO40" s="21">
        <v>7003100</v>
      </c>
      <c r="AP40" s="21">
        <v>8660800</v>
      </c>
      <c r="AQ40" s="21">
        <v>12836900</v>
      </c>
      <c r="AR40" s="21">
        <v>11799500</v>
      </c>
      <c r="AS40" s="21">
        <v>8917400</v>
      </c>
      <c r="AT40" s="21">
        <v>13692100</v>
      </c>
      <c r="AU40" s="21">
        <v>11946000</v>
      </c>
      <c r="AV40" s="21">
        <v>29233700</v>
      </c>
      <c r="AW40" s="21">
        <v>11733700</v>
      </c>
      <c r="AX40" s="21">
        <v>8483800</v>
      </c>
      <c r="AY40" s="21">
        <v>8148600</v>
      </c>
      <c r="AZ40" s="21">
        <v>8912800</v>
      </c>
      <c r="BA40" s="21">
        <v>9575300</v>
      </c>
      <c r="BB40" s="21">
        <v>8852000</v>
      </c>
      <c r="BC40" s="21">
        <v>7838300</v>
      </c>
      <c r="BD40" s="21">
        <v>6858500</v>
      </c>
      <c r="BE40" s="21">
        <v>7345900</v>
      </c>
      <c r="BF40" s="21">
        <v>10564100</v>
      </c>
      <c r="BG40" s="21">
        <v>9756900</v>
      </c>
      <c r="BH40" s="21">
        <v>10219100</v>
      </c>
      <c r="BI40" s="21">
        <v>9077100</v>
      </c>
      <c r="BJ40" s="21">
        <v>13871000</v>
      </c>
      <c r="BK40" s="21">
        <v>22906700</v>
      </c>
      <c r="BL40" s="21">
        <v>11373000</v>
      </c>
      <c r="BM40" s="1">
        <v>17254600</v>
      </c>
      <c r="BN40" s="1">
        <v>23120300</v>
      </c>
      <c r="BO40" s="1">
        <v>21603700</v>
      </c>
      <c r="BP40" s="1">
        <v>8661500</v>
      </c>
      <c r="BQ40" s="1">
        <v>9157800</v>
      </c>
      <c r="BR40" s="1">
        <v>7073400</v>
      </c>
      <c r="BS40" s="1">
        <v>6874500</v>
      </c>
      <c r="BT40" s="1">
        <v>6905300</v>
      </c>
      <c r="BU40" s="1">
        <v>10668900</v>
      </c>
      <c r="BV40" s="1">
        <v>15801200</v>
      </c>
      <c r="BW40" s="1">
        <v>15002200</v>
      </c>
      <c r="BX40" s="1">
        <v>10036000</v>
      </c>
      <c r="BY40" s="1">
        <v>8041800</v>
      </c>
      <c r="BZ40" s="1">
        <v>10624500</v>
      </c>
    </row>
    <row r="41" spans="1:78" ht="15.9" customHeight="1">
      <c r="A41" s="393" t="s">
        <v>77</v>
      </c>
      <c r="B41" s="46" t="s">
        <v>78</v>
      </c>
      <c r="C41" s="50">
        <f>_xll.RssMarket("3861","出来高")</f>
        <v>4205000</v>
      </c>
      <c r="D41" s="202">
        <f t="shared" si="0"/>
        <v>-76600</v>
      </c>
      <c r="E41" s="200">
        <v>4281600</v>
      </c>
      <c r="F41" s="21">
        <v>4591200</v>
      </c>
      <c r="G41" s="21">
        <v>7998400</v>
      </c>
      <c r="H41" s="21">
        <v>3777900</v>
      </c>
      <c r="I41" s="21">
        <v>5007100</v>
      </c>
      <c r="J41" s="21">
        <v>3117300</v>
      </c>
      <c r="K41" s="21">
        <v>3711600</v>
      </c>
      <c r="L41" s="21">
        <v>3132100</v>
      </c>
      <c r="M41" s="21">
        <v>3706300</v>
      </c>
      <c r="N41" s="21">
        <v>3034400</v>
      </c>
      <c r="O41" s="21">
        <v>3472500</v>
      </c>
      <c r="P41" s="21">
        <v>3567400</v>
      </c>
      <c r="Q41" s="21">
        <v>3102100</v>
      </c>
      <c r="R41" s="21">
        <v>2698600</v>
      </c>
      <c r="S41" s="21">
        <v>2471000</v>
      </c>
      <c r="T41" s="21">
        <v>2565900</v>
      </c>
      <c r="U41" s="21">
        <v>2779900</v>
      </c>
      <c r="V41" s="21">
        <v>2568700</v>
      </c>
      <c r="W41" s="21">
        <v>3978600</v>
      </c>
      <c r="X41" s="21">
        <v>2789400</v>
      </c>
      <c r="Y41" s="21">
        <v>4214500</v>
      </c>
      <c r="Z41" s="21">
        <v>3648100</v>
      </c>
      <c r="AA41" s="21">
        <v>2893500</v>
      </c>
      <c r="AB41" s="21">
        <v>5662800</v>
      </c>
      <c r="AC41" s="21">
        <v>12804100</v>
      </c>
      <c r="AD41" s="21">
        <v>4279000</v>
      </c>
      <c r="AE41" s="21">
        <v>3103100</v>
      </c>
      <c r="AF41" s="21">
        <v>3912800</v>
      </c>
      <c r="AG41" s="21">
        <v>3506400</v>
      </c>
      <c r="AH41" s="21">
        <v>3210200</v>
      </c>
      <c r="AI41" s="21">
        <v>11473100</v>
      </c>
      <c r="AJ41" s="21">
        <v>3285700</v>
      </c>
      <c r="AK41" s="21">
        <v>3088900</v>
      </c>
      <c r="AL41" s="21">
        <v>3324800</v>
      </c>
      <c r="AM41" s="21">
        <v>4182000</v>
      </c>
      <c r="AN41" s="21">
        <v>3915300</v>
      </c>
      <c r="AO41" s="21">
        <v>3235000</v>
      </c>
      <c r="AP41" s="21">
        <v>5631600</v>
      </c>
      <c r="AQ41" s="21">
        <v>3445300</v>
      </c>
      <c r="AR41" s="21">
        <v>3980500</v>
      </c>
      <c r="AS41" s="21">
        <v>2974900</v>
      </c>
      <c r="AT41" s="21">
        <v>3552900</v>
      </c>
      <c r="AU41" s="21">
        <v>4386700</v>
      </c>
      <c r="AV41" s="21">
        <v>5235200</v>
      </c>
      <c r="AW41" s="21">
        <v>4485400</v>
      </c>
      <c r="AX41" s="21">
        <v>4917500</v>
      </c>
      <c r="AY41" s="21">
        <v>4363400</v>
      </c>
      <c r="AZ41" s="21">
        <v>5529200</v>
      </c>
      <c r="BA41" s="21">
        <v>5327100</v>
      </c>
      <c r="BB41" s="21">
        <v>5082400</v>
      </c>
      <c r="BC41" s="21">
        <v>6241200</v>
      </c>
      <c r="BD41" s="21">
        <v>7101000</v>
      </c>
      <c r="BE41" s="21">
        <v>9304700</v>
      </c>
      <c r="BF41" s="21">
        <v>5319700</v>
      </c>
      <c r="BG41" s="21">
        <v>3422600</v>
      </c>
      <c r="BH41" s="21">
        <v>3739000</v>
      </c>
      <c r="BI41" s="21">
        <v>3546700</v>
      </c>
      <c r="BJ41" s="21">
        <v>4290700</v>
      </c>
      <c r="BK41" s="21">
        <v>5218600</v>
      </c>
      <c r="BL41" s="21">
        <v>3194600</v>
      </c>
      <c r="BM41" s="1">
        <v>4309500</v>
      </c>
      <c r="BN41" s="1">
        <v>3851900</v>
      </c>
      <c r="BO41" s="1">
        <v>3970300</v>
      </c>
      <c r="BP41" s="1">
        <v>3016400</v>
      </c>
      <c r="BQ41" s="1">
        <v>5059400</v>
      </c>
      <c r="BR41" s="1">
        <v>2990500</v>
      </c>
      <c r="BS41" s="1">
        <v>3921200</v>
      </c>
      <c r="BT41" s="1">
        <v>4718400</v>
      </c>
      <c r="BU41" s="1">
        <v>4314900</v>
      </c>
      <c r="BV41" s="1">
        <v>4812500</v>
      </c>
      <c r="BW41" s="1">
        <v>3932300</v>
      </c>
      <c r="BX41" s="1">
        <v>3473200</v>
      </c>
      <c r="BY41" s="1">
        <v>4305100</v>
      </c>
      <c r="BZ41" s="1">
        <v>4326500</v>
      </c>
    </row>
    <row r="42" spans="1:78" ht="15.9" customHeight="1">
      <c r="A42" s="393" t="s">
        <v>79</v>
      </c>
      <c r="B42" s="46" t="s">
        <v>80</v>
      </c>
      <c r="C42" s="50">
        <f>_xll.RssMarket("5947","出来高")</f>
        <v>104800</v>
      </c>
      <c r="D42" s="202">
        <f t="shared" si="0"/>
        <v>-283400</v>
      </c>
      <c r="E42" s="200">
        <v>388200</v>
      </c>
      <c r="F42" s="21">
        <v>297300</v>
      </c>
      <c r="G42" s="21">
        <v>425100</v>
      </c>
      <c r="H42" s="21">
        <v>399700</v>
      </c>
      <c r="I42" s="21">
        <v>519300</v>
      </c>
      <c r="J42" s="21">
        <v>360900</v>
      </c>
      <c r="K42" s="21">
        <v>380000</v>
      </c>
      <c r="L42" s="21">
        <v>302800</v>
      </c>
      <c r="M42" s="21">
        <v>305900</v>
      </c>
      <c r="N42" s="21">
        <v>307300</v>
      </c>
      <c r="O42" s="21">
        <v>274100</v>
      </c>
      <c r="P42" s="21">
        <v>350000</v>
      </c>
      <c r="Q42" s="21">
        <v>335000</v>
      </c>
      <c r="R42" s="21">
        <v>214100</v>
      </c>
      <c r="S42" s="21">
        <v>226800</v>
      </c>
      <c r="T42" s="21">
        <v>270400</v>
      </c>
      <c r="U42" s="21">
        <v>292800</v>
      </c>
      <c r="V42" s="21">
        <v>373100</v>
      </c>
      <c r="W42" s="21">
        <v>362500</v>
      </c>
      <c r="X42" s="21">
        <v>193400</v>
      </c>
      <c r="Y42" s="21">
        <v>190500</v>
      </c>
      <c r="Z42" s="21">
        <v>242200</v>
      </c>
      <c r="AA42" s="21">
        <v>273600</v>
      </c>
      <c r="AB42" s="21">
        <v>303600</v>
      </c>
      <c r="AC42" s="21">
        <v>443100</v>
      </c>
      <c r="AD42" s="21">
        <v>320000</v>
      </c>
      <c r="AE42" s="21">
        <v>262900</v>
      </c>
      <c r="AF42" s="21">
        <v>399100</v>
      </c>
      <c r="AG42" s="21">
        <v>375900</v>
      </c>
      <c r="AH42" s="21">
        <v>463500</v>
      </c>
      <c r="AI42" s="21">
        <v>867600</v>
      </c>
      <c r="AJ42" s="21">
        <v>506400</v>
      </c>
      <c r="AK42" s="21">
        <v>423300</v>
      </c>
      <c r="AL42" s="21">
        <v>528600</v>
      </c>
      <c r="AM42" s="21">
        <v>415600</v>
      </c>
      <c r="AN42" s="21">
        <v>551600</v>
      </c>
      <c r="AO42" s="21">
        <v>229900</v>
      </c>
      <c r="AP42" s="21">
        <v>385400</v>
      </c>
      <c r="AQ42" s="21">
        <v>463400</v>
      </c>
      <c r="AR42" s="21">
        <v>498600</v>
      </c>
      <c r="AS42" s="21">
        <v>467400</v>
      </c>
      <c r="AT42" s="21">
        <v>389200</v>
      </c>
      <c r="AU42" s="21">
        <v>410200</v>
      </c>
      <c r="AV42" s="21">
        <v>462500</v>
      </c>
      <c r="AW42" s="21">
        <v>353700</v>
      </c>
      <c r="AX42" s="21">
        <v>484700</v>
      </c>
      <c r="AY42" s="21">
        <v>363800</v>
      </c>
      <c r="AZ42" s="21">
        <v>375300</v>
      </c>
      <c r="BA42" s="21">
        <v>337100</v>
      </c>
      <c r="BB42" s="21">
        <v>444600</v>
      </c>
      <c r="BC42" s="21">
        <v>677500</v>
      </c>
      <c r="BD42" s="21">
        <v>522000</v>
      </c>
      <c r="BE42" s="21">
        <v>624200</v>
      </c>
      <c r="BF42" s="21">
        <v>603300</v>
      </c>
      <c r="BG42" s="21">
        <v>955200</v>
      </c>
      <c r="BH42" s="21">
        <v>1975200</v>
      </c>
      <c r="BI42" s="21">
        <v>426800</v>
      </c>
      <c r="BJ42" s="21">
        <v>499300</v>
      </c>
      <c r="BK42" s="21">
        <v>673900</v>
      </c>
      <c r="BL42" s="21">
        <v>277900</v>
      </c>
      <c r="BM42" s="1">
        <v>333600</v>
      </c>
      <c r="BN42" s="1">
        <v>417900</v>
      </c>
      <c r="BO42" s="1">
        <v>288300</v>
      </c>
      <c r="BP42" s="1">
        <v>266200</v>
      </c>
      <c r="BQ42" s="1">
        <v>338100</v>
      </c>
      <c r="BR42" s="1">
        <v>440700</v>
      </c>
      <c r="BS42" s="1">
        <v>329800</v>
      </c>
      <c r="BT42" s="1">
        <v>259200</v>
      </c>
      <c r="BU42" s="1">
        <v>482200</v>
      </c>
      <c r="BV42" s="1">
        <v>630800</v>
      </c>
      <c r="BW42" s="1">
        <v>411800</v>
      </c>
      <c r="BX42" s="1">
        <v>530300</v>
      </c>
      <c r="BY42" s="1">
        <v>260200</v>
      </c>
      <c r="BZ42" s="1">
        <v>234000</v>
      </c>
    </row>
    <row r="43" spans="1:78" ht="15.9" customHeight="1">
      <c r="A43" s="393" t="s">
        <v>81</v>
      </c>
      <c r="B43" s="46" t="s">
        <v>82</v>
      </c>
      <c r="C43" s="50">
        <f>_xll.RssMarket("8750","出来高")</f>
        <v>3884100</v>
      </c>
      <c r="D43" s="202">
        <f t="shared" si="0"/>
        <v>-3626600</v>
      </c>
      <c r="E43" s="200">
        <v>7510700</v>
      </c>
      <c r="F43" s="21">
        <v>9330200</v>
      </c>
      <c r="G43" s="21">
        <v>9008700</v>
      </c>
      <c r="H43" s="21">
        <v>11409000</v>
      </c>
      <c r="I43" s="21">
        <v>12566600</v>
      </c>
      <c r="J43" s="21">
        <v>13645000</v>
      </c>
      <c r="K43" s="21">
        <v>13893300</v>
      </c>
      <c r="L43" s="21"/>
      <c r="M43" s="21">
        <v>12536900</v>
      </c>
      <c r="N43" s="21">
        <v>10968100</v>
      </c>
      <c r="O43" s="21">
        <v>11598800</v>
      </c>
      <c r="P43" s="21">
        <v>13386100</v>
      </c>
      <c r="Q43" s="21">
        <v>8809800</v>
      </c>
      <c r="R43" s="21">
        <v>10701600</v>
      </c>
      <c r="S43" s="21">
        <v>8565700</v>
      </c>
      <c r="T43" s="21">
        <v>8649400</v>
      </c>
      <c r="U43" s="21">
        <v>6665200</v>
      </c>
      <c r="V43" s="21">
        <v>7633100</v>
      </c>
      <c r="W43" s="21">
        <v>9225000</v>
      </c>
      <c r="X43" s="21">
        <v>7354200</v>
      </c>
      <c r="Y43" s="21">
        <v>8334300</v>
      </c>
      <c r="Z43" s="21">
        <v>10389700</v>
      </c>
      <c r="AA43" s="21">
        <v>9619900</v>
      </c>
      <c r="AB43" s="21">
        <v>12767300</v>
      </c>
      <c r="AC43" s="21">
        <v>21184300</v>
      </c>
      <c r="AD43" s="21">
        <v>8833800</v>
      </c>
      <c r="AE43" s="21">
        <v>12949100</v>
      </c>
      <c r="AF43" s="21">
        <v>15768300</v>
      </c>
      <c r="AG43" s="21">
        <v>8299800</v>
      </c>
      <c r="AH43" s="21">
        <v>6096100</v>
      </c>
      <c r="AI43" s="21">
        <v>9190700</v>
      </c>
      <c r="AJ43" s="21">
        <v>10134300</v>
      </c>
      <c r="AK43" s="21">
        <v>7912400</v>
      </c>
      <c r="AL43" s="21">
        <v>7976800</v>
      </c>
      <c r="AM43" s="21">
        <v>9102900</v>
      </c>
      <c r="AN43" s="21">
        <v>13913200</v>
      </c>
      <c r="AO43" s="21">
        <v>11898400</v>
      </c>
      <c r="AP43" s="21">
        <v>11528200</v>
      </c>
      <c r="AQ43" s="21">
        <v>8437200</v>
      </c>
      <c r="AR43" s="21">
        <v>7078800</v>
      </c>
      <c r="AS43" s="21">
        <v>7555700</v>
      </c>
      <c r="AT43" s="21">
        <v>6635000</v>
      </c>
      <c r="AU43" s="21">
        <v>8481000</v>
      </c>
      <c r="AV43" s="21">
        <v>15798700</v>
      </c>
      <c r="AW43" s="21">
        <v>8358500</v>
      </c>
      <c r="AX43" s="21">
        <v>6468500</v>
      </c>
      <c r="AY43" s="21">
        <v>6876300</v>
      </c>
      <c r="AZ43" s="21">
        <v>7082000</v>
      </c>
      <c r="BA43" s="21">
        <v>8171500</v>
      </c>
      <c r="BB43" s="21">
        <v>9910000</v>
      </c>
      <c r="BC43" s="21">
        <v>12716700</v>
      </c>
      <c r="BD43" s="21">
        <v>12818600</v>
      </c>
      <c r="BE43" s="21">
        <v>19665600</v>
      </c>
      <c r="BF43" s="21">
        <v>5398100</v>
      </c>
      <c r="BG43" s="21">
        <v>5699100</v>
      </c>
      <c r="BH43" s="21">
        <v>7143700</v>
      </c>
      <c r="BI43" s="21">
        <v>5386700</v>
      </c>
      <c r="BJ43" s="21">
        <v>7859000</v>
      </c>
      <c r="BK43" s="21">
        <v>10883000</v>
      </c>
      <c r="BL43" s="21">
        <v>5876800</v>
      </c>
      <c r="BM43" s="1">
        <v>10343800</v>
      </c>
      <c r="BN43" s="1">
        <v>16390000</v>
      </c>
      <c r="BO43" s="1">
        <v>7455500</v>
      </c>
      <c r="BP43" s="1">
        <v>5906500</v>
      </c>
      <c r="BQ43" s="1">
        <v>10780500</v>
      </c>
      <c r="BR43" s="1">
        <v>6118500</v>
      </c>
      <c r="BS43" s="1">
        <v>6099000</v>
      </c>
      <c r="BT43" s="1">
        <v>6089900</v>
      </c>
      <c r="BU43" s="1">
        <v>8475400</v>
      </c>
      <c r="BV43" s="1">
        <v>6269400</v>
      </c>
      <c r="BW43" s="1">
        <v>6671200</v>
      </c>
      <c r="BX43" s="1">
        <v>6928700</v>
      </c>
      <c r="BY43" s="1">
        <v>5783700</v>
      </c>
      <c r="BZ43" s="1">
        <v>6342300</v>
      </c>
    </row>
    <row r="44" spans="1:78" ht="15.9" customHeight="1">
      <c r="A44" s="393" t="s">
        <v>83</v>
      </c>
      <c r="B44" s="46" t="s">
        <v>84</v>
      </c>
      <c r="C44" s="50">
        <f>_xll.RssMarket("3402","出来高")</f>
        <v>2992400</v>
      </c>
      <c r="D44" s="202">
        <f t="shared" si="0"/>
        <v>-1432000</v>
      </c>
      <c r="E44" s="200">
        <v>4424400</v>
      </c>
      <c r="F44" s="21">
        <v>4348400</v>
      </c>
      <c r="G44" s="21">
        <v>4680300</v>
      </c>
      <c r="H44" s="21">
        <v>4124700</v>
      </c>
      <c r="I44" s="21">
        <v>5221800</v>
      </c>
      <c r="J44" s="21">
        <v>4253200</v>
      </c>
      <c r="K44" s="21">
        <v>3398200</v>
      </c>
      <c r="L44" s="21">
        <v>2547600</v>
      </c>
      <c r="M44" s="21">
        <v>3072400</v>
      </c>
      <c r="N44" s="21">
        <v>2963600</v>
      </c>
      <c r="O44" s="21">
        <v>2842200</v>
      </c>
      <c r="P44" s="21">
        <v>3667700</v>
      </c>
      <c r="Q44" s="21">
        <v>3338000</v>
      </c>
      <c r="R44" s="21">
        <v>5094800</v>
      </c>
      <c r="S44" s="21">
        <v>4490600</v>
      </c>
      <c r="T44" s="21">
        <v>5743900</v>
      </c>
      <c r="U44" s="21">
        <v>3801300</v>
      </c>
      <c r="V44" s="21">
        <v>3603900</v>
      </c>
      <c r="W44" s="21">
        <v>8986800</v>
      </c>
      <c r="X44" s="21">
        <v>4604700</v>
      </c>
      <c r="Y44" s="21">
        <v>4144500</v>
      </c>
      <c r="Z44" s="21">
        <v>3827300</v>
      </c>
      <c r="AA44" s="21">
        <v>5982600</v>
      </c>
      <c r="AB44" s="21">
        <v>4720200</v>
      </c>
      <c r="AC44" s="21">
        <v>4211800</v>
      </c>
      <c r="AD44" s="21">
        <v>3964800</v>
      </c>
      <c r="AE44" s="21">
        <v>2996600</v>
      </c>
      <c r="AF44" s="21">
        <v>4068800</v>
      </c>
      <c r="AG44" s="21">
        <v>3487400</v>
      </c>
      <c r="AH44" s="21">
        <v>2476900</v>
      </c>
      <c r="AI44" s="21">
        <v>6838400</v>
      </c>
      <c r="AJ44" s="21">
        <v>3498500</v>
      </c>
      <c r="AK44" s="21">
        <v>2949300</v>
      </c>
      <c r="AL44" s="21">
        <v>3937500</v>
      </c>
      <c r="AM44" s="21">
        <v>5296100</v>
      </c>
      <c r="AN44" s="21">
        <v>4808200</v>
      </c>
      <c r="AO44" s="21">
        <v>4144200</v>
      </c>
      <c r="AP44" s="21">
        <v>4143700</v>
      </c>
      <c r="AQ44" s="21">
        <v>4746100</v>
      </c>
      <c r="AR44" s="21">
        <v>4232400</v>
      </c>
      <c r="AS44" s="21">
        <v>3980900</v>
      </c>
      <c r="AT44" s="21">
        <v>4798200</v>
      </c>
      <c r="AU44" s="21">
        <v>5880000</v>
      </c>
      <c r="AV44" s="21">
        <v>14393000</v>
      </c>
      <c r="AW44" s="21">
        <v>4435400</v>
      </c>
      <c r="AX44" s="21">
        <v>4856800</v>
      </c>
      <c r="AY44" s="21">
        <v>5208000</v>
      </c>
      <c r="AZ44" s="21">
        <v>3723800</v>
      </c>
      <c r="BA44" s="21">
        <v>3639000</v>
      </c>
      <c r="BB44" s="21">
        <v>4727600</v>
      </c>
      <c r="BC44" s="21">
        <v>5977400</v>
      </c>
      <c r="BD44" s="21">
        <v>6357200</v>
      </c>
      <c r="BE44" s="21">
        <v>5128200</v>
      </c>
      <c r="BF44" s="21">
        <v>7980600</v>
      </c>
      <c r="BG44" s="21">
        <v>15095100</v>
      </c>
      <c r="BH44" s="21">
        <v>3594000</v>
      </c>
      <c r="BI44" s="21">
        <v>3779400</v>
      </c>
      <c r="BJ44" s="21">
        <v>4860500</v>
      </c>
      <c r="BK44" s="21">
        <v>7519900</v>
      </c>
      <c r="BL44" s="21">
        <v>4965500</v>
      </c>
      <c r="BM44" s="1">
        <v>5290100</v>
      </c>
      <c r="BN44" s="1">
        <v>3625800</v>
      </c>
      <c r="BO44" s="1">
        <v>3880400</v>
      </c>
      <c r="BP44" s="1">
        <v>3206100</v>
      </c>
      <c r="BQ44" s="1">
        <v>3777000</v>
      </c>
      <c r="BR44" s="1">
        <v>4119200</v>
      </c>
      <c r="BS44" s="1">
        <v>3464100</v>
      </c>
      <c r="BT44" s="1">
        <v>4620200</v>
      </c>
      <c r="BU44" s="1">
        <v>4211700</v>
      </c>
      <c r="BV44" s="1">
        <v>5388300</v>
      </c>
      <c r="BW44" s="1">
        <v>5035600</v>
      </c>
      <c r="BX44" s="1">
        <v>5488700</v>
      </c>
      <c r="BY44" s="1">
        <v>4466300</v>
      </c>
      <c r="BZ44" s="1">
        <v>3875300</v>
      </c>
    </row>
    <row r="45" spans="1:78" ht="15.9" customHeight="1">
      <c r="A45" s="393" t="s">
        <v>85</v>
      </c>
      <c r="B45" s="46" t="s">
        <v>86</v>
      </c>
      <c r="C45" s="50">
        <f>_xll.RssMarket("8306","出来高")</f>
        <v>29938900</v>
      </c>
      <c r="D45" s="202">
        <f t="shared" si="0"/>
        <v>-19434100</v>
      </c>
      <c r="E45" s="200">
        <v>49373000</v>
      </c>
      <c r="F45" s="21">
        <v>53159300</v>
      </c>
      <c r="G45" s="21">
        <v>50098300</v>
      </c>
      <c r="H45" s="21">
        <v>46700500</v>
      </c>
      <c r="I45" s="21">
        <v>47015600</v>
      </c>
      <c r="J45" s="21">
        <v>58207600</v>
      </c>
      <c r="K45" s="21">
        <v>46560000</v>
      </c>
      <c r="L45" s="21">
        <v>43056500</v>
      </c>
      <c r="M45" s="21">
        <v>58063100</v>
      </c>
      <c r="N45" s="21">
        <v>40200900</v>
      </c>
      <c r="O45" s="21">
        <v>48029100</v>
      </c>
      <c r="P45" s="21">
        <v>59061500</v>
      </c>
      <c r="Q45" s="21">
        <v>51178000</v>
      </c>
      <c r="R45" s="21">
        <v>53200600</v>
      </c>
      <c r="S45" s="21">
        <v>43079600</v>
      </c>
      <c r="T45" s="21">
        <v>35147200</v>
      </c>
      <c r="U45" s="21">
        <v>26333100</v>
      </c>
      <c r="V45" s="21">
        <v>35858100</v>
      </c>
      <c r="W45" s="21">
        <v>53306500</v>
      </c>
      <c r="X45" s="21">
        <v>25810800</v>
      </c>
      <c r="Y45" s="21">
        <v>24679200</v>
      </c>
      <c r="Z45" s="21">
        <v>34768500</v>
      </c>
      <c r="AA45" s="21">
        <v>21862400</v>
      </c>
      <c r="AB45" s="21">
        <v>28320000</v>
      </c>
      <c r="AC45" s="21">
        <v>30642500</v>
      </c>
      <c r="AD45" s="21">
        <v>27483000</v>
      </c>
      <c r="AE45" s="21">
        <v>26463100</v>
      </c>
      <c r="AF45" s="21">
        <v>28539300</v>
      </c>
      <c r="AG45" s="21">
        <v>31972100</v>
      </c>
      <c r="AH45" s="21">
        <v>26077100</v>
      </c>
      <c r="AI45" s="21">
        <v>53414800</v>
      </c>
      <c r="AJ45" s="21">
        <v>49472400</v>
      </c>
      <c r="AK45" s="21">
        <v>42080800</v>
      </c>
      <c r="AL45" s="21">
        <v>38818500</v>
      </c>
      <c r="AM45" s="21">
        <v>56006100</v>
      </c>
      <c r="AN45" s="21">
        <v>54083500</v>
      </c>
      <c r="AO45" s="21">
        <v>43885600</v>
      </c>
      <c r="AP45" s="21">
        <v>60312600</v>
      </c>
      <c r="AQ45" s="21">
        <v>43619100</v>
      </c>
      <c r="AR45" s="21">
        <v>42730200</v>
      </c>
      <c r="AS45" s="21">
        <v>57793900</v>
      </c>
      <c r="AT45" s="21">
        <v>46784900</v>
      </c>
      <c r="AU45" s="21">
        <v>37371200</v>
      </c>
      <c r="AV45" s="21">
        <v>69856600</v>
      </c>
      <c r="AW45" s="21">
        <v>41665800</v>
      </c>
      <c r="AX45" s="21">
        <v>34986500</v>
      </c>
      <c r="AY45" s="21">
        <v>32348200</v>
      </c>
      <c r="AZ45" s="21">
        <v>40421700</v>
      </c>
      <c r="BA45" s="21">
        <v>52123700</v>
      </c>
      <c r="BB45" s="21">
        <v>51809100</v>
      </c>
      <c r="BC45" s="21">
        <v>55685600</v>
      </c>
      <c r="BD45" s="21">
        <v>66978500</v>
      </c>
      <c r="BE45" s="21">
        <v>47220900</v>
      </c>
      <c r="BF45" s="21">
        <v>34334700</v>
      </c>
      <c r="BG45" s="21">
        <v>34802100</v>
      </c>
      <c r="BH45" s="21">
        <v>28562100</v>
      </c>
      <c r="BI45" s="21">
        <v>29713600</v>
      </c>
      <c r="BJ45" s="21">
        <v>37166700</v>
      </c>
      <c r="BK45" s="21">
        <v>53805900</v>
      </c>
      <c r="BL45" s="21">
        <v>28643100</v>
      </c>
      <c r="BM45" s="1">
        <v>39443000</v>
      </c>
      <c r="BN45" s="1">
        <v>45635600</v>
      </c>
      <c r="BO45" s="1">
        <v>29320200</v>
      </c>
      <c r="BP45" s="1">
        <v>22067000</v>
      </c>
      <c r="BQ45" s="1">
        <v>35144800</v>
      </c>
      <c r="BR45" s="1">
        <v>38846200</v>
      </c>
      <c r="BS45" s="1">
        <v>30217100</v>
      </c>
      <c r="BT45" s="1">
        <v>24113800</v>
      </c>
      <c r="BU45" s="1">
        <v>40793100</v>
      </c>
      <c r="BV45" s="1">
        <v>42419100</v>
      </c>
      <c r="BW45" s="1">
        <v>48273800</v>
      </c>
      <c r="BX45" s="1">
        <v>38689000</v>
      </c>
      <c r="BY45" s="1">
        <v>30503200</v>
      </c>
      <c r="BZ45" s="1">
        <v>33552100</v>
      </c>
    </row>
    <row r="46" spans="1:78" ht="15.9" customHeight="1">
      <c r="A46" s="393" t="s">
        <v>87</v>
      </c>
      <c r="B46" s="46" t="s">
        <v>88</v>
      </c>
      <c r="C46" s="50">
        <f>_xll.RssMarket("5401","出来高")</f>
        <v>58725600</v>
      </c>
      <c r="D46" s="202">
        <f t="shared" si="0"/>
        <v>18876000</v>
      </c>
      <c r="E46" s="200">
        <v>39849600</v>
      </c>
      <c r="F46" s="21">
        <v>44246400</v>
      </c>
      <c r="G46" s="21">
        <v>46837400</v>
      </c>
      <c r="H46" s="21">
        <v>53982100</v>
      </c>
      <c r="I46" s="21">
        <v>91249500</v>
      </c>
      <c r="J46" s="21">
        <v>89226600</v>
      </c>
      <c r="K46" s="21">
        <v>50639100</v>
      </c>
      <c r="L46" s="21"/>
      <c r="M46" s="21">
        <v>43422300</v>
      </c>
      <c r="N46" s="21">
        <v>38651100</v>
      </c>
      <c r="O46" s="21">
        <v>43134100</v>
      </c>
      <c r="P46" s="21">
        <v>42824000</v>
      </c>
      <c r="Q46" s="21">
        <v>31939800</v>
      </c>
      <c r="R46" s="21">
        <v>33837800</v>
      </c>
      <c r="S46" s="21">
        <v>26236400</v>
      </c>
      <c r="T46" s="21">
        <v>25181800</v>
      </c>
      <c r="U46" s="21">
        <v>19003000</v>
      </c>
      <c r="V46" s="21">
        <v>23729000</v>
      </c>
      <c r="W46" s="21">
        <v>27470900</v>
      </c>
      <c r="X46" s="21">
        <v>25485200</v>
      </c>
      <c r="Y46" s="21">
        <v>25990400</v>
      </c>
      <c r="Z46" s="21">
        <v>35748000</v>
      </c>
      <c r="AA46" s="21">
        <v>29551100</v>
      </c>
      <c r="AB46" s="21">
        <v>38459000</v>
      </c>
      <c r="AC46" s="21">
        <v>33114700</v>
      </c>
      <c r="AD46" s="21">
        <v>24184200</v>
      </c>
      <c r="AE46" s="21">
        <v>23683100</v>
      </c>
      <c r="AF46" s="21">
        <v>23841500</v>
      </c>
      <c r="AG46" s="21">
        <v>25552800</v>
      </c>
      <c r="AH46" s="21">
        <v>24865600</v>
      </c>
      <c r="AI46" s="21">
        <v>24951000</v>
      </c>
      <c r="AJ46" s="21">
        <v>22412800</v>
      </c>
      <c r="AK46" s="21">
        <v>23078200</v>
      </c>
      <c r="AL46" s="21">
        <v>21855000</v>
      </c>
      <c r="AM46" s="21">
        <v>37239700</v>
      </c>
      <c r="AN46" s="21">
        <v>35530200</v>
      </c>
      <c r="AO46" s="21">
        <v>30230800</v>
      </c>
      <c r="AP46" s="21">
        <v>23320500</v>
      </c>
      <c r="AQ46" s="21">
        <v>36773100</v>
      </c>
      <c r="AR46" s="21">
        <v>21297800</v>
      </c>
      <c r="AS46" s="21">
        <v>25638500</v>
      </c>
      <c r="AT46" s="21">
        <v>27280200</v>
      </c>
      <c r="AU46" s="21">
        <v>46353800</v>
      </c>
      <c r="AV46" s="21">
        <v>50632500</v>
      </c>
      <c r="AW46" s="21">
        <v>26020600</v>
      </c>
      <c r="AX46" s="21">
        <v>26864800</v>
      </c>
      <c r="AY46" s="21">
        <v>29250200</v>
      </c>
      <c r="AZ46" s="21">
        <v>21985700</v>
      </c>
      <c r="BA46" s="21">
        <v>28759200</v>
      </c>
      <c r="BB46" s="21">
        <v>40808400</v>
      </c>
      <c r="BC46" s="21">
        <v>32513200</v>
      </c>
      <c r="BD46" s="21">
        <v>32786700</v>
      </c>
      <c r="BE46" s="21">
        <v>37792300</v>
      </c>
      <c r="BF46" s="21">
        <v>54796900</v>
      </c>
      <c r="BG46" s="21">
        <v>34062700</v>
      </c>
      <c r="BH46" s="21">
        <v>36770900</v>
      </c>
      <c r="BI46" s="21">
        <v>47352200</v>
      </c>
      <c r="BJ46" s="21">
        <v>36330900</v>
      </c>
      <c r="BK46" s="21">
        <v>39379900</v>
      </c>
      <c r="BL46" s="21">
        <v>24588800</v>
      </c>
      <c r="BM46" s="1">
        <v>27367000</v>
      </c>
      <c r="BN46" s="1">
        <v>26538800</v>
      </c>
      <c r="BO46" s="1">
        <v>29570100</v>
      </c>
      <c r="BP46" s="1">
        <v>28096800</v>
      </c>
      <c r="BQ46" s="1">
        <v>24893900</v>
      </c>
      <c r="BR46" s="1">
        <v>18514900</v>
      </c>
      <c r="BS46" s="1">
        <v>17409500</v>
      </c>
      <c r="BT46" s="1">
        <v>19779100</v>
      </c>
      <c r="BU46" s="1">
        <v>18544700</v>
      </c>
      <c r="BV46" s="1">
        <v>18976400</v>
      </c>
      <c r="BW46" s="1">
        <v>20939500</v>
      </c>
      <c r="BX46" s="1">
        <v>18859800</v>
      </c>
      <c r="BY46" s="1">
        <v>15154700</v>
      </c>
      <c r="BZ46" s="1">
        <v>20245900</v>
      </c>
    </row>
    <row r="47" spans="1:78" ht="15.9" customHeight="1">
      <c r="A47" s="393" t="s">
        <v>89</v>
      </c>
      <c r="B47" s="46" t="s">
        <v>90</v>
      </c>
      <c r="C47" s="50">
        <f>_xll.RssMarket("8572","出来高")</f>
        <v>669800</v>
      </c>
      <c r="D47" s="202">
        <f t="shared" si="0"/>
        <v>-722500</v>
      </c>
      <c r="E47" s="200">
        <v>1392300</v>
      </c>
      <c r="F47" s="21">
        <v>2016300</v>
      </c>
      <c r="G47" s="21">
        <v>1833000</v>
      </c>
      <c r="H47" s="21">
        <v>1870600</v>
      </c>
      <c r="I47" s="21">
        <v>1802200</v>
      </c>
      <c r="J47" s="21">
        <v>1466500</v>
      </c>
      <c r="K47" s="21">
        <v>2064700</v>
      </c>
      <c r="L47" s="21">
        <v>1691900</v>
      </c>
      <c r="M47" s="21">
        <v>1193500</v>
      </c>
      <c r="N47" s="21">
        <v>1205600</v>
      </c>
      <c r="O47" s="21">
        <v>1076000</v>
      </c>
      <c r="P47" s="21">
        <v>1362200</v>
      </c>
      <c r="Q47" s="21">
        <v>757400</v>
      </c>
      <c r="R47" s="21">
        <v>850100</v>
      </c>
      <c r="S47" s="21">
        <v>890800</v>
      </c>
      <c r="T47" s="21">
        <v>1210100</v>
      </c>
      <c r="U47" s="21">
        <v>965900</v>
      </c>
      <c r="V47" s="21">
        <v>1058700</v>
      </c>
      <c r="W47" s="21">
        <v>1558400</v>
      </c>
      <c r="X47" s="21">
        <v>1946500</v>
      </c>
      <c r="Y47" s="21">
        <v>1507300</v>
      </c>
      <c r="Z47" s="21">
        <v>1661800</v>
      </c>
      <c r="AA47" s="21">
        <v>1336200</v>
      </c>
      <c r="AB47" s="21">
        <v>1415000</v>
      </c>
      <c r="AC47" s="21">
        <v>1723600</v>
      </c>
      <c r="AD47" s="21">
        <v>1295200</v>
      </c>
      <c r="AE47" s="21">
        <v>914500</v>
      </c>
      <c r="AF47" s="21">
        <v>1880100</v>
      </c>
      <c r="AG47" s="21">
        <v>1292100</v>
      </c>
      <c r="AH47" s="21">
        <v>1287900</v>
      </c>
      <c r="AI47" s="21">
        <v>1781700</v>
      </c>
      <c r="AJ47" s="21">
        <v>1683300</v>
      </c>
      <c r="AK47" s="21">
        <v>1330300</v>
      </c>
      <c r="AL47" s="21">
        <v>1491100</v>
      </c>
      <c r="AM47" s="21">
        <v>1565900</v>
      </c>
      <c r="AN47" s="21">
        <v>1186300</v>
      </c>
      <c r="AO47" s="21">
        <v>835200</v>
      </c>
      <c r="AP47" s="21">
        <v>1105600</v>
      </c>
      <c r="AQ47" s="21">
        <v>2252300</v>
      </c>
      <c r="AR47" s="21">
        <v>1495600</v>
      </c>
      <c r="AS47" s="21">
        <v>1724500</v>
      </c>
      <c r="AT47" s="21">
        <v>1447800</v>
      </c>
      <c r="AU47" s="21">
        <v>2024500</v>
      </c>
      <c r="AV47" s="21">
        <v>1402000</v>
      </c>
      <c r="AW47" s="21">
        <v>1320700</v>
      </c>
      <c r="AX47" s="21">
        <v>1889200</v>
      </c>
      <c r="AY47" s="21">
        <v>1586100</v>
      </c>
      <c r="AZ47" s="21">
        <v>1422300</v>
      </c>
      <c r="BA47" s="21">
        <v>1757500</v>
      </c>
      <c r="BB47" s="21">
        <v>1740200</v>
      </c>
      <c r="BC47" s="21">
        <v>2037500</v>
      </c>
      <c r="BD47" s="21">
        <v>1827300</v>
      </c>
      <c r="BE47" s="21">
        <v>1806000</v>
      </c>
      <c r="BF47" s="21">
        <v>2576200</v>
      </c>
      <c r="BG47" s="21">
        <v>6227100</v>
      </c>
      <c r="BH47" s="21">
        <v>1774200</v>
      </c>
      <c r="BI47" s="21">
        <v>1384600</v>
      </c>
      <c r="BJ47" s="21">
        <v>1482500</v>
      </c>
      <c r="BK47" s="21">
        <v>1491100</v>
      </c>
      <c r="BL47" s="21">
        <v>1117500</v>
      </c>
      <c r="BM47" s="1">
        <v>1145500</v>
      </c>
      <c r="BN47" s="1">
        <v>1695400</v>
      </c>
      <c r="BO47" s="1">
        <v>1617200</v>
      </c>
      <c r="BP47" s="1">
        <v>1460200</v>
      </c>
      <c r="BQ47" s="1">
        <v>1951600</v>
      </c>
      <c r="BR47" s="1">
        <v>2414100</v>
      </c>
      <c r="BS47" s="1">
        <v>4591900</v>
      </c>
      <c r="BT47" s="1">
        <v>1529700</v>
      </c>
      <c r="BU47" s="1">
        <v>1450000</v>
      </c>
      <c r="BV47" s="1">
        <v>1765000</v>
      </c>
      <c r="BW47" s="1">
        <v>1772800</v>
      </c>
      <c r="BX47" s="1">
        <v>1407600</v>
      </c>
      <c r="BY47" s="1">
        <v>807800</v>
      </c>
      <c r="BZ47" s="1">
        <v>1228800</v>
      </c>
    </row>
    <row r="48" spans="1:78" ht="15.9" customHeight="1">
      <c r="A48" s="393" t="s">
        <v>91</v>
      </c>
      <c r="B48" s="46" t="s">
        <v>92</v>
      </c>
      <c r="C48" s="50">
        <f>_xll.RssMarket("3941","出来高")</f>
        <v>1443500</v>
      </c>
      <c r="D48" s="202">
        <f t="shared" si="0"/>
        <v>371100</v>
      </c>
      <c r="E48" s="200">
        <v>1072400</v>
      </c>
      <c r="F48" s="21">
        <v>867300</v>
      </c>
      <c r="G48" s="21">
        <v>1006500</v>
      </c>
      <c r="H48" s="21">
        <v>1013600</v>
      </c>
      <c r="I48" s="21">
        <v>1665400</v>
      </c>
      <c r="J48" s="21">
        <v>1726800</v>
      </c>
      <c r="K48" s="21">
        <v>1211100</v>
      </c>
      <c r="L48" s="21">
        <v>1022700</v>
      </c>
      <c r="M48" s="21">
        <v>914000</v>
      </c>
      <c r="N48" s="21">
        <v>874300</v>
      </c>
      <c r="O48" s="21">
        <v>1076800</v>
      </c>
      <c r="P48" s="21">
        <v>1096400</v>
      </c>
      <c r="Q48" s="21">
        <v>832600</v>
      </c>
      <c r="R48" s="21">
        <v>856900</v>
      </c>
      <c r="S48" s="21">
        <v>857000</v>
      </c>
      <c r="T48" s="21">
        <v>706200</v>
      </c>
      <c r="U48" s="21">
        <v>1173100</v>
      </c>
      <c r="V48" s="21">
        <v>1015400</v>
      </c>
      <c r="W48" s="21">
        <v>666100</v>
      </c>
      <c r="X48" s="21">
        <v>778900</v>
      </c>
      <c r="Y48" s="21">
        <v>759000</v>
      </c>
      <c r="Z48" s="21">
        <v>781600</v>
      </c>
      <c r="AA48" s="21">
        <v>592100</v>
      </c>
      <c r="AB48" s="21">
        <v>1041000</v>
      </c>
      <c r="AC48" s="21">
        <v>938000</v>
      </c>
      <c r="AD48" s="21">
        <v>965700</v>
      </c>
      <c r="AE48" s="21">
        <v>599900</v>
      </c>
      <c r="AF48" s="21">
        <v>557000</v>
      </c>
      <c r="AG48" s="21">
        <v>909000</v>
      </c>
      <c r="AH48" s="21">
        <v>876600</v>
      </c>
      <c r="AI48" s="21">
        <v>1439300</v>
      </c>
      <c r="AJ48" s="21">
        <v>1005100</v>
      </c>
      <c r="AK48" s="21">
        <v>825300</v>
      </c>
      <c r="AL48" s="21">
        <v>560900</v>
      </c>
      <c r="AM48" s="21">
        <v>863300</v>
      </c>
      <c r="AN48" s="21">
        <v>874300</v>
      </c>
      <c r="AO48" s="21">
        <v>825900</v>
      </c>
      <c r="AP48" s="21">
        <v>928400</v>
      </c>
      <c r="AQ48" s="21">
        <v>987800</v>
      </c>
      <c r="AR48" s="21">
        <v>752200</v>
      </c>
      <c r="AS48" s="21">
        <v>821900</v>
      </c>
      <c r="AT48" s="21">
        <v>661000</v>
      </c>
      <c r="AU48" s="21">
        <v>857500</v>
      </c>
      <c r="AV48" s="21">
        <v>1467400</v>
      </c>
      <c r="AW48" s="21">
        <v>1084500</v>
      </c>
      <c r="AX48" s="21">
        <v>929300</v>
      </c>
      <c r="AY48" s="21">
        <v>774200</v>
      </c>
      <c r="AZ48" s="21">
        <v>816000</v>
      </c>
      <c r="BA48" s="21">
        <v>903100</v>
      </c>
      <c r="BB48" s="21">
        <v>1237500</v>
      </c>
      <c r="BC48" s="21">
        <v>1505900</v>
      </c>
      <c r="BD48" s="21">
        <v>1676300</v>
      </c>
      <c r="BE48" s="21">
        <v>2035700</v>
      </c>
      <c r="BF48" s="21">
        <v>4157000</v>
      </c>
      <c r="BG48" s="21">
        <v>1058000</v>
      </c>
      <c r="BH48" s="21">
        <v>1147100</v>
      </c>
      <c r="BI48" s="21">
        <v>1402800</v>
      </c>
      <c r="BJ48" s="21">
        <v>1278800</v>
      </c>
      <c r="BK48" s="21">
        <v>1757400</v>
      </c>
      <c r="BL48" s="21">
        <v>1092200</v>
      </c>
      <c r="BM48" s="1">
        <v>1710300</v>
      </c>
      <c r="BN48" s="1">
        <v>1291800</v>
      </c>
      <c r="BO48" s="1">
        <v>2566600</v>
      </c>
      <c r="BP48" s="1">
        <v>558300</v>
      </c>
      <c r="BQ48" s="1">
        <v>732300</v>
      </c>
      <c r="BR48" s="1">
        <v>699000</v>
      </c>
      <c r="BS48" s="1">
        <v>1085200</v>
      </c>
      <c r="BT48" s="1">
        <v>891600</v>
      </c>
      <c r="BU48" s="1">
        <v>626200</v>
      </c>
      <c r="BV48" s="1">
        <v>582100</v>
      </c>
      <c r="BW48" s="1">
        <v>558300</v>
      </c>
      <c r="BX48" s="1">
        <v>551500</v>
      </c>
      <c r="BY48" s="1">
        <v>425600</v>
      </c>
      <c r="BZ48" s="1">
        <v>604700</v>
      </c>
    </row>
    <row r="49" spans="1:78" ht="15.9" customHeight="1">
      <c r="A49" s="393" t="s">
        <v>93</v>
      </c>
      <c r="B49" s="46" t="s">
        <v>94</v>
      </c>
      <c r="C49" s="50">
        <f>_xll.RssMarket("5929","出来高")</f>
        <v>438700</v>
      </c>
      <c r="D49" s="202">
        <f t="shared" si="0"/>
        <v>-310600</v>
      </c>
      <c r="E49" s="200">
        <v>749300</v>
      </c>
      <c r="F49" s="21">
        <v>1057900</v>
      </c>
      <c r="G49" s="21">
        <v>2208600</v>
      </c>
      <c r="H49" s="21">
        <v>697100</v>
      </c>
      <c r="I49" s="21">
        <v>844400</v>
      </c>
      <c r="J49" s="21">
        <v>662000</v>
      </c>
      <c r="K49" s="21">
        <v>490200</v>
      </c>
      <c r="L49" s="21"/>
      <c r="M49" s="21">
        <v>392400</v>
      </c>
      <c r="N49" s="21">
        <v>489400</v>
      </c>
      <c r="O49" s="21">
        <v>668600</v>
      </c>
      <c r="P49" s="21">
        <v>725700</v>
      </c>
      <c r="Q49" s="21">
        <v>370700</v>
      </c>
      <c r="R49" s="21">
        <v>371600</v>
      </c>
      <c r="S49" s="21">
        <v>647000</v>
      </c>
      <c r="T49" s="21">
        <v>531800</v>
      </c>
      <c r="U49" s="21">
        <v>437600</v>
      </c>
      <c r="V49" s="21">
        <v>545400</v>
      </c>
      <c r="W49" s="21">
        <v>661200</v>
      </c>
      <c r="X49" s="21">
        <v>346300</v>
      </c>
      <c r="Y49" s="21">
        <v>531100</v>
      </c>
      <c r="Z49" s="21">
        <v>404400</v>
      </c>
      <c r="AA49" s="21">
        <v>839300</v>
      </c>
      <c r="AB49" s="21">
        <v>531100</v>
      </c>
      <c r="AC49" s="21">
        <v>839000</v>
      </c>
      <c r="AD49" s="21">
        <v>598800</v>
      </c>
      <c r="AE49" s="21">
        <v>605600</v>
      </c>
      <c r="AF49" s="21">
        <v>776700</v>
      </c>
      <c r="AG49" s="21">
        <v>521700</v>
      </c>
      <c r="AH49" s="21">
        <v>556800</v>
      </c>
      <c r="AI49" s="21">
        <v>900600</v>
      </c>
      <c r="AJ49" s="21">
        <v>929800</v>
      </c>
      <c r="AK49" s="21">
        <v>424400</v>
      </c>
      <c r="AL49" s="21">
        <v>555700</v>
      </c>
      <c r="AM49" s="21">
        <v>602900</v>
      </c>
      <c r="AN49" s="21">
        <v>703100</v>
      </c>
      <c r="AO49" s="21">
        <v>687000</v>
      </c>
      <c r="AP49" s="21">
        <v>860200</v>
      </c>
      <c r="AQ49" s="21">
        <v>1242200</v>
      </c>
      <c r="AR49" s="21">
        <v>1423300</v>
      </c>
      <c r="AS49" s="21">
        <v>886200</v>
      </c>
      <c r="AT49" s="21">
        <v>872800</v>
      </c>
      <c r="AU49" s="21">
        <v>1247900</v>
      </c>
      <c r="AV49" s="21">
        <v>1600300</v>
      </c>
      <c r="AW49" s="21">
        <v>1016800</v>
      </c>
      <c r="AX49" s="21">
        <v>1130500</v>
      </c>
      <c r="AY49" s="21">
        <v>649100</v>
      </c>
      <c r="AZ49" s="21">
        <v>561900</v>
      </c>
      <c r="BA49" s="21">
        <v>681800</v>
      </c>
      <c r="BB49" s="21">
        <v>1088900</v>
      </c>
      <c r="BC49" s="21">
        <v>696100</v>
      </c>
      <c r="BD49" s="21">
        <v>777600</v>
      </c>
      <c r="BE49" s="21">
        <v>874500</v>
      </c>
      <c r="BF49" s="21">
        <v>1190400</v>
      </c>
      <c r="BG49" s="21">
        <v>1002900</v>
      </c>
      <c r="BH49" s="21">
        <v>1023800</v>
      </c>
      <c r="BI49" s="21">
        <v>819800</v>
      </c>
      <c r="BJ49" s="21">
        <v>706100</v>
      </c>
      <c r="BK49" s="21">
        <v>978400</v>
      </c>
      <c r="BL49" s="21">
        <v>622300</v>
      </c>
      <c r="BM49" s="1">
        <v>801700</v>
      </c>
      <c r="BN49" s="1">
        <v>480400</v>
      </c>
      <c r="BO49" s="1">
        <v>252800</v>
      </c>
      <c r="BP49" s="1">
        <v>330000</v>
      </c>
      <c r="BQ49" s="1">
        <v>457000</v>
      </c>
      <c r="BR49" s="1">
        <v>410700</v>
      </c>
      <c r="BS49" s="1">
        <v>577000</v>
      </c>
      <c r="BT49" s="1">
        <v>632900</v>
      </c>
      <c r="BU49" s="1">
        <v>732800</v>
      </c>
      <c r="BV49" s="1">
        <v>870600</v>
      </c>
      <c r="BW49" s="1">
        <v>426600</v>
      </c>
      <c r="BX49" s="1">
        <v>491000</v>
      </c>
      <c r="BY49" s="1">
        <v>494100</v>
      </c>
      <c r="BZ49" s="1">
        <v>567400</v>
      </c>
    </row>
    <row r="50" spans="1:78" ht="15.9" customHeight="1">
      <c r="A50" s="393" t="s">
        <v>95</v>
      </c>
      <c r="B50" s="46" t="s">
        <v>96</v>
      </c>
      <c r="C50" s="50">
        <f>_xll.RssMarket("8316","出来高")</f>
        <v>7788200</v>
      </c>
      <c r="D50" s="202">
        <f t="shared" si="0"/>
        <v>-4148200</v>
      </c>
      <c r="E50" s="200">
        <v>11936400</v>
      </c>
      <c r="F50" s="21">
        <v>21080600</v>
      </c>
      <c r="G50" s="21">
        <v>15724400</v>
      </c>
      <c r="H50" s="21">
        <v>15888200</v>
      </c>
      <c r="I50" s="21">
        <v>16584800</v>
      </c>
      <c r="J50" s="21">
        <v>14821600</v>
      </c>
      <c r="K50" s="21">
        <v>11641800</v>
      </c>
      <c r="L50" s="21">
        <v>9570300</v>
      </c>
      <c r="M50" s="21">
        <v>13222700</v>
      </c>
      <c r="N50" s="21">
        <v>13171600</v>
      </c>
      <c r="O50" s="21">
        <v>13806900</v>
      </c>
      <c r="P50" s="21">
        <v>17726200</v>
      </c>
      <c r="Q50" s="21">
        <v>14262800</v>
      </c>
      <c r="R50" s="21">
        <v>11804700</v>
      </c>
      <c r="S50" s="21">
        <v>12981600</v>
      </c>
      <c r="T50" s="21">
        <v>10340500</v>
      </c>
      <c r="U50" s="21">
        <v>8263500</v>
      </c>
      <c r="V50" s="21">
        <v>12344000</v>
      </c>
      <c r="W50" s="21">
        <v>15527100</v>
      </c>
      <c r="X50" s="21">
        <v>10412500</v>
      </c>
      <c r="Y50" s="21">
        <v>9409100</v>
      </c>
      <c r="Z50" s="21">
        <v>11873800</v>
      </c>
      <c r="AA50" s="21">
        <v>8768500</v>
      </c>
      <c r="AB50" s="21">
        <v>9707100</v>
      </c>
      <c r="AC50" s="21">
        <v>10881500</v>
      </c>
      <c r="AD50" s="21">
        <v>11097300</v>
      </c>
      <c r="AE50" s="21">
        <v>10470900</v>
      </c>
      <c r="AF50" s="21">
        <v>11902900</v>
      </c>
      <c r="AG50" s="21">
        <v>11863400</v>
      </c>
      <c r="AH50" s="21">
        <v>12138700</v>
      </c>
      <c r="AI50" s="21">
        <v>20049100</v>
      </c>
      <c r="AJ50" s="21">
        <v>14838400</v>
      </c>
      <c r="AK50" s="21">
        <v>12405700</v>
      </c>
      <c r="AL50" s="21">
        <v>13563400</v>
      </c>
      <c r="AM50" s="21">
        <v>18028200</v>
      </c>
      <c r="AN50" s="21">
        <v>23960700</v>
      </c>
      <c r="AO50" s="21">
        <v>16707100</v>
      </c>
      <c r="AP50" s="21">
        <v>21813600</v>
      </c>
      <c r="AQ50" s="21">
        <v>15126700</v>
      </c>
      <c r="AR50" s="21">
        <v>14349800</v>
      </c>
      <c r="AS50" s="21">
        <v>13395700</v>
      </c>
      <c r="AT50" s="21">
        <v>15691600</v>
      </c>
      <c r="AU50" s="21">
        <v>12902800</v>
      </c>
      <c r="AV50" s="21">
        <v>17617000</v>
      </c>
      <c r="AW50" s="21">
        <v>15094100</v>
      </c>
      <c r="AX50" s="21">
        <v>13219300</v>
      </c>
      <c r="AY50" s="21">
        <v>13205000</v>
      </c>
      <c r="AZ50" s="21">
        <v>12376300</v>
      </c>
      <c r="BA50" s="21">
        <v>18212600</v>
      </c>
      <c r="BB50" s="21">
        <v>18145400</v>
      </c>
      <c r="BC50" s="21">
        <v>21178400</v>
      </c>
      <c r="BD50" s="21">
        <v>14734800</v>
      </c>
      <c r="BE50" s="21">
        <v>15463800</v>
      </c>
      <c r="BF50" s="21">
        <v>18642900</v>
      </c>
      <c r="BG50" s="21">
        <v>12087700</v>
      </c>
      <c r="BH50" s="21">
        <v>12206700</v>
      </c>
      <c r="BI50" s="21">
        <v>12531400</v>
      </c>
      <c r="BJ50" s="21">
        <v>12481400</v>
      </c>
      <c r="BK50" s="21">
        <v>17149500</v>
      </c>
      <c r="BL50" s="21">
        <v>8711900</v>
      </c>
      <c r="BM50" s="1">
        <v>15242200</v>
      </c>
      <c r="BN50" s="1">
        <v>15541200</v>
      </c>
      <c r="BO50" s="1">
        <v>9422700</v>
      </c>
      <c r="BP50" s="1">
        <v>7882600</v>
      </c>
      <c r="BQ50" s="1">
        <v>12947200</v>
      </c>
      <c r="BR50" s="1">
        <v>9352200</v>
      </c>
      <c r="BS50" s="1">
        <v>9134200</v>
      </c>
      <c r="BT50" s="1">
        <v>7598100</v>
      </c>
      <c r="BU50" s="1">
        <v>11391100</v>
      </c>
      <c r="BV50" s="1">
        <v>11580100</v>
      </c>
      <c r="BW50" s="1">
        <v>12554000</v>
      </c>
      <c r="BX50" s="1">
        <v>10812000</v>
      </c>
      <c r="BY50" s="1">
        <v>9107100</v>
      </c>
      <c r="BZ50" s="1">
        <v>9342000</v>
      </c>
    </row>
    <row r="51" spans="1:78" ht="15.9" customHeight="1">
      <c r="A51" s="393" t="s">
        <v>97</v>
      </c>
      <c r="B51" s="46" t="s">
        <v>98</v>
      </c>
      <c r="C51" s="50">
        <f>_xll.RssMarket("5449","出来高")</f>
        <v>35200</v>
      </c>
      <c r="D51" s="202">
        <f t="shared" si="0"/>
        <v>-26900</v>
      </c>
      <c r="E51" s="200">
        <v>62100</v>
      </c>
      <c r="F51" s="21">
        <v>86100</v>
      </c>
      <c r="G51" s="21">
        <v>126000</v>
      </c>
      <c r="H51" s="21">
        <v>71300</v>
      </c>
      <c r="I51" s="21">
        <v>59000</v>
      </c>
      <c r="J51" s="21">
        <v>36200</v>
      </c>
      <c r="K51" s="21">
        <v>45800</v>
      </c>
      <c r="L51" s="21">
        <v>23400</v>
      </c>
      <c r="M51" s="21">
        <v>18100</v>
      </c>
      <c r="N51" s="21">
        <v>18000</v>
      </c>
      <c r="O51" s="21">
        <v>35300</v>
      </c>
      <c r="P51" s="21">
        <v>19100</v>
      </c>
      <c r="Q51" s="21">
        <v>19000</v>
      </c>
      <c r="R51" s="21">
        <v>19100</v>
      </c>
      <c r="S51" s="21">
        <v>36100</v>
      </c>
      <c r="T51" s="21">
        <v>29600</v>
      </c>
      <c r="U51" s="21">
        <v>22900</v>
      </c>
      <c r="V51" s="21">
        <v>28500</v>
      </c>
      <c r="W51" s="21">
        <v>35100</v>
      </c>
      <c r="X51" s="21">
        <v>38900</v>
      </c>
      <c r="Y51" s="21">
        <v>40500</v>
      </c>
      <c r="Z51" s="21">
        <v>35900</v>
      </c>
      <c r="AA51" s="21">
        <v>25800</v>
      </c>
      <c r="AB51" s="21">
        <v>58900</v>
      </c>
      <c r="AC51" s="21">
        <v>87900</v>
      </c>
      <c r="AD51" s="21">
        <v>26600</v>
      </c>
      <c r="AE51" s="21">
        <v>19900</v>
      </c>
      <c r="AF51" s="21">
        <v>28700</v>
      </c>
      <c r="AG51" s="21">
        <v>29000</v>
      </c>
      <c r="AH51" s="21">
        <v>19200</v>
      </c>
      <c r="AI51" s="21">
        <v>43200</v>
      </c>
      <c r="AJ51" s="21">
        <v>99200</v>
      </c>
      <c r="AK51" s="21">
        <v>91100</v>
      </c>
      <c r="AL51" s="21">
        <v>35700</v>
      </c>
      <c r="AM51" s="21">
        <v>72700</v>
      </c>
      <c r="AN51" s="21">
        <v>35400</v>
      </c>
      <c r="AO51" s="21">
        <v>48800</v>
      </c>
      <c r="AP51" s="21">
        <v>30600</v>
      </c>
      <c r="AQ51" s="21">
        <v>86400</v>
      </c>
      <c r="AR51" s="21">
        <v>58600</v>
      </c>
      <c r="AS51" s="21">
        <v>82500</v>
      </c>
      <c r="AT51" s="21">
        <v>115900</v>
      </c>
      <c r="AU51" s="21">
        <v>66300</v>
      </c>
      <c r="AV51" s="21">
        <v>385300</v>
      </c>
      <c r="AW51" s="21">
        <v>33300</v>
      </c>
      <c r="AX51" s="21">
        <v>54200</v>
      </c>
      <c r="AY51" s="21">
        <v>53200</v>
      </c>
      <c r="AZ51" s="21">
        <v>73500</v>
      </c>
      <c r="BA51" s="21">
        <v>30000</v>
      </c>
      <c r="BB51" s="21">
        <v>34200</v>
      </c>
      <c r="BC51" s="21">
        <v>70200</v>
      </c>
      <c r="BD51" s="21">
        <v>58800</v>
      </c>
      <c r="BE51" s="21">
        <v>34100</v>
      </c>
      <c r="BF51" s="21">
        <v>69700</v>
      </c>
      <c r="BG51" s="21">
        <v>138600</v>
      </c>
      <c r="BH51" s="21">
        <v>57300</v>
      </c>
      <c r="BI51" s="21">
        <v>42300</v>
      </c>
      <c r="BJ51" s="21">
        <v>79900</v>
      </c>
      <c r="BK51" s="21">
        <v>65300</v>
      </c>
      <c r="BL51" s="21">
        <v>74600</v>
      </c>
      <c r="BM51" s="1">
        <v>58900</v>
      </c>
      <c r="BN51" s="1">
        <v>103000</v>
      </c>
      <c r="BO51" s="1">
        <v>53500</v>
      </c>
      <c r="BP51" s="1">
        <v>41200</v>
      </c>
      <c r="BQ51" s="1">
        <v>51700</v>
      </c>
      <c r="BR51" s="1">
        <v>49600</v>
      </c>
      <c r="BS51" s="1">
        <v>57500</v>
      </c>
      <c r="BT51" s="1">
        <v>72600</v>
      </c>
      <c r="BU51" s="1">
        <v>47800</v>
      </c>
      <c r="BV51" s="1">
        <v>47800</v>
      </c>
      <c r="BW51" s="1">
        <v>40300</v>
      </c>
      <c r="BX51" s="1">
        <v>53500</v>
      </c>
      <c r="BY51" s="1">
        <v>99000</v>
      </c>
      <c r="BZ51" s="1">
        <v>82200</v>
      </c>
    </row>
    <row r="52" spans="1:78" ht="15.9" customHeight="1">
      <c r="A52" s="393" t="s">
        <v>99</v>
      </c>
      <c r="B52" s="46" t="s">
        <v>100</v>
      </c>
      <c r="C52" s="50">
        <f>_xll.RssMarket("8766","出来高")</f>
        <v>1818500</v>
      </c>
      <c r="D52" s="202">
        <f t="shared" si="0"/>
        <v>-2235600</v>
      </c>
      <c r="E52" s="200">
        <v>4054100</v>
      </c>
      <c r="F52" s="21">
        <v>5208300</v>
      </c>
      <c r="G52" s="21">
        <v>4956200</v>
      </c>
      <c r="H52" s="21">
        <v>5200000</v>
      </c>
      <c r="I52" s="21">
        <v>6163100</v>
      </c>
      <c r="J52" s="21">
        <v>4666200</v>
      </c>
      <c r="K52" s="21">
        <v>4704600</v>
      </c>
      <c r="L52" s="21">
        <v>4747500</v>
      </c>
      <c r="M52" s="21">
        <v>4456900</v>
      </c>
      <c r="N52" s="21">
        <v>5007000</v>
      </c>
      <c r="O52" s="21">
        <v>5639100</v>
      </c>
      <c r="P52" s="21">
        <v>4881300</v>
      </c>
      <c r="Q52" s="21">
        <v>4179300</v>
      </c>
      <c r="R52" s="21">
        <v>3684600</v>
      </c>
      <c r="S52" s="21">
        <v>3871800</v>
      </c>
      <c r="T52" s="21">
        <v>6868900</v>
      </c>
      <c r="U52" s="21">
        <v>5696500</v>
      </c>
      <c r="V52" s="21">
        <v>6850400</v>
      </c>
      <c r="W52" s="21">
        <v>5357400</v>
      </c>
      <c r="X52" s="21">
        <v>4990200</v>
      </c>
      <c r="Y52" s="21">
        <v>4994400</v>
      </c>
      <c r="Z52" s="21">
        <v>8398100</v>
      </c>
      <c r="AA52" s="21">
        <v>5270800</v>
      </c>
      <c r="AB52" s="21">
        <v>4805700</v>
      </c>
      <c r="AC52" s="21">
        <v>8025000</v>
      </c>
      <c r="AD52" s="21">
        <v>6194700</v>
      </c>
      <c r="AE52" s="21">
        <v>7192100</v>
      </c>
      <c r="AF52" s="21">
        <v>7721000</v>
      </c>
      <c r="AG52" s="21">
        <v>5801000</v>
      </c>
      <c r="AH52" s="21">
        <v>3390300</v>
      </c>
      <c r="AI52" s="21">
        <v>8663500</v>
      </c>
      <c r="AJ52" s="21">
        <v>4485700</v>
      </c>
      <c r="AK52" s="21">
        <v>4299600</v>
      </c>
      <c r="AL52" s="21">
        <v>4487400</v>
      </c>
      <c r="AM52" s="21">
        <v>5530200</v>
      </c>
      <c r="AN52" s="21">
        <v>7968200</v>
      </c>
      <c r="AO52" s="21">
        <v>6270700</v>
      </c>
      <c r="AP52" s="21">
        <v>5719700</v>
      </c>
      <c r="AQ52" s="21">
        <v>8411600</v>
      </c>
      <c r="AR52" s="21">
        <v>5687500</v>
      </c>
      <c r="AS52" s="21">
        <v>5719800</v>
      </c>
      <c r="AT52" s="21">
        <v>4571900</v>
      </c>
      <c r="AU52" s="21">
        <v>5323900</v>
      </c>
      <c r="AV52" s="21">
        <v>10833400</v>
      </c>
      <c r="AW52" s="21">
        <v>6330700</v>
      </c>
      <c r="AX52" s="21">
        <v>5245100</v>
      </c>
      <c r="AY52" s="21">
        <v>5595400</v>
      </c>
      <c r="AZ52" s="21">
        <v>7819300</v>
      </c>
      <c r="BA52" s="21">
        <v>11696800</v>
      </c>
      <c r="BB52" s="21">
        <v>7978900</v>
      </c>
      <c r="BC52" s="21">
        <v>7192800</v>
      </c>
      <c r="BD52" s="21">
        <v>5383800</v>
      </c>
      <c r="BE52" s="21">
        <v>7584600</v>
      </c>
      <c r="BF52" s="21">
        <v>3937400</v>
      </c>
      <c r="BG52" s="21">
        <v>5780900</v>
      </c>
      <c r="BH52" s="21">
        <v>5391600</v>
      </c>
      <c r="BI52" s="21">
        <v>5271300</v>
      </c>
      <c r="BJ52" s="21">
        <v>6464400</v>
      </c>
      <c r="BK52" s="21">
        <v>8016100</v>
      </c>
      <c r="BL52" s="21">
        <v>3972600</v>
      </c>
      <c r="BM52" s="1">
        <v>5962600</v>
      </c>
      <c r="BN52" s="1">
        <v>6157300</v>
      </c>
      <c r="BO52" s="1">
        <v>4891400</v>
      </c>
      <c r="BP52" s="1">
        <v>5287100</v>
      </c>
      <c r="BQ52" s="1">
        <v>6495500</v>
      </c>
      <c r="BR52" s="1">
        <v>5334100</v>
      </c>
      <c r="BS52" s="1">
        <v>6031100</v>
      </c>
      <c r="BT52" s="1">
        <v>7277100</v>
      </c>
      <c r="BU52" s="1">
        <v>7249700</v>
      </c>
      <c r="BV52" s="1">
        <v>5576800</v>
      </c>
      <c r="BW52" s="1">
        <v>6326300</v>
      </c>
      <c r="BX52" s="1">
        <v>5402100</v>
      </c>
      <c r="BY52" s="1">
        <v>4832700</v>
      </c>
      <c r="BZ52" s="1">
        <v>6839400</v>
      </c>
    </row>
    <row r="53" spans="1:78" ht="15.9" customHeight="1">
      <c r="A53" s="393" t="s">
        <v>101</v>
      </c>
      <c r="B53" s="46" t="s">
        <v>102</v>
      </c>
      <c r="C53" s="50">
        <f>_xll.RssMarket("5201","出来高")</f>
        <v>2097000</v>
      </c>
      <c r="D53" s="202">
        <f t="shared" si="0"/>
        <v>-3197100</v>
      </c>
      <c r="E53" s="200">
        <v>5294100</v>
      </c>
      <c r="F53" s="21">
        <v>2239900</v>
      </c>
      <c r="G53" s="21">
        <v>1569600</v>
      </c>
      <c r="H53" s="21">
        <v>2888800</v>
      </c>
      <c r="I53" s="21">
        <v>1589500</v>
      </c>
      <c r="J53" s="21">
        <v>1573300</v>
      </c>
      <c r="K53" s="21">
        <v>997000</v>
      </c>
      <c r="L53" s="21">
        <v>911000</v>
      </c>
      <c r="M53" s="21">
        <v>904200</v>
      </c>
      <c r="N53" s="21">
        <v>1157800</v>
      </c>
      <c r="O53" s="21">
        <v>1132800</v>
      </c>
      <c r="P53" s="21">
        <v>1310900</v>
      </c>
      <c r="Q53" s="21">
        <v>862500</v>
      </c>
      <c r="R53" s="21">
        <v>1919900</v>
      </c>
      <c r="S53" s="21">
        <v>1094500</v>
      </c>
      <c r="T53" s="21">
        <v>1272200</v>
      </c>
      <c r="U53" s="21">
        <v>1210900</v>
      </c>
      <c r="V53" s="21">
        <v>1423100</v>
      </c>
      <c r="W53" s="21">
        <v>1589700</v>
      </c>
      <c r="X53" s="21">
        <v>986300</v>
      </c>
      <c r="Y53" s="21">
        <v>954300</v>
      </c>
      <c r="Z53" s="21">
        <v>979000</v>
      </c>
      <c r="AA53" s="21">
        <v>969700</v>
      </c>
      <c r="AB53" s="21">
        <v>1257900</v>
      </c>
      <c r="AC53" s="21">
        <v>2016000</v>
      </c>
      <c r="AD53" s="21">
        <v>1083200</v>
      </c>
      <c r="AE53" s="21">
        <v>951400</v>
      </c>
      <c r="AF53" s="21">
        <v>1191200</v>
      </c>
      <c r="AG53" s="21">
        <v>1528800</v>
      </c>
      <c r="AH53" s="21">
        <v>1225900</v>
      </c>
      <c r="AI53" s="21">
        <v>1530700</v>
      </c>
      <c r="AJ53" s="21">
        <v>1822000</v>
      </c>
      <c r="AK53" s="21">
        <v>1363900</v>
      </c>
      <c r="AL53" s="21">
        <v>1508000</v>
      </c>
      <c r="AM53" s="21">
        <v>1401300</v>
      </c>
      <c r="AN53" s="21">
        <v>1525000</v>
      </c>
      <c r="AO53" s="21">
        <v>1356100</v>
      </c>
      <c r="AP53" s="21">
        <v>1716600</v>
      </c>
      <c r="AQ53" s="21">
        <v>2738200</v>
      </c>
      <c r="AR53" s="21">
        <v>2499400</v>
      </c>
      <c r="AS53" s="21">
        <v>2514500</v>
      </c>
      <c r="AT53" s="21">
        <v>4727500</v>
      </c>
      <c r="AU53" s="21">
        <v>6108200</v>
      </c>
      <c r="AV53" s="21">
        <v>2647100</v>
      </c>
      <c r="AW53" s="21">
        <v>1498500</v>
      </c>
      <c r="AX53" s="21">
        <v>1695500</v>
      </c>
      <c r="AY53" s="21">
        <v>1772800</v>
      </c>
      <c r="AZ53" s="21">
        <v>2117200</v>
      </c>
      <c r="BA53" s="21">
        <v>1567000</v>
      </c>
      <c r="BB53" s="21">
        <v>2177100</v>
      </c>
      <c r="BC53" s="21">
        <v>2186700</v>
      </c>
      <c r="BD53" s="21">
        <v>1471300</v>
      </c>
      <c r="BE53" s="21">
        <v>1385200</v>
      </c>
      <c r="BF53" s="21">
        <v>1372100</v>
      </c>
      <c r="BG53" s="21">
        <v>2017500</v>
      </c>
      <c r="BH53" s="21">
        <v>8329200</v>
      </c>
      <c r="BI53" s="21">
        <v>1080000</v>
      </c>
      <c r="BJ53" s="21">
        <v>1626700</v>
      </c>
      <c r="BK53" s="21">
        <v>2084600</v>
      </c>
      <c r="BL53" s="21">
        <v>857400</v>
      </c>
      <c r="BM53" s="1">
        <v>1401900</v>
      </c>
      <c r="BN53" s="1">
        <v>971900</v>
      </c>
      <c r="BO53" s="1">
        <v>621100</v>
      </c>
      <c r="BP53" s="1">
        <v>777200</v>
      </c>
      <c r="BQ53" s="1">
        <v>1002700</v>
      </c>
      <c r="BR53" s="1">
        <v>757800</v>
      </c>
      <c r="BS53" s="1">
        <v>846900</v>
      </c>
      <c r="BT53" s="1">
        <v>601400</v>
      </c>
      <c r="BU53" s="1">
        <v>1032200</v>
      </c>
      <c r="BV53" s="1">
        <v>1344200</v>
      </c>
      <c r="BW53" s="1">
        <v>1062700</v>
      </c>
      <c r="BX53" s="1">
        <v>1166700</v>
      </c>
      <c r="BY53" s="1">
        <v>1341100</v>
      </c>
      <c r="BZ53" s="1">
        <v>1053000</v>
      </c>
    </row>
    <row r="54" spans="1:78" ht="15.9" customHeight="1">
      <c r="A54" s="393" t="s">
        <v>103</v>
      </c>
      <c r="B54" s="46" t="s">
        <v>104</v>
      </c>
      <c r="C54" s="50">
        <f>_xll.RssMarket("8630","出来高")</f>
        <v>752800</v>
      </c>
      <c r="D54" s="202">
        <f t="shared" si="0"/>
        <v>-1832700</v>
      </c>
      <c r="E54" s="200">
        <v>2585500</v>
      </c>
      <c r="F54" s="21">
        <v>3274200</v>
      </c>
      <c r="G54" s="21">
        <v>3011300</v>
      </c>
      <c r="H54" s="21">
        <v>2797000</v>
      </c>
      <c r="I54" s="21">
        <v>2936500</v>
      </c>
      <c r="J54" s="21">
        <v>2053700</v>
      </c>
      <c r="K54" s="21">
        <v>1986400</v>
      </c>
      <c r="L54" s="21">
        <v>2304800</v>
      </c>
      <c r="M54" s="21">
        <v>2463400</v>
      </c>
      <c r="N54" s="21">
        <v>3027900</v>
      </c>
      <c r="O54" s="21">
        <v>3122000</v>
      </c>
      <c r="P54" s="21">
        <v>3770500</v>
      </c>
      <c r="Q54" s="21">
        <v>2336700</v>
      </c>
      <c r="R54" s="21">
        <v>2318100</v>
      </c>
      <c r="S54" s="21">
        <v>2615800</v>
      </c>
      <c r="T54" s="21">
        <v>3138600</v>
      </c>
      <c r="U54" s="21">
        <v>2338500</v>
      </c>
      <c r="V54" s="21">
        <v>2542000</v>
      </c>
      <c r="W54" s="21">
        <v>3323200</v>
      </c>
      <c r="X54" s="21">
        <v>1735800</v>
      </c>
      <c r="Y54" s="21">
        <v>2511100</v>
      </c>
      <c r="Z54" s="21">
        <v>2470600</v>
      </c>
      <c r="AA54" s="21">
        <v>2520700</v>
      </c>
      <c r="AB54" s="21">
        <v>2687300</v>
      </c>
      <c r="AC54" s="21">
        <v>2647500</v>
      </c>
      <c r="AD54" s="21">
        <v>2058300</v>
      </c>
      <c r="AE54" s="21">
        <v>2945400</v>
      </c>
      <c r="AF54" s="21">
        <v>3176200</v>
      </c>
      <c r="AG54" s="21">
        <v>2755800</v>
      </c>
      <c r="AH54" s="21">
        <v>1629300</v>
      </c>
      <c r="AI54" s="21">
        <v>2403400</v>
      </c>
      <c r="AJ54" s="21">
        <v>2359700</v>
      </c>
      <c r="AK54" s="21">
        <v>1584400</v>
      </c>
      <c r="AL54" s="21">
        <v>1636300</v>
      </c>
      <c r="AM54" s="21">
        <v>2104600</v>
      </c>
      <c r="AN54" s="21">
        <v>2988000</v>
      </c>
      <c r="AO54" s="21">
        <v>3041900</v>
      </c>
      <c r="AP54" s="21">
        <v>2671600</v>
      </c>
      <c r="AQ54" s="21">
        <v>3622000</v>
      </c>
      <c r="AR54" s="21">
        <v>2221700</v>
      </c>
      <c r="AS54" s="21">
        <v>2905900</v>
      </c>
      <c r="AT54" s="21">
        <v>2946900</v>
      </c>
      <c r="AU54" s="21">
        <v>3262800</v>
      </c>
      <c r="AV54" s="21">
        <v>10049500</v>
      </c>
      <c r="AW54" s="21">
        <v>2832400</v>
      </c>
      <c r="AX54" s="21">
        <v>4562100</v>
      </c>
      <c r="AY54" s="21">
        <v>4181600</v>
      </c>
      <c r="AZ54" s="21">
        <v>5931000</v>
      </c>
      <c r="BA54" s="21">
        <v>10013600</v>
      </c>
      <c r="BB54" s="21">
        <v>3556800</v>
      </c>
      <c r="BC54" s="21">
        <v>3707800</v>
      </c>
      <c r="BD54" s="21">
        <v>2206900</v>
      </c>
      <c r="BE54" s="21">
        <v>2241700</v>
      </c>
      <c r="BF54" s="21">
        <v>2712200</v>
      </c>
      <c r="BG54" s="21">
        <v>2480500</v>
      </c>
      <c r="BH54" s="21">
        <v>1923700</v>
      </c>
      <c r="BI54" s="21">
        <v>1806200</v>
      </c>
      <c r="BJ54" s="21">
        <v>2815000</v>
      </c>
      <c r="BK54" s="21">
        <v>3500500</v>
      </c>
      <c r="BL54" s="21">
        <v>1581400</v>
      </c>
      <c r="BM54" s="1">
        <v>3008100</v>
      </c>
      <c r="BN54" s="1">
        <v>2563900</v>
      </c>
      <c r="BO54" s="1">
        <v>2237200</v>
      </c>
      <c r="BP54" s="1">
        <v>1999000</v>
      </c>
      <c r="BQ54" s="1">
        <v>2974900</v>
      </c>
      <c r="BR54" s="1">
        <v>1832200</v>
      </c>
      <c r="BS54" s="1">
        <v>1752400</v>
      </c>
      <c r="BT54" s="1">
        <v>1671700</v>
      </c>
      <c r="BU54" s="1">
        <v>1656900</v>
      </c>
      <c r="BV54" s="1">
        <v>2046800</v>
      </c>
      <c r="BW54" s="1">
        <v>1735200</v>
      </c>
      <c r="BX54" s="1">
        <v>1639900</v>
      </c>
      <c r="BY54" s="1">
        <v>2202300</v>
      </c>
      <c r="BZ54" s="1">
        <v>2063200</v>
      </c>
    </row>
    <row r="55" spans="1:78" ht="15.9" customHeight="1">
      <c r="A55" s="393" t="s">
        <v>105</v>
      </c>
      <c r="B55" s="46" t="s">
        <v>106</v>
      </c>
      <c r="C55" s="50">
        <f>_xll.RssMarket("5901","出来高")</f>
        <v>194600</v>
      </c>
      <c r="D55" s="202">
        <f t="shared" si="0"/>
        <v>-6700</v>
      </c>
      <c r="E55" s="200">
        <v>201300</v>
      </c>
      <c r="F55" s="21">
        <v>173800</v>
      </c>
      <c r="G55" s="21">
        <v>351800</v>
      </c>
      <c r="H55" s="21">
        <v>211900</v>
      </c>
      <c r="I55" s="21">
        <v>274100</v>
      </c>
      <c r="J55" s="21">
        <v>210500</v>
      </c>
      <c r="K55" s="21">
        <v>190700</v>
      </c>
      <c r="L55" s="21">
        <v>265300</v>
      </c>
      <c r="M55" s="21">
        <v>229600</v>
      </c>
      <c r="N55" s="21">
        <v>193800</v>
      </c>
      <c r="O55" s="21">
        <v>286400</v>
      </c>
      <c r="P55" s="21">
        <v>278600</v>
      </c>
      <c r="Q55" s="21">
        <v>150900</v>
      </c>
      <c r="R55" s="21">
        <v>176600</v>
      </c>
      <c r="S55" s="21">
        <v>198400</v>
      </c>
      <c r="T55" s="21">
        <v>193900</v>
      </c>
      <c r="U55" s="21">
        <v>201200</v>
      </c>
      <c r="V55" s="21">
        <v>165200</v>
      </c>
      <c r="W55" s="21">
        <v>224900</v>
      </c>
      <c r="X55" s="21">
        <v>164500</v>
      </c>
      <c r="Y55" s="21">
        <v>145400</v>
      </c>
      <c r="Z55" s="21">
        <v>186500</v>
      </c>
      <c r="AA55" s="21">
        <v>237000</v>
      </c>
      <c r="AB55" s="21">
        <v>355700</v>
      </c>
      <c r="AC55" s="21">
        <v>311700</v>
      </c>
      <c r="AD55" s="21">
        <v>238200</v>
      </c>
      <c r="AE55" s="21">
        <v>292400</v>
      </c>
      <c r="AF55" s="21">
        <v>240600</v>
      </c>
      <c r="AG55" s="21">
        <v>199100</v>
      </c>
      <c r="AH55" s="21">
        <v>172600</v>
      </c>
      <c r="AI55" s="21">
        <v>542700</v>
      </c>
      <c r="AJ55" s="21">
        <v>243400</v>
      </c>
      <c r="AK55" s="21">
        <v>249600</v>
      </c>
      <c r="AL55" s="21">
        <v>217000</v>
      </c>
      <c r="AM55" s="21">
        <v>251100</v>
      </c>
      <c r="AN55" s="21">
        <v>346600</v>
      </c>
      <c r="AO55" s="21">
        <v>199500</v>
      </c>
      <c r="AP55" s="21">
        <v>318300</v>
      </c>
      <c r="AQ55" s="21">
        <v>408800</v>
      </c>
      <c r="AR55" s="21">
        <v>254300</v>
      </c>
      <c r="AS55" s="21">
        <v>275200</v>
      </c>
      <c r="AT55" s="21">
        <v>313100</v>
      </c>
      <c r="AU55" s="21">
        <v>292700</v>
      </c>
      <c r="AV55" s="21">
        <v>550000</v>
      </c>
      <c r="AW55" s="21">
        <v>370400</v>
      </c>
      <c r="AX55" s="21">
        <v>432800</v>
      </c>
      <c r="AY55" s="21">
        <v>452300</v>
      </c>
      <c r="AZ55" s="21">
        <v>742200</v>
      </c>
      <c r="BA55" s="21">
        <v>1135700</v>
      </c>
      <c r="BB55" s="21">
        <v>829800</v>
      </c>
      <c r="BC55" s="21">
        <v>827200</v>
      </c>
      <c r="BD55" s="21">
        <v>1047500</v>
      </c>
      <c r="BE55" s="21">
        <v>856400</v>
      </c>
      <c r="BF55" s="21">
        <v>338000</v>
      </c>
      <c r="BG55" s="21">
        <v>467900</v>
      </c>
      <c r="BH55" s="21">
        <v>372700</v>
      </c>
      <c r="BI55" s="21">
        <v>443100</v>
      </c>
      <c r="BJ55" s="21">
        <v>783700</v>
      </c>
      <c r="BK55" s="21">
        <v>896500</v>
      </c>
      <c r="BL55" s="21">
        <v>966600</v>
      </c>
      <c r="BM55" s="1">
        <v>642900</v>
      </c>
      <c r="BN55" s="1">
        <v>391800</v>
      </c>
      <c r="BO55" s="1">
        <v>467600</v>
      </c>
      <c r="BP55" s="1">
        <v>302900</v>
      </c>
      <c r="BQ55" s="1">
        <v>352100</v>
      </c>
      <c r="BR55" s="1">
        <v>360800</v>
      </c>
      <c r="BS55" s="1">
        <v>231200</v>
      </c>
      <c r="BT55" s="1">
        <v>263400</v>
      </c>
      <c r="BU55" s="1">
        <v>409200</v>
      </c>
      <c r="BV55" s="1">
        <v>290200</v>
      </c>
      <c r="BW55" s="1">
        <v>426000</v>
      </c>
      <c r="BX55" s="1">
        <v>616900</v>
      </c>
      <c r="BY55" s="1">
        <v>388700</v>
      </c>
      <c r="BZ55" s="1">
        <v>273400</v>
      </c>
    </row>
    <row r="56" spans="1:78" ht="15.9" customHeight="1">
      <c r="A56" s="393" t="s">
        <v>107</v>
      </c>
      <c r="B56" s="46" t="s">
        <v>108</v>
      </c>
      <c r="C56" s="50">
        <f>_xll.RssMarket("9412","出来高")</f>
        <v>1701000</v>
      </c>
      <c r="D56" s="202">
        <f t="shared" si="0"/>
        <v>-823700</v>
      </c>
      <c r="E56" s="200">
        <v>2524700</v>
      </c>
      <c r="F56" s="21">
        <v>2489200</v>
      </c>
      <c r="G56" s="21">
        <v>2421400</v>
      </c>
      <c r="H56" s="21">
        <v>1472600</v>
      </c>
      <c r="I56" s="21">
        <v>2480900</v>
      </c>
      <c r="J56" s="21">
        <v>2307800</v>
      </c>
      <c r="K56" s="21">
        <v>1373600</v>
      </c>
      <c r="L56" s="21">
        <v>1847100</v>
      </c>
      <c r="M56" s="21">
        <v>1789100</v>
      </c>
      <c r="N56" s="21">
        <v>1433500</v>
      </c>
      <c r="O56" s="21">
        <v>1546600</v>
      </c>
      <c r="P56" s="21">
        <v>2579000</v>
      </c>
      <c r="Q56" s="21">
        <v>1957400</v>
      </c>
      <c r="R56" s="21">
        <v>1861100</v>
      </c>
      <c r="S56" s="21">
        <v>2271100</v>
      </c>
      <c r="T56" s="21">
        <v>1874600</v>
      </c>
      <c r="U56" s="21">
        <v>2203300</v>
      </c>
      <c r="V56" s="21">
        <v>4309700</v>
      </c>
      <c r="W56" s="21">
        <v>4294600</v>
      </c>
      <c r="X56" s="21">
        <v>3819400</v>
      </c>
      <c r="Y56" s="21">
        <v>3303900</v>
      </c>
      <c r="Z56" s="21">
        <v>2530200</v>
      </c>
      <c r="AA56" s="21">
        <v>3911400</v>
      </c>
      <c r="AB56" s="21">
        <v>4725600</v>
      </c>
      <c r="AC56" s="21">
        <v>3779900</v>
      </c>
      <c r="AD56" s="21">
        <v>7888900</v>
      </c>
      <c r="AE56" s="21">
        <v>6630500</v>
      </c>
      <c r="AF56" s="21">
        <v>5135400</v>
      </c>
      <c r="AG56" s="21">
        <v>5203700</v>
      </c>
      <c r="AH56" s="21">
        <v>1808700</v>
      </c>
      <c r="AI56" s="21">
        <v>2437000</v>
      </c>
      <c r="AJ56" s="21">
        <v>5562100</v>
      </c>
      <c r="AK56" s="21">
        <v>1970700</v>
      </c>
      <c r="AL56" s="21">
        <v>3425800</v>
      </c>
      <c r="AM56" s="21">
        <v>4231600</v>
      </c>
      <c r="AN56" s="21">
        <v>3443500</v>
      </c>
      <c r="AO56" s="21">
        <v>2984600</v>
      </c>
      <c r="AP56" s="21">
        <v>3799500</v>
      </c>
      <c r="AQ56" s="21">
        <v>2672000</v>
      </c>
      <c r="AR56" s="21">
        <v>3142500</v>
      </c>
      <c r="AS56" s="21">
        <v>5760800</v>
      </c>
      <c r="AT56" s="21">
        <v>3329800</v>
      </c>
      <c r="AU56" s="21">
        <v>6144300</v>
      </c>
      <c r="AV56" s="21">
        <v>4559100</v>
      </c>
      <c r="AW56" s="21">
        <v>3136300</v>
      </c>
      <c r="AX56" s="21">
        <v>4040700</v>
      </c>
      <c r="AY56" s="21">
        <v>2687000</v>
      </c>
      <c r="AZ56" s="21">
        <v>2135900</v>
      </c>
      <c r="BA56" s="21">
        <v>2721500</v>
      </c>
      <c r="BB56" s="21">
        <v>3876400</v>
      </c>
      <c r="BC56" s="21">
        <v>2249400</v>
      </c>
      <c r="BD56" s="21">
        <v>2381800</v>
      </c>
      <c r="BE56" s="21">
        <v>2897500</v>
      </c>
      <c r="BF56" s="21">
        <v>4393500</v>
      </c>
      <c r="BG56" s="21">
        <v>3162100</v>
      </c>
      <c r="BH56" s="21">
        <v>3347000</v>
      </c>
      <c r="BI56" s="21">
        <v>2527900</v>
      </c>
      <c r="BJ56" s="21">
        <v>2740100</v>
      </c>
      <c r="BK56" s="21">
        <v>4437300</v>
      </c>
      <c r="BL56" s="21">
        <v>3303900</v>
      </c>
      <c r="BM56" s="1">
        <v>2790600</v>
      </c>
      <c r="BN56" s="1">
        <v>3326300</v>
      </c>
      <c r="BO56" s="1">
        <v>1820200</v>
      </c>
      <c r="BP56" s="1">
        <v>1442800</v>
      </c>
      <c r="BQ56" s="1">
        <v>1650400</v>
      </c>
      <c r="BR56" s="1">
        <v>2017800</v>
      </c>
      <c r="BS56" s="1">
        <v>1360000</v>
      </c>
      <c r="BT56" s="1">
        <v>1204900</v>
      </c>
      <c r="BU56" s="1">
        <v>1570000</v>
      </c>
      <c r="BV56" s="1">
        <v>1300700</v>
      </c>
      <c r="BW56" s="1">
        <v>948200</v>
      </c>
      <c r="BX56" s="1">
        <v>1066300</v>
      </c>
      <c r="BY56" s="1">
        <v>1304500</v>
      </c>
      <c r="BZ56" s="1">
        <v>1456500</v>
      </c>
    </row>
    <row r="57" spans="1:78" ht="15.9" customHeight="1">
      <c r="A57" s="393" t="s">
        <v>109</v>
      </c>
      <c r="B57" s="46" t="s">
        <v>110</v>
      </c>
      <c r="C57" s="50">
        <f>_xll.RssMarket("6203","出来高")</f>
        <v>224700</v>
      </c>
      <c r="D57" s="202">
        <f t="shared" si="0"/>
        <v>51900</v>
      </c>
      <c r="E57" s="200">
        <v>172800</v>
      </c>
      <c r="F57" s="21">
        <v>160400</v>
      </c>
      <c r="G57" s="21">
        <v>291500</v>
      </c>
      <c r="H57" s="21">
        <v>253800</v>
      </c>
      <c r="I57" s="21">
        <v>340300</v>
      </c>
      <c r="J57" s="21">
        <v>329000</v>
      </c>
      <c r="K57" s="21">
        <v>170700</v>
      </c>
      <c r="L57" s="21">
        <v>166600</v>
      </c>
      <c r="M57" s="21">
        <v>143500</v>
      </c>
      <c r="N57" s="21">
        <v>180600</v>
      </c>
      <c r="O57" s="21">
        <v>289900</v>
      </c>
      <c r="P57" s="21">
        <v>537000</v>
      </c>
      <c r="Q57" s="21">
        <v>494100</v>
      </c>
      <c r="R57" s="21">
        <v>233300</v>
      </c>
      <c r="S57" s="21">
        <v>378100</v>
      </c>
      <c r="T57" s="21">
        <v>468300</v>
      </c>
      <c r="U57" s="21">
        <v>270100</v>
      </c>
      <c r="V57" s="21">
        <v>392100</v>
      </c>
      <c r="W57" s="21">
        <v>1172700</v>
      </c>
      <c r="X57" s="21">
        <v>668600</v>
      </c>
      <c r="Y57" s="21">
        <v>217100</v>
      </c>
      <c r="Z57" s="21">
        <v>236500</v>
      </c>
      <c r="AA57" s="21">
        <v>159500</v>
      </c>
      <c r="AB57" s="21">
        <v>248500</v>
      </c>
      <c r="AC57" s="21">
        <v>363200</v>
      </c>
      <c r="AD57" s="21">
        <v>766700</v>
      </c>
      <c r="AE57" s="21">
        <v>202000</v>
      </c>
      <c r="AF57" s="21">
        <v>189400</v>
      </c>
      <c r="AG57" s="21">
        <v>326200</v>
      </c>
      <c r="AH57" s="21">
        <v>296800</v>
      </c>
      <c r="AI57" s="21">
        <v>355100</v>
      </c>
      <c r="AJ57" s="21">
        <v>546500</v>
      </c>
      <c r="AK57" s="21">
        <v>533500</v>
      </c>
      <c r="AL57" s="21">
        <v>456800</v>
      </c>
      <c r="AM57" s="21">
        <v>403500</v>
      </c>
      <c r="AN57" s="21">
        <v>571900</v>
      </c>
      <c r="AO57" s="21">
        <v>663000</v>
      </c>
      <c r="AP57" s="21">
        <v>952400</v>
      </c>
      <c r="AQ57" s="21">
        <v>1275000</v>
      </c>
      <c r="AR57" s="21">
        <v>1126800</v>
      </c>
      <c r="AS57" s="21">
        <v>1811400</v>
      </c>
      <c r="AT57" s="21">
        <v>2705900</v>
      </c>
      <c r="AU57" s="21">
        <v>6712800</v>
      </c>
      <c r="AV57" s="21">
        <v>6707600</v>
      </c>
      <c r="AW57" s="21">
        <v>1544900</v>
      </c>
      <c r="AX57" s="21">
        <v>196500</v>
      </c>
      <c r="AY57" s="21">
        <v>110800</v>
      </c>
      <c r="AZ57" s="21">
        <v>140800</v>
      </c>
      <c r="BA57" s="21">
        <v>198400</v>
      </c>
      <c r="BB57" s="21">
        <v>255300</v>
      </c>
      <c r="BC57" s="21">
        <v>238900</v>
      </c>
      <c r="BD57" s="21">
        <v>691500</v>
      </c>
      <c r="BE57" s="21">
        <v>594500</v>
      </c>
      <c r="BF57" s="21">
        <v>342700</v>
      </c>
      <c r="BG57" s="21">
        <v>186900</v>
      </c>
      <c r="BH57" s="21">
        <v>235400</v>
      </c>
      <c r="BI57" s="21">
        <v>223400</v>
      </c>
      <c r="BJ57" s="21">
        <v>240400</v>
      </c>
      <c r="BK57" s="21">
        <v>212300</v>
      </c>
      <c r="BL57" s="21">
        <v>104400</v>
      </c>
      <c r="BM57" s="1">
        <v>220400</v>
      </c>
      <c r="BN57" s="1">
        <v>265200</v>
      </c>
      <c r="BO57" s="1">
        <v>243100</v>
      </c>
      <c r="BP57" s="1">
        <v>296000</v>
      </c>
      <c r="BQ57" s="1">
        <v>811900</v>
      </c>
      <c r="BR57" s="1">
        <v>891200</v>
      </c>
      <c r="BS57" s="1">
        <v>545900</v>
      </c>
      <c r="BT57" s="1">
        <v>126300</v>
      </c>
      <c r="BU57" s="1">
        <v>188400</v>
      </c>
      <c r="BV57" s="1">
        <v>398400</v>
      </c>
      <c r="BW57" s="1">
        <v>334300</v>
      </c>
      <c r="BX57" s="1">
        <v>129900</v>
      </c>
      <c r="BY57" s="1">
        <v>155400</v>
      </c>
      <c r="BZ57" s="1">
        <v>268500</v>
      </c>
    </row>
    <row r="58" spans="1:78" ht="15.9" customHeight="1">
      <c r="A58" s="393" t="s">
        <v>111</v>
      </c>
      <c r="B58" s="46" t="s">
        <v>112</v>
      </c>
      <c r="C58" s="50">
        <f>_xll.RssMarket("4676","出来高")</f>
        <v>588800</v>
      </c>
      <c r="D58" s="202">
        <f t="shared" si="0"/>
        <v>-2100</v>
      </c>
      <c r="E58" s="200">
        <v>590900</v>
      </c>
      <c r="F58" s="21">
        <v>741700</v>
      </c>
      <c r="G58" s="21">
        <v>826700</v>
      </c>
      <c r="H58" s="21">
        <v>548500</v>
      </c>
      <c r="I58" s="21">
        <v>682800</v>
      </c>
      <c r="J58" s="21">
        <v>507000</v>
      </c>
      <c r="K58" s="21">
        <v>374000</v>
      </c>
      <c r="L58" s="21">
        <v>344700</v>
      </c>
      <c r="M58" s="21">
        <v>423100</v>
      </c>
      <c r="N58" s="21">
        <v>409800</v>
      </c>
      <c r="O58" s="21">
        <v>497900</v>
      </c>
      <c r="P58" s="21">
        <v>721100</v>
      </c>
      <c r="Q58" s="21">
        <v>508800</v>
      </c>
      <c r="R58" s="21">
        <v>699900</v>
      </c>
      <c r="S58" s="21">
        <v>441100</v>
      </c>
      <c r="T58" s="21">
        <v>503100</v>
      </c>
      <c r="U58" s="21">
        <v>512400</v>
      </c>
      <c r="V58" s="21">
        <v>509400</v>
      </c>
      <c r="W58" s="21">
        <v>513700</v>
      </c>
      <c r="X58" s="21">
        <v>591500</v>
      </c>
      <c r="Y58" s="21">
        <v>362300</v>
      </c>
      <c r="Z58" s="21">
        <v>579400</v>
      </c>
      <c r="AA58" s="21">
        <v>898600</v>
      </c>
      <c r="AB58" s="21">
        <v>634100</v>
      </c>
      <c r="AC58" s="21">
        <v>637700</v>
      </c>
      <c r="AD58" s="21">
        <v>805300</v>
      </c>
      <c r="AE58" s="21">
        <v>1815100</v>
      </c>
      <c r="AF58" s="21">
        <v>485000</v>
      </c>
      <c r="AG58" s="21">
        <v>674600</v>
      </c>
      <c r="AH58" s="21">
        <v>660000</v>
      </c>
      <c r="AI58" s="21">
        <v>1388300</v>
      </c>
      <c r="AJ58" s="21">
        <v>405000</v>
      </c>
      <c r="AK58" s="21">
        <v>435200</v>
      </c>
      <c r="AL58" s="21">
        <v>371900</v>
      </c>
      <c r="AM58" s="21">
        <v>480600</v>
      </c>
      <c r="AN58" s="21">
        <v>571200</v>
      </c>
      <c r="AO58" s="21">
        <v>597900</v>
      </c>
      <c r="AP58" s="21">
        <v>543200</v>
      </c>
      <c r="AQ58" s="21">
        <v>835200</v>
      </c>
      <c r="AR58" s="21">
        <v>2456800</v>
      </c>
      <c r="AS58" s="21">
        <v>512200</v>
      </c>
      <c r="AT58" s="21">
        <v>496400</v>
      </c>
      <c r="AU58" s="21">
        <v>708200</v>
      </c>
      <c r="AV58" s="21">
        <v>631700</v>
      </c>
      <c r="AW58" s="21">
        <v>258100</v>
      </c>
      <c r="AX58" s="21">
        <v>467300</v>
      </c>
      <c r="AY58" s="21">
        <v>602900</v>
      </c>
      <c r="AZ58" s="21">
        <v>297600</v>
      </c>
      <c r="BA58" s="21">
        <v>302800</v>
      </c>
      <c r="BB58" s="21">
        <v>420700</v>
      </c>
      <c r="BC58" s="21">
        <v>424900</v>
      </c>
      <c r="BD58" s="21">
        <v>818700</v>
      </c>
      <c r="BE58" s="21">
        <v>466900</v>
      </c>
      <c r="BF58" s="21">
        <v>505700</v>
      </c>
      <c r="BG58" s="21">
        <v>1028200</v>
      </c>
      <c r="BH58" s="21">
        <v>279900</v>
      </c>
      <c r="BI58" s="21">
        <v>810100</v>
      </c>
      <c r="BJ58" s="21">
        <v>489400</v>
      </c>
      <c r="BK58" s="21">
        <v>540900</v>
      </c>
      <c r="BL58" s="21">
        <v>464000</v>
      </c>
      <c r="BM58" s="1">
        <v>698100</v>
      </c>
      <c r="BN58" s="1">
        <v>790300</v>
      </c>
      <c r="BO58" s="1">
        <v>366700</v>
      </c>
      <c r="BP58" s="1">
        <v>497500</v>
      </c>
      <c r="BQ58" s="1">
        <v>479000</v>
      </c>
      <c r="BR58" s="1">
        <v>616800</v>
      </c>
      <c r="BS58" s="1">
        <v>479900</v>
      </c>
      <c r="BT58" s="1">
        <v>1756100</v>
      </c>
      <c r="BU58" s="1">
        <v>1675300</v>
      </c>
      <c r="BV58" s="1">
        <v>2938600</v>
      </c>
      <c r="BW58" s="1">
        <v>1374500</v>
      </c>
      <c r="BX58" s="1">
        <v>530400</v>
      </c>
      <c r="BY58" s="1">
        <v>805500</v>
      </c>
      <c r="BZ58" s="1">
        <v>484200</v>
      </c>
    </row>
    <row r="59" spans="1:78" ht="15.9" customHeight="1">
      <c r="A59" s="393" t="s">
        <v>113</v>
      </c>
      <c r="B59" s="46" t="s">
        <v>114</v>
      </c>
      <c r="C59" s="50">
        <f>_xll.RssMarket("1961","出来高")</f>
        <v>773500</v>
      </c>
      <c r="D59" s="202">
        <f t="shared" si="0"/>
        <v>52300</v>
      </c>
      <c r="E59" s="200">
        <v>721200</v>
      </c>
      <c r="F59" s="21">
        <v>751200</v>
      </c>
      <c r="G59" s="21">
        <v>1673100</v>
      </c>
      <c r="H59" s="21">
        <v>1172400</v>
      </c>
      <c r="I59" s="21">
        <v>1034000</v>
      </c>
      <c r="J59" s="21">
        <v>628600</v>
      </c>
      <c r="K59" s="21">
        <v>940700</v>
      </c>
      <c r="L59" s="21">
        <v>838900</v>
      </c>
      <c r="M59" s="21">
        <v>402300</v>
      </c>
      <c r="N59" s="21">
        <v>519300</v>
      </c>
      <c r="O59" s="21">
        <v>607300</v>
      </c>
      <c r="P59" s="21">
        <v>685100</v>
      </c>
      <c r="Q59" s="21">
        <v>531700</v>
      </c>
      <c r="R59" s="21">
        <v>1009300</v>
      </c>
      <c r="S59" s="21">
        <v>704400</v>
      </c>
      <c r="T59" s="21">
        <v>810000</v>
      </c>
      <c r="U59" s="21">
        <v>788400</v>
      </c>
      <c r="V59" s="21">
        <v>584900</v>
      </c>
      <c r="W59" s="21">
        <v>614100</v>
      </c>
      <c r="X59" s="21">
        <v>659700</v>
      </c>
      <c r="Y59" s="21">
        <v>669800</v>
      </c>
      <c r="Z59" s="21">
        <v>486200</v>
      </c>
      <c r="AA59" s="21">
        <v>589800</v>
      </c>
      <c r="AB59" s="21">
        <v>656600</v>
      </c>
      <c r="AC59" s="21">
        <v>480500</v>
      </c>
      <c r="AD59" s="21">
        <v>533900</v>
      </c>
      <c r="AE59" s="21">
        <v>554400</v>
      </c>
      <c r="AF59" s="21">
        <v>362000</v>
      </c>
      <c r="AG59" s="21">
        <v>1014200</v>
      </c>
      <c r="AH59" s="21">
        <v>472000</v>
      </c>
      <c r="AI59" s="21">
        <v>1117300</v>
      </c>
      <c r="AJ59" s="21">
        <v>971300</v>
      </c>
      <c r="AK59" s="21">
        <v>376500</v>
      </c>
      <c r="AL59" s="21">
        <v>448800</v>
      </c>
      <c r="AM59" s="21">
        <v>737700</v>
      </c>
      <c r="AN59" s="21">
        <v>635000</v>
      </c>
      <c r="AO59" s="21">
        <v>721300</v>
      </c>
      <c r="AP59" s="21">
        <v>890400</v>
      </c>
      <c r="AQ59" s="21">
        <v>684000</v>
      </c>
      <c r="AR59" s="21">
        <v>677600</v>
      </c>
      <c r="AS59" s="21">
        <v>715100</v>
      </c>
      <c r="AT59" s="21">
        <v>339000</v>
      </c>
      <c r="AU59" s="21">
        <v>536600</v>
      </c>
      <c r="AV59" s="21">
        <v>878500</v>
      </c>
      <c r="AW59" s="21">
        <v>484800</v>
      </c>
      <c r="AX59" s="21">
        <v>497500</v>
      </c>
      <c r="AY59" s="21">
        <v>705900</v>
      </c>
      <c r="AZ59" s="21">
        <v>518400</v>
      </c>
      <c r="BA59" s="21">
        <v>797200</v>
      </c>
      <c r="BB59" s="21">
        <v>915600</v>
      </c>
      <c r="BC59" s="21">
        <v>594300</v>
      </c>
      <c r="BD59" s="21">
        <v>648200</v>
      </c>
      <c r="BE59" s="21">
        <v>708900</v>
      </c>
      <c r="BF59" s="21">
        <v>822200</v>
      </c>
      <c r="BG59" s="21">
        <v>393500</v>
      </c>
      <c r="BH59" s="21">
        <v>595100</v>
      </c>
      <c r="BI59" s="21">
        <v>575000</v>
      </c>
      <c r="BJ59" s="21">
        <v>821200</v>
      </c>
      <c r="BK59" s="21">
        <v>1140200</v>
      </c>
      <c r="BL59" s="21">
        <v>574900</v>
      </c>
      <c r="BM59" s="1">
        <v>963700</v>
      </c>
      <c r="BN59" s="1">
        <v>710300</v>
      </c>
      <c r="BO59" s="1">
        <v>184200</v>
      </c>
      <c r="BP59" s="1">
        <v>182700</v>
      </c>
      <c r="BQ59" s="1">
        <v>194900</v>
      </c>
      <c r="BR59" s="1">
        <v>138700</v>
      </c>
      <c r="BS59" s="1">
        <v>150900</v>
      </c>
      <c r="BT59" s="1">
        <v>167900</v>
      </c>
      <c r="BU59" s="1">
        <v>328600</v>
      </c>
      <c r="BV59" s="1">
        <v>644400</v>
      </c>
      <c r="BW59" s="1">
        <v>507600</v>
      </c>
      <c r="BX59" s="1">
        <v>333200</v>
      </c>
      <c r="BY59" s="1">
        <v>318100</v>
      </c>
      <c r="BZ59" s="1">
        <v>447000</v>
      </c>
    </row>
    <row r="60" spans="1:78" ht="15.9" customHeight="1">
      <c r="A60" s="393" t="s">
        <v>115</v>
      </c>
      <c r="B60" s="46" t="s">
        <v>116</v>
      </c>
      <c r="C60" s="50">
        <f>_xll.RssMarket("3107","出来高")</f>
        <v>176900</v>
      </c>
      <c r="D60" s="202">
        <f t="shared" si="0"/>
        <v>-91900</v>
      </c>
      <c r="E60" s="200">
        <v>268800</v>
      </c>
      <c r="F60" s="21">
        <v>271600</v>
      </c>
      <c r="G60" s="21">
        <v>294300</v>
      </c>
      <c r="H60" s="21">
        <v>328600</v>
      </c>
      <c r="I60" s="21">
        <v>290200</v>
      </c>
      <c r="J60" s="21">
        <v>302500</v>
      </c>
      <c r="K60" s="21">
        <v>327100</v>
      </c>
      <c r="L60" s="21">
        <v>211200</v>
      </c>
      <c r="M60" s="21">
        <v>208500</v>
      </c>
      <c r="N60" s="21">
        <v>229600</v>
      </c>
      <c r="O60" s="21">
        <v>250700</v>
      </c>
      <c r="P60" s="21">
        <v>267400</v>
      </c>
      <c r="Q60" s="21">
        <v>241300</v>
      </c>
      <c r="R60" s="21">
        <v>356200</v>
      </c>
      <c r="S60" s="21">
        <v>310500</v>
      </c>
      <c r="T60" s="21">
        <v>419100</v>
      </c>
      <c r="U60" s="21">
        <v>288400</v>
      </c>
      <c r="V60" s="21">
        <v>303600</v>
      </c>
      <c r="W60" s="21">
        <v>242600</v>
      </c>
      <c r="X60" s="21">
        <v>267500</v>
      </c>
      <c r="Y60" s="21">
        <v>356800</v>
      </c>
      <c r="Z60" s="21">
        <v>391000</v>
      </c>
      <c r="AA60" s="21">
        <v>264500</v>
      </c>
      <c r="AB60" s="21">
        <v>326200</v>
      </c>
      <c r="AC60" s="21">
        <v>418300</v>
      </c>
      <c r="AD60" s="21">
        <v>282000</v>
      </c>
      <c r="AE60" s="21">
        <v>264500</v>
      </c>
      <c r="AF60" s="21">
        <v>212700</v>
      </c>
      <c r="AG60" s="21">
        <v>264600</v>
      </c>
      <c r="AH60" s="21">
        <v>221300</v>
      </c>
      <c r="AI60" s="21">
        <v>398500</v>
      </c>
      <c r="AJ60" s="21">
        <v>282400</v>
      </c>
      <c r="AK60" s="21">
        <v>294100</v>
      </c>
      <c r="AL60" s="21">
        <v>227600</v>
      </c>
      <c r="AM60" s="21">
        <v>261100</v>
      </c>
      <c r="AN60" s="21">
        <v>308000</v>
      </c>
      <c r="AO60" s="21">
        <v>300000</v>
      </c>
      <c r="AP60" s="21">
        <v>502900</v>
      </c>
      <c r="AQ60" s="21">
        <v>291200</v>
      </c>
      <c r="AR60" s="21">
        <v>196200</v>
      </c>
      <c r="AS60" s="21">
        <v>252600</v>
      </c>
      <c r="AT60" s="21">
        <v>321800</v>
      </c>
      <c r="AU60" s="21">
        <v>461400</v>
      </c>
      <c r="AV60" s="21">
        <v>394300</v>
      </c>
      <c r="AW60" s="21">
        <v>268600</v>
      </c>
      <c r="AX60" s="21">
        <v>261400</v>
      </c>
      <c r="AY60" s="21">
        <v>383500</v>
      </c>
      <c r="AZ60" s="21">
        <v>181600</v>
      </c>
      <c r="BA60" s="21">
        <v>177200</v>
      </c>
      <c r="BB60" s="21">
        <v>324900</v>
      </c>
      <c r="BC60" s="21">
        <v>284300</v>
      </c>
      <c r="BD60" s="21">
        <v>338600</v>
      </c>
      <c r="BE60" s="21">
        <v>443600</v>
      </c>
      <c r="BF60" s="21">
        <v>499700</v>
      </c>
      <c r="BG60" s="21">
        <v>246100</v>
      </c>
      <c r="BH60" s="21">
        <v>239600</v>
      </c>
      <c r="BI60" s="21">
        <v>306800</v>
      </c>
      <c r="BJ60" s="21">
        <v>475700</v>
      </c>
      <c r="BK60" s="21">
        <v>429100</v>
      </c>
      <c r="BL60" s="21">
        <v>230800</v>
      </c>
      <c r="BM60" s="1">
        <v>226600</v>
      </c>
      <c r="BN60" s="1">
        <v>314600</v>
      </c>
      <c r="BO60" s="1">
        <v>236100</v>
      </c>
      <c r="BP60" s="1">
        <v>210900</v>
      </c>
      <c r="BQ60" s="1">
        <v>330400</v>
      </c>
      <c r="BR60" s="1">
        <v>238100</v>
      </c>
      <c r="BS60" s="1">
        <v>297900</v>
      </c>
      <c r="BT60" s="1">
        <v>300900</v>
      </c>
      <c r="BU60" s="1">
        <v>267300</v>
      </c>
      <c r="BV60" s="1">
        <v>301600</v>
      </c>
      <c r="BW60" s="1">
        <v>205700</v>
      </c>
      <c r="BX60" s="1">
        <v>308400</v>
      </c>
      <c r="BY60" s="1">
        <v>211500</v>
      </c>
      <c r="BZ60" s="1">
        <v>269400</v>
      </c>
    </row>
    <row r="61" spans="1:78" ht="15.9" customHeight="1">
      <c r="A61" s="393" t="s">
        <v>117</v>
      </c>
      <c r="B61" s="46" t="s">
        <v>118</v>
      </c>
      <c r="C61" s="50">
        <f>_xll.RssMarket("4045","出来高")</f>
        <v>125800</v>
      </c>
      <c r="D61" s="202">
        <f t="shared" si="0"/>
        <v>-166000</v>
      </c>
      <c r="E61" s="200">
        <v>291800</v>
      </c>
      <c r="F61" s="21">
        <v>467400</v>
      </c>
      <c r="G61" s="21">
        <v>479500</v>
      </c>
      <c r="H61" s="21">
        <v>918100</v>
      </c>
      <c r="I61" s="21">
        <v>287600</v>
      </c>
      <c r="J61" s="21">
        <v>348200</v>
      </c>
      <c r="K61" s="21">
        <v>343200</v>
      </c>
      <c r="L61" s="21">
        <v>273400</v>
      </c>
      <c r="M61" s="21">
        <v>223100</v>
      </c>
      <c r="N61" s="21">
        <v>399900</v>
      </c>
      <c r="O61" s="21">
        <v>223000</v>
      </c>
      <c r="P61" s="21">
        <v>234500</v>
      </c>
      <c r="Q61" s="21">
        <v>162300</v>
      </c>
      <c r="R61" s="21">
        <v>215300</v>
      </c>
      <c r="S61" s="21">
        <v>221200</v>
      </c>
      <c r="T61" s="21">
        <v>254500</v>
      </c>
      <c r="U61" s="21">
        <v>207200</v>
      </c>
      <c r="V61" s="21">
        <v>216300</v>
      </c>
      <c r="W61" s="21">
        <v>331400</v>
      </c>
      <c r="X61" s="21">
        <v>241300</v>
      </c>
      <c r="Y61" s="21">
        <v>499000</v>
      </c>
      <c r="Z61" s="21">
        <v>266700</v>
      </c>
      <c r="AA61" s="21">
        <v>230100</v>
      </c>
      <c r="AB61" s="21">
        <v>219900</v>
      </c>
      <c r="AC61" s="21">
        <v>329900</v>
      </c>
      <c r="AD61" s="21">
        <v>370100</v>
      </c>
      <c r="AE61" s="21">
        <v>333400</v>
      </c>
      <c r="AF61" s="21">
        <v>259600</v>
      </c>
      <c r="AG61" s="21">
        <v>289000</v>
      </c>
      <c r="AH61" s="21">
        <v>181600</v>
      </c>
      <c r="AI61" s="21">
        <v>255600</v>
      </c>
      <c r="AJ61" s="21">
        <v>295800</v>
      </c>
      <c r="AK61" s="21">
        <v>170600</v>
      </c>
      <c r="AL61" s="21">
        <v>185200</v>
      </c>
      <c r="AM61" s="21">
        <v>230300</v>
      </c>
      <c r="AN61" s="21">
        <v>260000</v>
      </c>
      <c r="AO61" s="21">
        <v>237100</v>
      </c>
      <c r="AP61" s="21">
        <v>335700</v>
      </c>
      <c r="AQ61" s="21">
        <v>381000</v>
      </c>
      <c r="AR61" s="21">
        <v>289100</v>
      </c>
      <c r="AS61" s="21">
        <v>248800</v>
      </c>
      <c r="AT61" s="21">
        <v>267600</v>
      </c>
      <c r="AU61" s="21">
        <v>386300</v>
      </c>
      <c r="AV61" s="21">
        <v>353800</v>
      </c>
      <c r="AW61" s="21">
        <v>216900</v>
      </c>
      <c r="AX61" s="21">
        <v>247500</v>
      </c>
      <c r="AY61" s="21">
        <v>185900</v>
      </c>
      <c r="AZ61" s="21">
        <v>138200</v>
      </c>
      <c r="BA61" s="21">
        <v>227300</v>
      </c>
      <c r="BB61" s="21">
        <v>452400</v>
      </c>
      <c r="BC61" s="21">
        <v>366200</v>
      </c>
      <c r="BD61" s="21">
        <v>244600</v>
      </c>
      <c r="BE61" s="21">
        <v>266600</v>
      </c>
      <c r="BF61" s="21">
        <v>208300</v>
      </c>
      <c r="BG61" s="21">
        <v>170900</v>
      </c>
      <c r="BH61" s="21">
        <v>254100</v>
      </c>
      <c r="BI61" s="21">
        <v>239000</v>
      </c>
      <c r="BJ61" s="21">
        <v>283700</v>
      </c>
      <c r="BK61" s="21">
        <v>437300</v>
      </c>
      <c r="BL61" s="21">
        <v>356200</v>
      </c>
      <c r="BM61" s="1">
        <v>608200</v>
      </c>
      <c r="BN61" s="1">
        <v>517400</v>
      </c>
      <c r="BO61" s="1">
        <v>355600</v>
      </c>
      <c r="BP61" s="1">
        <v>319200</v>
      </c>
      <c r="BQ61" s="1">
        <v>445700</v>
      </c>
      <c r="BR61" s="1">
        <v>229900</v>
      </c>
      <c r="BS61" s="1">
        <v>189100</v>
      </c>
      <c r="BT61" s="1">
        <v>225900</v>
      </c>
      <c r="BU61" s="1">
        <v>259800</v>
      </c>
      <c r="BV61" s="1">
        <v>258700</v>
      </c>
      <c r="BW61" s="1">
        <v>211400</v>
      </c>
      <c r="BX61" s="1">
        <v>209600</v>
      </c>
      <c r="BY61" s="1">
        <v>419200</v>
      </c>
      <c r="BZ61" s="1">
        <v>469900</v>
      </c>
    </row>
    <row r="62" spans="1:78" ht="15.9" customHeight="1">
      <c r="A62" s="393" t="s">
        <v>119</v>
      </c>
      <c r="B62" s="46" t="s">
        <v>120</v>
      </c>
      <c r="C62" s="50">
        <f>_xll.RssMarket("5857","出来高")</f>
        <v>1096300</v>
      </c>
      <c r="D62" s="202">
        <f t="shared" si="0"/>
        <v>455400</v>
      </c>
      <c r="E62" s="200">
        <v>640900</v>
      </c>
      <c r="F62" s="21">
        <v>700000</v>
      </c>
      <c r="G62" s="21">
        <v>604500</v>
      </c>
      <c r="H62" s="21">
        <v>602000</v>
      </c>
      <c r="I62" s="21">
        <v>832600</v>
      </c>
      <c r="J62" s="21">
        <v>605800</v>
      </c>
      <c r="K62" s="21">
        <v>494300</v>
      </c>
      <c r="L62" s="21">
        <v>543900</v>
      </c>
      <c r="M62" s="21">
        <v>575000</v>
      </c>
      <c r="N62" s="21">
        <v>510900</v>
      </c>
      <c r="O62" s="21">
        <v>645100</v>
      </c>
      <c r="P62" s="21">
        <v>955100</v>
      </c>
      <c r="Q62" s="21">
        <v>710200</v>
      </c>
      <c r="R62" s="21">
        <v>711900</v>
      </c>
      <c r="S62" s="21">
        <v>742200</v>
      </c>
      <c r="T62" s="21">
        <v>723700</v>
      </c>
      <c r="U62" s="21">
        <v>555800</v>
      </c>
      <c r="V62" s="21">
        <v>675200</v>
      </c>
      <c r="W62" s="21">
        <v>569700</v>
      </c>
      <c r="X62" s="21">
        <v>490700</v>
      </c>
      <c r="Y62" s="21">
        <v>612300</v>
      </c>
      <c r="Z62" s="21">
        <v>670200</v>
      </c>
      <c r="AA62" s="21">
        <v>656200</v>
      </c>
      <c r="AB62" s="21">
        <v>638400</v>
      </c>
      <c r="AC62" s="21">
        <v>621000</v>
      </c>
      <c r="AD62" s="21">
        <v>1000700</v>
      </c>
      <c r="AE62" s="21">
        <v>1369600</v>
      </c>
      <c r="AF62" s="21">
        <v>827200</v>
      </c>
      <c r="AG62" s="21">
        <v>436200</v>
      </c>
      <c r="AH62" s="21">
        <v>290700</v>
      </c>
      <c r="AI62" s="21">
        <v>809400</v>
      </c>
      <c r="AJ62" s="21">
        <v>582400</v>
      </c>
      <c r="AK62" s="21">
        <v>574600</v>
      </c>
      <c r="AL62" s="21">
        <v>405000</v>
      </c>
      <c r="AM62" s="21">
        <v>525000</v>
      </c>
      <c r="AN62" s="21">
        <v>816600</v>
      </c>
      <c r="AO62" s="21">
        <v>691300</v>
      </c>
      <c r="AP62" s="21">
        <v>624200</v>
      </c>
      <c r="AQ62" s="21">
        <v>818900</v>
      </c>
      <c r="AR62" s="21">
        <v>498700</v>
      </c>
      <c r="AS62" s="21">
        <v>509400</v>
      </c>
      <c r="AT62" s="21">
        <v>503100</v>
      </c>
      <c r="AU62" s="21">
        <v>813800</v>
      </c>
      <c r="AV62" s="21">
        <v>957800</v>
      </c>
      <c r="AW62" s="21">
        <v>832300</v>
      </c>
      <c r="AX62" s="21">
        <v>804600</v>
      </c>
      <c r="AY62" s="21">
        <v>668800</v>
      </c>
      <c r="AZ62" s="21">
        <v>614200</v>
      </c>
      <c r="BA62" s="21">
        <v>732300</v>
      </c>
      <c r="BB62" s="21">
        <v>751000</v>
      </c>
      <c r="BC62" s="21">
        <v>477400</v>
      </c>
      <c r="BD62" s="21">
        <v>727500</v>
      </c>
      <c r="BE62" s="21">
        <v>765000</v>
      </c>
      <c r="BF62" s="21">
        <v>659100</v>
      </c>
      <c r="BG62" s="21">
        <v>749500</v>
      </c>
      <c r="BH62" s="21">
        <v>692900</v>
      </c>
      <c r="BI62" s="21">
        <v>1011500</v>
      </c>
      <c r="BJ62" s="21">
        <v>1248700</v>
      </c>
      <c r="BK62" s="21">
        <v>2068300</v>
      </c>
      <c r="BL62" s="21">
        <v>626400</v>
      </c>
      <c r="BM62" s="1">
        <v>599500</v>
      </c>
      <c r="BN62" s="1">
        <v>851400</v>
      </c>
      <c r="BO62" s="1">
        <v>381200</v>
      </c>
      <c r="BP62" s="1">
        <v>405800</v>
      </c>
      <c r="BQ62" s="1">
        <v>727500</v>
      </c>
      <c r="BR62" s="1">
        <v>709700</v>
      </c>
      <c r="BS62" s="1">
        <v>1034000</v>
      </c>
      <c r="BT62" s="1">
        <v>319500</v>
      </c>
      <c r="BU62" s="1">
        <v>353500</v>
      </c>
      <c r="BV62" s="1">
        <v>459100</v>
      </c>
      <c r="BW62" s="1">
        <v>460500</v>
      </c>
      <c r="BX62" s="1">
        <v>311700</v>
      </c>
      <c r="BY62" s="1">
        <v>335200</v>
      </c>
      <c r="BZ62" s="1">
        <v>411800</v>
      </c>
    </row>
    <row r="63" spans="1:78" ht="15.9" customHeight="1">
      <c r="A63" s="393" t="s">
        <v>121</v>
      </c>
      <c r="B63" s="46" t="s">
        <v>122</v>
      </c>
      <c r="C63" s="50">
        <f>_xll.RssMarket("8281","出来高")</f>
        <v>39800</v>
      </c>
      <c r="D63" s="202">
        <f t="shared" si="0"/>
        <v>-43900</v>
      </c>
      <c r="E63" s="200">
        <v>83700</v>
      </c>
      <c r="F63" s="21">
        <v>104200</v>
      </c>
      <c r="G63" s="21">
        <v>86200</v>
      </c>
      <c r="H63" s="21">
        <v>119700</v>
      </c>
      <c r="I63" s="21">
        <v>123200</v>
      </c>
      <c r="J63" s="21">
        <v>68400</v>
      </c>
      <c r="K63" s="21">
        <v>72800</v>
      </c>
      <c r="L63" s="21"/>
      <c r="M63" s="21">
        <v>40500</v>
      </c>
      <c r="N63" s="21">
        <v>71800</v>
      </c>
      <c r="O63" s="21">
        <v>96800</v>
      </c>
      <c r="P63" s="21">
        <v>131500</v>
      </c>
      <c r="Q63" s="21">
        <v>41900</v>
      </c>
      <c r="R63" s="21">
        <v>77000</v>
      </c>
      <c r="S63" s="21">
        <v>70000</v>
      </c>
      <c r="T63" s="21">
        <v>71100</v>
      </c>
      <c r="U63" s="21">
        <v>76300</v>
      </c>
      <c r="V63" s="21">
        <v>59400</v>
      </c>
      <c r="W63" s="21">
        <v>133300</v>
      </c>
      <c r="X63" s="21">
        <v>117700</v>
      </c>
      <c r="Y63" s="21">
        <v>93800</v>
      </c>
      <c r="Z63" s="21">
        <v>79100</v>
      </c>
      <c r="AA63" s="21">
        <v>58600</v>
      </c>
      <c r="AB63" s="21">
        <v>70000</v>
      </c>
      <c r="AC63" s="21">
        <v>106000</v>
      </c>
      <c r="AD63" s="21">
        <v>108500</v>
      </c>
      <c r="AE63" s="21">
        <v>63500</v>
      </c>
      <c r="AF63" s="21">
        <v>59700</v>
      </c>
      <c r="AG63" s="21">
        <v>112100</v>
      </c>
      <c r="AH63" s="21">
        <v>74400</v>
      </c>
      <c r="AI63" s="21">
        <v>59300</v>
      </c>
      <c r="AJ63" s="21">
        <v>61400</v>
      </c>
      <c r="AK63" s="21">
        <v>86700</v>
      </c>
      <c r="AL63" s="21">
        <v>100500</v>
      </c>
      <c r="AM63" s="21">
        <v>93400</v>
      </c>
      <c r="AN63" s="21">
        <v>209900</v>
      </c>
      <c r="AO63" s="21">
        <v>66900</v>
      </c>
      <c r="AP63" s="21">
        <v>133300</v>
      </c>
      <c r="AQ63" s="21">
        <v>95500</v>
      </c>
      <c r="AR63" s="21">
        <v>70300</v>
      </c>
      <c r="AS63" s="21">
        <v>94100</v>
      </c>
      <c r="AT63" s="21">
        <v>256800</v>
      </c>
      <c r="AU63" s="21">
        <v>155600</v>
      </c>
      <c r="AV63" s="21">
        <v>96000</v>
      </c>
      <c r="AW63" s="21">
        <v>76000</v>
      </c>
      <c r="AX63" s="21">
        <v>77600</v>
      </c>
      <c r="AY63" s="21">
        <v>141100</v>
      </c>
      <c r="AZ63" s="21">
        <v>84500</v>
      </c>
      <c r="BA63" s="21">
        <v>121000</v>
      </c>
      <c r="BB63" s="21">
        <v>172200</v>
      </c>
      <c r="BC63" s="21">
        <v>173700</v>
      </c>
      <c r="BD63" s="21">
        <v>243600</v>
      </c>
      <c r="BE63" s="21">
        <v>502700</v>
      </c>
      <c r="BF63" s="21">
        <v>120000</v>
      </c>
      <c r="BG63" s="21">
        <v>219100</v>
      </c>
      <c r="BH63" s="21">
        <v>111700</v>
      </c>
      <c r="BI63" s="21">
        <v>96300</v>
      </c>
      <c r="BJ63" s="21">
        <v>119900</v>
      </c>
      <c r="BK63" s="21">
        <v>344100</v>
      </c>
      <c r="BL63" s="21">
        <v>100200</v>
      </c>
      <c r="BM63" s="1">
        <v>109100</v>
      </c>
      <c r="BN63" s="1">
        <v>92400</v>
      </c>
      <c r="BO63" s="1">
        <v>95200</v>
      </c>
      <c r="BP63" s="1">
        <v>86300</v>
      </c>
      <c r="BQ63" s="1">
        <v>101400</v>
      </c>
      <c r="BR63" s="1">
        <v>108400</v>
      </c>
      <c r="BS63" s="1">
        <v>78000</v>
      </c>
      <c r="BT63" s="1">
        <v>142100</v>
      </c>
      <c r="BU63" s="1">
        <v>54100</v>
      </c>
      <c r="BV63" s="1">
        <v>78300</v>
      </c>
      <c r="BW63" s="1">
        <v>75700</v>
      </c>
      <c r="BX63" s="1">
        <v>96600</v>
      </c>
      <c r="BY63" s="1">
        <v>124500</v>
      </c>
      <c r="BZ63" s="1">
        <v>154200</v>
      </c>
    </row>
    <row r="64" spans="1:78" ht="15.9" customHeight="1">
      <c r="A64" s="393" t="s">
        <v>123</v>
      </c>
      <c r="B64" s="46" t="s">
        <v>124</v>
      </c>
      <c r="C64" s="50">
        <f>_xll.RssMarket("4540","出来高")</f>
        <v>206500</v>
      </c>
      <c r="D64" s="202">
        <f t="shared" si="0"/>
        <v>-46700</v>
      </c>
      <c r="E64" s="200">
        <v>253200</v>
      </c>
      <c r="F64" s="21">
        <v>477800</v>
      </c>
      <c r="G64" s="21">
        <v>550100</v>
      </c>
      <c r="H64" s="21">
        <v>356300</v>
      </c>
      <c r="I64" s="21">
        <v>686300</v>
      </c>
      <c r="J64" s="21">
        <v>521600</v>
      </c>
      <c r="K64" s="21">
        <v>641000</v>
      </c>
      <c r="L64" s="21">
        <v>300100</v>
      </c>
      <c r="M64" s="21">
        <v>294200</v>
      </c>
      <c r="N64" s="21">
        <v>262200</v>
      </c>
      <c r="O64" s="21">
        <v>354900</v>
      </c>
      <c r="P64" s="21">
        <v>342800</v>
      </c>
      <c r="Q64" s="21">
        <v>330000</v>
      </c>
      <c r="R64" s="21">
        <v>430500</v>
      </c>
      <c r="S64" s="21">
        <v>243500</v>
      </c>
      <c r="T64" s="21">
        <v>336400</v>
      </c>
      <c r="U64" s="21">
        <v>281100</v>
      </c>
      <c r="V64" s="21">
        <v>183900</v>
      </c>
      <c r="W64" s="21">
        <v>396100</v>
      </c>
      <c r="X64" s="21">
        <v>185700</v>
      </c>
      <c r="Y64" s="21">
        <v>237000</v>
      </c>
      <c r="Z64" s="21">
        <v>254000</v>
      </c>
      <c r="AA64" s="21">
        <v>328800</v>
      </c>
      <c r="AB64" s="21">
        <v>471500</v>
      </c>
      <c r="AC64" s="21">
        <v>387800</v>
      </c>
      <c r="AD64" s="21">
        <v>232200</v>
      </c>
      <c r="AE64" s="21">
        <v>343000</v>
      </c>
      <c r="AF64" s="21">
        <v>398200</v>
      </c>
      <c r="AG64" s="21">
        <v>302600</v>
      </c>
      <c r="AH64" s="21">
        <v>218200</v>
      </c>
      <c r="AI64" s="21">
        <v>352500</v>
      </c>
      <c r="AJ64" s="21">
        <v>210600</v>
      </c>
      <c r="AK64" s="21">
        <v>162100</v>
      </c>
      <c r="AL64" s="21">
        <v>254900</v>
      </c>
      <c r="AM64" s="21">
        <v>177300</v>
      </c>
      <c r="AN64" s="21">
        <v>280500</v>
      </c>
      <c r="AO64" s="21">
        <v>189400</v>
      </c>
      <c r="AP64" s="21">
        <v>176100</v>
      </c>
      <c r="AQ64" s="21">
        <v>286900</v>
      </c>
      <c r="AR64" s="21">
        <v>187500</v>
      </c>
      <c r="AS64" s="21">
        <v>211300</v>
      </c>
      <c r="AT64" s="21">
        <v>194300</v>
      </c>
      <c r="AU64" s="21">
        <v>293100</v>
      </c>
      <c r="AV64" s="21">
        <v>390700</v>
      </c>
      <c r="AW64" s="21">
        <v>334400</v>
      </c>
      <c r="AX64" s="21">
        <v>365900</v>
      </c>
      <c r="AY64" s="21">
        <v>291400</v>
      </c>
      <c r="AZ64" s="21">
        <v>302100</v>
      </c>
      <c r="BA64" s="21">
        <v>283800</v>
      </c>
      <c r="BB64" s="21">
        <v>575700</v>
      </c>
      <c r="BC64" s="21">
        <v>598300</v>
      </c>
      <c r="BD64" s="21">
        <v>408500</v>
      </c>
      <c r="BE64" s="21">
        <v>527500</v>
      </c>
      <c r="BF64" s="21">
        <v>459700</v>
      </c>
      <c r="BG64" s="21">
        <v>803800</v>
      </c>
      <c r="BH64" s="21">
        <v>350100</v>
      </c>
      <c r="BI64" s="21">
        <v>324900</v>
      </c>
      <c r="BJ64" s="21">
        <v>376300</v>
      </c>
      <c r="BK64" s="21">
        <v>355900</v>
      </c>
      <c r="BL64" s="21">
        <v>203000</v>
      </c>
      <c r="BM64" s="1">
        <v>358000</v>
      </c>
      <c r="BN64" s="1">
        <v>350500</v>
      </c>
      <c r="BO64" s="1">
        <v>187800</v>
      </c>
      <c r="BP64" s="1">
        <v>191300</v>
      </c>
      <c r="BQ64" s="1">
        <v>309600</v>
      </c>
      <c r="BR64" s="1">
        <v>397500</v>
      </c>
      <c r="BS64" s="1">
        <v>327600</v>
      </c>
      <c r="BT64" s="1">
        <v>145200</v>
      </c>
      <c r="BU64" s="1">
        <v>175800</v>
      </c>
      <c r="BV64" s="1">
        <v>176400</v>
      </c>
      <c r="BW64" s="1">
        <v>161600</v>
      </c>
      <c r="BX64" s="1">
        <v>165100</v>
      </c>
      <c r="BY64" s="1">
        <v>189900</v>
      </c>
      <c r="BZ64" s="1">
        <v>206700</v>
      </c>
    </row>
    <row r="65" spans="1:78" ht="15.9" customHeight="1">
      <c r="A65" s="393" t="s">
        <v>125</v>
      </c>
      <c r="B65" s="46" t="s">
        <v>126</v>
      </c>
      <c r="C65" s="50">
        <f>_xll.RssMarket("9984","出来高")</f>
        <v>42788800</v>
      </c>
      <c r="D65" s="202">
        <f t="shared" si="0"/>
        <v>-9040300</v>
      </c>
      <c r="E65" s="200">
        <v>51829100</v>
      </c>
      <c r="F65" s="21">
        <v>53749700</v>
      </c>
      <c r="G65" s="21">
        <v>55655400</v>
      </c>
      <c r="H65" s="21">
        <v>55968200</v>
      </c>
      <c r="I65" s="21">
        <v>69277000</v>
      </c>
      <c r="J65" s="21">
        <v>59274300</v>
      </c>
      <c r="K65" s="21">
        <v>50264400</v>
      </c>
      <c r="L65" s="21">
        <v>43229200</v>
      </c>
      <c r="M65" s="21">
        <v>38653800</v>
      </c>
      <c r="N65" s="21">
        <v>41519000</v>
      </c>
      <c r="O65" s="21">
        <v>51208900</v>
      </c>
      <c r="P65" s="21">
        <v>70204200</v>
      </c>
      <c r="Q65" s="21">
        <v>47455200</v>
      </c>
      <c r="R65" s="21">
        <v>62130200</v>
      </c>
      <c r="S65" s="21">
        <v>47113500</v>
      </c>
      <c r="T65" s="21">
        <v>72262000</v>
      </c>
      <c r="U65" s="21">
        <v>41571500</v>
      </c>
      <c r="V65" s="21">
        <v>41852300</v>
      </c>
      <c r="W65" s="21">
        <v>45979200</v>
      </c>
      <c r="X65" s="21">
        <v>33669700</v>
      </c>
      <c r="Y65" s="21">
        <v>52377700</v>
      </c>
      <c r="Z65" s="21">
        <v>73627900</v>
      </c>
      <c r="AA65" s="21">
        <v>40040700</v>
      </c>
      <c r="AB65" s="21">
        <v>59812900</v>
      </c>
      <c r="AC65" s="21">
        <v>61184900</v>
      </c>
      <c r="AD65" s="21">
        <v>71837400</v>
      </c>
      <c r="AE65" s="21">
        <v>83407000</v>
      </c>
      <c r="AF65" s="21">
        <v>45870800</v>
      </c>
      <c r="AG65" s="21">
        <v>52827500</v>
      </c>
      <c r="AH65" s="21">
        <v>44993100</v>
      </c>
      <c r="AI65" s="21">
        <v>79507100</v>
      </c>
      <c r="AJ65" s="21">
        <v>64308700</v>
      </c>
      <c r="AK65" s="21">
        <v>48833800</v>
      </c>
      <c r="AL65" s="21">
        <v>61595400</v>
      </c>
      <c r="AM65" s="21">
        <v>71003100</v>
      </c>
      <c r="AN65" s="21">
        <v>75320600</v>
      </c>
      <c r="AO65" s="21">
        <v>65531700</v>
      </c>
      <c r="AP65" s="21">
        <v>65333800</v>
      </c>
      <c r="AQ65" s="21">
        <v>64167800</v>
      </c>
      <c r="AR65" s="21">
        <v>62899400</v>
      </c>
      <c r="AS65" s="21">
        <v>76525600</v>
      </c>
      <c r="AT65" s="21">
        <v>73007300</v>
      </c>
      <c r="AU65" s="21">
        <v>132031000</v>
      </c>
      <c r="AV65" s="21">
        <v>81180100</v>
      </c>
      <c r="AW65" s="21">
        <v>79058300</v>
      </c>
      <c r="AX65" s="21">
        <v>103217400</v>
      </c>
      <c r="AY65" s="21">
        <v>91615400</v>
      </c>
      <c r="AZ65" s="21">
        <v>103280800</v>
      </c>
      <c r="BA65" s="21">
        <v>73094900</v>
      </c>
      <c r="BB65" s="21">
        <v>71784000</v>
      </c>
      <c r="BC65" s="21">
        <v>53762700</v>
      </c>
      <c r="BD65" s="21">
        <v>48158000</v>
      </c>
      <c r="BE65" s="21">
        <v>69924000</v>
      </c>
      <c r="BF65" s="21">
        <v>69800200</v>
      </c>
      <c r="BG65" s="21">
        <v>46400500</v>
      </c>
      <c r="BH65" s="21">
        <v>57247600</v>
      </c>
      <c r="BI65" s="21">
        <v>83351500</v>
      </c>
      <c r="BJ65" s="21">
        <v>80654100</v>
      </c>
      <c r="BK65" s="21">
        <v>119003600</v>
      </c>
      <c r="BL65" s="21">
        <v>72065400</v>
      </c>
      <c r="BM65" s="1">
        <v>101484400</v>
      </c>
      <c r="BN65" s="1">
        <v>97208200</v>
      </c>
      <c r="BO65" s="1">
        <v>99651700</v>
      </c>
      <c r="BP65" s="1">
        <v>87686800</v>
      </c>
      <c r="BQ65" s="1">
        <v>136536800</v>
      </c>
      <c r="BR65" s="1">
        <v>154144000</v>
      </c>
      <c r="BS65" s="1">
        <v>96285800</v>
      </c>
      <c r="BT65" s="1">
        <v>60475300</v>
      </c>
      <c r="BU65" s="1">
        <v>47876600</v>
      </c>
      <c r="BV65" s="1">
        <v>95147700</v>
      </c>
      <c r="BW65" s="1">
        <v>91516800</v>
      </c>
      <c r="BX65" s="1">
        <v>93692500</v>
      </c>
      <c r="BY65" s="1">
        <v>29819900</v>
      </c>
      <c r="BZ65" s="1">
        <v>46679400</v>
      </c>
    </row>
    <row r="66" spans="1:78" ht="15.9" customHeight="1">
      <c r="A66" s="393" t="s">
        <v>127</v>
      </c>
      <c r="B66" s="46" t="s">
        <v>877</v>
      </c>
      <c r="C66" s="50">
        <f>_xll.RssMarket("4063","出来高")</f>
        <v>6211400</v>
      </c>
      <c r="D66" s="202">
        <f t="shared" si="0"/>
        <v>-653500</v>
      </c>
      <c r="E66" s="200">
        <v>6864900</v>
      </c>
      <c r="F66" s="21">
        <v>9143400</v>
      </c>
      <c r="G66" s="21">
        <v>18785700</v>
      </c>
      <c r="H66" s="21">
        <v>10102300</v>
      </c>
      <c r="I66" s="21">
        <v>12006700</v>
      </c>
      <c r="J66" s="21">
        <v>15490100</v>
      </c>
      <c r="K66" s="21">
        <v>14869000</v>
      </c>
      <c r="L66" s="21">
        <v>7678900</v>
      </c>
      <c r="M66" s="21">
        <v>8507400</v>
      </c>
      <c r="N66" s="21">
        <v>6291800</v>
      </c>
      <c r="O66" s="21">
        <v>5261900</v>
      </c>
      <c r="P66" s="21">
        <v>7502200</v>
      </c>
      <c r="Q66" s="21">
        <v>6309000</v>
      </c>
      <c r="R66" s="21">
        <v>5958400</v>
      </c>
      <c r="S66" s="21">
        <v>8068800</v>
      </c>
      <c r="T66" s="21">
        <v>8345700</v>
      </c>
      <c r="U66" s="21">
        <v>6080200</v>
      </c>
      <c r="V66" s="21">
        <v>6562800</v>
      </c>
      <c r="W66" s="21">
        <v>7655100</v>
      </c>
      <c r="X66" s="21">
        <v>11929500</v>
      </c>
      <c r="Y66" s="21">
        <v>6711900</v>
      </c>
      <c r="Z66" s="21">
        <v>7304400</v>
      </c>
      <c r="AA66" s="21">
        <v>9180400</v>
      </c>
      <c r="AB66" s="21">
        <v>5376100</v>
      </c>
      <c r="AC66" s="21">
        <v>5772100</v>
      </c>
      <c r="AD66" s="21">
        <v>8927500</v>
      </c>
      <c r="AE66" s="21">
        <v>5954800</v>
      </c>
      <c r="AF66" s="21">
        <v>6914900</v>
      </c>
      <c r="AG66" s="21">
        <v>8613500</v>
      </c>
      <c r="AH66" s="21">
        <v>7060600</v>
      </c>
      <c r="AI66" s="21">
        <v>8258600</v>
      </c>
      <c r="AJ66" s="21">
        <v>6479100</v>
      </c>
      <c r="AK66" s="21">
        <v>4866300</v>
      </c>
      <c r="AL66" s="21">
        <v>5285700</v>
      </c>
      <c r="AM66" s="21">
        <v>6699500</v>
      </c>
      <c r="AN66" s="21">
        <v>9888800</v>
      </c>
      <c r="AO66" s="21">
        <v>8104400</v>
      </c>
      <c r="AP66" s="21">
        <v>7626000</v>
      </c>
      <c r="AQ66" s="21">
        <v>7427500</v>
      </c>
      <c r="AR66" s="21">
        <v>6100000</v>
      </c>
      <c r="AS66" s="21">
        <v>6730800</v>
      </c>
      <c r="AT66" s="21">
        <v>8189400</v>
      </c>
      <c r="AU66" s="21">
        <v>8746700</v>
      </c>
      <c r="AV66" s="21">
        <v>15831800</v>
      </c>
      <c r="AW66" s="21">
        <v>7618800</v>
      </c>
      <c r="AX66" s="21">
        <v>11120800</v>
      </c>
      <c r="AY66" s="21">
        <v>7333900</v>
      </c>
      <c r="AZ66" s="21">
        <v>7917200</v>
      </c>
      <c r="BA66" s="21">
        <v>6503700</v>
      </c>
      <c r="BB66" s="21">
        <v>5117500</v>
      </c>
      <c r="BC66" s="21">
        <v>5504100</v>
      </c>
      <c r="BD66" s="21">
        <v>5254300</v>
      </c>
      <c r="BE66" s="21">
        <v>7528300</v>
      </c>
      <c r="BF66" s="21">
        <v>6194100</v>
      </c>
      <c r="BG66" s="21">
        <v>6777500</v>
      </c>
      <c r="BH66" s="21">
        <v>5350500</v>
      </c>
      <c r="BI66" s="21">
        <v>8717000</v>
      </c>
      <c r="BJ66" s="21">
        <v>10411800</v>
      </c>
      <c r="BK66" s="21">
        <v>16438600</v>
      </c>
      <c r="BL66" s="21">
        <v>8745000</v>
      </c>
      <c r="BM66" s="1">
        <v>17278400</v>
      </c>
      <c r="BN66" s="1">
        <v>8604800</v>
      </c>
      <c r="BO66" s="1">
        <v>8365900</v>
      </c>
      <c r="BP66" s="1">
        <v>5016200</v>
      </c>
      <c r="BQ66" s="1">
        <v>5907500</v>
      </c>
      <c r="BR66" s="1">
        <v>6503000</v>
      </c>
      <c r="BS66" s="1">
        <v>8190200</v>
      </c>
      <c r="BT66" s="1">
        <v>9389000</v>
      </c>
      <c r="BU66" s="1">
        <v>8437800</v>
      </c>
      <c r="BV66" s="1">
        <v>8265500</v>
      </c>
      <c r="BW66" s="1">
        <v>10556400</v>
      </c>
      <c r="BX66" s="1">
        <v>6472300</v>
      </c>
      <c r="BY66" s="1">
        <v>8241400</v>
      </c>
      <c r="BZ66" s="1">
        <v>6428200</v>
      </c>
    </row>
    <row r="67" spans="1:78" ht="15.9" customHeight="1">
      <c r="A67" s="393" t="s">
        <v>129</v>
      </c>
      <c r="B67" s="46" t="s">
        <v>130</v>
      </c>
      <c r="C67" s="50">
        <f>_xll.RssMarket("4536","出来高")</f>
        <v>279300</v>
      </c>
      <c r="D67" s="202">
        <f t="shared" si="0"/>
        <v>-646900</v>
      </c>
      <c r="E67" s="200">
        <v>926200</v>
      </c>
      <c r="F67" s="21">
        <v>1050400</v>
      </c>
      <c r="G67" s="21">
        <v>1465900</v>
      </c>
      <c r="H67" s="21">
        <v>1306900</v>
      </c>
      <c r="I67" s="21">
        <v>1591300</v>
      </c>
      <c r="J67" s="21">
        <v>1009900</v>
      </c>
      <c r="K67" s="21">
        <v>1008300</v>
      </c>
      <c r="L67" s="21"/>
      <c r="M67" s="21">
        <v>1441200</v>
      </c>
      <c r="N67" s="21">
        <v>1054100</v>
      </c>
      <c r="O67" s="21">
        <v>1430000</v>
      </c>
      <c r="P67" s="21">
        <v>1340700</v>
      </c>
      <c r="Q67" s="21">
        <v>910700</v>
      </c>
      <c r="R67" s="21">
        <v>1072800</v>
      </c>
      <c r="S67" s="21">
        <v>1347800</v>
      </c>
      <c r="T67" s="21">
        <v>987000</v>
      </c>
      <c r="U67" s="21">
        <v>1160600</v>
      </c>
      <c r="V67" s="21">
        <v>1522600</v>
      </c>
      <c r="W67" s="21">
        <v>1491200</v>
      </c>
      <c r="X67" s="21">
        <v>1037200</v>
      </c>
      <c r="Y67" s="21">
        <v>1266000</v>
      </c>
      <c r="Z67" s="21">
        <v>1047300</v>
      </c>
      <c r="AA67" s="21">
        <v>914000</v>
      </c>
      <c r="AB67" s="21">
        <v>1515800</v>
      </c>
      <c r="AC67" s="21">
        <v>1753500</v>
      </c>
      <c r="AD67" s="21">
        <v>1418000</v>
      </c>
      <c r="AE67" s="21">
        <v>2119400</v>
      </c>
      <c r="AF67" s="21">
        <v>1500200</v>
      </c>
      <c r="AG67" s="21">
        <v>1453400</v>
      </c>
      <c r="AH67" s="21">
        <v>882000</v>
      </c>
      <c r="AI67" s="21">
        <v>1511700</v>
      </c>
      <c r="AJ67" s="21">
        <v>672700</v>
      </c>
      <c r="AK67" s="21">
        <v>896900</v>
      </c>
      <c r="AL67" s="21">
        <v>867000</v>
      </c>
      <c r="AM67" s="21">
        <v>908700</v>
      </c>
      <c r="AN67" s="21">
        <v>1152400</v>
      </c>
      <c r="AO67" s="21">
        <v>1201100</v>
      </c>
      <c r="AP67" s="21">
        <v>983900</v>
      </c>
      <c r="AQ67" s="21">
        <v>1478800</v>
      </c>
      <c r="AR67" s="21">
        <v>1254200</v>
      </c>
      <c r="AS67" s="21">
        <v>926800</v>
      </c>
      <c r="AT67" s="21">
        <v>1012600</v>
      </c>
      <c r="AU67" s="21">
        <v>939300</v>
      </c>
      <c r="AV67" s="21">
        <v>1092300</v>
      </c>
      <c r="AW67" s="21">
        <v>1216000</v>
      </c>
      <c r="AX67" s="21">
        <v>1167900</v>
      </c>
      <c r="AY67" s="21">
        <v>1113800</v>
      </c>
      <c r="AZ67" s="21">
        <v>968500</v>
      </c>
      <c r="BA67" s="21">
        <v>1160000</v>
      </c>
      <c r="BB67" s="21">
        <v>1325500</v>
      </c>
      <c r="BC67" s="21">
        <v>1340400</v>
      </c>
      <c r="BD67" s="21">
        <v>951700</v>
      </c>
      <c r="BE67" s="21">
        <v>1531000</v>
      </c>
      <c r="BF67" s="21">
        <v>2302000</v>
      </c>
      <c r="BG67" s="21">
        <v>3528600</v>
      </c>
      <c r="BH67" s="21">
        <v>1607900</v>
      </c>
      <c r="BI67" s="21">
        <v>1070900</v>
      </c>
      <c r="BJ67" s="21">
        <v>1155800</v>
      </c>
      <c r="BK67" s="21">
        <v>1152500</v>
      </c>
      <c r="BL67" s="21">
        <v>792700</v>
      </c>
      <c r="BM67" s="1">
        <v>979500</v>
      </c>
      <c r="BN67" s="1">
        <v>656000</v>
      </c>
      <c r="BO67" s="1">
        <v>569400</v>
      </c>
      <c r="BP67" s="1">
        <v>804600</v>
      </c>
      <c r="BQ67" s="1">
        <v>713500</v>
      </c>
      <c r="BR67" s="1">
        <v>903300</v>
      </c>
      <c r="BS67" s="1">
        <v>676700</v>
      </c>
      <c r="BT67" s="1">
        <v>690900</v>
      </c>
      <c r="BU67" s="1">
        <v>973800</v>
      </c>
      <c r="BV67" s="1">
        <v>836400</v>
      </c>
      <c r="BW67" s="1">
        <v>781600</v>
      </c>
      <c r="BX67" s="1">
        <v>1024700</v>
      </c>
      <c r="BY67" s="1">
        <v>1097000</v>
      </c>
      <c r="BZ67" s="1">
        <v>988100</v>
      </c>
    </row>
    <row r="68" spans="1:78" ht="15.9" customHeight="1">
      <c r="A68" s="393" t="s">
        <v>131</v>
      </c>
      <c r="B68" s="46" t="s">
        <v>132</v>
      </c>
      <c r="C68" s="50">
        <f>_xll.RssMarket("6503","出来高")</f>
        <v>3886800</v>
      </c>
      <c r="D68" s="202">
        <f t="shared" si="0"/>
        <v>-3453200</v>
      </c>
      <c r="E68" s="200">
        <v>7340000</v>
      </c>
      <c r="F68" s="21">
        <v>13219500</v>
      </c>
      <c r="G68" s="21">
        <v>10558100</v>
      </c>
      <c r="H68" s="21">
        <v>8047800</v>
      </c>
      <c r="I68" s="21">
        <v>8659200</v>
      </c>
      <c r="J68" s="21">
        <v>6391900</v>
      </c>
      <c r="K68" s="21">
        <v>5310700</v>
      </c>
      <c r="L68" s="21">
        <v>3355200</v>
      </c>
      <c r="M68" s="21">
        <v>4022600</v>
      </c>
      <c r="N68" s="21">
        <v>5262700</v>
      </c>
      <c r="O68" s="21">
        <v>6347000</v>
      </c>
      <c r="P68" s="21">
        <v>7417200</v>
      </c>
      <c r="Q68" s="21">
        <v>4745000</v>
      </c>
      <c r="R68" s="21">
        <v>5256900</v>
      </c>
      <c r="S68" s="21">
        <v>4924600</v>
      </c>
      <c r="T68" s="21">
        <v>3949600</v>
      </c>
      <c r="U68" s="21">
        <v>3365800</v>
      </c>
      <c r="V68" s="21">
        <v>6314100</v>
      </c>
      <c r="W68" s="21">
        <v>5447100</v>
      </c>
      <c r="X68" s="21">
        <v>4086700</v>
      </c>
      <c r="Y68" s="21">
        <v>4126300</v>
      </c>
      <c r="Z68" s="21">
        <v>5264200</v>
      </c>
      <c r="AA68" s="21">
        <v>5406300</v>
      </c>
      <c r="AB68" s="21">
        <v>4773000</v>
      </c>
      <c r="AC68" s="21">
        <v>5025400</v>
      </c>
      <c r="AD68" s="21">
        <v>4893500</v>
      </c>
      <c r="AE68" s="21">
        <v>5408200</v>
      </c>
      <c r="AF68" s="21">
        <v>6046300</v>
      </c>
      <c r="AG68" s="21">
        <v>6378500</v>
      </c>
      <c r="AH68" s="21">
        <v>4105900</v>
      </c>
      <c r="AI68" s="21">
        <v>6589200</v>
      </c>
      <c r="AJ68" s="21">
        <v>6755700</v>
      </c>
      <c r="AK68" s="21">
        <v>4255000</v>
      </c>
      <c r="AL68" s="21">
        <v>6728200</v>
      </c>
      <c r="AM68" s="21">
        <v>6107400</v>
      </c>
      <c r="AN68" s="21">
        <v>8209700</v>
      </c>
      <c r="AO68" s="21">
        <v>7318500</v>
      </c>
      <c r="AP68" s="21">
        <v>9152600</v>
      </c>
      <c r="AQ68" s="21">
        <v>7398800</v>
      </c>
      <c r="AR68" s="21">
        <v>5707800</v>
      </c>
      <c r="AS68" s="21">
        <v>6699000</v>
      </c>
      <c r="AT68" s="21">
        <v>5455800</v>
      </c>
      <c r="AU68" s="21">
        <v>9193900</v>
      </c>
      <c r="AV68" s="21">
        <v>14852400</v>
      </c>
      <c r="AW68" s="21">
        <v>7953400</v>
      </c>
      <c r="AX68" s="21">
        <v>5960900</v>
      </c>
      <c r="AY68" s="21">
        <v>5608300</v>
      </c>
      <c r="AZ68" s="21">
        <v>6834800</v>
      </c>
      <c r="BA68" s="21">
        <v>8500900</v>
      </c>
      <c r="BB68" s="21">
        <v>10679400</v>
      </c>
      <c r="BC68" s="21">
        <v>9166700</v>
      </c>
      <c r="BD68" s="21">
        <v>6997100</v>
      </c>
      <c r="BE68" s="21">
        <v>8906700</v>
      </c>
      <c r="BF68" s="21">
        <v>6838400</v>
      </c>
      <c r="BG68" s="21">
        <v>4512200</v>
      </c>
      <c r="BH68" s="21">
        <v>5642700</v>
      </c>
      <c r="BI68" s="21">
        <v>7418200</v>
      </c>
      <c r="BJ68" s="21">
        <v>8585500</v>
      </c>
      <c r="BK68" s="21">
        <v>12043300</v>
      </c>
      <c r="BL68" s="21">
        <v>6295700</v>
      </c>
      <c r="BM68" s="1">
        <v>13025200</v>
      </c>
      <c r="BN68" s="1">
        <v>9526000</v>
      </c>
      <c r="BO68" s="1">
        <v>7729900</v>
      </c>
      <c r="BP68" s="1">
        <v>4219000</v>
      </c>
      <c r="BQ68" s="1">
        <v>7685300</v>
      </c>
      <c r="BR68" s="1">
        <v>4450800</v>
      </c>
      <c r="BS68" s="1">
        <v>5315200</v>
      </c>
      <c r="BT68" s="1">
        <v>5914100</v>
      </c>
      <c r="BU68" s="1">
        <v>5511200</v>
      </c>
      <c r="BV68" s="1">
        <v>4956600</v>
      </c>
      <c r="BW68" s="1">
        <v>5117500</v>
      </c>
      <c r="BX68" s="1">
        <v>5422000</v>
      </c>
      <c r="BY68" s="1">
        <v>4120200</v>
      </c>
      <c r="BZ68" s="1">
        <v>6068800</v>
      </c>
    </row>
    <row r="69" spans="1:78" ht="15.9" customHeight="1">
      <c r="A69" s="393" t="s">
        <v>133</v>
      </c>
      <c r="B69" s="46" t="s">
        <v>134</v>
      </c>
      <c r="C69" s="50">
        <f>_xll.RssMarket("4980","出来高")</f>
        <v>3426300</v>
      </c>
      <c r="D69" s="202">
        <f t="shared" si="0"/>
        <v>965500</v>
      </c>
      <c r="E69" s="200">
        <v>2460800</v>
      </c>
      <c r="F69" s="21">
        <v>1558200</v>
      </c>
      <c r="G69" s="21">
        <v>2843400</v>
      </c>
      <c r="H69" s="21">
        <v>2196400</v>
      </c>
      <c r="I69" s="21">
        <v>2174100</v>
      </c>
      <c r="J69" s="21">
        <v>1501700</v>
      </c>
      <c r="K69" s="21">
        <v>1279000</v>
      </c>
      <c r="L69" s="21">
        <v>1141100</v>
      </c>
      <c r="M69" s="21">
        <v>1089100</v>
      </c>
      <c r="N69" s="21">
        <v>1309400</v>
      </c>
      <c r="O69" s="21">
        <v>1421400</v>
      </c>
      <c r="P69" s="21">
        <v>2530900</v>
      </c>
      <c r="Q69" s="21">
        <v>1000700</v>
      </c>
      <c r="R69" s="21">
        <v>1006000</v>
      </c>
      <c r="S69" s="21">
        <v>1070700</v>
      </c>
      <c r="T69" s="21">
        <v>1659700</v>
      </c>
      <c r="U69" s="21">
        <v>1251100</v>
      </c>
      <c r="V69" s="21">
        <v>1672400</v>
      </c>
      <c r="W69" s="21">
        <v>1985800</v>
      </c>
      <c r="X69" s="21">
        <v>1976600</v>
      </c>
      <c r="Y69" s="21">
        <v>2429300</v>
      </c>
      <c r="Z69" s="21">
        <v>1906700</v>
      </c>
      <c r="AA69" s="21">
        <v>2246000</v>
      </c>
      <c r="AB69" s="21">
        <v>2846400</v>
      </c>
      <c r="AC69" s="21">
        <v>2781300</v>
      </c>
      <c r="AD69" s="21">
        <v>4572400</v>
      </c>
      <c r="AE69" s="21">
        <v>2584200</v>
      </c>
      <c r="AF69" s="21">
        <v>3371000</v>
      </c>
      <c r="AG69" s="21">
        <v>2340200</v>
      </c>
      <c r="AH69" s="21">
        <v>1976600</v>
      </c>
      <c r="AI69" s="21">
        <v>3421300</v>
      </c>
      <c r="AJ69" s="21">
        <v>1855000</v>
      </c>
      <c r="AK69" s="21">
        <v>2442300</v>
      </c>
      <c r="AL69" s="21">
        <v>2858100</v>
      </c>
      <c r="AM69" s="21">
        <v>2043600</v>
      </c>
      <c r="AN69" s="21">
        <v>2617000</v>
      </c>
      <c r="AO69" s="21">
        <v>2593300</v>
      </c>
      <c r="AP69" s="21">
        <v>2935000</v>
      </c>
      <c r="AQ69" s="21">
        <v>2851100</v>
      </c>
      <c r="AR69" s="21">
        <v>1894400</v>
      </c>
      <c r="AS69" s="21">
        <v>1851000</v>
      </c>
      <c r="AT69" s="21">
        <v>4259700</v>
      </c>
      <c r="AU69" s="21">
        <v>3075500</v>
      </c>
      <c r="AV69" s="21">
        <v>2230100</v>
      </c>
      <c r="AW69" s="21">
        <v>2659800</v>
      </c>
      <c r="AX69" s="21">
        <v>2510200</v>
      </c>
      <c r="AY69" s="21">
        <v>2788600</v>
      </c>
      <c r="AZ69" s="21">
        <v>3090200</v>
      </c>
      <c r="BA69" s="21">
        <v>5139000</v>
      </c>
      <c r="BB69" s="21">
        <v>9140000</v>
      </c>
      <c r="BC69" s="21">
        <v>6417700</v>
      </c>
      <c r="BD69" s="21">
        <v>12340900</v>
      </c>
      <c r="BE69" s="21">
        <v>1252400</v>
      </c>
      <c r="BF69" s="21">
        <v>668100</v>
      </c>
      <c r="BG69" s="21">
        <v>2317200</v>
      </c>
      <c r="BH69" s="21">
        <v>1701300</v>
      </c>
      <c r="BI69" s="21">
        <v>2406700</v>
      </c>
      <c r="BJ69" s="21">
        <v>1970800</v>
      </c>
      <c r="BK69" s="21">
        <v>2383900</v>
      </c>
      <c r="BL69" s="21">
        <v>913500</v>
      </c>
      <c r="BM69" s="1">
        <v>1292500</v>
      </c>
      <c r="BN69" s="1">
        <v>1300000</v>
      </c>
      <c r="BO69" s="1">
        <v>1811000</v>
      </c>
      <c r="BP69" s="1">
        <v>1050800</v>
      </c>
      <c r="BQ69" s="1">
        <v>1253500</v>
      </c>
      <c r="BR69" s="1">
        <v>901700</v>
      </c>
      <c r="BS69" s="1">
        <v>1155000</v>
      </c>
      <c r="BT69" s="1">
        <v>1718300</v>
      </c>
      <c r="BU69" s="1">
        <v>1680200</v>
      </c>
      <c r="BV69" s="1">
        <v>1446600</v>
      </c>
      <c r="BW69" s="1">
        <v>1129100</v>
      </c>
      <c r="BX69" s="1">
        <v>1543300</v>
      </c>
      <c r="BY69" s="1">
        <v>1119400</v>
      </c>
      <c r="BZ69" s="1">
        <v>1199100</v>
      </c>
    </row>
    <row r="70" spans="1:78" ht="15.9" customHeight="1">
      <c r="A70" s="393" t="s">
        <v>135</v>
      </c>
      <c r="B70" s="46" t="s">
        <v>136</v>
      </c>
      <c r="C70" s="50">
        <f>_xll.RssMarket("9424","出来高")</f>
        <v>1218700</v>
      </c>
      <c r="D70" s="202">
        <f t="shared" ref="D70:D133" si="1">C70-E70</f>
        <v>396900</v>
      </c>
      <c r="E70" s="200">
        <v>821800</v>
      </c>
      <c r="F70" s="21">
        <v>1571000</v>
      </c>
      <c r="G70" s="21">
        <v>1264000</v>
      </c>
      <c r="H70" s="21">
        <v>1549200</v>
      </c>
      <c r="I70" s="21">
        <v>2400400</v>
      </c>
      <c r="J70" s="21">
        <v>1105400</v>
      </c>
      <c r="K70" s="21">
        <v>1102800</v>
      </c>
      <c r="L70" s="21"/>
      <c r="M70" s="21">
        <v>1295800</v>
      </c>
      <c r="N70" s="21">
        <v>1417900</v>
      </c>
      <c r="O70" s="21">
        <v>1399000</v>
      </c>
      <c r="P70" s="21">
        <v>1312900</v>
      </c>
      <c r="Q70" s="21">
        <v>790500</v>
      </c>
      <c r="R70" s="21">
        <v>1359600</v>
      </c>
      <c r="S70" s="21">
        <v>1233800</v>
      </c>
      <c r="T70" s="21">
        <v>1712200</v>
      </c>
      <c r="U70" s="21">
        <v>798800</v>
      </c>
      <c r="V70" s="21">
        <v>912300</v>
      </c>
      <c r="W70" s="21">
        <v>621200</v>
      </c>
      <c r="X70" s="21">
        <v>1613600</v>
      </c>
      <c r="Y70" s="21">
        <v>2402500</v>
      </c>
      <c r="Z70" s="21">
        <v>2365100</v>
      </c>
      <c r="AA70" s="21">
        <v>2037600</v>
      </c>
      <c r="AB70" s="21">
        <v>2047600</v>
      </c>
      <c r="AC70" s="21">
        <v>1505500</v>
      </c>
      <c r="AD70" s="21">
        <v>1183800</v>
      </c>
      <c r="AE70" s="21">
        <v>1454200</v>
      </c>
      <c r="AF70" s="21">
        <v>1801300</v>
      </c>
      <c r="AG70" s="21">
        <v>3392500</v>
      </c>
      <c r="AH70" s="21">
        <v>1083000</v>
      </c>
      <c r="AI70" s="21">
        <v>935800</v>
      </c>
      <c r="AJ70" s="21">
        <v>1636500</v>
      </c>
      <c r="AK70" s="21">
        <v>1549700</v>
      </c>
      <c r="AL70" s="21">
        <v>1243700</v>
      </c>
      <c r="AM70" s="21">
        <v>1854200</v>
      </c>
      <c r="AN70" s="21">
        <v>1948100</v>
      </c>
      <c r="AO70" s="21">
        <v>1954300</v>
      </c>
      <c r="AP70" s="21">
        <v>1847900</v>
      </c>
      <c r="AQ70" s="21">
        <v>2346400</v>
      </c>
      <c r="AR70" s="21">
        <v>1967500</v>
      </c>
      <c r="AS70" s="21">
        <v>2191100</v>
      </c>
      <c r="AT70" s="21">
        <v>1802700</v>
      </c>
      <c r="AU70" s="21">
        <v>2161300</v>
      </c>
      <c r="AV70" s="21">
        <v>1861400</v>
      </c>
      <c r="AW70" s="21">
        <v>1968100</v>
      </c>
      <c r="AX70" s="21">
        <v>3788900</v>
      </c>
      <c r="AY70" s="21">
        <v>3766700</v>
      </c>
      <c r="AZ70" s="21">
        <v>2547800</v>
      </c>
      <c r="BA70" s="21">
        <v>2954700</v>
      </c>
      <c r="BB70" s="21">
        <v>2232000</v>
      </c>
      <c r="BC70" s="21">
        <v>2186300</v>
      </c>
      <c r="BD70" s="21">
        <v>2907700</v>
      </c>
      <c r="BE70" s="21">
        <v>1185600</v>
      </c>
      <c r="BF70" s="21">
        <v>1363600</v>
      </c>
      <c r="BG70" s="21">
        <v>1561100</v>
      </c>
      <c r="BH70" s="21">
        <v>1656500</v>
      </c>
      <c r="BI70" s="21">
        <v>2645300</v>
      </c>
      <c r="BJ70" s="21">
        <v>5397500</v>
      </c>
      <c r="BK70" s="21">
        <v>2114500</v>
      </c>
      <c r="BL70" s="21">
        <v>1516900</v>
      </c>
      <c r="BM70" s="1">
        <v>1300000</v>
      </c>
      <c r="BN70" s="1">
        <v>2124800</v>
      </c>
      <c r="BO70" s="1">
        <v>1221400</v>
      </c>
      <c r="BP70" s="1">
        <v>1689400</v>
      </c>
      <c r="BQ70" s="1">
        <v>3172000</v>
      </c>
      <c r="BR70" s="1">
        <v>1378300</v>
      </c>
      <c r="BS70" s="1">
        <v>1356700</v>
      </c>
      <c r="BT70" s="1">
        <v>1442900</v>
      </c>
      <c r="BU70" s="1">
        <v>1703700</v>
      </c>
      <c r="BV70" s="1">
        <v>1137600</v>
      </c>
      <c r="BW70" s="1">
        <v>3070100</v>
      </c>
      <c r="BX70" s="1">
        <v>1134400</v>
      </c>
      <c r="BY70" s="1">
        <v>2516200</v>
      </c>
      <c r="BZ70" s="1">
        <v>2332900</v>
      </c>
    </row>
    <row r="71" spans="1:78" ht="15.9" customHeight="1">
      <c r="A71" s="393" t="s">
        <v>137</v>
      </c>
      <c r="B71" s="46" t="s">
        <v>138</v>
      </c>
      <c r="C71" s="50">
        <f>_xll.RssMarket("3854","出来高")</f>
        <v>35600</v>
      </c>
      <c r="D71" s="202">
        <f t="shared" si="1"/>
        <v>-41400</v>
      </c>
      <c r="E71" s="200">
        <v>77000</v>
      </c>
      <c r="F71" s="21">
        <v>94000</v>
      </c>
      <c r="G71" s="21">
        <v>99300</v>
      </c>
      <c r="H71" s="21">
        <v>149400</v>
      </c>
      <c r="I71" s="21">
        <v>181100</v>
      </c>
      <c r="J71" s="21">
        <v>119300</v>
      </c>
      <c r="K71" s="21">
        <v>99100</v>
      </c>
      <c r="L71" s="21">
        <v>97500</v>
      </c>
      <c r="M71" s="21">
        <v>58600</v>
      </c>
      <c r="N71" s="21">
        <v>76200</v>
      </c>
      <c r="O71" s="21">
        <v>69400</v>
      </c>
      <c r="P71" s="21">
        <v>76900</v>
      </c>
      <c r="Q71" s="21">
        <v>93600</v>
      </c>
      <c r="R71" s="21">
        <v>65300</v>
      </c>
      <c r="S71" s="21">
        <v>78100</v>
      </c>
      <c r="T71" s="21">
        <v>60700</v>
      </c>
      <c r="U71" s="21">
        <v>62600</v>
      </c>
      <c r="V71" s="21">
        <v>156900</v>
      </c>
      <c r="W71" s="21">
        <v>165900</v>
      </c>
      <c r="X71" s="21">
        <v>60100</v>
      </c>
      <c r="Y71" s="21">
        <v>90900</v>
      </c>
      <c r="Z71" s="21">
        <v>110400</v>
      </c>
      <c r="AA71" s="21">
        <v>52200</v>
      </c>
      <c r="AB71" s="21">
        <v>61800</v>
      </c>
      <c r="AC71" s="21">
        <v>91400</v>
      </c>
      <c r="AD71" s="21">
        <v>62100</v>
      </c>
      <c r="AE71" s="21">
        <v>87500</v>
      </c>
      <c r="AF71" s="21">
        <v>73300</v>
      </c>
      <c r="AG71" s="21">
        <v>66900</v>
      </c>
      <c r="AH71" s="21">
        <v>79000</v>
      </c>
      <c r="AI71" s="21">
        <v>78400</v>
      </c>
      <c r="AJ71" s="21">
        <v>54800</v>
      </c>
      <c r="AK71" s="21">
        <v>125700</v>
      </c>
      <c r="AL71" s="21">
        <v>71600</v>
      </c>
      <c r="AM71" s="21">
        <v>112900</v>
      </c>
      <c r="AN71" s="21">
        <v>152200</v>
      </c>
      <c r="AO71" s="21">
        <v>112200</v>
      </c>
      <c r="AP71" s="21">
        <v>88700</v>
      </c>
      <c r="AQ71" s="21">
        <v>217500</v>
      </c>
      <c r="AR71" s="21">
        <v>105100</v>
      </c>
      <c r="AS71" s="21">
        <v>100800</v>
      </c>
      <c r="AT71" s="21">
        <v>102300</v>
      </c>
      <c r="AU71" s="21">
        <v>66600</v>
      </c>
      <c r="AV71" s="21">
        <v>97200</v>
      </c>
      <c r="AW71" s="21">
        <v>98400</v>
      </c>
      <c r="AX71" s="21">
        <v>45900</v>
      </c>
      <c r="AY71" s="21">
        <v>114200</v>
      </c>
      <c r="AZ71" s="21">
        <v>87600</v>
      </c>
      <c r="BA71" s="21">
        <v>49400</v>
      </c>
      <c r="BB71" s="21">
        <v>65200</v>
      </c>
      <c r="BC71" s="21">
        <v>52500</v>
      </c>
      <c r="BD71" s="21">
        <v>75300</v>
      </c>
      <c r="BE71" s="21">
        <v>41300</v>
      </c>
      <c r="BF71" s="21">
        <v>50900</v>
      </c>
      <c r="BG71" s="21">
        <v>36300</v>
      </c>
      <c r="BH71" s="21">
        <v>47700</v>
      </c>
      <c r="BI71" s="21">
        <v>49000</v>
      </c>
      <c r="BJ71" s="21">
        <v>71600</v>
      </c>
      <c r="BK71" s="21">
        <v>51300</v>
      </c>
      <c r="BL71" s="21">
        <v>57300</v>
      </c>
      <c r="BM71" s="1">
        <v>75700</v>
      </c>
      <c r="BN71" s="1">
        <v>182200</v>
      </c>
      <c r="BO71" s="1">
        <v>52000</v>
      </c>
      <c r="BP71" s="1">
        <v>46600</v>
      </c>
      <c r="BQ71" s="1">
        <v>62800</v>
      </c>
      <c r="BR71" s="1">
        <v>55600</v>
      </c>
      <c r="BS71" s="1">
        <v>52600</v>
      </c>
      <c r="BT71" s="1">
        <v>56400</v>
      </c>
      <c r="BU71" s="1">
        <v>66600</v>
      </c>
      <c r="BV71" s="1">
        <v>50400</v>
      </c>
      <c r="BW71" s="1">
        <v>54300</v>
      </c>
      <c r="BX71" s="1">
        <v>46600</v>
      </c>
      <c r="BY71" s="1">
        <v>62300</v>
      </c>
      <c r="BZ71" s="1">
        <v>60800</v>
      </c>
    </row>
    <row r="72" spans="1:78" ht="15.9" customHeight="1">
      <c r="A72" s="393" t="s">
        <v>139</v>
      </c>
      <c r="B72" s="46" t="s">
        <v>140</v>
      </c>
      <c r="C72" s="50">
        <f>_xll.RssMarket("6027","出来高")</f>
        <v>21600</v>
      </c>
      <c r="D72" s="202">
        <f t="shared" si="1"/>
        <v>-29500</v>
      </c>
      <c r="E72" s="200">
        <v>51100</v>
      </c>
      <c r="F72" s="21">
        <v>48900</v>
      </c>
      <c r="G72" s="21">
        <v>39200</v>
      </c>
      <c r="H72" s="21">
        <v>75500</v>
      </c>
      <c r="I72" s="21">
        <v>120500</v>
      </c>
      <c r="J72" s="21">
        <v>82100</v>
      </c>
      <c r="K72" s="21">
        <v>92800</v>
      </c>
      <c r="L72" s="21">
        <v>69400</v>
      </c>
      <c r="M72" s="21">
        <v>81600</v>
      </c>
      <c r="N72" s="21">
        <v>47900</v>
      </c>
      <c r="O72" s="21">
        <v>59100</v>
      </c>
      <c r="P72" s="21">
        <v>118800</v>
      </c>
      <c r="Q72" s="21">
        <v>21400</v>
      </c>
      <c r="R72" s="21">
        <v>88100</v>
      </c>
      <c r="S72" s="21">
        <v>28500</v>
      </c>
      <c r="T72" s="21">
        <v>64500</v>
      </c>
      <c r="U72" s="21">
        <v>62500</v>
      </c>
      <c r="V72" s="21">
        <v>42000</v>
      </c>
      <c r="W72" s="21">
        <v>38100</v>
      </c>
      <c r="X72" s="21">
        <v>44200</v>
      </c>
      <c r="Y72" s="21">
        <v>77700</v>
      </c>
      <c r="Z72" s="21">
        <v>162300</v>
      </c>
      <c r="AA72" s="21">
        <v>168800</v>
      </c>
      <c r="AB72" s="21">
        <v>68400</v>
      </c>
      <c r="AC72" s="21">
        <v>165100</v>
      </c>
      <c r="AD72" s="21">
        <v>78000</v>
      </c>
      <c r="AE72" s="21">
        <v>208300</v>
      </c>
      <c r="AF72" s="21">
        <v>82300</v>
      </c>
      <c r="AG72" s="21">
        <v>138100</v>
      </c>
      <c r="AH72" s="21">
        <v>86400</v>
      </c>
      <c r="AI72" s="21">
        <v>104700</v>
      </c>
      <c r="AJ72" s="21">
        <v>80500</v>
      </c>
      <c r="AK72" s="21">
        <v>110400</v>
      </c>
      <c r="AL72" s="21">
        <v>91300</v>
      </c>
      <c r="AM72" s="21">
        <v>164500</v>
      </c>
      <c r="AN72" s="21">
        <v>115300</v>
      </c>
      <c r="AO72" s="21">
        <v>99100</v>
      </c>
      <c r="AP72" s="21">
        <v>89100</v>
      </c>
      <c r="AQ72" s="21">
        <v>104500</v>
      </c>
      <c r="AR72" s="21">
        <v>80900</v>
      </c>
      <c r="AS72" s="21">
        <v>106700</v>
      </c>
      <c r="AT72" s="21">
        <v>114200</v>
      </c>
      <c r="AU72" s="21">
        <v>119200</v>
      </c>
      <c r="AV72" s="21">
        <v>67700</v>
      </c>
      <c r="AW72" s="21">
        <v>98800</v>
      </c>
      <c r="AX72" s="21">
        <v>101400</v>
      </c>
      <c r="AY72" s="21">
        <v>84400</v>
      </c>
      <c r="AZ72" s="21">
        <v>68500</v>
      </c>
      <c r="BA72" s="21">
        <v>42600</v>
      </c>
      <c r="BB72" s="21">
        <v>119700</v>
      </c>
      <c r="BC72" s="21">
        <v>101500</v>
      </c>
      <c r="BD72" s="21">
        <v>160200</v>
      </c>
      <c r="BE72" s="21">
        <v>147300</v>
      </c>
      <c r="BF72" s="21">
        <v>202000</v>
      </c>
      <c r="BG72" s="21">
        <v>113900</v>
      </c>
      <c r="BH72" s="21">
        <v>49300</v>
      </c>
      <c r="BI72" s="21">
        <v>77300</v>
      </c>
      <c r="BJ72" s="21">
        <v>88300</v>
      </c>
      <c r="BK72" s="21">
        <v>105900</v>
      </c>
      <c r="BL72" s="21">
        <v>51000</v>
      </c>
      <c r="BM72" s="1">
        <v>45300</v>
      </c>
      <c r="BN72" s="1">
        <v>258800</v>
      </c>
      <c r="BO72" s="1">
        <v>142000</v>
      </c>
      <c r="BP72" s="1">
        <v>87600</v>
      </c>
      <c r="BQ72" s="1">
        <v>51900</v>
      </c>
      <c r="BR72" s="1">
        <v>60300</v>
      </c>
      <c r="BS72" s="1">
        <v>51000</v>
      </c>
      <c r="BT72" s="1">
        <v>55400</v>
      </c>
      <c r="BU72" s="1">
        <v>106900</v>
      </c>
      <c r="BV72" s="1">
        <v>137700</v>
      </c>
      <c r="BW72" s="1">
        <v>161500</v>
      </c>
      <c r="BX72" s="1">
        <v>108800</v>
      </c>
      <c r="BY72" s="1">
        <v>101800</v>
      </c>
      <c r="BZ72" s="1">
        <v>260600</v>
      </c>
    </row>
    <row r="73" spans="1:78" ht="15.9" customHeight="1">
      <c r="A73" s="393" t="s">
        <v>141</v>
      </c>
      <c r="B73" s="46" t="s">
        <v>142</v>
      </c>
      <c r="C73" s="50">
        <f>_xll.RssMarket("7806","出来高")</f>
        <v>329900</v>
      </c>
      <c r="D73" s="202">
        <f t="shared" si="1"/>
        <v>135300</v>
      </c>
      <c r="E73" s="200">
        <v>194600</v>
      </c>
      <c r="F73" s="21">
        <v>105800</v>
      </c>
      <c r="G73" s="21">
        <v>133800</v>
      </c>
      <c r="H73" s="21">
        <v>105700</v>
      </c>
      <c r="I73" s="21">
        <v>158500</v>
      </c>
      <c r="J73" s="21">
        <v>62600</v>
      </c>
      <c r="K73" s="21">
        <v>89900</v>
      </c>
      <c r="L73" s="21">
        <v>71500</v>
      </c>
      <c r="M73" s="21">
        <v>90300</v>
      </c>
      <c r="N73" s="21">
        <v>74400</v>
      </c>
      <c r="O73" s="21">
        <v>122700</v>
      </c>
      <c r="P73" s="21">
        <v>183900</v>
      </c>
      <c r="Q73" s="21">
        <v>126000</v>
      </c>
      <c r="R73" s="21">
        <v>82000</v>
      </c>
      <c r="S73" s="21">
        <v>136700</v>
      </c>
      <c r="T73" s="21">
        <v>128000</v>
      </c>
      <c r="U73" s="21">
        <v>183900</v>
      </c>
      <c r="V73" s="21">
        <v>79600</v>
      </c>
      <c r="W73" s="21">
        <v>59500</v>
      </c>
      <c r="X73" s="21">
        <v>68300</v>
      </c>
      <c r="Y73" s="21">
        <v>218100</v>
      </c>
      <c r="Z73" s="21">
        <v>135400</v>
      </c>
      <c r="AA73" s="21">
        <v>92900</v>
      </c>
      <c r="AB73" s="21">
        <v>104500</v>
      </c>
      <c r="AC73" s="21">
        <v>75800</v>
      </c>
      <c r="AD73" s="21">
        <v>103500</v>
      </c>
      <c r="AE73" s="21">
        <v>64600</v>
      </c>
      <c r="AF73" s="21">
        <v>56600</v>
      </c>
      <c r="AG73" s="21">
        <v>105700</v>
      </c>
      <c r="AH73" s="21">
        <v>70600</v>
      </c>
      <c r="AI73" s="21">
        <v>100700</v>
      </c>
      <c r="AJ73" s="21">
        <v>149800</v>
      </c>
      <c r="AK73" s="21">
        <v>101100</v>
      </c>
      <c r="AL73" s="21">
        <v>70700</v>
      </c>
      <c r="AM73" s="21">
        <v>81300</v>
      </c>
      <c r="AN73" s="21">
        <v>76100</v>
      </c>
      <c r="AO73" s="21">
        <v>123300</v>
      </c>
      <c r="AP73" s="21">
        <v>81800</v>
      </c>
      <c r="AQ73" s="21">
        <v>94500</v>
      </c>
      <c r="AR73" s="21">
        <v>98400</v>
      </c>
      <c r="AS73" s="21">
        <v>179500</v>
      </c>
      <c r="AT73" s="21">
        <v>148300</v>
      </c>
      <c r="AU73" s="21">
        <v>138500</v>
      </c>
      <c r="AV73" s="21">
        <v>187100</v>
      </c>
      <c r="AW73" s="21">
        <v>210800</v>
      </c>
      <c r="AX73" s="21">
        <v>159600</v>
      </c>
      <c r="AY73" s="21">
        <v>93500</v>
      </c>
      <c r="AZ73" s="21">
        <v>116000</v>
      </c>
      <c r="BA73" s="21">
        <v>78400</v>
      </c>
      <c r="BB73" s="21">
        <v>143600</v>
      </c>
      <c r="BC73" s="21">
        <v>172400</v>
      </c>
      <c r="BD73" s="21">
        <v>156700</v>
      </c>
      <c r="BE73" s="21">
        <v>202300</v>
      </c>
      <c r="BF73" s="21">
        <v>335000</v>
      </c>
      <c r="BG73" s="21">
        <v>335500</v>
      </c>
      <c r="BH73" s="21">
        <v>641700</v>
      </c>
      <c r="BI73" s="21">
        <v>261500</v>
      </c>
      <c r="BJ73" s="21">
        <v>99300</v>
      </c>
      <c r="BK73" s="21">
        <v>173800</v>
      </c>
      <c r="BL73" s="21">
        <v>124500</v>
      </c>
      <c r="BM73" s="1">
        <v>114900</v>
      </c>
      <c r="BN73" s="1">
        <v>76700</v>
      </c>
      <c r="BO73" s="1">
        <v>127600</v>
      </c>
      <c r="BP73" s="1">
        <v>86300</v>
      </c>
      <c r="BQ73" s="1">
        <v>110000</v>
      </c>
      <c r="BR73" s="1">
        <v>92900</v>
      </c>
      <c r="BS73" s="1">
        <v>105000</v>
      </c>
      <c r="BT73" s="1">
        <v>100600</v>
      </c>
      <c r="BU73" s="1">
        <v>142100</v>
      </c>
      <c r="BV73" s="1">
        <v>76500</v>
      </c>
      <c r="BW73" s="1">
        <v>145900</v>
      </c>
      <c r="BX73" s="1">
        <v>97600</v>
      </c>
      <c r="BY73" s="1">
        <v>128100</v>
      </c>
      <c r="BZ73" s="1">
        <v>102400</v>
      </c>
    </row>
    <row r="74" spans="1:78" ht="15.9" customHeight="1">
      <c r="A74" s="393" t="s">
        <v>143</v>
      </c>
      <c r="B74" s="46" t="s">
        <v>144</v>
      </c>
      <c r="C74" s="50">
        <f>_xll.RssMarket("9202","出来高")</f>
        <v>1398900</v>
      </c>
      <c r="D74" s="202">
        <f t="shared" si="1"/>
        <v>-693300</v>
      </c>
      <c r="E74" s="200">
        <v>2092200</v>
      </c>
      <c r="F74" s="21">
        <v>3654300</v>
      </c>
      <c r="G74" s="21">
        <v>2619100</v>
      </c>
      <c r="H74" s="21">
        <v>4941700</v>
      </c>
      <c r="I74" s="21">
        <v>5156500</v>
      </c>
      <c r="J74" s="21">
        <v>3154200</v>
      </c>
      <c r="K74" s="21">
        <v>3338700</v>
      </c>
      <c r="L74" s="21">
        <v>3206700</v>
      </c>
      <c r="M74" s="21">
        <v>1582500</v>
      </c>
      <c r="N74" s="21">
        <v>2043300</v>
      </c>
      <c r="O74" s="21">
        <v>2052300</v>
      </c>
      <c r="P74" s="21">
        <v>2452800</v>
      </c>
      <c r="Q74" s="21">
        <v>1720800</v>
      </c>
      <c r="R74" s="21">
        <v>1735200</v>
      </c>
      <c r="S74" s="21">
        <v>1879000</v>
      </c>
      <c r="T74" s="21">
        <v>2260600</v>
      </c>
      <c r="U74" s="21">
        <v>2203800</v>
      </c>
      <c r="V74" s="21">
        <v>2751000</v>
      </c>
      <c r="W74" s="21">
        <v>2295600</v>
      </c>
      <c r="X74" s="21">
        <v>2507700</v>
      </c>
      <c r="Y74" s="21">
        <v>3278800</v>
      </c>
      <c r="Z74" s="21">
        <v>4148400</v>
      </c>
      <c r="AA74" s="21">
        <v>2241000</v>
      </c>
      <c r="AB74" s="21">
        <v>1849700</v>
      </c>
      <c r="AC74" s="21">
        <v>1782400</v>
      </c>
      <c r="AD74" s="21">
        <v>1851300</v>
      </c>
      <c r="AE74" s="21">
        <v>2005300</v>
      </c>
      <c r="AF74" s="21">
        <v>1973900</v>
      </c>
      <c r="AG74" s="21">
        <v>2569500</v>
      </c>
      <c r="AH74" s="21">
        <v>2308900</v>
      </c>
      <c r="AI74" s="21">
        <v>2725600</v>
      </c>
      <c r="AJ74" s="21">
        <v>1930700</v>
      </c>
      <c r="AK74" s="21">
        <v>2230900</v>
      </c>
      <c r="AL74" s="21">
        <v>2985100</v>
      </c>
      <c r="AM74" s="21">
        <v>4307400</v>
      </c>
      <c r="AN74" s="21">
        <v>3164000</v>
      </c>
      <c r="AO74" s="21">
        <v>2135800</v>
      </c>
      <c r="AP74" s="21">
        <v>2158900</v>
      </c>
      <c r="AQ74" s="21">
        <v>2434400</v>
      </c>
      <c r="AR74" s="21">
        <v>2216800</v>
      </c>
      <c r="AS74" s="21">
        <v>2215600</v>
      </c>
      <c r="AT74" s="21">
        <v>1983200</v>
      </c>
      <c r="AU74" s="21">
        <v>3201700</v>
      </c>
      <c r="AV74" s="21">
        <v>5406800</v>
      </c>
      <c r="AW74" s="21">
        <v>2120400</v>
      </c>
      <c r="AX74" s="21">
        <v>2501400</v>
      </c>
      <c r="AY74" s="21">
        <v>3620800</v>
      </c>
      <c r="AZ74" s="21">
        <v>2126500</v>
      </c>
      <c r="BA74" s="21">
        <v>2315200</v>
      </c>
      <c r="BB74" s="21">
        <v>2264400</v>
      </c>
      <c r="BC74" s="21">
        <v>2421000</v>
      </c>
      <c r="BD74" s="21">
        <v>2950300</v>
      </c>
      <c r="BE74" s="21">
        <v>2781900</v>
      </c>
      <c r="BF74" s="21">
        <v>2105800</v>
      </c>
      <c r="BG74" s="21">
        <v>2618100</v>
      </c>
      <c r="BH74" s="21">
        <v>2907100</v>
      </c>
      <c r="BI74" s="21">
        <v>3306500</v>
      </c>
      <c r="BJ74" s="21">
        <v>4390900</v>
      </c>
      <c r="BK74" s="21">
        <v>7110200</v>
      </c>
      <c r="BL74" s="21">
        <v>4982900</v>
      </c>
      <c r="BM74" s="1">
        <v>5649400</v>
      </c>
      <c r="BN74" s="1">
        <v>5415500</v>
      </c>
      <c r="BO74" s="1">
        <v>3159100</v>
      </c>
      <c r="BP74" s="1">
        <v>3437600</v>
      </c>
      <c r="BQ74" s="1">
        <v>5078700</v>
      </c>
      <c r="BR74" s="1">
        <v>2943400</v>
      </c>
      <c r="BS74" s="1">
        <v>2482900</v>
      </c>
      <c r="BT74" s="1">
        <v>2734200</v>
      </c>
      <c r="BU74" s="1">
        <v>3397600</v>
      </c>
      <c r="BV74" s="1">
        <v>2877400</v>
      </c>
      <c r="BW74" s="1">
        <v>3416900</v>
      </c>
      <c r="BX74" s="1">
        <v>1974800</v>
      </c>
      <c r="BY74" s="1">
        <v>2762000</v>
      </c>
      <c r="BZ74" s="1">
        <v>2383700</v>
      </c>
    </row>
    <row r="75" spans="1:78" ht="15.9" customHeight="1">
      <c r="A75" s="393" t="s">
        <v>145</v>
      </c>
      <c r="B75" s="46" t="s">
        <v>146</v>
      </c>
      <c r="C75" s="50">
        <f>_xll.RssMarket("7846","出来高")</f>
        <v>101800</v>
      </c>
      <c r="D75" s="202">
        <f t="shared" si="1"/>
        <v>101800</v>
      </c>
      <c r="E75" s="200"/>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row>
    <row r="76" spans="1:78" ht="15.9" customHeight="1">
      <c r="A76" s="393" t="s">
        <v>147</v>
      </c>
      <c r="B76" s="46" t="s">
        <v>148</v>
      </c>
      <c r="C76" s="50">
        <f>_xll.RssMarket("2802","出来高")</f>
        <v>3920800</v>
      </c>
      <c r="D76" s="202">
        <f t="shared" si="1"/>
        <v>703800</v>
      </c>
      <c r="E76" s="200">
        <v>3217000</v>
      </c>
      <c r="F76" s="21">
        <v>3457300</v>
      </c>
      <c r="G76" s="21">
        <v>6792600</v>
      </c>
      <c r="H76" s="21">
        <v>3380100</v>
      </c>
      <c r="I76" s="21">
        <v>5208900</v>
      </c>
      <c r="J76" s="21">
        <v>5081400</v>
      </c>
      <c r="K76" s="21">
        <v>3261500</v>
      </c>
      <c r="L76" s="21">
        <v>3313400</v>
      </c>
      <c r="M76" s="21">
        <v>3647900</v>
      </c>
      <c r="N76" s="21">
        <v>3917200</v>
      </c>
      <c r="O76" s="21">
        <v>3521400</v>
      </c>
      <c r="P76" s="21">
        <v>4971500</v>
      </c>
      <c r="Q76" s="21">
        <v>2345400</v>
      </c>
      <c r="R76" s="21">
        <v>2829000</v>
      </c>
      <c r="S76" s="21">
        <v>3241400</v>
      </c>
      <c r="T76" s="21">
        <v>3796900</v>
      </c>
      <c r="U76" s="21">
        <v>3484700</v>
      </c>
      <c r="V76" s="21">
        <v>4481500</v>
      </c>
      <c r="W76" s="21">
        <v>4052300</v>
      </c>
      <c r="X76" s="21">
        <v>3818600</v>
      </c>
      <c r="Y76" s="21">
        <v>3851300</v>
      </c>
      <c r="Z76" s="21">
        <v>5376600</v>
      </c>
      <c r="AA76" s="21">
        <v>6849800</v>
      </c>
      <c r="AB76" s="21">
        <v>3929700</v>
      </c>
      <c r="AC76" s="21">
        <v>3094100</v>
      </c>
      <c r="AD76" s="21">
        <v>4592800</v>
      </c>
      <c r="AE76" s="21">
        <v>4071800</v>
      </c>
      <c r="AF76" s="21">
        <v>5228800</v>
      </c>
      <c r="AG76" s="21">
        <v>6481900</v>
      </c>
      <c r="AH76" s="21">
        <v>7787100</v>
      </c>
      <c r="AI76" s="21">
        <v>9507900</v>
      </c>
      <c r="AJ76" s="21">
        <v>11123900</v>
      </c>
      <c r="AK76" s="21">
        <v>7021300</v>
      </c>
      <c r="AL76" s="21">
        <v>3452600</v>
      </c>
      <c r="AM76" s="21">
        <v>5178500</v>
      </c>
      <c r="AN76" s="21">
        <v>7566800</v>
      </c>
      <c r="AO76" s="21">
        <v>9098500</v>
      </c>
      <c r="AP76" s="21">
        <v>3146800</v>
      </c>
      <c r="AQ76" s="21">
        <v>5597000</v>
      </c>
      <c r="AR76" s="21">
        <v>4289000</v>
      </c>
      <c r="AS76" s="21">
        <v>3057000</v>
      </c>
      <c r="AT76" s="21">
        <v>3504900</v>
      </c>
      <c r="AU76" s="21">
        <v>4996400</v>
      </c>
      <c r="AV76" s="21">
        <v>9185600</v>
      </c>
      <c r="AW76" s="21">
        <v>4114000</v>
      </c>
      <c r="AX76" s="21">
        <v>3869800</v>
      </c>
      <c r="AY76" s="21">
        <v>5159900</v>
      </c>
      <c r="AZ76" s="21">
        <v>3827500</v>
      </c>
      <c r="BA76" s="21">
        <v>5087100</v>
      </c>
      <c r="BB76" s="21">
        <v>4275700</v>
      </c>
      <c r="BC76" s="21">
        <v>4920400</v>
      </c>
      <c r="BD76" s="21">
        <v>4332700</v>
      </c>
      <c r="BE76" s="21">
        <v>4499600</v>
      </c>
      <c r="BF76" s="21">
        <v>5720800</v>
      </c>
      <c r="BG76" s="21">
        <v>4630900</v>
      </c>
      <c r="BH76" s="21">
        <v>7590600</v>
      </c>
      <c r="BI76" s="21">
        <v>12969600</v>
      </c>
      <c r="BJ76" s="21">
        <v>10223100</v>
      </c>
      <c r="BK76" s="21">
        <v>10744000</v>
      </c>
      <c r="BL76" s="21">
        <v>3912900</v>
      </c>
      <c r="BM76" s="1">
        <v>7469200</v>
      </c>
      <c r="BN76" s="1">
        <v>2409700</v>
      </c>
      <c r="BO76" s="1">
        <v>3147200</v>
      </c>
      <c r="BP76" s="1">
        <v>4191800</v>
      </c>
      <c r="BQ76" s="1">
        <v>3034700</v>
      </c>
      <c r="BR76" s="1">
        <v>2492000</v>
      </c>
      <c r="BS76" s="1">
        <v>3564700</v>
      </c>
      <c r="BT76" s="1">
        <v>2451100</v>
      </c>
      <c r="BU76" s="1">
        <v>1922800</v>
      </c>
      <c r="BV76" s="1">
        <v>2181900</v>
      </c>
      <c r="BW76" s="1">
        <v>2250300</v>
      </c>
      <c r="BX76" s="1">
        <v>2515800</v>
      </c>
      <c r="BY76" s="1">
        <v>3500300</v>
      </c>
      <c r="BZ76" s="1">
        <v>3006800</v>
      </c>
    </row>
    <row r="77" spans="1:78" ht="15.9" customHeight="1">
      <c r="A77" s="393" t="s">
        <v>149</v>
      </c>
      <c r="B77" s="46" t="s">
        <v>150</v>
      </c>
      <c r="C77" s="50">
        <f>_xll.RssMarket("7203","出来高")</f>
        <v>33371100</v>
      </c>
      <c r="D77" s="202">
        <f t="shared" si="1"/>
        <v>-36640400</v>
      </c>
      <c r="E77" s="200">
        <v>70011500</v>
      </c>
      <c r="F77" s="21">
        <v>43659400</v>
      </c>
      <c r="G77" s="21">
        <v>37342500</v>
      </c>
      <c r="H77" s="21">
        <v>102087800</v>
      </c>
      <c r="I77" s="21">
        <v>61406300</v>
      </c>
      <c r="J77" s="21">
        <v>30618100</v>
      </c>
      <c r="K77" s="21">
        <v>26894200</v>
      </c>
      <c r="L77" s="21">
        <v>23007200</v>
      </c>
      <c r="M77" s="21">
        <v>24503500</v>
      </c>
      <c r="N77" s="21">
        <v>24733500</v>
      </c>
      <c r="O77" s="21">
        <v>31065300</v>
      </c>
      <c r="P77" s="21">
        <v>35779500</v>
      </c>
      <c r="Q77" s="21">
        <v>21157100</v>
      </c>
      <c r="R77" s="21">
        <v>20459300</v>
      </c>
      <c r="S77" s="21">
        <v>19932600</v>
      </c>
      <c r="T77" s="21">
        <v>26668000</v>
      </c>
      <c r="U77" s="21">
        <v>24949800</v>
      </c>
      <c r="V77" s="21">
        <v>28465700</v>
      </c>
      <c r="W77" s="21">
        <v>36408300</v>
      </c>
      <c r="X77" s="21">
        <v>26728000</v>
      </c>
      <c r="Y77" s="21">
        <v>23428700</v>
      </c>
      <c r="Z77" s="21">
        <v>30358500</v>
      </c>
      <c r="AA77" s="21">
        <v>21882700</v>
      </c>
      <c r="AB77" s="21">
        <v>32958300</v>
      </c>
      <c r="AC77" s="21">
        <v>31780500</v>
      </c>
      <c r="AD77" s="21">
        <v>32537200</v>
      </c>
      <c r="AE77" s="21">
        <v>20706600</v>
      </c>
      <c r="AF77" s="21">
        <v>25725300</v>
      </c>
      <c r="AG77" s="21">
        <v>22693000</v>
      </c>
      <c r="AH77" s="21">
        <v>22063700</v>
      </c>
      <c r="AI77" s="21">
        <v>28789700</v>
      </c>
      <c r="AJ77" s="21">
        <v>27620900</v>
      </c>
      <c r="AK77" s="21">
        <v>26726100</v>
      </c>
      <c r="AL77" s="21">
        <v>20615100</v>
      </c>
      <c r="AM77" s="21">
        <v>29688600</v>
      </c>
      <c r="AN77" s="21">
        <v>29442600</v>
      </c>
      <c r="AO77" s="21">
        <v>27541100</v>
      </c>
      <c r="AP77" s="21">
        <v>25839700</v>
      </c>
      <c r="AQ77" s="21">
        <v>30734900</v>
      </c>
      <c r="AR77" s="21">
        <v>18955400</v>
      </c>
      <c r="AS77" s="21">
        <v>19751600</v>
      </c>
      <c r="AT77" s="21">
        <v>27875500</v>
      </c>
      <c r="AU77" s="21">
        <v>37933000</v>
      </c>
      <c r="AV77" s="21">
        <v>39820000</v>
      </c>
      <c r="AW77" s="21">
        <v>25312200</v>
      </c>
      <c r="AX77" s="21">
        <v>17980500</v>
      </c>
      <c r="AY77" s="21">
        <v>22249700</v>
      </c>
      <c r="AZ77" s="21">
        <v>16498800</v>
      </c>
      <c r="BA77" s="21">
        <v>21798100</v>
      </c>
      <c r="BB77" s="21">
        <v>26030500</v>
      </c>
      <c r="BC77" s="21">
        <v>23002200</v>
      </c>
      <c r="BD77" s="21">
        <v>30946400</v>
      </c>
      <c r="BE77" s="21">
        <v>43178700</v>
      </c>
      <c r="BF77" s="21">
        <v>31564100</v>
      </c>
      <c r="BG77" s="21">
        <v>29534100</v>
      </c>
      <c r="BH77" s="21">
        <v>29055900</v>
      </c>
      <c r="BI77" s="21">
        <v>43038000</v>
      </c>
      <c r="BJ77" s="21">
        <v>75083900</v>
      </c>
      <c r="BK77" s="21">
        <v>37816000</v>
      </c>
      <c r="BL77" s="21">
        <v>21904100</v>
      </c>
      <c r="BM77" s="1">
        <v>32130400</v>
      </c>
      <c r="BN77" s="1">
        <v>21920800</v>
      </c>
      <c r="BO77" s="1">
        <v>19390900</v>
      </c>
      <c r="BP77" s="1">
        <v>22659400</v>
      </c>
      <c r="BQ77" s="1">
        <v>23206300</v>
      </c>
      <c r="BR77" s="1">
        <v>20463800</v>
      </c>
      <c r="BS77" s="1">
        <v>19345300</v>
      </c>
      <c r="BT77" s="1">
        <v>14589600</v>
      </c>
      <c r="BU77" s="1">
        <v>14251500</v>
      </c>
      <c r="BV77" s="1">
        <v>20154600</v>
      </c>
      <c r="BW77" s="1">
        <v>20317000</v>
      </c>
      <c r="BX77" s="1">
        <v>15920200</v>
      </c>
      <c r="BY77" s="1">
        <v>14353200</v>
      </c>
      <c r="BZ77" s="1">
        <v>16930900</v>
      </c>
    </row>
    <row r="78" spans="1:78" ht="15.9" customHeight="1">
      <c r="A78" s="393" t="s">
        <v>151</v>
      </c>
      <c r="B78" s="46" t="s">
        <v>152</v>
      </c>
      <c r="C78" s="50">
        <f>_xll.RssMarket("6954","出来高")</f>
        <v>5721900</v>
      </c>
      <c r="D78" s="202">
        <f t="shared" si="1"/>
        <v>-5546700</v>
      </c>
      <c r="E78" s="200">
        <v>11268600</v>
      </c>
      <c r="F78" s="21">
        <v>21706000</v>
      </c>
      <c r="G78" s="21">
        <v>9476000</v>
      </c>
      <c r="H78" s="21">
        <v>7958800</v>
      </c>
      <c r="I78" s="21">
        <v>9585200</v>
      </c>
      <c r="J78" s="21">
        <v>6478600</v>
      </c>
      <c r="K78" s="21">
        <v>5712300</v>
      </c>
      <c r="L78" s="21">
        <v>4740900</v>
      </c>
      <c r="M78" s="21">
        <v>3445500</v>
      </c>
      <c r="N78" s="21">
        <v>7494800</v>
      </c>
      <c r="O78" s="21">
        <v>6301600</v>
      </c>
      <c r="P78" s="21">
        <v>7839600</v>
      </c>
      <c r="Q78" s="21">
        <v>3773900</v>
      </c>
      <c r="R78" s="21">
        <v>5016300</v>
      </c>
      <c r="S78" s="21">
        <v>5036400</v>
      </c>
      <c r="T78" s="21">
        <v>6055500</v>
      </c>
      <c r="U78" s="21">
        <v>4478800</v>
      </c>
      <c r="V78" s="21">
        <v>7987400</v>
      </c>
      <c r="W78" s="21">
        <v>6370600</v>
      </c>
      <c r="X78" s="21">
        <v>4083900</v>
      </c>
      <c r="Y78" s="21">
        <v>4447400</v>
      </c>
      <c r="Z78" s="21">
        <v>3966700</v>
      </c>
      <c r="AA78" s="21">
        <v>4489400</v>
      </c>
      <c r="AB78" s="21">
        <v>5841600</v>
      </c>
      <c r="AC78" s="21">
        <v>3974700</v>
      </c>
      <c r="AD78" s="21">
        <v>6268300</v>
      </c>
      <c r="AE78" s="21">
        <v>4730000</v>
      </c>
      <c r="AF78" s="21">
        <v>4991800</v>
      </c>
      <c r="AG78" s="21">
        <v>7283200</v>
      </c>
      <c r="AH78" s="21">
        <v>9748200</v>
      </c>
      <c r="AI78" s="21">
        <v>5994600</v>
      </c>
      <c r="AJ78" s="21">
        <v>5923100</v>
      </c>
      <c r="AK78" s="21">
        <v>5209500</v>
      </c>
      <c r="AL78" s="21">
        <v>5451900</v>
      </c>
      <c r="AM78" s="21">
        <v>5811400</v>
      </c>
      <c r="AN78" s="21">
        <v>7191600</v>
      </c>
      <c r="AO78" s="21">
        <v>7393100</v>
      </c>
      <c r="AP78" s="21">
        <v>6944300</v>
      </c>
      <c r="AQ78" s="21">
        <v>7184200</v>
      </c>
      <c r="AR78" s="21">
        <v>5280700</v>
      </c>
      <c r="AS78" s="21">
        <v>4661100</v>
      </c>
      <c r="AT78" s="21">
        <v>6182500</v>
      </c>
      <c r="AU78" s="21">
        <v>7795300</v>
      </c>
      <c r="AV78" s="21">
        <v>8214300</v>
      </c>
      <c r="AW78" s="21">
        <v>6951500</v>
      </c>
      <c r="AX78" s="21">
        <v>5836500</v>
      </c>
      <c r="AY78" s="21">
        <v>6752400</v>
      </c>
      <c r="AZ78" s="21">
        <v>8458800</v>
      </c>
      <c r="BA78" s="21">
        <v>7741100</v>
      </c>
      <c r="BB78" s="21">
        <v>7749300</v>
      </c>
      <c r="BC78" s="21">
        <v>6393300</v>
      </c>
      <c r="BD78" s="21">
        <v>7397500</v>
      </c>
      <c r="BE78" s="21">
        <v>14410600</v>
      </c>
      <c r="BF78" s="21">
        <v>16737500</v>
      </c>
      <c r="BG78" s="21">
        <v>5749400</v>
      </c>
      <c r="BH78" s="21">
        <v>8351500</v>
      </c>
      <c r="BI78" s="21">
        <v>8889100</v>
      </c>
      <c r="BJ78" s="21">
        <v>12964500</v>
      </c>
      <c r="BK78" s="21">
        <v>9370000</v>
      </c>
      <c r="BL78" s="21">
        <v>4880600</v>
      </c>
      <c r="BM78" s="1">
        <v>10775600</v>
      </c>
      <c r="BN78" s="1">
        <v>12809200</v>
      </c>
      <c r="BO78" s="1">
        <v>17662700</v>
      </c>
      <c r="BP78" s="1">
        <v>6099800</v>
      </c>
      <c r="BQ78" s="1">
        <v>6293400</v>
      </c>
      <c r="BR78" s="1">
        <v>5444200</v>
      </c>
      <c r="BS78" s="1">
        <v>5311400</v>
      </c>
      <c r="BT78" s="1">
        <v>5984100</v>
      </c>
      <c r="BU78" s="1">
        <v>3654100</v>
      </c>
      <c r="BV78" s="1">
        <v>4599900</v>
      </c>
      <c r="BW78" s="1">
        <v>4550300</v>
      </c>
      <c r="BX78" s="1">
        <v>4601900</v>
      </c>
      <c r="BY78" s="1">
        <v>6561000</v>
      </c>
      <c r="BZ78" s="1">
        <v>7688200</v>
      </c>
    </row>
    <row r="79" spans="1:78" ht="15.9" customHeight="1">
      <c r="A79" s="393" t="s">
        <v>153</v>
      </c>
      <c r="B79" s="46" t="s">
        <v>154</v>
      </c>
      <c r="C79" s="50">
        <f>_xll.RssMarket("6479","出来高")</f>
        <v>2553100</v>
      </c>
      <c r="D79" s="202">
        <f t="shared" si="1"/>
        <v>267300</v>
      </c>
      <c r="E79" s="200">
        <v>2285800</v>
      </c>
      <c r="F79" s="21">
        <v>3449100</v>
      </c>
      <c r="G79" s="21">
        <v>4227700</v>
      </c>
      <c r="H79" s="21">
        <v>2929000</v>
      </c>
      <c r="I79" s="21">
        <v>3543700</v>
      </c>
      <c r="J79" s="21">
        <v>3258600</v>
      </c>
      <c r="K79" s="21">
        <v>2310900</v>
      </c>
      <c r="L79" s="21">
        <v>1994000</v>
      </c>
      <c r="M79" s="21">
        <v>2080200</v>
      </c>
      <c r="N79" s="21">
        <v>2882200</v>
      </c>
      <c r="O79" s="21">
        <v>2723900</v>
      </c>
      <c r="P79" s="21">
        <v>4373500</v>
      </c>
      <c r="Q79" s="21">
        <v>1909100</v>
      </c>
      <c r="R79" s="21">
        <v>3393800</v>
      </c>
      <c r="S79" s="21">
        <v>3713200</v>
      </c>
      <c r="T79" s="21">
        <v>2995100</v>
      </c>
      <c r="U79" s="21">
        <v>3138400</v>
      </c>
      <c r="V79" s="21">
        <v>4635500</v>
      </c>
      <c r="W79" s="21">
        <v>5217800</v>
      </c>
      <c r="X79" s="21">
        <v>5090800</v>
      </c>
      <c r="Y79" s="21">
        <v>2946700</v>
      </c>
      <c r="Z79" s="21">
        <v>3382500</v>
      </c>
      <c r="AA79" s="21">
        <v>4337400</v>
      </c>
      <c r="AB79" s="21">
        <v>2944000</v>
      </c>
      <c r="AC79" s="21">
        <v>2684400</v>
      </c>
      <c r="AD79" s="21">
        <v>4154600</v>
      </c>
      <c r="AE79" s="21">
        <v>4180100</v>
      </c>
      <c r="AF79" s="21">
        <v>4720500</v>
      </c>
      <c r="AG79" s="21">
        <v>5314900</v>
      </c>
      <c r="AH79" s="21">
        <v>5082000</v>
      </c>
      <c r="AI79" s="21">
        <v>4611300</v>
      </c>
      <c r="AJ79" s="21">
        <v>4161100</v>
      </c>
      <c r="AK79" s="21">
        <v>3190800</v>
      </c>
      <c r="AL79" s="21">
        <v>4167100</v>
      </c>
      <c r="AM79" s="21">
        <v>3572000</v>
      </c>
      <c r="AN79" s="21">
        <v>4112800</v>
      </c>
      <c r="AO79" s="21">
        <v>3900000</v>
      </c>
      <c r="AP79" s="21">
        <v>3205000</v>
      </c>
      <c r="AQ79" s="21">
        <v>4165100</v>
      </c>
      <c r="AR79" s="21">
        <v>4271400</v>
      </c>
      <c r="AS79" s="21">
        <v>2769600</v>
      </c>
      <c r="AT79" s="21">
        <v>3795400</v>
      </c>
      <c r="AU79" s="21">
        <v>3912700</v>
      </c>
      <c r="AV79" s="21">
        <v>5338600</v>
      </c>
      <c r="AW79" s="21">
        <v>2061300</v>
      </c>
      <c r="AX79" s="21">
        <v>2314900</v>
      </c>
      <c r="AY79" s="21">
        <v>2539800</v>
      </c>
      <c r="AZ79" s="21">
        <v>2298900</v>
      </c>
      <c r="BA79" s="21">
        <v>2440900</v>
      </c>
      <c r="BB79" s="21">
        <v>2528700</v>
      </c>
      <c r="BC79" s="21">
        <v>2137400</v>
      </c>
      <c r="BD79" s="21">
        <v>3076500</v>
      </c>
      <c r="BE79" s="21">
        <v>3164100</v>
      </c>
      <c r="BF79" s="21">
        <v>4083300</v>
      </c>
      <c r="BG79" s="21">
        <v>5903700</v>
      </c>
      <c r="BH79" s="21">
        <v>4164300</v>
      </c>
      <c r="BI79" s="21">
        <v>2485800</v>
      </c>
      <c r="BJ79" s="21">
        <v>3109800</v>
      </c>
      <c r="BK79" s="21">
        <v>3393700</v>
      </c>
      <c r="BL79" s="21">
        <v>1751000</v>
      </c>
      <c r="BM79" s="1">
        <v>2720400</v>
      </c>
      <c r="BN79" s="1">
        <v>1935600</v>
      </c>
      <c r="BO79" s="1">
        <v>2073000</v>
      </c>
      <c r="BP79" s="1">
        <v>1633500</v>
      </c>
      <c r="BQ79" s="1">
        <v>1851200</v>
      </c>
      <c r="BR79" s="1">
        <v>1569700</v>
      </c>
      <c r="BS79" s="1">
        <v>1614700</v>
      </c>
      <c r="BT79" s="1">
        <v>2611900</v>
      </c>
      <c r="BU79" s="1">
        <v>2005700</v>
      </c>
      <c r="BV79" s="1">
        <v>3963000</v>
      </c>
      <c r="BW79" s="1">
        <v>1918900</v>
      </c>
      <c r="BX79" s="1">
        <v>2206500</v>
      </c>
      <c r="BY79" s="1">
        <v>2234000</v>
      </c>
      <c r="BZ79" s="1">
        <v>3069300</v>
      </c>
    </row>
    <row r="80" spans="1:78" ht="15.9" customHeight="1">
      <c r="A80" s="393" t="s">
        <v>155</v>
      </c>
      <c r="B80" s="46" t="s">
        <v>156</v>
      </c>
      <c r="C80" s="50">
        <f>_xll.RssMarket("1833","出来高")</f>
        <v>44800</v>
      </c>
      <c r="D80" s="202">
        <f t="shared" si="1"/>
        <v>-33400</v>
      </c>
      <c r="E80" s="200">
        <v>78200</v>
      </c>
      <c r="F80" s="21">
        <v>134900</v>
      </c>
      <c r="G80" s="21">
        <v>94500</v>
      </c>
      <c r="H80" s="21">
        <v>120900</v>
      </c>
      <c r="I80" s="21">
        <v>174300</v>
      </c>
      <c r="J80" s="21">
        <v>117000</v>
      </c>
      <c r="K80" s="21">
        <v>120300</v>
      </c>
      <c r="L80" s="21"/>
      <c r="M80" s="21">
        <v>102600</v>
      </c>
      <c r="N80" s="21">
        <v>109100</v>
      </c>
      <c r="O80" s="21">
        <v>95700</v>
      </c>
      <c r="P80" s="21">
        <v>135800</v>
      </c>
      <c r="Q80" s="21">
        <v>108600</v>
      </c>
      <c r="R80" s="21">
        <v>66000</v>
      </c>
      <c r="S80" s="21">
        <v>100000</v>
      </c>
      <c r="T80" s="21">
        <v>100800</v>
      </c>
      <c r="U80" s="21">
        <v>87100</v>
      </c>
      <c r="V80" s="21">
        <v>103700</v>
      </c>
      <c r="W80" s="21">
        <v>105300</v>
      </c>
      <c r="X80" s="21">
        <v>66800</v>
      </c>
      <c r="Y80" s="21">
        <v>75100</v>
      </c>
      <c r="Z80" s="21">
        <v>85400</v>
      </c>
      <c r="AA80" s="21">
        <v>96800</v>
      </c>
      <c r="AB80" s="21">
        <v>108500</v>
      </c>
      <c r="AC80" s="21">
        <v>95900</v>
      </c>
      <c r="AD80" s="21">
        <v>61400</v>
      </c>
      <c r="AE80" s="21">
        <v>85900</v>
      </c>
      <c r="AF80" s="21">
        <v>68100</v>
      </c>
      <c r="AG80" s="21">
        <v>70500</v>
      </c>
      <c r="AH80" s="21">
        <v>57600</v>
      </c>
      <c r="AI80" s="21">
        <v>142100</v>
      </c>
      <c r="AJ80" s="21">
        <v>103500</v>
      </c>
      <c r="AK80" s="21">
        <v>53400</v>
      </c>
      <c r="AL80" s="21">
        <v>82800</v>
      </c>
      <c r="AM80" s="21">
        <v>104300</v>
      </c>
      <c r="AN80" s="21">
        <v>137700</v>
      </c>
      <c r="AO80" s="21">
        <v>116400</v>
      </c>
      <c r="AP80" s="21">
        <v>91000</v>
      </c>
      <c r="AQ80" s="21">
        <v>122500</v>
      </c>
      <c r="AR80" s="21">
        <v>73300</v>
      </c>
      <c r="AS80" s="21">
        <v>127500</v>
      </c>
      <c r="AT80" s="21">
        <v>100000</v>
      </c>
      <c r="AU80" s="21">
        <v>137800</v>
      </c>
      <c r="AV80" s="21">
        <v>142200</v>
      </c>
      <c r="AW80" s="21">
        <v>140100</v>
      </c>
      <c r="AX80" s="21">
        <v>139700</v>
      </c>
      <c r="AY80" s="21">
        <v>102400</v>
      </c>
      <c r="AZ80" s="21">
        <v>153500</v>
      </c>
      <c r="BA80" s="21">
        <v>82500</v>
      </c>
      <c r="BB80" s="21">
        <v>147000</v>
      </c>
      <c r="BC80" s="21">
        <v>120000</v>
      </c>
      <c r="BD80" s="21">
        <v>258100</v>
      </c>
      <c r="BE80" s="21">
        <v>120700</v>
      </c>
      <c r="BF80" s="21">
        <v>105600</v>
      </c>
      <c r="BG80" s="21">
        <v>112700</v>
      </c>
      <c r="BH80" s="21">
        <v>189600</v>
      </c>
      <c r="BI80" s="21">
        <v>223400</v>
      </c>
      <c r="BJ80" s="21">
        <v>102600</v>
      </c>
      <c r="BK80" s="21">
        <v>139500</v>
      </c>
      <c r="BL80" s="21">
        <v>71100</v>
      </c>
      <c r="BM80" s="1">
        <v>97700</v>
      </c>
      <c r="BN80" s="1">
        <v>117100</v>
      </c>
      <c r="BO80" s="1">
        <v>83800</v>
      </c>
      <c r="BP80" s="1">
        <v>97200</v>
      </c>
      <c r="BQ80" s="1">
        <v>173000</v>
      </c>
      <c r="BR80" s="1">
        <v>83200</v>
      </c>
      <c r="BS80" s="1">
        <v>48100</v>
      </c>
      <c r="BT80" s="1">
        <v>62600</v>
      </c>
      <c r="BU80" s="1">
        <v>76400</v>
      </c>
      <c r="BV80" s="1">
        <v>76900</v>
      </c>
      <c r="BW80" s="1">
        <v>66600</v>
      </c>
      <c r="BX80" s="1">
        <v>59500</v>
      </c>
      <c r="BY80" s="1">
        <v>83400</v>
      </c>
      <c r="BZ80" s="1">
        <v>84400</v>
      </c>
    </row>
    <row r="81" spans="1:78" ht="15.9" customHeight="1">
      <c r="A81" s="393" t="s">
        <v>157</v>
      </c>
      <c r="B81" s="46" t="s">
        <v>158</v>
      </c>
      <c r="C81" s="50">
        <f>_xll.RssMarket("6841","出来高")</f>
        <v>1649400</v>
      </c>
      <c r="D81" s="202">
        <f t="shared" si="1"/>
        <v>104000</v>
      </c>
      <c r="E81" s="200">
        <v>1545400</v>
      </c>
      <c r="F81" s="21">
        <v>1126500</v>
      </c>
      <c r="G81" s="21">
        <v>1135700</v>
      </c>
      <c r="H81" s="21">
        <v>995500</v>
      </c>
      <c r="I81" s="21">
        <v>1420400</v>
      </c>
      <c r="J81" s="21">
        <v>1070300</v>
      </c>
      <c r="K81" s="21">
        <v>1162400</v>
      </c>
      <c r="L81" s="21">
        <v>801900</v>
      </c>
      <c r="M81" s="21">
        <v>698800</v>
      </c>
      <c r="N81" s="21">
        <v>943300</v>
      </c>
      <c r="O81" s="21">
        <v>1518400</v>
      </c>
      <c r="P81" s="21">
        <v>1176200</v>
      </c>
      <c r="Q81" s="21">
        <v>1187900</v>
      </c>
      <c r="R81" s="21">
        <v>928200</v>
      </c>
      <c r="S81" s="21">
        <v>982300</v>
      </c>
      <c r="T81" s="21">
        <v>1411400</v>
      </c>
      <c r="U81" s="21">
        <v>1030800</v>
      </c>
      <c r="V81" s="21">
        <v>1031300</v>
      </c>
      <c r="W81" s="21">
        <v>1264400</v>
      </c>
      <c r="X81" s="21">
        <v>542600</v>
      </c>
      <c r="Y81" s="21">
        <v>986600</v>
      </c>
      <c r="Z81" s="21">
        <v>1179100</v>
      </c>
      <c r="AA81" s="21">
        <v>753900</v>
      </c>
      <c r="AB81" s="21">
        <v>1006800</v>
      </c>
      <c r="AC81" s="21">
        <v>1206000</v>
      </c>
      <c r="AD81" s="21">
        <v>1012200</v>
      </c>
      <c r="AE81" s="21">
        <v>953600</v>
      </c>
      <c r="AF81" s="21">
        <v>986100</v>
      </c>
      <c r="AG81" s="21">
        <v>1558800</v>
      </c>
      <c r="AH81" s="21">
        <v>1471400</v>
      </c>
      <c r="AI81" s="21">
        <v>1404400</v>
      </c>
      <c r="AJ81" s="21">
        <v>1500600</v>
      </c>
      <c r="AK81" s="21">
        <v>1378800</v>
      </c>
      <c r="AL81" s="21">
        <v>1208500</v>
      </c>
      <c r="AM81" s="21">
        <v>1012300</v>
      </c>
      <c r="AN81" s="21">
        <v>2067500</v>
      </c>
      <c r="AO81" s="21">
        <v>1381700</v>
      </c>
      <c r="AP81" s="21">
        <v>1238500</v>
      </c>
      <c r="AQ81" s="21">
        <v>1439100</v>
      </c>
      <c r="AR81" s="21">
        <v>1101800</v>
      </c>
      <c r="AS81" s="21">
        <v>1120200</v>
      </c>
      <c r="AT81" s="21">
        <v>1828000</v>
      </c>
      <c r="AU81" s="21">
        <v>1704500</v>
      </c>
      <c r="AV81" s="21">
        <v>2284700</v>
      </c>
      <c r="AW81" s="21">
        <v>1054800</v>
      </c>
      <c r="AX81" s="21">
        <v>1788100</v>
      </c>
      <c r="AY81" s="21">
        <v>1144000</v>
      </c>
      <c r="AZ81" s="21">
        <v>1273900</v>
      </c>
      <c r="BA81" s="21">
        <v>1695700</v>
      </c>
      <c r="BB81" s="21">
        <v>2295100</v>
      </c>
      <c r="BC81" s="21">
        <v>1400400</v>
      </c>
      <c r="BD81" s="21">
        <v>1367400</v>
      </c>
      <c r="BE81" s="21">
        <v>1323900</v>
      </c>
      <c r="BF81" s="21">
        <v>1551700</v>
      </c>
      <c r="BG81" s="21">
        <v>1625900</v>
      </c>
      <c r="BH81" s="21">
        <v>1966400</v>
      </c>
      <c r="BI81" s="21">
        <v>2119200</v>
      </c>
      <c r="BJ81" s="21">
        <v>4183400</v>
      </c>
      <c r="BK81" s="21">
        <v>2628100</v>
      </c>
      <c r="BL81" s="21">
        <v>820600</v>
      </c>
      <c r="BM81" s="1">
        <v>1379400</v>
      </c>
      <c r="BN81" s="1">
        <v>1894600</v>
      </c>
      <c r="BO81" s="1">
        <v>1079800</v>
      </c>
      <c r="BP81" s="1">
        <v>776800</v>
      </c>
      <c r="BQ81" s="1">
        <v>925100</v>
      </c>
      <c r="BR81" s="1">
        <v>857500</v>
      </c>
      <c r="BS81" s="1">
        <v>918900</v>
      </c>
      <c r="BT81" s="1">
        <v>761600</v>
      </c>
      <c r="BU81" s="1">
        <v>825700</v>
      </c>
      <c r="BV81" s="1">
        <v>868900</v>
      </c>
      <c r="BW81" s="1">
        <v>1024200</v>
      </c>
      <c r="BX81" s="1">
        <v>803200</v>
      </c>
      <c r="BY81" s="1">
        <v>827300</v>
      </c>
      <c r="BZ81" s="1">
        <v>1248900</v>
      </c>
    </row>
    <row r="82" spans="1:78" ht="15.9" customHeight="1">
      <c r="A82" s="393" t="s">
        <v>159</v>
      </c>
      <c r="B82" s="46" t="s">
        <v>160</v>
      </c>
      <c r="C82" s="50">
        <f>_xll.RssMarket("7167","出来高")</f>
        <v>1271200</v>
      </c>
      <c r="D82" s="202">
        <f t="shared" si="1"/>
        <v>-1045200</v>
      </c>
      <c r="E82" s="200">
        <v>2316400</v>
      </c>
      <c r="F82" s="21">
        <v>2527300</v>
      </c>
      <c r="G82" s="21">
        <v>4818800</v>
      </c>
      <c r="H82" s="21">
        <v>2303200</v>
      </c>
      <c r="I82" s="21">
        <v>3258700</v>
      </c>
      <c r="J82" s="21">
        <v>3210000</v>
      </c>
      <c r="K82" s="21">
        <v>1774600</v>
      </c>
      <c r="L82" s="21">
        <v>2418700</v>
      </c>
      <c r="M82" s="21">
        <v>2070300</v>
      </c>
      <c r="N82" s="21">
        <v>3459900</v>
      </c>
      <c r="O82" s="21">
        <v>4643900</v>
      </c>
      <c r="P82" s="21">
        <v>3591800</v>
      </c>
      <c r="Q82" s="21">
        <v>4657800</v>
      </c>
      <c r="R82" s="21">
        <v>3091500</v>
      </c>
      <c r="S82" s="21">
        <v>3062600</v>
      </c>
      <c r="T82" s="21">
        <v>3091600</v>
      </c>
      <c r="U82" s="21">
        <v>3110200</v>
      </c>
      <c r="V82" s="21">
        <v>3030300</v>
      </c>
      <c r="W82" s="21">
        <v>2855400</v>
      </c>
      <c r="X82" s="21">
        <v>2349700</v>
      </c>
      <c r="Y82" s="21">
        <v>2474500</v>
      </c>
      <c r="Z82" s="21">
        <v>2971700</v>
      </c>
      <c r="AA82" s="21">
        <v>2591700</v>
      </c>
      <c r="AB82" s="21">
        <v>2749300</v>
      </c>
      <c r="AC82" s="21">
        <v>2402500</v>
      </c>
      <c r="AD82" s="21">
        <v>2456700</v>
      </c>
      <c r="AE82" s="21">
        <v>2066000</v>
      </c>
      <c r="AF82" s="21">
        <v>2827300</v>
      </c>
      <c r="AG82" s="21">
        <v>1754500</v>
      </c>
      <c r="AH82" s="21">
        <v>1308500</v>
      </c>
      <c r="AI82" s="21">
        <v>3168900</v>
      </c>
      <c r="AJ82" s="21">
        <v>2756400</v>
      </c>
      <c r="AK82" s="21">
        <v>2240800</v>
      </c>
      <c r="AL82" s="21">
        <v>2781800</v>
      </c>
      <c r="AM82" s="21">
        <v>3451900</v>
      </c>
      <c r="AN82" s="21">
        <v>3586800</v>
      </c>
      <c r="AO82" s="21">
        <v>2414800</v>
      </c>
      <c r="AP82" s="21">
        <v>3483900</v>
      </c>
      <c r="AQ82" s="21">
        <v>2237600</v>
      </c>
      <c r="AR82" s="21">
        <v>2129900</v>
      </c>
      <c r="AS82" s="21">
        <v>2651100</v>
      </c>
      <c r="AT82" s="21">
        <v>2638500</v>
      </c>
      <c r="AU82" s="21">
        <v>2606100</v>
      </c>
      <c r="AV82" s="21">
        <v>3941700</v>
      </c>
      <c r="AW82" s="21">
        <v>3132200</v>
      </c>
      <c r="AX82" s="21">
        <v>2292900</v>
      </c>
      <c r="AY82" s="21">
        <v>1587100</v>
      </c>
      <c r="AZ82" s="21">
        <v>1883200</v>
      </c>
      <c r="BA82" s="21">
        <v>2030200</v>
      </c>
      <c r="BB82" s="21">
        <v>2293300</v>
      </c>
      <c r="BC82" s="21">
        <v>2100100</v>
      </c>
      <c r="BD82" s="21">
        <v>2254100</v>
      </c>
      <c r="BE82" s="21">
        <v>2181400</v>
      </c>
      <c r="BF82" s="21">
        <v>2772200</v>
      </c>
      <c r="BG82" s="21">
        <v>3722500</v>
      </c>
      <c r="BH82" s="21">
        <v>2010300</v>
      </c>
      <c r="BI82" s="21">
        <v>2011400</v>
      </c>
      <c r="BJ82" s="21">
        <v>2637100</v>
      </c>
      <c r="BK82" s="21">
        <v>4728000</v>
      </c>
      <c r="BL82" s="21">
        <v>2171400</v>
      </c>
      <c r="BM82" s="1">
        <v>2560300</v>
      </c>
      <c r="BN82" s="1">
        <v>2983200</v>
      </c>
      <c r="BO82" s="1">
        <v>2242900</v>
      </c>
      <c r="BP82" s="1">
        <v>2976800</v>
      </c>
      <c r="BQ82" s="1">
        <v>2492700</v>
      </c>
      <c r="BR82" s="1">
        <v>2903300</v>
      </c>
      <c r="BS82" s="1">
        <v>2316100</v>
      </c>
      <c r="BT82" s="1">
        <v>1435500</v>
      </c>
      <c r="BU82" s="1">
        <v>1505100</v>
      </c>
      <c r="BV82" s="1">
        <v>1456000</v>
      </c>
      <c r="BW82" s="1">
        <v>1765400</v>
      </c>
      <c r="BX82" s="1">
        <v>1404200</v>
      </c>
      <c r="BY82" s="1">
        <v>2049400</v>
      </c>
      <c r="BZ82" s="1">
        <v>2054300</v>
      </c>
    </row>
    <row r="83" spans="1:78" ht="15.9" customHeight="1">
      <c r="A83" s="393" t="s">
        <v>161</v>
      </c>
      <c r="B83" s="46" t="s">
        <v>162</v>
      </c>
      <c r="C83" s="50">
        <f>_xll.RssMarket("1925","出来高")</f>
        <v>1092700</v>
      </c>
      <c r="D83" s="202">
        <f t="shared" si="1"/>
        <v>-554800</v>
      </c>
      <c r="E83" s="200">
        <v>1647500</v>
      </c>
      <c r="F83" s="21">
        <v>2135800</v>
      </c>
      <c r="G83" s="21">
        <v>3177200</v>
      </c>
      <c r="H83" s="21">
        <v>2207200</v>
      </c>
      <c r="I83" s="21">
        <v>3020200</v>
      </c>
      <c r="J83" s="21">
        <v>1966300</v>
      </c>
      <c r="K83" s="21">
        <v>3182700</v>
      </c>
      <c r="L83" s="21">
        <v>1504000</v>
      </c>
      <c r="M83" s="21">
        <v>1822100</v>
      </c>
      <c r="N83" s="21">
        <v>1925800</v>
      </c>
      <c r="O83" s="21">
        <v>1876400</v>
      </c>
      <c r="P83" s="21">
        <v>2201200</v>
      </c>
      <c r="Q83" s="21">
        <v>1844700</v>
      </c>
      <c r="R83" s="21">
        <v>1898400</v>
      </c>
      <c r="S83" s="21">
        <v>1862600</v>
      </c>
      <c r="T83" s="21">
        <v>1587000</v>
      </c>
      <c r="U83" s="21">
        <v>1401300</v>
      </c>
      <c r="V83" s="21">
        <v>1904000</v>
      </c>
      <c r="W83" s="21">
        <v>2617100</v>
      </c>
      <c r="X83" s="21">
        <v>1999500</v>
      </c>
      <c r="Y83" s="21">
        <v>1833600</v>
      </c>
      <c r="Z83" s="21">
        <v>1870700</v>
      </c>
      <c r="AA83" s="21">
        <v>2086800</v>
      </c>
      <c r="AB83" s="21">
        <v>3123700</v>
      </c>
      <c r="AC83" s="21">
        <v>5055800</v>
      </c>
      <c r="AD83" s="21">
        <v>1909100</v>
      </c>
      <c r="AE83" s="21">
        <v>1993100</v>
      </c>
      <c r="AF83" s="21">
        <v>1622500</v>
      </c>
      <c r="AG83" s="21">
        <v>1909000</v>
      </c>
      <c r="AH83" s="21">
        <v>1754600</v>
      </c>
      <c r="AI83" s="21">
        <v>2402500</v>
      </c>
      <c r="AJ83" s="21">
        <v>1947400</v>
      </c>
      <c r="AK83" s="21">
        <v>2281300</v>
      </c>
      <c r="AL83" s="21">
        <v>1832900</v>
      </c>
      <c r="AM83" s="21">
        <v>2442100</v>
      </c>
      <c r="AN83" s="21">
        <v>2675400</v>
      </c>
      <c r="AO83" s="21">
        <v>2081800</v>
      </c>
      <c r="AP83" s="21">
        <v>3086400</v>
      </c>
      <c r="AQ83" s="21">
        <v>2577200</v>
      </c>
      <c r="AR83" s="21">
        <v>2200100</v>
      </c>
      <c r="AS83" s="21">
        <v>2674200</v>
      </c>
      <c r="AT83" s="21">
        <v>2592100</v>
      </c>
      <c r="AU83" s="21">
        <v>3914800</v>
      </c>
      <c r="AV83" s="21">
        <v>4883800</v>
      </c>
      <c r="AW83" s="21">
        <v>2323300</v>
      </c>
      <c r="AX83" s="21">
        <v>1988400</v>
      </c>
      <c r="AY83" s="21">
        <v>1670200</v>
      </c>
      <c r="AZ83" s="21">
        <v>2101400</v>
      </c>
      <c r="BA83" s="21">
        <v>2173400</v>
      </c>
      <c r="BB83" s="21">
        <v>2477700</v>
      </c>
      <c r="BC83" s="21">
        <v>2614600</v>
      </c>
      <c r="BD83" s="21">
        <v>2449900</v>
      </c>
      <c r="BE83" s="21">
        <v>3148900</v>
      </c>
      <c r="BF83" s="21">
        <v>3938800</v>
      </c>
      <c r="BG83" s="21">
        <v>2161000</v>
      </c>
      <c r="BH83" s="21">
        <v>1692500</v>
      </c>
      <c r="BI83" s="21">
        <v>1610200</v>
      </c>
      <c r="BJ83" s="21">
        <v>2179700</v>
      </c>
      <c r="BK83" s="21">
        <v>2782200</v>
      </c>
      <c r="BL83" s="21">
        <v>1346800</v>
      </c>
      <c r="BM83" s="1">
        <v>2579100</v>
      </c>
      <c r="BN83" s="1">
        <v>1997400</v>
      </c>
      <c r="BO83" s="1">
        <v>1433800</v>
      </c>
      <c r="BP83" s="1">
        <v>1278800</v>
      </c>
      <c r="BQ83" s="1">
        <v>1476200</v>
      </c>
      <c r="BR83" s="1">
        <v>1418500</v>
      </c>
      <c r="BS83" s="1">
        <v>1307900</v>
      </c>
      <c r="BT83" s="1">
        <v>1799900</v>
      </c>
      <c r="BU83" s="1">
        <v>1823600</v>
      </c>
      <c r="BV83" s="1">
        <v>1694700</v>
      </c>
      <c r="BW83" s="1">
        <v>2309800</v>
      </c>
      <c r="BX83" s="1">
        <v>2371600</v>
      </c>
      <c r="BY83" s="1">
        <v>1639900</v>
      </c>
      <c r="BZ83" s="1">
        <v>1515900</v>
      </c>
    </row>
    <row r="84" spans="1:78" ht="15.9" customHeight="1">
      <c r="A84" s="393" t="s">
        <v>163</v>
      </c>
      <c r="B84" s="46" t="s">
        <v>164</v>
      </c>
      <c r="C84" s="50">
        <f>_xll.RssMarket("5411","出来高")</f>
        <v>4759700</v>
      </c>
      <c r="D84" s="202">
        <f t="shared" si="1"/>
        <v>-5600</v>
      </c>
      <c r="E84" s="200">
        <v>4765300</v>
      </c>
      <c r="F84" s="21">
        <v>5236700</v>
      </c>
      <c r="G84" s="21">
        <v>7846100</v>
      </c>
      <c r="H84" s="21">
        <v>5906200</v>
      </c>
      <c r="I84" s="21">
        <v>9999100</v>
      </c>
      <c r="J84" s="21">
        <v>6704500</v>
      </c>
      <c r="K84" s="21">
        <v>6931800</v>
      </c>
      <c r="L84" s="21">
        <v>4645100</v>
      </c>
      <c r="M84" s="21">
        <v>4206200</v>
      </c>
      <c r="N84" s="21">
        <v>6336100</v>
      </c>
      <c r="O84" s="21">
        <v>4887000</v>
      </c>
      <c r="P84" s="21">
        <v>5284100</v>
      </c>
      <c r="Q84" s="21">
        <v>3651100</v>
      </c>
      <c r="R84" s="21">
        <v>5135900</v>
      </c>
      <c r="S84" s="21">
        <v>3691700</v>
      </c>
      <c r="T84" s="21">
        <v>4298900</v>
      </c>
      <c r="U84" s="21">
        <v>4297400</v>
      </c>
      <c r="V84" s="21">
        <v>4604000</v>
      </c>
      <c r="W84" s="21">
        <v>5634300</v>
      </c>
      <c r="X84" s="21">
        <v>6081600</v>
      </c>
      <c r="Y84" s="21">
        <v>6429800</v>
      </c>
      <c r="Z84" s="21">
        <v>5976000</v>
      </c>
      <c r="AA84" s="21">
        <v>4136000</v>
      </c>
      <c r="AB84" s="21">
        <v>5443500</v>
      </c>
      <c r="AC84" s="21">
        <v>7413600</v>
      </c>
      <c r="AD84" s="21">
        <v>5388100</v>
      </c>
      <c r="AE84" s="21">
        <v>5012100</v>
      </c>
      <c r="AF84" s="21">
        <v>4379400</v>
      </c>
      <c r="AG84" s="21">
        <v>5249000</v>
      </c>
      <c r="AH84" s="21">
        <v>4134000</v>
      </c>
      <c r="AI84" s="21">
        <v>5121600</v>
      </c>
      <c r="AJ84" s="21">
        <v>3383200</v>
      </c>
      <c r="AK84" s="21">
        <v>2749000</v>
      </c>
      <c r="AL84" s="21">
        <v>3995200</v>
      </c>
      <c r="AM84" s="21">
        <v>6372800</v>
      </c>
      <c r="AN84" s="21">
        <v>6191900</v>
      </c>
      <c r="AO84" s="21">
        <v>5167700</v>
      </c>
      <c r="AP84" s="21">
        <v>6356700</v>
      </c>
      <c r="AQ84" s="21">
        <v>9822900</v>
      </c>
      <c r="AR84" s="21">
        <v>4205200</v>
      </c>
      <c r="AS84" s="21">
        <v>5194100</v>
      </c>
      <c r="AT84" s="21">
        <v>6015400</v>
      </c>
      <c r="AU84" s="21">
        <v>6408500</v>
      </c>
      <c r="AV84" s="21">
        <v>9400900</v>
      </c>
      <c r="AW84" s="21">
        <v>4189400</v>
      </c>
      <c r="AX84" s="21">
        <v>5916700</v>
      </c>
      <c r="AY84" s="21">
        <v>3723400</v>
      </c>
      <c r="AZ84" s="21">
        <v>4347000</v>
      </c>
      <c r="BA84" s="21">
        <v>3901700</v>
      </c>
      <c r="BB84" s="21">
        <v>4961000</v>
      </c>
      <c r="BC84" s="21">
        <v>3753600</v>
      </c>
      <c r="BD84" s="21">
        <v>4155300</v>
      </c>
      <c r="BE84" s="21">
        <v>4992100</v>
      </c>
      <c r="BF84" s="21">
        <v>4579800</v>
      </c>
      <c r="BG84" s="21">
        <v>5780000</v>
      </c>
      <c r="BH84" s="21">
        <v>5041400</v>
      </c>
      <c r="BI84" s="21">
        <v>11984800</v>
      </c>
      <c r="BJ84" s="21">
        <v>12245600</v>
      </c>
      <c r="BK84" s="21">
        <v>6483700</v>
      </c>
      <c r="BL84" s="21">
        <v>3020900</v>
      </c>
      <c r="BM84" s="1">
        <v>5512200</v>
      </c>
      <c r="BN84" s="1">
        <v>3706400</v>
      </c>
      <c r="BO84" s="1">
        <v>3584700</v>
      </c>
      <c r="BP84" s="1">
        <v>5236500</v>
      </c>
      <c r="BQ84" s="1">
        <v>5381200</v>
      </c>
      <c r="BR84" s="1">
        <v>4505900</v>
      </c>
      <c r="BS84" s="1">
        <v>5046900</v>
      </c>
      <c r="BT84" s="1">
        <v>5431700</v>
      </c>
      <c r="BU84" s="1">
        <v>3244200</v>
      </c>
      <c r="BV84" s="1">
        <v>3236600</v>
      </c>
      <c r="BW84" s="1">
        <v>2754600</v>
      </c>
      <c r="BX84" s="1">
        <v>2895700</v>
      </c>
      <c r="BY84" s="1">
        <v>2399600</v>
      </c>
      <c r="BZ84" s="1">
        <v>2343000</v>
      </c>
    </row>
    <row r="85" spans="1:78" ht="15.9" customHeight="1">
      <c r="A85" s="393" t="s">
        <v>165</v>
      </c>
      <c r="B85" s="46" t="s">
        <v>166</v>
      </c>
      <c r="C85" s="50">
        <f>_xll.RssMarket("7182","出来高")</f>
        <v>2817000</v>
      </c>
      <c r="D85" s="202">
        <f t="shared" si="1"/>
        <v>-2853900</v>
      </c>
      <c r="E85" s="200">
        <v>5670900</v>
      </c>
      <c r="F85" s="21">
        <v>8088500</v>
      </c>
      <c r="G85" s="21">
        <v>11005300</v>
      </c>
      <c r="H85" s="21">
        <v>8152600</v>
      </c>
      <c r="I85" s="21">
        <v>10464300</v>
      </c>
      <c r="J85" s="21">
        <v>7305300</v>
      </c>
      <c r="K85" s="21">
        <v>5735700</v>
      </c>
      <c r="L85" s="21">
        <v>5613000</v>
      </c>
      <c r="M85" s="21">
        <v>6325900</v>
      </c>
      <c r="N85" s="21">
        <v>7786700</v>
      </c>
      <c r="O85" s="21">
        <v>9700900</v>
      </c>
      <c r="P85" s="21">
        <v>6727800</v>
      </c>
      <c r="Q85" s="21">
        <v>6865600</v>
      </c>
      <c r="R85" s="21">
        <v>5916400</v>
      </c>
      <c r="S85" s="21">
        <v>4707400</v>
      </c>
      <c r="T85" s="21">
        <v>4898400</v>
      </c>
      <c r="U85" s="21">
        <v>4393100</v>
      </c>
      <c r="V85" s="21">
        <v>5381800</v>
      </c>
      <c r="W85" s="21">
        <v>8416200</v>
      </c>
      <c r="X85" s="21">
        <v>4298700</v>
      </c>
      <c r="Y85" s="21">
        <v>5814900</v>
      </c>
      <c r="Z85" s="21">
        <v>4817700</v>
      </c>
      <c r="AA85" s="21">
        <v>4252700</v>
      </c>
      <c r="AB85" s="21">
        <v>4938300</v>
      </c>
      <c r="AC85" s="21">
        <v>5252300</v>
      </c>
      <c r="AD85" s="21">
        <v>6799100</v>
      </c>
      <c r="AE85" s="21">
        <v>7012300</v>
      </c>
      <c r="AF85" s="21">
        <v>6660300</v>
      </c>
      <c r="AG85" s="21">
        <v>5299900</v>
      </c>
      <c r="AH85" s="21">
        <v>4310800</v>
      </c>
      <c r="AI85" s="21">
        <v>7403100</v>
      </c>
      <c r="AJ85" s="21">
        <v>8672100</v>
      </c>
      <c r="AK85" s="21">
        <v>6055800</v>
      </c>
      <c r="AL85" s="21">
        <v>6960200</v>
      </c>
      <c r="AM85" s="21">
        <v>6274400</v>
      </c>
      <c r="AN85" s="21">
        <v>10026900</v>
      </c>
      <c r="AO85" s="21">
        <v>7855800</v>
      </c>
      <c r="AP85" s="21">
        <v>7149700</v>
      </c>
      <c r="AQ85" s="21">
        <v>6145400</v>
      </c>
      <c r="AR85" s="21">
        <v>7309400</v>
      </c>
      <c r="AS85" s="21">
        <v>10161600</v>
      </c>
      <c r="AT85" s="21">
        <v>6992900</v>
      </c>
      <c r="AU85" s="21">
        <v>5149400</v>
      </c>
      <c r="AV85" s="21">
        <v>13344700</v>
      </c>
      <c r="AW85" s="21">
        <v>6364200</v>
      </c>
      <c r="AX85" s="21">
        <v>6409500</v>
      </c>
      <c r="AY85" s="21">
        <v>6814000</v>
      </c>
      <c r="AZ85" s="21">
        <v>7640800</v>
      </c>
      <c r="BA85" s="21">
        <v>11469000</v>
      </c>
      <c r="BB85" s="21">
        <v>9882300</v>
      </c>
      <c r="BC85" s="21">
        <v>8942700</v>
      </c>
      <c r="BD85" s="21">
        <v>13114800</v>
      </c>
      <c r="BE85" s="21">
        <v>8438700</v>
      </c>
      <c r="BF85" s="21">
        <v>4593500</v>
      </c>
      <c r="BG85" s="21">
        <v>4953500</v>
      </c>
      <c r="BH85" s="21">
        <v>6765400</v>
      </c>
      <c r="BI85" s="21">
        <v>8126100</v>
      </c>
      <c r="BJ85" s="21">
        <v>7521200</v>
      </c>
      <c r="BK85" s="21">
        <v>12403000</v>
      </c>
      <c r="BL85" s="21">
        <v>4522800</v>
      </c>
      <c r="BM85" s="1">
        <v>10746900</v>
      </c>
      <c r="BN85" s="1">
        <v>7988500</v>
      </c>
      <c r="BO85" s="1">
        <v>5819400</v>
      </c>
      <c r="BP85" s="1">
        <v>5596500</v>
      </c>
      <c r="BQ85" s="1">
        <v>5926200</v>
      </c>
      <c r="BR85" s="1">
        <v>7408100</v>
      </c>
      <c r="BS85" s="1">
        <v>7654600</v>
      </c>
      <c r="BT85" s="1">
        <v>6160000</v>
      </c>
      <c r="BU85" s="1">
        <v>6059900</v>
      </c>
      <c r="BV85" s="1">
        <v>5899900</v>
      </c>
      <c r="BW85" s="1">
        <v>5963700</v>
      </c>
      <c r="BX85" s="1">
        <v>4272300</v>
      </c>
      <c r="BY85" s="1">
        <v>3546100</v>
      </c>
      <c r="BZ85" s="1">
        <v>4955100</v>
      </c>
    </row>
    <row r="86" spans="1:78" ht="15.9" customHeight="1">
      <c r="A86" s="393" t="s">
        <v>167</v>
      </c>
      <c r="B86" s="46" t="s">
        <v>168</v>
      </c>
      <c r="C86" s="50">
        <f>_xll.RssMarket("1963","出来高")</f>
        <v>742500</v>
      </c>
      <c r="D86" s="202">
        <f t="shared" si="1"/>
        <v>-454100</v>
      </c>
      <c r="E86" s="200">
        <v>1196600</v>
      </c>
      <c r="F86" s="21">
        <v>1741500</v>
      </c>
      <c r="G86" s="21">
        <v>1436200</v>
      </c>
      <c r="H86" s="21">
        <v>1869500</v>
      </c>
      <c r="I86" s="21">
        <v>2283100</v>
      </c>
      <c r="J86" s="21">
        <v>2103800</v>
      </c>
      <c r="K86" s="21">
        <v>2192200</v>
      </c>
      <c r="L86" s="21"/>
      <c r="M86" s="21">
        <v>1346400</v>
      </c>
      <c r="N86" s="21">
        <v>1241000</v>
      </c>
      <c r="O86" s="21">
        <v>1571500</v>
      </c>
      <c r="P86" s="21">
        <v>2120800</v>
      </c>
      <c r="Q86" s="21">
        <v>1446700</v>
      </c>
      <c r="R86" s="21">
        <v>1422000</v>
      </c>
      <c r="S86" s="21">
        <v>1746500</v>
      </c>
      <c r="T86" s="21">
        <v>2042500</v>
      </c>
      <c r="U86" s="21">
        <v>2066100</v>
      </c>
      <c r="V86" s="21">
        <v>2219400</v>
      </c>
      <c r="W86" s="21">
        <v>1783200</v>
      </c>
      <c r="X86" s="21">
        <v>1322300</v>
      </c>
      <c r="Y86" s="21">
        <v>1470500</v>
      </c>
      <c r="Z86" s="21">
        <v>1111900</v>
      </c>
      <c r="AA86" s="21">
        <v>1093200</v>
      </c>
      <c r="AB86" s="21">
        <v>1486500</v>
      </c>
      <c r="AC86" s="21">
        <v>1814800</v>
      </c>
      <c r="AD86" s="21">
        <v>2087700</v>
      </c>
      <c r="AE86" s="21">
        <v>1419000</v>
      </c>
      <c r="AF86" s="21">
        <v>1033600</v>
      </c>
      <c r="AG86" s="21">
        <v>1596000</v>
      </c>
      <c r="AH86" s="21">
        <v>2733400</v>
      </c>
      <c r="AI86" s="21">
        <v>2207200</v>
      </c>
      <c r="AJ86" s="21">
        <v>1477400</v>
      </c>
      <c r="AK86" s="21">
        <v>1864000</v>
      </c>
      <c r="AL86" s="21">
        <v>1373900</v>
      </c>
      <c r="AM86" s="21">
        <v>2969100</v>
      </c>
      <c r="AN86" s="21">
        <v>1460000</v>
      </c>
      <c r="AO86" s="21">
        <v>1467300</v>
      </c>
      <c r="AP86" s="21">
        <v>1394100</v>
      </c>
      <c r="AQ86" s="21">
        <v>1732900</v>
      </c>
      <c r="AR86" s="21">
        <v>1449000</v>
      </c>
      <c r="AS86" s="21">
        <v>1013900</v>
      </c>
      <c r="AT86" s="21">
        <v>1911500</v>
      </c>
      <c r="AU86" s="21">
        <v>1527300</v>
      </c>
      <c r="AV86" s="21">
        <v>2804000</v>
      </c>
      <c r="AW86" s="21">
        <v>2054500</v>
      </c>
      <c r="AX86" s="21">
        <v>1832300</v>
      </c>
      <c r="AY86" s="21">
        <v>2968800</v>
      </c>
      <c r="AZ86" s="21">
        <v>3418300</v>
      </c>
      <c r="BA86" s="21">
        <v>2669700</v>
      </c>
      <c r="BB86" s="21">
        <v>3286900</v>
      </c>
      <c r="BC86" s="21">
        <v>1889600</v>
      </c>
      <c r="BD86" s="21">
        <v>3296500</v>
      </c>
      <c r="BE86" s="21">
        <v>6228100</v>
      </c>
      <c r="BF86" s="21">
        <v>1875100</v>
      </c>
      <c r="BG86" s="21">
        <v>2617400</v>
      </c>
      <c r="BH86" s="21">
        <v>2664400</v>
      </c>
      <c r="BI86" s="21">
        <v>3104800</v>
      </c>
      <c r="BJ86" s="21">
        <v>2213900</v>
      </c>
      <c r="BK86" s="21">
        <v>2393100</v>
      </c>
      <c r="BL86" s="21">
        <v>1192600</v>
      </c>
      <c r="BM86" s="1">
        <v>2116500</v>
      </c>
      <c r="BN86" s="1">
        <v>2436700</v>
      </c>
      <c r="BO86" s="1">
        <v>2495200</v>
      </c>
      <c r="BP86" s="1">
        <v>2041700</v>
      </c>
      <c r="BQ86" s="1">
        <v>3002500</v>
      </c>
      <c r="BR86" s="1">
        <v>2721100</v>
      </c>
      <c r="BS86" s="1">
        <v>2709400</v>
      </c>
      <c r="BT86" s="1">
        <v>2749000</v>
      </c>
      <c r="BU86" s="1">
        <v>1962700</v>
      </c>
      <c r="BV86" s="1">
        <v>2822800</v>
      </c>
      <c r="BW86" s="1">
        <v>3177000</v>
      </c>
      <c r="BX86" s="1">
        <v>3566600</v>
      </c>
      <c r="BY86" s="1">
        <v>3001500</v>
      </c>
      <c r="BZ86" s="1">
        <v>4256800</v>
      </c>
    </row>
    <row r="87" spans="1:78" ht="15.9" customHeight="1">
      <c r="A87" s="393" t="s">
        <v>169</v>
      </c>
      <c r="B87" s="46" t="s">
        <v>170</v>
      </c>
      <c r="C87" s="50">
        <f>_xll.RssMarket("2914","出来高")</f>
        <v>2973600</v>
      </c>
      <c r="D87" s="202">
        <f t="shared" si="1"/>
        <v>-1572100</v>
      </c>
      <c r="E87" s="200">
        <v>4545700</v>
      </c>
      <c r="F87" s="21">
        <v>5695500</v>
      </c>
      <c r="G87" s="21">
        <v>12526600</v>
      </c>
      <c r="H87" s="21">
        <v>5773400</v>
      </c>
      <c r="I87" s="21">
        <v>6434100</v>
      </c>
      <c r="J87" s="21">
        <v>4414600</v>
      </c>
      <c r="K87" s="21">
        <v>4299800</v>
      </c>
      <c r="L87" s="21">
        <v>4635700</v>
      </c>
      <c r="M87" s="21">
        <v>5393800</v>
      </c>
      <c r="N87" s="21">
        <v>4251500</v>
      </c>
      <c r="O87" s="21">
        <v>6242100</v>
      </c>
      <c r="P87" s="21">
        <v>6986400</v>
      </c>
      <c r="Q87" s="21">
        <v>2876300</v>
      </c>
      <c r="R87" s="21">
        <v>3467000</v>
      </c>
      <c r="S87" s="21">
        <v>3223400</v>
      </c>
      <c r="T87" s="21">
        <v>3599100</v>
      </c>
      <c r="U87" s="21">
        <v>3066100</v>
      </c>
      <c r="V87" s="21">
        <v>5637500</v>
      </c>
      <c r="W87" s="21">
        <v>5656800</v>
      </c>
      <c r="X87" s="21">
        <v>3372400</v>
      </c>
      <c r="Y87" s="21">
        <v>5202300</v>
      </c>
      <c r="Z87" s="21">
        <v>4939200</v>
      </c>
      <c r="AA87" s="21">
        <v>3580600</v>
      </c>
      <c r="AB87" s="21">
        <v>5487800</v>
      </c>
      <c r="AC87" s="21">
        <v>7377800</v>
      </c>
      <c r="AD87" s="21">
        <v>8185500</v>
      </c>
      <c r="AE87" s="21">
        <v>4729000</v>
      </c>
      <c r="AF87" s="21">
        <v>4656100</v>
      </c>
      <c r="AG87" s="21">
        <v>4722300</v>
      </c>
      <c r="AH87" s="21">
        <v>6847900</v>
      </c>
      <c r="AI87" s="21">
        <v>4598600</v>
      </c>
      <c r="AJ87" s="21">
        <v>2771600</v>
      </c>
      <c r="AK87" s="21">
        <v>3469400</v>
      </c>
      <c r="AL87" s="21">
        <v>3155000</v>
      </c>
      <c r="AM87" s="21">
        <v>6586400</v>
      </c>
      <c r="AN87" s="21">
        <v>7746000</v>
      </c>
      <c r="AO87" s="21">
        <v>6014400</v>
      </c>
      <c r="AP87" s="21">
        <v>3626400</v>
      </c>
      <c r="AQ87" s="21">
        <v>4375600</v>
      </c>
      <c r="AR87" s="21">
        <v>3970300</v>
      </c>
      <c r="AS87" s="21">
        <v>3724400</v>
      </c>
      <c r="AT87" s="21">
        <v>3002800</v>
      </c>
      <c r="AU87" s="21">
        <v>3956700</v>
      </c>
      <c r="AV87" s="21">
        <v>10724600</v>
      </c>
      <c r="AW87" s="21">
        <v>3448400</v>
      </c>
      <c r="AX87" s="21">
        <v>3071700</v>
      </c>
      <c r="AY87" s="21">
        <v>3270200</v>
      </c>
      <c r="AZ87" s="21">
        <v>3680600</v>
      </c>
      <c r="BA87" s="21">
        <v>3821600</v>
      </c>
      <c r="BB87" s="21">
        <v>3702100</v>
      </c>
      <c r="BC87" s="21">
        <v>3702100</v>
      </c>
      <c r="BD87" s="21">
        <v>3259100</v>
      </c>
      <c r="BE87" s="21">
        <v>3712200</v>
      </c>
      <c r="BF87" s="21">
        <v>3704200</v>
      </c>
      <c r="BG87" s="21">
        <v>4356700</v>
      </c>
      <c r="BH87" s="21">
        <v>4003600</v>
      </c>
      <c r="BI87" s="21">
        <v>11863100</v>
      </c>
      <c r="BJ87" s="21">
        <v>5770200</v>
      </c>
      <c r="BK87" s="21">
        <v>4456100</v>
      </c>
      <c r="BL87" s="21">
        <v>3174400</v>
      </c>
      <c r="BM87" s="1">
        <v>4136000</v>
      </c>
      <c r="BN87" s="1">
        <v>4445200</v>
      </c>
      <c r="BO87" s="1">
        <v>3211200</v>
      </c>
      <c r="BP87" s="1">
        <v>3201700</v>
      </c>
      <c r="BQ87" s="1">
        <v>6374600</v>
      </c>
      <c r="BR87" s="1">
        <v>3852800</v>
      </c>
      <c r="BS87" s="1">
        <v>2480100</v>
      </c>
      <c r="BT87" s="1">
        <v>2465000</v>
      </c>
      <c r="BU87" s="1">
        <v>3226000</v>
      </c>
      <c r="BV87" s="1">
        <v>3684400</v>
      </c>
      <c r="BW87" s="1">
        <v>3677700</v>
      </c>
      <c r="BX87" s="1">
        <v>4085900</v>
      </c>
      <c r="BY87" s="1">
        <v>2990100</v>
      </c>
      <c r="BZ87" s="1">
        <v>3757200</v>
      </c>
    </row>
    <row r="88" spans="1:78" ht="15.9" customHeight="1">
      <c r="A88" s="393" t="s">
        <v>171</v>
      </c>
      <c r="B88" s="46" t="s">
        <v>172</v>
      </c>
      <c r="C88" s="50">
        <f>_xll.RssMarket("3003","出来高")</f>
        <v>1578300</v>
      </c>
      <c r="D88" s="202">
        <f t="shared" si="1"/>
        <v>-862900</v>
      </c>
      <c r="E88" s="200">
        <v>2441200</v>
      </c>
      <c r="F88" s="21">
        <v>3529800</v>
      </c>
      <c r="G88" s="21">
        <v>4368100</v>
      </c>
      <c r="H88" s="21">
        <v>3926000</v>
      </c>
      <c r="I88" s="21">
        <v>4790400</v>
      </c>
      <c r="J88" s="21">
        <v>4261500</v>
      </c>
      <c r="K88" s="21">
        <v>3147500</v>
      </c>
      <c r="L88" s="21">
        <v>1619500</v>
      </c>
      <c r="M88" s="21">
        <v>1847400</v>
      </c>
      <c r="N88" s="21">
        <v>1929300</v>
      </c>
      <c r="O88" s="21">
        <v>2608100</v>
      </c>
      <c r="P88" s="21">
        <v>2721500</v>
      </c>
      <c r="Q88" s="21">
        <v>2528200</v>
      </c>
      <c r="R88" s="21">
        <v>3337500</v>
      </c>
      <c r="S88" s="21">
        <v>1829200</v>
      </c>
      <c r="T88" s="21">
        <v>2054000</v>
      </c>
      <c r="U88" s="21">
        <v>2065700</v>
      </c>
      <c r="V88" s="21">
        <v>3245400</v>
      </c>
      <c r="W88" s="21">
        <v>2894300</v>
      </c>
      <c r="X88" s="21">
        <v>2134700</v>
      </c>
      <c r="Y88" s="21">
        <v>2226600</v>
      </c>
      <c r="Z88" s="21">
        <v>4112400</v>
      </c>
      <c r="AA88" s="21">
        <v>2690700</v>
      </c>
      <c r="AB88" s="21">
        <v>3735700</v>
      </c>
      <c r="AC88" s="21">
        <v>3603400</v>
      </c>
      <c r="AD88" s="21">
        <v>3279300</v>
      </c>
      <c r="AE88" s="21">
        <v>2466800</v>
      </c>
      <c r="AF88" s="21">
        <v>2137200</v>
      </c>
      <c r="AG88" s="21">
        <v>2798300</v>
      </c>
      <c r="AH88" s="21">
        <v>2520300</v>
      </c>
      <c r="AI88" s="21">
        <v>2593800</v>
      </c>
      <c r="AJ88" s="21">
        <v>1819400</v>
      </c>
      <c r="AK88" s="21">
        <v>1869700</v>
      </c>
      <c r="AL88" s="21">
        <v>2423000</v>
      </c>
      <c r="AM88" s="21">
        <v>2364000</v>
      </c>
      <c r="AN88" s="21">
        <v>3906900</v>
      </c>
      <c r="AO88" s="21">
        <v>3257100</v>
      </c>
      <c r="AP88" s="21">
        <v>4265000</v>
      </c>
      <c r="AQ88" s="21">
        <v>3733600</v>
      </c>
      <c r="AR88" s="21">
        <v>2105800</v>
      </c>
      <c r="AS88" s="21">
        <v>3286700</v>
      </c>
      <c r="AT88" s="21">
        <v>2449400</v>
      </c>
      <c r="AU88" s="21">
        <v>2997100</v>
      </c>
      <c r="AV88" s="21">
        <v>9900200</v>
      </c>
      <c r="AW88" s="21">
        <v>2948700</v>
      </c>
      <c r="AX88" s="21">
        <v>3716200</v>
      </c>
      <c r="AY88" s="21">
        <v>4468400</v>
      </c>
      <c r="AZ88" s="21">
        <v>9466700</v>
      </c>
      <c r="BA88" s="21">
        <v>1675900</v>
      </c>
      <c r="BB88" s="21">
        <v>2099200</v>
      </c>
      <c r="BC88" s="21">
        <v>1897300</v>
      </c>
      <c r="BD88" s="21">
        <v>2668400</v>
      </c>
      <c r="BE88" s="21">
        <v>2477700</v>
      </c>
      <c r="BF88" s="21">
        <v>3073500</v>
      </c>
      <c r="BG88" s="21">
        <v>1300800</v>
      </c>
      <c r="BH88" s="21">
        <v>1398700</v>
      </c>
      <c r="BI88" s="21">
        <v>2252600</v>
      </c>
      <c r="BJ88" s="21">
        <v>2518900</v>
      </c>
      <c r="BK88" s="21">
        <v>3594600</v>
      </c>
      <c r="BL88" s="21">
        <v>2500000</v>
      </c>
      <c r="BM88" s="1">
        <v>3831400</v>
      </c>
      <c r="BN88" s="1">
        <v>3969400</v>
      </c>
      <c r="BO88" s="1">
        <v>5587600</v>
      </c>
      <c r="BP88" s="1">
        <v>1766500</v>
      </c>
      <c r="BQ88" s="1">
        <v>1676600</v>
      </c>
      <c r="BR88" s="1">
        <v>1737600</v>
      </c>
      <c r="BS88" s="1">
        <v>1495500</v>
      </c>
      <c r="BT88" s="1">
        <v>994000</v>
      </c>
      <c r="BU88" s="1">
        <v>1441100</v>
      </c>
      <c r="BV88" s="1">
        <v>1731500</v>
      </c>
      <c r="BW88" s="1">
        <v>1684900</v>
      </c>
      <c r="BX88" s="1">
        <v>1861900</v>
      </c>
      <c r="BY88" s="1">
        <v>1232300</v>
      </c>
      <c r="BZ88" s="1">
        <v>1300700</v>
      </c>
    </row>
    <row r="89" spans="1:78" ht="15.9" customHeight="1">
      <c r="A89" s="393" t="s">
        <v>173</v>
      </c>
      <c r="B89" s="46" t="s">
        <v>174</v>
      </c>
      <c r="C89" s="50">
        <f>_xll.RssMarket("5892","出来高")</f>
        <v>33300</v>
      </c>
      <c r="D89" s="202">
        <f t="shared" si="1"/>
        <v>4700</v>
      </c>
      <c r="E89" s="200">
        <v>28600</v>
      </c>
      <c r="F89" s="21">
        <v>29600</v>
      </c>
      <c r="G89" s="21">
        <v>35700</v>
      </c>
      <c r="H89" s="21">
        <v>51900</v>
      </c>
      <c r="I89" s="21">
        <v>31300</v>
      </c>
      <c r="J89" s="21">
        <v>18000</v>
      </c>
      <c r="K89" s="21">
        <v>62100</v>
      </c>
      <c r="L89" s="21">
        <v>68400</v>
      </c>
      <c r="M89" s="21">
        <v>109100</v>
      </c>
      <c r="N89" s="21">
        <v>43700</v>
      </c>
      <c r="O89" s="21">
        <v>32900</v>
      </c>
      <c r="P89" s="21">
        <v>106400</v>
      </c>
      <c r="Q89" s="21">
        <v>80600</v>
      </c>
      <c r="R89" s="21">
        <v>44200</v>
      </c>
      <c r="S89" s="21">
        <v>49400</v>
      </c>
      <c r="T89" s="21">
        <v>48700</v>
      </c>
      <c r="U89" s="21">
        <v>38900</v>
      </c>
      <c r="V89" s="21">
        <v>31900</v>
      </c>
      <c r="W89" s="21">
        <v>33000</v>
      </c>
      <c r="X89" s="21">
        <v>36800</v>
      </c>
      <c r="Y89" s="21">
        <v>43300</v>
      </c>
      <c r="Z89" s="21">
        <v>32300</v>
      </c>
      <c r="AA89" s="21">
        <v>25600</v>
      </c>
      <c r="AB89" s="21">
        <v>31000</v>
      </c>
      <c r="AC89" s="21">
        <v>68700</v>
      </c>
      <c r="AD89" s="21">
        <v>38700</v>
      </c>
      <c r="AE89" s="21">
        <v>43700</v>
      </c>
      <c r="AF89" s="21">
        <v>61500</v>
      </c>
      <c r="AG89" s="21">
        <v>25600</v>
      </c>
      <c r="AH89" s="21">
        <v>57300</v>
      </c>
      <c r="AI89" s="21">
        <v>62100</v>
      </c>
      <c r="AJ89" s="21">
        <v>66300</v>
      </c>
      <c r="AK89" s="21">
        <v>109600</v>
      </c>
      <c r="AL89" s="21">
        <v>91100</v>
      </c>
      <c r="AM89" s="21">
        <v>72600</v>
      </c>
      <c r="AN89" s="21">
        <v>154900</v>
      </c>
      <c r="AO89" s="21">
        <v>40900</v>
      </c>
      <c r="AP89" s="21">
        <v>50900</v>
      </c>
      <c r="AQ89" s="21">
        <v>72600</v>
      </c>
      <c r="AR89" s="21">
        <v>113400</v>
      </c>
      <c r="AS89" s="21">
        <v>52000</v>
      </c>
      <c r="AT89" s="21">
        <v>55700</v>
      </c>
      <c r="AU89" s="21">
        <v>42300</v>
      </c>
      <c r="AV89" s="21">
        <v>50900</v>
      </c>
      <c r="AW89" s="21">
        <v>68300</v>
      </c>
      <c r="AX89" s="21">
        <v>79600</v>
      </c>
      <c r="AY89" s="21">
        <v>90300</v>
      </c>
      <c r="AZ89" s="21">
        <v>87800</v>
      </c>
      <c r="BA89" s="21">
        <v>91100</v>
      </c>
      <c r="BB89" s="21">
        <v>63900</v>
      </c>
      <c r="BC89" s="21">
        <v>150600</v>
      </c>
      <c r="BD89" s="21">
        <v>260400</v>
      </c>
      <c r="BE89" s="21">
        <v>28700</v>
      </c>
      <c r="BF89" s="21">
        <v>105100</v>
      </c>
      <c r="BG89" s="21">
        <v>101000</v>
      </c>
      <c r="BH89" s="21">
        <v>90600</v>
      </c>
      <c r="BI89" s="21">
        <v>143600</v>
      </c>
      <c r="BJ89" s="21">
        <v>127400</v>
      </c>
      <c r="BK89" s="21">
        <v>52900</v>
      </c>
      <c r="BL89" s="21">
        <v>31300</v>
      </c>
      <c r="BM89" s="1">
        <v>77400</v>
      </c>
      <c r="BN89" s="1">
        <v>47100</v>
      </c>
      <c r="BO89" s="1">
        <v>24000</v>
      </c>
      <c r="BP89" s="1">
        <v>31500</v>
      </c>
      <c r="BQ89" s="1">
        <v>54600</v>
      </c>
      <c r="BR89" s="1">
        <v>35300</v>
      </c>
      <c r="BS89" s="1">
        <v>33400</v>
      </c>
      <c r="BT89" s="1">
        <v>40400</v>
      </c>
      <c r="BU89" s="1">
        <v>29900</v>
      </c>
      <c r="BV89" s="1">
        <v>30900</v>
      </c>
      <c r="BW89" s="1">
        <v>57100</v>
      </c>
      <c r="BX89" s="1">
        <v>185900</v>
      </c>
      <c r="BY89" s="1">
        <v>23300</v>
      </c>
      <c r="BZ89" s="1">
        <v>44600</v>
      </c>
    </row>
    <row r="90" spans="1:78" ht="15.9" customHeight="1">
      <c r="A90" s="393" t="s">
        <v>175</v>
      </c>
      <c r="B90" s="46" t="s">
        <v>176</v>
      </c>
      <c r="C90" s="50">
        <f>_xll.RssMarket("6323","出来高")</f>
        <v>2044400</v>
      </c>
      <c r="D90" s="202">
        <f t="shared" si="1"/>
        <v>-1285300</v>
      </c>
      <c r="E90" s="200">
        <v>3329700</v>
      </c>
      <c r="F90" s="21">
        <v>4282500</v>
      </c>
      <c r="G90" s="21">
        <v>4484400</v>
      </c>
      <c r="H90" s="21">
        <v>3558600</v>
      </c>
      <c r="I90" s="21">
        <v>5160600</v>
      </c>
      <c r="J90" s="21">
        <v>3205000</v>
      </c>
      <c r="K90" s="21">
        <v>2164800</v>
      </c>
      <c r="L90" s="21">
        <v>2366500</v>
      </c>
      <c r="M90" s="21">
        <v>2811100</v>
      </c>
      <c r="N90" s="21">
        <v>4023700</v>
      </c>
      <c r="O90" s="21">
        <v>2713500</v>
      </c>
      <c r="P90" s="21">
        <v>3780800</v>
      </c>
      <c r="Q90" s="21">
        <v>5518300</v>
      </c>
      <c r="R90" s="21">
        <v>3398000</v>
      </c>
      <c r="S90" s="21">
        <v>3992900</v>
      </c>
      <c r="T90" s="21">
        <v>9136100</v>
      </c>
      <c r="U90" s="21">
        <v>2997600</v>
      </c>
      <c r="V90" s="21">
        <v>1886300</v>
      </c>
      <c r="W90" s="21">
        <v>1921200</v>
      </c>
      <c r="X90" s="21">
        <v>1651100</v>
      </c>
      <c r="Y90" s="21">
        <v>2099200</v>
      </c>
      <c r="Z90" s="21">
        <v>1728900</v>
      </c>
      <c r="AA90" s="21">
        <v>2262800</v>
      </c>
      <c r="AB90" s="21">
        <v>1998200</v>
      </c>
      <c r="AC90" s="21">
        <v>1408600</v>
      </c>
      <c r="AD90" s="21">
        <v>1486400</v>
      </c>
      <c r="AE90" s="21">
        <v>2067500</v>
      </c>
      <c r="AF90" s="21">
        <v>1646000</v>
      </c>
      <c r="AG90" s="21">
        <v>1491600</v>
      </c>
      <c r="AH90" s="21">
        <v>1548900</v>
      </c>
      <c r="AI90" s="21">
        <v>2181600</v>
      </c>
      <c r="AJ90" s="21">
        <v>2578900</v>
      </c>
      <c r="AK90" s="21">
        <v>1602600</v>
      </c>
      <c r="AL90" s="21">
        <v>1658600</v>
      </c>
      <c r="AM90" s="21">
        <v>1768000</v>
      </c>
      <c r="AN90" s="21">
        <v>1870900</v>
      </c>
      <c r="AO90" s="21">
        <v>1342600</v>
      </c>
      <c r="AP90" s="21">
        <v>1331900</v>
      </c>
      <c r="AQ90" s="21">
        <v>2269300</v>
      </c>
      <c r="AR90" s="21">
        <v>2018400</v>
      </c>
      <c r="AS90" s="21">
        <v>3089500</v>
      </c>
      <c r="AT90" s="21">
        <v>3050000</v>
      </c>
      <c r="AU90" s="21">
        <v>1132800</v>
      </c>
      <c r="AV90" s="21">
        <v>2132700</v>
      </c>
      <c r="AW90" s="21">
        <v>1285800</v>
      </c>
      <c r="AX90" s="21">
        <v>1290700</v>
      </c>
      <c r="AY90" s="21">
        <v>1431600</v>
      </c>
      <c r="AZ90" s="21">
        <v>1043700</v>
      </c>
      <c r="BA90" s="21">
        <v>1600400</v>
      </c>
      <c r="BB90" s="21">
        <v>1162700</v>
      </c>
      <c r="BC90" s="21">
        <v>1663600</v>
      </c>
      <c r="BD90" s="21">
        <v>1168500</v>
      </c>
      <c r="BE90" s="21">
        <v>1938700</v>
      </c>
      <c r="BF90" s="21">
        <v>1479100</v>
      </c>
      <c r="BG90" s="21">
        <v>2075600</v>
      </c>
      <c r="BH90" s="21">
        <v>2166900</v>
      </c>
      <c r="BI90" s="21">
        <v>2289300</v>
      </c>
      <c r="BJ90" s="21">
        <v>2998600</v>
      </c>
      <c r="BK90" s="21">
        <v>2913700</v>
      </c>
      <c r="BL90" s="21">
        <v>1548100</v>
      </c>
      <c r="BM90" s="1">
        <v>1706100</v>
      </c>
      <c r="BN90" s="1">
        <v>2107600</v>
      </c>
      <c r="BO90" s="1">
        <v>3075200</v>
      </c>
      <c r="BP90" s="1">
        <v>1308900</v>
      </c>
      <c r="BQ90" s="1">
        <v>1735800</v>
      </c>
      <c r="BR90" s="1">
        <v>2284400</v>
      </c>
      <c r="BS90" s="1">
        <v>2777600</v>
      </c>
      <c r="BT90" s="1">
        <v>1764400</v>
      </c>
      <c r="BU90" s="1">
        <v>1901100</v>
      </c>
      <c r="BV90" s="1">
        <v>3031600</v>
      </c>
      <c r="BW90" s="1">
        <v>2849500</v>
      </c>
      <c r="BX90" s="1">
        <v>4561300</v>
      </c>
      <c r="BY90" s="1">
        <v>9459700</v>
      </c>
      <c r="BZ90" s="1">
        <v>6627200</v>
      </c>
    </row>
    <row r="91" spans="1:78" ht="15.9" customHeight="1">
      <c r="A91" s="393" t="s">
        <v>177</v>
      </c>
      <c r="B91" s="46" t="s">
        <v>178</v>
      </c>
      <c r="C91" s="50">
        <f>_xll.RssMarket("6501","出来高")</f>
        <v>9062200</v>
      </c>
      <c r="D91" s="202">
        <f t="shared" si="1"/>
        <v>-6215500</v>
      </c>
      <c r="E91" s="200">
        <v>15277700</v>
      </c>
      <c r="F91" s="21">
        <v>14071300</v>
      </c>
      <c r="G91" s="21">
        <v>19901100</v>
      </c>
      <c r="H91" s="21">
        <v>24607900</v>
      </c>
      <c r="I91" s="21">
        <v>13881100</v>
      </c>
      <c r="J91" s="21">
        <v>12339000</v>
      </c>
      <c r="K91" s="21">
        <v>11712100</v>
      </c>
      <c r="L91" s="21">
        <v>7130900</v>
      </c>
      <c r="M91" s="21">
        <v>8471800</v>
      </c>
      <c r="N91" s="21">
        <v>9137700</v>
      </c>
      <c r="O91" s="21">
        <v>11059300</v>
      </c>
      <c r="P91" s="21">
        <v>12028800</v>
      </c>
      <c r="Q91" s="21">
        <v>13914900</v>
      </c>
      <c r="R91" s="21">
        <v>8776800</v>
      </c>
      <c r="S91" s="21">
        <v>9347200</v>
      </c>
      <c r="T91" s="21">
        <v>11624900</v>
      </c>
      <c r="U91" s="21">
        <v>7238600</v>
      </c>
      <c r="V91" s="21">
        <v>11272800</v>
      </c>
      <c r="W91" s="21">
        <v>20014200</v>
      </c>
      <c r="X91" s="21">
        <v>11352800</v>
      </c>
      <c r="Y91" s="21">
        <v>9892300</v>
      </c>
      <c r="Z91" s="21">
        <v>16571400</v>
      </c>
      <c r="AA91" s="21">
        <v>11138200</v>
      </c>
      <c r="AB91" s="21">
        <v>12297000</v>
      </c>
      <c r="AC91" s="21">
        <v>11492800</v>
      </c>
      <c r="AD91" s="21">
        <v>13899700</v>
      </c>
      <c r="AE91" s="21">
        <v>12236600</v>
      </c>
      <c r="AF91" s="21">
        <v>11616300</v>
      </c>
      <c r="AG91" s="21">
        <v>12304900</v>
      </c>
      <c r="AH91" s="21">
        <v>10220000</v>
      </c>
      <c r="AI91" s="21">
        <v>18577100</v>
      </c>
      <c r="AJ91" s="21">
        <v>13329600</v>
      </c>
      <c r="AK91" s="21">
        <v>11385900</v>
      </c>
      <c r="AL91" s="21">
        <v>11238700</v>
      </c>
      <c r="AM91" s="21">
        <v>13258100</v>
      </c>
      <c r="AN91" s="21">
        <v>18882700</v>
      </c>
      <c r="AO91" s="21">
        <v>15175900</v>
      </c>
      <c r="AP91" s="21">
        <v>15252700</v>
      </c>
      <c r="AQ91" s="21">
        <v>14584100</v>
      </c>
      <c r="AR91" s="21">
        <v>11799100</v>
      </c>
      <c r="AS91" s="21">
        <v>8401300</v>
      </c>
      <c r="AT91" s="21">
        <v>15132500</v>
      </c>
      <c r="AU91" s="21">
        <v>10393900</v>
      </c>
      <c r="AV91" s="21">
        <v>27362800</v>
      </c>
      <c r="AW91" s="21">
        <v>17942700</v>
      </c>
      <c r="AX91" s="21">
        <v>10796000</v>
      </c>
      <c r="AY91" s="21">
        <v>9871700</v>
      </c>
      <c r="AZ91" s="21">
        <v>13406000</v>
      </c>
      <c r="BA91" s="21">
        <v>17823800</v>
      </c>
      <c r="BB91" s="21">
        <v>13438800</v>
      </c>
      <c r="BC91" s="21">
        <v>17371300</v>
      </c>
      <c r="BD91" s="21">
        <v>9951800</v>
      </c>
      <c r="BE91" s="21">
        <v>15316500</v>
      </c>
      <c r="BF91" s="21">
        <v>14167400</v>
      </c>
      <c r="BG91" s="21">
        <v>14259600</v>
      </c>
      <c r="BH91" s="21">
        <v>11607400</v>
      </c>
      <c r="BI91" s="21">
        <v>15801200</v>
      </c>
      <c r="BJ91" s="21">
        <v>16696700</v>
      </c>
      <c r="BK91" s="21">
        <v>25537000</v>
      </c>
      <c r="BL91" s="21">
        <v>11393000</v>
      </c>
      <c r="BM91" s="1">
        <v>22771900</v>
      </c>
      <c r="BN91" s="1">
        <v>29820000</v>
      </c>
      <c r="BO91" s="1">
        <v>18121800</v>
      </c>
      <c r="BP91" s="1">
        <v>10572600</v>
      </c>
      <c r="BQ91" s="1">
        <v>18639900</v>
      </c>
      <c r="BR91" s="1">
        <v>11183900</v>
      </c>
      <c r="BS91" s="1">
        <v>8784900</v>
      </c>
      <c r="BT91" s="1">
        <v>8848200</v>
      </c>
      <c r="BU91" s="1">
        <v>10437400</v>
      </c>
      <c r="BV91" s="1">
        <v>15083400</v>
      </c>
      <c r="BW91" s="1">
        <v>22050700</v>
      </c>
      <c r="BX91" s="1">
        <v>12203300</v>
      </c>
      <c r="BY91" s="1">
        <v>12164800</v>
      </c>
      <c r="BZ91" s="1">
        <v>11797600</v>
      </c>
    </row>
    <row r="92" spans="1:78" ht="15.9" customHeight="1">
      <c r="A92" s="393" t="s">
        <v>179</v>
      </c>
      <c r="B92" s="46" t="s">
        <v>180</v>
      </c>
      <c r="C92" s="50">
        <f>_xll.RssMarket("6134","出来高")</f>
        <v>1317600</v>
      </c>
      <c r="D92" s="202">
        <f t="shared" si="1"/>
        <v>-2340800</v>
      </c>
      <c r="E92" s="200">
        <v>3658400</v>
      </c>
      <c r="F92" s="21">
        <v>1490300</v>
      </c>
      <c r="G92" s="21">
        <v>1269100</v>
      </c>
      <c r="H92" s="21">
        <v>796900</v>
      </c>
      <c r="I92" s="21">
        <v>1450300</v>
      </c>
      <c r="J92" s="21">
        <v>1030100</v>
      </c>
      <c r="K92" s="21">
        <v>503100</v>
      </c>
      <c r="L92" s="21">
        <v>437900</v>
      </c>
      <c r="M92" s="21">
        <v>477200</v>
      </c>
      <c r="N92" s="21">
        <v>603500</v>
      </c>
      <c r="O92" s="21">
        <v>790400</v>
      </c>
      <c r="P92" s="21">
        <v>1268300</v>
      </c>
      <c r="Q92" s="21">
        <v>483500</v>
      </c>
      <c r="R92" s="21">
        <v>929200</v>
      </c>
      <c r="S92" s="21">
        <v>830100</v>
      </c>
      <c r="T92" s="21">
        <v>827100</v>
      </c>
      <c r="U92" s="21">
        <v>807900</v>
      </c>
      <c r="V92" s="21">
        <v>633900</v>
      </c>
      <c r="W92" s="21">
        <v>1154000</v>
      </c>
      <c r="X92" s="21">
        <v>771600</v>
      </c>
      <c r="Y92" s="21">
        <v>682300</v>
      </c>
      <c r="Z92" s="21">
        <v>996900</v>
      </c>
      <c r="AA92" s="21">
        <v>1054000</v>
      </c>
      <c r="AB92" s="21">
        <v>901600</v>
      </c>
      <c r="AC92" s="21">
        <v>471800</v>
      </c>
      <c r="AD92" s="21">
        <v>617300</v>
      </c>
      <c r="AE92" s="21">
        <v>513500</v>
      </c>
      <c r="AF92" s="21">
        <v>485100</v>
      </c>
      <c r="AG92" s="21">
        <v>637700</v>
      </c>
      <c r="AH92" s="21">
        <v>667100</v>
      </c>
      <c r="AI92" s="21">
        <v>992600</v>
      </c>
      <c r="AJ92" s="21">
        <v>948900</v>
      </c>
      <c r="AK92" s="21">
        <v>460000</v>
      </c>
      <c r="AL92" s="21">
        <v>577400</v>
      </c>
      <c r="AM92" s="21">
        <v>701600</v>
      </c>
      <c r="AN92" s="21">
        <v>728500</v>
      </c>
      <c r="AO92" s="21">
        <v>644300</v>
      </c>
      <c r="AP92" s="21">
        <v>765100</v>
      </c>
      <c r="AQ92" s="21">
        <v>1480300</v>
      </c>
      <c r="AR92" s="21">
        <v>505400</v>
      </c>
      <c r="AS92" s="21">
        <v>813900</v>
      </c>
      <c r="AT92" s="21">
        <v>933300</v>
      </c>
      <c r="AU92" s="21">
        <v>912700</v>
      </c>
      <c r="AV92" s="21">
        <v>886500</v>
      </c>
      <c r="AW92" s="21">
        <v>877700</v>
      </c>
      <c r="AX92" s="21">
        <v>920800</v>
      </c>
      <c r="AY92" s="21">
        <v>1103300</v>
      </c>
      <c r="AZ92" s="21">
        <v>1037800</v>
      </c>
      <c r="BA92" s="21">
        <v>1041100</v>
      </c>
      <c r="BB92" s="21">
        <v>1571000</v>
      </c>
      <c r="BC92" s="21">
        <v>1103200</v>
      </c>
      <c r="BD92" s="21">
        <v>1476700</v>
      </c>
      <c r="BE92" s="21">
        <v>2780000</v>
      </c>
      <c r="BF92" s="21">
        <v>1532400</v>
      </c>
      <c r="BG92" s="21">
        <v>522000</v>
      </c>
      <c r="BH92" s="21">
        <v>503300</v>
      </c>
      <c r="BI92" s="21">
        <v>611200</v>
      </c>
      <c r="BJ92" s="21">
        <v>572900</v>
      </c>
      <c r="BK92" s="21">
        <v>789700</v>
      </c>
      <c r="BL92" s="21">
        <v>519000</v>
      </c>
      <c r="BM92" s="1">
        <v>475300</v>
      </c>
      <c r="BN92" s="1">
        <v>509700</v>
      </c>
      <c r="BO92" s="1">
        <v>605600</v>
      </c>
      <c r="BP92" s="1">
        <v>334000</v>
      </c>
      <c r="BQ92" s="1">
        <v>433900</v>
      </c>
      <c r="BR92" s="1">
        <v>419400</v>
      </c>
      <c r="BS92" s="1">
        <v>587000</v>
      </c>
      <c r="BT92" s="1">
        <v>359300</v>
      </c>
      <c r="BU92" s="1">
        <v>436400</v>
      </c>
      <c r="BV92" s="1">
        <v>389800</v>
      </c>
      <c r="BW92" s="1">
        <v>531700</v>
      </c>
      <c r="BX92" s="1">
        <v>698000</v>
      </c>
      <c r="BY92" s="1">
        <v>376700</v>
      </c>
      <c r="BZ92" s="1">
        <v>490600</v>
      </c>
    </row>
    <row r="93" spans="1:78" ht="15.9" customHeight="1">
      <c r="A93" s="393" t="s">
        <v>181</v>
      </c>
      <c r="B93" s="46" t="s">
        <v>182</v>
      </c>
      <c r="C93" s="50">
        <f>_xll.RssMarket("7746","出来高")</f>
        <v>288900</v>
      </c>
      <c r="D93" s="202">
        <f t="shared" si="1"/>
        <v>5800</v>
      </c>
      <c r="E93" s="200">
        <v>283100</v>
      </c>
      <c r="F93" s="21">
        <v>181100</v>
      </c>
      <c r="G93" s="21">
        <v>289500</v>
      </c>
      <c r="H93" s="21">
        <v>249500</v>
      </c>
      <c r="I93" s="21">
        <v>490800</v>
      </c>
      <c r="J93" s="21">
        <v>348300</v>
      </c>
      <c r="K93" s="21">
        <v>463700</v>
      </c>
      <c r="L93" s="21">
        <v>937900</v>
      </c>
      <c r="M93" s="21">
        <v>167200</v>
      </c>
      <c r="N93" s="21">
        <v>571800</v>
      </c>
      <c r="O93" s="21">
        <v>1284300</v>
      </c>
      <c r="P93" s="21">
        <v>1000100</v>
      </c>
      <c r="Q93" s="21">
        <v>197700</v>
      </c>
      <c r="R93" s="21">
        <v>197100</v>
      </c>
      <c r="S93" s="21">
        <v>238400</v>
      </c>
      <c r="T93" s="21">
        <v>341600</v>
      </c>
      <c r="U93" s="21">
        <v>714100</v>
      </c>
      <c r="V93" s="21">
        <v>440300</v>
      </c>
      <c r="W93" s="21">
        <v>426400</v>
      </c>
      <c r="X93" s="21">
        <v>438400</v>
      </c>
      <c r="Y93" s="21">
        <v>569400</v>
      </c>
      <c r="Z93" s="21">
        <v>995000</v>
      </c>
      <c r="AA93" s="21">
        <v>1024800</v>
      </c>
      <c r="AB93" s="21">
        <v>3449600</v>
      </c>
      <c r="AC93" s="21">
        <v>9572400</v>
      </c>
      <c r="AD93" s="21">
        <v>8558400</v>
      </c>
      <c r="AE93" s="21">
        <v>156300</v>
      </c>
      <c r="AF93" s="21">
        <v>154000</v>
      </c>
      <c r="AG93" s="21">
        <v>252100</v>
      </c>
      <c r="AH93" s="21">
        <v>420300</v>
      </c>
      <c r="AI93" s="21">
        <v>407200</v>
      </c>
      <c r="AJ93" s="21">
        <v>526800</v>
      </c>
      <c r="AK93" s="21">
        <v>1408400</v>
      </c>
      <c r="AL93" s="21">
        <v>6711800</v>
      </c>
      <c r="AM93" s="21">
        <v>1566600</v>
      </c>
      <c r="AN93" s="21">
        <v>552700</v>
      </c>
      <c r="AO93" s="21">
        <v>2857000</v>
      </c>
      <c r="AP93" s="21">
        <v>618400</v>
      </c>
      <c r="AQ93" s="21">
        <v>550500</v>
      </c>
      <c r="AR93" s="21">
        <v>388700</v>
      </c>
      <c r="AS93" s="21">
        <v>327800</v>
      </c>
      <c r="AT93" s="21">
        <v>692200</v>
      </c>
      <c r="AU93" s="21">
        <v>459300</v>
      </c>
      <c r="AV93" s="21">
        <v>837200</v>
      </c>
      <c r="AW93" s="21">
        <v>417800</v>
      </c>
      <c r="AX93" s="21">
        <v>626700</v>
      </c>
      <c r="AY93" s="21">
        <v>806100</v>
      </c>
      <c r="AZ93" s="21">
        <v>951700</v>
      </c>
      <c r="BA93" s="21">
        <v>1758400</v>
      </c>
      <c r="BB93" s="21">
        <v>3566200</v>
      </c>
      <c r="BC93" s="21">
        <v>4638000</v>
      </c>
      <c r="BD93" s="21">
        <v>1841700</v>
      </c>
      <c r="BE93" s="21">
        <v>870500</v>
      </c>
      <c r="BF93" s="21">
        <v>818000</v>
      </c>
      <c r="BG93" s="21">
        <v>946300</v>
      </c>
      <c r="BH93" s="21">
        <v>1301100</v>
      </c>
      <c r="BI93" s="21">
        <v>607800</v>
      </c>
      <c r="BJ93" s="21">
        <v>602000</v>
      </c>
      <c r="BK93" s="21">
        <v>721700</v>
      </c>
      <c r="BL93" s="21">
        <v>1534300</v>
      </c>
      <c r="BM93" s="1">
        <v>1154300</v>
      </c>
      <c r="BN93" s="1">
        <v>503500</v>
      </c>
      <c r="BO93" s="1">
        <v>609100</v>
      </c>
      <c r="BP93" s="1">
        <v>511800</v>
      </c>
      <c r="BQ93" s="1">
        <v>728200</v>
      </c>
      <c r="BR93" s="1">
        <v>606400</v>
      </c>
      <c r="BS93" s="1">
        <v>1272800</v>
      </c>
      <c r="BT93" s="1">
        <v>4409000</v>
      </c>
      <c r="BU93" s="1">
        <v>795600</v>
      </c>
      <c r="BV93" s="1">
        <v>1612200</v>
      </c>
      <c r="BW93" s="1">
        <v>853000</v>
      </c>
      <c r="BX93" s="1">
        <v>953800</v>
      </c>
      <c r="BY93" s="1">
        <v>1671400</v>
      </c>
      <c r="BZ93" s="1">
        <v>570300</v>
      </c>
    </row>
    <row r="94" spans="1:78" ht="15.9" customHeight="1">
      <c r="A94" s="393" t="s">
        <v>183</v>
      </c>
      <c r="B94" s="46" t="s">
        <v>184</v>
      </c>
      <c r="C94" s="50">
        <f>_xll.RssMarket("3407","出来高")</f>
        <v>5390900</v>
      </c>
      <c r="D94" s="202">
        <f t="shared" si="1"/>
        <v>-10666700</v>
      </c>
      <c r="E94" s="200">
        <v>16057600</v>
      </c>
      <c r="F94" s="21">
        <v>9491200</v>
      </c>
      <c r="G94" s="21">
        <v>12615000</v>
      </c>
      <c r="H94" s="21">
        <v>5964200</v>
      </c>
      <c r="I94" s="21">
        <v>6071600</v>
      </c>
      <c r="J94" s="21">
        <v>4931400</v>
      </c>
      <c r="K94" s="21">
        <v>4749600</v>
      </c>
      <c r="L94" s="21">
        <v>3414300</v>
      </c>
      <c r="M94" s="21">
        <v>3023900</v>
      </c>
      <c r="N94" s="21">
        <v>3723600</v>
      </c>
      <c r="O94" s="21">
        <v>4029000</v>
      </c>
      <c r="P94" s="21">
        <v>4536900</v>
      </c>
      <c r="Q94" s="21">
        <v>5013700</v>
      </c>
      <c r="R94" s="21">
        <v>5972800</v>
      </c>
      <c r="S94" s="21">
        <v>3763900</v>
      </c>
      <c r="T94" s="21">
        <v>3755500</v>
      </c>
      <c r="U94" s="21">
        <v>4844400</v>
      </c>
      <c r="V94" s="21">
        <v>5100800</v>
      </c>
      <c r="W94" s="21">
        <v>4251400</v>
      </c>
      <c r="X94" s="21">
        <v>4625200</v>
      </c>
      <c r="Y94" s="21">
        <v>4990500</v>
      </c>
      <c r="Z94" s="21">
        <v>4101200</v>
      </c>
      <c r="AA94" s="21">
        <v>3844400</v>
      </c>
      <c r="AB94" s="21">
        <v>4216700</v>
      </c>
      <c r="AC94" s="21">
        <v>3864700</v>
      </c>
      <c r="AD94" s="21">
        <v>3593700</v>
      </c>
      <c r="AE94" s="21">
        <v>4540400</v>
      </c>
      <c r="AF94" s="21">
        <v>4680500</v>
      </c>
      <c r="AG94" s="21">
        <v>5350300</v>
      </c>
      <c r="AH94" s="21">
        <v>5950700</v>
      </c>
      <c r="AI94" s="21">
        <v>7466200</v>
      </c>
      <c r="AJ94" s="21">
        <v>3926500</v>
      </c>
      <c r="AK94" s="21">
        <v>3657500</v>
      </c>
      <c r="AL94" s="21">
        <v>4547400</v>
      </c>
      <c r="AM94" s="21">
        <v>7362800</v>
      </c>
      <c r="AN94" s="21">
        <v>6489400</v>
      </c>
      <c r="AO94" s="21">
        <v>4133600</v>
      </c>
      <c r="AP94" s="21">
        <v>5735300</v>
      </c>
      <c r="AQ94" s="21">
        <v>6015600</v>
      </c>
      <c r="AR94" s="21">
        <v>3738100</v>
      </c>
      <c r="AS94" s="21">
        <v>4546500</v>
      </c>
      <c r="AT94" s="21">
        <v>5186800</v>
      </c>
      <c r="AU94" s="21">
        <v>4955100</v>
      </c>
      <c r="AV94" s="21">
        <v>10221700</v>
      </c>
      <c r="AW94" s="21">
        <v>5566900</v>
      </c>
      <c r="AX94" s="21">
        <v>4877600</v>
      </c>
      <c r="AY94" s="21">
        <v>4317300</v>
      </c>
      <c r="AZ94" s="21">
        <v>3770800</v>
      </c>
      <c r="BA94" s="21">
        <v>4570700</v>
      </c>
      <c r="BB94" s="21">
        <v>5936600</v>
      </c>
      <c r="BC94" s="21">
        <v>5626100</v>
      </c>
      <c r="BD94" s="21">
        <v>4533300</v>
      </c>
      <c r="BE94" s="21">
        <v>6129300</v>
      </c>
      <c r="BF94" s="21">
        <v>6255300</v>
      </c>
      <c r="BG94" s="21">
        <v>10306000</v>
      </c>
      <c r="BH94" s="21">
        <v>13151800</v>
      </c>
      <c r="BI94" s="21">
        <v>4652500</v>
      </c>
      <c r="BJ94" s="21">
        <v>5504700</v>
      </c>
      <c r="BK94" s="21">
        <v>6643100</v>
      </c>
      <c r="BL94" s="21">
        <v>3442200</v>
      </c>
      <c r="BM94" s="1">
        <v>5477800</v>
      </c>
      <c r="BN94" s="1">
        <v>3348100</v>
      </c>
      <c r="BO94" s="1">
        <v>2929300</v>
      </c>
      <c r="BP94" s="1">
        <v>3198300</v>
      </c>
      <c r="BQ94" s="1">
        <v>4912400</v>
      </c>
      <c r="BR94" s="1">
        <v>4113900</v>
      </c>
      <c r="BS94" s="1">
        <v>2982900</v>
      </c>
      <c r="BT94" s="1">
        <v>3815900</v>
      </c>
      <c r="BU94" s="1">
        <v>4380700</v>
      </c>
      <c r="BV94" s="1">
        <v>5905000</v>
      </c>
      <c r="BW94" s="1">
        <v>10197600</v>
      </c>
      <c r="BX94" s="1">
        <v>6362200</v>
      </c>
      <c r="BY94" s="1">
        <v>5012700</v>
      </c>
      <c r="BZ94" s="1">
        <v>5080600</v>
      </c>
    </row>
    <row r="95" spans="1:78" ht="15.9" customHeight="1">
      <c r="A95" s="393" t="s">
        <v>185</v>
      </c>
      <c r="B95" s="46" t="s">
        <v>186</v>
      </c>
      <c r="C95" s="50">
        <f>_xll.RssMarket("4008","出来高")</f>
        <v>85300</v>
      </c>
      <c r="D95" s="202">
        <f t="shared" si="1"/>
        <v>-90900</v>
      </c>
      <c r="E95" s="200">
        <v>176200</v>
      </c>
      <c r="F95" s="21">
        <v>198700</v>
      </c>
      <c r="G95" s="21">
        <v>157700</v>
      </c>
      <c r="H95" s="21">
        <v>160800</v>
      </c>
      <c r="I95" s="21">
        <v>234800</v>
      </c>
      <c r="J95" s="21">
        <v>204400</v>
      </c>
      <c r="K95" s="21">
        <v>153100</v>
      </c>
      <c r="L95" s="21"/>
      <c r="M95" s="21">
        <v>126800</v>
      </c>
      <c r="N95" s="21">
        <v>107400</v>
      </c>
      <c r="O95" s="21">
        <v>193600</v>
      </c>
      <c r="P95" s="21">
        <v>227200</v>
      </c>
      <c r="Q95" s="21">
        <v>119200</v>
      </c>
      <c r="R95" s="21">
        <v>131200</v>
      </c>
      <c r="S95" s="21">
        <v>172000</v>
      </c>
      <c r="T95" s="21">
        <v>138400</v>
      </c>
      <c r="U95" s="21">
        <v>111200</v>
      </c>
      <c r="V95" s="21">
        <v>134200</v>
      </c>
      <c r="W95" s="21">
        <v>156600</v>
      </c>
      <c r="X95" s="21">
        <v>269700</v>
      </c>
      <c r="Y95" s="21">
        <v>289600</v>
      </c>
      <c r="Z95" s="21">
        <v>173600</v>
      </c>
      <c r="AA95" s="21">
        <v>111400</v>
      </c>
      <c r="AB95" s="21">
        <v>162600</v>
      </c>
      <c r="AC95" s="21">
        <v>338700</v>
      </c>
      <c r="AD95" s="21">
        <v>151300</v>
      </c>
      <c r="AE95" s="21">
        <v>212300</v>
      </c>
      <c r="AF95" s="21">
        <v>143800</v>
      </c>
      <c r="AG95" s="21">
        <v>161900</v>
      </c>
      <c r="AH95" s="21">
        <v>181800</v>
      </c>
      <c r="AI95" s="21">
        <v>171100</v>
      </c>
      <c r="AJ95" s="21">
        <v>257100</v>
      </c>
      <c r="AK95" s="21">
        <v>131300</v>
      </c>
      <c r="AL95" s="21">
        <v>131100</v>
      </c>
      <c r="AM95" s="21">
        <v>185300</v>
      </c>
      <c r="AN95" s="21">
        <v>163900</v>
      </c>
      <c r="AO95" s="21">
        <v>137600</v>
      </c>
      <c r="AP95" s="21">
        <v>102600</v>
      </c>
      <c r="AQ95" s="21">
        <v>194000</v>
      </c>
      <c r="AR95" s="21">
        <v>157000</v>
      </c>
      <c r="AS95" s="21">
        <v>150100</v>
      </c>
      <c r="AT95" s="21">
        <v>202300</v>
      </c>
      <c r="AU95" s="21">
        <v>234400</v>
      </c>
      <c r="AV95" s="21">
        <v>247100</v>
      </c>
      <c r="AW95" s="21">
        <v>231600</v>
      </c>
      <c r="AX95" s="21">
        <v>297600</v>
      </c>
      <c r="AY95" s="21">
        <v>190900</v>
      </c>
      <c r="AZ95" s="21">
        <v>171800</v>
      </c>
      <c r="BA95" s="21">
        <v>160000</v>
      </c>
      <c r="BB95" s="21">
        <v>191300</v>
      </c>
      <c r="BC95" s="21">
        <v>135800</v>
      </c>
      <c r="BD95" s="21">
        <v>187500</v>
      </c>
      <c r="BE95" s="21">
        <v>217600</v>
      </c>
      <c r="BF95" s="21">
        <v>218400</v>
      </c>
      <c r="BG95" s="21">
        <v>318800</v>
      </c>
      <c r="BH95" s="21">
        <v>391000</v>
      </c>
      <c r="BI95" s="21">
        <v>139300</v>
      </c>
      <c r="BJ95" s="21">
        <v>131100</v>
      </c>
      <c r="BK95" s="21">
        <v>129500</v>
      </c>
      <c r="BL95" s="21">
        <v>88400</v>
      </c>
      <c r="BM95" s="1">
        <v>113300</v>
      </c>
      <c r="BN95" s="1">
        <v>99300</v>
      </c>
      <c r="BO95" s="1">
        <v>105600</v>
      </c>
      <c r="BP95" s="1">
        <v>84800</v>
      </c>
      <c r="BQ95" s="1">
        <v>111500</v>
      </c>
      <c r="BR95" s="1">
        <v>160300</v>
      </c>
      <c r="BS95" s="1">
        <v>109800</v>
      </c>
      <c r="BT95" s="1">
        <v>76200</v>
      </c>
      <c r="BU95" s="1">
        <v>97800</v>
      </c>
      <c r="BV95" s="1">
        <v>83400</v>
      </c>
      <c r="BW95" s="1">
        <v>166800</v>
      </c>
      <c r="BX95" s="1">
        <v>132700</v>
      </c>
      <c r="BY95" s="1">
        <v>148800</v>
      </c>
      <c r="BZ95" s="1">
        <v>155400</v>
      </c>
    </row>
    <row r="96" spans="1:78" ht="15.9" customHeight="1">
      <c r="A96" s="393" t="s">
        <v>187</v>
      </c>
      <c r="B96" s="46" t="s">
        <v>188</v>
      </c>
      <c r="C96" s="50">
        <f>_xll.RssMarket("4062","出来高")</f>
        <v>8304600</v>
      </c>
      <c r="D96" s="202">
        <f t="shared" si="1"/>
        <v>-1799400</v>
      </c>
      <c r="E96" s="200">
        <v>10104000</v>
      </c>
      <c r="F96" s="21">
        <v>8105600</v>
      </c>
      <c r="G96" s="21">
        <v>1063700</v>
      </c>
      <c r="H96" s="21">
        <v>10002100</v>
      </c>
      <c r="I96" s="21">
        <v>9390200</v>
      </c>
      <c r="J96" s="21">
        <v>7885000</v>
      </c>
      <c r="K96" s="21">
        <v>7023300</v>
      </c>
      <c r="L96" s="21">
        <v>9492600</v>
      </c>
      <c r="M96" s="21">
        <v>7103200</v>
      </c>
      <c r="N96" s="21">
        <v>10290600</v>
      </c>
      <c r="O96" s="21">
        <v>9174200</v>
      </c>
      <c r="P96" s="21">
        <v>12103300</v>
      </c>
      <c r="Q96" s="21">
        <v>8657500</v>
      </c>
      <c r="R96" s="21">
        <v>10398900</v>
      </c>
      <c r="S96" s="21">
        <v>7667300</v>
      </c>
      <c r="T96" s="21">
        <v>6297800</v>
      </c>
      <c r="U96" s="21">
        <v>7892700</v>
      </c>
      <c r="V96" s="21">
        <v>8950100</v>
      </c>
      <c r="W96" s="21">
        <v>7742500</v>
      </c>
      <c r="X96" s="21">
        <v>6724300</v>
      </c>
      <c r="Y96" s="21">
        <v>8723400</v>
      </c>
      <c r="Z96" s="21">
        <v>7721400</v>
      </c>
      <c r="AA96" s="21">
        <v>11603100</v>
      </c>
      <c r="AB96" s="21">
        <v>7492100</v>
      </c>
      <c r="AC96" s="21">
        <v>10291800</v>
      </c>
      <c r="AD96" s="21">
        <v>10358400</v>
      </c>
      <c r="AE96" s="21">
        <v>8567000</v>
      </c>
      <c r="AF96" s="21">
        <v>10669900</v>
      </c>
      <c r="AG96" s="21">
        <v>10093200</v>
      </c>
      <c r="AH96" s="21">
        <v>10705800</v>
      </c>
      <c r="AI96" s="21">
        <v>11198800</v>
      </c>
      <c r="AJ96" s="21">
        <v>11491700</v>
      </c>
      <c r="AK96" s="21">
        <v>9058100</v>
      </c>
      <c r="AL96" s="21">
        <v>9339500</v>
      </c>
      <c r="AM96" s="21">
        <v>9816600</v>
      </c>
      <c r="AN96" s="21">
        <v>9550400</v>
      </c>
      <c r="AO96" s="21">
        <v>8447800</v>
      </c>
      <c r="AP96" s="21">
        <v>8111500</v>
      </c>
      <c r="AQ96" s="21">
        <v>7707800</v>
      </c>
      <c r="AR96" s="21">
        <v>8165500</v>
      </c>
      <c r="AS96" s="21">
        <v>6317800</v>
      </c>
      <c r="AT96" s="21">
        <v>6878300</v>
      </c>
      <c r="AU96" s="21">
        <v>8084800</v>
      </c>
      <c r="AV96" s="21">
        <v>10164100</v>
      </c>
      <c r="AW96" s="21">
        <v>8387100</v>
      </c>
      <c r="AX96" s="21">
        <v>7490400</v>
      </c>
      <c r="AY96" s="21">
        <v>7628200</v>
      </c>
      <c r="AZ96" s="21">
        <v>8690500</v>
      </c>
      <c r="BA96" s="21">
        <v>9124900</v>
      </c>
      <c r="BB96" s="21">
        <v>6862800</v>
      </c>
      <c r="BC96" s="21">
        <v>6685700</v>
      </c>
      <c r="BD96" s="21">
        <v>6760300</v>
      </c>
      <c r="BE96" s="21">
        <v>8307900</v>
      </c>
      <c r="BF96" s="21">
        <v>8973700</v>
      </c>
      <c r="BG96" s="21">
        <v>8687100</v>
      </c>
      <c r="BH96" s="21">
        <v>22293100</v>
      </c>
      <c r="BI96" s="21">
        <v>8544200</v>
      </c>
      <c r="BJ96" s="21">
        <v>10684700</v>
      </c>
      <c r="BK96" s="21">
        <v>11586800</v>
      </c>
      <c r="BL96" s="21">
        <v>5100600</v>
      </c>
      <c r="BM96" s="1">
        <v>8434800</v>
      </c>
      <c r="BN96" s="1">
        <v>5813900</v>
      </c>
      <c r="BO96" s="1">
        <v>9124800</v>
      </c>
      <c r="BP96" s="1">
        <v>11078600</v>
      </c>
      <c r="BQ96" s="1">
        <v>6416700</v>
      </c>
      <c r="BR96" s="1">
        <v>7596200</v>
      </c>
      <c r="BS96" s="1">
        <v>8109100</v>
      </c>
      <c r="BT96" s="1">
        <v>4249200</v>
      </c>
      <c r="BU96" s="1">
        <v>3714000</v>
      </c>
      <c r="BV96" s="1">
        <v>4460400</v>
      </c>
      <c r="BW96" s="1">
        <v>7591600</v>
      </c>
      <c r="BX96" s="1">
        <v>5618000</v>
      </c>
      <c r="BY96" s="1">
        <v>6341000</v>
      </c>
      <c r="BZ96" s="1">
        <v>6282300</v>
      </c>
    </row>
    <row r="97" spans="1:78" ht="15.9" customHeight="1">
      <c r="A97" s="393" t="s">
        <v>189</v>
      </c>
      <c r="B97" s="46" t="s">
        <v>190</v>
      </c>
      <c r="C97" s="50">
        <f>_xll.RssMarket("4182","出来高")</f>
        <v>913900</v>
      </c>
      <c r="D97" s="202">
        <f t="shared" si="1"/>
        <v>-53400</v>
      </c>
      <c r="E97" s="200">
        <v>967300</v>
      </c>
      <c r="F97" s="21">
        <v>1067400</v>
      </c>
      <c r="G97" s="21">
        <v>2746100</v>
      </c>
      <c r="H97" s="21">
        <v>1232300</v>
      </c>
      <c r="I97" s="21">
        <v>1443100</v>
      </c>
      <c r="J97" s="21">
        <v>1152600</v>
      </c>
      <c r="K97" s="21">
        <v>1122600</v>
      </c>
      <c r="L97" s="21">
        <v>806600</v>
      </c>
      <c r="M97" s="21">
        <v>552700</v>
      </c>
      <c r="N97" s="21">
        <v>840400</v>
      </c>
      <c r="O97" s="21">
        <v>799700</v>
      </c>
      <c r="P97" s="21">
        <v>1216800</v>
      </c>
      <c r="Q97" s="21">
        <v>875300</v>
      </c>
      <c r="R97" s="21">
        <v>912800</v>
      </c>
      <c r="S97" s="21">
        <v>1042100</v>
      </c>
      <c r="T97" s="21">
        <v>750900</v>
      </c>
      <c r="U97" s="21">
        <v>1224500</v>
      </c>
      <c r="V97" s="21">
        <v>910200</v>
      </c>
      <c r="W97" s="21">
        <v>1055900</v>
      </c>
      <c r="X97" s="21">
        <v>956500</v>
      </c>
      <c r="Y97" s="21">
        <v>892600</v>
      </c>
      <c r="Z97" s="21">
        <v>1862900</v>
      </c>
      <c r="AA97" s="21">
        <v>911300</v>
      </c>
      <c r="AB97" s="21">
        <v>922000</v>
      </c>
      <c r="AC97" s="21">
        <v>1021500</v>
      </c>
      <c r="AD97" s="21">
        <v>1158000</v>
      </c>
      <c r="AE97" s="21">
        <v>931300</v>
      </c>
      <c r="AF97" s="21">
        <v>933100</v>
      </c>
      <c r="AG97" s="21">
        <v>1316300</v>
      </c>
      <c r="AH97" s="21">
        <v>1178000</v>
      </c>
      <c r="AI97" s="21">
        <v>1960800</v>
      </c>
      <c r="AJ97" s="21">
        <v>1617200</v>
      </c>
      <c r="AK97" s="21">
        <v>1114200</v>
      </c>
      <c r="AL97" s="21">
        <v>1221900</v>
      </c>
      <c r="AM97" s="21">
        <v>1278400</v>
      </c>
      <c r="AN97" s="21">
        <v>2602400</v>
      </c>
      <c r="AO97" s="21">
        <v>971600</v>
      </c>
      <c r="AP97" s="21">
        <v>1491700</v>
      </c>
      <c r="AQ97" s="21">
        <v>2430500</v>
      </c>
      <c r="AR97" s="21">
        <v>1245100</v>
      </c>
      <c r="AS97" s="21">
        <v>830500</v>
      </c>
      <c r="AT97" s="21">
        <v>1232800</v>
      </c>
      <c r="AU97" s="21">
        <v>1400800</v>
      </c>
      <c r="AV97" s="21">
        <v>1292400</v>
      </c>
      <c r="AW97" s="21">
        <v>1150000</v>
      </c>
      <c r="AX97" s="21">
        <v>1064900</v>
      </c>
      <c r="AY97" s="21">
        <v>1654400</v>
      </c>
      <c r="AZ97" s="21">
        <v>1675800</v>
      </c>
      <c r="BA97" s="21">
        <v>2042100</v>
      </c>
      <c r="BB97" s="21">
        <v>1754100</v>
      </c>
      <c r="BC97" s="21">
        <v>1709200</v>
      </c>
      <c r="BD97" s="21">
        <v>2564300</v>
      </c>
      <c r="BE97" s="21">
        <v>2780200</v>
      </c>
      <c r="BF97" s="21">
        <v>3574400</v>
      </c>
      <c r="BG97" s="21">
        <v>1754000</v>
      </c>
      <c r="BH97" s="21">
        <v>1648500</v>
      </c>
      <c r="BI97" s="21">
        <v>1397900</v>
      </c>
      <c r="BJ97" s="21">
        <v>1352800</v>
      </c>
      <c r="BK97" s="21">
        <v>1614200</v>
      </c>
      <c r="BL97" s="21">
        <v>697500</v>
      </c>
      <c r="BM97" s="1">
        <v>1287400</v>
      </c>
      <c r="BN97" s="1">
        <v>1135200</v>
      </c>
      <c r="BO97" s="1">
        <v>1139000</v>
      </c>
      <c r="BP97" s="1">
        <v>1335900</v>
      </c>
      <c r="BQ97" s="1">
        <v>1199800</v>
      </c>
      <c r="BR97" s="1">
        <v>1084900</v>
      </c>
      <c r="BS97" s="1">
        <v>1453800</v>
      </c>
      <c r="BT97" s="1">
        <v>1012100</v>
      </c>
      <c r="BU97" s="1">
        <v>933000</v>
      </c>
      <c r="BV97" s="1">
        <v>930400</v>
      </c>
      <c r="BW97" s="1">
        <v>1472400</v>
      </c>
      <c r="BX97" s="1">
        <v>1254800</v>
      </c>
      <c r="BY97" s="1">
        <v>1196800</v>
      </c>
      <c r="BZ97" s="1">
        <v>1143300</v>
      </c>
    </row>
    <row r="98" spans="1:78" ht="15.9" customHeight="1">
      <c r="A98" s="393" t="s">
        <v>191</v>
      </c>
      <c r="B98" s="46" t="s">
        <v>192</v>
      </c>
      <c r="C98" s="50">
        <f>_xll.RssMarket("4188","出来高")</f>
        <v>2985400</v>
      </c>
      <c r="D98" s="202">
        <f t="shared" si="1"/>
        <v>-4106300</v>
      </c>
      <c r="E98" s="200">
        <v>7091700</v>
      </c>
      <c r="F98" s="21">
        <v>9770500</v>
      </c>
      <c r="G98" s="21">
        <v>14425300</v>
      </c>
      <c r="H98" s="21">
        <v>6749200</v>
      </c>
      <c r="I98" s="21">
        <v>7450700</v>
      </c>
      <c r="J98" s="21">
        <v>6240800</v>
      </c>
      <c r="K98" s="21">
        <v>5951000</v>
      </c>
      <c r="L98" s="21"/>
      <c r="M98" s="21">
        <v>4535000</v>
      </c>
      <c r="N98" s="21">
        <v>7349100</v>
      </c>
      <c r="O98" s="21">
        <v>6827700</v>
      </c>
      <c r="P98" s="21">
        <v>6704900</v>
      </c>
      <c r="Q98" s="21">
        <v>4726400</v>
      </c>
      <c r="R98" s="21">
        <v>5534200</v>
      </c>
      <c r="S98" s="21">
        <v>4077700</v>
      </c>
      <c r="T98" s="21">
        <v>4997500</v>
      </c>
      <c r="U98" s="21">
        <v>5338100</v>
      </c>
      <c r="V98" s="21">
        <v>7222000</v>
      </c>
      <c r="W98" s="21">
        <v>6774500</v>
      </c>
      <c r="X98" s="21">
        <v>6039100</v>
      </c>
      <c r="Y98" s="21">
        <v>5744300</v>
      </c>
      <c r="Z98" s="21">
        <v>4771600</v>
      </c>
      <c r="AA98" s="21">
        <v>5998300</v>
      </c>
      <c r="AB98" s="21">
        <v>8022600</v>
      </c>
      <c r="AC98" s="21">
        <v>9806100</v>
      </c>
      <c r="AD98" s="21">
        <v>5538600</v>
      </c>
      <c r="AE98" s="21">
        <v>5407700</v>
      </c>
      <c r="AF98" s="21">
        <v>5624300</v>
      </c>
      <c r="AG98" s="21">
        <v>6530000</v>
      </c>
      <c r="AH98" s="21">
        <v>5573400</v>
      </c>
      <c r="AI98" s="21">
        <v>7390400</v>
      </c>
      <c r="AJ98" s="21">
        <v>9149900</v>
      </c>
      <c r="AK98" s="21">
        <v>7563000</v>
      </c>
      <c r="AL98" s="21">
        <v>4768100</v>
      </c>
      <c r="AM98" s="21">
        <v>5928900</v>
      </c>
      <c r="AN98" s="21">
        <v>7848100</v>
      </c>
      <c r="AO98" s="21">
        <v>6138900</v>
      </c>
      <c r="AP98" s="21">
        <v>4932200</v>
      </c>
      <c r="AQ98" s="21">
        <v>5371000</v>
      </c>
      <c r="AR98" s="21">
        <v>5688000</v>
      </c>
      <c r="AS98" s="21">
        <v>4724200</v>
      </c>
      <c r="AT98" s="21">
        <v>5952200</v>
      </c>
      <c r="AU98" s="21">
        <v>5391500</v>
      </c>
      <c r="AV98" s="21">
        <v>10577300</v>
      </c>
      <c r="AW98" s="21">
        <v>7865100</v>
      </c>
      <c r="AX98" s="21">
        <v>6782700</v>
      </c>
      <c r="AY98" s="21">
        <v>10479300</v>
      </c>
      <c r="AZ98" s="21">
        <v>5108300</v>
      </c>
      <c r="BA98" s="21">
        <v>7807500</v>
      </c>
      <c r="BB98" s="21">
        <v>7176100</v>
      </c>
      <c r="BC98" s="21">
        <v>6773900</v>
      </c>
      <c r="BD98" s="21">
        <v>5269400</v>
      </c>
      <c r="BE98" s="21">
        <v>10576800</v>
      </c>
      <c r="BF98" s="21">
        <v>15257100</v>
      </c>
      <c r="BG98" s="21">
        <v>27241500</v>
      </c>
      <c r="BH98" s="21">
        <v>5823200</v>
      </c>
      <c r="BI98" s="21">
        <v>7365700</v>
      </c>
      <c r="BJ98" s="21">
        <v>7575100</v>
      </c>
      <c r="BK98" s="21">
        <v>10686600</v>
      </c>
      <c r="BL98" s="21">
        <v>4518500</v>
      </c>
      <c r="BM98" s="1">
        <v>7575100</v>
      </c>
      <c r="BN98" s="1">
        <v>6184100</v>
      </c>
      <c r="BO98" s="1">
        <v>5186600</v>
      </c>
      <c r="BP98" s="1">
        <v>3611200</v>
      </c>
      <c r="BQ98" s="1">
        <v>6537700</v>
      </c>
      <c r="BR98" s="1">
        <v>4788500</v>
      </c>
      <c r="BS98" s="1">
        <v>5791800</v>
      </c>
      <c r="BT98" s="1">
        <v>6322400</v>
      </c>
      <c r="BU98" s="1">
        <v>4825800</v>
      </c>
      <c r="BV98" s="1">
        <v>4911100</v>
      </c>
      <c r="BW98" s="1">
        <v>8840100</v>
      </c>
      <c r="BX98" s="1">
        <v>5158600</v>
      </c>
      <c r="BY98" s="1">
        <v>5745100</v>
      </c>
      <c r="BZ98" s="1">
        <v>9622300</v>
      </c>
    </row>
    <row r="99" spans="1:78" ht="15.9" customHeight="1">
      <c r="A99" s="393" t="s">
        <v>193</v>
      </c>
      <c r="B99" s="46" t="s">
        <v>194</v>
      </c>
      <c r="C99" s="50">
        <f>_xll.RssMarket("4523","出来高")</f>
        <v>971300</v>
      </c>
      <c r="D99" s="202">
        <f t="shared" si="1"/>
        <v>-835400</v>
      </c>
      <c r="E99" s="200">
        <v>1806700</v>
      </c>
      <c r="F99" s="21">
        <v>2274700</v>
      </c>
      <c r="G99" s="21">
        <v>2497600</v>
      </c>
      <c r="H99" s="21">
        <v>2428300</v>
      </c>
      <c r="I99" s="21">
        <v>3429200</v>
      </c>
      <c r="J99" s="21">
        <v>1836300</v>
      </c>
      <c r="K99" s="21">
        <v>2045100</v>
      </c>
      <c r="L99" s="21">
        <v>1441600</v>
      </c>
      <c r="M99" s="21">
        <v>1202400</v>
      </c>
      <c r="N99" s="21">
        <v>1564000</v>
      </c>
      <c r="O99" s="21">
        <v>1884600</v>
      </c>
      <c r="P99" s="21">
        <v>1934700</v>
      </c>
      <c r="Q99" s="21">
        <v>1765700</v>
      </c>
      <c r="R99" s="21">
        <v>2570300</v>
      </c>
      <c r="S99" s="21">
        <v>1196800</v>
      </c>
      <c r="T99" s="21">
        <v>1513100</v>
      </c>
      <c r="U99" s="21">
        <v>1640200</v>
      </c>
      <c r="V99" s="21">
        <v>1395300</v>
      </c>
      <c r="W99" s="21">
        <v>1633400</v>
      </c>
      <c r="X99" s="21">
        <v>1289000</v>
      </c>
      <c r="Y99" s="21">
        <v>1598200</v>
      </c>
      <c r="Z99" s="21">
        <v>1778100</v>
      </c>
      <c r="AA99" s="21">
        <v>1072700</v>
      </c>
      <c r="AB99" s="21">
        <v>1818900</v>
      </c>
      <c r="AC99" s="21">
        <v>4170300</v>
      </c>
      <c r="AD99" s="21">
        <v>1620500</v>
      </c>
      <c r="AE99" s="21">
        <v>1437000</v>
      </c>
      <c r="AF99" s="21">
        <v>1345500</v>
      </c>
      <c r="AG99" s="21">
        <v>1736100</v>
      </c>
      <c r="AH99" s="21">
        <v>1395000</v>
      </c>
      <c r="AI99" s="21">
        <v>2438200</v>
      </c>
      <c r="AJ99" s="21">
        <v>2448700</v>
      </c>
      <c r="AK99" s="21">
        <v>1988700</v>
      </c>
      <c r="AL99" s="21">
        <v>1702600</v>
      </c>
      <c r="AM99" s="21">
        <v>1728800</v>
      </c>
      <c r="AN99" s="21">
        <v>1735600</v>
      </c>
      <c r="AO99" s="21">
        <v>1960900</v>
      </c>
      <c r="AP99" s="21">
        <v>1955700</v>
      </c>
      <c r="AQ99" s="21">
        <v>1696200</v>
      </c>
      <c r="AR99" s="21">
        <v>1769400</v>
      </c>
      <c r="AS99" s="21">
        <v>1753400</v>
      </c>
      <c r="AT99" s="21">
        <v>2179400</v>
      </c>
      <c r="AU99" s="21">
        <v>2323400</v>
      </c>
      <c r="AV99" s="21">
        <v>3394200</v>
      </c>
      <c r="AW99" s="21">
        <v>2698800</v>
      </c>
      <c r="AX99" s="21">
        <v>2164800</v>
      </c>
      <c r="AY99" s="21">
        <v>1783500</v>
      </c>
      <c r="AZ99" s="21">
        <v>2045300</v>
      </c>
      <c r="BA99" s="21">
        <v>1851200</v>
      </c>
      <c r="BB99" s="21">
        <v>2678300</v>
      </c>
      <c r="BC99" s="21">
        <v>1727000</v>
      </c>
      <c r="BD99" s="21">
        <v>2716800</v>
      </c>
      <c r="BE99" s="21">
        <v>1652100</v>
      </c>
      <c r="BF99" s="21">
        <v>1216700</v>
      </c>
      <c r="BG99" s="21">
        <v>1116100</v>
      </c>
      <c r="BH99" s="21">
        <v>964500</v>
      </c>
      <c r="BI99" s="21">
        <v>1495000</v>
      </c>
      <c r="BJ99" s="21">
        <v>1542100</v>
      </c>
      <c r="BK99" s="21">
        <v>1336600</v>
      </c>
      <c r="BL99" s="21">
        <v>875000</v>
      </c>
      <c r="BM99" s="1">
        <v>1690500</v>
      </c>
      <c r="BN99" s="1">
        <v>1147300</v>
      </c>
      <c r="BO99" s="1">
        <v>1335800</v>
      </c>
      <c r="BP99" s="1">
        <v>727400</v>
      </c>
      <c r="BQ99" s="1">
        <v>861600</v>
      </c>
      <c r="BR99" s="1">
        <v>1188600</v>
      </c>
      <c r="BS99" s="1">
        <v>843600</v>
      </c>
      <c r="BT99" s="1">
        <v>763000</v>
      </c>
      <c r="BU99" s="1">
        <v>812800</v>
      </c>
      <c r="BV99" s="1">
        <v>776700</v>
      </c>
      <c r="BW99" s="1">
        <v>1180400</v>
      </c>
      <c r="BX99" s="1">
        <v>1069000</v>
      </c>
      <c r="BY99" s="1">
        <v>899900</v>
      </c>
      <c r="BZ99" s="1">
        <v>1367700</v>
      </c>
    </row>
    <row r="100" spans="1:78" ht="15.9" customHeight="1">
      <c r="A100" s="393" t="s">
        <v>195</v>
      </c>
      <c r="B100" s="46" t="s">
        <v>196</v>
      </c>
      <c r="C100" s="50">
        <f>_xll.RssMarket("4528","出来高")</f>
        <v>723300</v>
      </c>
      <c r="D100" s="202">
        <f t="shared" si="1"/>
        <v>-1324300</v>
      </c>
      <c r="E100" s="200">
        <v>2047600</v>
      </c>
      <c r="F100" s="21">
        <v>1775600</v>
      </c>
      <c r="G100" s="21">
        <v>3274400</v>
      </c>
      <c r="H100" s="21">
        <v>1852100</v>
      </c>
      <c r="I100" s="21">
        <v>2326700</v>
      </c>
      <c r="J100" s="21">
        <v>1462400</v>
      </c>
      <c r="K100" s="21">
        <v>1568600</v>
      </c>
      <c r="L100" s="21"/>
      <c r="M100" s="21">
        <v>1081400</v>
      </c>
      <c r="N100" s="21">
        <v>1236400</v>
      </c>
      <c r="O100" s="21">
        <v>1492300</v>
      </c>
      <c r="P100" s="21">
        <v>2057200</v>
      </c>
      <c r="Q100" s="21">
        <v>1516100</v>
      </c>
      <c r="R100" s="21">
        <v>1327200</v>
      </c>
      <c r="S100" s="21">
        <v>1072800</v>
      </c>
      <c r="T100" s="21">
        <v>1422400</v>
      </c>
      <c r="U100" s="21">
        <v>1131700</v>
      </c>
      <c r="V100" s="21">
        <v>1453500</v>
      </c>
      <c r="W100" s="21">
        <v>1280500</v>
      </c>
      <c r="X100" s="21">
        <v>1202300</v>
      </c>
      <c r="Y100" s="21">
        <v>1067000</v>
      </c>
      <c r="Z100" s="21">
        <v>1440100</v>
      </c>
      <c r="AA100" s="21">
        <v>1547900</v>
      </c>
      <c r="AB100" s="21">
        <v>1925000</v>
      </c>
      <c r="AC100" s="21">
        <v>1926200</v>
      </c>
      <c r="AD100" s="21">
        <v>1384000</v>
      </c>
      <c r="AE100" s="21">
        <v>1145000</v>
      </c>
      <c r="AF100" s="21">
        <v>1427500</v>
      </c>
      <c r="AG100" s="21">
        <v>1735400</v>
      </c>
      <c r="AH100" s="21">
        <v>1832500</v>
      </c>
      <c r="AI100" s="21">
        <v>2238300</v>
      </c>
      <c r="AJ100" s="21">
        <v>1411600</v>
      </c>
      <c r="AK100" s="21">
        <v>1121900</v>
      </c>
      <c r="AL100" s="21">
        <v>1555000</v>
      </c>
      <c r="AM100" s="21">
        <v>1880800</v>
      </c>
      <c r="AN100" s="21">
        <v>1938800</v>
      </c>
      <c r="AO100" s="21">
        <v>1702500</v>
      </c>
      <c r="AP100" s="21">
        <v>1727700</v>
      </c>
      <c r="AQ100" s="21">
        <v>1828100</v>
      </c>
      <c r="AR100" s="21">
        <v>1647400</v>
      </c>
      <c r="AS100" s="21">
        <v>2306700</v>
      </c>
      <c r="AT100" s="21">
        <v>3190200</v>
      </c>
      <c r="AU100" s="21">
        <v>2742900</v>
      </c>
      <c r="AV100" s="21">
        <v>1997700</v>
      </c>
      <c r="AW100" s="21">
        <v>1638000</v>
      </c>
      <c r="AX100" s="21">
        <v>2270800</v>
      </c>
      <c r="AY100" s="21">
        <v>1470700</v>
      </c>
      <c r="AZ100" s="21">
        <v>2447800</v>
      </c>
      <c r="BA100" s="21">
        <v>1856600</v>
      </c>
      <c r="BB100" s="21">
        <v>1860400</v>
      </c>
      <c r="BC100" s="21">
        <v>1908300</v>
      </c>
      <c r="BD100" s="21">
        <v>1545800</v>
      </c>
      <c r="BE100" s="21">
        <v>1470500</v>
      </c>
      <c r="BF100" s="21">
        <v>1412300</v>
      </c>
      <c r="BG100" s="21">
        <v>2630000</v>
      </c>
      <c r="BH100" s="21">
        <v>1518900</v>
      </c>
      <c r="BI100" s="21">
        <v>2647600</v>
      </c>
      <c r="BJ100" s="21">
        <v>5080800</v>
      </c>
      <c r="BK100" s="21">
        <v>2830800</v>
      </c>
      <c r="BL100" s="21">
        <v>1496900</v>
      </c>
      <c r="BM100" s="1">
        <v>1916700</v>
      </c>
      <c r="BN100" s="1">
        <v>1766800</v>
      </c>
      <c r="BO100" s="1">
        <v>1169200</v>
      </c>
      <c r="BP100" s="1">
        <v>1461100</v>
      </c>
      <c r="BQ100" s="1">
        <v>1770400</v>
      </c>
      <c r="BR100" s="1">
        <v>2105000</v>
      </c>
      <c r="BS100" s="1">
        <v>1464700</v>
      </c>
      <c r="BT100" s="1">
        <v>1318800</v>
      </c>
      <c r="BU100" s="1">
        <v>1886100</v>
      </c>
      <c r="BV100" s="1">
        <v>1465800</v>
      </c>
      <c r="BW100" s="1">
        <v>2050200</v>
      </c>
      <c r="BX100" s="1">
        <v>1496100</v>
      </c>
      <c r="BY100" s="1">
        <v>1207800</v>
      </c>
      <c r="BZ100" s="1">
        <v>1439300</v>
      </c>
    </row>
    <row r="101" spans="1:78" ht="15.9" customHeight="1">
      <c r="A101" s="393" t="s">
        <v>197</v>
      </c>
      <c r="B101" s="46" t="s">
        <v>198</v>
      </c>
      <c r="C101" s="50">
        <f>_xll.RssMarket("4661","出来高")</f>
        <v>4178300</v>
      </c>
      <c r="D101" s="202">
        <f t="shared" si="1"/>
        <v>-3773500</v>
      </c>
      <c r="E101" s="200">
        <v>7951800</v>
      </c>
      <c r="F101" s="21">
        <v>9944700</v>
      </c>
      <c r="G101" s="21">
        <v>21555500</v>
      </c>
      <c r="H101" s="21">
        <v>10626000</v>
      </c>
      <c r="I101" s="21">
        <v>11912800</v>
      </c>
      <c r="J101" s="21">
        <v>8157800</v>
      </c>
      <c r="K101" s="21">
        <v>7732300</v>
      </c>
      <c r="L101" s="21"/>
      <c r="M101" s="21">
        <v>4446600</v>
      </c>
      <c r="N101" s="21">
        <v>8433900</v>
      </c>
      <c r="O101" s="21">
        <v>6534700</v>
      </c>
      <c r="P101" s="21">
        <v>6591600</v>
      </c>
      <c r="Q101" s="21">
        <v>8770200</v>
      </c>
      <c r="R101" s="21">
        <v>11927900</v>
      </c>
      <c r="S101" s="21">
        <v>3837200</v>
      </c>
      <c r="T101" s="21">
        <v>4206100</v>
      </c>
      <c r="U101" s="21">
        <v>4386200</v>
      </c>
      <c r="V101" s="21">
        <v>5529800</v>
      </c>
      <c r="W101" s="21">
        <v>6120900</v>
      </c>
      <c r="X101" s="21">
        <v>4290300</v>
      </c>
      <c r="Y101" s="21">
        <v>4980300</v>
      </c>
      <c r="Z101" s="21">
        <v>4709600</v>
      </c>
      <c r="AA101" s="21">
        <v>4823700</v>
      </c>
      <c r="AB101" s="21">
        <v>4998500</v>
      </c>
      <c r="AC101" s="21">
        <v>7379500</v>
      </c>
      <c r="AD101" s="21">
        <v>4114100</v>
      </c>
      <c r="AE101" s="21">
        <v>5148500</v>
      </c>
      <c r="AF101" s="21">
        <v>6627100</v>
      </c>
      <c r="AG101" s="21">
        <v>6554600</v>
      </c>
      <c r="AH101" s="21">
        <v>4243200</v>
      </c>
      <c r="AI101" s="21">
        <v>7179300</v>
      </c>
      <c r="AJ101" s="21">
        <v>5093300</v>
      </c>
      <c r="AK101" s="21">
        <v>4234100</v>
      </c>
      <c r="AL101" s="21">
        <v>4418000</v>
      </c>
      <c r="AM101" s="21">
        <v>5004700</v>
      </c>
      <c r="AN101" s="21">
        <v>6707300</v>
      </c>
      <c r="AO101" s="21">
        <v>5696300</v>
      </c>
      <c r="AP101" s="21">
        <v>7004500</v>
      </c>
      <c r="AQ101" s="21">
        <v>6141000</v>
      </c>
      <c r="AR101" s="21">
        <v>4043200</v>
      </c>
      <c r="AS101" s="21">
        <v>4070600</v>
      </c>
      <c r="AT101" s="21">
        <v>5882900</v>
      </c>
      <c r="AU101" s="21">
        <v>7497600</v>
      </c>
      <c r="AV101" s="21">
        <v>11732400</v>
      </c>
      <c r="AW101" s="21">
        <v>7737900</v>
      </c>
      <c r="AX101" s="21">
        <v>5631100</v>
      </c>
      <c r="AY101" s="21">
        <v>4427600</v>
      </c>
      <c r="AZ101" s="21">
        <v>5488800</v>
      </c>
      <c r="BA101" s="21">
        <v>7407400</v>
      </c>
      <c r="BB101" s="21">
        <v>5918400</v>
      </c>
      <c r="BC101" s="21">
        <v>6635400</v>
      </c>
      <c r="BD101" s="21">
        <v>5753000</v>
      </c>
      <c r="BE101" s="21">
        <v>4894400</v>
      </c>
      <c r="BF101" s="21">
        <v>5794000</v>
      </c>
      <c r="BG101" s="21">
        <v>5341200</v>
      </c>
      <c r="BH101" s="21">
        <v>4889200</v>
      </c>
      <c r="BI101" s="21">
        <v>6984800</v>
      </c>
      <c r="BJ101" s="21">
        <v>8435400</v>
      </c>
      <c r="BK101" s="21">
        <v>14737900</v>
      </c>
      <c r="BL101" s="21">
        <v>9239000</v>
      </c>
      <c r="BM101" s="1">
        <v>23914700</v>
      </c>
      <c r="BN101" s="1">
        <v>6665100</v>
      </c>
      <c r="BO101" s="1">
        <v>7915300</v>
      </c>
      <c r="BP101" s="1">
        <v>8297100</v>
      </c>
      <c r="BQ101" s="1">
        <v>7872200</v>
      </c>
      <c r="BR101" s="1">
        <v>3559600</v>
      </c>
      <c r="BS101" s="1">
        <v>2835000</v>
      </c>
      <c r="BT101" s="1">
        <v>2678200</v>
      </c>
      <c r="BU101" s="1">
        <v>3100700</v>
      </c>
      <c r="BV101" s="1">
        <v>4044400</v>
      </c>
      <c r="BW101" s="1">
        <v>5357000</v>
      </c>
      <c r="BX101" s="1">
        <v>4294600</v>
      </c>
      <c r="BY101" s="1">
        <v>3406300</v>
      </c>
      <c r="BZ101" s="1">
        <v>4662900</v>
      </c>
    </row>
    <row r="102" spans="1:78" ht="15.9" customHeight="1">
      <c r="A102" s="393" t="s">
        <v>199</v>
      </c>
      <c r="B102" s="46" t="s">
        <v>200</v>
      </c>
      <c r="C102" s="50">
        <f>_xll.RssMarket("5802","出来高")</f>
        <v>22279800</v>
      </c>
      <c r="D102" s="202">
        <f t="shared" si="1"/>
        <v>22279800</v>
      </c>
      <c r="E102" s="200"/>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78" ht="15.9" customHeight="1">
      <c r="A103" s="393" t="s">
        <v>201</v>
      </c>
      <c r="B103" s="46" t="s">
        <v>202</v>
      </c>
      <c r="C103" s="50">
        <f>_xll.RssMarket("5803","出来高")</f>
        <v>37509700</v>
      </c>
      <c r="D103" s="202">
        <f t="shared" si="1"/>
        <v>-16919900</v>
      </c>
      <c r="E103" s="200">
        <v>54429600</v>
      </c>
      <c r="F103" s="21">
        <v>38401200</v>
      </c>
      <c r="G103" s="21">
        <v>73627300</v>
      </c>
      <c r="H103" s="21">
        <v>48318100</v>
      </c>
      <c r="I103" s="21">
        <v>53924500</v>
      </c>
      <c r="J103" s="21">
        <v>39640100</v>
      </c>
      <c r="K103" s="21">
        <v>41066100</v>
      </c>
      <c r="L103" s="21">
        <v>28103100</v>
      </c>
      <c r="M103" s="21">
        <v>31624200</v>
      </c>
      <c r="N103" s="21">
        <v>38205300</v>
      </c>
      <c r="O103" s="21">
        <v>29986600</v>
      </c>
      <c r="P103" s="21">
        <v>47075400</v>
      </c>
      <c r="Q103" s="21">
        <v>32782500</v>
      </c>
      <c r="R103" s="21">
        <v>44664300</v>
      </c>
      <c r="S103" s="21">
        <v>40749200</v>
      </c>
      <c r="T103" s="21">
        <v>42643000</v>
      </c>
      <c r="U103" s="21">
        <v>45092500</v>
      </c>
      <c r="V103" s="21">
        <v>40311200</v>
      </c>
      <c r="W103" s="21">
        <v>35968500</v>
      </c>
      <c r="X103" s="21">
        <v>32123000</v>
      </c>
      <c r="Y103" s="21">
        <v>42677500</v>
      </c>
      <c r="Z103" s="21">
        <v>34213100</v>
      </c>
      <c r="AA103" s="21">
        <v>39659300</v>
      </c>
      <c r="AB103" s="21">
        <v>46151000</v>
      </c>
      <c r="AC103" s="21">
        <v>56572900</v>
      </c>
      <c r="AD103" s="21">
        <v>61307100</v>
      </c>
      <c r="AE103" s="21">
        <v>50848200</v>
      </c>
      <c r="AF103" s="21">
        <v>80829900</v>
      </c>
      <c r="AG103" s="21">
        <v>154230200</v>
      </c>
      <c r="AH103" s="21">
        <v>2675400</v>
      </c>
      <c r="AI103" s="21">
        <v>3131200</v>
      </c>
      <c r="AJ103" s="21">
        <v>48865900</v>
      </c>
      <c r="AK103" s="21">
        <v>35504300</v>
      </c>
      <c r="AL103" s="21">
        <v>68142600</v>
      </c>
      <c r="AM103" s="21">
        <v>37526700</v>
      </c>
      <c r="AN103" s="21">
        <v>45471600</v>
      </c>
      <c r="AO103" s="21">
        <v>51253400</v>
      </c>
      <c r="AP103" s="21">
        <v>54543200</v>
      </c>
      <c r="AQ103" s="21">
        <v>45195300</v>
      </c>
      <c r="AR103" s="21">
        <v>46983000</v>
      </c>
      <c r="AS103" s="21">
        <v>45052400</v>
      </c>
      <c r="AT103" s="21">
        <v>82340200</v>
      </c>
      <c r="AU103" s="21">
        <v>48742800</v>
      </c>
      <c r="AV103" s="21">
        <v>71394000</v>
      </c>
      <c r="AW103" s="21">
        <v>66629900</v>
      </c>
      <c r="AX103" s="21">
        <v>71871700</v>
      </c>
      <c r="AY103" s="21">
        <v>60516700</v>
      </c>
      <c r="AZ103" s="21">
        <v>105386700</v>
      </c>
      <c r="BA103" s="21">
        <v>98432700</v>
      </c>
      <c r="BB103" s="21">
        <v>116069900</v>
      </c>
      <c r="BC103" s="21">
        <v>124339100</v>
      </c>
      <c r="BD103" s="21">
        <v>86555100</v>
      </c>
      <c r="BE103" s="21">
        <v>128904500</v>
      </c>
      <c r="BF103" s="21">
        <v>57118100</v>
      </c>
      <c r="BG103" s="21">
        <v>62691200</v>
      </c>
      <c r="BH103" s="21">
        <v>90480800</v>
      </c>
      <c r="BI103" s="21">
        <v>40738700</v>
      </c>
      <c r="BJ103" s="21">
        <v>43386200</v>
      </c>
      <c r="BK103" s="21">
        <v>49010500</v>
      </c>
      <c r="BL103" s="21">
        <v>28397000</v>
      </c>
      <c r="BM103" s="1">
        <v>39274600</v>
      </c>
      <c r="BN103" s="1">
        <v>46167300</v>
      </c>
      <c r="BO103" s="1">
        <v>52739100</v>
      </c>
      <c r="BP103" s="1">
        <v>40846300</v>
      </c>
      <c r="BQ103" s="1">
        <v>57099000</v>
      </c>
      <c r="BR103" s="1">
        <v>42928800</v>
      </c>
      <c r="BS103" s="1">
        <v>49306000</v>
      </c>
      <c r="BT103" s="1">
        <v>49029200</v>
      </c>
      <c r="BU103" s="1">
        <v>49543600</v>
      </c>
      <c r="BV103" s="1">
        <v>53271700</v>
      </c>
      <c r="BW103" s="1">
        <v>57485900</v>
      </c>
      <c r="BX103" s="1">
        <v>63357200</v>
      </c>
      <c r="BY103" s="1">
        <v>67148400</v>
      </c>
      <c r="BZ103" s="1">
        <v>83540900</v>
      </c>
    </row>
    <row r="104" spans="1:78" ht="15.9" customHeight="1">
      <c r="A104" s="393" t="s">
        <v>203</v>
      </c>
      <c r="B104" s="46" t="s">
        <v>204</v>
      </c>
      <c r="C104" s="50">
        <f>_xll.RssMarket("6178","出来高")</f>
        <v>2014900</v>
      </c>
      <c r="D104" s="202">
        <f t="shared" si="1"/>
        <v>-3085400</v>
      </c>
      <c r="E104" s="200">
        <v>5100300</v>
      </c>
      <c r="F104" s="21">
        <v>5983400</v>
      </c>
      <c r="G104" s="21">
        <v>6692700</v>
      </c>
      <c r="H104" s="21">
        <v>5753000</v>
      </c>
      <c r="I104" s="21">
        <v>6922100</v>
      </c>
      <c r="J104" s="21">
        <v>5153000</v>
      </c>
      <c r="K104" s="21">
        <v>5707000</v>
      </c>
      <c r="L104" s="21">
        <v>6080900</v>
      </c>
      <c r="M104" s="21">
        <v>5502900</v>
      </c>
      <c r="N104" s="21">
        <v>4927400</v>
      </c>
      <c r="O104" s="21">
        <v>5770500</v>
      </c>
      <c r="P104" s="21">
        <v>6553400</v>
      </c>
      <c r="Q104" s="21">
        <v>6605300</v>
      </c>
      <c r="R104" s="21">
        <v>4752500</v>
      </c>
      <c r="S104" s="21">
        <v>4787100</v>
      </c>
      <c r="T104" s="21">
        <v>5427300</v>
      </c>
      <c r="U104" s="21">
        <v>5833800</v>
      </c>
      <c r="V104" s="21">
        <v>6253300</v>
      </c>
      <c r="W104" s="21">
        <v>7757400</v>
      </c>
      <c r="X104" s="21">
        <v>4107100</v>
      </c>
      <c r="Y104" s="21">
        <v>4037800</v>
      </c>
      <c r="Z104" s="21">
        <v>4825100</v>
      </c>
      <c r="AA104" s="21">
        <v>5231700</v>
      </c>
      <c r="AB104" s="21">
        <v>5022600</v>
      </c>
      <c r="AC104" s="21">
        <v>5144000</v>
      </c>
      <c r="AD104" s="21">
        <v>5143200</v>
      </c>
      <c r="AE104" s="21">
        <v>5306200</v>
      </c>
      <c r="AF104" s="21">
        <v>7296900</v>
      </c>
      <c r="AG104" s="21">
        <v>4550200</v>
      </c>
      <c r="AH104" s="21">
        <v>3687900</v>
      </c>
      <c r="AI104" s="21">
        <v>6401400</v>
      </c>
      <c r="AJ104" s="21">
        <v>5385900</v>
      </c>
      <c r="AK104" s="21">
        <v>5707300</v>
      </c>
      <c r="AL104" s="21">
        <v>4930800</v>
      </c>
      <c r="AM104" s="21">
        <v>5298900</v>
      </c>
      <c r="AN104" s="21">
        <v>11509700</v>
      </c>
      <c r="AO104" s="21">
        <v>7369600</v>
      </c>
      <c r="AP104" s="21">
        <v>7432300</v>
      </c>
      <c r="AQ104" s="21">
        <v>5719500</v>
      </c>
      <c r="AR104" s="21">
        <v>4225500</v>
      </c>
      <c r="AS104" s="21">
        <v>5974500</v>
      </c>
      <c r="AT104" s="21">
        <v>6170100</v>
      </c>
      <c r="AU104" s="21">
        <v>5438700</v>
      </c>
      <c r="AV104" s="21">
        <v>12417400</v>
      </c>
      <c r="AW104" s="21">
        <v>23062400</v>
      </c>
      <c r="AX104" s="21">
        <v>6485500</v>
      </c>
      <c r="AY104" s="21">
        <v>6223700</v>
      </c>
      <c r="AZ104" s="21">
        <v>4791000</v>
      </c>
      <c r="BA104" s="21">
        <v>8548200</v>
      </c>
      <c r="BB104" s="21">
        <v>8577200</v>
      </c>
      <c r="BC104" s="21">
        <v>7908500</v>
      </c>
      <c r="BD104" s="21">
        <v>12590600</v>
      </c>
      <c r="BE104" s="21">
        <v>5957200</v>
      </c>
      <c r="BF104" s="21">
        <v>4668100</v>
      </c>
      <c r="BG104" s="21">
        <v>4964600</v>
      </c>
      <c r="BH104" s="21">
        <v>4918200</v>
      </c>
      <c r="BI104" s="21">
        <v>3628400</v>
      </c>
      <c r="BJ104" s="21">
        <v>5490100</v>
      </c>
      <c r="BK104" s="21">
        <v>5991100</v>
      </c>
      <c r="BL104" s="21">
        <v>3642000</v>
      </c>
      <c r="BM104" s="1">
        <v>6341300</v>
      </c>
      <c r="BN104" s="1">
        <v>5140500</v>
      </c>
      <c r="BO104" s="1">
        <v>6389000</v>
      </c>
      <c r="BP104" s="1">
        <v>4120100</v>
      </c>
      <c r="BQ104" s="1">
        <v>6404700</v>
      </c>
      <c r="BR104" s="1">
        <v>4093600</v>
      </c>
      <c r="BS104" s="1">
        <v>4614300</v>
      </c>
      <c r="BT104" s="1">
        <v>3288600</v>
      </c>
      <c r="BU104" s="1">
        <v>4178500</v>
      </c>
      <c r="BV104" s="1">
        <v>3591700</v>
      </c>
      <c r="BW104" s="1">
        <v>3346500</v>
      </c>
      <c r="BX104" s="1">
        <v>3070900</v>
      </c>
      <c r="BY104" s="1">
        <v>2983400</v>
      </c>
      <c r="BZ104" s="1">
        <v>3822400</v>
      </c>
    </row>
    <row r="105" spans="1:78" ht="15.9" customHeight="1">
      <c r="A105" s="393" t="s">
        <v>205</v>
      </c>
      <c r="B105" s="46" t="s">
        <v>206</v>
      </c>
      <c r="C105" s="50">
        <f>_xll.RssMarket("6925","出来高")</f>
        <v>849700</v>
      </c>
      <c r="D105" s="202">
        <f t="shared" si="1"/>
        <v>130500</v>
      </c>
      <c r="E105" s="200">
        <v>719200</v>
      </c>
      <c r="F105" s="21">
        <v>373000</v>
      </c>
      <c r="G105" s="21">
        <v>422400</v>
      </c>
      <c r="H105" s="21">
        <v>400100</v>
      </c>
      <c r="I105" s="21">
        <v>516900</v>
      </c>
      <c r="J105" s="21">
        <v>435600</v>
      </c>
      <c r="K105" s="21">
        <v>256300</v>
      </c>
      <c r="L105" s="21">
        <v>395200</v>
      </c>
      <c r="M105" s="21">
        <v>360600</v>
      </c>
      <c r="N105" s="21">
        <v>338900</v>
      </c>
      <c r="O105" s="21">
        <v>376200</v>
      </c>
      <c r="P105" s="21">
        <v>416100</v>
      </c>
      <c r="Q105" s="21">
        <v>317200</v>
      </c>
      <c r="R105" s="21">
        <v>697500</v>
      </c>
      <c r="S105" s="21">
        <v>254100</v>
      </c>
      <c r="T105" s="21">
        <v>460800</v>
      </c>
      <c r="U105" s="21">
        <v>423100</v>
      </c>
      <c r="V105" s="21">
        <v>497700</v>
      </c>
      <c r="W105" s="21">
        <v>432600</v>
      </c>
      <c r="X105" s="21">
        <v>605100</v>
      </c>
      <c r="Y105" s="21">
        <v>534800</v>
      </c>
      <c r="Z105" s="21">
        <v>755100</v>
      </c>
      <c r="AA105" s="21">
        <v>1058100</v>
      </c>
      <c r="AB105" s="21">
        <v>477500</v>
      </c>
      <c r="AC105" s="21">
        <v>349700</v>
      </c>
      <c r="AD105" s="21">
        <v>355600</v>
      </c>
      <c r="AE105" s="21">
        <v>370000</v>
      </c>
      <c r="AF105" s="21">
        <v>451000</v>
      </c>
      <c r="AG105" s="21">
        <v>368600</v>
      </c>
      <c r="AH105" s="21">
        <v>402800</v>
      </c>
      <c r="AI105" s="21">
        <v>580800</v>
      </c>
      <c r="AJ105" s="21">
        <v>573400</v>
      </c>
      <c r="AK105" s="21">
        <v>591100</v>
      </c>
      <c r="AL105" s="21">
        <v>314800</v>
      </c>
      <c r="AM105" s="21">
        <v>473500</v>
      </c>
      <c r="AN105" s="21">
        <v>621800</v>
      </c>
      <c r="AO105" s="21">
        <v>367800</v>
      </c>
      <c r="AP105" s="21">
        <v>360200</v>
      </c>
      <c r="AQ105" s="21">
        <v>439800</v>
      </c>
      <c r="AR105" s="21">
        <v>417200</v>
      </c>
      <c r="AS105" s="21">
        <v>476600</v>
      </c>
      <c r="AT105" s="21">
        <v>666400</v>
      </c>
      <c r="AU105" s="21">
        <v>517700</v>
      </c>
      <c r="AV105" s="21">
        <v>537000</v>
      </c>
      <c r="AW105" s="21">
        <v>482600</v>
      </c>
      <c r="AX105" s="21">
        <v>476700</v>
      </c>
      <c r="AY105" s="21">
        <v>770100</v>
      </c>
      <c r="AZ105" s="21">
        <v>559000</v>
      </c>
      <c r="BA105" s="21">
        <v>1024000</v>
      </c>
      <c r="BB105" s="21">
        <v>495500</v>
      </c>
      <c r="BC105" s="21">
        <v>723700</v>
      </c>
      <c r="BD105" s="21">
        <v>1328700</v>
      </c>
      <c r="BE105" s="21">
        <v>236500</v>
      </c>
      <c r="BF105" s="21">
        <v>482500</v>
      </c>
      <c r="BG105" s="21">
        <v>551700</v>
      </c>
      <c r="BH105" s="21">
        <v>551400</v>
      </c>
      <c r="BI105" s="21">
        <v>449800</v>
      </c>
      <c r="BJ105" s="21">
        <v>515800</v>
      </c>
      <c r="BK105" s="21">
        <v>765000</v>
      </c>
      <c r="BL105" s="21">
        <v>440000</v>
      </c>
      <c r="BM105" s="1">
        <v>1032100</v>
      </c>
      <c r="BN105" s="1">
        <v>1443500</v>
      </c>
      <c r="BO105" s="1">
        <v>382300</v>
      </c>
      <c r="BP105" s="1">
        <v>499300</v>
      </c>
      <c r="BQ105" s="1">
        <v>544700</v>
      </c>
      <c r="BR105" s="1">
        <v>284500</v>
      </c>
      <c r="BS105" s="1">
        <v>229400</v>
      </c>
      <c r="BT105" s="1">
        <v>416600</v>
      </c>
      <c r="BU105" s="1">
        <v>518400</v>
      </c>
      <c r="BV105" s="1">
        <v>209000</v>
      </c>
      <c r="BW105" s="1">
        <v>229500</v>
      </c>
      <c r="BX105" s="1">
        <v>267800</v>
      </c>
      <c r="BY105" s="1">
        <v>199500</v>
      </c>
      <c r="BZ105" s="1">
        <v>298700</v>
      </c>
    </row>
    <row r="106" spans="1:78" ht="15.9" customHeight="1">
      <c r="A106" s="393" t="s">
        <v>207</v>
      </c>
      <c r="B106" s="46" t="s">
        <v>208</v>
      </c>
      <c r="C106" s="50">
        <f>_xll.RssMarket("7021","出来高")</f>
        <v>1300</v>
      </c>
      <c r="D106" s="202">
        <f t="shared" si="1"/>
        <v>500</v>
      </c>
      <c r="E106" s="200">
        <v>800</v>
      </c>
      <c r="F106" s="21">
        <v>800</v>
      </c>
      <c r="G106" s="21">
        <v>1800</v>
      </c>
      <c r="H106" s="21">
        <v>1200</v>
      </c>
      <c r="I106" s="21">
        <v>3000</v>
      </c>
      <c r="J106" s="21">
        <v>500</v>
      </c>
      <c r="K106" s="21">
        <v>2400</v>
      </c>
      <c r="L106" s="21">
        <v>2000</v>
      </c>
      <c r="M106" s="21">
        <v>2000</v>
      </c>
      <c r="N106" s="21">
        <v>900</v>
      </c>
      <c r="O106" s="21">
        <v>1900</v>
      </c>
      <c r="P106" s="21">
        <v>2800</v>
      </c>
      <c r="Q106" s="21">
        <v>1400</v>
      </c>
      <c r="R106" s="21">
        <v>200</v>
      </c>
      <c r="S106" s="21">
        <v>1200</v>
      </c>
      <c r="T106" s="21">
        <v>1800</v>
      </c>
      <c r="U106" s="21">
        <v>800</v>
      </c>
      <c r="V106" s="21">
        <v>1400</v>
      </c>
      <c r="W106" s="21">
        <v>2000</v>
      </c>
      <c r="X106" s="21">
        <v>2600</v>
      </c>
      <c r="Y106" s="21">
        <v>2100</v>
      </c>
      <c r="Z106" s="21">
        <v>600</v>
      </c>
      <c r="AA106" s="21">
        <v>700</v>
      </c>
      <c r="AB106" s="21">
        <v>1100</v>
      </c>
      <c r="AC106" s="21">
        <v>1000</v>
      </c>
      <c r="AD106" s="21">
        <v>900</v>
      </c>
      <c r="AE106" s="21">
        <v>2000</v>
      </c>
      <c r="AF106" s="21">
        <v>400</v>
      </c>
      <c r="AG106" s="21">
        <v>600</v>
      </c>
      <c r="AH106" s="21">
        <v>3500</v>
      </c>
      <c r="AI106" s="21">
        <v>2900</v>
      </c>
      <c r="AJ106" s="21">
        <v>1400</v>
      </c>
      <c r="AK106" s="21">
        <v>800</v>
      </c>
      <c r="AL106" s="21">
        <v>200</v>
      </c>
      <c r="AM106" s="21">
        <v>1100</v>
      </c>
      <c r="AN106" s="21">
        <v>400</v>
      </c>
      <c r="AO106" s="21">
        <v>1400</v>
      </c>
      <c r="AP106" s="21">
        <v>1000</v>
      </c>
      <c r="AQ106" s="21">
        <v>500</v>
      </c>
      <c r="AR106" s="21">
        <v>800</v>
      </c>
      <c r="AS106" s="21">
        <v>2000</v>
      </c>
      <c r="AT106" s="21">
        <v>1700</v>
      </c>
      <c r="AU106" s="21">
        <v>400</v>
      </c>
      <c r="AV106" s="21">
        <v>100</v>
      </c>
      <c r="AW106" s="21">
        <v>100</v>
      </c>
      <c r="AX106" s="21">
        <v>900</v>
      </c>
      <c r="AY106" s="21">
        <v>4000</v>
      </c>
      <c r="AZ106" s="21">
        <v>1400</v>
      </c>
      <c r="BA106" s="21">
        <v>8500</v>
      </c>
      <c r="BB106" s="21">
        <v>4300</v>
      </c>
      <c r="BC106" s="21">
        <v>4000</v>
      </c>
      <c r="BD106" s="21">
        <v>8700</v>
      </c>
      <c r="BE106" s="21">
        <v>11400</v>
      </c>
      <c r="BF106" s="21">
        <v>2100</v>
      </c>
      <c r="BG106" s="21">
        <v>2400</v>
      </c>
      <c r="BH106" s="21">
        <v>2500</v>
      </c>
      <c r="BI106" s="21">
        <v>1700</v>
      </c>
      <c r="BJ106" s="21">
        <v>6300</v>
      </c>
      <c r="BK106" s="21">
        <v>1400</v>
      </c>
      <c r="BL106" s="21">
        <v>1400</v>
      </c>
      <c r="BM106" s="1">
        <v>1700</v>
      </c>
      <c r="BN106" s="1">
        <v>6400</v>
      </c>
      <c r="BO106" s="1">
        <v>1800</v>
      </c>
      <c r="BP106" s="1">
        <v>1700</v>
      </c>
      <c r="BQ106" s="1">
        <v>3900</v>
      </c>
      <c r="BR106" s="1">
        <v>2200</v>
      </c>
      <c r="BS106" s="1">
        <v>1500</v>
      </c>
      <c r="BT106" s="1">
        <v>1900</v>
      </c>
      <c r="BU106" s="1">
        <v>2500</v>
      </c>
      <c r="BV106" s="1">
        <v>2900</v>
      </c>
      <c r="BW106" s="1">
        <v>1400</v>
      </c>
      <c r="BX106" s="1">
        <v>1700</v>
      </c>
      <c r="BY106" s="1">
        <v>1700</v>
      </c>
      <c r="BZ106" s="1">
        <v>1100</v>
      </c>
    </row>
    <row r="107" spans="1:78" ht="15.9" customHeight="1">
      <c r="A107" s="393" t="s">
        <v>209</v>
      </c>
      <c r="B107" s="46" t="s">
        <v>210</v>
      </c>
      <c r="C107" s="50">
        <f>_xll.RssMarket("7729","出来高")</f>
        <v>761100</v>
      </c>
      <c r="D107" s="202">
        <f t="shared" si="1"/>
        <v>176500</v>
      </c>
      <c r="E107" s="200">
        <v>584600</v>
      </c>
      <c r="F107" s="21">
        <v>450200</v>
      </c>
      <c r="G107" s="21">
        <v>703100</v>
      </c>
      <c r="H107" s="21">
        <v>743200</v>
      </c>
      <c r="I107" s="21">
        <v>701800</v>
      </c>
      <c r="J107" s="21">
        <v>726700</v>
      </c>
      <c r="K107" s="21">
        <v>366300</v>
      </c>
      <c r="L107" s="21">
        <v>375800</v>
      </c>
      <c r="M107" s="21">
        <v>329000</v>
      </c>
      <c r="N107" s="21">
        <v>438200</v>
      </c>
      <c r="O107" s="21">
        <v>577200</v>
      </c>
      <c r="P107" s="21">
        <v>660000</v>
      </c>
      <c r="Q107" s="21">
        <v>412600</v>
      </c>
      <c r="R107" s="21">
        <v>427600</v>
      </c>
      <c r="S107" s="21">
        <v>453800</v>
      </c>
      <c r="T107" s="21">
        <v>629800</v>
      </c>
      <c r="U107" s="21">
        <v>380500</v>
      </c>
      <c r="V107" s="21">
        <v>559700</v>
      </c>
      <c r="W107" s="21">
        <v>592300</v>
      </c>
      <c r="X107" s="21">
        <v>589100</v>
      </c>
      <c r="Y107" s="21">
        <v>855300</v>
      </c>
      <c r="Z107" s="21">
        <v>638400</v>
      </c>
      <c r="AA107" s="21">
        <v>522000</v>
      </c>
      <c r="AB107" s="21">
        <v>366500</v>
      </c>
      <c r="AC107" s="21">
        <v>300700</v>
      </c>
      <c r="AD107" s="21">
        <v>319900</v>
      </c>
      <c r="AE107" s="21">
        <v>395500</v>
      </c>
      <c r="AF107" s="21">
        <v>327300</v>
      </c>
      <c r="AG107" s="21">
        <v>349700</v>
      </c>
      <c r="AH107" s="21">
        <v>281300</v>
      </c>
      <c r="AI107" s="21">
        <v>435200</v>
      </c>
      <c r="AJ107" s="21">
        <v>439500</v>
      </c>
      <c r="AK107" s="21">
        <v>346200</v>
      </c>
      <c r="AL107" s="21">
        <v>442100</v>
      </c>
      <c r="AM107" s="21">
        <v>528600</v>
      </c>
      <c r="AN107" s="21">
        <v>489500</v>
      </c>
      <c r="AO107" s="21">
        <v>496100</v>
      </c>
      <c r="AP107" s="21">
        <v>585400</v>
      </c>
      <c r="AQ107" s="21">
        <v>396900</v>
      </c>
      <c r="AR107" s="21">
        <v>301700</v>
      </c>
      <c r="AS107" s="21">
        <v>382400</v>
      </c>
      <c r="AT107" s="21">
        <v>552200</v>
      </c>
      <c r="AU107" s="21">
        <v>340100</v>
      </c>
      <c r="AV107" s="21">
        <v>498200</v>
      </c>
      <c r="AW107" s="21">
        <v>315700</v>
      </c>
      <c r="AX107" s="21">
        <v>318800</v>
      </c>
      <c r="AY107" s="21">
        <v>561400</v>
      </c>
      <c r="AZ107" s="21">
        <v>313500</v>
      </c>
      <c r="BA107" s="21">
        <v>380400</v>
      </c>
      <c r="BB107" s="21">
        <v>449600</v>
      </c>
      <c r="BC107" s="21">
        <v>513000</v>
      </c>
      <c r="BD107" s="21">
        <v>366700</v>
      </c>
      <c r="BE107" s="21">
        <v>719700</v>
      </c>
      <c r="BF107" s="21">
        <v>986600</v>
      </c>
      <c r="BG107" s="21">
        <v>434800</v>
      </c>
      <c r="BH107" s="21">
        <v>342100</v>
      </c>
      <c r="BI107" s="21">
        <v>422100</v>
      </c>
      <c r="BJ107" s="21">
        <v>444600</v>
      </c>
      <c r="BK107" s="21">
        <v>477100</v>
      </c>
      <c r="BL107" s="21">
        <v>262400</v>
      </c>
      <c r="BM107" s="1">
        <v>488100</v>
      </c>
      <c r="BN107" s="1">
        <v>409700</v>
      </c>
      <c r="BO107" s="1">
        <v>247100</v>
      </c>
      <c r="BP107" s="1">
        <v>348600</v>
      </c>
      <c r="BQ107" s="1">
        <v>435600</v>
      </c>
      <c r="BR107" s="1">
        <v>429100</v>
      </c>
      <c r="BS107" s="1">
        <v>280600</v>
      </c>
      <c r="BT107" s="1">
        <v>206100</v>
      </c>
      <c r="BU107" s="1">
        <v>214500</v>
      </c>
      <c r="BV107" s="1">
        <v>323600</v>
      </c>
      <c r="BW107" s="1">
        <v>482600</v>
      </c>
      <c r="BX107" s="1">
        <v>339000</v>
      </c>
      <c r="BY107" s="1">
        <v>312400</v>
      </c>
      <c r="BZ107" s="1">
        <v>315600</v>
      </c>
    </row>
    <row r="108" spans="1:78" ht="15.9" customHeight="1">
      <c r="A108" s="393" t="s">
        <v>211</v>
      </c>
      <c r="B108" s="46" t="s">
        <v>212</v>
      </c>
      <c r="C108" s="50">
        <f>_xll.RssMarket("8424","出来高")</f>
        <v>62000</v>
      </c>
      <c r="D108" s="202">
        <f t="shared" si="1"/>
        <v>-186600</v>
      </c>
      <c r="E108" s="200">
        <v>248600</v>
      </c>
      <c r="F108" s="21">
        <v>223200</v>
      </c>
      <c r="G108" s="21">
        <v>384200</v>
      </c>
      <c r="H108" s="21">
        <v>280400</v>
      </c>
      <c r="I108" s="21">
        <v>264100</v>
      </c>
      <c r="J108" s="21">
        <v>181300</v>
      </c>
      <c r="K108" s="21">
        <v>204800</v>
      </c>
      <c r="L108" s="21">
        <v>103000</v>
      </c>
      <c r="M108" s="21">
        <v>129000</v>
      </c>
      <c r="N108" s="21">
        <v>135200</v>
      </c>
      <c r="O108" s="21">
        <v>173900</v>
      </c>
      <c r="P108" s="21">
        <v>157200</v>
      </c>
      <c r="Q108" s="21">
        <v>96800</v>
      </c>
      <c r="R108" s="21">
        <v>113100</v>
      </c>
      <c r="S108" s="21">
        <v>107100</v>
      </c>
      <c r="T108" s="21">
        <v>166400</v>
      </c>
      <c r="U108" s="21">
        <v>163300</v>
      </c>
      <c r="V108" s="21">
        <v>117700</v>
      </c>
      <c r="W108" s="21">
        <v>117200</v>
      </c>
      <c r="X108" s="21">
        <v>402700</v>
      </c>
      <c r="Y108" s="21">
        <v>235000</v>
      </c>
      <c r="Z108" s="21">
        <v>179700</v>
      </c>
      <c r="AA108" s="21">
        <v>123700</v>
      </c>
      <c r="AB108" s="21">
        <v>138300</v>
      </c>
      <c r="AC108" s="21">
        <v>153400</v>
      </c>
      <c r="AD108" s="21">
        <v>163200</v>
      </c>
      <c r="AE108" s="21">
        <v>134200</v>
      </c>
      <c r="AF108" s="21">
        <v>125900</v>
      </c>
      <c r="AG108" s="21">
        <v>179600</v>
      </c>
      <c r="AH108" s="21">
        <v>160000</v>
      </c>
      <c r="AI108" s="21">
        <v>226400</v>
      </c>
      <c r="AJ108" s="21">
        <v>154400</v>
      </c>
      <c r="AK108" s="21">
        <v>168700</v>
      </c>
      <c r="AL108" s="21">
        <v>131100</v>
      </c>
      <c r="AM108" s="21">
        <v>138200</v>
      </c>
      <c r="AN108" s="21">
        <v>188500</v>
      </c>
      <c r="AO108" s="21">
        <v>113400</v>
      </c>
      <c r="AP108" s="21">
        <v>170800</v>
      </c>
      <c r="AQ108" s="21">
        <v>202100</v>
      </c>
      <c r="AR108" s="21">
        <v>174000</v>
      </c>
      <c r="AS108" s="21">
        <v>172100</v>
      </c>
      <c r="AT108" s="21">
        <v>190400</v>
      </c>
      <c r="AU108" s="21">
        <v>143800</v>
      </c>
      <c r="AV108" s="21">
        <v>223700</v>
      </c>
      <c r="AW108" s="21">
        <v>133700</v>
      </c>
      <c r="AX108" s="21">
        <v>190400</v>
      </c>
      <c r="AY108" s="21">
        <v>190600</v>
      </c>
      <c r="AZ108" s="21">
        <v>182400</v>
      </c>
      <c r="BA108" s="21">
        <v>138500</v>
      </c>
      <c r="BB108" s="21">
        <v>149300</v>
      </c>
      <c r="BC108" s="21">
        <v>178900</v>
      </c>
      <c r="BD108" s="21">
        <v>188400</v>
      </c>
      <c r="BE108" s="21">
        <v>186300</v>
      </c>
      <c r="BF108" s="21">
        <v>159900</v>
      </c>
      <c r="BG108" s="21">
        <v>347000</v>
      </c>
      <c r="BH108" s="21">
        <v>379600</v>
      </c>
      <c r="BI108" s="21">
        <v>183900</v>
      </c>
      <c r="BJ108" s="21">
        <v>195500</v>
      </c>
      <c r="BK108" s="21">
        <v>199400</v>
      </c>
      <c r="BL108" s="21">
        <v>202600</v>
      </c>
      <c r="BM108" s="1">
        <v>159800</v>
      </c>
      <c r="BN108" s="1">
        <v>179900</v>
      </c>
      <c r="BO108" s="1">
        <v>132200</v>
      </c>
      <c r="BP108" s="1">
        <v>105100</v>
      </c>
      <c r="BQ108" s="1">
        <v>135300</v>
      </c>
      <c r="BR108" s="1">
        <v>154200</v>
      </c>
      <c r="BS108" s="1">
        <v>122800</v>
      </c>
      <c r="BT108" s="1">
        <v>139400</v>
      </c>
      <c r="BU108" s="1">
        <v>158000</v>
      </c>
      <c r="BV108" s="1">
        <v>159200</v>
      </c>
      <c r="BW108" s="1">
        <v>132100</v>
      </c>
      <c r="BX108" s="1">
        <v>127600</v>
      </c>
      <c r="BY108" s="1">
        <v>147500</v>
      </c>
      <c r="BZ108" s="1">
        <v>185000</v>
      </c>
    </row>
    <row r="109" spans="1:78" ht="15.9" customHeight="1">
      <c r="A109" s="393" t="s">
        <v>213</v>
      </c>
      <c r="B109" s="46" t="s">
        <v>214</v>
      </c>
      <c r="C109" s="50">
        <f>_xll.RssMarket("9020","出来高")</f>
        <v>1737900</v>
      </c>
      <c r="D109" s="202">
        <f t="shared" si="1"/>
        <v>-2613500</v>
      </c>
      <c r="E109" s="200">
        <v>4351400</v>
      </c>
      <c r="F109" s="21">
        <v>6811400</v>
      </c>
      <c r="G109" s="21">
        <v>4152800</v>
      </c>
      <c r="H109" s="21">
        <v>3505800</v>
      </c>
      <c r="I109" s="21">
        <v>4520700</v>
      </c>
      <c r="J109" s="21">
        <v>3772800</v>
      </c>
      <c r="K109" s="21">
        <v>4003600</v>
      </c>
      <c r="L109" s="21">
        <v>2596000</v>
      </c>
      <c r="M109" s="21">
        <v>2337100</v>
      </c>
      <c r="N109" s="21">
        <v>3051700</v>
      </c>
      <c r="O109" s="21">
        <v>4061800</v>
      </c>
      <c r="P109" s="21">
        <v>3173800</v>
      </c>
      <c r="Q109" s="21">
        <v>2791300</v>
      </c>
      <c r="R109" s="21">
        <v>2749800</v>
      </c>
      <c r="S109" s="21">
        <v>2533800</v>
      </c>
      <c r="T109" s="21">
        <v>3108900</v>
      </c>
      <c r="U109" s="21">
        <v>2610500</v>
      </c>
      <c r="V109" s="21">
        <v>2392700</v>
      </c>
      <c r="W109" s="21">
        <v>2685000</v>
      </c>
      <c r="X109" s="21">
        <v>1699000</v>
      </c>
      <c r="Y109" s="21">
        <v>2205300</v>
      </c>
      <c r="Z109" s="21">
        <v>3174500</v>
      </c>
      <c r="AA109" s="21">
        <v>2506800</v>
      </c>
      <c r="AB109" s="21">
        <v>3405000</v>
      </c>
      <c r="AC109" s="21">
        <v>3240000</v>
      </c>
      <c r="AD109" s="21">
        <v>1957000</v>
      </c>
      <c r="AE109" s="21">
        <v>1989500</v>
      </c>
      <c r="AF109" s="21">
        <v>2475400</v>
      </c>
      <c r="AG109" s="21">
        <v>2944600</v>
      </c>
      <c r="AH109" s="21">
        <v>2438900</v>
      </c>
      <c r="AI109" s="21">
        <v>6408600</v>
      </c>
      <c r="AJ109" s="21">
        <v>3116600</v>
      </c>
      <c r="AK109" s="21">
        <v>2698700</v>
      </c>
      <c r="AL109" s="21">
        <v>2510800</v>
      </c>
      <c r="AM109" s="21">
        <v>2912600</v>
      </c>
      <c r="AN109" s="21">
        <v>3564300</v>
      </c>
      <c r="AO109" s="21">
        <v>5537400</v>
      </c>
      <c r="AP109" s="21">
        <v>3237900</v>
      </c>
      <c r="AQ109" s="21">
        <v>3307600</v>
      </c>
      <c r="AR109" s="21">
        <v>5454000</v>
      </c>
      <c r="AS109" s="21">
        <v>3704900</v>
      </c>
      <c r="AT109" s="21">
        <v>4419400</v>
      </c>
      <c r="AU109" s="21">
        <v>2977100</v>
      </c>
      <c r="AV109" s="21">
        <v>6800400</v>
      </c>
      <c r="AW109" s="21">
        <v>4076100</v>
      </c>
      <c r="AX109" s="21">
        <v>3600500</v>
      </c>
      <c r="AY109" s="21">
        <v>2398500</v>
      </c>
      <c r="AZ109" s="21">
        <v>3017100</v>
      </c>
      <c r="BA109" s="21">
        <v>2559800</v>
      </c>
      <c r="BB109" s="21">
        <v>2407700</v>
      </c>
      <c r="BC109" s="21">
        <v>2606100</v>
      </c>
      <c r="BD109" s="21">
        <v>2981900</v>
      </c>
      <c r="BE109" s="21">
        <v>5927800</v>
      </c>
      <c r="BF109" s="21">
        <v>2981900</v>
      </c>
      <c r="BG109" s="21">
        <v>3644200</v>
      </c>
      <c r="BH109" s="21">
        <v>3630000</v>
      </c>
      <c r="BI109" s="21">
        <v>3352900</v>
      </c>
      <c r="BJ109" s="21">
        <v>6176200</v>
      </c>
      <c r="BK109" s="21">
        <v>6540600</v>
      </c>
      <c r="BL109" s="21">
        <v>8824700</v>
      </c>
      <c r="BM109" s="1">
        <v>7890400</v>
      </c>
      <c r="BN109" s="1">
        <v>2637900</v>
      </c>
      <c r="BO109" s="1">
        <v>2458400</v>
      </c>
      <c r="BP109" s="1">
        <v>2823300</v>
      </c>
      <c r="BQ109" s="1">
        <v>2867300</v>
      </c>
      <c r="BR109" s="1">
        <v>2783900</v>
      </c>
      <c r="BS109" s="1">
        <v>3282400</v>
      </c>
      <c r="BT109" s="1">
        <v>2200200</v>
      </c>
      <c r="BU109" s="1">
        <v>2905800</v>
      </c>
      <c r="BV109" s="1">
        <v>2488400</v>
      </c>
      <c r="BW109" s="1">
        <v>2776800</v>
      </c>
      <c r="BX109" s="1">
        <v>2934700</v>
      </c>
      <c r="BY109" s="1">
        <v>2494800</v>
      </c>
      <c r="BZ109" s="1">
        <v>2557100</v>
      </c>
    </row>
    <row r="110" spans="1:78" ht="15.9" customHeight="1">
      <c r="A110" s="393" t="s">
        <v>215</v>
      </c>
      <c r="B110" s="46" t="s">
        <v>216</v>
      </c>
      <c r="C110" s="50">
        <f>_xll.RssMarket("9069","出来高")</f>
        <v>206400</v>
      </c>
      <c r="D110" s="202">
        <f t="shared" si="1"/>
        <v>-310200</v>
      </c>
      <c r="E110" s="200">
        <v>516600</v>
      </c>
      <c r="F110" s="21">
        <v>719200</v>
      </c>
      <c r="G110" s="21">
        <v>327600</v>
      </c>
      <c r="H110" s="21">
        <v>435600</v>
      </c>
      <c r="I110" s="21">
        <v>515200</v>
      </c>
      <c r="J110" s="21">
        <v>310600</v>
      </c>
      <c r="K110" s="21">
        <v>331400</v>
      </c>
      <c r="L110" s="21">
        <v>289900</v>
      </c>
      <c r="M110" s="21">
        <v>273300</v>
      </c>
      <c r="N110" s="21">
        <v>240500</v>
      </c>
      <c r="O110" s="21">
        <v>449900</v>
      </c>
      <c r="P110" s="21">
        <v>512900</v>
      </c>
      <c r="Q110" s="21">
        <v>246500</v>
      </c>
      <c r="R110" s="21">
        <v>482200</v>
      </c>
      <c r="S110" s="21">
        <v>415400</v>
      </c>
      <c r="T110" s="21">
        <v>487200</v>
      </c>
      <c r="U110" s="21">
        <v>456200</v>
      </c>
      <c r="V110" s="21">
        <v>391000</v>
      </c>
      <c r="W110" s="21">
        <v>373000</v>
      </c>
      <c r="X110" s="21">
        <v>255600</v>
      </c>
      <c r="Y110" s="21">
        <v>425000</v>
      </c>
      <c r="Z110" s="21">
        <v>513500</v>
      </c>
      <c r="AA110" s="21">
        <v>319200</v>
      </c>
      <c r="AB110" s="21">
        <v>365200</v>
      </c>
      <c r="AC110" s="21">
        <v>301500</v>
      </c>
      <c r="AD110" s="21">
        <v>268000</v>
      </c>
      <c r="AE110" s="21">
        <v>250700</v>
      </c>
      <c r="AF110" s="21">
        <v>301300</v>
      </c>
      <c r="AG110" s="21">
        <v>388200</v>
      </c>
      <c r="AH110" s="21">
        <v>240700</v>
      </c>
      <c r="AI110" s="21">
        <v>534100</v>
      </c>
      <c r="AJ110" s="21">
        <v>306700</v>
      </c>
      <c r="AK110" s="21">
        <v>267400</v>
      </c>
      <c r="AL110" s="21">
        <v>245600</v>
      </c>
      <c r="AM110" s="21">
        <v>524100</v>
      </c>
      <c r="AN110" s="21">
        <v>412100</v>
      </c>
      <c r="AO110" s="21">
        <v>409500</v>
      </c>
      <c r="AP110" s="21">
        <v>301300</v>
      </c>
      <c r="AQ110" s="21">
        <v>809400</v>
      </c>
      <c r="AR110" s="21">
        <v>431500</v>
      </c>
      <c r="AS110" s="21">
        <v>417900</v>
      </c>
      <c r="AT110" s="21">
        <v>523600</v>
      </c>
      <c r="AU110" s="21">
        <v>378500</v>
      </c>
      <c r="AV110" s="21">
        <v>628300</v>
      </c>
      <c r="AW110" s="21">
        <v>483000</v>
      </c>
      <c r="AX110" s="21">
        <v>563200</v>
      </c>
      <c r="AY110" s="21">
        <v>430700</v>
      </c>
      <c r="AZ110" s="21">
        <v>399300</v>
      </c>
      <c r="BA110" s="21">
        <v>247700</v>
      </c>
      <c r="BB110" s="21">
        <v>302700</v>
      </c>
      <c r="BC110" s="21">
        <v>289700</v>
      </c>
      <c r="BD110" s="21">
        <v>330000</v>
      </c>
      <c r="BE110" s="21">
        <v>501900</v>
      </c>
      <c r="BF110" s="21">
        <v>701300</v>
      </c>
      <c r="BG110" s="21">
        <v>303600</v>
      </c>
      <c r="BH110" s="21">
        <v>477800</v>
      </c>
      <c r="BI110" s="21">
        <v>229500</v>
      </c>
      <c r="BJ110" s="21">
        <v>336500</v>
      </c>
      <c r="BK110" s="21">
        <v>375900</v>
      </c>
      <c r="BL110" s="21">
        <v>269100</v>
      </c>
      <c r="BM110" s="1">
        <v>336800</v>
      </c>
      <c r="BN110" s="1">
        <v>328700</v>
      </c>
      <c r="BO110" s="1">
        <v>282600</v>
      </c>
      <c r="BP110" s="1">
        <v>297500</v>
      </c>
      <c r="BQ110" s="1">
        <v>396000</v>
      </c>
      <c r="BR110" s="1">
        <v>289000</v>
      </c>
      <c r="BS110" s="1">
        <v>318100</v>
      </c>
      <c r="BT110" s="1">
        <v>257000</v>
      </c>
      <c r="BU110" s="1">
        <v>166000</v>
      </c>
      <c r="BV110" s="1">
        <v>430100</v>
      </c>
      <c r="BW110" s="1">
        <v>281300</v>
      </c>
      <c r="BX110" s="1">
        <v>201500</v>
      </c>
      <c r="BY110" s="1">
        <v>172400</v>
      </c>
      <c r="BZ110" s="1">
        <v>239900</v>
      </c>
    </row>
    <row r="111" spans="1:78" ht="15.9" customHeight="1">
      <c r="A111" s="393" t="s">
        <v>217</v>
      </c>
      <c r="B111" s="46" t="s">
        <v>218</v>
      </c>
      <c r="C111" s="50">
        <f>_xll.RssMarket("9227","出来高")</f>
        <v>136200</v>
      </c>
      <c r="D111" s="202">
        <f t="shared" si="1"/>
        <v>-89500</v>
      </c>
      <c r="E111" s="200">
        <v>225700</v>
      </c>
      <c r="F111" s="21">
        <v>173600</v>
      </c>
      <c r="G111" s="21">
        <v>556200</v>
      </c>
      <c r="H111" s="21">
        <v>2260700</v>
      </c>
      <c r="I111" s="21">
        <v>3410400</v>
      </c>
      <c r="J111" s="21">
        <v>101600</v>
      </c>
      <c r="K111" s="21">
        <v>70200</v>
      </c>
      <c r="L111" s="21"/>
      <c r="M111" s="21">
        <v>150100</v>
      </c>
      <c r="N111" s="21">
        <v>109900</v>
      </c>
      <c r="O111" s="21">
        <v>110500</v>
      </c>
      <c r="P111" s="21">
        <v>361300</v>
      </c>
      <c r="Q111" s="21">
        <v>109500</v>
      </c>
      <c r="R111" s="21">
        <v>108900</v>
      </c>
      <c r="S111" s="21">
        <v>189300</v>
      </c>
      <c r="T111" s="21">
        <v>76500</v>
      </c>
      <c r="U111" s="21">
        <v>207500</v>
      </c>
      <c r="V111" s="21">
        <v>113500</v>
      </c>
      <c r="W111" s="21">
        <v>167700</v>
      </c>
      <c r="X111" s="21">
        <v>106000</v>
      </c>
      <c r="Y111" s="21">
        <v>89400</v>
      </c>
      <c r="Z111" s="21">
        <v>150400</v>
      </c>
      <c r="AA111" s="21">
        <v>333600</v>
      </c>
      <c r="AB111" s="21">
        <v>115900</v>
      </c>
      <c r="AC111" s="21">
        <v>90300</v>
      </c>
      <c r="AD111" s="21">
        <v>96500</v>
      </c>
      <c r="AE111" s="21">
        <v>61500</v>
      </c>
      <c r="AF111" s="21">
        <v>71800</v>
      </c>
      <c r="AG111" s="21">
        <v>199600</v>
      </c>
      <c r="AH111" s="21">
        <v>276300</v>
      </c>
      <c r="AI111" s="21">
        <v>120100</v>
      </c>
      <c r="AJ111" s="21">
        <v>157900</v>
      </c>
      <c r="AK111" s="21">
        <v>110100</v>
      </c>
      <c r="AL111" s="21">
        <v>172200</v>
      </c>
      <c r="AM111" s="21">
        <v>245600</v>
      </c>
      <c r="AN111" s="21">
        <v>127600</v>
      </c>
      <c r="AO111" s="21">
        <v>177100</v>
      </c>
      <c r="AP111" s="21">
        <v>302700</v>
      </c>
      <c r="AQ111" s="21">
        <v>208700</v>
      </c>
      <c r="AR111" s="21">
        <v>254400</v>
      </c>
      <c r="AS111" s="21">
        <v>224700</v>
      </c>
      <c r="AT111" s="21">
        <v>307300</v>
      </c>
      <c r="AU111" s="21">
        <v>635100</v>
      </c>
      <c r="AV111" s="21">
        <v>805900</v>
      </c>
      <c r="AW111" s="21">
        <v>1982000</v>
      </c>
      <c r="AX111" s="21">
        <v>9484400</v>
      </c>
      <c r="AY111" s="21">
        <v>88200</v>
      </c>
      <c r="AZ111" s="21">
        <v>63400</v>
      </c>
      <c r="BA111" s="21">
        <v>225200</v>
      </c>
      <c r="BB111" s="21">
        <v>284600</v>
      </c>
      <c r="BC111" s="21">
        <v>305200</v>
      </c>
      <c r="BD111" s="21">
        <v>231200</v>
      </c>
      <c r="BE111" s="21">
        <v>356600</v>
      </c>
      <c r="BF111" s="21">
        <v>590800</v>
      </c>
      <c r="BG111" s="21">
        <v>485500</v>
      </c>
      <c r="BH111" s="21">
        <v>198900</v>
      </c>
      <c r="BI111" s="21">
        <v>226800</v>
      </c>
      <c r="BJ111" s="21">
        <v>170900</v>
      </c>
      <c r="BK111" s="21">
        <v>183500</v>
      </c>
      <c r="BL111" s="21">
        <v>159400</v>
      </c>
      <c r="BM111" s="1">
        <v>342000</v>
      </c>
      <c r="BN111" s="1">
        <v>350400</v>
      </c>
      <c r="BO111" s="1">
        <v>216200</v>
      </c>
      <c r="BP111" s="1">
        <v>250100</v>
      </c>
      <c r="BQ111" s="1">
        <v>363200</v>
      </c>
      <c r="BR111" s="1">
        <v>515300</v>
      </c>
      <c r="BS111" s="1">
        <v>1492800</v>
      </c>
      <c r="BT111" s="1">
        <v>2568000</v>
      </c>
      <c r="BU111" s="1">
        <v>297900</v>
      </c>
      <c r="BV111" s="1">
        <v>326300</v>
      </c>
      <c r="BW111" s="1">
        <v>288300</v>
      </c>
      <c r="BX111" s="1">
        <v>324800</v>
      </c>
      <c r="BY111" s="1">
        <v>240800</v>
      </c>
      <c r="BZ111" s="1">
        <v>216700</v>
      </c>
    </row>
    <row r="112" spans="1:78" ht="15.9" customHeight="1">
      <c r="A112" s="393" t="s">
        <v>219</v>
      </c>
      <c r="B112" s="46" t="s">
        <v>220</v>
      </c>
      <c r="C112" s="50">
        <f>_xll.RssMarket("9348","出来高")</f>
        <v>702600</v>
      </c>
      <c r="D112" s="202">
        <f t="shared" si="1"/>
        <v>-145200</v>
      </c>
      <c r="E112" s="200">
        <v>847800</v>
      </c>
      <c r="F112" s="21">
        <v>1037600</v>
      </c>
      <c r="G112" s="21">
        <v>874400</v>
      </c>
      <c r="H112" s="21">
        <v>1371900</v>
      </c>
      <c r="I112" s="21">
        <v>2239300</v>
      </c>
      <c r="J112" s="21">
        <v>1579200</v>
      </c>
      <c r="K112" s="21">
        <v>758100</v>
      </c>
      <c r="L112" s="21"/>
      <c r="M112" s="21">
        <v>475400</v>
      </c>
      <c r="N112" s="21">
        <v>986000</v>
      </c>
      <c r="O112" s="21">
        <v>1182700</v>
      </c>
      <c r="P112" s="21">
        <v>2870000</v>
      </c>
      <c r="Q112" s="21">
        <v>1448100</v>
      </c>
      <c r="R112" s="21">
        <v>1212100</v>
      </c>
      <c r="S112" s="21">
        <v>3276000</v>
      </c>
      <c r="T112" s="21">
        <v>9789000</v>
      </c>
      <c r="U112" s="21">
        <v>614000</v>
      </c>
      <c r="V112" s="21">
        <v>1523300</v>
      </c>
      <c r="W112" s="21">
        <v>867300</v>
      </c>
      <c r="X112" s="21">
        <v>633200</v>
      </c>
      <c r="Y112" s="21">
        <v>1117200</v>
      </c>
      <c r="Z112" s="21">
        <v>942700</v>
      </c>
      <c r="AA112" s="21">
        <v>961200</v>
      </c>
      <c r="AB112" s="21">
        <v>1197900</v>
      </c>
      <c r="AC112" s="21">
        <v>933500</v>
      </c>
      <c r="AD112" s="21">
        <v>1457500</v>
      </c>
      <c r="AE112" s="21">
        <v>1141100</v>
      </c>
      <c r="AF112" s="21">
        <v>1025800</v>
      </c>
      <c r="AG112" s="21">
        <v>2021300</v>
      </c>
      <c r="AH112" s="21">
        <v>2163100</v>
      </c>
      <c r="AI112" s="21">
        <v>6756700</v>
      </c>
      <c r="AJ112" s="21">
        <v>1762100</v>
      </c>
      <c r="AK112" s="21">
        <v>2625000</v>
      </c>
      <c r="AL112" s="21">
        <v>4609200</v>
      </c>
      <c r="AM112" s="21">
        <v>4673400</v>
      </c>
      <c r="AN112" s="21">
        <v>4442300</v>
      </c>
      <c r="AO112" s="21">
        <v>1601000</v>
      </c>
      <c r="AP112" s="21">
        <v>1418700</v>
      </c>
      <c r="AQ112" s="21">
        <v>2424700</v>
      </c>
      <c r="AR112" s="21">
        <v>5247100</v>
      </c>
      <c r="AS112" s="21">
        <v>1877000</v>
      </c>
      <c r="AT112" s="21">
        <v>2527200</v>
      </c>
      <c r="AU112" s="21">
        <v>2047800</v>
      </c>
      <c r="AV112" s="21">
        <v>7145100</v>
      </c>
      <c r="AW112" s="21">
        <v>13839800</v>
      </c>
      <c r="AX112" s="21">
        <v>10776300</v>
      </c>
      <c r="AY112" s="21">
        <v>6345000</v>
      </c>
      <c r="AZ112" s="21">
        <v>5129500</v>
      </c>
      <c r="BA112" s="21">
        <v>1631700</v>
      </c>
      <c r="BB112" s="21">
        <v>1799800</v>
      </c>
      <c r="BC112" s="21">
        <v>2449700</v>
      </c>
      <c r="BD112" s="21">
        <v>1024800</v>
      </c>
      <c r="BE112" s="21">
        <v>1245000</v>
      </c>
      <c r="BF112" s="21">
        <v>1244200</v>
      </c>
      <c r="BG112" s="21">
        <v>978400</v>
      </c>
      <c r="BH112" s="21">
        <v>1210600</v>
      </c>
      <c r="BI112" s="21">
        <v>1378000</v>
      </c>
      <c r="BJ112" s="21">
        <v>1372100</v>
      </c>
      <c r="BK112" s="21">
        <v>855400</v>
      </c>
      <c r="BL112" s="21">
        <v>520600</v>
      </c>
      <c r="BM112" s="1">
        <v>553400</v>
      </c>
      <c r="BN112" s="1">
        <v>755900</v>
      </c>
      <c r="BO112" s="1">
        <v>852900</v>
      </c>
      <c r="BP112" s="1">
        <v>768100</v>
      </c>
      <c r="BQ112" s="1">
        <v>1109600</v>
      </c>
      <c r="BR112" s="1">
        <v>954200</v>
      </c>
      <c r="BS112" s="1">
        <v>1690000</v>
      </c>
      <c r="BT112" s="1">
        <v>1327400</v>
      </c>
      <c r="BU112" s="1">
        <v>1316600</v>
      </c>
      <c r="BV112" s="1">
        <v>2116700</v>
      </c>
      <c r="BW112" s="1">
        <v>2529000</v>
      </c>
      <c r="BX112" s="1">
        <v>1710700</v>
      </c>
      <c r="BY112" s="1">
        <v>1815300</v>
      </c>
      <c r="BZ112" s="1">
        <v>6775700</v>
      </c>
    </row>
    <row r="113" spans="1:78" ht="15.9" customHeight="1">
      <c r="A113" s="393" t="s">
        <v>221</v>
      </c>
      <c r="B113" s="46" t="s">
        <v>222</v>
      </c>
      <c r="C113" s="50">
        <f>_xll.RssMarket("9449","出来高")</f>
        <v>182600</v>
      </c>
      <c r="D113" s="202">
        <f t="shared" si="1"/>
        <v>-219100</v>
      </c>
      <c r="E113" s="200">
        <v>401700</v>
      </c>
      <c r="F113" s="21">
        <v>550100</v>
      </c>
      <c r="G113" s="21">
        <v>668000</v>
      </c>
      <c r="H113" s="21">
        <v>1341100</v>
      </c>
      <c r="I113" s="21">
        <v>531600</v>
      </c>
      <c r="J113" s="21">
        <v>698100</v>
      </c>
      <c r="K113" s="21">
        <v>496300</v>
      </c>
      <c r="L113" s="21">
        <v>183300</v>
      </c>
      <c r="M113" s="21">
        <v>317500</v>
      </c>
      <c r="N113" s="21">
        <v>501100</v>
      </c>
      <c r="O113" s="21">
        <v>429700</v>
      </c>
      <c r="P113" s="21">
        <v>409400</v>
      </c>
      <c r="Q113" s="21">
        <v>454900</v>
      </c>
      <c r="R113" s="21">
        <v>530300</v>
      </c>
      <c r="S113" s="21">
        <v>412600</v>
      </c>
      <c r="T113" s="21">
        <v>665200</v>
      </c>
      <c r="U113" s="21">
        <v>498700</v>
      </c>
      <c r="V113" s="21">
        <v>1018700</v>
      </c>
      <c r="W113" s="21">
        <v>364400</v>
      </c>
      <c r="X113" s="21">
        <v>258400</v>
      </c>
      <c r="Y113" s="21">
        <v>362300</v>
      </c>
      <c r="Z113" s="21">
        <v>627300</v>
      </c>
      <c r="AA113" s="21">
        <v>325100</v>
      </c>
      <c r="AB113" s="21">
        <v>364600</v>
      </c>
      <c r="AC113" s="21">
        <v>587500</v>
      </c>
      <c r="AD113" s="21">
        <v>434100</v>
      </c>
      <c r="AE113" s="21">
        <v>295200</v>
      </c>
      <c r="AF113" s="21">
        <v>530800</v>
      </c>
      <c r="AG113" s="21">
        <v>896500</v>
      </c>
      <c r="AH113" s="21">
        <v>1729300</v>
      </c>
      <c r="AI113" s="21">
        <v>618100</v>
      </c>
      <c r="AJ113" s="21">
        <v>310600</v>
      </c>
      <c r="AK113" s="21">
        <v>248200</v>
      </c>
      <c r="AL113" s="21">
        <v>266700</v>
      </c>
      <c r="AM113" s="21">
        <v>233300</v>
      </c>
      <c r="AN113" s="21">
        <v>394800</v>
      </c>
      <c r="AO113" s="21">
        <v>250300</v>
      </c>
      <c r="AP113" s="21">
        <v>259200</v>
      </c>
      <c r="AQ113" s="21">
        <v>357600</v>
      </c>
      <c r="AR113" s="21">
        <v>229500</v>
      </c>
      <c r="AS113" s="21">
        <v>429500</v>
      </c>
      <c r="AT113" s="21">
        <v>487200</v>
      </c>
      <c r="AU113" s="21">
        <v>294600</v>
      </c>
      <c r="AV113" s="21">
        <v>617000</v>
      </c>
      <c r="AW113" s="21">
        <v>310600</v>
      </c>
      <c r="AX113" s="21">
        <v>441900</v>
      </c>
      <c r="AY113" s="21">
        <v>618700</v>
      </c>
      <c r="AZ113" s="21">
        <v>523000</v>
      </c>
      <c r="BA113" s="21">
        <v>308200</v>
      </c>
      <c r="BB113" s="21">
        <v>416700</v>
      </c>
      <c r="BC113" s="21">
        <v>675300</v>
      </c>
      <c r="BD113" s="21">
        <v>678200</v>
      </c>
      <c r="BE113" s="21">
        <v>374700</v>
      </c>
      <c r="BF113" s="21">
        <v>364400</v>
      </c>
      <c r="BG113" s="21">
        <v>282400</v>
      </c>
      <c r="BH113" s="21">
        <v>377400</v>
      </c>
      <c r="BI113" s="21">
        <v>518400</v>
      </c>
      <c r="BJ113" s="21">
        <v>554000</v>
      </c>
      <c r="BK113" s="21">
        <v>462600</v>
      </c>
      <c r="BL113" s="21">
        <v>255800</v>
      </c>
      <c r="BM113" s="1">
        <v>556400</v>
      </c>
      <c r="BN113" s="1">
        <v>368400</v>
      </c>
      <c r="BO113" s="1">
        <v>330600</v>
      </c>
      <c r="BP113" s="1">
        <v>317200</v>
      </c>
      <c r="BQ113" s="1">
        <v>395200</v>
      </c>
      <c r="BR113" s="1">
        <v>352500</v>
      </c>
      <c r="BS113" s="1">
        <v>562900</v>
      </c>
      <c r="BT113" s="1">
        <v>327500</v>
      </c>
      <c r="BU113" s="1">
        <v>430000</v>
      </c>
      <c r="BV113" s="1">
        <v>795500</v>
      </c>
      <c r="BW113" s="1">
        <v>272800</v>
      </c>
      <c r="BX113" s="1">
        <v>319900</v>
      </c>
      <c r="BY113" s="1">
        <v>294700</v>
      </c>
      <c r="BZ113" s="1">
        <v>377600</v>
      </c>
    </row>
    <row r="114" spans="1:78" ht="15.9" customHeight="1">
      <c r="A114" s="393" t="s">
        <v>223</v>
      </c>
      <c r="B114" s="46" t="s">
        <v>224</v>
      </c>
      <c r="C114" s="50">
        <f>_xll.RssMarket("9501","出来高")</f>
        <v>20332400</v>
      </c>
      <c r="D114" s="202">
        <f t="shared" si="1"/>
        <v>-11794000</v>
      </c>
      <c r="E114" s="200">
        <v>32126400</v>
      </c>
      <c r="F114" s="21">
        <v>44444000</v>
      </c>
      <c r="G114" s="21">
        <v>50038100</v>
      </c>
      <c r="H114" s="21">
        <v>61471000</v>
      </c>
      <c r="I114" s="21">
        <v>39840000</v>
      </c>
      <c r="J114" s="21">
        <v>47242300</v>
      </c>
      <c r="K114" s="21">
        <v>35878500</v>
      </c>
      <c r="L114" s="21">
        <v>28624300</v>
      </c>
      <c r="M114" s="21">
        <v>33282800</v>
      </c>
      <c r="N114" s="21">
        <v>29743300</v>
      </c>
      <c r="O114" s="21">
        <v>31471300</v>
      </c>
      <c r="P114" s="21">
        <v>42140900</v>
      </c>
      <c r="Q114" s="21">
        <v>30120600</v>
      </c>
      <c r="R114" s="21">
        <v>41878600</v>
      </c>
      <c r="S114" s="21">
        <v>26889200</v>
      </c>
      <c r="T114" s="21">
        <v>33551800</v>
      </c>
      <c r="U114" s="21">
        <v>33095900</v>
      </c>
      <c r="V114" s="21">
        <v>39644500</v>
      </c>
      <c r="W114" s="21">
        <v>28725500</v>
      </c>
      <c r="X114" s="21">
        <v>24111500</v>
      </c>
      <c r="Y114" s="21">
        <v>29269100</v>
      </c>
      <c r="Z114" s="21">
        <v>24127200</v>
      </c>
      <c r="AA114" s="21">
        <v>35745000</v>
      </c>
      <c r="AB114" s="21">
        <v>26801100</v>
      </c>
      <c r="AC114" s="21">
        <v>27328200</v>
      </c>
      <c r="AD114" s="21">
        <v>46173600</v>
      </c>
      <c r="AE114" s="21">
        <v>37968400</v>
      </c>
      <c r="AF114" s="21">
        <v>58711800</v>
      </c>
      <c r="AG114" s="21">
        <v>43400500</v>
      </c>
      <c r="AH114" s="21">
        <v>73392900</v>
      </c>
      <c r="AI114" s="21">
        <v>36082100</v>
      </c>
      <c r="AJ114" s="21">
        <v>27192100</v>
      </c>
      <c r="AK114" s="21">
        <v>21276700</v>
      </c>
      <c r="AL114" s="21">
        <v>24988500</v>
      </c>
      <c r="AM114" s="21">
        <v>37661900</v>
      </c>
      <c r="AN114" s="21">
        <v>33012400</v>
      </c>
      <c r="AO114" s="21">
        <v>42385200</v>
      </c>
      <c r="AP114" s="21">
        <v>26553800</v>
      </c>
      <c r="AQ114" s="21">
        <v>32766800</v>
      </c>
      <c r="AR114" s="21">
        <v>37231000</v>
      </c>
      <c r="AS114" s="21">
        <v>40639800</v>
      </c>
      <c r="AT114" s="21">
        <v>34358500</v>
      </c>
      <c r="AU114" s="21">
        <v>42210000</v>
      </c>
      <c r="AV114" s="21">
        <v>25544000</v>
      </c>
      <c r="AW114" s="21">
        <v>25852800</v>
      </c>
      <c r="AX114" s="21">
        <v>31146600</v>
      </c>
      <c r="AY114" s="21">
        <v>33384600</v>
      </c>
      <c r="AZ114" s="21">
        <v>32758000</v>
      </c>
      <c r="BA114" s="21">
        <v>30470500</v>
      </c>
      <c r="BB114" s="21">
        <v>51937900</v>
      </c>
      <c r="BC114" s="21">
        <v>42880100</v>
      </c>
      <c r="BD114" s="21">
        <v>58803900</v>
      </c>
      <c r="BE114" s="21">
        <v>46892500</v>
      </c>
      <c r="BF114" s="21">
        <v>43827200</v>
      </c>
      <c r="BG114" s="21">
        <v>44350100</v>
      </c>
      <c r="BH114" s="21">
        <v>45523100</v>
      </c>
      <c r="BI114" s="21">
        <v>53169400</v>
      </c>
      <c r="BJ114" s="21">
        <v>49861100</v>
      </c>
      <c r="BK114" s="21">
        <v>75841900</v>
      </c>
      <c r="BL114" s="21">
        <v>72810900</v>
      </c>
      <c r="BM114" s="1">
        <v>53614000</v>
      </c>
      <c r="BN114" s="1">
        <v>68403700</v>
      </c>
      <c r="BO114" s="1">
        <v>37490400</v>
      </c>
      <c r="BP114" s="1">
        <v>46400600</v>
      </c>
      <c r="BQ114" s="1">
        <v>72424100</v>
      </c>
      <c r="BR114" s="1">
        <v>79827900</v>
      </c>
      <c r="BS114" s="1">
        <v>48826900</v>
      </c>
      <c r="BT114" s="1">
        <v>41382600</v>
      </c>
      <c r="BU114" s="1">
        <v>53950200</v>
      </c>
      <c r="BV114" s="1">
        <v>39936400</v>
      </c>
      <c r="BW114" s="1">
        <v>59078700</v>
      </c>
      <c r="BX114" s="1">
        <v>55894900</v>
      </c>
      <c r="BY114" s="1">
        <v>62428400</v>
      </c>
      <c r="BZ114" s="1">
        <v>111263300</v>
      </c>
    </row>
    <row r="115" spans="1:78" ht="15.9" customHeight="1">
      <c r="A115" s="393" t="s">
        <v>225</v>
      </c>
      <c r="B115" s="46" t="s">
        <v>226</v>
      </c>
      <c r="C115" s="50">
        <f>_xll.RssMarket("9531","出来高")</f>
        <v>481100</v>
      </c>
      <c r="D115" s="202">
        <f t="shared" si="1"/>
        <v>-373400</v>
      </c>
      <c r="E115" s="200">
        <v>854500</v>
      </c>
      <c r="F115" s="21">
        <v>1207700</v>
      </c>
      <c r="G115" s="21">
        <v>1219200</v>
      </c>
      <c r="H115" s="21">
        <v>1886500</v>
      </c>
      <c r="I115" s="21">
        <v>1117700</v>
      </c>
      <c r="J115" s="21">
        <v>897700</v>
      </c>
      <c r="K115" s="21">
        <v>924000</v>
      </c>
      <c r="L115" s="21">
        <v>923900</v>
      </c>
      <c r="M115" s="21">
        <v>720700</v>
      </c>
      <c r="N115" s="21">
        <v>1118600</v>
      </c>
      <c r="O115" s="21">
        <v>1156400</v>
      </c>
      <c r="P115" s="21">
        <v>1436000</v>
      </c>
      <c r="Q115" s="21">
        <v>896200</v>
      </c>
      <c r="R115" s="21">
        <v>1017900</v>
      </c>
      <c r="S115" s="21">
        <v>970900</v>
      </c>
      <c r="T115" s="21">
        <v>1068800</v>
      </c>
      <c r="U115" s="21">
        <v>1039100</v>
      </c>
      <c r="V115" s="21">
        <v>1278500</v>
      </c>
      <c r="W115" s="21">
        <v>991800</v>
      </c>
      <c r="X115" s="21">
        <v>736600</v>
      </c>
      <c r="Y115" s="21">
        <v>730100</v>
      </c>
      <c r="Z115" s="21">
        <v>811300</v>
      </c>
      <c r="AA115" s="21">
        <v>1021700</v>
      </c>
      <c r="AB115" s="21">
        <v>1016400</v>
      </c>
      <c r="AC115" s="21">
        <v>1085700</v>
      </c>
      <c r="AD115" s="21">
        <v>1319300</v>
      </c>
      <c r="AE115" s="21">
        <v>737900</v>
      </c>
      <c r="AF115" s="21">
        <v>891400</v>
      </c>
      <c r="AG115" s="21">
        <v>1024200</v>
      </c>
      <c r="AH115" s="21">
        <v>767500</v>
      </c>
      <c r="AI115" s="21">
        <v>1797600</v>
      </c>
      <c r="AJ115" s="21">
        <v>1023400</v>
      </c>
      <c r="AK115" s="21">
        <v>833700</v>
      </c>
      <c r="AL115" s="21">
        <v>970800</v>
      </c>
      <c r="AM115" s="21">
        <v>915600</v>
      </c>
      <c r="AN115" s="21">
        <v>1140000</v>
      </c>
      <c r="AO115" s="21">
        <v>1215200</v>
      </c>
      <c r="AP115" s="21">
        <v>1001000</v>
      </c>
      <c r="AQ115" s="21">
        <v>1162100</v>
      </c>
      <c r="AR115" s="21">
        <v>1020100</v>
      </c>
      <c r="AS115" s="21">
        <v>1038800</v>
      </c>
      <c r="AT115" s="21">
        <v>1096400</v>
      </c>
      <c r="AU115" s="21">
        <v>1162500</v>
      </c>
      <c r="AV115" s="21">
        <v>2978500</v>
      </c>
      <c r="AW115" s="21">
        <v>5312400</v>
      </c>
      <c r="AX115" s="21">
        <v>1067600</v>
      </c>
      <c r="AY115" s="21">
        <v>1029100</v>
      </c>
      <c r="AZ115" s="21">
        <v>898300</v>
      </c>
      <c r="BA115" s="21">
        <v>850300</v>
      </c>
      <c r="BB115" s="21">
        <v>1440300</v>
      </c>
      <c r="BC115" s="21">
        <v>1261400</v>
      </c>
      <c r="BD115" s="21">
        <v>1144400</v>
      </c>
      <c r="BE115" s="21">
        <v>1180700</v>
      </c>
      <c r="BF115" s="21">
        <v>809900</v>
      </c>
      <c r="BG115" s="21">
        <v>1104600</v>
      </c>
      <c r="BH115" s="21">
        <v>1350300</v>
      </c>
      <c r="BI115" s="21">
        <v>1292900</v>
      </c>
      <c r="BJ115" s="21">
        <v>1984100</v>
      </c>
      <c r="BK115" s="21">
        <v>2162200</v>
      </c>
      <c r="BL115" s="21">
        <v>1293900</v>
      </c>
      <c r="BM115" s="1">
        <v>3393000</v>
      </c>
      <c r="BN115" s="1">
        <v>2877500</v>
      </c>
      <c r="BO115" s="1">
        <v>959900</v>
      </c>
      <c r="BP115" s="1">
        <v>1167300</v>
      </c>
      <c r="BQ115" s="1">
        <v>1552900</v>
      </c>
      <c r="BR115" s="1">
        <v>1117500</v>
      </c>
      <c r="BS115" s="1">
        <v>1126400</v>
      </c>
      <c r="BT115" s="1">
        <v>1309100</v>
      </c>
      <c r="BU115" s="1">
        <v>905000</v>
      </c>
      <c r="BV115" s="1">
        <v>1088100</v>
      </c>
      <c r="BW115" s="1">
        <v>1092000</v>
      </c>
      <c r="BX115" s="1">
        <v>1369300</v>
      </c>
      <c r="BY115" s="1">
        <v>986800</v>
      </c>
      <c r="BZ115" s="1">
        <v>1088700</v>
      </c>
    </row>
    <row r="116" spans="1:78" ht="15.9" customHeight="1">
      <c r="A116" s="393" t="s">
        <v>227</v>
      </c>
      <c r="B116" s="46" t="s">
        <v>228</v>
      </c>
      <c r="C116" s="50">
        <f>_xll.RssMarket("9882","出来高")</f>
        <v>106500</v>
      </c>
      <c r="D116" s="202">
        <f t="shared" si="1"/>
        <v>-106500</v>
      </c>
      <c r="E116" s="200">
        <v>213000</v>
      </c>
      <c r="F116" s="21">
        <v>370900</v>
      </c>
      <c r="G116" s="21">
        <v>209600</v>
      </c>
      <c r="H116" s="21">
        <v>189400</v>
      </c>
      <c r="I116" s="21">
        <v>303800</v>
      </c>
      <c r="J116" s="21">
        <v>209400</v>
      </c>
      <c r="K116" s="21">
        <v>181400</v>
      </c>
      <c r="L116" s="21">
        <v>133200</v>
      </c>
      <c r="M116" s="21">
        <v>148600</v>
      </c>
      <c r="N116" s="21">
        <v>163900</v>
      </c>
      <c r="O116" s="21">
        <v>192500</v>
      </c>
      <c r="P116" s="21">
        <v>185200</v>
      </c>
      <c r="Q116" s="21">
        <v>196500</v>
      </c>
      <c r="R116" s="21">
        <v>250200</v>
      </c>
      <c r="S116" s="21">
        <v>170600</v>
      </c>
      <c r="T116" s="21">
        <v>186600</v>
      </c>
      <c r="U116" s="21">
        <v>188000</v>
      </c>
      <c r="V116" s="21">
        <v>243400</v>
      </c>
      <c r="W116" s="21">
        <v>165800</v>
      </c>
      <c r="X116" s="21">
        <v>210400</v>
      </c>
      <c r="Y116" s="21">
        <v>143900</v>
      </c>
      <c r="Z116" s="21">
        <v>168900</v>
      </c>
      <c r="AA116" s="21">
        <v>152400</v>
      </c>
      <c r="AB116" s="21">
        <v>201000</v>
      </c>
      <c r="AC116" s="21">
        <v>144800</v>
      </c>
      <c r="AD116" s="21">
        <v>217800</v>
      </c>
      <c r="AE116" s="21">
        <v>211800</v>
      </c>
      <c r="AF116" s="21">
        <v>206100</v>
      </c>
      <c r="AG116" s="21">
        <v>204700</v>
      </c>
      <c r="AH116" s="21">
        <v>386500</v>
      </c>
      <c r="AI116" s="21">
        <v>220700</v>
      </c>
      <c r="AJ116" s="21">
        <v>211700</v>
      </c>
      <c r="AK116" s="21">
        <v>140600</v>
      </c>
      <c r="AL116" s="21">
        <v>145200</v>
      </c>
      <c r="AM116" s="21">
        <v>125700</v>
      </c>
      <c r="AN116" s="21">
        <v>208200</v>
      </c>
      <c r="AO116" s="21">
        <v>153600</v>
      </c>
      <c r="AP116" s="21">
        <v>176400</v>
      </c>
      <c r="AQ116" s="21">
        <v>166200</v>
      </c>
      <c r="AR116" s="21">
        <v>122200</v>
      </c>
      <c r="AS116" s="21">
        <v>211400</v>
      </c>
      <c r="AT116" s="21">
        <v>265700</v>
      </c>
      <c r="AU116" s="21">
        <v>192500</v>
      </c>
      <c r="AV116" s="21">
        <v>177600</v>
      </c>
      <c r="AW116" s="21">
        <v>114000</v>
      </c>
      <c r="AX116" s="21">
        <v>125400</v>
      </c>
      <c r="AY116" s="21">
        <v>123100</v>
      </c>
      <c r="AZ116" s="21">
        <v>107700</v>
      </c>
      <c r="BA116" s="21">
        <v>120000</v>
      </c>
      <c r="BB116" s="21">
        <v>145600</v>
      </c>
      <c r="BC116" s="21">
        <v>197200</v>
      </c>
      <c r="BD116" s="21">
        <v>169600</v>
      </c>
      <c r="BE116" s="21">
        <v>170500</v>
      </c>
      <c r="BF116" s="21">
        <v>169300</v>
      </c>
      <c r="BG116" s="21">
        <v>171500</v>
      </c>
      <c r="BH116" s="21">
        <v>245600</v>
      </c>
      <c r="BI116" s="21">
        <v>562900</v>
      </c>
      <c r="BJ116" s="21">
        <v>250100</v>
      </c>
      <c r="BK116" s="21">
        <v>199400</v>
      </c>
      <c r="BL116" s="21">
        <v>91400</v>
      </c>
      <c r="BM116" s="1">
        <v>162800</v>
      </c>
      <c r="BN116" s="1">
        <v>154800</v>
      </c>
      <c r="BO116" s="1">
        <v>111000</v>
      </c>
      <c r="BP116" s="1">
        <v>138600</v>
      </c>
      <c r="BQ116" s="1">
        <v>131200</v>
      </c>
      <c r="BR116" s="1">
        <v>122700</v>
      </c>
      <c r="BS116" s="1">
        <v>162100</v>
      </c>
      <c r="BT116" s="1">
        <v>109600</v>
      </c>
      <c r="BU116" s="1">
        <v>90500</v>
      </c>
      <c r="BV116" s="1">
        <v>158200</v>
      </c>
      <c r="BW116" s="1">
        <v>84500</v>
      </c>
      <c r="BX116" s="1">
        <v>76000</v>
      </c>
      <c r="BY116" s="1">
        <v>111800</v>
      </c>
      <c r="BZ116" s="1">
        <v>128800</v>
      </c>
    </row>
    <row r="117" spans="1:78" ht="15.9" customHeight="1">
      <c r="A117" s="393" t="s">
        <v>229</v>
      </c>
      <c r="B117" s="46" t="s">
        <v>230</v>
      </c>
      <c r="C117" s="50">
        <f>_xll.RssMarket("5838","出来高")</f>
        <v>699800</v>
      </c>
      <c r="D117" s="202">
        <f t="shared" si="1"/>
        <v>-91200</v>
      </c>
      <c r="E117" s="200">
        <v>791000</v>
      </c>
      <c r="F117" s="21">
        <v>740100</v>
      </c>
      <c r="G117" s="21">
        <v>1513600</v>
      </c>
      <c r="H117" s="21">
        <v>1178300</v>
      </c>
      <c r="I117" s="21">
        <v>937300</v>
      </c>
      <c r="J117" s="21">
        <v>677100</v>
      </c>
      <c r="K117" s="21">
        <v>718400</v>
      </c>
      <c r="L117" s="21">
        <v>847000</v>
      </c>
      <c r="M117" s="21">
        <v>1331900</v>
      </c>
      <c r="N117" s="21">
        <v>791000</v>
      </c>
      <c r="O117" s="21">
        <v>1143200</v>
      </c>
      <c r="P117" s="21">
        <v>1095800</v>
      </c>
      <c r="Q117" s="21">
        <v>1398900</v>
      </c>
      <c r="R117" s="21">
        <v>873800</v>
      </c>
      <c r="S117" s="21">
        <v>1067700</v>
      </c>
      <c r="T117" s="21">
        <v>1070100</v>
      </c>
      <c r="U117" s="21">
        <v>1116400</v>
      </c>
      <c r="V117" s="21">
        <v>2005600</v>
      </c>
      <c r="W117" s="21">
        <v>2441400</v>
      </c>
      <c r="X117" s="21">
        <v>888900</v>
      </c>
      <c r="Y117" s="21">
        <v>969800</v>
      </c>
      <c r="Z117" s="21">
        <v>1166100</v>
      </c>
      <c r="AA117" s="21">
        <v>589600</v>
      </c>
      <c r="AB117" s="21">
        <v>1278100</v>
      </c>
      <c r="AC117" s="21">
        <v>684700</v>
      </c>
      <c r="AD117" s="21">
        <v>853200</v>
      </c>
      <c r="AE117" s="21">
        <v>1075700</v>
      </c>
      <c r="AF117" s="21">
        <v>927600</v>
      </c>
      <c r="AG117" s="21">
        <v>1424600</v>
      </c>
      <c r="AH117" s="21">
        <v>1383800</v>
      </c>
      <c r="AI117" s="21">
        <v>1294400</v>
      </c>
      <c r="AJ117" s="21">
        <v>1131900</v>
      </c>
      <c r="AK117" s="21">
        <v>1008700</v>
      </c>
      <c r="AL117" s="21">
        <v>1797300</v>
      </c>
      <c r="AM117" s="21">
        <v>2209600</v>
      </c>
      <c r="AN117" s="21">
        <v>2338200</v>
      </c>
      <c r="AO117" s="21">
        <v>3158800</v>
      </c>
      <c r="AP117" s="21">
        <v>3572000</v>
      </c>
      <c r="AQ117" s="21">
        <v>1615200</v>
      </c>
      <c r="AR117" s="21">
        <v>1916500</v>
      </c>
      <c r="AS117" s="21">
        <v>2661700</v>
      </c>
      <c r="AT117" s="21">
        <v>3226800</v>
      </c>
      <c r="AU117" s="21">
        <v>3499900</v>
      </c>
      <c r="AV117" s="21">
        <v>3965300</v>
      </c>
      <c r="AW117" s="21">
        <v>1799500</v>
      </c>
      <c r="AX117" s="21">
        <v>2822000</v>
      </c>
      <c r="AY117" s="21">
        <v>4208700</v>
      </c>
      <c r="AZ117" s="21">
        <v>12468500</v>
      </c>
      <c r="BA117" s="21">
        <v>3644500</v>
      </c>
      <c r="BB117" s="21">
        <v>2295100</v>
      </c>
      <c r="BC117" s="21">
        <v>2770900</v>
      </c>
      <c r="BD117" s="21">
        <v>3792600</v>
      </c>
      <c r="BE117" s="21">
        <v>1346200</v>
      </c>
      <c r="BF117" s="21">
        <v>1427600</v>
      </c>
      <c r="BG117" s="21">
        <v>2524200</v>
      </c>
      <c r="BH117" s="21">
        <v>1537500</v>
      </c>
      <c r="BI117" s="21">
        <v>1049100</v>
      </c>
      <c r="BJ117" s="21">
        <v>1493100</v>
      </c>
      <c r="BK117" s="21">
        <v>1506000</v>
      </c>
      <c r="BL117" s="21">
        <v>680000</v>
      </c>
      <c r="BM117" s="1">
        <v>1075700</v>
      </c>
      <c r="BN117" s="1">
        <v>1564900</v>
      </c>
      <c r="BO117" s="1">
        <v>709300</v>
      </c>
      <c r="BP117" s="1">
        <v>984100</v>
      </c>
      <c r="BQ117" s="1">
        <v>1759500</v>
      </c>
      <c r="BR117" s="1">
        <v>1451400</v>
      </c>
      <c r="BS117" s="1">
        <v>1082000</v>
      </c>
      <c r="BT117" s="1">
        <v>686000</v>
      </c>
      <c r="BU117" s="1">
        <v>886600</v>
      </c>
      <c r="BV117" s="1">
        <v>986500</v>
      </c>
      <c r="BW117" s="1">
        <v>901700</v>
      </c>
      <c r="BX117" s="1">
        <v>807900</v>
      </c>
      <c r="BY117" s="1">
        <v>989000</v>
      </c>
      <c r="BZ117" s="1">
        <v>1436000</v>
      </c>
    </row>
    <row r="118" spans="1:78" ht="15.9" customHeight="1">
      <c r="A118" s="393" t="s">
        <v>231</v>
      </c>
      <c r="B118" s="46" t="s">
        <v>232</v>
      </c>
      <c r="C118" s="50">
        <f>_xll.RssMarket("5844","出来高")</f>
        <v>487700</v>
      </c>
      <c r="D118" s="202">
        <f t="shared" si="1"/>
        <v>-330700</v>
      </c>
      <c r="E118" s="200">
        <v>818400</v>
      </c>
      <c r="F118" s="21">
        <v>1789600</v>
      </c>
      <c r="G118" s="21">
        <v>1205500</v>
      </c>
      <c r="H118" s="21">
        <v>1058400</v>
      </c>
      <c r="I118" s="21">
        <v>1095800</v>
      </c>
      <c r="J118" s="21">
        <v>1186100</v>
      </c>
      <c r="K118" s="21">
        <v>846800</v>
      </c>
      <c r="L118" s="21">
        <v>965700</v>
      </c>
      <c r="M118" s="21">
        <v>632100</v>
      </c>
      <c r="N118" s="21">
        <v>673800</v>
      </c>
      <c r="O118" s="21">
        <v>875100</v>
      </c>
      <c r="P118" s="21">
        <v>1299400</v>
      </c>
      <c r="Q118" s="21">
        <v>789700</v>
      </c>
      <c r="R118" s="21">
        <v>466800</v>
      </c>
      <c r="S118" s="21">
        <v>537400</v>
      </c>
      <c r="T118" s="21">
        <v>896900</v>
      </c>
      <c r="U118" s="21">
        <v>896700</v>
      </c>
      <c r="V118" s="21">
        <v>853900</v>
      </c>
      <c r="W118" s="21">
        <v>880300</v>
      </c>
      <c r="X118" s="21">
        <v>1319900</v>
      </c>
      <c r="Y118" s="21">
        <v>1034900</v>
      </c>
      <c r="Z118" s="21">
        <v>1202900</v>
      </c>
      <c r="AA118" s="21">
        <v>1145800</v>
      </c>
      <c r="AB118" s="21">
        <v>1455700</v>
      </c>
      <c r="AC118" s="21">
        <v>1205300</v>
      </c>
      <c r="AD118" s="21">
        <v>904800</v>
      </c>
      <c r="AE118" s="21">
        <v>1114100</v>
      </c>
      <c r="AF118" s="21">
        <v>786500</v>
      </c>
      <c r="AG118" s="21">
        <v>1052500</v>
      </c>
      <c r="AH118" s="21">
        <v>1295500</v>
      </c>
      <c r="AI118" s="21">
        <v>2496400</v>
      </c>
      <c r="AJ118" s="21">
        <v>1461200</v>
      </c>
      <c r="AK118" s="21">
        <v>1291700</v>
      </c>
      <c r="AL118" s="21">
        <v>1685300</v>
      </c>
      <c r="AM118" s="21">
        <v>1317000</v>
      </c>
      <c r="AN118" s="21">
        <v>1120300</v>
      </c>
      <c r="AO118" s="21">
        <v>707600</v>
      </c>
      <c r="AP118" s="21">
        <v>1378800</v>
      </c>
      <c r="AQ118" s="21">
        <v>1363900</v>
      </c>
      <c r="AR118" s="21">
        <v>1321100</v>
      </c>
      <c r="AS118" s="21">
        <v>1246000</v>
      </c>
      <c r="AT118" s="21">
        <v>964800</v>
      </c>
      <c r="AU118" s="21">
        <v>845300</v>
      </c>
      <c r="AV118" s="21">
        <v>2498400</v>
      </c>
      <c r="AW118" s="21">
        <v>847900</v>
      </c>
      <c r="AX118" s="21">
        <v>923100</v>
      </c>
      <c r="AY118" s="21">
        <v>904000</v>
      </c>
      <c r="AZ118" s="21">
        <v>675000</v>
      </c>
      <c r="BA118" s="21">
        <v>1403800</v>
      </c>
      <c r="BB118" s="21">
        <v>1557500</v>
      </c>
      <c r="BC118" s="21">
        <v>921400</v>
      </c>
      <c r="BD118" s="21">
        <v>1044500</v>
      </c>
      <c r="BE118" s="21">
        <v>2254500</v>
      </c>
      <c r="BF118" s="21">
        <v>946800</v>
      </c>
      <c r="BG118" s="21">
        <v>823400</v>
      </c>
      <c r="BH118" s="21">
        <v>760200</v>
      </c>
      <c r="BI118" s="21">
        <v>826400</v>
      </c>
      <c r="BJ118" s="21">
        <v>910200</v>
      </c>
      <c r="BK118" s="21">
        <v>1203200</v>
      </c>
      <c r="BL118" s="21">
        <v>761000</v>
      </c>
      <c r="BM118" s="1">
        <v>953800</v>
      </c>
      <c r="BN118" s="1">
        <v>1090700</v>
      </c>
      <c r="BO118" s="1">
        <v>1131600</v>
      </c>
      <c r="BP118" s="1">
        <v>636800</v>
      </c>
      <c r="BQ118" s="1">
        <v>1110600</v>
      </c>
      <c r="BR118" s="1">
        <v>735500</v>
      </c>
      <c r="BS118" s="1">
        <v>1112300</v>
      </c>
      <c r="BT118" s="1">
        <v>945900</v>
      </c>
      <c r="BU118" s="1">
        <v>979500</v>
      </c>
      <c r="BV118" s="1">
        <v>861100</v>
      </c>
      <c r="BW118" s="1">
        <v>713600</v>
      </c>
      <c r="BX118" s="1">
        <v>818100</v>
      </c>
      <c r="BY118" s="1">
        <v>710300</v>
      </c>
      <c r="BZ118" s="1">
        <v>969900</v>
      </c>
    </row>
    <row r="119" spans="1:78" ht="15.9" customHeight="1">
      <c r="A119" s="393" t="s">
        <v>233</v>
      </c>
      <c r="B119" s="46" t="s">
        <v>234</v>
      </c>
      <c r="C119" s="50">
        <f>_xll.RssMarket("9404","出来高")</f>
        <v>252400</v>
      </c>
      <c r="D119" s="202">
        <f t="shared" si="1"/>
        <v>-560700</v>
      </c>
      <c r="E119" s="200">
        <v>813100</v>
      </c>
      <c r="F119" s="21">
        <v>836100</v>
      </c>
      <c r="G119" s="21">
        <v>574900</v>
      </c>
      <c r="H119" s="21">
        <v>489600</v>
      </c>
      <c r="I119" s="21">
        <v>653100</v>
      </c>
      <c r="J119" s="21">
        <v>435500</v>
      </c>
      <c r="K119" s="21">
        <v>399500</v>
      </c>
      <c r="L119" s="21">
        <v>266800</v>
      </c>
      <c r="M119" s="21">
        <v>393600</v>
      </c>
      <c r="N119" s="21">
        <v>467600</v>
      </c>
      <c r="O119" s="21">
        <v>512700</v>
      </c>
      <c r="P119" s="21">
        <v>868700</v>
      </c>
      <c r="Q119" s="21">
        <v>414700</v>
      </c>
      <c r="R119" s="21">
        <v>337700</v>
      </c>
      <c r="S119" s="21">
        <v>374900</v>
      </c>
      <c r="T119" s="21">
        <v>452100</v>
      </c>
      <c r="U119" s="21">
        <v>315400</v>
      </c>
      <c r="V119" s="21">
        <v>601800</v>
      </c>
      <c r="W119" s="21">
        <v>452800</v>
      </c>
      <c r="X119" s="21">
        <v>474100</v>
      </c>
      <c r="Y119" s="21">
        <v>570100</v>
      </c>
      <c r="Z119" s="21">
        <v>484800</v>
      </c>
      <c r="AA119" s="21">
        <v>428800</v>
      </c>
      <c r="AB119" s="21">
        <v>863200</v>
      </c>
      <c r="AC119" s="21">
        <v>817300</v>
      </c>
      <c r="AD119" s="21">
        <v>575400</v>
      </c>
      <c r="AE119" s="21">
        <v>578200</v>
      </c>
      <c r="AF119" s="21">
        <v>410000</v>
      </c>
      <c r="AG119" s="21">
        <v>757000</v>
      </c>
      <c r="AH119" s="21">
        <v>372800</v>
      </c>
      <c r="AI119" s="21">
        <v>499400</v>
      </c>
      <c r="AJ119" s="21">
        <v>466200</v>
      </c>
      <c r="AK119" s="21">
        <v>431500</v>
      </c>
      <c r="AL119" s="21">
        <v>602400</v>
      </c>
      <c r="AM119" s="21">
        <v>551000</v>
      </c>
      <c r="AN119" s="21">
        <v>640100</v>
      </c>
      <c r="AO119" s="21">
        <v>583200</v>
      </c>
      <c r="AP119" s="21">
        <v>649500</v>
      </c>
      <c r="AQ119" s="21">
        <v>639200</v>
      </c>
      <c r="AR119" s="21">
        <v>1303100</v>
      </c>
      <c r="AS119" s="21">
        <v>551300</v>
      </c>
      <c r="AT119" s="21">
        <v>616000</v>
      </c>
      <c r="AU119" s="21">
        <v>643000</v>
      </c>
      <c r="AV119" s="21">
        <v>933700</v>
      </c>
      <c r="AW119" s="21">
        <v>641600</v>
      </c>
      <c r="AX119" s="21">
        <v>591300</v>
      </c>
      <c r="AY119" s="21">
        <v>532800</v>
      </c>
      <c r="AZ119" s="21">
        <v>456600</v>
      </c>
      <c r="BA119" s="21">
        <v>587100</v>
      </c>
      <c r="BB119" s="21">
        <v>666900</v>
      </c>
      <c r="BC119" s="21">
        <v>772200</v>
      </c>
      <c r="BD119" s="21">
        <v>549100</v>
      </c>
      <c r="BE119" s="21">
        <v>878700</v>
      </c>
      <c r="BF119" s="21">
        <v>516800</v>
      </c>
      <c r="BG119" s="21">
        <v>578600</v>
      </c>
      <c r="BH119" s="21">
        <v>322200</v>
      </c>
      <c r="BI119" s="21">
        <v>742500</v>
      </c>
      <c r="BJ119" s="21">
        <v>497700</v>
      </c>
      <c r="BK119" s="21">
        <v>472500</v>
      </c>
      <c r="BL119" s="21">
        <v>388500</v>
      </c>
      <c r="BM119" s="1">
        <v>625000</v>
      </c>
      <c r="BN119" s="1">
        <v>402500</v>
      </c>
      <c r="BO119" s="1">
        <v>371400</v>
      </c>
      <c r="BP119" s="1">
        <v>545800</v>
      </c>
      <c r="BQ119" s="1">
        <v>604000</v>
      </c>
      <c r="BR119" s="1">
        <v>622600</v>
      </c>
      <c r="BS119" s="1">
        <v>371700</v>
      </c>
      <c r="BT119" s="1">
        <v>296700</v>
      </c>
      <c r="BU119" s="1">
        <v>306000</v>
      </c>
      <c r="BV119" s="1">
        <v>305000</v>
      </c>
      <c r="BW119" s="1">
        <v>210000</v>
      </c>
      <c r="BX119" s="1">
        <v>214600</v>
      </c>
      <c r="BY119" s="1">
        <v>293800</v>
      </c>
      <c r="BZ119" s="1">
        <v>330600</v>
      </c>
    </row>
    <row r="120" spans="1:78" ht="15.9" customHeight="1">
      <c r="A120" s="393" t="s">
        <v>235</v>
      </c>
      <c r="B120" s="46" t="s">
        <v>236</v>
      </c>
      <c r="C120" s="50">
        <f>_xll.RssMarket("6744","出来高")</f>
        <v>37900</v>
      </c>
      <c r="D120" s="202">
        <f t="shared" si="1"/>
        <v>-67100</v>
      </c>
      <c r="E120" s="200">
        <v>105000</v>
      </c>
      <c r="F120" s="21">
        <v>116000</v>
      </c>
      <c r="G120" s="21">
        <v>90600</v>
      </c>
      <c r="H120" s="21">
        <v>67800</v>
      </c>
      <c r="I120" s="21">
        <v>127100</v>
      </c>
      <c r="J120" s="21">
        <v>79700</v>
      </c>
      <c r="K120" s="21">
        <v>95800</v>
      </c>
      <c r="L120" s="21"/>
      <c r="M120" s="21">
        <v>49300</v>
      </c>
      <c r="N120" s="21">
        <v>58000</v>
      </c>
      <c r="O120" s="21">
        <v>78100</v>
      </c>
      <c r="P120" s="21">
        <v>89400</v>
      </c>
      <c r="Q120" s="21">
        <v>75900</v>
      </c>
      <c r="R120" s="21">
        <v>55700</v>
      </c>
      <c r="S120" s="21">
        <v>67000</v>
      </c>
      <c r="T120" s="21">
        <v>67400</v>
      </c>
      <c r="U120" s="21">
        <v>41500</v>
      </c>
      <c r="V120" s="21">
        <v>66300</v>
      </c>
      <c r="W120" s="21">
        <v>107300</v>
      </c>
      <c r="X120" s="21">
        <v>54800</v>
      </c>
      <c r="Y120" s="21">
        <v>145600</v>
      </c>
      <c r="Z120" s="21">
        <v>73800</v>
      </c>
      <c r="AA120" s="21">
        <v>56300</v>
      </c>
      <c r="AB120" s="21">
        <v>56000</v>
      </c>
      <c r="AC120" s="21">
        <v>81400</v>
      </c>
      <c r="AD120" s="21">
        <v>79100</v>
      </c>
      <c r="AE120" s="21">
        <v>103200</v>
      </c>
      <c r="AF120" s="21">
        <v>61000</v>
      </c>
      <c r="AG120" s="21">
        <v>171500</v>
      </c>
      <c r="AH120" s="21">
        <v>86900</v>
      </c>
      <c r="AI120" s="21">
        <v>76500</v>
      </c>
      <c r="AJ120" s="21">
        <v>66100</v>
      </c>
      <c r="AK120" s="21">
        <v>65600</v>
      </c>
      <c r="AL120" s="21">
        <v>41800</v>
      </c>
      <c r="AM120" s="21">
        <v>49200</v>
      </c>
      <c r="AN120" s="21">
        <v>81500</v>
      </c>
      <c r="AO120" s="21">
        <v>88200</v>
      </c>
      <c r="AP120" s="21">
        <v>71300</v>
      </c>
      <c r="AQ120" s="21">
        <v>104200</v>
      </c>
      <c r="AR120" s="21">
        <v>54600</v>
      </c>
      <c r="AS120" s="21">
        <v>69000</v>
      </c>
      <c r="AT120" s="21">
        <v>121700</v>
      </c>
      <c r="AU120" s="21">
        <v>154000</v>
      </c>
      <c r="AV120" s="21">
        <v>155900</v>
      </c>
      <c r="AW120" s="21">
        <v>126400</v>
      </c>
      <c r="AX120" s="21">
        <v>137100</v>
      </c>
      <c r="AY120" s="21">
        <v>162900</v>
      </c>
      <c r="AZ120" s="21">
        <v>113400</v>
      </c>
      <c r="BA120" s="21">
        <v>104400</v>
      </c>
      <c r="BB120" s="21">
        <v>141500</v>
      </c>
      <c r="BC120" s="21">
        <v>168400</v>
      </c>
      <c r="BD120" s="21">
        <v>173300</v>
      </c>
      <c r="BE120" s="21">
        <v>215500</v>
      </c>
      <c r="BF120" s="21">
        <v>206500</v>
      </c>
      <c r="BG120" s="21">
        <v>138400</v>
      </c>
      <c r="BH120" s="21">
        <v>187500</v>
      </c>
      <c r="BI120" s="21">
        <v>167000</v>
      </c>
      <c r="BJ120" s="21">
        <v>116400</v>
      </c>
      <c r="BK120" s="21">
        <v>134700</v>
      </c>
      <c r="BL120" s="21">
        <v>213900</v>
      </c>
      <c r="BM120" s="1">
        <v>142400</v>
      </c>
      <c r="BN120" s="1">
        <v>162800</v>
      </c>
      <c r="BO120" s="1">
        <v>75400</v>
      </c>
      <c r="BP120" s="1">
        <v>54900</v>
      </c>
      <c r="BQ120" s="1">
        <v>61400</v>
      </c>
      <c r="BR120" s="1">
        <v>63800</v>
      </c>
      <c r="BS120" s="1">
        <v>87100</v>
      </c>
      <c r="BT120" s="1">
        <v>77700</v>
      </c>
      <c r="BU120" s="1">
        <v>91800</v>
      </c>
      <c r="BV120" s="1">
        <v>71800</v>
      </c>
      <c r="BW120" s="1">
        <v>94300</v>
      </c>
      <c r="BX120" s="1">
        <v>60700</v>
      </c>
      <c r="BY120" s="1">
        <v>49800</v>
      </c>
      <c r="BZ120" s="1">
        <v>55600</v>
      </c>
    </row>
    <row r="121" spans="1:78" ht="15.9" customHeight="1">
      <c r="A121" s="393" t="s">
        <v>237</v>
      </c>
      <c r="B121" s="46" t="s">
        <v>238</v>
      </c>
      <c r="C121" s="50">
        <f>_xll.RssMarket("7685","出来高")</f>
        <v>130400</v>
      </c>
      <c r="D121" s="202">
        <f t="shared" si="1"/>
        <v>-103200</v>
      </c>
      <c r="E121" s="200">
        <v>233600</v>
      </c>
      <c r="F121" s="21">
        <v>238600</v>
      </c>
      <c r="G121" s="21">
        <v>449700</v>
      </c>
      <c r="H121" s="21">
        <v>355400</v>
      </c>
      <c r="I121" s="21">
        <v>319800</v>
      </c>
      <c r="J121" s="21">
        <v>251500</v>
      </c>
      <c r="K121" s="21">
        <v>324600</v>
      </c>
      <c r="L121" s="21"/>
      <c r="M121" s="21">
        <v>425200</v>
      </c>
      <c r="N121" s="21">
        <v>436600</v>
      </c>
      <c r="O121" s="21">
        <v>916100</v>
      </c>
      <c r="P121" s="21">
        <v>284600</v>
      </c>
      <c r="Q121" s="21">
        <v>250600</v>
      </c>
      <c r="R121" s="21">
        <v>209400</v>
      </c>
      <c r="S121" s="21">
        <v>179500</v>
      </c>
      <c r="T121" s="21">
        <v>301300</v>
      </c>
      <c r="U121" s="21">
        <v>260400</v>
      </c>
      <c r="V121" s="21">
        <v>424900</v>
      </c>
      <c r="W121" s="21">
        <v>360500</v>
      </c>
      <c r="X121" s="21">
        <v>475200</v>
      </c>
      <c r="Y121" s="21">
        <v>320900</v>
      </c>
      <c r="Z121" s="21">
        <v>317100</v>
      </c>
      <c r="AA121" s="21">
        <v>270600</v>
      </c>
      <c r="AB121" s="21">
        <v>266200</v>
      </c>
      <c r="AC121" s="21">
        <v>404700</v>
      </c>
      <c r="AD121" s="21">
        <v>562500</v>
      </c>
      <c r="AE121" s="21">
        <v>462400</v>
      </c>
      <c r="AF121" s="21">
        <v>271000</v>
      </c>
      <c r="AG121" s="21">
        <v>520500</v>
      </c>
      <c r="AH121" s="21">
        <v>231800</v>
      </c>
      <c r="AI121" s="21">
        <v>415600</v>
      </c>
      <c r="AJ121" s="21">
        <v>284400</v>
      </c>
      <c r="AK121" s="21">
        <v>236400</v>
      </c>
      <c r="AL121" s="21">
        <v>288700</v>
      </c>
      <c r="AM121" s="21">
        <v>457300</v>
      </c>
      <c r="AN121" s="21">
        <v>299300</v>
      </c>
      <c r="AO121" s="21">
        <v>278000</v>
      </c>
      <c r="AP121" s="21">
        <v>449700</v>
      </c>
      <c r="AQ121" s="21">
        <v>405100</v>
      </c>
      <c r="AR121" s="21">
        <v>171700</v>
      </c>
      <c r="AS121" s="21">
        <v>276800</v>
      </c>
      <c r="AT121" s="21">
        <v>202100</v>
      </c>
      <c r="AU121" s="21">
        <v>280700</v>
      </c>
      <c r="AV121" s="21">
        <v>357400</v>
      </c>
      <c r="AW121" s="21">
        <v>376600</v>
      </c>
      <c r="AX121" s="21">
        <v>403300</v>
      </c>
      <c r="AY121" s="21">
        <v>261400</v>
      </c>
      <c r="AZ121" s="21">
        <v>254300</v>
      </c>
      <c r="BA121" s="21">
        <v>359000</v>
      </c>
      <c r="BB121" s="21">
        <v>373200</v>
      </c>
      <c r="BC121" s="21">
        <v>639000</v>
      </c>
      <c r="BD121" s="21">
        <v>660800</v>
      </c>
      <c r="BE121" s="21">
        <v>1530000</v>
      </c>
      <c r="BF121" s="21">
        <v>681300</v>
      </c>
      <c r="BG121" s="21">
        <v>588700</v>
      </c>
      <c r="BH121" s="21">
        <v>398900</v>
      </c>
      <c r="BI121" s="21">
        <v>268000</v>
      </c>
      <c r="BJ121" s="21">
        <v>205600</v>
      </c>
      <c r="BK121" s="21">
        <v>278700</v>
      </c>
      <c r="BL121" s="21">
        <v>294600</v>
      </c>
      <c r="BM121" s="1">
        <v>410400</v>
      </c>
      <c r="BN121" s="1">
        <v>317800</v>
      </c>
      <c r="BO121" s="1">
        <v>272100</v>
      </c>
      <c r="BP121" s="1">
        <v>362300</v>
      </c>
      <c r="BQ121" s="1">
        <v>202100</v>
      </c>
      <c r="BR121" s="1">
        <v>423900</v>
      </c>
      <c r="BS121" s="1">
        <v>337900</v>
      </c>
      <c r="BT121" s="1">
        <v>408500</v>
      </c>
      <c r="BU121" s="1">
        <v>162600</v>
      </c>
      <c r="BV121" s="1">
        <v>180900</v>
      </c>
      <c r="BW121" s="1">
        <v>365200</v>
      </c>
      <c r="BX121" s="1">
        <v>312500</v>
      </c>
      <c r="BY121" s="1">
        <v>440100</v>
      </c>
      <c r="BZ121" s="1">
        <v>252500</v>
      </c>
    </row>
    <row r="122" spans="1:78" ht="15.9" customHeight="1">
      <c r="A122" s="393" t="s">
        <v>239</v>
      </c>
      <c r="B122" s="46" t="s">
        <v>240</v>
      </c>
      <c r="C122" s="50">
        <f>_xll.RssMarket("8334","出来高")</f>
        <v>548400</v>
      </c>
      <c r="D122" s="202">
        <f t="shared" si="1"/>
        <v>-484300</v>
      </c>
      <c r="E122" s="200">
        <v>1032700</v>
      </c>
      <c r="F122" s="21">
        <v>1479800</v>
      </c>
      <c r="G122" s="21">
        <v>962400</v>
      </c>
      <c r="H122" s="21">
        <v>990900</v>
      </c>
      <c r="I122" s="21">
        <v>1053100</v>
      </c>
      <c r="J122" s="21">
        <v>1131000</v>
      </c>
      <c r="K122" s="21">
        <v>1054600</v>
      </c>
      <c r="L122" s="21">
        <v>787400</v>
      </c>
      <c r="M122" s="21">
        <v>890300</v>
      </c>
      <c r="N122" s="21">
        <v>1059800</v>
      </c>
      <c r="O122" s="21">
        <v>981700</v>
      </c>
      <c r="P122" s="21">
        <v>1141600</v>
      </c>
      <c r="Q122" s="21">
        <v>868700</v>
      </c>
      <c r="R122" s="21">
        <v>1255200</v>
      </c>
      <c r="S122" s="21">
        <v>722500</v>
      </c>
      <c r="T122" s="21">
        <v>907100</v>
      </c>
      <c r="U122" s="21">
        <v>795800</v>
      </c>
      <c r="V122" s="21">
        <v>888200</v>
      </c>
      <c r="W122" s="21">
        <v>1084500</v>
      </c>
      <c r="X122" s="21">
        <v>622300</v>
      </c>
      <c r="Y122" s="21">
        <v>903900</v>
      </c>
      <c r="Z122" s="21">
        <v>865400</v>
      </c>
      <c r="AA122" s="21">
        <v>663600</v>
      </c>
      <c r="AB122" s="21">
        <v>970700</v>
      </c>
      <c r="AC122" s="21">
        <v>878900</v>
      </c>
      <c r="AD122" s="21">
        <v>714000</v>
      </c>
      <c r="AE122" s="21">
        <v>751900</v>
      </c>
      <c r="AF122" s="21">
        <v>642200</v>
      </c>
      <c r="AG122" s="21">
        <v>946900</v>
      </c>
      <c r="AH122" s="21">
        <v>559700</v>
      </c>
      <c r="AI122" s="21">
        <v>1100100</v>
      </c>
      <c r="AJ122" s="21">
        <v>915500</v>
      </c>
      <c r="AK122" s="21">
        <v>881500</v>
      </c>
      <c r="AL122" s="21">
        <v>1076500</v>
      </c>
      <c r="AM122" s="21">
        <v>1022700</v>
      </c>
      <c r="AN122" s="21">
        <v>1288200</v>
      </c>
      <c r="AO122" s="21">
        <v>740700</v>
      </c>
      <c r="AP122" s="21">
        <v>1216500</v>
      </c>
      <c r="AQ122" s="21">
        <v>893000</v>
      </c>
      <c r="AR122" s="21">
        <v>817600</v>
      </c>
      <c r="AS122" s="21">
        <v>829500</v>
      </c>
      <c r="AT122" s="21">
        <v>715400</v>
      </c>
      <c r="AU122" s="21">
        <v>941000</v>
      </c>
      <c r="AV122" s="21">
        <v>1152600</v>
      </c>
      <c r="AW122" s="21">
        <v>1029300</v>
      </c>
      <c r="AX122" s="21">
        <v>1015700</v>
      </c>
      <c r="AY122" s="21">
        <v>848400</v>
      </c>
      <c r="AZ122" s="21">
        <v>873400</v>
      </c>
      <c r="BA122" s="21">
        <v>1365600</v>
      </c>
      <c r="BB122" s="21">
        <v>1242000</v>
      </c>
      <c r="BC122" s="21">
        <v>1163800</v>
      </c>
      <c r="BD122" s="21">
        <v>1052800</v>
      </c>
      <c r="BE122" s="21">
        <v>1025100</v>
      </c>
      <c r="BF122" s="21">
        <v>869400</v>
      </c>
      <c r="BG122" s="21">
        <v>1202700</v>
      </c>
      <c r="BH122" s="21">
        <v>1674400</v>
      </c>
      <c r="BI122" s="21">
        <v>1971300</v>
      </c>
      <c r="BJ122" s="21">
        <v>1276700</v>
      </c>
      <c r="BK122" s="21">
        <v>1331300</v>
      </c>
      <c r="BL122" s="21">
        <v>859800</v>
      </c>
      <c r="BM122" s="1">
        <v>1440900</v>
      </c>
      <c r="BN122" s="1">
        <v>2104300</v>
      </c>
      <c r="BO122" s="1">
        <v>1564000</v>
      </c>
      <c r="BP122" s="1">
        <v>724500</v>
      </c>
      <c r="BQ122" s="1">
        <v>1684300</v>
      </c>
      <c r="BR122" s="1">
        <v>2170400</v>
      </c>
      <c r="BS122" s="1">
        <v>1178100</v>
      </c>
      <c r="BT122" s="1">
        <v>977500</v>
      </c>
      <c r="BU122" s="1">
        <v>1006700</v>
      </c>
      <c r="BV122" s="1">
        <v>699500</v>
      </c>
      <c r="BW122" s="1">
        <v>847200</v>
      </c>
      <c r="BX122" s="1">
        <v>770300</v>
      </c>
      <c r="BY122" s="1">
        <v>910600</v>
      </c>
      <c r="BZ122" s="1">
        <v>998400</v>
      </c>
    </row>
    <row r="123" spans="1:78" ht="15.9" customHeight="1">
      <c r="A123" s="393" t="s">
        <v>241</v>
      </c>
      <c r="B123" s="46" t="s">
        <v>242</v>
      </c>
      <c r="C123" s="50">
        <f>_xll.RssMarket("8359","出来高")</f>
        <v>789600</v>
      </c>
      <c r="D123" s="202">
        <f t="shared" si="1"/>
        <v>-988300</v>
      </c>
      <c r="E123" s="200">
        <v>1777900</v>
      </c>
      <c r="F123" s="21">
        <v>1768400</v>
      </c>
      <c r="G123" s="21">
        <v>2199600</v>
      </c>
      <c r="H123" s="21">
        <v>1548200</v>
      </c>
      <c r="I123" s="21">
        <v>1707800</v>
      </c>
      <c r="J123" s="21">
        <v>1925100</v>
      </c>
      <c r="K123" s="21">
        <v>1535700</v>
      </c>
      <c r="L123" s="21">
        <v>1258800</v>
      </c>
      <c r="M123" s="21">
        <v>1283000</v>
      </c>
      <c r="N123" s="21">
        <v>1433700</v>
      </c>
      <c r="O123" s="21">
        <v>1521900</v>
      </c>
      <c r="P123" s="21">
        <v>1622800</v>
      </c>
      <c r="Q123" s="21">
        <v>1586300</v>
      </c>
      <c r="R123" s="21">
        <v>1479500</v>
      </c>
      <c r="S123" s="21">
        <v>862800</v>
      </c>
      <c r="T123" s="21">
        <v>1477300</v>
      </c>
      <c r="U123" s="21">
        <v>818600</v>
      </c>
      <c r="V123" s="21">
        <v>1309300</v>
      </c>
      <c r="W123" s="21">
        <v>1162000</v>
      </c>
      <c r="X123" s="21">
        <v>796600</v>
      </c>
      <c r="Y123" s="21">
        <v>1176400</v>
      </c>
      <c r="Z123" s="21">
        <v>1455700</v>
      </c>
      <c r="AA123" s="21">
        <v>1374600</v>
      </c>
      <c r="AB123" s="21">
        <v>1503700</v>
      </c>
      <c r="AC123" s="21">
        <v>1238000</v>
      </c>
      <c r="AD123" s="21">
        <v>935600</v>
      </c>
      <c r="AE123" s="21">
        <v>1071900</v>
      </c>
      <c r="AF123" s="21">
        <v>988000</v>
      </c>
      <c r="AG123" s="21">
        <v>1171800</v>
      </c>
      <c r="AH123" s="21">
        <v>1060700</v>
      </c>
      <c r="AI123" s="21">
        <v>4094500</v>
      </c>
      <c r="AJ123" s="21">
        <v>1541000</v>
      </c>
      <c r="AK123" s="21">
        <v>1905900</v>
      </c>
      <c r="AL123" s="21">
        <v>1498000</v>
      </c>
      <c r="AM123" s="21">
        <v>1821400</v>
      </c>
      <c r="AN123" s="21">
        <v>1879700</v>
      </c>
      <c r="AO123" s="21">
        <v>1406600</v>
      </c>
      <c r="AP123" s="21">
        <v>1861500</v>
      </c>
      <c r="AQ123" s="21">
        <v>1330700</v>
      </c>
      <c r="AR123" s="21">
        <v>1636900</v>
      </c>
      <c r="AS123" s="21">
        <v>1304300</v>
      </c>
      <c r="AT123" s="21">
        <v>1428400</v>
      </c>
      <c r="AU123" s="21">
        <v>1337600</v>
      </c>
      <c r="AV123" s="21">
        <v>2196000</v>
      </c>
      <c r="AW123" s="21">
        <v>1116600</v>
      </c>
      <c r="AX123" s="21">
        <v>974000</v>
      </c>
      <c r="AY123" s="21">
        <v>1134000</v>
      </c>
      <c r="AZ123" s="21">
        <v>1241600</v>
      </c>
      <c r="BA123" s="21">
        <v>1384900</v>
      </c>
      <c r="BB123" s="21">
        <v>1463800</v>
      </c>
      <c r="BC123" s="21">
        <v>1422900</v>
      </c>
      <c r="BD123" s="21">
        <v>2370100</v>
      </c>
      <c r="BE123" s="21">
        <v>1960900</v>
      </c>
      <c r="BF123" s="21">
        <v>1445200</v>
      </c>
      <c r="BG123" s="21">
        <v>1821500</v>
      </c>
      <c r="BH123" s="21">
        <v>1412900</v>
      </c>
      <c r="BI123" s="21">
        <v>1802400</v>
      </c>
      <c r="BJ123" s="21">
        <v>2525200</v>
      </c>
      <c r="BK123" s="21">
        <v>3119400</v>
      </c>
      <c r="BL123" s="21">
        <v>967000</v>
      </c>
      <c r="BM123" s="1">
        <v>1250200</v>
      </c>
      <c r="BN123" s="1">
        <v>1709000</v>
      </c>
      <c r="BO123" s="1">
        <v>1064200</v>
      </c>
      <c r="BP123" s="1">
        <v>932400</v>
      </c>
      <c r="BQ123" s="1">
        <v>1606200</v>
      </c>
      <c r="BR123" s="1">
        <v>1743200</v>
      </c>
      <c r="BS123" s="1">
        <v>1295300</v>
      </c>
      <c r="BT123" s="1">
        <v>986900</v>
      </c>
      <c r="BU123" s="1">
        <v>937700</v>
      </c>
      <c r="BV123" s="1">
        <v>954200</v>
      </c>
      <c r="BW123" s="1">
        <v>1343700</v>
      </c>
      <c r="BX123" s="1">
        <v>1576900</v>
      </c>
      <c r="BY123" s="1">
        <v>1222300</v>
      </c>
      <c r="BZ123" s="1">
        <v>967800</v>
      </c>
    </row>
    <row r="124" spans="1:78" ht="15.9" customHeight="1">
      <c r="A124" s="393" t="s">
        <v>243</v>
      </c>
      <c r="B124" s="46" t="s">
        <v>244</v>
      </c>
      <c r="C124" s="50">
        <f>_xll.RssMarket("8801","出来高")</f>
        <v>3874700</v>
      </c>
      <c r="D124" s="202">
        <f t="shared" si="1"/>
        <v>-4916400</v>
      </c>
      <c r="E124" s="200">
        <v>8791100</v>
      </c>
      <c r="F124" s="21">
        <v>14067600</v>
      </c>
      <c r="G124" s="21">
        <v>10723900</v>
      </c>
      <c r="H124" s="21">
        <v>10828600</v>
      </c>
      <c r="I124" s="21">
        <v>13660100</v>
      </c>
      <c r="J124" s="21">
        <v>9688100</v>
      </c>
      <c r="K124" s="21">
        <v>6867500</v>
      </c>
      <c r="L124" s="21">
        <v>6189300</v>
      </c>
      <c r="M124" s="21">
        <v>8035600</v>
      </c>
      <c r="N124" s="21">
        <v>6251100</v>
      </c>
      <c r="O124" s="21">
        <v>9620300</v>
      </c>
      <c r="P124" s="21">
        <v>9356300</v>
      </c>
      <c r="Q124" s="21">
        <v>6380500</v>
      </c>
      <c r="R124" s="21">
        <v>7707400</v>
      </c>
      <c r="S124" s="21">
        <v>5441500</v>
      </c>
      <c r="T124" s="21">
        <v>6529000</v>
      </c>
      <c r="U124" s="21">
        <v>7751700</v>
      </c>
      <c r="V124" s="21">
        <v>7886000</v>
      </c>
      <c r="W124" s="21">
        <v>9424500</v>
      </c>
      <c r="X124" s="21">
        <v>6343100</v>
      </c>
      <c r="Y124" s="21">
        <v>9168000</v>
      </c>
      <c r="Z124" s="21">
        <v>9257700</v>
      </c>
      <c r="AA124" s="21">
        <v>9488000</v>
      </c>
      <c r="AB124" s="21">
        <v>12517300</v>
      </c>
      <c r="AC124" s="21">
        <v>15325400</v>
      </c>
      <c r="AD124" s="21">
        <v>16359000</v>
      </c>
      <c r="AE124" s="21">
        <v>9836400</v>
      </c>
      <c r="AF124" s="21">
        <v>13493700</v>
      </c>
      <c r="AG124" s="21">
        <v>16004200</v>
      </c>
      <c r="AH124" s="21">
        <v>9673000</v>
      </c>
      <c r="AI124" s="21">
        <v>14467000</v>
      </c>
      <c r="AJ124" s="21">
        <v>10721100</v>
      </c>
      <c r="AK124" s="21">
        <v>9010400</v>
      </c>
      <c r="AL124" s="21">
        <v>9741600</v>
      </c>
      <c r="AM124" s="21">
        <v>12128800</v>
      </c>
      <c r="AN124" s="21">
        <v>13173200</v>
      </c>
      <c r="AO124" s="21">
        <v>18916700</v>
      </c>
      <c r="AP124" s="21">
        <v>14131200</v>
      </c>
      <c r="AQ124" s="21">
        <v>11385300</v>
      </c>
      <c r="AR124" s="21">
        <v>8640800</v>
      </c>
      <c r="AS124" s="21">
        <v>10006200</v>
      </c>
      <c r="AT124" s="21">
        <v>8128100</v>
      </c>
      <c r="AU124" s="21">
        <v>14964600</v>
      </c>
      <c r="AV124" s="21">
        <v>23942000</v>
      </c>
      <c r="AW124" s="21">
        <v>8693900</v>
      </c>
      <c r="AX124" s="21">
        <v>15297600</v>
      </c>
      <c r="AY124" s="21">
        <v>12823100</v>
      </c>
      <c r="AZ124" s="21">
        <v>16564400</v>
      </c>
      <c r="BA124" s="21">
        <v>13420100</v>
      </c>
      <c r="BB124" s="21">
        <v>14973800</v>
      </c>
      <c r="BC124" s="21">
        <v>16575000</v>
      </c>
      <c r="BD124" s="21">
        <v>15163200</v>
      </c>
      <c r="BE124" s="21">
        <v>17988500</v>
      </c>
      <c r="BF124" s="21">
        <v>21882500</v>
      </c>
      <c r="BG124" s="21">
        <v>7973500</v>
      </c>
      <c r="BH124" s="21">
        <v>7657000</v>
      </c>
      <c r="BI124" s="21">
        <v>6435200</v>
      </c>
      <c r="BJ124" s="21">
        <v>11016900</v>
      </c>
      <c r="BK124" s="21">
        <v>11882300</v>
      </c>
      <c r="BL124" s="21">
        <v>5387600</v>
      </c>
      <c r="BM124" s="1">
        <v>12002700</v>
      </c>
      <c r="BN124" s="1">
        <v>7913300</v>
      </c>
      <c r="BO124" s="1">
        <v>6371000</v>
      </c>
      <c r="BP124" s="1">
        <v>5470500</v>
      </c>
      <c r="BQ124" s="1">
        <v>7328800</v>
      </c>
      <c r="BR124" s="1">
        <v>6632900</v>
      </c>
      <c r="BS124" s="1">
        <v>6538700</v>
      </c>
      <c r="BT124" s="1">
        <v>8780400</v>
      </c>
      <c r="BU124" s="1">
        <v>8041900</v>
      </c>
      <c r="BV124" s="1">
        <v>9612200</v>
      </c>
      <c r="BW124" s="1">
        <v>10788400</v>
      </c>
      <c r="BX124" s="1">
        <v>12977400</v>
      </c>
      <c r="BY124" s="1">
        <v>8041700</v>
      </c>
      <c r="BZ124" s="1">
        <v>7395500</v>
      </c>
    </row>
    <row r="125" spans="1:78" ht="15.9" customHeight="1">
      <c r="A125" s="393" t="s">
        <v>245</v>
      </c>
      <c r="B125" s="46" t="s">
        <v>246</v>
      </c>
      <c r="C125" s="50">
        <f>_xll.RssMarket("8934","出来高")</f>
        <v>42500</v>
      </c>
      <c r="D125" s="202">
        <f t="shared" si="1"/>
        <v>-40600</v>
      </c>
      <c r="E125" s="200">
        <v>83100</v>
      </c>
      <c r="F125" s="21">
        <v>159300</v>
      </c>
      <c r="G125" s="21">
        <v>95900</v>
      </c>
      <c r="H125" s="21">
        <v>126700</v>
      </c>
      <c r="I125" s="21">
        <v>176000</v>
      </c>
      <c r="J125" s="21">
        <v>78900</v>
      </c>
      <c r="K125" s="21">
        <v>153500</v>
      </c>
      <c r="L125" s="21">
        <v>98300</v>
      </c>
      <c r="M125" s="21">
        <v>103300</v>
      </c>
      <c r="N125" s="21">
        <v>97600</v>
      </c>
      <c r="O125" s="21">
        <v>138800</v>
      </c>
      <c r="P125" s="21">
        <v>135800</v>
      </c>
      <c r="Q125" s="21">
        <v>119700</v>
      </c>
      <c r="R125" s="21">
        <v>127100</v>
      </c>
      <c r="S125" s="21">
        <v>82000</v>
      </c>
      <c r="T125" s="21">
        <v>92400</v>
      </c>
      <c r="U125" s="21">
        <v>110600</v>
      </c>
      <c r="V125" s="21">
        <v>99500</v>
      </c>
      <c r="W125" s="21">
        <v>161800</v>
      </c>
      <c r="X125" s="21">
        <v>148600</v>
      </c>
      <c r="Y125" s="21">
        <v>116800</v>
      </c>
      <c r="Z125" s="21">
        <v>95800</v>
      </c>
      <c r="AA125" s="21">
        <v>91500</v>
      </c>
      <c r="AB125" s="21">
        <v>99700</v>
      </c>
      <c r="AC125" s="21">
        <v>118300</v>
      </c>
      <c r="AD125" s="21">
        <v>111600</v>
      </c>
      <c r="AE125" s="21">
        <v>97700</v>
      </c>
      <c r="AF125" s="21">
        <v>98000</v>
      </c>
      <c r="AG125" s="21">
        <v>103900</v>
      </c>
      <c r="AH125" s="21">
        <v>93600</v>
      </c>
      <c r="AI125" s="21">
        <v>297000</v>
      </c>
      <c r="AJ125" s="21">
        <v>144400</v>
      </c>
      <c r="AK125" s="21">
        <v>100500</v>
      </c>
      <c r="AL125" s="21">
        <v>139700</v>
      </c>
      <c r="AM125" s="21">
        <v>133000</v>
      </c>
      <c r="AN125" s="21">
        <v>134300</v>
      </c>
      <c r="AO125" s="21">
        <v>150900</v>
      </c>
      <c r="AP125" s="21">
        <v>125100</v>
      </c>
      <c r="AQ125" s="21">
        <v>112100</v>
      </c>
      <c r="AR125" s="21">
        <v>163200</v>
      </c>
      <c r="AS125" s="21">
        <v>192200</v>
      </c>
      <c r="AT125" s="21">
        <v>129800</v>
      </c>
      <c r="AU125" s="21">
        <v>164100</v>
      </c>
      <c r="AV125" s="21">
        <v>244800</v>
      </c>
      <c r="AW125" s="21">
        <v>145800</v>
      </c>
      <c r="AX125" s="21">
        <v>129200</v>
      </c>
      <c r="AY125" s="21">
        <v>105300</v>
      </c>
      <c r="AZ125" s="21">
        <v>206100</v>
      </c>
      <c r="BA125" s="21">
        <v>141600</v>
      </c>
      <c r="BB125" s="21">
        <v>185300</v>
      </c>
      <c r="BC125" s="21">
        <v>129000</v>
      </c>
      <c r="BD125" s="21">
        <v>197200</v>
      </c>
      <c r="BE125" s="21">
        <v>175700</v>
      </c>
      <c r="BF125" s="21">
        <v>180000</v>
      </c>
      <c r="BG125" s="21">
        <v>209700</v>
      </c>
      <c r="BH125" s="21">
        <v>411900</v>
      </c>
      <c r="BI125" s="21">
        <v>253500</v>
      </c>
      <c r="BJ125" s="21">
        <v>170900</v>
      </c>
      <c r="BK125" s="21">
        <v>183700</v>
      </c>
      <c r="BL125" s="21">
        <v>130300</v>
      </c>
      <c r="BM125" s="1">
        <v>194200</v>
      </c>
      <c r="BN125" s="1">
        <v>266600</v>
      </c>
      <c r="BO125" s="1">
        <v>132500</v>
      </c>
      <c r="BP125" s="1">
        <v>186200</v>
      </c>
      <c r="BQ125" s="1">
        <v>246800</v>
      </c>
      <c r="BR125" s="1">
        <v>161300</v>
      </c>
      <c r="BS125" s="1">
        <v>181800</v>
      </c>
      <c r="BT125" s="1">
        <v>190900</v>
      </c>
      <c r="BU125" s="1">
        <v>164300</v>
      </c>
      <c r="BV125" s="1">
        <v>212200</v>
      </c>
      <c r="BW125" s="1">
        <v>208000</v>
      </c>
      <c r="BX125" s="1">
        <v>222100</v>
      </c>
      <c r="BY125" s="1">
        <v>326700</v>
      </c>
      <c r="BZ125" s="1">
        <v>124800</v>
      </c>
    </row>
    <row r="126" spans="1:78" ht="15.9" customHeight="1">
      <c r="A126" s="393" t="s">
        <v>247</v>
      </c>
      <c r="B126" s="46" t="s">
        <v>248</v>
      </c>
      <c r="C126" s="50">
        <f>_xll.RssMarket("9416","出来高")</f>
        <v>101600</v>
      </c>
      <c r="D126" s="202">
        <f t="shared" si="1"/>
        <v>-84400</v>
      </c>
      <c r="E126" s="200">
        <v>186000</v>
      </c>
      <c r="F126" s="21">
        <v>273800</v>
      </c>
      <c r="G126" s="21">
        <v>294000</v>
      </c>
      <c r="H126" s="21">
        <v>577100</v>
      </c>
      <c r="I126" s="21">
        <v>478300</v>
      </c>
      <c r="J126" s="21">
        <v>276600</v>
      </c>
      <c r="K126" s="21">
        <v>338800</v>
      </c>
      <c r="L126" s="21">
        <v>376800</v>
      </c>
      <c r="M126" s="21">
        <v>394300</v>
      </c>
      <c r="N126" s="21">
        <v>334800</v>
      </c>
      <c r="O126" s="21">
        <v>291800</v>
      </c>
      <c r="P126" s="21">
        <v>281100</v>
      </c>
      <c r="Q126" s="21">
        <v>261900</v>
      </c>
      <c r="R126" s="21">
        <v>279300</v>
      </c>
      <c r="S126" s="21">
        <v>187100</v>
      </c>
      <c r="T126" s="21">
        <v>250700</v>
      </c>
      <c r="U126" s="21">
        <v>330800</v>
      </c>
      <c r="V126" s="21">
        <v>402200</v>
      </c>
      <c r="W126" s="21">
        <v>287700</v>
      </c>
      <c r="X126" s="21">
        <v>329100</v>
      </c>
      <c r="Y126" s="21">
        <v>408100</v>
      </c>
      <c r="Z126" s="21">
        <v>509500</v>
      </c>
      <c r="AA126" s="21">
        <v>598900</v>
      </c>
      <c r="AB126" s="21">
        <v>359800</v>
      </c>
      <c r="AC126" s="21">
        <v>636600</v>
      </c>
      <c r="AD126" s="21">
        <v>1108900</v>
      </c>
      <c r="AE126" s="21">
        <v>614500</v>
      </c>
      <c r="AF126" s="21">
        <v>578800</v>
      </c>
      <c r="AG126" s="21">
        <v>861200</v>
      </c>
      <c r="AH126" s="21">
        <v>482100</v>
      </c>
      <c r="AI126" s="21">
        <v>392700</v>
      </c>
      <c r="AJ126" s="21">
        <v>353500</v>
      </c>
      <c r="AK126" s="21">
        <v>504700</v>
      </c>
      <c r="AL126" s="21">
        <v>333200</v>
      </c>
      <c r="AM126" s="21">
        <v>426900</v>
      </c>
      <c r="AN126" s="21">
        <v>412900</v>
      </c>
      <c r="AO126" s="21">
        <v>415200</v>
      </c>
      <c r="AP126" s="21">
        <v>337200</v>
      </c>
      <c r="AQ126" s="21">
        <v>318100</v>
      </c>
      <c r="AR126" s="21">
        <v>352000</v>
      </c>
      <c r="AS126" s="21">
        <v>463900</v>
      </c>
      <c r="AT126" s="21">
        <v>353500</v>
      </c>
      <c r="AU126" s="21">
        <v>368400</v>
      </c>
      <c r="AV126" s="21">
        <v>345100</v>
      </c>
      <c r="AW126" s="21">
        <v>336400</v>
      </c>
      <c r="AX126" s="21">
        <v>402700</v>
      </c>
      <c r="AY126" s="21">
        <v>1019500</v>
      </c>
      <c r="AZ126" s="21">
        <v>454100</v>
      </c>
      <c r="BA126" s="21">
        <v>284600</v>
      </c>
      <c r="BB126" s="21">
        <v>464500</v>
      </c>
      <c r="BC126" s="21">
        <v>422100</v>
      </c>
      <c r="BD126" s="21">
        <v>659600</v>
      </c>
      <c r="BE126" s="21">
        <v>961800</v>
      </c>
      <c r="BF126" s="21">
        <v>255000</v>
      </c>
      <c r="BG126" s="21">
        <v>198500</v>
      </c>
      <c r="BH126" s="21">
        <v>148500</v>
      </c>
      <c r="BI126" s="21">
        <v>153800</v>
      </c>
      <c r="BJ126" s="21">
        <v>151700</v>
      </c>
      <c r="BK126" s="21">
        <v>173300</v>
      </c>
      <c r="BL126" s="21">
        <v>150900</v>
      </c>
      <c r="BM126" s="1">
        <v>219500</v>
      </c>
      <c r="BN126" s="1">
        <v>181800</v>
      </c>
      <c r="BO126" s="1">
        <v>206700</v>
      </c>
      <c r="BP126" s="1">
        <v>339200</v>
      </c>
      <c r="BQ126" s="1">
        <v>339300</v>
      </c>
      <c r="BR126" s="1">
        <v>300600</v>
      </c>
      <c r="BS126" s="1">
        <v>337200</v>
      </c>
      <c r="BT126" s="1">
        <v>255600</v>
      </c>
      <c r="BU126" s="1">
        <v>188700</v>
      </c>
      <c r="BV126" s="1">
        <v>183900</v>
      </c>
      <c r="BW126" s="1">
        <v>214800</v>
      </c>
      <c r="BX126" s="1">
        <v>142500</v>
      </c>
      <c r="BY126" s="1">
        <v>227900</v>
      </c>
      <c r="BZ126" s="1">
        <v>258800</v>
      </c>
    </row>
    <row r="127" spans="1:78" ht="15.9" customHeight="1">
      <c r="A127" s="393" t="s">
        <v>249</v>
      </c>
      <c r="B127" s="46" t="s">
        <v>250</v>
      </c>
      <c r="C127" s="50">
        <f>_xll.RssMarket("9532","出来高")</f>
        <v>357600</v>
      </c>
      <c r="D127" s="202">
        <f t="shared" si="1"/>
        <v>-442900</v>
      </c>
      <c r="E127" s="200">
        <v>800500</v>
      </c>
      <c r="F127" s="21">
        <v>987800</v>
      </c>
      <c r="G127" s="21">
        <v>1367100</v>
      </c>
      <c r="H127" s="21">
        <v>2964400</v>
      </c>
      <c r="I127" s="21">
        <v>995000</v>
      </c>
      <c r="J127" s="21">
        <v>857500</v>
      </c>
      <c r="K127" s="21">
        <v>837900</v>
      </c>
      <c r="L127" s="21">
        <v>641300</v>
      </c>
      <c r="M127" s="21">
        <v>832600</v>
      </c>
      <c r="N127" s="21">
        <v>873800</v>
      </c>
      <c r="O127" s="21">
        <v>824400</v>
      </c>
      <c r="P127" s="21">
        <v>869200</v>
      </c>
      <c r="Q127" s="21">
        <v>606800</v>
      </c>
      <c r="R127" s="21">
        <v>595700</v>
      </c>
      <c r="S127" s="21">
        <v>693900</v>
      </c>
      <c r="T127" s="21">
        <v>849100</v>
      </c>
      <c r="U127" s="21">
        <v>895500</v>
      </c>
      <c r="V127" s="21">
        <v>850600</v>
      </c>
      <c r="W127" s="21">
        <v>846600</v>
      </c>
      <c r="X127" s="21">
        <v>602700</v>
      </c>
      <c r="Y127" s="21">
        <v>688800</v>
      </c>
      <c r="Z127" s="21">
        <v>756200</v>
      </c>
      <c r="AA127" s="21">
        <v>1024500</v>
      </c>
      <c r="AB127" s="21">
        <v>1088500</v>
      </c>
      <c r="AC127" s="21">
        <v>792700</v>
      </c>
      <c r="AD127" s="21">
        <v>560600</v>
      </c>
      <c r="AE127" s="21">
        <v>624100</v>
      </c>
      <c r="AF127" s="21">
        <v>601500</v>
      </c>
      <c r="AG127" s="21">
        <v>803400</v>
      </c>
      <c r="AH127" s="21">
        <v>660900</v>
      </c>
      <c r="AI127" s="21">
        <v>1592500</v>
      </c>
      <c r="AJ127" s="21">
        <v>668000</v>
      </c>
      <c r="AK127" s="21">
        <v>723500</v>
      </c>
      <c r="AL127" s="21">
        <v>832500</v>
      </c>
      <c r="AM127" s="21">
        <v>1027900</v>
      </c>
      <c r="AN127" s="21">
        <v>1453600</v>
      </c>
      <c r="AO127" s="21">
        <v>1226400</v>
      </c>
      <c r="AP127" s="21">
        <v>1014400</v>
      </c>
      <c r="AQ127" s="21">
        <v>905300</v>
      </c>
      <c r="AR127" s="21">
        <v>937400</v>
      </c>
      <c r="AS127" s="21">
        <v>932500</v>
      </c>
      <c r="AT127" s="21">
        <v>1413400</v>
      </c>
      <c r="AU127" s="21">
        <v>1277500</v>
      </c>
      <c r="AV127" s="21">
        <v>4161400</v>
      </c>
      <c r="AW127" s="21">
        <v>1339000</v>
      </c>
      <c r="AX127" s="21">
        <v>1454500</v>
      </c>
      <c r="AY127" s="21">
        <v>874800</v>
      </c>
      <c r="AZ127" s="21">
        <v>748600</v>
      </c>
      <c r="BA127" s="21">
        <v>932400</v>
      </c>
      <c r="BB127" s="21">
        <v>813400</v>
      </c>
      <c r="BC127" s="21">
        <v>983600</v>
      </c>
      <c r="BD127" s="21">
        <v>956900</v>
      </c>
      <c r="BE127" s="21">
        <v>829800</v>
      </c>
      <c r="BF127" s="21">
        <v>684300</v>
      </c>
      <c r="BG127" s="21">
        <v>861400</v>
      </c>
      <c r="BH127" s="21">
        <v>1699300</v>
      </c>
      <c r="BI127" s="21">
        <v>1649200</v>
      </c>
      <c r="BJ127" s="21">
        <v>2354200</v>
      </c>
      <c r="BK127" s="21">
        <v>1479400</v>
      </c>
      <c r="BL127" s="21">
        <v>1004000</v>
      </c>
      <c r="BM127" s="1">
        <v>2041600</v>
      </c>
      <c r="BN127" s="1">
        <v>1121500</v>
      </c>
      <c r="BO127" s="1">
        <v>756600</v>
      </c>
      <c r="BP127" s="1">
        <v>936500</v>
      </c>
      <c r="BQ127" s="1">
        <v>1086600</v>
      </c>
      <c r="BR127" s="1">
        <v>799500</v>
      </c>
      <c r="BS127" s="1">
        <v>1155800</v>
      </c>
      <c r="BT127" s="1">
        <v>1217700</v>
      </c>
      <c r="BU127" s="1">
        <v>1008700</v>
      </c>
      <c r="BV127" s="1">
        <v>832500</v>
      </c>
      <c r="BW127" s="1">
        <v>825600</v>
      </c>
      <c r="BX127" s="1">
        <v>871200</v>
      </c>
      <c r="BY127" s="1">
        <v>932700</v>
      </c>
      <c r="BZ127" s="1">
        <v>1191500</v>
      </c>
    </row>
    <row r="128" spans="1:78" ht="15.9" customHeight="1">
      <c r="A128" s="393" t="s">
        <v>251</v>
      </c>
      <c r="B128" s="46" t="s">
        <v>252</v>
      </c>
      <c r="C128" s="50">
        <f>_xll.RssMarket("6330","出来高")</f>
        <v>1282600</v>
      </c>
      <c r="D128" s="202">
        <f t="shared" si="1"/>
        <v>-509300</v>
      </c>
      <c r="E128" s="200">
        <v>1791900</v>
      </c>
      <c r="F128" s="21">
        <v>1414100</v>
      </c>
      <c r="G128" s="21">
        <v>1672900</v>
      </c>
      <c r="H128" s="21">
        <v>1839600</v>
      </c>
      <c r="I128" s="21">
        <v>2677300</v>
      </c>
      <c r="J128" s="21">
        <v>3461300</v>
      </c>
      <c r="K128" s="21">
        <v>6172400</v>
      </c>
      <c r="L128" s="21"/>
      <c r="M128" s="21">
        <v>1254600</v>
      </c>
      <c r="N128" s="21">
        <v>2626900</v>
      </c>
      <c r="O128" s="21">
        <v>2451800</v>
      </c>
      <c r="P128" s="21">
        <v>2867300</v>
      </c>
      <c r="Q128" s="21">
        <v>1346500</v>
      </c>
      <c r="R128" s="21">
        <v>1179200</v>
      </c>
      <c r="S128" s="21">
        <v>897100</v>
      </c>
      <c r="T128" s="21">
        <v>992100</v>
      </c>
      <c r="U128" s="21">
        <v>754500</v>
      </c>
      <c r="V128" s="21">
        <v>1185500</v>
      </c>
      <c r="W128" s="21">
        <v>1377000</v>
      </c>
      <c r="X128" s="21">
        <v>1767100</v>
      </c>
      <c r="Y128" s="21">
        <v>1102800</v>
      </c>
      <c r="Z128" s="21">
        <v>1798400</v>
      </c>
      <c r="AA128" s="21">
        <v>1792300</v>
      </c>
      <c r="AB128" s="21">
        <v>4022900</v>
      </c>
      <c r="AC128" s="21">
        <v>3054000</v>
      </c>
      <c r="AD128" s="21">
        <v>915900</v>
      </c>
      <c r="AE128" s="21">
        <v>941100</v>
      </c>
      <c r="AF128" s="21">
        <v>867200</v>
      </c>
      <c r="AG128" s="21">
        <v>1111600</v>
      </c>
      <c r="AH128" s="21">
        <v>847000</v>
      </c>
      <c r="AI128" s="21">
        <v>1868500</v>
      </c>
      <c r="AJ128" s="21">
        <v>1787600</v>
      </c>
      <c r="AK128" s="21">
        <v>1837600</v>
      </c>
      <c r="AL128" s="21">
        <v>1268200</v>
      </c>
      <c r="AM128" s="21">
        <v>2039700</v>
      </c>
      <c r="AN128" s="21">
        <v>949100</v>
      </c>
      <c r="AO128" s="21">
        <v>1203900</v>
      </c>
      <c r="AP128" s="21">
        <v>1040300</v>
      </c>
      <c r="AQ128" s="21">
        <v>1183700</v>
      </c>
      <c r="AR128" s="21">
        <v>1427900</v>
      </c>
      <c r="AS128" s="21">
        <v>780600</v>
      </c>
      <c r="AT128" s="21">
        <v>1792600</v>
      </c>
      <c r="AU128" s="21">
        <v>1533200</v>
      </c>
      <c r="AV128" s="21">
        <v>1253300</v>
      </c>
      <c r="AW128" s="21">
        <v>1341100</v>
      </c>
      <c r="AX128" s="21">
        <v>1312600</v>
      </c>
      <c r="AY128" s="21">
        <v>1601100</v>
      </c>
      <c r="AZ128" s="21">
        <v>1797800</v>
      </c>
      <c r="BA128" s="21">
        <v>1007100</v>
      </c>
      <c r="BB128" s="21">
        <v>1997300</v>
      </c>
      <c r="BC128" s="21">
        <v>1768600</v>
      </c>
      <c r="BD128" s="21">
        <v>1519100</v>
      </c>
      <c r="BE128" s="21">
        <v>3032800</v>
      </c>
      <c r="BF128" s="21">
        <v>8663900</v>
      </c>
      <c r="BG128" s="21">
        <v>1241700</v>
      </c>
      <c r="BH128" s="21">
        <v>1514900</v>
      </c>
      <c r="BI128" s="21">
        <v>1535900</v>
      </c>
      <c r="BJ128" s="21">
        <v>1278200</v>
      </c>
      <c r="BK128" s="21">
        <v>1391600</v>
      </c>
      <c r="BL128" s="21">
        <v>1327900</v>
      </c>
      <c r="BM128" s="1">
        <v>1554600</v>
      </c>
      <c r="BN128" s="1">
        <v>1799200</v>
      </c>
      <c r="BO128" s="1">
        <v>1393200</v>
      </c>
      <c r="BP128" s="1">
        <v>1420500</v>
      </c>
      <c r="BQ128" s="1">
        <v>2048800</v>
      </c>
      <c r="BR128" s="1">
        <v>2023100</v>
      </c>
      <c r="BS128" s="1">
        <v>2951600</v>
      </c>
      <c r="BT128" s="1">
        <v>6094400</v>
      </c>
      <c r="BU128" s="1">
        <v>5076900</v>
      </c>
      <c r="BV128" s="1">
        <v>2832800</v>
      </c>
      <c r="BW128" s="1">
        <v>2740200</v>
      </c>
      <c r="BX128" s="1">
        <v>4463600</v>
      </c>
      <c r="BY128" s="1">
        <v>1779800</v>
      </c>
      <c r="BZ128" s="1">
        <v>2625400</v>
      </c>
    </row>
    <row r="129" spans="1:78" ht="15.9" customHeight="1">
      <c r="A129" s="393" t="s">
        <v>253</v>
      </c>
      <c r="B129" s="46" t="s">
        <v>254</v>
      </c>
      <c r="C129" s="50">
        <f>_xll.RssMarket("4082","出来高")</f>
        <v>238900</v>
      </c>
      <c r="D129" s="202">
        <f t="shared" si="1"/>
        <v>57300</v>
      </c>
      <c r="E129" s="200">
        <v>181600</v>
      </c>
      <c r="F129" s="21">
        <v>218500</v>
      </c>
      <c r="G129" s="21">
        <v>135500</v>
      </c>
      <c r="H129" s="21">
        <v>184000</v>
      </c>
      <c r="I129" s="21">
        <v>306300</v>
      </c>
      <c r="J129" s="21">
        <v>149900</v>
      </c>
      <c r="K129" s="21">
        <v>124100</v>
      </c>
      <c r="L129" s="21">
        <v>140500</v>
      </c>
      <c r="M129" s="21">
        <v>148600</v>
      </c>
      <c r="N129" s="21">
        <v>167300</v>
      </c>
      <c r="O129" s="21">
        <v>273800</v>
      </c>
      <c r="P129" s="21">
        <v>381600</v>
      </c>
      <c r="Q129" s="21">
        <v>121000</v>
      </c>
      <c r="R129" s="21">
        <v>133400</v>
      </c>
      <c r="S129" s="21">
        <v>157400</v>
      </c>
      <c r="T129" s="21">
        <v>141100</v>
      </c>
      <c r="U129" s="21">
        <v>162900</v>
      </c>
      <c r="V129" s="21">
        <v>215000</v>
      </c>
      <c r="W129" s="21">
        <v>140700</v>
      </c>
      <c r="X129" s="21">
        <v>119900</v>
      </c>
      <c r="Y129" s="21">
        <v>151800</v>
      </c>
      <c r="Z129" s="21">
        <v>138600</v>
      </c>
      <c r="AA129" s="21">
        <v>123100</v>
      </c>
      <c r="AB129" s="21">
        <v>151000</v>
      </c>
      <c r="AC129" s="21">
        <v>237100</v>
      </c>
      <c r="AD129" s="21">
        <v>193200</v>
      </c>
      <c r="AE129" s="21">
        <v>457500</v>
      </c>
      <c r="AF129" s="21">
        <v>185800</v>
      </c>
      <c r="AG129" s="21">
        <v>286000</v>
      </c>
      <c r="AH129" s="21">
        <v>291900</v>
      </c>
      <c r="AI129" s="21">
        <v>246300</v>
      </c>
      <c r="AJ129" s="21">
        <v>307900</v>
      </c>
      <c r="AK129" s="21">
        <v>270500</v>
      </c>
      <c r="AL129" s="21">
        <v>251500</v>
      </c>
      <c r="AM129" s="21">
        <v>267700</v>
      </c>
      <c r="AN129" s="21">
        <v>246100</v>
      </c>
      <c r="AO129" s="21">
        <v>300800</v>
      </c>
      <c r="AP129" s="21">
        <v>378400</v>
      </c>
      <c r="AQ129" s="21">
        <v>394900</v>
      </c>
      <c r="AR129" s="21">
        <v>222900</v>
      </c>
      <c r="AS129" s="21">
        <v>271500</v>
      </c>
      <c r="AT129" s="21">
        <v>337500</v>
      </c>
      <c r="AU129" s="21">
        <v>391600</v>
      </c>
      <c r="AV129" s="21">
        <v>902100</v>
      </c>
      <c r="AW129" s="21">
        <v>354900</v>
      </c>
      <c r="AX129" s="21">
        <v>486800</v>
      </c>
      <c r="AY129" s="21">
        <v>375500</v>
      </c>
      <c r="AZ129" s="21">
        <v>254200</v>
      </c>
      <c r="BA129" s="21">
        <v>313200</v>
      </c>
      <c r="BB129" s="21">
        <v>496400</v>
      </c>
      <c r="BC129" s="21">
        <v>282500</v>
      </c>
      <c r="BD129" s="21">
        <v>394100</v>
      </c>
      <c r="BE129" s="21">
        <v>1182400</v>
      </c>
      <c r="BF129" s="21">
        <v>441900</v>
      </c>
      <c r="BG129" s="21">
        <v>654500</v>
      </c>
      <c r="BH129" s="21">
        <v>577300</v>
      </c>
      <c r="BI129" s="21">
        <v>936600</v>
      </c>
      <c r="BJ129" s="21">
        <v>750000</v>
      </c>
      <c r="BK129" s="21">
        <v>317100</v>
      </c>
      <c r="BL129" s="21">
        <v>192600</v>
      </c>
      <c r="BM129" s="1">
        <v>254500</v>
      </c>
      <c r="BN129" s="1">
        <v>191000</v>
      </c>
      <c r="BO129" s="1">
        <v>301400</v>
      </c>
      <c r="BP129" s="1">
        <v>841000</v>
      </c>
      <c r="BQ129" s="1">
        <v>283300</v>
      </c>
      <c r="BR129" s="1">
        <v>286100</v>
      </c>
      <c r="BS129" s="1">
        <v>1001100</v>
      </c>
      <c r="BT129" s="1">
        <v>1438600</v>
      </c>
      <c r="BU129" s="1">
        <v>723100</v>
      </c>
      <c r="BV129" s="1">
        <v>583600</v>
      </c>
      <c r="BW129" s="1">
        <v>281800</v>
      </c>
      <c r="BX129" s="1">
        <v>244000</v>
      </c>
      <c r="BY129" s="1">
        <v>170000</v>
      </c>
      <c r="BZ129" s="1">
        <v>308000</v>
      </c>
    </row>
    <row r="130" spans="1:78" ht="15.9" customHeight="1">
      <c r="A130" s="393" t="s">
        <v>255</v>
      </c>
      <c r="B130" s="46" t="s">
        <v>256</v>
      </c>
      <c r="C130" s="50">
        <f>_xll.RssMarket("4519","出来高")</f>
        <v>1376300</v>
      </c>
      <c r="D130" s="202">
        <f t="shared" si="1"/>
        <v>-1637400</v>
      </c>
      <c r="E130" s="200">
        <v>3013700</v>
      </c>
      <c r="F130" s="21">
        <v>3532400</v>
      </c>
      <c r="G130" s="21">
        <v>2876800</v>
      </c>
      <c r="H130" s="21">
        <v>2701800</v>
      </c>
      <c r="I130" s="21">
        <v>2859900</v>
      </c>
      <c r="J130" s="21">
        <v>4135500</v>
      </c>
      <c r="K130" s="21">
        <v>6311000</v>
      </c>
      <c r="L130" s="21"/>
      <c r="M130" s="21">
        <v>2609800</v>
      </c>
      <c r="N130" s="21">
        <v>2064700</v>
      </c>
      <c r="O130" s="21">
        <v>3264000</v>
      </c>
      <c r="P130" s="21">
        <v>2964200</v>
      </c>
      <c r="Q130" s="21">
        <v>2330400</v>
      </c>
      <c r="R130" s="21">
        <v>1973600</v>
      </c>
      <c r="S130" s="21">
        <v>2054100</v>
      </c>
      <c r="T130" s="21">
        <v>2663200</v>
      </c>
      <c r="U130" s="21">
        <v>2213200</v>
      </c>
      <c r="V130" s="21">
        <v>3515600</v>
      </c>
      <c r="W130" s="21">
        <v>2451200</v>
      </c>
      <c r="X130" s="21">
        <v>1563600</v>
      </c>
      <c r="Y130" s="21">
        <v>2754300</v>
      </c>
      <c r="Z130" s="21">
        <v>2366800</v>
      </c>
      <c r="AA130" s="21">
        <v>2245500</v>
      </c>
      <c r="AB130" s="21">
        <v>2303800</v>
      </c>
      <c r="AC130" s="21">
        <v>2809400</v>
      </c>
      <c r="AD130" s="21">
        <v>2058200</v>
      </c>
      <c r="AE130" s="21">
        <v>1882900</v>
      </c>
      <c r="AF130" s="21">
        <v>1977300</v>
      </c>
      <c r="AG130" s="21">
        <v>2411300</v>
      </c>
      <c r="AH130" s="21">
        <v>1238100</v>
      </c>
      <c r="AI130" s="21">
        <v>3697700</v>
      </c>
      <c r="AJ130" s="21">
        <v>1954000</v>
      </c>
      <c r="AK130" s="21">
        <v>1745000</v>
      </c>
      <c r="AL130" s="21">
        <v>2083200</v>
      </c>
      <c r="AM130" s="21">
        <v>1824000</v>
      </c>
      <c r="AN130" s="21">
        <v>2581900</v>
      </c>
      <c r="AO130" s="21">
        <v>2164800</v>
      </c>
      <c r="AP130" s="21">
        <v>2962000</v>
      </c>
      <c r="AQ130" s="21">
        <v>2319900</v>
      </c>
      <c r="AR130" s="21">
        <v>2116500</v>
      </c>
      <c r="AS130" s="21">
        <v>2311000</v>
      </c>
      <c r="AT130" s="21">
        <v>2654400</v>
      </c>
      <c r="AU130" s="21">
        <v>2597400</v>
      </c>
      <c r="AV130" s="21">
        <v>5543000</v>
      </c>
      <c r="AW130" s="21">
        <v>1962700</v>
      </c>
      <c r="AX130" s="21">
        <v>3277400</v>
      </c>
      <c r="AY130" s="21">
        <v>1670400</v>
      </c>
      <c r="AZ130" s="21">
        <v>1924300</v>
      </c>
      <c r="BA130" s="21">
        <v>2152600</v>
      </c>
      <c r="BB130" s="21">
        <v>2507400</v>
      </c>
      <c r="BC130" s="21">
        <v>2367900</v>
      </c>
      <c r="BD130" s="21">
        <v>1512400</v>
      </c>
      <c r="BE130" s="21">
        <v>2260800</v>
      </c>
      <c r="BF130" s="21">
        <v>2811500</v>
      </c>
      <c r="BG130" s="21">
        <v>2385200</v>
      </c>
      <c r="BH130" s="21">
        <v>2123700</v>
      </c>
      <c r="BI130" s="21">
        <v>3038800</v>
      </c>
      <c r="BJ130" s="21">
        <v>4228200</v>
      </c>
      <c r="BK130" s="21">
        <v>6790800</v>
      </c>
      <c r="BL130" s="21">
        <v>5927700</v>
      </c>
      <c r="BM130" s="1">
        <v>6603000</v>
      </c>
      <c r="BN130" s="1">
        <v>5707500</v>
      </c>
      <c r="BO130" s="1">
        <v>10085300</v>
      </c>
      <c r="BP130" s="1">
        <v>4079800</v>
      </c>
      <c r="BQ130" s="1">
        <v>2796800</v>
      </c>
      <c r="BR130" s="1">
        <v>2860500</v>
      </c>
      <c r="BS130" s="1">
        <v>2248400</v>
      </c>
      <c r="BT130" s="1">
        <v>3234900</v>
      </c>
      <c r="BU130" s="1">
        <v>2446500</v>
      </c>
      <c r="BV130" s="1">
        <v>2218700</v>
      </c>
      <c r="BW130" s="1">
        <v>1925400</v>
      </c>
      <c r="BX130" s="1">
        <v>1975400</v>
      </c>
      <c r="BY130" s="1">
        <v>1432700</v>
      </c>
      <c r="BZ130" s="1">
        <v>2506100</v>
      </c>
    </row>
    <row r="131" spans="1:78" ht="15.9" customHeight="1">
      <c r="A131" s="393" t="s">
        <v>257</v>
      </c>
      <c r="B131" s="46" t="s">
        <v>258</v>
      </c>
      <c r="C131" s="50">
        <f>_xll.RssMarket("2160","出来高")</f>
        <v>619200</v>
      </c>
      <c r="D131" s="202">
        <f t="shared" si="1"/>
        <v>65400</v>
      </c>
      <c r="E131" s="200">
        <v>553800</v>
      </c>
      <c r="F131" s="21">
        <v>673700</v>
      </c>
      <c r="G131" s="21">
        <v>996200</v>
      </c>
      <c r="H131" s="21">
        <v>1025200</v>
      </c>
      <c r="I131" s="21">
        <v>2109500</v>
      </c>
      <c r="J131" s="21">
        <v>1217300</v>
      </c>
      <c r="K131" s="21">
        <v>685000</v>
      </c>
      <c r="L131" s="21">
        <v>516900</v>
      </c>
      <c r="M131" s="21">
        <v>864900</v>
      </c>
      <c r="N131" s="21">
        <v>527300</v>
      </c>
      <c r="O131" s="21">
        <v>770900</v>
      </c>
      <c r="P131" s="21">
        <v>1307000</v>
      </c>
      <c r="Q131" s="21">
        <v>560700</v>
      </c>
      <c r="R131" s="21">
        <v>474700</v>
      </c>
      <c r="S131" s="21">
        <v>438700</v>
      </c>
      <c r="T131" s="21">
        <v>429300</v>
      </c>
      <c r="U131" s="21">
        <v>750100</v>
      </c>
      <c r="V131" s="21">
        <v>1320700</v>
      </c>
      <c r="W131" s="21">
        <v>735900</v>
      </c>
      <c r="X131" s="21">
        <v>881000</v>
      </c>
      <c r="Y131" s="21">
        <v>900200</v>
      </c>
      <c r="Z131" s="21">
        <v>971900</v>
      </c>
      <c r="AA131" s="21">
        <v>867500</v>
      </c>
      <c r="AB131" s="21">
        <v>1082500</v>
      </c>
      <c r="AC131" s="21">
        <v>1299100</v>
      </c>
      <c r="AD131" s="21">
        <v>680600</v>
      </c>
      <c r="AE131" s="21">
        <v>543800</v>
      </c>
      <c r="AF131" s="21">
        <v>463200</v>
      </c>
      <c r="AG131" s="21">
        <v>639600</v>
      </c>
      <c r="AH131" s="21">
        <v>949300</v>
      </c>
      <c r="AI131" s="21">
        <v>1189100</v>
      </c>
      <c r="AJ131" s="21">
        <v>954900</v>
      </c>
      <c r="AK131" s="21">
        <v>850200</v>
      </c>
      <c r="AL131" s="21">
        <v>1242800</v>
      </c>
      <c r="AM131" s="21">
        <v>1265600</v>
      </c>
      <c r="AN131" s="21">
        <v>1907600</v>
      </c>
      <c r="AO131" s="21">
        <v>1518500</v>
      </c>
      <c r="AP131" s="21">
        <v>1407600</v>
      </c>
      <c r="AQ131" s="21">
        <v>3745100</v>
      </c>
      <c r="AR131" s="21">
        <v>1398100</v>
      </c>
      <c r="AS131" s="21">
        <v>988600</v>
      </c>
      <c r="AT131" s="21">
        <v>1109900</v>
      </c>
      <c r="AU131" s="21">
        <v>1177000</v>
      </c>
      <c r="AV131" s="21">
        <v>1068600</v>
      </c>
      <c r="AW131" s="21">
        <v>1641100</v>
      </c>
      <c r="AX131" s="21">
        <v>1147400</v>
      </c>
      <c r="AY131" s="21">
        <v>709500</v>
      </c>
      <c r="AZ131" s="21">
        <v>827600</v>
      </c>
      <c r="BA131" s="21">
        <v>969800</v>
      </c>
      <c r="BB131" s="21">
        <v>1241200</v>
      </c>
      <c r="BC131" s="21">
        <v>1559900</v>
      </c>
      <c r="BD131" s="21">
        <v>2804300</v>
      </c>
      <c r="BE131" s="21">
        <v>1188700</v>
      </c>
      <c r="BF131" s="21">
        <v>1266500</v>
      </c>
      <c r="BG131" s="21">
        <v>2154700</v>
      </c>
      <c r="BH131" s="21">
        <v>620100</v>
      </c>
      <c r="BI131" s="21">
        <v>600900</v>
      </c>
      <c r="BJ131" s="21">
        <v>947300</v>
      </c>
      <c r="BK131" s="21">
        <v>602300</v>
      </c>
      <c r="BL131" s="21">
        <v>938800</v>
      </c>
      <c r="BM131" s="1">
        <v>1695800</v>
      </c>
      <c r="BN131" s="1">
        <v>389100</v>
      </c>
      <c r="BO131" s="1">
        <v>426400</v>
      </c>
      <c r="BP131" s="1">
        <v>801200</v>
      </c>
      <c r="BQ131" s="1">
        <v>1160700</v>
      </c>
      <c r="BR131" s="1">
        <v>880800</v>
      </c>
      <c r="BS131" s="1">
        <v>997500</v>
      </c>
      <c r="BT131" s="1">
        <v>1171300</v>
      </c>
      <c r="BU131" s="1">
        <v>641500</v>
      </c>
      <c r="BV131" s="1">
        <v>714800</v>
      </c>
      <c r="BW131" s="1">
        <v>1279600</v>
      </c>
      <c r="BX131" s="1">
        <v>623500</v>
      </c>
      <c r="BY131" s="1">
        <v>750900</v>
      </c>
      <c r="BZ131" s="1">
        <v>926400</v>
      </c>
    </row>
    <row r="132" spans="1:78" ht="15.9" customHeight="1">
      <c r="A132" s="393" t="s">
        <v>259</v>
      </c>
      <c r="B132" s="46" t="s">
        <v>260</v>
      </c>
      <c r="C132" s="50">
        <f>_xll.RssMarket("6227","出来高")</f>
        <v>937300</v>
      </c>
      <c r="D132" s="202">
        <f t="shared" si="1"/>
        <v>117800</v>
      </c>
      <c r="E132" s="200">
        <v>819500</v>
      </c>
      <c r="F132" s="21">
        <v>781900</v>
      </c>
      <c r="G132" s="21">
        <v>1550300</v>
      </c>
      <c r="H132" s="21">
        <v>1199300</v>
      </c>
      <c r="I132" s="21">
        <v>1386800</v>
      </c>
      <c r="J132" s="21">
        <v>1078000</v>
      </c>
      <c r="K132" s="21">
        <v>805200</v>
      </c>
      <c r="L132" s="21"/>
      <c r="M132" s="21">
        <v>2648000</v>
      </c>
      <c r="N132" s="21">
        <v>2407600</v>
      </c>
      <c r="O132" s="21">
        <v>1464700</v>
      </c>
      <c r="P132" s="21">
        <v>1843000</v>
      </c>
      <c r="Q132" s="21">
        <v>1908000</v>
      </c>
      <c r="R132" s="21">
        <v>2402500</v>
      </c>
      <c r="S132" s="21">
        <v>4280900</v>
      </c>
      <c r="T132" s="21">
        <v>69800</v>
      </c>
      <c r="U132" s="21">
        <v>904400</v>
      </c>
      <c r="V132" s="21">
        <v>1072700</v>
      </c>
      <c r="W132" s="21">
        <v>1379300</v>
      </c>
      <c r="X132" s="21">
        <v>1269500</v>
      </c>
      <c r="Y132" s="21">
        <v>1040100</v>
      </c>
      <c r="Z132" s="21">
        <v>1219300</v>
      </c>
      <c r="AA132" s="21">
        <v>1709100</v>
      </c>
      <c r="AB132" s="21">
        <v>952900</v>
      </c>
      <c r="AC132" s="21">
        <v>876200</v>
      </c>
      <c r="AD132" s="21">
        <v>1625500</v>
      </c>
      <c r="AE132" s="21">
        <v>1310400</v>
      </c>
      <c r="AF132" s="21">
        <v>1165500</v>
      </c>
      <c r="AG132" s="21">
        <v>1282000</v>
      </c>
      <c r="AH132" s="21">
        <v>1776700</v>
      </c>
      <c r="AI132" s="21">
        <v>1346800</v>
      </c>
      <c r="AJ132" s="21">
        <v>2292200</v>
      </c>
      <c r="AK132" s="21">
        <v>1363100</v>
      </c>
      <c r="AL132" s="21">
        <v>1607600</v>
      </c>
      <c r="AM132" s="21">
        <v>2551200</v>
      </c>
      <c r="AN132" s="21">
        <v>1744300</v>
      </c>
      <c r="AO132" s="21">
        <v>1288600</v>
      </c>
      <c r="AP132" s="21">
        <v>1698900</v>
      </c>
      <c r="AQ132" s="21">
        <v>2869100</v>
      </c>
      <c r="AR132" s="21">
        <v>2426200</v>
      </c>
      <c r="AS132" s="21">
        <v>1733900</v>
      </c>
      <c r="AT132" s="21">
        <v>1304800</v>
      </c>
      <c r="AU132" s="21">
        <v>1180700</v>
      </c>
      <c r="AV132" s="21">
        <v>771600</v>
      </c>
      <c r="AW132" s="21">
        <v>1051000</v>
      </c>
      <c r="AX132" s="21">
        <v>1493600</v>
      </c>
      <c r="AY132" s="21">
        <v>1344400</v>
      </c>
      <c r="AZ132" s="21">
        <v>2369300</v>
      </c>
      <c r="BA132" s="21">
        <v>2233700</v>
      </c>
      <c r="BB132" s="21">
        <v>1396300</v>
      </c>
      <c r="BC132" s="21">
        <v>2189500</v>
      </c>
      <c r="BD132" s="21">
        <v>708600</v>
      </c>
      <c r="BE132" s="21">
        <v>1208800</v>
      </c>
      <c r="BF132" s="21">
        <v>1163500</v>
      </c>
      <c r="BG132" s="21">
        <v>686300</v>
      </c>
      <c r="BH132" s="21">
        <v>1315800</v>
      </c>
      <c r="BI132" s="21">
        <v>841100</v>
      </c>
      <c r="BJ132" s="21">
        <v>685500</v>
      </c>
      <c r="BK132" s="21">
        <v>1027000</v>
      </c>
      <c r="BL132" s="21">
        <v>503200</v>
      </c>
      <c r="BM132" s="1">
        <v>1002100</v>
      </c>
      <c r="BN132" s="1">
        <v>796600</v>
      </c>
      <c r="BO132" s="1">
        <v>823500</v>
      </c>
      <c r="BP132" s="1">
        <v>920000</v>
      </c>
      <c r="BQ132" s="1">
        <v>1696400</v>
      </c>
      <c r="BR132" s="1">
        <v>1002700</v>
      </c>
      <c r="BS132" s="1">
        <v>1369500</v>
      </c>
      <c r="BT132" s="1">
        <v>1120200</v>
      </c>
      <c r="BU132" s="1">
        <v>865900</v>
      </c>
      <c r="BV132" s="1">
        <v>1604600</v>
      </c>
      <c r="BW132" s="1">
        <v>4718900</v>
      </c>
      <c r="BX132" s="1">
        <v>1385400</v>
      </c>
      <c r="BY132" s="1">
        <v>1468000</v>
      </c>
      <c r="BZ132" s="1">
        <v>816300</v>
      </c>
    </row>
    <row r="133" spans="1:78" ht="15.9" customHeight="1">
      <c r="A133" s="393" t="s">
        <v>261</v>
      </c>
      <c r="B133" s="46" t="s">
        <v>262</v>
      </c>
      <c r="C133" s="50">
        <f>_xll.RssMarket("6327","出来高")</f>
        <v>745700</v>
      </c>
      <c r="D133" s="202">
        <f t="shared" si="1"/>
        <v>235700</v>
      </c>
      <c r="E133" s="200">
        <v>510000</v>
      </c>
      <c r="F133" s="21">
        <v>478800</v>
      </c>
      <c r="G133" s="21">
        <v>1309100</v>
      </c>
      <c r="H133" s="21">
        <v>1074500</v>
      </c>
      <c r="I133" s="21">
        <v>731800</v>
      </c>
      <c r="J133" s="21">
        <v>801600</v>
      </c>
      <c r="K133" s="21">
        <v>435200</v>
      </c>
      <c r="L133" s="21"/>
      <c r="M133" s="21">
        <v>443400</v>
      </c>
      <c r="N133" s="21">
        <v>1043400</v>
      </c>
      <c r="O133" s="21">
        <v>805200</v>
      </c>
      <c r="P133" s="21">
        <v>1170600</v>
      </c>
      <c r="Q133" s="21">
        <v>621100</v>
      </c>
      <c r="R133" s="21">
        <v>651300</v>
      </c>
      <c r="S133" s="21">
        <v>1174000</v>
      </c>
      <c r="T133" s="21">
        <v>1057100</v>
      </c>
      <c r="U133" s="21">
        <v>826100</v>
      </c>
      <c r="V133" s="21">
        <v>842500</v>
      </c>
      <c r="W133" s="21">
        <v>628900</v>
      </c>
      <c r="X133" s="21">
        <v>795300</v>
      </c>
      <c r="Y133" s="21">
        <v>1312200</v>
      </c>
      <c r="Z133" s="21">
        <v>1613800</v>
      </c>
      <c r="AA133" s="21">
        <v>1165300</v>
      </c>
      <c r="AB133" s="21">
        <v>835800</v>
      </c>
      <c r="AC133" s="21">
        <v>648300</v>
      </c>
      <c r="AD133" s="21">
        <v>938600</v>
      </c>
      <c r="AE133" s="21">
        <v>1078100</v>
      </c>
      <c r="AF133" s="21">
        <v>1122900</v>
      </c>
      <c r="AG133" s="21">
        <v>1804700</v>
      </c>
      <c r="AH133" s="21">
        <v>920600</v>
      </c>
      <c r="AI133" s="21">
        <v>1942000</v>
      </c>
      <c r="AJ133" s="21">
        <v>510200</v>
      </c>
      <c r="AK133" s="21">
        <v>918200</v>
      </c>
      <c r="AL133" s="21">
        <v>1048100</v>
      </c>
      <c r="AM133" s="21">
        <v>550600</v>
      </c>
      <c r="AN133" s="21">
        <v>610800</v>
      </c>
      <c r="AO133" s="21">
        <v>503400</v>
      </c>
      <c r="AP133" s="21">
        <v>536400</v>
      </c>
      <c r="AQ133" s="21">
        <v>834800</v>
      </c>
      <c r="AR133" s="21">
        <v>646800</v>
      </c>
      <c r="AS133" s="21">
        <v>928100</v>
      </c>
      <c r="AT133" s="21">
        <v>1186700</v>
      </c>
      <c r="AU133" s="21">
        <v>1239600</v>
      </c>
      <c r="AV133" s="21">
        <v>2346700</v>
      </c>
      <c r="AW133" s="21">
        <v>1309500</v>
      </c>
      <c r="AX133" s="21">
        <v>1310400</v>
      </c>
      <c r="AY133" s="21">
        <v>867700</v>
      </c>
      <c r="AZ133" s="21">
        <v>592400</v>
      </c>
      <c r="BA133" s="21">
        <v>254100</v>
      </c>
      <c r="BB133" s="21">
        <v>182800</v>
      </c>
      <c r="BC133" s="21">
        <v>209200</v>
      </c>
      <c r="BD133" s="21">
        <v>210800</v>
      </c>
      <c r="BE133" s="21">
        <v>193900</v>
      </c>
      <c r="BF133" s="21">
        <v>653300</v>
      </c>
      <c r="BG133" s="21">
        <v>686900</v>
      </c>
      <c r="BH133" s="21">
        <v>718800</v>
      </c>
      <c r="BI133" s="21">
        <v>778400</v>
      </c>
      <c r="BJ133" s="21">
        <v>853700</v>
      </c>
      <c r="BK133" s="21">
        <v>953500</v>
      </c>
      <c r="BL133" s="21">
        <v>584300</v>
      </c>
      <c r="BM133" s="1">
        <v>1570100</v>
      </c>
      <c r="BN133" s="1">
        <v>1523500</v>
      </c>
      <c r="BO133" s="1">
        <v>205800</v>
      </c>
      <c r="BP133" s="1">
        <v>142300</v>
      </c>
      <c r="BQ133" s="1">
        <v>175400</v>
      </c>
      <c r="BR133" s="1">
        <v>281100</v>
      </c>
      <c r="BS133" s="1">
        <v>452300</v>
      </c>
      <c r="BT133" s="1">
        <v>207800</v>
      </c>
      <c r="BU133" s="1">
        <v>250200</v>
      </c>
      <c r="BV133" s="1">
        <v>221700</v>
      </c>
      <c r="BW133" s="1">
        <v>439500</v>
      </c>
      <c r="BX133" s="1">
        <v>446900</v>
      </c>
      <c r="BY133" s="1">
        <v>376200</v>
      </c>
      <c r="BZ133" s="1">
        <v>777300</v>
      </c>
    </row>
    <row r="134" spans="1:78" ht="15.9" customHeight="1">
      <c r="A134" s="393" t="s">
        <v>263</v>
      </c>
      <c r="B134" s="46" t="s">
        <v>264</v>
      </c>
      <c r="C134" s="50">
        <f>_xll.RssMarket("3110","出来高")</f>
        <v>8213100</v>
      </c>
      <c r="D134" s="202">
        <f t="shared" ref="D134:D197" si="2">C134-E134</f>
        <v>8213100</v>
      </c>
      <c r="E134" s="200"/>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78" ht="15.9" customHeight="1">
      <c r="A135" s="393" t="s">
        <v>265</v>
      </c>
      <c r="B135" s="46" t="s">
        <v>266</v>
      </c>
      <c r="C135" s="50">
        <f>_xll.RssMarket("6232","出来高")</f>
        <v>529000</v>
      </c>
      <c r="D135" s="202">
        <f t="shared" si="2"/>
        <v>19000</v>
      </c>
      <c r="E135" s="200">
        <v>510000</v>
      </c>
      <c r="F135" s="21">
        <v>478800</v>
      </c>
      <c r="G135" s="21">
        <v>1309100</v>
      </c>
      <c r="H135" s="21">
        <v>1074500</v>
      </c>
      <c r="I135" s="21">
        <v>731800</v>
      </c>
      <c r="J135" s="21">
        <v>801600</v>
      </c>
      <c r="K135" s="21">
        <v>435200</v>
      </c>
      <c r="L135" s="21">
        <v>480700</v>
      </c>
      <c r="M135" s="21">
        <v>443400</v>
      </c>
      <c r="N135" s="21">
        <v>1043400</v>
      </c>
      <c r="O135" s="21">
        <v>805200</v>
      </c>
      <c r="P135" s="21">
        <v>1170600</v>
      </c>
      <c r="Q135" s="21">
        <v>621100</v>
      </c>
      <c r="R135" s="21">
        <v>651300</v>
      </c>
      <c r="S135" s="21">
        <v>1174000</v>
      </c>
      <c r="T135" s="21">
        <v>1057100</v>
      </c>
      <c r="U135" s="21">
        <v>826100</v>
      </c>
      <c r="V135" s="21">
        <v>842500</v>
      </c>
      <c r="W135" s="21">
        <v>628900</v>
      </c>
      <c r="X135" s="21">
        <v>795300</v>
      </c>
      <c r="Y135" s="21">
        <v>1312200</v>
      </c>
      <c r="Z135" s="21">
        <v>1613800</v>
      </c>
      <c r="AA135" s="21">
        <v>1165300</v>
      </c>
      <c r="AB135" s="21">
        <v>835800</v>
      </c>
      <c r="AC135" s="21">
        <v>648300</v>
      </c>
      <c r="AD135" s="21">
        <v>938600</v>
      </c>
      <c r="AE135" s="21">
        <v>1078100</v>
      </c>
      <c r="AF135" s="21">
        <v>1122900</v>
      </c>
      <c r="AG135" s="21">
        <v>1804700</v>
      </c>
      <c r="AH135" s="21">
        <v>920600</v>
      </c>
      <c r="AI135" s="21">
        <v>1942000</v>
      </c>
      <c r="AJ135" s="21">
        <v>510200</v>
      </c>
      <c r="AK135" s="21">
        <v>918200</v>
      </c>
      <c r="AL135" s="21">
        <v>1048100</v>
      </c>
      <c r="AM135" s="21">
        <v>550600</v>
      </c>
      <c r="AN135" s="21">
        <v>610800</v>
      </c>
      <c r="AO135" s="21">
        <v>503400</v>
      </c>
      <c r="AP135" s="21">
        <v>536400</v>
      </c>
      <c r="AQ135" s="21">
        <v>834800</v>
      </c>
      <c r="AR135" s="21">
        <v>646800</v>
      </c>
      <c r="AS135" s="21">
        <v>928100</v>
      </c>
      <c r="AT135" s="21">
        <v>1186700</v>
      </c>
      <c r="AU135" s="21">
        <v>1239600</v>
      </c>
      <c r="AV135" s="21">
        <v>2346700</v>
      </c>
      <c r="AW135" s="21">
        <v>1309500</v>
      </c>
      <c r="AX135" s="21">
        <v>1310400</v>
      </c>
      <c r="AY135" s="21">
        <v>867700</v>
      </c>
      <c r="AZ135" s="21">
        <v>592400</v>
      </c>
      <c r="BA135" s="21">
        <v>254100</v>
      </c>
      <c r="BB135" s="21">
        <v>182800</v>
      </c>
      <c r="BC135" s="21">
        <v>209200</v>
      </c>
      <c r="BD135" s="21">
        <v>210800</v>
      </c>
      <c r="BE135" s="21">
        <v>193900</v>
      </c>
      <c r="BF135" s="21">
        <v>653300</v>
      </c>
      <c r="BG135" s="21">
        <v>686900</v>
      </c>
      <c r="BH135" s="21">
        <v>718800</v>
      </c>
      <c r="BI135" s="21">
        <v>778400</v>
      </c>
      <c r="BJ135" s="21">
        <v>853700</v>
      </c>
      <c r="BK135" s="21">
        <v>953500</v>
      </c>
      <c r="BL135" s="21">
        <v>584300</v>
      </c>
      <c r="BM135" s="1">
        <v>1570100</v>
      </c>
      <c r="BN135" s="1">
        <v>1523500</v>
      </c>
      <c r="BO135" s="1">
        <v>205800</v>
      </c>
      <c r="BP135" s="1">
        <v>142300</v>
      </c>
      <c r="BQ135" s="1">
        <v>175400</v>
      </c>
      <c r="BR135" s="1">
        <v>281100</v>
      </c>
      <c r="BS135" s="1">
        <v>452300</v>
      </c>
      <c r="BT135" s="1">
        <v>207800</v>
      </c>
      <c r="BU135" s="1">
        <v>250200</v>
      </c>
      <c r="BV135" s="1">
        <v>221700</v>
      </c>
      <c r="BW135" s="1">
        <v>439500</v>
      </c>
      <c r="BX135" s="1">
        <v>446900</v>
      </c>
      <c r="BY135" s="1">
        <v>376200</v>
      </c>
      <c r="BZ135" s="1">
        <v>777300</v>
      </c>
    </row>
    <row r="136" spans="1:78" ht="15.9" customHeight="1">
      <c r="A136" s="393" t="s">
        <v>267</v>
      </c>
      <c r="B136" s="46" t="s">
        <v>268</v>
      </c>
      <c r="C136" s="50">
        <f>_xll.RssMarket("7794","出来高")</f>
        <v>274900</v>
      </c>
      <c r="D136" s="202">
        <f t="shared" si="2"/>
        <v>-1200</v>
      </c>
      <c r="E136" s="200">
        <v>276100</v>
      </c>
      <c r="F136" s="21">
        <v>255700</v>
      </c>
      <c r="G136" s="21">
        <v>640200</v>
      </c>
      <c r="H136" s="21">
        <v>344000</v>
      </c>
      <c r="I136" s="21">
        <v>504000</v>
      </c>
      <c r="J136" s="21">
        <v>358700</v>
      </c>
      <c r="K136" s="21">
        <v>309200</v>
      </c>
      <c r="L136" s="21"/>
      <c r="M136" s="21">
        <v>333900</v>
      </c>
      <c r="N136" s="21">
        <v>309800</v>
      </c>
      <c r="O136" s="21">
        <v>305200</v>
      </c>
      <c r="P136" s="21">
        <v>472900</v>
      </c>
      <c r="Q136" s="21">
        <v>250900</v>
      </c>
      <c r="R136" s="21">
        <v>351600</v>
      </c>
      <c r="S136" s="21">
        <v>354000</v>
      </c>
      <c r="T136" s="21">
        <v>243500</v>
      </c>
      <c r="U136" s="21">
        <v>242200</v>
      </c>
      <c r="V136" s="21">
        <v>222800</v>
      </c>
      <c r="W136" s="21">
        <v>326700</v>
      </c>
      <c r="X136" s="21">
        <v>421400</v>
      </c>
      <c r="Y136" s="21">
        <v>279000</v>
      </c>
      <c r="Z136" s="21">
        <v>364600</v>
      </c>
      <c r="AA136" s="21">
        <v>483600</v>
      </c>
      <c r="AB136" s="21">
        <v>896600</v>
      </c>
      <c r="AC136" s="21">
        <v>1070100</v>
      </c>
      <c r="AD136" s="21">
        <v>184000</v>
      </c>
      <c r="AE136" s="21">
        <v>238100</v>
      </c>
      <c r="AF136" s="21">
        <v>324600</v>
      </c>
      <c r="AG136" s="21">
        <v>322200</v>
      </c>
      <c r="AH136" s="21">
        <v>768700</v>
      </c>
      <c r="AI136" s="21">
        <v>249900</v>
      </c>
      <c r="AJ136" s="21">
        <v>239500</v>
      </c>
      <c r="AK136" s="21">
        <v>237400</v>
      </c>
      <c r="AL136" s="21">
        <v>154800</v>
      </c>
      <c r="AM136" s="21">
        <v>246100</v>
      </c>
      <c r="AN136" s="21">
        <v>191400</v>
      </c>
      <c r="AO136" s="21">
        <v>216800</v>
      </c>
      <c r="AP136" s="21">
        <v>252200</v>
      </c>
      <c r="AQ136" s="21">
        <v>672800</v>
      </c>
      <c r="AR136" s="21">
        <v>537700</v>
      </c>
      <c r="AS136" s="21">
        <v>718500</v>
      </c>
      <c r="AT136" s="21">
        <v>559200</v>
      </c>
      <c r="AU136" s="21">
        <v>600500</v>
      </c>
      <c r="AV136" s="21">
        <v>1514100</v>
      </c>
      <c r="AW136" s="21">
        <v>5140300</v>
      </c>
      <c r="AX136" s="21">
        <v>168400</v>
      </c>
      <c r="AY136" s="21">
        <v>268000</v>
      </c>
      <c r="AZ136" s="21">
        <v>191500</v>
      </c>
      <c r="BA136" s="21">
        <v>208500</v>
      </c>
      <c r="BB136" s="21">
        <v>280700</v>
      </c>
      <c r="BC136" s="21">
        <v>231200</v>
      </c>
      <c r="BD136" s="21">
        <v>316000</v>
      </c>
      <c r="BE136" s="21">
        <v>386400</v>
      </c>
      <c r="BF136" s="21">
        <v>1142100</v>
      </c>
      <c r="BG136" s="21">
        <v>320900</v>
      </c>
      <c r="BH136" s="21">
        <v>401100</v>
      </c>
      <c r="BI136" s="21">
        <v>549300</v>
      </c>
      <c r="BJ136" s="21">
        <v>597200</v>
      </c>
      <c r="BK136" s="21">
        <v>317600</v>
      </c>
      <c r="BL136" s="21">
        <v>446300</v>
      </c>
      <c r="BM136" s="1">
        <v>441500</v>
      </c>
      <c r="BN136" s="1">
        <v>255000</v>
      </c>
      <c r="BO136" s="1">
        <v>578400</v>
      </c>
      <c r="BP136" s="1">
        <v>715700</v>
      </c>
      <c r="BQ136" s="1">
        <v>884300</v>
      </c>
      <c r="BR136" s="1">
        <v>2651800</v>
      </c>
      <c r="BS136" s="1">
        <v>3163100</v>
      </c>
      <c r="BT136" s="1">
        <v>1875100</v>
      </c>
      <c r="BU136" s="1">
        <v>728700</v>
      </c>
      <c r="BV136" s="1">
        <v>481800</v>
      </c>
      <c r="BW136" s="1">
        <v>366300</v>
      </c>
      <c r="BX136" s="1">
        <v>303600</v>
      </c>
      <c r="BY136" s="1">
        <v>214200</v>
      </c>
      <c r="BZ136" s="1">
        <v>348800</v>
      </c>
    </row>
    <row r="137" spans="1:78" ht="15.9" customHeight="1">
      <c r="A137" s="393" t="s">
        <v>269</v>
      </c>
      <c r="B137" s="46" t="s">
        <v>270</v>
      </c>
      <c r="C137" s="50">
        <f>_xll.RssMarket("6085","出来高")</f>
        <v>1831800</v>
      </c>
      <c r="D137" s="202">
        <f t="shared" si="2"/>
        <v>-2065100</v>
      </c>
      <c r="E137" s="200">
        <v>3896900</v>
      </c>
      <c r="F137" s="21">
        <v>6517200</v>
      </c>
      <c r="G137" s="21">
        <v>5069500</v>
      </c>
      <c r="H137" s="21">
        <v>4032800</v>
      </c>
      <c r="I137" s="21">
        <v>6036600</v>
      </c>
      <c r="J137" s="21">
        <v>4530400</v>
      </c>
      <c r="K137" s="21">
        <v>3444100</v>
      </c>
      <c r="L137" s="21"/>
      <c r="M137" s="21">
        <v>5989800</v>
      </c>
      <c r="N137" s="21">
        <v>6703400</v>
      </c>
      <c r="O137" s="21">
        <v>4416800</v>
      </c>
      <c r="P137" s="21">
        <v>3927800</v>
      </c>
      <c r="Q137" s="21">
        <v>3055700</v>
      </c>
      <c r="R137" s="21">
        <v>1478300</v>
      </c>
      <c r="S137" s="21">
        <v>4029300</v>
      </c>
      <c r="T137" s="21">
        <v>1554200</v>
      </c>
      <c r="U137" s="21">
        <v>2547600</v>
      </c>
      <c r="V137" s="21">
        <v>3543000</v>
      </c>
      <c r="W137" s="21">
        <v>5095200</v>
      </c>
      <c r="X137" s="21">
        <v>4881800</v>
      </c>
      <c r="Y137" s="21">
        <v>3675900</v>
      </c>
      <c r="Z137" s="21">
        <v>1890600</v>
      </c>
      <c r="AA137" s="21">
        <v>2877900</v>
      </c>
      <c r="AB137" s="21">
        <v>1661200</v>
      </c>
      <c r="AC137" s="21">
        <v>2602600</v>
      </c>
      <c r="AD137" s="21">
        <v>1398900</v>
      </c>
      <c r="AE137" s="21">
        <v>1751700</v>
      </c>
      <c r="AF137" s="21">
        <v>2968000</v>
      </c>
      <c r="AG137" s="21">
        <v>6338500</v>
      </c>
      <c r="AH137" s="21">
        <v>5699400</v>
      </c>
      <c r="AI137" s="21">
        <v>2117900</v>
      </c>
      <c r="AJ137" s="21">
        <v>2541000</v>
      </c>
      <c r="AK137" s="21">
        <v>1747900</v>
      </c>
      <c r="AL137" s="21">
        <v>2216900</v>
      </c>
      <c r="AM137" s="21">
        <v>3367400</v>
      </c>
      <c r="AN137" s="21">
        <v>6084900</v>
      </c>
      <c r="AO137" s="21">
        <v>2333800</v>
      </c>
      <c r="AP137" s="21">
        <v>8186700</v>
      </c>
      <c r="AQ137" s="21">
        <v>3742700</v>
      </c>
      <c r="AR137" s="21">
        <v>5772500</v>
      </c>
      <c r="AS137" s="21">
        <v>3686000</v>
      </c>
      <c r="AT137" s="21">
        <v>6303200</v>
      </c>
      <c r="AU137" s="21">
        <v>7411900</v>
      </c>
      <c r="AV137" s="21">
        <v>4206200</v>
      </c>
      <c r="AW137" s="21">
        <v>6103400</v>
      </c>
      <c r="AX137" s="21">
        <v>6345100</v>
      </c>
      <c r="AY137" s="21">
        <v>3575200</v>
      </c>
      <c r="AZ137" s="21">
        <v>2850800</v>
      </c>
      <c r="BA137" s="21">
        <v>3262400</v>
      </c>
      <c r="BB137" s="21">
        <v>3479500</v>
      </c>
      <c r="BC137" s="21">
        <v>9027300</v>
      </c>
      <c r="BD137" s="21">
        <v>6048100</v>
      </c>
      <c r="BE137" s="21">
        <v>3280400</v>
      </c>
      <c r="BF137" s="21">
        <v>4924100</v>
      </c>
      <c r="BG137" s="21">
        <v>3642000</v>
      </c>
      <c r="BH137" s="21">
        <v>2040500</v>
      </c>
      <c r="BI137" s="21">
        <v>6384100</v>
      </c>
      <c r="BJ137" s="21">
        <v>7590600</v>
      </c>
      <c r="BK137" s="21">
        <v>11750600</v>
      </c>
      <c r="BL137" s="21">
        <v>9487800</v>
      </c>
      <c r="BM137" s="1">
        <v>15236600</v>
      </c>
      <c r="BN137" s="1">
        <v>12643700</v>
      </c>
      <c r="BO137" s="1">
        <v>14044400</v>
      </c>
      <c r="BP137" s="1">
        <v>11925200</v>
      </c>
      <c r="BQ137" s="1">
        <v>6019600</v>
      </c>
      <c r="BR137" s="1">
        <v>8562600</v>
      </c>
      <c r="BS137" s="1">
        <v>380600</v>
      </c>
      <c r="BT137" s="1">
        <v>730000</v>
      </c>
      <c r="BU137" s="1">
        <v>769500</v>
      </c>
      <c r="BV137" s="1">
        <v>693800</v>
      </c>
      <c r="BW137" s="1">
        <v>143700</v>
      </c>
      <c r="BX137" s="1">
        <v>338100</v>
      </c>
      <c r="BY137" s="1">
        <v>487200</v>
      </c>
      <c r="BZ137" s="1">
        <v>191400</v>
      </c>
    </row>
    <row r="138" spans="1:78" ht="15.9" customHeight="1">
      <c r="A138" s="393" t="s">
        <v>271</v>
      </c>
      <c r="B138" s="46" t="s">
        <v>272</v>
      </c>
      <c r="C138" s="50">
        <f>_xll.RssMarket("3103","出来高")</f>
        <v>4914500</v>
      </c>
      <c r="D138" s="202">
        <f t="shared" si="2"/>
        <v>2507500</v>
      </c>
      <c r="E138" s="200">
        <v>2407000</v>
      </c>
      <c r="F138" s="21">
        <v>1670900</v>
      </c>
      <c r="G138" s="21">
        <v>2713700</v>
      </c>
      <c r="H138" s="21">
        <v>1812400</v>
      </c>
      <c r="I138" s="21">
        <v>3334500</v>
      </c>
      <c r="J138" s="21">
        <v>2013600</v>
      </c>
      <c r="K138" s="21">
        <v>1603100</v>
      </c>
      <c r="L138" s="21">
        <v>2725000</v>
      </c>
      <c r="M138" s="21">
        <v>1525500</v>
      </c>
      <c r="N138" s="21">
        <v>2256400</v>
      </c>
      <c r="O138" s="21">
        <v>2014100</v>
      </c>
      <c r="P138" s="21">
        <v>3636800</v>
      </c>
      <c r="Q138" s="21">
        <v>2317200</v>
      </c>
      <c r="R138" s="21">
        <v>3186300</v>
      </c>
      <c r="S138" s="21">
        <v>2897400</v>
      </c>
      <c r="T138" s="21">
        <v>2309300</v>
      </c>
      <c r="U138" s="21">
        <v>2792000</v>
      </c>
      <c r="V138" s="21">
        <v>3267600</v>
      </c>
      <c r="W138" s="21">
        <v>3728200</v>
      </c>
      <c r="X138" s="21">
        <v>1541400</v>
      </c>
      <c r="Y138" s="21">
        <v>2498300</v>
      </c>
      <c r="Z138" s="21">
        <v>1724500</v>
      </c>
      <c r="AA138" s="21">
        <v>3354300</v>
      </c>
      <c r="AB138" s="21">
        <v>1761600</v>
      </c>
      <c r="AC138" s="21">
        <v>2275500</v>
      </c>
      <c r="AD138" s="21">
        <v>2439800</v>
      </c>
      <c r="AE138" s="21">
        <v>2867600</v>
      </c>
      <c r="AF138" s="21">
        <v>3512400</v>
      </c>
      <c r="AG138" s="21">
        <v>5480300</v>
      </c>
      <c r="AH138" s="21">
        <v>12259500</v>
      </c>
      <c r="AI138" s="21">
        <v>3655900</v>
      </c>
      <c r="AJ138" s="21">
        <v>7264100</v>
      </c>
      <c r="AK138" s="21">
        <v>6382500</v>
      </c>
      <c r="AL138" s="21">
        <v>2951600</v>
      </c>
      <c r="AM138" s="21">
        <v>3330100</v>
      </c>
      <c r="AN138" s="21">
        <v>7665500</v>
      </c>
      <c r="AO138" s="21">
        <v>3294400</v>
      </c>
      <c r="AP138" s="21">
        <v>2638100</v>
      </c>
      <c r="AQ138" s="21">
        <v>3395900</v>
      </c>
      <c r="AR138" s="21">
        <v>3851200</v>
      </c>
      <c r="AS138" s="21">
        <v>3632100</v>
      </c>
      <c r="AT138" s="21">
        <v>5666600</v>
      </c>
      <c r="AU138" s="21">
        <v>4078200</v>
      </c>
      <c r="AV138" s="21">
        <v>5487000</v>
      </c>
      <c r="AW138" s="21">
        <v>4299900</v>
      </c>
      <c r="AX138" s="21">
        <v>9322600</v>
      </c>
      <c r="AY138" s="21">
        <v>15160400</v>
      </c>
      <c r="AZ138" s="21">
        <v>10056900</v>
      </c>
      <c r="BA138" s="21">
        <v>6802800</v>
      </c>
      <c r="BB138" s="21">
        <v>5444200</v>
      </c>
      <c r="BC138" s="21">
        <v>10701100</v>
      </c>
      <c r="BD138" s="21">
        <v>23615800</v>
      </c>
      <c r="BE138" s="21">
        <v>635700</v>
      </c>
      <c r="BF138" s="21">
        <v>4604100</v>
      </c>
      <c r="BG138" s="21">
        <v>6142400</v>
      </c>
      <c r="BH138" s="21">
        <v>4007100</v>
      </c>
      <c r="BI138" s="21">
        <v>8345300</v>
      </c>
      <c r="BJ138" s="21">
        <v>12981500</v>
      </c>
      <c r="BK138" s="21">
        <v>16543800</v>
      </c>
      <c r="BL138" s="21">
        <v>10667900</v>
      </c>
      <c r="BM138" s="1">
        <v>17314000</v>
      </c>
      <c r="BN138" s="1">
        <v>15773900</v>
      </c>
      <c r="BO138" s="1">
        <v>14220200</v>
      </c>
      <c r="BP138" s="1">
        <v>15986000</v>
      </c>
      <c r="BQ138" s="1">
        <v>22597900</v>
      </c>
      <c r="BR138" s="1">
        <v>29411100</v>
      </c>
      <c r="BS138" s="1">
        <v>3514600</v>
      </c>
      <c r="BT138" s="1">
        <v>14402100</v>
      </c>
      <c r="BU138" s="1">
        <v>38468100</v>
      </c>
      <c r="BV138" s="1">
        <v>22762100</v>
      </c>
      <c r="BW138" s="1">
        <v>56226400</v>
      </c>
      <c r="BX138" s="1">
        <v>19606200</v>
      </c>
      <c r="BY138" s="1">
        <v>39395300</v>
      </c>
      <c r="BZ138" s="1">
        <v>23843100</v>
      </c>
    </row>
    <row r="139" spans="1:78" ht="15.9" customHeight="1">
      <c r="A139" s="393" t="s">
        <v>273</v>
      </c>
      <c r="B139" s="46" t="s">
        <v>274</v>
      </c>
      <c r="C139" s="50">
        <f>_xll.RssMarket("4422","出来高")</f>
        <v>46100</v>
      </c>
      <c r="D139" s="202">
        <f t="shared" si="2"/>
        <v>-45500</v>
      </c>
      <c r="E139" s="200">
        <v>91600</v>
      </c>
      <c r="F139" s="21">
        <v>45400</v>
      </c>
      <c r="G139" s="21">
        <v>79100</v>
      </c>
      <c r="H139" s="21">
        <v>53400</v>
      </c>
      <c r="I139" s="21">
        <v>143800</v>
      </c>
      <c r="J139" s="21">
        <v>38900</v>
      </c>
      <c r="K139" s="21">
        <v>21700</v>
      </c>
      <c r="L139" s="21">
        <v>46100</v>
      </c>
      <c r="M139" s="21">
        <v>34700</v>
      </c>
      <c r="N139" s="21">
        <v>32900</v>
      </c>
      <c r="O139" s="21">
        <v>58000</v>
      </c>
      <c r="P139" s="21">
        <v>105900</v>
      </c>
      <c r="Q139" s="21">
        <v>66500</v>
      </c>
      <c r="R139" s="21">
        <v>41900</v>
      </c>
      <c r="S139" s="21">
        <v>87400</v>
      </c>
      <c r="T139" s="21">
        <v>39500</v>
      </c>
      <c r="U139" s="21">
        <v>77900</v>
      </c>
      <c r="V139" s="21">
        <v>79200</v>
      </c>
      <c r="W139" s="21">
        <v>163800</v>
      </c>
      <c r="X139" s="21">
        <v>91800</v>
      </c>
      <c r="Y139" s="21">
        <v>66300</v>
      </c>
      <c r="Z139" s="21">
        <v>58600</v>
      </c>
      <c r="AA139" s="21">
        <v>80500</v>
      </c>
      <c r="AB139" s="21">
        <v>56800</v>
      </c>
      <c r="AC139" s="21">
        <v>144000</v>
      </c>
      <c r="AD139" s="21">
        <v>118700</v>
      </c>
      <c r="AE139" s="21">
        <v>126300</v>
      </c>
      <c r="AF139" s="21">
        <v>140600</v>
      </c>
      <c r="AG139" s="21">
        <v>90700</v>
      </c>
      <c r="AH139" s="21">
        <v>82900</v>
      </c>
      <c r="AI139" s="21">
        <v>111100</v>
      </c>
      <c r="AJ139" s="21">
        <v>137000</v>
      </c>
      <c r="AK139" s="21">
        <v>243000</v>
      </c>
      <c r="AL139" s="21">
        <v>158400</v>
      </c>
      <c r="AM139" s="21">
        <v>339100</v>
      </c>
      <c r="AN139" s="21">
        <v>647000</v>
      </c>
      <c r="AO139" s="21">
        <v>641000</v>
      </c>
      <c r="AP139" s="21">
        <v>408100</v>
      </c>
      <c r="AQ139" s="21">
        <v>1285400</v>
      </c>
      <c r="AR139" s="21">
        <v>185500</v>
      </c>
      <c r="AS139" s="21">
        <v>75200</v>
      </c>
      <c r="AT139" s="21">
        <v>73100</v>
      </c>
      <c r="AU139" s="21">
        <v>78500</v>
      </c>
      <c r="AV139" s="21">
        <v>114300</v>
      </c>
      <c r="AW139" s="21">
        <v>112700</v>
      </c>
      <c r="AX139" s="21">
        <v>158700</v>
      </c>
      <c r="AY139" s="21">
        <v>266100</v>
      </c>
      <c r="AZ139" s="21">
        <v>139400</v>
      </c>
      <c r="BA139" s="21">
        <v>297300</v>
      </c>
      <c r="BB139" s="21">
        <v>225500</v>
      </c>
      <c r="BC139" s="21">
        <v>161700</v>
      </c>
      <c r="BD139" s="21">
        <v>169000</v>
      </c>
      <c r="BE139" s="21">
        <v>233700</v>
      </c>
      <c r="BF139" s="21">
        <v>293300</v>
      </c>
      <c r="BG139" s="21">
        <v>578400</v>
      </c>
      <c r="BH139" s="21">
        <v>343000</v>
      </c>
      <c r="BI139" s="21">
        <v>429800</v>
      </c>
      <c r="BJ139" s="21">
        <v>293200</v>
      </c>
      <c r="BK139" s="21">
        <v>434700</v>
      </c>
      <c r="BL139" s="21">
        <v>598700</v>
      </c>
      <c r="BM139" s="1">
        <v>371300</v>
      </c>
      <c r="BN139" s="1">
        <v>534500</v>
      </c>
      <c r="BO139" s="1">
        <v>1336300</v>
      </c>
      <c r="BP139" s="1">
        <v>4025000</v>
      </c>
      <c r="BQ139" s="1">
        <v>2677000</v>
      </c>
      <c r="BR139" s="1">
        <v>1272300</v>
      </c>
      <c r="BS139" s="1">
        <v>2627000</v>
      </c>
      <c r="BT139" s="1">
        <v>4029000</v>
      </c>
      <c r="BU139" s="1">
        <v>3731800</v>
      </c>
      <c r="BV139" s="1">
        <v>572000</v>
      </c>
      <c r="BW139" s="1">
        <v>1949600</v>
      </c>
      <c r="BX139" s="1">
        <v>3452900</v>
      </c>
      <c r="BY139" s="1">
        <v>208800</v>
      </c>
      <c r="BZ139" s="1">
        <v>2974500</v>
      </c>
    </row>
    <row r="140" spans="1:78" ht="15.9" customHeight="1">
      <c r="A140" s="393" t="s">
        <v>275</v>
      </c>
      <c r="B140" s="46" t="s">
        <v>276</v>
      </c>
      <c r="C140" s="50">
        <f>_xll.RssMarket("6740","出来高")</f>
        <v>6248600</v>
      </c>
      <c r="D140" s="202">
        <f t="shared" si="2"/>
        <v>-4837500</v>
      </c>
      <c r="E140" s="200">
        <v>11086100</v>
      </c>
      <c r="F140" s="21">
        <v>6675800</v>
      </c>
      <c r="G140" s="21">
        <v>12254900</v>
      </c>
      <c r="H140" s="21">
        <v>30320900</v>
      </c>
      <c r="I140" s="21">
        <v>18349800</v>
      </c>
      <c r="J140" s="21">
        <v>9001700</v>
      </c>
      <c r="K140" s="21">
        <v>15737400</v>
      </c>
      <c r="L140" s="21"/>
      <c r="M140" s="21">
        <v>12403800</v>
      </c>
      <c r="N140" s="21">
        <v>17878000</v>
      </c>
      <c r="O140" s="21">
        <v>14741500</v>
      </c>
      <c r="P140" s="21">
        <v>33377400</v>
      </c>
      <c r="Q140" s="21">
        <v>14627300</v>
      </c>
      <c r="R140" s="21">
        <v>20550900</v>
      </c>
      <c r="S140" s="21">
        <v>20807200</v>
      </c>
      <c r="T140" s="21">
        <v>49186900</v>
      </c>
      <c r="U140" s="21">
        <v>35542700</v>
      </c>
      <c r="V140" s="21">
        <v>30689000</v>
      </c>
      <c r="W140" s="21">
        <v>33247600</v>
      </c>
      <c r="X140" s="21">
        <v>56564100</v>
      </c>
      <c r="Y140" s="21">
        <v>32992500</v>
      </c>
      <c r="Z140" s="21">
        <v>38938800</v>
      </c>
      <c r="AA140" s="21">
        <v>14280700</v>
      </c>
      <c r="AB140" s="21">
        <v>72380100</v>
      </c>
      <c r="AC140" s="21">
        <v>92256300</v>
      </c>
      <c r="AD140" s="21">
        <v>82725600</v>
      </c>
      <c r="AE140" s="21">
        <v>126015700</v>
      </c>
      <c r="AF140" s="21">
        <v>88839700</v>
      </c>
      <c r="AG140" s="21">
        <v>101924000</v>
      </c>
      <c r="AH140" s="21">
        <v>122272500</v>
      </c>
      <c r="AI140" s="21">
        <v>94641300</v>
      </c>
      <c r="AJ140" s="21">
        <v>88962200</v>
      </c>
      <c r="AK140" s="21">
        <v>38359900</v>
      </c>
      <c r="AL140" s="21">
        <v>81570400</v>
      </c>
      <c r="AM140" s="21">
        <v>95131300</v>
      </c>
      <c r="AN140" s="21">
        <v>83888000</v>
      </c>
      <c r="AO140" s="21">
        <v>21777300</v>
      </c>
      <c r="AP140" s="21">
        <v>81595000</v>
      </c>
      <c r="AQ140" s="21">
        <v>70580100</v>
      </c>
      <c r="AR140" s="21">
        <v>88068300</v>
      </c>
      <c r="AS140" s="21">
        <v>71927400</v>
      </c>
      <c r="AT140" s="21">
        <v>73229600</v>
      </c>
      <c r="AU140" s="21">
        <v>30508500</v>
      </c>
      <c r="AV140" s="21">
        <v>85703300</v>
      </c>
      <c r="AW140" s="21">
        <v>71762100</v>
      </c>
      <c r="AX140" s="21">
        <v>29733900</v>
      </c>
      <c r="AY140" s="21">
        <v>59768300</v>
      </c>
      <c r="AZ140" s="21">
        <v>72733800</v>
      </c>
      <c r="BA140" s="21">
        <v>74578500</v>
      </c>
      <c r="BB140" s="21">
        <v>65535900</v>
      </c>
      <c r="BC140" s="21">
        <v>56814500</v>
      </c>
      <c r="BD140" s="21">
        <v>60043300</v>
      </c>
      <c r="BE140" s="21">
        <v>105673800</v>
      </c>
      <c r="BF140" s="21">
        <v>58783800</v>
      </c>
      <c r="BG140" s="21">
        <v>59422600</v>
      </c>
      <c r="BH140" s="21">
        <v>49363400</v>
      </c>
      <c r="BI140" s="21">
        <v>31333900</v>
      </c>
      <c r="BJ140" s="21">
        <v>64516200</v>
      </c>
      <c r="BK140" s="21">
        <v>35449100</v>
      </c>
      <c r="BL140" s="21">
        <v>120637600</v>
      </c>
      <c r="BM140" s="1">
        <v>286306400</v>
      </c>
      <c r="BN140" s="1">
        <v>42542100</v>
      </c>
      <c r="BO140" s="1">
        <v>57519300</v>
      </c>
      <c r="BP140" s="1">
        <v>54684500</v>
      </c>
      <c r="BQ140" s="1">
        <v>60890200</v>
      </c>
      <c r="BR140" s="1">
        <v>51605500</v>
      </c>
      <c r="BS140" s="1">
        <v>101220300</v>
      </c>
      <c r="BT140" s="1">
        <v>117693100</v>
      </c>
      <c r="BU140" s="1">
        <v>113528900</v>
      </c>
      <c r="BV140" s="1">
        <v>139485900</v>
      </c>
      <c r="BW140" s="1">
        <v>89688100</v>
      </c>
      <c r="BX140" s="1">
        <v>92525400</v>
      </c>
      <c r="BY140" s="1">
        <v>65724300</v>
      </c>
      <c r="BZ140" s="1">
        <v>90051300</v>
      </c>
    </row>
    <row r="141" spans="1:78" ht="15.9" customHeight="1">
      <c r="A141" s="393" t="s">
        <v>277</v>
      </c>
      <c r="B141" s="46" t="s">
        <v>278</v>
      </c>
      <c r="C141" s="50">
        <f>_xll.RssMarket("6613","出来高")</f>
        <v>3397500</v>
      </c>
      <c r="D141" s="202">
        <f t="shared" si="2"/>
        <v>895300</v>
      </c>
      <c r="E141" s="200">
        <v>2502200</v>
      </c>
      <c r="F141" s="21">
        <v>1889200</v>
      </c>
      <c r="G141" s="21">
        <v>4526000</v>
      </c>
      <c r="H141" s="21">
        <v>3061600</v>
      </c>
      <c r="I141" s="21">
        <v>3647200</v>
      </c>
      <c r="J141" s="21">
        <v>2293900</v>
      </c>
      <c r="K141" s="21">
        <v>2092200</v>
      </c>
      <c r="L141" s="21">
        <v>1816300</v>
      </c>
      <c r="M141" s="21">
        <v>4041700</v>
      </c>
      <c r="N141" s="21">
        <v>3105700</v>
      </c>
      <c r="O141" s="21">
        <v>3180900</v>
      </c>
      <c r="P141" s="21">
        <v>6741400</v>
      </c>
      <c r="Q141" s="21">
        <v>1055900</v>
      </c>
      <c r="R141" s="21">
        <v>1834200</v>
      </c>
      <c r="S141" s="21">
        <v>5622800</v>
      </c>
      <c r="T141" s="21">
        <v>1232100</v>
      </c>
      <c r="U141" s="21">
        <v>1263400</v>
      </c>
      <c r="V141" s="21">
        <v>1938400</v>
      </c>
      <c r="W141" s="21">
        <v>1684300</v>
      </c>
      <c r="X141" s="21">
        <v>4010100</v>
      </c>
      <c r="Y141" s="21">
        <v>3256100</v>
      </c>
      <c r="Z141" s="21">
        <v>2303000</v>
      </c>
      <c r="AA141" s="21">
        <v>2044300</v>
      </c>
      <c r="AB141" s="21">
        <v>2559700</v>
      </c>
      <c r="AC141" s="21">
        <v>4119000</v>
      </c>
      <c r="AD141" s="21">
        <v>7652200</v>
      </c>
      <c r="AE141" s="21">
        <v>7253000</v>
      </c>
      <c r="AF141" s="21">
        <v>6174200</v>
      </c>
      <c r="AG141" s="21">
        <v>10261400</v>
      </c>
      <c r="AH141" s="21">
        <v>1676400</v>
      </c>
      <c r="AI141" s="21">
        <v>4760200</v>
      </c>
      <c r="AJ141" s="21">
        <v>4778100</v>
      </c>
      <c r="AK141" s="21">
        <v>4464000</v>
      </c>
      <c r="AL141" s="21">
        <v>3641400</v>
      </c>
      <c r="AM141" s="21">
        <v>5823400</v>
      </c>
      <c r="AN141" s="21">
        <v>7206800</v>
      </c>
      <c r="AO141" s="21">
        <v>5654700</v>
      </c>
      <c r="AP141" s="21">
        <v>4275000</v>
      </c>
      <c r="AQ141" s="21">
        <v>3703900</v>
      </c>
      <c r="AR141" s="21">
        <v>2707400</v>
      </c>
      <c r="AS141" s="21">
        <v>2977900</v>
      </c>
      <c r="AT141" s="21">
        <v>5276300</v>
      </c>
      <c r="AU141" s="21">
        <v>9333700</v>
      </c>
      <c r="AV141" s="21">
        <v>6206100</v>
      </c>
      <c r="AW141" s="21">
        <v>10123800</v>
      </c>
      <c r="AX141" s="21">
        <v>8264500</v>
      </c>
      <c r="AY141" s="21">
        <v>10945800</v>
      </c>
      <c r="AZ141" s="21">
        <v>22249700</v>
      </c>
      <c r="BA141" s="21">
        <v>28238900</v>
      </c>
      <c r="BB141" s="21">
        <v>28690800</v>
      </c>
      <c r="BC141" s="21">
        <v>31866100</v>
      </c>
      <c r="BD141" s="21">
        <v>14634700</v>
      </c>
      <c r="BE141" s="21">
        <v>13178900</v>
      </c>
      <c r="BF141" s="21">
        <v>3773000</v>
      </c>
      <c r="BG141" s="21">
        <v>3198400</v>
      </c>
      <c r="BH141" s="21">
        <v>7128600</v>
      </c>
      <c r="BI141" s="21">
        <v>12306600</v>
      </c>
      <c r="BJ141" s="21">
        <v>21634400</v>
      </c>
      <c r="BK141" s="21">
        <v>6866100</v>
      </c>
      <c r="BL141" s="21">
        <v>6150200</v>
      </c>
      <c r="BM141" s="1">
        <v>4011900</v>
      </c>
      <c r="BN141" s="1">
        <v>4160600</v>
      </c>
      <c r="BO141" s="1">
        <v>9398000</v>
      </c>
      <c r="BP141" s="1">
        <v>5229600</v>
      </c>
      <c r="BQ141" s="1">
        <v>15724700</v>
      </c>
      <c r="BR141" s="1">
        <v>10711900</v>
      </c>
      <c r="BS141" s="1">
        <v>23584500</v>
      </c>
      <c r="BT141" s="1">
        <v>10246600</v>
      </c>
      <c r="BU141" s="1">
        <v>5674400</v>
      </c>
      <c r="BV141" s="1">
        <v>12719600</v>
      </c>
      <c r="BW141" s="1">
        <v>12781300</v>
      </c>
      <c r="BX141" s="1">
        <v>27264300</v>
      </c>
      <c r="BY141" s="1">
        <v>10198100</v>
      </c>
      <c r="BZ141" s="1">
        <v>7010600</v>
      </c>
    </row>
    <row r="142" spans="1:78" ht="15.9" customHeight="1">
      <c r="A142" s="393" t="s">
        <v>279</v>
      </c>
      <c r="B142" s="46" t="str">
        <f>銘柄管理!C142</f>
        <v>第一三共</v>
      </c>
      <c r="C142" s="50">
        <f>_xll.RssMarket("4568","出来高")</f>
        <v>3828900</v>
      </c>
      <c r="D142" s="202">
        <f t="shared" si="2"/>
        <v>-4761800</v>
      </c>
      <c r="E142" s="21">
        <v>8590700</v>
      </c>
      <c r="F142" s="21">
        <v>9426700</v>
      </c>
      <c r="G142" s="21">
        <v>18478700</v>
      </c>
      <c r="H142" s="21">
        <v>8119600</v>
      </c>
      <c r="I142" s="21">
        <v>5987900</v>
      </c>
      <c r="J142" s="21">
        <v>6996900</v>
      </c>
      <c r="K142" s="21">
        <v>5250200</v>
      </c>
      <c r="L142" s="21">
        <v>4708200</v>
      </c>
      <c r="M142" s="21">
        <v>3912300</v>
      </c>
      <c r="N142" s="21">
        <v>5301200</v>
      </c>
      <c r="O142" s="21">
        <v>7221200</v>
      </c>
      <c r="P142" s="21">
        <v>7631200</v>
      </c>
      <c r="Q142" s="21">
        <v>4674100</v>
      </c>
      <c r="R142" s="21">
        <v>5049200</v>
      </c>
      <c r="S142" s="21">
        <v>4511500</v>
      </c>
      <c r="T142" s="21">
        <v>6031100</v>
      </c>
      <c r="U142" s="21">
        <v>4418900</v>
      </c>
      <c r="V142" s="21">
        <v>6159900</v>
      </c>
      <c r="W142" s="21">
        <v>7719700</v>
      </c>
      <c r="X142" s="21">
        <v>11572800</v>
      </c>
      <c r="Y142" s="21">
        <v>13927700</v>
      </c>
      <c r="Z142" s="21">
        <v>4718800</v>
      </c>
      <c r="AA142" s="21">
        <v>3948600</v>
      </c>
      <c r="AB142" s="21">
        <v>6414200</v>
      </c>
      <c r="AC142" s="21">
        <v>6823900</v>
      </c>
      <c r="AD142" s="21">
        <v>3877100</v>
      </c>
      <c r="AE142" s="21">
        <v>4569200</v>
      </c>
      <c r="AF142" s="21">
        <v>5119400</v>
      </c>
      <c r="AG142" s="21">
        <v>4870400</v>
      </c>
      <c r="AH142" s="21">
        <v>4584300</v>
      </c>
      <c r="AI142" s="21">
        <v>12977700</v>
      </c>
      <c r="AJ142" s="21">
        <v>8994100</v>
      </c>
      <c r="AK142" s="21">
        <v>7992100</v>
      </c>
      <c r="AL142" s="21">
        <v>5513800</v>
      </c>
      <c r="AM142" s="21">
        <v>6168200</v>
      </c>
      <c r="AN142" s="21">
        <v>7587700</v>
      </c>
      <c r="AO142" s="21">
        <v>6121800</v>
      </c>
      <c r="AP142" s="21">
        <v>8162700</v>
      </c>
      <c r="AQ142" s="21">
        <v>7893600</v>
      </c>
      <c r="AR142" s="21">
        <v>12276100</v>
      </c>
      <c r="AS142" s="21">
        <v>13801100</v>
      </c>
      <c r="AT142" s="21">
        <v>7367200</v>
      </c>
      <c r="AU142" s="21">
        <v>7108300</v>
      </c>
      <c r="AV142" s="21">
        <v>19725400</v>
      </c>
      <c r="AW142" s="21">
        <v>6353800</v>
      </c>
      <c r="AX142" s="21">
        <v>6112300</v>
      </c>
      <c r="AY142" s="21">
        <v>7149800</v>
      </c>
      <c r="AZ142" s="21">
        <v>5618500</v>
      </c>
      <c r="BA142" s="21">
        <v>6512900</v>
      </c>
      <c r="BB142" s="21">
        <v>8039200</v>
      </c>
      <c r="BC142" s="21">
        <v>8106600</v>
      </c>
      <c r="BD142" s="21">
        <v>5616100</v>
      </c>
      <c r="BE142" s="21">
        <v>8793800</v>
      </c>
      <c r="BF142" s="21">
        <v>10516700</v>
      </c>
      <c r="BG142" s="21">
        <v>7061800</v>
      </c>
      <c r="BH142" s="21">
        <v>13241500</v>
      </c>
      <c r="BI142" s="21">
        <v>11532500</v>
      </c>
      <c r="BJ142" s="21">
        <v>12477400</v>
      </c>
      <c r="BK142" s="21">
        <v>14251700</v>
      </c>
      <c r="BL142" s="21">
        <v>7940900</v>
      </c>
      <c r="BM142" s="1">
        <v>10441900</v>
      </c>
      <c r="BN142" s="1">
        <v>13321300</v>
      </c>
      <c r="BO142" s="1">
        <v>16617200</v>
      </c>
      <c r="BP142" s="1">
        <v>25238300</v>
      </c>
      <c r="BQ142" s="1">
        <v>6290000</v>
      </c>
      <c r="BR142" s="1">
        <v>6375400</v>
      </c>
      <c r="BS142" s="1">
        <v>5436700</v>
      </c>
      <c r="BT142" s="1">
        <v>7280300</v>
      </c>
      <c r="BU142" s="1">
        <v>7592100</v>
      </c>
      <c r="BV142" s="1">
        <v>11121300</v>
      </c>
      <c r="BW142" s="1">
        <v>13364600</v>
      </c>
      <c r="BX142" s="1">
        <v>7573500</v>
      </c>
      <c r="BY142" s="1">
        <v>6100000</v>
      </c>
      <c r="BZ142" s="1">
        <v>8133100</v>
      </c>
    </row>
    <row r="143" spans="1:78" ht="15.9" customHeight="1">
      <c r="A143" s="393" t="s">
        <v>280</v>
      </c>
      <c r="B143" s="46" t="s">
        <v>281</v>
      </c>
      <c r="C143" s="50">
        <f>_xll.RssMarket("6522","出来高")</f>
        <v>917000</v>
      </c>
      <c r="D143" s="16">
        <f t="shared" si="2"/>
        <v>-2173000</v>
      </c>
      <c r="E143" s="21">
        <v>3090000</v>
      </c>
      <c r="F143" s="21">
        <v>411900</v>
      </c>
      <c r="G143" s="21">
        <v>1061100</v>
      </c>
      <c r="H143" s="21">
        <v>674100</v>
      </c>
      <c r="I143" s="21">
        <v>1647200</v>
      </c>
      <c r="J143" s="21">
        <v>931900</v>
      </c>
      <c r="K143" s="21">
        <v>1379200</v>
      </c>
      <c r="L143" s="21">
        <v>4618600</v>
      </c>
      <c r="M143" s="21">
        <v>1631000</v>
      </c>
      <c r="N143" s="21">
        <v>1225100</v>
      </c>
      <c r="O143" s="21">
        <v>580200</v>
      </c>
      <c r="P143" s="21">
        <v>1174100</v>
      </c>
      <c r="Q143" s="21">
        <v>1125500</v>
      </c>
      <c r="R143" s="21">
        <v>981000</v>
      </c>
      <c r="S143" s="21">
        <v>2539700</v>
      </c>
      <c r="T143" s="21">
        <v>3006600</v>
      </c>
      <c r="U143" s="21">
        <v>4077200</v>
      </c>
      <c r="V143" s="21">
        <v>10815000</v>
      </c>
      <c r="W143" s="21">
        <v>68000</v>
      </c>
      <c r="X143" s="21">
        <v>2898900</v>
      </c>
      <c r="Y143" s="21">
        <v>9809500</v>
      </c>
      <c r="Z143" s="21">
        <v>3872600</v>
      </c>
      <c r="AA143" s="21">
        <v>7011100</v>
      </c>
      <c r="AB143" s="21">
        <v>538400</v>
      </c>
      <c r="AC143" s="21">
        <v>296900</v>
      </c>
      <c r="AD143" s="21">
        <v>1267600</v>
      </c>
      <c r="AE143" s="21">
        <v>731400</v>
      </c>
      <c r="AF143" s="21">
        <v>2738300</v>
      </c>
      <c r="AG143" s="21">
        <v>2693500</v>
      </c>
      <c r="AH143" s="21">
        <v>6497200</v>
      </c>
      <c r="AI143" s="21">
        <v>3902000</v>
      </c>
      <c r="AJ143" s="21">
        <v>875500</v>
      </c>
      <c r="AK143" s="21">
        <v>95600</v>
      </c>
      <c r="AL143" s="21">
        <v>98600</v>
      </c>
      <c r="AM143" s="21">
        <v>283000</v>
      </c>
      <c r="AN143" s="21">
        <v>292100</v>
      </c>
      <c r="AO143" s="21">
        <v>117000</v>
      </c>
      <c r="AP143" s="21">
        <v>132300</v>
      </c>
      <c r="AQ143" s="21">
        <v>184600</v>
      </c>
      <c r="AR143" s="21">
        <v>237200</v>
      </c>
      <c r="AS143" s="21">
        <v>259100</v>
      </c>
      <c r="AT143" s="21">
        <v>392400</v>
      </c>
      <c r="AU143" s="21">
        <v>1195400</v>
      </c>
      <c r="AV143" s="21">
        <v>368200</v>
      </c>
      <c r="AW143" s="21">
        <v>493700</v>
      </c>
      <c r="AX143" s="21">
        <v>648400</v>
      </c>
      <c r="AY143" s="21">
        <v>236400</v>
      </c>
      <c r="AZ143" s="21">
        <v>262800</v>
      </c>
      <c r="BA143" s="21">
        <v>340800</v>
      </c>
      <c r="BB143" s="21">
        <v>267100</v>
      </c>
      <c r="BC143" s="21">
        <v>271800</v>
      </c>
      <c r="BD143" s="21">
        <v>332700</v>
      </c>
      <c r="BE143" s="21">
        <v>278800</v>
      </c>
      <c r="BF143" s="21">
        <v>353200</v>
      </c>
      <c r="BG143" s="21">
        <v>387200</v>
      </c>
      <c r="BH143" s="21">
        <v>475500</v>
      </c>
      <c r="BI143" s="21">
        <v>466900</v>
      </c>
      <c r="BJ143" s="21">
        <v>503500</v>
      </c>
      <c r="BK143" s="21">
        <v>661200</v>
      </c>
      <c r="BL143" s="21">
        <v>982300</v>
      </c>
      <c r="BM143" s="1">
        <v>649500</v>
      </c>
      <c r="BN143" s="1">
        <v>715400</v>
      </c>
      <c r="BO143" s="1">
        <v>1380800</v>
      </c>
      <c r="BP143" s="1">
        <v>2718900</v>
      </c>
      <c r="BQ143" s="1">
        <v>1585600</v>
      </c>
      <c r="BR143" s="1">
        <v>6125400</v>
      </c>
      <c r="BS143" s="1">
        <v>6645200</v>
      </c>
      <c r="BT143" s="1">
        <v>1375000</v>
      </c>
      <c r="BU143" s="1">
        <v>1326200</v>
      </c>
      <c r="BV143" s="1">
        <v>1251800</v>
      </c>
      <c r="BW143" s="1">
        <v>2360100</v>
      </c>
      <c r="BX143" s="1">
        <v>524600</v>
      </c>
      <c r="BY143" s="1">
        <v>523000</v>
      </c>
      <c r="BZ143" s="1">
        <v>739000</v>
      </c>
    </row>
    <row r="144" spans="1:78" ht="15.9" customHeight="1">
      <c r="A144" s="393" t="s">
        <v>282</v>
      </c>
      <c r="B144" s="46" t="s">
        <v>283</v>
      </c>
      <c r="C144" s="50">
        <f>_xll.RssMarket("6777","出来高")</f>
        <v>164400</v>
      </c>
      <c r="D144" s="16">
        <f t="shared" si="2"/>
        <v>-100</v>
      </c>
      <c r="E144" s="21">
        <v>164500</v>
      </c>
      <c r="F144" s="21">
        <v>131500</v>
      </c>
      <c r="G144" s="21">
        <v>211300</v>
      </c>
      <c r="H144" s="21">
        <v>120000</v>
      </c>
      <c r="I144" s="21">
        <v>185000</v>
      </c>
      <c r="J144" s="21">
        <v>119900</v>
      </c>
      <c r="K144" s="21">
        <v>109700</v>
      </c>
      <c r="L144" s="21"/>
      <c r="M144" s="21">
        <v>105800</v>
      </c>
      <c r="N144" s="21">
        <v>196900</v>
      </c>
      <c r="O144" s="21">
        <v>197000</v>
      </c>
      <c r="P144" s="21">
        <v>175500</v>
      </c>
      <c r="Q144" s="21">
        <v>125000</v>
      </c>
      <c r="R144" s="21">
        <v>115300</v>
      </c>
      <c r="S144" s="21">
        <v>140100</v>
      </c>
      <c r="T144" s="21">
        <v>82200</v>
      </c>
      <c r="U144" s="21">
        <v>95000</v>
      </c>
      <c r="V144" s="21">
        <v>239400</v>
      </c>
      <c r="W144" s="21">
        <v>146300</v>
      </c>
      <c r="X144" s="21">
        <v>116400</v>
      </c>
      <c r="Y144" s="21">
        <v>153900</v>
      </c>
      <c r="Z144" s="21">
        <v>116900</v>
      </c>
      <c r="AA144" s="21">
        <v>103400</v>
      </c>
      <c r="AB144" s="21">
        <v>62300</v>
      </c>
      <c r="AC144" s="21">
        <v>149700</v>
      </c>
      <c r="AD144" s="21">
        <v>112100</v>
      </c>
      <c r="AE144" s="21">
        <v>121400</v>
      </c>
      <c r="AF144" s="21">
        <v>129600</v>
      </c>
      <c r="AG144" s="21">
        <v>138400</v>
      </c>
      <c r="AH144" s="21">
        <v>195800</v>
      </c>
      <c r="AI144" s="21">
        <v>261600</v>
      </c>
      <c r="AJ144" s="21">
        <v>161800</v>
      </c>
      <c r="AK144" s="21">
        <v>118600</v>
      </c>
      <c r="AL144" s="21">
        <v>196200</v>
      </c>
      <c r="AM144" s="21">
        <v>170500</v>
      </c>
      <c r="AN144" s="21">
        <v>164700</v>
      </c>
      <c r="AO144" s="21">
        <v>104700</v>
      </c>
      <c r="AP144" s="21">
        <v>171500</v>
      </c>
      <c r="AQ144" s="21">
        <v>208400</v>
      </c>
      <c r="AR144" s="21">
        <v>90900</v>
      </c>
      <c r="AS144" s="21">
        <v>119300</v>
      </c>
      <c r="AT144" s="21">
        <v>276300</v>
      </c>
      <c r="AU144" s="21">
        <v>175000</v>
      </c>
      <c r="AV144" s="21">
        <v>344300</v>
      </c>
      <c r="AW144" s="21">
        <v>158900</v>
      </c>
      <c r="AX144" s="21">
        <v>223200</v>
      </c>
      <c r="AY144" s="21">
        <v>217500</v>
      </c>
      <c r="AZ144" s="21">
        <v>153800</v>
      </c>
      <c r="BA144" s="21">
        <v>210200</v>
      </c>
      <c r="BB144" s="21">
        <v>205600</v>
      </c>
      <c r="BC144" s="21">
        <v>338700</v>
      </c>
      <c r="BD144" s="21">
        <v>478000</v>
      </c>
      <c r="BE144" s="21">
        <v>231900</v>
      </c>
      <c r="BF144" s="21">
        <v>274700</v>
      </c>
      <c r="BG144" s="21">
        <v>266800</v>
      </c>
      <c r="BH144" s="21">
        <v>503200</v>
      </c>
      <c r="BI144" s="21">
        <v>177700</v>
      </c>
      <c r="BJ144" s="21">
        <v>220700</v>
      </c>
      <c r="BK144" s="21">
        <v>265500</v>
      </c>
      <c r="BL144" s="21">
        <v>128100</v>
      </c>
      <c r="BM144" s="1">
        <v>138700</v>
      </c>
      <c r="BN144" s="1">
        <v>168700</v>
      </c>
      <c r="BO144" s="1">
        <v>276800</v>
      </c>
      <c r="BP144" s="1">
        <v>442400</v>
      </c>
      <c r="BQ144" s="1">
        <v>676100</v>
      </c>
      <c r="BR144" s="1">
        <v>297500</v>
      </c>
      <c r="BS144" s="1">
        <v>358200</v>
      </c>
      <c r="BT144" s="1">
        <v>614900</v>
      </c>
      <c r="BU144" s="1">
        <v>321500</v>
      </c>
      <c r="BV144" s="1">
        <v>203700</v>
      </c>
      <c r="BW144" s="1">
        <v>303100</v>
      </c>
      <c r="BX144" s="1">
        <v>254200</v>
      </c>
      <c r="BY144" s="1">
        <v>368000</v>
      </c>
      <c r="BZ144" s="1">
        <v>182100</v>
      </c>
    </row>
    <row r="145" spans="1:78" ht="15.9" customHeight="1">
      <c r="A145" s="393" t="s">
        <v>284</v>
      </c>
      <c r="B145" s="46" t="s">
        <v>285</v>
      </c>
      <c r="C145" s="50">
        <f>_xll.RssMarket("6787","出来高")</f>
        <v>466000</v>
      </c>
      <c r="D145" s="16">
        <f t="shared" si="2"/>
        <v>-5100</v>
      </c>
      <c r="E145" s="21">
        <v>471100</v>
      </c>
      <c r="F145" s="21">
        <v>340300</v>
      </c>
      <c r="G145" s="21">
        <v>497000</v>
      </c>
      <c r="H145" s="21">
        <v>542300</v>
      </c>
      <c r="I145" s="21">
        <v>659300</v>
      </c>
      <c r="J145" s="21">
        <v>333200</v>
      </c>
      <c r="K145" s="21">
        <v>280700</v>
      </c>
      <c r="L145" s="21">
        <v>357200</v>
      </c>
      <c r="M145" s="21">
        <v>225500</v>
      </c>
      <c r="N145" s="21">
        <v>354100</v>
      </c>
      <c r="O145" s="21">
        <v>356200</v>
      </c>
      <c r="P145" s="21">
        <v>588700</v>
      </c>
      <c r="Q145" s="21">
        <v>314400</v>
      </c>
      <c r="R145" s="21">
        <v>358500</v>
      </c>
      <c r="S145" s="21">
        <v>415100</v>
      </c>
      <c r="T145" s="21">
        <v>423100</v>
      </c>
      <c r="U145" s="21">
        <v>487200</v>
      </c>
      <c r="V145" s="21">
        <v>554400</v>
      </c>
      <c r="W145" s="21">
        <v>614600</v>
      </c>
      <c r="X145" s="21">
        <v>507600</v>
      </c>
      <c r="Y145" s="21">
        <v>499700</v>
      </c>
      <c r="Z145" s="21">
        <v>365600</v>
      </c>
      <c r="AA145" s="21">
        <v>611600</v>
      </c>
      <c r="AB145" s="21">
        <v>399500</v>
      </c>
      <c r="AC145" s="21">
        <v>516200</v>
      </c>
      <c r="AD145" s="21">
        <v>711400</v>
      </c>
      <c r="AE145" s="21">
        <v>494300</v>
      </c>
      <c r="AF145" s="21">
        <v>506900</v>
      </c>
      <c r="AG145" s="21">
        <v>748500</v>
      </c>
      <c r="AH145" s="21">
        <v>556300</v>
      </c>
      <c r="AI145" s="21">
        <v>916100</v>
      </c>
      <c r="AJ145" s="21">
        <v>439200</v>
      </c>
      <c r="AK145" s="21">
        <v>512700</v>
      </c>
      <c r="AL145" s="21">
        <v>1004800</v>
      </c>
      <c r="AM145" s="21">
        <v>548800</v>
      </c>
      <c r="AN145" s="21">
        <v>525400</v>
      </c>
      <c r="AO145" s="21">
        <v>614900</v>
      </c>
      <c r="AP145" s="21">
        <v>392400</v>
      </c>
      <c r="AQ145" s="21">
        <v>347600</v>
      </c>
      <c r="AR145" s="21">
        <v>418600</v>
      </c>
      <c r="AS145" s="21">
        <v>423200</v>
      </c>
      <c r="AT145" s="21">
        <v>370800</v>
      </c>
      <c r="AU145" s="21">
        <v>539200</v>
      </c>
      <c r="AV145" s="21">
        <v>660800</v>
      </c>
      <c r="AW145" s="21">
        <v>469000</v>
      </c>
      <c r="AX145" s="21">
        <v>573300</v>
      </c>
      <c r="AY145" s="21">
        <v>922200</v>
      </c>
      <c r="AZ145" s="21">
        <v>560800</v>
      </c>
      <c r="BA145" s="21">
        <v>717600</v>
      </c>
      <c r="BB145" s="21">
        <v>412700</v>
      </c>
      <c r="BC145" s="21">
        <v>462800</v>
      </c>
      <c r="BD145" s="21">
        <v>713300</v>
      </c>
      <c r="BE145" s="21">
        <v>1154400</v>
      </c>
      <c r="BF145" s="21">
        <v>154600</v>
      </c>
      <c r="BG145" s="21">
        <v>438300</v>
      </c>
      <c r="BH145" s="21">
        <v>467100</v>
      </c>
      <c r="BI145" s="21">
        <v>368600</v>
      </c>
      <c r="BJ145" s="21">
        <v>443300</v>
      </c>
      <c r="BK145" s="21">
        <v>473700</v>
      </c>
      <c r="BL145" s="21">
        <v>310500</v>
      </c>
      <c r="BM145" s="1">
        <v>359900</v>
      </c>
      <c r="BN145" s="1">
        <v>604600</v>
      </c>
      <c r="BO145" s="1">
        <v>461300</v>
      </c>
      <c r="BP145" s="1">
        <v>399800</v>
      </c>
      <c r="BQ145" s="1">
        <v>419300</v>
      </c>
      <c r="BR145" s="1">
        <v>499100</v>
      </c>
      <c r="BS145" s="1">
        <v>401700</v>
      </c>
      <c r="BT145" s="1">
        <v>472600</v>
      </c>
      <c r="BU145" s="1">
        <v>347000</v>
      </c>
      <c r="BV145" s="1">
        <v>348500</v>
      </c>
      <c r="BW145" s="1">
        <v>497700</v>
      </c>
      <c r="BX145" s="1">
        <v>820600</v>
      </c>
      <c r="BY145" s="1">
        <v>715800</v>
      </c>
      <c r="BZ145" s="1">
        <v>462900</v>
      </c>
    </row>
    <row r="146" spans="1:78" ht="15.9" customHeight="1">
      <c r="A146" s="393" t="s">
        <v>286</v>
      </c>
      <c r="B146" s="46" t="s">
        <v>287</v>
      </c>
      <c r="C146" s="50">
        <f>_xll.RssMarket("4888","出来高")</f>
        <v>92300</v>
      </c>
      <c r="D146" s="16">
        <f t="shared" si="2"/>
        <v>-85600</v>
      </c>
      <c r="E146" s="21">
        <v>177900</v>
      </c>
      <c r="F146" s="21">
        <v>252400</v>
      </c>
      <c r="G146" s="21">
        <v>176400</v>
      </c>
      <c r="H146" s="21">
        <v>195100</v>
      </c>
      <c r="I146" s="21">
        <v>354500</v>
      </c>
      <c r="J146" s="21">
        <v>208300</v>
      </c>
      <c r="K146" s="21">
        <v>311500</v>
      </c>
      <c r="L146" s="21">
        <v>144500</v>
      </c>
      <c r="M146" s="21">
        <v>116600</v>
      </c>
      <c r="N146" s="21">
        <v>156600</v>
      </c>
      <c r="O146" s="21">
        <v>125000</v>
      </c>
      <c r="P146" s="21">
        <v>566600</v>
      </c>
      <c r="Q146" s="21">
        <v>157800</v>
      </c>
      <c r="R146" s="21">
        <v>120200</v>
      </c>
      <c r="S146" s="21">
        <v>240500</v>
      </c>
      <c r="T146" s="21">
        <v>311600</v>
      </c>
      <c r="U146" s="21">
        <v>95500</v>
      </c>
      <c r="V146" s="21">
        <v>244600</v>
      </c>
      <c r="W146" s="21">
        <v>135800</v>
      </c>
      <c r="X146" s="21">
        <v>265200</v>
      </c>
      <c r="Y146" s="21">
        <v>279800</v>
      </c>
      <c r="Z146" s="21">
        <v>332600</v>
      </c>
      <c r="AA146" s="21">
        <v>348500</v>
      </c>
      <c r="AB146" s="21">
        <v>484300</v>
      </c>
      <c r="AC146" s="21">
        <v>226400</v>
      </c>
      <c r="AD146" s="21">
        <v>441200</v>
      </c>
      <c r="AE146" s="21">
        <v>245100</v>
      </c>
      <c r="AF146" s="21">
        <v>193200</v>
      </c>
      <c r="AG146" s="21">
        <v>465900</v>
      </c>
      <c r="AH146" s="21">
        <v>734800</v>
      </c>
      <c r="AI146" s="21">
        <v>1217900</v>
      </c>
      <c r="AJ146" s="21">
        <v>2239700</v>
      </c>
      <c r="AK146" s="21">
        <v>331200</v>
      </c>
      <c r="AL146" s="21">
        <v>211100</v>
      </c>
      <c r="AM146" s="21">
        <v>238800</v>
      </c>
      <c r="AN146" s="21">
        <v>270500</v>
      </c>
      <c r="AO146" s="21">
        <v>382100</v>
      </c>
      <c r="AP146" s="21">
        <v>336500</v>
      </c>
      <c r="AQ146" s="21">
        <v>839500</v>
      </c>
      <c r="AR146" s="21">
        <v>180600</v>
      </c>
      <c r="AS146" s="21">
        <v>222100</v>
      </c>
      <c r="AT146" s="21">
        <v>307700</v>
      </c>
      <c r="AU146" s="21">
        <v>423000</v>
      </c>
      <c r="AV146" s="21">
        <v>749300</v>
      </c>
      <c r="AW146" s="21">
        <v>303800</v>
      </c>
      <c r="AX146" s="21">
        <v>1469800</v>
      </c>
      <c r="AY146" s="21">
        <v>395600</v>
      </c>
      <c r="AZ146" s="21">
        <v>673200</v>
      </c>
      <c r="BA146" s="21">
        <v>822600</v>
      </c>
      <c r="BB146" s="21">
        <v>581600</v>
      </c>
      <c r="BC146" s="21">
        <v>751400</v>
      </c>
      <c r="BD146" s="21">
        <v>2726100</v>
      </c>
      <c r="BE146" s="21">
        <v>860100</v>
      </c>
      <c r="BF146" s="21">
        <v>2031100</v>
      </c>
      <c r="BG146" s="21">
        <v>521800</v>
      </c>
      <c r="BH146" s="21">
        <v>602900</v>
      </c>
      <c r="BI146" s="21">
        <v>1100100</v>
      </c>
      <c r="BJ146" s="21">
        <v>345600</v>
      </c>
      <c r="BK146" s="21">
        <v>616700</v>
      </c>
      <c r="BL146" s="21">
        <v>631800</v>
      </c>
      <c r="BM146" s="1">
        <v>423800</v>
      </c>
      <c r="BN146" s="1">
        <v>754500</v>
      </c>
      <c r="BO146" s="1">
        <v>663000</v>
      </c>
      <c r="BP146" s="1">
        <v>1486000</v>
      </c>
      <c r="BQ146" s="1">
        <v>1805200</v>
      </c>
      <c r="BR146" s="1">
        <v>2214400</v>
      </c>
      <c r="BS146" s="1">
        <v>2130400</v>
      </c>
      <c r="BT146" s="1">
        <v>1277500</v>
      </c>
      <c r="BU146" s="1">
        <v>2219600</v>
      </c>
      <c r="BV146" s="1">
        <v>2740000</v>
      </c>
      <c r="BW146" s="1">
        <v>1390700</v>
      </c>
      <c r="BX146" s="1">
        <v>1327800</v>
      </c>
      <c r="BY146" s="1">
        <v>1494900</v>
      </c>
      <c r="BZ146" s="1">
        <v>4120500</v>
      </c>
    </row>
    <row r="147" spans="1:78" ht="15.9" customHeight="1">
      <c r="A147" s="393" t="s">
        <v>288</v>
      </c>
      <c r="B147" s="46" t="s">
        <v>289</v>
      </c>
      <c r="C147" s="50">
        <f>_xll.RssMarket("6387","出来高")</f>
        <v>121300</v>
      </c>
      <c r="D147" s="16">
        <f t="shared" si="2"/>
        <v>2400</v>
      </c>
      <c r="E147" s="21">
        <v>118900</v>
      </c>
      <c r="F147" s="21">
        <v>93200</v>
      </c>
      <c r="G147" s="21">
        <v>314100</v>
      </c>
      <c r="H147" s="21">
        <v>178700</v>
      </c>
      <c r="I147" s="21">
        <v>128700</v>
      </c>
      <c r="J147" s="21">
        <v>92700</v>
      </c>
      <c r="K147" s="21">
        <v>98600</v>
      </c>
      <c r="L147" s="21"/>
      <c r="M147" s="21">
        <v>49700</v>
      </c>
      <c r="N147" s="21">
        <v>70700</v>
      </c>
      <c r="O147" s="21">
        <v>71000</v>
      </c>
      <c r="P147" s="21">
        <v>133200</v>
      </c>
      <c r="Q147" s="21">
        <v>72100</v>
      </c>
      <c r="R147" s="21">
        <v>116500</v>
      </c>
      <c r="S147" s="21">
        <v>94400</v>
      </c>
      <c r="T147" s="21">
        <v>190000</v>
      </c>
      <c r="U147" s="21">
        <v>79600</v>
      </c>
      <c r="V147" s="21">
        <v>83700</v>
      </c>
      <c r="W147" s="21">
        <v>132500</v>
      </c>
      <c r="X147" s="21">
        <v>114300</v>
      </c>
      <c r="Y147" s="21">
        <v>103600</v>
      </c>
      <c r="Z147" s="21">
        <v>92200</v>
      </c>
      <c r="AA147" s="21">
        <v>78000</v>
      </c>
      <c r="AB147" s="21">
        <v>66200</v>
      </c>
      <c r="AC147" s="21">
        <v>68700</v>
      </c>
      <c r="AD147" s="21">
        <v>71300</v>
      </c>
      <c r="AE147" s="21">
        <v>89800</v>
      </c>
      <c r="AF147" s="21">
        <v>110100</v>
      </c>
      <c r="AG147" s="21">
        <v>135700</v>
      </c>
      <c r="AH147" s="21">
        <v>221500</v>
      </c>
      <c r="AI147" s="21">
        <v>166200</v>
      </c>
      <c r="AJ147" s="21">
        <v>236300</v>
      </c>
      <c r="AK147" s="21">
        <v>321300</v>
      </c>
      <c r="AL147" s="21">
        <v>381200</v>
      </c>
      <c r="AM147" s="21">
        <v>480600</v>
      </c>
      <c r="AN147" s="21">
        <v>151900</v>
      </c>
      <c r="AO147" s="21">
        <v>158900</v>
      </c>
      <c r="AP147" s="21">
        <v>84700</v>
      </c>
      <c r="AQ147" s="21">
        <v>137700</v>
      </c>
      <c r="AR147" s="21">
        <v>97900</v>
      </c>
      <c r="AS147" s="21">
        <v>129100</v>
      </c>
      <c r="AT147" s="21">
        <v>228700</v>
      </c>
      <c r="AU147" s="21">
        <v>222000</v>
      </c>
      <c r="AV147" s="21">
        <v>74200</v>
      </c>
      <c r="AW147" s="21">
        <v>88300</v>
      </c>
      <c r="AX147" s="21">
        <v>129800</v>
      </c>
      <c r="AY147" s="21">
        <v>144700</v>
      </c>
      <c r="AZ147" s="21">
        <v>143100</v>
      </c>
      <c r="BA147" s="21">
        <v>133100</v>
      </c>
      <c r="BB147" s="21">
        <v>118100</v>
      </c>
      <c r="BC147" s="21">
        <v>132500</v>
      </c>
      <c r="BD147" s="21">
        <v>88000</v>
      </c>
      <c r="BE147" s="21">
        <v>130200</v>
      </c>
      <c r="BF147" s="21">
        <v>163300</v>
      </c>
      <c r="BG147" s="21">
        <v>111400</v>
      </c>
      <c r="BH147" s="21">
        <v>159300</v>
      </c>
      <c r="BI147" s="21">
        <v>150600</v>
      </c>
      <c r="BJ147" s="21">
        <v>274200</v>
      </c>
      <c r="BK147" s="21">
        <v>327900</v>
      </c>
      <c r="BL147" s="21">
        <v>134500</v>
      </c>
      <c r="BM147" s="1">
        <v>152100</v>
      </c>
      <c r="BN147" s="1">
        <v>165100</v>
      </c>
      <c r="BO147" s="1">
        <v>217900</v>
      </c>
      <c r="BP147" s="1">
        <v>339700</v>
      </c>
      <c r="BQ147" s="1">
        <v>371200</v>
      </c>
      <c r="BR147" s="1">
        <v>224900</v>
      </c>
      <c r="BS147" s="1">
        <v>98500</v>
      </c>
      <c r="BT147" s="1">
        <v>111100</v>
      </c>
      <c r="BU147" s="1">
        <v>142500</v>
      </c>
      <c r="BV147" s="1">
        <v>230100</v>
      </c>
      <c r="BW147" s="1">
        <v>200700</v>
      </c>
      <c r="BX147" s="1">
        <v>284600</v>
      </c>
      <c r="BY147" s="1">
        <v>279200</v>
      </c>
      <c r="BZ147" s="1">
        <v>226700</v>
      </c>
    </row>
    <row r="148" spans="1:78" ht="15.9" customHeight="1">
      <c r="A148" s="393" t="s">
        <v>290</v>
      </c>
      <c r="B148" s="46" t="s">
        <v>291</v>
      </c>
      <c r="C148" s="50">
        <f>_xll.RssMarket("6838","出来高")</f>
        <v>162600</v>
      </c>
      <c r="D148" s="16">
        <f t="shared" si="2"/>
        <v>-105900</v>
      </c>
      <c r="E148" s="21">
        <v>268500</v>
      </c>
      <c r="F148" s="21">
        <v>316000</v>
      </c>
      <c r="G148" s="21">
        <v>268000</v>
      </c>
      <c r="H148" s="21">
        <v>268100</v>
      </c>
      <c r="I148" s="21">
        <v>420400</v>
      </c>
      <c r="J148" s="21">
        <v>291800</v>
      </c>
      <c r="K148" s="21">
        <v>197900</v>
      </c>
      <c r="L148" s="21">
        <v>168100</v>
      </c>
      <c r="M148" s="21">
        <v>117600</v>
      </c>
      <c r="N148" s="21">
        <v>302100</v>
      </c>
      <c r="O148" s="21">
        <v>259600</v>
      </c>
      <c r="P148" s="21">
        <v>446100</v>
      </c>
      <c r="Q148" s="21">
        <v>200300</v>
      </c>
      <c r="R148" s="21">
        <v>361300</v>
      </c>
      <c r="S148" s="21">
        <v>287300</v>
      </c>
      <c r="T148" s="21">
        <v>184900</v>
      </c>
      <c r="U148" s="21">
        <v>271900</v>
      </c>
      <c r="V148" s="21">
        <v>380900</v>
      </c>
      <c r="W148" s="21">
        <v>334600</v>
      </c>
      <c r="X148" s="21">
        <v>231700</v>
      </c>
      <c r="Y148" s="21">
        <v>292700</v>
      </c>
      <c r="Z148" s="21">
        <v>265800</v>
      </c>
      <c r="AA148" s="21">
        <v>397600</v>
      </c>
      <c r="AB148" s="21">
        <v>270300</v>
      </c>
      <c r="AC148" s="21">
        <v>433700</v>
      </c>
      <c r="AD148" s="21">
        <v>391000</v>
      </c>
      <c r="AE148" s="21">
        <v>660600</v>
      </c>
      <c r="AF148" s="21">
        <v>418800</v>
      </c>
      <c r="AG148" s="21">
        <v>340300</v>
      </c>
      <c r="AH148" s="21">
        <v>341900</v>
      </c>
      <c r="AI148" s="21">
        <v>785400</v>
      </c>
      <c r="AJ148" s="21">
        <v>690400</v>
      </c>
      <c r="AK148" s="21">
        <v>1705200</v>
      </c>
      <c r="AL148" s="21">
        <v>27400</v>
      </c>
      <c r="AM148" s="21">
        <v>479300</v>
      </c>
      <c r="AN148" s="21">
        <v>311400</v>
      </c>
      <c r="AO148" s="21">
        <v>437400</v>
      </c>
      <c r="AP148" s="21">
        <v>574900</v>
      </c>
      <c r="AQ148" s="21">
        <v>588300</v>
      </c>
      <c r="AR148" s="21">
        <v>292700</v>
      </c>
      <c r="AS148" s="21">
        <v>333000</v>
      </c>
      <c r="AT148" s="21">
        <v>379500</v>
      </c>
      <c r="AU148" s="21">
        <v>478800</v>
      </c>
      <c r="AV148" s="21">
        <v>331600</v>
      </c>
      <c r="AW148" s="21">
        <v>268000</v>
      </c>
      <c r="AX148" s="21">
        <v>486600</v>
      </c>
      <c r="AY148" s="21">
        <v>468300</v>
      </c>
      <c r="AZ148" s="21">
        <v>383300</v>
      </c>
      <c r="BA148" s="21">
        <v>485100</v>
      </c>
      <c r="BB148" s="21">
        <v>497500</v>
      </c>
      <c r="BC148" s="21">
        <v>817000</v>
      </c>
      <c r="BD148" s="21">
        <v>600600</v>
      </c>
      <c r="BE148" s="21">
        <v>438700</v>
      </c>
      <c r="BF148" s="21">
        <v>406800</v>
      </c>
      <c r="BG148" s="21">
        <v>474400</v>
      </c>
      <c r="BH148" s="21">
        <v>640700</v>
      </c>
      <c r="BI148" s="21">
        <v>1706600</v>
      </c>
      <c r="BJ148" s="21">
        <v>485200</v>
      </c>
      <c r="BK148" s="21">
        <v>379100</v>
      </c>
      <c r="BL148" s="21">
        <v>186100</v>
      </c>
      <c r="BM148" s="1">
        <v>334600</v>
      </c>
      <c r="BN148" s="1">
        <v>232100</v>
      </c>
      <c r="BO148" s="1">
        <v>546200</v>
      </c>
      <c r="BP148" s="1">
        <v>466500</v>
      </c>
      <c r="BQ148" s="1">
        <v>813500</v>
      </c>
      <c r="BR148" s="1">
        <v>483800</v>
      </c>
      <c r="BS148" s="1">
        <v>1369200</v>
      </c>
      <c r="BT148" s="1">
        <v>2102000</v>
      </c>
      <c r="BU148" s="1">
        <v>1228500</v>
      </c>
      <c r="BV148" s="1">
        <v>485200</v>
      </c>
      <c r="BW148" s="1">
        <v>302900</v>
      </c>
      <c r="BX148" s="1">
        <v>249600</v>
      </c>
      <c r="BY148" s="1">
        <v>210500</v>
      </c>
      <c r="BZ148" s="1">
        <v>565500</v>
      </c>
    </row>
    <row r="149" spans="1:78" ht="15.9" customHeight="1">
      <c r="A149" s="393" t="s">
        <v>292</v>
      </c>
      <c r="B149" s="46" t="s">
        <v>293</v>
      </c>
      <c r="C149" s="50">
        <f>_xll.RssMarket("7375","出来高")</f>
        <v>11100</v>
      </c>
      <c r="D149" s="16">
        <f t="shared" si="2"/>
        <v>11100</v>
      </c>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78" ht="15.9" customHeight="1">
      <c r="A150" s="393" t="s">
        <v>294</v>
      </c>
      <c r="B150" s="46" t="s">
        <v>295</v>
      </c>
      <c r="C150" s="50">
        <f>_xll.RssMarket("4307","出来高")</f>
        <v>2812000</v>
      </c>
      <c r="D150" s="16">
        <f t="shared" si="2"/>
        <v>-1119600</v>
      </c>
      <c r="E150" s="21">
        <v>3931600</v>
      </c>
      <c r="F150" s="21">
        <v>3778000</v>
      </c>
      <c r="G150" s="21">
        <v>7155600</v>
      </c>
      <c r="H150" s="21">
        <v>5114300</v>
      </c>
      <c r="I150" s="21">
        <v>4074000</v>
      </c>
      <c r="J150" s="21">
        <v>3545900</v>
      </c>
      <c r="K150" s="21">
        <v>2345900</v>
      </c>
      <c r="L150" s="21">
        <v>1476500</v>
      </c>
      <c r="M150" s="21">
        <v>1778100</v>
      </c>
      <c r="N150" s="21">
        <v>2623100</v>
      </c>
      <c r="O150" s="21">
        <v>2365700</v>
      </c>
      <c r="P150" s="21">
        <v>3134600</v>
      </c>
      <c r="Q150" s="21">
        <v>3545500</v>
      </c>
      <c r="R150" s="21">
        <v>2749100</v>
      </c>
      <c r="S150" s="21">
        <v>1698500</v>
      </c>
      <c r="T150" s="21">
        <v>2073400</v>
      </c>
      <c r="U150" s="21">
        <v>2117400</v>
      </c>
      <c r="V150" s="21">
        <v>2502700</v>
      </c>
      <c r="W150" s="21">
        <v>2212700</v>
      </c>
      <c r="X150" s="21">
        <v>2345700</v>
      </c>
      <c r="Y150" s="21">
        <v>2999000</v>
      </c>
      <c r="Z150" s="21">
        <v>3019000</v>
      </c>
      <c r="AA150" s="21">
        <v>1985600</v>
      </c>
      <c r="AB150" s="21">
        <v>2373400</v>
      </c>
      <c r="AC150" s="21">
        <v>3756500</v>
      </c>
      <c r="AD150" s="21">
        <v>2113200</v>
      </c>
      <c r="AE150" s="21">
        <v>2267200</v>
      </c>
      <c r="AF150" s="21">
        <v>2621200</v>
      </c>
      <c r="AG150" s="21">
        <v>2595600</v>
      </c>
      <c r="AH150" s="21">
        <v>2276100</v>
      </c>
      <c r="AI150" s="21">
        <v>4234100</v>
      </c>
      <c r="AJ150" s="21">
        <v>2364500</v>
      </c>
      <c r="AK150" s="21">
        <v>1885500</v>
      </c>
      <c r="AL150" s="21">
        <v>2822700</v>
      </c>
      <c r="AM150" s="21">
        <v>1767800</v>
      </c>
      <c r="AN150" s="21">
        <v>2122200</v>
      </c>
      <c r="AO150" s="21">
        <v>1775500</v>
      </c>
      <c r="AP150" s="21">
        <v>2062200</v>
      </c>
      <c r="AQ150" s="21">
        <v>1982800</v>
      </c>
      <c r="AR150" s="21">
        <v>1948500</v>
      </c>
      <c r="AS150" s="21">
        <v>2554500</v>
      </c>
      <c r="AT150" s="21">
        <v>2766400</v>
      </c>
      <c r="AU150" s="21">
        <v>3778000</v>
      </c>
      <c r="AV150" s="21">
        <v>8861600</v>
      </c>
      <c r="AW150" s="21">
        <v>4128500</v>
      </c>
      <c r="AX150" s="21">
        <v>3351800</v>
      </c>
      <c r="AY150" s="21">
        <v>2705400</v>
      </c>
      <c r="AZ150" s="21">
        <v>3120600</v>
      </c>
      <c r="BA150" s="21">
        <v>2921100</v>
      </c>
      <c r="BB150" s="21">
        <v>4761400</v>
      </c>
      <c r="BC150" s="21">
        <v>5627600</v>
      </c>
      <c r="BD150" s="21">
        <v>5692100</v>
      </c>
      <c r="BE150" s="21">
        <v>4777000</v>
      </c>
      <c r="BF150" s="21">
        <v>3878000</v>
      </c>
      <c r="BG150" s="21">
        <v>2250600</v>
      </c>
      <c r="BH150" s="21">
        <v>3870100</v>
      </c>
      <c r="BI150" s="21">
        <v>4311900</v>
      </c>
      <c r="BJ150" s="21">
        <v>4184000</v>
      </c>
      <c r="BK150" s="21">
        <v>5056300</v>
      </c>
      <c r="BL150" s="21">
        <v>3854800</v>
      </c>
      <c r="BM150" s="1">
        <v>6816100</v>
      </c>
      <c r="BN150" s="1">
        <v>8727100</v>
      </c>
      <c r="BO150" s="1">
        <v>9837700</v>
      </c>
      <c r="BP150" s="1">
        <v>7613500</v>
      </c>
      <c r="BQ150" s="1">
        <v>5256500</v>
      </c>
      <c r="BR150" s="1">
        <v>3795500</v>
      </c>
      <c r="BS150" s="1">
        <v>3355300</v>
      </c>
      <c r="BT150" s="1">
        <v>2862800</v>
      </c>
      <c r="BU150" s="1">
        <v>3725400</v>
      </c>
      <c r="BV150" s="1">
        <v>4892600</v>
      </c>
      <c r="BW150" s="1">
        <v>4884100</v>
      </c>
      <c r="BX150" s="1">
        <v>3775900</v>
      </c>
      <c r="BY150" s="1">
        <v>3492500</v>
      </c>
      <c r="BZ150" s="1">
        <v>3333600</v>
      </c>
    </row>
    <row r="151" spans="1:78" ht="15.9" customHeight="1">
      <c r="A151" s="393" t="s">
        <v>296</v>
      </c>
      <c r="B151" s="46" t="s">
        <v>297</v>
      </c>
      <c r="C151" s="50">
        <f>_xll.RssMarket("6516","出来高")</f>
        <v>164700</v>
      </c>
      <c r="D151" s="16">
        <f t="shared" si="2"/>
        <v>49400</v>
      </c>
      <c r="E151" s="21">
        <v>115300</v>
      </c>
      <c r="F151" s="21">
        <v>165700</v>
      </c>
      <c r="G151" s="21">
        <v>461100</v>
      </c>
      <c r="H151" s="21">
        <v>976000</v>
      </c>
      <c r="I151" s="21">
        <v>217400</v>
      </c>
      <c r="J151" s="21">
        <v>209300</v>
      </c>
      <c r="K151" s="21">
        <v>152600</v>
      </c>
      <c r="L151" s="21"/>
      <c r="M151" s="21">
        <v>99400</v>
      </c>
      <c r="N151" s="21">
        <v>112800</v>
      </c>
      <c r="O151" s="21">
        <v>153600</v>
      </c>
      <c r="P151" s="21">
        <v>159100</v>
      </c>
      <c r="Q151" s="21">
        <v>100100</v>
      </c>
      <c r="R151" s="21">
        <v>134600</v>
      </c>
      <c r="S151" s="21">
        <v>81900</v>
      </c>
      <c r="T151" s="21">
        <v>97300</v>
      </c>
      <c r="U151" s="21">
        <v>101800</v>
      </c>
      <c r="V151" s="21">
        <v>97800</v>
      </c>
      <c r="W151" s="21">
        <v>113800</v>
      </c>
      <c r="X151" s="21">
        <v>91200</v>
      </c>
      <c r="Y151" s="21">
        <v>173800</v>
      </c>
      <c r="Z151" s="21">
        <v>187300</v>
      </c>
      <c r="AA151" s="21">
        <v>131600</v>
      </c>
      <c r="AB151" s="21">
        <v>172900</v>
      </c>
      <c r="AC151" s="21">
        <v>192100</v>
      </c>
      <c r="AD151" s="21">
        <v>132700</v>
      </c>
      <c r="AE151" s="21">
        <v>160000</v>
      </c>
      <c r="AF151" s="21">
        <v>191100</v>
      </c>
      <c r="AG151" s="21">
        <v>282600</v>
      </c>
      <c r="AH151" s="21">
        <v>154200</v>
      </c>
      <c r="AI151" s="21">
        <v>243600</v>
      </c>
      <c r="AJ151" s="21">
        <v>118700</v>
      </c>
      <c r="AK151" s="21">
        <v>107700</v>
      </c>
      <c r="AL151" s="21">
        <v>103500</v>
      </c>
      <c r="AM151" s="21">
        <v>88700</v>
      </c>
      <c r="AN151" s="21">
        <v>123000</v>
      </c>
      <c r="AO151" s="21">
        <v>118400</v>
      </c>
      <c r="AP151" s="21">
        <v>119300</v>
      </c>
      <c r="AQ151" s="21">
        <v>136500</v>
      </c>
      <c r="AR151" s="21">
        <v>112700</v>
      </c>
      <c r="AS151" s="21">
        <v>160100</v>
      </c>
      <c r="AT151" s="21">
        <v>257900</v>
      </c>
      <c r="AU151" s="21">
        <v>331500</v>
      </c>
      <c r="AV151" s="21">
        <v>209900</v>
      </c>
      <c r="AW151" s="21">
        <v>126600</v>
      </c>
      <c r="AX151" s="21">
        <v>142000</v>
      </c>
      <c r="AY151" s="21">
        <v>181300</v>
      </c>
      <c r="AZ151" s="21">
        <v>130800</v>
      </c>
      <c r="BA151" s="21">
        <v>187400</v>
      </c>
      <c r="BB151" s="21">
        <v>159500</v>
      </c>
      <c r="BC151" s="21">
        <v>219400</v>
      </c>
      <c r="BD151" s="21">
        <v>133000</v>
      </c>
      <c r="BE151" s="21">
        <v>185400</v>
      </c>
      <c r="BF151" s="21">
        <v>150200</v>
      </c>
      <c r="BG151" s="21">
        <v>100100</v>
      </c>
      <c r="BH151" s="21">
        <v>214000</v>
      </c>
      <c r="BI151" s="21">
        <v>229500</v>
      </c>
      <c r="BJ151" s="21">
        <v>184000</v>
      </c>
      <c r="BK151" s="21">
        <v>233700</v>
      </c>
      <c r="BL151" s="21">
        <v>169100</v>
      </c>
      <c r="BM151" s="1">
        <v>255300</v>
      </c>
      <c r="BN151" s="1">
        <v>801500</v>
      </c>
      <c r="BO151" s="1">
        <v>437500</v>
      </c>
      <c r="BP151" s="1">
        <v>288200</v>
      </c>
      <c r="BQ151" s="1">
        <v>150200</v>
      </c>
      <c r="BR151" s="1">
        <v>126900</v>
      </c>
      <c r="BS151" s="1">
        <v>54700</v>
      </c>
      <c r="BT151" s="1">
        <v>37200</v>
      </c>
      <c r="BU151" s="1">
        <v>49500</v>
      </c>
      <c r="BV151" s="1">
        <v>61400</v>
      </c>
      <c r="BW151" s="1">
        <v>72400</v>
      </c>
      <c r="BX151" s="1">
        <v>110600</v>
      </c>
      <c r="BY151" s="1">
        <v>58600</v>
      </c>
      <c r="BZ151" s="1">
        <v>98400</v>
      </c>
    </row>
    <row r="152" spans="1:78" ht="15.9" customHeight="1">
      <c r="A152" s="393" t="s">
        <v>298</v>
      </c>
      <c r="B152" s="46" t="s">
        <v>299</v>
      </c>
      <c r="C152" s="50">
        <f>_xll.RssMarket("7381","出来高")</f>
        <v>402100</v>
      </c>
      <c r="D152" s="16">
        <f t="shared" si="2"/>
        <v>-101500</v>
      </c>
      <c r="E152" s="21">
        <v>503600</v>
      </c>
      <c r="F152" s="21">
        <v>706300</v>
      </c>
      <c r="G152" s="21">
        <v>768800</v>
      </c>
      <c r="H152" s="21">
        <v>889500</v>
      </c>
      <c r="I152" s="21">
        <v>843400</v>
      </c>
      <c r="J152" s="21">
        <v>574900</v>
      </c>
      <c r="K152" s="21">
        <v>545500</v>
      </c>
      <c r="L152" s="21">
        <v>398400</v>
      </c>
      <c r="M152" s="21">
        <v>401900</v>
      </c>
      <c r="N152" s="21">
        <v>478300</v>
      </c>
      <c r="O152" s="21">
        <v>680600</v>
      </c>
      <c r="P152" s="21">
        <v>932600</v>
      </c>
      <c r="Q152" s="21">
        <v>594700</v>
      </c>
      <c r="R152" s="21">
        <v>600400</v>
      </c>
      <c r="S152" s="21">
        <v>297400</v>
      </c>
      <c r="T152" s="21">
        <v>492900</v>
      </c>
      <c r="U152" s="21">
        <v>418200</v>
      </c>
      <c r="V152" s="21">
        <v>500800</v>
      </c>
      <c r="W152" s="21">
        <v>320000</v>
      </c>
      <c r="X152" s="21">
        <v>291200</v>
      </c>
      <c r="Y152" s="21">
        <v>342800</v>
      </c>
      <c r="Z152" s="21">
        <v>359800</v>
      </c>
      <c r="AA152" s="21">
        <v>412500</v>
      </c>
      <c r="AB152" s="21">
        <v>657100</v>
      </c>
      <c r="AC152" s="21">
        <v>688600</v>
      </c>
      <c r="AD152" s="21">
        <v>437600</v>
      </c>
      <c r="AE152" s="21">
        <v>500500</v>
      </c>
      <c r="AF152" s="21">
        <v>334400</v>
      </c>
      <c r="AG152" s="21">
        <v>622000</v>
      </c>
      <c r="AH152" s="21">
        <v>446000</v>
      </c>
      <c r="AI152" s="21">
        <v>683100</v>
      </c>
      <c r="AJ152" s="21">
        <v>325900</v>
      </c>
      <c r="AK152" s="21">
        <v>444200</v>
      </c>
      <c r="AL152" s="21">
        <v>413400</v>
      </c>
      <c r="AM152" s="21">
        <v>390600</v>
      </c>
      <c r="AN152" s="21">
        <v>823600</v>
      </c>
      <c r="AO152" s="21">
        <v>527000</v>
      </c>
      <c r="AP152" s="21">
        <v>659400</v>
      </c>
      <c r="AQ152" s="21">
        <v>781900</v>
      </c>
      <c r="AR152" s="21">
        <v>356100</v>
      </c>
      <c r="AS152" s="21">
        <v>429300</v>
      </c>
      <c r="AT152" s="21">
        <v>822300</v>
      </c>
      <c r="AU152" s="21">
        <v>632000</v>
      </c>
      <c r="AV152" s="21">
        <v>513300</v>
      </c>
      <c r="AW152" s="21">
        <v>619200</v>
      </c>
      <c r="AX152" s="21">
        <v>497400</v>
      </c>
      <c r="AY152" s="21">
        <v>436200</v>
      </c>
      <c r="AZ152" s="21">
        <v>452400</v>
      </c>
      <c r="BA152" s="21">
        <v>898600</v>
      </c>
      <c r="BB152" s="21">
        <v>467800</v>
      </c>
      <c r="BC152" s="21">
        <v>758600</v>
      </c>
      <c r="BD152" s="21">
        <v>650700</v>
      </c>
      <c r="BE152" s="21">
        <v>826100</v>
      </c>
      <c r="BF152" s="21">
        <v>531000</v>
      </c>
      <c r="BG152" s="21">
        <v>391200</v>
      </c>
      <c r="BH152" s="21">
        <v>479100</v>
      </c>
      <c r="BI152" s="21">
        <v>890100</v>
      </c>
      <c r="BJ152" s="21">
        <v>947100</v>
      </c>
      <c r="BK152" s="21">
        <v>1553800</v>
      </c>
      <c r="BL152" s="21">
        <v>849900</v>
      </c>
      <c r="BM152" s="1">
        <v>937700</v>
      </c>
      <c r="BN152" s="1">
        <v>1000900</v>
      </c>
      <c r="BO152" s="1">
        <v>443900</v>
      </c>
      <c r="BP152" s="1">
        <v>391300</v>
      </c>
      <c r="BQ152" s="1">
        <v>441400</v>
      </c>
      <c r="BR152" s="1">
        <v>546100</v>
      </c>
      <c r="BS152" s="1">
        <v>485800</v>
      </c>
      <c r="BT152" s="1">
        <v>308200</v>
      </c>
      <c r="BU152" s="1">
        <v>433500</v>
      </c>
      <c r="BV152" s="1">
        <v>321900</v>
      </c>
      <c r="BW152" s="1">
        <v>337000</v>
      </c>
      <c r="BX152" s="1">
        <v>256400</v>
      </c>
      <c r="BY152" s="1">
        <v>309300</v>
      </c>
      <c r="BZ152" s="1">
        <v>444500</v>
      </c>
    </row>
    <row r="153" spans="1:78" ht="15.9" customHeight="1">
      <c r="A153" s="393" t="s">
        <v>300</v>
      </c>
      <c r="B153" s="46" t="s">
        <v>301</v>
      </c>
      <c r="C153" s="50">
        <f>_xll.RssMarket("4417","出来高")</f>
        <v>25600</v>
      </c>
      <c r="D153" s="16">
        <f t="shared" si="2"/>
        <v>-33500</v>
      </c>
      <c r="E153" s="21">
        <v>59100</v>
      </c>
      <c r="F153" s="21">
        <v>97600</v>
      </c>
      <c r="G153" s="21">
        <v>100100</v>
      </c>
      <c r="H153" s="21">
        <v>48900</v>
      </c>
      <c r="I153" s="21">
        <v>63700</v>
      </c>
      <c r="J153" s="21">
        <v>48800</v>
      </c>
      <c r="K153" s="21">
        <v>35300</v>
      </c>
      <c r="L153" s="21">
        <v>33000</v>
      </c>
      <c r="M153" s="21">
        <v>47100</v>
      </c>
      <c r="N153" s="21">
        <v>47400</v>
      </c>
      <c r="O153" s="21">
        <v>59100</v>
      </c>
      <c r="P153" s="21">
        <v>117500</v>
      </c>
      <c r="Q153" s="21">
        <v>61000</v>
      </c>
      <c r="R153" s="21">
        <v>93600</v>
      </c>
      <c r="S153" s="21">
        <v>35100</v>
      </c>
      <c r="T153" s="21">
        <v>31700</v>
      </c>
      <c r="U153" s="21">
        <v>26700</v>
      </c>
      <c r="V153" s="21">
        <v>61300</v>
      </c>
      <c r="W153" s="21">
        <v>125300</v>
      </c>
      <c r="X153" s="21">
        <v>83000</v>
      </c>
      <c r="Y153" s="21">
        <v>141800</v>
      </c>
      <c r="Z153" s="21">
        <v>178400</v>
      </c>
      <c r="AA153" s="21">
        <v>63300</v>
      </c>
      <c r="AB153" s="21">
        <v>170600</v>
      </c>
      <c r="AC153" s="21">
        <v>218000</v>
      </c>
      <c r="AD153" s="21">
        <v>60700</v>
      </c>
      <c r="AE153" s="21">
        <v>40400</v>
      </c>
      <c r="AF153" s="21">
        <v>29500</v>
      </c>
      <c r="AG153" s="21">
        <v>53700</v>
      </c>
      <c r="AH153" s="21">
        <v>56500</v>
      </c>
      <c r="AI153" s="21">
        <v>40500</v>
      </c>
      <c r="AJ153" s="21">
        <v>52100</v>
      </c>
      <c r="AK153" s="21">
        <v>49100</v>
      </c>
      <c r="AL153" s="21">
        <v>34600</v>
      </c>
      <c r="AM153" s="21">
        <v>65800</v>
      </c>
      <c r="AN153" s="21">
        <v>41600</v>
      </c>
      <c r="AO153" s="21">
        <v>46300</v>
      </c>
      <c r="AP153" s="21">
        <v>37300</v>
      </c>
      <c r="AQ153" s="21">
        <v>99100</v>
      </c>
      <c r="AR153" s="21">
        <v>63500</v>
      </c>
      <c r="AS153" s="21">
        <v>65800</v>
      </c>
      <c r="AT153" s="21">
        <v>116400</v>
      </c>
      <c r="AU153" s="21">
        <v>91900</v>
      </c>
      <c r="AV153" s="21">
        <v>169100</v>
      </c>
      <c r="AW153" s="21">
        <v>74100</v>
      </c>
      <c r="AX153" s="21">
        <v>82900</v>
      </c>
      <c r="AY153" s="21">
        <v>118100</v>
      </c>
      <c r="AZ153" s="21">
        <v>131000</v>
      </c>
      <c r="BA153" s="21">
        <v>158700</v>
      </c>
      <c r="BB153" s="21">
        <v>82900</v>
      </c>
      <c r="BC153" s="21">
        <v>68200</v>
      </c>
      <c r="BD153" s="21">
        <v>41200</v>
      </c>
      <c r="BE153" s="21">
        <v>63100</v>
      </c>
      <c r="BF153" s="21">
        <v>107000</v>
      </c>
      <c r="BG153" s="21">
        <v>85800</v>
      </c>
      <c r="BH153" s="21">
        <v>157500</v>
      </c>
      <c r="BI153" s="21">
        <v>94100</v>
      </c>
      <c r="BJ153" s="21">
        <v>171000</v>
      </c>
      <c r="BK153" s="21">
        <v>182400</v>
      </c>
      <c r="BL153" s="21">
        <v>450100</v>
      </c>
      <c r="BM153" s="1">
        <v>118600</v>
      </c>
      <c r="BN153" s="1">
        <v>75200</v>
      </c>
      <c r="BO153" s="1">
        <v>57500</v>
      </c>
      <c r="BP153" s="1">
        <v>49100</v>
      </c>
      <c r="BQ153" s="1">
        <v>59100</v>
      </c>
      <c r="BR153" s="1">
        <v>54600</v>
      </c>
      <c r="BS153" s="1">
        <v>62700</v>
      </c>
      <c r="BT153" s="1">
        <v>37700</v>
      </c>
      <c r="BU153" s="1">
        <v>67100</v>
      </c>
      <c r="BV153" s="1">
        <v>115500</v>
      </c>
      <c r="BW153" s="1">
        <v>101600</v>
      </c>
      <c r="BX153" s="1">
        <v>116200</v>
      </c>
      <c r="BY153" s="1">
        <v>170800</v>
      </c>
      <c r="BZ153" s="1">
        <v>47800</v>
      </c>
    </row>
    <row r="154" spans="1:78" ht="15.9" customHeight="1">
      <c r="A154" s="393" t="s">
        <v>302</v>
      </c>
      <c r="B154" s="46" t="s">
        <v>303</v>
      </c>
      <c r="C154" s="50">
        <f>_xll.RssMarket("6981","出来高")</f>
        <v>30347200</v>
      </c>
      <c r="D154" s="16">
        <f t="shared" si="2"/>
        <v>3189000</v>
      </c>
      <c r="E154" s="21">
        <v>27158200</v>
      </c>
      <c r="F154" s="21">
        <v>41411700</v>
      </c>
      <c r="G154" s="21">
        <v>2959500</v>
      </c>
      <c r="H154" s="21">
        <v>43111700</v>
      </c>
      <c r="I154" s="21">
        <v>47757600</v>
      </c>
      <c r="J154" s="21">
        <v>31110900</v>
      </c>
      <c r="K154" s="21">
        <v>20700300</v>
      </c>
      <c r="L154" s="21">
        <v>22737700</v>
      </c>
      <c r="M154" s="21">
        <v>28657300</v>
      </c>
      <c r="N154" s="21">
        <v>31932300</v>
      </c>
      <c r="O154" s="21">
        <v>34312600</v>
      </c>
      <c r="P154" s="21">
        <v>43867400</v>
      </c>
      <c r="Q154" s="21">
        <v>26579800</v>
      </c>
      <c r="R154" s="21">
        <v>37725100</v>
      </c>
      <c r="S154" s="21">
        <v>36642900</v>
      </c>
      <c r="T154" s="21">
        <v>32667200</v>
      </c>
      <c r="U154" s="21">
        <v>29495100</v>
      </c>
      <c r="V154" s="21">
        <v>41610500</v>
      </c>
      <c r="W154" s="21">
        <v>43829700</v>
      </c>
      <c r="X154" s="21">
        <v>20945500</v>
      </c>
      <c r="Y154" s="21">
        <v>24232500</v>
      </c>
      <c r="Z154" s="21">
        <v>21447000</v>
      </c>
      <c r="AA154" s="21">
        <v>27495200</v>
      </c>
      <c r="AB154" s="21">
        <v>22104900</v>
      </c>
      <c r="AC154" s="21">
        <v>21412600</v>
      </c>
      <c r="AD154" s="21">
        <v>21939600</v>
      </c>
      <c r="AE154" s="21">
        <v>21595200</v>
      </c>
      <c r="AF154" s="21">
        <v>23298600</v>
      </c>
      <c r="AG154" s="21">
        <v>27617500</v>
      </c>
      <c r="AH154" s="21">
        <v>26689000</v>
      </c>
      <c r="AI154" s="21">
        <v>47359300</v>
      </c>
      <c r="AJ154" s="21">
        <v>37329500</v>
      </c>
      <c r="AK154" s="21">
        <v>31784100</v>
      </c>
      <c r="AL154" s="21">
        <v>37241100</v>
      </c>
      <c r="AM154" s="21">
        <v>28135700</v>
      </c>
      <c r="AN154" s="21">
        <v>59245900</v>
      </c>
      <c r="AO154" s="21">
        <v>42888400</v>
      </c>
      <c r="AP154" s="21">
        <v>53014000</v>
      </c>
      <c r="AQ154" s="21">
        <v>47646200</v>
      </c>
      <c r="AR154" s="21">
        <v>34362300</v>
      </c>
      <c r="AS154" s="21">
        <v>25651100</v>
      </c>
      <c r="AT154" s="21">
        <v>40139600</v>
      </c>
      <c r="AU154" s="21">
        <v>50853300</v>
      </c>
      <c r="AV154" s="21">
        <v>75663400</v>
      </c>
      <c r="AW154" s="21">
        <v>46383100</v>
      </c>
      <c r="AX154" s="21">
        <v>24621300</v>
      </c>
      <c r="AY154" s="21">
        <v>36000700</v>
      </c>
      <c r="AZ154" s="21">
        <v>20915700</v>
      </c>
      <c r="BA154" s="21">
        <v>15850200</v>
      </c>
      <c r="BB154" s="21">
        <v>11512000</v>
      </c>
      <c r="BC154" s="21">
        <v>10166800</v>
      </c>
      <c r="BD154" s="21">
        <v>11319900</v>
      </c>
      <c r="BE154" s="21">
        <v>13040900</v>
      </c>
      <c r="BF154" s="21">
        <v>11802500</v>
      </c>
      <c r="BG154" s="21">
        <v>12340800</v>
      </c>
      <c r="BH154" s="21">
        <v>12364000</v>
      </c>
      <c r="BI154" s="21">
        <v>14052700</v>
      </c>
      <c r="BJ154" s="21">
        <v>15418500</v>
      </c>
      <c r="BK154" s="21">
        <v>24938000</v>
      </c>
      <c r="BL154" s="21">
        <v>18404600</v>
      </c>
      <c r="BM154" s="1">
        <v>30704800</v>
      </c>
      <c r="BN154" s="1">
        <v>10341000</v>
      </c>
      <c r="BO154" s="1">
        <v>8040200</v>
      </c>
      <c r="BP154" s="1">
        <v>8895700</v>
      </c>
      <c r="BQ154" s="1">
        <v>10948000</v>
      </c>
      <c r="BR154" s="1">
        <v>7750500</v>
      </c>
      <c r="BS154" s="1">
        <v>7758000</v>
      </c>
      <c r="BT154" s="1">
        <v>10084000</v>
      </c>
      <c r="BU154" s="1">
        <v>13592000</v>
      </c>
      <c r="BV154" s="1">
        <v>15342100</v>
      </c>
      <c r="BW154" s="1">
        <v>13431600</v>
      </c>
      <c r="BX154" s="1">
        <v>9262400</v>
      </c>
      <c r="BY154" s="1">
        <v>7510600</v>
      </c>
      <c r="BZ154" s="1">
        <v>10407400</v>
      </c>
    </row>
    <row r="155" spans="1:78" ht="15.9" customHeight="1">
      <c r="A155" s="393" t="s">
        <v>304</v>
      </c>
      <c r="B155" s="46" t="s">
        <v>305</v>
      </c>
      <c r="C155" s="50">
        <f>_xll.RssMarket("6754","出来高")</f>
        <v>1758100</v>
      </c>
      <c r="D155" s="16">
        <f t="shared" si="2"/>
        <v>57200</v>
      </c>
      <c r="E155" s="21">
        <v>1700900</v>
      </c>
      <c r="F155" s="21">
        <v>2220600</v>
      </c>
      <c r="G155" s="21">
        <v>5054300</v>
      </c>
      <c r="H155" s="21">
        <v>2119400</v>
      </c>
      <c r="I155" s="21">
        <v>1753600</v>
      </c>
      <c r="J155" s="21">
        <v>965100</v>
      </c>
      <c r="K155" s="21">
        <v>1048900</v>
      </c>
      <c r="L155" s="21"/>
      <c r="M155" s="21">
        <v>1391000</v>
      </c>
      <c r="N155" s="21">
        <v>1543500</v>
      </c>
      <c r="O155" s="21">
        <v>1850700</v>
      </c>
      <c r="P155" s="21">
        <v>1832400</v>
      </c>
      <c r="Q155" s="21">
        <v>848000</v>
      </c>
      <c r="R155" s="21">
        <v>951700</v>
      </c>
      <c r="S155" s="21">
        <v>1069600</v>
      </c>
      <c r="T155" s="21">
        <v>1291700</v>
      </c>
      <c r="U155" s="21">
        <v>1106500</v>
      </c>
      <c r="V155" s="21">
        <v>1792400</v>
      </c>
      <c r="W155" s="21">
        <v>1380800</v>
      </c>
      <c r="X155" s="21">
        <v>2380700</v>
      </c>
      <c r="Y155" s="21">
        <v>1501900</v>
      </c>
      <c r="Z155" s="21">
        <v>1660200</v>
      </c>
      <c r="AA155" s="21">
        <v>1720300</v>
      </c>
      <c r="AB155" s="21">
        <v>1344800</v>
      </c>
      <c r="AC155" s="21">
        <v>1648700</v>
      </c>
      <c r="AD155" s="21">
        <v>1894900</v>
      </c>
      <c r="AE155" s="21">
        <v>1546800</v>
      </c>
      <c r="AF155" s="21">
        <v>1581500</v>
      </c>
      <c r="AG155" s="21">
        <v>2624000</v>
      </c>
      <c r="AH155" s="21">
        <v>1201800</v>
      </c>
      <c r="AI155" s="21">
        <v>2632600</v>
      </c>
      <c r="AJ155" s="21">
        <v>1535900</v>
      </c>
      <c r="AK155" s="21">
        <v>1091000</v>
      </c>
      <c r="AL155" s="21">
        <v>1671600</v>
      </c>
      <c r="AM155" s="21">
        <v>1432700</v>
      </c>
      <c r="AN155" s="21">
        <v>1649300</v>
      </c>
      <c r="AO155" s="21">
        <v>1695500</v>
      </c>
      <c r="AP155" s="21">
        <v>3653900</v>
      </c>
      <c r="AQ155" s="21">
        <v>2565500</v>
      </c>
      <c r="AR155" s="21">
        <v>1745400</v>
      </c>
      <c r="AS155" s="21">
        <v>1128900</v>
      </c>
      <c r="AT155" s="21">
        <v>1890400</v>
      </c>
      <c r="AU155" s="21">
        <v>1520800</v>
      </c>
      <c r="AV155" s="21">
        <v>1644800</v>
      </c>
      <c r="AW155" s="21">
        <v>1358700</v>
      </c>
      <c r="AX155" s="21">
        <v>1749500</v>
      </c>
      <c r="AY155" s="21">
        <v>2323900</v>
      </c>
      <c r="AZ155" s="21">
        <v>1844300</v>
      </c>
      <c r="BA155" s="21">
        <v>2474600</v>
      </c>
      <c r="BB155" s="21">
        <v>3148600</v>
      </c>
      <c r="BC155" s="21">
        <v>1429900</v>
      </c>
      <c r="BD155" s="21">
        <v>1634700</v>
      </c>
      <c r="BE155" s="21">
        <v>2351200</v>
      </c>
      <c r="BF155" s="21">
        <v>1471700</v>
      </c>
      <c r="BG155" s="21">
        <v>1283300</v>
      </c>
      <c r="BH155" s="21">
        <v>2888600</v>
      </c>
      <c r="BI155" s="21">
        <v>1779800</v>
      </c>
      <c r="BJ155" s="21">
        <v>1709900</v>
      </c>
      <c r="BK155" s="21">
        <v>3034800</v>
      </c>
      <c r="BL155" s="21">
        <v>2390200</v>
      </c>
      <c r="BM155" s="1">
        <v>3721200</v>
      </c>
      <c r="BN155" s="1">
        <v>7904000</v>
      </c>
      <c r="BO155" s="1">
        <v>3154400</v>
      </c>
      <c r="BP155" s="1">
        <v>1272900</v>
      </c>
      <c r="BQ155" s="1">
        <v>1155400</v>
      </c>
      <c r="BR155" s="1">
        <v>1462400</v>
      </c>
      <c r="BS155" s="1">
        <v>2052500</v>
      </c>
      <c r="BT155" s="1">
        <v>1078400</v>
      </c>
      <c r="BU155" s="1">
        <v>1136300</v>
      </c>
      <c r="BV155" s="1">
        <v>1050800</v>
      </c>
      <c r="BW155" s="1">
        <v>1286200</v>
      </c>
      <c r="BX155" s="1">
        <v>867900</v>
      </c>
      <c r="BY155" s="1">
        <v>1417400</v>
      </c>
      <c r="BZ155" s="1">
        <v>2130600</v>
      </c>
    </row>
    <row r="156" spans="1:78" ht="15.9" customHeight="1">
      <c r="A156" s="393" t="s">
        <v>306</v>
      </c>
      <c r="B156" s="46" t="s">
        <v>307</v>
      </c>
      <c r="C156" s="50">
        <f>_xll.RssMarket("4088","出来高")</f>
        <v>427500</v>
      </c>
      <c r="D156" s="16">
        <f t="shared" si="2"/>
        <v>-1524600</v>
      </c>
      <c r="E156" s="21">
        <v>1952100</v>
      </c>
      <c r="F156" s="21">
        <v>2085100</v>
      </c>
      <c r="G156" s="21">
        <v>885800</v>
      </c>
      <c r="H156" s="21">
        <v>1064800</v>
      </c>
      <c r="I156" s="21">
        <v>1092900</v>
      </c>
      <c r="J156" s="21">
        <v>1316900</v>
      </c>
      <c r="K156" s="21">
        <v>655100</v>
      </c>
      <c r="L156" s="21">
        <v>847800</v>
      </c>
      <c r="M156" s="21">
        <v>920700</v>
      </c>
      <c r="N156" s="21">
        <v>665700</v>
      </c>
      <c r="O156" s="21">
        <v>914400</v>
      </c>
      <c r="P156" s="21">
        <v>896400</v>
      </c>
      <c r="Q156" s="21">
        <v>695300</v>
      </c>
      <c r="R156" s="21">
        <v>958700</v>
      </c>
      <c r="S156" s="21">
        <v>529500</v>
      </c>
      <c r="T156" s="21">
        <v>604700</v>
      </c>
      <c r="U156" s="21">
        <v>465900</v>
      </c>
      <c r="V156" s="21">
        <v>508400</v>
      </c>
      <c r="W156" s="21">
        <v>1054800</v>
      </c>
      <c r="X156" s="21">
        <v>656900</v>
      </c>
      <c r="Y156" s="21">
        <v>1453900</v>
      </c>
      <c r="Z156" s="21">
        <v>840700</v>
      </c>
      <c r="AA156" s="21">
        <v>1068100</v>
      </c>
      <c r="AB156" s="21">
        <v>1226500</v>
      </c>
      <c r="AC156" s="21">
        <v>853900</v>
      </c>
      <c r="AD156" s="21">
        <v>1372100</v>
      </c>
      <c r="AE156" s="21">
        <v>2449400</v>
      </c>
      <c r="AF156" s="21">
        <v>1791900</v>
      </c>
      <c r="AG156" s="21">
        <v>3912000</v>
      </c>
      <c r="AH156" s="21">
        <v>561600</v>
      </c>
      <c r="AI156" s="21">
        <v>1086700</v>
      </c>
      <c r="AJ156" s="21">
        <v>818300</v>
      </c>
      <c r="AK156" s="21">
        <v>546500</v>
      </c>
      <c r="AL156" s="21">
        <v>1084200</v>
      </c>
      <c r="AM156" s="21">
        <v>902100</v>
      </c>
      <c r="AN156" s="21">
        <v>964600</v>
      </c>
      <c r="AO156" s="21">
        <v>829200</v>
      </c>
      <c r="AP156" s="21">
        <v>980100</v>
      </c>
      <c r="AQ156" s="21">
        <v>947500</v>
      </c>
      <c r="AR156" s="21">
        <v>473500</v>
      </c>
      <c r="AS156" s="21">
        <v>907400</v>
      </c>
      <c r="AT156" s="21">
        <v>1205200</v>
      </c>
      <c r="AU156" s="21">
        <v>1213000</v>
      </c>
      <c r="AV156" s="21">
        <v>2391200</v>
      </c>
      <c r="AW156" s="21">
        <v>1683400</v>
      </c>
      <c r="AX156" s="21">
        <v>2133200</v>
      </c>
      <c r="AY156" s="21">
        <v>1614600</v>
      </c>
      <c r="AZ156" s="21">
        <v>1914400</v>
      </c>
      <c r="BA156" s="21">
        <v>1948500</v>
      </c>
      <c r="BB156" s="21">
        <v>3429800</v>
      </c>
      <c r="BC156" s="21">
        <v>6991900</v>
      </c>
      <c r="BD156" s="21">
        <v>3109400</v>
      </c>
      <c r="BE156" s="21">
        <v>3475800</v>
      </c>
      <c r="BF156" s="21">
        <v>2152400</v>
      </c>
      <c r="BG156" s="21">
        <v>2406600</v>
      </c>
      <c r="BH156" s="21">
        <v>3269100</v>
      </c>
      <c r="BI156" s="21">
        <v>21611100</v>
      </c>
      <c r="BJ156" s="21">
        <v>3841500</v>
      </c>
      <c r="BK156" s="21">
        <v>7184000</v>
      </c>
      <c r="BL156" s="21">
        <v>19920400</v>
      </c>
      <c r="BM156" s="1">
        <v>738100</v>
      </c>
      <c r="BN156" s="1">
        <v>501300</v>
      </c>
      <c r="BO156" s="1">
        <v>517500</v>
      </c>
      <c r="BP156" s="1">
        <v>523000</v>
      </c>
      <c r="BQ156" s="1">
        <v>592400</v>
      </c>
      <c r="BR156" s="1">
        <v>524800</v>
      </c>
      <c r="BS156" s="1">
        <v>572800</v>
      </c>
      <c r="BT156" s="1">
        <v>644500</v>
      </c>
      <c r="BU156" s="1">
        <v>621500</v>
      </c>
      <c r="BV156" s="1">
        <v>815500</v>
      </c>
      <c r="BW156" s="1">
        <v>1298000</v>
      </c>
      <c r="BX156" s="1">
        <v>950200</v>
      </c>
      <c r="BY156" s="1">
        <v>435300</v>
      </c>
      <c r="BZ156" s="1">
        <v>906500</v>
      </c>
    </row>
    <row r="157" spans="1:78" ht="15.9" customHeight="1">
      <c r="A157" s="393" t="s">
        <v>308</v>
      </c>
      <c r="B157" s="46" t="s">
        <v>309</v>
      </c>
      <c r="C157" s="50">
        <f>_xll.RssMarket("4091","出来高")</f>
        <v>214000</v>
      </c>
      <c r="D157" s="16">
        <f t="shared" si="2"/>
        <v>-264900</v>
      </c>
      <c r="E157" s="21">
        <v>478900</v>
      </c>
      <c r="F157" s="21">
        <v>618500</v>
      </c>
      <c r="G157" s="21">
        <v>822500</v>
      </c>
      <c r="H157" s="21">
        <v>773400</v>
      </c>
      <c r="I157" s="21">
        <v>1061000</v>
      </c>
      <c r="J157" s="21">
        <v>388300</v>
      </c>
      <c r="K157" s="21">
        <v>494000</v>
      </c>
      <c r="L157" s="21">
        <v>397100</v>
      </c>
      <c r="M157" s="21">
        <v>476900</v>
      </c>
      <c r="N157" s="21">
        <v>440500</v>
      </c>
      <c r="O157" s="21">
        <v>685900</v>
      </c>
      <c r="P157" s="21">
        <v>518700</v>
      </c>
      <c r="Q157" s="21">
        <v>434900</v>
      </c>
      <c r="R157" s="21">
        <v>506000</v>
      </c>
      <c r="S157" s="21">
        <v>279500</v>
      </c>
      <c r="T157" s="21">
        <v>476400</v>
      </c>
      <c r="U157" s="21">
        <v>467800</v>
      </c>
      <c r="V157" s="21">
        <v>322500</v>
      </c>
      <c r="W157" s="21">
        <v>413700</v>
      </c>
      <c r="X157" s="21">
        <v>706100</v>
      </c>
      <c r="Y157" s="21">
        <v>425300</v>
      </c>
      <c r="Z157" s="21">
        <v>780300</v>
      </c>
      <c r="AA157" s="21">
        <v>539500</v>
      </c>
      <c r="AB157" s="21">
        <v>680200</v>
      </c>
      <c r="AC157" s="21">
        <v>590700</v>
      </c>
      <c r="AD157" s="21">
        <v>753500</v>
      </c>
      <c r="AE157" s="21">
        <v>633200</v>
      </c>
      <c r="AF157" s="21">
        <v>502000</v>
      </c>
      <c r="AG157" s="21">
        <v>927600</v>
      </c>
      <c r="AH157" s="21">
        <v>381400</v>
      </c>
      <c r="AI157" s="21">
        <v>537200</v>
      </c>
      <c r="AJ157" s="21">
        <v>401300</v>
      </c>
      <c r="AK157" s="21">
        <v>375300</v>
      </c>
      <c r="AL157" s="21">
        <v>474400</v>
      </c>
      <c r="AM157" s="21">
        <v>563300</v>
      </c>
      <c r="AN157" s="21">
        <v>858200</v>
      </c>
      <c r="AO157" s="21">
        <v>400400</v>
      </c>
      <c r="AP157" s="21">
        <v>511900</v>
      </c>
      <c r="AQ157" s="21">
        <v>599300</v>
      </c>
      <c r="AR157" s="21">
        <v>483500</v>
      </c>
      <c r="AS157" s="21">
        <v>462800</v>
      </c>
      <c r="AT157" s="21">
        <v>653900</v>
      </c>
      <c r="AU157" s="21">
        <v>688000</v>
      </c>
      <c r="AV157" s="21">
        <v>1490700</v>
      </c>
      <c r="AW157" s="21">
        <v>633100</v>
      </c>
      <c r="AX157" s="21">
        <v>517800</v>
      </c>
      <c r="AY157" s="21">
        <v>917300</v>
      </c>
      <c r="AZ157" s="21">
        <v>975900</v>
      </c>
      <c r="BA157" s="21">
        <v>462000</v>
      </c>
      <c r="BB157" s="21">
        <v>605300</v>
      </c>
      <c r="BC157" s="21">
        <v>507300</v>
      </c>
      <c r="BD157" s="21">
        <v>776800</v>
      </c>
      <c r="BE157" s="21">
        <v>875100</v>
      </c>
      <c r="BF157" s="21">
        <v>865200</v>
      </c>
      <c r="BG157" s="21">
        <v>1059800</v>
      </c>
      <c r="BH157" s="21">
        <v>2298400</v>
      </c>
      <c r="BI157" s="21">
        <v>2340700</v>
      </c>
      <c r="BJ157" s="21">
        <v>895500</v>
      </c>
      <c r="BK157" s="21">
        <v>1653600</v>
      </c>
      <c r="BL157" s="21">
        <v>588800</v>
      </c>
      <c r="BM157" s="1">
        <v>892900</v>
      </c>
      <c r="BN157" s="1">
        <v>598700</v>
      </c>
      <c r="BO157" s="1">
        <v>539400</v>
      </c>
      <c r="BP157" s="1">
        <v>711600</v>
      </c>
      <c r="BQ157" s="1">
        <v>944000</v>
      </c>
      <c r="BR157" s="1">
        <v>535300</v>
      </c>
      <c r="BS157" s="1">
        <v>616600</v>
      </c>
      <c r="BT157" s="1">
        <v>499000</v>
      </c>
      <c r="BU157" s="1">
        <v>497600</v>
      </c>
      <c r="BV157" s="1">
        <v>537300</v>
      </c>
      <c r="BW157" s="1">
        <v>745000</v>
      </c>
      <c r="BX157" s="1">
        <v>636600</v>
      </c>
      <c r="BY157" s="1">
        <v>487000</v>
      </c>
      <c r="BZ157" s="1">
        <v>585000</v>
      </c>
    </row>
    <row r="158" spans="1:78" ht="15.9" customHeight="1">
      <c r="A158" s="393" t="s">
        <v>310</v>
      </c>
      <c r="B158" s="46" t="s">
        <v>311</v>
      </c>
      <c r="C158" s="50">
        <f>_xll.RssMarket("6857","出来高")</f>
        <v>6993800</v>
      </c>
      <c r="D158" s="16">
        <f t="shared" si="2"/>
        <v>-3012500</v>
      </c>
      <c r="E158" s="21">
        <v>10006300</v>
      </c>
      <c r="F158" s="21">
        <v>9793800</v>
      </c>
      <c r="G158" s="21">
        <v>18131300</v>
      </c>
      <c r="H158" s="21">
        <v>16409100</v>
      </c>
      <c r="I158" s="21">
        <v>14777000</v>
      </c>
      <c r="J158" s="21">
        <v>10348000</v>
      </c>
      <c r="K158" s="21">
        <v>7722800</v>
      </c>
      <c r="L158" s="21">
        <v>8849300</v>
      </c>
      <c r="M158" s="21">
        <v>7493200</v>
      </c>
      <c r="N158" s="21">
        <v>9245200</v>
      </c>
      <c r="O158" s="21">
        <v>10348200</v>
      </c>
      <c r="P158" s="21">
        <v>13442000</v>
      </c>
      <c r="Q158" s="21">
        <v>7789700</v>
      </c>
      <c r="R158" s="21">
        <v>8956100</v>
      </c>
      <c r="S158" s="21">
        <v>6766700</v>
      </c>
      <c r="T158" s="21">
        <v>7330900</v>
      </c>
      <c r="U158" s="21">
        <v>8863600</v>
      </c>
      <c r="V158" s="21">
        <v>10152200</v>
      </c>
      <c r="W158" s="21">
        <v>7803900</v>
      </c>
      <c r="X158" s="21">
        <v>6649300</v>
      </c>
      <c r="Y158" s="21">
        <v>7931300</v>
      </c>
      <c r="Z158" s="21">
        <v>9115500</v>
      </c>
      <c r="AA158" s="21">
        <v>6204600</v>
      </c>
      <c r="AB158" s="21">
        <v>7822200</v>
      </c>
      <c r="AC158" s="21">
        <v>7261600</v>
      </c>
      <c r="AD158" s="21">
        <v>11040100</v>
      </c>
      <c r="AE158" s="21">
        <v>12921900</v>
      </c>
      <c r="AF158" s="21">
        <v>7695200</v>
      </c>
      <c r="AG158" s="21">
        <v>10134300</v>
      </c>
      <c r="AH158" s="21">
        <v>5949900</v>
      </c>
      <c r="AI158" s="21">
        <v>9887400</v>
      </c>
      <c r="AJ158" s="21">
        <v>7501800</v>
      </c>
      <c r="AK158" s="21">
        <v>7837500</v>
      </c>
      <c r="AL158" s="21">
        <v>12037500</v>
      </c>
      <c r="AM158" s="21">
        <v>9988500</v>
      </c>
      <c r="AN158" s="21">
        <v>10241000</v>
      </c>
      <c r="AO158" s="21">
        <v>7237400</v>
      </c>
      <c r="AP158" s="21">
        <v>8322300</v>
      </c>
      <c r="AQ158" s="21">
        <v>10067400</v>
      </c>
      <c r="AR158" s="21">
        <v>7157600</v>
      </c>
      <c r="AS158" s="21">
        <v>7606900</v>
      </c>
      <c r="AT158" s="21">
        <v>8806800</v>
      </c>
      <c r="AU158" s="21">
        <v>8218300</v>
      </c>
      <c r="AV158" s="21">
        <v>9408700</v>
      </c>
      <c r="AW158" s="21">
        <v>7244100</v>
      </c>
      <c r="AX158" s="21">
        <v>9423800</v>
      </c>
      <c r="AY158" s="21">
        <v>7936500</v>
      </c>
      <c r="AZ158" s="21">
        <v>7253600</v>
      </c>
      <c r="BA158" s="21">
        <v>9851300</v>
      </c>
      <c r="BB158" s="21">
        <v>8881700</v>
      </c>
      <c r="BC158" s="21">
        <v>9174200</v>
      </c>
      <c r="BD158" s="21">
        <v>8750700</v>
      </c>
      <c r="BE158" s="21">
        <v>9938400</v>
      </c>
      <c r="BF158" s="21">
        <v>9547900</v>
      </c>
      <c r="BG158" s="21">
        <v>5799400</v>
      </c>
      <c r="BH158" s="21">
        <v>7971200</v>
      </c>
      <c r="BI158" s="21">
        <v>8727700</v>
      </c>
      <c r="BJ158" s="21">
        <v>8963400</v>
      </c>
      <c r="BK158" s="21">
        <v>11005100</v>
      </c>
      <c r="BL158" s="21">
        <v>7144100</v>
      </c>
      <c r="BM158" s="1">
        <v>13127400</v>
      </c>
      <c r="BN158" s="1">
        <v>19894900</v>
      </c>
      <c r="BO158" s="1">
        <v>18594000</v>
      </c>
      <c r="BP158" s="1">
        <v>15405700</v>
      </c>
      <c r="BQ158" s="1">
        <v>10679900</v>
      </c>
      <c r="BR158" s="1">
        <v>9077500</v>
      </c>
      <c r="BS158" s="1">
        <v>6400300</v>
      </c>
      <c r="BT158" s="1">
        <v>7633600</v>
      </c>
      <c r="BU158" s="1">
        <v>9985300</v>
      </c>
      <c r="BV158" s="1">
        <v>10852600</v>
      </c>
      <c r="BW158" s="1">
        <v>12810000</v>
      </c>
      <c r="BX158" s="1">
        <v>11460300</v>
      </c>
      <c r="BY158" s="1">
        <v>6508500</v>
      </c>
      <c r="BZ158" s="1">
        <v>10849800</v>
      </c>
    </row>
    <row r="159" spans="1:78" ht="15.9" customHeight="1">
      <c r="A159" s="393" t="s">
        <v>312</v>
      </c>
      <c r="B159" s="46" t="s">
        <v>313</v>
      </c>
      <c r="C159" s="50">
        <f>_xll.RssMarket("3891","出来高")</f>
        <v>244100</v>
      </c>
      <c r="D159" s="16">
        <f t="shared" si="2"/>
        <v>-65300</v>
      </c>
      <c r="E159" s="21">
        <v>309400</v>
      </c>
      <c r="F159" s="21">
        <v>644300</v>
      </c>
      <c r="G159" s="21">
        <v>444000</v>
      </c>
      <c r="H159" s="21">
        <v>258300</v>
      </c>
      <c r="I159" s="21">
        <v>255300</v>
      </c>
      <c r="J159" s="21">
        <v>207300</v>
      </c>
      <c r="K159" s="21">
        <v>143500</v>
      </c>
      <c r="L159" s="21">
        <v>91000</v>
      </c>
      <c r="M159" s="21">
        <v>75600</v>
      </c>
      <c r="N159" s="21">
        <v>162000</v>
      </c>
      <c r="O159" s="21">
        <v>162800</v>
      </c>
      <c r="P159" s="21">
        <v>187300</v>
      </c>
      <c r="Q159" s="21">
        <v>140800</v>
      </c>
      <c r="R159" s="21">
        <v>139300</v>
      </c>
      <c r="S159" s="21">
        <v>192000</v>
      </c>
      <c r="T159" s="21">
        <v>161500</v>
      </c>
      <c r="U159" s="21">
        <v>238500</v>
      </c>
      <c r="V159" s="21">
        <v>184400</v>
      </c>
      <c r="W159" s="21">
        <v>227900</v>
      </c>
      <c r="X159" s="21">
        <v>148200</v>
      </c>
      <c r="Y159" s="21">
        <v>246500</v>
      </c>
      <c r="Z159" s="21">
        <v>216000</v>
      </c>
      <c r="AA159" s="21">
        <v>170000</v>
      </c>
      <c r="AB159" s="21">
        <v>128900</v>
      </c>
      <c r="AC159" s="21">
        <v>137500</v>
      </c>
      <c r="AD159" s="21">
        <v>167100</v>
      </c>
      <c r="AE159" s="21">
        <v>255200</v>
      </c>
      <c r="AF159" s="21">
        <v>281600</v>
      </c>
      <c r="AG159" s="21">
        <v>314300</v>
      </c>
      <c r="AH159" s="21">
        <v>282900</v>
      </c>
      <c r="AI159" s="21">
        <v>231400</v>
      </c>
      <c r="AJ159" s="21">
        <v>411800</v>
      </c>
      <c r="AK159" s="21">
        <v>456000</v>
      </c>
      <c r="AL159" s="21">
        <v>189000</v>
      </c>
      <c r="AM159" s="21">
        <v>381500</v>
      </c>
      <c r="AN159" s="21">
        <v>438800</v>
      </c>
      <c r="AO159" s="21">
        <v>475900</v>
      </c>
      <c r="AP159" s="21">
        <v>640400</v>
      </c>
      <c r="AQ159" s="21">
        <v>433600</v>
      </c>
      <c r="AR159" s="21">
        <v>372500</v>
      </c>
      <c r="AS159" s="21">
        <v>192700</v>
      </c>
      <c r="AT159" s="21">
        <v>394200</v>
      </c>
      <c r="AU159" s="21">
        <v>359800</v>
      </c>
      <c r="AV159" s="21">
        <v>206700</v>
      </c>
      <c r="AW159" s="21">
        <v>192300</v>
      </c>
      <c r="AX159" s="21">
        <v>184700</v>
      </c>
      <c r="AY159" s="21">
        <v>249700</v>
      </c>
      <c r="AZ159" s="21">
        <v>235500</v>
      </c>
      <c r="BA159" s="21">
        <v>161200</v>
      </c>
      <c r="BB159" s="21">
        <v>208200</v>
      </c>
      <c r="BC159" s="21">
        <v>148700</v>
      </c>
      <c r="BD159" s="21">
        <v>164600</v>
      </c>
      <c r="BE159" s="21">
        <v>118600</v>
      </c>
      <c r="BF159" s="21">
        <v>99100</v>
      </c>
      <c r="BG159" s="21">
        <v>108600</v>
      </c>
      <c r="BH159" s="21">
        <v>97600</v>
      </c>
      <c r="BI159" s="21">
        <v>119000</v>
      </c>
      <c r="BJ159" s="21">
        <v>160400</v>
      </c>
      <c r="BK159" s="21">
        <v>197500</v>
      </c>
      <c r="BL159" s="21">
        <v>169200</v>
      </c>
      <c r="BM159" s="1">
        <v>242400</v>
      </c>
      <c r="BN159" s="1">
        <v>605400</v>
      </c>
      <c r="BO159" s="1">
        <v>484000</v>
      </c>
      <c r="BP159" s="1">
        <v>333700</v>
      </c>
      <c r="BQ159" s="1">
        <v>127500</v>
      </c>
      <c r="BR159" s="1">
        <v>156400</v>
      </c>
      <c r="BS159" s="1">
        <v>182500</v>
      </c>
      <c r="BT159" s="1">
        <v>117200</v>
      </c>
      <c r="BU159" s="1">
        <v>54600</v>
      </c>
      <c r="BV159" s="1">
        <v>98100</v>
      </c>
      <c r="BW159" s="1">
        <v>143900</v>
      </c>
      <c r="BX159" s="1">
        <v>86400</v>
      </c>
      <c r="BY159" s="1">
        <v>71300</v>
      </c>
      <c r="BZ159" s="1">
        <v>65100</v>
      </c>
    </row>
    <row r="160" spans="1:78" ht="15.9" customHeight="1">
      <c r="A160" s="393" t="s">
        <v>314</v>
      </c>
      <c r="B160" s="46" t="s">
        <v>315</v>
      </c>
      <c r="C160" s="50">
        <f>_xll.RssMarket("4373","出来高")</f>
        <v>710100</v>
      </c>
      <c r="D160" s="16">
        <f t="shared" si="2"/>
        <v>-244400</v>
      </c>
      <c r="E160" s="21">
        <v>954500</v>
      </c>
      <c r="F160" s="21">
        <v>1055000</v>
      </c>
      <c r="G160" s="21">
        <v>1555800</v>
      </c>
      <c r="H160" s="21">
        <v>978300</v>
      </c>
      <c r="I160" s="21">
        <v>1420700</v>
      </c>
      <c r="J160" s="21">
        <v>2659300</v>
      </c>
      <c r="K160" s="21">
        <v>1856900</v>
      </c>
      <c r="L160" s="21">
        <v>1082700</v>
      </c>
      <c r="M160" s="21">
        <v>1042000</v>
      </c>
      <c r="N160" s="21">
        <v>1161900</v>
      </c>
      <c r="O160" s="21">
        <v>987500</v>
      </c>
      <c r="P160" s="21">
        <v>1410100</v>
      </c>
      <c r="Q160" s="21">
        <v>630700</v>
      </c>
      <c r="R160" s="21">
        <v>764200</v>
      </c>
      <c r="S160" s="21">
        <v>586100</v>
      </c>
      <c r="T160" s="21">
        <v>613400</v>
      </c>
      <c r="U160" s="21">
        <v>794700</v>
      </c>
      <c r="V160" s="21">
        <v>1565600</v>
      </c>
      <c r="W160" s="21">
        <v>1742700</v>
      </c>
      <c r="X160" s="21">
        <v>855700</v>
      </c>
      <c r="Y160" s="21">
        <v>1022100</v>
      </c>
      <c r="Z160" s="21">
        <v>985800</v>
      </c>
      <c r="AA160" s="21">
        <v>701000</v>
      </c>
      <c r="AB160" s="21">
        <v>794100</v>
      </c>
      <c r="AC160" s="21">
        <v>1125200</v>
      </c>
      <c r="AD160" s="21">
        <v>801200</v>
      </c>
      <c r="AE160" s="21">
        <v>566900</v>
      </c>
      <c r="AF160" s="21">
        <v>1178000</v>
      </c>
      <c r="AG160" s="21">
        <v>1163000</v>
      </c>
      <c r="AH160" s="21">
        <v>1111300</v>
      </c>
      <c r="AI160" s="21">
        <v>1647600</v>
      </c>
      <c r="AJ160" s="21">
        <v>829300</v>
      </c>
      <c r="AK160" s="21">
        <v>621300</v>
      </c>
      <c r="AL160" s="21">
        <v>829400</v>
      </c>
      <c r="AM160" s="21">
        <v>1172100</v>
      </c>
      <c r="AN160" s="21">
        <v>1476300</v>
      </c>
      <c r="AO160" s="21">
        <v>763400</v>
      </c>
      <c r="AP160" s="21">
        <v>912900</v>
      </c>
      <c r="AQ160" s="21">
        <v>494900</v>
      </c>
      <c r="AR160" s="21">
        <v>656700</v>
      </c>
      <c r="AS160" s="21">
        <v>1032700</v>
      </c>
      <c r="AT160" s="21">
        <v>1030100</v>
      </c>
      <c r="AU160" s="21">
        <v>1269400</v>
      </c>
      <c r="AV160" s="21">
        <v>1583600</v>
      </c>
      <c r="AW160" s="21">
        <v>1088100</v>
      </c>
      <c r="AX160" s="21">
        <v>1056800</v>
      </c>
      <c r="AY160" s="21">
        <v>1059800</v>
      </c>
      <c r="AZ160" s="21">
        <v>1295100</v>
      </c>
      <c r="BA160" s="21">
        <v>1180500</v>
      </c>
      <c r="BB160" s="21">
        <v>1409700</v>
      </c>
      <c r="BC160" s="21">
        <v>1908400</v>
      </c>
      <c r="BD160" s="21">
        <v>523300</v>
      </c>
      <c r="BE160" s="21">
        <v>752200</v>
      </c>
      <c r="BF160" s="21">
        <v>666900</v>
      </c>
      <c r="BG160" s="21">
        <v>735600</v>
      </c>
      <c r="BH160" s="21">
        <v>888600</v>
      </c>
      <c r="BI160" s="21">
        <v>870200</v>
      </c>
      <c r="BJ160" s="21">
        <v>855200</v>
      </c>
      <c r="BK160" s="21">
        <v>1354000</v>
      </c>
      <c r="BL160" s="21">
        <v>2461000</v>
      </c>
      <c r="BM160" s="1">
        <v>1172800</v>
      </c>
      <c r="BN160" s="1">
        <v>624100</v>
      </c>
      <c r="BO160" s="1">
        <v>1467300</v>
      </c>
      <c r="BP160" s="1">
        <v>480400</v>
      </c>
      <c r="BQ160" s="1">
        <v>656600</v>
      </c>
      <c r="BR160" s="1">
        <v>802600</v>
      </c>
      <c r="BS160" s="1">
        <v>650400</v>
      </c>
      <c r="BT160" s="1">
        <v>813200</v>
      </c>
      <c r="BU160" s="1">
        <v>1412700</v>
      </c>
      <c r="BV160" s="1">
        <v>770500</v>
      </c>
      <c r="BW160" s="1">
        <v>1466100</v>
      </c>
      <c r="BX160" s="1">
        <v>574800</v>
      </c>
      <c r="BY160" s="1">
        <v>389800</v>
      </c>
      <c r="BZ160" s="1">
        <v>820300</v>
      </c>
    </row>
    <row r="161" spans="1:78" ht="15.9" customHeight="1">
      <c r="A161" s="393" t="s">
        <v>316</v>
      </c>
      <c r="B161" s="46" t="s">
        <v>317</v>
      </c>
      <c r="C161" s="50">
        <f>_xll.RssMarket("8892","出来高")</f>
        <v>113700</v>
      </c>
      <c r="D161" s="16">
        <f t="shared" si="2"/>
        <v>-69800</v>
      </c>
      <c r="E161" s="21">
        <v>183500</v>
      </c>
      <c r="F161" s="21">
        <v>364000</v>
      </c>
      <c r="G161" s="21">
        <v>322900</v>
      </c>
      <c r="H161" s="21">
        <v>305300</v>
      </c>
      <c r="I161" s="21">
        <v>546000</v>
      </c>
      <c r="J161" s="21">
        <v>231500</v>
      </c>
      <c r="K161" s="21">
        <v>227700</v>
      </c>
      <c r="L161" s="21"/>
      <c r="M161" s="21">
        <v>188800</v>
      </c>
      <c r="N161" s="21">
        <v>160100</v>
      </c>
      <c r="O161" s="21">
        <v>152500</v>
      </c>
      <c r="P161" s="21">
        <v>151400</v>
      </c>
      <c r="Q161" s="21">
        <v>110500</v>
      </c>
      <c r="R161" s="21">
        <v>130000</v>
      </c>
      <c r="S161" s="21">
        <v>135000</v>
      </c>
      <c r="T161" s="21">
        <v>138100</v>
      </c>
      <c r="U161" s="21">
        <v>125200</v>
      </c>
      <c r="V161" s="21">
        <v>98700</v>
      </c>
      <c r="W161" s="21">
        <v>127200</v>
      </c>
      <c r="X161" s="21">
        <v>104000</v>
      </c>
      <c r="Y161" s="21">
        <v>124700</v>
      </c>
      <c r="Z161" s="21">
        <v>127700</v>
      </c>
      <c r="AA161" s="21">
        <v>122100</v>
      </c>
      <c r="AB161" s="21">
        <v>200200</v>
      </c>
      <c r="AC161" s="21">
        <v>280500</v>
      </c>
      <c r="AD161" s="21">
        <v>138300</v>
      </c>
      <c r="AE161" s="21">
        <v>104000</v>
      </c>
      <c r="AF161" s="21">
        <v>157200</v>
      </c>
      <c r="AG161" s="21">
        <v>189900</v>
      </c>
      <c r="AH161" s="21">
        <v>195300</v>
      </c>
      <c r="AI161" s="21">
        <v>200500</v>
      </c>
      <c r="AJ161" s="21">
        <v>143900</v>
      </c>
      <c r="AK161" s="21">
        <v>181300</v>
      </c>
      <c r="AL161" s="21">
        <v>168800</v>
      </c>
      <c r="AM161" s="21">
        <v>116800</v>
      </c>
      <c r="AN161" s="21">
        <v>231200</v>
      </c>
      <c r="AO161" s="21">
        <v>144500</v>
      </c>
      <c r="AP161" s="21">
        <v>148900</v>
      </c>
      <c r="AQ161" s="21">
        <v>165000</v>
      </c>
      <c r="AR161" s="21">
        <v>153800</v>
      </c>
      <c r="AS161" s="21">
        <v>157900</v>
      </c>
      <c r="AT161" s="21">
        <v>159400</v>
      </c>
      <c r="AU161" s="21">
        <v>164100</v>
      </c>
      <c r="AV161" s="21">
        <v>286700</v>
      </c>
      <c r="AW161" s="21">
        <v>216400</v>
      </c>
      <c r="AX161" s="21">
        <v>157100</v>
      </c>
      <c r="AY161" s="21">
        <v>207500</v>
      </c>
      <c r="AZ161" s="21">
        <v>209200</v>
      </c>
      <c r="BA161" s="21">
        <v>216700</v>
      </c>
      <c r="BB161" s="21">
        <v>310200</v>
      </c>
      <c r="BC161" s="21">
        <v>295700</v>
      </c>
      <c r="BD161" s="21">
        <v>338200</v>
      </c>
      <c r="BE161" s="21">
        <v>246400</v>
      </c>
      <c r="BF161" s="21">
        <v>220200</v>
      </c>
      <c r="BG161" s="21">
        <v>172500</v>
      </c>
      <c r="BH161" s="21">
        <v>194800</v>
      </c>
      <c r="BI161" s="21">
        <v>168500</v>
      </c>
      <c r="BJ161" s="21">
        <v>170200</v>
      </c>
      <c r="BK161" s="21">
        <v>253100</v>
      </c>
      <c r="BL161" s="21">
        <v>277400</v>
      </c>
      <c r="BM161" s="1">
        <v>292800</v>
      </c>
      <c r="BN161" s="1">
        <v>397900</v>
      </c>
      <c r="BO161" s="1">
        <v>1087000</v>
      </c>
      <c r="BP161" s="1">
        <v>241900</v>
      </c>
      <c r="BQ161" s="1">
        <v>144100</v>
      </c>
      <c r="BR161" s="1">
        <v>164900</v>
      </c>
      <c r="BS161" s="1">
        <v>283000</v>
      </c>
      <c r="BT161" s="1">
        <v>219700</v>
      </c>
      <c r="BU161" s="1">
        <v>121200</v>
      </c>
      <c r="BV161" s="1">
        <v>135100</v>
      </c>
      <c r="BW161" s="1">
        <v>162000</v>
      </c>
      <c r="BX161" s="1">
        <v>192700</v>
      </c>
      <c r="BY161" s="1">
        <v>180500</v>
      </c>
      <c r="BZ161" s="1">
        <v>163000</v>
      </c>
    </row>
    <row r="162" spans="1:78" ht="15.9" customHeight="1">
      <c r="A162" s="393" t="s">
        <v>318</v>
      </c>
      <c r="B162" s="46" t="s">
        <v>319</v>
      </c>
      <c r="C162" s="50">
        <f>_xll.RssMarket("9687","出来高")</f>
        <v>200</v>
      </c>
      <c r="D162" s="16">
        <f t="shared" si="2"/>
        <v>-1200</v>
      </c>
      <c r="E162" s="21">
        <v>1400</v>
      </c>
      <c r="F162" s="21">
        <v>1200</v>
      </c>
      <c r="G162" s="21">
        <v>500</v>
      </c>
      <c r="H162" s="21">
        <v>900</v>
      </c>
      <c r="I162" s="21">
        <v>2200</v>
      </c>
      <c r="J162" s="21">
        <v>800</v>
      </c>
      <c r="K162" s="21">
        <v>5100</v>
      </c>
      <c r="L162" s="21"/>
      <c r="M162" s="21">
        <v>2600</v>
      </c>
      <c r="N162" s="21">
        <v>800</v>
      </c>
      <c r="O162" s="21">
        <v>1400</v>
      </c>
      <c r="P162" s="21">
        <v>3400</v>
      </c>
      <c r="Q162" s="21">
        <v>1600</v>
      </c>
      <c r="R162" s="21">
        <v>1100</v>
      </c>
      <c r="S162" s="21">
        <v>1400</v>
      </c>
      <c r="T162" s="21">
        <v>200</v>
      </c>
      <c r="U162" s="21">
        <v>400</v>
      </c>
      <c r="V162" s="21">
        <v>900</v>
      </c>
      <c r="W162" s="21">
        <v>1300</v>
      </c>
      <c r="X162" s="21">
        <v>900</v>
      </c>
      <c r="Y162" s="21">
        <v>300</v>
      </c>
      <c r="Z162" s="21">
        <v>600</v>
      </c>
      <c r="AA162" s="21">
        <v>700</v>
      </c>
      <c r="AB162" s="21">
        <v>300</v>
      </c>
      <c r="AC162" s="21">
        <v>700</v>
      </c>
      <c r="AD162" s="21">
        <v>2400</v>
      </c>
      <c r="AE162" s="21">
        <v>1700</v>
      </c>
      <c r="AF162" s="21">
        <v>1300</v>
      </c>
      <c r="AG162" s="21">
        <v>1900</v>
      </c>
      <c r="AH162" s="21">
        <v>2000</v>
      </c>
      <c r="AI162" s="21">
        <v>2100</v>
      </c>
      <c r="AJ162" s="21">
        <v>1500</v>
      </c>
      <c r="AK162" s="21">
        <v>1700</v>
      </c>
      <c r="AL162" s="21">
        <v>3800</v>
      </c>
      <c r="AM162" s="21">
        <v>1900</v>
      </c>
      <c r="AN162" s="21">
        <v>600</v>
      </c>
      <c r="AO162" s="21">
        <v>800</v>
      </c>
      <c r="AP162" s="21">
        <v>600</v>
      </c>
      <c r="AQ162" s="21">
        <v>1800</v>
      </c>
      <c r="AR162" s="21">
        <v>300</v>
      </c>
      <c r="AS162" s="21">
        <v>700</v>
      </c>
      <c r="AT162" s="21">
        <v>300</v>
      </c>
      <c r="AU162" s="21">
        <v>1200</v>
      </c>
      <c r="AV162" s="21">
        <v>2100</v>
      </c>
      <c r="AW162" s="21">
        <v>3400</v>
      </c>
      <c r="AX162" s="21">
        <v>1900</v>
      </c>
      <c r="AY162" s="21">
        <v>3100</v>
      </c>
      <c r="AZ162" s="21">
        <v>1600</v>
      </c>
      <c r="BA162" s="21">
        <v>2800</v>
      </c>
      <c r="BB162" s="21">
        <v>1900</v>
      </c>
      <c r="BC162" s="21">
        <v>1600</v>
      </c>
      <c r="BD162" s="21">
        <v>2200</v>
      </c>
      <c r="BE162" s="21">
        <v>2500</v>
      </c>
      <c r="BF162" s="21">
        <v>1700</v>
      </c>
      <c r="BG162" s="21">
        <v>1100</v>
      </c>
      <c r="BH162" s="21">
        <v>1000</v>
      </c>
      <c r="BI162" s="21">
        <v>1500</v>
      </c>
      <c r="BJ162" s="21">
        <v>1700</v>
      </c>
      <c r="BK162" s="21">
        <v>2100</v>
      </c>
      <c r="BL162" s="21">
        <v>8000</v>
      </c>
      <c r="BM162" s="1">
        <v>17200</v>
      </c>
      <c r="BN162" s="1">
        <v>1500</v>
      </c>
      <c r="BO162" s="1">
        <v>1900</v>
      </c>
      <c r="BP162" s="1">
        <v>4200</v>
      </c>
      <c r="BQ162" s="1">
        <v>1600</v>
      </c>
      <c r="BR162" s="1">
        <v>1900</v>
      </c>
      <c r="BS162" s="1">
        <v>900</v>
      </c>
      <c r="BT162" s="1">
        <v>700</v>
      </c>
      <c r="BU162" s="1">
        <v>300</v>
      </c>
      <c r="BV162" s="1">
        <v>1200</v>
      </c>
      <c r="BW162" s="1">
        <v>4900</v>
      </c>
      <c r="BX162" s="1">
        <v>4500</v>
      </c>
      <c r="BY162" s="1">
        <v>2300</v>
      </c>
      <c r="BZ162" s="1">
        <v>1700</v>
      </c>
    </row>
    <row r="163" spans="1:78" ht="15.9" customHeight="1">
      <c r="A163" s="393" t="s">
        <v>320</v>
      </c>
      <c r="B163" s="46" t="s">
        <v>321</v>
      </c>
      <c r="C163" s="50">
        <f>_xll.RssMarket("1930","出来高")</f>
        <v>67100</v>
      </c>
      <c r="D163" s="16">
        <f t="shared" si="2"/>
        <v>-1700</v>
      </c>
      <c r="E163" s="21">
        <v>68800</v>
      </c>
      <c r="F163" s="21">
        <v>155600</v>
      </c>
      <c r="G163" s="21">
        <v>119600</v>
      </c>
      <c r="H163" s="21">
        <v>197600</v>
      </c>
      <c r="I163" s="21">
        <v>271600</v>
      </c>
      <c r="J163" s="21">
        <v>931500</v>
      </c>
      <c r="K163" s="21">
        <v>90800</v>
      </c>
      <c r="L163" s="21">
        <v>45800</v>
      </c>
      <c r="M163" s="21">
        <v>39200</v>
      </c>
      <c r="N163" s="21">
        <v>49200</v>
      </c>
      <c r="O163" s="21">
        <v>94400</v>
      </c>
      <c r="P163" s="21">
        <v>86700</v>
      </c>
      <c r="Q163" s="21">
        <v>49200</v>
      </c>
      <c r="R163" s="21">
        <v>74200</v>
      </c>
      <c r="S163" s="21">
        <v>56400</v>
      </c>
      <c r="T163" s="21">
        <v>35400</v>
      </c>
      <c r="U163" s="21">
        <v>41300</v>
      </c>
      <c r="V163" s="21">
        <v>43100</v>
      </c>
      <c r="W163" s="21">
        <v>42700</v>
      </c>
      <c r="X163" s="21">
        <v>34000</v>
      </c>
      <c r="Y163" s="21">
        <v>40900</v>
      </c>
      <c r="Z163" s="21">
        <v>38300</v>
      </c>
      <c r="AA163" s="21">
        <v>41300</v>
      </c>
      <c r="AB163" s="21">
        <v>35900</v>
      </c>
      <c r="AC163" s="21">
        <v>56600</v>
      </c>
      <c r="AD163" s="21">
        <v>36500</v>
      </c>
      <c r="AE163" s="21">
        <v>48900</v>
      </c>
      <c r="AF163" s="21">
        <v>68300</v>
      </c>
      <c r="AG163" s="21">
        <v>62200</v>
      </c>
      <c r="AH163" s="21">
        <v>106300</v>
      </c>
      <c r="AI163" s="21">
        <v>57200</v>
      </c>
      <c r="AJ163" s="21">
        <v>64400</v>
      </c>
      <c r="AK163" s="21">
        <v>65400</v>
      </c>
      <c r="AL163" s="21">
        <v>52700</v>
      </c>
      <c r="AM163" s="21">
        <v>60700</v>
      </c>
      <c r="AN163" s="21">
        <v>89200</v>
      </c>
      <c r="AO163" s="21">
        <v>68400</v>
      </c>
      <c r="AP163" s="21">
        <v>44000</v>
      </c>
      <c r="AQ163" s="21">
        <v>65000</v>
      </c>
      <c r="AR163" s="21">
        <v>75100</v>
      </c>
      <c r="AS163" s="21">
        <v>40900</v>
      </c>
      <c r="AT163" s="21">
        <v>56600</v>
      </c>
      <c r="AU163" s="21">
        <v>111100</v>
      </c>
      <c r="AV163" s="21">
        <v>53400</v>
      </c>
      <c r="AW163" s="21">
        <v>60000</v>
      </c>
      <c r="AX163" s="21">
        <v>67300</v>
      </c>
      <c r="AY163" s="21">
        <v>86000</v>
      </c>
      <c r="AZ163" s="21">
        <v>36200</v>
      </c>
      <c r="BA163" s="21">
        <v>46500</v>
      </c>
      <c r="BB163" s="21">
        <v>89600</v>
      </c>
      <c r="BC163" s="21">
        <v>81200</v>
      </c>
      <c r="BD163" s="21">
        <v>94500</v>
      </c>
      <c r="BE163" s="21">
        <v>48800</v>
      </c>
      <c r="BF163" s="21">
        <v>51000</v>
      </c>
      <c r="BG163" s="21">
        <v>62100</v>
      </c>
      <c r="BH163" s="21">
        <v>119500</v>
      </c>
      <c r="BI163" s="21">
        <v>95500</v>
      </c>
      <c r="BJ163" s="21">
        <v>84300</v>
      </c>
      <c r="BK163" s="21">
        <v>164500</v>
      </c>
      <c r="BL163" s="21">
        <v>265700</v>
      </c>
      <c r="BM163" s="1">
        <v>1081300</v>
      </c>
      <c r="BN163" s="1">
        <v>401700</v>
      </c>
      <c r="BO163" s="1">
        <v>90000</v>
      </c>
      <c r="BP163" s="1">
        <v>62100</v>
      </c>
      <c r="BQ163" s="1">
        <v>45900</v>
      </c>
      <c r="BR163" s="1">
        <v>60400</v>
      </c>
      <c r="BS163" s="1">
        <v>52900</v>
      </c>
      <c r="BT163" s="1">
        <v>29700</v>
      </c>
      <c r="BU163" s="1">
        <v>27600</v>
      </c>
      <c r="BV163" s="1">
        <v>44700</v>
      </c>
      <c r="BW163" s="1">
        <v>68700</v>
      </c>
      <c r="BX163" s="1">
        <v>46000</v>
      </c>
      <c r="BY163" s="1">
        <v>40800</v>
      </c>
      <c r="BZ163" s="1">
        <v>36600</v>
      </c>
    </row>
    <row r="164" spans="1:78" ht="15.9" customHeight="1">
      <c r="A164" s="393" t="s">
        <v>322</v>
      </c>
      <c r="B164" s="46" t="s">
        <v>323</v>
      </c>
      <c r="C164" s="50">
        <f>_xll.RssMarket("8704","出来高")</f>
        <v>53100</v>
      </c>
      <c r="D164" s="16">
        <f t="shared" si="2"/>
        <v>-49800</v>
      </c>
      <c r="E164" s="21">
        <v>102900</v>
      </c>
      <c r="F164" s="21">
        <v>284800</v>
      </c>
      <c r="G164" s="21">
        <v>137900</v>
      </c>
      <c r="H164" s="21">
        <v>100900</v>
      </c>
      <c r="I164" s="21">
        <v>98000</v>
      </c>
      <c r="J164" s="21">
        <v>82800</v>
      </c>
      <c r="K164" s="21">
        <v>81700</v>
      </c>
      <c r="L164" s="21">
        <v>60300</v>
      </c>
      <c r="M164" s="21">
        <v>98600</v>
      </c>
      <c r="N164" s="21">
        <v>99500</v>
      </c>
      <c r="O164" s="21">
        <v>70800</v>
      </c>
      <c r="P164" s="21">
        <v>151900</v>
      </c>
      <c r="Q164" s="21">
        <v>123100</v>
      </c>
      <c r="R164" s="21">
        <v>100000</v>
      </c>
      <c r="S164" s="21">
        <v>47200</v>
      </c>
      <c r="T164" s="21">
        <v>32900</v>
      </c>
      <c r="U164" s="21">
        <v>30500</v>
      </c>
      <c r="V164" s="21">
        <v>76900</v>
      </c>
      <c r="W164" s="21">
        <v>117500</v>
      </c>
      <c r="X164" s="21">
        <v>76200</v>
      </c>
      <c r="Y164" s="21">
        <v>104500</v>
      </c>
      <c r="Z164" s="21">
        <v>118400</v>
      </c>
      <c r="AA164" s="21">
        <v>80300</v>
      </c>
      <c r="AB164" s="21">
        <v>94300</v>
      </c>
      <c r="AC164" s="21">
        <v>99600</v>
      </c>
      <c r="AD164" s="21">
        <v>62300</v>
      </c>
      <c r="AE164" s="21">
        <v>56000</v>
      </c>
      <c r="AF164" s="21">
        <v>100200</v>
      </c>
      <c r="AG164" s="21">
        <v>86000</v>
      </c>
      <c r="AH164" s="21">
        <v>130500</v>
      </c>
      <c r="AI164" s="21">
        <v>94700</v>
      </c>
      <c r="AJ164" s="21">
        <v>116400</v>
      </c>
      <c r="AK164" s="21">
        <v>87800</v>
      </c>
      <c r="AL164" s="21">
        <v>69200</v>
      </c>
      <c r="AM164" s="21">
        <v>145000</v>
      </c>
      <c r="AN164" s="21">
        <v>124700</v>
      </c>
      <c r="AO164" s="21">
        <v>144700</v>
      </c>
      <c r="AP164" s="21">
        <v>107300</v>
      </c>
      <c r="AQ164" s="21">
        <v>97100</v>
      </c>
      <c r="AR164" s="21">
        <v>111300</v>
      </c>
      <c r="AS164" s="21">
        <v>132100</v>
      </c>
      <c r="AT164" s="21">
        <v>69100</v>
      </c>
      <c r="AU164" s="21">
        <v>99800</v>
      </c>
      <c r="AV164" s="21">
        <v>121400</v>
      </c>
      <c r="AW164" s="21">
        <v>50100</v>
      </c>
      <c r="AX164" s="21">
        <v>80000</v>
      </c>
      <c r="AY164" s="21">
        <v>47300</v>
      </c>
      <c r="AZ164" s="21">
        <v>52300</v>
      </c>
      <c r="BA164" s="21">
        <v>76000</v>
      </c>
      <c r="BB164" s="21">
        <v>123000</v>
      </c>
      <c r="BC164" s="21">
        <v>76200</v>
      </c>
      <c r="BD164" s="21">
        <v>97700</v>
      </c>
      <c r="BE164" s="21">
        <v>139200</v>
      </c>
      <c r="BF164" s="21">
        <v>114500</v>
      </c>
      <c r="BG164" s="21">
        <v>160400</v>
      </c>
      <c r="BH164" s="21">
        <v>110700</v>
      </c>
      <c r="BI164" s="21">
        <v>213000</v>
      </c>
      <c r="BJ164" s="21">
        <v>359300</v>
      </c>
      <c r="BK164" s="21">
        <v>243200</v>
      </c>
      <c r="BL164" s="21">
        <v>801800</v>
      </c>
      <c r="BM164" s="1">
        <v>117800</v>
      </c>
      <c r="BN164" s="1">
        <v>96800</v>
      </c>
      <c r="BO164" s="1">
        <v>89100</v>
      </c>
      <c r="BP164" s="1">
        <v>68700</v>
      </c>
      <c r="BQ164" s="1">
        <v>46700</v>
      </c>
      <c r="BR164" s="1">
        <v>76400</v>
      </c>
      <c r="BS164" s="1">
        <v>115700</v>
      </c>
      <c r="BT164" s="1">
        <v>82500</v>
      </c>
      <c r="BU164" s="1">
        <v>26800</v>
      </c>
      <c r="BV164" s="1">
        <v>67500</v>
      </c>
      <c r="BW164" s="1">
        <v>44700</v>
      </c>
      <c r="BX164" s="1">
        <v>67600</v>
      </c>
      <c r="BY164" s="1">
        <v>70600</v>
      </c>
      <c r="BZ164" s="1">
        <v>57900</v>
      </c>
    </row>
    <row r="165" spans="1:78" ht="15.9" customHeight="1">
      <c r="A165" s="393" t="s">
        <v>324</v>
      </c>
      <c r="B165" s="46" t="s">
        <v>325</v>
      </c>
      <c r="C165" s="50">
        <f>_xll.RssMarket("4733","出来高")</f>
        <v>93200</v>
      </c>
      <c r="D165" s="16">
        <f t="shared" si="2"/>
        <v>-129800</v>
      </c>
      <c r="E165" s="21">
        <v>223000</v>
      </c>
      <c r="F165" s="21">
        <v>213900</v>
      </c>
      <c r="G165" s="21">
        <v>306400</v>
      </c>
      <c r="H165" s="21">
        <v>302100</v>
      </c>
      <c r="I165" s="21">
        <v>655200</v>
      </c>
      <c r="J165" s="21">
        <v>335400</v>
      </c>
      <c r="K165" s="21">
        <v>604400</v>
      </c>
      <c r="L165" s="21">
        <v>927400</v>
      </c>
      <c r="M165" s="21">
        <v>893500</v>
      </c>
      <c r="N165" s="21">
        <v>1145700</v>
      </c>
      <c r="O165" s="21">
        <v>269500</v>
      </c>
      <c r="P165" s="21">
        <v>160500</v>
      </c>
      <c r="Q165" s="21">
        <v>168200</v>
      </c>
      <c r="R165" s="21">
        <v>160200</v>
      </c>
      <c r="S165" s="21">
        <v>134800</v>
      </c>
      <c r="T165" s="21">
        <v>173700</v>
      </c>
      <c r="U165" s="21">
        <v>142800</v>
      </c>
      <c r="V165" s="21">
        <v>112100</v>
      </c>
      <c r="W165" s="21">
        <v>162200</v>
      </c>
      <c r="X165" s="21">
        <v>191500</v>
      </c>
      <c r="Y165" s="21">
        <v>266300</v>
      </c>
      <c r="Z165" s="21">
        <v>245800</v>
      </c>
      <c r="AA165" s="21">
        <v>201400</v>
      </c>
      <c r="AB165" s="21">
        <v>315000</v>
      </c>
      <c r="AC165" s="21">
        <v>301800</v>
      </c>
      <c r="AD165" s="21">
        <v>264000</v>
      </c>
      <c r="AE165" s="21">
        <v>279000</v>
      </c>
      <c r="AF165" s="21">
        <v>418300</v>
      </c>
      <c r="AG165" s="21">
        <v>262900</v>
      </c>
      <c r="AH165" s="21">
        <v>148800</v>
      </c>
      <c r="AI165" s="21">
        <v>257400</v>
      </c>
      <c r="AJ165" s="21">
        <v>125000</v>
      </c>
      <c r="AK165" s="21">
        <v>292500</v>
      </c>
      <c r="AL165" s="21">
        <v>200700</v>
      </c>
      <c r="AM165" s="21">
        <v>177800</v>
      </c>
      <c r="AN165" s="21">
        <v>272800</v>
      </c>
      <c r="AO165" s="21">
        <v>241900</v>
      </c>
      <c r="AP165" s="21">
        <v>210200</v>
      </c>
      <c r="AQ165" s="21">
        <v>162200</v>
      </c>
      <c r="AR165" s="21">
        <v>177900</v>
      </c>
      <c r="AS165" s="21">
        <v>239700</v>
      </c>
      <c r="AT165" s="21">
        <v>197500</v>
      </c>
      <c r="AU165" s="21">
        <v>243400</v>
      </c>
      <c r="AV165" s="21">
        <v>271900</v>
      </c>
      <c r="AW165" s="21">
        <v>178200</v>
      </c>
      <c r="AX165" s="21">
        <v>180700</v>
      </c>
      <c r="AY165" s="21">
        <v>187400</v>
      </c>
      <c r="AZ165" s="21">
        <v>233000</v>
      </c>
      <c r="BA165" s="21">
        <v>166600</v>
      </c>
      <c r="BB165" s="21">
        <v>123600</v>
      </c>
      <c r="BC165" s="21">
        <v>271700</v>
      </c>
      <c r="BD165" s="21">
        <v>234600</v>
      </c>
      <c r="BE165" s="21">
        <v>275100</v>
      </c>
      <c r="BF165" s="21">
        <v>403500</v>
      </c>
      <c r="BG165" s="21">
        <v>192200</v>
      </c>
      <c r="BH165" s="21">
        <v>315800</v>
      </c>
      <c r="BI165" s="21">
        <v>262600</v>
      </c>
      <c r="BJ165" s="21">
        <v>309700</v>
      </c>
      <c r="BK165" s="21">
        <v>470900</v>
      </c>
      <c r="BL165" s="21">
        <v>383000</v>
      </c>
      <c r="BM165" s="1">
        <v>498100</v>
      </c>
      <c r="BN165" s="1">
        <v>256600</v>
      </c>
      <c r="BO165" s="1">
        <v>501100</v>
      </c>
      <c r="BP165" s="1">
        <v>411800</v>
      </c>
      <c r="BQ165" s="1">
        <v>618900</v>
      </c>
      <c r="BR165" s="1">
        <v>660200</v>
      </c>
      <c r="BS165" s="1">
        <v>1498900</v>
      </c>
      <c r="BT165" s="1">
        <v>355400</v>
      </c>
      <c r="BU165" s="1">
        <v>435500</v>
      </c>
      <c r="BV165" s="1">
        <v>380900</v>
      </c>
      <c r="BW165" s="1">
        <v>323100</v>
      </c>
      <c r="BX165" s="1">
        <v>290000</v>
      </c>
      <c r="BY165" s="1">
        <v>338500</v>
      </c>
      <c r="BZ165" s="1">
        <v>345100</v>
      </c>
    </row>
    <row r="166" spans="1:78" ht="15.9" customHeight="1">
      <c r="A166" s="393" t="s">
        <v>326</v>
      </c>
      <c r="B166" s="46" t="s">
        <v>327</v>
      </c>
      <c r="C166" s="50">
        <f>_xll.RssMarket("9733","出来高")</f>
        <v>7000</v>
      </c>
      <c r="D166" s="16">
        <f t="shared" si="2"/>
        <v>-15100</v>
      </c>
      <c r="E166" s="21">
        <v>22100</v>
      </c>
      <c r="F166" s="21">
        <v>21600</v>
      </c>
      <c r="G166" s="21">
        <v>22800</v>
      </c>
      <c r="H166" s="21">
        <v>29900</v>
      </c>
      <c r="I166" s="21">
        <v>31300</v>
      </c>
      <c r="J166" s="21">
        <v>31000</v>
      </c>
      <c r="K166" s="21">
        <v>24400</v>
      </c>
      <c r="L166" s="21">
        <v>80400</v>
      </c>
      <c r="M166" s="21">
        <v>53400</v>
      </c>
      <c r="N166" s="21">
        <v>59500</v>
      </c>
      <c r="O166" s="21">
        <v>16400</v>
      </c>
      <c r="P166" s="21">
        <v>20700</v>
      </c>
      <c r="Q166" s="21">
        <v>12700</v>
      </c>
      <c r="R166" s="21">
        <v>21500</v>
      </c>
      <c r="S166" s="21">
        <v>10600</v>
      </c>
      <c r="T166" s="21">
        <v>9900</v>
      </c>
      <c r="U166" s="21">
        <v>15900</v>
      </c>
      <c r="V166" s="21">
        <v>13800</v>
      </c>
      <c r="W166" s="21">
        <v>17200</v>
      </c>
      <c r="X166" s="21">
        <v>21300</v>
      </c>
      <c r="Y166" s="21">
        <v>31800</v>
      </c>
      <c r="Z166" s="21">
        <v>29100</v>
      </c>
      <c r="AA166" s="21">
        <v>11900</v>
      </c>
      <c r="AB166" s="21">
        <v>73300</v>
      </c>
      <c r="AC166" s="21">
        <v>32400</v>
      </c>
      <c r="AD166" s="21">
        <v>30700</v>
      </c>
      <c r="AE166" s="21">
        <v>24800</v>
      </c>
      <c r="AF166" s="21">
        <v>34600</v>
      </c>
      <c r="AG166" s="21">
        <v>21600</v>
      </c>
      <c r="AH166" s="21">
        <v>40800</v>
      </c>
      <c r="AI166" s="21">
        <v>32400</v>
      </c>
      <c r="AJ166" s="21">
        <v>26700</v>
      </c>
      <c r="AK166" s="21">
        <v>27000</v>
      </c>
      <c r="AL166" s="21">
        <v>25900</v>
      </c>
      <c r="AM166" s="21">
        <v>23200</v>
      </c>
      <c r="AN166" s="21">
        <v>16300</v>
      </c>
      <c r="AO166" s="21">
        <v>30600</v>
      </c>
      <c r="AP166" s="21">
        <v>20400</v>
      </c>
      <c r="AQ166" s="21">
        <v>23700</v>
      </c>
      <c r="AR166" s="21">
        <v>13700</v>
      </c>
      <c r="AS166" s="21">
        <v>21400</v>
      </c>
      <c r="AT166" s="21">
        <v>25700</v>
      </c>
      <c r="AU166" s="21">
        <v>27000</v>
      </c>
      <c r="AV166" s="21">
        <v>17500</v>
      </c>
      <c r="AW166" s="21">
        <v>9700</v>
      </c>
      <c r="AX166" s="21">
        <v>20600</v>
      </c>
      <c r="AY166" s="21">
        <v>28500</v>
      </c>
      <c r="AZ166" s="21">
        <v>15700</v>
      </c>
      <c r="BA166" s="21">
        <v>23100</v>
      </c>
      <c r="BB166" s="21">
        <v>25200</v>
      </c>
      <c r="BC166" s="21">
        <v>35500</v>
      </c>
      <c r="BD166" s="21">
        <v>25300</v>
      </c>
      <c r="BE166" s="21">
        <v>30200</v>
      </c>
      <c r="BF166" s="21">
        <v>37800</v>
      </c>
      <c r="BG166" s="21">
        <v>18700</v>
      </c>
      <c r="BH166" s="21">
        <v>29500</v>
      </c>
      <c r="BI166" s="21">
        <v>19000</v>
      </c>
      <c r="BJ166" s="21">
        <v>27800</v>
      </c>
      <c r="BK166" s="21">
        <v>43600</v>
      </c>
      <c r="BL166" s="21">
        <v>73400</v>
      </c>
      <c r="BM166" s="1">
        <v>44500</v>
      </c>
      <c r="BN166" s="1">
        <v>23200</v>
      </c>
      <c r="BO166" s="1">
        <v>43000</v>
      </c>
      <c r="BP166" s="1">
        <v>24900</v>
      </c>
      <c r="BQ166" s="1">
        <v>24300</v>
      </c>
      <c r="BR166" s="1">
        <v>25400</v>
      </c>
      <c r="BS166" s="1">
        <v>36500</v>
      </c>
      <c r="BT166" s="1">
        <v>30600</v>
      </c>
      <c r="BU166" s="1">
        <v>18200</v>
      </c>
      <c r="BV166" s="1">
        <v>28800</v>
      </c>
      <c r="BW166" s="1">
        <v>40700</v>
      </c>
      <c r="BX166" s="1">
        <v>18800</v>
      </c>
      <c r="BY166" s="1">
        <v>32600</v>
      </c>
      <c r="BZ166" s="1">
        <v>68200</v>
      </c>
    </row>
    <row r="167" spans="1:78" ht="15.9" customHeight="1">
      <c r="A167" s="393" t="s">
        <v>328</v>
      </c>
      <c r="B167" s="46" t="s">
        <v>329</v>
      </c>
      <c r="C167" s="50">
        <f>_xll.RssMarket("9551","出来高")</f>
        <v>75500</v>
      </c>
      <c r="D167" s="16">
        <f t="shared" si="2"/>
        <v>-137500</v>
      </c>
      <c r="E167" s="21">
        <v>213000</v>
      </c>
      <c r="F167" s="21">
        <v>180500</v>
      </c>
      <c r="G167" s="21">
        <v>190400</v>
      </c>
      <c r="H167" s="21">
        <v>507300</v>
      </c>
      <c r="I167" s="21">
        <v>268200</v>
      </c>
      <c r="J167" s="21">
        <v>175600</v>
      </c>
      <c r="K167" s="21">
        <v>124500</v>
      </c>
      <c r="L167" s="21"/>
      <c r="M167" s="21">
        <v>84300</v>
      </c>
      <c r="N167" s="21">
        <v>105200</v>
      </c>
      <c r="O167" s="21">
        <v>108400</v>
      </c>
      <c r="P167" s="21">
        <v>158900</v>
      </c>
      <c r="Q167" s="21">
        <v>83600</v>
      </c>
      <c r="R167" s="21">
        <v>104900</v>
      </c>
      <c r="S167" s="21">
        <v>72800</v>
      </c>
      <c r="T167" s="21">
        <v>91100</v>
      </c>
      <c r="U167" s="21">
        <v>158700</v>
      </c>
      <c r="V167" s="21">
        <v>105300</v>
      </c>
      <c r="W167" s="21">
        <v>119800</v>
      </c>
      <c r="X167" s="21">
        <v>96900</v>
      </c>
      <c r="Y167" s="21">
        <v>82700</v>
      </c>
      <c r="Z167" s="21">
        <v>96600</v>
      </c>
      <c r="AA167" s="21">
        <v>95800</v>
      </c>
      <c r="AB167" s="21">
        <v>112900</v>
      </c>
      <c r="AC167" s="21">
        <v>168400</v>
      </c>
      <c r="AD167" s="21">
        <v>118700</v>
      </c>
      <c r="AE167" s="21">
        <v>142600</v>
      </c>
      <c r="AF167" s="21">
        <v>146700</v>
      </c>
      <c r="AG167" s="21">
        <v>123400</v>
      </c>
      <c r="AH167" s="21">
        <v>109600</v>
      </c>
      <c r="AI167" s="21">
        <v>130900</v>
      </c>
      <c r="AJ167" s="21">
        <v>95300</v>
      </c>
      <c r="AK167" s="21">
        <v>90900</v>
      </c>
      <c r="AL167" s="21">
        <v>69800</v>
      </c>
      <c r="AM167" s="21">
        <v>128000</v>
      </c>
      <c r="AN167" s="21">
        <v>118400</v>
      </c>
      <c r="AO167" s="21">
        <v>105300</v>
      </c>
      <c r="AP167" s="21">
        <v>162000</v>
      </c>
      <c r="AQ167" s="21">
        <v>139600</v>
      </c>
      <c r="AR167" s="21">
        <v>65400</v>
      </c>
      <c r="AS167" s="21">
        <v>71200</v>
      </c>
      <c r="AT167" s="21">
        <v>89800</v>
      </c>
      <c r="AU167" s="21">
        <v>216800</v>
      </c>
      <c r="AV167" s="21">
        <v>376000</v>
      </c>
      <c r="AW167" s="21">
        <v>128000</v>
      </c>
      <c r="AX167" s="21">
        <v>79000</v>
      </c>
      <c r="AY167" s="21">
        <v>107500</v>
      </c>
      <c r="AZ167" s="21">
        <v>109700</v>
      </c>
      <c r="BA167" s="21">
        <v>80700</v>
      </c>
      <c r="BB167" s="21">
        <v>157300</v>
      </c>
      <c r="BC167" s="21">
        <v>152200</v>
      </c>
      <c r="BD167" s="21">
        <v>137800</v>
      </c>
      <c r="BE167" s="21">
        <v>152600</v>
      </c>
      <c r="BF167" s="21">
        <v>81000</v>
      </c>
      <c r="BG167" s="21">
        <v>113900</v>
      </c>
      <c r="BH167" s="21">
        <v>204500</v>
      </c>
      <c r="BI167" s="21">
        <v>146800</v>
      </c>
      <c r="BJ167" s="21">
        <v>186900</v>
      </c>
      <c r="BK167" s="21">
        <v>166200</v>
      </c>
      <c r="BL167" s="21">
        <v>261100</v>
      </c>
      <c r="BM167" s="1">
        <v>216900</v>
      </c>
      <c r="BN167" s="1">
        <v>296300</v>
      </c>
      <c r="BO167" s="1">
        <v>601500</v>
      </c>
      <c r="BP167" s="1">
        <v>223400</v>
      </c>
      <c r="BQ167" s="1">
        <v>109500</v>
      </c>
      <c r="BR167" s="1">
        <v>84800</v>
      </c>
      <c r="BS167" s="1">
        <v>87700</v>
      </c>
      <c r="BT167" s="1">
        <v>85800</v>
      </c>
      <c r="BU167" s="1">
        <v>104900</v>
      </c>
      <c r="BV167" s="1">
        <v>125800</v>
      </c>
      <c r="BW167" s="1">
        <v>133100</v>
      </c>
      <c r="BX167" s="1">
        <v>93400</v>
      </c>
      <c r="BY167" s="1">
        <v>69800</v>
      </c>
      <c r="BZ167" s="1">
        <v>85900</v>
      </c>
    </row>
    <row r="168" spans="1:78" ht="15.9" customHeight="1">
      <c r="A168" s="393" t="s">
        <v>330</v>
      </c>
      <c r="B168" s="46" t="s">
        <v>331</v>
      </c>
      <c r="C168" s="50">
        <f>_xll.RssMarket("2359","出来高")</f>
        <v>24000</v>
      </c>
      <c r="D168" s="16">
        <f t="shared" si="2"/>
        <v>5600</v>
      </c>
      <c r="E168" s="21">
        <v>18400</v>
      </c>
      <c r="F168" s="21">
        <v>28700</v>
      </c>
      <c r="G168" s="21">
        <v>17700</v>
      </c>
      <c r="H168" s="21">
        <v>63500</v>
      </c>
      <c r="I168" s="21">
        <v>47100</v>
      </c>
      <c r="J168" s="21">
        <v>17300</v>
      </c>
      <c r="K168" s="21">
        <v>31100</v>
      </c>
      <c r="L168" s="21"/>
      <c r="M168" s="21">
        <v>20400</v>
      </c>
      <c r="N168" s="21">
        <v>14900</v>
      </c>
      <c r="O168" s="21">
        <v>12200</v>
      </c>
      <c r="P168" s="21">
        <v>14300</v>
      </c>
      <c r="Q168" s="21">
        <v>13300</v>
      </c>
      <c r="R168" s="21">
        <v>14000</v>
      </c>
      <c r="S168" s="21">
        <v>16100</v>
      </c>
      <c r="T168" s="21">
        <v>37700</v>
      </c>
      <c r="U168" s="21">
        <v>14700</v>
      </c>
      <c r="V168" s="21">
        <v>17600</v>
      </c>
      <c r="W168" s="21">
        <v>18200</v>
      </c>
      <c r="X168" s="21">
        <v>20200</v>
      </c>
      <c r="Y168" s="21">
        <v>17300</v>
      </c>
      <c r="Z168" s="21">
        <v>26300</v>
      </c>
      <c r="AA168" s="21">
        <v>42000</v>
      </c>
      <c r="AB168" s="21">
        <v>45200</v>
      </c>
      <c r="AC168" s="21">
        <v>38200</v>
      </c>
      <c r="AD168" s="21">
        <v>14000</v>
      </c>
      <c r="AE168" s="21">
        <v>33900</v>
      </c>
      <c r="AF168" s="21">
        <v>14300</v>
      </c>
      <c r="AG168" s="21">
        <v>18000</v>
      </c>
      <c r="AH168" s="21">
        <v>16100</v>
      </c>
      <c r="AI168" s="21">
        <v>16700</v>
      </c>
      <c r="AJ168" s="21">
        <v>11000</v>
      </c>
      <c r="AK168" s="21">
        <v>13800</v>
      </c>
      <c r="AL168" s="21">
        <v>28500</v>
      </c>
      <c r="AM168" s="21">
        <v>12200</v>
      </c>
      <c r="AN168" s="21">
        <v>23100</v>
      </c>
      <c r="AO168" s="21">
        <v>15000</v>
      </c>
      <c r="AP168" s="21">
        <v>15500</v>
      </c>
      <c r="AQ168" s="21">
        <v>22800</v>
      </c>
      <c r="AR168" s="21">
        <v>13900</v>
      </c>
      <c r="AS168" s="21">
        <v>40900</v>
      </c>
      <c r="AT168" s="21">
        <v>14800</v>
      </c>
      <c r="AU168" s="21">
        <v>20100</v>
      </c>
      <c r="AV168" s="21">
        <v>28100</v>
      </c>
      <c r="AW168" s="21">
        <v>34200</v>
      </c>
      <c r="AX168" s="21">
        <v>44000</v>
      </c>
      <c r="AY168" s="21">
        <v>52800</v>
      </c>
      <c r="AZ168" s="21">
        <v>21300</v>
      </c>
      <c r="BA168" s="21">
        <v>11600</v>
      </c>
      <c r="BB168" s="21">
        <v>31400</v>
      </c>
      <c r="BC168" s="21">
        <v>29100</v>
      </c>
      <c r="BD168" s="21">
        <v>18100</v>
      </c>
      <c r="BE168" s="21">
        <v>18600</v>
      </c>
      <c r="BF168" s="21">
        <v>20400</v>
      </c>
      <c r="BG168" s="21">
        <v>26900</v>
      </c>
      <c r="BH168" s="21">
        <v>19400</v>
      </c>
      <c r="BI168" s="21">
        <v>26400</v>
      </c>
      <c r="BJ168" s="21">
        <v>46200</v>
      </c>
      <c r="BK168" s="21">
        <v>52200</v>
      </c>
      <c r="BL168" s="21">
        <v>66800</v>
      </c>
      <c r="BM168" s="1">
        <v>158000</v>
      </c>
      <c r="BN168" s="1">
        <v>53200</v>
      </c>
      <c r="BO168" s="1">
        <v>63800</v>
      </c>
      <c r="BP168" s="1">
        <v>12600</v>
      </c>
      <c r="BQ168" s="1">
        <v>19500</v>
      </c>
      <c r="BR168" s="1">
        <v>14300</v>
      </c>
      <c r="BS168" s="1">
        <v>14100</v>
      </c>
      <c r="BT168" s="1">
        <v>12400</v>
      </c>
      <c r="BU168" s="1">
        <v>9900</v>
      </c>
      <c r="BV168" s="1">
        <v>6900</v>
      </c>
      <c r="BW168" s="1">
        <v>17300</v>
      </c>
      <c r="BX168" s="1">
        <v>15300</v>
      </c>
      <c r="BY168" s="1">
        <v>14900</v>
      </c>
      <c r="BZ168" s="1">
        <v>12800</v>
      </c>
    </row>
    <row r="169" spans="1:78" ht="15.9" customHeight="1">
      <c r="A169" s="393" t="s">
        <v>332</v>
      </c>
      <c r="B169" s="46" t="s">
        <v>333</v>
      </c>
      <c r="C169" s="50">
        <f>_xll.RssMarket("8103","出来高")</f>
        <v>97600</v>
      </c>
      <c r="D169" s="16">
        <f t="shared" si="2"/>
        <v>-80800</v>
      </c>
      <c r="E169" s="21">
        <v>178400</v>
      </c>
      <c r="F169" s="21">
        <v>283900</v>
      </c>
      <c r="G169" s="21">
        <v>313800</v>
      </c>
      <c r="H169" s="21">
        <v>206000</v>
      </c>
      <c r="I169" s="21">
        <v>215900</v>
      </c>
      <c r="J169" s="21">
        <v>217200</v>
      </c>
      <c r="K169" s="21">
        <v>185400</v>
      </c>
      <c r="L169" s="21">
        <v>156000</v>
      </c>
      <c r="M169" s="21">
        <v>125500</v>
      </c>
      <c r="N169" s="21">
        <v>176100</v>
      </c>
      <c r="O169" s="21">
        <v>199500</v>
      </c>
      <c r="P169" s="21">
        <v>212100</v>
      </c>
      <c r="Q169" s="21">
        <v>143800</v>
      </c>
      <c r="R169" s="21">
        <v>134600</v>
      </c>
      <c r="S169" s="21">
        <v>216600</v>
      </c>
      <c r="T169" s="21">
        <v>142300</v>
      </c>
      <c r="U169" s="21">
        <v>156100</v>
      </c>
      <c r="V169" s="21">
        <v>134000</v>
      </c>
      <c r="W169" s="21">
        <v>187100</v>
      </c>
      <c r="X169" s="21">
        <v>200800</v>
      </c>
      <c r="Y169" s="21">
        <v>199200</v>
      </c>
      <c r="Z169" s="21">
        <v>177700</v>
      </c>
      <c r="AA169" s="21">
        <v>178700</v>
      </c>
      <c r="AB169" s="21">
        <v>160700</v>
      </c>
      <c r="AC169" s="21">
        <v>188900</v>
      </c>
      <c r="AD169" s="21">
        <v>206500</v>
      </c>
      <c r="AE169" s="21">
        <v>189600</v>
      </c>
      <c r="AF169" s="21">
        <v>177300</v>
      </c>
      <c r="AG169" s="21">
        <v>189900</v>
      </c>
      <c r="AH169" s="21">
        <v>174200</v>
      </c>
      <c r="AI169" s="21">
        <v>185400</v>
      </c>
      <c r="AJ169" s="21">
        <v>173200</v>
      </c>
      <c r="AK169" s="21">
        <v>141300</v>
      </c>
      <c r="AL169" s="21">
        <v>200300</v>
      </c>
      <c r="AM169" s="21">
        <v>205600</v>
      </c>
      <c r="AN169" s="21">
        <v>241000</v>
      </c>
      <c r="AO169" s="21">
        <v>268000</v>
      </c>
      <c r="AP169" s="21">
        <v>400800</v>
      </c>
      <c r="AQ169" s="21">
        <v>392700</v>
      </c>
      <c r="AR169" s="21">
        <v>191500</v>
      </c>
      <c r="AS169" s="21">
        <v>197700</v>
      </c>
      <c r="AT169" s="21">
        <v>238800</v>
      </c>
      <c r="AU169" s="21">
        <v>343100</v>
      </c>
      <c r="AV169" s="21">
        <v>227000</v>
      </c>
      <c r="AW169" s="21">
        <v>231800</v>
      </c>
      <c r="AX169" s="21">
        <v>315800</v>
      </c>
      <c r="AY169" s="21">
        <v>216500</v>
      </c>
      <c r="AZ169" s="21">
        <v>302500</v>
      </c>
      <c r="BA169" s="21">
        <v>256200</v>
      </c>
      <c r="BB169" s="21">
        <v>372900</v>
      </c>
      <c r="BC169" s="21">
        <v>298300</v>
      </c>
      <c r="BD169" s="21">
        <v>257000</v>
      </c>
      <c r="BE169" s="21">
        <v>394400</v>
      </c>
      <c r="BF169" s="21">
        <v>531600</v>
      </c>
      <c r="BG169" s="21">
        <v>439400</v>
      </c>
      <c r="BH169" s="21">
        <v>230200</v>
      </c>
      <c r="BI169" s="21">
        <v>368100</v>
      </c>
      <c r="BJ169" s="21">
        <v>604600</v>
      </c>
      <c r="BK169" s="21">
        <v>1317300</v>
      </c>
      <c r="BL169" s="21">
        <v>1503800</v>
      </c>
      <c r="BM169" s="1">
        <v>1894300</v>
      </c>
      <c r="BN169" s="1">
        <v>202800</v>
      </c>
      <c r="BO169" s="1">
        <v>251600</v>
      </c>
      <c r="BP169" s="1">
        <v>296300</v>
      </c>
      <c r="BQ169" s="1">
        <v>279600</v>
      </c>
      <c r="BR169" s="1">
        <v>293400</v>
      </c>
      <c r="BS169" s="1">
        <v>230700</v>
      </c>
      <c r="BT169" s="1">
        <v>181500</v>
      </c>
      <c r="BU169" s="1">
        <v>193200</v>
      </c>
      <c r="BV169" s="1">
        <v>320200</v>
      </c>
      <c r="BW169" s="1">
        <v>403700</v>
      </c>
      <c r="BX169" s="1">
        <v>356400</v>
      </c>
      <c r="BY169" s="1">
        <v>248400</v>
      </c>
      <c r="BZ169" s="1">
        <v>211500</v>
      </c>
    </row>
    <row r="170" spans="1:78" ht="15.9" customHeight="1">
      <c r="A170" s="393" t="s">
        <v>334</v>
      </c>
      <c r="B170" s="46" t="s">
        <v>335</v>
      </c>
      <c r="C170" s="50">
        <f>_xll.RssMarket("4709","出来高")</f>
        <v>38700</v>
      </c>
      <c r="D170" s="16">
        <f t="shared" si="2"/>
        <v>-57900</v>
      </c>
      <c r="E170" s="21">
        <v>96600</v>
      </c>
      <c r="F170" s="21">
        <v>160700</v>
      </c>
      <c r="G170" s="21">
        <v>242800</v>
      </c>
      <c r="H170" s="21">
        <v>76000</v>
      </c>
      <c r="I170" s="21">
        <v>75800</v>
      </c>
      <c r="J170" s="21">
        <v>36200</v>
      </c>
      <c r="K170" s="21">
        <v>81900</v>
      </c>
      <c r="L170" s="21">
        <v>46300</v>
      </c>
      <c r="M170" s="21">
        <v>46900</v>
      </c>
      <c r="N170" s="21">
        <v>43200</v>
      </c>
      <c r="O170" s="21">
        <v>62800</v>
      </c>
      <c r="P170" s="21">
        <v>54000</v>
      </c>
      <c r="Q170" s="21">
        <v>78100</v>
      </c>
      <c r="R170" s="21">
        <v>57500</v>
      </c>
      <c r="S170" s="21">
        <v>38000</v>
      </c>
      <c r="T170" s="21">
        <v>62700</v>
      </c>
      <c r="U170" s="21">
        <v>48000</v>
      </c>
      <c r="V170" s="21">
        <v>99100</v>
      </c>
      <c r="W170" s="21">
        <v>61100</v>
      </c>
      <c r="X170" s="21">
        <v>56200</v>
      </c>
      <c r="Y170" s="21">
        <v>33600</v>
      </c>
      <c r="Z170" s="21">
        <v>42200</v>
      </c>
      <c r="AA170" s="21">
        <v>34800</v>
      </c>
      <c r="AB170" s="21">
        <v>44900</v>
      </c>
      <c r="AC170" s="21">
        <v>63300</v>
      </c>
      <c r="AD170" s="21">
        <v>59000</v>
      </c>
      <c r="AE170" s="21">
        <v>41800</v>
      </c>
      <c r="AF170" s="21">
        <v>54100</v>
      </c>
      <c r="AG170" s="21">
        <v>49900</v>
      </c>
      <c r="AH170" s="21">
        <v>55000</v>
      </c>
      <c r="AI170" s="21">
        <v>58800</v>
      </c>
      <c r="AJ170" s="21">
        <v>63500</v>
      </c>
      <c r="AK170" s="21">
        <v>132900</v>
      </c>
      <c r="AL170" s="21">
        <v>140900</v>
      </c>
      <c r="AM170" s="21">
        <v>114400</v>
      </c>
      <c r="AN170" s="21">
        <v>99900</v>
      </c>
      <c r="AO170" s="21">
        <v>99800</v>
      </c>
      <c r="AP170" s="21">
        <v>150800</v>
      </c>
      <c r="AQ170" s="21">
        <v>112200</v>
      </c>
      <c r="AR170" s="21">
        <v>34600</v>
      </c>
      <c r="AS170" s="21">
        <v>72000</v>
      </c>
      <c r="AT170" s="21">
        <v>83300</v>
      </c>
      <c r="AU170" s="21">
        <v>44400</v>
      </c>
      <c r="AV170" s="21">
        <v>88700</v>
      </c>
      <c r="AW170" s="21">
        <v>94800</v>
      </c>
      <c r="AX170" s="21">
        <v>73600</v>
      </c>
      <c r="AY170" s="21">
        <v>68200</v>
      </c>
      <c r="AZ170" s="21">
        <v>45100</v>
      </c>
      <c r="BA170" s="21">
        <v>63800</v>
      </c>
      <c r="BB170" s="21">
        <v>87500</v>
      </c>
      <c r="BC170" s="21">
        <v>106000</v>
      </c>
      <c r="BD170" s="21">
        <v>89600</v>
      </c>
      <c r="BE170" s="21">
        <v>79800</v>
      </c>
      <c r="BF170" s="21">
        <v>131900</v>
      </c>
      <c r="BG170" s="21">
        <v>144400</v>
      </c>
      <c r="BH170" s="21">
        <v>82000</v>
      </c>
      <c r="BI170" s="21">
        <v>173800</v>
      </c>
      <c r="BJ170" s="21">
        <v>89000</v>
      </c>
      <c r="BK170" s="21">
        <v>131300</v>
      </c>
      <c r="BL170" s="21">
        <v>409100</v>
      </c>
      <c r="BM170" s="1">
        <v>433600</v>
      </c>
      <c r="BN170" s="1">
        <v>73000</v>
      </c>
      <c r="BO170" s="1">
        <v>86000</v>
      </c>
      <c r="BP170" s="1">
        <v>81000</v>
      </c>
      <c r="BQ170" s="1">
        <v>150900</v>
      </c>
      <c r="BR170" s="1">
        <v>65900</v>
      </c>
      <c r="BS170" s="1">
        <v>48700</v>
      </c>
      <c r="BT170" s="1">
        <v>47800</v>
      </c>
      <c r="BU170" s="1">
        <v>40900</v>
      </c>
      <c r="BV170" s="1">
        <v>55900</v>
      </c>
      <c r="BW170" s="1">
        <v>48000</v>
      </c>
      <c r="BX170" s="1">
        <v>35500</v>
      </c>
      <c r="BY170" s="1">
        <v>63700</v>
      </c>
      <c r="BZ170" s="1">
        <v>51700</v>
      </c>
    </row>
    <row r="171" spans="1:78" ht="15.9" customHeight="1">
      <c r="A171" s="393" t="s">
        <v>336</v>
      </c>
      <c r="B171" s="46" t="s">
        <v>337</v>
      </c>
      <c r="C171" s="50">
        <f>_xll.RssMarket("7981","出来高")</f>
        <v>59500</v>
      </c>
      <c r="D171" s="16">
        <f t="shared" si="2"/>
        <v>-64300</v>
      </c>
      <c r="E171" s="21">
        <v>123800</v>
      </c>
      <c r="F171" s="21">
        <v>182400</v>
      </c>
      <c r="G171" s="21">
        <v>691100</v>
      </c>
      <c r="H171" s="21">
        <v>351600</v>
      </c>
      <c r="I171" s="21">
        <v>153000</v>
      </c>
      <c r="J171" s="21">
        <v>145700</v>
      </c>
      <c r="K171" s="21">
        <v>209400</v>
      </c>
      <c r="L171" s="21">
        <v>121300</v>
      </c>
      <c r="M171" s="21">
        <v>104000</v>
      </c>
      <c r="N171" s="21">
        <v>80900</v>
      </c>
      <c r="O171" s="21">
        <v>86400</v>
      </c>
      <c r="P171" s="21">
        <v>115800</v>
      </c>
      <c r="Q171" s="21">
        <v>127500</v>
      </c>
      <c r="R171" s="21">
        <v>110800</v>
      </c>
      <c r="S171" s="21">
        <v>116500</v>
      </c>
      <c r="T171" s="21">
        <v>101500</v>
      </c>
      <c r="U171" s="21">
        <v>80600</v>
      </c>
      <c r="V171" s="21">
        <v>76000</v>
      </c>
      <c r="W171" s="21">
        <v>86400</v>
      </c>
      <c r="X171" s="21">
        <v>62800</v>
      </c>
      <c r="Y171" s="21">
        <v>59300</v>
      </c>
      <c r="Z171" s="21">
        <v>106600</v>
      </c>
      <c r="AA171" s="21">
        <v>103000</v>
      </c>
      <c r="AB171" s="21">
        <v>154300</v>
      </c>
      <c r="AC171" s="21">
        <v>121100</v>
      </c>
      <c r="AD171" s="21">
        <v>140700</v>
      </c>
      <c r="AE171" s="21">
        <v>161900</v>
      </c>
      <c r="AF171" s="21">
        <v>110200</v>
      </c>
      <c r="AG171" s="21">
        <v>120300</v>
      </c>
      <c r="AH171" s="21">
        <v>69500</v>
      </c>
      <c r="AI171" s="21">
        <v>132500</v>
      </c>
      <c r="AJ171" s="21">
        <v>106300</v>
      </c>
      <c r="AK171" s="21">
        <v>47900</v>
      </c>
      <c r="AL171" s="21">
        <v>83900</v>
      </c>
      <c r="AM171" s="21">
        <v>107900</v>
      </c>
      <c r="AN171" s="21">
        <v>124400</v>
      </c>
      <c r="AO171" s="21">
        <v>102500</v>
      </c>
      <c r="AP171" s="21">
        <v>112600</v>
      </c>
      <c r="AQ171" s="21">
        <v>85900</v>
      </c>
      <c r="AR171" s="21">
        <v>75200</v>
      </c>
      <c r="AS171" s="21">
        <v>92200</v>
      </c>
      <c r="AT171" s="21">
        <v>107100</v>
      </c>
      <c r="AU171" s="21">
        <v>123300</v>
      </c>
      <c r="AV171" s="21">
        <v>139800</v>
      </c>
      <c r="AW171" s="21">
        <v>90800</v>
      </c>
      <c r="AX171" s="21">
        <v>132500</v>
      </c>
      <c r="AY171" s="21">
        <v>171200</v>
      </c>
      <c r="AZ171" s="21">
        <v>85900</v>
      </c>
      <c r="BA171" s="21">
        <v>92500</v>
      </c>
      <c r="BB171" s="21">
        <v>123600</v>
      </c>
      <c r="BC171" s="21">
        <v>96500</v>
      </c>
      <c r="BD171" s="21">
        <v>143700</v>
      </c>
      <c r="BE171" s="21">
        <v>89400</v>
      </c>
      <c r="BF171" s="21">
        <v>124100</v>
      </c>
      <c r="BG171" s="21">
        <v>150700</v>
      </c>
      <c r="BH171" s="21">
        <v>148900</v>
      </c>
      <c r="BI171" s="21">
        <v>144700</v>
      </c>
      <c r="BJ171" s="21">
        <v>239600</v>
      </c>
      <c r="BK171" s="21">
        <v>337500</v>
      </c>
      <c r="BL171" s="21">
        <v>349200</v>
      </c>
      <c r="BM171" s="1">
        <v>889200</v>
      </c>
      <c r="BN171" s="1">
        <v>378600</v>
      </c>
      <c r="BO171" s="1">
        <v>204400</v>
      </c>
      <c r="BP171" s="1">
        <v>109600</v>
      </c>
      <c r="BQ171" s="1">
        <v>140800</v>
      </c>
      <c r="BR171" s="1">
        <v>80500</v>
      </c>
      <c r="BS171" s="1">
        <v>98600</v>
      </c>
      <c r="BT171" s="1">
        <v>61600</v>
      </c>
      <c r="BU171" s="1">
        <v>127100</v>
      </c>
      <c r="BV171" s="1">
        <v>139800</v>
      </c>
      <c r="BW171" s="1">
        <v>185300</v>
      </c>
      <c r="BX171" s="1">
        <v>298000</v>
      </c>
      <c r="BY171" s="1">
        <v>348300</v>
      </c>
      <c r="BZ171" s="1">
        <v>81100</v>
      </c>
    </row>
    <row r="172" spans="1:78" ht="15.9" customHeight="1">
      <c r="A172" s="393" t="s">
        <v>338</v>
      </c>
      <c r="B172" s="46" t="s">
        <v>339</v>
      </c>
      <c r="C172" s="50">
        <f>_xll.RssMarket("8303","出来高")</f>
        <v>4793300</v>
      </c>
      <c r="D172" s="16">
        <f t="shared" si="2"/>
        <v>975700</v>
      </c>
      <c r="E172" s="21">
        <v>3817600</v>
      </c>
      <c r="F172" s="21">
        <v>4945800</v>
      </c>
      <c r="G172" s="21">
        <v>12815200</v>
      </c>
      <c r="H172" s="21">
        <v>3256500</v>
      </c>
      <c r="I172" s="21">
        <v>5082300</v>
      </c>
      <c r="J172" s="21">
        <v>3389000</v>
      </c>
      <c r="K172" s="21">
        <v>2434000</v>
      </c>
      <c r="L172" s="21">
        <v>2807000</v>
      </c>
      <c r="M172" s="21">
        <v>1919000</v>
      </c>
      <c r="N172" s="21">
        <v>2306900</v>
      </c>
      <c r="O172" s="21">
        <v>2953700</v>
      </c>
      <c r="P172" s="21">
        <v>5049300</v>
      </c>
      <c r="Q172" s="21">
        <v>2501600</v>
      </c>
      <c r="R172" s="21">
        <v>2401000</v>
      </c>
      <c r="S172" s="21">
        <v>1745000</v>
      </c>
      <c r="T172" s="21">
        <v>2145400</v>
      </c>
      <c r="U172" s="21">
        <v>2597300</v>
      </c>
      <c r="V172" s="21">
        <v>4141500</v>
      </c>
      <c r="W172" s="21">
        <v>5157100</v>
      </c>
      <c r="X172" s="21">
        <v>3193800</v>
      </c>
      <c r="Y172" s="21">
        <v>2934700</v>
      </c>
      <c r="Z172" s="21">
        <v>3997000</v>
      </c>
      <c r="AA172" s="21">
        <v>3386400</v>
      </c>
      <c r="AB172" s="21">
        <v>3400600</v>
      </c>
      <c r="AC172" s="21">
        <v>2364700</v>
      </c>
      <c r="AD172" s="21">
        <v>3380400</v>
      </c>
      <c r="AE172" s="21">
        <v>2973100</v>
      </c>
      <c r="AF172" s="21">
        <v>2844300</v>
      </c>
      <c r="AG172" s="21">
        <v>3004500</v>
      </c>
      <c r="AH172" s="21">
        <v>3285000</v>
      </c>
      <c r="AI172" s="21">
        <v>17936200</v>
      </c>
      <c r="AJ172" s="21">
        <v>4222200</v>
      </c>
      <c r="AK172" s="21">
        <v>5468800</v>
      </c>
      <c r="AL172" s="21">
        <v>6082500</v>
      </c>
      <c r="AM172" s="21">
        <v>5226800</v>
      </c>
      <c r="AN172" s="21">
        <v>9096100</v>
      </c>
      <c r="AO172" s="21">
        <v>3807000</v>
      </c>
      <c r="AP172" s="21">
        <v>10033100</v>
      </c>
      <c r="AQ172" s="21">
        <v>3729700</v>
      </c>
      <c r="AR172" s="21">
        <v>6477200</v>
      </c>
      <c r="AS172" s="21">
        <v>7740300</v>
      </c>
      <c r="AT172" s="21">
        <v>7833600</v>
      </c>
      <c r="AU172" s="21">
        <v>5477600</v>
      </c>
      <c r="AV172" s="21">
        <v>8612300</v>
      </c>
      <c r="AW172" s="21">
        <v>7493700</v>
      </c>
      <c r="AX172" s="21">
        <v>11956600</v>
      </c>
      <c r="AY172" s="21">
        <v>5735300</v>
      </c>
      <c r="AZ172" s="21">
        <v>7995000</v>
      </c>
      <c r="BA172" s="21">
        <v>12444200</v>
      </c>
      <c r="BB172" s="21">
        <v>7575100</v>
      </c>
      <c r="BC172" s="21">
        <v>6968400</v>
      </c>
      <c r="BD172" s="21">
        <v>3089000</v>
      </c>
      <c r="BE172" s="21">
        <v>3415400</v>
      </c>
      <c r="BF172" s="21">
        <v>5926200</v>
      </c>
      <c r="BG172" s="21">
        <v>2505100</v>
      </c>
      <c r="BH172" s="21">
        <v>3521600</v>
      </c>
      <c r="BI172" s="21">
        <v>5132100</v>
      </c>
      <c r="BJ172" s="21">
        <v>3737800</v>
      </c>
      <c r="BK172" s="21">
        <v>7619800</v>
      </c>
      <c r="BL172" s="21">
        <v>12861000</v>
      </c>
      <c r="BM172" s="1">
        <v>5059200</v>
      </c>
      <c r="BN172" s="1">
        <v>17287000</v>
      </c>
      <c r="BO172" s="1">
        <v>3559000</v>
      </c>
      <c r="BP172" s="1">
        <v>4957700</v>
      </c>
      <c r="BQ172" s="1">
        <v>11445100</v>
      </c>
      <c r="BR172" s="1">
        <v>5367000</v>
      </c>
      <c r="BS172" s="1">
        <v>2986500</v>
      </c>
      <c r="BT172" s="1">
        <v>2053700</v>
      </c>
      <c r="BU172" s="1">
        <v>2152900</v>
      </c>
      <c r="BV172" s="1">
        <v>2438100</v>
      </c>
      <c r="BW172" s="1">
        <v>2736000</v>
      </c>
      <c r="BX172" s="1">
        <v>2690300</v>
      </c>
      <c r="BY172" s="1">
        <v>3364500</v>
      </c>
      <c r="BZ172" s="1">
        <v>3617400</v>
      </c>
    </row>
    <row r="173" spans="1:78" ht="15.9" customHeight="1">
      <c r="A173" s="393" t="s">
        <v>340</v>
      </c>
      <c r="B173" s="46" t="s">
        <v>341</v>
      </c>
      <c r="C173" s="50">
        <f>_xll.RssMarket("4382","出来高")</f>
        <v>31600</v>
      </c>
      <c r="D173" s="16">
        <f t="shared" si="2"/>
        <v>3200</v>
      </c>
      <c r="E173" s="21">
        <v>28400</v>
      </c>
      <c r="F173" s="21">
        <v>48800</v>
      </c>
      <c r="G173" s="21">
        <v>35400</v>
      </c>
      <c r="H173" s="21">
        <v>36600</v>
      </c>
      <c r="I173" s="21">
        <v>36800</v>
      </c>
      <c r="J173" s="21">
        <v>65900</v>
      </c>
      <c r="K173" s="21">
        <v>32000</v>
      </c>
      <c r="L173" s="21"/>
      <c r="M173" s="21">
        <v>25600</v>
      </c>
      <c r="N173" s="21">
        <v>29100</v>
      </c>
      <c r="O173" s="21">
        <v>21600</v>
      </c>
      <c r="P173" s="21">
        <v>68700</v>
      </c>
      <c r="Q173" s="21">
        <v>69000</v>
      </c>
      <c r="R173" s="21">
        <v>69800</v>
      </c>
      <c r="S173" s="21">
        <v>67800</v>
      </c>
      <c r="T173" s="21">
        <v>94800</v>
      </c>
      <c r="U173" s="21">
        <v>169300</v>
      </c>
      <c r="V173" s="21">
        <v>35900</v>
      </c>
      <c r="W173" s="21">
        <v>37200</v>
      </c>
      <c r="X173" s="21">
        <v>47700</v>
      </c>
      <c r="Y173" s="21">
        <v>33500</v>
      </c>
      <c r="Z173" s="21">
        <v>49400</v>
      </c>
      <c r="AA173" s="21">
        <v>57900</v>
      </c>
      <c r="AB173" s="21">
        <v>119000</v>
      </c>
      <c r="AC173" s="21">
        <v>65200</v>
      </c>
      <c r="AD173" s="21">
        <v>17200</v>
      </c>
      <c r="AE173" s="21">
        <v>14400</v>
      </c>
      <c r="AF173" s="21">
        <v>17600</v>
      </c>
      <c r="AG173" s="21">
        <v>44300</v>
      </c>
      <c r="AH173" s="21">
        <v>36800</v>
      </c>
      <c r="AI173" s="21">
        <v>102600</v>
      </c>
      <c r="AJ173" s="21">
        <v>16800</v>
      </c>
      <c r="AK173" s="21">
        <v>27300</v>
      </c>
      <c r="AL173" s="21">
        <v>52800</v>
      </c>
      <c r="AM173" s="21">
        <v>128800</v>
      </c>
      <c r="AN173" s="21">
        <v>105200</v>
      </c>
      <c r="AO173" s="21">
        <v>40200</v>
      </c>
      <c r="AP173" s="21">
        <v>106200</v>
      </c>
      <c r="AQ173" s="21">
        <v>31100</v>
      </c>
      <c r="AR173" s="21">
        <v>18700</v>
      </c>
      <c r="AS173" s="21">
        <v>51700</v>
      </c>
      <c r="AT173" s="21">
        <v>36500</v>
      </c>
      <c r="AU173" s="21">
        <v>26200</v>
      </c>
      <c r="AV173" s="21">
        <v>62300</v>
      </c>
      <c r="AW173" s="21">
        <v>75500</v>
      </c>
      <c r="AX173" s="21">
        <v>41500</v>
      </c>
      <c r="AY173" s="21">
        <v>46800</v>
      </c>
      <c r="AZ173" s="21">
        <v>26300</v>
      </c>
      <c r="BA173" s="21">
        <v>23700</v>
      </c>
      <c r="BB173" s="21">
        <v>19500</v>
      </c>
      <c r="BC173" s="21">
        <v>28300</v>
      </c>
      <c r="BD173" s="21">
        <v>35000</v>
      </c>
      <c r="BE173" s="21">
        <v>37600</v>
      </c>
      <c r="BF173" s="21">
        <v>47900</v>
      </c>
      <c r="BG173" s="21">
        <v>21500</v>
      </c>
      <c r="BH173" s="21">
        <v>26300</v>
      </c>
      <c r="BI173" s="21">
        <v>79600</v>
      </c>
      <c r="BJ173" s="21">
        <v>36600</v>
      </c>
      <c r="BK173" s="21">
        <v>31500</v>
      </c>
      <c r="BL173" s="21">
        <v>22600</v>
      </c>
      <c r="BM173" s="1">
        <v>46300</v>
      </c>
      <c r="BN173" s="1">
        <v>74600</v>
      </c>
      <c r="BO173" s="1">
        <v>61800</v>
      </c>
      <c r="BP173" s="1">
        <v>53300</v>
      </c>
      <c r="BQ173" s="1">
        <v>25800</v>
      </c>
      <c r="BR173" s="1">
        <v>12100</v>
      </c>
      <c r="BS173" s="1">
        <v>31000</v>
      </c>
      <c r="BT173" s="1">
        <v>20700</v>
      </c>
      <c r="BU173" s="1">
        <v>36000</v>
      </c>
      <c r="BV173" s="1">
        <v>54700</v>
      </c>
      <c r="BW173" s="1">
        <v>79900</v>
      </c>
      <c r="BX173" s="1">
        <v>25400</v>
      </c>
      <c r="BY173" s="1">
        <v>20800</v>
      </c>
      <c r="BZ173" s="1">
        <v>27600</v>
      </c>
    </row>
    <row r="174" spans="1:78" ht="15.9" customHeight="1">
      <c r="A174" s="393" t="s">
        <v>342</v>
      </c>
      <c r="B174" s="46" t="s">
        <v>343</v>
      </c>
      <c r="C174" s="50">
        <f>_xll.RssMarket("2327","出来高")</f>
        <v>110600</v>
      </c>
      <c r="D174" s="16">
        <f t="shared" si="2"/>
        <v>-184400</v>
      </c>
      <c r="E174" s="21">
        <v>295000</v>
      </c>
      <c r="F174" s="21">
        <v>400700</v>
      </c>
      <c r="G174" s="21">
        <v>501000</v>
      </c>
      <c r="H174" s="21">
        <v>510600</v>
      </c>
      <c r="I174" s="21">
        <v>372700</v>
      </c>
      <c r="J174" s="21">
        <v>260200</v>
      </c>
      <c r="K174" s="21">
        <v>318800</v>
      </c>
      <c r="L174" s="21">
        <v>213700</v>
      </c>
      <c r="M174" s="21">
        <v>244100</v>
      </c>
      <c r="N174" s="21">
        <v>199500</v>
      </c>
      <c r="O174" s="21">
        <v>241500</v>
      </c>
      <c r="P174" s="21">
        <v>276700</v>
      </c>
      <c r="Q174" s="21">
        <v>220600</v>
      </c>
      <c r="R174" s="21">
        <v>200400</v>
      </c>
      <c r="S174" s="21">
        <v>181100</v>
      </c>
      <c r="T174" s="21">
        <v>296000</v>
      </c>
      <c r="U174" s="21">
        <v>209000</v>
      </c>
      <c r="V174" s="21">
        <v>252000</v>
      </c>
      <c r="W174" s="21">
        <v>336400</v>
      </c>
      <c r="X174" s="21">
        <v>197900</v>
      </c>
      <c r="Y174" s="21">
        <v>372500</v>
      </c>
      <c r="Z174" s="21">
        <v>472200</v>
      </c>
      <c r="AA174" s="21">
        <v>286300</v>
      </c>
      <c r="AB174" s="21">
        <v>469300</v>
      </c>
      <c r="AC174" s="21">
        <v>394000</v>
      </c>
      <c r="AD174" s="21">
        <v>243800</v>
      </c>
      <c r="AE174" s="21">
        <v>290400</v>
      </c>
      <c r="AF174" s="21">
        <v>313700</v>
      </c>
      <c r="AG174" s="21">
        <v>342600</v>
      </c>
      <c r="AH174" s="21">
        <v>507100</v>
      </c>
      <c r="AI174" s="21">
        <v>791100</v>
      </c>
      <c r="AJ174" s="21">
        <v>226600</v>
      </c>
      <c r="AK174" s="21">
        <v>325900</v>
      </c>
      <c r="AL174" s="21">
        <v>379700</v>
      </c>
      <c r="AM174" s="21">
        <v>241000</v>
      </c>
      <c r="AN174" s="21">
        <v>253000</v>
      </c>
      <c r="AO174" s="21">
        <v>191100</v>
      </c>
      <c r="AP174" s="21">
        <v>190700</v>
      </c>
      <c r="AQ174" s="21">
        <v>134800</v>
      </c>
      <c r="AR174" s="21">
        <v>178700</v>
      </c>
      <c r="AS174" s="21">
        <v>246700</v>
      </c>
      <c r="AT174" s="21">
        <v>352900</v>
      </c>
      <c r="AU174" s="21">
        <v>210500</v>
      </c>
      <c r="AV174" s="21">
        <v>281800</v>
      </c>
      <c r="AW174" s="21">
        <v>247100</v>
      </c>
      <c r="AX174" s="21">
        <v>242200</v>
      </c>
      <c r="AY174" s="21">
        <v>245600</v>
      </c>
      <c r="AZ174" s="21">
        <v>158600</v>
      </c>
      <c r="BA174" s="21">
        <v>107700</v>
      </c>
      <c r="BB174" s="21">
        <v>168400</v>
      </c>
      <c r="BC174" s="21">
        <v>295500</v>
      </c>
      <c r="BD174" s="21">
        <v>366900</v>
      </c>
      <c r="BE174" s="21">
        <v>294500</v>
      </c>
      <c r="BF174" s="21">
        <v>257700</v>
      </c>
      <c r="BG174" s="21">
        <v>340700</v>
      </c>
      <c r="BH174" s="21">
        <v>296500</v>
      </c>
      <c r="BI174" s="21">
        <v>241900</v>
      </c>
      <c r="BJ174" s="21">
        <v>353500</v>
      </c>
      <c r="BK174" s="21">
        <v>323900</v>
      </c>
      <c r="BL174" s="21">
        <v>382500</v>
      </c>
      <c r="BM174" s="1">
        <v>361700</v>
      </c>
      <c r="BN174" s="1">
        <v>529800</v>
      </c>
      <c r="BO174" s="1">
        <v>365100</v>
      </c>
      <c r="BP174" s="1">
        <v>218800</v>
      </c>
      <c r="BQ174" s="1">
        <v>235900</v>
      </c>
      <c r="BR174" s="1">
        <v>167600</v>
      </c>
      <c r="BS174" s="1">
        <v>133000</v>
      </c>
      <c r="BT174" s="1">
        <v>128800</v>
      </c>
      <c r="BU174" s="1">
        <v>270900</v>
      </c>
      <c r="BV174" s="1">
        <v>183600</v>
      </c>
      <c r="BW174" s="1">
        <v>217400</v>
      </c>
      <c r="BX174" s="1">
        <v>190800</v>
      </c>
      <c r="BY174" s="1">
        <v>227200</v>
      </c>
      <c r="BZ174" s="1">
        <v>198300</v>
      </c>
    </row>
    <row r="175" spans="1:78" ht="15.9" customHeight="1">
      <c r="A175" s="393" t="s">
        <v>344</v>
      </c>
      <c r="B175" s="46" t="s">
        <v>345</v>
      </c>
      <c r="C175" s="50">
        <f>_xll.RssMarket("1942","出来高")</f>
        <v>737500</v>
      </c>
      <c r="D175" s="16">
        <f t="shared" si="2"/>
        <v>-379000</v>
      </c>
      <c r="E175" s="21">
        <v>1116500</v>
      </c>
      <c r="F175" s="21">
        <v>1732200</v>
      </c>
      <c r="G175" s="21">
        <v>6796200</v>
      </c>
      <c r="H175" s="21">
        <v>1645400</v>
      </c>
      <c r="I175" s="21">
        <v>2398500</v>
      </c>
      <c r="J175" s="21">
        <v>1062500</v>
      </c>
      <c r="K175" s="21">
        <v>942100</v>
      </c>
      <c r="L175" s="21">
        <v>757400</v>
      </c>
      <c r="M175" s="21">
        <v>750600</v>
      </c>
      <c r="N175" s="21">
        <v>826800</v>
      </c>
      <c r="O175" s="21">
        <v>717400</v>
      </c>
      <c r="P175" s="21">
        <v>1519900</v>
      </c>
      <c r="Q175" s="21">
        <v>970200</v>
      </c>
      <c r="R175" s="21">
        <v>824500</v>
      </c>
      <c r="S175" s="21">
        <v>735100</v>
      </c>
      <c r="T175" s="21">
        <v>770600</v>
      </c>
      <c r="U175" s="21">
        <v>855500</v>
      </c>
      <c r="V175" s="21">
        <v>851400</v>
      </c>
      <c r="W175" s="21">
        <v>987200</v>
      </c>
      <c r="X175" s="21">
        <v>513100</v>
      </c>
      <c r="Y175" s="21">
        <v>763200</v>
      </c>
      <c r="Z175" s="21">
        <v>928000</v>
      </c>
      <c r="AA175" s="21">
        <v>655200</v>
      </c>
      <c r="AB175" s="21">
        <v>731000</v>
      </c>
      <c r="AC175" s="21">
        <v>840400</v>
      </c>
      <c r="AD175" s="21">
        <v>805700</v>
      </c>
      <c r="AE175" s="21">
        <v>762900</v>
      </c>
      <c r="AF175" s="21">
        <v>942700</v>
      </c>
      <c r="AG175" s="21">
        <v>916300</v>
      </c>
      <c r="AH175" s="21">
        <v>1069300</v>
      </c>
      <c r="AI175" s="21">
        <v>2033200</v>
      </c>
      <c r="AJ175" s="21">
        <v>759400</v>
      </c>
      <c r="AK175" s="21">
        <v>836500</v>
      </c>
      <c r="AL175" s="21">
        <v>920800</v>
      </c>
      <c r="AM175" s="21">
        <v>1390100</v>
      </c>
      <c r="AN175" s="21">
        <v>1376000</v>
      </c>
      <c r="AO175" s="21">
        <v>778200</v>
      </c>
      <c r="AP175" s="21">
        <v>969800</v>
      </c>
      <c r="AQ175" s="21">
        <v>889300</v>
      </c>
      <c r="AR175" s="21">
        <v>747600</v>
      </c>
      <c r="AS175" s="21">
        <v>1104600</v>
      </c>
      <c r="AT175" s="21">
        <v>2413900</v>
      </c>
      <c r="AU175" s="21">
        <v>958800</v>
      </c>
      <c r="AV175" s="21">
        <v>1430500</v>
      </c>
      <c r="AW175" s="21">
        <v>782800</v>
      </c>
      <c r="AX175" s="21">
        <v>783000</v>
      </c>
      <c r="AY175" s="21">
        <v>1278200</v>
      </c>
      <c r="AZ175" s="21">
        <v>1276300</v>
      </c>
      <c r="BA175" s="21">
        <v>1103700</v>
      </c>
      <c r="BB175" s="21">
        <v>1166500</v>
      </c>
      <c r="BC175" s="21">
        <v>1076500</v>
      </c>
      <c r="BD175" s="21">
        <v>1318600</v>
      </c>
      <c r="BE175" s="21">
        <v>999100</v>
      </c>
      <c r="BF175" s="21">
        <v>1185500</v>
      </c>
      <c r="BG175" s="21">
        <v>898200</v>
      </c>
      <c r="BH175" s="21">
        <v>1450100</v>
      </c>
      <c r="BI175" s="21">
        <v>1230500</v>
      </c>
      <c r="BJ175" s="21">
        <v>1397700</v>
      </c>
      <c r="BK175" s="21">
        <v>1967000</v>
      </c>
      <c r="BL175" s="21">
        <v>1585800</v>
      </c>
      <c r="BM175" s="1">
        <v>2659900</v>
      </c>
      <c r="BN175" s="1">
        <v>9927100</v>
      </c>
      <c r="BO175" s="1">
        <v>1078500</v>
      </c>
      <c r="BP175" s="1">
        <v>738400</v>
      </c>
      <c r="BQ175" s="1">
        <v>1031900</v>
      </c>
      <c r="BR175" s="1">
        <v>808400</v>
      </c>
      <c r="BS175" s="1">
        <v>709200</v>
      </c>
      <c r="BT175" s="1">
        <v>372400</v>
      </c>
      <c r="BU175" s="1">
        <v>499600</v>
      </c>
      <c r="BV175" s="1">
        <v>918500</v>
      </c>
      <c r="BW175" s="1">
        <v>849500</v>
      </c>
      <c r="BX175" s="1">
        <v>591700</v>
      </c>
      <c r="BY175" s="1">
        <v>502000</v>
      </c>
      <c r="BZ175" s="1">
        <v>655500</v>
      </c>
    </row>
    <row r="176" spans="1:78" ht="15.9" customHeight="1">
      <c r="A176" s="393" t="s">
        <v>346</v>
      </c>
      <c r="B176" s="46" t="s">
        <v>347</v>
      </c>
      <c r="C176" s="50">
        <f>_xll.RssMarket("1938","出来高")</f>
        <v>85100</v>
      </c>
      <c r="D176" s="16">
        <f t="shared" si="2"/>
        <v>-27100</v>
      </c>
      <c r="E176" s="21">
        <v>112200</v>
      </c>
      <c r="F176" s="21">
        <v>130100</v>
      </c>
      <c r="G176" s="21">
        <v>112100</v>
      </c>
      <c r="H176" s="21">
        <v>92200</v>
      </c>
      <c r="I176" s="21">
        <v>109400</v>
      </c>
      <c r="J176" s="21">
        <v>99500</v>
      </c>
      <c r="K176" s="21">
        <v>82400</v>
      </c>
      <c r="L176" s="21">
        <v>77000</v>
      </c>
      <c r="M176" s="21">
        <v>125100</v>
      </c>
      <c r="N176" s="21">
        <v>69900</v>
      </c>
      <c r="O176" s="21">
        <v>86500</v>
      </c>
      <c r="P176" s="21">
        <v>130500</v>
      </c>
      <c r="Q176" s="21">
        <v>92900</v>
      </c>
      <c r="R176" s="21">
        <v>64600</v>
      </c>
      <c r="S176" s="21">
        <v>80900</v>
      </c>
      <c r="T176" s="21">
        <v>56000</v>
      </c>
      <c r="U176" s="21">
        <v>69300</v>
      </c>
      <c r="V176" s="21">
        <v>68900</v>
      </c>
      <c r="W176" s="21">
        <v>49800</v>
      </c>
      <c r="X176" s="21">
        <v>67600</v>
      </c>
      <c r="Y176" s="21">
        <v>82400</v>
      </c>
      <c r="Z176" s="21">
        <v>75700</v>
      </c>
      <c r="AA176" s="21">
        <v>46400</v>
      </c>
      <c r="AB176" s="21">
        <v>58000</v>
      </c>
      <c r="AC176" s="21">
        <v>60900</v>
      </c>
      <c r="AD176" s="21">
        <v>55800</v>
      </c>
      <c r="AE176" s="21">
        <v>45400</v>
      </c>
      <c r="AF176" s="21">
        <v>35700</v>
      </c>
      <c r="AG176" s="21">
        <v>62300</v>
      </c>
      <c r="AH176" s="21">
        <v>38900</v>
      </c>
      <c r="AI176" s="21">
        <v>52700</v>
      </c>
      <c r="AJ176" s="21">
        <v>68900</v>
      </c>
      <c r="AK176" s="21">
        <v>67700</v>
      </c>
      <c r="AL176" s="21">
        <v>48000</v>
      </c>
      <c r="AM176" s="21">
        <v>75400</v>
      </c>
      <c r="AN176" s="21">
        <v>88800</v>
      </c>
      <c r="AO176" s="21">
        <v>95000</v>
      </c>
      <c r="AP176" s="21">
        <v>72900</v>
      </c>
      <c r="AQ176" s="21">
        <v>98000</v>
      </c>
      <c r="AR176" s="21">
        <v>74100</v>
      </c>
      <c r="AS176" s="21">
        <v>149700</v>
      </c>
      <c r="AT176" s="21">
        <v>99400</v>
      </c>
      <c r="AU176" s="21">
        <v>117100</v>
      </c>
      <c r="AV176" s="21">
        <v>84300</v>
      </c>
      <c r="AW176" s="21">
        <v>96000</v>
      </c>
      <c r="AX176" s="21">
        <v>110200</v>
      </c>
      <c r="AY176" s="21">
        <v>127900</v>
      </c>
      <c r="AZ176" s="21">
        <v>116300</v>
      </c>
      <c r="BA176" s="21">
        <v>146800</v>
      </c>
      <c r="BB176" s="21">
        <v>130100</v>
      </c>
      <c r="BC176" s="21">
        <v>107600</v>
      </c>
      <c r="BD176" s="21">
        <v>184900</v>
      </c>
      <c r="BE176" s="21">
        <v>203000</v>
      </c>
      <c r="BF176" s="21">
        <v>158000</v>
      </c>
      <c r="BG176" s="21">
        <v>265400</v>
      </c>
      <c r="BH176" s="21">
        <v>403100</v>
      </c>
      <c r="BI176" s="21">
        <v>245800</v>
      </c>
      <c r="BJ176" s="21">
        <v>156500</v>
      </c>
      <c r="BK176" s="21">
        <v>152000</v>
      </c>
      <c r="BL176" s="21">
        <v>170300</v>
      </c>
      <c r="BM176" s="1">
        <v>98600</v>
      </c>
      <c r="BN176" s="1">
        <v>189900</v>
      </c>
      <c r="BO176" s="1">
        <v>95100</v>
      </c>
      <c r="BP176" s="1">
        <v>98600</v>
      </c>
      <c r="BQ176" s="1">
        <v>99900</v>
      </c>
      <c r="BR176" s="1">
        <v>106700</v>
      </c>
      <c r="BS176" s="1">
        <v>108500</v>
      </c>
      <c r="BT176" s="1">
        <v>96800</v>
      </c>
      <c r="BU176" s="1">
        <v>76800</v>
      </c>
      <c r="BV176" s="1">
        <v>94200</v>
      </c>
      <c r="BW176" s="1">
        <v>80000</v>
      </c>
      <c r="BX176" s="1">
        <v>99500</v>
      </c>
      <c r="BY176" s="1">
        <v>91400</v>
      </c>
      <c r="BZ176" s="1">
        <v>78500</v>
      </c>
    </row>
    <row r="177" spans="1:78" ht="15.9" customHeight="1">
      <c r="A177" s="393" t="s">
        <v>348</v>
      </c>
      <c r="B177" s="46" t="s">
        <v>349</v>
      </c>
      <c r="C177" s="50">
        <f>_xll.RssMarket("7236","出来高")</f>
        <v>514800</v>
      </c>
      <c r="D177" s="16">
        <f t="shared" si="2"/>
        <v>514800</v>
      </c>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78" ht="15.9" customHeight="1">
      <c r="A178" s="393" t="s">
        <v>350</v>
      </c>
      <c r="B178" s="46" t="s">
        <v>351</v>
      </c>
      <c r="C178" s="50">
        <f>_xll.RssMarket("6436","出来高")</f>
        <v>154400</v>
      </c>
      <c r="D178" s="16">
        <f t="shared" si="2"/>
        <v>-122700</v>
      </c>
      <c r="E178" s="21">
        <v>277100</v>
      </c>
      <c r="F178" s="21">
        <v>564500</v>
      </c>
      <c r="G178" s="21">
        <v>748400</v>
      </c>
      <c r="H178" s="21">
        <v>391000</v>
      </c>
      <c r="I178" s="21">
        <v>634500</v>
      </c>
      <c r="J178" s="21">
        <v>730300</v>
      </c>
      <c r="K178" s="21">
        <v>511200</v>
      </c>
      <c r="L178" s="21"/>
      <c r="M178" s="21">
        <v>202700</v>
      </c>
      <c r="N178" s="21">
        <v>191400</v>
      </c>
      <c r="O178" s="21">
        <v>273900</v>
      </c>
      <c r="P178" s="21">
        <v>284600</v>
      </c>
      <c r="Q178" s="21">
        <v>279500</v>
      </c>
      <c r="R178" s="21">
        <v>201700</v>
      </c>
      <c r="S178" s="21">
        <v>202100</v>
      </c>
      <c r="T178" s="21">
        <v>268800</v>
      </c>
      <c r="U178" s="21">
        <v>204400</v>
      </c>
      <c r="V178" s="21">
        <v>272700</v>
      </c>
      <c r="W178" s="21">
        <v>284500</v>
      </c>
      <c r="X178" s="21">
        <v>242400</v>
      </c>
      <c r="Y178" s="21">
        <v>198300</v>
      </c>
      <c r="Z178" s="21">
        <v>171900</v>
      </c>
      <c r="AA178" s="21">
        <v>246500</v>
      </c>
      <c r="AB178" s="21">
        <v>235600</v>
      </c>
      <c r="AC178" s="21">
        <v>249300</v>
      </c>
      <c r="AD178" s="21">
        <v>163100</v>
      </c>
      <c r="AE178" s="21">
        <v>138800</v>
      </c>
      <c r="AF178" s="21">
        <v>170600</v>
      </c>
      <c r="AG178" s="21">
        <v>256900</v>
      </c>
      <c r="AH178" s="21">
        <v>173600</v>
      </c>
      <c r="AI178" s="21">
        <v>322300</v>
      </c>
      <c r="AJ178" s="21">
        <v>197100</v>
      </c>
      <c r="AK178" s="21">
        <v>212400</v>
      </c>
      <c r="AL178" s="21">
        <v>214200</v>
      </c>
      <c r="AM178" s="21">
        <v>152700</v>
      </c>
      <c r="AN178" s="21">
        <v>213300</v>
      </c>
      <c r="AO178" s="21">
        <v>170200</v>
      </c>
      <c r="AP178" s="21">
        <v>229400</v>
      </c>
      <c r="AQ178" s="21">
        <v>313200</v>
      </c>
      <c r="AR178" s="21">
        <v>165700</v>
      </c>
      <c r="AS178" s="21">
        <v>217300</v>
      </c>
      <c r="AT178" s="21">
        <v>168400</v>
      </c>
      <c r="AU178" s="21">
        <v>246900</v>
      </c>
      <c r="AV178" s="21">
        <v>280400</v>
      </c>
      <c r="AW178" s="21">
        <v>206900</v>
      </c>
      <c r="AX178" s="21">
        <v>217600</v>
      </c>
      <c r="AY178" s="21">
        <v>205200</v>
      </c>
      <c r="AZ178" s="21">
        <v>204200</v>
      </c>
      <c r="BA178" s="21">
        <v>156900</v>
      </c>
      <c r="BB178" s="21">
        <v>286600</v>
      </c>
      <c r="BC178" s="21">
        <v>234600</v>
      </c>
      <c r="BD178" s="21">
        <v>209900</v>
      </c>
      <c r="BE178" s="21">
        <v>287100</v>
      </c>
      <c r="BF178" s="21">
        <v>293400</v>
      </c>
      <c r="BG178" s="21">
        <v>231500</v>
      </c>
      <c r="BH178" s="21">
        <v>269000</v>
      </c>
      <c r="BI178" s="21">
        <v>313000</v>
      </c>
      <c r="BJ178" s="21">
        <v>346300</v>
      </c>
      <c r="BK178" s="21">
        <v>507600</v>
      </c>
      <c r="BL178" s="21">
        <v>401500</v>
      </c>
      <c r="BM178" s="1">
        <v>572800</v>
      </c>
      <c r="BN178" s="1">
        <v>727700</v>
      </c>
      <c r="BO178" s="1">
        <v>780400</v>
      </c>
      <c r="BP178" s="1">
        <v>226600</v>
      </c>
      <c r="BQ178" s="1">
        <v>302400</v>
      </c>
      <c r="BR178" s="1">
        <v>283900</v>
      </c>
      <c r="BS178" s="1">
        <v>237400</v>
      </c>
      <c r="BT178" s="1">
        <v>133800</v>
      </c>
      <c r="BU178" s="1">
        <v>548200</v>
      </c>
      <c r="BV178" s="1">
        <v>211900</v>
      </c>
      <c r="BW178" s="1">
        <v>136200</v>
      </c>
      <c r="BX178" s="1">
        <v>176300</v>
      </c>
      <c r="BY178" s="1">
        <v>146400</v>
      </c>
      <c r="BZ178" s="1">
        <v>267600</v>
      </c>
    </row>
    <row r="179" spans="1:78" ht="15.9" customHeight="1">
      <c r="A179" s="393" t="s">
        <v>352</v>
      </c>
      <c r="B179" s="46" t="s">
        <v>353</v>
      </c>
      <c r="C179" s="50">
        <f>_xll.RssMarket("5410","出来高")</f>
        <v>74800</v>
      </c>
      <c r="D179" s="16">
        <f t="shared" si="2"/>
        <v>-17900</v>
      </c>
      <c r="E179" s="21">
        <v>92700</v>
      </c>
      <c r="F179" s="21">
        <v>135100</v>
      </c>
      <c r="G179" s="21">
        <v>172500</v>
      </c>
      <c r="H179" s="21">
        <v>112100</v>
      </c>
      <c r="I179" s="21">
        <v>152800</v>
      </c>
      <c r="J179" s="21">
        <v>96200</v>
      </c>
      <c r="K179" s="21">
        <v>100100</v>
      </c>
      <c r="L179" s="21">
        <v>53500</v>
      </c>
      <c r="M179" s="21">
        <v>67700</v>
      </c>
      <c r="N179" s="21">
        <v>74400</v>
      </c>
      <c r="O179" s="21">
        <v>128700</v>
      </c>
      <c r="P179" s="21">
        <v>98300</v>
      </c>
      <c r="Q179" s="21">
        <v>63700</v>
      </c>
      <c r="R179" s="21">
        <v>92300</v>
      </c>
      <c r="S179" s="21">
        <v>97900</v>
      </c>
      <c r="T179" s="21">
        <v>80800</v>
      </c>
      <c r="U179" s="21">
        <v>69200</v>
      </c>
      <c r="V179" s="21">
        <v>67500</v>
      </c>
      <c r="W179" s="21">
        <v>121600</v>
      </c>
      <c r="X179" s="21">
        <v>75500</v>
      </c>
      <c r="Y179" s="21">
        <v>109100</v>
      </c>
      <c r="Z179" s="21">
        <v>243400</v>
      </c>
      <c r="AA179" s="21">
        <v>83400</v>
      </c>
      <c r="AB179" s="21">
        <v>62700</v>
      </c>
      <c r="AC179" s="21">
        <v>83800</v>
      </c>
      <c r="AD179" s="21">
        <v>71800</v>
      </c>
      <c r="AE179" s="21">
        <v>115800</v>
      </c>
      <c r="AF179" s="21">
        <v>75300</v>
      </c>
      <c r="AG179" s="21">
        <v>79500</v>
      </c>
      <c r="AH179" s="21">
        <v>99100</v>
      </c>
      <c r="AI179" s="21">
        <v>132200</v>
      </c>
      <c r="AJ179" s="21">
        <v>117900</v>
      </c>
      <c r="AK179" s="21">
        <v>101300</v>
      </c>
      <c r="AL179" s="21">
        <v>82100</v>
      </c>
      <c r="AM179" s="21">
        <v>124400</v>
      </c>
      <c r="AN179" s="21">
        <v>100900</v>
      </c>
      <c r="AO179" s="21">
        <v>98900</v>
      </c>
      <c r="AP179" s="21">
        <v>164900</v>
      </c>
      <c r="AQ179" s="21">
        <v>157900</v>
      </c>
      <c r="AR179" s="21">
        <v>112600</v>
      </c>
      <c r="AS179" s="21">
        <v>128900</v>
      </c>
      <c r="AT179" s="21">
        <v>206700</v>
      </c>
      <c r="AU179" s="21">
        <v>164200</v>
      </c>
      <c r="AV179" s="21">
        <v>130000</v>
      </c>
      <c r="AW179" s="21">
        <v>210300</v>
      </c>
      <c r="AX179" s="21">
        <v>210700</v>
      </c>
      <c r="AY179" s="21">
        <v>156400</v>
      </c>
      <c r="AZ179" s="21">
        <v>147300</v>
      </c>
      <c r="BA179" s="21">
        <v>174700</v>
      </c>
      <c r="BB179" s="21">
        <v>241400</v>
      </c>
      <c r="BC179" s="21">
        <v>115800</v>
      </c>
      <c r="BD179" s="21">
        <v>166600</v>
      </c>
      <c r="BE179" s="21">
        <v>120200</v>
      </c>
      <c r="BF179" s="21">
        <v>125900</v>
      </c>
      <c r="BG179" s="21">
        <v>134700</v>
      </c>
      <c r="BH179" s="21">
        <v>129500</v>
      </c>
      <c r="BI179" s="21">
        <v>120200</v>
      </c>
      <c r="BJ179" s="21">
        <v>189100</v>
      </c>
      <c r="BK179" s="21">
        <v>201300</v>
      </c>
      <c r="BL179" s="21">
        <v>238900</v>
      </c>
      <c r="BM179" s="1">
        <v>353200</v>
      </c>
      <c r="BN179" s="1">
        <v>473700</v>
      </c>
      <c r="BO179" s="1">
        <v>779300</v>
      </c>
      <c r="BP179" s="1">
        <v>76500</v>
      </c>
      <c r="BQ179" s="1">
        <v>86400</v>
      </c>
      <c r="BR179" s="1">
        <v>105800</v>
      </c>
      <c r="BS179" s="1">
        <v>60300</v>
      </c>
      <c r="BT179" s="1">
        <v>53700</v>
      </c>
      <c r="BU179" s="1">
        <v>76100</v>
      </c>
      <c r="BV179" s="1">
        <v>57500</v>
      </c>
      <c r="BW179" s="1">
        <v>65000</v>
      </c>
      <c r="BX179" s="1">
        <v>51200</v>
      </c>
      <c r="BY179" s="1">
        <v>74900</v>
      </c>
      <c r="BZ179" s="1">
        <v>112700</v>
      </c>
    </row>
    <row r="180" spans="1:78" ht="15.9" customHeight="1">
      <c r="A180" s="393" t="s">
        <v>354</v>
      </c>
      <c r="B180" s="46" t="s">
        <v>355</v>
      </c>
      <c r="C180" s="50">
        <f>_xll.RssMarket("5440","出来高")</f>
        <v>65900</v>
      </c>
      <c r="D180" s="16">
        <f t="shared" si="2"/>
        <v>-85500</v>
      </c>
      <c r="E180" s="21">
        <v>151400</v>
      </c>
      <c r="F180" s="21">
        <v>249100</v>
      </c>
      <c r="G180" s="21">
        <v>190300</v>
      </c>
      <c r="H180" s="21">
        <v>180100</v>
      </c>
      <c r="I180" s="21">
        <v>168800</v>
      </c>
      <c r="J180" s="21">
        <v>122600</v>
      </c>
      <c r="K180" s="21">
        <v>113700</v>
      </c>
      <c r="L180" s="21"/>
      <c r="M180" s="21">
        <v>93400</v>
      </c>
      <c r="N180" s="21">
        <v>74400</v>
      </c>
      <c r="O180" s="21">
        <v>120200</v>
      </c>
      <c r="P180" s="21">
        <v>112300</v>
      </c>
      <c r="Q180" s="21">
        <v>75700</v>
      </c>
      <c r="R180" s="21">
        <v>99600</v>
      </c>
      <c r="S180" s="21">
        <v>85100</v>
      </c>
      <c r="T180" s="21">
        <v>93000</v>
      </c>
      <c r="U180" s="21">
        <v>79700</v>
      </c>
      <c r="V180" s="21">
        <v>94500</v>
      </c>
      <c r="W180" s="21">
        <v>144500</v>
      </c>
      <c r="X180" s="21">
        <v>81300</v>
      </c>
      <c r="Y180" s="21">
        <v>129500</v>
      </c>
      <c r="Z180" s="21">
        <v>160700</v>
      </c>
      <c r="AA180" s="21">
        <v>148400</v>
      </c>
      <c r="AB180" s="21">
        <v>238000</v>
      </c>
      <c r="AC180" s="21">
        <v>171500</v>
      </c>
      <c r="AD180" s="21">
        <v>196300</v>
      </c>
      <c r="AE180" s="21">
        <v>152300</v>
      </c>
      <c r="AF180" s="21">
        <v>127900</v>
      </c>
      <c r="AG180" s="21">
        <v>156700</v>
      </c>
      <c r="AH180" s="21">
        <v>170600</v>
      </c>
      <c r="AI180" s="21">
        <v>151300</v>
      </c>
      <c r="AJ180" s="21">
        <v>114900</v>
      </c>
      <c r="AK180" s="21">
        <v>113000</v>
      </c>
      <c r="AL180" s="21">
        <v>109200</v>
      </c>
      <c r="AM180" s="21">
        <v>114800</v>
      </c>
      <c r="AN180" s="21">
        <v>98400</v>
      </c>
      <c r="AO180" s="21">
        <v>103600</v>
      </c>
      <c r="AP180" s="21">
        <v>120200</v>
      </c>
      <c r="AQ180" s="21">
        <v>128300</v>
      </c>
      <c r="AR180" s="21">
        <v>84100</v>
      </c>
      <c r="AS180" s="21">
        <v>92800</v>
      </c>
      <c r="AT180" s="21">
        <v>169900</v>
      </c>
      <c r="AU180" s="21">
        <v>159800</v>
      </c>
      <c r="AV180" s="21">
        <v>185600</v>
      </c>
      <c r="AW180" s="21">
        <v>102100</v>
      </c>
      <c r="AX180" s="21">
        <v>122500</v>
      </c>
      <c r="AY180" s="21">
        <v>203900</v>
      </c>
      <c r="AZ180" s="21">
        <v>113400</v>
      </c>
      <c r="BA180" s="21">
        <v>178600</v>
      </c>
      <c r="BB180" s="21">
        <v>185600</v>
      </c>
      <c r="BC180" s="21">
        <v>158000</v>
      </c>
      <c r="BD180" s="21">
        <v>135400</v>
      </c>
      <c r="BE180" s="21">
        <v>136600</v>
      </c>
      <c r="BF180" s="21">
        <v>238300</v>
      </c>
      <c r="BG180" s="21">
        <v>190300</v>
      </c>
      <c r="BH180" s="21">
        <v>133300</v>
      </c>
      <c r="BI180" s="21">
        <v>220300</v>
      </c>
      <c r="BJ180" s="21">
        <v>264300</v>
      </c>
      <c r="BK180" s="21">
        <v>348300</v>
      </c>
      <c r="BL180" s="21">
        <v>365100</v>
      </c>
      <c r="BM180" s="1">
        <v>608300</v>
      </c>
      <c r="BN180" s="1">
        <v>137300</v>
      </c>
      <c r="BO180" s="1">
        <v>148900</v>
      </c>
      <c r="BP180" s="1">
        <v>99000</v>
      </c>
      <c r="BQ180" s="1">
        <v>90500</v>
      </c>
      <c r="BR180" s="1">
        <v>87000</v>
      </c>
      <c r="BS180" s="1">
        <v>99600</v>
      </c>
      <c r="BT180" s="1">
        <v>122200</v>
      </c>
      <c r="BU180" s="1">
        <v>56700</v>
      </c>
      <c r="BV180" s="1">
        <v>68600</v>
      </c>
      <c r="BW180" s="1">
        <v>69600</v>
      </c>
      <c r="BX180" s="1">
        <v>73500</v>
      </c>
      <c r="BY180" s="1">
        <v>69300</v>
      </c>
      <c r="BZ180" s="1">
        <v>62000</v>
      </c>
    </row>
    <row r="181" spans="1:78" ht="15.9" customHeight="1">
      <c r="A181" s="393" t="s">
        <v>356</v>
      </c>
      <c r="B181" s="46" t="s">
        <v>357</v>
      </c>
      <c r="C181" s="50">
        <f>_xll.RssMarket("9505","出来高")</f>
        <v>446700</v>
      </c>
      <c r="D181" s="16">
        <f t="shared" si="2"/>
        <v>-489300</v>
      </c>
      <c r="E181" s="21">
        <v>936000</v>
      </c>
      <c r="F181" s="21">
        <v>972600</v>
      </c>
      <c r="G181" s="21">
        <v>1360000</v>
      </c>
      <c r="H181" s="21">
        <v>1538200</v>
      </c>
      <c r="I181" s="21">
        <v>1843100</v>
      </c>
      <c r="J181" s="21">
        <v>1064200</v>
      </c>
      <c r="K181" s="21">
        <v>997300</v>
      </c>
      <c r="L181" s="21">
        <v>742600</v>
      </c>
      <c r="M181" s="21">
        <v>704700</v>
      </c>
      <c r="N181" s="21">
        <v>698900</v>
      </c>
      <c r="O181" s="21">
        <v>1122200</v>
      </c>
      <c r="P181" s="21">
        <v>1173800</v>
      </c>
      <c r="Q181" s="21">
        <v>799500</v>
      </c>
      <c r="R181" s="21">
        <v>561900</v>
      </c>
      <c r="S181" s="21">
        <v>699500</v>
      </c>
      <c r="T181" s="21">
        <v>776800</v>
      </c>
      <c r="U181" s="21">
        <v>698000</v>
      </c>
      <c r="V181" s="21">
        <v>644200</v>
      </c>
      <c r="W181" s="21">
        <v>964600</v>
      </c>
      <c r="X181" s="21">
        <v>1101000</v>
      </c>
      <c r="Y181" s="21">
        <v>568000</v>
      </c>
      <c r="Z181" s="21">
        <v>761900</v>
      </c>
      <c r="AA181" s="21">
        <v>748000</v>
      </c>
      <c r="AB181" s="21">
        <v>707000</v>
      </c>
      <c r="AC181" s="21">
        <v>784300</v>
      </c>
      <c r="AD181" s="21">
        <v>541300</v>
      </c>
      <c r="AE181" s="21">
        <v>610900</v>
      </c>
      <c r="AF181" s="21">
        <v>926100</v>
      </c>
      <c r="AG181" s="21">
        <v>678000</v>
      </c>
      <c r="AH181" s="21">
        <v>585200</v>
      </c>
      <c r="AI181" s="21">
        <v>1118500</v>
      </c>
      <c r="AJ181" s="21">
        <v>818000</v>
      </c>
      <c r="AK181" s="21">
        <v>883400</v>
      </c>
      <c r="AL181" s="21">
        <v>914900</v>
      </c>
      <c r="AM181" s="21">
        <v>1278300</v>
      </c>
      <c r="AN181" s="21">
        <v>990500</v>
      </c>
      <c r="AO181" s="21">
        <v>1134800</v>
      </c>
      <c r="AP181" s="21">
        <v>800900</v>
      </c>
      <c r="AQ181" s="21">
        <v>1386100</v>
      </c>
      <c r="AR181" s="21">
        <v>885500</v>
      </c>
      <c r="AS181" s="21">
        <v>945900</v>
      </c>
      <c r="AT181" s="21">
        <v>940400</v>
      </c>
      <c r="AU181" s="21">
        <v>1213200</v>
      </c>
      <c r="AV181" s="21">
        <v>1473600</v>
      </c>
      <c r="AW181" s="21">
        <v>1557100</v>
      </c>
      <c r="AX181" s="21">
        <v>691100</v>
      </c>
      <c r="AY181" s="21">
        <v>728000</v>
      </c>
      <c r="AZ181" s="21">
        <v>780900</v>
      </c>
      <c r="BA181" s="21">
        <v>743100</v>
      </c>
      <c r="BB181" s="21">
        <v>709700</v>
      </c>
      <c r="BC181" s="21">
        <v>868000</v>
      </c>
      <c r="BD181" s="21">
        <v>1159800</v>
      </c>
      <c r="BE181" s="21">
        <v>721500</v>
      </c>
      <c r="BF181" s="21">
        <v>654100</v>
      </c>
      <c r="BG181" s="21">
        <v>947400</v>
      </c>
      <c r="BH181" s="21">
        <v>954700</v>
      </c>
      <c r="BI181" s="21">
        <v>1513200</v>
      </c>
      <c r="BJ181" s="21">
        <v>1633000</v>
      </c>
      <c r="BK181" s="21">
        <v>3913800</v>
      </c>
      <c r="BL181" s="21">
        <v>2544600</v>
      </c>
      <c r="BM181" s="1">
        <v>5515700</v>
      </c>
      <c r="BN181" s="1">
        <v>737700</v>
      </c>
      <c r="BO181" s="1">
        <v>1273900</v>
      </c>
      <c r="BP181" s="1">
        <v>712500</v>
      </c>
      <c r="BQ181" s="1">
        <v>1085700</v>
      </c>
      <c r="BR181" s="1">
        <v>795200</v>
      </c>
      <c r="BS181" s="1">
        <v>676300</v>
      </c>
      <c r="BT181" s="1">
        <v>668100</v>
      </c>
      <c r="BU181" s="1">
        <v>570200</v>
      </c>
      <c r="BV181" s="1">
        <v>615400</v>
      </c>
      <c r="BW181" s="1">
        <v>704600</v>
      </c>
      <c r="BX181" s="1">
        <v>587800</v>
      </c>
      <c r="BY181" s="1">
        <v>636000</v>
      </c>
      <c r="BZ181" s="1">
        <v>632000</v>
      </c>
    </row>
    <row r="182" spans="1:78" ht="15.9" customHeight="1">
      <c r="A182" s="393" t="s">
        <v>358</v>
      </c>
      <c r="B182" s="46" t="s">
        <v>359</v>
      </c>
      <c r="C182" s="50">
        <f>_xll.RssMarket("8091","出来高")</f>
        <v>4600</v>
      </c>
      <c r="D182" s="16">
        <f t="shared" si="2"/>
        <v>-1100</v>
      </c>
      <c r="E182" s="21">
        <v>5700</v>
      </c>
      <c r="F182" s="21">
        <v>12100</v>
      </c>
      <c r="G182" s="21">
        <v>24400</v>
      </c>
      <c r="H182" s="21">
        <v>12200</v>
      </c>
      <c r="I182" s="21">
        <v>32200</v>
      </c>
      <c r="J182" s="21">
        <v>11000</v>
      </c>
      <c r="K182" s="21">
        <v>18900</v>
      </c>
      <c r="L182" s="21">
        <v>9500</v>
      </c>
      <c r="M182" s="21">
        <v>6700</v>
      </c>
      <c r="N182" s="21">
        <v>8500</v>
      </c>
      <c r="O182" s="21">
        <v>20700</v>
      </c>
      <c r="P182" s="21">
        <v>18000</v>
      </c>
      <c r="Q182" s="21">
        <v>13200</v>
      </c>
      <c r="R182" s="21">
        <v>9000</v>
      </c>
      <c r="S182" s="21">
        <v>13500</v>
      </c>
      <c r="T182" s="21">
        <v>18900</v>
      </c>
      <c r="U182" s="21">
        <v>15300</v>
      </c>
      <c r="V182" s="21">
        <v>22600</v>
      </c>
      <c r="W182" s="21">
        <v>12600</v>
      </c>
      <c r="X182" s="21">
        <v>13000</v>
      </c>
      <c r="Y182" s="21">
        <v>10900</v>
      </c>
      <c r="Z182" s="21">
        <v>17600</v>
      </c>
      <c r="AA182" s="21">
        <v>10500</v>
      </c>
      <c r="AB182" s="21">
        <v>6300</v>
      </c>
      <c r="AC182" s="21">
        <v>16600</v>
      </c>
      <c r="AD182" s="21">
        <v>11000</v>
      </c>
      <c r="AE182" s="21">
        <v>34500</v>
      </c>
      <c r="AF182" s="21">
        <v>15400</v>
      </c>
      <c r="AG182" s="21">
        <v>15800</v>
      </c>
      <c r="AH182" s="21">
        <v>25100</v>
      </c>
      <c r="AI182" s="21">
        <v>29900</v>
      </c>
      <c r="AJ182" s="21">
        <v>39200</v>
      </c>
      <c r="AK182" s="21">
        <v>13300</v>
      </c>
      <c r="AL182" s="21">
        <v>9700</v>
      </c>
      <c r="AM182" s="21">
        <v>25300</v>
      </c>
      <c r="AN182" s="21">
        <v>18900</v>
      </c>
      <c r="AO182" s="21">
        <v>14400</v>
      </c>
      <c r="AP182" s="21">
        <v>8100</v>
      </c>
      <c r="AQ182" s="21">
        <v>24600</v>
      </c>
      <c r="AR182" s="21">
        <v>27400</v>
      </c>
      <c r="AS182" s="21">
        <v>30000</v>
      </c>
      <c r="AT182" s="21">
        <v>41800</v>
      </c>
      <c r="AU182" s="21">
        <v>26200</v>
      </c>
      <c r="AV182" s="21">
        <v>18700</v>
      </c>
      <c r="AW182" s="21">
        <v>16300</v>
      </c>
      <c r="AX182" s="21">
        <v>13200</v>
      </c>
      <c r="AY182" s="21">
        <v>36800</v>
      </c>
      <c r="AZ182" s="21">
        <v>37800</v>
      </c>
      <c r="BA182" s="21">
        <v>25700</v>
      </c>
      <c r="BB182" s="21">
        <v>40900</v>
      </c>
      <c r="BC182" s="21">
        <v>48700</v>
      </c>
      <c r="BD182" s="21">
        <v>134600</v>
      </c>
      <c r="BE182" s="21">
        <v>34600</v>
      </c>
      <c r="BF182" s="21">
        <v>13800</v>
      </c>
      <c r="BG182" s="21">
        <v>15700</v>
      </c>
      <c r="BH182" s="21">
        <v>16600</v>
      </c>
      <c r="BI182" s="21">
        <v>25300</v>
      </c>
      <c r="BJ182" s="21">
        <v>31100</v>
      </c>
      <c r="BK182" s="21">
        <v>32300</v>
      </c>
      <c r="BL182" s="21">
        <v>44100</v>
      </c>
      <c r="BM182" s="1">
        <v>48500</v>
      </c>
      <c r="BN182" s="1">
        <v>37300</v>
      </c>
      <c r="BO182" s="1">
        <v>132800</v>
      </c>
      <c r="BP182" s="1">
        <v>11300</v>
      </c>
      <c r="BQ182" s="1">
        <v>15300</v>
      </c>
      <c r="BR182" s="1">
        <v>15100</v>
      </c>
      <c r="BS182" s="1">
        <v>10700</v>
      </c>
      <c r="BT182" s="1">
        <v>9300</v>
      </c>
      <c r="BU182" s="1">
        <v>7300</v>
      </c>
      <c r="BV182" s="1">
        <v>7000</v>
      </c>
      <c r="BW182" s="1">
        <v>8200</v>
      </c>
      <c r="BX182" s="1">
        <v>14700</v>
      </c>
      <c r="BY182" s="1">
        <v>14700</v>
      </c>
      <c r="BZ182" s="1">
        <v>9800</v>
      </c>
    </row>
    <row r="183" spans="1:78" ht="15.9" customHeight="1">
      <c r="A183" s="393" t="s">
        <v>360</v>
      </c>
      <c r="B183" s="46" t="s">
        <v>361</v>
      </c>
      <c r="C183" s="50">
        <f>_xll.RssMarket("6507","出来高")</f>
        <v>128300</v>
      </c>
      <c r="D183" s="16">
        <f t="shared" si="2"/>
        <v>-105900</v>
      </c>
      <c r="E183" s="21">
        <v>234200</v>
      </c>
      <c r="F183" s="21">
        <v>144300</v>
      </c>
      <c r="G183" s="21">
        <v>232300</v>
      </c>
      <c r="H183" s="21">
        <v>172000</v>
      </c>
      <c r="I183" s="21">
        <v>233300</v>
      </c>
      <c r="J183" s="21">
        <v>159100</v>
      </c>
      <c r="K183" s="21">
        <v>143300</v>
      </c>
      <c r="L183" s="21">
        <v>106800</v>
      </c>
      <c r="M183" s="21">
        <v>102800</v>
      </c>
      <c r="N183" s="21">
        <v>110800</v>
      </c>
      <c r="O183" s="21">
        <v>129400</v>
      </c>
      <c r="P183" s="21">
        <v>224500</v>
      </c>
      <c r="Q183" s="21">
        <v>118200</v>
      </c>
      <c r="R183" s="21">
        <v>101000</v>
      </c>
      <c r="S183" s="21">
        <v>126900</v>
      </c>
      <c r="T183" s="21">
        <v>132000</v>
      </c>
      <c r="U183" s="21">
        <v>121600</v>
      </c>
      <c r="V183" s="21">
        <v>192900</v>
      </c>
      <c r="W183" s="21">
        <v>177600</v>
      </c>
      <c r="X183" s="21">
        <v>199300</v>
      </c>
      <c r="Y183" s="21">
        <v>128100</v>
      </c>
      <c r="Z183" s="21">
        <v>138700</v>
      </c>
      <c r="AA183" s="21">
        <v>152900</v>
      </c>
      <c r="AB183" s="21">
        <v>169100</v>
      </c>
      <c r="AC183" s="21">
        <v>104600</v>
      </c>
      <c r="AD183" s="21">
        <v>121500</v>
      </c>
      <c r="AE183" s="21">
        <v>150400</v>
      </c>
      <c r="AF183" s="21">
        <v>120400</v>
      </c>
      <c r="AG183" s="21">
        <v>136400</v>
      </c>
      <c r="AH183" s="21">
        <v>188300</v>
      </c>
      <c r="AI183" s="21">
        <v>225100</v>
      </c>
      <c r="AJ183" s="21">
        <v>250500</v>
      </c>
      <c r="AK183" s="21">
        <v>248900</v>
      </c>
      <c r="AL183" s="21">
        <v>176200</v>
      </c>
      <c r="AM183" s="21">
        <v>143900</v>
      </c>
      <c r="AN183" s="21">
        <v>187400</v>
      </c>
      <c r="AO183" s="21">
        <v>217200</v>
      </c>
      <c r="AP183" s="21">
        <v>154500</v>
      </c>
      <c r="AQ183" s="21">
        <v>209900</v>
      </c>
      <c r="AR183" s="21">
        <v>218000</v>
      </c>
      <c r="AS183" s="21">
        <v>340900</v>
      </c>
      <c r="AT183" s="21">
        <v>204200</v>
      </c>
      <c r="AU183" s="21">
        <v>370200</v>
      </c>
      <c r="AV183" s="21">
        <v>317700</v>
      </c>
      <c r="AW183" s="21">
        <v>231400</v>
      </c>
      <c r="AX183" s="21">
        <v>154200</v>
      </c>
      <c r="AY183" s="21">
        <v>174900</v>
      </c>
      <c r="AZ183" s="21">
        <v>155800</v>
      </c>
      <c r="BA183" s="21">
        <v>205600</v>
      </c>
      <c r="BB183" s="21">
        <v>311700</v>
      </c>
      <c r="BC183" s="21">
        <v>295100</v>
      </c>
      <c r="BD183" s="21">
        <v>143100</v>
      </c>
      <c r="BE183" s="21">
        <v>303100</v>
      </c>
      <c r="BF183" s="21">
        <v>649600</v>
      </c>
      <c r="BG183" s="21">
        <v>165100</v>
      </c>
      <c r="BH183" s="21">
        <v>163400</v>
      </c>
      <c r="BI183" s="21">
        <v>174600</v>
      </c>
      <c r="BJ183" s="21">
        <v>150400</v>
      </c>
      <c r="BK183" s="21">
        <v>291400</v>
      </c>
      <c r="BL183" s="21">
        <v>198200</v>
      </c>
      <c r="BM183" s="1">
        <v>175600</v>
      </c>
      <c r="BN183" s="1">
        <v>165100</v>
      </c>
      <c r="BO183" s="1">
        <v>98300</v>
      </c>
      <c r="BP183" s="1">
        <v>77100</v>
      </c>
      <c r="BQ183" s="1">
        <v>140600</v>
      </c>
      <c r="BR183" s="1">
        <v>174700</v>
      </c>
      <c r="BS183" s="1">
        <v>114000</v>
      </c>
      <c r="BT183" s="1">
        <v>114300</v>
      </c>
      <c r="BU183" s="1">
        <v>122900</v>
      </c>
      <c r="BV183" s="1">
        <v>260100</v>
      </c>
      <c r="BW183" s="1">
        <v>195900</v>
      </c>
      <c r="BX183" s="1">
        <v>121800</v>
      </c>
      <c r="BY183" s="1">
        <v>140800</v>
      </c>
      <c r="BZ183" s="1">
        <v>219000</v>
      </c>
    </row>
    <row r="184" spans="1:78" ht="15.9" customHeight="1">
      <c r="A184" s="393" t="s">
        <v>362</v>
      </c>
      <c r="B184" s="46" t="s">
        <v>363</v>
      </c>
      <c r="C184" s="50">
        <f>_xll.RssMarket("9022","出来高")</f>
        <v>1150800</v>
      </c>
      <c r="D184" s="16">
        <f t="shared" si="2"/>
        <v>-2657800</v>
      </c>
      <c r="E184" s="21">
        <v>3808600</v>
      </c>
      <c r="F184" s="21">
        <v>4205800</v>
      </c>
      <c r="G184" s="21">
        <v>4408300</v>
      </c>
      <c r="H184" s="21">
        <v>3270900</v>
      </c>
      <c r="I184" s="21">
        <v>4516500</v>
      </c>
      <c r="J184" s="21">
        <v>2777700</v>
      </c>
      <c r="K184" s="21">
        <v>2928300</v>
      </c>
      <c r="L184" s="21">
        <v>3037400</v>
      </c>
      <c r="M184" s="21">
        <v>2560300</v>
      </c>
      <c r="N184" s="21">
        <v>2532700</v>
      </c>
      <c r="O184" s="21">
        <v>3903400</v>
      </c>
      <c r="P184" s="21">
        <v>3012200</v>
      </c>
      <c r="Q184" s="21">
        <v>3232700</v>
      </c>
      <c r="R184" s="21">
        <v>3602500</v>
      </c>
      <c r="S184" s="21">
        <v>1960200</v>
      </c>
      <c r="T184" s="21">
        <v>2264500</v>
      </c>
      <c r="U184" s="21">
        <v>3001600</v>
      </c>
      <c r="V184" s="21">
        <v>3720900</v>
      </c>
      <c r="W184" s="21">
        <v>4949900</v>
      </c>
      <c r="X184" s="21">
        <v>2034000</v>
      </c>
      <c r="Y184" s="21">
        <v>3111100</v>
      </c>
      <c r="Z184" s="21">
        <v>2448300</v>
      </c>
      <c r="AA184" s="21">
        <v>2489900</v>
      </c>
      <c r="AB184" s="21">
        <v>4226200</v>
      </c>
      <c r="AC184" s="21">
        <v>3489800</v>
      </c>
      <c r="AD184" s="21">
        <v>3077700</v>
      </c>
      <c r="AE184" s="21">
        <v>2765100</v>
      </c>
      <c r="AF184" s="21">
        <v>3089400</v>
      </c>
      <c r="AG184" s="21">
        <v>3734500</v>
      </c>
      <c r="AH184" s="21">
        <v>2116300</v>
      </c>
      <c r="AI184" s="21">
        <v>5672000</v>
      </c>
      <c r="AJ184" s="21">
        <v>3769400</v>
      </c>
      <c r="AK184" s="21">
        <v>3410000</v>
      </c>
      <c r="AL184" s="21">
        <v>4201800</v>
      </c>
      <c r="AM184" s="21">
        <v>4772400</v>
      </c>
      <c r="AN184" s="21">
        <v>3929200</v>
      </c>
      <c r="AO184" s="21">
        <v>3340700</v>
      </c>
      <c r="AP184" s="21">
        <v>3640600</v>
      </c>
      <c r="AQ184" s="21">
        <v>3521100</v>
      </c>
      <c r="AR184" s="21">
        <v>2342400</v>
      </c>
      <c r="AS184" s="21">
        <v>2570600</v>
      </c>
      <c r="AT184" s="21">
        <v>2842000</v>
      </c>
      <c r="AU184" s="21">
        <v>2876100</v>
      </c>
      <c r="AV184" s="21">
        <v>5172400</v>
      </c>
      <c r="AW184" s="21">
        <v>2430400</v>
      </c>
      <c r="AX184" s="21">
        <v>2385200</v>
      </c>
      <c r="AY184" s="21">
        <v>2264600</v>
      </c>
      <c r="AZ184" s="21">
        <v>2768700</v>
      </c>
      <c r="BA184" s="21">
        <v>2349300</v>
      </c>
      <c r="BB184" s="21">
        <v>2895400</v>
      </c>
      <c r="BC184" s="21">
        <v>2568200</v>
      </c>
      <c r="BD184" s="21">
        <v>2609100</v>
      </c>
      <c r="BE184" s="21">
        <v>3211200</v>
      </c>
      <c r="BF184" s="21">
        <v>2469100</v>
      </c>
      <c r="BG184" s="21">
        <v>2442600</v>
      </c>
      <c r="BH184" s="21">
        <v>2408300</v>
      </c>
      <c r="BI184" s="21">
        <v>3195300</v>
      </c>
      <c r="BJ184" s="21">
        <v>3953200</v>
      </c>
      <c r="BK184" s="21">
        <v>4824200</v>
      </c>
      <c r="BL184" s="21">
        <v>5579600</v>
      </c>
      <c r="BM184" s="1">
        <v>7976700</v>
      </c>
      <c r="BN184" s="1">
        <v>5280800</v>
      </c>
      <c r="BO184" s="1">
        <v>2248900</v>
      </c>
      <c r="BP184" s="1">
        <v>1967900</v>
      </c>
      <c r="BQ184" s="1">
        <v>2725400</v>
      </c>
      <c r="BR184" s="1">
        <v>2063800</v>
      </c>
      <c r="BS184" s="1">
        <v>2349200</v>
      </c>
      <c r="BT184" s="1">
        <v>1851300</v>
      </c>
      <c r="BU184" s="1">
        <v>2082300</v>
      </c>
      <c r="BV184" s="1">
        <v>2481900</v>
      </c>
      <c r="BW184" s="1">
        <v>3961900</v>
      </c>
      <c r="BX184" s="1">
        <v>2643700</v>
      </c>
      <c r="BY184" s="1">
        <v>1816700</v>
      </c>
      <c r="BZ184" s="1">
        <v>2276300</v>
      </c>
    </row>
    <row r="185" spans="1:78" ht="15.9" customHeight="1">
      <c r="A185" s="393" t="s">
        <v>364</v>
      </c>
      <c r="B185" s="46" t="s">
        <v>365</v>
      </c>
      <c r="C185" s="50">
        <f>_xll.RssMarket("9536","出来高")</f>
        <v>45000</v>
      </c>
      <c r="D185" s="16">
        <f t="shared" si="2"/>
        <v>-51900</v>
      </c>
      <c r="E185" s="21">
        <v>96900</v>
      </c>
      <c r="F185" s="21">
        <v>92900</v>
      </c>
      <c r="G185" s="21">
        <v>93000</v>
      </c>
      <c r="H185" s="21">
        <v>96700</v>
      </c>
      <c r="I185" s="21">
        <v>107200</v>
      </c>
      <c r="J185" s="21">
        <v>61100</v>
      </c>
      <c r="K185" s="21">
        <v>53400</v>
      </c>
      <c r="L185" s="21">
        <v>64800</v>
      </c>
      <c r="M185" s="21">
        <v>41100</v>
      </c>
      <c r="N185" s="21">
        <v>62000</v>
      </c>
      <c r="O185" s="21">
        <v>66700</v>
      </c>
      <c r="P185" s="21">
        <v>67700</v>
      </c>
      <c r="Q185" s="21">
        <v>44900</v>
      </c>
      <c r="R185" s="21">
        <v>38700</v>
      </c>
      <c r="S185" s="21">
        <v>61400</v>
      </c>
      <c r="T185" s="21">
        <v>99500</v>
      </c>
      <c r="U185" s="21">
        <v>93700</v>
      </c>
      <c r="V185" s="21">
        <v>73700</v>
      </c>
      <c r="W185" s="21">
        <v>98800</v>
      </c>
      <c r="X185" s="21">
        <v>95100</v>
      </c>
      <c r="Y185" s="21">
        <v>73500</v>
      </c>
      <c r="Z185" s="21">
        <v>73400</v>
      </c>
      <c r="AA185" s="21">
        <v>86900</v>
      </c>
      <c r="AB185" s="21">
        <v>73300</v>
      </c>
      <c r="AC185" s="21">
        <v>83500</v>
      </c>
      <c r="AD185" s="21">
        <v>48600</v>
      </c>
      <c r="AE185" s="21">
        <v>54300</v>
      </c>
      <c r="AF185" s="21">
        <v>55100</v>
      </c>
      <c r="AG185" s="21">
        <v>58500</v>
      </c>
      <c r="AH185" s="21">
        <v>77400</v>
      </c>
      <c r="AI185" s="21">
        <v>96400</v>
      </c>
      <c r="AJ185" s="21">
        <v>59300</v>
      </c>
      <c r="AK185" s="21">
        <v>55900</v>
      </c>
      <c r="AL185" s="21">
        <v>62500</v>
      </c>
      <c r="AM185" s="21">
        <v>60200</v>
      </c>
      <c r="AN185" s="21">
        <v>77100</v>
      </c>
      <c r="AO185" s="21">
        <v>56200</v>
      </c>
      <c r="AP185" s="21">
        <v>68900</v>
      </c>
      <c r="AQ185" s="21">
        <v>73100</v>
      </c>
      <c r="AR185" s="21">
        <v>56200</v>
      </c>
      <c r="AS185" s="21">
        <v>67600</v>
      </c>
      <c r="AT185" s="21">
        <v>71000</v>
      </c>
      <c r="AU185" s="21">
        <v>111600</v>
      </c>
      <c r="AV185" s="21">
        <v>88700</v>
      </c>
      <c r="AW185" s="21">
        <v>99600</v>
      </c>
      <c r="AX185" s="21">
        <v>70500</v>
      </c>
      <c r="AY185" s="21">
        <v>67700</v>
      </c>
      <c r="AZ185" s="21">
        <v>53800</v>
      </c>
      <c r="BA185" s="21">
        <v>43500</v>
      </c>
      <c r="BB185" s="21">
        <v>61700</v>
      </c>
      <c r="BC185" s="21">
        <v>60100</v>
      </c>
      <c r="BD185" s="21">
        <v>96400</v>
      </c>
      <c r="BE185" s="21">
        <v>41400</v>
      </c>
      <c r="BF185" s="21">
        <v>45300</v>
      </c>
      <c r="BG185" s="21">
        <v>58700</v>
      </c>
      <c r="BH185" s="21">
        <v>66700</v>
      </c>
      <c r="BI185" s="21">
        <v>79500</v>
      </c>
      <c r="BJ185" s="21">
        <v>85000</v>
      </c>
      <c r="BK185" s="21">
        <v>112400</v>
      </c>
      <c r="BL185" s="21">
        <v>183300</v>
      </c>
      <c r="BM185" s="1">
        <v>311300</v>
      </c>
      <c r="BN185" s="1">
        <v>64400</v>
      </c>
      <c r="BO185" s="1">
        <v>59400</v>
      </c>
      <c r="BP185" s="1">
        <v>44600</v>
      </c>
      <c r="BQ185" s="1">
        <v>64100</v>
      </c>
      <c r="BR185" s="1">
        <v>66000</v>
      </c>
      <c r="BS185" s="1">
        <v>69100</v>
      </c>
      <c r="BT185" s="1">
        <v>61300</v>
      </c>
      <c r="BU185" s="1">
        <v>41900</v>
      </c>
      <c r="BV185" s="1">
        <v>49500</v>
      </c>
      <c r="BW185" s="1">
        <v>53500</v>
      </c>
      <c r="BX185" s="1">
        <v>44400</v>
      </c>
      <c r="BY185" s="1">
        <v>63000</v>
      </c>
      <c r="BZ185" s="1">
        <v>74100</v>
      </c>
    </row>
    <row r="186" spans="1:78" ht="15.9" customHeight="1">
      <c r="A186" s="393" t="s">
        <v>366</v>
      </c>
      <c r="B186" s="46" t="s">
        <v>367</v>
      </c>
      <c r="C186" s="50">
        <f>_xll.RssMarket("9506","出来高")</f>
        <v>1241700</v>
      </c>
      <c r="D186" s="16">
        <f t="shared" si="2"/>
        <v>-2065500</v>
      </c>
      <c r="E186" s="21">
        <v>3307200</v>
      </c>
      <c r="F186" s="21">
        <v>4527600</v>
      </c>
      <c r="G186" s="21">
        <v>3642200</v>
      </c>
      <c r="H186" s="21">
        <v>4552700</v>
      </c>
      <c r="I186" s="21">
        <v>3882700</v>
      </c>
      <c r="J186" s="21">
        <v>2468500</v>
      </c>
      <c r="K186" s="21">
        <v>2483700</v>
      </c>
      <c r="L186" s="21">
        <v>1801100</v>
      </c>
      <c r="M186" s="21">
        <v>2183100</v>
      </c>
      <c r="N186" s="21">
        <v>2621900</v>
      </c>
      <c r="O186" s="21">
        <v>2880000</v>
      </c>
      <c r="P186" s="21">
        <v>3457000</v>
      </c>
      <c r="Q186" s="21">
        <v>2907300</v>
      </c>
      <c r="R186" s="21">
        <v>2181100</v>
      </c>
      <c r="S186" s="21">
        <v>1641000</v>
      </c>
      <c r="T186" s="21">
        <v>2069300</v>
      </c>
      <c r="U186" s="21">
        <v>2485100</v>
      </c>
      <c r="V186" s="21">
        <v>1907500</v>
      </c>
      <c r="W186" s="21">
        <v>2430700</v>
      </c>
      <c r="X186" s="21">
        <v>2552800</v>
      </c>
      <c r="Y186" s="21">
        <v>2817400</v>
      </c>
      <c r="Z186" s="21">
        <v>1949700</v>
      </c>
      <c r="AA186" s="21">
        <v>2103900</v>
      </c>
      <c r="AB186" s="21">
        <v>2862600</v>
      </c>
      <c r="AC186" s="21">
        <v>2353800</v>
      </c>
      <c r="AD186" s="21">
        <v>1805100</v>
      </c>
      <c r="AE186" s="21">
        <v>2095600</v>
      </c>
      <c r="AF186" s="21">
        <v>1653000</v>
      </c>
      <c r="AG186" s="21">
        <v>1678300</v>
      </c>
      <c r="AH186" s="21">
        <v>1663900</v>
      </c>
      <c r="AI186" s="21">
        <v>1762900</v>
      </c>
      <c r="AJ186" s="21">
        <v>1393500</v>
      </c>
      <c r="AK186" s="21">
        <v>1967700</v>
      </c>
      <c r="AL186" s="21">
        <v>1926100</v>
      </c>
      <c r="AM186" s="21">
        <v>3314900</v>
      </c>
      <c r="AN186" s="21">
        <v>2277600</v>
      </c>
      <c r="AO186" s="21">
        <v>2742000</v>
      </c>
      <c r="AP186" s="21">
        <v>1721000</v>
      </c>
      <c r="AQ186" s="21">
        <v>2547900</v>
      </c>
      <c r="AR186" s="21">
        <v>1860900</v>
      </c>
      <c r="AS186" s="21">
        <v>2763700</v>
      </c>
      <c r="AT186" s="21">
        <v>2761800</v>
      </c>
      <c r="AU186" s="21">
        <v>2757600</v>
      </c>
      <c r="AV186" s="21">
        <v>6022300</v>
      </c>
      <c r="AW186" s="21">
        <v>3141000</v>
      </c>
      <c r="AX186" s="21">
        <v>3922300</v>
      </c>
      <c r="AY186" s="21">
        <v>2098600</v>
      </c>
      <c r="AZ186" s="21">
        <v>2775300</v>
      </c>
      <c r="BA186" s="21">
        <v>2738300</v>
      </c>
      <c r="BB186" s="21">
        <v>2807400</v>
      </c>
      <c r="BC186" s="21">
        <v>1942700</v>
      </c>
      <c r="BD186" s="21">
        <v>2835400</v>
      </c>
      <c r="BE186" s="21">
        <v>2067300</v>
      </c>
      <c r="BF186" s="21">
        <v>1797900</v>
      </c>
      <c r="BG186" s="21">
        <v>2202200</v>
      </c>
      <c r="BH186" s="21">
        <v>1681900</v>
      </c>
      <c r="BI186" s="21">
        <v>3031000</v>
      </c>
      <c r="BJ186" s="21">
        <v>3157800</v>
      </c>
      <c r="BK186" s="21">
        <v>4570100</v>
      </c>
      <c r="BL186" s="21">
        <v>5321900</v>
      </c>
      <c r="BM186" s="1">
        <v>4600700</v>
      </c>
      <c r="BN186" s="1">
        <v>2428600</v>
      </c>
      <c r="BO186" s="1">
        <v>1406900</v>
      </c>
      <c r="BP186" s="1">
        <v>1505400</v>
      </c>
      <c r="BQ186" s="1">
        <v>1706800</v>
      </c>
      <c r="BR186" s="1">
        <v>1772400</v>
      </c>
      <c r="BS186" s="1">
        <v>2511800</v>
      </c>
      <c r="BT186" s="1">
        <v>2524400</v>
      </c>
      <c r="BU186" s="1">
        <v>1683300</v>
      </c>
      <c r="BV186" s="1">
        <v>1406600</v>
      </c>
      <c r="BW186" s="1">
        <v>1844300</v>
      </c>
      <c r="BX186" s="1">
        <v>2277300</v>
      </c>
      <c r="BY186" s="1">
        <v>2823100</v>
      </c>
      <c r="BZ186" s="1">
        <v>1871900</v>
      </c>
    </row>
    <row r="187" spans="1:78" ht="15.9" customHeight="1">
      <c r="A187" s="393" t="s">
        <v>368</v>
      </c>
      <c r="B187" s="46" t="s">
        <v>369</v>
      </c>
      <c r="C187" s="50">
        <f>_xll.RssMarket("2127","出来高")</f>
        <v>1137200</v>
      </c>
      <c r="D187" s="16">
        <f t="shared" si="2"/>
        <v>-1280600</v>
      </c>
      <c r="E187" s="21">
        <v>2417800</v>
      </c>
      <c r="F187" s="21">
        <v>3881800</v>
      </c>
      <c r="G187" s="21">
        <v>9352100</v>
      </c>
      <c r="H187" s="21">
        <v>4555900</v>
      </c>
      <c r="I187" s="21">
        <v>2513500</v>
      </c>
      <c r="J187" s="21">
        <v>1828500</v>
      </c>
      <c r="K187" s="21">
        <v>1865400</v>
      </c>
      <c r="L187" s="21">
        <v>2178900</v>
      </c>
      <c r="M187" s="21">
        <v>1543000</v>
      </c>
      <c r="N187" s="21">
        <v>1321900</v>
      </c>
      <c r="O187" s="21">
        <v>1249200</v>
      </c>
      <c r="P187" s="21">
        <v>1308600</v>
      </c>
      <c r="Q187" s="21">
        <v>807100</v>
      </c>
      <c r="R187" s="21">
        <v>1066600</v>
      </c>
      <c r="S187" s="21">
        <v>783100</v>
      </c>
      <c r="T187" s="21">
        <v>1294500</v>
      </c>
      <c r="U187" s="21">
        <v>1296100</v>
      </c>
      <c r="V187" s="21">
        <v>1540800</v>
      </c>
      <c r="W187" s="21">
        <v>2033300</v>
      </c>
      <c r="X187" s="21">
        <v>2714900</v>
      </c>
      <c r="Y187" s="21">
        <v>1270300</v>
      </c>
      <c r="Z187" s="21">
        <v>1676300</v>
      </c>
      <c r="AA187" s="21">
        <v>1332700</v>
      </c>
      <c r="AB187" s="21">
        <v>2073400</v>
      </c>
      <c r="AC187" s="21">
        <v>2692600</v>
      </c>
      <c r="AD187" s="21">
        <v>2128700</v>
      </c>
      <c r="AE187" s="21">
        <v>1480500</v>
      </c>
      <c r="AF187" s="21">
        <v>1409000</v>
      </c>
      <c r="AG187" s="21">
        <v>1850400</v>
      </c>
      <c r="AH187" s="21">
        <v>1629900</v>
      </c>
      <c r="AI187" s="21">
        <v>2094300</v>
      </c>
      <c r="AJ187" s="21">
        <v>1766400</v>
      </c>
      <c r="AK187" s="21">
        <v>1269200</v>
      </c>
      <c r="AL187" s="21">
        <v>1153100</v>
      </c>
      <c r="AM187" s="21">
        <v>1274900</v>
      </c>
      <c r="AN187" s="21">
        <v>1965600</v>
      </c>
      <c r="AO187" s="21">
        <v>1298900</v>
      </c>
      <c r="AP187" s="21">
        <v>1527700</v>
      </c>
      <c r="AQ187" s="21">
        <v>1386600</v>
      </c>
      <c r="AR187" s="21">
        <v>1599000</v>
      </c>
      <c r="AS187" s="21">
        <v>1686900</v>
      </c>
      <c r="AT187" s="21">
        <v>1802800</v>
      </c>
      <c r="AU187" s="21">
        <v>1659800</v>
      </c>
      <c r="AV187" s="21">
        <v>1496400</v>
      </c>
      <c r="AW187" s="21">
        <v>2011200</v>
      </c>
      <c r="AX187" s="21">
        <v>2472200</v>
      </c>
      <c r="AY187" s="21">
        <v>1361300</v>
      </c>
      <c r="AZ187" s="21">
        <v>1227400</v>
      </c>
      <c r="BA187" s="21">
        <v>1292200</v>
      </c>
      <c r="BB187" s="21">
        <v>1998300</v>
      </c>
      <c r="BC187" s="21">
        <v>1661400</v>
      </c>
      <c r="BD187" s="21">
        <v>1625600</v>
      </c>
      <c r="BE187" s="21">
        <v>1420700</v>
      </c>
      <c r="BF187" s="21">
        <v>1645400</v>
      </c>
      <c r="BG187" s="21">
        <v>1222100</v>
      </c>
      <c r="BH187" s="21">
        <v>1989600</v>
      </c>
      <c r="BI187" s="21">
        <v>1906700</v>
      </c>
      <c r="BJ187" s="21">
        <v>2950000</v>
      </c>
      <c r="BK187" s="21">
        <v>5176300</v>
      </c>
      <c r="BL187" s="21">
        <v>4926900</v>
      </c>
      <c r="BM187" s="1">
        <v>3770800</v>
      </c>
      <c r="BN187" s="1">
        <v>2614600</v>
      </c>
      <c r="BO187" s="1">
        <v>1776000</v>
      </c>
      <c r="BP187" s="1">
        <v>2430000</v>
      </c>
      <c r="BQ187" s="1">
        <v>2039000</v>
      </c>
      <c r="BR187" s="1">
        <v>1680900</v>
      </c>
      <c r="BS187" s="1">
        <v>2328800</v>
      </c>
      <c r="BT187" s="1">
        <v>1519500</v>
      </c>
      <c r="BU187" s="1">
        <v>1577200</v>
      </c>
      <c r="BV187" s="1">
        <v>1950300</v>
      </c>
      <c r="BW187" s="1">
        <v>1380400</v>
      </c>
      <c r="BX187" s="1">
        <v>945900</v>
      </c>
      <c r="BY187" s="1">
        <v>1537200</v>
      </c>
      <c r="BZ187" s="1">
        <v>1646500</v>
      </c>
    </row>
    <row r="188" spans="1:78" ht="15.9" customHeight="1">
      <c r="A188" s="393" t="s">
        <v>370</v>
      </c>
      <c r="B188" s="46" t="s">
        <v>371</v>
      </c>
      <c r="C188" s="50">
        <f>_xll.RssMarket("6753","出来高")</f>
        <v>1832600</v>
      </c>
      <c r="D188" s="16">
        <f t="shared" si="2"/>
        <v>-966100</v>
      </c>
      <c r="E188" s="21">
        <v>2798700</v>
      </c>
      <c r="F188" s="21">
        <v>3816500</v>
      </c>
      <c r="G188" s="21">
        <v>3430300</v>
      </c>
      <c r="H188" s="21">
        <v>2562500</v>
      </c>
      <c r="I188" s="21">
        <v>6074300</v>
      </c>
      <c r="J188" s="21">
        <v>3513000</v>
      </c>
      <c r="K188" s="21">
        <v>3646000</v>
      </c>
      <c r="L188" s="21">
        <v>4402600</v>
      </c>
      <c r="M188" s="21">
        <v>2572800</v>
      </c>
      <c r="N188" s="21">
        <v>2477900</v>
      </c>
      <c r="O188" s="21">
        <v>3694400</v>
      </c>
      <c r="P188" s="21">
        <v>3247500</v>
      </c>
      <c r="Q188" s="21">
        <v>2107100</v>
      </c>
      <c r="R188" s="21">
        <v>2506300</v>
      </c>
      <c r="S188" s="21">
        <v>3024900</v>
      </c>
      <c r="T188" s="21">
        <v>2876900</v>
      </c>
      <c r="U188" s="21">
        <v>2681600</v>
      </c>
      <c r="V188" s="21">
        <v>3315000</v>
      </c>
      <c r="W188" s="21">
        <v>4165900</v>
      </c>
      <c r="X188" s="21">
        <v>2414900</v>
      </c>
      <c r="Y188" s="21">
        <v>2840300</v>
      </c>
      <c r="Z188" s="21">
        <v>3556000</v>
      </c>
      <c r="AA188" s="21">
        <v>4593700</v>
      </c>
      <c r="AB188" s="21">
        <v>7375700</v>
      </c>
      <c r="AC188" s="21">
        <v>4599200</v>
      </c>
      <c r="AD188" s="21">
        <v>4674700</v>
      </c>
      <c r="AE188" s="21">
        <v>16373100</v>
      </c>
      <c r="AF188" s="21">
        <v>11892500</v>
      </c>
      <c r="AG188" s="21">
        <v>2646100</v>
      </c>
      <c r="AH188" s="21">
        <v>3363900</v>
      </c>
      <c r="AI188" s="21">
        <v>5709500</v>
      </c>
      <c r="AJ188" s="21">
        <v>2829200</v>
      </c>
      <c r="AK188" s="21">
        <v>2353100</v>
      </c>
      <c r="AL188" s="21">
        <v>3151400</v>
      </c>
      <c r="AM188" s="21">
        <v>2643300</v>
      </c>
      <c r="AN188" s="21">
        <v>3103900</v>
      </c>
      <c r="AO188" s="21">
        <v>3530400</v>
      </c>
      <c r="AP188" s="21">
        <v>4039500</v>
      </c>
      <c r="AQ188" s="21">
        <v>4816400</v>
      </c>
      <c r="AR188" s="21">
        <v>3247900</v>
      </c>
      <c r="AS188" s="21">
        <v>3776300</v>
      </c>
      <c r="AT188" s="21">
        <v>4830400</v>
      </c>
      <c r="AU188" s="21">
        <v>5366700</v>
      </c>
      <c r="AV188" s="21">
        <v>4595800</v>
      </c>
      <c r="AW188" s="21">
        <v>3081600</v>
      </c>
      <c r="AX188" s="21">
        <v>4278300</v>
      </c>
      <c r="AY188" s="21">
        <v>4749400</v>
      </c>
      <c r="AZ188" s="21">
        <v>6306800</v>
      </c>
      <c r="BA188" s="21">
        <v>3614800</v>
      </c>
      <c r="BB188" s="21">
        <v>4040300</v>
      </c>
      <c r="BC188" s="21">
        <v>6038400</v>
      </c>
      <c r="BD188" s="21">
        <v>5034400</v>
      </c>
      <c r="BE188" s="21">
        <v>5889300</v>
      </c>
      <c r="BF188" s="21">
        <v>5881100</v>
      </c>
      <c r="BG188" s="21">
        <v>10113200</v>
      </c>
      <c r="BH188" s="21">
        <v>5895900</v>
      </c>
      <c r="BI188" s="21">
        <v>4612500</v>
      </c>
      <c r="BJ188" s="21">
        <v>5707400</v>
      </c>
      <c r="BK188" s="21">
        <v>7741400</v>
      </c>
      <c r="BL188" s="21">
        <v>3565100</v>
      </c>
      <c r="BM188" s="1">
        <v>2632800</v>
      </c>
      <c r="BN188" s="1">
        <v>2650300</v>
      </c>
      <c r="BO188" s="1">
        <v>5150100</v>
      </c>
      <c r="BP188" s="1">
        <v>5950000</v>
      </c>
      <c r="BQ188" s="1">
        <v>2865800</v>
      </c>
      <c r="BR188" s="1">
        <v>1688700</v>
      </c>
      <c r="BS188" s="1">
        <v>2007300</v>
      </c>
      <c r="BT188" s="1">
        <v>1775400</v>
      </c>
      <c r="BU188" s="1">
        <v>3268300</v>
      </c>
      <c r="BV188" s="1">
        <v>3007600</v>
      </c>
      <c r="BW188" s="1">
        <v>2633200</v>
      </c>
      <c r="BX188" s="1">
        <v>2979200</v>
      </c>
      <c r="BY188" s="1">
        <v>2646600</v>
      </c>
      <c r="BZ188" s="1">
        <v>2670300</v>
      </c>
    </row>
    <row r="189" spans="1:78" ht="15.9" customHeight="1">
      <c r="A189" s="393" t="s">
        <v>372</v>
      </c>
      <c r="B189" s="46" t="str">
        <f>銘柄管理!C189</f>
        <v>ヤマトホールディングス</v>
      </c>
      <c r="C189" s="50">
        <f>_xll.RssMarket("9064","出来高")</f>
        <v>859400</v>
      </c>
      <c r="D189" s="16">
        <f t="shared" si="2"/>
        <v>-2025500</v>
      </c>
      <c r="E189" s="21">
        <v>2884900</v>
      </c>
      <c r="F189" s="21">
        <v>1782000</v>
      </c>
      <c r="G189" s="21">
        <v>1771300</v>
      </c>
      <c r="H189" s="21">
        <v>1259000</v>
      </c>
      <c r="I189" s="21">
        <v>1998500</v>
      </c>
      <c r="J189" s="21">
        <v>1716700</v>
      </c>
      <c r="K189" s="21">
        <v>1781000</v>
      </c>
      <c r="L189" s="21">
        <v>1092400</v>
      </c>
      <c r="M189" s="21">
        <v>1171400</v>
      </c>
      <c r="N189" s="21">
        <v>1152300</v>
      </c>
      <c r="O189" s="21">
        <v>1383200</v>
      </c>
      <c r="P189" s="21">
        <v>1636700</v>
      </c>
      <c r="Q189" s="21">
        <v>550700</v>
      </c>
      <c r="R189" s="21">
        <v>1057200</v>
      </c>
      <c r="S189" s="21">
        <v>751700</v>
      </c>
      <c r="T189" s="21">
        <v>1095200</v>
      </c>
      <c r="U189" s="21">
        <v>770200</v>
      </c>
      <c r="V189" s="21">
        <v>1174600</v>
      </c>
      <c r="W189" s="21">
        <v>1319600</v>
      </c>
      <c r="X189" s="21">
        <v>1923900</v>
      </c>
      <c r="Y189" s="21">
        <v>1914000</v>
      </c>
      <c r="Z189" s="21">
        <v>1371500</v>
      </c>
      <c r="AA189" s="21">
        <v>1134800</v>
      </c>
      <c r="AB189" s="21">
        <v>996700</v>
      </c>
      <c r="AC189" s="21">
        <v>1175100</v>
      </c>
      <c r="AD189" s="21">
        <v>960800</v>
      </c>
      <c r="AE189" s="21">
        <v>1772000</v>
      </c>
      <c r="AF189" s="21">
        <v>1370800</v>
      </c>
      <c r="AG189" s="21">
        <v>996800</v>
      </c>
      <c r="AH189" s="21">
        <v>841800</v>
      </c>
      <c r="AI189" s="21">
        <v>2128900</v>
      </c>
      <c r="AJ189" s="21">
        <v>988300</v>
      </c>
      <c r="AK189" s="21">
        <v>830300</v>
      </c>
      <c r="AL189" s="21">
        <v>1237400</v>
      </c>
      <c r="AM189" s="21">
        <v>1220300</v>
      </c>
      <c r="AN189" s="21">
        <v>1338400</v>
      </c>
      <c r="AO189" s="21">
        <v>1193100</v>
      </c>
      <c r="AP189" s="21">
        <v>1015500</v>
      </c>
      <c r="AQ189" s="21">
        <v>1136900</v>
      </c>
      <c r="AR189" s="21">
        <v>811200</v>
      </c>
      <c r="AS189" s="21">
        <v>704500</v>
      </c>
      <c r="AT189" s="21">
        <v>1110800</v>
      </c>
      <c r="AU189" s="21">
        <v>1229400</v>
      </c>
      <c r="AV189" s="21">
        <v>2201000</v>
      </c>
      <c r="AW189" s="21">
        <v>825300</v>
      </c>
      <c r="AX189" s="21">
        <v>1015700</v>
      </c>
      <c r="AY189" s="21">
        <v>1580000</v>
      </c>
      <c r="AZ189" s="21">
        <v>841100</v>
      </c>
      <c r="BA189" s="21">
        <v>1391400</v>
      </c>
      <c r="BB189" s="21">
        <v>985200</v>
      </c>
      <c r="BC189" s="21">
        <v>1231800</v>
      </c>
      <c r="BD189" s="21">
        <v>940700</v>
      </c>
      <c r="BE189" s="21">
        <v>1469800</v>
      </c>
      <c r="BF189" s="21">
        <v>954000</v>
      </c>
      <c r="BG189" s="21">
        <v>914400</v>
      </c>
      <c r="BH189" s="21">
        <v>1104800</v>
      </c>
      <c r="BI189" s="21">
        <v>2066200</v>
      </c>
      <c r="BJ189" s="21">
        <v>1682800</v>
      </c>
      <c r="BK189" s="21">
        <v>2173800</v>
      </c>
      <c r="BL189" s="21">
        <v>1378800</v>
      </c>
      <c r="BM189" s="1">
        <v>1664900</v>
      </c>
      <c r="BN189" s="1">
        <v>1226400</v>
      </c>
      <c r="BO189" s="1">
        <v>1562800</v>
      </c>
      <c r="BP189" s="1">
        <v>931700</v>
      </c>
      <c r="BQ189" s="1">
        <v>1059600</v>
      </c>
      <c r="BR189" s="1">
        <v>653200</v>
      </c>
      <c r="BS189" s="1">
        <v>713000</v>
      </c>
      <c r="BT189" s="1">
        <v>1070300</v>
      </c>
      <c r="BU189" s="1">
        <v>892800</v>
      </c>
      <c r="BV189" s="1">
        <v>1314800</v>
      </c>
      <c r="BW189" s="1">
        <v>1145900</v>
      </c>
      <c r="BX189" s="1">
        <v>954800</v>
      </c>
      <c r="BY189" s="1">
        <v>1367000</v>
      </c>
      <c r="BZ189" s="1">
        <v>1269500</v>
      </c>
    </row>
    <row r="190" spans="1:78" ht="15.9" customHeight="1">
      <c r="A190" s="393" t="s">
        <v>373</v>
      </c>
      <c r="B190" s="46" t="s">
        <v>374</v>
      </c>
      <c r="C190" s="50">
        <f>_xll.RssMarket("7181","出来高")</f>
        <v>905600</v>
      </c>
      <c r="D190" s="16">
        <f t="shared" si="2"/>
        <v>-968300</v>
      </c>
      <c r="E190" s="21">
        <v>1873900</v>
      </c>
      <c r="F190" s="21">
        <v>2354200</v>
      </c>
      <c r="G190" s="21">
        <v>2305400</v>
      </c>
      <c r="H190" s="21">
        <v>3703800</v>
      </c>
      <c r="I190" s="21">
        <v>2814600</v>
      </c>
      <c r="J190" s="21">
        <v>2327500</v>
      </c>
      <c r="K190" s="21">
        <v>2262800</v>
      </c>
      <c r="L190" s="21">
        <v>2383700</v>
      </c>
      <c r="M190" s="21">
        <v>2936500</v>
      </c>
      <c r="N190" s="21">
        <v>2945400</v>
      </c>
      <c r="O190" s="21">
        <v>2421800</v>
      </c>
      <c r="P190" s="21">
        <v>2082200</v>
      </c>
      <c r="Q190" s="21">
        <v>2053100</v>
      </c>
      <c r="R190" s="21">
        <v>1585100</v>
      </c>
      <c r="S190" s="21">
        <v>1551500</v>
      </c>
      <c r="T190" s="21">
        <v>1744200</v>
      </c>
      <c r="U190" s="21">
        <v>1791200</v>
      </c>
      <c r="V190" s="21">
        <v>3615700</v>
      </c>
      <c r="W190" s="21">
        <v>2424700</v>
      </c>
      <c r="X190" s="21">
        <v>1864100</v>
      </c>
      <c r="Y190" s="21">
        <v>2081400</v>
      </c>
      <c r="Z190" s="21">
        <v>2319000</v>
      </c>
      <c r="AA190" s="21">
        <v>2363900</v>
      </c>
      <c r="AB190" s="21">
        <v>3486000</v>
      </c>
      <c r="AC190" s="21">
        <v>2461300</v>
      </c>
      <c r="AD190" s="21">
        <v>2028900</v>
      </c>
      <c r="AE190" s="21">
        <v>2194900</v>
      </c>
      <c r="AF190" s="21">
        <v>3354400</v>
      </c>
      <c r="AG190" s="21">
        <v>2046800</v>
      </c>
      <c r="AH190" s="21">
        <v>1842700</v>
      </c>
      <c r="AI190" s="21">
        <v>2366200</v>
      </c>
      <c r="AJ190" s="21">
        <v>1937900</v>
      </c>
      <c r="AK190" s="21">
        <v>1669300</v>
      </c>
      <c r="AL190" s="21">
        <v>1595600</v>
      </c>
      <c r="AM190" s="21">
        <v>1853000</v>
      </c>
      <c r="AN190" s="21">
        <v>3388500</v>
      </c>
      <c r="AO190" s="21">
        <v>2324000</v>
      </c>
      <c r="AP190" s="21">
        <v>4057700</v>
      </c>
      <c r="AQ190" s="21">
        <v>2788700</v>
      </c>
      <c r="AR190" s="21">
        <v>2638600</v>
      </c>
      <c r="AS190" s="21">
        <v>1908600</v>
      </c>
      <c r="AT190" s="21">
        <v>3246600</v>
      </c>
      <c r="AU190" s="21">
        <v>2243900</v>
      </c>
      <c r="AV190" s="21">
        <v>6682400</v>
      </c>
      <c r="AW190" s="21">
        <v>3211400</v>
      </c>
      <c r="AX190" s="21">
        <v>2426500</v>
      </c>
      <c r="AY190" s="21">
        <v>2491400</v>
      </c>
      <c r="AZ190" s="21">
        <v>2381800</v>
      </c>
      <c r="BA190" s="21">
        <v>2416500</v>
      </c>
      <c r="BB190" s="21">
        <v>3038800</v>
      </c>
      <c r="BC190" s="21">
        <v>3973700</v>
      </c>
      <c r="BD190" s="21">
        <v>6689000</v>
      </c>
      <c r="BE190" s="21">
        <v>3197800</v>
      </c>
      <c r="BF190" s="21">
        <v>1451800</v>
      </c>
      <c r="BG190" s="21">
        <v>2506300</v>
      </c>
      <c r="BH190" s="21">
        <v>1467900</v>
      </c>
      <c r="BI190" s="21">
        <v>1692900</v>
      </c>
      <c r="BJ190" s="21">
        <v>2248300</v>
      </c>
      <c r="BK190" s="21">
        <v>2658100</v>
      </c>
      <c r="BL190" s="21">
        <v>1966200</v>
      </c>
      <c r="BM190" s="1">
        <v>2438600</v>
      </c>
      <c r="BN190" s="1">
        <v>2206100</v>
      </c>
      <c r="BO190" s="1">
        <v>1582000</v>
      </c>
      <c r="BP190" s="1">
        <v>1562300</v>
      </c>
      <c r="BQ190" s="1">
        <v>2535100</v>
      </c>
      <c r="BR190" s="1">
        <v>2303300</v>
      </c>
      <c r="BS190" s="1">
        <v>2341600</v>
      </c>
      <c r="BT190" s="1">
        <v>1268700</v>
      </c>
      <c r="BU190" s="1">
        <v>2388400</v>
      </c>
      <c r="BV190" s="1">
        <v>2005300</v>
      </c>
      <c r="BW190" s="1">
        <v>2605700</v>
      </c>
      <c r="BX190" s="1">
        <v>2380300</v>
      </c>
      <c r="BY190" s="1">
        <v>1427800</v>
      </c>
      <c r="BZ190" s="1">
        <v>1846300</v>
      </c>
    </row>
    <row r="191" spans="1:78" ht="15.9" customHeight="1">
      <c r="A191" s="393" t="s">
        <v>375</v>
      </c>
      <c r="B191" s="46" t="str">
        <f>銘柄管理!C191</f>
        <v>前澤給装工業</v>
      </c>
      <c r="C191" s="50">
        <f>_xll.RssMarket("6485","出来高")</f>
        <v>9700</v>
      </c>
      <c r="D191" s="16">
        <f t="shared" si="2"/>
        <v>-9100</v>
      </c>
      <c r="E191" s="21">
        <v>18800</v>
      </c>
      <c r="F191" s="21">
        <v>26200</v>
      </c>
      <c r="G191" s="21">
        <v>28300</v>
      </c>
      <c r="H191" s="21">
        <v>24600</v>
      </c>
      <c r="I191" s="21">
        <v>32100</v>
      </c>
      <c r="J191" s="21">
        <v>15000</v>
      </c>
      <c r="K191" s="21">
        <v>39400</v>
      </c>
      <c r="L191" s="21">
        <v>16500</v>
      </c>
      <c r="M191" s="21">
        <v>9600</v>
      </c>
      <c r="N191" s="21">
        <v>23500</v>
      </c>
      <c r="O191" s="21">
        <v>24300</v>
      </c>
      <c r="P191" s="21">
        <v>27700</v>
      </c>
      <c r="Q191" s="21">
        <v>17200</v>
      </c>
      <c r="R191" s="21">
        <v>11600</v>
      </c>
      <c r="S191" s="21">
        <v>40200</v>
      </c>
      <c r="T191" s="21">
        <v>28400</v>
      </c>
      <c r="U191" s="21">
        <v>18600</v>
      </c>
      <c r="V191" s="21">
        <v>52300</v>
      </c>
      <c r="W191" s="21">
        <v>13700</v>
      </c>
      <c r="X191" s="21">
        <v>14700</v>
      </c>
      <c r="Y191" s="21">
        <v>21300</v>
      </c>
      <c r="Z191" s="21">
        <v>22400</v>
      </c>
      <c r="AA191" s="21">
        <v>15000</v>
      </c>
      <c r="AB191" s="21">
        <v>11900</v>
      </c>
      <c r="AC191" s="21">
        <v>20200</v>
      </c>
      <c r="AD191" s="21">
        <v>19800</v>
      </c>
      <c r="AE191" s="21">
        <v>14500</v>
      </c>
      <c r="AF191" s="21">
        <v>11500</v>
      </c>
      <c r="AG191" s="21">
        <v>21300</v>
      </c>
      <c r="AH191" s="21">
        <v>27500</v>
      </c>
      <c r="AI191" s="21">
        <v>60700</v>
      </c>
      <c r="AJ191" s="21">
        <v>23200</v>
      </c>
      <c r="AK191" s="21">
        <v>17700</v>
      </c>
      <c r="AL191" s="21">
        <v>13900</v>
      </c>
      <c r="AM191" s="21">
        <v>11800</v>
      </c>
      <c r="AN191" s="21">
        <v>23400</v>
      </c>
      <c r="AO191" s="21">
        <v>15300</v>
      </c>
      <c r="AP191" s="21">
        <v>25800</v>
      </c>
      <c r="AQ191" s="21">
        <v>27400</v>
      </c>
      <c r="AR191" s="21">
        <v>11400</v>
      </c>
      <c r="AS191" s="21">
        <v>17500</v>
      </c>
      <c r="AT191" s="21">
        <v>19300</v>
      </c>
      <c r="AU191" s="21">
        <v>47300</v>
      </c>
      <c r="AV191" s="21">
        <v>15500</v>
      </c>
      <c r="AW191" s="21">
        <v>21800</v>
      </c>
      <c r="AX191" s="21">
        <v>21300</v>
      </c>
      <c r="AY191" s="21">
        <v>24400</v>
      </c>
      <c r="AZ191" s="21">
        <v>17100</v>
      </c>
      <c r="BA191" s="21">
        <v>27400</v>
      </c>
      <c r="BB191" s="21">
        <v>38600</v>
      </c>
      <c r="BC191" s="21">
        <v>21500</v>
      </c>
      <c r="BD191" s="21">
        <v>31500</v>
      </c>
      <c r="BE191" s="21">
        <v>12800</v>
      </c>
      <c r="BF191" s="21">
        <v>48000</v>
      </c>
      <c r="BG191" s="21">
        <v>29400</v>
      </c>
      <c r="BH191" s="21">
        <v>9400</v>
      </c>
      <c r="BI191" s="21">
        <v>16500</v>
      </c>
      <c r="BJ191" s="21">
        <v>20700</v>
      </c>
      <c r="BK191" s="21">
        <v>18000</v>
      </c>
      <c r="BL191" s="21">
        <v>17300</v>
      </c>
      <c r="BM191" s="1">
        <v>37400</v>
      </c>
      <c r="BN191" s="1">
        <v>25900</v>
      </c>
      <c r="BO191" s="1">
        <v>39800</v>
      </c>
      <c r="BP191" s="1">
        <v>31900</v>
      </c>
      <c r="BQ191" s="1">
        <v>28700</v>
      </c>
      <c r="BR191" s="1">
        <v>30100</v>
      </c>
      <c r="BS191" s="1">
        <v>14600</v>
      </c>
      <c r="BT191" s="1">
        <v>18000</v>
      </c>
      <c r="BU191" s="1">
        <v>15400</v>
      </c>
      <c r="BV191" s="1">
        <v>14400</v>
      </c>
      <c r="BW191" s="1">
        <v>25600</v>
      </c>
      <c r="BX191" s="1">
        <v>16900</v>
      </c>
      <c r="BY191" s="1">
        <v>22200</v>
      </c>
      <c r="BZ191" s="1">
        <v>14800</v>
      </c>
    </row>
    <row r="192" spans="1:78" ht="15.9" customHeight="1">
      <c r="A192" s="393" t="s">
        <v>376</v>
      </c>
      <c r="B192" s="46" t="s">
        <v>377</v>
      </c>
      <c r="C192" s="50">
        <f>_xll.RssMarket("4887","出来高")</f>
        <v>252700</v>
      </c>
      <c r="D192" s="16">
        <f t="shared" si="2"/>
        <v>-264000</v>
      </c>
      <c r="E192" s="21">
        <v>516700</v>
      </c>
      <c r="F192" s="21">
        <v>495900</v>
      </c>
      <c r="G192" s="21">
        <v>572900</v>
      </c>
      <c r="H192" s="21">
        <v>430700</v>
      </c>
      <c r="I192" s="21">
        <v>669300</v>
      </c>
      <c r="J192" s="21">
        <v>426500</v>
      </c>
      <c r="K192" s="21">
        <v>644100</v>
      </c>
      <c r="L192" s="21">
        <v>293000</v>
      </c>
      <c r="M192" s="21">
        <v>310400</v>
      </c>
      <c r="N192" s="21">
        <v>472800</v>
      </c>
      <c r="O192" s="21">
        <v>438300</v>
      </c>
      <c r="P192" s="21">
        <v>523600</v>
      </c>
      <c r="Q192" s="21">
        <v>410600</v>
      </c>
      <c r="R192" s="21">
        <v>347400</v>
      </c>
      <c r="S192" s="21">
        <v>327400</v>
      </c>
      <c r="T192" s="21">
        <v>403100</v>
      </c>
      <c r="U192" s="21">
        <v>310100</v>
      </c>
      <c r="V192" s="21">
        <v>332000</v>
      </c>
      <c r="W192" s="21">
        <v>261900</v>
      </c>
      <c r="X192" s="21">
        <v>356400</v>
      </c>
      <c r="Y192" s="21">
        <v>301800</v>
      </c>
      <c r="Z192" s="21">
        <v>458700</v>
      </c>
      <c r="AA192" s="21">
        <v>499400</v>
      </c>
      <c r="AB192" s="21">
        <v>669900</v>
      </c>
      <c r="AC192" s="21">
        <v>534400</v>
      </c>
      <c r="AD192" s="21">
        <v>829300</v>
      </c>
      <c r="AE192" s="21">
        <v>481100</v>
      </c>
      <c r="AF192" s="21">
        <v>509900</v>
      </c>
      <c r="AG192" s="21">
        <v>768000</v>
      </c>
      <c r="AH192" s="21">
        <v>608000</v>
      </c>
      <c r="AI192" s="21">
        <v>1124400</v>
      </c>
      <c r="AJ192" s="21">
        <v>785000</v>
      </c>
      <c r="AK192" s="21">
        <v>653900</v>
      </c>
      <c r="AL192" s="21">
        <v>644200</v>
      </c>
      <c r="AM192" s="21">
        <v>808600</v>
      </c>
      <c r="AN192" s="21">
        <v>450900</v>
      </c>
      <c r="AO192" s="21">
        <v>346200</v>
      </c>
      <c r="AP192" s="21">
        <v>302100</v>
      </c>
      <c r="AQ192" s="21">
        <v>501700</v>
      </c>
      <c r="AR192" s="21">
        <v>406500</v>
      </c>
      <c r="AS192" s="21">
        <v>476100</v>
      </c>
      <c r="AT192" s="21">
        <v>574300</v>
      </c>
      <c r="AU192" s="21">
        <v>444500</v>
      </c>
      <c r="AV192" s="21">
        <v>569500</v>
      </c>
      <c r="AW192" s="21">
        <v>613900</v>
      </c>
      <c r="AX192" s="21">
        <v>499300</v>
      </c>
      <c r="AY192" s="21">
        <v>705800</v>
      </c>
      <c r="AZ192" s="21">
        <v>556600</v>
      </c>
      <c r="BA192" s="21">
        <v>466700</v>
      </c>
      <c r="BB192" s="21">
        <v>579000</v>
      </c>
      <c r="BC192" s="21">
        <v>1102400</v>
      </c>
      <c r="BD192" s="21">
        <v>2362900</v>
      </c>
      <c r="BE192" s="21">
        <v>908000</v>
      </c>
      <c r="BF192" s="21">
        <v>257900</v>
      </c>
      <c r="BG192" s="21">
        <v>218100</v>
      </c>
      <c r="BH192" s="21">
        <v>397700</v>
      </c>
      <c r="BI192" s="21">
        <v>437300</v>
      </c>
      <c r="BJ192" s="21">
        <v>586900</v>
      </c>
      <c r="BK192" s="21">
        <v>378800</v>
      </c>
      <c r="BL192" s="21">
        <v>233900</v>
      </c>
      <c r="BM192" s="1">
        <v>421000</v>
      </c>
      <c r="BN192" s="1">
        <v>476700</v>
      </c>
      <c r="BO192" s="1">
        <v>233900</v>
      </c>
      <c r="BP192" s="1">
        <v>244900</v>
      </c>
      <c r="BQ192" s="1">
        <v>380300</v>
      </c>
      <c r="BR192" s="1">
        <v>294800</v>
      </c>
      <c r="BS192" s="1">
        <v>236800</v>
      </c>
      <c r="BT192" s="1">
        <v>174500</v>
      </c>
      <c r="BU192" s="1">
        <v>151400</v>
      </c>
      <c r="BV192" s="1">
        <v>214900</v>
      </c>
      <c r="BW192" s="1">
        <v>255100</v>
      </c>
      <c r="BX192" s="1">
        <v>201200</v>
      </c>
      <c r="BY192" s="1">
        <v>182200</v>
      </c>
      <c r="BZ192" s="1">
        <v>307400</v>
      </c>
    </row>
    <row r="193" spans="1:78" ht="15.9" customHeight="1">
      <c r="A193" s="393" t="s">
        <v>378</v>
      </c>
      <c r="B193" s="46" t="s">
        <v>379</v>
      </c>
      <c r="C193" s="50">
        <f>_xll.RssMarket("5243","出来高")</f>
        <v>296700</v>
      </c>
      <c r="D193" s="16">
        <f t="shared" si="2"/>
        <v>-173500</v>
      </c>
      <c r="E193" s="21">
        <v>470200</v>
      </c>
      <c r="F193" s="21">
        <v>350200</v>
      </c>
      <c r="G193" s="21">
        <v>359800</v>
      </c>
      <c r="H193" s="21">
        <v>248900</v>
      </c>
      <c r="I193" s="21">
        <v>212000</v>
      </c>
      <c r="J193" s="21">
        <v>258700</v>
      </c>
      <c r="K193" s="21">
        <v>205900</v>
      </c>
      <c r="L193" s="21">
        <v>336600</v>
      </c>
      <c r="M193" s="21">
        <v>341100</v>
      </c>
      <c r="N193" s="21">
        <v>574800</v>
      </c>
      <c r="O193" s="21">
        <v>205200</v>
      </c>
      <c r="P193" s="21">
        <v>672300</v>
      </c>
      <c r="Q193" s="21">
        <v>238100</v>
      </c>
      <c r="R193" s="21">
        <v>335000</v>
      </c>
      <c r="S193" s="21">
        <v>492300</v>
      </c>
      <c r="T193" s="21">
        <v>1359900</v>
      </c>
      <c r="U193" s="21">
        <v>1512800</v>
      </c>
      <c r="V193" s="21">
        <v>3714200</v>
      </c>
      <c r="W193" s="21">
        <v>963000</v>
      </c>
      <c r="X193" s="21">
        <v>578100</v>
      </c>
      <c r="Y193" s="21">
        <v>389300</v>
      </c>
      <c r="Z193" s="21">
        <v>514100</v>
      </c>
      <c r="AA193" s="21">
        <v>249700</v>
      </c>
      <c r="AB193" s="21">
        <v>381100</v>
      </c>
      <c r="AC193" s="21">
        <v>259600</v>
      </c>
      <c r="AD193" s="21">
        <v>166900</v>
      </c>
      <c r="AE193" s="21">
        <v>109700</v>
      </c>
      <c r="AF193" s="21">
        <v>110100</v>
      </c>
      <c r="AG193" s="21">
        <v>138600</v>
      </c>
      <c r="AH193" s="21">
        <v>126800</v>
      </c>
      <c r="AI193" s="21">
        <v>271200</v>
      </c>
      <c r="AJ193" s="21">
        <v>310700</v>
      </c>
      <c r="AK193" s="21">
        <v>265800</v>
      </c>
      <c r="AL193" s="21">
        <v>191900</v>
      </c>
      <c r="AM193" s="21">
        <v>123000</v>
      </c>
      <c r="AN193" s="21">
        <v>117800</v>
      </c>
      <c r="AO193" s="21">
        <v>161700</v>
      </c>
      <c r="AP193" s="21">
        <v>273200</v>
      </c>
      <c r="AQ193" s="21">
        <v>271400</v>
      </c>
      <c r="AR193" s="21">
        <v>155500</v>
      </c>
      <c r="AS193" s="21">
        <v>311800</v>
      </c>
      <c r="AT193" s="21">
        <v>267200</v>
      </c>
      <c r="AU193" s="21">
        <v>542000</v>
      </c>
      <c r="AV193" s="21">
        <v>161500</v>
      </c>
      <c r="AW193" s="21">
        <v>184800</v>
      </c>
      <c r="AX193" s="21">
        <v>225800</v>
      </c>
      <c r="AY193" s="21">
        <v>152100</v>
      </c>
      <c r="AZ193" s="21">
        <v>137100</v>
      </c>
      <c r="BA193" s="21">
        <v>100400</v>
      </c>
      <c r="BB193" s="21">
        <v>128000</v>
      </c>
      <c r="BC193" s="21">
        <v>236400</v>
      </c>
      <c r="BD193" s="21">
        <v>151600</v>
      </c>
      <c r="BE193" s="21">
        <v>184600</v>
      </c>
      <c r="BF193" s="21">
        <v>276900</v>
      </c>
      <c r="BG193" s="21">
        <v>326900</v>
      </c>
      <c r="BH193" s="21">
        <v>413400</v>
      </c>
      <c r="BI193" s="21">
        <v>451000</v>
      </c>
      <c r="BJ193" s="21">
        <v>578500</v>
      </c>
      <c r="BK193" s="21">
        <v>427400</v>
      </c>
      <c r="BL193" s="21">
        <v>204000</v>
      </c>
      <c r="BM193" s="1">
        <v>217500</v>
      </c>
      <c r="BN193" s="1">
        <v>603000</v>
      </c>
      <c r="BO193" s="1">
        <v>900400</v>
      </c>
      <c r="BP193" s="1">
        <v>630200</v>
      </c>
      <c r="BQ193" s="1">
        <v>1607600</v>
      </c>
      <c r="BR193" s="1">
        <v>2203100</v>
      </c>
      <c r="BS193" s="1">
        <v>1699200</v>
      </c>
      <c r="BT193" s="1">
        <v>1218500</v>
      </c>
      <c r="BU193" s="1">
        <v>1295500</v>
      </c>
      <c r="BV193" s="1">
        <v>4575800</v>
      </c>
      <c r="BW193" s="1">
        <v>6309500</v>
      </c>
      <c r="BX193" s="1">
        <v>1048400</v>
      </c>
      <c r="BY193" s="1">
        <v>671500</v>
      </c>
      <c r="BZ193" s="1">
        <v>275600</v>
      </c>
    </row>
    <row r="194" spans="1:78" ht="15.9" customHeight="1">
      <c r="A194" s="393" t="s">
        <v>380</v>
      </c>
      <c r="B194" s="46" t="s">
        <v>381</v>
      </c>
      <c r="C194" s="50">
        <f>_xll.RssMarket("2702","出来高")</f>
        <v>247000</v>
      </c>
      <c r="D194" s="16">
        <f t="shared" si="2"/>
        <v>-168700</v>
      </c>
      <c r="E194" s="21">
        <v>415700</v>
      </c>
      <c r="F194" s="21">
        <v>702200</v>
      </c>
      <c r="G194" s="21">
        <v>872500</v>
      </c>
      <c r="H194" s="21">
        <v>793200</v>
      </c>
      <c r="I194" s="21">
        <v>1084000</v>
      </c>
      <c r="J194" s="21">
        <v>554300</v>
      </c>
      <c r="K194" s="21">
        <v>402600</v>
      </c>
      <c r="L194" s="21"/>
      <c r="M194" s="21">
        <v>463800</v>
      </c>
      <c r="N194" s="21">
        <v>539600</v>
      </c>
      <c r="O194" s="21">
        <v>563000</v>
      </c>
      <c r="P194" s="21">
        <v>509600</v>
      </c>
      <c r="Q194" s="21">
        <v>570700</v>
      </c>
      <c r="R194" s="21">
        <v>465400</v>
      </c>
      <c r="S194" s="21">
        <v>314100</v>
      </c>
      <c r="T194" s="21">
        <v>597000</v>
      </c>
      <c r="U194" s="21">
        <v>765200</v>
      </c>
      <c r="V194" s="21">
        <v>575300</v>
      </c>
      <c r="W194" s="21">
        <v>413500</v>
      </c>
      <c r="X194" s="21">
        <v>429400</v>
      </c>
      <c r="Y194" s="21">
        <v>755800</v>
      </c>
      <c r="Z194" s="21">
        <v>564200</v>
      </c>
      <c r="AA194" s="21">
        <v>687100</v>
      </c>
      <c r="AB194" s="21">
        <v>1094400</v>
      </c>
      <c r="AC194" s="21">
        <v>2078300</v>
      </c>
      <c r="AD194" s="21">
        <v>3176800</v>
      </c>
      <c r="AE194" s="21">
        <v>1087200</v>
      </c>
      <c r="AF194" s="21">
        <v>764500</v>
      </c>
      <c r="AG194" s="21">
        <v>785400</v>
      </c>
      <c r="AH194" s="21">
        <v>1422500</v>
      </c>
      <c r="AI194" s="21">
        <v>930400</v>
      </c>
      <c r="AJ194" s="21">
        <v>1437200</v>
      </c>
      <c r="AK194" s="21">
        <v>918600</v>
      </c>
      <c r="AL194" s="21">
        <v>885900</v>
      </c>
      <c r="AM194" s="21">
        <v>904300</v>
      </c>
      <c r="AN194" s="21">
        <v>802100</v>
      </c>
      <c r="AO194" s="21">
        <v>911200</v>
      </c>
      <c r="AP194" s="21">
        <v>728200</v>
      </c>
      <c r="AQ194" s="21">
        <v>834300</v>
      </c>
      <c r="AR194" s="21">
        <v>690000</v>
      </c>
      <c r="AS194" s="21">
        <v>1102300</v>
      </c>
      <c r="AT194" s="21">
        <v>717800</v>
      </c>
      <c r="AU194" s="21">
        <v>729600</v>
      </c>
      <c r="AV194" s="21">
        <v>871200</v>
      </c>
      <c r="AW194" s="21">
        <v>631800</v>
      </c>
      <c r="AX194" s="21">
        <v>823900</v>
      </c>
      <c r="AY194" s="21">
        <v>397000</v>
      </c>
      <c r="AZ194" s="21">
        <v>251900</v>
      </c>
      <c r="BA194" s="21">
        <v>452000</v>
      </c>
      <c r="BB194" s="21">
        <v>428000</v>
      </c>
      <c r="BC194" s="21">
        <v>659000</v>
      </c>
      <c r="BD194" s="21">
        <v>634500</v>
      </c>
      <c r="BE194" s="21">
        <v>488500</v>
      </c>
      <c r="BF194" s="21">
        <v>654800</v>
      </c>
      <c r="BG194" s="21">
        <v>1395700</v>
      </c>
      <c r="BH194" s="21">
        <v>651200</v>
      </c>
      <c r="BI194" s="21">
        <v>511900</v>
      </c>
      <c r="BJ194" s="21">
        <v>440800</v>
      </c>
      <c r="BK194" s="21">
        <v>543800</v>
      </c>
      <c r="BL194" s="21">
        <v>216300</v>
      </c>
      <c r="BM194" s="1">
        <v>290300</v>
      </c>
      <c r="BN194" s="1">
        <v>231200</v>
      </c>
      <c r="BO194" s="1">
        <v>335200</v>
      </c>
      <c r="BP194" s="1">
        <v>270000</v>
      </c>
      <c r="BQ194" s="1">
        <v>371900</v>
      </c>
      <c r="BR194" s="1">
        <v>345700</v>
      </c>
      <c r="BS194" s="1">
        <v>279400</v>
      </c>
      <c r="BT194" s="1">
        <v>314800</v>
      </c>
      <c r="BU194" s="1">
        <v>295200</v>
      </c>
      <c r="BV194" s="1">
        <v>380700</v>
      </c>
      <c r="BW194" s="1">
        <v>438700</v>
      </c>
      <c r="BX194" s="1">
        <v>456400</v>
      </c>
      <c r="BY194" s="1">
        <v>702100</v>
      </c>
      <c r="BZ194" s="1">
        <v>621500</v>
      </c>
    </row>
    <row r="195" spans="1:78" ht="15.9" customHeight="1">
      <c r="A195" s="393" t="s">
        <v>382</v>
      </c>
      <c r="B195" s="46" t="s">
        <v>383</v>
      </c>
      <c r="C195" s="50">
        <f>_xll.RssMarket("6890","出来高")</f>
        <v>1182300</v>
      </c>
      <c r="D195" s="16">
        <f t="shared" si="2"/>
        <v>-342800</v>
      </c>
      <c r="E195" s="21">
        <v>1525100</v>
      </c>
      <c r="F195" s="21">
        <v>1390800</v>
      </c>
      <c r="G195" s="21">
        <v>2559700</v>
      </c>
      <c r="H195" s="21">
        <v>2181100</v>
      </c>
      <c r="I195" s="21">
        <v>2268500</v>
      </c>
      <c r="J195" s="21">
        <v>3225500</v>
      </c>
      <c r="K195" s="21">
        <v>2229100</v>
      </c>
      <c r="L195" s="21">
        <v>6071000</v>
      </c>
      <c r="M195" s="21">
        <v>147700</v>
      </c>
      <c r="N195" s="21">
        <v>1232800</v>
      </c>
      <c r="O195" s="21">
        <v>956400</v>
      </c>
      <c r="P195" s="21">
        <v>2565400</v>
      </c>
      <c r="Q195" s="21">
        <v>891300</v>
      </c>
      <c r="R195" s="21">
        <v>1807800</v>
      </c>
      <c r="S195" s="21">
        <v>938400</v>
      </c>
      <c r="T195" s="21">
        <v>1429500</v>
      </c>
      <c r="U195" s="21">
        <v>550200</v>
      </c>
      <c r="V195" s="21">
        <v>754200</v>
      </c>
      <c r="W195" s="21">
        <v>914600</v>
      </c>
      <c r="X195" s="21">
        <v>1003900</v>
      </c>
      <c r="Y195" s="21">
        <v>1253400</v>
      </c>
      <c r="Z195" s="21">
        <v>1055200</v>
      </c>
      <c r="AA195" s="21">
        <v>1095900</v>
      </c>
      <c r="AB195" s="21">
        <v>988500</v>
      </c>
      <c r="AC195" s="21">
        <v>1195500</v>
      </c>
      <c r="AD195" s="21">
        <v>1658700</v>
      </c>
      <c r="AE195" s="21">
        <v>954300</v>
      </c>
      <c r="AF195" s="21">
        <v>1423900</v>
      </c>
      <c r="AG195" s="21">
        <v>1074700</v>
      </c>
      <c r="AH195" s="21">
        <v>1397000</v>
      </c>
      <c r="AI195" s="21">
        <v>1282100</v>
      </c>
      <c r="AJ195" s="21">
        <v>1223800</v>
      </c>
      <c r="AK195" s="21">
        <v>602200</v>
      </c>
      <c r="AL195" s="21">
        <v>763200</v>
      </c>
      <c r="AM195" s="21">
        <v>1152400</v>
      </c>
      <c r="AN195" s="21">
        <v>1510700</v>
      </c>
      <c r="AO195" s="21">
        <v>606400</v>
      </c>
      <c r="AP195" s="21">
        <v>695300</v>
      </c>
      <c r="AQ195" s="21">
        <v>904700</v>
      </c>
      <c r="AR195" s="21">
        <v>1039600</v>
      </c>
      <c r="AS195" s="21">
        <v>1696400</v>
      </c>
      <c r="AT195" s="21">
        <v>898800</v>
      </c>
      <c r="AU195" s="21">
        <v>928100</v>
      </c>
      <c r="AV195" s="21">
        <v>1403300</v>
      </c>
      <c r="AW195" s="21">
        <v>531000</v>
      </c>
      <c r="AX195" s="21">
        <v>754500</v>
      </c>
      <c r="AY195" s="21">
        <v>801300</v>
      </c>
      <c r="AZ195" s="21">
        <v>624500</v>
      </c>
      <c r="BA195" s="21">
        <v>948500</v>
      </c>
      <c r="BB195" s="21">
        <v>1491400</v>
      </c>
      <c r="BC195" s="21">
        <v>1181700</v>
      </c>
      <c r="BD195" s="21">
        <v>1612500</v>
      </c>
      <c r="BE195" s="21">
        <v>2302900</v>
      </c>
      <c r="BF195" s="21">
        <v>1927400</v>
      </c>
      <c r="BG195" s="21">
        <v>1176400</v>
      </c>
      <c r="BH195" s="21">
        <v>1740400</v>
      </c>
      <c r="BI195" s="21">
        <v>1518500</v>
      </c>
      <c r="BJ195" s="21">
        <v>1752700</v>
      </c>
      <c r="BK195" s="21">
        <v>2695000</v>
      </c>
      <c r="BL195" s="21">
        <v>1432200</v>
      </c>
      <c r="BM195" s="1">
        <v>1190300</v>
      </c>
      <c r="BN195" s="1">
        <v>1868500</v>
      </c>
      <c r="BO195" s="1">
        <v>804100</v>
      </c>
      <c r="BP195" s="1">
        <v>1001900</v>
      </c>
      <c r="BQ195" s="1">
        <v>1490700</v>
      </c>
      <c r="BR195" s="1">
        <v>681900</v>
      </c>
      <c r="BS195" s="1">
        <v>631600</v>
      </c>
      <c r="BT195" s="1">
        <v>471800</v>
      </c>
      <c r="BU195" s="1">
        <v>483900</v>
      </c>
      <c r="BV195" s="1">
        <v>525100</v>
      </c>
      <c r="BW195" s="1">
        <v>843600</v>
      </c>
      <c r="BX195" s="1">
        <v>455000</v>
      </c>
      <c r="BY195" s="1">
        <v>509600</v>
      </c>
      <c r="BZ195" s="1">
        <v>638500</v>
      </c>
    </row>
    <row r="196" spans="1:78" ht="15.9" customHeight="1">
      <c r="A196" s="393" t="s">
        <v>384</v>
      </c>
      <c r="B196" s="46" t="s">
        <v>385</v>
      </c>
      <c r="C196" s="50">
        <f>_xll.RssMarket("4966","出来高")</f>
        <v>47900</v>
      </c>
      <c r="D196" s="16">
        <f t="shared" si="2"/>
        <v>-39300</v>
      </c>
      <c r="E196" s="21">
        <v>87200</v>
      </c>
      <c r="F196" s="21">
        <v>85400</v>
      </c>
      <c r="G196" s="21">
        <v>136200</v>
      </c>
      <c r="H196" s="21">
        <v>81400</v>
      </c>
      <c r="I196" s="21">
        <v>168900</v>
      </c>
      <c r="J196" s="21">
        <v>108100</v>
      </c>
      <c r="K196" s="21">
        <v>87300</v>
      </c>
      <c r="L196" s="21">
        <v>103700</v>
      </c>
      <c r="M196" s="21">
        <v>38100</v>
      </c>
      <c r="N196" s="21">
        <v>44300</v>
      </c>
      <c r="O196" s="21">
        <v>84900</v>
      </c>
      <c r="P196" s="21">
        <v>113100</v>
      </c>
      <c r="Q196" s="21">
        <v>56800</v>
      </c>
      <c r="R196" s="21">
        <v>68100</v>
      </c>
      <c r="S196" s="21">
        <v>53900</v>
      </c>
      <c r="T196" s="21">
        <v>54000</v>
      </c>
      <c r="U196" s="21">
        <v>45500</v>
      </c>
      <c r="V196" s="21">
        <v>89000</v>
      </c>
      <c r="W196" s="21">
        <v>126600</v>
      </c>
      <c r="X196" s="21">
        <v>94200</v>
      </c>
      <c r="Y196" s="21">
        <v>44500</v>
      </c>
      <c r="Z196" s="21">
        <v>126000</v>
      </c>
      <c r="AA196" s="21">
        <v>26500</v>
      </c>
      <c r="AB196" s="21">
        <v>40400</v>
      </c>
      <c r="AC196" s="21">
        <v>80000</v>
      </c>
      <c r="AD196" s="21">
        <v>45300</v>
      </c>
      <c r="AE196" s="21">
        <v>39600</v>
      </c>
      <c r="AF196" s="21">
        <v>34400</v>
      </c>
      <c r="AG196" s="21">
        <v>41600</v>
      </c>
      <c r="AH196" s="21">
        <v>67900</v>
      </c>
      <c r="AI196" s="21">
        <v>67200</v>
      </c>
      <c r="AJ196" s="21">
        <v>55800</v>
      </c>
      <c r="AK196" s="21">
        <v>32600</v>
      </c>
      <c r="AL196" s="21">
        <v>48800</v>
      </c>
      <c r="AM196" s="21">
        <v>58200</v>
      </c>
      <c r="AN196" s="21">
        <v>47300</v>
      </c>
      <c r="AO196" s="21">
        <v>46000</v>
      </c>
      <c r="AP196" s="21">
        <v>38600</v>
      </c>
      <c r="AQ196" s="21">
        <v>98300</v>
      </c>
      <c r="AR196" s="21">
        <v>27700</v>
      </c>
      <c r="AS196" s="21">
        <v>31200</v>
      </c>
      <c r="AT196" s="21">
        <v>42300</v>
      </c>
      <c r="AU196" s="21">
        <v>62200</v>
      </c>
      <c r="AV196" s="21">
        <v>54600</v>
      </c>
      <c r="AW196" s="21">
        <v>30200</v>
      </c>
      <c r="AX196" s="21">
        <v>28300</v>
      </c>
      <c r="AY196" s="21">
        <v>47000</v>
      </c>
      <c r="AZ196" s="21">
        <v>43100</v>
      </c>
      <c r="BA196" s="21">
        <v>40500</v>
      </c>
      <c r="BB196" s="21">
        <v>73300</v>
      </c>
      <c r="BC196" s="21">
        <v>70000</v>
      </c>
      <c r="BD196" s="21">
        <v>46200</v>
      </c>
      <c r="BE196" s="21">
        <v>73700</v>
      </c>
      <c r="BF196" s="21">
        <v>60700</v>
      </c>
      <c r="BG196" s="21">
        <v>166000</v>
      </c>
      <c r="BH196" s="21">
        <v>81100</v>
      </c>
      <c r="BI196" s="21">
        <v>42100</v>
      </c>
      <c r="BJ196" s="21">
        <v>52800</v>
      </c>
      <c r="BK196" s="21">
        <v>103000</v>
      </c>
      <c r="BL196" s="21">
        <v>54300</v>
      </c>
      <c r="BM196" s="1">
        <v>48800</v>
      </c>
      <c r="BN196" s="1">
        <v>31100</v>
      </c>
      <c r="BO196" s="1">
        <v>51000</v>
      </c>
      <c r="BP196" s="1">
        <v>49400</v>
      </c>
      <c r="BQ196" s="1">
        <v>39400</v>
      </c>
      <c r="BR196" s="1">
        <v>51600</v>
      </c>
      <c r="BS196" s="1">
        <v>48700</v>
      </c>
      <c r="BT196" s="1">
        <v>51500</v>
      </c>
      <c r="BU196" s="1">
        <v>61500</v>
      </c>
      <c r="BV196" s="1">
        <v>48900</v>
      </c>
      <c r="BW196" s="1">
        <v>47800</v>
      </c>
      <c r="BX196" s="1">
        <v>57800</v>
      </c>
      <c r="BY196" s="1">
        <v>36300</v>
      </c>
      <c r="BZ196" s="1">
        <v>50600</v>
      </c>
    </row>
    <row r="197" spans="1:78" ht="15.9" customHeight="1">
      <c r="A197" s="393" t="s">
        <v>386</v>
      </c>
      <c r="B197" s="46" t="s">
        <v>387</v>
      </c>
      <c r="C197" s="50">
        <f>_xll.RssMarket("6146","出来高")</f>
        <v>1155400</v>
      </c>
      <c r="D197" s="16">
        <f t="shared" si="2"/>
        <v>-563600</v>
      </c>
      <c r="E197" s="21">
        <v>1719000</v>
      </c>
      <c r="F197" s="21">
        <v>2512700</v>
      </c>
      <c r="G197" s="21">
        <v>4260400</v>
      </c>
      <c r="H197" s="21">
        <v>2480800</v>
      </c>
      <c r="I197" s="21">
        <v>2650500</v>
      </c>
      <c r="J197" s="21">
        <v>2110800</v>
      </c>
      <c r="K197" s="21">
        <v>1849700</v>
      </c>
      <c r="L197" s="21">
        <v>4862000</v>
      </c>
      <c r="M197" s="21">
        <v>1869000</v>
      </c>
      <c r="N197" s="21">
        <v>2309800</v>
      </c>
      <c r="O197" s="21">
        <v>1686400</v>
      </c>
      <c r="P197" s="21">
        <v>1766400</v>
      </c>
      <c r="Q197" s="21">
        <v>1136100</v>
      </c>
      <c r="R197" s="21">
        <v>1109100</v>
      </c>
      <c r="S197" s="21">
        <v>1183300</v>
      </c>
      <c r="T197" s="21">
        <v>1346000</v>
      </c>
      <c r="U197" s="21">
        <v>1420100</v>
      </c>
      <c r="V197" s="21">
        <v>1732600</v>
      </c>
      <c r="W197" s="21">
        <v>1745600</v>
      </c>
      <c r="X197" s="21">
        <v>1409400</v>
      </c>
      <c r="Y197" s="21">
        <v>1572400</v>
      </c>
      <c r="Z197" s="21">
        <v>1368500</v>
      </c>
      <c r="AA197" s="21">
        <v>1755600</v>
      </c>
      <c r="AB197" s="21">
        <v>1308100</v>
      </c>
      <c r="AC197" s="21">
        <v>1142500</v>
      </c>
      <c r="AD197" s="21">
        <v>1648500</v>
      </c>
      <c r="AE197" s="21">
        <v>1774600</v>
      </c>
      <c r="AF197" s="21">
        <v>1804400</v>
      </c>
      <c r="AG197" s="21">
        <v>1904200</v>
      </c>
      <c r="AH197" s="21">
        <v>1334300</v>
      </c>
      <c r="AI197" s="21">
        <v>2064700</v>
      </c>
      <c r="AJ197" s="21">
        <v>1984800</v>
      </c>
      <c r="AK197" s="21">
        <v>2169600</v>
      </c>
      <c r="AL197" s="21">
        <v>2029000</v>
      </c>
      <c r="AM197" s="21">
        <v>4361400</v>
      </c>
      <c r="AN197" s="21">
        <v>3648100</v>
      </c>
      <c r="AO197" s="21">
        <v>1639000</v>
      </c>
      <c r="AP197" s="21">
        <v>1496600</v>
      </c>
      <c r="AQ197" s="21">
        <v>1918000</v>
      </c>
      <c r="AR197" s="21">
        <v>2016700</v>
      </c>
      <c r="AS197" s="21">
        <v>2278300</v>
      </c>
      <c r="AT197" s="21">
        <v>1693800</v>
      </c>
      <c r="AU197" s="21">
        <v>1625200</v>
      </c>
      <c r="AV197" s="21">
        <v>2123100</v>
      </c>
      <c r="AW197" s="21">
        <v>1452600</v>
      </c>
      <c r="AX197" s="21">
        <v>1531900</v>
      </c>
      <c r="AY197" s="21">
        <v>1374100</v>
      </c>
      <c r="AZ197" s="21">
        <v>1537500</v>
      </c>
      <c r="BA197" s="21">
        <v>2084200</v>
      </c>
      <c r="BB197" s="21">
        <v>1743500</v>
      </c>
      <c r="BC197" s="21">
        <v>1517000</v>
      </c>
      <c r="BD197" s="21">
        <v>2108200</v>
      </c>
      <c r="BE197" s="21">
        <v>2544600</v>
      </c>
      <c r="BF197" s="21">
        <v>1714400</v>
      </c>
      <c r="BG197" s="21">
        <v>1272800</v>
      </c>
      <c r="BH197" s="21">
        <v>1262500</v>
      </c>
      <c r="BI197" s="21">
        <v>1577900</v>
      </c>
      <c r="BJ197" s="21">
        <v>1519200</v>
      </c>
      <c r="BK197" s="21">
        <v>2502700</v>
      </c>
      <c r="BL197" s="21">
        <v>1636400</v>
      </c>
      <c r="BM197" s="1">
        <v>2488500</v>
      </c>
      <c r="BN197" s="1">
        <v>2920700</v>
      </c>
      <c r="BO197" s="1">
        <v>3125800</v>
      </c>
      <c r="BP197" s="1">
        <v>2782200</v>
      </c>
      <c r="BQ197" s="1">
        <v>4570700</v>
      </c>
      <c r="BR197" s="1">
        <v>2794300</v>
      </c>
      <c r="BS197" s="1">
        <v>1848000</v>
      </c>
      <c r="BT197" s="1">
        <v>2600200</v>
      </c>
      <c r="BU197" s="1">
        <v>1807100</v>
      </c>
      <c r="BV197" s="1">
        <v>2319700</v>
      </c>
      <c r="BW197" s="1">
        <v>2433000</v>
      </c>
      <c r="BX197" s="1">
        <v>2425900</v>
      </c>
      <c r="BY197" s="1">
        <v>1526300</v>
      </c>
      <c r="BZ197" s="1">
        <v>2150100</v>
      </c>
    </row>
    <row r="198" spans="1:78" ht="15.9" customHeight="1">
      <c r="A198" s="393" t="s">
        <v>388</v>
      </c>
      <c r="B198" s="46" t="s">
        <v>389</v>
      </c>
      <c r="C198" s="50">
        <f>_xll.RssMarket("8035","出来高")</f>
        <v>2442300</v>
      </c>
      <c r="D198" s="16">
        <f t="shared" ref="D198:D261" si="3">C198-E198</f>
        <v>-1334900</v>
      </c>
      <c r="E198" s="21">
        <v>3777200</v>
      </c>
      <c r="F198" s="21">
        <v>4585200</v>
      </c>
      <c r="G198" s="21">
        <v>14096600</v>
      </c>
      <c r="H198" s="21">
        <v>6356300</v>
      </c>
      <c r="I198" s="21">
        <v>7362500</v>
      </c>
      <c r="J198" s="21">
        <v>4363800</v>
      </c>
      <c r="K198" s="21">
        <v>2720800</v>
      </c>
      <c r="L198" s="21">
        <v>3871900</v>
      </c>
      <c r="M198" s="21">
        <v>3554800</v>
      </c>
      <c r="N198" s="21">
        <v>4060500</v>
      </c>
      <c r="O198" s="21">
        <v>3621900</v>
      </c>
      <c r="P198" s="21">
        <v>6335500</v>
      </c>
      <c r="Q198" s="21">
        <v>3909100</v>
      </c>
      <c r="R198" s="21">
        <v>4029300</v>
      </c>
      <c r="S198" s="21">
        <v>3645000</v>
      </c>
      <c r="T198" s="21">
        <v>3910500</v>
      </c>
      <c r="U198" s="21">
        <v>3695600</v>
      </c>
      <c r="V198" s="21">
        <v>4276100</v>
      </c>
      <c r="W198" s="21">
        <v>3890000</v>
      </c>
      <c r="X198" s="21">
        <v>2846600</v>
      </c>
      <c r="Y198" s="21">
        <v>4678700</v>
      </c>
      <c r="Z198" s="21">
        <v>4530000</v>
      </c>
      <c r="AA198" s="21">
        <v>5596400</v>
      </c>
      <c r="AB198" s="21">
        <v>5168500</v>
      </c>
      <c r="AC198" s="21">
        <v>4216000</v>
      </c>
      <c r="AD198" s="21">
        <v>4533200</v>
      </c>
      <c r="AE198" s="21">
        <v>4988300</v>
      </c>
      <c r="AF198" s="21">
        <v>5275300</v>
      </c>
      <c r="AG198" s="21">
        <v>4737500</v>
      </c>
      <c r="AH198" s="21">
        <v>3105600</v>
      </c>
      <c r="AI198" s="21">
        <v>6107100</v>
      </c>
      <c r="AJ198" s="21">
        <v>5806900</v>
      </c>
      <c r="AK198" s="21">
        <v>4608500</v>
      </c>
      <c r="AL198" s="21">
        <v>4828900</v>
      </c>
      <c r="AM198" s="21">
        <v>4611000</v>
      </c>
      <c r="AN198" s="21">
        <v>7102200</v>
      </c>
      <c r="AO198" s="21">
        <v>5585800</v>
      </c>
      <c r="AP198" s="21">
        <v>7924500</v>
      </c>
      <c r="AQ198" s="21">
        <v>3961100</v>
      </c>
      <c r="AR198" s="21">
        <v>4460100</v>
      </c>
      <c r="AS198" s="21">
        <v>4805100</v>
      </c>
      <c r="AT198" s="21">
        <v>5433400</v>
      </c>
      <c r="AU198" s="21">
        <v>2681900</v>
      </c>
      <c r="AV198" s="21">
        <v>3555800</v>
      </c>
      <c r="AW198" s="21">
        <v>3146300</v>
      </c>
      <c r="AX198" s="21">
        <v>3857400</v>
      </c>
      <c r="AY198" s="21">
        <v>2671900</v>
      </c>
      <c r="AZ198" s="21">
        <v>2776900</v>
      </c>
      <c r="BA198" s="21">
        <v>2745800</v>
      </c>
      <c r="BB198" s="21">
        <v>3042100</v>
      </c>
      <c r="BC198" s="21">
        <v>2645700</v>
      </c>
      <c r="BD198" s="21">
        <v>2434000</v>
      </c>
      <c r="BE198" s="21">
        <v>2986000</v>
      </c>
      <c r="BF198" s="21">
        <v>2051400</v>
      </c>
      <c r="BG198" s="21">
        <v>2301000</v>
      </c>
      <c r="BH198" s="21">
        <v>1931800</v>
      </c>
      <c r="BI198" s="21">
        <v>2998700</v>
      </c>
      <c r="BJ198" s="21">
        <v>3644900</v>
      </c>
      <c r="BK198" s="21">
        <v>4695700</v>
      </c>
      <c r="BL198" s="21">
        <v>5915900</v>
      </c>
      <c r="BM198" s="1">
        <v>4081000</v>
      </c>
      <c r="BN198" s="1">
        <v>3291600</v>
      </c>
      <c r="BO198" s="1">
        <v>3605000</v>
      </c>
      <c r="BP198" s="1">
        <v>2312400</v>
      </c>
      <c r="BQ198" s="1">
        <v>2968500</v>
      </c>
      <c r="BR198" s="1">
        <v>2047100</v>
      </c>
      <c r="BS198" s="1">
        <v>3182100</v>
      </c>
      <c r="BT198" s="1">
        <v>2017800</v>
      </c>
      <c r="BU198" s="1">
        <v>2974800</v>
      </c>
      <c r="BV198" s="1">
        <v>4808800</v>
      </c>
      <c r="BW198" s="1">
        <v>3635500</v>
      </c>
      <c r="BX198" s="1">
        <v>3521700</v>
      </c>
      <c r="BY198" s="1">
        <v>3255000</v>
      </c>
      <c r="BZ198" s="1">
        <v>4086200</v>
      </c>
    </row>
    <row r="199" spans="1:78" ht="15.9" customHeight="1">
      <c r="A199" s="393" t="s">
        <v>390</v>
      </c>
      <c r="B199" s="46" t="s">
        <v>391</v>
      </c>
      <c r="C199" s="50">
        <f>_xll.RssMarket("6920","出来高")</f>
        <v>3233800</v>
      </c>
      <c r="D199" s="16">
        <f t="shared" si="3"/>
        <v>-595800</v>
      </c>
      <c r="E199" s="21">
        <v>3829600</v>
      </c>
      <c r="F199" s="21">
        <v>4519100</v>
      </c>
      <c r="G199" s="21">
        <v>6540800</v>
      </c>
      <c r="H199" s="21">
        <v>3153200</v>
      </c>
      <c r="I199" s="21">
        <v>3890100</v>
      </c>
      <c r="J199" s="21">
        <v>3252000</v>
      </c>
      <c r="K199" s="21">
        <v>2325700</v>
      </c>
      <c r="L199" s="21">
        <v>2812600</v>
      </c>
      <c r="M199" s="21">
        <v>3640900</v>
      </c>
      <c r="N199" s="21">
        <v>3179700</v>
      </c>
      <c r="O199" s="21">
        <v>3355800</v>
      </c>
      <c r="P199" s="21">
        <v>5093900</v>
      </c>
      <c r="Q199" s="21">
        <v>7100400</v>
      </c>
      <c r="R199" s="21">
        <v>2991800</v>
      </c>
      <c r="S199" s="21">
        <v>4618300</v>
      </c>
      <c r="T199" s="21">
        <v>2422000</v>
      </c>
      <c r="U199" s="21">
        <v>2680700</v>
      </c>
      <c r="V199" s="21">
        <v>2887000</v>
      </c>
      <c r="W199" s="21">
        <v>3011600</v>
      </c>
      <c r="X199" s="21">
        <v>2133900</v>
      </c>
      <c r="Y199" s="21">
        <v>2970300</v>
      </c>
      <c r="Z199" s="21">
        <v>2350700</v>
      </c>
      <c r="AA199" s="21">
        <v>3058300</v>
      </c>
      <c r="AB199" s="21">
        <v>2473000</v>
      </c>
      <c r="AC199" s="21">
        <v>2747100</v>
      </c>
      <c r="AD199" s="21">
        <v>2794300</v>
      </c>
      <c r="AE199" s="21">
        <v>3644400</v>
      </c>
      <c r="AF199" s="21">
        <v>3819200</v>
      </c>
      <c r="AG199" s="21">
        <v>4136800</v>
      </c>
      <c r="AH199" s="21">
        <v>3638300</v>
      </c>
      <c r="AI199" s="21">
        <v>5372300</v>
      </c>
      <c r="AJ199" s="21">
        <v>7836200</v>
      </c>
      <c r="AK199" s="21">
        <v>7716500</v>
      </c>
      <c r="AL199" s="21">
        <v>3085500</v>
      </c>
      <c r="AM199" s="21">
        <v>4483200</v>
      </c>
      <c r="AN199" s="21">
        <v>3785800</v>
      </c>
      <c r="AO199" s="21">
        <v>2648100</v>
      </c>
      <c r="AP199" s="21">
        <v>3439100</v>
      </c>
      <c r="AQ199" s="21">
        <v>2353600</v>
      </c>
      <c r="AR199" s="21">
        <v>2495600</v>
      </c>
      <c r="AS199" s="21">
        <v>2772700</v>
      </c>
      <c r="AT199" s="21">
        <v>3365400</v>
      </c>
      <c r="AU199" s="21">
        <v>2388900</v>
      </c>
      <c r="AV199" s="21">
        <v>2244300</v>
      </c>
      <c r="AW199" s="21">
        <v>2900200</v>
      </c>
      <c r="AX199" s="21">
        <v>3055900</v>
      </c>
      <c r="AY199" s="21">
        <v>4173500</v>
      </c>
      <c r="AZ199" s="21">
        <v>2685100</v>
      </c>
      <c r="BA199" s="21">
        <v>3426700</v>
      </c>
      <c r="BB199" s="21">
        <v>3099400</v>
      </c>
      <c r="BC199" s="21">
        <v>2762200</v>
      </c>
      <c r="BD199" s="21">
        <v>3128200</v>
      </c>
      <c r="BE199" s="21">
        <v>3328000</v>
      </c>
      <c r="BF199" s="21">
        <v>3049700</v>
      </c>
      <c r="BG199" s="21">
        <v>2977300</v>
      </c>
      <c r="BH199" s="21">
        <v>3176900</v>
      </c>
      <c r="BI199" s="21">
        <v>3933100</v>
      </c>
      <c r="BJ199" s="21">
        <v>3810400</v>
      </c>
      <c r="BK199" s="21">
        <v>5720200</v>
      </c>
      <c r="BL199" s="21">
        <v>7701500</v>
      </c>
      <c r="BM199" s="1">
        <v>3092200</v>
      </c>
      <c r="BN199" s="1">
        <v>3858100</v>
      </c>
      <c r="BO199" s="1">
        <v>4078300</v>
      </c>
      <c r="BP199" s="1">
        <v>4801300</v>
      </c>
      <c r="BQ199" s="1">
        <v>5153500</v>
      </c>
      <c r="BR199" s="1">
        <v>4291700</v>
      </c>
      <c r="BS199" s="1">
        <v>3987500</v>
      </c>
      <c r="BT199" s="1">
        <v>3647800</v>
      </c>
      <c r="BU199" s="1">
        <v>3765300</v>
      </c>
      <c r="BV199" s="1">
        <v>5658900</v>
      </c>
      <c r="BW199" s="1">
        <v>9334600</v>
      </c>
      <c r="BX199" s="1">
        <v>4931100</v>
      </c>
      <c r="BY199" s="1">
        <v>3913200</v>
      </c>
      <c r="BZ199" s="1">
        <v>6074300</v>
      </c>
    </row>
    <row r="200" spans="1:78" ht="15.9" customHeight="1">
      <c r="A200" s="393" t="s">
        <v>392</v>
      </c>
      <c r="B200" s="46" t="s">
        <v>393</v>
      </c>
      <c r="C200" s="50">
        <f>_xll.RssMarket("5801","出来高")</f>
        <v>23086900</v>
      </c>
      <c r="D200" s="16">
        <f t="shared" si="3"/>
        <v>-7172300</v>
      </c>
      <c r="E200" s="21">
        <v>30259200</v>
      </c>
      <c r="F200" s="21">
        <v>15709100</v>
      </c>
      <c r="G200" s="21">
        <v>39342900</v>
      </c>
      <c r="H200" s="21">
        <v>16868300</v>
      </c>
      <c r="I200" s="21">
        <v>22152000</v>
      </c>
      <c r="J200" s="21">
        <v>19009200</v>
      </c>
      <c r="K200" s="21">
        <v>10701100</v>
      </c>
      <c r="L200" s="21">
        <v>10763100</v>
      </c>
      <c r="M200" s="21">
        <v>10401200</v>
      </c>
      <c r="N200" s="21">
        <v>17372500</v>
      </c>
      <c r="O200" s="21">
        <v>15270000</v>
      </c>
      <c r="P200" s="21">
        <v>23584700</v>
      </c>
      <c r="Q200" s="21">
        <v>16573600</v>
      </c>
      <c r="R200" s="21">
        <v>20118000</v>
      </c>
      <c r="S200" s="21">
        <v>16349600</v>
      </c>
      <c r="T200" s="21">
        <v>16901100</v>
      </c>
      <c r="U200" s="21">
        <v>15748900</v>
      </c>
      <c r="V200" s="21">
        <v>19410900</v>
      </c>
      <c r="W200" s="21">
        <v>15860500</v>
      </c>
      <c r="X200" s="21">
        <v>18637000</v>
      </c>
      <c r="Y200" s="21">
        <v>23593000</v>
      </c>
      <c r="Z200" s="21">
        <v>26552800</v>
      </c>
      <c r="AA200" s="21">
        <v>28131000</v>
      </c>
      <c r="AB200" s="21">
        <v>20063900</v>
      </c>
      <c r="AC200" s="21">
        <v>14919400</v>
      </c>
      <c r="AD200" s="21">
        <v>2992000</v>
      </c>
      <c r="AE200" s="21">
        <v>3296800</v>
      </c>
      <c r="AF200" s="21">
        <v>4085300</v>
      </c>
      <c r="AG200" s="21">
        <v>6496100</v>
      </c>
      <c r="AH200" s="21">
        <v>6108300</v>
      </c>
      <c r="AI200" s="21">
        <v>1455100</v>
      </c>
      <c r="AJ200" s="21">
        <v>2700200</v>
      </c>
      <c r="AK200" s="21">
        <v>2674600</v>
      </c>
      <c r="AL200" s="21">
        <v>4207400</v>
      </c>
      <c r="AM200" s="21">
        <v>2330600</v>
      </c>
      <c r="AN200" s="21">
        <v>3507500</v>
      </c>
      <c r="AO200" s="21">
        <v>3374700</v>
      </c>
      <c r="AP200" s="21">
        <v>4182300</v>
      </c>
      <c r="AQ200" s="21">
        <v>3207900</v>
      </c>
      <c r="AR200" s="21">
        <v>3419500</v>
      </c>
      <c r="AS200" s="21">
        <v>3007600</v>
      </c>
      <c r="AT200" s="21">
        <v>4785700</v>
      </c>
      <c r="AU200" s="21">
        <v>4460000</v>
      </c>
      <c r="AV200" s="21">
        <v>8510100</v>
      </c>
      <c r="AW200" s="21">
        <v>5229200</v>
      </c>
      <c r="AX200" s="21">
        <v>4660400</v>
      </c>
      <c r="AY200" s="21">
        <v>4214900</v>
      </c>
      <c r="AZ200" s="21">
        <v>4380900</v>
      </c>
      <c r="BA200" s="21">
        <v>4704200</v>
      </c>
      <c r="BB200" s="21">
        <v>8837900</v>
      </c>
      <c r="BC200" s="21">
        <v>5244400</v>
      </c>
      <c r="BD200" s="21">
        <v>7286300</v>
      </c>
      <c r="BE200" s="21">
        <v>6507600</v>
      </c>
      <c r="BF200" s="21">
        <v>7181700</v>
      </c>
      <c r="BG200" s="21">
        <v>12098100</v>
      </c>
      <c r="BH200" s="21">
        <v>7139800</v>
      </c>
      <c r="BI200" s="21">
        <v>3737100</v>
      </c>
      <c r="BJ200" s="21">
        <v>4847500</v>
      </c>
      <c r="BK200" s="21">
        <v>5132900</v>
      </c>
      <c r="BL200" s="21">
        <v>2534500</v>
      </c>
      <c r="BM200" s="1">
        <v>3259100</v>
      </c>
      <c r="BN200" s="1">
        <v>4178900</v>
      </c>
      <c r="BO200" s="1">
        <v>3141200</v>
      </c>
      <c r="BP200" s="1">
        <v>2946900</v>
      </c>
      <c r="BQ200" s="1">
        <v>4730100</v>
      </c>
      <c r="BR200" s="1">
        <v>3642700</v>
      </c>
      <c r="BS200" s="1">
        <v>4770700</v>
      </c>
      <c r="BT200" s="1">
        <v>4669600</v>
      </c>
      <c r="BU200" s="1">
        <v>5629300</v>
      </c>
      <c r="BV200" s="1">
        <v>6181000</v>
      </c>
      <c r="BW200" s="1">
        <v>6674100</v>
      </c>
      <c r="BX200" s="1">
        <v>7978700</v>
      </c>
      <c r="BY200" s="1">
        <v>10187600</v>
      </c>
      <c r="BZ200" s="1">
        <v>10544100</v>
      </c>
    </row>
    <row r="201" spans="1:78" ht="15.9" customHeight="1">
      <c r="A201" s="393" t="s">
        <v>394</v>
      </c>
      <c r="B201" s="46" t="s">
        <v>395</v>
      </c>
      <c r="C201" s="50">
        <f>_xll.RssMarket("6506","出来高")</f>
        <v>5132000</v>
      </c>
      <c r="D201" s="16">
        <f t="shared" si="3"/>
        <v>5500</v>
      </c>
      <c r="E201" s="21">
        <v>5126500</v>
      </c>
      <c r="F201" s="21">
        <v>6023500</v>
      </c>
      <c r="G201" s="21">
        <v>8452600</v>
      </c>
      <c r="H201" s="21">
        <v>6731200</v>
      </c>
      <c r="I201" s="21">
        <v>8862900</v>
      </c>
      <c r="J201" s="21">
        <v>9637000</v>
      </c>
      <c r="K201" s="21">
        <v>7074600</v>
      </c>
      <c r="L201" s="21">
        <v>6000400</v>
      </c>
      <c r="M201" s="21">
        <v>6236600</v>
      </c>
      <c r="N201" s="21">
        <v>9465700</v>
      </c>
      <c r="O201" s="21">
        <v>8574900</v>
      </c>
      <c r="P201" s="21">
        <v>12549600</v>
      </c>
      <c r="Q201" s="21">
        <v>12782800</v>
      </c>
      <c r="R201" s="21">
        <v>25491900</v>
      </c>
      <c r="S201" s="21">
        <v>10815700</v>
      </c>
      <c r="T201" s="21">
        <v>5898300</v>
      </c>
      <c r="U201" s="21">
        <v>5393000</v>
      </c>
      <c r="V201" s="21">
        <v>5721100</v>
      </c>
      <c r="W201" s="21">
        <v>4994800</v>
      </c>
      <c r="X201" s="21">
        <v>6123700</v>
      </c>
      <c r="Y201" s="21">
        <v>5230400</v>
      </c>
      <c r="Z201" s="21">
        <v>4322500</v>
      </c>
      <c r="AA201" s="21">
        <v>4643900</v>
      </c>
      <c r="AB201" s="21">
        <v>4444100</v>
      </c>
      <c r="AC201" s="21">
        <v>4071800</v>
      </c>
      <c r="AD201" s="21">
        <v>4960200</v>
      </c>
      <c r="AE201" s="21">
        <v>3685300</v>
      </c>
      <c r="AF201" s="21">
        <v>4910200</v>
      </c>
      <c r="AG201" s="21">
        <v>5160000</v>
      </c>
      <c r="AH201" s="21">
        <v>7748400</v>
      </c>
      <c r="AI201" s="21">
        <v>4267300</v>
      </c>
      <c r="AJ201" s="21">
        <v>5466400</v>
      </c>
      <c r="AK201" s="21">
        <v>3737200</v>
      </c>
      <c r="AL201" s="21">
        <v>3809000</v>
      </c>
      <c r="AM201" s="21">
        <v>3660700</v>
      </c>
      <c r="AN201" s="21">
        <v>5692100</v>
      </c>
      <c r="AO201" s="21">
        <v>4916300</v>
      </c>
      <c r="AP201" s="21">
        <v>5702100</v>
      </c>
      <c r="AQ201" s="21">
        <v>5556000</v>
      </c>
      <c r="AR201" s="21">
        <v>3216000</v>
      </c>
      <c r="AS201" s="21">
        <v>3867000</v>
      </c>
      <c r="AT201" s="21">
        <v>5348300</v>
      </c>
      <c r="AU201" s="21">
        <v>6224500</v>
      </c>
      <c r="AV201" s="21">
        <v>5006500</v>
      </c>
      <c r="AW201" s="21">
        <v>4257400</v>
      </c>
      <c r="AX201" s="21">
        <v>4518800</v>
      </c>
      <c r="AY201" s="21">
        <v>6412300</v>
      </c>
      <c r="AZ201" s="21">
        <v>5793800</v>
      </c>
      <c r="BA201" s="21">
        <v>6346300</v>
      </c>
      <c r="BB201" s="21">
        <v>5051900</v>
      </c>
      <c r="BC201" s="21">
        <v>5789600</v>
      </c>
      <c r="BD201" s="21">
        <v>5649200</v>
      </c>
      <c r="BE201" s="21">
        <v>6836600</v>
      </c>
      <c r="BF201" s="21">
        <v>7171200</v>
      </c>
      <c r="BG201" s="21">
        <v>4650800</v>
      </c>
      <c r="BH201" s="21">
        <v>7924400</v>
      </c>
      <c r="BI201" s="21">
        <v>6630500</v>
      </c>
      <c r="BJ201" s="21">
        <v>6573200</v>
      </c>
      <c r="BK201" s="21">
        <v>5212500</v>
      </c>
      <c r="BL201" s="21">
        <v>3308100</v>
      </c>
      <c r="BM201" s="1">
        <v>5521200</v>
      </c>
      <c r="BN201" s="1">
        <v>4048200</v>
      </c>
      <c r="BO201" s="1">
        <v>6906800</v>
      </c>
      <c r="BP201" s="1">
        <v>2579300</v>
      </c>
      <c r="BQ201" s="1">
        <v>3738500</v>
      </c>
      <c r="BR201" s="1">
        <v>3711700</v>
      </c>
      <c r="BS201" s="1">
        <v>5182700</v>
      </c>
      <c r="BT201" s="1">
        <v>5490400</v>
      </c>
      <c r="BU201" s="1">
        <v>3829100</v>
      </c>
      <c r="BV201" s="1">
        <v>3929700</v>
      </c>
      <c r="BW201" s="1">
        <v>4705900</v>
      </c>
      <c r="BX201" s="1">
        <v>5694400</v>
      </c>
      <c r="BY201" s="1">
        <v>14998000</v>
      </c>
      <c r="BZ201" s="1">
        <v>5917600</v>
      </c>
    </row>
    <row r="202" spans="1:78" ht="15.9" customHeight="1">
      <c r="A202" s="393" t="s">
        <v>396</v>
      </c>
      <c r="B202" s="46" t="s">
        <v>397</v>
      </c>
      <c r="C202" s="50">
        <f>_xll.RssMarket("2768","出来高")</f>
        <v>621100</v>
      </c>
      <c r="D202" s="16">
        <f t="shared" si="3"/>
        <v>-685800</v>
      </c>
      <c r="E202" s="21">
        <v>1306900</v>
      </c>
      <c r="F202" s="21">
        <v>2112000</v>
      </c>
      <c r="G202" s="21">
        <v>2408200</v>
      </c>
      <c r="H202" s="21">
        <v>1174200</v>
      </c>
      <c r="I202" s="21">
        <v>1475600</v>
      </c>
      <c r="J202" s="21">
        <v>922900</v>
      </c>
      <c r="K202" s="21">
        <v>1035900</v>
      </c>
      <c r="L202" s="21">
        <v>912400</v>
      </c>
      <c r="M202" s="21">
        <v>1089400</v>
      </c>
      <c r="N202" s="21">
        <v>1368700</v>
      </c>
      <c r="O202" s="21">
        <v>1290600</v>
      </c>
      <c r="P202" s="21">
        <v>1396700</v>
      </c>
      <c r="Q202" s="21">
        <v>1081900</v>
      </c>
      <c r="R202" s="21">
        <v>1133700</v>
      </c>
      <c r="S202" s="21">
        <v>1755500</v>
      </c>
      <c r="T202" s="21">
        <v>1134700</v>
      </c>
      <c r="U202" s="21">
        <v>920100</v>
      </c>
      <c r="V202" s="21">
        <v>1173800</v>
      </c>
      <c r="W202" s="21">
        <v>1612000</v>
      </c>
      <c r="X202" s="21">
        <v>1035400</v>
      </c>
      <c r="Y202" s="21">
        <v>829700</v>
      </c>
      <c r="Z202" s="21">
        <v>1035100</v>
      </c>
      <c r="AA202" s="21">
        <v>795600</v>
      </c>
      <c r="AB202" s="21">
        <v>1167800</v>
      </c>
      <c r="AC202" s="21">
        <v>1048600</v>
      </c>
      <c r="AD202" s="21">
        <v>1027100</v>
      </c>
      <c r="AE202" s="21">
        <v>1175700</v>
      </c>
      <c r="AF202" s="21">
        <v>904000</v>
      </c>
      <c r="AG202" s="21">
        <v>942700</v>
      </c>
      <c r="AH202" s="21">
        <v>742700</v>
      </c>
      <c r="AI202" s="21">
        <v>1566800</v>
      </c>
      <c r="AJ202" s="21">
        <v>846800</v>
      </c>
      <c r="AK202" s="21">
        <v>845400</v>
      </c>
      <c r="AL202" s="21">
        <v>1211900</v>
      </c>
      <c r="AM202" s="21">
        <v>1405900</v>
      </c>
      <c r="AN202" s="21">
        <v>1287100</v>
      </c>
      <c r="AO202" s="21">
        <v>1453000</v>
      </c>
      <c r="AP202" s="21">
        <v>1037600</v>
      </c>
      <c r="AQ202" s="21">
        <v>1187000</v>
      </c>
      <c r="AR202" s="21">
        <v>916900</v>
      </c>
      <c r="AS202" s="21">
        <v>1060700</v>
      </c>
      <c r="AT202" s="21">
        <v>1413900</v>
      </c>
      <c r="AU202" s="21">
        <v>1401900</v>
      </c>
      <c r="AV202" s="21">
        <v>1601300</v>
      </c>
      <c r="AW202" s="21">
        <v>1528000</v>
      </c>
      <c r="AX202" s="21">
        <v>932400</v>
      </c>
      <c r="AY202" s="21">
        <v>1000400</v>
      </c>
      <c r="AZ202" s="21">
        <v>1130300</v>
      </c>
      <c r="BA202" s="21">
        <v>1158300</v>
      </c>
      <c r="BB202" s="21">
        <v>1392100</v>
      </c>
      <c r="BC202" s="21">
        <v>1117500</v>
      </c>
      <c r="BD202" s="21">
        <v>1064200</v>
      </c>
      <c r="BE202" s="21">
        <v>1102500</v>
      </c>
      <c r="BF202" s="21">
        <v>1326600</v>
      </c>
      <c r="BG202" s="21">
        <v>1639100</v>
      </c>
      <c r="BH202" s="21">
        <v>1426400</v>
      </c>
      <c r="BI202" s="21">
        <v>1635800</v>
      </c>
      <c r="BJ202" s="21">
        <v>3723800</v>
      </c>
      <c r="BK202" s="21">
        <v>5461800</v>
      </c>
      <c r="BL202" s="21">
        <v>9120400</v>
      </c>
      <c r="BM202" s="1">
        <v>1335200</v>
      </c>
      <c r="BN202" s="1">
        <v>1091700</v>
      </c>
      <c r="BO202" s="1">
        <v>1010000</v>
      </c>
      <c r="BP202" s="1">
        <v>721700</v>
      </c>
      <c r="BQ202" s="1">
        <v>1027500</v>
      </c>
      <c r="BR202" s="1">
        <v>1037200</v>
      </c>
      <c r="BS202" s="1">
        <v>744000</v>
      </c>
      <c r="BT202" s="1">
        <v>994000</v>
      </c>
      <c r="BU202" s="1">
        <v>1128400</v>
      </c>
      <c r="BV202" s="1">
        <v>930300</v>
      </c>
      <c r="BW202" s="1">
        <v>1463700</v>
      </c>
      <c r="BX202" s="1">
        <v>1679800</v>
      </c>
      <c r="BY202" s="1">
        <v>930900</v>
      </c>
      <c r="BZ202" s="1">
        <v>1219900</v>
      </c>
    </row>
    <row r="203" spans="1:78" ht="15.9" customHeight="1">
      <c r="A203" s="393" t="s">
        <v>398</v>
      </c>
      <c r="B203" s="46" t="s">
        <v>399</v>
      </c>
      <c r="C203" s="50">
        <f>_xll.RssMarket("6305","出来高")</f>
        <v>980200</v>
      </c>
      <c r="D203" s="16">
        <f t="shared" si="3"/>
        <v>-864200</v>
      </c>
      <c r="E203" s="21">
        <v>1844400</v>
      </c>
      <c r="F203" s="21">
        <v>2607600</v>
      </c>
      <c r="G203" s="21">
        <v>3270300</v>
      </c>
      <c r="H203" s="21">
        <v>1425400</v>
      </c>
      <c r="I203" s="21">
        <v>2626700</v>
      </c>
      <c r="J203" s="21">
        <v>1106400</v>
      </c>
      <c r="K203" s="21">
        <v>1424600</v>
      </c>
      <c r="L203" s="21">
        <v>824900</v>
      </c>
      <c r="M203" s="21">
        <v>831600</v>
      </c>
      <c r="N203" s="21">
        <v>1162600</v>
      </c>
      <c r="O203" s="21">
        <v>698700</v>
      </c>
      <c r="P203" s="21">
        <v>845400</v>
      </c>
      <c r="Q203" s="21">
        <v>648100</v>
      </c>
      <c r="R203" s="21">
        <v>687500</v>
      </c>
      <c r="S203" s="21">
        <v>583900</v>
      </c>
      <c r="T203" s="21">
        <v>677100</v>
      </c>
      <c r="U203" s="21">
        <v>675500</v>
      </c>
      <c r="V203" s="21">
        <v>826000</v>
      </c>
      <c r="W203" s="21">
        <v>812200</v>
      </c>
      <c r="X203" s="21">
        <v>586700</v>
      </c>
      <c r="Y203" s="21">
        <v>753900</v>
      </c>
      <c r="Z203" s="21">
        <v>1111500</v>
      </c>
      <c r="AA203" s="21">
        <v>776600</v>
      </c>
      <c r="AB203" s="21">
        <v>909500</v>
      </c>
      <c r="AC203" s="21">
        <v>831300</v>
      </c>
      <c r="AD203" s="21">
        <v>645900</v>
      </c>
      <c r="AE203" s="21">
        <v>762000</v>
      </c>
      <c r="AF203" s="21">
        <v>569300</v>
      </c>
      <c r="AG203" s="21">
        <v>821000</v>
      </c>
      <c r="AH203" s="21">
        <v>699800</v>
      </c>
      <c r="AI203" s="21">
        <v>958700</v>
      </c>
      <c r="AJ203" s="21">
        <v>978800</v>
      </c>
      <c r="AK203" s="21">
        <v>1061100</v>
      </c>
      <c r="AL203" s="21">
        <v>546300</v>
      </c>
      <c r="AM203" s="21">
        <v>816700</v>
      </c>
      <c r="AN203" s="21">
        <v>1125300</v>
      </c>
      <c r="AO203" s="21">
        <v>968000</v>
      </c>
      <c r="AP203" s="21">
        <v>1117000</v>
      </c>
      <c r="AQ203" s="21">
        <v>959500</v>
      </c>
      <c r="AR203" s="21">
        <v>1076700</v>
      </c>
      <c r="AS203" s="21">
        <v>713000</v>
      </c>
      <c r="AT203" s="21">
        <v>1194600</v>
      </c>
      <c r="AU203" s="21">
        <v>1222500</v>
      </c>
      <c r="AV203" s="21">
        <v>1575900</v>
      </c>
      <c r="AW203" s="21">
        <v>1163100</v>
      </c>
      <c r="AX203" s="21">
        <v>2016800</v>
      </c>
      <c r="AY203" s="21">
        <v>1999200</v>
      </c>
      <c r="AZ203" s="21">
        <v>1186500</v>
      </c>
      <c r="BA203" s="21">
        <v>944400</v>
      </c>
      <c r="BB203" s="21">
        <v>1732000</v>
      </c>
      <c r="BC203" s="21">
        <v>1085100</v>
      </c>
      <c r="BD203" s="21">
        <v>2053400</v>
      </c>
      <c r="BE203" s="21">
        <v>1570800</v>
      </c>
      <c r="BF203" s="21">
        <v>2341200</v>
      </c>
      <c r="BG203" s="21">
        <v>4500300</v>
      </c>
      <c r="BH203" s="21">
        <v>1624900</v>
      </c>
      <c r="BI203" s="21">
        <v>940900</v>
      </c>
      <c r="BJ203" s="21">
        <v>1532800</v>
      </c>
      <c r="BK203" s="21">
        <v>1493800</v>
      </c>
      <c r="BL203" s="21">
        <v>751400</v>
      </c>
      <c r="BM203" s="1">
        <v>1517800</v>
      </c>
      <c r="BN203" s="1">
        <v>1474700</v>
      </c>
      <c r="BO203" s="1">
        <v>1690900</v>
      </c>
      <c r="BP203" s="1">
        <v>1031600</v>
      </c>
      <c r="BQ203" s="1">
        <v>1166000</v>
      </c>
      <c r="BR203" s="1">
        <v>572900</v>
      </c>
      <c r="BS203" s="1">
        <v>690100</v>
      </c>
      <c r="BT203" s="1">
        <v>760600</v>
      </c>
      <c r="BU203" s="1">
        <v>1311700</v>
      </c>
      <c r="BV203" s="1">
        <v>807300</v>
      </c>
      <c r="BW203" s="1">
        <v>688800</v>
      </c>
      <c r="BX203" s="1">
        <v>730500</v>
      </c>
      <c r="BY203" s="1">
        <v>563400</v>
      </c>
      <c r="BZ203" s="1">
        <v>781900</v>
      </c>
    </row>
    <row r="204" spans="1:78" ht="15.9" customHeight="1">
      <c r="A204" s="393" t="s">
        <v>400</v>
      </c>
      <c r="B204" s="46" t="s">
        <v>401</v>
      </c>
      <c r="C204" s="50">
        <f>_xll.RssMarket("8015","出来高")</f>
        <v>1867400</v>
      </c>
      <c r="D204" s="16">
        <f t="shared" si="3"/>
        <v>-1016300</v>
      </c>
      <c r="E204" s="21">
        <v>2883700</v>
      </c>
      <c r="F204" s="21">
        <v>3437900</v>
      </c>
      <c r="G204" s="21">
        <v>5575400</v>
      </c>
      <c r="H204" s="21">
        <v>10299700</v>
      </c>
      <c r="I204" s="21">
        <v>3050400</v>
      </c>
      <c r="J204" s="21">
        <v>3089000</v>
      </c>
      <c r="K204" s="21">
        <v>2433700</v>
      </c>
      <c r="L204" s="21">
        <v>2035700</v>
      </c>
      <c r="M204" s="21">
        <v>1975900</v>
      </c>
      <c r="N204" s="21">
        <v>2255000</v>
      </c>
      <c r="O204" s="21">
        <v>3515500</v>
      </c>
      <c r="P204" s="21">
        <v>3073500</v>
      </c>
      <c r="Q204" s="21">
        <v>2015500</v>
      </c>
      <c r="R204" s="21">
        <v>1696000</v>
      </c>
      <c r="S204" s="21">
        <v>1611800</v>
      </c>
      <c r="T204" s="21">
        <v>2679800</v>
      </c>
      <c r="U204" s="21">
        <v>1794700</v>
      </c>
      <c r="V204" s="21">
        <v>2417400</v>
      </c>
      <c r="W204" s="21">
        <v>2593500</v>
      </c>
      <c r="X204" s="21">
        <v>1349900</v>
      </c>
      <c r="Y204" s="21">
        <v>2089600</v>
      </c>
      <c r="Z204" s="21">
        <v>3315900</v>
      </c>
      <c r="AA204" s="21">
        <v>1931500</v>
      </c>
      <c r="AB204" s="21">
        <v>3042600</v>
      </c>
      <c r="AC204" s="21">
        <v>2127900</v>
      </c>
      <c r="AD204" s="21">
        <v>2531000</v>
      </c>
      <c r="AE204" s="21">
        <v>2062400</v>
      </c>
      <c r="AF204" s="21">
        <v>1839800</v>
      </c>
      <c r="AG204" s="21">
        <v>2437700</v>
      </c>
      <c r="AH204" s="21">
        <v>1641500</v>
      </c>
      <c r="AI204" s="21">
        <v>2509400</v>
      </c>
      <c r="AJ204" s="21">
        <v>1730500</v>
      </c>
      <c r="AK204" s="21">
        <v>1409400</v>
      </c>
      <c r="AL204" s="21">
        <v>1549700</v>
      </c>
      <c r="AM204" s="21">
        <v>1944300</v>
      </c>
      <c r="AN204" s="21">
        <v>3366300</v>
      </c>
      <c r="AO204" s="21">
        <v>1943300</v>
      </c>
      <c r="AP204" s="21">
        <v>2496400</v>
      </c>
      <c r="AQ204" s="21">
        <v>2198000</v>
      </c>
      <c r="AR204" s="21">
        <v>1620600</v>
      </c>
      <c r="AS204" s="21">
        <v>1785300</v>
      </c>
      <c r="AT204" s="21">
        <v>1733200</v>
      </c>
      <c r="AU204" s="21">
        <v>2229200</v>
      </c>
      <c r="AV204" s="21">
        <v>8257400</v>
      </c>
      <c r="AW204" s="21">
        <v>2614500</v>
      </c>
      <c r="AX204" s="21">
        <v>2807700</v>
      </c>
      <c r="AY204" s="21">
        <v>2000800</v>
      </c>
      <c r="AZ204" s="21">
        <v>2521300</v>
      </c>
      <c r="BA204" s="21">
        <v>2172800</v>
      </c>
      <c r="BB204" s="21">
        <v>2307500</v>
      </c>
      <c r="BC204" s="21">
        <v>2265200</v>
      </c>
      <c r="BD204" s="21">
        <v>2132700</v>
      </c>
      <c r="BE204" s="21">
        <v>2944300</v>
      </c>
      <c r="BF204" s="21">
        <v>2687000</v>
      </c>
      <c r="BG204" s="21">
        <v>2832700</v>
      </c>
      <c r="BH204" s="21">
        <v>3005900</v>
      </c>
      <c r="BI204" s="21">
        <v>3050300</v>
      </c>
      <c r="BJ204" s="21">
        <v>3476600</v>
      </c>
      <c r="BK204" s="21">
        <v>4626500</v>
      </c>
      <c r="BL204" s="21">
        <v>7293200</v>
      </c>
      <c r="BM204" s="1">
        <v>6712000</v>
      </c>
      <c r="BN204" s="1">
        <v>2281700</v>
      </c>
      <c r="BO204" s="1">
        <v>2062800</v>
      </c>
      <c r="BP204" s="1">
        <v>1419500</v>
      </c>
      <c r="BQ204" s="1">
        <v>1791800</v>
      </c>
      <c r="BR204" s="1">
        <v>2524100</v>
      </c>
      <c r="BS204" s="1">
        <v>1322400</v>
      </c>
      <c r="BT204" s="1">
        <v>1530300</v>
      </c>
      <c r="BU204" s="1">
        <v>1847800</v>
      </c>
      <c r="BV204" s="1">
        <v>1756500</v>
      </c>
      <c r="BW204" s="1">
        <v>2235200</v>
      </c>
      <c r="BX204" s="1">
        <v>1442300</v>
      </c>
      <c r="BY204" s="1">
        <v>1794200</v>
      </c>
      <c r="BZ204" s="1">
        <v>2607200</v>
      </c>
    </row>
    <row r="205" spans="1:78" ht="19.5" customHeight="1">
      <c r="A205" s="393" t="s">
        <v>402</v>
      </c>
      <c r="B205" s="46" t="s">
        <v>403</v>
      </c>
      <c r="C205" s="50">
        <f>_xll.RssMarket("6758","出来高")</f>
        <v>10225800</v>
      </c>
      <c r="D205" s="16">
        <f t="shared" si="3"/>
        <v>10225800</v>
      </c>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ht="19.5" customHeight="1">
      <c r="A206" s="393" t="s">
        <v>404</v>
      </c>
      <c r="B206" s="46" t="s">
        <v>405</v>
      </c>
      <c r="C206" s="50">
        <f>_xll.RssMarket("9101","出来高")</f>
        <v>3758600</v>
      </c>
      <c r="D206" s="16">
        <f t="shared" si="3"/>
        <v>206900</v>
      </c>
      <c r="E206" s="2">
        <v>3551700</v>
      </c>
      <c r="F206" s="2">
        <v>3756300</v>
      </c>
      <c r="G206" s="2">
        <v>3780600</v>
      </c>
      <c r="H206" s="2">
        <v>1712400</v>
      </c>
      <c r="I206" s="2">
        <v>2852100</v>
      </c>
      <c r="J206" s="2">
        <v>2465700</v>
      </c>
      <c r="K206" s="2">
        <v>3857100</v>
      </c>
      <c r="L206" s="2">
        <v>3281200</v>
      </c>
      <c r="M206" s="2">
        <v>2134200</v>
      </c>
      <c r="N206" s="2">
        <v>2407100</v>
      </c>
      <c r="O206" s="2">
        <v>3613400</v>
      </c>
      <c r="P206" s="2">
        <v>4456700</v>
      </c>
      <c r="Q206" s="2">
        <v>2438800</v>
      </c>
      <c r="R206" s="2">
        <v>2731100</v>
      </c>
      <c r="S206" s="2">
        <v>1504900</v>
      </c>
      <c r="T206" s="2">
        <v>2600300</v>
      </c>
      <c r="U206" s="2">
        <v>2678400</v>
      </c>
      <c r="V206" s="2">
        <v>2561200</v>
      </c>
      <c r="W206" s="2">
        <v>3831100</v>
      </c>
      <c r="X206" s="2">
        <v>2082600</v>
      </c>
      <c r="Y206" s="2">
        <v>1943500</v>
      </c>
      <c r="Z206" s="2">
        <v>2848600</v>
      </c>
      <c r="AA206" s="2">
        <v>2616700</v>
      </c>
      <c r="AB206" s="2">
        <v>2601300</v>
      </c>
      <c r="AC206" s="2">
        <v>2478000</v>
      </c>
      <c r="AD206" s="2">
        <v>3015800</v>
      </c>
      <c r="AE206" s="2">
        <v>2940100</v>
      </c>
      <c r="AF206" s="2">
        <v>2869700</v>
      </c>
      <c r="AG206" s="2">
        <v>3091100</v>
      </c>
      <c r="AH206" s="2">
        <v>2243400</v>
      </c>
      <c r="AI206" s="2">
        <v>4390700</v>
      </c>
      <c r="AJ206" s="2">
        <v>4016600</v>
      </c>
      <c r="AK206" s="2">
        <v>3087700</v>
      </c>
      <c r="AL206" s="2">
        <v>2759500</v>
      </c>
      <c r="AM206" s="2">
        <v>3531000</v>
      </c>
      <c r="AN206" s="2">
        <v>2897900</v>
      </c>
      <c r="AO206" s="2">
        <v>3087500</v>
      </c>
      <c r="AP206" s="2">
        <v>3425200</v>
      </c>
      <c r="AQ206" s="2">
        <v>3590500</v>
      </c>
      <c r="AR206" s="2">
        <v>3669900</v>
      </c>
      <c r="AS206" s="2">
        <v>3586500</v>
      </c>
      <c r="AT206" s="2">
        <v>2636200</v>
      </c>
      <c r="AU206" s="2">
        <v>3293100</v>
      </c>
      <c r="AV206" s="2">
        <v>5564400</v>
      </c>
      <c r="AW206" s="2">
        <v>3047300</v>
      </c>
      <c r="AX206" s="2">
        <v>2536000</v>
      </c>
      <c r="AY206" s="2">
        <v>1536100</v>
      </c>
      <c r="AZ206" s="2">
        <v>2306300</v>
      </c>
      <c r="BA206" s="2">
        <v>2756900</v>
      </c>
      <c r="BB206" s="2">
        <v>3547300</v>
      </c>
      <c r="BC206" s="2">
        <v>2940400</v>
      </c>
      <c r="BD206" s="2">
        <v>3399800</v>
      </c>
      <c r="BE206" s="2">
        <v>2941000</v>
      </c>
      <c r="BF206" s="2">
        <v>3425900</v>
      </c>
      <c r="BG206" s="2">
        <v>3088100</v>
      </c>
      <c r="BH206" s="2">
        <v>3697600</v>
      </c>
      <c r="BI206" s="2">
        <v>5919900</v>
      </c>
      <c r="BJ206" s="2">
        <v>3219800</v>
      </c>
      <c r="BK206" s="2">
        <v>3463300</v>
      </c>
      <c r="BL206" s="2">
        <v>2028700</v>
      </c>
      <c r="BM206" s="1">
        <v>4249800</v>
      </c>
      <c r="BN206" s="1">
        <v>5034800</v>
      </c>
      <c r="BO206" s="1">
        <v>3251700</v>
      </c>
      <c r="BP206" s="1">
        <v>2105000</v>
      </c>
      <c r="BQ206" s="1">
        <v>2030600</v>
      </c>
      <c r="BR206" s="1">
        <v>1926500</v>
      </c>
      <c r="BS206" s="1">
        <v>2083700</v>
      </c>
      <c r="BT206" s="1">
        <v>2926200</v>
      </c>
      <c r="BU206" s="1">
        <v>2475000</v>
      </c>
      <c r="BV206" s="1">
        <v>2748200</v>
      </c>
      <c r="BW206" s="1">
        <v>3255600</v>
      </c>
      <c r="BX206" s="1">
        <v>2896500</v>
      </c>
      <c r="BY206" s="1">
        <v>2893600</v>
      </c>
      <c r="BZ206" s="1">
        <v>3595000</v>
      </c>
    </row>
    <row r="207" spans="1:78" s="80" customFormat="1" ht="18.75" customHeight="1">
      <c r="A207" s="394" t="s">
        <v>406</v>
      </c>
      <c r="B207" s="80" t="s">
        <v>407</v>
      </c>
      <c r="C207" s="81">
        <f>_xll.RssMarket("7011","出来高")</f>
        <v>23415700</v>
      </c>
      <c r="D207" s="82">
        <f t="shared" si="3"/>
        <v>-32448200</v>
      </c>
      <c r="E207" s="81">
        <v>55863900</v>
      </c>
      <c r="F207" s="81">
        <v>21809900</v>
      </c>
      <c r="G207" s="81">
        <v>22424900</v>
      </c>
      <c r="H207" s="81">
        <v>15217200</v>
      </c>
      <c r="I207" s="81">
        <v>16746900</v>
      </c>
      <c r="J207" s="81">
        <v>14730900</v>
      </c>
      <c r="K207" s="81">
        <v>13481200</v>
      </c>
      <c r="L207" s="81">
        <v>14576400</v>
      </c>
      <c r="M207" s="81">
        <v>15068100</v>
      </c>
      <c r="N207" s="81">
        <v>13718100</v>
      </c>
      <c r="O207" s="81">
        <v>21670300</v>
      </c>
      <c r="P207" s="81">
        <v>21441300</v>
      </c>
      <c r="Q207" s="81">
        <v>19491400</v>
      </c>
      <c r="R207" s="81">
        <v>12709500</v>
      </c>
      <c r="S207" s="81">
        <v>13530900</v>
      </c>
      <c r="T207" s="81">
        <v>14270300</v>
      </c>
      <c r="U207" s="81">
        <v>16150000</v>
      </c>
      <c r="V207" s="81">
        <v>25815800</v>
      </c>
      <c r="W207" s="81">
        <v>24665400</v>
      </c>
      <c r="X207" s="81">
        <v>35898600</v>
      </c>
      <c r="Y207" s="81">
        <v>15350400</v>
      </c>
      <c r="Z207" s="81">
        <v>17061600</v>
      </c>
      <c r="AA207" s="81">
        <v>19764700</v>
      </c>
      <c r="AB207" s="81">
        <v>19004300</v>
      </c>
      <c r="AC207" s="81">
        <v>23060300</v>
      </c>
      <c r="AD207" s="81">
        <v>16993000</v>
      </c>
      <c r="AE207" s="81">
        <v>19664300</v>
      </c>
      <c r="AF207" s="81">
        <v>14242700</v>
      </c>
      <c r="AG207" s="81">
        <v>20051900</v>
      </c>
      <c r="AH207" s="81">
        <v>13192000</v>
      </c>
      <c r="AI207" s="81">
        <v>23852400</v>
      </c>
      <c r="AJ207" s="81">
        <v>31233200</v>
      </c>
      <c r="AK207" s="81">
        <v>23776900</v>
      </c>
      <c r="AL207" s="81">
        <v>27316000</v>
      </c>
      <c r="AM207" s="81">
        <v>21245700</v>
      </c>
      <c r="AN207" s="81">
        <v>19580500</v>
      </c>
      <c r="AO207" s="81">
        <v>18083000</v>
      </c>
      <c r="AP207" s="81">
        <v>17683400</v>
      </c>
      <c r="AQ207" s="81">
        <v>23310400</v>
      </c>
      <c r="AR207" s="81">
        <v>23427800</v>
      </c>
      <c r="AS207" s="81">
        <v>28144900</v>
      </c>
      <c r="AT207" s="81">
        <v>30658500</v>
      </c>
      <c r="AU207" s="81">
        <v>35355900</v>
      </c>
      <c r="AV207" s="81">
        <v>34158900</v>
      </c>
      <c r="AW207" s="81">
        <v>25450500</v>
      </c>
      <c r="AX207" s="81">
        <v>19574600</v>
      </c>
      <c r="AY207" s="81">
        <v>25805000</v>
      </c>
      <c r="AZ207" s="81">
        <v>22773500</v>
      </c>
      <c r="BA207" s="81">
        <v>28538600</v>
      </c>
      <c r="BB207" s="81">
        <v>20144300</v>
      </c>
      <c r="BC207" s="81">
        <v>20535500</v>
      </c>
      <c r="BD207" s="81">
        <v>21740700</v>
      </c>
      <c r="BE207" s="81">
        <v>26236100</v>
      </c>
      <c r="BF207" s="81">
        <v>38699900</v>
      </c>
      <c r="BG207" s="81">
        <v>33182600</v>
      </c>
      <c r="BH207" s="81">
        <v>57855600</v>
      </c>
      <c r="BI207" s="81">
        <v>23392400</v>
      </c>
      <c r="BJ207" s="81">
        <v>25209200</v>
      </c>
      <c r="BK207" s="81">
        <v>32023200</v>
      </c>
      <c r="BL207" s="81">
        <v>13366800</v>
      </c>
      <c r="BM207" s="80">
        <v>26836400</v>
      </c>
      <c r="BN207" s="80">
        <v>19210500</v>
      </c>
      <c r="BO207" s="80">
        <v>18063900</v>
      </c>
      <c r="BP207" s="80">
        <v>18264500</v>
      </c>
      <c r="BQ207" s="80">
        <v>32997300</v>
      </c>
      <c r="BR207" s="80">
        <v>20727400</v>
      </c>
      <c r="BS207" s="80">
        <v>21954100</v>
      </c>
      <c r="BT207" s="80">
        <v>22506500</v>
      </c>
      <c r="BU207" s="80">
        <v>24317700</v>
      </c>
      <c r="BV207" s="80">
        <v>23321000</v>
      </c>
      <c r="BW207" s="80">
        <v>27484500</v>
      </c>
      <c r="BX207" s="80">
        <v>16995600</v>
      </c>
      <c r="BY207" s="80">
        <v>16322800</v>
      </c>
      <c r="BZ207" s="80">
        <v>17911100</v>
      </c>
    </row>
    <row r="208" spans="1:78" s="80" customFormat="1" ht="18.75" customHeight="1">
      <c r="A208" s="394" t="s">
        <v>408</v>
      </c>
      <c r="B208" s="80" t="s">
        <v>409</v>
      </c>
      <c r="C208" s="81">
        <f>_xll.RssMarket("1812","出来高")</f>
        <v>2227400</v>
      </c>
      <c r="D208" s="82">
        <f t="shared" si="3"/>
        <v>476100</v>
      </c>
      <c r="E208" s="81">
        <v>1751300</v>
      </c>
      <c r="F208" s="81">
        <v>2024900</v>
      </c>
      <c r="G208" s="81">
        <v>1505300</v>
      </c>
      <c r="H208" s="81">
        <v>2170600</v>
      </c>
      <c r="I208" s="81">
        <v>2127600</v>
      </c>
      <c r="J208" s="81">
        <v>1498700</v>
      </c>
      <c r="K208" s="81">
        <v>994800</v>
      </c>
      <c r="L208" s="81">
        <v>885600</v>
      </c>
      <c r="M208" s="81">
        <v>721900</v>
      </c>
      <c r="N208" s="81">
        <v>975600</v>
      </c>
      <c r="O208" s="81">
        <v>1372200</v>
      </c>
      <c r="P208" s="81">
        <v>1701600</v>
      </c>
      <c r="Q208" s="81">
        <v>1600700</v>
      </c>
      <c r="R208" s="81">
        <v>1611400</v>
      </c>
      <c r="S208" s="81">
        <v>1353900</v>
      </c>
      <c r="T208" s="81">
        <v>1709400</v>
      </c>
      <c r="U208" s="81">
        <v>1205500</v>
      </c>
      <c r="V208" s="81">
        <v>1803900</v>
      </c>
      <c r="W208" s="81">
        <v>2123100</v>
      </c>
      <c r="X208" s="81">
        <v>1892700</v>
      </c>
      <c r="Y208" s="81">
        <v>1830400</v>
      </c>
      <c r="Z208" s="81">
        <v>2130200</v>
      </c>
      <c r="AA208" s="81">
        <v>2622200</v>
      </c>
      <c r="AB208" s="81">
        <v>2069500</v>
      </c>
      <c r="AC208" s="81">
        <v>1747500</v>
      </c>
      <c r="AD208" s="81">
        <v>1447000</v>
      </c>
      <c r="AE208" s="81">
        <v>1378800</v>
      </c>
      <c r="AF208" s="81">
        <v>1384900</v>
      </c>
      <c r="AG208" s="81">
        <v>2020000</v>
      </c>
      <c r="AH208" s="81">
        <v>1417300</v>
      </c>
      <c r="AI208" s="81">
        <v>1831600</v>
      </c>
      <c r="AJ208" s="81">
        <v>2241600</v>
      </c>
      <c r="AK208" s="81">
        <v>2120900</v>
      </c>
      <c r="AL208" s="81">
        <v>3189500</v>
      </c>
      <c r="AM208" s="81">
        <v>3437600</v>
      </c>
      <c r="AN208" s="81">
        <v>2249700</v>
      </c>
      <c r="AO208" s="81">
        <v>1707200</v>
      </c>
      <c r="AP208" s="81">
        <v>1766400</v>
      </c>
      <c r="AQ208" s="81">
        <v>1937100</v>
      </c>
      <c r="AR208" s="81">
        <v>1611200</v>
      </c>
      <c r="AS208" s="81">
        <v>2037700</v>
      </c>
      <c r="AT208" s="81">
        <v>2219400</v>
      </c>
      <c r="AU208" s="81">
        <v>2511600</v>
      </c>
      <c r="AV208" s="81">
        <v>4340100</v>
      </c>
      <c r="AW208" s="81">
        <v>1567000</v>
      </c>
      <c r="AX208" s="81">
        <v>2389000</v>
      </c>
      <c r="AY208" s="81">
        <v>2011400</v>
      </c>
      <c r="AZ208" s="81">
        <v>2021800</v>
      </c>
      <c r="BA208" s="81">
        <v>1547000</v>
      </c>
      <c r="BB208" s="81">
        <v>2811700</v>
      </c>
      <c r="BC208" s="81">
        <v>2571800</v>
      </c>
      <c r="BD208" s="81">
        <v>3416400</v>
      </c>
      <c r="BE208" s="81">
        <v>3296500</v>
      </c>
      <c r="BF208" s="81">
        <v>4741300</v>
      </c>
      <c r="BG208" s="81">
        <v>3133000</v>
      </c>
      <c r="BH208" s="81">
        <v>4706400</v>
      </c>
      <c r="BI208" s="81">
        <v>2150900</v>
      </c>
      <c r="BJ208" s="81">
        <v>2296300</v>
      </c>
      <c r="BK208" s="81">
        <v>2648400</v>
      </c>
      <c r="BL208" s="81">
        <v>1719800</v>
      </c>
      <c r="BM208" s="80">
        <v>3756200</v>
      </c>
      <c r="BN208" s="80">
        <v>3609800</v>
      </c>
      <c r="BO208" s="80">
        <v>1799400</v>
      </c>
      <c r="BP208" s="80">
        <v>1594000</v>
      </c>
      <c r="BQ208" s="80">
        <v>2224800</v>
      </c>
      <c r="BR208" s="80">
        <v>2241400</v>
      </c>
      <c r="BS208" s="80">
        <v>1798800</v>
      </c>
      <c r="BT208" s="80">
        <v>1861100</v>
      </c>
      <c r="BU208" s="80">
        <v>2574400</v>
      </c>
      <c r="BV208" s="80">
        <v>1720600</v>
      </c>
      <c r="BW208" s="80">
        <v>1275400</v>
      </c>
      <c r="BX208" s="80">
        <v>1198200</v>
      </c>
      <c r="BY208" s="80">
        <v>1441700</v>
      </c>
      <c r="BZ208" s="80">
        <v>1461300</v>
      </c>
    </row>
    <row r="209" spans="1:78" s="80" customFormat="1" ht="18.75" customHeight="1">
      <c r="A209" s="394" t="s">
        <v>410</v>
      </c>
      <c r="B209" s="80" t="str">
        <f>銘柄管理!C209</f>
        <v>キーエンス</v>
      </c>
      <c r="C209" s="81">
        <f>_xll.RssMarket("6861","出来高")</f>
        <v>746400</v>
      </c>
      <c r="D209" s="82">
        <f t="shared" si="3"/>
        <v>-40900</v>
      </c>
      <c r="E209" s="81">
        <v>787300</v>
      </c>
      <c r="F209" s="81">
        <v>744000</v>
      </c>
      <c r="G209" s="81">
        <v>1256200</v>
      </c>
      <c r="H209" s="81">
        <v>1095900</v>
      </c>
      <c r="I209" s="81">
        <v>1893900</v>
      </c>
      <c r="J209" s="81">
        <v>833000</v>
      </c>
      <c r="K209" s="81">
        <v>675900</v>
      </c>
      <c r="L209" s="81">
        <v>618000</v>
      </c>
      <c r="M209" s="81">
        <v>496200</v>
      </c>
      <c r="N209" s="81">
        <v>716400</v>
      </c>
      <c r="O209" s="81">
        <v>610700</v>
      </c>
      <c r="P209" s="81">
        <v>905400</v>
      </c>
      <c r="Q209" s="81">
        <v>442200</v>
      </c>
      <c r="R209" s="81">
        <v>470500</v>
      </c>
      <c r="S209" s="81">
        <v>626500</v>
      </c>
      <c r="T209" s="81">
        <v>760000</v>
      </c>
      <c r="U209" s="81">
        <v>450500</v>
      </c>
      <c r="V209" s="81">
        <v>602200</v>
      </c>
      <c r="W209" s="81">
        <v>561600</v>
      </c>
      <c r="X209" s="81">
        <v>413300</v>
      </c>
      <c r="Y209" s="81">
        <v>468100</v>
      </c>
      <c r="Z209" s="81">
        <v>461300</v>
      </c>
      <c r="AA209" s="81">
        <v>491300</v>
      </c>
      <c r="AB209" s="81">
        <v>995800</v>
      </c>
      <c r="AC209" s="81">
        <v>509900</v>
      </c>
      <c r="AD209" s="81">
        <v>575500</v>
      </c>
      <c r="AE209" s="81">
        <v>510400</v>
      </c>
      <c r="AF209" s="81">
        <v>564500</v>
      </c>
      <c r="AG209" s="81">
        <v>531300</v>
      </c>
      <c r="AH209" s="81">
        <v>463200</v>
      </c>
      <c r="AI209" s="81">
        <v>984900</v>
      </c>
      <c r="AJ209" s="81">
        <v>597500</v>
      </c>
      <c r="AK209" s="81">
        <v>659800</v>
      </c>
      <c r="AL209" s="81">
        <v>492400</v>
      </c>
      <c r="AM209" s="81">
        <v>595600</v>
      </c>
      <c r="AN209" s="81">
        <v>836300</v>
      </c>
      <c r="AO209" s="81">
        <v>626100</v>
      </c>
      <c r="AP209" s="81">
        <v>612800</v>
      </c>
      <c r="AQ209" s="81">
        <v>727500</v>
      </c>
      <c r="AR209" s="81">
        <v>417000</v>
      </c>
      <c r="AS209" s="81">
        <v>529600</v>
      </c>
      <c r="AT209" s="81">
        <v>546400</v>
      </c>
      <c r="AU209" s="81">
        <v>592800</v>
      </c>
      <c r="AV209" s="81">
        <v>1485600</v>
      </c>
      <c r="AW209" s="81">
        <v>637100</v>
      </c>
      <c r="AX209" s="81">
        <v>766700</v>
      </c>
      <c r="AY209" s="81">
        <v>578600</v>
      </c>
      <c r="AZ209" s="81">
        <v>869400</v>
      </c>
      <c r="BA209" s="81">
        <v>783100</v>
      </c>
      <c r="BB209" s="81">
        <v>964400</v>
      </c>
      <c r="BC209" s="81">
        <v>543000</v>
      </c>
      <c r="BD209" s="81">
        <v>612500</v>
      </c>
      <c r="BE209" s="81">
        <v>666600</v>
      </c>
      <c r="BF209" s="81">
        <v>866400</v>
      </c>
      <c r="BG209" s="81">
        <v>642400</v>
      </c>
      <c r="BH209" s="81">
        <v>1113700</v>
      </c>
      <c r="BI209" s="81">
        <v>1114000</v>
      </c>
      <c r="BJ209" s="81">
        <v>1695500</v>
      </c>
      <c r="BK209" s="81">
        <v>2252600</v>
      </c>
      <c r="BL209" s="81">
        <v>1667000</v>
      </c>
      <c r="BM209" s="80">
        <v>1491600</v>
      </c>
      <c r="BN209" s="80">
        <v>2805500</v>
      </c>
      <c r="BO209" s="80">
        <v>1157900</v>
      </c>
      <c r="BP209" s="80">
        <v>735200</v>
      </c>
      <c r="BQ209" s="80">
        <v>759800</v>
      </c>
      <c r="BR209" s="80">
        <v>746600</v>
      </c>
      <c r="BS209" s="80">
        <v>876300</v>
      </c>
      <c r="BT209" s="80">
        <v>692100</v>
      </c>
      <c r="BU209" s="80">
        <v>525100</v>
      </c>
      <c r="BV209" s="80">
        <v>536900</v>
      </c>
      <c r="BW209" s="80">
        <v>695500</v>
      </c>
      <c r="BX209" s="80">
        <v>751900</v>
      </c>
      <c r="BY209" s="80">
        <v>957000</v>
      </c>
      <c r="BZ209" s="80">
        <v>688500</v>
      </c>
    </row>
    <row r="210" spans="1:78" s="80" customFormat="1" ht="18.75" customHeight="1">
      <c r="A210" s="394" t="s">
        <v>411</v>
      </c>
      <c r="B210" s="80" t="s">
        <v>412</v>
      </c>
      <c r="C210" s="81">
        <f>_xll.RssMarket("6324","出来高")</f>
        <v>1265000</v>
      </c>
      <c r="D210" s="82">
        <f t="shared" si="3"/>
        <v>-638200</v>
      </c>
      <c r="E210" s="81">
        <v>1903200</v>
      </c>
      <c r="F210" s="81">
        <v>1592300</v>
      </c>
      <c r="G210" s="81">
        <v>1957700</v>
      </c>
      <c r="H210" s="81">
        <v>1843700</v>
      </c>
      <c r="I210" s="81">
        <v>2131400</v>
      </c>
      <c r="J210" s="81">
        <v>2057600</v>
      </c>
      <c r="K210" s="81">
        <v>1276500</v>
      </c>
      <c r="L210" s="81">
        <v>918000</v>
      </c>
      <c r="M210" s="81">
        <v>1075800</v>
      </c>
      <c r="N210" s="81">
        <v>1683000</v>
      </c>
      <c r="O210" s="81">
        <v>1489000</v>
      </c>
      <c r="P210" s="81">
        <v>2014400</v>
      </c>
      <c r="Q210" s="81">
        <v>1285400</v>
      </c>
      <c r="R210" s="81">
        <v>2312400</v>
      </c>
      <c r="S210" s="81">
        <v>1968500</v>
      </c>
      <c r="T210" s="81">
        <v>1638100</v>
      </c>
      <c r="U210" s="81">
        <v>1489700</v>
      </c>
      <c r="V210" s="81">
        <v>2271200</v>
      </c>
      <c r="W210" s="81">
        <v>2481700</v>
      </c>
      <c r="X210" s="81">
        <v>2883200</v>
      </c>
      <c r="Y210" s="81">
        <v>4155900</v>
      </c>
      <c r="Z210" s="81">
        <v>2363700</v>
      </c>
      <c r="AA210" s="81">
        <v>1619600</v>
      </c>
      <c r="AB210" s="81">
        <v>1892200</v>
      </c>
      <c r="AC210" s="81">
        <v>1471200</v>
      </c>
      <c r="AD210" s="81">
        <v>1548200</v>
      </c>
      <c r="AE210" s="81">
        <v>1401400</v>
      </c>
      <c r="AF210" s="81">
        <v>2023600</v>
      </c>
      <c r="AG210" s="81">
        <v>2282200</v>
      </c>
      <c r="AH210" s="81">
        <v>2503800</v>
      </c>
      <c r="AI210" s="81">
        <v>1420100</v>
      </c>
      <c r="AJ210" s="81">
        <v>2523400</v>
      </c>
      <c r="AK210" s="81">
        <v>1930000</v>
      </c>
      <c r="AL210" s="81">
        <v>1234800</v>
      </c>
      <c r="AM210" s="81">
        <v>883100</v>
      </c>
      <c r="AN210" s="81">
        <v>1375700</v>
      </c>
      <c r="AO210" s="81">
        <v>1320000</v>
      </c>
      <c r="AP210" s="81">
        <v>2016000</v>
      </c>
      <c r="AQ210" s="81">
        <v>2627000</v>
      </c>
      <c r="AR210" s="81">
        <v>1708900</v>
      </c>
      <c r="AS210" s="81">
        <v>1989400</v>
      </c>
      <c r="AT210" s="81">
        <v>1616200</v>
      </c>
      <c r="AU210" s="81">
        <v>2729400</v>
      </c>
      <c r="AV210" s="81">
        <v>1663800</v>
      </c>
      <c r="AW210" s="81">
        <v>1654400</v>
      </c>
      <c r="AX210" s="81">
        <v>1817400</v>
      </c>
      <c r="AY210" s="81">
        <v>1849300</v>
      </c>
      <c r="AZ210" s="81">
        <v>1907200</v>
      </c>
      <c r="BA210" s="81">
        <v>1534900</v>
      </c>
      <c r="BB210" s="81">
        <v>1680400</v>
      </c>
      <c r="BC210" s="81">
        <v>3468300</v>
      </c>
      <c r="BD210" s="81">
        <v>1684000</v>
      </c>
      <c r="BE210" s="81">
        <v>3213500</v>
      </c>
      <c r="BF210" s="81">
        <v>5545500</v>
      </c>
      <c r="BG210" s="81">
        <v>3123000</v>
      </c>
      <c r="BH210" s="81">
        <v>1716200</v>
      </c>
      <c r="BI210" s="81">
        <v>1981700</v>
      </c>
      <c r="BJ210" s="81">
        <v>2170200</v>
      </c>
      <c r="BK210" s="81">
        <v>1617200</v>
      </c>
      <c r="BL210" s="81">
        <v>1245100</v>
      </c>
      <c r="BM210" s="80">
        <v>2526800</v>
      </c>
      <c r="BN210" s="80">
        <v>1778700</v>
      </c>
      <c r="BO210" s="80">
        <v>3690800</v>
      </c>
      <c r="BP210" s="80">
        <v>667900</v>
      </c>
      <c r="BQ210" s="80">
        <v>979000</v>
      </c>
      <c r="BR210" s="80">
        <v>972800</v>
      </c>
      <c r="BS210" s="80">
        <v>1114800</v>
      </c>
      <c r="BT210" s="80">
        <v>1151600</v>
      </c>
      <c r="BU210" s="80">
        <v>1368200</v>
      </c>
      <c r="BV210" s="80">
        <v>3199400</v>
      </c>
      <c r="BW210" s="80">
        <v>1790000</v>
      </c>
      <c r="BX210" s="80">
        <v>1070600</v>
      </c>
      <c r="BY210" s="80">
        <v>1436300</v>
      </c>
      <c r="BZ210" s="80">
        <v>1063800</v>
      </c>
    </row>
    <row r="211" spans="1:78" s="80" customFormat="1" ht="18.75" customHeight="1">
      <c r="A211" s="394" t="s">
        <v>413</v>
      </c>
      <c r="B211" s="80" t="s">
        <v>414</v>
      </c>
      <c r="C211" s="81">
        <f>_xll.RssMarket("6273","出来高")</f>
        <v>136700</v>
      </c>
      <c r="D211" s="82">
        <f t="shared" si="3"/>
        <v>-151000</v>
      </c>
      <c r="E211" s="81">
        <v>287700</v>
      </c>
      <c r="F211" s="81">
        <v>262100</v>
      </c>
      <c r="G211" s="81">
        <v>330300</v>
      </c>
      <c r="H211" s="81">
        <v>194700</v>
      </c>
      <c r="I211" s="81">
        <v>341500</v>
      </c>
      <c r="J211" s="81">
        <v>326900</v>
      </c>
      <c r="K211" s="81">
        <v>189300</v>
      </c>
      <c r="L211" s="81">
        <v>213600</v>
      </c>
      <c r="M211" s="81">
        <v>196600</v>
      </c>
      <c r="N211" s="81">
        <v>242100</v>
      </c>
      <c r="O211" s="81">
        <v>253400</v>
      </c>
      <c r="P211" s="81">
        <v>427200</v>
      </c>
      <c r="Q211" s="81">
        <v>205000</v>
      </c>
      <c r="R211" s="81">
        <v>358200</v>
      </c>
      <c r="S211" s="81">
        <v>299500</v>
      </c>
      <c r="T211" s="81">
        <v>366400</v>
      </c>
      <c r="U211" s="81">
        <v>241400</v>
      </c>
      <c r="V211" s="81">
        <v>287200</v>
      </c>
      <c r="W211" s="81">
        <v>297200</v>
      </c>
      <c r="X211" s="81">
        <v>273700</v>
      </c>
      <c r="Y211" s="81">
        <v>438900</v>
      </c>
      <c r="Z211" s="81">
        <v>407800</v>
      </c>
      <c r="AA211" s="81">
        <v>270600</v>
      </c>
      <c r="AB211" s="81">
        <v>253700</v>
      </c>
      <c r="AC211" s="81">
        <v>205100</v>
      </c>
      <c r="AD211" s="81">
        <v>258700</v>
      </c>
      <c r="AE211" s="81">
        <v>250400</v>
      </c>
      <c r="AF211" s="81">
        <v>280500</v>
      </c>
      <c r="AG211" s="81">
        <v>301100</v>
      </c>
      <c r="AH211" s="81">
        <v>222800</v>
      </c>
      <c r="AI211" s="81">
        <v>543900</v>
      </c>
      <c r="AJ211" s="81">
        <v>317800</v>
      </c>
      <c r="AK211" s="81">
        <v>330200</v>
      </c>
      <c r="AL211" s="81">
        <v>275900</v>
      </c>
      <c r="AM211" s="81">
        <v>355700</v>
      </c>
      <c r="AN211" s="81">
        <v>429200</v>
      </c>
      <c r="AO211" s="81">
        <v>362200</v>
      </c>
      <c r="AP211" s="81">
        <v>252700</v>
      </c>
      <c r="AQ211" s="81">
        <v>315700</v>
      </c>
      <c r="AR211" s="81">
        <v>253800</v>
      </c>
      <c r="AS211" s="81">
        <v>274600</v>
      </c>
      <c r="AT211" s="81">
        <v>331900</v>
      </c>
      <c r="AU211" s="81">
        <v>300300</v>
      </c>
      <c r="AV211" s="81">
        <v>731100</v>
      </c>
      <c r="AW211" s="81">
        <v>465100</v>
      </c>
      <c r="AX211" s="81">
        <v>379000</v>
      </c>
      <c r="AY211" s="81">
        <v>499800</v>
      </c>
      <c r="AZ211" s="81">
        <v>510000</v>
      </c>
      <c r="BA211" s="81">
        <v>348300</v>
      </c>
      <c r="BB211" s="81">
        <v>533300</v>
      </c>
      <c r="BC211" s="81">
        <v>434500</v>
      </c>
      <c r="BD211" s="81">
        <v>539400</v>
      </c>
      <c r="BE211" s="81">
        <v>1165400</v>
      </c>
      <c r="BF211" s="81">
        <v>768900</v>
      </c>
      <c r="BG211" s="81">
        <v>285800</v>
      </c>
      <c r="BH211" s="81">
        <v>333000</v>
      </c>
      <c r="BI211" s="81">
        <v>381900</v>
      </c>
      <c r="BJ211" s="81">
        <v>491200</v>
      </c>
      <c r="BK211" s="81">
        <v>594200</v>
      </c>
      <c r="BL211" s="81">
        <v>386500</v>
      </c>
      <c r="BM211" s="80">
        <v>595700</v>
      </c>
      <c r="BN211" s="80">
        <v>553000</v>
      </c>
      <c r="BO211" s="80">
        <v>676600</v>
      </c>
      <c r="BP211" s="80">
        <v>212400</v>
      </c>
      <c r="BQ211" s="80">
        <v>222200</v>
      </c>
      <c r="BR211" s="80">
        <v>203200</v>
      </c>
      <c r="BS211" s="80">
        <v>144800</v>
      </c>
      <c r="BT211" s="80">
        <v>192600</v>
      </c>
      <c r="BU211" s="80">
        <v>299600</v>
      </c>
      <c r="BV211" s="80">
        <v>291900</v>
      </c>
      <c r="BW211" s="80">
        <v>248400</v>
      </c>
      <c r="BX211" s="80">
        <v>223400</v>
      </c>
      <c r="BY211" s="80">
        <v>333300</v>
      </c>
      <c r="BZ211" s="80">
        <v>383600</v>
      </c>
    </row>
    <row r="212" spans="1:78" s="80" customFormat="1" ht="18.75" customHeight="1">
      <c r="A212" s="394" t="s">
        <v>415</v>
      </c>
      <c r="B212" s="80" t="s">
        <v>416</v>
      </c>
      <c r="C212" s="81">
        <f>_xll.RssMarket("4502","出来高")</f>
        <v>1878000</v>
      </c>
      <c r="D212" s="82">
        <f t="shared" si="3"/>
        <v>-1973800</v>
      </c>
      <c r="E212" s="81">
        <v>3851800</v>
      </c>
      <c r="F212" s="81">
        <v>4750600</v>
      </c>
      <c r="G212" s="81">
        <v>7218600</v>
      </c>
      <c r="H212" s="81">
        <v>4859800</v>
      </c>
      <c r="I212" s="81">
        <v>5289600</v>
      </c>
      <c r="J212" s="81">
        <v>3918100</v>
      </c>
      <c r="K212" s="81">
        <v>4647600</v>
      </c>
      <c r="L212" s="81">
        <v>3633100</v>
      </c>
      <c r="M212" s="81">
        <v>2920500</v>
      </c>
      <c r="N212" s="81">
        <v>4253200</v>
      </c>
      <c r="O212" s="81">
        <v>5394200</v>
      </c>
      <c r="P212" s="81">
        <v>5074900</v>
      </c>
      <c r="Q212" s="81">
        <v>2986600</v>
      </c>
      <c r="R212" s="81">
        <v>3586400</v>
      </c>
      <c r="S212" s="81">
        <v>2451900</v>
      </c>
      <c r="T212" s="81">
        <v>3123700</v>
      </c>
      <c r="U212" s="81">
        <v>2773800</v>
      </c>
      <c r="V212" s="81">
        <v>3668900</v>
      </c>
      <c r="W212" s="81">
        <v>3488200</v>
      </c>
      <c r="X212" s="81">
        <v>3686800</v>
      </c>
      <c r="Y212" s="81">
        <v>4074200</v>
      </c>
      <c r="Z212" s="81">
        <v>3538100</v>
      </c>
      <c r="AA212" s="81">
        <v>4177200</v>
      </c>
      <c r="AB212" s="81">
        <v>4329100</v>
      </c>
      <c r="AC212" s="81">
        <v>7388100</v>
      </c>
      <c r="AD212" s="81">
        <v>4148100</v>
      </c>
      <c r="AE212" s="81">
        <v>2958200</v>
      </c>
      <c r="AF212" s="81">
        <v>3983400</v>
      </c>
      <c r="AG212" s="81">
        <v>3723100</v>
      </c>
      <c r="AH212" s="81">
        <v>2503900</v>
      </c>
      <c r="AI212" s="81">
        <v>3916500</v>
      </c>
      <c r="AJ212" s="81">
        <v>3465300</v>
      </c>
      <c r="AK212" s="81">
        <v>3890400</v>
      </c>
      <c r="AL212" s="81">
        <v>3072600</v>
      </c>
      <c r="AM212" s="81">
        <v>3450400</v>
      </c>
      <c r="AN212" s="81">
        <v>4711800</v>
      </c>
      <c r="AO212" s="81">
        <v>2623200</v>
      </c>
      <c r="AP212" s="81">
        <v>4145900</v>
      </c>
      <c r="AQ212" s="81">
        <v>4621900</v>
      </c>
      <c r="AR212" s="81">
        <v>4448200</v>
      </c>
      <c r="AS212" s="81">
        <v>4360600</v>
      </c>
      <c r="AT212" s="81">
        <v>5041600</v>
      </c>
      <c r="AU212" s="81">
        <v>5212500</v>
      </c>
      <c r="AV212" s="81">
        <v>7712000</v>
      </c>
      <c r="AW212" s="81">
        <v>3797500</v>
      </c>
      <c r="AX212" s="81">
        <v>3687000</v>
      </c>
      <c r="AY212" s="81">
        <v>3811800</v>
      </c>
      <c r="AZ212" s="81">
        <v>3742400</v>
      </c>
      <c r="BA212" s="81">
        <v>3251600</v>
      </c>
      <c r="BB212" s="81">
        <v>4328700</v>
      </c>
      <c r="BC212" s="81">
        <v>4414600</v>
      </c>
      <c r="BD212" s="81">
        <v>3372900</v>
      </c>
      <c r="BE212" s="81">
        <v>5258600</v>
      </c>
      <c r="BF212" s="81">
        <v>5453200</v>
      </c>
      <c r="BG212" s="81">
        <v>3887700</v>
      </c>
      <c r="BH212" s="81">
        <v>3103900</v>
      </c>
      <c r="BI212" s="81">
        <v>4684400</v>
      </c>
      <c r="BJ212" s="81">
        <v>5448900</v>
      </c>
      <c r="BK212" s="81">
        <v>6380200</v>
      </c>
      <c r="BL212" s="81">
        <v>2628900</v>
      </c>
      <c r="BM212" s="80">
        <v>5930400</v>
      </c>
      <c r="BN212" s="80">
        <v>3363300</v>
      </c>
      <c r="BO212" s="80">
        <v>3749900</v>
      </c>
      <c r="BP212" s="80">
        <v>2389900</v>
      </c>
      <c r="BQ212" s="80">
        <v>3932200</v>
      </c>
      <c r="BR212" s="80">
        <v>4930100</v>
      </c>
      <c r="BS212" s="80">
        <v>3375600</v>
      </c>
      <c r="BT212" s="80">
        <v>3105300</v>
      </c>
      <c r="BU212" s="80">
        <v>5111600</v>
      </c>
      <c r="BV212" s="80">
        <v>3812900</v>
      </c>
      <c r="BW212" s="80">
        <v>3779900</v>
      </c>
      <c r="BX212" s="80">
        <v>3179400</v>
      </c>
      <c r="BY212" s="80">
        <v>4180100</v>
      </c>
      <c r="BZ212" s="80">
        <v>4293400</v>
      </c>
    </row>
    <row r="213" spans="1:78" s="80" customFormat="1" ht="18.75" customHeight="1">
      <c r="A213" s="394" t="s">
        <v>417</v>
      </c>
      <c r="B213" s="80" t="s">
        <v>418</v>
      </c>
      <c r="C213" s="81">
        <f>_xll.RssMarket("4004","出来高")</f>
        <v>2974900</v>
      </c>
      <c r="D213" s="82">
        <f t="shared" si="3"/>
        <v>-24500</v>
      </c>
      <c r="E213" s="81">
        <v>2999400</v>
      </c>
      <c r="F213" s="81">
        <v>2346900</v>
      </c>
      <c r="G213" s="81">
        <v>4295100</v>
      </c>
      <c r="H213" s="81">
        <v>3479900</v>
      </c>
      <c r="I213" s="81">
        <v>4257700</v>
      </c>
      <c r="J213" s="81">
        <v>3088500</v>
      </c>
      <c r="K213" s="81">
        <v>2078700</v>
      </c>
      <c r="L213" s="81">
        <v>1455100</v>
      </c>
      <c r="M213" s="81">
        <v>1371000</v>
      </c>
      <c r="N213" s="81">
        <v>2499600</v>
      </c>
      <c r="O213" s="81">
        <v>2123200</v>
      </c>
      <c r="P213" s="81">
        <v>3120500</v>
      </c>
      <c r="Q213" s="81">
        <v>1550900</v>
      </c>
      <c r="R213" s="81">
        <v>1895300</v>
      </c>
      <c r="S213" s="81">
        <v>2204200</v>
      </c>
      <c r="T213" s="81">
        <v>1814000</v>
      </c>
      <c r="U213" s="81">
        <v>2001400</v>
      </c>
      <c r="V213" s="81">
        <v>2461400</v>
      </c>
      <c r="W213" s="81">
        <v>3044900</v>
      </c>
      <c r="X213" s="81">
        <v>2339600</v>
      </c>
      <c r="Y213" s="81">
        <v>3191200</v>
      </c>
      <c r="Z213" s="81">
        <v>2591200</v>
      </c>
      <c r="AA213" s="81">
        <v>2895400</v>
      </c>
      <c r="AB213" s="81">
        <v>1849000</v>
      </c>
      <c r="AC213" s="81">
        <v>2319000</v>
      </c>
      <c r="AD213" s="81">
        <v>3130000</v>
      </c>
      <c r="AE213" s="81">
        <v>2622700</v>
      </c>
      <c r="AF213" s="81">
        <v>2726400</v>
      </c>
      <c r="AG213" s="81">
        <v>3320700</v>
      </c>
      <c r="AH213" s="81">
        <v>2531900</v>
      </c>
      <c r="AI213" s="81">
        <v>3844400</v>
      </c>
      <c r="AJ213" s="81">
        <v>2873600</v>
      </c>
      <c r="AK213" s="81">
        <v>2611900</v>
      </c>
      <c r="AL213" s="81">
        <v>4365600</v>
      </c>
      <c r="AM213" s="81">
        <v>4237800</v>
      </c>
      <c r="AN213" s="81">
        <v>4261100</v>
      </c>
      <c r="AO213" s="81">
        <v>3786500</v>
      </c>
      <c r="AP213" s="81">
        <v>2931600</v>
      </c>
      <c r="AQ213" s="81">
        <v>3666000</v>
      </c>
      <c r="AR213" s="81">
        <v>2100000</v>
      </c>
      <c r="AS213" s="81">
        <v>2720300</v>
      </c>
      <c r="AT213" s="81">
        <v>3537100</v>
      </c>
      <c r="AU213" s="81">
        <v>3219800</v>
      </c>
      <c r="AV213" s="81">
        <v>14244600</v>
      </c>
      <c r="AW213" s="81">
        <v>4344800</v>
      </c>
      <c r="AX213" s="81">
        <v>3310100</v>
      </c>
      <c r="AY213" s="81">
        <v>4334200</v>
      </c>
      <c r="AZ213" s="81">
        <v>4156900</v>
      </c>
      <c r="BA213" s="81">
        <v>4153300</v>
      </c>
      <c r="BB213" s="81">
        <v>2929800</v>
      </c>
      <c r="BC213" s="81">
        <v>3039700</v>
      </c>
      <c r="BD213" s="81">
        <v>3620100</v>
      </c>
      <c r="BE213" s="81">
        <v>4930400</v>
      </c>
      <c r="BF213" s="81">
        <v>7539400</v>
      </c>
      <c r="BG213" s="81">
        <v>4870500</v>
      </c>
      <c r="BH213" s="81">
        <v>4272400</v>
      </c>
      <c r="BI213" s="81">
        <v>3987800</v>
      </c>
      <c r="BJ213" s="81">
        <v>2827400</v>
      </c>
      <c r="BK213" s="81">
        <v>4158600</v>
      </c>
      <c r="BL213" s="81">
        <v>1771800</v>
      </c>
      <c r="BM213" s="80">
        <v>2221600</v>
      </c>
      <c r="BN213" s="80">
        <v>2085700</v>
      </c>
      <c r="BO213" s="80">
        <v>2354700</v>
      </c>
      <c r="BP213" s="80">
        <v>3952800</v>
      </c>
      <c r="BQ213" s="80">
        <v>3961500</v>
      </c>
      <c r="BR213" s="80">
        <v>5223800</v>
      </c>
      <c r="BS213" s="80">
        <v>2825800</v>
      </c>
      <c r="BT213" s="80">
        <v>1539300</v>
      </c>
      <c r="BU213" s="80">
        <v>2094100</v>
      </c>
      <c r="BV213" s="80">
        <v>1422700</v>
      </c>
      <c r="BW213" s="80">
        <v>2680600</v>
      </c>
      <c r="BX213" s="80">
        <v>2121800</v>
      </c>
      <c r="BY213" s="80">
        <v>2217900</v>
      </c>
      <c r="BZ213" s="80">
        <v>2357200</v>
      </c>
    </row>
    <row r="214" spans="1:78" s="80" customFormat="1" ht="18.75" customHeight="1">
      <c r="A214" s="394" t="s">
        <v>419</v>
      </c>
      <c r="B214" s="80" t="s">
        <v>420</v>
      </c>
      <c r="C214" s="81">
        <f>_xll.RssMarket("9519","出来高")</f>
        <v>334400</v>
      </c>
      <c r="D214" s="82">
        <f t="shared" si="3"/>
        <v>-218900</v>
      </c>
      <c r="E214" s="81">
        <v>553300</v>
      </c>
      <c r="F214" s="81">
        <v>636900</v>
      </c>
      <c r="G214" s="81">
        <v>740200</v>
      </c>
      <c r="H214" s="81">
        <v>904200</v>
      </c>
      <c r="I214" s="81">
        <v>685700</v>
      </c>
      <c r="J214" s="81">
        <v>767300</v>
      </c>
      <c r="K214" s="81">
        <v>796400</v>
      </c>
      <c r="L214" s="81">
        <v>811400</v>
      </c>
      <c r="M214" s="81">
        <v>673600</v>
      </c>
      <c r="N214" s="81">
        <v>673400</v>
      </c>
      <c r="O214" s="81">
        <v>769300</v>
      </c>
      <c r="P214" s="81">
        <v>1404900</v>
      </c>
      <c r="Q214" s="81">
        <v>1167300</v>
      </c>
      <c r="R214" s="81">
        <v>788100</v>
      </c>
      <c r="S214" s="81">
        <v>632400</v>
      </c>
      <c r="T214" s="81">
        <v>566800</v>
      </c>
      <c r="U214" s="81">
        <v>568200</v>
      </c>
      <c r="V214" s="81">
        <v>745300</v>
      </c>
      <c r="W214" s="81">
        <v>596200</v>
      </c>
      <c r="X214" s="81">
        <v>921400</v>
      </c>
      <c r="Y214" s="81">
        <v>667900</v>
      </c>
      <c r="Z214" s="81">
        <v>764000</v>
      </c>
      <c r="AA214" s="81">
        <v>776800</v>
      </c>
      <c r="AB214" s="81">
        <v>1778000</v>
      </c>
      <c r="AC214" s="81">
        <v>1417400</v>
      </c>
      <c r="AD214" s="81">
        <v>1221800</v>
      </c>
      <c r="AE214" s="81">
        <v>1354100</v>
      </c>
      <c r="AF214" s="81">
        <v>1873000</v>
      </c>
      <c r="AG214" s="81">
        <v>2340500</v>
      </c>
      <c r="AH214" s="81">
        <v>1432600</v>
      </c>
      <c r="AI214" s="81">
        <v>956000</v>
      </c>
      <c r="AJ214" s="81">
        <v>1032500</v>
      </c>
      <c r="AK214" s="81">
        <v>787600</v>
      </c>
      <c r="AL214" s="81">
        <v>692700</v>
      </c>
      <c r="AM214" s="81">
        <v>1087900</v>
      </c>
      <c r="AN214" s="81">
        <v>573300</v>
      </c>
      <c r="AO214" s="81">
        <v>821600</v>
      </c>
      <c r="AP214" s="81">
        <v>1269200</v>
      </c>
      <c r="AQ214" s="81">
        <v>1475800</v>
      </c>
      <c r="AR214" s="81">
        <v>1880600</v>
      </c>
      <c r="AS214" s="81">
        <v>1440100</v>
      </c>
      <c r="AT214" s="81">
        <v>1713400</v>
      </c>
      <c r="AU214" s="81">
        <v>1749500</v>
      </c>
      <c r="AV214" s="81">
        <v>1557800</v>
      </c>
      <c r="AW214" s="81">
        <v>1330100</v>
      </c>
      <c r="AX214" s="81">
        <v>996700</v>
      </c>
      <c r="AY214" s="81">
        <v>1204700</v>
      </c>
      <c r="AZ214" s="81">
        <v>1344500</v>
      </c>
      <c r="BA214" s="81">
        <v>1505700</v>
      </c>
      <c r="BB214" s="81">
        <v>1943400</v>
      </c>
      <c r="BC214" s="81">
        <v>2372800</v>
      </c>
      <c r="BD214" s="81">
        <v>1436000</v>
      </c>
      <c r="BE214" s="81">
        <v>1571100</v>
      </c>
      <c r="BF214" s="81">
        <v>3271700</v>
      </c>
      <c r="BG214" s="81">
        <v>1402800</v>
      </c>
      <c r="BH214" s="81">
        <v>1475100</v>
      </c>
      <c r="BI214" s="81">
        <v>1555200</v>
      </c>
      <c r="BJ214" s="81">
        <v>1523600</v>
      </c>
      <c r="BK214" s="81">
        <v>1249500</v>
      </c>
      <c r="BL214" s="81">
        <v>1396500</v>
      </c>
      <c r="BM214" s="80">
        <v>1578200</v>
      </c>
      <c r="BN214" s="80">
        <v>1958200</v>
      </c>
      <c r="BO214" s="80">
        <v>1730500</v>
      </c>
      <c r="BP214" s="80">
        <v>2671100</v>
      </c>
      <c r="BQ214" s="80">
        <v>1792400</v>
      </c>
      <c r="BR214" s="80">
        <v>1174700</v>
      </c>
      <c r="BS214" s="80">
        <v>1252800</v>
      </c>
      <c r="BT214" s="80">
        <v>2028900</v>
      </c>
      <c r="BU214" s="80">
        <v>2816500</v>
      </c>
      <c r="BV214" s="80">
        <v>2176400</v>
      </c>
      <c r="BW214" s="80">
        <v>1621300</v>
      </c>
      <c r="BX214" s="80">
        <v>1829200</v>
      </c>
      <c r="BY214" s="80">
        <v>2196200</v>
      </c>
      <c r="BZ214" s="80">
        <v>2138600</v>
      </c>
    </row>
    <row r="215" spans="1:78" s="80" customFormat="1" ht="18.75" customHeight="1">
      <c r="A215" s="394" t="s">
        <v>421</v>
      </c>
      <c r="B215" s="80" t="s">
        <v>422</v>
      </c>
      <c r="C215" s="81">
        <f>_xll.RssMarket("6752","出来高")</f>
        <v>5289800</v>
      </c>
      <c r="D215" s="82">
        <f t="shared" si="3"/>
        <v>-5906800</v>
      </c>
      <c r="E215" s="81">
        <v>11196600</v>
      </c>
      <c r="F215" s="81">
        <v>20470200</v>
      </c>
      <c r="G215" s="81">
        <v>3715000</v>
      </c>
      <c r="H215" s="81">
        <v>14208400</v>
      </c>
      <c r="I215" s="81">
        <v>13158400</v>
      </c>
      <c r="J215" s="81">
        <v>10584600</v>
      </c>
      <c r="K215" s="81">
        <v>6117600</v>
      </c>
      <c r="L215" s="81">
        <v>8822800</v>
      </c>
      <c r="M215" s="81">
        <v>8184700</v>
      </c>
      <c r="N215" s="81">
        <v>11203300</v>
      </c>
      <c r="O215" s="81">
        <v>11240100</v>
      </c>
      <c r="P215" s="81">
        <v>11689200</v>
      </c>
      <c r="Q215" s="81">
        <v>8823300</v>
      </c>
      <c r="R215" s="81">
        <v>13282000</v>
      </c>
      <c r="S215" s="81">
        <v>9452700</v>
      </c>
      <c r="T215" s="81">
        <v>9336700</v>
      </c>
      <c r="U215" s="81">
        <v>10477400</v>
      </c>
      <c r="V215" s="81">
        <v>13708200</v>
      </c>
      <c r="W215" s="81">
        <v>14299000</v>
      </c>
      <c r="X215" s="81">
        <v>11643300</v>
      </c>
      <c r="Y215" s="81">
        <v>16061700</v>
      </c>
      <c r="Z215" s="81">
        <v>18343300</v>
      </c>
      <c r="AA215" s="81">
        <v>16448300</v>
      </c>
      <c r="AB215" s="81">
        <v>12658800</v>
      </c>
      <c r="AC215" s="81">
        <v>17869700</v>
      </c>
      <c r="AD215" s="81">
        <v>14190200</v>
      </c>
      <c r="AE215" s="81">
        <v>16212100</v>
      </c>
      <c r="AF215" s="81">
        <v>24122900</v>
      </c>
      <c r="AG215" s="81">
        <v>12373700</v>
      </c>
      <c r="AH215" s="81">
        <v>13849300</v>
      </c>
      <c r="AI215" s="81">
        <v>16565200</v>
      </c>
      <c r="AJ215" s="81">
        <v>14399900</v>
      </c>
      <c r="AK215" s="81">
        <v>12296100</v>
      </c>
      <c r="AL215" s="81">
        <v>12023600</v>
      </c>
      <c r="AM215" s="81">
        <v>11714100</v>
      </c>
      <c r="AN215" s="81">
        <v>16282100</v>
      </c>
      <c r="AO215" s="81">
        <v>9323500</v>
      </c>
      <c r="AP215" s="81">
        <v>14321600</v>
      </c>
      <c r="AQ215" s="81">
        <v>13293300</v>
      </c>
      <c r="AR215" s="81">
        <v>10487900</v>
      </c>
      <c r="AS215" s="81">
        <v>13402400</v>
      </c>
      <c r="AT215" s="81">
        <v>16005500</v>
      </c>
      <c r="AU215" s="81">
        <v>11490500</v>
      </c>
      <c r="AV215" s="81">
        <v>22141600</v>
      </c>
      <c r="AW215" s="81">
        <v>10582200</v>
      </c>
      <c r="AX215" s="81">
        <v>10089200</v>
      </c>
      <c r="AY215" s="81">
        <v>11042100</v>
      </c>
      <c r="AZ215" s="81">
        <v>10734700</v>
      </c>
      <c r="BA215" s="81">
        <v>9240900</v>
      </c>
      <c r="BB215" s="81">
        <v>8845800</v>
      </c>
      <c r="BC215" s="81">
        <v>6087000</v>
      </c>
      <c r="BD215" s="81">
        <v>7607300</v>
      </c>
      <c r="BE215" s="81">
        <v>14918100</v>
      </c>
      <c r="BF215" s="81">
        <v>13884900</v>
      </c>
      <c r="BG215" s="81">
        <v>14747200</v>
      </c>
      <c r="BH215" s="81">
        <v>11139600</v>
      </c>
      <c r="BI215" s="81">
        <v>11236300</v>
      </c>
      <c r="BJ215" s="81">
        <v>11707600</v>
      </c>
      <c r="BK215" s="81">
        <v>17088700</v>
      </c>
      <c r="BL215" s="81">
        <v>12213500</v>
      </c>
      <c r="BM215" s="80">
        <v>14720800</v>
      </c>
      <c r="BN215" s="80">
        <v>7892400</v>
      </c>
      <c r="BO215" s="80">
        <v>13460700</v>
      </c>
      <c r="BP215" s="80">
        <v>8440700</v>
      </c>
      <c r="BQ215" s="80">
        <v>9092000</v>
      </c>
      <c r="BR215" s="80">
        <v>6724200</v>
      </c>
      <c r="BS215" s="80">
        <v>9019000</v>
      </c>
      <c r="BT215" s="80">
        <v>8048600</v>
      </c>
      <c r="BU215" s="80">
        <v>8182500</v>
      </c>
      <c r="BV215" s="80">
        <v>8106200</v>
      </c>
      <c r="BW215" s="80">
        <v>7239700</v>
      </c>
      <c r="BX215" s="80">
        <v>8035400</v>
      </c>
      <c r="BY215" s="80">
        <v>5818900</v>
      </c>
      <c r="BZ215" s="80">
        <v>9024600</v>
      </c>
    </row>
    <row r="216" spans="1:78" s="80" customFormat="1" ht="18.75" customHeight="1">
      <c r="A216" s="394" t="s">
        <v>423</v>
      </c>
      <c r="B216" s="80" t="s">
        <v>424</v>
      </c>
      <c r="C216" s="81">
        <f>_xll.RssMarket("6622","出来高")</f>
        <v>542800</v>
      </c>
      <c r="D216" s="82">
        <f t="shared" si="3"/>
        <v>-50200</v>
      </c>
      <c r="E216" s="81">
        <v>593000</v>
      </c>
      <c r="F216" s="81">
        <v>370600</v>
      </c>
      <c r="G216" s="81">
        <v>366500</v>
      </c>
      <c r="H216" s="81">
        <v>312300</v>
      </c>
      <c r="I216" s="81">
        <v>368800</v>
      </c>
      <c r="J216" s="81">
        <v>513100</v>
      </c>
      <c r="K216" s="81">
        <v>245300</v>
      </c>
      <c r="L216" s="81">
        <v>120300</v>
      </c>
      <c r="M216" s="81">
        <v>110400</v>
      </c>
      <c r="N216" s="81">
        <v>203200</v>
      </c>
      <c r="O216" s="81">
        <v>203200</v>
      </c>
      <c r="P216" s="81">
        <v>475800</v>
      </c>
      <c r="Q216" s="81">
        <v>177200</v>
      </c>
      <c r="R216" s="81">
        <v>280100</v>
      </c>
      <c r="S216" s="81">
        <v>186200</v>
      </c>
      <c r="T216" s="81">
        <v>229200</v>
      </c>
      <c r="U216" s="81">
        <v>217500</v>
      </c>
      <c r="V216" s="81">
        <v>481000</v>
      </c>
      <c r="W216" s="81">
        <v>268400</v>
      </c>
      <c r="X216" s="81">
        <v>200200</v>
      </c>
      <c r="Y216" s="81">
        <v>219500</v>
      </c>
      <c r="Z216" s="81">
        <v>277000</v>
      </c>
      <c r="AA216" s="81">
        <v>147000</v>
      </c>
      <c r="AB216" s="81">
        <v>191600</v>
      </c>
      <c r="AC216" s="81">
        <v>250600</v>
      </c>
      <c r="AD216" s="81">
        <v>186700</v>
      </c>
      <c r="AE216" s="81">
        <v>167400</v>
      </c>
      <c r="AF216" s="81">
        <v>215900</v>
      </c>
      <c r="AG216" s="81">
        <v>283200</v>
      </c>
      <c r="AH216" s="81">
        <v>283800</v>
      </c>
      <c r="AI216" s="81">
        <v>358200</v>
      </c>
      <c r="AJ216" s="81">
        <v>510500</v>
      </c>
      <c r="AK216" s="81">
        <v>210700</v>
      </c>
      <c r="AL216" s="81">
        <v>185400</v>
      </c>
      <c r="AM216" s="81">
        <v>220300</v>
      </c>
      <c r="AN216" s="81">
        <v>193400</v>
      </c>
      <c r="AO216" s="81">
        <v>221800</v>
      </c>
      <c r="AP216" s="81">
        <v>229700</v>
      </c>
      <c r="AQ216" s="81">
        <v>395800</v>
      </c>
      <c r="AR216" s="81">
        <v>267200</v>
      </c>
      <c r="AS216" s="81">
        <v>186700</v>
      </c>
      <c r="AT216" s="81">
        <v>183800</v>
      </c>
      <c r="AU216" s="81">
        <v>245500</v>
      </c>
      <c r="AV216" s="81">
        <v>240800</v>
      </c>
      <c r="AW216" s="81">
        <v>170400</v>
      </c>
      <c r="AX216" s="81">
        <v>172000</v>
      </c>
      <c r="AY216" s="81">
        <v>222600</v>
      </c>
      <c r="AZ216" s="81">
        <v>198000</v>
      </c>
      <c r="BA216" s="81">
        <v>207100</v>
      </c>
      <c r="BB216" s="81">
        <v>275100</v>
      </c>
      <c r="BC216" s="81">
        <v>231000</v>
      </c>
      <c r="BD216" s="81">
        <v>154600</v>
      </c>
      <c r="BE216" s="81">
        <v>237300</v>
      </c>
      <c r="BF216" s="81">
        <v>264100</v>
      </c>
      <c r="BG216" s="81">
        <v>268300</v>
      </c>
      <c r="BH216" s="81">
        <v>587900</v>
      </c>
      <c r="BI216" s="81">
        <v>423200</v>
      </c>
      <c r="BJ216" s="81">
        <v>272100</v>
      </c>
      <c r="BK216" s="81">
        <v>423200</v>
      </c>
      <c r="BL216" s="81">
        <v>366200</v>
      </c>
      <c r="BM216" s="80">
        <v>378400</v>
      </c>
      <c r="BN216" s="80">
        <v>188900</v>
      </c>
      <c r="BO216" s="80">
        <v>314200</v>
      </c>
      <c r="BP216" s="80">
        <v>117300</v>
      </c>
      <c r="BQ216" s="80">
        <v>152200</v>
      </c>
      <c r="BR216" s="80">
        <v>104600</v>
      </c>
      <c r="BS216" s="80">
        <v>76400</v>
      </c>
      <c r="BT216" s="80">
        <v>69900</v>
      </c>
      <c r="BU216" s="80">
        <v>97100</v>
      </c>
      <c r="BV216" s="80">
        <v>141500</v>
      </c>
      <c r="BW216" s="80">
        <v>160200</v>
      </c>
      <c r="BX216" s="80">
        <v>160800</v>
      </c>
      <c r="BY216" s="80">
        <v>187300</v>
      </c>
      <c r="BZ216" s="80">
        <v>234800</v>
      </c>
    </row>
    <row r="217" spans="1:78" s="80" customFormat="1" ht="18.75" customHeight="1">
      <c r="A217" s="394" t="s">
        <v>425</v>
      </c>
      <c r="B217" s="80" t="s">
        <v>426</v>
      </c>
      <c r="C217" s="81">
        <f>_xll.RssMarket("1407","出来高")</f>
        <v>196300</v>
      </c>
      <c r="D217" s="82">
        <f t="shared" si="3"/>
        <v>-350200</v>
      </c>
      <c r="E217" s="81">
        <v>546500</v>
      </c>
      <c r="F217" s="81">
        <v>400500</v>
      </c>
      <c r="G217" s="81">
        <v>550300</v>
      </c>
      <c r="H217" s="81">
        <v>705200</v>
      </c>
      <c r="I217" s="81">
        <v>469400</v>
      </c>
      <c r="J217" s="81">
        <v>592700</v>
      </c>
      <c r="K217" s="81">
        <v>611900</v>
      </c>
      <c r="L217" s="81">
        <v>667900</v>
      </c>
      <c r="M217" s="81">
        <v>516600</v>
      </c>
      <c r="N217" s="81">
        <v>985300</v>
      </c>
      <c r="O217" s="81">
        <v>1261800</v>
      </c>
      <c r="P217" s="81">
        <v>1063300</v>
      </c>
      <c r="Q217" s="81">
        <v>2288300</v>
      </c>
      <c r="R217" s="81">
        <v>588100</v>
      </c>
      <c r="S217" s="81">
        <v>547000</v>
      </c>
      <c r="T217" s="81">
        <v>789500</v>
      </c>
      <c r="U217" s="81">
        <v>277100</v>
      </c>
      <c r="V217" s="81">
        <v>327300</v>
      </c>
      <c r="W217" s="81">
        <v>463900</v>
      </c>
      <c r="X217" s="81">
        <v>358100</v>
      </c>
      <c r="Y217" s="81">
        <v>261800</v>
      </c>
      <c r="Z217" s="81">
        <v>446400</v>
      </c>
      <c r="AA217" s="81">
        <v>340200</v>
      </c>
      <c r="AB217" s="81">
        <v>323400</v>
      </c>
      <c r="AC217" s="81">
        <v>339200</v>
      </c>
      <c r="AD217" s="81">
        <v>365400</v>
      </c>
      <c r="AE217" s="81">
        <v>417400</v>
      </c>
      <c r="AF217" s="81">
        <v>796700</v>
      </c>
      <c r="AG217" s="81">
        <v>1153400</v>
      </c>
      <c r="AH217" s="81">
        <v>373000</v>
      </c>
      <c r="AI217" s="81">
        <v>545300</v>
      </c>
      <c r="AJ217" s="81">
        <v>301300</v>
      </c>
      <c r="AK217" s="81">
        <v>332800</v>
      </c>
      <c r="AL217" s="81">
        <v>408800</v>
      </c>
      <c r="AM217" s="81">
        <v>541100</v>
      </c>
      <c r="AN217" s="81">
        <v>450200</v>
      </c>
      <c r="AO217" s="81">
        <v>663600</v>
      </c>
      <c r="AP217" s="81">
        <v>639900</v>
      </c>
      <c r="AQ217" s="81">
        <v>458000</v>
      </c>
      <c r="AR217" s="81">
        <v>735100</v>
      </c>
      <c r="AS217" s="81">
        <v>596600</v>
      </c>
      <c r="AT217" s="81">
        <v>632200</v>
      </c>
      <c r="AU217" s="81">
        <v>857000</v>
      </c>
      <c r="AV217" s="81">
        <v>1122600</v>
      </c>
      <c r="AW217" s="81">
        <v>644200</v>
      </c>
      <c r="AX217" s="81">
        <v>661300</v>
      </c>
      <c r="AY217" s="81">
        <v>511800</v>
      </c>
      <c r="AZ217" s="81">
        <v>733800</v>
      </c>
      <c r="BA217" s="81">
        <v>907200</v>
      </c>
      <c r="BB217" s="81">
        <v>794500</v>
      </c>
      <c r="BC217" s="81">
        <v>684400</v>
      </c>
      <c r="BD217" s="81">
        <v>467800</v>
      </c>
      <c r="BE217" s="81">
        <v>609400</v>
      </c>
      <c r="BF217" s="81">
        <v>714300</v>
      </c>
      <c r="BG217" s="81">
        <v>694600</v>
      </c>
      <c r="BH217" s="81">
        <v>1153700</v>
      </c>
      <c r="BI217" s="81">
        <v>746600</v>
      </c>
      <c r="BJ217" s="81">
        <v>708400</v>
      </c>
      <c r="BK217" s="81">
        <v>1297000</v>
      </c>
      <c r="BL217" s="81">
        <v>1520300</v>
      </c>
      <c r="BM217" s="80">
        <v>1548900</v>
      </c>
      <c r="BN217" s="80">
        <v>885400</v>
      </c>
      <c r="BO217" s="80">
        <v>1610400</v>
      </c>
      <c r="BP217" s="80">
        <v>1391900</v>
      </c>
      <c r="BQ217" s="80">
        <v>1043700</v>
      </c>
      <c r="BR217" s="80">
        <v>549000</v>
      </c>
      <c r="BS217" s="80">
        <v>923400</v>
      </c>
      <c r="BT217" s="80">
        <v>996600</v>
      </c>
      <c r="BU217" s="80">
        <v>1357400</v>
      </c>
      <c r="BV217" s="80">
        <v>1902000</v>
      </c>
      <c r="BW217" s="80">
        <v>2113400</v>
      </c>
      <c r="BX217" s="80">
        <v>1755400</v>
      </c>
      <c r="BY217" s="80">
        <v>750200</v>
      </c>
      <c r="BZ217" s="80">
        <v>669900</v>
      </c>
    </row>
    <row r="218" spans="1:78" s="80" customFormat="1" ht="18.75" customHeight="1">
      <c r="A218" s="394" t="s">
        <v>427</v>
      </c>
      <c r="B218" s="80" t="s">
        <v>428</v>
      </c>
      <c r="C218" s="81">
        <f>_xll.RssMarket("285A","出来高")</f>
        <v>36899200</v>
      </c>
      <c r="D218" s="82">
        <f t="shared" si="3"/>
        <v>-14913300</v>
      </c>
      <c r="E218" s="81">
        <v>51812500</v>
      </c>
      <c r="F218" s="81">
        <v>69465900</v>
      </c>
      <c r="G218" s="81">
        <v>1179600</v>
      </c>
      <c r="H218" s="81">
        <v>91539100</v>
      </c>
      <c r="I218" s="81">
        <v>86230700</v>
      </c>
      <c r="J218" s="81">
        <v>39856200</v>
      </c>
      <c r="K218" s="81">
        <v>55872700</v>
      </c>
      <c r="L218" s="81">
        <v>42385500</v>
      </c>
      <c r="M218" s="81">
        <v>39277100</v>
      </c>
      <c r="N218" s="81">
        <v>50463800</v>
      </c>
      <c r="O218" s="81">
        <v>50881700</v>
      </c>
      <c r="P218" s="81">
        <v>41502000</v>
      </c>
      <c r="Q218" s="81">
        <v>37223200</v>
      </c>
      <c r="R218" s="81">
        <v>53216900</v>
      </c>
      <c r="S218" s="81">
        <v>48704800</v>
      </c>
      <c r="T218" s="81">
        <v>39973100</v>
      </c>
      <c r="U218" s="81">
        <v>40044800</v>
      </c>
      <c r="V218" s="81">
        <v>48348100</v>
      </c>
      <c r="W218" s="81">
        <v>46495000</v>
      </c>
      <c r="X218" s="81">
        <v>40153200</v>
      </c>
      <c r="Y218" s="81">
        <v>56815500</v>
      </c>
      <c r="Z218" s="81">
        <v>44758400</v>
      </c>
      <c r="AA218" s="81">
        <v>29322300</v>
      </c>
      <c r="AB218" s="81">
        <v>36393600</v>
      </c>
      <c r="AC218" s="81">
        <v>44715800</v>
      </c>
      <c r="AD218" s="81">
        <v>43906600</v>
      </c>
      <c r="AE218" s="81">
        <v>29128700</v>
      </c>
      <c r="AF218" s="81">
        <v>50209300</v>
      </c>
      <c r="AG218" s="81">
        <v>43844900</v>
      </c>
      <c r="AH218" s="81">
        <v>23790200</v>
      </c>
      <c r="AI218" s="81">
        <v>34871100</v>
      </c>
      <c r="AJ218" s="81">
        <v>30706700</v>
      </c>
      <c r="AK218" s="81">
        <v>28043300</v>
      </c>
      <c r="AL218" s="81">
        <v>36218300</v>
      </c>
      <c r="AM218" s="81">
        <v>33746100</v>
      </c>
      <c r="AN218" s="81">
        <v>38142700</v>
      </c>
      <c r="AO218" s="81">
        <v>50578100</v>
      </c>
      <c r="AP218" s="81">
        <v>39377200</v>
      </c>
      <c r="AQ218" s="81">
        <v>44666500</v>
      </c>
      <c r="AR218" s="81">
        <v>36522900</v>
      </c>
      <c r="AS218" s="81">
        <v>34757400</v>
      </c>
      <c r="AT218" s="81">
        <v>43609900</v>
      </c>
      <c r="AU218" s="81">
        <v>43759900</v>
      </c>
      <c r="AV218" s="81">
        <v>42526500</v>
      </c>
      <c r="AW218" s="81">
        <v>41659000</v>
      </c>
      <c r="AX218" s="81">
        <v>44939300</v>
      </c>
      <c r="AY218" s="81">
        <v>38801400</v>
      </c>
      <c r="AZ218" s="81">
        <v>25359700</v>
      </c>
      <c r="BA218" s="81">
        <v>55514600</v>
      </c>
      <c r="BB218" s="81">
        <v>31479300</v>
      </c>
      <c r="BC218" s="81">
        <v>50094200</v>
      </c>
      <c r="BD218" s="81">
        <v>822500</v>
      </c>
      <c r="BE218" s="81">
        <v>37961800</v>
      </c>
      <c r="BF218" s="81">
        <v>47858500</v>
      </c>
      <c r="BG218" s="81">
        <v>29747400</v>
      </c>
      <c r="BH218" s="81">
        <v>28465500</v>
      </c>
      <c r="BI218" s="81">
        <v>38790300</v>
      </c>
      <c r="BJ218" s="81">
        <v>41407500</v>
      </c>
      <c r="BK218" s="81">
        <v>1272600</v>
      </c>
      <c r="BL218" s="81">
        <v>19165800</v>
      </c>
      <c r="BM218" s="80">
        <v>29168400</v>
      </c>
      <c r="BN218" s="80">
        <v>25822100</v>
      </c>
      <c r="BO218" s="80">
        <v>23623700</v>
      </c>
      <c r="BP218" s="80">
        <v>26027500</v>
      </c>
      <c r="BQ218" s="80">
        <v>37506500</v>
      </c>
      <c r="BR218" s="80">
        <v>33385900</v>
      </c>
      <c r="BS218" s="80">
        <v>25308700</v>
      </c>
      <c r="BT218" s="80">
        <v>34333100</v>
      </c>
      <c r="BU218" s="80">
        <v>43942400</v>
      </c>
      <c r="BV218" s="80">
        <v>46786500</v>
      </c>
      <c r="BW218" s="80">
        <v>40950200</v>
      </c>
      <c r="BX218" s="80">
        <v>46069600</v>
      </c>
      <c r="BY218" s="80">
        <v>34739200</v>
      </c>
      <c r="BZ218" s="80">
        <v>46551200</v>
      </c>
    </row>
    <row r="219" spans="1:78" s="80" customFormat="1" ht="18.75" customHeight="1">
      <c r="A219" s="394" t="s">
        <v>429</v>
      </c>
      <c r="B219" s="80" t="s">
        <v>430</v>
      </c>
      <c r="C219" s="81">
        <f>_xll.RssMarket("141A","出来高")</f>
        <v>216400</v>
      </c>
      <c r="D219" s="82">
        <f t="shared" si="3"/>
        <v>-449800</v>
      </c>
      <c r="E219" s="81">
        <v>666200</v>
      </c>
      <c r="F219" s="81">
        <v>539000</v>
      </c>
      <c r="G219" s="81">
        <v>399700</v>
      </c>
      <c r="H219" s="81">
        <v>454600</v>
      </c>
      <c r="I219" s="81">
        <v>526600</v>
      </c>
      <c r="J219" s="81">
        <v>514300</v>
      </c>
      <c r="K219" s="81">
        <v>292400</v>
      </c>
      <c r="L219" s="81"/>
      <c r="M219" s="81">
        <v>346400</v>
      </c>
      <c r="N219" s="81">
        <v>398100</v>
      </c>
      <c r="O219" s="81">
        <v>268500</v>
      </c>
      <c r="P219" s="81">
        <v>731500</v>
      </c>
      <c r="Q219" s="81">
        <v>330300</v>
      </c>
      <c r="R219" s="81">
        <v>473000</v>
      </c>
      <c r="S219" s="81">
        <v>838000</v>
      </c>
      <c r="T219" s="81">
        <v>370100</v>
      </c>
      <c r="U219" s="81">
        <v>423500</v>
      </c>
      <c r="V219" s="81">
        <v>923100</v>
      </c>
      <c r="W219" s="81">
        <v>1027000</v>
      </c>
      <c r="X219" s="81">
        <v>660900</v>
      </c>
      <c r="Y219" s="81">
        <v>624800</v>
      </c>
      <c r="Z219" s="81">
        <v>771900</v>
      </c>
      <c r="AA219" s="81">
        <v>802900</v>
      </c>
      <c r="AB219" s="81">
        <v>671000</v>
      </c>
      <c r="AC219" s="81">
        <v>700900</v>
      </c>
      <c r="AD219" s="81">
        <v>843500</v>
      </c>
      <c r="AE219" s="81">
        <v>2054500</v>
      </c>
      <c r="AF219" s="81">
        <v>1854100</v>
      </c>
      <c r="AG219" s="81">
        <v>667900</v>
      </c>
      <c r="AH219" s="81">
        <v>561000</v>
      </c>
      <c r="AI219" s="81">
        <v>644700</v>
      </c>
      <c r="AJ219" s="81">
        <v>719200</v>
      </c>
      <c r="AK219" s="81">
        <v>725000</v>
      </c>
      <c r="AL219" s="81">
        <v>708300</v>
      </c>
      <c r="AM219" s="81">
        <v>794600</v>
      </c>
      <c r="AN219" s="81">
        <v>789200</v>
      </c>
      <c r="AO219" s="81">
        <v>1139800</v>
      </c>
      <c r="AP219" s="81">
        <v>716100</v>
      </c>
      <c r="AQ219" s="81">
        <v>948300</v>
      </c>
      <c r="AR219" s="81">
        <v>1158000</v>
      </c>
      <c r="AS219" s="81">
        <v>1114100</v>
      </c>
      <c r="AT219" s="81">
        <v>2080500</v>
      </c>
      <c r="AU219" s="81">
        <v>1351600</v>
      </c>
      <c r="AV219" s="81">
        <v>1052700</v>
      </c>
      <c r="AW219" s="81">
        <v>2342800</v>
      </c>
      <c r="AX219" s="81">
        <v>3547100</v>
      </c>
      <c r="AY219" s="81">
        <v>2116700</v>
      </c>
      <c r="AZ219" s="81">
        <v>1224100</v>
      </c>
      <c r="BA219" s="81">
        <v>2077000</v>
      </c>
      <c r="BB219" s="81">
        <v>2380200</v>
      </c>
      <c r="BC219" s="81">
        <v>3530000</v>
      </c>
      <c r="BD219" s="81">
        <v>6921200</v>
      </c>
      <c r="BE219" s="81">
        <v>2195000</v>
      </c>
      <c r="BF219" s="81">
        <v>1118900</v>
      </c>
      <c r="BG219" s="81">
        <v>768600</v>
      </c>
      <c r="BH219" s="81">
        <v>863800</v>
      </c>
      <c r="BI219" s="81">
        <v>616500</v>
      </c>
      <c r="BJ219" s="81">
        <v>715300</v>
      </c>
      <c r="BK219" s="81">
        <v>1285300</v>
      </c>
      <c r="BL219" s="81">
        <v>658800</v>
      </c>
      <c r="BM219" s="80">
        <v>876900</v>
      </c>
      <c r="BN219" s="80">
        <v>861200</v>
      </c>
      <c r="BO219" s="80">
        <v>975700</v>
      </c>
      <c r="BP219" s="80">
        <v>1418800</v>
      </c>
      <c r="BQ219" s="80">
        <v>1583300</v>
      </c>
      <c r="BR219" s="80">
        <v>742700</v>
      </c>
      <c r="BS219" s="80">
        <v>805400</v>
      </c>
      <c r="BT219" s="80">
        <v>696400</v>
      </c>
      <c r="BU219" s="80">
        <v>517800</v>
      </c>
      <c r="BV219" s="80">
        <v>723500</v>
      </c>
      <c r="BW219" s="80">
        <v>703400</v>
      </c>
      <c r="BX219" s="80">
        <v>802600</v>
      </c>
      <c r="BY219" s="80">
        <v>1808700</v>
      </c>
      <c r="BZ219" s="80">
        <v>1710600</v>
      </c>
    </row>
    <row r="220" spans="1:78" s="80" customFormat="1" ht="18.75" customHeight="1">
      <c r="A220" s="394" t="s">
        <v>431</v>
      </c>
      <c r="B220" s="80" t="s">
        <v>432</v>
      </c>
      <c r="C220" s="81">
        <f>_xll.RssMarket("464A","出来高")</f>
        <v>1053100</v>
      </c>
      <c r="D220" s="82">
        <f t="shared" si="3"/>
        <v>-241600</v>
      </c>
      <c r="E220" s="81">
        <v>1294700</v>
      </c>
      <c r="F220" s="81">
        <v>1013700</v>
      </c>
      <c r="G220" s="81">
        <v>1754700</v>
      </c>
      <c r="H220" s="81">
        <v>1315200</v>
      </c>
      <c r="I220" s="81">
        <v>2379800</v>
      </c>
      <c r="J220" s="81">
        <v>2723400</v>
      </c>
      <c r="K220" s="81">
        <v>2089100</v>
      </c>
      <c r="L220" s="81">
        <v>2223400</v>
      </c>
      <c r="M220" s="81">
        <v>844400</v>
      </c>
      <c r="N220" s="81">
        <v>1780800</v>
      </c>
      <c r="O220" s="81">
        <v>1073700</v>
      </c>
      <c r="P220" s="81">
        <v>2776400</v>
      </c>
      <c r="Q220" s="81">
        <v>2237300</v>
      </c>
      <c r="R220" s="81">
        <v>1375300</v>
      </c>
      <c r="S220" s="81">
        <v>1283800</v>
      </c>
      <c r="T220" s="81">
        <v>848600</v>
      </c>
      <c r="U220" s="81">
        <v>1378700</v>
      </c>
      <c r="V220" s="81">
        <v>2121700</v>
      </c>
      <c r="W220" s="81">
        <v>1311100</v>
      </c>
      <c r="X220" s="81">
        <v>1372400</v>
      </c>
      <c r="Y220" s="81">
        <v>1696900</v>
      </c>
      <c r="Z220" s="81">
        <v>2522900</v>
      </c>
      <c r="AA220" s="81">
        <v>1232500</v>
      </c>
      <c r="AB220" s="81">
        <v>1549500</v>
      </c>
      <c r="AC220" s="81">
        <v>1730000</v>
      </c>
      <c r="AD220" s="81">
        <v>2150600</v>
      </c>
      <c r="AE220" s="81">
        <v>1653400</v>
      </c>
      <c r="AF220" s="81">
        <v>1828500</v>
      </c>
      <c r="AG220" s="81">
        <v>2661500</v>
      </c>
      <c r="AH220" s="81">
        <v>1737000</v>
      </c>
      <c r="AI220" s="81">
        <v>1497500</v>
      </c>
      <c r="AJ220" s="81">
        <v>1841200</v>
      </c>
      <c r="AK220" s="81">
        <v>2611600</v>
      </c>
      <c r="AL220" s="81">
        <v>2807700</v>
      </c>
      <c r="AM220" s="81">
        <v>5799400</v>
      </c>
      <c r="AN220" s="81">
        <v>2837500</v>
      </c>
      <c r="AO220" s="81">
        <v>2251600</v>
      </c>
      <c r="AP220" s="81">
        <v>2352800</v>
      </c>
      <c r="AQ220" s="81">
        <v>2974500</v>
      </c>
      <c r="AR220" s="81">
        <v>3751100</v>
      </c>
      <c r="AS220" s="81">
        <v>3895500</v>
      </c>
      <c r="AT220" s="81">
        <v>2733500</v>
      </c>
      <c r="AU220" s="81">
        <v>4760900</v>
      </c>
      <c r="AV220" s="81">
        <v>4229900</v>
      </c>
      <c r="AW220" s="81">
        <v>3051500</v>
      </c>
      <c r="AX220" s="81">
        <v>3649100</v>
      </c>
      <c r="AY220" s="81">
        <v>3788800</v>
      </c>
      <c r="AZ220" s="81">
        <v>3413500</v>
      </c>
      <c r="BA220" s="81">
        <v>1954800</v>
      </c>
      <c r="BB220" s="81">
        <v>2315600</v>
      </c>
      <c r="BC220" s="81">
        <v>3505600</v>
      </c>
      <c r="BD220" s="81">
        <v>1295100</v>
      </c>
      <c r="BE220" s="81">
        <v>2389500</v>
      </c>
      <c r="BF220" s="81">
        <v>3181800</v>
      </c>
      <c r="BG220" s="81">
        <v>1943400</v>
      </c>
      <c r="BH220" s="81">
        <v>2640800</v>
      </c>
      <c r="BI220" s="81">
        <v>2663400</v>
      </c>
      <c r="BJ220" s="81">
        <v>2611600</v>
      </c>
      <c r="BK220" s="81">
        <v>1827800</v>
      </c>
      <c r="BL220" s="81">
        <v>1381400</v>
      </c>
      <c r="BM220" s="80">
        <v>1937800</v>
      </c>
      <c r="BN220" s="80">
        <v>1767500</v>
      </c>
      <c r="BO220" s="80">
        <v>1962000</v>
      </c>
      <c r="BP220" s="80">
        <v>2251800</v>
      </c>
      <c r="BQ220" s="80">
        <v>2098400</v>
      </c>
      <c r="BR220" s="80">
        <v>2316600</v>
      </c>
      <c r="BS220" s="80">
        <v>2367700</v>
      </c>
      <c r="BT220" s="80">
        <v>2674500</v>
      </c>
      <c r="BU220" s="80">
        <v>2059500</v>
      </c>
      <c r="BV220" s="80">
        <v>2197200</v>
      </c>
      <c r="BW220" s="80">
        <v>3758500</v>
      </c>
      <c r="BX220" s="80">
        <v>5579800</v>
      </c>
      <c r="BY220" s="80">
        <v>2936400</v>
      </c>
      <c r="BZ220" s="80">
        <v>5242000</v>
      </c>
    </row>
    <row r="221" spans="1:78" s="80" customFormat="1" ht="18.75" customHeight="1">
      <c r="A221" s="394" t="s">
        <v>433</v>
      </c>
      <c r="B221" s="80" t="s">
        <v>434</v>
      </c>
      <c r="C221" s="81">
        <f>_xll.RssMarket("485A","出来高")</f>
        <v>3646300</v>
      </c>
      <c r="D221" s="82">
        <f t="shared" si="3"/>
        <v>3646300</v>
      </c>
      <c r="E221" s="81"/>
      <c r="F221" s="81"/>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78" s="80" customFormat="1" ht="18.75" customHeight="1">
      <c r="A222" s="394" t="s">
        <v>435</v>
      </c>
      <c r="B222" s="80" t="str">
        <f>銘柄管理!C222</f>
        <v>ＮＦ日経レバ</v>
      </c>
      <c r="C222" s="81">
        <f>_xll.RssMarket("1570","出来高")</f>
        <v>2326229</v>
      </c>
      <c r="D222" s="82">
        <f t="shared" si="3"/>
        <v>-504545</v>
      </c>
      <c r="E222" s="81">
        <v>2830774</v>
      </c>
      <c r="F222" s="81">
        <v>2805563</v>
      </c>
      <c r="G222" s="81">
        <v>3944571</v>
      </c>
      <c r="H222" s="81">
        <v>3700637</v>
      </c>
      <c r="I222" s="81">
        <v>4061304</v>
      </c>
      <c r="J222" s="81">
        <v>3804587</v>
      </c>
      <c r="K222" s="81">
        <v>2519478</v>
      </c>
      <c r="L222" s="81">
        <v>2937074</v>
      </c>
      <c r="M222" s="81">
        <v>1959786</v>
      </c>
      <c r="N222" s="81">
        <v>2935264</v>
      </c>
      <c r="O222" s="81">
        <v>2845780</v>
      </c>
      <c r="P222" s="81">
        <v>5785171</v>
      </c>
      <c r="Q222" s="81">
        <v>2483889</v>
      </c>
      <c r="R222" s="81">
        <v>3193964</v>
      </c>
      <c r="S222" s="81">
        <v>3548099</v>
      </c>
      <c r="T222" s="81">
        <v>3151703</v>
      </c>
      <c r="U222" s="81">
        <v>2918345</v>
      </c>
      <c r="V222" s="81">
        <v>4345135</v>
      </c>
      <c r="W222" s="81">
        <v>3724712</v>
      </c>
      <c r="X222" s="81">
        <v>3237592</v>
      </c>
      <c r="Y222" s="81">
        <v>4376198</v>
      </c>
      <c r="Z222" s="81">
        <v>3546128</v>
      </c>
      <c r="AA222" s="81">
        <v>3597173</v>
      </c>
      <c r="AB222" s="81">
        <v>3069049</v>
      </c>
      <c r="AC222" s="81">
        <v>2895710</v>
      </c>
      <c r="AD222" s="81">
        <v>4319608</v>
      </c>
      <c r="AE222" s="81">
        <v>4696548</v>
      </c>
      <c r="AF222" s="81">
        <v>4611043</v>
      </c>
      <c r="AG222" s="81">
        <v>4573991</v>
      </c>
      <c r="AH222" s="81">
        <v>4225193</v>
      </c>
      <c r="AI222" s="81">
        <v>4000312</v>
      </c>
      <c r="AJ222" s="81">
        <v>4327118</v>
      </c>
      <c r="AK222" s="81">
        <v>3531747</v>
      </c>
      <c r="AL222" s="81">
        <v>3727403</v>
      </c>
      <c r="AM222" s="81">
        <v>4699146</v>
      </c>
      <c r="AN222" s="81">
        <v>4334803</v>
      </c>
      <c r="AO222" s="81">
        <v>3628212</v>
      </c>
      <c r="AP222" s="81">
        <v>3611391</v>
      </c>
      <c r="AQ222" s="81">
        <v>5626645</v>
      </c>
      <c r="AR222" s="81">
        <v>3457954</v>
      </c>
      <c r="AS222" s="81">
        <v>3110829</v>
      </c>
      <c r="AT222" s="81">
        <v>4783958</v>
      </c>
      <c r="AU222" s="81">
        <v>3756634</v>
      </c>
      <c r="AV222" s="81">
        <v>3451225</v>
      </c>
      <c r="AW222" s="81">
        <v>3466505</v>
      </c>
      <c r="AX222" s="81">
        <v>3259131</v>
      </c>
      <c r="AY222" s="81">
        <v>4388850</v>
      </c>
      <c r="AZ222" s="81">
        <v>3558512</v>
      </c>
      <c r="BA222" s="81">
        <v>3343225</v>
      </c>
      <c r="BB222" s="81">
        <v>4064774</v>
      </c>
      <c r="BC222" s="81">
        <v>2741343</v>
      </c>
      <c r="BD222" s="81">
        <v>3636380</v>
      </c>
      <c r="BE222" s="81">
        <v>3845451</v>
      </c>
      <c r="BF222" s="81">
        <v>3399824</v>
      </c>
      <c r="BG222" s="81">
        <v>3004232</v>
      </c>
      <c r="BH222" s="81">
        <v>3193001</v>
      </c>
      <c r="BI222" s="81">
        <v>2909766</v>
      </c>
      <c r="BJ222" s="81">
        <v>3474800</v>
      </c>
      <c r="BK222" s="81">
        <v>5277286</v>
      </c>
      <c r="BL222" s="81">
        <v>2557450</v>
      </c>
      <c r="BM222" s="80">
        <v>3686395</v>
      </c>
      <c r="BN222" s="80">
        <v>3421994</v>
      </c>
      <c r="BO222" s="80">
        <v>4911486</v>
      </c>
      <c r="BP222" s="80">
        <v>3329257</v>
      </c>
      <c r="BQ222" s="80">
        <v>4975193</v>
      </c>
      <c r="BR222" s="80">
        <v>3203745</v>
      </c>
      <c r="BS222" s="80">
        <v>3306574</v>
      </c>
      <c r="BT222" s="80">
        <v>2502653</v>
      </c>
      <c r="BU222" s="80">
        <v>2842084</v>
      </c>
      <c r="BV222" s="80">
        <v>5218611</v>
      </c>
      <c r="BW222" s="80">
        <v>3257142</v>
      </c>
      <c r="BX222" s="80">
        <v>3780037</v>
      </c>
      <c r="BY222" s="80">
        <v>3041129</v>
      </c>
      <c r="BZ222" s="80">
        <v>3912672</v>
      </c>
    </row>
    <row r="223" spans="1:78" s="80" customFormat="1" ht="18.75" customHeight="1">
      <c r="A223" s="394" t="s">
        <v>436</v>
      </c>
      <c r="B223" s="80" t="str">
        <f>銘柄管理!C223</f>
        <v>牧野フライス</v>
      </c>
      <c r="C223" s="81">
        <f>_xll.RssMarket("6135","出来高")</f>
        <v>203300</v>
      </c>
      <c r="D223" s="82">
        <f t="shared" si="3"/>
        <v>-70200</v>
      </c>
      <c r="E223" s="81">
        <v>273500</v>
      </c>
      <c r="F223" s="80">
        <v>1002700</v>
      </c>
      <c r="G223" s="80">
        <v>601500</v>
      </c>
      <c r="H223" s="80">
        <v>176500</v>
      </c>
      <c r="I223" s="80">
        <v>354200</v>
      </c>
      <c r="J223" s="80">
        <v>306800</v>
      </c>
      <c r="K223" s="80">
        <v>194300</v>
      </c>
      <c r="L223" s="80">
        <v>141800</v>
      </c>
      <c r="M223" s="80">
        <v>281000</v>
      </c>
      <c r="N223" s="80">
        <v>116600</v>
      </c>
      <c r="O223" s="80">
        <v>157200</v>
      </c>
      <c r="P223" s="80">
        <v>334200</v>
      </c>
      <c r="Q223" s="80">
        <v>183100</v>
      </c>
      <c r="R223" s="80">
        <v>110800</v>
      </c>
      <c r="S223" s="80">
        <v>172600</v>
      </c>
      <c r="T223" s="80">
        <v>144200</v>
      </c>
      <c r="U223" s="80">
        <v>153200</v>
      </c>
      <c r="V223" s="80">
        <v>184300</v>
      </c>
      <c r="W223" s="80">
        <v>276000</v>
      </c>
      <c r="X223" s="80">
        <v>107700</v>
      </c>
      <c r="Y223" s="80">
        <v>136300</v>
      </c>
      <c r="Z223" s="80">
        <v>149300</v>
      </c>
      <c r="AA223" s="80">
        <v>149600</v>
      </c>
      <c r="AB223" s="80">
        <v>99300</v>
      </c>
      <c r="AC223" s="80">
        <v>162000</v>
      </c>
      <c r="AD223" s="80">
        <v>223500</v>
      </c>
      <c r="AE223" s="80">
        <v>541000</v>
      </c>
      <c r="AF223" s="80">
        <v>116700</v>
      </c>
      <c r="AG223" s="80">
        <v>95600</v>
      </c>
      <c r="AH223" s="80">
        <v>64700</v>
      </c>
      <c r="AI223" s="80">
        <v>168700</v>
      </c>
      <c r="AJ223" s="80">
        <v>118500</v>
      </c>
      <c r="AK223" s="80">
        <v>117000</v>
      </c>
      <c r="AL223" s="80">
        <v>136300</v>
      </c>
      <c r="AM223" s="80">
        <v>131200</v>
      </c>
      <c r="AN223" s="80">
        <v>190200</v>
      </c>
      <c r="AO223" s="80">
        <v>190000</v>
      </c>
      <c r="AP223" s="80">
        <v>267000</v>
      </c>
      <c r="AQ223" s="80">
        <v>255500</v>
      </c>
      <c r="AR223" s="80">
        <v>313900</v>
      </c>
      <c r="AS223" s="80">
        <v>200400</v>
      </c>
      <c r="AT223" s="80">
        <v>141400</v>
      </c>
      <c r="AU223" s="80">
        <v>273100</v>
      </c>
      <c r="AV223" s="80">
        <v>139700</v>
      </c>
      <c r="AW223" s="80">
        <v>209500</v>
      </c>
      <c r="AX223" s="80">
        <v>149500</v>
      </c>
      <c r="AY223" s="80">
        <v>187300</v>
      </c>
      <c r="AZ223" s="80">
        <v>202600</v>
      </c>
      <c r="BA223" s="80">
        <v>164200</v>
      </c>
      <c r="BB223" s="80">
        <v>280800</v>
      </c>
      <c r="BC223" s="80">
        <v>375700</v>
      </c>
      <c r="BD223" s="80">
        <v>219500</v>
      </c>
      <c r="BE223" s="80">
        <v>226400</v>
      </c>
      <c r="BF223" s="80">
        <v>597000</v>
      </c>
      <c r="BG223" s="80">
        <v>154700</v>
      </c>
      <c r="BH223" s="80">
        <v>196200</v>
      </c>
      <c r="BI223" s="80">
        <v>658600</v>
      </c>
      <c r="BJ223" s="80">
        <v>745300</v>
      </c>
      <c r="BK223" s="80">
        <v>1015100</v>
      </c>
      <c r="BL223" s="80">
        <v>671600</v>
      </c>
      <c r="BM223" s="80">
        <v>182700</v>
      </c>
      <c r="BN223" s="80">
        <v>231300</v>
      </c>
      <c r="BO223" s="80">
        <v>301100</v>
      </c>
      <c r="BP223" s="80">
        <v>982900</v>
      </c>
      <c r="BQ223" s="80">
        <v>1918400</v>
      </c>
      <c r="BR223" s="80">
        <v>37200</v>
      </c>
      <c r="BS223" s="80">
        <v>58600</v>
      </c>
      <c r="BT223" s="80">
        <v>104900</v>
      </c>
      <c r="BU223" s="80">
        <v>87600</v>
      </c>
      <c r="BV223" s="80">
        <v>43000</v>
      </c>
      <c r="BW223" s="80">
        <v>166700</v>
      </c>
      <c r="BX223" s="80">
        <v>81600</v>
      </c>
      <c r="BY223" s="80">
        <v>118000</v>
      </c>
      <c r="BZ223" s="80">
        <v>126700</v>
      </c>
    </row>
    <row r="224" spans="1:78" s="80" customFormat="1" ht="18.75" customHeight="1">
      <c r="A224" s="394" t="s">
        <v>437</v>
      </c>
      <c r="B224" s="80" t="str">
        <f>銘柄管理!C224</f>
        <v>ジャパンマテリアル</v>
      </c>
      <c r="C224" s="81">
        <f>_xll.RssMarket("6055","出来高")</f>
        <v>400500</v>
      </c>
      <c r="D224" s="82">
        <f t="shared" si="3"/>
        <v>-187700</v>
      </c>
      <c r="E224" s="81">
        <v>588200</v>
      </c>
      <c r="F224" s="80">
        <v>830100</v>
      </c>
      <c r="G224" s="80">
        <v>1216800</v>
      </c>
      <c r="H224" s="80">
        <v>752900</v>
      </c>
      <c r="I224" s="80">
        <v>1048000</v>
      </c>
      <c r="J224" s="80">
        <v>741600</v>
      </c>
      <c r="K224" s="80">
        <v>527800</v>
      </c>
      <c r="L224" s="80">
        <v>535100</v>
      </c>
      <c r="M224" s="80">
        <v>664500</v>
      </c>
      <c r="N224" s="80">
        <v>651100</v>
      </c>
      <c r="O224" s="80">
        <v>656600</v>
      </c>
      <c r="P224" s="80">
        <v>1072100</v>
      </c>
      <c r="Q224" s="80">
        <v>671300</v>
      </c>
      <c r="R224" s="80">
        <v>1016700</v>
      </c>
      <c r="S224" s="80">
        <v>907600</v>
      </c>
      <c r="T224" s="80">
        <v>1186000</v>
      </c>
      <c r="U224" s="80">
        <v>907100</v>
      </c>
      <c r="V224" s="80">
        <v>1672500</v>
      </c>
      <c r="W224" s="80">
        <v>2493500</v>
      </c>
      <c r="X224" s="80">
        <v>754500</v>
      </c>
      <c r="Y224" s="80">
        <v>1071300</v>
      </c>
      <c r="Z224" s="80">
        <v>835000</v>
      </c>
      <c r="AA224" s="80">
        <v>900800</v>
      </c>
      <c r="AB224" s="80">
        <v>749500</v>
      </c>
      <c r="AC224" s="80">
        <v>913700</v>
      </c>
      <c r="AD224" s="80">
        <v>1158300</v>
      </c>
      <c r="AE224" s="80">
        <v>1250200</v>
      </c>
      <c r="AF224" s="80">
        <v>1048900</v>
      </c>
      <c r="AG224" s="80">
        <v>1411100</v>
      </c>
      <c r="AH224" s="80">
        <v>1241500</v>
      </c>
      <c r="AI224" s="80">
        <v>714600</v>
      </c>
      <c r="AJ224" s="80">
        <v>853100</v>
      </c>
      <c r="AK224" s="80">
        <v>721200</v>
      </c>
      <c r="AL224" s="80">
        <v>1154700</v>
      </c>
      <c r="AM224" s="80">
        <v>1216200</v>
      </c>
      <c r="AN224" s="80">
        <v>937500</v>
      </c>
      <c r="AO224" s="80">
        <v>669700</v>
      </c>
      <c r="AP224" s="80">
        <v>935100</v>
      </c>
      <c r="AQ224" s="80">
        <v>1110700</v>
      </c>
      <c r="AR224" s="80">
        <v>2016900</v>
      </c>
      <c r="AS224" s="80">
        <v>2493100</v>
      </c>
      <c r="AT224" s="80">
        <v>1079200</v>
      </c>
      <c r="AU224" s="80">
        <v>855600</v>
      </c>
      <c r="AV224" s="80">
        <v>662600</v>
      </c>
      <c r="AW224" s="80">
        <v>655200</v>
      </c>
      <c r="AX224" s="80">
        <v>780400</v>
      </c>
      <c r="AY224" s="80">
        <v>939200</v>
      </c>
      <c r="AZ224" s="80">
        <v>625300</v>
      </c>
      <c r="BA224" s="80">
        <v>715300</v>
      </c>
      <c r="BB224" s="80">
        <v>689100</v>
      </c>
      <c r="BC224" s="80">
        <v>1158900</v>
      </c>
      <c r="BD224" s="80">
        <v>1183600</v>
      </c>
      <c r="BE224" s="80">
        <v>948300</v>
      </c>
      <c r="BF224" s="80">
        <v>1529800</v>
      </c>
      <c r="BG224" s="80">
        <v>1436600</v>
      </c>
      <c r="BH224" s="80">
        <v>1565800</v>
      </c>
      <c r="BI224" s="80">
        <v>1322900</v>
      </c>
      <c r="BJ224" s="80">
        <v>841900</v>
      </c>
      <c r="BK224" s="80">
        <v>1164800</v>
      </c>
      <c r="BL224" s="80">
        <v>467000</v>
      </c>
      <c r="BM224" s="80">
        <v>543900</v>
      </c>
      <c r="BN224" s="80">
        <v>630200</v>
      </c>
      <c r="BO224" s="80">
        <v>522900</v>
      </c>
      <c r="BP224" s="80">
        <v>449300</v>
      </c>
      <c r="BQ224" s="80">
        <v>817600</v>
      </c>
      <c r="BR224" s="80">
        <v>359500</v>
      </c>
      <c r="BS224" s="80">
        <v>302500</v>
      </c>
      <c r="BT224" s="80">
        <v>402600</v>
      </c>
      <c r="BU224" s="80">
        <v>374100</v>
      </c>
      <c r="BV224" s="80">
        <v>497500</v>
      </c>
      <c r="BW224" s="80">
        <v>677100</v>
      </c>
      <c r="BX224" s="80">
        <v>1025700</v>
      </c>
      <c r="BY224" s="80">
        <v>729900</v>
      </c>
      <c r="BZ224" s="80">
        <v>712700</v>
      </c>
    </row>
    <row r="225" spans="1:78" s="80" customFormat="1" ht="18.75" customHeight="1">
      <c r="A225" s="394" t="s">
        <v>438</v>
      </c>
      <c r="B225" s="80" t="str">
        <f>銘柄管理!C225</f>
        <v>ミナトホールディングス</v>
      </c>
      <c r="C225" s="80">
        <f>_xll.RssMarket("6862","出来高")</f>
        <v>214800</v>
      </c>
      <c r="D225" s="82">
        <f t="shared" si="3"/>
        <v>-97000</v>
      </c>
      <c r="E225" s="81">
        <v>311800</v>
      </c>
      <c r="F225" s="80">
        <v>257500</v>
      </c>
      <c r="G225" s="80">
        <v>586400</v>
      </c>
      <c r="H225" s="80">
        <v>1135400</v>
      </c>
      <c r="I225" s="80">
        <v>357600</v>
      </c>
      <c r="J225" s="80">
        <v>297000</v>
      </c>
      <c r="K225" s="80">
        <v>112000</v>
      </c>
      <c r="L225" s="80">
        <v>109600</v>
      </c>
      <c r="M225" s="80">
        <v>118400</v>
      </c>
      <c r="N225" s="80">
        <v>198100</v>
      </c>
      <c r="O225" s="80">
        <v>155500</v>
      </c>
      <c r="P225" s="80">
        <v>465600</v>
      </c>
      <c r="Q225" s="80">
        <v>79600</v>
      </c>
      <c r="R225" s="80">
        <v>81300</v>
      </c>
      <c r="S225" s="80">
        <v>87800</v>
      </c>
      <c r="T225" s="80">
        <v>99900</v>
      </c>
      <c r="U225" s="80">
        <v>79900</v>
      </c>
      <c r="V225" s="80">
        <v>193500</v>
      </c>
      <c r="W225" s="80">
        <v>166800</v>
      </c>
      <c r="X225" s="80">
        <v>111000</v>
      </c>
      <c r="Y225" s="80">
        <v>171500</v>
      </c>
      <c r="Z225" s="80">
        <v>168300</v>
      </c>
      <c r="AA225" s="80">
        <v>129600</v>
      </c>
      <c r="AB225" s="80">
        <v>135200</v>
      </c>
      <c r="AC225" s="80">
        <v>252500</v>
      </c>
      <c r="AD225" s="80">
        <v>297200</v>
      </c>
      <c r="AE225" s="80">
        <v>506200</v>
      </c>
      <c r="AF225" s="80">
        <v>379600</v>
      </c>
      <c r="AG225" s="80">
        <v>711000</v>
      </c>
      <c r="AH225" s="80">
        <v>1227300</v>
      </c>
      <c r="AI225" s="80">
        <v>1402000</v>
      </c>
      <c r="AJ225" s="80">
        <v>360000</v>
      </c>
      <c r="AK225" s="80">
        <v>393000</v>
      </c>
      <c r="AL225" s="80">
        <v>347400</v>
      </c>
      <c r="AM225" s="80">
        <v>234700</v>
      </c>
      <c r="AN225" s="80">
        <v>215100</v>
      </c>
      <c r="AO225" s="80">
        <v>332900</v>
      </c>
      <c r="AP225" s="80">
        <v>508300</v>
      </c>
      <c r="AQ225" s="80">
        <v>416000</v>
      </c>
      <c r="AR225" s="80">
        <v>273500</v>
      </c>
      <c r="AS225" s="80">
        <v>327400</v>
      </c>
      <c r="AT225" s="80">
        <v>399300</v>
      </c>
      <c r="AU225" s="80">
        <v>487400</v>
      </c>
      <c r="AV225" s="80">
        <v>385200</v>
      </c>
      <c r="AW225" s="80">
        <v>551700</v>
      </c>
      <c r="AX225" s="80">
        <v>661900</v>
      </c>
      <c r="AY225" s="80">
        <v>534100</v>
      </c>
      <c r="AZ225" s="80">
        <v>386300</v>
      </c>
      <c r="BA225" s="80">
        <v>607900</v>
      </c>
      <c r="BB225" s="80">
        <v>566000</v>
      </c>
      <c r="BC225" s="80">
        <v>659200</v>
      </c>
      <c r="BD225" s="80">
        <v>671100</v>
      </c>
      <c r="BE225" s="80">
        <v>952900</v>
      </c>
      <c r="BF225" s="80">
        <v>2008500</v>
      </c>
      <c r="BG225" s="80">
        <v>45200</v>
      </c>
      <c r="BH225" s="80">
        <v>992200</v>
      </c>
      <c r="BI225" s="80">
        <v>1432200</v>
      </c>
      <c r="BJ225" s="80">
        <v>914500</v>
      </c>
      <c r="BK225" s="80">
        <v>1237800</v>
      </c>
      <c r="BL225" s="80">
        <v>825100</v>
      </c>
      <c r="BM225" s="80">
        <v>879400</v>
      </c>
      <c r="BN225" s="80">
        <v>321900</v>
      </c>
      <c r="BO225" s="80">
        <v>784400</v>
      </c>
      <c r="BP225" s="80">
        <v>441100</v>
      </c>
      <c r="BQ225" s="80">
        <v>268500</v>
      </c>
      <c r="BR225" s="80">
        <v>267700</v>
      </c>
      <c r="BS225" s="80">
        <v>210100</v>
      </c>
      <c r="BT225" s="80">
        <v>491200</v>
      </c>
      <c r="BU225" s="80">
        <v>213700</v>
      </c>
      <c r="BV225" s="80">
        <v>291500</v>
      </c>
      <c r="BW225" s="80">
        <v>714200</v>
      </c>
      <c r="BX225" s="80">
        <v>817000</v>
      </c>
      <c r="BY225" s="80">
        <v>464700</v>
      </c>
      <c r="BZ225" s="80">
        <v>491400</v>
      </c>
    </row>
    <row r="226" spans="1:78" s="80" customFormat="1" ht="18.75" customHeight="1">
      <c r="A226" s="394" t="s">
        <v>439</v>
      </c>
      <c r="B226" s="80" t="str">
        <f>銘柄管理!C226</f>
        <v>ヤクルト</v>
      </c>
      <c r="C226" s="80">
        <f>_xll.RssMarket("2267","出来高")</f>
        <v>736400</v>
      </c>
      <c r="D226" s="82">
        <f t="shared" si="3"/>
        <v>-537300</v>
      </c>
      <c r="E226" s="81">
        <v>1273700</v>
      </c>
      <c r="F226" s="80">
        <v>1703200</v>
      </c>
      <c r="G226" s="80">
        <v>4328100</v>
      </c>
      <c r="H226" s="80">
        <v>2031400</v>
      </c>
      <c r="I226" s="80">
        <v>1647900</v>
      </c>
      <c r="J226" s="80">
        <v>850600</v>
      </c>
      <c r="K226" s="80">
        <v>1074600</v>
      </c>
      <c r="L226" s="80">
        <v>1368300</v>
      </c>
      <c r="M226" s="80">
        <v>965100</v>
      </c>
      <c r="N226" s="80">
        <v>1027300</v>
      </c>
      <c r="O226" s="80">
        <v>1075400</v>
      </c>
      <c r="P226" s="80">
        <v>1429400</v>
      </c>
      <c r="Q226" s="80">
        <v>778200</v>
      </c>
      <c r="R226" s="80">
        <v>1684500</v>
      </c>
      <c r="S226" s="80">
        <v>819800</v>
      </c>
      <c r="T226" s="80">
        <v>815700</v>
      </c>
      <c r="U226" s="80">
        <v>940600</v>
      </c>
      <c r="V226" s="80">
        <v>1090600</v>
      </c>
      <c r="W226" s="80">
        <v>914900</v>
      </c>
      <c r="X226" s="80">
        <v>832000</v>
      </c>
      <c r="Y226" s="80">
        <v>1042800</v>
      </c>
      <c r="Z226" s="80">
        <v>941000</v>
      </c>
      <c r="AA226" s="80">
        <v>853000</v>
      </c>
      <c r="AB226" s="80">
        <v>911500</v>
      </c>
      <c r="AC226" s="80">
        <v>801100</v>
      </c>
      <c r="AD226" s="80">
        <v>830000</v>
      </c>
      <c r="AE226" s="80">
        <v>749600</v>
      </c>
      <c r="AF226" s="80">
        <v>808600</v>
      </c>
      <c r="AG226" s="80">
        <v>1013500</v>
      </c>
      <c r="AH226" s="80">
        <v>946500</v>
      </c>
      <c r="AI226" s="80">
        <v>1271400</v>
      </c>
      <c r="AJ226" s="80">
        <v>1202300</v>
      </c>
      <c r="AK226" s="80">
        <v>1082900</v>
      </c>
      <c r="AL226" s="80">
        <v>889300</v>
      </c>
      <c r="AM226" s="80">
        <v>790300</v>
      </c>
      <c r="AN226" s="80">
        <v>1450200</v>
      </c>
      <c r="AO226" s="80">
        <v>778400</v>
      </c>
      <c r="AP226" s="80">
        <v>1324200</v>
      </c>
      <c r="AQ226" s="80">
        <v>1104100</v>
      </c>
      <c r="AR226" s="80">
        <v>1123400</v>
      </c>
      <c r="AS226" s="80">
        <v>1102200</v>
      </c>
      <c r="AT226" s="80">
        <v>800300</v>
      </c>
      <c r="AU226" s="80">
        <v>1387900</v>
      </c>
      <c r="AV226" s="80">
        <v>1532600</v>
      </c>
      <c r="AW226" s="80">
        <v>1153700</v>
      </c>
      <c r="AX226" s="80">
        <v>1150600</v>
      </c>
      <c r="AY226" s="80">
        <v>1175800</v>
      </c>
      <c r="AZ226" s="80">
        <v>1293600</v>
      </c>
      <c r="BA226" s="80">
        <v>831800</v>
      </c>
      <c r="BB226" s="80">
        <v>978600</v>
      </c>
      <c r="BC226" s="80">
        <v>1137500</v>
      </c>
      <c r="BD226" s="80">
        <v>1387100</v>
      </c>
      <c r="BE226" s="80">
        <v>1514400</v>
      </c>
      <c r="BF226" s="80">
        <v>1391500</v>
      </c>
      <c r="BG226" s="80">
        <v>2639800</v>
      </c>
      <c r="BH226" s="80">
        <v>4652000</v>
      </c>
      <c r="BI226" s="80">
        <v>1974000</v>
      </c>
      <c r="BJ226" s="80">
        <v>2212000</v>
      </c>
      <c r="BK226" s="80">
        <v>3267500</v>
      </c>
      <c r="BL226" s="80">
        <v>9656600</v>
      </c>
      <c r="BM226" s="80">
        <v>1359900</v>
      </c>
      <c r="BN226" s="80">
        <v>1032200</v>
      </c>
      <c r="BO226" s="80">
        <v>1699000</v>
      </c>
      <c r="BP226" s="80">
        <v>10606000</v>
      </c>
      <c r="BQ226" s="80">
        <v>1277800</v>
      </c>
      <c r="BR226" s="80">
        <v>1065000</v>
      </c>
      <c r="BS226" s="80">
        <v>811600</v>
      </c>
      <c r="BT226" s="80">
        <v>1165000</v>
      </c>
      <c r="BU226" s="80">
        <v>1042000</v>
      </c>
      <c r="BV226" s="80">
        <v>1106400</v>
      </c>
      <c r="BW226" s="80">
        <v>1062100</v>
      </c>
      <c r="BX226" s="80">
        <v>837400</v>
      </c>
      <c r="BY226" s="80">
        <v>742700</v>
      </c>
      <c r="BZ226" s="80">
        <v>1053100</v>
      </c>
    </row>
    <row r="227" spans="1:78" s="80" customFormat="1" ht="18.75" customHeight="1">
      <c r="A227" s="394" t="s">
        <v>440</v>
      </c>
      <c r="B227" s="80" t="str">
        <f>銘柄管理!C227</f>
        <v>ＮＦエネ資源Ｔ１７</v>
      </c>
      <c r="C227" s="80">
        <f>_xll.RssMarket("1618","出来高")</f>
        <v>731</v>
      </c>
      <c r="D227" s="82">
        <f t="shared" si="3"/>
        <v>-18</v>
      </c>
      <c r="E227" s="81">
        <v>749</v>
      </c>
      <c r="F227" s="80">
        <v>1685</v>
      </c>
      <c r="G227" s="80">
        <v>972</v>
      </c>
      <c r="H227" s="80">
        <v>2602</v>
      </c>
      <c r="I227" s="80">
        <v>1041</v>
      </c>
      <c r="J227" s="80">
        <v>1011</v>
      </c>
      <c r="K227" s="80">
        <v>1253</v>
      </c>
      <c r="L227" s="80">
        <v>1462</v>
      </c>
      <c r="M227" s="80">
        <v>1133</v>
      </c>
      <c r="N227" s="80">
        <v>682</v>
      </c>
      <c r="O227" s="80">
        <v>1128</v>
      </c>
      <c r="P227" s="80">
        <v>1478</v>
      </c>
      <c r="Q227" s="80">
        <v>1070</v>
      </c>
      <c r="R227" s="80">
        <v>1405</v>
      </c>
      <c r="S227" s="80">
        <v>1046</v>
      </c>
      <c r="T227" s="80">
        <v>362</v>
      </c>
      <c r="U227" s="80">
        <v>1362</v>
      </c>
      <c r="V227" s="80">
        <v>1695</v>
      </c>
      <c r="W227" s="80">
        <v>3332</v>
      </c>
      <c r="X227" s="80">
        <v>1302</v>
      </c>
      <c r="Y227" s="80">
        <v>3366</v>
      </c>
      <c r="Z227" s="80">
        <v>694</v>
      </c>
      <c r="AA227" s="80">
        <v>449</v>
      </c>
      <c r="AB227" s="80">
        <v>620</v>
      </c>
      <c r="AC227" s="80">
        <v>1130</v>
      </c>
      <c r="AD227" s="80">
        <v>803</v>
      </c>
      <c r="AE227" s="80">
        <v>976</v>
      </c>
      <c r="AF227" s="80">
        <v>545</v>
      </c>
      <c r="AG227" s="80">
        <v>1238</v>
      </c>
      <c r="AH227" s="80">
        <v>577</v>
      </c>
      <c r="AI227" s="80">
        <v>1087</v>
      </c>
      <c r="AJ227" s="80">
        <v>639</v>
      </c>
      <c r="AK227" s="80">
        <v>968</v>
      </c>
      <c r="AL227" s="80">
        <v>2516</v>
      </c>
      <c r="AM227" s="80">
        <v>3584</v>
      </c>
      <c r="AN227" s="80">
        <v>2989</v>
      </c>
      <c r="AO227" s="80">
        <v>1228</v>
      </c>
      <c r="AP227" s="80">
        <v>871</v>
      </c>
      <c r="AQ227" s="80">
        <v>580</v>
      </c>
      <c r="AR227" s="80">
        <v>445</v>
      </c>
      <c r="AS227" s="80">
        <v>390</v>
      </c>
      <c r="AT227" s="80">
        <v>1200</v>
      </c>
      <c r="AU227" s="80">
        <v>1162</v>
      </c>
      <c r="AV227" s="80">
        <v>1622</v>
      </c>
      <c r="AW227" s="80">
        <v>879</v>
      </c>
      <c r="AX227" s="80">
        <v>700</v>
      </c>
      <c r="AY227" s="80">
        <v>1831</v>
      </c>
      <c r="AZ227" s="80">
        <v>685</v>
      </c>
      <c r="BA227" s="80">
        <v>2047</v>
      </c>
      <c r="BB227" s="80">
        <v>987</v>
      </c>
      <c r="BC227" s="80">
        <v>1465</v>
      </c>
      <c r="BD227" s="80">
        <v>1336</v>
      </c>
      <c r="BE227" s="80">
        <v>1892</v>
      </c>
      <c r="BF227" s="80">
        <v>3278</v>
      </c>
      <c r="BG227" s="80">
        <v>3590</v>
      </c>
      <c r="BH227" s="80">
        <v>2844</v>
      </c>
      <c r="BI227" s="80">
        <v>2228</v>
      </c>
      <c r="BJ227" s="80">
        <v>1558</v>
      </c>
      <c r="BK227" s="80">
        <v>4479</v>
      </c>
      <c r="BL227" s="80">
        <v>1259</v>
      </c>
      <c r="BM227" s="80">
        <v>2215</v>
      </c>
      <c r="BN227" s="80">
        <v>2442</v>
      </c>
      <c r="BO227" s="80">
        <v>3201</v>
      </c>
      <c r="BP227" s="80">
        <v>2376</v>
      </c>
      <c r="BQ227" s="80">
        <v>4246</v>
      </c>
      <c r="BR227" s="80">
        <v>2099</v>
      </c>
      <c r="BS227" s="80">
        <v>2321</v>
      </c>
      <c r="BT227" s="80">
        <v>3096</v>
      </c>
      <c r="BU227" s="80">
        <v>1987</v>
      </c>
      <c r="BV227" s="80">
        <v>1577</v>
      </c>
      <c r="BW227" s="80">
        <v>1982</v>
      </c>
      <c r="BX227" s="80">
        <v>3528</v>
      </c>
      <c r="BY227" s="80">
        <v>6594</v>
      </c>
      <c r="BZ227" s="80">
        <v>3631</v>
      </c>
    </row>
    <row r="228" spans="1:78" s="80" customFormat="1" ht="18.75" customHeight="1">
      <c r="A228" s="394" t="s">
        <v>441</v>
      </c>
      <c r="B228" s="80" t="str">
        <f>銘柄管理!C228</f>
        <v>セレス</v>
      </c>
      <c r="C228" s="80">
        <f>_xll.RssMarket("3696","出来高")</f>
        <v>64900</v>
      </c>
      <c r="D228" s="82">
        <f t="shared" si="3"/>
        <v>64900</v>
      </c>
      <c r="E228" s="81"/>
    </row>
    <row r="229" spans="1:78" s="80" customFormat="1" ht="18.75" customHeight="1">
      <c r="A229" s="394" t="s">
        <v>442</v>
      </c>
      <c r="B229" s="80" t="str">
        <f>銘柄管理!C229</f>
        <v>児玉化学</v>
      </c>
      <c r="C229" s="80">
        <f>_xll.RssMarket("4222","出来高")</f>
        <v>193400</v>
      </c>
      <c r="D229" s="82">
        <f t="shared" si="3"/>
        <v>2900</v>
      </c>
      <c r="E229" s="81">
        <v>190500</v>
      </c>
      <c r="F229" s="80">
        <v>200900</v>
      </c>
      <c r="G229" s="80">
        <v>220900</v>
      </c>
      <c r="H229" s="80">
        <v>190900</v>
      </c>
      <c r="I229" s="80">
        <v>351500</v>
      </c>
      <c r="J229" s="80">
        <v>287800</v>
      </c>
      <c r="K229" s="80">
        <v>178500</v>
      </c>
      <c r="M229" s="80">
        <v>95700</v>
      </c>
      <c r="N229" s="80">
        <v>140500</v>
      </c>
      <c r="O229" s="80">
        <v>184200</v>
      </c>
      <c r="P229" s="80">
        <v>383500</v>
      </c>
      <c r="Q229" s="80">
        <v>197000</v>
      </c>
      <c r="R229" s="80">
        <v>147200</v>
      </c>
      <c r="S229" s="80">
        <v>194600</v>
      </c>
      <c r="T229" s="80">
        <v>145700</v>
      </c>
      <c r="U229" s="80">
        <v>112300</v>
      </c>
      <c r="V229" s="80">
        <v>214200</v>
      </c>
      <c r="W229" s="80">
        <v>171100</v>
      </c>
      <c r="X229" s="80">
        <v>146800</v>
      </c>
      <c r="Y229" s="80">
        <v>141600</v>
      </c>
      <c r="Z229" s="80">
        <v>240600</v>
      </c>
      <c r="AA229" s="80">
        <v>82000</v>
      </c>
      <c r="AB229" s="80">
        <v>173700</v>
      </c>
      <c r="AC229" s="80">
        <v>155900</v>
      </c>
      <c r="AD229" s="80">
        <v>131300</v>
      </c>
      <c r="AE229" s="80">
        <v>145700</v>
      </c>
      <c r="AF229" s="80">
        <v>196100</v>
      </c>
      <c r="AG229" s="80">
        <v>252300</v>
      </c>
      <c r="AH229" s="80">
        <v>313700</v>
      </c>
      <c r="AI229" s="80">
        <v>120500</v>
      </c>
      <c r="AJ229" s="80">
        <v>243900</v>
      </c>
      <c r="AK229" s="80">
        <v>197200</v>
      </c>
      <c r="AL229" s="80">
        <v>198200</v>
      </c>
      <c r="AM229" s="80">
        <v>334700</v>
      </c>
      <c r="AN229" s="80">
        <v>231600</v>
      </c>
      <c r="AO229" s="80">
        <v>298300</v>
      </c>
      <c r="AP229" s="80">
        <v>383600</v>
      </c>
      <c r="AQ229" s="80">
        <v>255800</v>
      </c>
      <c r="AR229" s="80">
        <v>140800</v>
      </c>
      <c r="AS229" s="80">
        <v>153800</v>
      </c>
      <c r="AT229" s="80">
        <v>221400</v>
      </c>
      <c r="AU229" s="80">
        <v>356700</v>
      </c>
      <c r="AV229" s="80">
        <v>147700</v>
      </c>
      <c r="AW229" s="80">
        <v>174100</v>
      </c>
      <c r="AX229" s="80">
        <v>248600</v>
      </c>
      <c r="AY229" s="80">
        <v>204600</v>
      </c>
      <c r="AZ229" s="80">
        <v>309800</v>
      </c>
      <c r="BA229" s="80">
        <v>232500</v>
      </c>
      <c r="BB229" s="80">
        <v>535800</v>
      </c>
      <c r="BC229" s="80">
        <v>502700</v>
      </c>
      <c r="BD229" s="80">
        <v>977600</v>
      </c>
      <c r="BE229" s="80">
        <v>1565300</v>
      </c>
      <c r="BF229" s="80">
        <v>501500</v>
      </c>
      <c r="BG229" s="80">
        <v>359500</v>
      </c>
      <c r="BH229" s="80">
        <v>1022100</v>
      </c>
      <c r="BI229" s="80">
        <v>466800</v>
      </c>
      <c r="BJ229" s="80">
        <v>175000</v>
      </c>
      <c r="BK229" s="80">
        <v>217400</v>
      </c>
      <c r="BL229" s="80">
        <v>213800</v>
      </c>
      <c r="BM229" s="80">
        <v>144800</v>
      </c>
      <c r="BN229" s="80">
        <v>195600</v>
      </c>
      <c r="BO229" s="80">
        <v>185400</v>
      </c>
      <c r="BP229" s="80">
        <v>280400</v>
      </c>
      <c r="BQ229" s="80">
        <v>210000</v>
      </c>
      <c r="BR229" s="80">
        <v>271400</v>
      </c>
      <c r="BS229" s="80">
        <v>245900</v>
      </c>
      <c r="BT229" s="80">
        <v>364700</v>
      </c>
      <c r="BU229" s="80">
        <v>261400</v>
      </c>
      <c r="BV229" s="80">
        <v>242300</v>
      </c>
      <c r="BW229" s="80">
        <v>349700</v>
      </c>
      <c r="BX229" s="80">
        <v>293000</v>
      </c>
      <c r="BY229" s="80">
        <v>160400</v>
      </c>
      <c r="BZ229" s="80">
        <v>309300</v>
      </c>
    </row>
    <row r="230" spans="1:78" s="80" customFormat="1" ht="18.75" customHeight="1">
      <c r="A230" s="394" t="s">
        <v>443</v>
      </c>
      <c r="B230" s="80" t="str">
        <f>銘柄管理!C230</f>
        <v>ＦＯＯＤ＆ＬＩＦＥＣＯＭＰＡＮ</v>
      </c>
      <c r="C230" s="80">
        <f>_xll.RssMarket("3563","出来高")</f>
        <v>1151700</v>
      </c>
      <c r="D230" s="82">
        <f t="shared" si="3"/>
        <v>1151700</v>
      </c>
    </row>
    <row r="231" spans="1:78" s="80" customFormat="1" ht="18.75" customHeight="1">
      <c r="A231" s="394" t="s">
        <v>444</v>
      </c>
      <c r="B231" s="80" t="str">
        <f>銘柄管理!C231</f>
        <v>ＩＨＩ</v>
      </c>
      <c r="C231" s="80">
        <f>_xll.RssMarket("7013","出来高")</f>
        <v>29264100</v>
      </c>
      <c r="D231" s="82">
        <f t="shared" si="3"/>
        <v>12874000</v>
      </c>
      <c r="E231" s="80">
        <v>16390100</v>
      </c>
      <c r="F231" s="80">
        <v>12140600</v>
      </c>
      <c r="G231" s="80">
        <v>15271700</v>
      </c>
      <c r="H231" s="80">
        <v>9782300</v>
      </c>
      <c r="I231" s="80">
        <v>11865500</v>
      </c>
      <c r="J231" s="80">
        <v>8790800</v>
      </c>
      <c r="K231" s="80">
        <v>8878200</v>
      </c>
      <c r="M231" s="80">
        <v>12137600</v>
      </c>
      <c r="N231" s="80">
        <v>9040300</v>
      </c>
      <c r="O231" s="80">
        <v>12349200</v>
      </c>
      <c r="P231" s="80">
        <v>14372100</v>
      </c>
      <c r="Q231" s="80">
        <v>10935500</v>
      </c>
      <c r="R231" s="80">
        <v>8653900</v>
      </c>
      <c r="S231" s="80">
        <v>13028600</v>
      </c>
      <c r="T231" s="80">
        <v>8812100</v>
      </c>
      <c r="U231" s="80">
        <v>11074300</v>
      </c>
      <c r="V231" s="80">
        <v>14543700</v>
      </c>
      <c r="W231" s="80">
        <v>18813600</v>
      </c>
      <c r="X231" s="80">
        <v>22035100</v>
      </c>
      <c r="Y231" s="80">
        <v>13751600</v>
      </c>
      <c r="Z231" s="80">
        <v>14849100</v>
      </c>
      <c r="AA231" s="80">
        <v>12172300</v>
      </c>
      <c r="AB231" s="80">
        <v>11127200</v>
      </c>
      <c r="AC231" s="80">
        <v>9232100</v>
      </c>
      <c r="AD231" s="80">
        <v>10656000</v>
      </c>
      <c r="AE231" s="80">
        <v>11688000</v>
      </c>
      <c r="AF231" s="80">
        <v>14352000</v>
      </c>
      <c r="AG231" s="80">
        <v>14681100</v>
      </c>
      <c r="AH231" s="80">
        <v>9808800</v>
      </c>
      <c r="AI231" s="80">
        <v>16515300</v>
      </c>
      <c r="AJ231" s="80">
        <v>18210400</v>
      </c>
      <c r="AK231" s="80">
        <v>19151000</v>
      </c>
      <c r="AL231" s="80">
        <v>22736900</v>
      </c>
      <c r="AM231" s="80">
        <v>21248100</v>
      </c>
      <c r="AN231" s="80">
        <v>15452000</v>
      </c>
      <c r="AO231" s="80">
        <v>16053100</v>
      </c>
      <c r="AP231" s="80">
        <v>16867900</v>
      </c>
      <c r="AQ231" s="80">
        <v>13512700</v>
      </c>
      <c r="AR231" s="80">
        <v>11346800</v>
      </c>
      <c r="AS231" s="80">
        <v>17891400</v>
      </c>
      <c r="AT231" s="80">
        <v>30379200</v>
      </c>
      <c r="AU231" s="80">
        <v>15719200</v>
      </c>
      <c r="AV231" s="80">
        <v>15591900</v>
      </c>
      <c r="AW231" s="80">
        <v>15132300</v>
      </c>
      <c r="AX231" s="80">
        <v>17678100</v>
      </c>
      <c r="AY231" s="80">
        <v>14069300</v>
      </c>
      <c r="AZ231" s="80">
        <v>19705900</v>
      </c>
      <c r="BA231" s="80">
        <v>21342900</v>
      </c>
      <c r="BB231" s="80">
        <v>19995200</v>
      </c>
      <c r="BC231" s="80">
        <v>20962200</v>
      </c>
      <c r="BD231" s="80">
        <v>16221200</v>
      </c>
      <c r="BE231" s="80">
        <v>21303400</v>
      </c>
      <c r="BF231" s="80">
        <v>26350700</v>
      </c>
      <c r="BG231" s="80">
        <v>20584400</v>
      </c>
      <c r="BH231" s="80">
        <v>28393100</v>
      </c>
      <c r="BI231" s="80">
        <v>42420100</v>
      </c>
      <c r="BJ231" s="80">
        <v>69373000</v>
      </c>
      <c r="BK231" s="80">
        <v>25106600</v>
      </c>
      <c r="BL231" s="80">
        <v>15600000</v>
      </c>
      <c r="BM231" s="80">
        <v>21212200</v>
      </c>
      <c r="BN231" s="80">
        <v>18091200</v>
      </c>
      <c r="BO231" s="80">
        <v>21920300</v>
      </c>
      <c r="BP231" s="80">
        <v>14535100</v>
      </c>
      <c r="BQ231" s="80">
        <v>16998300</v>
      </c>
      <c r="BR231" s="80">
        <v>21936800</v>
      </c>
      <c r="BS231" s="80">
        <v>15800100</v>
      </c>
      <c r="BT231" s="80">
        <v>12843400</v>
      </c>
      <c r="BU231" s="80">
        <v>15677700</v>
      </c>
      <c r="BV231" s="80">
        <v>16676300</v>
      </c>
      <c r="BW231" s="80">
        <v>22129800</v>
      </c>
      <c r="BX231" s="80">
        <v>13505200</v>
      </c>
      <c r="BY231" s="80">
        <v>17170500</v>
      </c>
      <c r="BZ231" s="80">
        <v>17523100</v>
      </c>
    </row>
    <row r="232" spans="1:78" s="80" customFormat="1" ht="18.75" customHeight="1">
      <c r="A232" s="394" t="s">
        <v>445</v>
      </c>
      <c r="B232" s="80" t="str">
        <f>銘柄管理!C232</f>
        <v>ＮＥＣキャピタルソリューション</v>
      </c>
      <c r="C232" s="80">
        <f>_xll.RssMarket("8793","出来高")</f>
        <v>11100</v>
      </c>
      <c r="D232" s="82">
        <f t="shared" si="3"/>
        <v>-10800</v>
      </c>
      <c r="E232" s="80">
        <v>21900</v>
      </c>
      <c r="F232" s="80">
        <v>39800</v>
      </c>
      <c r="G232" s="80">
        <v>22400</v>
      </c>
      <c r="H232" s="80">
        <v>34000</v>
      </c>
      <c r="I232" s="80">
        <v>30500</v>
      </c>
      <c r="J232" s="80">
        <v>17700</v>
      </c>
      <c r="K232" s="80">
        <v>14300</v>
      </c>
      <c r="L232" s="80">
        <v>10500</v>
      </c>
      <c r="M232" s="80">
        <v>8100</v>
      </c>
      <c r="N232" s="80">
        <v>13900</v>
      </c>
      <c r="O232" s="80">
        <v>16800</v>
      </c>
      <c r="P232" s="80">
        <v>22400</v>
      </c>
      <c r="Q232" s="80">
        <v>17100</v>
      </c>
      <c r="R232" s="80">
        <v>12000</v>
      </c>
      <c r="S232" s="80">
        <v>18800</v>
      </c>
      <c r="T232" s="80">
        <v>23000</v>
      </c>
      <c r="U232" s="80">
        <v>20500</v>
      </c>
      <c r="V232" s="80">
        <v>16700</v>
      </c>
      <c r="W232" s="80">
        <v>16300</v>
      </c>
      <c r="X232" s="80">
        <v>19500</v>
      </c>
      <c r="Y232" s="80">
        <v>19400</v>
      </c>
      <c r="Z232" s="80">
        <v>23300</v>
      </c>
      <c r="AA232" s="80">
        <v>13300</v>
      </c>
      <c r="AB232" s="80">
        <v>18800</v>
      </c>
      <c r="AC232" s="80">
        <v>34300</v>
      </c>
      <c r="AD232" s="80">
        <v>21100</v>
      </c>
      <c r="AE232" s="80">
        <v>15800</v>
      </c>
      <c r="AF232" s="80">
        <v>16400</v>
      </c>
      <c r="AG232" s="80">
        <v>16100</v>
      </c>
      <c r="AH232" s="80">
        <v>15700</v>
      </c>
      <c r="AI232" s="80">
        <v>22200</v>
      </c>
      <c r="AJ232" s="80">
        <v>19200</v>
      </c>
      <c r="AK232" s="80">
        <v>14000</v>
      </c>
      <c r="AL232" s="80">
        <v>19600</v>
      </c>
      <c r="AM232" s="80">
        <v>29600</v>
      </c>
      <c r="AN232" s="80">
        <v>39500</v>
      </c>
      <c r="AO232" s="80">
        <v>23300</v>
      </c>
      <c r="AP232" s="80">
        <v>38100</v>
      </c>
      <c r="AQ232" s="80">
        <v>42400</v>
      </c>
      <c r="AR232" s="80">
        <v>31100</v>
      </c>
      <c r="AS232" s="80">
        <v>36600</v>
      </c>
      <c r="AT232" s="80">
        <v>26100</v>
      </c>
      <c r="AU232" s="80">
        <v>42900</v>
      </c>
      <c r="AV232" s="80">
        <v>22400</v>
      </c>
      <c r="AW232" s="80">
        <v>34300</v>
      </c>
      <c r="AX232" s="80">
        <v>20600</v>
      </c>
      <c r="AY232" s="80">
        <v>26900</v>
      </c>
      <c r="AZ232" s="80">
        <v>26400</v>
      </c>
      <c r="BA232" s="80">
        <v>39400</v>
      </c>
      <c r="BB232" s="80">
        <v>33700</v>
      </c>
      <c r="BC232" s="80">
        <v>29500</v>
      </c>
      <c r="BD232" s="80">
        <v>36000</v>
      </c>
      <c r="BE232" s="80">
        <v>33700</v>
      </c>
      <c r="BF232" s="80">
        <v>27800</v>
      </c>
      <c r="BG232" s="80">
        <v>19400</v>
      </c>
      <c r="BH232" s="80">
        <v>21100</v>
      </c>
      <c r="BI232" s="80">
        <v>28000</v>
      </c>
      <c r="BJ232" s="80">
        <v>26700</v>
      </c>
      <c r="BK232" s="80">
        <v>51500</v>
      </c>
      <c r="BL232" s="80">
        <v>57700</v>
      </c>
      <c r="BM232" s="80">
        <v>116000</v>
      </c>
      <c r="BN232" s="80">
        <v>50300</v>
      </c>
      <c r="BO232" s="80">
        <v>25500</v>
      </c>
      <c r="BP232" s="80">
        <v>33300</v>
      </c>
      <c r="BQ232" s="80">
        <v>18300</v>
      </c>
      <c r="BR232" s="80">
        <v>19100</v>
      </c>
      <c r="BS232" s="80">
        <v>21400</v>
      </c>
      <c r="BT232" s="80">
        <v>16300</v>
      </c>
      <c r="BU232" s="80">
        <v>17200</v>
      </c>
      <c r="BV232" s="80">
        <v>26300</v>
      </c>
      <c r="BW232" s="80">
        <v>26400</v>
      </c>
      <c r="BX232" s="80">
        <v>20700</v>
      </c>
      <c r="BY232" s="80">
        <v>16700</v>
      </c>
      <c r="BZ232" s="80">
        <v>21000</v>
      </c>
    </row>
    <row r="233" spans="1:78">
      <c r="A233" s="394" t="s">
        <v>446</v>
      </c>
      <c r="B233" s="1" t="str">
        <f>銘柄管理!C233</f>
        <v>ミスミグループ本社</v>
      </c>
      <c r="C233" s="1">
        <f>_xll.RssMarket("9962","出来高")</f>
        <v>2708700</v>
      </c>
      <c r="D233" s="82">
        <f t="shared" si="3"/>
        <v>754700</v>
      </c>
      <c r="E233" s="1">
        <v>1954000</v>
      </c>
      <c r="F233" s="1">
        <v>3726500</v>
      </c>
      <c r="G233" s="1">
        <v>3530500</v>
      </c>
      <c r="H233" s="1">
        <v>1647600</v>
      </c>
      <c r="I233" s="1">
        <v>2011600</v>
      </c>
      <c r="J233" s="1">
        <v>1604000</v>
      </c>
      <c r="K233" s="1">
        <v>1182100</v>
      </c>
      <c r="L233" s="1">
        <v>1101800</v>
      </c>
      <c r="M233" s="1">
        <v>1033900</v>
      </c>
      <c r="N233" s="1">
        <v>1071500</v>
      </c>
      <c r="O233" s="1">
        <v>1302800</v>
      </c>
      <c r="P233" s="1">
        <v>1413000</v>
      </c>
      <c r="Q233" s="1">
        <v>861600</v>
      </c>
      <c r="R233" s="1">
        <v>1220700</v>
      </c>
      <c r="S233" s="1">
        <v>1043500</v>
      </c>
      <c r="T233" s="1">
        <v>1313000</v>
      </c>
      <c r="U233" s="1">
        <v>1214800</v>
      </c>
      <c r="V233" s="1">
        <v>1824400</v>
      </c>
      <c r="W233" s="1">
        <v>871600</v>
      </c>
      <c r="X233" s="1">
        <v>742600</v>
      </c>
      <c r="Y233" s="1">
        <v>1001800</v>
      </c>
      <c r="Z233" s="1">
        <v>1373900</v>
      </c>
      <c r="AA233" s="1">
        <v>1054000</v>
      </c>
      <c r="AB233" s="1">
        <v>1597400</v>
      </c>
      <c r="AC233" s="1">
        <v>1775600</v>
      </c>
      <c r="AD233" s="1">
        <v>2068300</v>
      </c>
      <c r="AE233" s="1">
        <v>1102900</v>
      </c>
      <c r="AF233" s="1">
        <v>1411800</v>
      </c>
      <c r="AG233" s="1">
        <v>1012600</v>
      </c>
      <c r="AH233" s="1">
        <v>1041900</v>
      </c>
      <c r="AI233" s="1">
        <v>1476000</v>
      </c>
      <c r="AJ233" s="1">
        <v>827800</v>
      </c>
      <c r="AK233" s="1">
        <v>969900</v>
      </c>
      <c r="AL233" s="1">
        <v>1520200</v>
      </c>
      <c r="AM233" s="1">
        <v>1267600</v>
      </c>
      <c r="AN233" s="1">
        <v>2025400</v>
      </c>
      <c r="AO233" s="1">
        <v>1165700</v>
      </c>
      <c r="AP233" s="1">
        <v>1682000</v>
      </c>
      <c r="AQ233" s="1">
        <v>1667500</v>
      </c>
      <c r="AR233" s="1">
        <v>911300</v>
      </c>
      <c r="AS233" s="1">
        <v>1113100</v>
      </c>
      <c r="AT233" s="1">
        <v>1634000</v>
      </c>
      <c r="AU233" s="1">
        <v>1597000</v>
      </c>
      <c r="AV233" s="1">
        <v>1677900</v>
      </c>
      <c r="AW233" s="1">
        <v>1603600</v>
      </c>
      <c r="AX233" s="1">
        <v>1484100</v>
      </c>
      <c r="AY233" s="1">
        <v>1260400</v>
      </c>
      <c r="AZ233" s="1">
        <v>1692800</v>
      </c>
      <c r="BA233" s="1">
        <v>958000</v>
      </c>
      <c r="BB233" s="1">
        <v>1271300</v>
      </c>
      <c r="BC233" s="1">
        <v>960500</v>
      </c>
      <c r="BD233" s="1">
        <v>1357400</v>
      </c>
      <c r="BE233" s="1">
        <v>1634000</v>
      </c>
      <c r="BF233" s="1">
        <v>1507500</v>
      </c>
      <c r="BG233" s="1">
        <v>1800900</v>
      </c>
      <c r="BH233" s="1">
        <v>1816000</v>
      </c>
      <c r="BI233" s="1">
        <v>2169000</v>
      </c>
      <c r="BJ233" s="1">
        <v>2019000</v>
      </c>
      <c r="BK233" s="1">
        <v>3730100</v>
      </c>
      <c r="BL233" s="1">
        <v>2736400</v>
      </c>
      <c r="BM233" s="1">
        <v>4346700</v>
      </c>
      <c r="BN233" s="1">
        <v>2452300</v>
      </c>
      <c r="BO233" s="1">
        <v>2863900</v>
      </c>
      <c r="BP233" s="1">
        <v>776100</v>
      </c>
      <c r="BQ233" s="1">
        <v>1106400</v>
      </c>
      <c r="BR233" s="1">
        <v>927300</v>
      </c>
      <c r="BS233" s="1">
        <v>769300</v>
      </c>
      <c r="BT233" s="1">
        <v>1124200</v>
      </c>
      <c r="BU233" s="1">
        <v>1075300</v>
      </c>
      <c r="BV233" s="1">
        <v>975700</v>
      </c>
      <c r="BW233" s="1">
        <v>1014100</v>
      </c>
      <c r="BX233" s="1">
        <v>776900</v>
      </c>
      <c r="BY233" s="1">
        <v>1125900</v>
      </c>
      <c r="BZ233" s="1">
        <v>784000</v>
      </c>
    </row>
    <row r="234" spans="1:78">
      <c r="A234" s="394" t="s">
        <v>447</v>
      </c>
      <c r="B234" s="1" t="str">
        <f>銘柄管理!C234</f>
        <v>ＴＤＫ</v>
      </c>
      <c r="C234" s="1">
        <f>_xll.RssMarket("6762","出来高")</f>
        <v>7662700</v>
      </c>
      <c r="D234" s="82">
        <f t="shared" si="3"/>
        <v>-8707800</v>
      </c>
      <c r="E234" s="1">
        <v>16370500</v>
      </c>
      <c r="F234" s="1">
        <v>23068600</v>
      </c>
      <c r="G234" s="1">
        <v>20004700</v>
      </c>
      <c r="H234" s="1">
        <v>16024600</v>
      </c>
      <c r="I234" s="1">
        <v>20984300</v>
      </c>
      <c r="J234" s="1">
        <v>14855900</v>
      </c>
      <c r="K234" s="1">
        <v>8845200</v>
      </c>
      <c r="L234" s="1">
        <v>7571700</v>
      </c>
      <c r="M234" s="1">
        <v>6368500</v>
      </c>
      <c r="N234" s="1">
        <v>9808700</v>
      </c>
      <c r="O234" s="1">
        <v>13019600</v>
      </c>
      <c r="P234" s="1">
        <v>17751500</v>
      </c>
      <c r="Q234" s="1">
        <v>8621900</v>
      </c>
      <c r="R234" s="1">
        <v>12888800</v>
      </c>
      <c r="S234" s="1">
        <v>13836900</v>
      </c>
      <c r="T234" s="1">
        <v>12263000</v>
      </c>
      <c r="U234" s="1">
        <v>10738400</v>
      </c>
      <c r="V234" s="1">
        <v>16252200</v>
      </c>
      <c r="W234" s="1">
        <v>15859800</v>
      </c>
      <c r="X234" s="1">
        <v>14040500</v>
      </c>
      <c r="Y234" s="1">
        <v>11208700</v>
      </c>
      <c r="Z234" s="1">
        <v>14570500</v>
      </c>
      <c r="AA234" s="1">
        <v>15482900</v>
      </c>
      <c r="AB234" s="1">
        <v>14854000</v>
      </c>
      <c r="AC234" s="1">
        <v>12141700</v>
      </c>
      <c r="AD234" s="1">
        <v>18063900</v>
      </c>
      <c r="AE234" s="1">
        <v>10937400</v>
      </c>
      <c r="AF234" s="1">
        <v>14683100</v>
      </c>
      <c r="AG234" s="1">
        <v>18739900</v>
      </c>
      <c r="AH234" s="1">
        <v>14902600</v>
      </c>
      <c r="AI234" s="1">
        <v>18006600</v>
      </c>
      <c r="AJ234" s="1">
        <v>13359700</v>
      </c>
      <c r="AK234" s="1">
        <v>11642300</v>
      </c>
      <c r="AL234" s="1">
        <v>17479000</v>
      </c>
      <c r="AM234" s="1">
        <v>18771500</v>
      </c>
      <c r="AN234" s="1">
        <v>19550000</v>
      </c>
      <c r="AO234" s="1">
        <v>14430600</v>
      </c>
      <c r="AP234" s="1">
        <v>15871800</v>
      </c>
      <c r="AQ234" s="1">
        <v>17890100</v>
      </c>
      <c r="AR234" s="1">
        <v>18532200</v>
      </c>
      <c r="AS234" s="1">
        <v>12099400</v>
      </c>
      <c r="AT234" s="1">
        <v>17825900</v>
      </c>
      <c r="AU234" s="1">
        <v>23686700</v>
      </c>
      <c r="AV234" s="1">
        <v>28286900</v>
      </c>
      <c r="AW234" s="1">
        <v>24725800</v>
      </c>
      <c r="AX234" s="1">
        <v>15673600</v>
      </c>
      <c r="AY234" s="1">
        <v>20639200</v>
      </c>
      <c r="AZ234" s="1">
        <v>14032900</v>
      </c>
      <c r="BA234" s="1">
        <v>11989200</v>
      </c>
      <c r="BB234" s="1">
        <v>11053200</v>
      </c>
      <c r="BC234" s="1">
        <v>10503400</v>
      </c>
      <c r="BD234" s="1">
        <v>8178800</v>
      </c>
      <c r="BE234" s="1">
        <v>13723700</v>
      </c>
      <c r="BF234" s="1">
        <v>13646200</v>
      </c>
      <c r="BG234" s="1">
        <v>9120600</v>
      </c>
      <c r="BH234" s="1">
        <v>10967100</v>
      </c>
      <c r="BI234" s="1">
        <v>10494200</v>
      </c>
      <c r="BJ234" s="1">
        <v>14299700</v>
      </c>
      <c r="BK234" s="1">
        <v>20251700</v>
      </c>
      <c r="BL234" s="1">
        <v>14435800</v>
      </c>
      <c r="BM234" s="1">
        <v>33512200</v>
      </c>
      <c r="BN234" s="1">
        <v>14100800</v>
      </c>
      <c r="BO234" s="1">
        <v>14080800</v>
      </c>
      <c r="BP234" s="1">
        <v>13275300</v>
      </c>
      <c r="BQ234" s="1">
        <v>12840800</v>
      </c>
      <c r="BR234" s="1">
        <v>17013700</v>
      </c>
      <c r="BS234" s="1">
        <v>10460000</v>
      </c>
      <c r="BT234" s="1">
        <v>14363800</v>
      </c>
      <c r="BU234" s="1">
        <v>21676400</v>
      </c>
      <c r="BV234" s="1">
        <v>23937900</v>
      </c>
      <c r="BW234" s="1">
        <v>12784200</v>
      </c>
      <c r="BX234" s="1">
        <v>7334800</v>
      </c>
      <c r="BY234" s="1">
        <v>9500600</v>
      </c>
      <c r="BZ234" s="1">
        <v>14723300</v>
      </c>
    </row>
    <row r="235" spans="1:78">
      <c r="A235" s="394" t="s">
        <v>448</v>
      </c>
      <c r="B235" s="1" t="str">
        <f>銘柄管理!C235</f>
        <v>ＦＩＧ</v>
      </c>
      <c r="C235" s="1">
        <f>_xll.RssMarket("4392","出来高")</f>
        <v>1088300</v>
      </c>
      <c r="D235" s="82">
        <f t="shared" si="3"/>
        <v>368900</v>
      </c>
      <c r="E235" s="1">
        <v>719400</v>
      </c>
      <c r="F235" s="1">
        <v>702600</v>
      </c>
      <c r="G235" s="1">
        <v>1505300</v>
      </c>
      <c r="H235" s="1">
        <v>982300</v>
      </c>
      <c r="I235" s="1">
        <v>1560800</v>
      </c>
      <c r="J235" s="1">
        <v>1375500</v>
      </c>
      <c r="K235" s="1">
        <v>1287600</v>
      </c>
      <c r="L235" s="1">
        <v>1189200</v>
      </c>
      <c r="M235" s="1">
        <v>455700</v>
      </c>
      <c r="N235" s="1">
        <v>1054800</v>
      </c>
      <c r="O235" s="1">
        <v>742100</v>
      </c>
      <c r="P235" s="1">
        <v>1624400</v>
      </c>
      <c r="Q235" s="1">
        <v>1788200</v>
      </c>
      <c r="R235" s="1">
        <v>689700</v>
      </c>
      <c r="S235" s="1">
        <v>1195200</v>
      </c>
      <c r="T235" s="1">
        <v>1073100</v>
      </c>
      <c r="U235" s="1">
        <v>939400</v>
      </c>
      <c r="V235" s="1">
        <v>954500</v>
      </c>
      <c r="W235" s="1">
        <v>892100</v>
      </c>
      <c r="X235" s="1">
        <v>1352400</v>
      </c>
      <c r="Y235" s="1">
        <v>1002900</v>
      </c>
      <c r="Z235" s="1">
        <v>977900</v>
      </c>
      <c r="AA235" s="1">
        <v>1047500</v>
      </c>
      <c r="AB235" s="1">
        <v>1151000</v>
      </c>
      <c r="AC235" s="1">
        <v>1016500</v>
      </c>
      <c r="AD235" s="1">
        <v>1335400</v>
      </c>
      <c r="AE235" s="1">
        <v>2141700</v>
      </c>
      <c r="AF235" s="1">
        <v>2069600</v>
      </c>
      <c r="AG235" s="1">
        <v>1465900</v>
      </c>
      <c r="AH235" s="1">
        <v>3046700</v>
      </c>
      <c r="AI235" s="1">
        <v>3014900</v>
      </c>
      <c r="AJ235" s="1">
        <v>1816100</v>
      </c>
      <c r="AK235" s="1">
        <v>2463300</v>
      </c>
      <c r="AL235" s="1">
        <v>2611900</v>
      </c>
      <c r="AM235" s="1">
        <v>3254300</v>
      </c>
      <c r="AN235" s="1">
        <v>4106700</v>
      </c>
      <c r="AO235" s="1">
        <v>9416900</v>
      </c>
      <c r="AP235" s="1">
        <v>7369800</v>
      </c>
      <c r="AQ235" s="1">
        <v>9059000</v>
      </c>
      <c r="AR235" s="1">
        <v>8577400</v>
      </c>
      <c r="AS235" s="1">
        <v>5238300</v>
      </c>
      <c r="AT235" s="1">
        <v>6133500</v>
      </c>
      <c r="AU235" s="1">
        <v>5097100</v>
      </c>
      <c r="AV235" s="1">
        <v>12995800</v>
      </c>
      <c r="AW235" s="1">
        <v>15066400</v>
      </c>
      <c r="AX235" s="1">
        <v>30141100</v>
      </c>
      <c r="AY235" s="1">
        <v>2155600</v>
      </c>
      <c r="AZ235" s="1">
        <v>16191700</v>
      </c>
      <c r="BA235" s="1">
        <v>10311300</v>
      </c>
      <c r="BB235" s="1">
        <v>40920100</v>
      </c>
      <c r="BC235" s="1">
        <v>216000</v>
      </c>
      <c r="BD235" s="1">
        <v>155200</v>
      </c>
      <c r="BE235" s="1">
        <v>1215800</v>
      </c>
      <c r="BF235" s="1">
        <v>20723200</v>
      </c>
      <c r="BG235" s="1">
        <v>15030000</v>
      </c>
      <c r="BH235" s="1">
        <v>28146000</v>
      </c>
      <c r="BI235" s="1">
        <v>182900</v>
      </c>
      <c r="BJ235" s="1">
        <v>263500</v>
      </c>
      <c r="BK235" s="1">
        <v>127800</v>
      </c>
      <c r="BL235" s="1">
        <v>147800</v>
      </c>
      <c r="BM235" s="1">
        <v>251600</v>
      </c>
      <c r="BN235" s="1">
        <v>313500</v>
      </c>
      <c r="BO235" s="1">
        <v>386700</v>
      </c>
      <c r="BP235" s="1">
        <v>288200</v>
      </c>
      <c r="BQ235" s="1">
        <v>560900</v>
      </c>
      <c r="BR235" s="1">
        <v>510000</v>
      </c>
      <c r="BS235" s="1">
        <v>617600</v>
      </c>
      <c r="BT235" s="1">
        <v>330300</v>
      </c>
      <c r="BU235" s="1">
        <v>64600</v>
      </c>
      <c r="BV235" s="1">
        <v>120100</v>
      </c>
      <c r="BW235" s="1">
        <v>125300</v>
      </c>
      <c r="BX235" s="1">
        <v>88900</v>
      </c>
      <c r="BY235" s="1">
        <v>108200</v>
      </c>
      <c r="BZ235" s="1">
        <v>114900</v>
      </c>
    </row>
    <row r="236" spans="1:78">
      <c r="A236" s="394" t="s">
        <v>449</v>
      </c>
      <c r="B236" s="1" t="str">
        <f>銘柄管理!C236</f>
        <v>スクロール</v>
      </c>
      <c r="C236" s="1">
        <f>_xll.RssMarket("8005","出来高")</f>
        <v>184400</v>
      </c>
      <c r="D236" s="82">
        <f t="shared" si="3"/>
        <v>-276700</v>
      </c>
      <c r="E236" s="1">
        <v>461100</v>
      </c>
      <c r="F236" s="1">
        <v>637800</v>
      </c>
      <c r="G236" s="1">
        <v>223700</v>
      </c>
      <c r="H236" s="1">
        <v>169400</v>
      </c>
      <c r="I236" s="1">
        <v>155000</v>
      </c>
      <c r="J236" s="1">
        <v>84400</v>
      </c>
      <c r="K236" s="1">
        <v>138500</v>
      </c>
      <c r="L236" s="1">
        <v>178700</v>
      </c>
      <c r="M236" s="1">
        <v>114500</v>
      </c>
      <c r="N236" s="1">
        <v>160200</v>
      </c>
      <c r="O236" s="1">
        <v>120300</v>
      </c>
      <c r="P236" s="1">
        <v>166400</v>
      </c>
      <c r="Q236" s="1">
        <v>131100</v>
      </c>
      <c r="R236" s="1">
        <v>129700</v>
      </c>
      <c r="S236" s="1">
        <v>193400</v>
      </c>
      <c r="T236" s="1">
        <v>124100</v>
      </c>
      <c r="U236" s="1">
        <v>164600</v>
      </c>
      <c r="V236" s="1">
        <v>160700</v>
      </c>
      <c r="W236" s="1">
        <v>123800</v>
      </c>
      <c r="X236" s="1">
        <v>188200</v>
      </c>
      <c r="Y236" s="1">
        <v>293600</v>
      </c>
      <c r="Z236" s="1">
        <v>142500</v>
      </c>
      <c r="AA236" s="1">
        <v>215200</v>
      </c>
      <c r="AB236" s="1">
        <v>196100</v>
      </c>
      <c r="AC236" s="1">
        <v>167400</v>
      </c>
      <c r="AD236" s="1">
        <v>97700</v>
      </c>
      <c r="AE236" s="1">
        <v>132100</v>
      </c>
      <c r="AF236" s="1">
        <v>146100</v>
      </c>
      <c r="AG236" s="1">
        <v>160700</v>
      </c>
      <c r="AH236" s="1">
        <v>156300</v>
      </c>
      <c r="AI236" s="1">
        <v>145900</v>
      </c>
      <c r="AJ236" s="1">
        <v>196800</v>
      </c>
      <c r="AK236" s="1">
        <v>199300</v>
      </c>
      <c r="AL236" s="1">
        <v>216400</v>
      </c>
      <c r="AM236" s="1">
        <v>162800</v>
      </c>
      <c r="AN236" s="1">
        <v>222700</v>
      </c>
      <c r="AO236" s="1">
        <v>168300</v>
      </c>
      <c r="AP236" s="1">
        <v>288200</v>
      </c>
      <c r="AQ236" s="1">
        <v>217500</v>
      </c>
      <c r="AR236" s="1">
        <v>152600</v>
      </c>
      <c r="AS236" s="1">
        <v>180300</v>
      </c>
      <c r="AT236" s="1">
        <v>203800</v>
      </c>
      <c r="AU236" s="1">
        <v>297000</v>
      </c>
      <c r="AV236" s="1">
        <v>267400</v>
      </c>
      <c r="AW236" s="1">
        <v>198700</v>
      </c>
      <c r="AX236" s="1">
        <v>172800</v>
      </c>
      <c r="AY236" s="1">
        <v>199100</v>
      </c>
      <c r="AZ236" s="1">
        <v>135600</v>
      </c>
      <c r="BA236" s="1">
        <v>187200</v>
      </c>
      <c r="BB236" s="1">
        <v>318400</v>
      </c>
      <c r="BC236" s="1">
        <v>285900</v>
      </c>
      <c r="BD236" s="1">
        <v>402300</v>
      </c>
      <c r="BE236" s="1">
        <v>337000</v>
      </c>
      <c r="BF236" s="1">
        <v>263000</v>
      </c>
      <c r="BG236" s="1">
        <v>425400</v>
      </c>
      <c r="BH236" s="1">
        <v>677500</v>
      </c>
      <c r="BI236" s="1">
        <v>1515500</v>
      </c>
      <c r="BJ236" s="1">
        <v>106100</v>
      </c>
      <c r="BK236" s="1">
        <v>182500</v>
      </c>
      <c r="BL236" s="1">
        <v>150600</v>
      </c>
      <c r="BM236" s="1">
        <v>96900</v>
      </c>
      <c r="BN236" s="1">
        <v>135500</v>
      </c>
      <c r="BO236" s="1">
        <v>75700</v>
      </c>
      <c r="BP236" s="1">
        <v>72600</v>
      </c>
      <c r="BQ236" s="1">
        <v>76800</v>
      </c>
      <c r="BR236" s="1">
        <v>70100</v>
      </c>
      <c r="BS236" s="1">
        <v>78800</v>
      </c>
      <c r="BT236" s="1">
        <v>64800</v>
      </c>
      <c r="BU236" s="1">
        <v>66100</v>
      </c>
      <c r="BV236" s="1">
        <v>105100</v>
      </c>
      <c r="BW236" s="1">
        <v>102300</v>
      </c>
      <c r="BX236" s="1">
        <v>88800</v>
      </c>
      <c r="BY236" s="1">
        <v>82100</v>
      </c>
      <c r="BZ236" s="1">
        <v>109200</v>
      </c>
    </row>
    <row r="237" spans="1:78">
      <c r="A237" s="394" t="s">
        <v>450</v>
      </c>
      <c r="B237" s="1" t="str">
        <f>銘柄管理!C237</f>
        <v>デジタルアーツ</v>
      </c>
      <c r="C237" s="1">
        <f>_xll.RssMarket("2326","出来高")</f>
        <v>123000</v>
      </c>
      <c r="D237" s="82">
        <f t="shared" si="3"/>
        <v>-232100</v>
      </c>
      <c r="E237" s="1">
        <v>355100</v>
      </c>
      <c r="F237" s="1">
        <v>313200</v>
      </c>
      <c r="G237" s="1">
        <v>127400</v>
      </c>
      <c r="H237" s="1">
        <v>123700</v>
      </c>
      <c r="I237" s="1">
        <v>157300</v>
      </c>
      <c r="J237" s="1">
        <v>130700</v>
      </c>
      <c r="K237" s="1">
        <v>108200</v>
      </c>
      <c r="L237" s="1">
        <v>156600</v>
      </c>
      <c r="M237" s="1">
        <v>91600</v>
      </c>
      <c r="N237" s="1">
        <v>210000</v>
      </c>
      <c r="O237" s="1">
        <v>134100</v>
      </c>
      <c r="P237" s="1">
        <v>957900</v>
      </c>
      <c r="Q237" s="1">
        <v>129400</v>
      </c>
      <c r="R237" s="1">
        <v>134400</v>
      </c>
      <c r="S237" s="1">
        <v>152400</v>
      </c>
      <c r="T237" s="1">
        <v>102800</v>
      </c>
      <c r="U237" s="1">
        <v>81700</v>
      </c>
      <c r="V237" s="1">
        <v>96900</v>
      </c>
      <c r="W237" s="1">
        <v>97800</v>
      </c>
      <c r="X237" s="1">
        <v>83500</v>
      </c>
      <c r="Y237" s="1">
        <v>116000</v>
      </c>
      <c r="Z237" s="1">
        <v>139100</v>
      </c>
      <c r="AA237" s="1">
        <v>119000</v>
      </c>
      <c r="AB237" s="1">
        <v>103000</v>
      </c>
      <c r="AC237" s="1">
        <v>156700</v>
      </c>
      <c r="AD237" s="1">
        <v>148200</v>
      </c>
      <c r="AE237" s="1">
        <v>120800</v>
      </c>
      <c r="AF237" s="1">
        <v>163400</v>
      </c>
      <c r="AG237" s="1">
        <v>125400</v>
      </c>
      <c r="AH237" s="1">
        <v>177700</v>
      </c>
      <c r="AI237" s="1">
        <v>324800</v>
      </c>
      <c r="AJ237" s="1">
        <v>126000</v>
      </c>
      <c r="AK237" s="1">
        <v>139200</v>
      </c>
      <c r="AL237" s="1">
        <v>143900</v>
      </c>
      <c r="AM237" s="1">
        <v>151000</v>
      </c>
      <c r="AN237" s="1">
        <v>206000</v>
      </c>
      <c r="AO237" s="1">
        <v>136600</v>
      </c>
      <c r="AP237" s="1">
        <v>195000</v>
      </c>
      <c r="AQ237" s="1">
        <v>168400</v>
      </c>
      <c r="AR237" s="1">
        <v>190300</v>
      </c>
      <c r="AS237" s="1">
        <v>177400</v>
      </c>
      <c r="AT237" s="1">
        <v>357900</v>
      </c>
      <c r="AU237" s="1">
        <v>362100</v>
      </c>
      <c r="AV237" s="1">
        <v>564300</v>
      </c>
      <c r="AW237" s="1">
        <v>196100</v>
      </c>
      <c r="AX237" s="1">
        <v>176100</v>
      </c>
      <c r="AY237" s="1">
        <v>165900</v>
      </c>
      <c r="AZ237" s="1">
        <v>234000</v>
      </c>
      <c r="BA237" s="1">
        <v>159400</v>
      </c>
      <c r="BB237" s="1">
        <v>201000</v>
      </c>
      <c r="BC237" s="1">
        <v>260000</v>
      </c>
      <c r="BD237" s="1">
        <v>345800</v>
      </c>
      <c r="BE237" s="1">
        <v>376800</v>
      </c>
      <c r="BF237" s="1">
        <v>306200</v>
      </c>
      <c r="BG237" s="1">
        <v>343500</v>
      </c>
      <c r="BH237" s="1">
        <v>620400</v>
      </c>
      <c r="BI237" s="1">
        <v>1083200</v>
      </c>
      <c r="BJ237" s="1">
        <v>61200</v>
      </c>
      <c r="BK237" s="1">
        <v>317100</v>
      </c>
      <c r="BL237" s="1">
        <v>94100</v>
      </c>
      <c r="BM237" s="1">
        <v>98300</v>
      </c>
      <c r="BN237" s="1">
        <v>73700</v>
      </c>
      <c r="BO237" s="1">
        <v>158400</v>
      </c>
      <c r="BP237" s="1">
        <v>84400</v>
      </c>
      <c r="BQ237" s="1">
        <v>146700</v>
      </c>
      <c r="BR237" s="1">
        <v>141200</v>
      </c>
      <c r="BS237" s="1">
        <v>90800</v>
      </c>
      <c r="BT237" s="1">
        <v>146800</v>
      </c>
      <c r="BU237" s="1">
        <v>157700</v>
      </c>
      <c r="BV237" s="1">
        <v>113100</v>
      </c>
      <c r="BW237" s="1">
        <v>85500</v>
      </c>
      <c r="BX237" s="1">
        <v>90200</v>
      </c>
      <c r="BY237" s="1">
        <v>106500</v>
      </c>
      <c r="BZ237" s="1">
        <v>107900</v>
      </c>
    </row>
    <row r="238" spans="1:78">
      <c r="A238" s="394" t="s">
        <v>451</v>
      </c>
      <c r="B238" s="1" t="str">
        <f>銘柄管理!C238</f>
        <v>ＴＯＡ</v>
      </c>
      <c r="C238" s="1">
        <f>_xll.RssMarket("6809","出来高")</f>
        <v>124300</v>
      </c>
      <c r="D238" s="82">
        <f t="shared" si="3"/>
        <v>23200</v>
      </c>
      <c r="E238" s="1">
        <v>101100</v>
      </c>
      <c r="F238" s="1">
        <v>144700</v>
      </c>
      <c r="G238" s="1">
        <v>65000</v>
      </c>
      <c r="H238" s="1">
        <v>67600</v>
      </c>
      <c r="I238" s="1">
        <v>81900</v>
      </c>
      <c r="J238" s="1">
        <v>71000</v>
      </c>
      <c r="K238" s="1">
        <v>94200</v>
      </c>
      <c r="M238" s="1">
        <v>61300</v>
      </c>
      <c r="N238" s="1">
        <v>137800</v>
      </c>
      <c r="O238" s="1">
        <v>142600</v>
      </c>
      <c r="P238" s="1">
        <v>77100</v>
      </c>
      <c r="Q238" s="1">
        <v>62000</v>
      </c>
      <c r="R238" s="1">
        <v>60200</v>
      </c>
      <c r="S238" s="1">
        <v>66100</v>
      </c>
      <c r="T238" s="1">
        <v>58700</v>
      </c>
      <c r="U238" s="1">
        <v>83100</v>
      </c>
      <c r="V238" s="1">
        <v>53500</v>
      </c>
      <c r="W238" s="1">
        <v>83900</v>
      </c>
      <c r="X238" s="1">
        <v>89100</v>
      </c>
      <c r="Y238" s="1">
        <v>95600</v>
      </c>
      <c r="Z238" s="1">
        <v>83200</v>
      </c>
      <c r="AA238" s="1">
        <v>89000</v>
      </c>
      <c r="AB238" s="1">
        <v>77200</v>
      </c>
      <c r="AC238" s="1">
        <v>118400</v>
      </c>
      <c r="AD238" s="1">
        <v>68700</v>
      </c>
      <c r="AE238" s="1">
        <v>70000</v>
      </c>
      <c r="AF238" s="1">
        <v>87900</v>
      </c>
      <c r="AG238" s="1">
        <v>55600</v>
      </c>
      <c r="AH238" s="1">
        <v>65500</v>
      </c>
      <c r="AI238" s="1">
        <v>108000</v>
      </c>
      <c r="AJ238" s="1">
        <v>63000</v>
      </c>
      <c r="AK238" s="1">
        <v>78500</v>
      </c>
      <c r="AL238" s="1">
        <v>68400</v>
      </c>
      <c r="AM238" s="1">
        <v>69100</v>
      </c>
      <c r="AN238" s="1">
        <v>90100</v>
      </c>
      <c r="AO238" s="1">
        <v>79200</v>
      </c>
      <c r="AP238" s="1">
        <v>103700</v>
      </c>
      <c r="AQ238" s="1">
        <v>112300</v>
      </c>
      <c r="AR238" s="1">
        <v>97600</v>
      </c>
      <c r="AS238" s="1">
        <v>80500</v>
      </c>
      <c r="AT238" s="1">
        <v>134700</v>
      </c>
      <c r="AU238" s="1">
        <v>135400</v>
      </c>
      <c r="AV238" s="1">
        <v>118100</v>
      </c>
      <c r="AW238" s="1">
        <v>183400</v>
      </c>
      <c r="AX238" s="1">
        <v>134700</v>
      </c>
      <c r="AY238" s="1">
        <v>118700</v>
      </c>
      <c r="AZ238" s="1">
        <v>170100</v>
      </c>
      <c r="BA238" s="1">
        <v>153500</v>
      </c>
      <c r="BB238" s="1">
        <v>295600</v>
      </c>
      <c r="BC238" s="1">
        <v>112500</v>
      </c>
      <c r="BD238" s="1">
        <v>94500</v>
      </c>
      <c r="BE238" s="1">
        <v>155200</v>
      </c>
      <c r="BF238" s="1">
        <v>116400</v>
      </c>
      <c r="BG238" s="1">
        <v>146700</v>
      </c>
      <c r="BH238" s="1">
        <v>228900</v>
      </c>
      <c r="BI238" s="1">
        <v>468800</v>
      </c>
      <c r="BJ238" s="1">
        <v>922300</v>
      </c>
      <c r="BK238" s="1">
        <v>349700</v>
      </c>
      <c r="BL238" s="1">
        <v>176200</v>
      </c>
      <c r="BM238" s="1">
        <v>74400</v>
      </c>
      <c r="BN238" s="1">
        <v>142200</v>
      </c>
      <c r="BO238" s="1">
        <v>121000</v>
      </c>
      <c r="BP238" s="1">
        <v>91700</v>
      </c>
      <c r="BQ238" s="1">
        <v>86600</v>
      </c>
      <c r="BR238" s="1">
        <v>66600</v>
      </c>
      <c r="BS238" s="1">
        <v>100800</v>
      </c>
      <c r="BT238" s="1">
        <v>67200</v>
      </c>
      <c r="BU238" s="1">
        <v>99000</v>
      </c>
      <c r="BV238" s="1">
        <v>55500</v>
      </c>
      <c r="BW238" s="1">
        <v>116400</v>
      </c>
      <c r="BX238" s="1">
        <v>57300</v>
      </c>
      <c r="BY238" s="1">
        <v>64900</v>
      </c>
      <c r="BZ238" s="1">
        <v>83900</v>
      </c>
    </row>
    <row r="239" spans="1:78">
      <c r="A239" s="394" t="s">
        <v>452</v>
      </c>
      <c r="B239" s="1" t="str">
        <f>銘柄管理!C239</f>
        <v>ユーザーローカル</v>
      </c>
      <c r="C239" s="1">
        <f>_xll.RssMarket("3984","出来高")</f>
        <v>38700</v>
      </c>
      <c r="D239" s="82">
        <f t="shared" si="3"/>
        <v>-24600</v>
      </c>
      <c r="E239" s="1">
        <v>63300</v>
      </c>
      <c r="F239" s="1">
        <v>62300</v>
      </c>
      <c r="G239" s="1">
        <v>66100</v>
      </c>
      <c r="H239" s="1">
        <v>41400</v>
      </c>
      <c r="I239" s="1">
        <v>49500</v>
      </c>
      <c r="J239" s="1">
        <v>70600</v>
      </c>
      <c r="K239" s="1">
        <v>73300</v>
      </c>
      <c r="M239" s="1">
        <v>87700</v>
      </c>
      <c r="N239" s="1">
        <v>58300</v>
      </c>
      <c r="O239" s="1">
        <v>46400</v>
      </c>
      <c r="P239" s="1">
        <v>58600</v>
      </c>
      <c r="Q239" s="1">
        <v>58400</v>
      </c>
      <c r="R239" s="1">
        <v>64000</v>
      </c>
      <c r="S239" s="1">
        <v>82800</v>
      </c>
      <c r="T239" s="1">
        <v>73400</v>
      </c>
      <c r="U239" s="1">
        <v>67200</v>
      </c>
      <c r="V239" s="1">
        <v>70400</v>
      </c>
      <c r="W239" s="1">
        <v>100200</v>
      </c>
      <c r="X239" s="1">
        <v>89000</v>
      </c>
      <c r="Y239" s="1">
        <v>170500</v>
      </c>
      <c r="Z239" s="1">
        <v>96800</v>
      </c>
      <c r="AA239" s="1">
        <v>137600</v>
      </c>
      <c r="AB239" s="1">
        <v>92900</v>
      </c>
      <c r="AC239" s="1">
        <v>280400</v>
      </c>
      <c r="AD239" s="1">
        <v>235000</v>
      </c>
      <c r="AE239" s="1">
        <v>134900</v>
      </c>
      <c r="AF239" s="1">
        <v>60600</v>
      </c>
      <c r="AG239" s="1">
        <v>123400</v>
      </c>
      <c r="AH239" s="1">
        <v>95400</v>
      </c>
      <c r="AI239" s="1">
        <v>120600</v>
      </c>
      <c r="AJ239" s="1">
        <v>61400</v>
      </c>
      <c r="AK239" s="1">
        <v>73600</v>
      </c>
      <c r="AL239" s="1">
        <v>51300</v>
      </c>
      <c r="AM239" s="1">
        <v>68400</v>
      </c>
      <c r="AN239" s="1">
        <v>117400</v>
      </c>
      <c r="AO239" s="1">
        <v>137900</v>
      </c>
      <c r="AP239" s="1">
        <v>135900</v>
      </c>
      <c r="AQ239" s="1">
        <v>282000</v>
      </c>
      <c r="AR239" s="1">
        <v>208700</v>
      </c>
      <c r="AS239" s="1">
        <v>135000</v>
      </c>
      <c r="AT239" s="1">
        <v>175500</v>
      </c>
      <c r="AU239" s="1">
        <v>145100</v>
      </c>
      <c r="AV239" s="1">
        <v>109200</v>
      </c>
      <c r="AW239" s="1">
        <v>104300</v>
      </c>
      <c r="AX239" s="1">
        <v>156300</v>
      </c>
      <c r="AY239" s="1">
        <v>128400</v>
      </c>
      <c r="AZ239" s="1">
        <v>70800</v>
      </c>
      <c r="BA239" s="1">
        <v>96400</v>
      </c>
      <c r="BB239" s="1">
        <v>156200</v>
      </c>
      <c r="BC239" s="1">
        <v>70200</v>
      </c>
      <c r="BD239" s="1">
        <v>96000</v>
      </c>
      <c r="BE239" s="1">
        <v>96400</v>
      </c>
      <c r="BF239" s="1">
        <v>162900</v>
      </c>
      <c r="BG239" s="1">
        <v>193200</v>
      </c>
      <c r="BH239" s="1">
        <v>227500</v>
      </c>
      <c r="BI239" s="1">
        <v>228700</v>
      </c>
      <c r="BJ239" s="1">
        <v>659700</v>
      </c>
      <c r="BK239" s="1">
        <v>141500</v>
      </c>
      <c r="BL239" s="1">
        <v>48700</v>
      </c>
      <c r="BM239" s="1">
        <v>70100</v>
      </c>
      <c r="BN239" s="1">
        <v>63600</v>
      </c>
      <c r="BO239" s="1">
        <v>59600</v>
      </c>
      <c r="BP239" s="1">
        <v>80800</v>
      </c>
      <c r="BQ239" s="1">
        <v>96700</v>
      </c>
      <c r="BR239" s="1">
        <v>74900</v>
      </c>
      <c r="BS239" s="1">
        <v>53500</v>
      </c>
      <c r="BT239" s="1">
        <v>81400</v>
      </c>
      <c r="BU239" s="1">
        <v>73600</v>
      </c>
      <c r="BV239" s="1">
        <v>143100</v>
      </c>
      <c r="BW239" s="1">
        <v>80400</v>
      </c>
      <c r="BX239" s="1">
        <v>76500</v>
      </c>
      <c r="BY239" s="1">
        <v>84400</v>
      </c>
      <c r="BZ239" s="1">
        <v>93000</v>
      </c>
    </row>
    <row r="240" spans="1:78">
      <c r="A240" s="394" t="s">
        <v>453</v>
      </c>
      <c r="B240" s="1" t="str">
        <f>銘柄管理!C240</f>
        <v>ダイトロン</v>
      </c>
      <c r="C240" s="1">
        <f>_xll.RssMarket("7609","出来高")</f>
        <v>374800</v>
      </c>
      <c r="D240" s="82">
        <f t="shared" si="3"/>
        <v>-605400</v>
      </c>
      <c r="E240" s="1">
        <v>980200</v>
      </c>
      <c r="F240" s="1">
        <v>356800</v>
      </c>
      <c r="G240" s="1">
        <v>161000</v>
      </c>
      <c r="H240" s="1">
        <v>249800</v>
      </c>
      <c r="I240" s="1">
        <v>149900</v>
      </c>
      <c r="J240" s="1">
        <v>126900</v>
      </c>
      <c r="K240" s="1">
        <v>113200</v>
      </c>
      <c r="M240" s="1">
        <v>70300</v>
      </c>
      <c r="N240" s="1">
        <v>95600</v>
      </c>
      <c r="O240" s="1">
        <v>106000</v>
      </c>
      <c r="P240" s="1">
        <v>118100</v>
      </c>
      <c r="Q240" s="1">
        <v>73500</v>
      </c>
      <c r="R240" s="1">
        <v>93000</v>
      </c>
      <c r="S240" s="1">
        <v>104400</v>
      </c>
      <c r="T240" s="1">
        <v>97900</v>
      </c>
      <c r="U240" s="1">
        <v>61300</v>
      </c>
      <c r="V240" s="1">
        <v>101400</v>
      </c>
      <c r="W240" s="1">
        <v>94000</v>
      </c>
      <c r="X240" s="1">
        <v>72600</v>
      </c>
      <c r="Y240" s="1">
        <v>58600</v>
      </c>
      <c r="Z240" s="1">
        <v>97900</v>
      </c>
      <c r="AA240" s="1">
        <v>81600</v>
      </c>
      <c r="AB240" s="1">
        <v>82500</v>
      </c>
      <c r="AC240" s="1">
        <v>97800</v>
      </c>
      <c r="AD240" s="1">
        <v>90100</v>
      </c>
      <c r="AE240" s="1">
        <v>62000</v>
      </c>
      <c r="AF240" s="1">
        <v>64500</v>
      </c>
      <c r="AG240" s="1">
        <v>88500</v>
      </c>
      <c r="AH240" s="1">
        <v>85000</v>
      </c>
      <c r="AI240" s="1">
        <v>93500</v>
      </c>
      <c r="AJ240" s="1">
        <v>119700</v>
      </c>
      <c r="AK240" s="1">
        <v>53900</v>
      </c>
      <c r="AL240" s="1">
        <v>42100</v>
      </c>
      <c r="AM240" s="1">
        <v>54000</v>
      </c>
      <c r="AN240" s="1">
        <v>113900</v>
      </c>
      <c r="AO240" s="1">
        <v>115400</v>
      </c>
      <c r="AP240" s="1">
        <v>149300</v>
      </c>
      <c r="AQ240" s="1">
        <v>156700</v>
      </c>
      <c r="AR240" s="1">
        <v>123500</v>
      </c>
      <c r="AS240" s="1">
        <v>82200</v>
      </c>
      <c r="AT240" s="1">
        <v>99000</v>
      </c>
      <c r="AU240" s="1">
        <v>112300</v>
      </c>
      <c r="AV240" s="1">
        <v>86100</v>
      </c>
      <c r="AW240" s="1">
        <v>111000</v>
      </c>
      <c r="AX240" s="1">
        <v>142500</v>
      </c>
      <c r="AY240" s="1">
        <v>111300</v>
      </c>
      <c r="AZ240" s="1">
        <v>117000</v>
      </c>
      <c r="BA240" s="1">
        <v>130600</v>
      </c>
      <c r="BB240" s="1">
        <v>140000</v>
      </c>
      <c r="BC240" s="1">
        <v>207100</v>
      </c>
      <c r="BD240" s="1">
        <v>106000</v>
      </c>
      <c r="BE240" s="1">
        <v>166300</v>
      </c>
      <c r="BF240" s="1">
        <v>120100</v>
      </c>
      <c r="BG240" s="1">
        <v>119000</v>
      </c>
      <c r="BH240" s="1">
        <v>135800</v>
      </c>
      <c r="BI240" s="1">
        <v>266000</v>
      </c>
      <c r="BJ240" s="1">
        <v>694400</v>
      </c>
      <c r="BK240" s="1">
        <v>275800</v>
      </c>
      <c r="BL240" s="1">
        <v>263200</v>
      </c>
      <c r="BM240" s="1">
        <v>106200</v>
      </c>
      <c r="BN240" s="1">
        <v>85600</v>
      </c>
      <c r="BO240" s="1">
        <v>98000</v>
      </c>
      <c r="BP240" s="1">
        <v>70400</v>
      </c>
      <c r="BQ240" s="1">
        <v>75900</v>
      </c>
      <c r="BR240" s="1">
        <v>47700</v>
      </c>
      <c r="BS240" s="1">
        <v>57800</v>
      </c>
      <c r="BT240" s="1">
        <v>60300</v>
      </c>
      <c r="BU240" s="1">
        <v>66700</v>
      </c>
      <c r="BV240" s="1">
        <v>154700</v>
      </c>
      <c r="BW240" s="1">
        <v>125500</v>
      </c>
      <c r="BX240" s="1">
        <v>79300</v>
      </c>
      <c r="BY240" s="1">
        <v>61400</v>
      </c>
      <c r="BZ240" s="1">
        <v>84500</v>
      </c>
    </row>
    <row r="241" spans="1:78">
      <c r="A241" s="394" t="s">
        <v>454</v>
      </c>
      <c r="B241" s="1" t="str">
        <f>銘柄管理!C241</f>
        <v>イトーキ</v>
      </c>
      <c r="C241" s="1">
        <f>_xll.RssMarket("7972","出来高")</f>
        <v>78900</v>
      </c>
      <c r="D241" s="82">
        <f t="shared" si="3"/>
        <v>-54200</v>
      </c>
      <c r="E241" s="1">
        <v>133100</v>
      </c>
      <c r="F241" s="1">
        <v>230300</v>
      </c>
      <c r="G241" s="1">
        <v>201200</v>
      </c>
      <c r="H241" s="1">
        <v>234600</v>
      </c>
      <c r="I241" s="1">
        <v>227900</v>
      </c>
      <c r="J241" s="1">
        <v>177500</v>
      </c>
      <c r="K241" s="1">
        <v>138300</v>
      </c>
      <c r="L241" s="1">
        <v>96900</v>
      </c>
      <c r="M241" s="1">
        <v>183700</v>
      </c>
      <c r="N241" s="1">
        <v>136300</v>
      </c>
      <c r="O241" s="1">
        <v>416100</v>
      </c>
      <c r="P241" s="1">
        <v>215400</v>
      </c>
      <c r="Q241" s="1">
        <v>203900</v>
      </c>
      <c r="R241" s="1">
        <v>236200</v>
      </c>
      <c r="S241" s="1">
        <v>149000</v>
      </c>
      <c r="T241" s="1">
        <v>154200</v>
      </c>
      <c r="U241" s="1">
        <v>149900</v>
      </c>
      <c r="V241" s="1">
        <v>413900</v>
      </c>
      <c r="W241" s="1">
        <v>278300</v>
      </c>
      <c r="X241" s="1">
        <v>260700</v>
      </c>
      <c r="Y241" s="1">
        <v>234200</v>
      </c>
      <c r="Z241" s="1">
        <v>211600</v>
      </c>
      <c r="AA241" s="1">
        <v>198500</v>
      </c>
      <c r="AB241" s="1">
        <v>210400</v>
      </c>
      <c r="AC241" s="1">
        <v>416300</v>
      </c>
      <c r="AD241" s="1">
        <v>920400</v>
      </c>
      <c r="AE241" s="1">
        <v>579100</v>
      </c>
      <c r="AF241" s="1">
        <v>302400</v>
      </c>
      <c r="AG241" s="1">
        <v>265200</v>
      </c>
      <c r="AH241" s="1">
        <v>262800</v>
      </c>
      <c r="AI241" s="1">
        <v>229900</v>
      </c>
      <c r="AJ241" s="1">
        <v>279900</v>
      </c>
      <c r="AK241" s="1">
        <v>146300</v>
      </c>
      <c r="AL241" s="1">
        <v>203100</v>
      </c>
      <c r="AM241" s="1">
        <v>196900</v>
      </c>
      <c r="AN241" s="1">
        <v>207300</v>
      </c>
      <c r="AO241" s="1">
        <v>187200</v>
      </c>
      <c r="AP241" s="1">
        <v>154800</v>
      </c>
      <c r="AQ241" s="1">
        <v>191400</v>
      </c>
      <c r="AR241" s="1">
        <v>189300</v>
      </c>
      <c r="AS241" s="1">
        <v>339600</v>
      </c>
      <c r="AT241" s="1">
        <v>437100</v>
      </c>
      <c r="AU241" s="1">
        <v>378200</v>
      </c>
      <c r="AV241" s="1">
        <v>447200</v>
      </c>
      <c r="AW241" s="1">
        <v>377800</v>
      </c>
      <c r="AX241" s="1">
        <v>384500</v>
      </c>
      <c r="AY241" s="1">
        <v>169400</v>
      </c>
      <c r="AZ241" s="1">
        <v>262100</v>
      </c>
      <c r="BA241" s="1">
        <v>241200</v>
      </c>
      <c r="BB241" s="1">
        <v>201800</v>
      </c>
      <c r="BC241" s="1">
        <v>202400</v>
      </c>
      <c r="BD241" s="1">
        <v>212400</v>
      </c>
      <c r="BE241" s="1">
        <v>255100</v>
      </c>
      <c r="BF241" s="1">
        <v>222600</v>
      </c>
      <c r="BG241" s="1">
        <v>335100</v>
      </c>
      <c r="BH241" s="1">
        <v>441500</v>
      </c>
      <c r="BI241" s="1">
        <v>487600</v>
      </c>
      <c r="BJ241" s="1">
        <v>1111000</v>
      </c>
      <c r="BK241" s="1">
        <v>363000</v>
      </c>
      <c r="BL241" s="1">
        <v>132100</v>
      </c>
      <c r="BM241" s="1">
        <v>277900</v>
      </c>
      <c r="BN241" s="1">
        <v>124400</v>
      </c>
      <c r="BO241" s="1">
        <v>218600</v>
      </c>
      <c r="BP241" s="1">
        <v>135600</v>
      </c>
      <c r="BQ241" s="1">
        <v>108200</v>
      </c>
      <c r="BR241" s="1">
        <v>102300</v>
      </c>
      <c r="BS241" s="1">
        <v>111200</v>
      </c>
      <c r="BT241" s="1">
        <v>176300</v>
      </c>
      <c r="BU241" s="1">
        <v>135500</v>
      </c>
      <c r="BV241" s="1">
        <v>144900</v>
      </c>
      <c r="BW241" s="1">
        <v>199400</v>
      </c>
      <c r="BX241" s="1">
        <v>132300</v>
      </c>
      <c r="BY241" s="1">
        <v>143600</v>
      </c>
      <c r="BZ241" s="1">
        <v>113800</v>
      </c>
    </row>
    <row r="242" spans="1:78">
      <c r="A242" s="394" t="s">
        <v>455</v>
      </c>
      <c r="B242" s="1" t="str">
        <f>銘柄管理!C242</f>
        <v>オキサイド</v>
      </c>
      <c r="C242" s="1">
        <f>_xll.RssMarket("6521","出来高")</f>
        <v>159600</v>
      </c>
      <c r="D242" s="82">
        <f t="shared" si="3"/>
        <v>-15700</v>
      </c>
      <c r="E242" s="1">
        <v>175300</v>
      </c>
      <c r="F242" s="1">
        <v>196300</v>
      </c>
      <c r="G242" s="1">
        <v>226900</v>
      </c>
      <c r="H242" s="1">
        <v>474500</v>
      </c>
      <c r="I242" s="1">
        <v>236000</v>
      </c>
      <c r="J242" s="1">
        <v>220800</v>
      </c>
      <c r="K242" s="1">
        <v>207100</v>
      </c>
      <c r="L242" s="1">
        <v>124700</v>
      </c>
      <c r="M242" s="1">
        <v>119100</v>
      </c>
      <c r="N242" s="1">
        <v>218400</v>
      </c>
      <c r="O242" s="1">
        <v>213900</v>
      </c>
      <c r="P242" s="1">
        <v>426300</v>
      </c>
      <c r="Q242" s="1">
        <v>261600</v>
      </c>
      <c r="R242" s="1">
        <v>700300</v>
      </c>
      <c r="S242" s="1">
        <v>263100</v>
      </c>
      <c r="T242" s="1">
        <v>154100</v>
      </c>
      <c r="U242" s="1">
        <v>222400</v>
      </c>
      <c r="V242" s="1">
        <v>187800</v>
      </c>
      <c r="W242" s="1">
        <v>215000</v>
      </c>
      <c r="X242" s="1">
        <v>142900</v>
      </c>
      <c r="Y242" s="1">
        <v>209100</v>
      </c>
      <c r="Z242" s="1">
        <v>181500</v>
      </c>
      <c r="AA242" s="1">
        <v>215200</v>
      </c>
      <c r="AB242" s="1">
        <v>187200</v>
      </c>
      <c r="AC242" s="1">
        <v>254400</v>
      </c>
      <c r="AD242" s="1">
        <v>446300</v>
      </c>
      <c r="AE242" s="1">
        <v>255900</v>
      </c>
      <c r="AF242" s="1">
        <v>427800</v>
      </c>
      <c r="AG242" s="1">
        <v>388600</v>
      </c>
      <c r="AH242" s="1">
        <v>405300</v>
      </c>
      <c r="AI242" s="1">
        <v>612600</v>
      </c>
      <c r="AJ242" s="1">
        <v>248700</v>
      </c>
      <c r="AK242" s="1">
        <v>346300</v>
      </c>
      <c r="AL242" s="1">
        <v>340300</v>
      </c>
      <c r="AM242" s="1">
        <v>255700</v>
      </c>
      <c r="AN242" s="1">
        <v>318600</v>
      </c>
      <c r="AO242" s="1">
        <v>340500</v>
      </c>
      <c r="AP242" s="1">
        <v>673900</v>
      </c>
      <c r="AQ242" s="1">
        <v>391000</v>
      </c>
      <c r="AR242" s="1">
        <v>317400</v>
      </c>
      <c r="AS242" s="1">
        <v>344500</v>
      </c>
      <c r="AT242" s="1">
        <v>453300</v>
      </c>
      <c r="AU242" s="1">
        <v>548800</v>
      </c>
      <c r="AV242" s="1">
        <v>603000</v>
      </c>
      <c r="AW242" s="1">
        <v>739900</v>
      </c>
      <c r="AX242" s="1">
        <v>473900</v>
      </c>
      <c r="AY242" s="1">
        <v>766100</v>
      </c>
      <c r="AZ242" s="1">
        <v>738000</v>
      </c>
      <c r="BA242" s="1">
        <v>492400</v>
      </c>
      <c r="BB242" s="1">
        <v>516300</v>
      </c>
      <c r="BC242" s="1">
        <v>1073000</v>
      </c>
      <c r="BD242" s="1">
        <v>723000</v>
      </c>
      <c r="BE242" s="1">
        <v>649600</v>
      </c>
      <c r="BF242" s="1">
        <v>643500</v>
      </c>
      <c r="BG242" s="1">
        <v>592700</v>
      </c>
      <c r="BH242" s="1">
        <v>1160100</v>
      </c>
      <c r="BI242" s="1">
        <v>1248900</v>
      </c>
      <c r="BJ242" s="1">
        <v>1383100</v>
      </c>
      <c r="BK242" s="1">
        <v>802300</v>
      </c>
      <c r="BL242" s="1">
        <v>277900</v>
      </c>
      <c r="BM242" s="1">
        <v>275700</v>
      </c>
      <c r="BN242" s="1">
        <v>308100</v>
      </c>
      <c r="BO242" s="1">
        <v>628700</v>
      </c>
      <c r="BP242" s="1">
        <v>445700</v>
      </c>
      <c r="BQ242" s="1">
        <v>567900</v>
      </c>
      <c r="BR242" s="1">
        <v>969500</v>
      </c>
      <c r="BS242" s="1">
        <v>1835800</v>
      </c>
      <c r="BT242" s="1">
        <v>760800</v>
      </c>
      <c r="BU242" s="1">
        <v>585700</v>
      </c>
      <c r="BV242" s="1">
        <v>729100</v>
      </c>
      <c r="BW242" s="1">
        <v>1782400</v>
      </c>
      <c r="BX242" s="1">
        <v>2964800</v>
      </c>
      <c r="BY242" s="1">
        <v>866200</v>
      </c>
      <c r="BZ242" s="1">
        <v>647400</v>
      </c>
    </row>
    <row r="243" spans="1:78">
      <c r="A243" s="394" t="s">
        <v>456</v>
      </c>
      <c r="B243" s="1" t="str">
        <f>銘柄管理!C243</f>
        <v>クオルテック</v>
      </c>
      <c r="C243" s="1">
        <f>_xll.RssMarket("9165","出来高")</f>
        <v>7900</v>
      </c>
      <c r="D243" s="82">
        <f t="shared" si="3"/>
        <v>-1400</v>
      </c>
      <c r="E243" s="1">
        <v>9300</v>
      </c>
      <c r="F243" s="1">
        <v>18500</v>
      </c>
      <c r="G243" s="1">
        <v>9000</v>
      </c>
      <c r="H243" s="1">
        <v>5000</v>
      </c>
      <c r="I243" s="1">
        <v>8200</v>
      </c>
      <c r="J243" s="1">
        <v>5800</v>
      </c>
      <c r="K243" s="1">
        <v>4400</v>
      </c>
      <c r="L243" s="1">
        <v>7900</v>
      </c>
      <c r="M243" s="1">
        <v>4000</v>
      </c>
      <c r="N243" s="1">
        <v>7100</v>
      </c>
      <c r="O243" s="1">
        <v>5400</v>
      </c>
      <c r="P243" s="1">
        <v>18100</v>
      </c>
      <c r="Q243" s="1">
        <v>3100</v>
      </c>
      <c r="R243" s="1">
        <v>9600</v>
      </c>
      <c r="S243" s="1">
        <v>7600</v>
      </c>
      <c r="T243" s="1">
        <v>7700</v>
      </c>
      <c r="U243" s="1">
        <v>6800</v>
      </c>
      <c r="V243" s="1">
        <v>7800</v>
      </c>
      <c r="W243" s="1">
        <v>10900</v>
      </c>
      <c r="X243" s="1">
        <v>14300</v>
      </c>
      <c r="Y243" s="1">
        <v>22900</v>
      </c>
      <c r="Z243" s="1">
        <v>17000</v>
      </c>
      <c r="AA243" s="1">
        <v>21700</v>
      </c>
      <c r="AB243" s="1">
        <v>46500</v>
      </c>
      <c r="AC243" s="1">
        <v>23300</v>
      </c>
      <c r="AD243" s="1">
        <v>11900</v>
      </c>
      <c r="AE243" s="1">
        <v>12900</v>
      </c>
      <c r="AF243" s="1">
        <v>17400</v>
      </c>
      <c r="AG243" s="1">
        <v>32300</v>
      </c>
      <c r="AH243" s="1">
        <v>31000</v>
      </c>
      <c r="AI243" s="1">
        <v>23500</v>
      </c>
      <c r="AJ243" s="1">
        <v>18700</v>
      </c>
      <c r="AK243" s="1">
        <v>14800</v>
      </c>
      <c r="AL243" s="1">
        <v>12400</v>
      </c>
      <c r="AM243" s="1">
        <v>12200</v>
      </c>
      <c r="AN243" s="1">
        <v>19500</v>
      </c>
      <c r="AO243" s="1">
        <v>20700</v>
      </c>
      <c r="AP243" s="1">
        <v>35400</v>
      </c>
      <c r="AQ243" s="1">
        <v>42400</v>
      </c>
      <c r="AR243" s="1">
        <v>21000</v>
      </c>
      <c r="AS243" s="1">
        <v>45000</v>
      </c>
      <c r="AT243" s="1">
        <v>38200</v>
      </c>
      <c r="AU243" s="1">
        <v>49700</v>
      </c>
      <c r="AV243" s="1">
        <v>41900</v>
      </c>
      <c r="AW243" s="1">
        <v>118900</v>
      </c>
      <c r="AX243" s="1">
        <v>93700</v>
      </c>
      <c r="AY243" s="1">
        <v>158800</v>
      </c>
      <c r="AZ243" s="1">
        <v>93000</v>
      </c>
      <c r="BA243" s="1">
        <v>25900</v>
      </c>
      <c r="BB243" s="1">
        <v>65800</v>
      </c>
      <c r="BC243" s="1">
        <v>32100</v>
      </c>
      <c r="BD243" s="1">
        <v>41800</v>
      </c>
      <c r="BE243" s="1">
        <v>39200</v>
      </c>
      <c r="BF243" s="1">
        <v>18500</v>
      </c>
      <c r="BG243" s="1">
        <v>21700</v>
      </c>
      <c r="BH243" s="1">
        <v>59500</v>
      </c>
      <c r="BI243" s="1">
        <v>97100</v>
      </c>
      <c r="BJ243" s="1">
        <v>277100</v>
      </c>
      <c r="BK243" s="1">
        <v>35500</v>
      </c>
      <c r="BL243" s="1">
        <v>9600</v>
      </c>
      <c r="BM243" s="1">
        <v>4000</v>
      </c>
      <c r="BN243" s="1">
        <v>8000</v>
      </c>
      <c r="BO243" s="1">
        <v>8700</v>
      </c>
      <c r="BP243" s="1">
        <v>3100</v>
      </c>
      <c r="BQ243" s="1">
        <v>8800</v>
      </c>
      <c r="BR243" s="1">
        <v>10200</v>
      </c>
      <c r="BS243" s="1">
        <v>3900</v>
      </c>
      <c r="BT243" s="1">
        <v>8500</v>
      </c>
      <c r="BU243" s="1">
        <v>2300</v>
      </c>
      <c r="BV243" s="1">
        <v>12600</v>
      </c>
      <c r="BW243" s="1">
        <v>6100</v>
      </c>
      <c r="BX243" s="1">
        <v>12300</v>
      </c>
      <c r="BY243" s="1">
        <v>5900</v>
      </c>
      <c r="BZ243" s="1">
        <v>8500</v>
      </c>
    </row>
    <row r="244" spans="1:78">
      <c r="A244" s="394" t="s">
        <v>457</v>
      </c>
      <c r="B244" s="1" t="str">
        <f>銘柄管理!C244</f>
        <v>デンソー</v>
      </c>
      <c r="C244" s="1">
        <f>_xll.RssMarket("6902","出来高")</f>
        <v>4551900</v>
      </c>
      <c r="D244" s="82">
        <f t="shared" si="3"/>
        <v>-4603200</v>
      </c>
      <c r="E244" s="1">
        <v>9155100</v>
      </c>
      <c r="F244" s="1">
        <v>12369700</v>
      </c>
      <c r="G244" s="1">
        <v>24785700</v>
      </c>
      <c r="H244" s="1">
        <v>10346100</v>
      </c>
      <c r="I244" s="1">
        <v>16382000</v>
      </c>
      <c r="J244" s="1">
        <v>8698300</v>
      </c>
      <c r="K244" s="1">
        <v>9471600</v>
      </c>
      <c r="L244" s="1">
        <v>5223600</v>
      </c>
      <c r="M244" s="1">
        <v>5257000</v>
      </c>
      <c r="N244" s="1">
        <v>5778100</v>
      </c>
      <c r="O244" s="1">
        <v>6563300</v>
      </c>
      <c r="P244" s="1">
        <v>6893300</v>
      </c>
      <c r="Q244" s="1">
        <v>5965800</v>
      </c>
      <c r="R244" s="1">
        <v>7499700</v>
      </c>
      <c r="S244" s="1">
        <v>5393400</v>
      </c>
      <c r="T244" s="1">
        <v>5592400</v>
      </c>
      <c r="U244" s="1">
        <v>5283300</v>
      </c>
      <c r="V244" s="1">
        <v>6662400</v>
      </c>
      <c r="W244" s="1">
        <v>8806000</v>
      </c>
      <c r="X244" s="1">
        <v>6256200</v>
      </c>
      <c r="Y244" s="1">
        <v>6387800</v>
      </c>
      <c r="Z244" s="1">
        <v>8038400</v>
      </c>
      <c r="AA244" s="1">
        <v>9162700</v>
      </c>
      <c r="AB244" s="1">
        <v>9201100</v>
      </c>
      <c r="AC244" s="1">
        <v>16027300</v>
      </c>
      <c r="AD244" s="1">
        <v>6364700</v>
      </c>
      <c r="AE244" s="1">
        <v>5827600</v>
      </c>
      <c r="AF244" s="1">
        <v>6647500</v>
      </c>
      <c r="AG244" s="1">
        <v>8471500</v>
      </c>
      <c r="AH244" s="1">
        <v>5402400</v>
      </c>
      <c r="AI244" s="1">
        <v>14131300</v>
      </c>
      <c r="AJ244" s="1">
        <v>8346200</v>
      </c>
      <c r="AK244" s="1">
        <v>7011600</v>
      </c>
      <c r="AL244" s="1">
        <v>4906500</v>
      </c>
      <c r="AM244" s="1">
        <v>8140000</v>
      </c>
      <c r="AN244" s="1">
        <v>9110900</v>
      </c>
      <c r="AO244" s="1">
        <v>11073000</v>
      </c>
      <c r="AP244" s="1">
        <v>7457200</v>
      </c>
      <c r="AQ244" s="1">
        <v>9215000</v>
      </c>
      <c r="AR244" s="1">
        <v>10318600</v>
      </c>
      <c r="AS244" s="1">
        <v>6624500</v>
      </c>
      <c r="AT244" s="1">
        <v>8136900</v>
      </c>
      <c r="AU244" s="1">
        <v>7086000</v>
      </c>
      <c r="AV244" s="1">
        <v>15164500</v>
      </c>
      <c r="AW244" s="1">
        <v>6752200</v>
      </c>
      <c r="AX244" s="1">
        <v>8515000</v>
      </c>
      <c r="AY244" s="1">
        <v>8828900</v>
      </c>
      <c r="AZ244" s="1">
        <v>7670100</v>
      </c>
      <c r="BA244" s="1">
        <v>5200800</v>
      </c>
      <c r="BB244" s="1">
        <v>6774500</v>
      </c>
      <c r="BC244" s="1">
        <v>6452700</v>
      </c>
      <c r="BD244" s="1">
        <v>8048500</v>
      </c>
      <c r="BE244" s="1">
        <v>9868300</v>
      </c>
      <c r="BF244" s="1">
        <v>9570500</v>
      </c>
      <c r="BG244" s="1">
        <v>6720900</v>
      </c>
      <c r="BH244" s="1">
        <v>6711000</v>
      </c>
      <c r="BI244" s="1">
        <v>7043400</v>
      </c>
      <c r="BJ244" s="1">
        <v>9299300</v>
      </c>
      <c r="BK244" s="1">
        <v>12597500</v>
      </c>
      <c r="BL244" s="1">
        <v>7821900</v>
      </c>
      <c r="BM244" s="1">
        <v>18844900</v>
      </c>
      <c r="BN244" s="1">
        <v>25897700</v>
      </c>
      <c r="BO244" s="1">
        <v>11689500</v>
      </c>
      <c r="BP244" s="1">
        <v>5990900</v>
      </c>
      <c r="BQ244" s="1">
        <v>6515500</v>
      </c>
      <c r="BR244" s="1">
        <v>4384100</v>
      </c>
      <c r="BS244" s="1">
        <v>5127700</v>
      </c>
      <c r="BT244" s="1">
        <v>6926600</v>
      </c>
      <c r="BU244" s="1">
        <v>6138500</v>
      </c>
      <c r="BV244" s="1">
        <v>9172600</v>
      </c>
      <c r="BW244" s="1">
        <v>9168200</v>
      </c>
      <c r="BX244" s="1">
        <v>5753500</v>
      </c>
      <c r="BY244" s="1">
        <v>5465000</v>
      </c>
      <c r="BZ244" s="1">
        <v>6071300</v>
      </c>
    </row>
    <row r="245" spans="1:78">
      <c r="A245" s="394" t="s">
        <v>458</v>
      </c>
      <c r="B245" s="1" t="str">
        <f>銘柄管理!C245</f>
        <v>グローバルウェイ</v>
      </c>
      <c r="C245" s="1">
        <f>_xll.RssMarket("3936","出来高")</f>
        <v>136000</v>
      </c>
      <c r="D245" s="82">
        <f t="shared" si="3"/>
        <v>136000</v>
      </c>
    </row>
    <row r="246" spans="1:78">
      <c r="A246" s="394" t="s">
        <v>459</v>
      </c>
      <c r="B246" s="1" t="str">
        <f>銘柄管理!C246</f>
        <v>エノモト</v>
      </c>
      <c r="C246" s="1">
        <f>_xll.RssMarket("6928","出来高")</f>
        <v>53400</v>
      </c>
      <c r="D246" s="82">
        <f t="shared" si="3"/>
        <v>1100</v>
      </c>
      <c r="E246" s="1">
        <v>52300</v>
      </c>
      <c r="F246" s="1">
        <v>43000</v>
      </c>
      <c r="G246" s="1">
        <v>54900</v>
      </c>
      <c r="H246" s="1">
        <v>52900</v>
      </c>
      <c r="I246" s="1">
        <v>113100</v>
      </c>
      <c r="J246" s="1">
        <v>65500</v>
      </c>
      <c r="K246" s="1">
        <v>43100</v>
      </c>
      <c r="L246" s="1">
        <v>39500</v>
      </c>
      <c r="M246" s="1">
        <v>42500</v>
      </c>
      <c r="N246" s="1">
        <v>35300</v>
      </c>
      <c r="O246" s="1">
        <v>50900</v>
      </c>
      <c r="P246" s="1">
        <v>51400</v>
      </c>
      <c r="Q246" s="1">
        <v>9500</v>
      </c>
      <c r="R246" s="1">
        <v>29500</v>
      </c>
      <c r="S246" s="1">
        <v>41400</v>
      </c>
      <c r="T246" s="1">
        <v>35200</v>
      </c>
      <c r="U246" s="1">
        <v>31800</v>
      </c>
      <c r="V246" s="1">
        <v>52800</v>
      </c>
      <c r="W246" s="1">
        <v>54700</v>
      </c>
      <c r="X246" s="1">
        <v>36300</v>
      </c>
      <c r="Y246" s="1">
        <v>40300</v>
      </c>
      <c r="Z246" s="1">
        <v>46400</v>
      </c>
      <c r="AA246" s="1">
        <v>33700</v>
      </c>
      <c r="AB246" s="1">
        <v>24000</v>
      </c>
      <c r="AC246" s="1">
        <v>29200</v>
      </c>
      <c r="AD246" s="1">
        <v>30300</v>
      </c>
      <c r="AE246" s="1">
        <v>23200</v>
      </c>
      <c r="AF246" s="1">
        <v>26000</v>
      </c>
      <c r="AG246" s="1">
        <v>32600</v>
      </c>
      <c r="AH246" s="1">
        <v>27400</v>
      </c>
      <c r="AI246" s="1">
        <v>23000</v>
      </c>
      <c r="AJ246" s="1">
        <v>25000</v>
      </c>
      <c r="AK246" s="1">
        <v>15200</v>
      </c>
      <c r="AL246" s="1">
        <v>31200</v>
      </c>
      <c r="AM246" s="1">
        <v>32800</v>
      </c>
      <c r="AN246" s="1">
        <v>55600</v>
      </c>
      <c r="AO246" s="1">
        <v>32000</v>
      </c>
      <c r="AP246" s="1">
        <v>49600</v>
      </c>
      <c r="AQ246" s="1">
        <v>45600</v>
      </c>
      <c r="AR246" s="1">
        <v>25700</v>
      </c>
      <c r="AS246" s="1">
        <v>28400</v>
      </c>
      <c r="AT246" s="1">
        <v>33800</v>
      </c>
      <c r="AU246" s="1">
        <v>42900</v>
      </c>
      <c r="AV246" s="1">
        <v>53400</v>
      </c>
      <c r="AW246" s="1">
        <v>52900</v>
      </c>
      <c r="AX246" s="1">
        <v>38800</v>
      </c>
      <c r="AY246" s="1">
        <v>30400</v>
      </c>
      <c r="AZ246" s="1">
        <v>50700</v>
      </c>
      <c r="BA246" s="1">
        <v>28800</v>
      </c>
      <c r="BB246" s="1">
        <v>65400</v>
      </c>
      <c r="BC246" s="1">
        <v>68200</v>
      </c>
      <c r="BD246" s="1">
        <v>32300</v>
      </c>
      <c r="BE246" s="1">
        <v>47700</v>
      </c>
      <c r="BF246" s="1">
        <v>36400</v>
      </c>
      <c r="BG246" s="1">
        <v>50800</v>
      </c>
      <c r="BH246" s="1">
        <v>115900</v>
      </c>
      <c r="BI246" s="1">
        <v>308400</v>
      </c>
      <c r="BJ246" s="1">
        <v>48000</v>
      </c>
      <c r="BK246" s="1">
        <v>57800</v>
      </c>
      <c r="BL246" s="1">
        <v>66100</v>
      </c>
      <c r="BM246" s="1">
        <v>54100</v>
      </c>
      <c r="BN246" s="1">
        <v>22900</v>
      </c>
      <c r="BO246" s="1">
        <v>17800</v>
      </c>
      <c r="BP246" s="1">
        <v>20900</v>
      </c>
      <c r="BQ246" s="1">
        <v>26800</v>
      </c>
      <c r="BR246" s="1">
        <v>22600</v>
      </c>
      <c r="BS246" s="1">
        <v>17600</v>
      </c>
      <c r="BT246" s="1">
        <v>18900</v>
      </c>
      <c r="BU246" s="1">
        <v>24600</v>
      </c>
      <c r="BV246" s="1">
        <v>28200</v>
      </c>
      <c r="BW246" s="1">
        <v>50100</v>
      </c>
      <c r="BX246" s="1">
        <v>31300</v>
      </c>
      <c r="BY246" s="1">
        <v>14000</v>
      </c>
      <c r="BZ246" s="1">
        <v>24500</v>
      </c>
    </row>
    <row r="247" spans="1:78">
      <c r="A247" s="394" t="s">
        <v>460</v>
      </c>
      <c r="B247" s="1" t="str">
        <f>銘柄管理!C247</f>
        <v>三菱製鋼</v>
      </c>
      <c r="C247" s="1">
        <f>_xll.RssMarket("5632","出来高")</f>
        <v>72500</v>
      </c>
      <c r="D247" s="82">
        <f t="shared" si="3"/>
        <v>16800</v>
      </c>
      <c r="E247" s="1">
        <v>55700</v>
      </c>
      <c r="F247" s="1">
        <v>90900</v>
      </c>
      <c r="G247" s="1">
        <v>88900</v>
      </c>
      <c r="H247" s="1">
        <v>88700</v>
      </c>
      <c r="I247" s="1">
        <v>127600</v>
      </c>
      <c r="J247" s="1">
        <v>76200</v>
      </c>
      <c r="K247" s="1">
        <v>46900</v>
      </c>
      <c r="M247" s="1">
        <v>42300</v>
      </c>
      <c r="N247" s="1">
        <v>36400</v>
      </c>
      <c r="O247" s="1">
        <v>60900</v>
      </c>
      <c r="P247" s="1">
        <v>98300</v>
      </c>
      <c r="Q247" s="1">
        <v>53300</v>
      </c>
      <c r="R247" s="1">
        <v>80400</v>
      </c>
      <c r="S247" s="1">
        <v>57700</v>
      </c>
      <c r="T247" s="1">
        <v>56400</v>
      </c>
      <c r="U247" s="1">
        <v>48900</v>
      </c>
      <c r="V247" s="1">
        <v>84400</v>
      </c>
      <c r="W247" s="1">
        <v>56700</v>
      </c>
      <c r="X247" s="1">
        <v>59200</v>
      </c>
      <c r="Y247" s="1">
        <v>65600</v>
      </c>
      <c r="Z247" s="1">
        <v>89300</v>
      </c>
      <c r="AA247" s="1">
        <v>57600</v>
      </c>
      <c r="AB247" s="1">
        <v>104400</v>
      </c>
      <c r="AC247" s="1">
        <v>88100</v>
      </c>
      <c r="AD247" s="1">
        <v>66600</v>
      </c>
      <c r="AE247" s="1">
        <v>61500</v>
      </c>
      <c r="AF247" s="1">
        <v>82700</v>
      </c>
      <c r="AG247" s="1">
        <v>153500</v>
      </c>
      <c r="AH247" s="1">
        <v>125100</v>
      </c>
      <c r="AI247" s="1">
        <v>126600</v>
      </c>
      <c r="AJ247" s="1">
        <v>133800</v>
      </c>
      <c r="AK247" s="1">
        <v>28900</v>
      </c>
      <c r="AL247" s="1">
        <v>35300</v>
      </c>
      <c r="AM247" s="1">
        <v>67300</v>
      </c>
      <c r="AN247" s="1">
        <v>83400</v>
      </c>
      <c r="AO247" s="1">
        <v>58300</v>
      </c>
      <c r="AP247" s="1">
        <v>71500</v>
      </c>
      <c r="AQ247" s="1">
        <v>113000</v>
      </c>
      <c r="AR247" s="1">
        <v>77300</v>
      </c>
      <c r="AS247" s="1">
        <v>98900</v>
      </c>
      <c r="AT247" s="1">
        <v>100300</v>
      </c>
      <c r="AU247" s="1">
        <v>100600</v>
      </c>
      <c r="AV247" s="1">
        <v>103400</v>
      </c>
      <c r="AW247" s="1">
        <v>113800</v>
      </c>
      <c r="AX247" s="1">
        <v>154200</v>
      </c>
      <c r="AY247" s="1">
        <v>108500</v>
      </c>
      <c r="AZ247" s="1">
        <v>101500</v>
      </c>
      <c r="BA247" s="1">
        <v>133600</v>
      </c>
      <c r="BB247" s="1">
        <v>105200</v>
      </c>
      <c r="BC247" s="1">
        <v>118500</v>
      </c>
      <c r="BD247" s="1">
        <v>205100</v>
      </c>
      <c r="BE247" s="1">
        <v>370700</v>
      </c>
      <c r="BF247" s="1">
        <v>335400</v>
      </c>
      <c r="BG247" s="1">
        <v>252400</v>
      </c>
      <c r="BH247" s="1">
        <v>108000</v>
      </c>
      <c r="BI247" s="1">
        <v>213900</v>
      </c>
      <c r="BJ247" s="1">
        <v>67500</v>
      </c>
      <c r="BK247" s="1">
        <v>72200</v>
      </c>
      <c r="BL247" s="1">
        <v>73600</v>
      </c>
      <c r="BM247" s="1">
        <v>80000</v>
      </c>
      <c r="BN247" s="1">
        <v>70600</v>
      </c>
      <c r="BO247" s="1">
        <v>69200</v>
      </c>
      <c r="BP247" s="1">
        <v>72700</v>
      </c>
      <c r="BQ247" s="1">
        <v>62100</v>
      </c>
      <c r="BR247" s="1">
        <v>63700</v>
      </c>
      <c r="BS247" s="1">
        <v>48200</v>
      </c>
      <c r="BT247" s="1">
        <v>54700</v>
      </c>
      <c r="BU247" s="1">
        <v>50000</v>
      </c>
      <c r="BV247" s="1">
        <v>60300</v>
      </c>
      <c r="BW247" s="1">
        <v>68700</v>
      </c>
      <c r="BX247" s="1">
        <v>63800</v>
      </c>
      <c r="BY247" s="1">
        <v>83100</v>
      </c>
      <c r="BZ247" s="1">
        <v>74100</v>
      </c>
    </row>
    <row r="248" spans="1:78">
      <c r="A248" s="394" t="s">
        <v>461</v>
      </c>
      <c r="B248" s="1" t="str">
        <f>銘柄管理!C248</f>
        <v>リクルートホールディングス</v>
      </c>
      <c r="C248" s="1">
        <f>_xll.RssMarket("6098","出来高")</f>
        <v>1707800</v>
      </c>
      <c r="D248" s="82">
        <f t="shared" si="3"/>
        <v>-1646500</v>
      </c>
      <c r="E248" s="1">
        <v>3354300</v>
      </c>
      <c r="F248" s="1">
        <v>3639900</v>
      </c>
      <c r="G248" s="1">
        <v>5277600</v>
      </c>
      <c r="H248" s="1">
        <v>4406500</v>
      </c>
      <c r="I248" s="1">
        <v>5734800</v>
      </c>
      <c r="J248" s="1">
        <v>4814500</v>
      </c>
      <c r="K248" s="1">
        <v>3937600</v>
      </c>
      <c r="L248" s="1">
        <v>4119800</v>
      </c>
      <c r="M248" s="1">
        <v>3322700</v>
      </c>
      <c r="N248" s="1">
        <v>4886100</v>
      </c>
      <c r="O248" s="1">
        <v>4766200</v>
      </c>
      <c r="P248" s="1">
        <v>3748400</v>
      </c>
      <c r="Q248" s="1">
        <v>3138700</v>
      </c>
      <c r="R248" s="1">
        <v>3951800</v>
      </c>
      <c r="S248" s="1">
        <v>2485900</v>
      </c>
      <c r="T248" s="1">
        <v>5272800</v>
      </c>
      <c r="U248" s="1">
        <v>5074700</v>
      </c>
      <c r="V248" s="1">
        <v>4395900</v>
      </c>
      <c r="W248" s="1">
        <v>4937000</v>
      </c>
      <c r="X248" s="1">
        <v>2763900</v>
      </c>
      <c r="Y248" s="1">
        <v>3942800</v>
      </c>
      <c r="Z248" s="1">
        <v>5231300</v>
      </c>
      <c r="AA248" s="1">
        <v>4344900</v>
      </c>
      <c r="AB248" s="1">
        <v>3968600</v>
      </c>
      <c r="AC248" s="1">
        <v>3469700</v>
      </c>
      <c r="AD248" s="1">
        <v>4029100</v>
      </c>
      <c r="AE248" s="1">
        <v>3424200</v>
      </c>
      <c r="AF248" s="1">
        <v>3668000</v>
      </c>
      <c r="AG248" s="1">
        <v>4265900</v>
      </c>
      <c r="AH248" s="1">
        <v>2822700</v>
      </c>
      <c r="AI248" s="1">
        <v>4637000</v>
      </c>
      <c r="AJ248" s="1">
        <v>5207500</v>
      </c>
      <c r="AK248" s="1">
        <v>3628100</v>
      </c>
      <c r="AL248" s="1">
        <v>2743600</v>
      </c>
      <c r="AM248" s="1">
        <v>3258800</v>
      </c>
      <c r="AN248" s="1">
        <v>7113000</v>
      </c>
      <c r="AO248" s="1">
        <v>4717800</v>
      </c>
      <c r="AP248" s="1">
        <v>6072500</v>
      </c>
      <c r="AQ248" s="1">
        <v>4476500</v>
      </c>
      <c r="AR248" s="1">
        <v>3111400</v>
      </c>
      <c r="AS248" s="1">
        <v>3122600</v>
      </c>
      <c r="AT248" s="1">
        <v>4746500</v>
      </c>
      <c r="AU248" s="1">
        <v>7506200</v>
      </c>
      <c r="AV248" s="1">
        <v>17460900</v>
      </c>
      <c r="AW248" s="1">
        <v>7644100</v>
      </c>
      <c r="AX248" s="1">
        <v>5574200</v>
      </c>
      <c r="AY248" s="1">
        <v>3397800</v>
      </c>
      <c r="AZ248" s="1">
        <v>5224200</v>
      </c>
      <c r="BA248" s="1">
        <v>4791900</v>
      </c>
      <c r="BB248" s="1">
        <v>8907400</v>
      </c>
      <c r="BC248" s="1">
        <v>16251100</v>
      </c>
      <c r="BD248" s="1">
        <v>21985000</v>
      </c>
      <c r="BE248" s="1">
        <v>8557900</v>
      </c>
      <c r="BF248" s="1">
        <v>7107100</v>
      </c>
      <c r="BG248" s="1">
        <v>4579200</v>
      </c>
      <c r="BH248" s="1">
        <v>4143200</v>
      </c>
      <c r="BI248" s="1">
        <v>4240800</v>
      </c>
      <c r="BJ248" s="1">
        <v>7525500</v>
      </c>
      <c r="BK248" s="1">
        <v>8411200</v>
      </c>
      <c r="BL248" s="1">
        <v>3535400</v>
      </c>
      <c r="BM248" s="1">
        <v>7038100</v>
      </c>
      <c r="BN248" s="1">
        <v>11715500</v>
      </c>
      <c r="BO248" s="1">
        <v>3826700</v>
      </c>
      <c r="BP248" s="1">
        <v>5591600</v>
      </c>
      <c r="BQ248" s="1">
        <v>8410200</v>
      </c>
      <c r="BR248" s="1">
        <v>6754900</v>
      </c>
      <c r="BS248" s="1">
        <v>5620900</v>
      </c>
      <c r="BT248" s="1">
        <v>4445700</v>
      </c>
      <c r="BU248" s="1">
        <v>6301300</v>
      </c>
      <c r="BV248" s="1">
        <v>3896400</v>
      </c>
      <c r="BW248" s="1">
        <v>4604200</v>
      </c>
      <c r="BX248" s="1">
        <v>4450500</v>
      </c>
      <c r="BY248" s="1">
        <v>4658000</v>
      </c>
      <c r="BZ248" s="1">
        <v>4598700</v>
      </c>
    </row>
    <row r="249" spans="1:78">
      <c r="A249" s="394" t="s">
        <v>462</v>
      </c>
      <c r="B249" s="1" t="str">
        <f>銘柄管理!C249</f>
        <v>荏原製作所</v>
      </c>
      <c r="C249" s="1">
        <f>_xll.RssMarket("6361","出来高")</f>
        <v>2735300</v>
      </c>
      <c r="D249" s="82">
        <f t="shared" si="3"/>
        <v>-486200</v>
      </c>
      <c r="E249" s="1">
        <v>3221500</v>
      </c>
      <c r="F249" s="1">
        <v>2045800</v>
      </c>
      <c r="G249" s="1">
        <v>4341900</v>
      </c>
      <c r="H249" s="1">
        <v>12021400</v>
      </c>
      <c r="I249" s="1">
        <v>4739000</v>
      </c>
      <c r="J249" s="1">
        <v>3626300</v>
      </c>
      <c r="K249" s="1">
        <v>2275300</v>
      </c>
      <c r="L249" s="1">
        <v>2188200</v>
      </c>
      <c r="M249" s="1">
        <v>2799000</v>
      </c>
      <c r="N249" s="1">
        <v>3771800</v>
      </c>
      <c r="O249" s="1">
        <v>3711600</v>
      </c>
      <c r="P249" s="1">
        <v>4306500</v>
      </c>
      <c r="Q249" s="1">
        <v>3240700</v>
      </c>
      <c r="R249" s="1">
        <v>3364700</v>
      </c>
      <c r="S249" s="1">
        <v>2081700</v>
      </c>
      <c r="T249" s="1">
        <v>2703900</v>
      </c>
      <c r="U249" s="1">
        <v>3088300</v>
      </c>
      <c r="V249" s="1">
        <v>4263800</v>
      </c>
      <c r="W249" s="1">
        <v>2923400</v>
      </c>
      <c r="X249" s="1">
        <v>3531200</v>
      </c>
      <c r="Y249" s="1">
        <v>3285600</v>
      </c>
      <c r="Z249" s="1">
        <v>2787200</v>
      </c>
      <c r="AA249" s="1">
        <v>3763100</v>
      </c>
      <c r="AB249" s="1">
        <v>3817600</v>
      </c>
      <c r="AC249" s="1">
        <v>3048200</v>
      </c>
      <c r="AD249" s="1">
        <v>4188600</v>
      </c>
      <c r="AE249" s="1">
        <v>4059600</v>
      </c>
      <c r="AF249" s="1">
        <v>2646800</v>
      </c>
      <c r="AG249" s="1">
        <v>3439500</v>
      </c>
      <c r="AH249" s="1">
        <v>1870200</v>
      </c>
      <c r="AI249" s="1">
        <v>5643000</v>
      </c>
      <c r="AJ249" s="1">
        <v>3696000</v>
      </c>
      <c r="AK249" s="1">
        <v>3437000</v>
      </c>
      <c r="AL249" s="1">
        <v>3206000</v>
      </c>
      <c r="AM249" s="1">
        <v>4425200</v>
      </c>
      <c r="AN249" s="1">
        <v>2920300</v>
      </c>
      <c r="AO249" s="1">
        <v>2568200</v>
      </c>
      <c r="AP249" s="1">
        <v>3427500</v>
      </c>
      <c r="AQ249" s="1">
        <v>3192900</v>
      </c>
      <c r="AR249" s="1">
        <v>1687900</v>
      </c>
      <c r="AS249" s="1">
        <v>2272900</v>
      </c>
      <c r="AT249" s="1">
        <v>2891700</v>
      </c>
      <c r="AU249" s="1">
        <v>4060800</v>
      </c>
      <c r="AV249" s="1">
        <v>4360300</v>
      </c>
      <c r="AW249" s="1">
        <v>3110500</v>
      </c>
      <c r="AX249" s="1">
        <v>3544400</v>
      </c>
      <c r="AY249" s="1">
        <v>3711800</v>
      </c>
      <c r="AZ249" s="1">
        <v>4302300</v>
      </c>
      <c r="BA249" s="1">
        <v>3248800</v>
      </c>
      <c r="BB249" s="1">
        <v>4155100</v>
      </c>
      <c r="BC249" s="1">
        <v>3194200</v>
      </c>
      <c r="BD249" s="1">
        <v>4428300</v>
      </c>
      <c r="BE249" s="1">
        <v>5374800</v>
      </c>
      <c r="BF249" s="1">
        <v>3227300</v>
      </c>
      <c r="BG249" s="1">
        <v>2217500</v>
      </c>
      <c r="BH249" s="1">
        <v>2567100</v>
      </c>
      <c r="BI249" s="1">
        <v>3410800</v>
      </c>
      <c r="BJ249" s="1">
        <v>3325300</v>
      </c>
      <c r="BK249" s="1">
        <v>6871600</v>
      </c>
      <c r="BL249" s="1">
        <v>1790600</v>
      </c>
      <c r="BM249" s="1">
        <v>3556400</v>
      </c>
      <c r="BN249" s="1">
        <v>4089500</v>
      </c>
      <c r="BO249" s="1">
        <v>2855200</v>
      </c>
      <c r="BP249" s="1">
        <v>2647100</v>
      </c>
      <c r="BQ249" s="1">
        <v>3450000</v>
      </c>
      <c r="BR249" s="1">
        <v>4481500</v>
      </c>
      <c r="BS249" s="1">
        <v>1813400</v>
      </c>
      <c r="BT249" s="1">
        <v>2190600</v>
      </c>
      <c r="BU249" s="1">
        <v>2076600</v>
      </c>
      <c r="BV249" s="1">
        <v>2920800</v>
      </c>
      <c r="BW249" s="1">
        <v>2891900</v>
      </c>
      <c r="BX249" s="1">
        <v>2357100</v>
      </c>
      <c r="BY249" s="1">
        <v>2015400</v>
      </c>
      <c r="BZ249" s="1">
        <v>3960600</v>
      </c>
    </row>
    <row r="250" spans="1:78">
      <c r="A250" s="394" t="s">
        <v>463</v>
      </c>
      <c r="B250" s="1" t="str">
        <f>銘柄管理!C250</f>
        <v>情報戦略テクノロジー</v>
      </c>
      <c r="C250" s="1">
        <f>_xll.RssMarket("155A","出来高")</f>
        <v>17500</v>
      </c>
      <c r="D250" s="82">
        <f t="shared" si="3"/>
        <v>4300</v>
      </c>
      <c r="E250" s="1">
        <v>13200</v>
      </c>
      <c r="F250" s="1">
        <v>35800</v>
      </c>
      <c r="G250" s="1">
        <v>24700</v>
      </c>
      <c r="H250" s="1">
        <v>22700</v>
      </c>
      <c r="I250" s="1">
        <v>36500</v>
      </c>
      <c r="J250" s="1">
        <v>39800</v>
      </c>
      <c r="K250" s="1">
        <v>15300</v>
      </c>
      <c r="M250" s="1">
        <v>17500</v>
      </c>
      <c r="N250" s="1">
        <v>15700</v>
      </c>
      <c r="O250" s="1">
        <v>30500</v>
      </c>
      <c r="P250" s="1">
        <v>97600</v>
      </c>
      <c r="Q250" s="1">
        <v>58400</v>
      </c>
      <c r="R250" s="1">
        <v>30500</v>
      </c>
      <c r="S250" s="1">
        <v>30000</v>
      </c>
      <c r="T250" s="1">
        <v>22600</v>
      </c>
      <c r="U250" s="1">
        <v>29700</v>
      </c>
      <c r="V250" s="1">
        <v>38500</v>
      </c>
      <c r="W250" s="1">
        <v>29200</v>
      </c>
      <c r="X250" s="1">
        <v>32800</v>
      </c>
      <c r="Y250" s="1">
        <v>33600</v>
      </c>
      <c r="Z250" s="1">
        <v>53800</v>
      </c>
      <c r="AA250" s="1">
        <v>27000</v>
      </c>
      <c r="AB250" s="1">
        <v>27700</v>
      </c>
      <c r="AC250" s="1">
        <v>20600</v>
      </c>
      <c r="AD250" s="1">
        <v>59100</v>
      </c>
      <c r="AE250" s="1">
        <v>46700</v>
      </c>
      <c r="AF250" s="1">
        <v>228900</v>
      </c>
      <c r="AG250" s="1">
        <v>48700</v>
      </c>
      <c r="AH250" s="1">
        <v>103400</v>
      </c>
      <c r="AI250" s="1">
        <v>54900</v>
      </c>
      <c r="AJ250" s="1">
        <v>45100</v>
      </c>
      <c r="AK250" s="1">
        <v>58200</v>
      </c>
      <c r="AL250" s="1">
        <v>29200</v>
      </c>
      <c r="AM250" s="1">
        <v>34100</v>
      </c>
      <c r="AN250" s="1">
        <v>35200</v>
      </c>
      <c r="AO250" s="1">
        <v>39500</v>
      </c>
      <c r="AP250" s="1">
        <v>45900</v>
      </c>
      <c r="AQ250" s="1">
        <v>84000</v>
      </c>
      <c r="AR250" s="1">
        <v>61600</v>
      </c>
      <c r="AS250" s="1">
        <v>67600</v>
      </c>
      <c r="AT250" s="1">
        <v>115500</v>
      </c>
      <c r="AU250" s="1">
        <v>33400</v>
      </c>
      <c r="AV250" s="1">
        <v>90300</v>
      </c>
      <c r="AW250" s="1">
        <v>40000</v>
      </c>
      <c r="AX250" s="1">
        <v>61700</v>
      </c>
      <c r="AY250" s="1">
        <v>47800</v>
      </c>
      <c r="AZ250" s="1">
        <v>38200</v>
      </c>
      <c r="BA250" s="1">
        <v>45800</v>
      </c>
      <c r="BB250" s="1">
        <v>106000</v>
      </c>
      <c r="BC250" s="1">
        <v>183800</v>
      </c>
      <c r="BD250" s="1">
        <v>344400</v>
      </c>
      <c r="BE250" s="1">
        <v>217900</v>
      </c>
      <c r="BF250" s="1">
        <v>87900</v>
      </c>
      <c r="BG250" s="1">
        <v>61800</v>
      </c>
      <c r="BH250" s="1">
        <v>28100</v>
      </c>
      <c r="BI250" s="1">
        <v>28400</v>
      </c>
      <c r="BJ250" s="1">
        <v>25600</v>
      </c>
      <c r="BK250" s="1">
        <v>22900</v>
      </c>
      <c r="BL250" s="1">
        <v>23100</v>
      </c>
      <c r="BM250" s="1">
        <v>34400</v>
      </c>
      <c r="BN250" s="1">
        <v>30900</v>
      </c>
      <c r="BO250" s="1">
        <v>34100</v>
      </c>
      <c r="BP250" s="1">
        <v>17500</v>
      </c>
      <c r="BQ250" s="1">
        <v>22500</v>
      </c>
      <c r="BR250" s="1">
        <v>25100</v>
      </c>
      <c r="BS250" s="1">
        <v>28700</v>
      </c>
      <c r="BT250" s="1">
        <v>24000</v>
      </c>
      <c r="BU250" s="1">
        <v>25300</v>
      </c>
      <c r="BV250" s="1">
        <v>33100</v>
      </c>
      <c r="BW250" s="1">
        <v>54400</v>
      </c>
      <c r="BX250" s="1">
        <v>33700</v>
      </c>
      <c r="BY250" s="1">
        <v>110200</v>
      </c>
      <c r="BZ250" s="1">
        <v>76500</v>
      </c>
    </row>
    <row r="251" spans="1:78">
      <c r="A251" s="394" t="s">
        <v>464</v>
      </c>
      <c r="B251" s="1" t="str">
        <f>銘柄管理!C251</f>
        <v>ＴＥＲＲＡＤＲＯＮＥ</v>
      </c>
      <c r="C251" s="1">
        <f>_xll.RssMarket("278A","出来高")</f>
        <v>1168500</v>
      </c>
      <c r="D251" s="82">
        <f t="shared" si="3"/>
        <v>-946100</v>
      </c>
      <c r="E251" s="1">
        <v>2114600</v>
      </c>
      <c r="F251" s="1">
        <v>781700</v>
      </c>
      <c r="G251" s="1">
        <v>1202700</v>
      </c>
      <c r="H251" s="1">
        <v>469300</v>
      </c>
      <c r="I251" s="1">
        <v>947500</v>
      </c>
      <c r="J251" s="1">
        <v>1351000</v>
      </c>
      <c r="K251" s="1">
        <v>897800</v>
      </c>
      <c r="L251" s="1">
        <v>1593100</v>
      </c>
      <c r="M251" s="1">
        <v>1834800</v>
      </c>
      <c r="N251" s="1">
        <v>2125600</v>
      </c>
      <c r="O251" s="1">
        <v>3579000</v>
      </c>
      <c r="P251" s="1">
        <v>4024700</v>
      </c>
      <c r="Q251" s="1">
        <v>3747900</v>
      </c>
      <c r="R251" s="1">
        <v>976100</v>
      </c>
      <c r="S251" s="1">
        <v>1809100</v>
      </c>
      <c r="T251" s="1">
        <v>1877800</v>
      </c>
      <c r="U251" s="1">
        <v>1308400</v>
      </c>
      <c r="V251" s="1">
        <v>308200</v>
      </c>
      <c r="W251" s="1">
        <v>874100</v>
      </c>
      <c r="X251" s="1">
        <v>1155200</v>
      </c>
      <c r="Y251" s="1">
        <v>420400</v>
      </c>
      <c r="Z251" s="1">
        <v>299900</v>
      </c>
      <c r="AA251" s="1">
        <v>169900</v>
      </c>
      <c r="AB251" s="1">
        <v>182600</v>
      </c>
      <c r="AC251" s="1">
        <v>197000</v>
      </c>
      <c r="AD251" s="1">
        <v>258300</v>
      </c>
      <c r="AE251" s="1">
        <v>262700</v>
      </c>
      <c r="AF251" s="1">
        <v>437200</v>
      </c>
      <c r="AG251" s="1">
        <v>1138100</v>
      </c>
      <c r="AH251" s="1">
        <v>1121300</v>
      </c>
      <c r="AI251" s="1">
        <v>455000</v>
      </c>
      <c r="AJ251" s="1">
        <v>906800</v>
      </c>
      <c r="AK251" s="1">
        <v>2099300</v>
      </c>
      <c r="AL251" s="1">
        <v>689500</v>
      </c>
      <c r="AM251" s="1">
        <v>810300</v>
      </c>
      <c r="AN251" s="1">
        <v>559500</v>
      </c>
      <c r="AO251" s="1">
        <v>630800</v>
      </c>
      <c r="AP251" s="1">
        <v>1250900</v>
      </c>
      <c r="AQ251" s="1">
        <v>1781800</v>
      </c>
      <c r="AR251" s="1">
        <v>430500</v>
      </c>
      <c r="AS251" s="1">
        <v>418800</v>
      </c>
      <c r="AT251" s="1">
        <v>391800</v>
      </c>
      <c r="AU251" s="1">
        <v>423300</v>
      </c>
      <c r="AV251" s="1">
        <v>633600</v>
      </c>
      <c r="AW251" s="1">
        <v>1051000</v>
      </c>
      <c r="AX251" s="1">
        <v>956500</v>
      </c>
      <c r="AY251" s="1">
        <v>643500</v>
      </c>
      <c r="AZ251" s="1">
        <v>521900</v>
      </c>
      <c r="BA251" s="1">
        <v>720600</v>
      </c>
      <c r="BB251" s="1">
        <v>750600</v>
      </c>
      <c r="BC251" s="1">
        <v>1680900</v>
      </c>
      <c r="BD251" s="1">
        <v>1220200</v>
      </c>
      <c r="BE251" s="1">
        <v>2123900</v>
      </c>
      <c r="BF251" s="1">
        <v>1887300</v>
      </c>
      <c r="BG251" s="1">
        <v>4134500</v>
      </c>
      <c r="BH251" s="1">
        <v>1320900</v>
      </c>
      <c r="BI251" s="1">
        <v>1134000</v>
      </c>
      <c r="BJ251" s="1">
        <v>2416200</v>
      </c>
      <c r="BK251" s="1">
        <v>2877500</v>
      </c>
      <c r="BL251" s="1">
        <v>1631300</v>
      </c>
      <c r="BM251" s="1">
        <v>2508400</v>
      </c>
      <c r="BN251" s="1">
        <v>927900</v>
      </c>
      <c r="BO251" s="1">
        <v>846600</v>
      </c>
      <c r="BP251" s="1">
        <v>1400400</v>
      </c>
      <c r="BQ251" s="1">
        <v>2371600</v>
      </c>
      <c r="BR251" s="1">
        <v>1257400</v>
      </c>
      <c r="BS251" s="1">
        <v>662900</v>
      </c>
      <c r="BT251" s="1">
        <v>744800</v>
      </c>
      <c r="BU251" s="1">
        <v>904700</v>
      </c>
      <c r="BV251" s="1">
        <v>1875500</v>
      </c>
      <c r="BW251" s="1">
        <v>849100</v>
      </c>
      <c r="BX251" s="1">
        <v>1877000</v>
      </c>
      <c r="BY251" s="1">
        <v>749300</v>
      </c>
      <c r="BZ251" s="1">
        <v>1106800</v>
      </c>
    </row>
    <row r="252" spans="1:78">
      <c r="A252" s="394" t="s">
        <v>465</v>
      </c>
      <c r="B252" s="1" t="str">
        <f>銘柄管理!C252</f>
        <v>ＭＩＣ</v>
      </c>
      <c r="C252" s="1">
        <f>_xll.RssMarket("300A","出来高")</f>
        <v>13400</v>
      </c>
      <c r="D252" s="82">
        <f t="shared" si="3"/>
        <v>9900</v>
      </c>
      <c r="E252" s="1">
        <v>3500</v>
      </c>
      <c r="F252" s="1">
        <v>8800</v>
      </c>
      <c r="G252" s="1">
        <v>14400</v>
      </c>
      <c r="H252" s="1">
        <v>10400</v>
      </c>
      <c r="I252" s="1">
        <v>13600</v>
      </c>
      <c r="J252" s="1">
        <v>9400</v>
      </c>
      <c r="K252" s="1">
        <v>12100</v>
      </c>
      <c r="M252" s="1">
        <v>13800</v>
      </c>
      <c r="N252" s="1">
        <v>10700</v>
      </c>
      <c r="O252" s="1">
        <v>7100</v>
      </c>
      <c r="P252" s="1">
        <v>12800</v>
      </c>
      <c r="Q252" s="1">
        <v>9500</v>
      </c>
      <c r="R252" s="1">
        <v>7500</v>
      </c>
      <c r="S252" s="1">
        <v>12700</v>
      </c>
      <c r="T252" s="1">
        <v>4700</v>
      </c>
      <c r="U252" s="1">
        <v>7000</v>
      </c>
      <c r="V252" s="1">
        <v>3400</v>
      </c>
      <c r="W252" s="1">
        <v>11300</v>
      </c>
      <c r="X252" s="1">
        <v>5400</v>
      </c>
      <c r="Y252" s="1">
        <v>4500</v>
      </c>
      <c r="Z252" s="1">
        <v>8500</v>
      </c>
      <c r="AA252" s="1">
        <v>11800</v>
      </c>
      <c r="AB252" s="1">
        <v>5000</v>
      </c>
      <c r="AC252" s="1">
        <v>11100</v>
      </c>
      <c r="AD252" s="1">
        <v>8000</v>
      </c>
      <c r="AE252" s="1">
        <v>8400</v>
      </c>
      <c r="AF252" s="1">
        <v>11900</v>
      </c>
      <c r="AG252" s="1">
        <v>7700</v>
      </c>
      <c r="AH252" s="1">
        <v>3100</v>
      </c>
      <c r="AI252" s="1">
        <v>13000</v>
      </c>
      <c r="AJ252" s="1">
        <v>18700</v>
      </c>
      <c r="AK252" s="1">
        <v>5400</v>
      </c>
      <c r="AL252" s="1">
        <v>10000</v>
      </c>
      <c r="AM252" s="1">
        <v>17500</v>
      </c>
      <c r="AN252" s="1">
        <v>22400</v>
      </c>
      <c r="AO252" s="1">
        <v>19000</v>
      </c>
      <c r="AP252" s="1">
        <v>7000</v>
      </c>
      <c r="AQ252" s="1">
        <v>12400</v>
      </c>
      <c r="AR252" s="1">
        <v>7300</v>
      </c>
      <c r="AS252" s="1">
        <v>16000</v>
      </c>
      <c r="AT252" s="1">
        <v>9500</v>
      </c>
      <c r="AU252" s="1">
        <v>17300</v>
      </c>
      <c r="AV252" s="1">
        <v>15900</v>
      </c>
      <c r="AW252" s="1">
        <v>6300</v>
      </c>
      <c r="AX252" s="1">
        <v>8200</v>
      </c>
      <c r="AY252" s="1">
        <v>13200</v>
      </c>
      <c r="AZ252" s="1">
        <v>13900</v>
      </c>
      <c r="BA252" s="1">
        <v>9900</v>
      </c>
      <c r="BB252" s="1">
        <v>17700</v>
      </c>
      <c r="BC252" s="1">
        <v>18200</v>
      </c>
      <c r="BD252" s="1">
        <v>68300</v>
      </c>
      <c r="BE252" s="1">
        <v>101600</v>
      </c>
      <c r="BF252" s="1">
        <v>35800</v>
      </c>
      <c r="BG252" s="1">
        <v>17800</v>
      </c>
      <c r="BH252" s="1">
        <v>24600</v>
      </c>
      <c r="BI252" s="1">
        <v>19300</v>
      </c>
      <c r="BJ252" s="1">
        <v>13900</v>
      </c>
      <c r="BK252" s="1">
        <v>26000</v>
      </c>
      <c r="BL252" s="1">
        <v>23600</v>
      </c>
      <c r="BM252" s="1">
        <v>24400</v>
      </c>
      <c r="BN252" s="1">
        <v>15100</v>
      </c>
      <c r="BO252" s="1">
        <v>40400</v>
      </c>
      <c r="BP252" s="1">
        <v>20300</v>
      </c>
      <c r="BQ252" s="1">
        <v>24400</v>
      </c>
      <c r="BR252" s="1">
        <v>20400</v>
      </c>
      <c r="BS252" s="1">
        <v>14000</v>
      </c>
      <c r="BT252" s="1">
        <v>12600</v>
      </c>
      <c r="BU252" s="1">
        <v>19600</v>
      </c>
      <c r="BV252" s="1">
        <v>21000</v>
      </c>
      <c r="BW252" s="1">
        <v>27800</v>
      </c>
      <c r="BX252" s="1">
        <v>28000</v>
      </c>
      <c r="BY252" s="1">
        <v>29100</v>
      </c>
      <c r="BZ252" s="1">
        <v>22100</v>
      </c>
    </row>
    <row r="253" spans="1:78">
      <c r="A253" s="394" t="s">
        <v>466</v>
      </c>
      <c r="B253" s="1" t="str">
        <f>銘柄管理!C253</f>
        <v>サイボウズ</v>
      </c>
      <c r="C253" s="1">
        <f>_xll.RssMarket("4776","出来高")</f>
        <v>105700</v>
      </c>
      <c r="D253" s="82">
        <f t="shared" si="3"/>
        <v>-63500</v>
      </c>
      <c r="E253" s="1">
        <v>169200</v>
      </c>
      <c r="F253" s="1">
        <v>276800</v>
      </c>
      <c r="G253" s="1">
        <v>215100</v>
      </c>
      <c r="H253" s="1">
        <v>356900</v>
      </c>
      <c r="I253" s="1">
        <v>843000</v>
      </c>
      <c r="J253" s="1">
        <v>427900</v>
      </c>
      <c r="K253" s="1">
        <v>312300</v>
      </c>
      <c r="L253" s="1">
        <v>231100</v>
      </c>
      <c r="M253" s="1">
        <v>290400</v>
      </c>
      <c r="N253" s="1">
        <v>229900</v>
      </c>
      <c r="O253" s="1">
        <v>228200</v>
      </c>
      <c r="P253" s="1">
        <v>211700</v>
      </c>
      <c r="Q253" s="1">
        <v>230500</v>
      </c>
      <c r="R253" s="1">
        <v>212600</v>
      </c>
      <c r="S253" s="1">
        <v>249500</v>
      </c>
      <c r="T253" s="1">
        <v>276200</v>
      </c>
      <c r="U253" s="1">
        <v>337500</v>
      </c>
      <c r="V253" s="1">
        <v>327200</v>
      </c>
      <c r="W253" s="1">
        <v>336100</v>
      </c>
      <c r="X253" s="1">
        <v>367200</v>
      </c>
      <c r="Y253" s="1">
        <v>438100</v>
      </c>
      <c r="Z253" s="1">
        <v>651100</v>
      </c>
      <c r="AA253" s="1">
        <v>263500</v>
      </c>
      <c r="AB253" s="1">
        <v>375600</v>
      </c>
      <c r="AC253" s="1">
        <v>630200</v>
      </c>
      <c r="AD253" s="1">
        <v>413600</v>
      </c>
      <c r="AE253" s="1">
        <v>482000</v>
      </c>
      <c r="AF253" s="1">
        <v>485200</v>
      </c>
      <c r="AG253" s="1">
        <v>520000</v>
      </c>
      <c r="AH253" s="1">
        <v>267700</v>
      </c>
      <c r="AI253" s="1">
        <v>340500</v>
      </c>
      <c r="AJ253" s="1">
        <v>311500</v>
      </c>
      <c r="AK253" s="1">
        <v>294200</v>
      </c>
      <c r="AL253" s="1">
        <v>327000</v>
      </c>
      <c r="AM253" s="1">
        <v>274800</v>
      </c>
      <c r="AN253" s="1">
        <v>615300</v>
      </c>
      <c r="AO253" s="1">
        <v>393900</v>
      </c>
      <c r="AP253" s="1">
        <v>282700</v>
      </c>
      <c r="AQ253" s="1">
        <v>360900</v>
      </c>
      <c r="AR253" s="1">
        <v>404600</v>
      </c>
      <c r="AS253" s="1">
        <v>486700</v>
      </c>
      <c r="AT253" s="1">
        <v>756200</v>
      </c>
      <c r="AU253" s="1">
        <v>746600</v>
      </c>
      <c r="AV253" s="1">
        <v>586400</v>
      </c>
      <c r="AW253" s="1">
        <v>336200</v>
      </c>
      <c r="AX253" s="1">
        <v>332500</v>
      </c>
      <c r="AY253" s="1">
        <v>617500</v>
      </c>
      <c r="AZ253" s="1">
        <v>427400</v>
      </c>
      <c r="BA253" s="1">
        <v>727700</v>
      </c>
      <c r="BB253" s="1">
        <v>614500</v>
      </c>
      <c r="BC253" s="1">
        <v>697500</v>
      </c>
      <c r="BD253" s="1">
        <v>774600</v>
      </c>
      <c r="BE253" s="1">
        <v>1779700</v>
      </c>
      <c r="BF253" s="1">
        <v>996400</v>
      </c>
      <c r="BG253" s="1">
        <v>555900</v>
      </c>
      <c r="BH253" s="1">
        <v>540800</v>
      </c>
      <c r="BI253" s="1">
        <v>621600</v>
      </c>
      <c r="BJ253" s="1">
        <v>721200</v>
      </c>
      <c r="BK253" s="1">
        <v>741200</v>
      </c>
      <c r="BL253" s="1">
        <v>348000</v>
      </c>
      <c r="BM253" s="1">
        <v>1118600</v>
      </c>
      <c r="BN253" s="1">
        <v>598300</v>
      </c>
      <c r="BO253" s="1">
        <v>372700</v>
      </c>
      <c r="BP253" s="1">
        <v>400100</v>
      </c>
      <c r="BQ253" s="1">
        <v>646200</v>
      </c>
      <c r="BR253" s="1">
        <v>300800</v>
      </c>
      <c r="BS253" s="1">
        <v>539700</v>
      </c>
      <c r="BT253" s="1">
        <v>569400</v>
      </c>
      <c r="BU253" s="1">
        <v>1129300</v>
      </c>
      <c r="BV253" s="1">
        <v>782200</v>
      </c>
      <c r="BW253" s="1">
        <v>689800</v>
      </c>
      <c r="BX253" s="1">
        <v>652800</v>
      </c>
      <c r="BY253" s="1">
        <v>478500</v>
      </c>
      <c r="BZ253" s="1">
        <v>779500</v>
      </c>
    </row>
    <row r="254" spans="1:78">
      <c r="A254" s="394" t="s">
        <v>467</v>
      </c>
      <c r="B254" s="1" t="str">
        <f>銘柄管理!C254</f>
        <v>トレンドマイクロ</v>
      </c>
      <c r="C254" s="1">
        <f>_xll.RssMarket("4704","出来高")</f>
        <v>321200</v>
      </c>
      <c r="D254" s="82">
        <f t="shared" si="3"/>
        <v>-523500</v>
      </c>
      <c r="E254" s="1">
        <v>844700</v>
      </c>
      <c r="F254" s="1">
        <v>633400</v>
      </c>
      <c r="G254" s="1">
        <v>904200</v>
      </c>
      <c r="H254" s="1">
        <v>2023900</v>
      </c>
      <c r="I254" s="1">
        <v>1383400</v>
      </c>
      <c r="J254" s="1">
        <v>893900</v>
      </c>
      <c r="K254" s="1">
        <v>895100</v>
      </c>
      <c r="L254" s="1">
        <v>826600</v>
      </c>
      <c r="M254" s="1">
        <v>624800</v>
      </c>
      <c r="N254" s="1">
        <v>764300</v>
      </c>
      <c r="O254" s="1">
        <v>930600</v>
      </c>
      <c r="P254" s="1">
        <v>2450000</v>
      </c>
      <c r="Q254" s="1">
        <v>892100</v>
      </c>
      <c r="R254" s="1">
        <v>847800</v>
      </c>
      <c r="S254" s="1">
        <v>577200</v>
      </c>
      <c r="T254" s="1">
        <v>779900</v>
      </c>
      <c r="U254" s="1">
        <v>764400</v>
      </c>
      <c r="V254" s="1">
        <v>957900</v>
      </c>
      <c r="W254" s="1">
        <v>877300</v>
      </c>
      <c r="X254" s="1">
        <v>667300</v>
      </c>
      <c r="Y254" s="1">
        <v>854600</v>
      </c>
      <c r="Z254" s="1">
        <v>1102100</v>
      </c>
      <c r="AA254" s="1">
        <v>661000</v>
      </c>
      <c r="AB254" s="1">
        <v>1003200</v>
      </c>
      <c r="AC254" s="1">
        <v>1028300</v>
      </c>
      <c r="AD254" s="1">
        <v>642600</v>
      </c>
      <c r="AE254" s="1">
        <v>728200</v>
      </c>
      <c r="AF254" s="1">
        <v>825500</v>
      </c>
      <c r="AG254" s="1">
        <v>967300</v>
      </c>
      <c r="AH254" s="1">
        <v>614900</v>
      </c>
      <c r="AI254" s="1">
        <v>1762100</v>
      </c>
      <c r="AJ254" s="1">
        <v>849200</v>
      </c>
      <c r="AK254" s="1">
        <v>914000</v>
      </c>
      <c r="AL254" s="1">
        <v>831800</v>
      </c>
      <c r="AM254" s="1">
        <v>844000</v>
      </c>
      <c r="AN254" s="1">
        <v>1214800</v>
      </c>
      <c r="AO254" s="1">
        <v>695700</v>
      </c>
      <c r="AP254" s="1">
        <v>828400</v>
      </c>
      <c r="AQ254" s="1">
        <v>1157200</v>
      </c>
      <c r="AR254" s="1">
        <v>2647200</v>
      </c>
      <c r="AS254" s="1">
        <v>1217300</v>
      </c>
      <c r="AT254" s="1">
        <v>1063300</v>
      </c>
      <c r="AU254" s="1">
        <v>1131900</v>
      </c>
      <c r="AV254" s="1">
        <v>1228900</v>
      </c>
      <c r="AW254" s="1">
        <v>842400</v>
      </c>
      <c r="AX254" s="1">
        <v>1074600</v>
      </c>
      <c r="AY254" s="1">
        <v>1342600</v>
      </c>
      <c r="AZ254" s="1">
        <v>1094200</v>
      </c>
      <c r="BA254" s="1">
        <v>738700</v>
      </c>
      <c r="BB254" s="1">
        <v>1028500</v>
      </c>
      <c r="BC254" s="1">
        <v>1367200</v>
      </c>
      <c r="BD254" s="1">
        <v>1233800</v>
      </c>
      <c r="BE254" s="1">
        <v>1500300</v>
      </c>
      <c r="BF254" s="1">
        <v>757900</v>
      </c>
      <c r="BG254" s="1">
        <v>525800</v>
      </c>
      <c r="BH254" s="1">
        <v>601400</v>
      </c>
      <c r="BI254" s="1">
        <v>686400</v>
      </c>
      <c r="BJ254" s="1">
        <v>1374200</v>
      </c>
      <c r="BK254" s="1">
        <v>1178000</v>
      </c>
      <c r="BL254" s="1">
        <v>893500</v>
      </c>
      <c r="BM254" s="1">
        <v>1219300</v>
      </c>
      <c r="BN254" s="1">
        <v>848300</v>
      </c>
      <c r="BO254" s="1">
        <v>1033200</v>
      </c>
      <c r="BP254" s="1">
        <v>959000</v>
      </c>
      <c r="BQ254" s="1">
        <v>1158800</v>
      </c>
      <c r="BR254" s="1">
        <v>1031000</v>
      </c>
      <c r="BS254" s="1">
        <v>1436500</v>
      </c>
      <c r="BT254" s="1">
        <v>1741300</v>
      </c>
      <c r="BU254" s="1">
        <v>2337100</v>
      </c>
      <c r="BV254" s="1">
        <v>5516300</v>
      </c>
      <c r="BW254" s="1">
        <v>1065600</v>
      </c>
      <c r="BX254" s="1">
        <v>911800</v>
      </c>
      <c r="BY254" s="1">
        <v>913100</v>
      </c>
      <c r="BZ254" s="1">
        <v>1431900</v>
      </c>
    </row>
    <row r="255" spans="1:78">
      <c r="A255" s="394" t="s">
        <v>468</v>
      </c>
      <c r="B255" s="1" t="str">
        <f>銘柄管理!C255</f>
        <v>栗田工業</v>
      </c>
      <c r="C255" s="1">
        <f>_xll.RssMarket("6370","出来高")</f>
        <v>278500</v>
      </c>
      <c r="D255" s="82">
        <f t="shared" si="3"/>
        <v>-220100</v>
      </c>
      <c r="E255" s="1">
        <v>498600</v>
      </c>
      <c r="F255" s="1">
        <v>509900</v>
      </c>
      <c r="G255" s="1">
        <v>832300</v>
      </c>
      <c r="H255" s="1">
        <v>632300</v>
      </c>
      <c r="I255" s="1">
        <v>721300</v>
      </c>
      <c r="J255" s="1">
        <v>778700</v>
      </c>
      <c r="K255" s="1">
        <v>342500</v>
      </c>
      <c r="L255" s="1">
        <v>416900</v>
      </c>
      <c r="M255" s="1">
        <v>281600</v>
      </c>
      <c r="N255" s="1">
        <v>489500</v>
      </c>
      <c r="O255" s="1">
        <v>466400</v>
      </c>
      <c r="P255" s="1">
        <v>712200</v>
      </c>
      <c r="Q255" s="1">
        <v>237100</v>
      </c>
      <c r="R255" s="1">
        <v>427200</v>
      </c>
      <c r="S255" s="1">
        <v>381900</v>
      </c>
      <c r="T255" s="1">
        <v>361400</v>
      </c>
      <c r="U255" s="1">
        <v>458300</v>
      </c>
      <c r="V255" s="1">
        <v>390100</v>
      </c>
      <c r="W255" s="1">
        <v>410000</v>
      </c>
      <c r="X255" s="1">
        <v>451800</v>
      </c>
      <c r="Y255" s="1">
        <v>495200</v>
      </c>
      <c r="Z255" s="1">
        <v>413800</v>
      </c>
      <c r="AA255" s="1">
        <v>414800</v>
      </c>
      <c r="AB255" s="1">
        <v>507700</v>
      </c>
      <c r="AC255" s="1">
        <v>751300</v>
      </c>
      <c r="AD255" s="1">
        <v>458600</v>
      </c>
      <c r="AE255" s="1">
        <v>503000</v>
      </c>
      <c r="AF255" s="1">
        <v>337300</v>
      </c>
      <c r="AG255" s="1">
        <v>430900</v>
      </c>
      <c r="AH255" s="1">
        <v>532200</v>
      </c>
      <c r="AI255" s="1">
        <v>684900</v>
      </c>
      <c r="AJ255" s="1">
        <v>511700</v>
      </c>
      <c r="AK255" s="1">
        <v>701100</v>
      </c>
      <c r="AL255" s="1">
        <v>709000</v>
      </c>
      <c r="AM255" s="1">
        <v>498800</v>
      </c>
      <c r="AN255" s="1">
        <v>561900</v>
      </c>
      <c r="AO255" s="1">
        <v>504000</v>
      </c>
      <c r="AP255" s="1">
        <v>368600</v>
      </c>
      <c r="AQ255" s="1">
        <v>725300</v>
      </c>
      <c r="AR255" s="1">
        <v>401900</v>
      </c>
      <c r="AS255" s="1">
        <v>348100</v>
      </c>
      <c r="AT255" s="1">
        <v>502500</v>
      </c>
      <c r="AU255" s="1">
        <v>377300</v>
      </c>
      <c r="AV255" s="1">
        <v>556400</v>
      </c>
      <c r="AW255" s="1">
        <v>493800</v>
      </c>
      <c r="AX255" s="1">
        <v>473600</v>
      </c>
      <c r="AY255" s="1">
        <v>489100</v>
      </c>
      <c r="AZ255" s="1">
        <v>444600</v>
      </c>
      <c r="BA255" s="1">
        <v>492500</v>
      </c>
      <c r="BB255" s="1">
        <v>791300</v>
      </c>
      <c r="BC255" s="1">
        <v>815700</v>
      </c>
      <c r="BD255" s="1">
        <v>815800</v>
      </c>
      <c r="BE255" s="1">
        <v>1030400</v>
      </c>
      <c r="BF255" s="1">
        <v>845700</v>
      </c>
      <c r="BG255" s="1">
        <v>426700</v>
      </c>
      <c r="BH255" s="1">
        <v>611800</v>
      </c>
      <c r="BI255" s="1">
        <v>837400</v>
      </c>
      <c r="BJ255" s="1">
        <v>914000</v>
      </c>
      <c r="BK255" s="1">
        <v>795900</v>
      </c>
      <c r="BL255" s="1">
        <v>653800</v>
      </c>
      <c r="BM255" s="1">
        <v>827500</v>
      </c>
      <c r="BN255" s="1">
        <v>661400</v>
      </c>
      <c r="BO255" s="1">
        <v>766300</v>
      </c>
      <c r="BP255" s="1">
        <v>582900</v>
      </c>
      <c r="BQ255" s="1">
        <v>534400</v>
      </c>
      <c r="BR255" s="1">
        <v>577300</v>
      </c>
      <c r="BS255" s="1">
        <v>421700</v>
      </c>
      <c r="BT255" s="1">
        <v>368500</v>
      </c>
      <c r="BU255" s="1">
        <v>662400</v>
      </c>
      <c r="BV255" s="1">
        <v>566800</v>
      </c>
      <c r="BW255" s="1">
        <v>461700</v>
      </c>
      <c r="BX255" s="1">
        <v>627200</v>
      </c>
      <c r="BY255" s="1">
        <v>344000</v>
      </c>
      <c r="BZ255" s="1">
        <v>404400</v>
      </c>
    </row>
    <row r="256" spans="1:78">
      <c r="A256" s="394" t="s">
        <v>469</v>
      </c>
      <c r="B256" s="1" t="str">
        <f>銘柄管理!C256</f>
        <v>名村造船所</v>
      </c>
      <c r="C256" s="1">
        <f>_xll.RssMarket("7014","出来高")</f>
        <v>815400</v>
      </c>
      <c r="D256" s="82">
        <f t="shared" si="3"/>
        <v>-270500</v>
      </c>
      <c r="E256" s="1">
        <v>1085900</v>
      </c>
      <c r="F256" s="1">
        <v>1970000</v>
      </c>
      <c r="G256" s="1">
        <v>1471400</v>
      </c>
      <c r="H256" s="1">
        <v>1116000</v>
      </c>
      <c r="I256" s="1">
        <v>1851700</v>
      </c>
      <c r="J256" s="1">
        <v>1748900</v>
      </c>
      <c r="K256" s="1">
        <v>1417500</v>
      </c>
      <c r="L256" s="1">
        <v>1717800</v>
      </c>
      <c r="M256" s="1">
        <v>1197800</v>
      </c>
      <c r="N256" s="1">
        <v>1664700</v>
      </c>
      <c r="O256" s="1">
        <v>761700</v>
      </c>
      <c r="P256" s="1">
        <v>1395500</v>
      </c>
      <c r="Q256" s="1">
        <v>1343300</v>
      </c>
      <c r="R256" s="1">
        <v>1218100</v>
      </c>
      <c r="S256" s="1">
        <v>827200</v>
      </c>
      <c r="T256" s="1">
        <v>702400</v>
      </c>
      <c r="U256" s="1">
        <v>1197500</v>
      </c>
      <c r="V256" s="1">
        <v>1629300</v>
      </c>
      <c r="W256" s="1">
        <v>2796400</v>
      </c>
      <c r="X256" s="1">
        <v>2436500</v>
      </c>
      <c r="Y256" s="1">
        <v>970400</v>
      </c>
      <c r="Z256" s="1">
        <v>1166500</v>
      </c>
      <c r="AA256" s="1">
        <v>775900</v>
      </c>
      <c r="AB256" s="1">
        <v>578700</v>
      </c>
      <c r="AC256" s="1">
        <v>960900</v>
      </c>
      <c r="AD256" s="1">
        <v>892100</v>
      </c>
      <c r="AE256" s="1">
        <v>420600</v>
      </c>
      <c r="AF256" s="1">
        <v>506900</v>
      </c>
      <c r="AG256" s="1">
        <v>1041100</v>
      </c>
      <c r="AH256" s="1">
        <v>884700</v>
      </c>
      <c r="AI256" s="1">
        <v>959700</v>
      </c>
      <c r="AJ256" s="1">
        <v>803900</v>
      </c>
      <c r="AK256" s="1">
        <v>1283000</v>
      </c>
      <c r="AL256" s="1">
        <v>1306100</v>
      </c>
      <c r="AM256" s="1">
        <v>1842100</v>
      </c>
      <c r="AN256" s="1">
        <v>1123200</v>
      </c>
      <c r="AO256" s="1">
        <v>1591100</v>
      </c>
      <c r="AP256" s="1">
        <v>903000</v>
      </c>
      <c r="AQ256" s="1">
        <v>1128800</v>
      </c>
      <c r="AR256" s="1">
        <v>1314900</v>
      </c>
      <c r="AS256" s="1">
        <v>1325000</v>
      </c>
      <c r="AT256" s="1">
        <v>1314400</v>
      </c>
      <c r="AU256" s="1">
        <v>1615200</v>
      </c>
      <c r="AV256" s="1">
        <v>1763900</v>
      </c>
      <c r="AW256" s="1">
        <v>1352400</v>
      </c>
      <c r="AX256" s="1">
        <v>903400</v>
      </c>
      <c r="AY256" s="1">
        <v>1040400</v>
      </c>
      <c r="AZ256" s="1">
        <v>999800</v>
      </c>
      <c r="BA256" s="1">
        <v>1049700</v>
      </c>
      <c r="BB256" s="1">
        <v>1110900</v>
      </c>
      <c r="BC256" s="1">
        <v>1733300</v>
      </c>
      <c r="BD256" s="1">
        <v>2957200</v>
      </c>
      <c r="BE256" s="1">
        <v>3007100</v>
      </c>
      <c r="BF256" s="1">
        <v>2677200</v>
      </c>
      <c r="BG256" s="1">
        <v>1590500</v>
      </c>
      <c r="BH256" s="1">
        <v>1341800</v>
      </c>
      <c r="BI256" s="1">
        <v>1082800</v>
      </c>
      <c r="BJ256" s="1">
        <v>1312000</v>
      </c>
      <c r="BK256" s="1">
        <v>1634000</v>
      </c>
      <c r="BL256" s="1">
        <v>794000</v>
      </c>
      <c r="BM256" s="1">
        <v>928100</v>
      </c>
      <c r="BN256" s="1">
        <v>924000</v>
      </c>
      <c r="BO256" s="1">
        <v>1509300</v>
      </c>
      <c r="BP256" s="1">
        <v>1114100</v>
      </c>
      <c r="BQ256" s="1">
        <v>2179100</v>
      </c>
      <c r="BR256" s="1">
        <v>3014700</v>
      </c>
      <c r="BS256" s="1">
        <v>1432800</v>
      </c>
      <c r="BT256" s="1">
        <v>1011600</v>
      </c>
      <c r="BU256" s="1">
        <v>849800</v>
      </c>
      <c r="BV256" s="1">
        <v>1421900</v>
      </c>
      <c r="BW256" s="1">
        <v>1260400</v>
      </c>
      <c r="BX256" s="1">
        <v>779500</v>
      </c>
      <c r="BY256" s="1">
        <v>1001700</v>
      </c>
      <c r="BZ256" s="1">
        <v>2145200</v>
      </c>
    </row>
    <row r="257" spans="1:78">
      <c r="A257" s="394" t="s">
        <v>470</v>
      </c>
      <c r="B257" s="1" t="str">
        <f>銘柄管理!C257</f>
        <v>イノテック</v>
      </c>
      <c r="C257" s="1">
        <f>_xll.RssMarket("9880","出来高")</f>
        <v>135400</v>
      </c>
      <c r="D257" s="82">
        <f t="shared" si="3"/>
        <v>-38900</v>
      </c>
      <c r="E257" s="1">
        <v>174300</v>
      </c>
      <c r="F257" s="1">
        <v>160800</v>
      </c>
      <c r="G257" s="1">
        <v>209200</v>
      </c>
      <c r="H257" s="1">
        <v>187300</v>
      </c>
      <c r="I257" s="1">
        <v>230600</v>
      </c>
      <c r="J257" s="1">
        <v>135100</v>
      </c>
      <c r="K257" s="1">
        <v>130600</v>
      </c>
      <c r="L257" s="1">
        <v>87700</v>
      </c>
      <c r="M257" s="1">
        <v>72800</v>
      </c>
      <c r="N257" s="1">
        <v>98100</v>
      </c>
      <c r="O257" s="1">
        <v>154700</v>
      </c>
      <c r="P257" s="1">
        <v>221500</v>
      </c>
      <c r="Q257" s="1">
        <v>78700</v>
      </c>
      <c r="R257" s="1">
        <v>115100</v>
      </c>
      <c r="S257" s="1">
        <v>95400</v>
      </c>
      <c r="T257" s="1">
        <v>92700</v>
      </c>
      <c r="U257" s="1">
        <v>111900</v>
      </c>
      <c r="V257" s="1">
        <v>166900</v>
      </c>
      <c r="W257" s="1">
        <v>139500</v>
      </c>
      <c r="X257" s="1">
        <v>83000</v>
      </c>
      <c r="Y257" s="1">
        <v>148400</v>
      </c>
      <c r="Z257" s="1">
        <v>136600</v>
      </c>
      <c r="AA257" s="1">
        <v>126700</v>
      </c>
      <c r="AB257" s="1">
        <v>136800</v>
      </c>
      <c r="AC257" s="1">
        <v>144600</v>
      </c>
      <c r="AD257" s="1">
        <v>131700</v>
      </c>
      <c r="AE257" s="1">
        <v>138300</v>
      </c>
      <c r="AF257" s="1">
        <v>99300</v>
      </c>
      <c r="AG257" s="1">
        <v>179900</v>
      </c>
      <c r="AH257" s="1">
        <v>241500</v>
      </c>
      <c r="AI257" s="1">
        <v>135300</v>
      </c>
      <c r="AJ257" s="1">
        <v>151200</v>
      </c>
      <c r="AK257" s="1">
        <v>176800</v>
      </c>
      <c r="AL257" s="1">
        <v>165600</v>
      </c>
      <c r="AM257" s="1">
        <v>154100</v>
      </c>
      <c r="AN257" s="1">
        <v>165600</v>
      </c>
      <c r="AO257" s="1">
        <v>141400</v>
      </c>
      <c r="AP257" s="1">
        <v>134400</v>
      </c>
      <c r="AQ257" s="1">
        <v>205100</v>
      </c>
      <c r="AR257" s="1">
        <v>194400</v>
      </c>
      <c r="AS257" s="1">
        <v>192800</v>
      </c>
      <c r="AT257" s="1">
        <v>213800</v>
      </c>
      <c r="AU257" s="1">
        <v>202100</v>
      </c>
      <c r="AV257" s="1">
        <v>181100</v>
      </c>
      <c r="AW257" s="1">
        <v>222600</v>
      </c>
      <c r="AX257" s="1">
        <v>248200</v>
      </c>
      <c r="AY257" s="1">
        <v>304900</v>
      </c>
      <c r="AZ257" s="1">
        <v>289800</v>
      </c>
      <c r="BA257" s="1">
        <v>370600</v>
      </c>
      <c r="BB257" s="1">
        <v>513400</v>
      </c>
      <c r="BC257" s="1">
        <v>678700</v>
      </c>
      <c r="BD257" s="1">
        <v>575900</v>
      </c>
      <c r="BE257" s="1">
        <v>809200</v>
      </c>
      <c r="BF257" s="1">
        <v>292500</v>
      </c>
      <c r="BG257" s="1">
        <v>179300</v>
      </c>
      <c r="BH257" s="1">
        <v>310600</v>
      </c>
      <c r="BI257" s="1">
        <v>365800</v>
      </c>
      <c r="BJ257" s="1">
        <v>226700</v>
      </c>
      <c r="BK257" s="1">
        <v>578800</v>
      </c>
      <c r="BL257" s="1">
        <v>130600</v>
      </c>
      <c r="BM257" s="1">
        <v>122100</v>
      </c>
      <c r="BN257" s="1">
        <v>105200</v>
      </c>
      <c r="BO257" s="1">
        <v>148200</v>
      </c>
      <c r="BP257" s="1">
        <v>103600</v>
      </c>
      <c r="BQ257" s="1">
        <v>86400</v>
      </c>
      <c r="BR257" s="1">
        <v>113300</v>
      </c>
      <c r="BS257" s="1">
        <v>86300</v>
      </c>
      <c r="BT257" s="1">
        <v>94600</v>
      </c>
      <c r="BU257" s="1">
        <v>89700</v>
      </c>
      <c r="BV257" s="1">
        <v>176900</v>
      </c>
      <c r="BW257" s="1">
        <v>315500</v>
      </c>
      <c r="BX257" s="1">
        <v>128500</v>
      </c>
      <c r="BY257" s="1">
        <v>81900</v>
      </c>
      <c r="BZ257" s="1">
        <v>110600</v>
      </c>
    </row>
    <row r="258" spans="1:78">
      <c r="A258" s="394" t="s">
        <v>471</v>
      </c>
      <c r="B258" s="1" t="str">
        <f>銘柄管理!C258</f>
        <v>カバー</v>
      </c>
      <c r="C258" s="1">
        <f>_xll.RssMarket("5253","出来高")</f>
        <v>1033800</v>
      </c>
      <c r="D258" s="82">
        <f t="shared" si="3"/>
        <v>-16800</v>
      </c>
      <c r="E258" s="1">
        <v>1050600</v>
      </c>
      <c r="F258" s="1">
        <v>1789000</v>
      </c>
      <c r="G258" s="1">
        <v>1829100</v>
      </c>
      <c r="H258" s="1">
        <v>1923600</v>
      </c>
      <c r="I258" s="1">
        <v>4186500</v>
      </c>
      <c r="J258" s="1">
        <v>5686400</v>
      </c>
      <c r="K258" s="1">
        <v>6710300</v>
      </c>
      <c r="M258" s="1">
        <v>7130600</v>
      </c>
      <c r="N258" s="1">
        <v>2059500</v>
      </c>
      <c r="O258" s="1">
        <v>2019600</v>
      </c>
      <c r="P258" s="1">
        <v>1180600</v>
      </c>
      <c r="Q258" s="1">
        <v>888800</v>
      </c>
      <c r="R258" s="1">
        <v>1105000</v>
      </c>
      <c r="S258" s="1">
        <v>1044300</v>
      </c>
      <c r="T258" s="1">
        <v>913300</v>
      </c>
      <c r="U258" s="1">
        <v>1762900</v>
      </c>
      <c r="V258" s="1">
        <v>1793500</v>
      </c>
      <c r="W258" s="1">
        <v>1556000</v>
      </c>
      <c r="X258" s="1">
        <v>2174600</v>
      </c>
      <c r="Y258" s="1">
        <v>2033800</v>
      </c>
      <c r="Z258" s="1">
        <v>1463500</v>
      </c>
      <c r="AA258" s="1">
        <v>880400</v>
      </c>
      <c r="AB258" s="1">
        <v>1483900</v>
      </c>
      <c r="AC258" s="1">
        <v>2234400</v>
      </c>
      <c r="AD258" s="1">
        <v>1474200</v>
      </c>
      <c r="AE258" s="1">
        <v>750300</v>
      </c>
      <c r="AF258" s="1">
        <v>1467100</v>
      </c>
      <c r="AG258" s="1">
        <v>1492300</v>
      </c>
      <c r="AH258" s="1">
        <v>1447200</v>
      </c>
      <c r="AI258" s="1">
        <v>2579100</v>
      </c>
      <c r="AJ258" s="1">
        <v>553200</v>
      </c>
      <c r="AK258" s="1">
        <v>639100</v>
      </c>
      <c r="AL258" s="1">
        <v>846500</v>
      </c>
      <c r="AM258" s="1">
        <v>841800</v>
      </c>
      <c r="AN258" s="1">
        <v>1937900</v>
      </c>
      <c r="AO258" s="1">
        <v>1688700</v>
      </c>
      <c r="AP258" s="1">
        <v>1560300</v>
      </c>
      <c r="AQ258" s="1">
        <v>913500</v>
      </c>
      <c r="AR258" s="1">
        <v>1461700</v>
      </c>
      <c r="AS258" s="1">
        <v>842800</v>
      </c>
      <c r="AT258" s="1">
        <v>1012000</v>
      </c>
      <c r="AU258" s="1">
        <v>1599500</v>
      </c>
      <c r="AV258" s="1">
        <v>1198400</v>
      </c>
      <c r="AW258" s="1">
        <v>1500000</v>
      </c>
      <c r="AX258" s="1">
        <v>1658700</v>
      </c>
      <c r="AY258" s="1">
        <v>1873000</v>
      </c>
      <c r="AZ258" s="1">
        <v>2190200</v>
      </c>
      <c r="BA258" s="1">
        <v>2305900</v>
      </c>
      <c r="BB258" s="1">
        <v>1624400</v>
      </c>
      <c r="BC258" s="1">
        <v>2444700</v>
      </c>
      <c r="BD258" s="1">
        <v>2661900</v>
      </c>
      <c r="BE258" s="1">
        <v>6319700</v>
      </c>
      <c r="BF258" s="1">
        <v>1537700</v>
      </c>
      <c r="BG258" s="1">
        <v>1169500</v>
      </c>
      <c r="BH258" s="1">
        <v>764900</v>
      </c>
      <c r="BI258" s="1">
        <v>852700</v>
      </c>
      <c r="BJ258" s="1">
        <v>759400</v>
      </c>
      <c r="BK258" s="1">
        <v>1156100</v>
      </c>
      <c r="BL258" s="1">
        <v>712100</v>
      </c>
      <c r="BM258" s="1">
        <v>520000</v>
      </c>
      <c r="BN258" s="1">
        <v>658500</v>
      </c>
      <c r="BO258" s="1">
        <v>666200</v>
      </c>
      <c r="BP258" s="1">
        <v>676100</v>
      </c>
      <c r="BQ258" s="1">
        <v>620100</v>
      </c>
      <c r="BR258" s="1">
        <v>531200</v>
      </c>
      <c r="BS258" s="1">
        <v>373500</v>
      </c>
      <c r="BT258" s="1">
        <v>609600</v>
      </c>
      <c r="BU258" s="1">
        <v>709000</v>
      </c>
      <c r="BV258" s="1">
        <v>872000</v>
      </c>
      <c r="BW258" s="1">
        <v>463700</v>
      </c>
      <c r="BX258" s="1">
        <v>596000</v>
      </c>
      <c r="BY258" s="1">
        <v>631600</v>
      </c>
      <c r="BZ258" s="1">
        <v>1585100</v>
      </c>
    </row>
    <row r="259" spans="1:78">
      <c r="A259" s="394" t="s">
        <v>472</v>
      </c>
      <c r="B259" s="1" t="str">
        <f>銘柄管理!C259</f>
        <v>商船三井</v>
      </c>
      <c r="C259" s="1">
        <f>_xll.RssMarket("9104","出来高")</f>
        <v>2061900</v>
      </c>
      <c r="D259" s="82">
        <f t="shared" si="3"/>
        <v>-2955000</v>
      </c>
      <c r="E259" s="1">
        <v>5016900</v>
      </c>
      <c r="F259" s="1">
        <v>2976000</v>
      </c>
      <c r="G259" s="1">
        <v>2683900</v>
      </c>
      <c r="H259" s="1">
        <v>1951100</v>
      </c>
      <c r="I259" s="1">
        <v>2913000</v>
      </c>
      <c r="J259" s="1">
        <v>1910600</v>
      </c>
      <c r="K259" s="1">
        <v>3032100</v>
      </c>
      <c r="L259" s="1">
        <v>1943800</v>
      </c>
      <c r="M259" s="1">
        <v>1618700</v>
      </c>
      <c r="N259" s="1">
        <v>2304900</v>
      </c>
      <c r="O259" s="1">
        <v>1967600</v>
      </c>
      <c r="P259" s="1">
        <v>2570000</v>
      </c>
      <c r="Q259" s="1">
        <v>2238300</v>
      </c>
      <c r="R259" s="1">
        <v>2358400</v>
      </c>
      <c r="S259" s="1">
        <v>1602500</v>
      </c>
      <c r="T259" s="1">
        <v>2650600</v>
      </c>
      <c r="U259" s="1">
        <v>2080700</v>
      </c>
      <c r="V259" s="1">
        <v>2819900</v>
      </c>
      <c r="W259" s="1">
        <v>3707700</v>
      </c>
      <c r="X259" s="1">
        <v>2442600</v>
      </c>
      <c r="Y259" s="1">
        <v>2025300</v>
      </c>
      <c r="Z259" s="1">
        <v>2629600</v>
      </c>
      <c r="AA259" s="1">
        <v>3466500</v>
      </c>
      <c r="AB259" s="1">
        <v>2545800</v>
      </c>
      <c r="AC259" s="1">
        <v>2820200</v>
      </c>
      <c r="AD259" s="1">
        <v>2617600</v>
      </c>
      <c r="AE259" s="1">
        <v>3199300</v>
      </c>
      <c r="AF259" s="1">
        <v>2223000</v>
      </c>
      <c r="AG259" s="1">
        <v>3014900</v>
      </c>
      <c r="AH259" s="1">
        <v>2490100</v>
      </c>
      <c r="AI259" s="1">
        <v>4248600</v>
      </c>
      <c r="AJ259" s="1">
        <v>3703400</v>
      </c>
      <c r="AK259" s="1">
        <v>3724500</v>
      </c>
      <c r="AL259" s="1">
        <v>3239900</v>
      </c>
      <c r="AM259" s="1">
        <v>3213300</v>
      </c>
      <c r="AN259" s="1">
        <v>2554800</v>
      </c>
      <c r="AO259" s="1">
        <v>2397100</v>
      </c>
      <c r="AP259" s="1">
        <v>2711600</v>
      </c>
      <c r="AQ259" s="1">
        <v>3257400</v>
      </c>
      <c r="AR259" s="1">
        <v>3680300</v>
      </c>
      <c r="AS259" s="1">
        <v>2829200</v>
      </c>
      <c r="AT259" s="1">
        <v>2569800</v>
      </c>
      <c r="AU259" s="1">
        <v>3334700</v>
      </c>
      <c r="AV259" s="1">
        <v>4613300</v>
      </c>
      <c r="AW259" s="1">
        <v>2584400</v>
      </c>
      <c r="AX259" s="1">
        <v>2733700</v>
      </c>
      <c r="AY259" s="1">
        <v>3054400</v>
      </c>
      <c r="AZ259" s="1">
        <v>2208700</v>
      </c>
      <c r="BA259" s="1">
        <v>2182800</v>
      </c>
      <c r="BB259" s="1">
        <v>2967900</v>
      </c>
      <c r="BC259" s="1">
        <v>2194000</v>
      </c>
      <c r="BD259" s="1">
        <v>2312700</v>
      </c>
      <c r="BE259" s="1">
        <v>2388400</v>
      </c>
      <c r="BF259" s="1">
        <v>2998100</v>
      </c>
      <c r="BG259" s="1">
        <v>2542200</v>
      </c>
      <c r="BH259" s="1">
        <v>2624200</v>
      </c>
      <c r="BI259" s="1">
        <v>3547900</v>
      </c>
      <c r="BJ259" s="1">
        <v>3681700</v>
      </c>
      <c r="BK259" s="1">
        <v>4481600</v>
      </c>
      <c r="BL259" s="1">
        <v>3181100</v>
      </c>
      <c r="BM259" s="1">
        <v>7661200</v>
      </c>
      <c r="BN259" s="1">
        <v>4200100</v>
      </c>
      <c r="BO259" s="1">
        <v>4504600</v>
      </c>
      <c r="BP259" s="1">
        <v>2819100</v>
      </c>
      <c r="BQ259" s="1">
        <v>2752600</v>
      </c>
      <c r="BR259" s="1">
        <v>2322000</v>
      </c>
      <c r="BS259" s="1">
        <v>2305800</v>
      </c>
      <c r="BT259" s="1">
        <v>3467600</v>
      </c>
      <c r="BU259" s="1">
        <v>2317900</v>
      </c>
      <c r="BV259" s="1">
        <v>3442200</v>
      </c>
      <c r="BW259" s="1">
        <v>4716800</v>
      </c>
      <c r="BX259" s="1">
        <v>3725600</v>
      </c>
      <c r="BY259" s="1">
        <v>4063300</v>
      </c>
      <c r="BZ259" s="1">
        <v>5396300</v>
      </c>
    </row>
    <row r="260" spans="1:78">
      <c r="A260" s="394" t="s">
        <v>473</v>
      </c>
      <c r="B260" s="1" t="str">
        <f>銘柄管理!C260</f>
        <v>千代田化工建</v>
      </c>
      <c r="C260" s="1">
        <f>_xll.RssMarket("6366","出来高")</f>
        <v>1776000</v>
      </c>
      <c r="D260" s="82">
        <f t="shared" si="3"/>
        <v>-1212300</v>
      </c>
      <c r="E260" s="1">
        <v>2988300</v>
      </c>
      <c r="F260" s="1">
        <v>2956700</v>
      </c>
      <c r="G260" s="1">
        <v>2478000</v>
      </c>
      <c r="H260" s="1">
        <v>2245000</v>
      </c>
      <c r="I260" s="1">
        <v>5032200</v>
      </c>
      <c r="J260" s="1">
        <v>3944800</v>
      </c>
      <c r="K260" s="1">
        <v>3394000</v>
      </c>
      <c r="L260" s="1">
        <v>2560900</v>
      </c>
      <c r="M260" s="1">
        <v>1580300</v>
      </c>
      <c r="N260" s="1">
        <v>2342000</v>
      </c>
      <c r="O260" s="1">
        <v>3286200</v>
      </c>
      <c r="P260" s="1">
        <v>4687200</v>
      </c>
      <c r="Q260" s="1">
        <v>1824400</v>
      </c>
      <c r="R260" s="1">
        <v>2101800</v>
      </c>
      <c r="S260" s="1">
        <v>2908900</v>
      </c>
      <c r="T260" s="1">
        <v>2034400</v>
      </c>
      <c r="U260" s="1">
        <v>2014700</v>
      </c>
      <c r="V260" s="1">
        <v>3001000</v>
      </c>
      <c r="W260" s="1">
        <v>4033500</v>
      </c>
      <c r="X260" s="1">
        <v>4267400</v>
      </c>
      <c r="Y260" s="1">
        <v>3708400</v>
      </c>
      <c r="Z260" s="1">
        <v>3972700</v>
      </c>
      <c r="AA260" s="1">
        <v>3342100</v>
      </c>
      <c r="AB260" s="1">
        <v>2108000</v>
      </c>
      <c r="AC260" s="1">
        <v>3081800</v>
      </c>
      <c r="AD260" s="1">
        <v>2729600</v>
      </c>
      <c r="AE260" s="1">
        <v>3596500</v>
      </c>
      <c r="AF260" s="1">
        <v>4773700</v>
      </c>
      <c r="AG260" s="1">
        <v>2771200</v>
      </c>
      <c r="AH260" s="1">
        <v>4536900</v>
      </c>
      <c r="AI260" s="1">
        <v>3674900</v>
      </c>
      <c r="AJ260" s="1">
        <v>4742500</v>
      </c>
      <c r="AK260" s="1">
        <v>6059600</v>
      </c>
      <c r="AL260" s="1">
        <v>3773400</v>
      </c>
      <c r="AM260" s="1">
        <v>10543200</v>
      </c>
      <c r="AN260" s="1">
        <v>6198200</v>
      </c>
      <c r="AO260" s="1">
        <v>3403200</v>
      </c>
      <c r="AP260" s="1">
        <v>4588200</v>
      </c>
      <c r="AQ260" s="1">
        <v>3887800</v>
      </c>
      <c r="AR260" s="1">
        <v>3119800</v>
      </c>
      <c r="AS260" s="1">
        <v>4870800</v>
      </c>
      <c r="AT260" s="1">
        <v>4486900</v>
      </c>
      <c r="AU260" s="1">
        <v>3871000</v>
      </c>
      <c r="AV260" s="1">
        <v>5356800</v>
      </c>
      <c r="AW260" s="1">
        <v>5182000</v>
      </c>
      <c r="AX260" s="1">
        <v>6148200</v>
      </c>
      <c r="AY260" s="1">
        <v>8265700</v>
      </c>
      <c r="AZ260" s="1">
        <v>5960400</v>
      </c>
      <c r="BA260" s="1">
        <v>4243700</v>
      </c>
      <c r="BB260" s="1">
        <v>6685800</v>
      </c>
      <c r="BC260" s="1">
        <v>3519700</v>
      </c>
      <c r="BD260" s="1">
        <v>5242400</v>
      </c>
      <c r="BE260" s="1">
        <v>4850200</v>
      </c>
      <c r="BF260" s="1">
        <v>9155600</v>
      </c>
      <c r="BG260" s="1">
        <v>7739300</v>
      </c>
      <c r="BH260" s="1">
        <v>23452600</v>
      </c>
      <c r="BI260" s="1">
        <v>7876800</v>
      </c>
      <c r="BJ260" s="1">
        <v>5003100</v>
      </c>
      <c r="BK260" s="1">
        <v>4266200</v>
      </c>
      <c r="BL260" s="1">
        <v>2600400</v>
      </c>
      <c r="BM260" s="1">
        <v>3912500</v>
      </c>
      <c r="BN260" s="1">
        <v>3595300</v>
      </c>
      <c r="BO260" s="1">
        <v>5289900</v>
      </c>
      <c r="BP260" s="1">
        <v>3957600</v>
      </c>
      <c r="BQ260" s="1">
        <v>4411800</v>
      </c>
      <c r="BR260" s="1">
        <v>5195100</v>
      </c>
      <c r="BS260" s="1">
        <v>7011400</v>
      </c>
      <c r="BT260" s="1">
        <v>6931500</v>
      </c>
      <c r="BU260" s="1">
        <v>6651200</v>
      </c>
      <c r="BV260" s="1">
        <v>7639800</v>
      </c>
      <c r="BW260" s="1">
        <v>8219100</v>
      </c>
      <c r="BX260" s="1">
        <v>7141500</v>
      </c>
      <c r="BY260" s="1">
        <v>8580200</v>
      </c>
      <c r="BZ260" s="1">
        <v>17029000</v>
      </c>
    </row>
    <row r="261" spans="1:78">
      <c r="A261" s="394" t="s">
        <v>474</v>
      </c>
      <c r="B261" s="1" t="str">
        <f>銘柄管理!C261</f>
        <v>旭ダイヤモンド</v>
      </c>
      <c r="C261" s="1">
        <f>_xll.RssMarket("6140","出来高")</f>
        <v>570800</v>
      </c>
      <c r="D261" s="82">
        <f t="shared" si="3"/>
        <v>125200</v>
      </c>
      <c r="E261" s="1">
        <v>445600</v>
      </c>
      <c r="F261" s="1">
        <v>430100</v>
      </c>
      <c r="G261" s="1">
        <v>681100</v>
      </c>
      <c r="H261" s="1">
        <v>476000</v>
      </c>
      <c r="I261" s="1">
        <v>876000</v>
      </c>
      <c r="J261" s="1">
        <v>764300</v>
      </c>
      <c r="K261" s="1">
        <v>456400</v>
      </c>
      <c r="M261" s="1">
        <v>332500</v>
      </c>
      <c r="N261" s="1">
        <v>457200</v>
      </c>
      <c r="O261" s="1">
        <v>718900</v>
      </c>
      <c r="P261" s="1">
        <v>891600</v>
      </c>
      <c r="Q261" s="1">
        <v>827900</v>
      </c>
      <c r="R261" s="1">
        <v>686500</v>
      </c>
      <c r="S261" s="1">
        <v>347600</v>
      </c>
      <c r="T261" s="1">
        <v>362100</v>
      </c>
      <c r="U261" s="1">
        <v>307400</v>
      </c>
      <c r="V261" s="1">
        <v>821700</v>
      </c>
      <c r="W261" s="1">
        <v>541400</v>
      </c>
      <c r="X261" s="1">
        <v>354700</v>
      </c>
      <c r="Y261" s="1">
        <v>468000</v>
      </c>
      <c r="Z261" s="1">
        <v>330800</v>
      </c>
      <c r="AA261" s="1">
        <v>522400</v>
      </c>
      <c r="AB261" s="1">
        <v>474000</v>
      </c>
      <c r="AC261" s="1">
        <v>668100</v>
      </c>
      <c r="AD261" s="1">
        <v>468600</v>
      </c>
      <c r="AE261" s="1">
        <v>437600</v>
      </c>
      <c r="AF261" s="1">
        <v>592600</v>
      </c>
      <c r="AG261" s="1">
        <v>854700</v>
      </c>
      <c r="AH261" s="1">
        <v>590300</v>
      </c>
      <c r="AI261" s="1">
        <v>563700</v>
      </c>
      <c r="AJ261" s="1">
        <v>498300</v>
      </c>
      <c r="AK261" s="1">
        <v>524100</v>
      </c>
      <c r="AL261" s="1">
        <v>500400</v>
      </c>
      <c r="AM261" s="1">
        <v>650500</v>
      </c>
      <c r="AN261" s="1">
        <v>479300</v>
      </c>
      <c r="AO261" s="1">
        <v>539100</v>
      </c>
      <c r="AP261" s="1">
        <v>640100</v>
      </c>
      <c r="AQ261" s="1">
        <v>744700</v>
      </c>
      <c r="AR261" s="1">
        <v>606900</v>
      </c>
      <c r="AS261" s="1">
        <v>413600</v>
      </c>
      <c r="AT261" s="1">
        <v>558100</v>
      </c>
      <c r="AU261" s="1">
        <v>781500</v>
      </c>
      <c r="AV261" s="1">
        <v>653500</v>
      </c>
      <c r="AW261" s="1">
        <v>861200</v>
      </c>
      <c r="AX261" s="1">
        <v>1000500</v>
      </c>
      <c r="AY261" s="1">
        <v>855800</v>
      </c>
      <c r="AZ261" s="1">
        <v>1172400</v>
      </c>
      <c r="BA261" s="1">
        <v>704400</v>
      </c>
      <c r="BB261" s="1">
        <v>848900</v>
      </c>
      <c r="BC261" s="1">
        <v>1253300</v>
      </c>
      <c r="BD261" s="1">
        <v>1618700</v>
      </c>
      <c r="BE261" s="1">
        <v>1384200</v>
      </c>
      <c r="BF261" s="1">
        <v>1036700</v>
      </c>
      <c r="BG261" s="1">
        <v>1266000</v>
      </c>
      <c r="BH261" s="1">
        <v>1239600</v>
      </c>
      <c r="BI261" s="1">
        <v>901200</v>
      </c>
      <c r="BJ261" s="1">
        <v>951100</v>
      </c>
      <c r="BK261" s="1">
        <v>963300</v>
      </c>
      <c r="BL261" s="1">
        <v>643700</v>
      </c>
      <c r="BM261" s="1">
        <v>758100</v>
      </c>
      <c r="BN261" s="1">
        <v>725100</v>
      </c>
      <c r="BO261" s="1">
        <v>1009100</v>
      </c>
      <c r="BP261" s="1">
        <v>2147000</v>
      </c>
      <c r="BQ261" s="1">
        <v>1437400</v>
      </c>
      <c r="BR261" s="1">
        <v>1531600</v>
      </c>
      <c r="BS261" s="1">
        <v>2301500</v>
      </c>
      <c r="BT261" s="1">
        <v>6632400</v>
      </c>
      <c r="BU261" s="1">
        <v>6091500</v>
      </c>
      <c r="BV261" s="1">
        <v>714800</v>
      </c>
      <c r="BW261" s="1">
        <v>870000</v>
      </c>
      <c r="BX261" s="1">
        <v>657200</v>
      </c>
      <c r="BY261" s="1">
        <v>685100</v>
      </c>
      <c r="BZ261" s="1">
        <v>1090500</v>
      </c>
    </row>
    <row r="262" spans="1:78">
      <c r="A262" s="394" t="s">
        <v>475</v>
      </c>
      <c r="B262" s="1" t="str">
        <f>銘柄管理!C262</f>
        <v>住石ホールディングス</v>
      </c>
      <c r="C262" s="1">
        <f>_xll.RssMarket("1514","出来高")</f>
        <v>226900</v>
      </c>
      <c r="D262" s="82">
        <f t="shared" ref="D262:D304" si="4">C262-E262</f>
        <v>-165100</v>
      </c>
      <c r="E262" s="1">
        <v>392000</v>
      </c>
      <c r="F262" s="1">
        <v>444500</v>
      </c>
      <c r="G262" s="1">
        <v>224300</v>
      </c>
      <c r="H262" s="1">
        <v>203500</v>
      </c>
      <c r="I262" s="1">
        <v>264200</v>
      </c>
      <c r="J262" s="1">
        <v>233500</v>
      </c>
      <c r="K262" s="1">
        <v>242700</v>
      </c>
      <c r="L262" s="1">
        <v>230000</v>
      </c>
      <c r="M262" s="1">
        <v>230800</v>
      </c>
      <c r="N262" s="1">
        <v>323200</v>
      </c>
      <c r="O262" s="1">
        <v>284200</v>
      </c>
      <c r="P262" s="1">
        <v>416400</v>
      </c>
      <c r="Q262" s="1">
        <v>272100</v>
      </c>
      <c r="R262" s="1">
        <v>331700</v>
      </c>
      <c r="S262" s="1">
        <v>281600</v>
      </c>
      <c r="T262" s="1">
        <v>290900</v>
      </c>
      <c r="U262" s="1">
        <v>260000</v>
      </c>
      <c r="V262" s="1">
        <v>230200</v>
      </c>
      <c r="W262" s="1">
        <v>540100</v>
      </c>
      <c r="X262" s="1">
        <v>560100</v>
      </c>
      <c r="Y262" s="1">
        <v>302800</v>
      </c>
      <c r="Z262" s="1">
        <v>341600</v>
      </c>
      <c r="AA262" s="1">
        <v>203700</v>
      </c>
      <c r="AB262" s="1">
        <v>277600</v>
      </c>
      <c r="AC262" s="1">
        <v>295100</v>
      </c>
      <c r="AD262" s="1">
        <v>218600</v>
      </c>
      <c r="AE262" s="1">
        <v>287800</v>
      </c>
      <c r="AF262" s="1">
        <v>250400</v>
      </c>
      <c r="AG262" s="1">
        <v>398700</v>
      </c>
      <c r="AH262" s="1">
        <v>575900</v>
      </c>
      <c r="AI262" s="1">
        <v>529100</v>
      </c>
      <c r="AJ262" s="1">
        <v>527200</v>
      </c>
      <c r="AK262" s="1">
        <v>445300</v>
      </c>
      <c r="AL262" s="1">
        <v>202400</v>
      </c>
      <c r="AM262" s="1">
        <v>292500</v>
      </c>
      <c r="AN262" s="1">
        <v>260900</v>
      </c>
      <c r="AO262" s="1">
        <v>280000</v>
      </c>
      <c r="AP262" s="1">
        <v>316200</v>
      </c>
      <c r="AQ262" s="1">
        <v>418900</v>
      </c>
      <c r="AR262" s="1">
        <v>522600</v>
      </c>
      <c r="AS262" s="1">
        <v>441900</v>
      </c>
      <c r="AT262" s="1">
        <v>332800</v>
      </c>
      <c r="AU262" s="1">
        <v>433500</v>
      </c>
      <c r="AV262" s="1">
        <v>394800</v>
      </c>
      <c r="AW262" s="1">
        <v>541100</v>
      </c>
      <c r="AX262" s="1">
        <v>658900</v>
      </c>
      <c r="AY262" s="1">
        <v>704600</v>
      </c>
      <c r="AZ262" s="1">
        <v>505600</v>
      </c>
      <c r="BA262" s="1">
        <v>598100</v>
      </c>
      <c r="BB262" s="1">
        <v>858000</v>
      </c>
      <c r="BC262" s="1">
        <v>603000</v>
      </c>
      <c r="BD262" s="1">
        <v>1650800</v>
      </c>
      <c r="BE262" s="1">
        <v>520300</v>
      </c>
      <c r="BF262" s="1">
        <v>555600</v>
      </c>
      <c r="BG262" s="1">
        <v>376900</v>
      </c>
      <c r="BH262" s="1">
        <v>504600</v>
      </c>
      <c r="BI262" s="1">
        <v>448700</v>
      </c>
      <c r="BJ262" s="1">
        <v>428300</v>
      </c>
      <c r="BK262" s="1">
        <v>555600</v>
      </c>
      <c r="BL262" s="1">
        <v>476200</v>
      </c>
      <c r="BM262" s="1">
        <v>530800</v>
      </c>
      <c r="BN262" s="1">
        <v>407500</v>
      </c>
      <c r="BO262" s="1">
        <v>673100</v>
      </c>
      <c r="BP262" s="1">
        <v>796400</v>
      </c>
      <c r="BQ262" s="1">
        <v>1209800</v>
      </c>
      <c r="BR262" s="1">
        <v>994300</v>
      </c>
      <c r="BS262" s="1">
        <v>637900</v>
      </c>
      <c r="BT262" s="1">
        <v>1601200</v>
      </c>
      <c r="BU262" s="1">
        <v>962100</v>
      </c>
      <c r="BV262" s="1">
        <v>2748900</v>
      </c>
      <c r="BW262" s="1">
        <v>708700</v>
      </c>
      <c r="BX262" s="1">
        <v>837300</v>
      </c>
      <c r="BY262" s="1">
        <v>1528600</v>
      </c>
      <c r="BZ262" s="1">
        <v>1787500</v>
      </c>
    </row>
    <row r="263" spans="1:78">
      <c r="A263" s="394" t="s">
        <v>476</v>
      </c>
      <c r="B263" s="1" t="str">
        <f>銘柄管理!C263</f>
        <v>日本製鋼所</v>
      </c>
      <c r="C263" s="1">
        <f>_xll.RssMarket("5631","出来高")</f>
        <v>548800</v>
      </c>
      <c r="D263" s="82">
        <f t="shared" si="4"/>
        <v>-740700</v>
      </c>
      <c r="E263" s="1">
        <v>1289500</v>
      </c>
      <c r="F263" s="1">
        <v>1266700</v>
      </c>
      <c r="G263" s="1">
        <v>755000</v>
      </c>
      <c r="H263" s="1">
        <v>637900</v>
      </c>
      <c r="I263" s="1">
        <v>1107800</v>
      </c>
      <c r="J263" s="1">
        <v>601800</v>
      </c>
      <c r="K263" s="1">
        <v>592600</v>
      </c>
      <c r="L263" s="1">
        <v>529800</v>
      </c>
      <c r="M263" s="1">
        <v>923100</v>
      </c>
      <c r="N263" s="1">
        <v>669000</v>
      </c>
      <c r="O263" s="1">
        <v>773600</v>
      </c>
      <c r="P263" s="1">
        <v>1305400</v>
      </c>
      <c r="Q263" s="1">
        <v>632600</v>
      </c>
      <c r="R263" s="1">
        <v>1113500</v>
      </c>
      <c r="S263" s="1">
        <v>755800</v>
      </c>
      <c r="T263" s="1">
        <v>835600</v>
      </c>
      <c r="U263" s="1">
        <v>908300</v>
      </c>
      <c r="V263" s="1">
        <v>1644600</v>
      </c>
      <c r="W263" s="1">
        <v>957700</v>
      </c>
      <c r="X263" s="1">
        <v>1454000</v>
      </c>
      <c r="Y263" s="1">
        <v>761700</v>
      </c>
      <c r="Z263" s="1">
        <v>829200</v>
      </c>
      <c r="AA263" s="1">
        <v>1053900</v>
      </c>
      <c r="AB263" s="1">
        <v>692500</v>
      </c>
      <c r="AC263" s="1">
        <v>870100</v>
      </c>
      <c r="AD263" s="1">
        <v>925300</v>
      </c>
      <c r="AE263" s="1">
        <v>1062300</v>
      </c>
      <c r="AF263" s="1">
        <v>1275200</v>
      </c>
      <c r="AG263" s="1">
        <v>749200</v>
      </c>
      <c r="AH263" s="1">
        <v>730500</v>
      </c>
      <c r="AI263" s="1">
        <v>1411100</v>
      </c>
      <c r="AJ263" s="1">
        <v>1000800</v>
      </c>
      <c r="AK263" s="1">
        <v>1676600</v>
      </c>
      <c r="AL263" s="1">
        <v>731700</v>
      </c>
      <c r="AM263" s="1">
        <v>913600</v>
      </c>
      <c r="AN263" s="1">
        <v>1130800</v>
      </c>
      <c r="AO263" s="1">
        <v>1364000</v>
      </c>
      <c r="AP263" s="1">
        <v>810600</v>
      </c>
      <c r="AQ263" s="1">
        <v>1267800</v>
      </c>
      <c r="AR263" s="1">
        <v>2113400</v>
      </c>
      <c r="AS263" s="1">
        <v>787700</v>
      </c>
      <c r="AT263" s="1">
        <v>861300</v>
      </c>
      <c r="AU263" s="1">
        <v>1142900</v>
      </c>
      <c r="AV263" s="1">
        <v>1344900</v>
      </c>
      <c r="AW263" s="1">
        <v>1101300</v>
      </c>
      <c r="AX263" s="1">
        <v>1042700</v>
      </c>
      <c r="AY263" s="1">
        <v>765800</v>
      </c>
      <c r="AZ263" s="1">
        <v>1052100</v>
      </c>
      <c r="BA263" s="1">
        <v>1611100</v>
      </c>
      <c r="BB263" s="1">
        <v>1624600</v>
      </c>
      <c r="BC263" s="1">
        <v>1521200</v>
      </c>
      <c r="BD263" s="1">
        <v>1217400</v>
      </c>
      <c r="BE263" s="1">
        <v>1557000</v>
      </c>
      <c r="BF263" s="1">
        <v>2817500</v>
      </c>
      <c r="BG263" s="1">
        <v>1064500</v>
      </c>
      <c r="BH263" s="1">
        <v>1029200</v>
      </c>
      <c r="BI263" s="1">
        <v>977100</v>
      </c>
      <c r="BJ263" s="1">
        <v>1299400</v>
      </c>
      <c r="BK263" s="1">
        <v>888700</v>
      </c>
      <c r="BL263" s="1">
        <v>946400</v>
      </c>
      <c r="BM263" s="1">
        <v>709100</v>
      </c>
      <c r="BN263" s="1">
        <v>554100</v>
      </c>
      <c r="BO263" s="1">
        <v>714100</v>
      </c>
      <c r="BP263" s="1">
        <v>1211600</v>
      </c>
      <c r="BQ263" s="1">
        <v>1134800</v>
      </c>
      <c r="BR263" s="1">
        <v>892700</v>
      </c>
      <c r="BS263" s="1">
        <v>1240800</v>
      </c>
      <c r="BT263" s="1">
        <v>571100</v>
      </c>
      <c r="BU263" s="1">
        <v>686600</v>
      </c>
      <c r="BV263" s="1">
        <v>763500</v>
      </c>
      <c r="BW263" s="1">
        <v>1564600</v>
      </c>
      <c r="BX263" s="1">
        <v>604400</v>
      </c>
      <c r="BY263" s="1">
        <v>814400</v>
      </c>
      <c r="BZ263" s="1">
        <v>1030100</v>
      </c>
    </row>
    <row r="264" spans="1:78">
      <c r="A264" s="394" t="s">
        <v>477</v>
      </c>
      <c r="B264" s="1" t="str">
        <f>銘柄管理!C264</f>
        <v>ジーエス・ユアサコーポ</v>
      </c>
      <c r="C264" s="1">
        <f>_xll.RssMarket("6674","出来高")</f>
        <v>561600</v>
      </c>
      <c r="D264" s="82">
        <f t="shared" si="4"/>
        <v>-177800</v>
      </c>
      <c r="E264" s="1">
        <v>739400</v>
      </c>
      <c r="F264" s="1">
        <v>659700</v>
      </c>
      <c r="G264" s="1">
        <v>768400</v>
      </c>
      <c r="H264" s="1">
        <v>896100</v>
      </c>
      <c r="I264" s="1">
        <v>1026800</v>
      </c>
      <c r="J264" s="1">
        <v>942600</v>
      </c>
      <c r="K264" s="1">
        <v>683400</v>
      </c>
      <c r="L264" s="1">
        <v>632300</v>
      </c>
      <c r="M264" s="1">
        <v>786500</v>
      </c>
      <c r="N264" s="1">
        <v>1114400</v>
      </c>
      <c r="O264" s="1">
        <v>865600</v>
      </c>
      <c r="P264" s="1">
        <v>923800</v>
      </c>
      <c r="Q264" s="1">
        <v>798600</v>
      </c>
      <c r="R264" s="1">
        <v>824700</v>
      </c>
      <c r="S264" s="1">
        <v>756300</v>
      </c>
      <c r="T264" s="1">
        <v>551800</v>
      </c>
      <c r="U264" s="1">
        <v>689600</v>
      </c>
      <c r="V264" s="1">
        <v>846000</v>
      </c>
      <c r="W264" s="1">
        <v>693900</v>
      </c>
      <c r="X264" s="1">
        <v>728200</v>
      </c>
      <c r="Y264" s="1">
        <v>587000</v>
      </c>
      <c r="Z264" s="1">
        <v>742000</v>
      </c>
      <c r="AA264" s="1">
        <v>762300</v>
      </c>
      <c r="AB264" s="1">
        <v>1157700</v>
      </c>
      <c r="AC264" s="1">
        <v>832800</v>
      </c>
      <c r="AD264" s="1">
        <v>938200</v>
      </c>
      <c r="AE264" s="1">
        <v>715600</v>
      </c>
      <c r="AF264" s="1">
        <v>699700</v>
      </c>
      <c r="AG264" s="1">
        <v>669600</v>
      </c>
      <c r="AH264" s="1">
        <v>1647300</v>
      </c>
      <c r="AI264" s="1">
        <v>1210900</v>
      </c>
      <c r="AJ264" s="1">
        <v>619300</v>
      </c>
      <c r="AK264" s="1">
        <v>766500</v>
      </c>
      <c r="AL264" s="1">
        <v>802200</v>
      </c>
      <c r="AM264" s="1">
        <v>784500</v>
      </c>
      <c r="AN264" s="1">
        <v>891800</v>
      </c>
      <c r="AO264" s="1">
        <v>733900</v>
      </c>
      <c r="AP264" s="1">
        <v>979000</v>
      </c>
      <c r="AQ264" s="1">
        <v>1202100</v>
      </c>
      <c r="AR264" s="1">
        <v>981600</v>
      </c>
      <c r="AS264" s="1">
        <v>1541300</v>
      </c>
      <c r="AT264" s="1">
        <v>1825100</v>
      </c>
      <c r="AU264" s="1">
        <v>1817000</v>
      </c>
      <c r="AV264" s="1">
        <v>977000</v>
      </c>
      <c r="AW264" s="1">
        <v>733700</v>
      </c>
      <c r="AX264" s="1">
        <v>736500</v>
      </c>
      <c r="AY264" s="1">
        <v>506600</v>
      </c>
      <c r="AZ264" s="1">
        <v>738900</v>
      </c>
      <c r="BA264" s="1">
        <v>759500</v>
      </c>
      <c r="BB264" s="1">
        <v>800700</v>
      </c>
      <c r="BC264" s="1">
        <v>787000</v>
      </c>
      <c r="BD264" s="1">
        <v>880500</v>
      </c>
      <c r="BE264" s="1">
        <v>1301000</v>
      </c>
      <c r="BF264" s="1">
        <v>1883500</v>
      </c>
      <c r="BG264" s="1">
        <v>2288300</v>
      </c>
      <c r="BH264" s="1">
        <v>1017100</v>
      </c>
      <c r="BI264" s="1">
        <v>1039500</v>
      </c>
      <c r="BJ264" s="1">
        <v>959200</v>
      </c>
      <c r="BK264" s="1">
        <v>1308400</v>
      </c>
      <c r="BL264" s="1">
        <v>905900</v>
      </c>
      <c r="BM264" s="1">
        <v>1050300</v>
      </c>
      <c r="BN264" s="1">
        <v>963300</v>
      </c>
      <c r="BO264" s="1">
        <v>965100</v>
      </c>
      <c r="BP264" s="1">
        <v>1113900</v>
      </c>
      <c r="BQ264" s="1">
        <v>1317700</v>
      </c>
      <c r="BR264" s="1">
        <v>1334900</v>
      </c>
      <c r="BS264" s="1">
        <v>1483500</v>
      </c>
      <c r="BT264" s="1">
        <v>1012600</v>
      </c>
      <c r="BU264" s="1">
        <v>962700</v>
      </c>
      <c r="BV264" s="1">
        <v>971500</v>
      </c>
      <c r="BW264" s="1">
        <v>1143800</v>
      </c>
      <c r="BX264" s="1">
        <v>860300</v>
      </c>
      <c r="BY264" s="1">
        <v>760500</v>
      </c>
      <c r="BZ264" s="1">
        <v>925800</v>
      </c>
    </row>
    <row r="265" spans="1:78">
      <c r="A265" s="394" t="s">
        <v>478</v>
      </c>
      <c r="B265" s="1" t="str">
        <f>銘柄管理!C265</f>
        <v>ＦＤＫ</v>
      </c>
      <c r="C265" s="1">
        <f>_xll.RssMarket("6955","出来高")</f>
        <v>50000</v>
      </c>
      <c r="D265" s="82">
        <f t="shared" si="4"/>
        <v>-41300</v>
      </c>
      <c r="E265" s="1">
        <v>91300</v>
      </c>
      <c r="F265" s="1">
        <v>141500</v>
      </c>
      <c r="G265" s="1">
        <v>306400</v>
      </c>
      <c r="H265" s="1">
        <v>217900</v>
      </c>
      <c r="I265" s="1">
        <v>209000</v>
      </c>
      <c r="J265" s="1">
        <v>178700</v>
      </c>
      <c r="K265" s="1">
        <v>114200</v>
      </c>
      <c r="M265" s="1">
        <v>105000</v>
      </c>
      <c r="N265" s="1">
        <v>130200</v>
      </c>
      <c r="O265" s="1">
        <v>91700</v>
      </c>
      <c r="P265" s="1">
        <v>274900</v>
      </c>
      <c r="Q265" s="1">
        <v>74500</v>
      </c>
      <c r="R265" s="1">
        <v>123300</v>
      </c>
      <c r="S265" s="1">
        <v>86400</v>
      </c>
      <c r="T265" s="1">
        <v>123000</v>
      </c>
      <c r="U265" s="1">
        <v>78200</v>
      </c>
      <c r="V265" s="1">
        <v>163400</v>
      </c>
      <c r="W265" s="1">
        <v>142500</v>
      </c>
      <c r="X265" s="1">
        <v>300700</v>
      </c>
      <c r="Y265" s="1">
        <v>174300</v>
      </c>
      <c r="Z265" s="1">
        <v>161700</v>
      </c>
      <c r="AA265" s="1">
        <v>85000</v>
      </c>
      <c r="AB265" s="1">
        <v>194700</v>
      </c>
      <c r="AC265" s="1">
        <v>114300</v>
      </c>
      <c r="AD265" s="1">
        <v>193200</v>
      </c>
      <c r="AE265" s="1">
        <v>137500</v>
      </c>
      <c r="AF265" s="1">
        <v>179600</v>
      </c>
      <c r="AG265" s="1">
        <v>466100</v>
      </c>
      <c r="AH265" s="1">
        <v>427700</v>
      </c>
      <c r="AI265" s="1">
        <v>184000</v>
      </c>
      <c r="AJ265" s="1">
        <v>227800</v>
      </c>
      <c r="AK265" s="1">
        <v>397100</v>
      </c>
      <c r="AL265" s="1">
        <v>438000</v>
      </c>
      <c r="AM265" s="1">
        <v>394700</v>
      </c>
      <c r="AN265" s="1">
        <v>391700</v>
      </c>
      <c r="AO265" s="1">
        <v>407300</v>
      </c>
      <c r="AP265" s="1">
        <v>1225900</v>
      </c>
      <c r="AQ265" s="1">
        <v>4575900</v>
      </c>
      <c r="AR265" s="1">
        <v>979300</v>
      </c>
      <c r="AS265" s="1">
        <v>1712300</v>
      </c>
      <c r="AT265" s="1">
        <v>1925800</v>
      </c>
      <c r="AU265" s="1">
        <v>625300</v>
      </c>
      <c r="AV265" s="1">
        <v>133500</v>
      </c>
      <c r="AW265" s="1">
        <v>178600</v>
      </c>
      <c r="AX265" s="1">
        <v>95000</v>
      </c>
      <c r="AY265" s="1">
        <v>71300</v>
      </c>
      <c r="AZ265" s="1">
        <v>48000</v>
      </c>
      <c r="BA265" s="1">
        <v>46200</v>
      </c>
      <c r="BB265" s="1">
        <v>68100</v>
      </c>
      <c r="BC265" s="1">
        <v>36300</v>
      </c>
      <c r="BD265" s="1">
        <v>40300</v>
      </c>
      <c r="BE265" s="1">
        <v>78800</v>
      </c>
      <c r="BF265" s="1">
        <v>60900</v>
      </c>
      <c r="BG265" s="1">
        <v>33100</v>
      </c>
      <c r="BH265" s="1">
        <v>55200</v>
      </c>
      <c r="BI265" s="1">
        <v>186800</v>
      </c>
      <c r="BJ265" s="1">
        <v>209000</v>
      </c>
      <c r="BK265" s="1">
        <v>298400</v>
      </c>
      <c r="BL265" s="1">
        <v>45000</v>
      </c>
      <c r="BM265" s="1">
        <v>243900</v>
      </c>
      <c r="BN265" s="1">
        <v>57500</v>
      </c>
      <c r="BO265" s="1">
        <v>69100</v>
      </c>
      <c r="BP265" s="1">
        <v>32900</v>
      </c>
      <c r="BQ265" s="1">
        <v>91500</v>
      </c>
      <c r="BR265" s="1">
        <v>51900</v>
      </c>
      <c r="BS265" s="1">
        <v>77200</v>
      </c>
      <c r="BT265" s="1">
        <v>60700</v>
      </c>
      <c r="BU265" s="1">
        <v>83600</v>
      </c>
      <c r="BV265" s="1">
        <v>77100</v>
      </c>
      <c r="BW265" s="1">
        <v>109700</v>
      </c>
      <c r="BX265" s="1">
        <v>73800</v>
      </c>
      <c r="BY265" s="1">
        <v>91200</v>
      </c>
      <c r="BZ265" s="1">
        <v>138700</v>
      </c>
    </row>
    <row r="266" spans="1:78">
      <c r="A266" s="394" t="s">
        <v>479</v>
      </c>
      <c r="B266" s="1" t="str">
        <f>銘柄管理!C266</f>
        <v>インフォメティス</v>
      </c>
      <c r="C266" s="1">
        <f>_xll.RssMarket("281A","出来高")</f>
        <v>61100</v>
      </c>
      <c r="D266" s="82">
        <f t="shared" si="4"/>
        <v>-61800</v>
      </c>
      <c r="E266" s="1">
        <v>122900</v>
      </c>
      <c r="F266" s="1">
        <v>134500</v>
      </c>
      <c r="G266" s="1">
        <v>81200</v>
      </c>
      <c r="H266" s="1">
        <v>78200</v>
      </c>
      <c r="I266" s="1">
        <v>145200</v>
      </c>
      <c r="J266" s="1">
        <v>203300</v>
      </c>
      <c r="K266" s="1">
        <v>101600</v>
      </c>
      <c r="L266" s="1">
        <v>1225500</v>
      </c>
      <c r="M266" s="1">
        <v>53400</v>
      </c>
      <c r="N266" s="1">
        <v>115000</v>
      </c>
      <c r="O266" s="1">
        <v>96500</v>
      </c>
      <c r="P266" s="1">
        <v>287400</v>
      </c>
      <c r="Q266" s="1">
        <v>175000</v>
      </c>
      <c r="R266" s="1">
        <v>220900</v>
      </c>
      <c r="S266" s="1">
        <v>148400</v>
      </c>
      <c r="T266" s="1">
        <v>418800</v>
      </c>
      <c r="U266" s="1">
        <v>683200</v>
      </c>
      <c r="V266" s="1">
        <v>30100</v>
      </c>
      <c r="W266" s="1">
        <v>183000</v>
      </c>
      <c r="X266" s="1">
        <v>262900</v>
      </c>
      <c r="Y266" s="1">
        <v>193100</v>
      </c>
      <c r="Z266" s="1">
        <v>1009300</v>
      </c>
      <c r="AA266" s="1">
        <v>303000</v>
      </c>
      <c r="AB266" s="1">
        <v>293700</v>
      </c>
      <c r="AC266" s="1">
        <v>556100</v>
      </c>
      <c r="AD266" s="1">
        <v>473700</v>
      </c>
      <c r="AE266" s="1">
        <v>2230500</v>
      </c>
      <c r="AF266" s="1">
        <v>475900</v>
      </c>
      <c r="AG266" s="1">
        <v>1037800</v>
      </c>
      <c r="AH266" s="1">
        <v>300900</v>
      </c>
      <c r="AI266" s="1">
        <v>352000</v>
      </c>
      <c r="AJ266" s="1">
        <v>439900</v>
      </c>
      <c r="AK266" s="1">
        <v>614500</v>
      </c>
      <c r="AL266" s="1">
        <v>3411400</v>
      </c>
      <c r="AM266" s="1">
        <v>27200</v>
      </c>
      <c r="AN266" s="1">
        <v>212900</v>
      </c>
      <c r="AO266" s="1">
        <v>227200</v>
      </c>
      <c r="AP266" s="1">
        <v>246100</v>
      </c>
      <c r="AQ266" s="1">
        <v>306400</v>
      </c>
      <c r="AR266" s="1">
        <v>437800</v>
      </c>
      <c r="AS266" s="1">
        <v>273100</v>
      </c>
      <c r="AT266" s="1">
        <v>265100</v>
      </c>
      <c r="AU266" s="1">
        <v>519300</v>
      </c>
      <c r="AV266" s="1">
        <v>510200</v>
      </c>
      <c r="AW266" s="1">
        <v>477700</v>
      </c>
      <c r="AX266" s="1">
        <v>717900</v>
      </c>
      <c r="AY266" s="1">
        <v>1158600</v>
      </c>
      <c r="AZ266" s="1">
        <v>556100</v>
      </c>
      <c r="BA266" s="1">
        <v>568900</v>
      </c>
      <c r="BB266" s="1">
        <v>662600</v>
      </c>
      <c r="BC266" s="1">
        <v>1884700</v>
      </c>
      <c r="BD266" s="1">
        <v>933800</v>
      </c>
      <c r="BE266" s="1">
        <v>831600</v>
      </c>
      <c r="BF266" s="1">
        <v>354100</v>
      </c>
      <c r="BG266" s="1">
        <v>375600</v>
      </c>
      <c r="BH266" s="1">
        <v>1037400</v>
      </c>
      <c r="BI266" s="1">
        <v>575900</v>
      </c>
      <c r="BJ266" s="1">
        <v>614300</v>
      </c>
      <c r="BK266" s="1">
        <v>552000</v>
      </c>
      <c r="BL266" s="1">
        <v>570100</v>
      </c>
      <c r="BM266" s="1">
        <v>350400</v>
      </c>
      <c r="BN266" s="1">
        <v>467900</v>
      </c>
      <c r="BO266" s="1">
        <v>1207800</v>
      </c>
      <c r="BP266" s="1">
        <v>656900</v>
      </c>
      <c r="BQ266" s="1">
        <v>781200</v>
      </c>
      <c r="BR266" s="1">
        <v>1310100</v>
      </c>
      <c r="BS266" s="1">
        <v>2374900</v>
      </c>
      <c r="BT266" s="1">
        <v>2644500</v>
      </c>
      <c r="BU266" s="1">
        <v>3003900</v>
      </c>
      <c r="BV266" s="1">
        <v>3726700</v>
      </c>
      <c r="BW266" s="1">
        <v>6250000</v>
      </c>
      <c r="BX266" s="1">
        <v>5625300</v>
      </c>
      <c r="BY266" s="1">
        <v>3634800</v>
      </c>
      <c r="BZ266" s="1">
        <v>8330400</v>
      </c>
    </row>
    <row r="267" spans="1:78">
      <c r="A267" s="394" t="s">
        <v>480</v>
      </c>
      <c r="B267" s="1" t="str">
        <f>銘柄管理!C267</f>
        <v>日本ギア工業</v>
      </c>
      <c r="C267" s="1">
        <f>_xll.RssMarket("6356","出来高")</f>
        <v>67400</v>
      </c>
      <c r="D267" s="82">
        <f t="shared" si="4"/>
        <v>-21600</v>
      </c>
      <c r="E267" s="1">
        <v>89000</v>
      </c>
      <c r="F267" s="1">
        <v>82600</v>
      </c>
      <c r="G267" s="1">
        <v>439400</v>
      </c>
      <c r="H267" s="1">
        <v>134300</v>
      </c>
      <c r="I267" s="1">
        <v>163800</v>
      </c>
      <c r="J267" s="1">
        <v>158000</v>
      </c>
      <c r="K267" s="1">
        <v>195400</v>
      </c>
      <c r="L267" s="1">
        <v>164600</v>
      </c>
      <c r="M267" s="1">
        <v>84400</v>
      </c>
      <c r="N267" s="1">
        <v>182000</v>
      </c>
      <c r="O267" s="1">
        <v>391900</v>
      </c>
      <c r="P267" s="1">
        <v>360300</v>
      </c>
      <c r="Q267" s="1">
        <v>135100</v>
      </c>
      <c r="R267" s="1">
        <v>273600</v>
      </c>
      <c r="S267" s="1">
        <v>235600</v>
      </c>
      <c r="T267" s="1">
        <v>244500</v>
      </c>
      <c r="U267" s="1">
        <v>620000</v>
      </c>
      <c r="V267" s="1">
        <v>369500</v>
      </c>
      <c r="W267" s="1">
        <v>454800</v>
      </c>
      <c r="X267" s="1">
        <v>903600</v>
      </c>
      <c r="Y267" s="1">
        <v>487000</v>
      </c>
      <c r="Z267" s="1">
        <v>261500</v>
      </c>
      <c r="AA267" s="1">
        <v>111200</v>
      </c>
      <c r="AB267" s="1">
        <v>130500</v>
      </c>
      <c r="AC267" s="1">
        <v>273500</v>
      </c>
      <c r="AD267" s="1">
        <v>140100</v>
      </c>
      <c r="AE267" s="1">
        <v>182500</v>
      </c>
      <c r="AF267" s="1">
        <v>299600</v>
      </c>
      <c r="AG267" s="1">
        <v>303700</v>
      </c>
      <c r="AH267" s="1">
        <v>282800</v>
      </c>
      <c r="AI267" s="1">
        <v>261300</v>
      </c>
      <c r="AJ267" s="1">
        <v>362700</v>
      </c>
      <c r="AK267" s="1">
        <v>1265900</v>
      </c>
      <c r="AL267" s="1">
        <v>198600</v>
      </c>
      <c r="AM267" s="1">
        <v>174400</v>
      </c>
      <c r="AN267" s="1">
        <v>284300</v>
      </c>
      <c r="AO267" s="1">
        <v>265400</v>
      </c>
      <c r="AP267" s="1">
        <v>288100</v>
      </c>
      <c r="AQ267" s="1">
        <v>467300</v>
      </c>
      <c r="AR267" s="1">
        <v>421800</v>
      </c>
      <c r="AS267" s="1">
        <v>167000</v>
      </c>
      <c r="AT267" s="1">
        <v>178300</v>
      </c>
      <c r="AU267" s="1">
        <v>220600</v>
      </c>
      <c r="AV267" s="1">
        <v>232100</v>
      </c>
      <c r="AW267" s="1">
        <v>311400</v>
      </c>
      <c r="AX267" s="1">
        <v>516200</v>
      </c>
      <c r="AY267" s="1">
        <v>291500</v>
      </c>
      <c r="AZ267" s="1">
        <v>315300</v>
      </c>
      <c r="BA267" s="1">
        <v>153900</v>
      </c>
      <c r="BB267" s="1">
        <v>183600</v>
      </c>
      <c r="BC267" s="1">
        <v>201800</v>
      </c>
      <c r="BD267" s="1">
        <v>369000</v>
      </c>
      <c r="BE267" s="1">
        <v>379900</v>
      </c>
      <c r="BF267" s="1">
        <v>572700</v>
      </c>
      <c r="BG267" s="1">
        <v>1067700</v>
      </c>
      <c r="BH267" s="1">
        <v>349200</v>
      </c>
      <c r="BI267" s="1">
        <v>267400</v>
      </c>
      <c r="BJ267" s="1">
        <v>338400</v>
      </c>
      <c r="BK267" s="1">
        <v>293000</v>
      </c>
      <c r="BL267" s="1">
        <v>540800</v>
      </c>
      <c r="BM267" s="1">
        <v>714900</v>
      </c>
      <c r="BN267" s="1">
        <v>1184700</v>
      </c>
      <c r="BO267" s="1">
        <v>1159400</v>
      </c>
      <c r="BP267" s="1">
        <v>6561000</v>
      </c>
      <c r="BQ267" s="1">
        <v>3361100</v>
      </c>
      <c r="BR267" s="1">
        <v>292000</v>
      </c>
      <c r="BS267" s="1">
        <v>383900</v>
      </c>
      <c r="BT267" s="1">
        <v>647500</v>
      </c>
      <c r="BU267" s="1">
        <v>495600</v>
      </c>
      <c r="BV267" s="1">
        <v>1331700</v>
      </c>
      <c r="BW267" s="1">
        <v>1287600</v>
      </c>
      <c r="BX267" s="1">
        <v>787800</v>
      </c>
      <c r="BY267" s="1">
        <v>840500</v>
      </c>
      <c r="BZ267" s="1">
        <v>1012500</v>
      </c>
    </row>
    <row r="268" spans="1:78">
      <c r="A268" s="394" t="s">
        <v>481</v>
      </c>
      <c r="B268" s="1" t="str">
        <f>銘柄管理!C268</f>
        <v>助川電気工業</v>
      </c>
      <c r="C268" s="1">
        <f>_xll.RssMarket("7711","出来高")</f>
        <v>55900</v>
      </c>
      <c r="D268" s="82">
        <f t="shared" si="4"/>
        <v>-900</v>
      </c>
      <c r="E268" s="1">
        <v>56800</v>
      </c>
      <c r="F268" s="1">
        <v>60800</v>
      </c>
      <c r="G268" s="1">
        <v>116800</v>
      </c>
      <c r="H268" s="1">
        <v>56100</v>
      </c>
      <c r="I268" s="1">
        <v>62900</v>
      </c>
      <c r="J268" s="1">
        <v>80500</v>
      </c>
      <c r="K268" s="1">
        <v>70100</v>
      </c>
      <c r="M268" s="1">
        <v>39500</v>
      </c>
      <c r="N268" s="1">
        <v>49600</v>
      </c>
      <c r="O268" s="1">
        <v>67700</v>
      </c>
      <c r="P268" s="1">
        <v>162200</v>
      </c>
      <c r="Q268" s="1">
        <v>76300</v>
      </c>
      <c r="R268" s="1">
        <v>136800</v>
      </c>
      <c r="S268" s="1">
        <v>40600</v>
      </c>
      <c r="T268" s="1">
        <v>59300</v>
      </c>
      <c r="U268" s="1">
        <v>84400</v>
      </c>
      <c r="V268" s="1">
        <v>43800</v>
      </c>
      <c r="W268" s="1">
        <v>45700</v>
      </c>
      <c r="X268" s="1">
        <v>50700</v>
      </c>
      <c r="Y268" s="1">
        <v>45800</v>
      </c>
      <c r="Z268" s="1">
        <v>46600</v>
      </c>
      <c r="AA268" s="1">
        <v>24600</v>
      </c>
      <c r="AB268" s="1">
        <v>28600</v>
      </c>
      <c r="AC268" s="1">
        <v>46700</v>
      </c>
      <c r="AD268" s="1">
        <v>32300</v>
      </c>
      <c r="AE268" s="1">
        <v>34900</v>
      </c>
      <c r="AF268" s="1">
        <v>27700</v>
      </c>
      <c r="AG268" s="1">
        <v>64000</v>
      </c>
      <c r="AH268" s="1">
        <v>143700</v>
      </c>
      <c r="AI268" s="1">
        <v>195100</v>
      </c>
      <c r="AJ268" s="1">
        <v>180200</v>
      </c>
      <c r="AK268" s="1">
        <v>121900</v>
      </c>
      <c r="AL268" s="1">
        <v>76600</v>
      </c>
      <c r="AM268" s="1">
        <v>54900</v>
      </c>
      <c r="AN268" s="1">
        <v>74600</v>
      </c>
      <c r="AO268" s="1">
        <v>66200</v>
      </c>
      <c r="AP268" s="1">
        <v>91100</v>
      </c>
      <c r="AQ268" s="1">
        <v>90800</v>
      </c>
      <c r="AR268" s="1">
        <v>244500</v>
      </c>
      <c r="AS268" s="1">
        <v>49500</v>
      </c>
      <c r="AT268" s="1">
        <v>64400</v>
      </c>
      <c r="AU268" s="1">
        <v>75500</v>
      </c>
      <c r="AV268" s="1">
        <v>39500</v>
      </c>
      <c r="AW268" s="1">
        <v>73600</v>
      </c>
      <c r="AX268" s="1">
        <v>161900</v>
      </c>
      <c r="AY268" s="1">
        <v>102400</v>
      </c>
      <c r="AZ268" s="1">
        <v>72800</v>
      </c>
      <c r="BA268" s="1">
        <v>45200</v>
      </c>
      <c r="BB268" s="1">
        <v>115000</v>
      </c>
      <c r="BC268" s="1">
        <v>88300</v>
      </c>
      <c r="BD268" s="1">
        <v>74800</v>
      </c>
      <c r="BE268" s="1">
        <v>65800</v>
      </c>
      <c r="BF268" s="1">
        <v>101300</v>
      </c>
      <c r="BG268" s="1">
        <v>50200</v>
      </c>
      <c r="BH268" s="1">
        <v>88400</v>
      </c>
      <c r="BI268" s="1">
        <v>100800</v>
      </c>
      <c r="BJ268" s="1">
        <v>136800</v>
      </c>
      <c r="BK268" s="1">
        <v>857800</v>
      </c>
      <c r="BL268" s="1">
        <v>69800</v>
      </c>
      <c r="BM268" s="1">
        <v>78100</v>
      </c>
      <c r="BN268" s="1">
        <v>59000</v>
      </c>
      <c r="BO268" s="1">
        <v>101200</v>
      </c>
      <c r="BP268" s="1">
        <v>103200</v>
      </c>
      <c r="BQ268" s="1">
        <v>263800</v>
      </c>
      <c r="BR268" s="1">
        <v>142300</v>
      </c>
      <c r="BS268" s="1">
        <v>134800</v>
      </c>
      <c r="BT268" s="1">
        <v>81300</v>
      </c>
      <c r="BU268" s="1">
        <v>43800</v>
      </c>
      <c r="BV268" s="1">
        <v>132700</v>
      </c>
      <c r="BW268" s="1">
        <v>91300</v>
      </c>
      <c r="BX268" s="1">
        <v>66000</v>
      </c>
      <c r="BY268" s="1">
        <v>77700</v>
      </c>
      <c r="BZ268" s="1">
        <v>121400</v>
      </c>
    </row>
    <row r="269" spans="1:78">
      <c r="A269" s="394" t="s">
        <v>482</v>
      </c>
      <c r="B269" s="1" t="str">
        <f>銘柄管理!C269</f>
        <v>日機装</v>
      </c>
      <c r="C269" s="1">
        <f>_xll.RssMarket("6376","出来高")</f>
        <v>179900</v>
      </c>
      <c r="D269" s="82">
        <f t="shared" si="4"/>
        <v>-88400</v>
      </c>
      <c r="E269" s="1">
        <v>268300</v>
      </c>
      <c r="F269" s="1">
        <v>257700</v>
      </c>
      <c r="G269" s="1">
        <v>316000</v>
      </c>
      <c r="H269" s="1">
        <v>267800</v>
      </c>
      <c r="I269" s="1">
        <v>849000</v>
      </c>
      <c r="J269" s="1">
        <v>530100</v>
      </c>
      <c r="K269" s="1">
        <v>282000</v>
      </c>
      <c r="L269" s="1">
        <v>264000</v>
      </c>
      <c r="M269" s="1">
        <v>272100</v>
      </c>
      <c r="N269" s="1">
        <v>529400</v>
      </c>
      <c r="O269" s="1">
        <v>607600</v>
      </c>
      <c r="P269" s="1">
        <v>783300</v>
      </c>
      <c r="Q269" s="1">
        <v>303800</v>
      </c>
      <c r="R269" s="1">
        <v>359400</v>
      </c>
      <c r="S269" s="1">
        <v>331900</v>
      </c>
      <c r="T269" s="1">
        <v>451700</v>
      </c>
      <c r="U269" s="1">
        <v>397100</v>
      </c>
      <c r="V269" s="1">
        <v>482800</v>
      </c>
      <c r="W269" s="1">
        <v>462400</v>
      </c>
      <c r="X269" s="1">
        <v>304300</v>
      </c>
      <c r="Y269" s="1">
        <v>335700</v>
      </c>
      <c r="Z269" s="1">
        <v>355200</v>
      </c>
      <c r="AA269" s="1">
        <v>657500</v>
      </c>
      <c r="AB269" s="1">
        <v>608400</v>
      </c>
      <c r="AC269" s="1">
        <v>716900</v>
      </c>
      <c r="AD269" s="1">
        <v>692300</v>
      </c>
      <c r="AE269" s="1">
        <v>499000</v>
      </c>
      <c r="AF269" s="1">
        <v>368300</v>
      </c>
      <c r="AG269" s="1">
        <v>560200</v>
      </c>
      <c r="AH269" s="1">
        <v>379600</v>
      </c>
      <c r="AI269" s="1">
        <v>743300</v>
      </c>
      <c r="AJ269" s="1">
        <v>549200</v>
      </c>
      <c r="AK269" s="1">
        <v>723000</v>
      </c>
      <c r="AL269" s="1">
        <v>704000</v>
      </c>
      <c r="AM269" s="1">
        <v>703300</v>
      </c>
      <c r="AN269" s="1">
        <v>670000</v>
      </c>
      <c r="AO269" s="1">
        <v>451200</v>
      </c>
      <c r="AP269" s="1">
        <v>828700</v>
      </c>
      <c r="AQ269" s="1">
        <v>682700</v>
      </c>
      <c r="AR269" s="1">
        <v>372400</v>
      </c>
      <c r="AS269" s="1">
        <v>382300</v>
      </c>
      <c r="AT269" s="1">
        <v>524200</v>
      </c>
      <c r="AU269" s="1">
        <v>386900</v>
      </c>
      <c r="AV269" s="1">
        <v>1444700</v>
      </c>
      <c r="AW269" s="1">
        <v>364400</v>
      </c>
      <c r="AX269" s="1">
        <v>502000</v>
      </c>
      <c r="AY269" s="1">
        <v>851000</v>
      </c>
      <c r="AZ269" s="1">
        <v>506700</v>
      </c>
      <c r="BA269" s="1">
        <v>446100</v>
      </c>
      <c r="BB269" s="1">
        <v>407700</v>
      </c>
      <c r="BC269" s="1">
        <v>514000</v>
      </c>
      <c r="BD269" s="1">
        <v>1019800</v>
      </c>
      <c r="BE269" s="1">
        <v>677400</v>
      </c>
      <c r="BF269" s="1">
        <v>275500</v>
      </c>
      <c r="BG269" s="1">
        <v>178300</v>
      </c>
      <c r="BH269" s="1">
        <v>253200</v>
      </c>
      <c r="BI269" s="1">
        <v>232700</v>
      </c>
      <c r="BJ269" s="1">
        <v>289900</v>
      </c>
      <c r="BK269" s="1">
        <v>344100</v>
      </c>
      <c r="BL269" s="1">
        <v>216900</v>
      </c>
      <c r="BM269" s="1">
        <v>226300</v>
      </c>
      <c r="BN269" s="1">
        <v>307700</v>
      </c>
      <c r="BO269" s="1">
        <v>456600</v>
      </c>
      <c r="BP269" s="1">
        <v>508300</v>
      </c>
      <c r="BQ269" s="1">
        <v>233000</v>
      </c>
      <c r="BR269" s="1">
        <v>562100</v>
      </c>
      <c r="BS269" s="1">
        <v>299500</v>
      </c>
      <c r="BT269" s="1">
        <v>193900</v>
      </c>
      <c r="BU269" s="1">
        <v>282800</v>
      </c>
      <c r="BV269" s="1">
        <v>289500</v>
      </c>
      <c r="BW269" s="1">
        <v>252500</v>
      </c>
      <c r="BX269" s="1">
        <v>296800</v>
      </c>
      <c r="BY269" s="1">
        <v>221600</v>
      </c>
      <c r="BZ269" s="1">
        <v>325100</v>
      </c>
    </row>
    <row r="270" spans="1:78">
      <c r="A270" s="394" t="s">
        <v>483</v>
      </c>
      <c r="B270" s="1" t="str">
        <f>銘柄管理!C270</f>
        <v>明海グループ</v>
      </c>
      <c r="C270" s="1">
        <f>_xll.RssMarket("9115","出来高")</f>
        <v>13700</v>
      </c>
      <c r="D270" s="82">
        <f t="shared" si="4"/>
        <v>-21300</v>
      </c>
      <c r="E270" s="1">
        <v>35000</v>
      </c>
      <c r="F270" s="1">
        <v>16000</v>
      </c>
      <c r="G270" s="1">
        <v>23300</v>
      </c>
      <c r="H270" s="1">
        <v>43100</v>
      </c>
      <c r="I270" s="1">
        <v>108500</v>
      </c>
      <c r="J270" s="1">
        <v>44500</v>
      </c>
      <c r="K270" s="1">
        <v>63200</v>
      </c>
      <c r="L270" s="1">
        <v>67200</v>
      </c>
      <c r="M270" s="1">
        <v>59400</v>
      </c>
      <c r="N270" s="1">
        <v>37400</v>
      </c>
      <c r="O270" s="1">
        <v>17400</v>
      </c>
      <c r="P270" s="1">
        <v>68700</v>
      </c>
      <c r="Q270" s="1">
        <v>28500</v>
      </c>
      <c r="R270" s="1">
        <v>18200</v>
      </c>
      <c r="S270" s="1">
        <v>10400</v>
      </c>
      <c r="T270" s="1">
        <v>16100</v>
      </c>
      <c r="U270" s="1">
        <v>16100</v>
      </c>
      <c r="V270" s="1">
        <v>10000</v>
      </c>
      <c r="W270" s="1">
        <v>18300</v>
      </c>
      <c r="X270" s="1">
        <v>24400</v>
      </c>
      <c r="Y270" s="1">
        <v>21100</v>
      </c>
      <c r="Z270" s="1">
        <v>17700</v>
      </c>
      <c r="AA270" s="1">
        <v>30200</v>
      </c>
      <c r="AB270" s="1">
        <v>16200</v>
      </c>
      <c r="AC270" s="1">
        <v>26100</v>
      </c>
      <c r="AD270" s="1">
        <v>11600</v>
      </c>
      <c r="AE270" s="1">
        <v>19000</v>
      </c>
      <c r="AF270" s="1">
        <v>38500</v>
      </c>
      <c r="AG270" s="1">
        <v>137000</v>
      </c>
      <c r="AH270" s="1">
        <v>36900</v>
      </c>
      <c r="AI270" s="1">
        <v>32800</v>
      </c>
      <c r="AJ270" s="1">
        <v>47000</v>
      </c>
      <c r="AK270" s="1">
        <v>49000</v>
      </c>
      <c r="AL270" s="1">
        <v>35400</v>
      </c>
      <c r="AM270" s="1">
        <v>58500</v>
      </c>
      <c r="AN270" s="1">
        <v>55800</v>
      </c>
      <c r="AO270" s="1">
        <v>37600</v>
      </c>
      <c r="AP270" s="1">
        <v>31000</v>
      </c>
      <c r="AQ270" s="1">
        <v>30100</v>
      </c>
      <c r="AR270" s="1">
        <v>39400</v>
      </c>
      <c r="AS270" s="1">
        <v>76800</v>
      </c>
      <c r="AT270" s="1">
        <v>33100</v>
      </c>
      <c r="AU270" s="1">
        <v>40300</v>
      </c>
      <c r="AV270" s="1">
        <v>20700</v>
      </c>
      <c r="AW270" s="1">
        <v>31100</v>
      </c>
      <c r="AX270" s="1">
        <v>11000</v>
      </c>
      <c r="AY270" s="1">
        <v>29300</v>
      </c>
      <c r="AZ270" s="1">
        <v>25900</v>
      </c>
      <c r="BA270" s="1">
        <v>18100</v>
      </c>
      <c r="BB270" s="1">
        <v>20900</v>
      </c>
      <c r="BC270" s="1">
        <v>81000</v>
      </c>
      <c r="BD270" s="1">
        <v>14100</v>
      </c>
      <c r="BE270" s="1">
        <v>45500</v>
      </c>
      <c r="BF270" s="1">
        <v>38400</v>
      </c>
      <c r="BG270" s="1">
        <v>39000</v>
      </c>
      <c r="BH270" s="1">
        <v>20600</v>
      </c>
      <c r="BI270" s="1">
        <v>33100</v>
      </c>
      <c r="BJ270" s="1">
        <v>61100</v>
      </c>
      <c r="BK270" s="1">
        <v>111800</v>
      </c>
      <c r="BL270" s="1">
        <v>93600</v>
      </c>
      <c r="BM270" s="1">
        <v>55300</v>
      </c>
      <c r="BN270" s="1">
        <v>159900</v>
      </c>
      <c r="BO270" s="1">
        <v>70100</v>
      </c>
      <c r="BP270" s="1">
        <v>120900</v>
      </c>
      <c r="BQ270" s="1">
        <v>72700</v>
      </c>
      <c r="BR270" s="1">
        <v>56800</v>
      </c>
      <c r="BS270" s="1">
        <v>73300</v>
      </c>
      <c r="BT270" s="1">
        <v>130700</v>
      </c>
      <c r="BU270" s="1">
        <v>66700</v>
      </c>
      <c r="BV270" s="1">
        <v>82800</v>
      </c>
      <c r="BW270" s="1">
        <v>187400</v>
      </c>
      <c r="BX270" s="1">
        <v>238800</v>
      </c>
      <c r="BY270" s="1">
        <v>359400</v>
      </c>
      <c r="BZ270" s="1">
        <v>320300</v>
      </c>
    </row>
    <row r="271" spans="1:78">
      <c r="A271" s="394" t="s">
        <v>484</v>
      </c>
      <c r="B271" s="1" t="str">
        <f>銘柄管理!C271</f>
        <v>三菱製紙</v>
      </c>
      <c r="C271" s="1">
        <f>_xll.RssMarket("3864","出来高")</f>
        <v>207900</v>
      </c>
      <c r="D271" s="82">
        <f t="shared" si="4"/>
        <v>24700</v>
      </c>
      <c r="E271" s="1">
        <v>183200</v>
      </c>
      <c r="F271" s="1">
        <v>263800</v>
      </c>
      <c r="G271" s="1">
        <v>215800</v>
      </c>
      <c r="H271" s="1">
        <v>175800</v>
      </c>
      <c r="I271" s="1">
        <v>208900</v>
      </c>
      <c r="J271" s="1">
        <v>247400</v>
      </c>
      <c r="K271" s="1">
        <v>186400</v>
      </c>
      <c r="L271" s="1">
        <v>305700</v>
      </c>
      <c r="M271" s="1">
        <v>332300</v>
      </c>
      <c r="N271" s="1">
        <v>992000</v>
      </c>
      <c r="O271" s="1">
        <v>581900</v>
      </c>
      <c r="P271" s="1">
        <v>144200</v>
      </c>
      <c r="Q271" s="1">
        <v>312100</v>
      </c>
      <c r="R271" s="1">
        <v>210000</v>
      </c>
      <c r="S271" s="1">
        <v>262900</v>
      </c>
      <c r="T271" s="1">
        <v>117500</v>
      </c>
      <c r="U271" s="1">
        <v>304200</v>
      </c>
      <c r="V271" s="1">
        <v>118200</v>
      </c>
      <c r="W271" s="1">
        <v>136900</v>
      </c>
      <c r="X271" s="1">
        <v>114200</v>
      </c>
      <c r="Y271" s="1">
        <v>57200</v>
      </c>
      <c r="Z271" s="1">
        <v>144100</v>
      </c>
      <c r="AA271" s="1">
        <v>144300</v>
      </c>
      <c r="AB271" s="1">
        <v>307200</v>
      </c>
      <c r="AC271" s="1">
        <v>161500</v>
      </c>
      <c r="AD271" s="1">
        <v>121300</v>
      </c>
      <c r="AE271" s="1">
        <v>131100</v>
      </c>
      <c r="AF271" s="1">
        <v>117100</v>
      </c>
      <c r="AG271" s="1">
        <v>106900</v>
      </c>
      <c r="AH271" s="1">
        <v>118100</v>
      </c>
      <c r="AI271" s="1">
        <v>152400</v>
      </c>
      <c r="AJ271" s="1">
        <v>253100</v>
      </c>
      <c r="AK271" s="1">
        <v>126500</v>
      </c>
      <c r="AL271" s="1">
        <v>150500</v>
      </c>
      <c r="AM271" s="1">
        <v>169000</v>
      </c>
      <c r="AN271" s="1">
        <v>129500</v>
      </c>
      <c r="AO271" s="1">
        <v>187800</v>
      </c>
      <c r="AP271" s="1">
        <v>186900</v>
      </c>
      <c r="AQ271" s="1">
        <v>239900</v>
      </c>
      <c r="AR271" s="1">
        <v>103000</v>
      </c>
      <c r="AS271" s="1">
        <v>194100</v>
      </c>
      <c r="AT271" s="1">
        <v>197600</v>
      </c>
      <c r="AU271" s="1">
        <v>181600</v>
      </c>
      <c r="AV271" s="1">
        <v>177600</v>
      </c>
      <c r="AW271" s="1">
        <v>203300</v>
      </c>
      <c r="AX271" s="1">
        <v>344200</v>
      </c>
      <c r="AY271" s="1">
        <v>402800</v>
      </c>
      <c r="AZ271" s="1">
        <v>418100</v>
      </c>
      <c r="BA271" s="1">
        <v>288500</v>
      </c>
      <c r="BB271" s="1">
        <v>165700</v>
      </c>
      <c r="BC271" s="1">
        <v>365800</v>
      </c>
      <c r="BD271" s="1">
        <v>368900</v>
      </c>
      <c r="BE271" s="1">
        <v>730100</v>
      </c>
      <c r="BF271" s="1">
        <v>252700</v>
      </c>
      <c r="BG271" s="1">
        <v>118200</v>
      </c>
      <c r="BH271" s="1">
        <v>216000</v>
      </c>
      <c r="BI271" s="1">
        <v>161300</v>
      </c>
      <c r="BJ271" s="1">
        <v>271600</v>
      </c>
      <c r="BK271" s="1">
        <v>208900</v>
      </c>
      <c r="BL271" s="1">
        <v>168200</v>
      </c>
      <c r="BM271" s="1">
        <v>205800</v>
      </c>
      <c r="BN271" s="1">
        <v>221000</v>
      </c>
      <c r="BO271" s="1">
        <v>656700</v>
      </c>
      <c r="BP271" s="1">
        <v>260300</v>
      </c>
      <c r="BQ271" s="1">
        <v>223600</v>
      </c>
      <c r="BR271" s="1">
        <v>245600</v>
      </c>
      <c r="BS271" s="1">
        <v>282800</v>
      </c>
      <c r="BT271" s="1">
        <v>378400</v>
      </c>
      <c r="BU271" s="1">
        <v>351200</v>
      </c>
      <c r="BV271" s="1">
        <v>385600</v>
      </c>
      <c r="BW271" s="1">
        <v>283600</v>
      </c>
      <c r="BX271" s="1">
        <v>124000</v>
      </c>
      <c r="BY271" s="1">
        <v>287100</v>
      </c>
      <c r="BZ271" s="1">
        <v>185600</v>
      </c>
    </row>
    <row r="272" spans="1:78">
      <c r="A272" s="394" t="s">
        <v>485</v>
      </c>
      <c r="B272" s="1" t="str">
        <f>銘柄管理!C272</f>
        <v>日本ケミコン</v>
      </c>
      <c r="C272" s="1">
        <f>_xll.RssMarket("6997","出来高")</f>
        <v>743200</v>
      </c>
      <c r="D272" s="82">
        <f t="shared" si="4"/>
        <v>-69400</v>
      </c>
      <c r="E272" s="1">
        <v>812600</v>
      </c>
      <c r="F272" s="1">
        <v>1272400</v>
      </c>
      <c r="G272" s="1">
        <v>2390400</v>
      </c>
      <c r="H272" s="1">
        <v>1686700</v>
      </c>
      <c r="I272" s="1">
        <v>1494000</v>
      </c>
      <c r="J272" s="1">
        <v>1108400</v>
      </c>
      <c r="K272" s="1">
        <v>616400</v>
      </c>
      <c r="L272" s="1">
        <v>715000</v>
      </c>
      <c r="M272" s="1">
        <v>549000</v>
      </c>
      <c r="N272" s="1">
        <v>1045200</v>
      </c>
      <c r="O272" s="1">
        <v>1251400</v>
      </c>
      <c r="P272" s="1">
        <v>1454800</v>
      </c>
      <c r="Q272" s="1">
        <v>1091700</v>
      </c>
      <c r="R272" s="1">
        <v>1453400</v>
      </c>
      <c r="S272" s="1">
        <v>1261900</v>
      </c>
      <c r="T272" s="1">
        <v>1029900</v>
      </c>
      <c r="U272" s="1">
        <v>1026900</v>
      </c>
      <c r="V272" s="1">
        <v>2126200</v>
      </c>
      <c r="W272" s="1">
        <v>1956100</v>
      </c>
      <c r="X272" s="1">
        <v>1365000</v>
      </c>
      <c r="Y272" s="1">
        <v>1361300</v>
      </c>
      <c r="Z272" s="1">
        <v>1062600</v>
      </c>
      <c r="AA272" s="1">
        <v>1057600</v>
      </c>
      <c r="AB272" s="1">
        <v>776400</v>
      </c>
      <c r="AC272" s="1">
        <v>1593600</v>
      </c>
      <c r="AD272" s="1">
        <v>1147300</v>
      </c>
      <c r="AE272" s="1">
        <v>1974600</v>
      </c>
      <c r="AF272" s="1">
        <v>1651500</v>
      </c>
      <c r="AG272" s="1">
        <v>1038900</v>
      </c>
      <c r="AH272" s="1">
        <v>1595400</v>
      </c>
      <c r="AI272" s="1">
        <v>1553000</v>
      </c>
      <c r="AJ272" s="1">
        <v>2435500</v>
      </c>
      <c r="AK272" s="1">
        <v>1138700</v>
      </c>
      <c r="AL272" s="1">
        <v>1247100</v>
      </c>
      <c r="AM272" s="1">
        <v>1541200</v>
      </c>
      <c r="AN272" s="1">
        <v>1795700</v>
      </c>
      <c r="AO272" s="1">
        <v>1649100</v>
      </c>
      <c r="AP272" s="1">
        <v>1359000</v>
      </c>
      <c r="AQ272" s="1">
        <v>1804100</v>
      </c>
      <c r="AR272" s="1">
        <v>1442800</v>
      </c>
      <c r="AS272" s="1">
        <v>1291200</v>
      </c>
      <c r="AT272" s="1">
        <v>2333100</v>
      </c>
      <c r="AU272" s="1">
        <v>3239900</v>
      </c>
      <c r="AV272" s="1">
        <v>2453900</v>
      </c>
      <c r="AW272" s="1">
        <v>2223900</v>
      </c>
      <c r="AX272" s="1">
        <v>1714800</v>
      </c>
      <c r="AY272" s="1">
        <v>1168700</v>
      </c>
      <c r="AZ272" s="1">
        <v>2192100</v>
      </c>
      <c r="BA272" s="1">
        <v>841800</v>
      </c>
      <c r="BB272" s="1">
        <v>717100</v>
      </c>
      <c r="BC272" s="1">
        <v>1164000</v>
      </c>
      <c r="BD272" s="1">
        <v>1004100</v>
      </c>
      <c r="BE272" s="1">
        <v>1608000</v>
      </c>
      <c r="BF272" s="1">
        <v>1043000</v>
      </c>
      <c r="BG272" s="1">
        <v>548800</v>
      </c>
      <c r="BH272" s="1">
        <v>540600</v>
      </c>
      <c r="BI272" s="1">
        <v>970400</v>
      </c>
      <c r="BJ272" s="1">
        <v>1252600</v>
      </c>
      <c r="BK272" s="1">
        <v>1097100</v>
      </c>
      <c r="BL272" s="1">
        <v>619700</v>
      </c>
      <c r="BM272" s="1">
        <v>1261600</v>
      </c>
      <c r="BN272" s="1">
        <v>724800</v>
      </c>
      <c r="BO272" s="1">
        <v>996100</v>
      </c>
      <c r="BP272" s="1">
        <v>971400</v>
      </c>
      <c r="BQ272" s="1">
        <v>1177100</v>
      </c>
      <c r="BR272" s="1">
        <v>754500</v>
      </c>
      <c r="BS272" s="1">
        <v>1045000</v>
      </c>
      <c r="BT272" s="1">
        <v>1301900</v>
      </c>
      <c r="BU272" s="1">
        <v>1257900</v>
      </c>
      <c r="BV272" s="1">
        <v>1142300</v>
      </c>
      <c r="BW272" s="1">
        <v>947900</v>
      </c>
      <c r="BX272" s="1">
        <v>896900</v>
      </c>
      <c r="BY272" s="1">
        <v>498100</v>
      </c>
      <c r="BZ272" s="1">
        <v>447100</v>
      </c>
    </row>
    <row r="273" spans="1:78">
      <c r="A273" s="394" t="s">
        <v>486</v>
      </c>
      <c r="B273" s="1" t="str">
        <f>銘柄管理!C273</f>
        <v>ＨＵグループＨＤ</v>
      </c>
      <c r="C273" s="1">
        <f>_xll.RssMarket("4544","出来高")</f>
        <v>62100</v>
      </c>
      <c r="D273" s="82">
        <f t="shared" si="4"/>
        <v>-205400</v>
      </c>
      <c r="E273" s="1">
        <v>267500</v>
      </c>
      <c r="F273" s="1">
        <v>287000</v>
      </c>
      <c r="G273" s="1">
        <v>243200</v>
      </c>
      <c r="H273" s="1">
        <v>373400</v>
      </c>
      <c r="I273" s="1">
        <v>376700</v>
      </c>
      <c r="J273" s="1">
        <v>264700</v>
      </c>
      <c r="K273" s="1">
        <v>188200</v>
      </c>
      <c r="L273" s="1">
        <v>121900</v>
      </c>
      <c r="M273" s="1">
        <v>129700</v>
      </c>
      <c r="N273" s="1">
        <v>200000</v>
      </c>
      <c r="O273" s="1">
        <v>159200</v>
      </c>
      <c r="P273" s="1">
        <v>167900</v>
      </c>
      <c r="Q273" s="1">
        <v>218800</v>
      </c>
      <c r="R273" s="1">
        <v>169900</v>
      </c>
      <c r="S273" s="1">
        <v>190700</v>
      </c>
      <c r="T273" s="1">
        <v>236900</v>
      </c>
      <c r="U273" s="1">
        <v>293500</v>
      </c>
      <c r="V273" s="1">
        <v>295500</v>
      </c>
      <c r="W273" s="1">
        <v>223700</v>
      </c>
      <c r="X273" s="1">
        <v>197000</v>
      </c>
      <c r="Y273" s="1">
        <v>242600</v>
      </c>
      <c r="Z273" s="1">
        <v>256900</v>
      </c>
      <c r="AA273" s="1">
        <v>221900</v>
      </c>
      <c r="AB273" s="1">
        <v>377500</v>
      </c>
      <c r="AC273" s="1">
        <v>252200</v>
      </c>
      <c r="AD273" s="1">
        <v>217100</v>
      </c>
      <c r="AE273" s="1">
        <v>433400</v>
      </c>
      <c r="AF273" s="1">
        <v>305300</v>
      </c>
      <c r="AG273" s="1">
        <v>215300</v>
      </c>
      <c r="AH273" s="1">
        <v>191900</v>
      </c>
      <c r="AI273" s="1">
        <v>195800</v>
      </c>
      <c r="AJ273" s="1">
        <v>388800</v>
      </c>
      <c r="AK273" s="1">
        <v>302800</v>
      </c>
      <c r="AL273" s="1">
        <v>210200</v>
      </c>
      <c r="AM273" s="1">
        <v>409900</v>
      </c>
      <c r="AN273" s="1">
        <v>347900</v>
      </c>
      <c r="AO273" s="1">
        <v>221700</v>
      </c>
      <c r="AP273" s="1">
        <v>353100</v>
      </c>
      <c r="AQ273" s="1">
        <v>223600</v>
      </c>
      <c r="AR273" s="1">
        <v>240700</v>
      </c>
      <c r="AS273" s="1">
        <v>288600</v>
      </c>
      <c r="AT273" s="1">
        <v>469100</v>
      </c>
      <c r="AU273" s="1">
        <v>278300</v>
      </c>
      <c r="AV273" s="1">
        <v>403800</v>
      </c>
      <c r="AW273" s="1">
        <v>262300</v>
      </c>
      <c r="AX273" s="1">
        <v>245800</v>
      </c>
      <c r="AY273" s="1">
        <v>204300</v>
      </c>
      <c r="AZ273" s="1">
        <v>185000</v>
      </c>
      <c r="BA273" s="1">
        <v>332000</v>
      </c>
      <c r="BB273" s="1">
        <v>258400</v>
      </c>
      <c r="BC273" s="1">
        <v>307700</v>
      </c>
      <c r="BD273" s="1">
        <v>308600</v>
      </c>
      <c r="BE273" s="1">
        <v>412500</v>
      </c>
      <c r="BF273" s="1">
        <v>421800</v>
      </c>
      <c r="BG273" s="1">
        <v>276200</v>
      </c>
      <c r="BH273" s="1">
        <v>188900</v>
      </c>
      <c r="BI273" s="1">
        <v>194600</v>
      </c>
      <c r="BJ273" s="1">
        <v>263300</v>
      </c>
      <c r="BK273" s="1">
        <v>259300</v>
      </c>
      <c r="BL273" s="1">
        <v>121500</v>
      </c>
      <c r="BM273" s="1">
        <v>246900</v>
      </c>
      <c r="BN273" s="1">
        <v>446500</v>
      </c>
      <c r="BO273" s="1">
        <v>363500</v>
      </c>
      <c r="BP273" s="1">
        <v>305500</v>
      </c>
      <c r="BQ273" s="1">
        <v>309200</v>
      </c>
      <c r="BR273" s="1">
        <v>347900</v>
      </c>
      <c r="BS273" s="1">
        <v>210200</v>
      </c>
      <c r="BT273" s="1">
        <v>97500</v>
      </c>
      <c r="BU273" s="1">
        <v>170100</v>
      </c>
      <c r="BV273" s="1">
        <v>164200</v>
      </c>
      <c r="BW273" s="1">
        <v>190100</v>
      </c>
      <c r="BX273" s="1">
        <v>212900</v>
      </c>
      <c r="BY273" s="1">
        <v>211600</v>
      </c>
      <c r="BZ273" s="1">
        <v>204100</v>
      </c>
    </row>
    <row r="274" spans="1:78">
      <c r="A274" s="394" t="s">
        <v>487</v>
      </c>
      <c r="B274" s="1" t="str">
        <f>銘柄管理!C274</f>
        <v>東亜ディーケーケー</v>
      </c>
      <c r="C274" s="1">
        <f>_xll.RssMarket("6848","出来高")</f>
        <v>1800</v>
      </c>
      <c r="D274" s="82">
        <f t="shared" si="4"/>
        <v>300</v>
      </c>
      <c r="E274" s="1">
        <v>1500</v>
      </c>
      <c r="F274" s="1">
        <v>4900</v>
      </c>
      <c r="G274" s="1">
        <v>2800</v>
      </c>
      <c r="H274" s="1">
        <v>1400</v>
      </c>
      <c r="I274" s="1">
        <v>4400</v>
      </c>
      <c r="J274" s="1">
        <v>1100</v>
      </c>
      <c r="K274" s="1">
        <v>5500</v>
      </c>
      <c r="M274" s="1">
        <v>5800</v>
      </c>
      <c r="N274" s="1">
        <v>1700</v>
      </c>
      <c r="O274" s="1">
        <v>300</v>
      </c>
      <c r="P274" s="1">
        <v>5100</v>
      </c>
      <c r="Q274" s="1">
        <v>7000</v>
      </c>
      <c r="R274" s="1">
        <v>2700</v>
      </c>
      <c r="S274" s="1">
        <v>4300</v>
      </c>
      <c r="T274" s="1">
        <v>1600</v>
      </c>
      <c r="U274" s="1">
        <v>5300</v>
      </c>
      <c r="V274" s="1">
        <v>3800</v>
      </c>
      <c r="W274" s="1">
        <v>2300</v>
      </c>
      <c r="X274" s="1">
        <v>3200</v>
      </c>
      <c r="Y274" s="1">
        <v>3400</v>
      </c>
      <c r="Z274" s="1">
        <v>4200</v>
      </c>
      <c r="AA274" s="1">
        <v>15500</v>
      </c>
      <c r="AB274" s="1">
        <v>4100</v>
      </c>
      <c r="AC274" s="1">
        <v>3700</v>
      </c>
      <c r="AD274" s="1">
        <v>3800</v>
      </c>
      <c r="AE274" s="1">
        <v>8200</v>
      </c>
      <c r="AF274" s="1">
        <v>5000</v>
      </c>
      <c r="AG274" s="1">
        <v>8500</v>
      </c>
      <c r="AH274" s="1">
        <v>12500</v>
      </c>
      <c r="AI274" s="1">
        <v>3200</v>
      </c>
      <c r="AJ274" s="1">
        <v>6000</v>
      </c>
      <c r="AK274" s="1">
        <v>3800</v>
      </c>
      <c r="AL274" s="1">
        <v>2700</v>
      </c>
      <c r="AM274" s="1">
        <v>3000</v>
      </c>
      <c r="AN274" s="1">
        <v>4800</v>
      </c>
      <c r="AO274" s="1">
        <v>5500</v>
      </c>
      <c r="AP274" s="1">
        <v>11400</v>
      </c>
      <c r="AQ274" s="1">
        <v>3500</v>
      </c>
      <c r="AR274" s="1">
        <v>2800</v>
      </c>
      <c r="AS274" s="1">
        <v>5800</v>
      </c>
      <c r="AT274" s="1">
        <v>5600</v>
      </c>
      <c r="AU274" s="1">
        <v>3800</v>
      </c>
      <c r="AV274" s="1">
        <v>2600</v>
      </c>
      <c r="AW274" s="1">
        <v>2500</v>
      </c>
      <c r="AX274" s="1">
        <v>2900</v>
      </c>
      <c r="AY274" s="1">
        <v>6100</v>
      </c>
      <c r="AZ274" s="1">
        <v>5500</v>
      </c>
      <c r="BA274" s="1">
        <v>4900</v>
      </c>
      <c r="BB274" s="1">
        <v>11400</v>
      </c>
      <c r="BC274" s="1">
        <v>800</v>
      </c>
      <c r="BD274" s="1">
        <v>6600</v>
      </c>
      <c r="BE274" s="1">
        <v>7100</v>
      </c>
      <c r="BF274" s="1">
        <v>3600</v>
      </c>
      <c r="BG274" s="1">
        <v>1700</v>
      </c>
      <c r="BH274" s="1">
        <v>4100</v>
      </c>
      <c r="BI274" s="1">
        <v>4300</v>
      </c>
      <c r="BJ274" s="1">
        <v>2100</v>
      </c>
      <c r="BK274" s="1">
        <v>3300</v>
      </c>
      <c r="BL274" s="1">
        <v>3100</v>
      </c>
      <c r="BM274" s="1">
        <v>3000</v>
      </c>
      <c r="BN274" s="1">
        <v>1500</v>
      </c>
      <c r="BO274" s="1">
        <v>3000</v>
      </c>
      <c r="BP274" s="1">
        <v>6200</v>
      </c>
      <c r="BQ274" s="1">
        <v>4300</v>
      </c>
      <c r="BR274" s="1">
        <v>2200</v>
      </c>
      <c r="BS274" s="1">
        <v>1700</v>
      </c>
      <c r="BT274" s="1">
        <v>4200</v>
      </c>
      <c r="BU274" s="1">
        <v>1500</v>
      </c>
      <c r="BV274" s="1">
        <v>5200</v>
      </c>
      <c r="BW274" s="1">
        <v>2600</v>
      </c>
      <c r="BX274" s="1">
        <v>1500</v>
      </c>
      <c r="BY274" s="1">
        <v>1200</v>
      </c>
      <c r="BZ274" s="1">
        <v>3900</v>
      </c>
    </row>
    <row r="275" spans="1:78">
      <c r="A275" s="394" t="s">
        <v>488</v>
      </c>
      <c r="B275" s="1" t="str">
        <f>銘柄管理!C275</f>
        <v>大紀アルミニウム</v>
      </c>
      <c r="C275" s="1">
        <f>_xll.RssMarket("5702","出来高")</f>
        <v>225400</v>
      </c>
      <c r="D275" s="82">
        <f t="shared" si="4"/>
        <v>-39800</v>
      </c>
      <c r="E275" s="1">
        <v>265200</v>
      </c>
      <c r="F275" s="1">
        <v>455800</v>
      </c>
      <c r="G275" s="1">
        <v>384900</v>
      </c>
      <c r="H275" s="1">
        <v>246100</v>
      </c>
      <c r="I275" s="1">
        <v>374100</v>
      </c>
      <c r="J275" s="1">
        <v>383200</v>
      </c>
      <c r="K275" s="1">
        <v>364700</v>
      </c>
      <c r="L275" s="1">
        <v>216300</v>
      </c>
      <c r="M275" s="1">
        <v>181700</v>
      </c>
      <c r="N275" s="1">
        <v>234000</v>
      </c>
      <c r="O275" s="1">
        <v>200100</v>
      </c>
      <c r="P275" s="1">
        <v>474800</v>
      </c>
      <c r="Q275" s="1">
        <v>148200</v>
      </c>
      <c r="R275" s="1">
        <v>283000</v>
      </c>
      <c r="S275" s="1">
        <v>236200</v>
      </c>
      <c r="T275" s="1">
        <v>230300</v>
      </c>
      <c r="U275" s="1">
        <v>258300</v>
      </c>
      <c r="V275" s="1">
        <v>339600</v>
      </c>
      <c r="W275" s="1">
        <v>345900</v>
      </c>
      <c r="X275" s="1">
        <v>219100</v>
      </c>
      <c r="Y275" s="1">
        <v>250500</v>
      </c>
      <c r="Z275" s="1">
        <v>215100</v>
      </c>
      <c r="AA275" s="1">
        <v>212100</v>
      </c>
      <c r="AB275" s="1">
        <v>213500</v>
      </c>
      <c r="AC275" s="1">
        <v>355800</v>
      </c>
      <c r="AD275" s="1">
        <v>259300</v>
      </c>
      <c r="AE275" s="1">
        <v>338400</v>
      </c>
      <c r="AF275" s="1">
        <v>263600</v>
      </c>
      <c r="AG275" s="1">
        <v>284500</v>
      </c>
      <c r="AH275" s="1">
        <v>200000</v>
      </c>
      <c r="AI275" s="1">
        <v>302800</v>
      </c>
      <c r="AJ275" s="1">
        <v>187000</v>
      </c>
      <c r="AK275" s="1">
        <v>308800</v>
      </c>
      <c r="AL275" s="1">
        <v>341400</v>
      </c>
      <c r="AM275" s="1">
        <v>189500</v>
      </c>
      <c r="AN275" s="1">
        <v>220700</v>
      </c>
      <c r="AO275" s="1">
        <v>210500</v>
      </c>
      <c r="AP275" s="1">
        <v>290500</v>
      </c>
      <c r="AQ275" s="1">
        <v>337200</v>
      </c>
      <c r="AR275" s="1">
        <v>242300</v>
      </c>
      <c r="AS275" s="1">
        <v>234100</v>
      </c>
      <c r="AT275" s="1">
        <v>304900</v>
      </c>
      <c r="AU275" s="1">
        <v>279200</v>
      </c>
      <c r="AV275" s="1">
        <v>262200</v>
      </c>
      <c r="AW275" s="1">
        <v>285000</v>
      </c>
      <c r="AX275" s="1">
        <v>347600</v>
      </c>
      <c r="AY275" s="1">
        <v>295400</v>
      </c>
      <c r="AZ275" s="1">
        <v>380200</v>
      </c>
      <c r="BA275" s="1">
        <v>320500</v>
      </c>
      <c r="BB275" s="1">
        <v>281300</v>
      </c>
      <c r="BC275" s="1">
        <v>384800</v>
      </c>
      <c r="BD275" s="1">
        <v>410800</v>
      </c>
      <c r="BE275" s="1">
        <v>611800</v>
      </c>
      <c r="BF275" s="1">
        <v>1315400</v>
      </c>
      <c r="BG275" s="1">
        <v>208000</v>
      </c>
      <c r="BH275" s="1">
        <v>253300</v>
      </c>
      <c r="BI275" s="1">
        <v>209400</v>
      </c>
      <c r="BJ275" s="1">
        <v>396600</v>
      </c>
      <c r="BK275" s="1">
        <v>264500</v>
      </c>
      <c r="BL275" s="1">
        <v>250700</v>
      </c>
      <c r="BM275" s="1">
        <v>350600</v>
      </c>
      <c r="BN275" s="1">
        <v>210600</v>
      </c>
      <c r="BO275" s="1">
        <v>161500</v>
      </c>
      <c r="BP275" s="1">
        <v>164300</v>
      </c>
      <c r="BQ275" s="1">
        <v>200200</v>
      </c>
      <c r="BR275" s="1">
        <v>179400</v>
      </c>
      <c r="BS275" s="1">
        <v>220300</v>
      </c>
      <c r="BT275" s="1">
        <v>152300</v>
      </c>
      <c r="BU275" s="1">
        <v>138500</v>
      </c>
      <c r="BV275" s="1">
        <v>165800</v>
      </c>
      <c r="BW275" s="1">
        <v>238100</v>
      </c>
      <c r="BX275" s="1">
        <v>435900</v>
      </c>
      <c r="BY275" s="1">
        <v>204600</v>
      </c>
      <c r="BZ275" s="1">
        <v>230700</v>
      </c>
    </row>
    <row r="276" spans="1:78">
      <c r="A276" s="394" t="s">
        <v>489</v>
      </c>
      <c r="B276" s="1" t="str">
        <f>銘柄管理!C276</f>
        <v>河合楽器</v>
      </c>
      <c r="C276" s="1">
        <f>_xll.RssMarket("7952","出来高")</f>
        <v>9000</v>
      </c>
      <c r="D276" s="82">
        <f t="shared" si="4"/>
        <v>-12400</v>
      </c>
      <c r="E276" s="1">
        <v>21400</v>
      </c>
      <c r="F276" s="1">
        <v>36900</v>
      </c>
      <c r="G276" s="1">
        <v>17100</v>
      </c>
      <c r="H276" s="1">
        <v>19700</v>
      </c>
      <c r="I276" s="1">
        <v>27200</v>
      </c>
      <c r="J276" s="1">
        <v>51400</v>
      </c>
      <c r="K276" s="1">
        <v>19300</v>
      </c>
      <c r="L276" s="1">
        <v>5100</v>
      </c>
      <c r="M276" s="1">
        <v>9000</v>
      </c>
      <c r="N276" s="1">
        <v>18000</v>
      </c>
      <c r="O276" s="1">
        <v>19400</v>
      </c>
      <c r="P276" s="1">
        <v>62100</v>
      </c>
      <c r="Q276" s="1">
        <v>10000</v>
      </c>
      <c r="R276" s="1">
        <v>11100</v>
      </c>
      <c r="S276" s="1">
        <v>22100</v>
      </c>
      <c r="T276" s="1">
        <v>15300</v>
      </c>
      <c r="U276" s="1">
        <v>6400</v>
      </c>
      <c r="V276" s="1">
        <v>11200</v>
      </c>
      <c r="W276" s="1">
        <v>9000</v>
      </c>
      <c r="X276" s="1">
        <v>26000</v>
      </c>
      <c r="Y276" s="1">
        <v>18400</v>
      </c>
      <c r="Z276" s="1">
        <v>23300</v>
      </c>
      <c r="AA276" s="1">
        <v>45500</v>
      </c>
      <c r="AB276" s="1">
        <v>44400</v>
      </c>
      <c r="AC276" s="1">
        <v>44100</v>
      </c>
      <c r="AD276" s="1">
        <v>19800</v>
      </c>
      <c r="AE276" s="1">
        <v>16000</v>
      </c>
      <c r="AF276" s="1">
        <v>12400</v>
      </c>
      <c r="AG276" s="1">
        <v>19500</v>
      </c>
      <c r="AH276" s="1">
        <v>10200</v>
      </c>
      <c r="AI276" s="1">
        <v>54600</v>
      </c>
      <c r="AJ276" s="1">
        <v>27800</v>
      </c>
      <c r="AK276" s="1">
        <v>38900</v>
      </c>
      <c r="AL276" s="1">
        <v>22600</v>
      </c>
      <c r="AM276" s="1">
        <v>25900</v>
      </c>
      <c r="AN276" s="1">
        <v>13500</v>
      </c>
      <c r="AO276" s="1">
        <v>32600</v>
      </c>
      <c r="AP276" s="1">
        <v>21000</v>
      </c>
      <c r="AQ276" s="1">
        <v>60000</v>
      </c>
      <c r="AR276" s="1">
        <v>14700</v>
      </c>
      <c r="AS276" s="1">
        <v>29700</v>
      </c>
      <c r="AT276" s="1">
        <v>10600</v>
      </c>
      <c r="AU276" s="1">
        <v>29400</v>
      </c>
      <c r="AV276" s="1">
        <v>27800</v>
      </c>
      <c r="AW276" s="1">
        <v>44500</v>
      </c>
      <c r="AX276" s="1">
        <v>13500</v>
      </c>
      <c r="AY276" s="1">
        <v>17600</v>
      </c>
      <c r="AZ276" s="1">
        <v>8700</v>
      </c>
      <c r="BA276" s="1">
        <v>17900</v>
      </c>
      <c r="BB276" s="1">
        <v>39500</v>
      </c>
      <c r="BC276" s="1">
        <v>19800</v>
      </c>
      <c r="BD276" s="1">
        <v>31000</v>
      </c>
      <c r="BE276" s="1">
        <v>77300</v>
      </c>
      <c r="BF276" s="1">
        <v>22500</v>
      </c>
      <c r="BG276" s="1">
        <v>27900</v>
      </c>
      <c r="BH276" s="1">
        <v>42500</v>
      </c>
      <c r="BI276" s="1">
        <v>30700</v>
      </c>
      <c r="BJ276" s="1">
        <v>28300</v>
      </c>
      <c r="BK276" s="1">
        <v>9700</v>
      </c>
      <c r="BL276" s="1">
        <v>19300</v>
      </c>
      <c r="BM276" s="1">
        <v>19400</v>
      </c>
      <c r="BN276" s="1">
        <v>7300</v>
      </c>
      <c r="BO276" s="1">
        <v>14200</v>
      </c>
      <c r="BP276" s="1">
        <v>18000</v>
      </c>
      <c r="BQ276" s="1">
        <v>19900</v>
      </c>
      <c r="BR276" s="1">
        <v>15300</v>
      </c>
      <c r="BS276" s="1">
        <v>6800</v>
      </c>
      <c r="BT276" s="1">
        <v>6500</v>
      </c>
      <c r="BU276" s="1">
        <v>17600</v>
      </c>
      <c r="BV276" s="1">
        <v>42700</v>
      </c>
      <c r="BW276" s="1">
        <v>12500</v>
      </c>
      <c r="BX276" s="1">
        <v>11300</v>
      </c>
      <c r="BY276" s="1">
        <v>11900</v>
      </c>
      <c r="BZ276" s="1">
        <v>31900</v>
      </c>
    </row>
    <row r="277" spans="1:78">
      <c r="A277" s="394" t="s">
        <v>490</v>
      </c>
      <c r="B277" s="1" t="str">
        <f>銘柄管理!C277</f>
        <v>グンゼ</v>
      </c>
      <c r="C277" s="1">
        <f>_xll.RssMarket("3002","出来高")</f>
        <v>116800</v>
      </c>
      <c r="D277" s="82">
        <f t="shared" si="4"/>
        <v>-5900</v>
      </c>
      <c r="E277" s="1">
        <v>122700</v>
      </c>
      <c r="F277" s="1">
        <v>183600</v>
      </c>
      <c r="G277" s="1">
        <v>535600</v>
      </c>
      <c r="H277" s="1">
        <v>200200</v>
      </c>
      <c r="I277" s="1">
        <v>245100</v>
      </c>
      <c r="J277" s="1">
        <v>205100</v>
      </c>
      <c r="K277" s="1">
        <v>233100</v>
      </c>
      <c r="M277" s="1">
        <v>95500</v>
      </c>
      <c r="N277" s="1">
        <v>96300</v>
      </c>
      <c r="O277" s="1">
        <v>100600</v>
      </c>
      <c r="P277" s="1">
        <v>128300</v>
      </c>
      <c r="Q277" s="1">
        <v>111600</v>
      </c>
      <c r="R277" s="1">
        <v>96200</v>
      </c>
      <c r="S277" s="1">
        <v>144100</v>
      </c>
      <c r="T277" s="1">
        <v>223700</v>
      </c>
      <c r="U277" s="1">
        <v>103300</v>
      </c>
      <c r="V277" s="1">
        <v>113200</v>
      </c>
      <c r="W277" s="1">
        <v>165200</v>
      </c>
      <c r="X277" s="1">
        <v>169400</v>
      </c>
      <c r="Y277" s="1">
        <v>200300</v>
      </c>
      <c r="Z277" s="1">
        <v>209200</v>
      </c>
      <c r="AA277" s="1">
        <v>95900</v>
      </c>
      <c r="AB277" s="1">
        <v>144400</v>
      </c>
      <c r="AC277" s="1">
        <v>167400</v>
      </c>
      <c r="AD277" s="1">
        <v>140600</v>
      </c>
      <c r="AE277" s="1">
        <v>167000</v>
      </c>
      <c r="AF277" s="1">
        <v>114600</v>
      </c>
      <c r="AG277" s="1">
        <v>121600</v>
      </c>
      <c r="AH277" s="1">
        <v>120200</v>
      </c>
      <c r="AI277" s="1">
        <v>150200</v>
      </c>
      <c r="AJ277" s="1">
        <v>154600</v>
      </c>
      <c r="AK277" s="1">
        <v>150300</v>
      </c>
      <c r="AL277" s="1">
        <v>120900</v>
      </c>
      <c r="AM277" s="1">
        <v>136200</v>
      </c>
      <c r="AN277" s="1">
        <v>394200</v>
      </c>
      <c r="AO277" s="1">
        <v>142000</v>
      </c>
      <c r="AP277" s="1">
        <v>260200</v>
      </c>
      <c r="AQ277" s="1">
        <v>199500</v>
      </c>
      <c r="AR277" s="1">
        <v>118500</v>
      </c>
      <c r="AS277" s="1">
        <v>103100</v>
      </c>
      <c r="AT277" s="1">
        <v>128000</v>
      </c>
      <c r="AU277" s="1">
        <v>208600</v>
      </c>
      <c r="AV277" s="1">
        <v>202700</v>
      </c>
      <c r="AW277" s="1">
        <v>192700</v>
      </c>
      <c r="AX277" s="1">
        <v>230500</v>
      </c>
      <c r="AY277" s="1">
        <v>146200</v>
      </c>
      <c r="AZ277" s="1">
        <v>156400</v>
      </c>
      <c r="BA277" s="1">
        <v>142000</v>
      </c>
      <c r="BB277" s="1">
        <v>251300</v>
      </c>
      <c r="BC277" s="1">
        <v>314300</v>
      </c>
      <c r="BD277" s="1">
        <v>303500</v>
      </c>
      <c r="BE277" s="1">
        <v>347900</v>
      </c>
      <c r="BF277" s="1">
        <v>569600</v>
      </c>
      <c r="BG277" s="1">
        <v>202200</v>
      </c>
      <c r="BH277" s="1">
        <v>218800</v>
      </c>
      <c r="BI277" s="1">
        <v>127400</v>
      </c>
      <c r="BJ277" s="1">
        <v>305300</v>
      </c>
      <c r="BK277" s="1">
        <v>234500</v>
      </c>
      <c r="BL277" s="1">
        <v>259100</v>
      </c>
      <c r="BM277" s="1">
        <v>312500</v>
      </c>
      <c r="BN277" s="1">
        <v>361000</v>
      </c>
      <c r="BO277" s="1">
        <v>229100</v>
      </c>
      <c r="BP277" s="1">
        <v>155700</v>
      </c>
      <c r="BQ277" s="1">
        <v>275400</v>
      </c>
      <c r="BR277" s="1">
        <v>265800</v>
      </c>
      <c r="BS277" s="1">
        <v>283500</v>
      </c>
      <c r="BT277" s="1">
        <v>137000</v>
      </c>
      <c r="BU277" s="1">
        <v>196400</v>
      </c>
      <c r="BV277" s="1">
        <v>167500</v>
      </c>
      <c r="BW277" s="1">
        <v>220300</v>
      </c>
      <c r="BX277" s="1">
        <v>162800</v>
      </c>
      <c r="BY277" s="1">
        <v>185200</v>
      </c>
      <c r="BZ277" s="1">
        <v>166100</v>
      </c>
    </row>
    <row r="278" spans="1:78">
      <c r="A278" s="394" t="s">
        <v>491</v>
      </c>
      <c r="B278" s="1" t="str">
        <f>銘柄管理!C278</f>
        <v>ゴールドクレスト</v>
      </c>
      <c r="C278" s="1">
        <f>_xll.RssMarket("8871","出来高")</f>
        <v>27600</v>
      </c>
      <c r="D278" s="82">
        <f t="shared" si="4"/>
        <v>-41900</v>
      </c>
      <c r="E278" s="1">
        <v>69500</v>
      </c>
      <c r="F278" s="1">
        <v>92900</v>
      </c>
      <c r="G278" s="1">
        <v>96600</v>
      </c>
      <c r="H278" s="1">
        <v>68700</v>
      </c>
      <c r="I278" s="1">
        <v>63600</v>
      </c>
      <c r="J278" s="1">
        <v>70200</v>
      </c>
      <c r="K278" s="1">
        <v>45300</v>
      </c>
      <c r="M278" s="1">
        <v>45200</v>
      </c>
      <c r="N278" s="1">
        <v>46400</v>
      </c>
      <c r="O278" s="1">
        <v>38900</v>
      </c>
      <c r="P278" s="1">
        <v>123800</v>
      </c>
      <c r="Q278" s="1">
        <v>27000</v>
      </c>
      <c r="R278" s="1">
        <v>25800</v>
      </c>
      <c r="S278" s="1">
        <v>24000</v>
      </c>
      <c r="T278" s="1">
        <v>31900</v>
      </c>
      <c r="U278" s="1">
        <v>21700</v>
      </c>
      <c r="V278" s="1">
        <v>51500</v>
      </c>
      <c r="W278" s="1">
        <v>22100</v>
      </c>
      <c r="X278" s="1">
        <v>27000</v>
      </c>
      <c r="Y278" s="1">
        <v>28100</v>
      </c>
      <c r="Z278" s="1">
        <v>37500</v>
      </c>
      <c r="AA278" s="1">
        <v>57500</v>
      </c>
      <c r="AB278" s="1">
        <v>38700</v>
      </c>
      <c r="AC278" s="1">
        <v>24900</v>
      </c>
      <c r="AD278" s="1">
        <v>30000</v>
      </c>
      <c r="AE278" s="1">
        <v>23200</v>
      </c>
      <c r="AF278" s="1">
        <v>28400</v>
      </c>
      <c r="AG278" s="1">
        <v>41400</v>
      </c>
      <c r="AH278" s="1">
        <v>37500</v>
      </c>
      <c r="AI278" s="1">
        <v>48200</v>
      </c>
      <c r="AJ278" s="1">
        <v>37200</v>
      </c>
      <c r="AK278" s="1">
        <v>23900</v>
      </c>
      <c r="AL278" s="1">
        <v>33600</v>
      </c>
      <c r="AM278" s="1">
        <v>30500</v>
      </c>
      <c r="AN278" s="1">
        <v>30300</v>
      </c>
      <c r="AO278" s="1">
        <v>35300</v>
      </c>
      <c r="AP278" s="1">
        <v>32900</v>
      </c>
      <c r="AQ278" s="1">
        <v>53000</v>
      </c>
      <c r="AR278" s="1">
        <v>60500</v>
      </c>
      <c r="AS278" s="1">
        <v>52900</v>
      </c>
      <c r="AT278" s="1">
        <v>43800</v>
      </c>
      <c r="AU278" s="1">
        <v>54200</v>
      </c>
      <c r="AV278" s="1">
        <v>54900</v>
      </c>
      <c r="AW278" s="1">
        <v>38700</v>
      </c>
      <c r="AX278" s="1">
        <v>43800</v>
      </c>
      <c r="AY278" s="1">
        <v>40400</v>
      </c>
      <c r="AZ278" s="1">
        <v>37700</v>
      </c>
      <c r="BA278" s="1">
        <v>56700</v>
      </c>
      <c r="BB278" s="1">
        <v>36900</v>
      </c>
      <c r="BC278" s="1">
        <v>90400</v>
      </c>
      <c r="BD278" s="1">
        <v>86000</v>
      </c>
      <c r="BE278" s="1">
        <v>147400</v>
      </c>
      <c r="BF278" s="1">
        <v>46800</v>
      </c>
      <c r="BG278" s="1">
        <v>35600</v>
      </c>
      <c r="BH278" s="1">
        <v>14000</v>
      </c>
      <c r="BI278" s="1">
        <v>14700</v>
      </c>
      <c r="BJ278" s="1">
        <v>17600</v>
      </c>
      <c r="BK278" s="1">
        <v>17500</v>
      </c>
      <c r="BL278" s="1">
        <v>20000</v>
      </c>
      <c r="BM278" s="1">
        <v>25900</v>
      </c>
      <c r="BN278" s="1">
        <v>36200</v>
      </c>
      <c r="BO278" s="1">
        <v>66200</v>
      </c>
      <c r="BP278" s="1">
        <v>15800</v>
      </c>
      <c r="BQ278" s="1">
        <v>22600</v>
      </c>
      <c r="BR278" s="1">
        <v>34600</v>
      </c>
      <c r="BS278" s="1">
        <v>13900</v>
      </c>
      <c r="BT278" s="1">
        <v>18800</v>
      </c>
      <c r="BU278" s="1">
        <v>31400</v>
      </c>
      <c r="BV278" s="1">
        <v>22700</v>
      </c>
      <c r="BW278" s="1">
        <v>18100</v>
      </c>
      <c r="BX278" s="1">
        <v>20600</v>
      </c>
      <c r="BY278" s="1">
        <v>14300</v>
      </c>
      <c r="BZ278" s="1">
        <v>30400</v>
      </c>
    </row>
    <row r="279" spans="1:78">
      <c r="A279" s="394" t="s">
        <v>492</v>
      </c>
      <c r="B279" s="1" t="str">
        <f>銘柄管理!C279</f>
        <v>アバールデータ</v>
      </c>
      <c r="C279" s="1">
        <f>_xll.RssMarket("6918","出来高")</f>
        <v>72100</v>
      </c>
      <c r="D279" s="82">
        <f t="shared" si="4"/>
        <v>24100</v>
      </c>
      <c r="E279" s="1">
        <v>48000</v>
      </c>
      <c r="F279" s="1">
        <v>47500</v>
      </c>
      <c r="G279" s="1">
        <v>46800</v>
      </c>
      <c r="H279" s="1">
        <v>20100</v>
      </c>
      <c r="I279" s="1">
        <v>79500</v>
      </c>
      <c r="J279" s="1">
        <v>25300</v>
      </c>
      <c r="K279" s="1">
        <v>21100</v>
      </c>
      <c r="M279" s="1">
        <v>13700</v>
      </c>
      <c r="N279" s="1">
        <v>24200</v>
      </c>
      <c r="O279" s="1">
        <v>37500</v>
      </c>
      <c r="P279" s="1">
        <v>69700</v>
      </c>
      <c r="Q279" s="1">
        <v>10600</v>
      </c>
      <c r="R279" s="1">
        <v>15400</v>
      </c>
      <c r="S279" s="1">
        <v>20200</v>
      </c>
      <c r="T279" s="1">
        <v>23000</v>
      </c>
      <c r="U279" s="1">
        <v>15100</v>
      </c>
      <c r="V279" s="1">
        <v>24400</v>
      </c>
      <c r="W279" s="1">
        <v>12600</v>
      </c>
      <c r="X279" s="1">
        <v>21700</v>
      </c>
      <c r="Y279" s="1">
        <v>23400</v>
      </c>
      <c r="Z279" s="1">
        <v>21500</v>
      </c>
      <c r="AA279" s="1">
        <v>38500</v>
      </c>
      <c r="AB279" s="1">
        <v>12300</v>
      </c>
      <c r="AC279" s="1">
        <v>26500</v>
      </c>
      <c r="AD279" s="1">
        <v>22100</v>
      </c>
      <c r="AE279" s="1">
        <v>27100</v>
      </c>
      <c r="AF279" s="1">
        <v>22300</v>
      </c>
      <c r="AG279" s="1">
        <v>27200</v>
      </c>
      <c r="AH279" s="1">
        <v>35600</v>
      </c>
      <c r="AI279" s="1">
        <v>26800</v>
      </c>
      <c r="AJ279" s="1">
        <v>39500</v>
      </c>
      <c r="AK279" s="1">
        <v>26700</v>
      </c>
      <c r="AL279" s="1">
        <v>22200</v>
      </c>
      <c r="AM279" s="1">
        <v>21000</v>
      </c>
      <c r="AN279" s="1">
        <v>29800</v>
      </c>
      <c r="AO279" s="1">
        <v>27800</v>
      </c>
      <c r="AP279" s="1">
        <v>46900</v>
      </c>
      <c r="AQ279" s="1">
        <v>39500</v>
      </c>
      <c r="AR279" s="1">
        <v>25000</v>
      </c>
      <c r="AS279" s="1">
        <v>34100</v>
      </c>
      <c r="AT279" s="1">
        <v>35200</v>
      </c>
      <c r="AU279" s="1">
        <v>25900</v>
      </c>
      <c r="AV279" s="1">
        <v>19100</v>
      </c>
      <c r="AW279" s="1">
        <v>42800</v>
      </c>
      <c r="AX279" s="1">
        <v>19500</v>
      </c>
      <c r="AY279" s="1">
        <v>16300</v>
      </c>
      <c r="AZ279" s="1">
        <v>29800</v>
      </c>
      <c r="BA279" s="1">
        <v>14100</v>
      </c>
      <c r="BB279" s="1">
        <v>19700</v>
      </c>
      <c r="BC279" s="1">
        <v>45900</v>
      </c>
      <c r="BD279" s="1">
        <v>53100</v>
      </c>
      <c r="BE279" s="1">
        <v>76800</v>
      </c>
      <c r="BF279" s="1">
        <v>60400</v>
      </c>
      <c r="BG279" s="1">
        <v>24500</v>
      </c>
      <c r="BH279" s="1">
        <v>47800</v>
      </c>
      <c r="BI279" s="1">
        <v>93600</v>
      </c>
      <c r="BJ279" s="1">
        <v>23800</v>
      </c>
      <c r="BK279" s="1">
        <v>60400</v>
      </c>
      <c r="BL279" s="1">
        <v>38900</v>
      </c>
      <c r="BM279" s="1">
        <v>12000</v>
      </c>
      <c r="BN279" s="1">
        <v>17200</v>
      </c>
      <c r="BO279" s="1">
        <v>47000</v>
      </c>
      <c r="BP279" s="1">
        <v>18500</v>
      </c>
      <c r="BQ279" s="1">
        <v>20000</v>
      </c>
      <c r="BR279" s="1">
        <v>41600</v>
      </c>
      <c r="BS279" s="1">
        <v>36100</v>
      </c>
      <c r="BT279" s="1">
        <v>30000</v>
      </c>
      <c r="BU279" s="1">
        <v>21600</v>
      </c>
      <c r="BV279" s="1">
        <v>5500</v>
      </c>
      <c r="BW279" s="1">
        <v>19000</v>
      </c>
      <c r="BX279" s="1">
        <v>26200</v>
      </c>
      <c r="BY279" s="1">
        <v>27700</v>
      </c>
      <c r="BZ279" s="1">
        <v>12800</v>
      </c>
    </row>
    <row r="280" spans="1:78">
      <c r="A280" s="394" t="s">
        <v>493</v>
      </c>
      <c r="B280" s="1" t="str">
        <f>銘柄管理!C280</f>
        <v>ヨシタケ</v>
      </c>
      <c r="C280" s="1">
        <f>_xll.RssMarket("6488","出来高")</f>
        <v>3100</v>
      </c>
      <c r="D280" s="82">
        <f t="shared" si="4"/>
        <v>-3200</v>
      </c>
      <c r="E280" s="1">
        <v>6300</v>
      </c>
      <c r="F280" s="1">
        <v>8400</v>
      </c>
      <c r="G280" s="1">
        <v>22600</v>
      </c>
      <c r="H280" s="1">
        <v>3100</v>
      </c>
      <c r="I280" s="1">
        <v>3500</v>
      </c>
      <c r="J280" s="1">
        <v>2600</v>
      </c>
      <c r="K280" s="1">
        <v>2000</v>
      </c>
      <c r="L280" s="1">
        <v>4900</v>
      </c>
      <c r="M280" s="1">
        <v>4600</v>
      </c>
      <c r="N280" s="1">
        <v>10100</v>
      </c>
      <c r="O280" s="1">
        <v>2200</v>
      </c>
      <c r="P280" s="1">
        <v>7800</v>
      </c>
      <c r="Q280" s="1">
        <v>4800</v>
      </c>
      <c r="R280" s="1">
        <v>4700</v>
      </c>
      <c r="S280" s="1">
        <v>6500</v>
      </c>
      <c r="T280" s="1">
        <v>9200</v>
      </c>
      <c r="U280" s="1">
        <v>10000</v>
      </c>
      <c r="V280" s="1">
        <v>5700</v>
      </c>
      <c r="W280" s="1">
        <v>10500</v>
      </c>
      <c r="X280" s="1">
        <v>2800</v>
      </c>
      <c r="Y280" s="1">
        <v>12200</v>
      </c>
      <c r="Z280" s="1">
        <v>12300</v>
      </c>
      <c r="AA280" s="1">
        <v>4700</v>
      </c>
      <c r="AB280" s="1">
        <v>1500</v>
      </c>
      <c r="AC280" s="1">
        <v>3800</v>
      </c>
      <c r="AD280" s="1">
        <v>9100</v>
      </c>
      <c r="AE280" s="1">
        <v>5700</v>
      </c>
      <c r="AF280" s="1">
        <v>6000</v>
      </c>
      <c r="AG280" s="1">
        <v>10200</v>
      </c>
      <c r="AH280" s="1">
        <v>8700</v>
      </c>
      <c r="AI280" s="1">
        <v>7100</v>
      </c>
      <c r="AJ280" s="1">
        <v>5300</v>
      </c>
      <c r="AK280" s="1">
        <v>1400</v>
      </c>
      <c r="AL280" s="1">
        <v>4000</v>
      </c>
      <c r="AM280" s="1">
        <v>6000</v>
      </c>
      <c r="AN280" s="1">
        <v>5300</v>
      </c>
      <c r="AO280" s="1">
        <v>5400</v>
      </c>
      <c r="AP280" s="1">
        <v>9100</v>
      </c>
      <c r="AQ280" s="1">
        <v>1700</v>
      </c>
      <c r="AR280" s="1">
        <v>2900</v>
      </c>
      <c r="AS280" s="1">
        <v>3800</v>
      </c>
      <c r="AT280" s="1">
        <v>3200</v>
      </c>
      <c r="AU280" s="1">
        <v>5600</v>
      </c>
      <c r="AV280" s="1">
        <v>3600</v>
      </c>
      <c r="AW280" s="1">
        <v>14700</v>
      </c>
      <c r="AX280" s="1">
        <v>2100</v>
      </c>
      <c r="AY280" s="1">
        <v>4000</v>
      </c>
      <c r="AZ280" s="1">
        <v>6700</v>
      </c>
      <c r="BA280" s="1">
        <v>3300</v>
      </c>
      <c r="BB280" s="1">
        <v>3600</v>
      </c>
      <c r="BC280" s="1">
        <v>7100</v>
      </c>
      <c r="BD280" s="1">
        <v>13400</v>
      </c>
      <c r="BE280" s="1">
        <v>17400</v>
      </c>
      <c r="BF280" s="1">
        <v>12700</v>
      </c>
      <c r="BG280" s="1">
        <v>800</v>
      </c>
      <c r="BH280" s="1">
        <v>1900</v>
      </c>
      <c r="BI280" s="1">
        <v>2900</v>
      </c>
      <c r="BJ280" s="1">
        <v>3500</v>
      </c>
      <c r="BK280" s="1">
        <v>4400</v>
      </c>
      <c r="BL280" s="1">
        <v>4600</v>
      </c>
      <c r="BM280" s="1">
        <v>400</v>
      </c>
      <c r="BN280" s="1">
        <v>1200</v>
      </c>
      <c r="BO280" s="1">
        <v>5300</v>
      </c>
      <c r="BP280" s="1">
        <v>2800</v>
      </c>
      <c r="BQ280" s="1">
        <v>600</v>
      </c>
      <c r="BR280" s="1">
        <v>8900</v>
      </c>
      <c r="BS280" s="1">
        <v>800</v>
      </c>
      <c r="BT280" s="1">
        <v>2100</v>
      </c>
      <c r="BU280" s="1">
        <v>3000</v>
      </c>
      <c r="BV280" s="1">
        <v>18600</v>
      </c>
      <c r="BW280" s="1">
        <v>800</v>
      </c>
      <c r="BX280" s="1">
        <v>2000</v>
      </c>
      <c r="BY280" s="1">
        <v>1900</v>
      </c>
      <c r="BZ280" s="1">
        <v>2300</v>
      </c>
    </row>
    <row r="281" spans="1:78">
      <c r="A281" s="394" t="s">
        <v>494</v>
      </c>
      <c r="B281" s="1" t="str">
        <f>銘柄管理!C281</f>
        <v>高島</v>
      </c>
      <c r="C281" s="1">
        <f>_xll.RssMarket("8007","出来高")</f>
        <v>64000</v>
      </c>
      <c r="D281" s="82">
        <f t="shared" si="4"/>
        <v>-37000</v>
      </c>
      <c r="E281" s="1">
        <v>101000</v>
      </c>
      <c r="F281" s="1">
        <v>137700</v>
      </c>
      <c r="G281" s="1">
        <v>112100</v>
      </c>
      <c r="H281" s="1">
        <v>100900</v>
      </c>
      <c r="I281" s="1">
        <v>113600</v>
      </c>
      <c r="J281" s="1">
        <v>153100</v>
      </c>
      <c r="K281" s="1">
        <v>111300</v>
      </c>
      <c r="L281" s="1">
        <v>66400</v>
      </c>
      <c r="M281" s="1">
        <v>52600</v>
      </c>
      <c r="N281" s="1">
        <v>72900</v>
      </c>
      <c r="O281" s="1">
        <v>71400</v>
      </c>
      <c r="P281" s="1">
        <v>123200</v>
      </c>
      <c r="Q281" s="1">
        <v>89900</v>
      </c>
      <c r="R281" s="1">
        <v>75100</v>
      </c>
      <c r="S281" s="1">
        <v>127600</v>
      </c>
      <c r="T281" s="1">
        <v>74000</v>
      </c>
      <c r="U281" s="1">
        <v>80300</v>
      </c>
      <c r="V281" s="1">
        <v>74200</v>
      </c>
      <c r="W281" s="1">
        <v>150200</v>
      </c>
      <c r="X281" s="1">
        <v>154000</v>
      </c>
      <c r="Y281" s="1">
        <v>85400</v>
      </c>
      <c r="Z281" s="1">
        <v>124000</v>
      </c>
      <c r="AA281" s="1">
        <v>108500</v>
      </c>
      <c r="AB281" s="1">
        <v>93000</v>
      </c>
      <c r="AC281" s="1">
        <v>97300</v>
      </c>
      <c r="AD281" s="1">
        <v>51800</v>
      </c>
      <c r="AE281" s="1">
        <v>117200</v>
      </c>
      <c r="AF281" s="1">
        <v>67700</v>
      </c>
      <c r="AG281" s="1">
        <v>84700</v>
      </c>
      <c r="AH281" s="1">
        <v>93200</v>
      </c>
      <c r="AI281" s="1">
        <v>99000</v>
      </c>
      <c r="AJ281" s="1">
        <v>92600</v>
      </c>
      <c r="AK281" s="1">
        <v>208400</v>
      </c>
      <c r="AL281" s="1">
        <v>184600</v>
      </c>
      <c r="AM281" s="1">
        <v>203600</v>
      </c>
      <c r="AN281" s="1">
        <v>78500</v>
      </c>
      <c r="AO281" s="1">
        <v>94300</v>
      </c>
      <c r="AP281" s="1">
        <v>84600</v>
      </c>
      <c r="AQ281" s="1">
        <v>119100</v>
      </c>
      <c r="AR281" s="1">
        <v>110100</v>
      </c>
      <c r="AS281" s="1">
        <v>97200</v>
      </c>
      <c r="AT281" s="1">
        <v>166700</v>
      </c>
      <c r="AU281" s="1">
        <v>213600</v>
      </c>
      <c r="AV281" s="1">
        <v>95000</v>
      </c>
      <c r="AW281" s="1">
        <v>92400</v>
      </c>
      <c r="AX281" s="1">
        <v>77500</v>
      </c>
      <c r="AY281" s="1">
        <v>149800</v>
      </c>
      <c r="AZ281" s="1">
        <v>93800</v>
      </c>
      <c r="BA281" s="1">
        <v>111400</v>
      </c>
      <c r="BB281" s="1">
        <v>225900</v>
      </c>
      <c r="BC281" s="1">
        <v>253700</v>
      </c>
      <c r="BD281" s="1">
        <v>260500</v>
      </c>
      <c r="BE281" s="1">
        <v>504500</v>
      </c>
      <c r="BF281" s="1">
        <v>995500</v>
      </c>
      <c r="BG281" s="1">
        <v>670900</v>
      </c>
      <c r="BH281" s="1">
        <v>141100</v>
      </c>
      <c r="BI281" s="1">
        <v>127000</v>
      </c>
      <c r="BJ281" s="1">
        <v>79700</v>
      </c>
      <c r="BK281" s="1">
        <v>65800</v>
      </c>
      <c r="BL281" s="1">
        <v>63800</v>
      </c>
      <c r="BM281" s="1">
        <v>86600</v>
      </c>
      <c r="BN281" s="1">
        <v>97500</v>
      </c>
      <c r="BO281" s="1">
        <v>139400</v>
      </c>
      <c r="BP281" s="1">
        <v>110300</v>
      </c>
      <c r="BQ281" s="1">
        <v>130000</v>
      </c>
      <c r="BR281" s="1">
        <v>192000</v>
      </c>
      <c r="BS281" s="1">
        <v>164800</v>
      </c>
      <c r="BT281" s="1">
        <v>214200</v>
      </c>
      <c r="BU281" s="1">
        <v>83900</v>
      </c>
      <c r="BV281" s="1">
        <v>63900</v>
      </c>
      <c r="BW281" s="1">
        <v>72100</v>
      </c>
      <c r="BX281" s="1">
        <v>79300</v>
      </c>
      <c r="BY281" s="1">
        <v>82100</v>
      </c>
      <c r="BZ281" s="1">
        <v>71400</v>
      </c>
    </row>
    <row r="282" spans="1:78">
      <c r="A282" s="394" t="s">
        <v>495</v>
      </c>
      <c r="B282" s="1" t="str">
        <f>銘柄管理!C282</f>
        <v>ニチバン</v>
      </c>
      <c r="C282" s="1">
        <f>_xll.RssMarket("4218","出来高")</f>
        <v>5700</v>
      </c>
      <c r="D282" s="82">
        <f t="shared" si="4"/>
        <v>-7300</v>
      </c>
      <c r="E282" s="1">
        <v>13000</v>
      </c>
      <c r="F282" s="1">
        <v>32500</v>
      </c>
      <c r="G282" s="1">
        <v>31200</v>
      </c>
      <c r="H282" s="1">
        <v>21600</v>
      </c>
      <c r="I282" s="1">
        <v>28400</v>
      </c>
      <c r="J282" s="1">
        <v>16700</v>
      </c>
      <c r="K282" s="1">
        <v>15200</v>
      </c>
      <c r="L282" s="1">
        <v>9500</v>
      </c>
      <c r="M282" s="1">
        <v>12300</v>
      </c>
      <c r="N282" s="1">
        <v>14700</v>
      </c>
      <c r="O282" s="1">
        <v>43700</v>
      </c>
      <c r="P282" s="1">
        <v>18100</v>
      </c>
      <c r="Q282" s="1">
        <v>9700</v>
      </c>
      <c r="R282" s="1">
        <v>17800</v>
      </c>
      <c r="S282" s="1">
        <v>10500</v>
      </c>
      <c r="T282" s="1">
        <v>14300</v>
      </c>
      <c r="U282" s="1">
        <v>11700</v>
      </c>
      <c r="V282" s="1">
        <v>22600</v>
      </c>
      <c r="W282" s="1">
        <v>13100</v>
      </c>
      <c r="X282" s="1">
        <v>12400</v>
      </c>
      <c r="Y282" s="1">
        <v>24000</v>
      </c>
      <c r="Z282" s="1">
        <v>23400</v>
      </c>
      <c r="AA282" s="1">
        <v>19600</v>
      </c>
      <c r="AB282" s="1">
        <v>12400</v>
      </c>
      <c r="AC282" s="1">
        <v>22900</v>
      </c>
      <c r="AD282" s="1">
        <v>10900</v>
      </c>
      <c r="AE282" s="1">
        <v>19800</v>
      </c>
      <c r="AF282" s="1">
        <v>20600</v>
      </c>
      <c r="AG282" s="1">
        <v>15500</v>
      </c>
      <c r="AH282" s="1">
        <v>21700</v>
      </c>
      <c r="AI282" s="1">
        <v>52300</v>
      </c>
      <c r="AJ282" s="1">
        <v>16900</v>
      </c>
      <c r="AK282" s="1">
        <v>13500</v>
      </c>
      <c r="AL282" s="1">
        <v>10700</v>
      </c>
      <c r="AM282" s="1">
        <v>14100</v>
      </c>
      <c r="AN282" s="1">
        <v>21200</v>
      </c>
      <c r="AO282" s="1">
        <v>18500</v>
      </c>
      <c r="AP282" s="1">
        <v>18900</v>
      </c>
      <c r="AQ282" s="1">
        <v>28700</v>
      </c>
      <c r="AR282" s="1">
        <v>10400</v>
      </c>
      <c r="AS282" s="1">
        <v>20300</v>
      </c>
      <c r="AT282" s="1">
        <v>22500</v>
      </c>
      <c r="AU282" s="1">
        <v>33000</v>
      </c>
      <c r="AV282" s="1">
        <v>16000</v>
      </c>
      <c r="AW282" s="1">
        <v>20800</v>
      </c>
      <c r="AX282" s="1">
        <v>9900</v>
      </c>
      <c r="AY282" s="1">
        <v>16200</v>
      </c>
      <c r="AZ282" s="1">
        <v>9400</v>
      </c>
      <c r="BA282" s="1">
        <v>8800</v>
      </c>
      <c r="BB282" s="1">
        <v>20700</v>
      </c>
      <c r="BC282" s="1">
        <v>32400</v>
      </c>
      <c r="BD282" s="1">
        <v>36000</v>
      </c>
      <c r="BE282" s="1">
        <v>33000</v>
      </c>
      <c r="BF282" s="1">
        <v>42000</v>
      </c>
      <c r="BG282" s="1">
        <v>12400</v>
      </c>
      <c r="BH282" s="1">
        <v>8700</v>
      </c>
      <c r="BI282" s="1">
        <v>14500</v>
      </c>
      <c r="BJ282" s="1">
        <v>25000</v>
      </c>
      <c r="BK282" s="1">
        <v>12200</v>
      </c>
      <c r="BL282" s="1">
        <v>16700</v>
      </c>
      <c r="BM282" s="1">
        <v>21000</v>
      </c>
      <c r="BN282" s="1">
        <v>20500</v>
      </c>
      <c r="BO282" s="1">
        <v>29000</v>
      </c>
      <c r="BP282" s="1">
        <v>29700</v>
      </c>
      <c r="BQ282" s="1">
        <v>27000</v>
      </c>
      <c r="BR282" s="1">
        <v>22600</v>
      </c>
      <c r="BS282" s="1">
        <v>18200</v>
      </c>
      <c r="BT282" s="1">
        <v>13700</v>
      </c>
      <c r="BU282" s="1">
        <v>9700</v>
      </c>
      <c r="BV282" s="1">
        <v>14500</v>
      </c>
      <c r="BW282" s="1">
        <v>14900</v>
      </c>
      <c r="BX282" s="1">
        <v>17800</v>
      </c>
      <c r="BY282" s="1">
        <v>14200</v>
      </c>
      <c r="BZ282" s="1">
        <v>19600</v>
      </c>
    </row>
    <row r="283" spans="1:78">
      <c r="A283" s="394" t="s">
        <v>496</v>
      </c>
      <c r="B283" s="1" t="str">
        <f>銘柄管理!C283</f>
        <v>ＳＣＲＥＥＮホールディングス</v>
      </c>
      <c r="C283" s="1">
        <f>_xll.RssMarket("7735","出来高")</f>
        <v>2405500</v>
      </c>
      <c r="D283" s="82">
        <f t="shared" si="4"/>
        <v>-1973500</v>
      </c>
      <c r="E283" s="1">
        <v>4379000</v>
      </c>
      <c r="F283" s="1">
        <v>4234600</v>
      </c>
      <c r="G283" s="1">
        <v>8553700</v>
      </c>
      <c r="H283" s="1">
        <v>5993400</v>
      </c>
      <c r="I283" s="1">
        <v>7092300</v>
      </c>
      <c r="J283" s="1">
        <v>3249100</v>
      </c>
      <c r="K283" s="1">
        <v>2458300</v>
      </c>
      <c r="L283" s="1">
        <v>3455400</v>
      </c>
      <c r="M283" s="1">
        <v>2716900</v>
      </c>
      <c r="N283" s="1">
        <v>3615300</v>
      </c>
      <c r="O283" s="1">
        <v>2953000</v>
      </c>
      <c r="P283" s="1">
        <v>5140900</v>
      </c>
      <c r="Q283" s="1">
        <v>3531000</v>
      </c>
      <c r="R283" s="1">
        <v>3155500</v>
      </c>
      <c r="S283" s="1">
        <v>2505600</v>
      </c>
      <c r="T283" s="1">
        <v>3056300</v>
      </c>
      <c r="U283" s="1">
        <v>3076600</v>
      </c>
      <c r="V283" s="1">
        <v>3515900</v>
      </c>
      <c r="W283" s="1">
        <v>3336700</v>
      </c>
      <c r="X283" s="1">
        <v>3715700</v>
      </c>
      <c r="Y283" s="1">
        <v>4140700</v>
      </c>
      <c r="Z283" s="1">
        <v>4075500</v>
      </c>
      <c r="AA283" s="1">
        <v>5837300</v>
      </c>
      <c r="AB283" s="1">
        <v>4417400</v>
      </c>
      <c r="AC283" s="1">
        <v>2517400</v>
      </c>
      <c r="AD283" s="1">
        <v>3561100</v>
      </c>
      <c r="AE283" s="1">
        <v>3684200</v>
      </c>
      <c r="AF283" s="1">
        <v>2819900</v>
      </c>
      <c r="AG283" s="1">
        <v>2801800</v>
      </c>
      <c r="AH283" s="1">
        <v>2544200</v>
      </c>
      <c r="AI283" s="1">
        <v>3777500</v>
      </c>
      <c r="AJ283" s="1">
        <v>4061800</v>
      </c>
      <c r="AK283" s="1">
        <v>2431400</v>
      </c>
      <c r="AL283" s="1">
        <v>3407300</v>
      </c>
      <c r="AM283" s="1">
        <v>3138900</v>
      </c>
      <c r="AN283" s="1">
        <v>3457600</v>
      </c>
      <c r="AO283" s="1">
        <v>2463400</v>
      </c>
      <c r="AP283" s="1">
        <v>4607000</v>
      </c>
      <c r="AQ283" s="1">
        <v>2387100</v>
      </c>
      <c r="AR283" s="1">
        <v>2322300</v>
      </c>
      <c r="AS283" s="1">
        <v>2664200</v>
      </c>
      <c r="AT283" s="1">
        <v>4984700</v>
      </c>
      <c r="AU283" s="1">
        <v>2562700</v>
      </c>
      <c r="AV283" s="1">
        <v>3399100</v>
      </c>
      <c r="AW283" s="1">
        <v>1835200</v>
      </c>
      <c r="AX283" s="1">
        <v>3065000</v>
      </c>
      <c r="AY283" s="1">
        <v>2190400</v>
      </c>
      <c r="AZ283" s="1">
        <v>1935200</v>
      </c>
      <c r="BA283" s="1">
        <v>2575000</v>
      </c>
      <c r="BB283" s="1">
        <v>2035000</v>
      </c>
      <c r="BC283" s="1">
        <v>2201300</v>
      </c>
      <c r="BD283" s="1">
        <v>2438400</v>
      </c>
      <c r="BE283" s="1">
        <v>3181900</v>
      </c>
      <c r="BF283" s="1">
        <v>6055300</v>
      </c>
      <c r="BG283" s="1">
        <v>2359000</v>
      </c>
      <c r="BH283" s="1">
        <v>1566300</v>
      </c>
      <c r="BI283" s="1">
        <v>1802900</v>
      </c>
      <c r="BJ283" s="1">
        <v>2098900</v>
      </c>
      <c r="BK283" s="1">
        <v>2915500</v>
      </c>
      <c r="BL283" s="1">
        <v>1902200</v>
      </c>
      <c r="BM283" s="1">
        <v>1565000</v>
      </c>
      <c r="BN283" s="1">
        <v>1906400</v>
      </c>
      <c r="BO283" s="1">
        <v>1991900</v>
      </c>
      <c r="BP283" s="1">
        <v>1634000</v>
      </c>
      <c r="BQ283" s="1">
        <v>2201900</v>
      </c>
      <c r="BR283" s="1">
        <v>2212500</v>
      </c>
      <c r="BS283" s="1">
        <v>1531300</v>
      </c>
      <c r="BT283" s="1">
        <v>1700400</v>
      </c>
      <c r="BU283" s="1">
        <v>2542600</v>
      </c>
      <c r="BV283" s="1">
        <v>2684200</v>
      </c>
      <c r="BW283" s="1">
        <v>2390200</v>
      </c>
      <c r="BX283" s="1">
        <v>2226400</v>
      </c>
      <c r="BY283" s="1">
        <v>1954700</v>
      </c>
      <c r="BZ283" s="1">
        <v>2872200</v>
      </c>
    </row>
    <row r="284" spans="1:78">
      <c r="A284" s="394" t="s">
        <v>497</v>
      </c>
      <c r="B284" s="1" t="str">
        <f>銘柄管理!C284</f>
        <v>データセクション</v>
      </c>
      <c r="C284" s="1">
        <f>_xll.RssMarket("3905","出来高")</f>
        <v>2715900</v>
      </c>
      <c r="D284" s="82">
        <f t="shared" si="4"/>
        <v>-2253900</v>
      </c>
      <c r="E284" s="1">
        <v>4969800</v>
      </c>
      <c r="F284" s="1">
        <v>2144700</v>
      </c>
      <c r="G284" s="1">
        <v>3770000</v>
      </c>
      <c r="H284" s="1">
        <v>1764400</v>
      </c>
      <c r="I284" s="1">
        <v>2191500</v>
      </c>
      <c r="J284" s="1">
        <v>1464600</v>
      </c>
      <c r="K284" s="1">
        <v>1184500</v>
      </c>
      <c r="L284" s="1">
        <v>1429500</v>
      </c>
      <c r="M284" s="1">
        <v>1401300</v>
      </c>
      <c r="N284" s="1">
        <v>1917300</v>
      </c>
      <c r="O284" s="1">
        <v>1280800</v>
      </c>
      <c r="P284" s="1">
        <v>2018100</v>
      </c>
      <c r="Q284" s="1">
        <v>1299100</v>
      </c>
      <c r="R284" s="1">
        <v>1131800</v>
      </c>
      <c r="S284" s="1">
        <v>1933800</v>
      </c>
      <c r="T284" s="1">
        <v>2870200</v>
      </c>
      <c r="U284" s="1">
        <v>1879700</v>
      </c>
      <c r="V284" s="1">
        <v>1914100</v>
      </c>
      <c r="W284" s="1">
        <v>2391200</v>
      </c>
      <c r="X284" s="1">
        <v>2293500</v>
      </c>
      <c r="Y284" s="1">
        <v>1832100</v>
      </c>
      <c r="Z284" s="1">
        <v>2069500</v>
      </c>
      <c r="AA284" s="1">
        <v>1107800</v>
      </c>
      <c r="AB284" s="1">
        <v>2501600</v>
      </c>
      <c r="AC284" s="1">
        <v>3664600</v>
      </c>
      <c r="AD284" s="1">
        <v>2849400</v>
      </c>
      <c r="AE284" s="1">
        <v>2064200</v>
      </c>
      <c r="AF284" s="1">
        <v>2340500</v>
      </c>
      <c r="AG284" s="1">
        <v>1929300</v>
      </c>
      <c r="AH284" s="1">
        <v>2336800</v>
      </c>
      <c r="AI284" s="1">
        <v>3950300</v>
      </c>
      <c r="AJ284" s="1">
        <v>2076400</v>
      </c>
      <c r="AK284" s="1">
        <v>1545200</v>
      </c>
      <c r="AL284" s="1">
        <v>2267300</v>
      </c>
      <c r="AM284" s="1">
        <v>3244700</v>
      </c>
      <c r="AN284" s="1">
        <v>1771100</v>
      </c>
      <c r="AO284" s="1">
        <v>2285700</v>
      </c>
      <c r="AP284" s="1">
        <v>2153700</v>
      </c>
      <c r="AQ284" s="1">
        <v>4368600</v>
      </c>
      <c r="AR284" s="1">
        <v>4374300</v>
      </c>
      <c r="AS284" s="1">
        <v>10269200</v>
      </c>
      <c r="AT284" s="1">
        <v>810000</v>
      </c>
      <c r="AU284" s="1">
        <v>3431100</v>
      </c>
      <c r="AV284" s="1">
        <v>3273500</v>
      </c>
      <c r="AW284" s="1">
        <v>5679600</v>
      </c>
      <c r="AX284" s="1">
        <v>3305100</v>
      </c>
      <c r="AY284" s="1">
        <v>10639300</v>
      </c>
      <c r="AZ284" s="1">
        <v>5125700</v>
      </c>
      <c r="BA284" s="1">
        <v>4489500</v>
      </c>
      <c r="BB284" s="1">
        <v>5101700</v>
      </c>
      <c r="BC284" s="1">
        <v>1262000</v>
      </c>
      <c r="BD284" s="1">
        <v>208200</v>
      </c>
      <c r="BE284" s="1">
        <v>2238800</v>
      </c>
      <c r="BF284" s="1">
        <v>1153000</v>
      </c>
      <c r="BG284" s="1">
        <v>1438900</v>
      </c>
      <c r="BH284" s="1">
        <v>3375500</v>
      </c>
      <c r="BI284" s="1">
        <v>10237600</v>
      </c>
      <c r="BJ284" s="1">
        <v>4014200</v>
      </c>
      <c r="BK284" s="1">
        <v>1407100</v>
      </c>
      <c r="BL284" s="1">
        <v>414200</v>
      </c>
      <c r="BM284" s="1">
        <v>264200</v>
      </c>
      <c r="BN284" s="1">
        <v>205100</v>
      </c>
      <c r="BO284" s="1">
        <v>317600</v>
      </c>
      <c r="BP284" s="1">
        <v>323900</v>
      </c>
      <c r="BQ284" s="1">
        <v>456700</v>
      </c>
      <c r="BR284" s="1">
        <v>686200</v>
      </c>
      <c r="BS284" s="1">
        <v>1372400</v>
      </c>
      <c r="BT284" s="1">
        <v>1527700</v>
      </c>
      <c r="BU284" s="1">
        <v>1587400</v>
      </c>
      <c r="BV284" s="1">
        <v>4128900</v>
      </c>
      <c r="BW284" s="1">
        <v>534000</v>
      </c>
      <c r="BX284" s="1">
        <v>488700</v>
      </c>
      <c r="BY284" s="1">
        <v>230100</v>
      </c>
      <c r="BZ284" s="1">
        <v>443700</v>
      </c>
    </row>
    <row r="285" spans="1:78">
      <c r="A285" s="394" t="s">
        <v>498</v>
      </c>
      <c r="B285" s="1" t="str">
        <f>銘柄管理!C285</f>
        <v>トリドールホールディングス</v>
      </c>
      <c r="C285" s="1">
        <f>_xll.RssMarket("3397","出来高")</f>
        <v>130600</v>
      </c>
      <c r="D285" s="82">
        <f t="shared" si="4"/>
        <v>-179100</v>
      </c>
      <c r="E285" s="1">
        <v>309700</v>
      </c>
      <c r="F285" s="1">
        <v>297600</v>
      </c>
      <c r="G285" s="1">
        <v>350900</v>
      </c>
      <c r="H285" s="1">
        <v>607000</v>
      </c>
      <c r="I285" s="1">
        <v>910900</v>
      </c>
      <c r="J285" s="1">
        <v>491000</v>
      </c>
      <c r="K285" s="1">
        <v>296800</v>
      </c>
      <c r="L285" s="1">
        <v>190400</v>
      </c>
      <c r="M285" s="1">
        <v>190500</v>
      </c>
      <c r="N285" s="1">
        <v>283000</v>
      </c>
      <c r="O285" s="1">
        <v>302700</v>
      </c>
      <c r="P285" s="1">
        <v>364100</v>
      </c>
      <c r="Q285" s="1">
        <v>229500</v>
      </c>
      <c r="R285" s="1">
        <v>411400</v>
      </c>
      <c r="S285" s="1">
        <v>227600</v>
      </c>
      <c r="T285" s="1">
        <v>251100</v>
      </c>
      <c r="U285" s="1">
        <v>316800</v>
      </c>
      <c r="V285" s="1">
        <v>356700</v>
      </c>
      <c r="W285" s="1">
        <v>339600</v>
      </c>
      <c r="X285" s="1">
        <v>253000</v>
      </c>
      <c r="Y285" s="1">
        <v>343200</v>
      </c>
      <c r="Z285" s="1">
        <v>318900</v>
      </c>
      <c r="AA285" s="1">
        <v>265800</v>
      </c>
      <c r="AB285" s="1">
        <v>344600</v>
      </c>
      <c r="AC285" s="1">
        <v>551300</v>
      </c>
      <c r="AD285" s="1">
        <v>284700</v>
      </c>
      <c r="AE285" s="1">
        <v>535300</v>
      </c>
      <c r="AF285" s="1">
        <v>328500</v>
      </c>
      <c r="AG285" s="1">
        <v>706900</v>
      </c>
      <c r="AH285" s="1">
        <v>453100</v>
      </c>
      <c r="AI285" s="1">
        <v>547700</v>
      </c>
      <c r="AJ285" s="1">
        <v>907400</v>
      </c>
      <c r="AK285" s="1">
        <v>688400</v>
      </c>
      <c r="AL285" s="1">
        <v>358900</v>
      </c>
      <c r="AM285" s="1">
        <v>436700</v>
      </c>
      <c r="AN285" s="1">
        <v>493500</v>
      </c>
      <c r="AO285" s="1">
        <v>340900</v>
      </c>
      <c r="AP285" s="1">
        <v>315600</v>
      </c>
      <c r="AQ285" s="1">
        <v>390100</v>
      </c>
      <c r="AR285" s="1">
        <v>319700</v>
      </c>
      <c r="AS285" s="1">
        <v>302800</v>
      </c>
      <c r="AT285" s="1">
        <v>290800</v>
      </c>
      <c r="AU285" s="1">
        <v>384800</v>
      </c>
      <c r="AV285" s="1">
        <v>386800</v>
      </c>
      <c r="AW285" s="1">
        <v>286500</v>
      </c>
      <c r="AX285" s="1">
        <v>497800</v>
      </c>
      <c r="AY285" s="1">
        <v>310600</v>
      </c>
      <c r="AZ285" s="1">
        <v>221100</v>
      </c>
      <c r="BA285" s="1">
        <v>358900</v>
      </c>
      <c r="BB285" s="1">
        <v>296300</v>
      </c>
      <c r="BC285" s="1">
        <v>315700</v>
      </c>
      <c r="BD285" s="1">
        <v>484600</v>
      </c>
      <c r="BE285" s="1">
        <v>1221800</v>
      </c>
      <c r="BF285" s="1">
        <v>421800</v>
      </c>
      <c r="BG285" s="1">
        <v>261600</v>
      </c>
      <c r="BH285" s="1">
        <v>276400</v>
      </c>
      <c r="BI285" s="1">
        <v>315600</v>
      </c>
      <c r="BJ285" s="1">
        <v>315100</v>
      </c>
      <c r="BK285" s="1">
        <v>358800</v>
      </c>
      <c r="BL285" s="1">
        <v>303500</v>
      </c>
      <c r="BM285" s="1">
        <v>371300</v>
      </c>
      <c r="BN285" s="1">
        <v>208200</v>
      </c>
      <c r="BO285" s="1">
        <v>242600</v>
      </c>
      <c r="BP285" s="1">
        <v>262200</v>
      </c>
      <c r="BQ285" s="1">
        <v>220400</v>
      </c>
      <c r="BR285" s="1">
        <v>184400</v>
      </c>
      <c r="BS285" s="1">
        <v>199400</v>
      </c>
      <c r="BT285" s="1">
        <v>165700</v>
      </c>
      <c r="BU285" s="1">
        <v>302400</v>
      </c>
      <c r="BV285" s="1">
        <v>264200</v>
      </c>
      <c r="BW285" s="1">
        <v>225700</v>
      </c>
      <c r="BX285" s="1">
        <v>258400</v>
      </c>
      <c r="BY285" s="1">
        <v>264400</v>
      </c>
      <c r="BZ285" s="1">
        <v>334200</v>
      </c>
    </row>
    <row r="286" spans="1:78">
      <c r="A286" s="394" t="s">
        <v>499</v>
      </c>
      <c r="B286" s="1" t="str">
        <f>銘柄管理!C286</f>
        <v>ＳＵＢＡＲＵ</v>
      </c>
      <c r="C286" s="1">
        <f>_xll.RssMarket("7270","出来高")</f>
        <v>7589600</v>
      </c>
      <c r="D286" s="82">
        <f t="shared" si="4"/>
        <v>3610000</v>
      </c>
      <c r="E286" s="1">
        <v>3979600</v>
      </c>
      <c r="F286" s="1">
        <v>5392100</v>
      </c>
      <c r="G286" s="1">
        <v>6220800</v>
      </c>
      <c r="H286" s="1">
        <v>4919300</v>
      </c>
      <c r="I286" s="1">
        <v>7866200</v>
      </c>
      <c r="J286" s="1">
        <v>5583900</v>
      </c>
      <c r="K286" s="1">
        <v>4649900</v>
      </c>
      <c r="L286" s="1">
        <v>3741700</v>
      </c>
      <c r="M286" s="1">
        <v>2843400</v>
      </c>
      <c r="N286" s="1">
        <v>3729500</v>
      </c>
      <c r="O286" s="1">
        <v>3650800</v>
      </c>
      <c r="P286" s="1">
        <v>3810700</v>
      </c>
      <c r="Q286" s="1">
        <v>1988900</v>
      </c>
      <c r="R286" s="1">
        <v>2371100</v>
      </c>
      <c r="S286" s="1">
        <v>1745100</v>
      </c>
      <c r="T286" s="1">
        <v>3320300</v>
      </c>
      <c r="U286" s="1">
        <v>2877200</v>
      </c>
      <c r="V286" s="1">
        <v>3327600</v>
      </c>
      <c r="W286" s="1">
        <v>3556000</v>
      </c>
      <c r="X286" s="1">
        <v>4076900</v>
      </c>
      <c r="Y286" s="1">
        <v>2899900</v>
      </c>
      <c r="Z286" s="1">
        <v>4179900</v>
      </c>
      <c r="AA286" s="1">
        <v>3400900</v>
      </c>
      <c r="AB286" s="1">
        <v>3811000</v>
      </c>
      <c r="AC286" s="1">
        <v>8785900</v>
      </c>
      <c r="AD286" s="1">
        <v>3103100</v>
      </c>
      <c r="AE286" s="1">
        <v>3209100</v>
      </c>
      <c r="AF286" s="1">
        <v>3163600</v>
      </c>
      <c r="AG286" s="1">
        <v>4161400</v>
      </c>
      <c r="AH286" s="1">
        <v>3960600</v>
      </c>
      <c r="AI286" s="1">
        <v>8465900</v>
      </c>
      <c r="AJ286" s="1">
        <v>4006800</v>
      </c>
      <c r="AK286" s="1">
        <v>4323900</v>
      </c>
      <c r="AL286" s="1">
        <v>3742900</v>
      </c>
      <c r="AM286" s="1">
        <v>3616600</v>
      </c>
      <c r="AN286" s="1">
        <v>4481200</v>
      </c>
      <c r="AO286" s="1">
        <v>4194500</v>
      </c>
      <c r="AP286" s="1">
        <v>4577600</v>
      </c>
      <c r="AQ286" s="1">
        <v>5206600</v>
      </c>
      <c r="AR286" s="1">
        <v>3541800</v>
      </c>
      <c r="AS286" s="1">
        <v>3891200</v>
      </c>
      <c r="AT286" s="1">
        <v>4327100</v>
      </c>
      <c r="AU286" s="1">
        <v>5157700</v>
      </c>
      <c r="AV286" s="1">
        <v>12101700</v>
      </c>
      <c r="AW286" s="1">
        <v>4350700</v>
      </c>
      <c r="AX286" s="1">
        <v>4428600</v>
      </c>
      <c r="AY286" s="1">
        <v>2865500</v>
      </c>
      <c r="AZ286" s="1">
        <v>4287200</v>
      </c>
      <c r="BA286" s="1">
        <v>4250900</v>
      </c>
      <c r="BB286" s="1">
        <v>3676600</v>
      </c>
      <c r="BC286" s="1">
        <v>4511300</v>
      </c>
      <c r="BD286" s="1">
        <v>7555900</v>
      </c>
      <c r="BE286" s="1">
        <v>18708400</v>
      </c>
      <c r="BF286" s="1">
        <v>5088500</v>
      </c>
      <c r="BG286" s="1">
        <v>4376700</v>
      </c>
      <c r="BH286" s="1">
        <v>4789700</v>
      </c>
      <c r="BI286" s="1">
        <v>7079200</v>
      </c>
      <c r="BJ286" s="1">
        <v>4523700</v>
      </c>
      <c r="BK286" s="1">
        <v>5656100</v>
      </c>
      <c r="BL286" s="1">
        <v>3566700</v>
      </c>
      <c r="BM286" s="1">
        <v>5538800</v>
      </c>
      <c r="BN286" s="1">
        <v>3912000</v>
      </c>
      <c r="BO286" s="1">
        <v>3259800</v>
      </c>
      <c r="BP286" s="1">
        <v>3520800</v>
      </c>
      <c r="BQ286" s="1">
        <v>3638400</v>
      </c>
      <c r="BR286" s="1">
        <v>2997300</v>
      </c>
      <c r="BS286" s="1">
        <v>3468200</v>
      </c>
      <c r="BT286" s="1">
        <v>3149000</v>
      </c>
      <c r="BU286" s="1">
        <v>2905900</v>
      </c>
      <c r="BV286" s="1">
        <v>3507400</v>
      </c>
      <c r="BW286" s="1">
        <v>3732800</v>
      </c>
      <c r="BX286" s="1">
        <v>3070700</v>
      </c>
      <c r="BY286" s="1">
        <v>2421000</v>
      </c>
      <c r="BZ286" s="1">
        <v>3346600</v>
      </c>
    </row>
    <row r="287" spans="1:78">
      <c r="A287" s="394" t="s">
        <v>500</v>
      </c>
      <c r="B287" s="1" t="str">
        <f>銘柄管理!C287</f>
        <v>サン電子</v>
      </c>
      <c r="C287" s="1">
        <f>_xll.RssMarket("6736","出来高")</f>
        <v>25100</v>
      </c>
      <c r="D287" s="82">
        <f t="shared" si="4"/>
        <v>2900</v>
      </c>
      <c r="E287" s="1">
        <v>22200</v>
      </c>
      <c r="F287" s="1">
        <v>17000</v>
      </c>
      <c r="G287" s="1">
        <v>18900</v>
      </c>
      <c r="H287" s="1">
        <v>18900</v>
      </c>
      <c r="I287" s="1">
        <v>15800</v>
      </c>
      <c r="J287" s="1">
        <v>29200</v>
      </c>
      <c r="K287" s="1">
        <v>21500</v>
      </c>
      <c r="L287" s="1">
        <v>15600</v>
      </c>
      <c r="M287" s="1">
        <v>15600</v>
      </c>
      <c r="N287" s="1">
        <v>15200</v>
      </c>
      <c r="O287" s="1">
        <v>24600</v>
      </c>
      <c r="P287" s="1">
        <v>11600</v>
      </c>
      <c r="Q287" s="1">
        <v>25800</v>
      </c>
      <c r="R287" s="1">
        <v>30500</v>
      </c>
      <c r="S287" s="1">
        <v>20500</v>
      </c>
      <c r="T287" s="1">
        <v>36100</v>
      </c>
      <c r="U287" s="1">
        <v>22600</v>
      </c>
      <c r="V287" s="1">
        <v>62200</v>
      </c>
      <c r="W287" s="1">
        <v>126900</v>
      </c>
      <c r="X287" s="1">
        <v>108900</v>
      </c>
      <c r="Y287" s="1">
        <v>29100</v>
      </c>
      <c r="Z287" s="1">
        <v>36600</v>
      </c>
      <c r="AA287" s="1">
        <v>21200</v>
      </c>
      <c r="AB287" s="1">
        <v>20700</v>
      </c>
      <c r="AC287" s="1">
        <v>30700</v>
      </c>
      <c r="AD287" s="1">
        <v>28100</v>
      </c>
      <c r="AE287" s="1">
        <v>13900</v>
      </c>
      <c r="AF287" s="1">
        <v>31200</v>
      </c>
      <c r="AG287" s="1">
        <v>14100</v>
      </c>
      <c r="AH287" s="1">
        <v>15200</v>
      </c>
      <c r="AI287" s="1">
        <v>22200</v>
      </c>
      <c r="AJ287" s="1">
        <v>18600</v>
      </c>
      <c r="AK287" s="1">
        <v>15500</v>
      </c>
      <c r="AL287" s="1">
        <v>15900</v>
      </c>
      <c r="AM287" s="1">
        <v>14300</v>
      </c>
      <c r="AN287" s="1">
        <v>16300</v>
      </c>
      <c r="AO287" s="1">
        <v>26700</v>
      </c>
      <c r="AP287" s="1">
        <v>38300</v>
      </c>
      <c r="AQ287" s="1">
        <v>22900</v>
      </c>
      <c r="AR287" s="1">
        <v>17100</v>
      </c>
      <c r="AS287" s="1">
        <v>25000</v>
      </c>
      <c r="AT287" s="1">
        <v>16100</v>
      </c>
      <c r="AU287" s="1">
        <v>42200</v>
      </c>
      <c r="AV287" s="1">
        <v>44000</v>
      </c>
      <c r="AW287" s="1">
        <v>36400</v>
      </c>
      <c r="AX287" s="1">
        <v>25900</v>
      </c>
      <c r="AY287" s="1">
        <v>20200</v>
      </c>
      <c r="AZ287" s="1">
        <v>32100</v>
      </c>
      <c r="BA287" s="1">
        <v>60800</v>
      </c>
      <c r="BB287" s="1">
        <v>52300</v>
      </c>
      <c r="BC287" s="1">
        <v>83400</v>
      </c>
      <c r="BD287" s="1">
        <v>60000</v>
      </c>
      <c r="BE287" s="1">
        <v>26500</v>
      </c>
      <c r="BF287" s="1">
        <v>19400</v>
      </c>
      <c r="BG287" s="1">
        <v>40800</v>
      </c>
      <c r="BH287" s="1">
        <v>63900</v>
      </c>
      <c r="BI287" s="1">
        <v>17200</v>
      </c>
      <c r="BJ287" s="1">
        <v>27100</v>
      </c>
      <c r="BK287" s="1">
        <v>14800</v>
      </c>
      <c r="BL287" s="1">
        <v>26400</v>
      </c>
      <c r="BM287" s="1">
        <v>59600</v>
      </c>
      <c r="BN287" s="1">
        <v>31500</v>
      </c>
      <c r="BO287" s="1">
        <v>48100</v>
      </c>
      <c r="BP287" s="1">
        <v>27100</v>
      </c>
      <c r="BQ287" s="1">
        <v>36100</v>
      </c>
      <c r="BR287" s="1">
        <v>70300</v>
      </c>
      <c r="BS287" s="1">
        <v>26500</v>
      </c>
      <c r="BT287" s="1">
        <v>47300</v>
      </c>
      <c r="BU287" s="1">
        <v>91700</v>
      </c>
      <c r="BV287" s="1">
        <v>58300</v>
      </c>
      <c r="BW287" s="1">
        <v>112100</v>
      </c>
      <c r="BX287" s="1">
        <v>78600</v>
      </c>
      <c r="BY287" s="1">
        <v>109100</v>
      </c>
      <c r="BZ287" s="1">
        <v>67700</v>
      </c>
    </row>
    <row r="288" spans="1:78">
      <c r="A288" s="394" t="s">
        <v>501</v>
      </c>
      <c r="B288" s="1" t="str">
        <f>銘柄管理!C288</f>
        <v>紀文食品</v>
      </c>
      <c r="C288" s="1">
        <f>_xll.RssMarket("2933","出来高")</f>
        <v>18600</v>
      </c>
      <c r="D288" s="82">
        <f t="shared" si="4"/>
        <v>-36800</v>
      </c>
      <c r="E288" s="1">
        <v>55400</v>
      </c>
      <c r="F288" s="1">
        <v>80400</v>
      </c>
      <c r="G288" s="1">
        <v>41800</v>
      </c>
      <c r="H288" s="1">
        <v>44800</v>
      </c>
      <c r="I288" s="1">
        <v>57200</v>
      </c>
      <c r="J288" s="1">
        <v>27300</v>
      </c>
      <c r="K288" s="1">
        <v>23000</v>
      </c>
      <c r="M288" s="1">
        <v>15800</v>
      </c>
      <c r="N288" s="1">
        <v>32600</v>
      </c>
      <c r="O288" s="1">
        <v>25800</v>
      </c>
      <c r="P288" s="1">
        <v>38800</v>
      </c>
      <c r="Q288" s="1">
        <v>19800</v>
      </c>
      <c r="R288" s="1">
        <v>18500</v>
      </c>
      <c r="S288" s="1">
        <v>15800</v>
      </c>
      <c r="T288" s="1">
        <v>20700</v>
      </c>
      <c r="U288" s="1">
        <v>18400</v>
      </c>
      <c r="V288" s="1">
        <v>23300</v>
      </c>
      <c r="W288" s="1">
        <v>17400</v>
      </c>
      <c r="X288" s="1">
        <v>17400</v>
      </c>
      <c r="Y288" s="1">
        <v>20000</v>
      </c>
      <c r="Z288" s="1">
        <v>22100</v>
      </c>
      <c r="AA288" s="1">
        <v>22900</v>
      </c>
      <c r="AB288" s="1">
        <v>21800</v>
      </c>
      <c r="AC288" s="1">
        <v>41300</v>
      </c>
      <c r="AD288" s="1">
        <v>18400</v>
      </c>
      <c r="AE288" s="1">
        <v>22500</v>
      </c>
      <c r="AF288" s="1">
        <v>23600</v>
      </c>
      <c r="AG288" s="1">
        <v>23100</v>
      </c>
      <c r="AH288" s="1">
        <v>22200</v>
      </c>
      <c r="AI288" s="1">
        <v>33800</v>
      </c>
      <c r="AJ288" s="1">
        <v>24700</v>
      </c>
      <c r="AK288" s="1">
        <v>24600</v>
      </c>
      <c r="AL288" s="1">
        <v>13400</v>
      </c>
      <c r="AM288" s="1">
        <v>17100</v>
      </c>
      <c r="AN288" s="1">
        <v>35700</v>
      </c>
      <c r="AO288" s="1">
        <v>21700</v>
      </c>
      <c r="AP288" s="1">
        <v>27300</v>
      </c>
      <c r="AQ288" s="1">
        <v>33800</v>
      </c>
      <c r="AR288" s="1">
        <v>21500</v>
      </c>
      <c r="AS288" s="1">
        <v>15700</v>
      </c>
      <c r="AT288" s="1">
        <v>29300</v>
      </c>
      <c r="AU288" s="1">
        <v>45600</v>
      </c>
      <c r="AV288" s="1">
        <v>17400</v>
      </c>
      <c r="AW288" s="1">
        <v>26200</v>
      </c>
      <c r="AX288" s="1">
        <v>17900</v>
      </c>
      <c r="AY288" s="1">
        <v>23000</v>
      </c>
      <c r="AZ288" s="1">
        <v>17300</v>
      </c>
      <c r="BA288" s="1">
        <v>16800</v>
      </c>
      <c r="BB288" s="1">
        <v>22100</v>
      </c>
      <c r="BC288" s="1">
        <v>20800</v>
      </c>
      <c r="BD288" s="1">
        <v>48000</v>
      </c>
      <c r="BE288" s="1">
        <v>23800</v>
      </c>
      <c r="BF288" s="1">
        <v>12400</v>
      </c>
      <c r="BG288" s="1">
        <v>13900</v>
      </c>
      <c r="BH288" s="1">
        <v>12200</v>
      </c>
      <c r="BI288" s="1">
        <v>21500</v>
      </c>
      <c r="BJ288" s="1">
        <v>36900</v>
      </c>
      <c r="BK288" s="1">
        <v>14700</v>
      </c>
      <c r="BL288" s="1">
        <v>19700</v>
      </c>
      <c r="BM288" s="1">
        <v>26800</v>
      </c>
      <c r="BN288" s="1">
        <v>27900</v>
      </c>
      <c r="BO288" s="1">
        <v>36200</v>
      </c>
      <c r="BP288" s="1">
        <v>18000</v>
      </c>
      <c r="BQ288" s="1">
        <v>37400</v>
      </c>
      <c r="BR288" s="1">
        <v>29300</v>
      </c>
      <c r="BS288" s="1">
        <v>21400</v>
      </c>
      <c r="BT288" s="1">
        <v>18000</v>
      </c>
      <c r="BU288" s="1">
        <v>16700</v>
      </c>
      <c r="BV288" s="1">
        <v>15700</v>
      </c>
      <c r="BW288" s="1">
        <v>16700</v>
      </c>
      <c r="BX288" s="1">
        <v>17500</v>
      </c>
      <c r="BY288" s="1">
        <v>18100</v>
      </c>
      <c r="BZ288" s="1">
        <v>12700</v>
      </c>
    </row>
    <row r="289" spans="1:78">
      <c r="A289" s="394" t="s">
        <v>502</v>
      </c>
      <c r="B289" s="1" t="str">
        <f>銘柄管理!C289</f>
        <v>関東電化</v>
      </c>
      <c r="C289" s="1">
        <f>_xll.RssMarket("4047","出来高")</f>
        <v>403700</v>
      </c>
      <c r="D289" s="82">
        <f t="shared" si="4"/>
        <v>-223500</v>
      </c>
      <c r="E289" s="1">
        <v>627200</v>
      </c>
      <c r="F289" s="1">
        <v>719300</v>
      </c>
      <c r="G289" s="1">
        <v>881300</v>
      </c>
      <c r="H289" s="1">
        <v>582300</v>
      </c>
      <c r="I289" s="1">
        <v>762800</v>
      </c>
      <c r="J289" s="1">
        <v>615500</v>
      </c>
      <c r="K289" s="1">
        <v>408900</v>
      </c>
      <c r="L289" s="1">
        <v>488300</v>
      </c>
      <c r="M289" s="1">
        <v>396900</v>
      </c>
      <c r="N289" s="1">
        <v>791500</v>
      </c>
      <c r="O289" s="1">
        <v>508600</v>
      </c>
      <c r="P289" s="1">
        <v>989300</v>
      </c>
      <c r="Q289" s="1">
        <v>281700</v>
      </c>
      <c r="R289" s="1">
        <v>531600</v>
      </c>
      <c r="S289" s="1">
        <v>518200</v>
      </c>
      <c r="T289" s="1">
        <v>458400</v>
      </c>
      <c r="U289" s="1">
        <v>453000</v>
      </c>
      <c r="V289" s="1">
        <v>601800</v>
      </c>
      <c r="W289" s="1">
        <v>710800</v>
      </c>
      <c r="X289" s="1">
        <v>602800</v>
      </c>
      <c r="Y289" s="1">
        <v>613600</v>
      </c>
      <c r="Z289" s="1">
        <v>628000</v>
      </c>
      <c r="AA289" s="1">
        <v>508100</v>
      </c>
      <c r="AB289" s="1">
        <v>639200</v>
      </c>
      <c r="AC289" s="1">
        <v>790400</v>
      </c>
      <c r="AD289" s="1">
        <v>901000</v>
      </c>
      <c r="AE289" s="1">
        <v>954600</v>
      </c>
      <c r="AF289" s="1">
        <v>888200</v>
      </c>
      <c r="AG289" s="1">
        <v>685900</v>
      </c>
      <c r="AH289" s="1">
        <v>1059700</v>
      </c>
      <c r="AI289" s="1">
        <v>944300</v>
      </c>
      <c r="AJ289" s="1">
        <v>678400</v>
      </c>
      <c r="AK289" s="1">
        <v>953400</v>
      </c>
      <c r="AL289" s="1">
        <v>916000</v>
      </c>
      <c r="AM289" s="1">
        <v>1537800</v>
      </c>
      <c r="AN289" s="1">
        <v>1633300</v>
      </c>
      <c r="AO289" s="1">
        <v>1146900</v>
      </c>
      <c r="AP289" s="1">
        <v>1639900</v>
      </c>
      <c r="AQ289" s="1">
        <v>1629200</v>
      </c>
      <c r="AR289" s="1">
        <v>2697600</v>
      </c>
      <c r="AS289" s="1">
        <v>1784000</v>
      </c>
      <c r="AT289" s="1">
        <v>953900</v>
      </c>
      <c r="AU289" s="1">
        <v>836000</v>
      </c>
      <c r="AV289" s="1">
        <v>956800</v>
      </c>
      <c r="AW289" s="1">
        <v>919400</v>
      </c>
      <c r="AX289" s="1">
        <v>1331700</v>
      </c>
      <c r="AY289" s="1">
        <v>1463500</v>
      </c>
      <c r="AZ289" s="1">
        <v>1172600</v>
      </c>
      <c r="BA289" s="1">
        <v>1184100</v>
      </c>
      <c r="BB289" s="1">
        <v>1156400</v>
      </c>
      <c r="BC289" s="1">
        <v>3289100</v>
      </c>
      <c r="BD289" s="1">
        <v>202100</v>
      </c>
      <c r="BE289" s="1">
        <v>906100</v>
      </c>
      <c r="BF289" s="1">
        <v>583500</v>
      </c>
      <c r="BG289" s="1">
        <v>721900</v>
      </c>
      <c r="BH289" s="1">
        <v>537800</v>
      </c>
      <c r="BI289" s="1">
        <v>453700</v>
      </c>
      <c r="BJ289" s="1">
        <v>380500</v>
      </c>
      <c r="BK289" s="1">
        <v>453300</v>
      </c>
      <c r="BL289" s="1">
        <v>182500</v>
      </c>
      <c r="BM289" s="1">
        <v>164100</v>
      </c>
      <c r="BN289" s="1">
        <v>205200</v>
      </c>
      <c r="BO289" s="1">
        <v>154900</v>
      </c>
      <c r="BP289" s="1">
        <v>129600</v>
      </c>
      <c r="BQ289" s="1">
        <v>260800</v>
      </c>
      <c r="BR289" s="1">
        <v>169100</v>
      </c>
      <c r="BS289" s="1">
        <v>185100</v>
      </c>
      <c r="BT289" s="1">
        <v>160800</v>
      </c>
      <c r="BU289" s="1">
        <v>161200</v>
      </c>
      <c r="BV289" s="1">
        <v>230100</v>
      </c>
      <c r="BW289" s="1">
        <v>371000</v>
      </c>
      <c r="BX289" s="1">
        <v>445800</v>
      </c>
      <c r="BY289" s="1">
        <v>342400</v>
      </c>
      <c r="BZ289" s="1">
        <v>278100</v>
      </c>
    </row>
    <row r="290" spans="1:78">
      <c r="A290" s="394" t="s">
        <v>503</v>
      </c>
      <c r="B290" s="1" t="str">
        <f>銘柄管理!C290</f>
        <v>ＹＵＳＨＩＮ</v>
      </c>
      <c r="C290" s="1">
        <f>_xll.RssMarket("6482","出来高")</f>
        <v>38700</v>
      </c>
      <c r="D290" s="82">
        <f t="shared" si="4"/>
        <v>-41100</v>
      </c>
      <c r="E290" s="1">
        <v>79800</v>
      </c>
      <c r="F290" s="1">
        <v>58100</v>
      </c>
      <c r="G290" s="1">
        <v>101600</v>
      </c>
      <c r="H290" s="1">
        <v>71500</v>
      </c>
      <c r="I290" s="1">
        <v>64200</v>
      </c>
      <c r="J290" s="1">
        <v>84100</v>
      </c>
      <c r="K290" s="1">
        <v>50900</v>
      </c>
      <c r="L290" s="1">
        <v>63300</v>
      </c>
      <c r="M290" s="1">
        <v>23400</v>
      </c>
      <c r="N290" s="1">
        <v>40200</v>
      </c>
      <c r="O290" s="1">
        <v>66200</v>
      </c>
      <c r="P290" s="1">
        <v>98600</v>
      </c>
      <c r="Q290" s="1">
        <v>41600</v>
      </c>
      <c r="R290" s="1">
        <v>91500</v>
      </c>
      <c r="S290" s="1">
        <v>51600</v>
      </c>
      <c r="T290" s="1">
        <v>51300</v>
      </c>
      <c r="U290" s="1">
        <v>74800</v>
      </c>
      <c r="V290" s="1">
        <v>36900</v>
      </c>
      <c r="W290" s="1">
        <v>40200</v>
      </c>
      <c r="X290" s="1">
        <v>73400</v>
      </c>
      <c r="Y290" s="1">
        <v>73400</v>
      </c>
      <c r="Z290" s="1">
        <v>117900</v>
      </c>
      <c r="AA290" s="1">
        <v>73500</v>
      </c>
      <c r="AB290" s="1">
        <v>64700</v>
      </c>
      <c r="AC290" s="1">
        <v>85300</v>
      </c>
      <c r="AD290" s="1">
        <v>66000</v>
      </c>
      <c r="AE290" s="1">
        <v>28100</v>
      </c>
      <c r="AF290" s="1">
        <v>45000</v>
      </c>
      <c r="AG290" s="1">
        <v>27600</v>
      </c>
      <c r="AH290" s="1">
        <v>56800</v>
      </c>
      <c r="AI290" s="1">
        <v>45300</v>
      </c>
      <c r="AJ290" s="1">
        <v>69700</v>
      </c>
      <c r="AK290" s="1">
        <v>155300</v>
      </c>
      <c r="AL290" s="1">
        <v>83600</v>
      </c>
      <c r="AM290" s="1">
        <v>48700</v>
      </c>
      <c r="AN290" s="1">
        <v>52000</v>
      </c>
      <c r="AO290" s="1">
        <v>64400</v>
      </c>
      <c r="AP290" s="1">
        <v>53500</v>
      </c>
      <c r="AQ290" s="1">
        <v>76000</v>
      </c>
      <c r="AR290" s="1">
        <v>54000</v>
      </c>
      <c r="AS290" s="1">
        <v>77800</v>
      </c>
      <c r="AT290" s="1">
        <v>62800</v>
      </c>
      <c r="AU290" s="1">
        <v>118300</v>
      </c>
      <c r="AV290" s="1">
        <v>86300</v>
      </c>
      <c r="AW290" s="1">
        <v>120700</v>
      </c>
      <c r="AX290" s="1">
        <v>145300</v>
      </c>
      <c r="AY290" s="1">
        <v>50700</v>
      </c>
      <c r="AZ290" s="1">
        <v>94600</v>
      </c>
      <c r="BA290" s="1">
        <v>40700</v>
      </c>
      <c r="BB290" s="1">
        <v>110300</v>
      </c>
      <c r="BC290" s="1">
        <v>99100</v>
      </c>
      <c r="BD290" s="1">
        <v>77200</v>
      </c>
      <c r="BE290" s="1">
        <v>57900</v>
      </c>
      <c r="BF290" s="1">
        <v>82400</v>
      </c>
      <c r="BG290" s="1">
        <v>50300</v>
      </c>
      <c r="BH290" s="1">
        <v>154200</v>
      </c>
      <c r="BI290" s="1">
        <v>103600</v>
      </c>
      <c r="BJ290" s="1">
        <v>47200</v>
      </c>
      <c r="BK290" s="1">
        <v>74100</v>
      </c>
      <c r="BL290" s="1">
        <v>68900</v>
      </c>
      <c r="BM290" s="1">
        <v>53200</v>
      </c>
      <c r="BN290" s="1">
        <v>59500</v>
      </c>
      <c r="BO290" s="1">
        <v>104400</v>
      </c>
      <c r="BP290" s="1">
        <v>40500</v>
      </c>
      <c r="BQ290" s="1">
        <v>65500</v>
      </c>
      <c r="BR290" s="1">
        <v>35500</v>
      </c>
      <c r="BS290" s="1">
        <v>41300</v>
      </c>
      <c r="BT290" s="1">
        <v>28200</v>
      </c>
      <c r="BU290" s="1">
        <v>40200</v>
      </c>
      <c r="BV290" s="1">
        <v>33900</v>
      </c>
      <c r="BW290" s="1">
        <v>32400</v>
      </c>
      <c r="BX290" s="1">
        <v>41900</v>
      </c>
      <c r="BY290" s="1">
        <v>38200</v>
      </c>
      <c r="BZ290" s="1">
        <v>54500</v>
      </c>
    </row>
    <row r="291" spans="1:78">
      <c r="A291" s="394" t="s">
        <v>504</v>
      </c>
      <c r="B291" s="1" t="str">
        <f>銘柄管理!C291</f>
        <v>電気興業</v>
      </c>
      <c r="C291" s="1">
        <f>_xll.RssMarket("6706","出来高")</f>
        <v>17400</v>
      </c>
      <c r="D291" s="82">
        <f t="shared" si="4"/>
        <v>-11300</v>
      </c>
      <c r="E291" s="1">
        <v>28700</v>
      </c>
      <c r="F291" s="1">
        <v>28300</v>
      </c>
      <c r="G291" s="1">
        <v>28100</v>
      </c>
      <c r="H291" s="1">
        <v>53400</v>
      </c>
      <c r="I291" s="1">
        <v>56100</v>
      </c>
      <c r="J291" s="1">
        <v>50100</v>
      </c>
      <c r="K291" s="1">
        <v>64400</v>
      </c>
      <c r="M291" s="1">
        <v>20900</v>
      </c>
      <c r="N291" s="1">
        <v>38900</v>
      </c>
      <c r="O291" s="1">
        <v>19400</v>
      </c>
      <c r="P291" s="1">
        <v>36100</v>
      </c>
      <c r="Q291" s="1">
        <v>12100</v>
      </c>
      <c r="R291" s="1">
        <v>17200</v>
      </c>
      <c r="S291" s="1">
        <v>49500</v>
      </c>
      <c r="T291" s="1">
        <v>30500</v>
      </c>
      <c r="U291" s="1">
        <v>46800</v>
      </c>
      <c r="V291" s="1">
        <v>38800</v>
      </c>
      <c r="W291" s="1">
        <v>20300</v>
      </c>
      <c r="X291" s="1">
        <v>55300</v>
      </c>
      <c r="Y291" s="1">
        <v>44800</v>
      </c>
      <c r="Z291" s="1">
        <v>29000</v>
      </c>
      <c r="AA291" s="1">
        <v>19300</v>
      </c>
      <c r="AB291" s="1">
        <v>38800</v>
      </c>
      <c r="AC291" s="1">
        <v>26400</v>
      </c>
      <c r="AD291" s="1">
        <v>23300</v>
      </c>
      <c r="AE291" s="1">
        <v>13300</v>
      </c>
      <c r="AF291" s="1">
        <v>30800</v>
      </c>
      <c r="AG291" s="1">
        <v>32400</v>
      </c>
      <c r="AH291" s="1">
        <v>43600</v>
      </c>
      <c r="AI291" s="1">
        <v>23900</v>
      </c>
      <c r="AJ291" s="1">
        <v>25900</v>
      </c>
      <c r="AK291" s="1">
        <v>34000</v>
      </c>
      <c r="AL291" s="1">
        <v>30000</v>
      </c>
      <c r="AM291" s="1">
        <v>27400</v>
      </c>
      <c r="AN291" s="1">
        <v>30100</v>
      </c>
      <c r="AO291" s="1">
        <v>121100</v>
      </c>
      <c r="AP291" s="1">
        <v>58400</v>
      </c>
      <c r="AQ291" s="1">
        <v>49500</v>
      </c>
      <c r="AR291" s="1">
        <v>22900</v>
      </c>
      <c r="AS291" s="1">
        <v>19400</v>
      </c>
      <c r="AT291" s="1">
        <v>28000</v>
      </c>
      <c r="AU291" s="1">
        <v>25900</v>
      </c>
      <c r="AV291" s="1">
        <v>25500</v>
      </c>
      <c r="AW291" s="1">
        <v>26800</v>
      </c>
      <c r="AX291" s="1">
        <v>18800</v>
      </c>
      <c r="AY291" s="1">
        <v>28700</v>
      </c>
      <c r="AZ291" s="1">
        <v>20700</v>
      </c>
      <c r="BA291" s="1">
        <v>16600</v>
      </c>
      <c r="BB291" s="1">
        <v>54000</v>
      </c>
      <c r="BC291" s="1">
        <v>78600</v>
      </c>
      <c r="BD291" s="1">
        <v>68600</v>
      </c>
      <c r="BE291" s="1">
        <v>61900</v>
      </c>
      <c r="BF291" s="1">
        <v>28100</v>
      </c>
      <c r="BG291" s="1">
        <v>19400</v>
      </c>
      <c r="BH291" s="1">
        <v>32500</v>
      </c>
      <c r="BI291" s="1">
        <v>31800</v>
      </c>
      <c r="BJ291" s="1">
        <v>23900</v>
      </c>
      <c r="BK291" s="1">
        <v>46700</v>
      </c>
      <c r="BL291" s="1">
        <v>51800</v>
      </c>
      <c r="BM291" s="1">
        <v>22900</v>
      </c>
      <c r="BN291" s="1">
        <v>30000</v>
      </c>
      <c r="BO291" s="1">
        <v>15700</v>
      </c>
      <c r="BP291" s="1">
        <v>16900</v>
      </c>
      <c r="BQ291" s="1">
        <v>38700</v>
      </c>
      <c r="BR291" s="1">
        <v>44400</v>
      </c>
      <c r="BS291" s="1">
        <v>31300</v>
      </c>
      <c r="BT291" s="1">
        <v>31400</v>
      </c>
      <c r="BU291" s="1">
        <v>26400</v>
      </c>
      <c r="BV291" s="1">
        <v>22200</v>
      </c>
      <c r="BW291" s="1">
        <v>28900</v>
      </c>
      <c r="BX291" s="1">
        <v>50300</v>
      </c>
      <c r="BY291" s="1">
        <v>37500</v>
      </c>
      <c r="BZ291" s="1">
        <v>21900</v>
      </c>
    </row>
    <row r="292" spans="1:78">
      <c r="A292" s="394" t="s">
        <v>505</v>
      </c>
      <c r="B292" s="1" t="str">
        <f>銘柄管理!C292</f>
        <v>新光商事</v>
      </c>
      <c r="C292" s="1">
        <f>_xll.RssMarket("8141","出来高")</f>
        <v>31800</v>
      </c>
      <c r="D292" s="82">
        <f t="shared" si="4"/>
        <v>-11200</v>
      </c>
      <c r="E292" s="1">
        <v>43000</v>
      </c>
      <c r="F292" s="1">
        <v>88400</v>
      </c>
      <c r="G292" s="1">
        <v>20100</v>
      </c>
      <c r="H292" s="1">
        <v>604100</v>
      </c>
      <c r="I292" s="1">
        <v>156800</v>
      </c>
      <c r="J292" s="1">
        <v>57400</v>
      </c>
      <c r="K292" s="1">
        <v>50700</v>
      </c>
      <c r="M292" s="1">
        <v>75100</v>
      </c>
      <c r="N292" s="1">
        <v>93000</v>
      </c>
      <c r="O292" s="1">
        <v>424100</v>
      </c>
      <c r="P292" s="1">
        <v>139400</v>
      </c>
      <c r="Q292" s="1">
        <v>104500</v>
      </c>
      <c r="R292" s="1">
        <v>121200</v>
      </c>
      <c r="S292" s="1">
        <v>81400</v>
      </c>
      <c r="T292" s="1">
        <v>130600</v>
      </c>
      <c r="U292" s="1">
        <v>40300</v>
      </c>
      <c r="V292" s="1">
        <v>167500</v>
      </c>
      <c r="W292" s="1">
        <v>27800</v>
      </c>
      <c r="X292" s="1">
        <v>63000</v>
      </c>
      <c r="Y292" s="1">
        <v>63900</v>
      </c>
      <c r="Z292" s="1">
        <v>49500</v>
      </c>
      <c r="AA292" s="1">
        <v>72300</v>
      </c>
      <c r="AB292" s="1">
        <v>107000</v>
      </c>
      <c r="AC292" s="1">
        <v>158600</v>
      </c>
      <c r="AD292" s="1">
        <v>83600</v>
      </c>
      <c r="AE292" s="1">
        <v>181700</v>
      </c>
      <c r="AF292" s="1">
        <v>277700</v>
      </c>
      <c r="AG292" s="1">
        <v>617100</v>
      </c>
      <c r="AH292" s="1">
        <v>200500</v>
      </c>
      <c r="AI292" s="1">
        <v>331200</v>
      </c>
      <c r="AJ292" s="1">
        <v>217800</v>
      </c>
      <c r="AK292" s="1">
        <v>280500</v>
      </c>
      <c r="AL292" s="1">
        <v>254200</v>
      </c>
      <c r="AM292" s="1">
        <v>728200</v>
      </c>
      <c r="AN292" s="1">
        <v>233900</v>
      </c>
      <c r="AO292" s="1">
        <v>175100</v>
      </c>
      <c r="AP292" s="1">
        <v>659800</v>
      </c>
      <c r="AQ292" s="1">
        <v>485100</v>
      </c>
      <c r="AR292" s="1">
        <v>327500</v>
      </c>
      <c r="AS292" s="1">
        <v>441900</v>
      </c>
      <c r="AT292" s="1">
        <v>722600</v>
      </c>
      <c r="AU292" s="1">
        <v>910500</v>
      </c>
      <c r="AV292" s="1">
        <v>810400</v>
      </c>
      <c r="AW292" s="1">
        <v>923500</v>
      </c>
      <c r="AX292" s="1">
        <v>1593800</v>
      </c>
      <c r="AY292" s="1">
        <v>1206200</v>
      </c>
      <c r="AZ292" s="1">
        <v>747200</v>
      </c>
      <c r="BA292" s="1">
        <v>991700</v>
      </c>
      <c r="BB292" s="1">
        <v>1032900</v>
      </c>
      <c r="BC292" s="1">
        <v>1057000</v>
      </c>
      <c r="BD292" s="1">
        <v>2677200</v>
      </c>
      <c r="BE292" s="1">
        <v>391000</v>
      </c>
      <c r="BF292" s="1">
        <v>328500</v>
      </c>
      <c r="BG292" s="1">
        <v>929500</v>
      </c>
      <c r="BH292" s="1">
        <v>221400</v>
      </c>
      <c r="BI292" s="1">
        <v>372600</v>
      </c>
      <c r="BJ292" s="1">
        <v>289800</v>
      </c>
      <c r="BK292" s="1">
        <v>341500</v>
      </c>
      <c r="BL292" s="1">
        <v>215600</v>
      </c>
      <c r="BM292" s="1">
        <v>397900</v>
      </c>
      <c r="BN292" s="1">
        <v>198200</v>
      </c>
      <c r="BO292" s="1">
        <v>147000</v>
      </c>
      <c r="BP292" s="1">
        <v>152600</v>
      </c>
      <c r="BQ292" s="1">
        <v>283100</v>
      </c>
      <c r="BR292" s="1">
        <v>296700</v>
      </c>
      <c r="BS292" s="1">
        <v>243000</v>
      </c>
      <c r="BT292" s="1">
        <v>444500</v>
      </c>
      <c r="BU292" s="1">
        <v>223800</v>
      </c>
      <c r="BV292" s="1">
        <v>228900</v>
      </c>
      <c r="BW292" s="1">
        <v>271300</v>
      </c>
      <c r="BX292" s="1">
        <v>432700</v>
      </c>
      <c r="BY292" s="1">
        <v>201600</v>
      </c>
      <c r="BZ292" s="1">
        <v>132600</v>
      </c>
    </row>
    <row r="293" spans="1:78">
      <c r="A293" s="394" t="s">
        <v>506</v>
      </c>
      <c r="B293" s="1" t="str">
        <f>銘柄管理!C293</f>
        <v>山形銀行</v>
      </c>
      <c r="C293" s="1">
        <f>_xll.RssMarket("8344","出来高")</f>
        <v>78600</v>
      </c>
      <c r="D293" s="82">
        <f t="shared" si="4"/>
        <v>-111700</v>
      </c>
      <c r="E293" s="1">
        <v>190300</v>
      </c>
      <c r="F293" s="1">
        <v>176500</v>
      </c>
      <c r="G293" s="1">
        <v>124100</v>
      </c>
      <c r="H293" s="1">
        <v>143500</v>
      </c>
      <c r="I293" s="1">
        <v>186900</v>
      </c>
      <c r="J293" s="1">
        <v>155000</v>
      </c>
      <c r="K293" s="1">
        <v>207400</v>
      </c>
      <c r="L293" s="1">
        <v>108300</v>
      </c>
      <c r="M293" s="1">
        <v>190900</v>
      </c>
      <c r="N293" s="1">
        <v>93600</v>
      </c>
      <c r="O293" s="1">
        <v>138100</v>
      </c>
      <c r="P293" s="1">
        <v>173100</v>
      </c>
      <c r="Q293" s="1">
        <v>123600</v>
      </c>
      <c r="R293" s="1">
        <v>95700</v>
      </c>
      <c r="S293" s="1">
        <v>100300</v>
      </c>
      <c r="T293" s="1">
        <v>99700</v>
      </c>
      <c r="U293" s="1">
        <v>108500</v>
      </c>
      <c r="V293" s="1">
        <v>105100</v>
      </c>
      <c r="W293" s="1">
        <v>274800</v>
      </c>
      <c r="X293" s="1">
        <v>140500</v>
      </c>
      <c r="Y293" s="1">
        <v>234100</v>
      </c>
      <c r="Z293" s="1">
        <v>212200</v>
      </c>
      <c r="AA293" s="1">
        <v>83800</v>
      </c>
      <c r="AB293" s="1">
        <v>112700</v>
      </c>
      <c r="AC293" s="1">
        <v>92700</v>
      </c>
      <c r="AD293" s="1">
        <v>77500</v>
      </c>
      <c r="AE293" s="1">
        <v>60500</v>
      </c>
      <c r="AF293" s="1">
        <v>102900</v>
      </c>
      <c r="AG293" s="1">
        <v>65900</v>
      </c>
      <c r="AH293" s="1">
        <v>84700</v>
      </c>
      <c r="AI293" s="1">
        <v>172400</v>
      </c>
      <c r="AJ293" s="1">
        <v>112400</v>
      </c>
      <c r="AK293" s="1">
        <v>143900</v>
      </c>
      <c r="AL293" s="1">
        <v>104600</v>
      </c>
      <c r="AM293" s="1">
        <v>105400</v>
      </c>
      <c r="AN293" s="1">
        <v>207100</v>
      </c>
      <c r="AO293" s="1">
        <v>146300</v>
      </c>
      <c r="AP293" s="1">
        <v>234500</v>
      </c>
      <c r="AQ293" s="1">
        <v>100100</v>
      </c>
      <c r="AR293" s="1">
        <v>60600</v>
      </c>
      <c r="AS293" s="1">
        <v>99600</v>
      </c>
      <c r="AT293" s="1">
        <v>91700</v>
      </c>
      <c r="AU293" s="1">
        <v>102700</v>
      </c>
      <c r="AV293" s="1">
        <v>101000</v>
      </c>
      <c r="AW293" s="1">
        <v>112100</v>
      </c>
      <c r="AX293" s="1">
        <v>125500</v>
      </c>
      <c r="AY293" s="1">
        <v>123600</v>
      </c>
      <c r="AZ293" s="1">
        <v>124000</v>
      </c>
      <c r="BA293" s="1">
        <v>121000</v>
      </c>
      <c r="BB293" s="1">
        <v>162600</v>
      </c>
      <c r="BC293" s="1">
        <v>216600</v>
      </c>
      <c r="BD293" s="1">
        <v>397800</v>
      </c>
      <c r="BE293" s="1">
        <v>144000</v>
      </c>
      <c r="BF293" s="1">
        <v>136900</v>
      </c>
      <c r="BG293" s="1">
        <v>105100</v>
      </c>
      <c r="BH293" s="1">
        <v>84500</v>
      </c>
      <c r="BI293" s="1">
        <v>79800</v>
      </c>
      <c r="BJ293" s="1">
        <v>142100</v>
      </c>
      <c r="BK293" s="1">
        <v>126500</v>
      </c>
      <c r="BL293" s="1">
        <v>69800</v>
      </c>
      <c r="BM293" s="1">
        <v>96100</v>
      </c>
      <c r="BN293" s="1">
        <v>109400</v>
      </c>
      <c r="BO293" s="1">
        <v>86700</v>
      </c>
      <c r="BP293" s="1">
        <v>81500</v>
      </c>
      <c r="BQ293" s="1">
        <v>91100</v>
      </c>
      <c r="BR293" s="1">
        <v>105400</v>
      </c>
      <c r="BS293" s="1">
        <v>78600</v>
      </c>
      <c r="BT293" s="1">
        <v>121500</v>
      </c>
      <c r="BU293" s="1">
        <v>149300</v>
      </c>
      <c r="BV293" s="1">
        <v>86900</v>
      </c>
      <c r="BW293" s="1">
        <v>97200</v>
      </c>
      <c r="BX293" s="1">
        <v>69900</v>
      </c>
      <c r="BY293" s="1">
        <v>67400</v>
      </c>
      <c r="BZ293" s="1">
        <v>88100</v>
      </c>
    </row>
    <row r="294" spans="1:78">
      <c r="A294" s="394" t="s">
        <v>507</v>
      </c>
      <c r="B294" s="1" t="str">
        <f>銘柄管理!C294</f>
        <v>小野建</v>
      </c>
      <c r="C294" s="1">
        <f>_xll.RssMarket("7414","出来高")</f>
        <v>11800</v>
      </c>
      <c r="D294" s="82">
        <f t="shared" si="4"/>
        <v>-26500</v>
      </c>
      <c r="E294" s="1">
        <v>38300</v>
      </c>
      <c r="F294" s="1">
        <v>51400</v>
      </c>
      <c r="G294" s="1">
        <v>39000</v>
      </c>
      <c r="H294" s="1">
        <v>52800</v>
      </c>
      <c r="I294" s="1">
        <v>94400</v>
      </c>
      <c r="J294" s="1">
        <v>38700</v>
      </c>
      <c r="K294" s="1">
        <v>49900</v>
      </c>
      <c r="M294" s="1">
        <v>49300</v>
      </c>
      <c r="N294" s="1">
        <v>62300</v>
      </c>
      <c r="O294" s="1">
        <v>64900</v>
      </c>
      <c r="P294" s="1">
        <v>65100</v>
      </c>
      <c r="Q294" s="1">
        <v>142600</v>
      </c>
      <c r="R294" s="1">
        <v>39600</v>
      </c>
      <c r="S294" s="1">
        <v>32500</v>
      </c>
      <c r="T294" s="1">
        <v>50500</v>
      </c>
      <c r="U294" s="1">
        <v>42500</v>
      </c>
      <c r="V294" s="1">
        <v>67700</v>
      </c>
      <c r="W294" s="1">
        <v>47500</v>
      </c>
      <c r="X294" s="1">
        <v>50300</v>
      </c>
      <c r="Y294" s="1">
        <v>52300</v>
      </c>
      <c r="Z294" s="1">
        <v>48500</v>
      </c>
      <c r="AA294" s="1">
        <v>48300</v>
      </c>
      <c r="AB294" s="1">
        <v>52300</v>
      </c>
      <c r="AC294" s="1">
        <v>79300</v>
      </c>
      <c r="AD294" s="1">
        <v>35900</v>
      </c>
      <c r="AE294" s="1">
        <v>41800</v>
      </c>
      <c r="AF294" s="1">
        <v>40000</v>
      </c>
      <c r="AG294" s="1">
        <v>34200</v>
      </c>
      <c r="AH294" s="1">
        <v>70900</v>
      </c>
      <c r="AI294" s="1">
        <v>105700</v>
      </c>
      <c r="AJ294" s="1">
        <v>39000</v>
      </c>
      <c r="AK294" s="1">
        <v>49200</v>
      </c>
      <c r="AL294" s="1">
        <v>33100</v>
      </c>
      <c r="AM294" s="1">
        <v>54900</v>
      </c>
      <c r="AN294" s="1">
        <v>79300</v>
      </c>
      <c r="AO294" s="1">
        <v>71000</v>
      </c>
      <c r="AP294" s="1">
        <v>72100</v>
      </c>
      <c r="AQ294" s="1">
        <v>49800</v>
      </c>
      <c r="AR294" s="1">
        <v>59700</v>
      </c>
      <c r="AS294" s="1">
        <v>57000</v>
      </c>
      <c r="AT294" s="1">
        <v>108700</v>
      </c>
      <c r="AU294" s="1">
        <v>310700</v>
      </c>
      <c r="AV294" s="1">
        <v>56000</v>
      </c>
      <c r="AW294" s="1">
        <v>62800</v>
      </c>
      <c r="AX294" s="1">
        <v>65000</v>
      </c>
      <c r="AY294" s="1">
        <v>108600</v>
      </c>
      <c r="AZ294" s="1">
        <v>73700</v>
      </c>
      <c r="BA294" s="1">
        <v>79000</v>
      </c>
      <c r="BB294" s="1">
        <v>117200</v>
      </c>
      <c r="BC294" s="1">
        <v>74100</v>
      </c>
      <c r="BD294" s="1">
        <v>152300</v>
      </c>
      <c r="BE294" s="1">
        <v>158500</v>
      </c>
      <c r="BF294" s="1">
        <v>108800</v>
      </c>
      <c r="BG294" s="1">
        <v>27100</v>
      </c>
      <c r="BH294" s="1">
        <v>55400</v>
      </c>
      <c r="BI294" s="1">
        <v>42600</v>
      </c>
      <c r="BJ294" s="1">
        <v>35000</v>
      </c>
      <c r="BK294" s="1">
        <v>67800</v>
      </c>
      <c r="BL294" s="1">
        <v>40600</v>
      </c>
      <c r="BM294" s="1">
        <v>53300</v>
      </c>
      <c r="BN294" s="1">
        <v>54300</v>
      </c>
      <c r="BO294" s="1">
        <v>52600</v>
      </c>
      <c r="BP294" s="1">
        <v>62400</v>
      </c>
      <c r="BQ294" s="1">
        <v>55600</v>
      </c>
      <c r="BR294" s="1">
        <v>31500</v>
      </c>
      <c r="BS294" s="1">
        <v>37000</v>
      </c>
      <c r="BT294" s="1">
        <v>58100</v>
      </c>
      <c r="BU294" s="1">
        <v>29200</v>
      </c>
      <c r="BV294" s="1">
        <v>49800</v>
      </c>
      <c r="BW294" s="1">
        <v>45800</v>
      </c>
      <c r="BX294" s="1">
        <v>27600</v>
      </c>
      <c r="BY294" s="1">
        <v>63900</v>
      </c>
      <c r="BZ294" s="1">
        <v>32500</v>
      </c>
    </row>
    <row r="295" spans="1:78">
      <c r="A295" s="394" t="s">
        <v>508</v>
      </c>
      <c r="B295" s="1" t="str">
        <f>銘柄管理!C295</f>
        <v>ＣＫＤ</v>
      </c>
      <c r="C295" s="1">
        <f>_xll.RssMarket("6407","出来高")</f>
        <v>602800</v>
      </c>
      <c r="D295" s="82">
        <f t="shared" si="4"/>
        <v>-386900</v>
      </c>
      <c r="E295" s="1">
        <v>989700</v>
      </c>
      <c r="F295" s="1">
        <v>876600</v>
      </c>
      <c r="G295" s="1">
        <v>1415400</v>
      </c>
      <c r="H295" s="1">
        <v>710500</v>
      </c>
      <c r="I295" s="1">
        <v>1229400</v>
      </c>
      <c r="J295" s="1">
        <v>1142200</v>
      </c>
      <c r="K295" s="1">
        <v>735600</v>
      </c>
      <c r="M295" s="1">
        <v>415900</v>
      </c>
      <c r="N295" s="1">
        <v>696400</v>
      </c>
      <c r="O295" s="1">
        <v>654400</v>
      </c>
      <c r="P295" s="1">
        <v>809700</v>
      </c>
      <c r="Q295" s="1">
        <v>722300</v>
      </c>
      <c r="R295" s="1">
        <v>581400</v>
      </c>
      <c r="S295" s="1">
        <v>370400</v>
      </c>
      <c r="T295" s="1">
        <v>786600</v>
      </c>
      <c r="U295" s="1">
        <v>455600</v>
      </c>
      <c r="V295" s="1">
        <v>359000</v>
      </c>
      <c r="W295" s="1">
        <v>762500</v>
      </c>
      <c r="X295" s="1">
        <v>837200</v>
      </c>
      <c r="Y295" s="1">
        <v>1435900</v>
      </c>
      <c r="Z295" s="1">
        <v>726300</v>
      </c>
      <c r="AA295" s="1">
        <v>586600</v>
      </c>
      <c r="AB295" s="1">
        <v>449800</v>
      </c>
      <c r="AC295" s="1">
        <v>500500</v>
      </c>
      <c r="AD295" s="1">
        <v>619100</v>
      </c>
      <c r="AE295" s="1">
        <v>958000</v>
      </c>
      <c r="AF295" s="1">
        <v>562900</v>
      </c>
      <c r="AG295" s="1">
        <v>829000</v>
      </c>
      <c r="AH295" s="1">
        <v>670900</v>
      </c>
      <c r="AI295" s="1">
        <v>1041100</v>
      </c>
      <c r="AJ295" s="1">
        <v>1038000</v>
      </c>
      <c r="AK295" s="1">
        <v>460000</v>
      </c>
      <c r="AL295" s="1">
        <v>845300</v>
      </c>
      <c r="AM295" s="1">
        <v>1322600</v>
      </c>
      <c r="AN295" s="1">
        <v>1169400</v>
      </c>
      <c r="AO295" s="1">
        <v>634400</v>
      </c>
      <c r="AP295" s="1">
        <v>891700</v>
      </c>
      <c r="AQ295" s="1">
        <v>722200</v>
      </c>
      <c r="AR295" s="1">
        <v>534600</v>
      </c>
      <c r="AS295" s="1">
        <v>550600</v>
      </c>
      <c r="AT295" s="1">
        <v>889900</v>
      </c>
      <c r="AU295" s="1">
        <v>655200</v>
      </c>
      <c r="AV295" s="1">
        <v>951800</v>
      </c>
      <c r="AW295" s="1">
        <v>463000</v>
      </c>
      <c r="AX295" s="1">
        <v>432800</v>
      </c>
      <c r="AY295" s="1">
        <v>1132100</v>
      </c>
      <c r="AZ295" s="1">
        <v>1395200</v>
      </c>
      <c r="BA295" s="1">
        <v>810100</v>
      </c>
      <c r="BB295" s="1">
        <v>1148500</v>
      </c>
      <c r="BC295" s="1">
        <v>1125600</v>
      </c>
      <c r="BD295" s="1">
        <v>1627400</v>
      </c>
      <c r="BE295" s="1">
        <v>1024100</v>
      </c>
      <c r="BF295" s="1">
        <v>778800</v>
      </c>
      <c r="BG295" s="1">
        <v>574900</v>
      </c>
      <c r="BH295" s="1">
        <v>713100</v>
      </c>
      <c r="BI295" s="1">
        <v>619700</v>
      </c>
      <c r="BJ295" s="1">
        <v>572000</v>
      </c>
      <c r="BK295" s="1">
        <v>881100</v>
      </c>
      <c r="BL295" s="1">
        <v>226900</v>
      </c>
      <c r="BM295" s="1">
        <v>768200</v>
      </c>
      <c r="BN295" s="1">
        <v>411400</v>
      </c>
      <c r="BO295" s="1">
        <v>587000</v>
      </c>
      <c r="BP295" s="1">
        <v>267200</v>
      </c>
      <c r="BQ295" s="1">
        <v>462900</v>
      </c>
      <c r="BR295" s="1">
        <v>543300</v>
      </c>
      <c r="BS295" s="1">
        <v>355900</v>
      </c>
      <c r="BT295" s="1">
        <v>264300</v>
      </c>
      <c r="BU295" s="1">
        <v>346000</v>
      </c>
      <c r="BV295" s="1">
        <v>534800</v>
      </c>
      <c r="BW295" s="1">
        <v>602200</v>
      </c>
      <c r="BX295" s="1">
        <v>457300</v>
      </c>
      <c r="BY295" s="1">
        <v>1806000</v>
      </c>
      <c r="BZ295" s="1">
        <v>1148200</v>
      </c>
    </row>
    <row r="296" spans="1:78">
      <c r="A296" s="394" t="s">
        <v>509</v>
      </c>
      <c r="B296" s="1" t="str">
        <f>銘柄管理!C296</f>
        <v>ベルトラ</v>
      </c>
      <c r="C296" s="1">
        <f>_xll.RssMarket("7048","出来高")</f>
        <v>24800</v>
      </c>
      <c r="D296" s="82">
        <f t="shared" si="4"/>
        <v>-61500</v>
      </c>
      <c r="E296" s="1">
        <v>86300</v>
      </c>
      <c r="F296" s="1">
        <v>201800</v>
      </c>
      <c r="G296" s="1">
        <v>265500</v>
      </c>
      <c r="H296" s="1">
        <v>124200</v>
      </c>
      <c r="I296" s="1">
        <v>39400</v>
      </c>
      <c r="J296" s="1">
        <v>170900</v>
      </c>
      <c r="K296" s="1">
        <v>210500</v>
      </c>
      <c r="M296" s="1">
        <v>326100</v>
      </c>
      <c r="N296" s="1">
        <v>260900</v>
      </c>
      <c r="O296" s="1">
        <v>457900</v>
      </c>
      <c r="P296" s="1">
        <v>208800</v>
      </c>
      <c r="Q296" s="1">
        <v>276200</v>
      </c>
      <c r="R296" s="1">
        <v>325200</v>
      </c>
      <c r="S296" s="1">
        <v>214400</v>
      </c>
      <c r="T296" s="1">
        <v>348700</v>
      </c>
      <c r="U296" s="1">
        <v>402500</v>
      </c>
      <c r="V296" s="1">
        <v>604800</v>
      </c>
      <c r="W296" s="1">
        <v>269000</v>
      </c>
      <c r="X296" s="1">
        <v>230200</v>
      </c>
      <c r="Y296" s="1">
        <v>525700</v>
      </c>
      <c r="Z296" s="1">
        <v>224000</v>
      </c>
      <c r="AA296" s="1">
        <v>86300</v>
      </c>
      <c r="AB296" s="1">
        <v>113100</v>
      </c>
      <c r="AC296" s="1">
        <v>143900</v>
      </c>
      <c r="AD296" s="1">
        <v>563100</v>
      </c>
      <c r="AE296" s="1">
        <v>1040100</v>
      </c>
      <c r="AF296" s="1">
        <v>1531000</v>
      </c>
      <c r="AG296" s="1">
        <v>5519900</v>
      </c>
      <c r="AH296" s="1">
        <v>1223400</v>
      </c>
      <c r="AI296" s="1">
        <v>883500</v>
      </c>
      <c r="AJ296" s="1">
        <v>1377600</v>
      </c>
      <c r="AK296" s="1">
        <v>234600</v>
      </c>
      <c r="AL296" s="1">
        <v>674300</v>
      </c>
      <c r="AM296" s="1">
        <v>4208000</v>
      </c>
      <c r="AN296" s="1">
        <v>143300</v>
      </c>
      <c r="AO296" s="1">
        <v>149100</v>
      </c>
      <c r="AP296" s="1">
        <v>262900</v>
      </c>
      <c r="AQ296" s="1">
        <v>98200</v>
      </c>
      <c r="AR296" s="1">
        <v>204600</v>
      </c>
      <c r="AS296" s="1">
        <v>162300</v>
      </c>
      <c r="AT296" s="1">
        <v>94400</v>
      </c>
      <c r="AU296" s="1">
        <v>115000</v>
      </c>
      <c r="AV296" s="1">
        <v>94800</v>
      </c>
      <c r="AW296" s="1">
        <v>111500</v>
      </c>
      <c r="AX296" s="1">
        <v>144700</v>
      </c>
      <c r="AY296" s="1">
        <v>322300</v>
      </c>
      <c r="AZ296" s="1">
        <v>103900</v>
      </c>
      <c r="BA296" s="1">
        <v>59400</v>
      </c>
      <c r="BB296" s="1">
        <v>247100</v>
      </c>
      <c r="BC296" s="1">
        <v>134500</v>
      </c>
      <c r="BD296" s="1">
        <v>226800</v>
      </c>
      <c r="BE296" s="1">
        <v>535400</v>
      </c>
      <c r="BF296" s="1">
        <v>131500</v>
      </c>
      <c r="BG296" s="1">
        <v>96700</v>
      </c>
      <c r="BH296" s="1">
        <v>140900</v>
      </c>
      <c r="BI296" s="1">
        <v>112500</v>
      </c>
      <c r="BJ296" s="1">
        <v>41100</v>
      </c>
      <c r="BK296" s="1">
        <v>57500</v>
      </c>
      <c r="BL296" s="1">
        <v>75600</v>
      </c>
      <c r="BM296" s="1">
        <v>100200</v>
      </c>
      <c r="BN296" s="1">
        <v>126200</v>
      </c>
      <c r="BO296" s="1">
        <v>150000</v>
      </c>
      <c r="BP296" s="1">
        <v>218600</v>
      </c>
      <c r="BQ296" s="1">
        <v>262300</v>
      </c>
      <c r="BR296" s="1">
        <v>179100</v>
      </c>
      <c r="BS296" s="1">
        <v>168700</v>
      </c>
      <c r="BT296" s="1">
        <v>162200</v>
      </c>
      <c r="BU296" s="1">
        <v>432800</v>
      </c>
      <c r="BV296" s="1">
        <v>93600</v>
      </c>
      <c r="BW296" s="1">
        <v>204500</v>
      </c>
      <c r="BX296" s="1">
        <v>151000</v>
      </c>
      <c r="BY296" s="1">
        <v>140500</v>
      </c>
      <c r="BZ296" s="1">
        <v>276300</v>
      </c>
    </row>
    <row r="297" spans="1:78">
      <c r="A297" s="394" t="s">
        <v>510</v>
      </c>
      <c r="B297" s="1" t="str">
        <f>銘柄管理!C297</f>
        <v>長谷工コーポレーシヨン</v>
      </c>
      <c r="C297" s="1">
        <f>_xll.RssMarket("1808","出来高")</f>
        <v>321900</v>
      </c>
      <c r="D297" s="82">
        <f t="shared" si="4"/>
        <v>-607300</v>
      </c>
      <c r="E297" s="1">
        <v>929200</v>
      </c>
      <c r="F297" s="1">
        <v>1077200</v>
      </c>
      <c r="G297" s="1">
        <v>1234900</v>
      </c>
      <c r="H297" s="1">
        <v>899400</v>
      </c>
      <c r="I297" s="1">
        <v>1072600</v>
      </c>
      <c r="J297" s="1">
        <v>661900</v>
      </c>
      <c r="K297" s="1">
        <v>894400</v>
      </c>
      <c r="L297" s="1">
        <v>1251700</v>
      </c>
      <c r="M297" s="1">
        <v>1704100</v>
      </c>
      <c r="N297" s="1">
        <v>828000</v>
      </c>
      <c r="O297" s="1">
        <v>819500</v>
      </c>
      <c r="P297" s="1">
        <v>829700</v>
      </c>
      <c r="Q297" s="1">
        <v>628800</v>
      </c>
      <c r="R297" s="1">
        <v>752100</v>
      </c>
      <c r="S297" s="1">
        <v>1337600</v>
      </c>
      <c r="T297" s="1">
        <v>1055100</v>
      </c>
      <c r="U297" s="1">
        <v>790800</v>
      </c>
      <c r="V297" s="1">
        <v>611400</v>
      </c>
      <c r="W297" s="1">
        <v>793200</v>
      </c>
      <c r="X297" s="1">
        <v>587700</v>
      </c>
      <c r="Y297" s="1">
        <v>698500</v>
      </c>
      <c r="Z297" s="1">
        <v>561500</v>
      </c>
      <c r="AA297" s="1">
        <v>775000</v>
      </c>
      <c r="AB297" s="1">
        <v>971900</v>
      </c>
      <c r="AC297" s="1">
        <v>1294400</v>
      </c>
      <c r="AD297" s="1">
        <v>1231300</v>
      </c>
      <c r="AE297" s="1">
        <v>1051600</v>
      </c>
      <c r="AF297" s="1">
        <v>756000</v>
      </c>
      <c r="AG297" s="1">
        <v>1272200</v>
      </c>
      <c r="AH297" s="1">
        <v>1200300</v>
      </c>
      <c r="AI297" s="1">
        <v>3079200</v>
      </c>
      <c r="AJ297" s="1">
        <v>1067600</v>
      </c>
      <c r="AK297" s="1">
        <v>1091500</v>
      </c>
      <c r="AL297" s="1">
        <v>947300</v>
      </c>
      <c r="AM297" s="1">
        <v>861000</v>
      </c>
      <c r="AN297" s="1">
        <v>1777300</v>
      </c>
      <c r="AO297" s="1">
        <v>1167600</v>
      </c>
      <c r="AP297" s="1">
        <v>1261800</v>
      </c>
      <c r="AQ297" s="1">
        <v>843500</v>
      </c>
      <c r="AR297" s="1">
        <v>710000</v>
      </c>
      <c r="AS297" s="1">
        <v>643300</v>
      </c>
      <c r="AT297" s="1">
        <v>661400</v>
      </c>
      <c r="AU297" s="1">
        <v>868400</v>
      </c>
      <c r="AV297" s="1">
        <v>1193600</v>
      </c>
      <c r="AW297" s="1">
        <v>653800</v>
      </c>
      <c r="AX297" s="1">
        <v>696200</v>
      </c>
      <c r="AY297" s="1">
        <v>1051400</v>
      </c>
      <c r="AZ297" s="1">
        <v>932100</v>
      </c>
      <c r="BA297" s="1">
        <v>1082200</v>
      </c>
      <c r="BB297" s="1">
        <v>1708300</v>
      </c>
      <c r="BC297" s="1">
        <v>1560500</v>
      </c>
      <c r="BD297" s="1">
        <v>2216100</v>
      </c>
      <c r="BE297" s="1">
        <v>1224400</v>
      </c>
      <c r="BF297" s="1">
        <v>1122900</v>
      </c>
      <c r="BG297" s="1">
        <v>955400</v>
      </c>
      <c r="BH297" s="1">
        <v>1199500</v>
      </c>
      <c r="BI297" s="1">
        <v>978100</v>
      </c>
      <c r="BJ297" s="1">
        <v>864800</v>
      </c>
      <c r="BK297" s="1">
        <v>1639300</v>
      </c>
      <c r="BL297" s="1">
        <v>788300</v>
      </c>
      <c r="BM297" s="1">
        <v>1640200</v>
      </c>
      <c r="BN297" s="1">
        <v>1110300</v>
      </c>
      <c r="BO297" s="1">
        <v>1015100</v>
      </c>
      <c r="BP297" s="1">
        <v>825900</v>
      </c>
      <c r="BQ297" s="1">
        <v>644500</v>
      </c>
      <c r="BR297" s="1">
        <v>966800</v>
      </c>
      <c r="BS297" s="1">
        <v>1241200</v>
      </c>
      <c r="BT297" s="1">
        <v>1160400</v>
      </c>
      <c r="BU297" s="1">
        <v>943300</v>
      </c>
      <c r="BV297" s="1">
        <v>1448700</v>
      </c>
      <c r="BW297" s="1">
        <v>1502500</v>
      </c>
      <c r="BX297" s="1">
        <v>2441900</v>
      </c>
      <c r="BY297" s="1">
        <v>1032100</v>
      </c>
      <c r="BZ297" s="1">
        <v>780500</v>
      </c>
    </row>
    <row r="298" spans="1:78">
      <c r="A298" s="394" t="s">
        <v>511</v>
      </c>
      <c r="B298" s="1" t="str">
        <f>銘柄管理!C298</f>
        <v>ＵＢＥ</v>
      </c>
      <c r="C298" s="1">
        <f>_xll.RssMarket("4208","出来高")</f>
        <v>604100</v>
      </c>
      <c r="D298" s="82">
        <f t="shared" si="4"/>
        <v>-233700</v>
      </c>
      <c r="E298" s="1">
        <v>837800</v>
      </c>
      <c r="F298" s="1">
        <v>1256100</v>
      </c>
      <c r="G298" s="1">
        <v>893200</v>
      </c>
      <c r="H298" s="1">
        <v>826800</v>
      </c>
      <c r="I298" s="1">
        <v>1197100</v>
      </c>
      <c r="J298" s="1">
        <v>1143700</v>
      </c>
      <c r="K298" s="1">
        <v>840700</v>
      </c>
      <c r="M298" s="1">
        <v>778600</v>
      </c>
      <c r="N298" s="1">
        <v>705300</v>
      </c>
      <c r="O298" s="1">
        <v>771200</v>
      </c>
      <c r="P298" s="1">
        <v>1039100</v>
      </c>
      <c r="Q298" s="1">
        <v>673300</v>
      </c>
      <c r="R298" s="1">
        <v>1033000</v>
      </c>
      <c r="S298" s="1">
        <v>918300</v>
      </c>
      <c r="T298" s="1">
        <v>756600</v>
      </c>
      <c r="U298" s="1">
        <v>794900</v>
      </c>
      <c r="V298" s="1">
        <v>703400</v>
      </c>
      <c r="W298" s="1">
        <v>970300</v>
      </c>
      <c r="X298" s="1">
        <v>510500</v>
      </c>
      <c r="Y298" s="1">
        <v>585400</v>
      </c>
      <c r="Z298" s="1">
        <v>790800</v>
      </c>
      <c r="AA298" s="1">
        <v>693500</v>
      </c>
      <c r="AB298" s="1">
        <v>747500</v>
      </c>
      <c r="AC298" s="1">
        <v>983700</v>
      </c>
      <c r="AD298" s="1">
        <v>803800</v>
      </c>
      <c r="AE298" s="1">
        <v>588200</v>
      </c>
      <c r="AF298" s="1">
        <v>707000</v>
      </c>
      <c r="AG298" s="1">
        <v>885300</v>
      </c>
      <c r="AH298" s="1">
        <v>727300</v>
      </c>
      <c r="AI298" s="1">
        <v>1425300</v>
      </c>
      <c r="AJ298" s="1">
        <v>1298600</v>
      </c>
      <c r="AK298" s="1">
        <v>582200</v>
      </c>
      <c r="AL298" s="1">
        <v>871300</v>
      </c>
      <c r="AM298" s="1">
        <v>1205000</v>
      </c>
      <c r="AN298" s="1">
        <v>963600</v>
      </c>
      <c r="AO298" s="1">
        <v>858100</v>
      </c>
      <c r="AP298" s="1">
        <v>1180000</v>
      </c>
      <c r="AQ298" s="1">
        <v>1332500</v>
      </c>
      <c r="AR298" s="1">
        <v>1015700</v>
      </c>
      <c r="AS298" s="1">
        <v>788500</v>
      </c>
      <c r="AT298" s="1">
        <v>1035600</v>
      </c>
      <c r="AU298" s="1">
        <v>1217200</v>
      </c>
      <c r="AV298" s="1">
        <v>1325300</v>
      </c>
      <c r="AW298" s="1">
        <v>1572200</v>
      </c>
      <c r="AX298" s="1">
        <v>1298900</v>
      </c>
      <c r="AY298" s="1">
        <v>1424500</v>
      </c>
      <c r="AZ298" s="1">
        <v>1791400</v>
      </c>
      <c r="BA298" s="1">
        <v>4846200</v>
      </c>
      <c r="BB298" s="1">
        <v>7261500</v>
      </c>
      <c r="BC298" s="1">
        <v>1305200</v>
      </c>
      <c r="BD298" s="1">
        <v>1224000</v>
      </c>
      <c r="BE298" s="1">
        <v>1569300</v>
      </c>
      <c r="BF298" s="1">
        <v>2259100</v>
      </c>
      <c r="BG298" s="1">
        <v>1280900</v>
      </c>
      <c r="BH298" s="1">
        <v>1188600</v>
      </c>
      <c r="BI298" s="1">
        <v>622000</v>
      </c>
      <c r="BJ298" s="1">
        <v>767900</v>
      </c>
      <c r="BK298" s="1">
        <v>757500</v>
      </c>
      <c r="BL298" s="1">
        <v>702000</v>
      </c>
      <c r="BM298" s="1">
        <v>827000</v>
      </c>
      <c r="BN298" s="1">
        <v>600000</v>
      </c>
      <c r="BO298" s="1">
        <v>623200</v>
      </c>
      <c r="BP298" s="1">
        <v>671900</v>
      </c>
      <c r="BQ298" s="1">
        <v>1058300</v>
      </c>
      <c r="BR298" s="1">
        <v>798300</v>
      </c>
      <c r="BS298" s="1">
        <v>547300</v>
      </c>
      <c r="BT298" s="1">
        <v>631900</v>
      </c>
      <c r="BU298" s="1">
        <v>540000</v>
      </c>
      <c r="BV298" s="1">
        <v>489000</v>
      </c>
      <c r="BW298" s="1">
        <v>572500</v>
      </c>
      <c r="BX298" s="1">
        <v>785600</v>
      </c>
      <c r="BY298" s="1">
        <v>913300</v>
      </c>
      <c r="BZ298" s="1">
        <v>629400</v>
      </c>
    </row>
    <row r="299" spans="1:78">
      <c r="A299" s="394" t="s">
        <v>512</v>
      </c>
      <c r="B299" s="1" t="str">
        <f>銘柄管理!C299</f>
        <v>アストロスケールホールディンク</v>
      </c>
      <c r="C299" s="1">
        <f>_xll.RssMarket("186A","出来高")</f>
        <v>3406700</v>
      </c>
      <c r="D299" s="82">
        <f t="shared" si="4"/>
        <v>-1359300</v>
      </c>
      <c r="E299" s="1">
        <v>4766000</v>
      </c>
      <c r="F299" s="1">
        <v>3152900</v>
      </c>
      <c r="G299" s="1">
        <v>4113800</v>
      </c>
      <c r="H299" s="1">
        <v>5423200</v>
      </c>
      <c r="I299" s="1">
        <v>6630400</v>
      </c>
      <c r="J299" s="1">
        <v>3930000</v>
      </c>
      <c r="K299" s="1">
        <v>2763200</v>
      </c>
      <c r="L299" s="1">
        <v>3628800</v>
      </c>
      <c r="M299" s="1">
        <v>5270600</v>
      </c>
      <c r="N299" s="1">
        <v>5253100</v>
      </c>
      <c r="O299" s="1">
        <v>3586600</v>
      </c>
      <c r="P299" s="1">
        <v>5846900</v>
      </c>
      <c r="Q299" s="1">
        <v>3714900</v>
      </c>
      <c r="R299" s="1">
        <v>4171400</v>
      </c>
      <c r="S299" s="1">
        <v>5542900</v>
      </c>
      <c r="T299" s="1">
        <v>3637800</v>
      </c>
      <c r="U299" s="1">
        <v>4074100</v>
      </c>
      <c r="V299" s="1">
        <v>4537000</v>
      </c>
      <c r="W299" s="1">
        <v>4696400</v>
      </c>
      <c r="X299" s="1">
        <v>5374000</v>
      </c>
      <c r="Y299" s="1">
        <v>4762300</v>
      </c>
      <c r="Z299" s="1">
        <v>4048000</v>
      </c>
      <c r="AA299" s="1">
        <v>5302800</v>
      </c>
      <c r="AB299" s="1">
        <v>5852300</v>
      </c>
      <c r="AC299" s="1">
        <v>5324500</v>
      </c>
      <c r="AD299" s="1">
        <v>6237500</v>
      </c>
      <c r="AE299" s="1">
        <v>6824700</v>
      </c>
      <c r="AF299" s="1">
        <v>5065700</v>
      </c>
      <c r="AG299" s="1">
        <v>8499600</v>
      </c>
      <c r="AH299" s="1">
        <v>9996100</v>
      </c>
      <c r="AI299" s="1">
        <v>12934700</v>
      </c>
      <c r="AJ299" s="1">
        <v>8716800</v>
      </c>
      <c r="AK299" s="1">
        <v>13573100</v>
      </c>
      <c r="AL299" s="1">
        <v>20516900</v>
      </c>
      <c r="AM299" s="1">
        <v>7225700</v>
      </c>
      <c r="AN299" s="1">
        <v>12034200</v>
      </c>
      <c r="AO299" s="1">
        <v>8562000</v>
      </c>
      <c r="AP299" s="1">
        <v>11702800</v>
      </c>
      <c r="AQ299" s="1">
        <v>14903700</v>
      </c>
      <c r="AR299" s="1">
        <v>18113200</v>
      </c>
      <c r="AS299" s="1">
        <v>15820200</v>
      </c>
      <c r="AT299" s="1">
        <v>16856200</v>
      </c>
      <c r="AU299" s="1">
        <v>19546400</v>
      </c>
      <c r="AV299" s="1">
        <v>26320900</v>
      </c>
      <c r="AW299" s="1">
        <v>37132000</v>
      </c>
      <c r="AX299" s="1">
        <v>30912200</v>
      </c>
      <c r="AY299" s="1">
        <v>32097300</v>
      </c>
      <c r="AZ299" s="1">
        <v>13576500</v>
      </c>
      <c r="BA299" s="1">
        <v>14630200</v>
      </c>
      <c r="BB299" s="1">
        <v>23922500</v>
      </c>
      <c r="BC299" s="1">
        <v>18431300</v>
      </c>
      <c r="BD299" s="1">
        <v>12315100</v>
      </c>
      <c r="BE299" s="1">
        <v>16135100</v>
      </c>
      <c r="BF299" s="1">
        <v>10892700</v>
      </c>
      <c r="BG299" s="1">
        <v>9776600</v>
      </c>
      <c r="BH299" s="1">
        <v>14351300</v>
      </c>
      <c r="BI299" s="1">
        <v>12917900</v>
      </c>
      <c r="BJ299" s="1">
        <v>10202200</v>
      </c>
      <c r="BK299" s="1">
        <v>6010300</v>
      </c>
      <c r="BL299" s="1">
        <v>4738600</v>
      </c>
      <c r="BM299" s="1">
        <v>4196300</v>
      </c>
      <c r="BN299" s="1">
        <v>5328400</v>
      </c>
      <c r="BO299" s="1">
        <v>5469400</v>
      </c>
      <c r="BP299" s="1">
        <v>6888600</v>
      </c>
      <c r="BQ299" s="1">
        <v>6121700</v>
      </c>
      <c r="BR299" s="1">
        <v>6547800</v>
      </c>
      <c r="BS299" s="1">
        <v>9052500</v>
      </c>
      <c r="BT299" s="1">
        <v>12110300</v>
      </c>
      <c r="BU299" s="1">
        <v>6477600</v>
      </c>
      <c r="BV299" s="1">
        <v>7380400</v>
      </c>
      <c r="BW299" s="1">
        <v>10235400</v>
      </c>
      <c r="BX299" s="1">
        <v>14518100</v>
      </c>
      <c r="BY299" s="1">
        <v>10149600</v>
      </c>
      <c r="BZ299" s="1">
        <v>23205100</v>
      </c>
    </row>
    <row r="300" spans="1:78">
      <c r="A300" s="394" t="s">
        <v>513</v>
      </c>
      <c r="B300" s="1" t="str">
        <f>銘柄管理!C300</f>
        <v>浜松ホトニクス</v>
      </c>
      <c r="C300" s="1">
        <f>_xll.RssMarket("6965","出来高")</f>
        <v>2731300</v>
      </c>
      <c r="D300" s="82">
        <f t="shared" si="4"/>
        <v>68100</v>
      </c>
      <c r="E300" s="1">
        <v>2663200</v>
      </c>
      <c r="F300" s="1">
        <v>2382500</v>
      </c>
      <c r="G300" s="1">
        <v>4356400</v>
      </c>
      <c r="H300" s="1">
        <v>3341400</v>
      </c>
      <c r="I300" s="1">
        <v>4650400</v>
      </c>
      <c r="J300" s="1">
        <v>3681000</v>
      </c>
      <c r="K300" s="1">
        <v>2102500</v>
      </c>
      <c r="M300" s="1">
        <v>2190500</v>
      </c>
      <c r="N300" s="1">
        <v>2655400</v>
      </c>
      <c r="O300" s="1">
        <v>2531200</v>
      </c>
      <c r="P300" s="1">
        <v>4718700</v>
      </c>
      <c r="Q300" s="1">
        <v>2323000</v>
      </c>
      <c r="R300" s="1">
        <v>2887800</v>
      </c>
      <c r="S300" s="1">
        <v>3155200</v>
      </c>
      <c r="T300" s="1">
        <v>2852000</v>
      </c>
      <c r="U300" s="1">
        <v>2363600</v>
      </c>
      <c r="V300" s="1">
        <v>3426200</v>
      </c>
      <c r="W300" s="1">
        <v>4095200</v>
      </c>
      <c r="X300" s="1">
        <v>3877800</v>
      </c>
      <c r="Y300" s="1">
        <v>3390000</v>
      </c>
      <c r="Z300" s="1">
        <v>3037000</v>
      </c>
      <c r="AA300" s="1">
        <v>2792800</v>
      </c>
      <c r="AB300" s="1">
        <v>2326800</v>
      </c>
      <c r="AC300" s="1">
        <v>3595700</v>
      </c>
      <c r="AD300" s="1">
        <v>3495000</v>
      </c>
      <c r="AE300" s="1">
        <v>3076800</v>
      </c>
      <c r="AF300" s="1">
        <v>3489100</v>
      </c>
      <c r="AG300" s="1">
        <v>4261500</v>
      </c>
      <c r="AH300" s="1">
        <v>3516600</v>
      </c>
      <c r="AI300" s="1">
        <v>3891900</v>
      </c>
      <c r="AJ300" s="1">
        <v>3875000</v>
      </c>
      <c r="AK300" s="1">
        <v>4570500</v>
      </c>
      <c r="AL300" s="1">
        <v>4325400</v>
      </c>
      <c r="AM300" s="1">
        <v>5393900</v>
      </c>
      <c r="AN300" s="1">
        <v>5982700</v>
      </c>
      <c r="AO300" s="1">
        <v>5388600</v>
      </c>
      <c r="AP300" s="1">
        <v>8846200</v>
      </c>
      <c r="AQ300" s="1">
        <v>7028700</v>
      </c>
      <c r="AR300" s="1">
        <v>4571500</v>
      </c>
      <c r="AS300" s="1">
        <v>4202200</v>
      </c>
      <c r="AT300" s="1">
        <v>4671500</v>
      </c>
      <c r="AU300" s="1">
        <v>6016300</v>
      </c>
      <c r="AV300" s="1">
        <v>7291600</v>
      </c>
      <c r="AW300" s="1">
        <v>5710400</v>
      </c>
      <c r="AX300" s="1">
        <v>8443200</v>
      </c>
      <c r="AY300" s="1">
        <v>6394400</v>
      </c>
      <c r="AZ300" s="1">
        <v>6305900</v>
      </c>
      <c r="BA300" s="1">
        <v>5097200</v>
      </c>
      <c r="BB300" s="1">
        <v>5349500</v>
      </c>
      <c r="BC300" s="1">
        <v>8911300</v>
      </c>
      <c r="BD300" s="1">
        <v>15774000</v>
      </c>
      <c r="BE300" s="1">
        <v>7842200</v>
      </c>
      <c r="BF300" s="1">
        <v>4349300</v>
      </c>
      <c r="BG300" s="1">
        <v>4178000</v>
      </c>
      <c r="BH300" s="1">
        <v>3855200</v>
      </c>
      <c r="BI300" s="1">
        <v>3925900</v>
      </c>
      <c r="BJ300" s="1">
        <v>4758200</v>
      </c>
      <c r="BK300" s="1">
        <v>6268100</v>
      </c>
      <c r="BL300" s="1">
        <v>1991100</v>
      </c>
      <c r="BM300" s="1">
        <v>2942400</v>
      </c>
      <c r="BN300" s="1">
        <v>5456200</v>
      </c>
      <c r="BO300" s="1">
        <v>5309500</v>
      </c>
      <c r="BP300" s="1">
        <v>1762100</v>
      </c>
      <c r="BQ300" s="1">
        <v>2384500</v>
      </c>
      <c r="BR300" s="1">
        <v>1767900</v>
      </c>
      <c r="BS300" s="1">
        <v>1789000</v>
      </c>
      <c r="BT300" s="1">
        <v>2093700</v>
      </c>
      <c r="BU300" s="1">
        <v>2087400</v>
      </c>
      <c r="BV300" s="1">
        <v>2878300</v>
      </c>
      <c r="BW300" s="1">
        <v>3100100</v>
      </c>
      <c r="BX300" s="1">
        <v>2515900</v>
      </c>
      <c r="BY300" s="1">
        <v>2687600</v>
      </c>
      <c r="BZ300" s="1">
        <v>2423200</v>
      </c>
    </row>
    <row r="301" spans="1:78">
      <c r="A301" s="394" t="s">
        <v>514</v>
      </c>
      <c r="B301" s="1" t="str">
        <f>銘柄管理!C301</f>
        <v>三菱化工機</v>
      </c>
      <c r="C301" s="1">
        <f>_xll.RssMarket("6331","出来高")</f>
        <v>122100</v>
      </c>
      <c r="D301" s="82">
        <f t="shared" si="4"/>
        <v>-80900</v>
      </c>
      <c r="E301" s="1">
        <v>203000</v>
      </c>
      <c r="F301" s="1">
        <v>513600</v>
      </c>
      <c r="G301" s="1">
        <v>359500</v>
      </c>
      <c r="H301" s="1">
        <v>249200</v>
      </c>
      <c r="I301" s="1">
        <v>371900</v>
      </c>
      <c r="J301" s="1">
        <v>178800</v>
      </c>
      <c r="K301" s="1">
        <v>165900</v>
      </c>
      <c r="L301" s="1">
        <v>187500</v>
      </c>
      <c r="M301" s="1">
        <v>184300</v>
      </c>
      <c r="N301" s="1">
        <v>202200</v>
      </c>
      <c r="O301" s="1">
        <v>152600</v>
      </c>
      <c r="P301" s="1">
        <v>313500</v>
      </c>
      <c r="Q301" s="1">
        <v>101500</v>
      </c>
      <c r="R301" s="1">
        <v>177900</v>
      </c>
      <c r="S301" s="1">
        <v>210300</v>
      </c>
      <c r="T301" s="1">
        <v>135200</v>
      </c>
      <c r="U301" s="1">
        <v>184800</v>
      </c>
      <c r="V301" s="1">
        <v>243400</v>
      </c>
      <c r="W301" s="1">
        <v>282800</v>
      </c>
      <c r="X301" s="1">
        <v>208300</v>
      </c>
      <c r="Y301" s="1">
        <v>133600</v>
      </c>
      <c r="Z301" s="1">
        <v>161500</v>
      </c>
      <c r="AA301" s="1">
        <v>138500</v>
      </c>
      <c r="AB301" s="1">
        <v>137300</v>
      </c>
      <c r="AC301" s="1">
        <v>175800</v>
      </c>
      <c r="AD301" s="1">
        <v>188200</v>
      </c>
      <c r="AE301" s="1">
        <v>118000</v>
      </c>
      <c r="AF301" s="1">
        <v>164600</v>
      </c>
      <c r="AG301" s="1">
        <v>166500</v>
      </c>
      <c r="AH301" s="1">
        <v>163600</v>
      </c>
      <c r="AI301" s="1">
        <v>110400</v>
      </c>
      <c r="AJ301" s="1">
        <v>154000</v>
      </c>
      <c r="AK301" s="1">
        <v>266000</v>
      </c>
      <c r="AL301" s="1">
        <v>187500</v>
      </c>
      <c r="AM301" s="1">
        <v>176200</v>
      </c>
      <c r="AN301" s="1">
        <v>180800</v>
      </c>
      <c r="AO301" s="1">
        <v>189100</v>
      </c>
      <c r="AP301" s="1">
        <v>304700</v>
      </c>
      <c r="AQ301" s="1">
        <v>189900</v>
      </c>
      <c r="AR301" s="1">
        <v>329800</v>
      </c>
      <c r="AS301" s="1">
        <v>470800</v>
      </c>
      <c r="AT301" s="1">
        <v>498700</v>
      </c>
      <c r="AU301" s="1">
        <v>252100</v>
      </c>
      <c r="AV301" s="1">
        <v>152200</v>
      </c>
      <c r="AW301" s="1">
        <v>282400</v>
      </c>
      <c r="AX301" s="1">
        <v>259000</v>
      </c>
      <c r="AY301" s="1">
        <v>198000</v>
      </c>
      <c r="AZ301" s="1">
        <v>219000</v>
      </c>
      <c r="BA301" s="1">
        <v>273600</v>
      </c>
      <c r="BB301" s="1">
        <v>357500</v>
      </c>
      <c r="BC301" s="1">
        <v>426100</v>
      </c>
      <c r="BD301" s="1">
        <v>945300</v>
      </c>
      <c r="BE301" s="1">
        <v>816000</v>
      </c>
      <c r="BF301" s="1">
        <v>219700</v>
      </c>
      <c r="BG301" s="1">
        <v>187100</v>
      </c>
      <c r="BH301" s="1">
        <v>239700</v>
      </c>
      <c r="BI301" s="1">
        <v>121700</v>
      </c>
      <c r="BJ301" s="1">
        <v>178800</v>
      </c>
      <c r="BK301" s="1">
        <v>197000</v>
      </c>
      <c r="BL301" s="1">
        <v>280000</v>
      </c>
      <c r="BM301" s="1">
        <v>222700</v>
      </c>
      <c r="BN301" s="1">
        <v>205200</v>
      </c>
      <c r="BO301" s="1">
        <v>315400</v>
      </c>
      <c r="BP301" s="1">
        <v>261300</v>
      </c>
      <c r="BQ301" s="1">
        <v>346100</v>
      </c>
      <c r="BR301" s="1">
        <v>205000</v>
      </c>
      <c r="BS301" s="1">
        <v>134600</v>
      </c>
      <c r="BT301" s="1">
        <v>122100</v>
      </c>
      <c r="BU301" s="1">
        <v>146900</v>
      </c>
      <c r="BV301" s="1">
        <v>190200</v>
      </c>
      <c r="BW301" s="1">
        <v>241600</v>
      </c>
      <c r="BX301" s="1">
        <v>206300</v>
      </c>
      <c r="BY301" s="1">
        <v>243500</v>
      </c>
      <c r="BZ301" s="1">
        <v>230800</v>
      </c>
    </row>
    <row r="302" spans="1:78">
      <c r="A302" s="394" t="s">
        <v>515</v>
      </c>
      <c r="B302" s="1" t="str">
        <f>銘柄管理!C302</f>
        <v>ＨＯＹＡ</v>
      </c>
      <c r="C302" s="1">
        <f>_xll.RssMarket("7741","出来高")</f>
        <v>679100</v>
      </c>
      <c r="D302" s="82">
        <f t="shared" si="4"/>
        <v>-705300</v>
      </c>
      <c r="E302" s="1">
        <v>1384400</v>
      </c>
      <c r="F302" s="1">
        <v>1538600</v>
      </c>
      <c r="G302" s="1">
        <v>2127000</v>
      </c>
      <c r="H302" s="1">
        <v>1126700</v>
      </c>
      <c r="I302" s="1">
        <v>1083600</v>
      </c>
      <c r="J302" s="1">
        <v>1044300</v>
      </c>
      <c r="K302" s="1">
        <v>685100</v>
      </c>
      <c r="L302" s="1">
        <v>602200</v>
      </c>
      <c r="M302" s="1">
        <v>760000</v>
      </c>
      <c r="N302" s="1">
        <v>832800</v>
      </c>
      <c r="O302" s="1">
        <v>1057300</v>
      </c>
      <c r="P302" s="1">
        <v>1065900</v>
      </c>
      <c r="Q302" s="1">
        <v>813700</v>
      </c>
      <c r="R302" s="1">
        <v>936200</v>
      </c>
      <c r="S302" s="1">
        <v>772000</v>
      </c>
      <c r="T302" s="1">
        <v>992600</v>
      </c>
      <c r="U302" s="1">
        <v>1841900</v>
      </c>
      <c r="V302" s="1">
        <v>1700600</v>
      </c>
      <c r="W302" s="1">
        <v>1301800</v>
      </c>
      <c r="X302" s="1">
        <v>784100</v>
      </c>
      <c r="Y302" s="1">
        <v>991500</v>
      </c>
      <c r="Z302" s="1">
        <v>1068900</v>
      </c>
      <c r="AA302" s="1">
        <v>1073900</v>
      </c>
      <c r="AB302" s="1">
        <v>1221100</v>
      </c>
      <c r="AC302" s="1">
        <v>1387700</v>
      </c>
      <c r="AD302" s="1">
        <v>1331600</v>
      </c>
      <c r="AE302" s="1">
        <v>1037600</v>
      </c>
      <c r="AF302" s="1">
        <v>1042700</v>
      </c>
      <c r="AG302" s="1">
        <v>919300</v>
      </c>
      <c r="AH302" s="1">
        <v>718700</v>
      </c>
      <c r="AI302" s="1">
        <v>1231700</v>
      </c>
      <c r="AJ302" s="1">
        <v>1113200</v>
      </c>
      <c r="AK302" s="1">
        <v>833200</v>
      </c>
      <c r="AL302" s="1">
        <v>964700</v>
      </c>
      <c r="AM302" s="1">
        <v>652900</v>
      </c>
      <c r="AN302" s="1">
        <v>1790900</v>
      </c>
      <c r="AO302" s="1">
        <v>936500</v>
      </c>
      <c r="AP302" s="1">
        <v>894600</v>
      </c>
      <c r="AQ302" s="1">
        <v>936500</v>
      </c>
      <c r="AR302" s="1">
        <v>714800</v>
      </c>
      <c r="AS302" s="1">
        <v>1078800</v>
      </c>
      <c r="AT302" s="1">
        <v>1092900</v>
      </c>
      <c r="AU302" s="1">
        <v>894500</v>
      </c>
      <c r="AV302" s="1">
        <v>1751300</v>
      </c>
      <c r="AW302" s="1">
        <v>930100</v>
      </c>
      <c r="AX302" s="1">
        <v>1399000</v>
      </c>
      <c r="AY302" s="1">
        <v>956600</v>
      </c>
      <c r="AZ302" s="1">
        <v>1071500</v>
      </c>
      <c r="BA302" s="1">
        <v>744300</v>
      </c>
      <c r="BB302" s="1">
        <v>976100</v>
      </c>
      <c r="BC302" s="1">
        <v>1029300</v>
      </c>
      <c r="BD302" s="1">
        <v>677600</v>
      </c>
      <c r="BE302" s="1">
        <v>1111800</v>
      </c>
      <c r="BF302" s="1">
        <v>934500</v>
      </c>
      <c r="BG302" s="1">
        <v>814400</v>
      </c>
      <c r="BH302" s="1">
        <v>1110000</v>
      </c>
      <c r="BI302" s="1">
        <v>1231300</v>
      </c>
      <c r="BJ302" s="1">
        <v>1207200</v>
      </c>
      <c r="BK302" s="1">
        <v>2802900</v>
      </c>
      <c r="BL302" s="1">
        <v>1140500</v>
      </c>
      <c r="BM302" s="1">
        <v>3573900</v>
      </c>
      <c r="BN302" s="1">
        <v>952900</v>
      </c>
      <c r="BO302" s="1">
        <v>950500</v>
      </c>
      <c r="BP302" s="1">
        <v>772600</v>
      </c>
      <c r="BQ302" s="1">
        <v>899100</v>
      </c>
      <c r="BR302" s="1">
        <v>914500</v>
      </c>
      <c r="BS302" s="1">
        <v>1089700</v>
      </c>
      <c r="BT302" s="1">
        <v>897300</v>
      </c>
      <c r="BU302" s="1">
        <v>1161300</v>
      </c>
      <c r="BV302" s="1">
        <v>1130400</v>
      </c>
      <c r="BW302" s="1">
        <v>1094200</v>
      </c>
      <c r="BX302" s="1">
        <v>733200</v>
      </c>
      <c r="BY302" s="1">
        <v>793200</v>
      </c>
      <c r="BZ302" s="1">
        <v>1167400</v>
      </c>
    </row>
    <row r="303" spans="1:78">
      <c r="A303" s="394" t="s">
        <v>876</v>
      </c>
      <c r="B303" s="1" t="str">
        <f>銘柄管理!C303</f>
        <v>ＮＦ日経２２５</v>
      </c>
      <c r="C303" s="1">
        <f>_xll.RssMarket("1321","出来高")</f>
        <v>270014</v>
      </c>
      <c r="D303" s="82">
        <f t="shared" si="4"/>
        <v>12912</v>
      </c>
      <c r="E303" s="1">
        <v>257102</v>
      </c>
      <c r="F303" s="1">
        <v>267374</v>
      </c>
      <c r="G303" s="1">
        <v>455776</v>
      </c>
      <c r="H303" s="1">
        <v>393959</v>
      </c>
      <c r="I303" s="1">
        <v>412230</v>
      </c>
      <c r="J303" s="1">
        <v>414393</v>
      </c>
      <c r="K303" s="1">
        <v>297036</v>
      </c>
      <c r="L303" s="1">
        <v>320042</v>
      </c>
      <c r="M303" s="1">
        <v>200405</v>
      </c>
      <c r="N303" s="1">
        <v>331180</v>
      </c>
      <c r="O303" s="1">
        <v>376904</v>
      </c>
      <c r="P303" s="1">
        <v>833236</v>
      </c>
      <c r="Q303" s="1">
        <v>247387</v>
      </c>
      <c r="R303" s="1">
        <v>304920</v>
      </c>
      <c r="S303" s="1">
        <v>375693</v>
      </c>
      <c r="T303" s="1">
        <v>359471</v>
      </c>
      <c r="U303" s="1">
        <v>397136</v>
      </c>
      <c r="V303" s="1">
        <v>361390</v>
      </c>
      <c r="W303" s="1">
        <v>496428</v>
      </c>
      <c r="X303" s="1">
        <v>311251</v>
      </c>
      <c r="Y303" s="1">
        <v>384612</v>
      </c>
      <c r="Z303" s="1">
        <v>472770</v>
      </c>
      <c r="AA303" s="1">
        <v>306600</v>
      </c>
      <c r="AB303" s="1">
        <v>419420</v>
      </c>
      <c r="AC303" s="1">
        <v>371068</v>
      </c>
      <c r="AD303" s="1">
        <v>642689</v>
      </c>
      <c r="AE303" s="1">
        <v>535006</v>
      </c>
      <c r="AF303" s="1">
        <v>713336</v>
      </c>
      <c r="AG303" s="1">
        <v>608062</v>
      </c>
      <c r="AH303" s="1">
        <v>340824</v>
      </c>
      <c r="AI303" s="1">
        <v>449694</v>
      </c>
      <c r="AJ303" s="1">
        <v>488172</v>
      </c>
      <c r="AK303" s="1">
        <v>342064</v>
      </c>
      <c r="AL303" s="1">
        <v>436528</v>
      </c>
      <c r="AM303" s="1">
        <v>747852</v>
      </c>
      <c r="AN303" s="1">
        <v>563517</v>
      </c>
      <c r="AO303" s="1">
        <v>709015</v>
      </c>
      <c r="AP303" s="1">
        <v>637032</v>
      </c>
      <c r="AQ303" s="1">
        <v>783978</v>
      </c>
      <c r="AR303" s="1">
        <v>377415</v>
      </c>
      <c r="AS303" s="1">
        <v>323314</v>
      </c>
      <c r="AT303" s="1">
        <v>598336</v>
      </c>
      <c r="AU303" s="1">
        <v>417601</v>
      </c>
      <c r="AV303" s="1">
        <v>303836</v>
      </c>
      <c r="AW303" s="1">
        <v>387287</v>
      </c>
      <c r="AX303" s="1">
        <v>355358</v>
      </c>
      <c r="AY303" s="1">
        <v>679448</v>
      </c>
      <c r="AZ303" s="1">
        <v>433565</v>
      </c>
      <c r="BA303" s="1">
        <v>407574</v>
      </c>
      <c r="BB303" s="1">
        <v>488890</v>
      </c>
      <c r="BC303" s="1">
        <v>313297</v>
      </c>
      <c r="BD303" s="1">
        <v>423660</v>
      </c>
      <c r="BE303" s="1">
        <v>714753</v>
      </c>
      <c r="BF303" s="1">
        <v>278547</v>
      </c>
      <c r="BG303" s="1">
        <v>201654</v>
      </c>
      <c r="BH303" s="1">
        <v>256886</v>
      </c>
      <c r="BI303" s="1">
        <v>208275</v>
      </c>
      <c r="BJ303" s="1">
        <v>279514</v>
      </c>
      <c r="BK303" s="1">
        <v>551506</v>
      </c>
      <c r="BL303" s="1">
        <v>164405</v>
      </c>
      <c r="BM303" s="1">
        <v>421289</v>
      </c>
      <c r="BN303" s="1">
        <v>286475</v>
      </c>
      <c r="BO303" s="1">
        <v>523967</v>
      </c>
      <c r="BP303" s="1">
        <v>234459</v>
      </c>
      <c r="BQ303" s="1">
        <v>591905</v>
      </c>
      <c r="BR303" s="1">
        <v>283209</v>
      </c>
      <c r="BS303" s="1">
        <v>230340</v>
      </c>
      <c r="BT303" s="1">
        <v>253158</v>
      </c>
      <c r="BU303" s="1">
        <v>272088</v>
      </c>
      <c r="BV303" s="1">
        <v>494500</v>
      </c>
      <c r="BW303" s="1">
        <v>284953</v>
      </c>
      <c r="BX303" s="1">
        <v>394311</v>
      </c>
      <c r="BY303" s="1">
        <v>301493</v>
      </c>
      <c r="BZ303" s="1">
        <v>487962</v>
      </c>
    </row>
    <row r="304" spans="1:78">
      <c r="A304" s="394" t="s">
        <v>878</v>
      </c>
      <c r="B304" s="1" t="str">
        <f>銘柄管理!C304</f>
        <v>きんでん</v>
      </c>
      <c r="C304" s="1">
        <f>_xll.RssMarket("1944","出来高")</f>
        <v>335400</v>
      </c>
      <c r="D304" s="82">
        <f t="shared" si="4"/>
        <v>-350600</v>
      </c>
      <c r="E304" s="1">
        <v>686000</v>
      </c>
      <c r="F304" s="1">
        <v>992600</v>
      </c>
      <c r="G304" s="1">
        <v>1541600</v>
      </c>
      <c r="H304" s="1">
        <v>3924000</v>
      </c>
      <c r="I304" s="1">
        <v>1803400</v>
      </c>
      <c r="J304" s="1">
        <v>1649000</v>
      </c>
      <c r="K304" s="1">
        <v>1175200</v>
      </c>
      <c r="L304" s="1">
        <v>649900</v>
      </c>
      <c r="M304" s="1">
        <v>684200</v>
      </c>
      <c r="N304" s="1">
        <v>659500</v>
      </c>
      <c r="O304" s="1">
        <v>770200</v>
      </c>
      <c r="P304" s="1">
        <v>750600</v>
      </c>
      <c r="Q304" s="1">
        <v>420700</v>
      </c>
      <c r="R304" s="1">
        <v>460700</v>
      </c>
      <c r="S304" s="1">
        <v>526300</v>
      </c>
      <c r="T304" s="1">
        <v>462200</v>
      </c>
      <c r="U304" s="1">
        <v>445500</v>
      </c>
      <c r="V304" s="1">
        <v>809300</v>
      </c>
      <c r="W304" s="1">
        <v>624200</v>
      </c>
      <c r="X304" s="1">
        <v>570300</v>
      </c>
      <c r="Y304" s="1">
        <v>612500</v>
      </c>
      <c r="Z304" s="1">
        <v>558600</v>
      </c>
      <c r="AA304" s="1">
        <v>409100</v>
      </c>
      <c r="AB304" s="1">
        <v>467000</v>
      </c>
      <c r="AC304" s="1">
        <v>487500</v>
      </c>
      <c r="AD304" s="1">
        <v>722300</v>
      </c>
      <c r="AE304" s="1">
        <v>873000</v>
      </c>
      <c r="AF304" s="1">
        <v>837100</v>
      </c>
      <c r="AG304" s="1">
        <v>1026000</v>
      </c>
      <c r="AH304" s="1">
        <v>924600</v>
      </c>
      <c r="AI304" s="1">
        <v>2174500</v>
      </c>
      <c r="AJ304" s="1">
        <v>1013300</v>
      </c>
      <c r="AK304" s="1">
        <v>1222400</v>
      </c>
      <c r="AL304" s="1">
        <v>799100</v>
      </c>
      <c r="AM304" s="1">
        <v>842500</v>
      </c>
      <c r="AN304" s="1">
        <v>566200</v>
      </c>
      <c r="AO304" s="1">
        <v>688000</v>
      </c>
      <c r="AP304" s="1">
        <v>839500</v>
      </c>
      <c r="AQ304" s="1">
        <v>994600</v>
      </c>
      <c r="AR304" s="1">
        <v>860000</v>
      </c>
      <c r="AS304" s="1">
        <v>771200</v>
      </c>
      <c r="AT304" s="1">
        <v>1067000</v>
      </c>
      <c r="AU304" s="1">
        <v>709800</v>
      </c>
      <c r="AV304" s="1">
        <v>1122700</v>
      </c>
      <c r="AW304" s="1">
        <v>837100</v>
      </c>
      <c r="AX304" s="1">
        <v>528200</v>
      </c>
      <c r="AY304" s="1">
        <v>780200</v>
      </c>
      <c r="AZ304" s="1">
        <v>704100</v>
      </c>
      <c r="BA304" s="1">
        <v>638800</v>
      </c>
      <c r="BB304" s="1">
        <v>1007200</v>
      </c>
      <c r="BC304" s="1">
        <v>806000</v>
      </c>
      <c r="BD304" s="1">
        <v>910100</v>
      </c>
      <c r="BE304" s="1">
        <v>761700</v>
      </c>
      <c r="BF304" s="1">
        <v>664500</v>
      </c>
      <c r="BG304" s="1">
        <v>818700</v>
      </c>
      <c r="BH304" s="1">
        <v>705800</v>
      </c>
      <c r="BI304" s="1">
        <v>702000</v>
      </c>
      <c r="BJ304" s="1">
        <v>880100</v>
      </c>
      <c r="BK304" s="1">
        <v>1596700</v>
      </c>
      <c r="BL304" s="1">
        <v>1274000</v>
      </c>
      <c r="BM304" s="1">
        <v>3084200</v>
      </c>
      <c r="BN304" s="1">
        <v>279100</v>
      </c>
      <c r="BO304" s="1">
        <v>1689400</v>
      </c>
      <c r="BP304" s="1">
        <v>548900</v>
      </c>
      <c r="BQ304" s="1">
        <v>722400</v>
      </c>
      <c r="BR304" s="1">
        <v>479700</v>
      </c>
      <c r="BS304" s="1">
        <v>471300</v>
      </c>
      <c r="BT304" s="1">
        <v>300300</v>
      </c>
      <c r="BU304" s="1">
        <v>660000</v>
      </c>
      <c r="BV304" s="1">
        <v>755800</v>
      </c>
      <c r="BW304" s="1">
        <v>1116300</v>
      </c>
      <c r="BX304" s="1">
        <v>418400</v>
      </c>
      <c r="BY304" s="1">
        <v>354200</v>
      </c>
      <c r="BZ304" s="1">
        <v>349900</v>
      </c>
    </row>
    <row r="305" spans="1:78">
      <c r="A305" s="394" t="s">
        <v>1039</v>
      </c>
      <c r="B305" s="1" t="str">
        <f>銘柄管理!C305</f>
        <v>パンパシフィックＨＤ</v>
      </c>
      <c r="C305" s="1">
        <f>_xll.RssMarket("7532","出来高")</f>
        <v>3255800</v>
      </c>
      <c r="D305" s="82">
        <f t="shared" ref="D305:D366" si="5">C305-E305</f>
        <v>-2248500</v>
      </c>
      <c r="E305" s="1">
        <v>5504300</v>
      </c>
      <c r="F305" s="1">
        <v>7666700</v>
      </c>
      <c r="G305" s="1">
        <v>13335800</v>
      </c>
      <c r="H305" s="1">
        <v>12683900</v>
      </c>
      <c r="I305" s="1">
        <v>20441100</v>
      </c>
      <c r="J305" s="1">
        <v>11826600</v>
      </c>
      <c r="K305" s="1">
        <v>8374100</v>
      </c>
      <c r="L305" s="1">
        <v>6927400</v>
      </c>
      <c r="M305" s="1">
        <v>6045000</v>
      </c>
      <c r="N305" s="1">
        <v>7010800</v>
      </c>
      <c r="O305" s="1">
        <v>9065700</v>
      </c>
      <c r="P305" s="1">
        <v>13238300</v>
      </c>
      <c r="Q305" s="1">
        <v>8447400</v>
      </c>
      <c r="R305" s="1">
        <v>7420500</v>
      </c>
      <c r="S305" s="1">
        <v>7961100</v>
      </c>
      <c r="T305" s="1">
        <v>9319000</v>
      </c>
      <c r="U305" s="1">
        <v>10620300</v>
      </c>
      <c r="V305" s="1">
        <v>14734400</v>
      </c>
      <c r="W305" s="1">
        <v>13886200</v>
      </c>
      <c r="X305" s="1">
        <v>8826900</v>
      </c>
      <c r="Y305" s="1">
        <v>8524900</v>
      </c>
      <c r="Z305" s="1">
        <v>8356400</v>
      </c>
      <c r="AA305" s="1">
        <v>10371000</v>
      </c>
      <c r="AB305" s="1">
        <v>12157200</v>
      </c>
      <c r="AC305" s="1">
        <v>11480100</v>
      </c>
      <c r="AD305" s="1">
        <v>11977400</v>
      </c>
      <c r="AE305" s="1">
        <v>10826200</v>
      </c>
      <c r="AF305" s="1">
        <v>10505100</v>
      </c>
      <c r="AG305" s="1">
        <v>10696300</v>
      </c>
      <c r="AH305" s="1">
        <v>8875500</v>
      </c>
      <c r="AI305" s="1">
        <v>13115400</v>
      </c>
      <c r="AJ305" s="1">
        <v>7911200</v>
      </c>
      <c r="AK305" s="1">
        <v>7820900</v>
      </c>
      <c r="AL305" s="1">
        <v>10168000</v>
      </c>
      <c r="AM305" s="1">
        <v>10026400</v>
      </c>
      <c r="AN305" s="1">
        <v>11446700</v>
      </c>
      <c r="AO305" s="1">
        <v>13632800</v>
      </c>
      <c r="AP305" s="1">
        <v>8280200</v>
      </c>
      <c r="AQ305" s="1">
        <v>10968100</v>
      </c>
      <c r="AR305" s="1">
        <v>6266300</v>
      </c>
      <c r="AS305" s="1">
        <v>9390800</v>
      </c>
      <c r="AT305" s="1">
        <v>9425900</v>
      </c>
      <c r="AU305" s="1">
        <v>9167400</v>
      </c>
      <c r="AV305" s="1">
        <v>24956100</v>
      </c>
      <c r="AW305" s="1">
        <v>16167200</v>
      </c>
      <c r="AX305" s="1">
        <v>13791600</v>
      </c>
      <c r="AY305" s="1">
        <v>13279300</v>
      </c>
      <c r="AZ305" s="1">
        <v>9405200</v>
      </c>
      <c r="BA305" s="1">
        <v>10250600</v>
      </c>
      <c r="BB305" s="1">
        <v>9807500</v>
      </c>
      <c r="BC305" s="1">
        <v>8372100</v>
      </c>
      <c r="BD305" s="1">
        <v>9284700</v>
      </c>
      <c r="BE305" s="1">
        <v>9131900</v>
      </c>
      <c r="BF305" s="1">
        <v>15717300</v>
      </c>
      <c r="BG305" s="1">
        <v>11563500</v>
      </c>
      <c r="BH305" s="1">
        <v>6062600</v>
      </c>
      <c r="BI305" s="1">
        <v>8683900</v>
      </c>
      <c r="BJ305" s="1">
        <v>8199800</v>
      </c>
      <c r="BK305" s="1">
        <v>12605500</v>
      </c>
      <c r="BL305" s="1">
        <v>6483500</v>
      </c>
      <c r="BM305" s="1">
        <v>11175700</v>
      </c>
      <c r="BN305" s="1">
        <v>11586100</v>
      </c>
      <c r="BO305" s="1">
        <v>6641100</v>
      </c>
      <c r="BP305" s="1">
        <v>5115300</v>
      </c>
      <c r="BQ305" s="1">
        <v>8867300</v>
      </c>
      <c r="BR305" s="1">
        <v>6811900</v>
      </c>
      <c r="BS305" s="1">
        <v>4821700</v>
      </c>
      <c r="BT305" s="1">
        <v>5711800</v>
      </c>
      <c r="BU305" s="1">
        <v>6870200</v>
      </c>
      <c r="BV305" s="1">
        <v>6233100</v>
      </c>
      <c r="BW305" s="1">
        <v>8479500</v>
      </c>
      <c r="BX305" s="1">
        <v>7832900</v>
      </c>
      <c r="BY305" s="1">
        <v>8301900</v>
      </c>
      <c r="BZ305" s="1">
        <v>8693200</v>
      </c>
    </row>
    <row r="306" spans="1:78">
      <c r="A306" s="396"/>
      <c r="D306" s="82">
        <f t="shared" si="5"/>
        <v>0</v>
      </c>
    </row>
    <row r="307" spans="1:78">
      <c r="A307" s="396"/>
      <c r="D307" s="82">
        <f t="shared" si="5"/>
        <v>0</v>
      </c>
    </row>
    <row r="308" spans="1:78">
      <c r="A308" s="396"/>
      <c r="D308" s="82">
        <f t="shared" si="5"/>
        <v>0</v>
      </c>
    </row>
    <row r="309" spans="1:78">
      <c r="A309" s="396"/>
      <c r="D309" s="82">
        <f t="shared" si="5"/>
        <v>0</v>
      </c>
    </row>
    <row r="310" spans="1:78">
      <c r="A310" s="396"/>
      <c r="D310" s="82">
        <f t="shared" si="5"/>
        <v>0</v>
      </c>
    </row>
    <row r="311" spans="1:78">
      <c r="A311" s="396"/>
      <c r="D311" s="82">
        <f t="shared" si="5"/>
        <v>0</v>
      </c>
    </row>
    <row r="312" spans="1:78">
      <c r="A312" s="396"/>
      <c r="D312" s="82">
        <f t="shared" si="5"/>
        <v>0</v>
      </c>
    </row>
    <row r="313" spans="1:78">
      <c r="A313" s="396"/>
      <c r="D313" s="82">
        <f t="shared" si="5"/>
        <v>0</v>
      </c>
    </row>
    <row r="314" spans="1:78">
      <c r="A314" s="396"/>
      <c r="D314" s="82">
        <f t="shared" si="5"/>
        <v>0</v>
      </c>
    </row>
    <row r="315" spans="1:78">
      <c r="A315" s="396"/>
      <c r="D315" s="82">
        <f t="shared" si="5"/>
        <v>0</v>
      </c>
    </row>
    <row r="316" spans="1:78">
      <c r="A316" s="396"/>
      <c r="D316" s="82">
        <f t="shared" si="5"/>
        <v>0</v>
      </c>
    </row>
    <row r="317" spans="1:78">
      <c r="A317" s="396"/>
      <c r="D317" s="82">
        <f t="shared" si="5"/>
        <v>0</v>
      </c>
    </row>
    <row r="318" spans="1:78">
      <c r="A318" s="396"/>
      <c r="D318" s="82">
        <f t="shared" si="5"/>
        <v>0</v>
      </c>
    </row>
    <row r="319" spans="1:78">
      <c r="A319" s="396"/>
      <c r="D319" s="82">
        <f t="shared" si="5"/>
        <v>0</v>
      </c>
    </row>
    <row r="320" spans="1:78">
      <c r="A320" s="396"/>
      <c r="D320" s="82">
        <f t="shared" si="5"/>
        <v>0</v>
      </c>
    </row>
    <row r="321" spans="1:4">
      <c r="A321" s="396"/>
      <c r="D321" s="82">
        <f t="shared" si="5"/>
        <v>0</v>
      </c>
    </row>
    <row r="322" spans="1:4">
      <c r="A322" s="396"/>
      <c r="D322" s="82">
        <f t="shared" si="5"/>
        <v>0</v>
      </c>
    </row>
    <row r="323" spans="1:4">
      <c r="A323" s="396"/>
      <c r="D323" s="82">
        <f t="shared" si="5"/>
        <v>0</v>
      </c>
    </row>
    <row r="324" spans="1:4">
      <c r="A324" s="396"/>
      <c r="D324" s="82">
        <f t="shared" si="5"/>
        <v>0</v>
      </c>
    </row>
    <row r="325" spans="1:4">
      <c r="A325" s="396"/>
      <c r="D325" s="82">
        <f t="shared" si="5"/>
        <v>0</v>
      </c>
    </row>
    <row r="326" spans="1:4">
      <c r="A326" s="396"/>
      <c r="D326" s="82">
        <f t="shared" si="5"/>
        <v>0</v>
      </c>
    </row>
    <row r="327" spans="1:4">
      <c r="A327" s="396"/>
      <c r="D327" s="82">
        <f t="shared" si="5"/>
        <v>0</v>
      </c>
    </row>
    <row r="328" spans="1:4">
      <c r="A328" s="396"/>
      <c r="D328" s="82">
        <f t="shared" si="5"/>
        <v>0</v>
      </c>
    </row>
    <row r="329" spans="1:4">
      <c r="A329" s="396"/>
      <c r="D329" s="82">
        <f t="shared" si="5"/>
        <v>0</v>
      </c>
    </row>
    <row r="330" spans="1:4">
      <c r="A330" s="396"/>
      <c r="D330" s="82">
        <f t="shared" si="5"/>
        <v>0</v>
      </c>
    </row>
    <row r="331" spans="1:4">
      <c r="A331" s="396"/>
      <c r="D331" s="82">
        <f t="shared" si="5"/>
        <v>0</v>
      </c>
    </row>
    <row r="332" spans="1:4">
      <c r="A332" s="396"/>
      <c r="D332" s="82">
        <f t="shared" si="5"/>
        <v>0</v>
      </c>
    </row>
    <row r="333" spans="1:4">
      <c r="A333" s="396"/>
      <c r="D333" s="82">
        <f t="shared" si="5"/>
        <v>0</v>
      </c>
    </row>
    <row r="334" spans="1:4">
      <c r="A334" s="396"/>
      <c r="D334" s="82">
        <f t="shared" si="5"/>
        <v>0</v>
      </c>
    </row>
    <row r="335" spans="1:4">
      <c r="A335" s="396"/>
      <c r="D335" s="82">
        <f t="shared" si="5"/>
        <v>0</v>
      </c>
    </row>
    <row r="336" spans="1:4">
      <c r="A336" s="396"/>
      <c r="D336" s="82">
        <f t="shared" si="5"/>
        <v>0</v>
      </c>
    </row>
    <row r="337" spans="1:4">
      <c r="A337" s="396"/>
      <c r="D337" s="82">
        <f t="shared" si="5"/>
        <v>0</v>
      </c>
    </row>
    <row r="338" spans="1:4">
      <c r="A338" s="396"/>
      <c r="D338" s="82">
        <f t="shared" si="5"/>
        <v>0</v>
      </c>
    </row>
    <row r="339" spans="1:4">
      <c r="A339" s="396"/>
      <c r="D339" s="82">
        <f t="shared" si="5"/>
        <v>0</v>
      </c>
    </row>
    <row r="340" spans="1:4">
      <c r="A340" s="396"/>
      <c r="D340" s="82">
        <f t="shared" si="5"/>
        <v>0</v>
      </c>
    </row>
    <row r="341" spans="1:4">
      <c r="A341" s="396"/>
      <c r="D341" s="82">
        <f t="shared" si="5"/>
        <v>0</v>
      </c>
    </row>
    <row r="342" spans="1:4">
      <c r="A342" s="396"/>
      <c r="D342" s="82">
        <f t="shared" si="5"/>
        <v>0</v>
      </c>
    </row>
    <row r="343" spans="1:4">
      <c r="A343" s="396"/>
      <c r="D343" s="82">
        <f t="shared" si="5"/>
        <v>0</v>
      </c>
    </row>
    <row r="344" spans="1:4">
      <c r="A344" s="396"/>
      <c r="D344" s="82">
        <f t="shared" si="5"/>
        <v>0</v>
      </c>
    </row>
    <row r="345" spans="1:4">
      <c r="A345" s="396"/>
      <c r="D345" s="82">
        <f t="shared" si="5"/>
        <v>0</v>
      </c>
    </row>
    <row r="346" spans="1:4">
      <c r="A346" s="396"/>
      <c r="D346" s="82">
        <f t="shared" si="5"/>
        <v>0</v>
      </c>
    </row>
    <row r="347" spans="1:4">
      <c r="A347" s="396"/>
      <c r="D347" s="82">
        <f t="shared" si="5"/>
        <v>0</v>
      </c>
    </row>
    <row r="348" spans="1:4">
      <c r="A348" s="396"/>
      <c r="D348" s="82">
        <f t="shared" si="5"/>
        <v>0</v>
      </c>
    </row>
    <row r="349" spans="1:4">
      <c r="A349" s="396"/>
      <c r="D349" s="82">
        <f t="shared" si="5"/>
        <v>0</v>
      </c>
    </row>
    <row r="350" spans="1:4">
      <c r="A350" s="396"/>
      <c r="D350" s="82">
        <f t="shared" si="5"/>
        <v>0</v>
      </c>
    </row>
    <row r="351" spans="1:4">
      <c r="A351" s="396"/>
      <c r="D351" s="82">
        <f t="shared" si="5"/>
        <v>0</v>
      </c>
    </row>
    <row r="352" spans="1:4">
      <c r="A352" s="396"/>
      <c r="D352" s="82">
        <f t="shared" si="5"/>
        <v>0</v>
      </c>
    </row>
    <row r="353" spans="1:4">
      <c r="A353" s="396"/>
      <c r="D353" s="82">
        <f t="shared" si="5"/>
        <v>0</v>
      </c>
    </row>
    <row r="354" spans="1:4">
      <c r="A354" s="396"/>
      <c r="D354" s="82">
        <f t="shared" si="5"/>
        <v>0</v>
      </c>
    </row>
    <row r="355" spans="1:4">
      <c r="A355" s="396"/>
      <c r="D355" s="82">
        <f t="shared" si="5"/>
        <v>0</v>
      </c>
    </row>
    <row r="356" spans="1:4">
      <c r="A356" s="396"/>
      <c r="D356" s="82">
        <f t="shared" si="5"/>
        <v>0</v>
      </c>
    </row>
    <row r="357" spans="1:4">
      <c r="A357" s="396"/>
      <c r="D357" s="82">
        <f t="shared" si="5"/>
        <v>0</v>
      </c>
    </row>
    <row r="358" spans="1:4">
      <c r="A358" s="396"/>
      <c r="D358" s="82">
        <f t="shared" si="5"/>
        <v>0</v>
      </c>
    </row>
    <row r="359" spans="1:4">
      <c r="A359" s="396"/>
      <c r="D359" s="82">
        <f t="shared" si="5"/>
        <v>0</v>
      </c>
    </row>
    <row r="360" spans="1:4">
      <c r="A360" s="396"/>
      <c r="D360" s="82">
        <f t="shared" si="5"/>
        <v>0</v>
      </c>
    </row>
    <row r="361" spans="1:4">
      <c r="A361" s="396"/>
      <c r="D361" s="82">
        <f t="shared" si="5"/>
        <v>0</v>
      </c>
    </row>
    <row r="362" spans="1:4">
      <c r="A362" s="396"/>
      <c r="D362" s="82">
        <f t="shared" si="5"/>
        <v>0</v>
      </c>
    </row>
    <row r="363" spans="1:4">
      <c r="A363" s="396"/>
      <c r="D363" s="82">
        <f t="shared" si="5"/>
        <v>0</v>
      </c>
    </row>
    <row r="364" spans="1:4">
      <c r="A364" s="396"/>
      <c r="D364" s="82">
        <f t="shared" si="5"/>
        <v>0</v>
      </c>
    </row>
    <row r="365" spans="1:4">
      <c r="A365" s="396"/>
      <c r="D365" s="82">
        <f t="shared" si="5"/>
        <v>0</v>
      </c>
    </row>
    <row r="366" spans="1:4">
      <c r="A366" s="396"/>
      <c r="D366" s="82">
        <f t="shared" si="5"/>
        <v>0</v>
      </c>
    </row>
    <row r="367" spans="1:4">
      <c r="A367" s="396"/>
      <c r="D367" s="82">
        <f t="shared" ref="D367:D430" si="6">C367-E367</f>
        <v>0</v>
      </c>
    </row>
    <row r="368" spans="1:4">
      <c r="A368" s="396"/>
      <c r="D368" s="82">
        <f t="shared" si="6"/>
        <v>0</v>
      </c>
    </row>
    <row r="369" spans="1:4">
      <c r="A369" s="396"/>
      <c r="D369" s="82">
        <f t="shared" si="6"/>
        <v>0</v>
      </c>
    </row>
    <row r="370" spans="1:4">
      <c r="A370" s="396"/>
      <c r="D370" s="82">
        <f t="shared" si="6"/>
        <v>0</v>
      </c>
    </row>
    <row r="371" spans="1:4">
      <c r="A371" s="396"/>
      <c r="D371" s="82">
        <f t="shared" si="6"/>
        <v>0</v>
      </c>
    </row>
    <row r="372" spans="1:4">
      <c r="A372" s="396"/>
      <c r="D372" s="82">
        <f t="shared" si="6"/>
        <v>0</v>
      </c>
    </row>
    <row r="373" spans="1:4">
      <c r="A373" s="396"/>
      <c r="D373" s="82">
        <f t="shared" si="6"/>
        <v>0</v>
      </c>
    </row>
    <row r="374" spans="1:4">
      <c r="A374" s="396"/>
      <c r="D374" s="82">
        <f t="shared" si="6"/>
        <v>0</v>
      </c>
    </row>
    <row r="375" spans="1:4">
      <c r="A375" s="396"/>
      <c r="D375" s="82">
        <f t="shared" si="6"/>
        <v>0</v>
      </c>
    </row>
    <row r="376" spans="1:4">
      <c r="A376" s="396"/>
      <c r="D376" s="82">
        <f t="shared" si="6"/>
        <v>0</v>
      </c>
    </row>
    <row r="377" spans="1:4">
      <c r="A377" s="396"/>
      <c r="D377" s="82">
        <f t="shared" si="6"/>
        <v>0</v>
      </c>
    </row>
    <row r="378" spans="1:4">
      <c r="A378" s="396"/>
      <c r="D378" s="82">
        <f t="shared" si="6"/>
        <v>0</v>
      </c>
    </row>
    <row r="379" spans="1:4">
      <c r="A379" s="396"/>
      <c r="D379" s="82">
        <f t="shared" si="6"/>
        <v>0</v>
      </c>
    </row>
    <row r="380" spans="1:4">
      <c r="A380" s="396"/>
      <c r="D380" s="82">
        <f t="shared" si="6"/>
        <v>0</v>
      </c>
    </row>
    <row r="381" spans="1:4">
      <c r="A381" s="396"/>
      <c r="D381" s="82">
        <f t="shared" si="6"/>
        <v>0</v>
      </c>
    </row>
    <row r="382" spans="1:4">
      <c r="A382" s="396"/>
      <c r="D382" s="82">
        <f t="shared" si="6"/>
        <v>0</v>
      </c>
    </row>
    <row r="383" spans="1:4">
      <c r="A383" s="396"/>
      <c r="D383" s="82">
        <f t="shared" si="6"/>
        <v>0</v>
      </c>
    </row>
    <row r="384" spans="1:4">
      <c r="A384" s="396"/>
      <c r="D384" s="82">
        <f t="shared" si="6"/>
        <v>0</v>
      </c>
    </row>
    <row r="385" spans="1:4">
      <c r="A385" s="396"/>
      <c r="D385" s="82">
        <f t="shared" si="6"/>
        <v>0</v>
      </c>
    </row>
    <row r="386" spans="1:4">
      <c r="A386" s="396"/>
      <c r="D386" s="82">
        <f t="shared" si="6"/>
        <v>0</v>
      </c>
    </row>
    <row r="387" spans="1:4">
      <c r="A387" s="396"/>
      <c r="D387" s="82">
        <f t="shared" si="6"/>
        <v>0</v>
      </c>
    </row>
    <row r="388" spans="1:4">
      <c r="A388" s="396"/>
      <c r="D388" s="82">
        <f t="shared" si="6"/>
        <v>0</v>
      </c>
    </row>
    <row r="389" spans="1:4">
      <c r="A389" s="396"/>
      <c r="D389" s="82">
        <f t="shared" si="6"/>
        <v>0</v>
      </c>
    </row>
    <row r="390" spans="1:4">
      <c r="A390" s="396"/>
      <c r="D390" s="82">
        <f t="shared" si="6"/>
        <v>0</v>
      </c>
    </row>
    <row r="391" spans="1:4">
      <c r="A391" s="396"/>
      <c r="D391" s="82">
        <f t="shared" si="6"/>
        <v>0</v>
      </c>
    </row>
    <row r="392" spans="1:4">
      <c r="A392" s="396"/>
      <c r="D392" s="82">
        <f t="shared" si="6"/>
        <v>0</v>
      </c>
    </row>
    <row r="393" spans="1:4">
      <c r="A393" s="396"/>
      <c r="D393" s="82">
        <f t="shared" si="6"/>
        <v>0</v>
      </c>
    </row>
    <row r="394" spans="1:4">
      <c r="A394" s="396"/>
      <c r="D394" s="82">
        <f t="shared" si="6"/>
        <v>0</v>
      </c>
    </row>
    <row r="395" spans="1:4">
      <c r="A395" s="396"/>
      <c r="D395" s="82">
        <f t="shared" si="6"/>
        <v>0</v>
      </c>
    </row>
    <row r="396" spans="1:4">
      <c r="A396" s="396"/>
      <c r="D396" s="82">
        <f t="shared" si="6"/>
        <v>0</v>
      </c>
    </row>
    <row r="397" spans="1:4">
      <c r="A397" s="396"/>
      <c r="D397" s="82">
        <f t="shared" si="6"/>
        <v>0</v>
      </c>
    </row>
    <row r="398" spans="1:4">
      <c r="A398" s="396"/>
      <c r="D398" s="82">
        <f t="shared" si="6"/>
        <v>0</v>
      </c>
    </row>
    <row r="399" spans="1:4">
      <c r="A399" s="396"/>
      <c r="D399" s="82">
        <f t="shared" si="6"/>
        <v>0</v>
      </c>
    </row>
    <row r="400" spans="1:4">
      <c r="A400" s="396"/>
      <c r="D400" s="82">
        <f t="shared" si="6"/>
        <v>0</v>
      </c>
    </row>
    <row r="401" spans="1:4">
      <c r="A401" s="396"/>
      <c r="D401" s="82">
        <f t="shared" si="6"/>
        <v>0</v>
      </c>
    </row>
    <row r="402" spans="1:4">
      <c r="A402" s="396"/>
      <c r="D402" s="82">
        <f t="shared" si="6"/>
        <v>0</v>
      </c>
    </row>
    <row r="403" spans="1:4">
      <c r="A403" s="396"/>
      <c r="D403" s="82">
        <f t="shared" si="6"/>
        <v>0</v>
      </c>
    </row>
    <row r="404" spans="1:4">
      <c r="A404" s="396"/>
      <c r="D404" s="82">
        <f t="shared" si="6"/>
        <v>0</v>
      </c>
    </row>
    <row r="405" spans="1:4">
      <c r="A405" s="396"/>
      <c r="D405" s="82">
        <f t="shared" si="6"/>
        <v>0</v>
      </c>
    </row>
    <row r="406" spans="1:4">
      <c r="A406" s="396"/>
      <c r="D406" s="82">
        <f t="shared" si="6"/>
        <v>0</v>
      </c>
    </row>
    <row r="407" spans="1:4">
      <c r="A407" s="396"/>
      <c r="D407" s="82">
        <f t="shared" si="6"/>
        <v>0</v>
      </c>
    </row>
    <row r="408" spans="1:4">
      <c r="A408" s="396"/>
      <c r="D408" s="82">
        <f t="shared" si="6"/>
        <v>0</v>
      </c>
    </row>
    <row r="409" spans="1:4">
      <c r="A409" s="396"/>
      <c r="D409" s="82">
        <f t="shared" si="6"/>
        <v>0</v>
      </c>
    </row>
    <row r="410" spans="1:4">
      <c r="A410" s="396"/>
      <c r="D410" s="82">
        <f t="shared" si="6"/>
        <v>0</v>
      </c>
    </row>
    <row r="411" spans="1:4">
      <c r="A411" s="396"/>
      <c r="D411" s="82">
        <f t="shared" si="6"/>
        <v>0</v>
      </c>
    </row>
    <row r="412" spans="1:4">
      <c r="A412" s="396"/>
      <c r="D412" s="82">
        <f t="shared" si="6"/>
        <v>0</v>
      </c>
    </row>
    <row r="413" spans="1:4">
      <c r="A413" s="396"/>
      <c r="D413" s="82">
        <f t="shared" si="6"/>
        <v>0</v>
      </c>
    </row>
    <row r="414" spans="1:4">
      <c r="A414" s="396"/>
      <c r="D414" s="82">
        <f t="shared" si="6"/>
        <v>0</v>
      </c>
    </row>
    <row r="415" spans="1:4">
      <c r="A415" s="396"/>
      <c r="D415" s="82">
        <f t="shared" si="6"/>
        <v>0</v>
      </c>
    </row>
    <row r="416" spans="1:4">
      <c r="A416" s="396"/>
      <c r="D416" s="82">
        <f t="shared" si="6"/>
        <v>0</v>
      </c>
    </row>
    <row r="417" spans="1:4">
      <c r="A417" s="396"/>
      <c r="D417" s="82">
        <f t="shared" si="6"/>
        <v>0</v>
      </c>
    </row>
    <row r="418" spans="1:4">
      <c r="A418" s="396"/>
      <c r="D418" s="82">
        <f t="shared" si="6"/>
        <v>0</v>
      </c>
    </row>
    <row r="419" spans="1:4">
      <c r="A419" s="396"/>
      <c r="D419" s="82">
        <f t="shared" si="6"/>
        <v>0</v>
      </c>
    </row>
    <row r="420" spans="1:4">
      <c r="A420" s="396"/>
      <c r="D420" s="82">
        <f t="shared" si="6"/>
        <v>0</v>
      </c>
    </row>
    <row r="421" spans="1:4">
      <c r="A421" s="396"/>
      <c r="D421" s="82">
        <f t="shared" si="6"/>
        <v>0</v>
      </c>
    </row>
    <row r="422" spans="1:4">
      <c r="A422" s="396"/>
      <c r="D422" s="82">
        <f t="shared" si="6"/>
        <v>0</v>
      </c>
    </row>
    <row r="423" spans="1:4">
      <c r="A423" s="396"/>
      <c r="D423" s="82">
        <f t="shared" si="6"/>
        <v>0</v>
      </c>
    </row>
    <row r="424" spans="1:4">
      <c r="A424" s="396"/>
      <c r="D424" s="82">
        <f t="shared" si="6"/>
        <v>0</v>
      </c>
    </row>
    <row r="425" spans="1:4">
      <c r="A425" s="396"/>
      <c r="D425" s="82">
        <f t="shared" si="6"/>
        <v>0</v>
      </c>
    </row>
    <row r="426" spans="1:4">
      <c r="A426" s="396"/>
      <c r="D426" s="82">
        <f t="shared" si="6"/>
        <v>0</v>
      </c>
    </row>
    <row r="427" spans="1:4">
      <c r="A427" s="396"/>
      <c r="D427" s="82">
        <f t="shared" si="6"/>
        <v>0</v>
      </c>
    </row>
    <row r="428" spans="1:4">
      <c r="A428" s="396"/>
      <c r="D428" s="82">
        <f t="shared" si="6"/>
        <v>0</v>
      </c>
    </row>
    <row r="429" spans="1:4">
      <c r="A429" s="396"/>
      <c r="D429" s="82">
        <f t="shared" si="6"/>
        <v>0</v>
      </c>
    </row>
    <row r="430" spans="1:4">
      <c r="A430" s="396"/>
      <c r="D430" s="82">
        <f t="shared" si="6"/>
        <v>0</v>
      </c>
    </row>
    <row r="431" spans="1:4">
      <c r="A431" s="396"/>
      <c r="D431" s="82">
        <f t="shared" ref="D431:D494" si="7">C431-E431</f>
        <v>0</v>
      </c>
    </row>
    <row r="432" spans="1:4">
      <c r="A432" s="396"/>
      <c r="D432" s="82">
        <f t="shared" si="7"/>
        <v>0</v>
      </c>
    </row>
    <row r="433" spans="1:4">
      <c r="A433" s="396"/>
      <c r="D433" s="82">
        <f t="shared" si="7"/>
        <v>0</v>
      </c>
    </row>
    <row r="434" spans="1:4">
      <c r="A434" s="396"/>
      <c r="D434" s="82">
        <f t="shared" si="7"/>
        <v>0</v>
      </c>
    </row>
    <row r="435" spans="1:4">
      <c r="A435" s="396"/>
      <c r="D435" s="82">
        <f t="shared" si="7"/>
        <v>0</v>
      </c>
    </row>
    <row r="436" spans="1:4">
      <c r="A436" s="396"/>
      <c r="D436" s="82">
        <f t="shared" si="7"/>
        <v>0</v>
      </c>
    </row>
    <row r="437" spans="1:4">
      <c r="A437" s="396"/>
      <c r="D437" s="82">
        <f t="shared" si="7"/>
        <v>0</v>
      </c>
    </row>
    <row r="438" spans="1:4">
      <c r="A438" s="396"/>
      <c r="D438" s="82">
        <f t="shared" si="7"/>
        <v>0</v>
      </c>
    </row>
    <row r="439" spans="1:4">
      <c r="A439" s="396"/>
      <c r="D439" s="82">
        <f t="shared" si="7"/>
        <v>0</v>
      </c>
    </row>
    <row r="440" spans="1:4">
      <c r="A440" s="396"/>
      <c r="D440" s="82">
        <f t="shared" si="7"/>
        <v>0</v>
      </c>
    </row>
    <row r="441" spans="1:4">
      <c r="A441" s="396"/>
      <c r="D441" s="82">
        <f t="shared" si="7"/>
        <v>0</v>
      </c>
    </row>
    <row r="442" spans="1:4">
      <c r="A442" s="396"/>
      <c r="D442" s="82">
        <f t="shared" si="7"/>
        <v>0</v>
      </c>
    </row>
    <row r="443" spans="1:4">
      <c r="A443" s="396"/>
      <c r="D443" s="82">
        <f t="shared" si="7"/>
        <v>0</v>
      </c>
    </row>
    <row r="444" spans="1:4">
      <c r="A444" s="396"/>
      <c r="D444" s="82">
        <f t="shared" si="7"/>
        <v>0</v>
      </c>
    </row>
    <row r="445" spans="1:4">
      <c r="A445" s="396"/>
      <c r="D445" s="82">
        <f t="shared" si="7"/>
        <v>0</v>
      </c>
    </row>
    <row r="446" spans="1:4">
      <c r="A446" s="396"/>
      <c r="D446" s="82">
        <f t="shared" si="7"/>
        <v>0</v>
      </c>
    </row>
    <row r="447" spans="1:4">
      <c r="A447" s="396"/>
      <c r="D447" s="82">
        <f t="shared" si="7"/>
        <v>0</v>
      </c>
    </row>
    <row r="448" spans="1:4">
      <c r="A448" s="396"/>
      <c r="D448" s="82">
        <f t="shared" si="7"/>
        <v>0</v>
      </c>
    </row>
    <row r="449" spans="1:4">
      <c r="A449" s="396"/>
      <c r="D449" s="82">
        <f t="shared" si="7"/>
        <v>0</v>
      </c>
    </row>
    <row r="450" spans="1:4">
      <c r="A450" s="396"/>
      <c r="D450" s="82">
        <f t="shared" si="7"/>
        <v>0</v>
      </c>
    </row>
    <row r="451" spans="1:4">
      <c r="A451" s="396"/>
      <c r="D451" s="82">
        <f t="shared" si="7"/>
        <v>0</v>
      </c>
    </row>
    <row r="452" spans="1:4">
      <c r="A452" s="396"/>
      <c r="D452" s="82">
        <f t="shared" si="7"/>
        <v>0</v>
      </c>
    </row>
    <row r="453" spans="1:4">
      <c r="A453" s="396"/>
      <c r="D453" s="82">
        <f t="shared" si="7"/>
        <v>0</v>
      </c>
    </row>
    <row r="454" spans="1:4">
      <c r="A454" s="396"/>
      <c r="D454" s="82">
        <f t="shared" si="7"/>
        <v>0</v>
      </c>
    </row>
    <row r="455" spans="1:4">
      <c r="A455" s="396"/>
      <c r="D455" s="82">
        <f t="shared" si="7"/>
        <v>0</v>
      </c>
    </row>
    <row r="456" spans="1:4">
      <c r="A456" s="396"/>
      <c r="D456" s="82">
        <f t="shared" si="7"/>
        <v>0</v>
      </c>
    </row>
    <row r="457" spans="1:4">
      <c r="A457" s="396"/>
      <c r="D457" s="82">
        <f t="shared" si="7"/>
        <v>0</v>
      </c>
    </row>
    <row r="458" spans="1:4">
      <c r="A458" s="396"/>
      <c r="D458" s="82">
        <f t="shared" si="7"/>
        <v>0</v>
      </c>
    </row>
    <row r="459" spans="1:4">
      <c r="A459" s="396"/>
      <c r="D459" s="82">
        <f t="shared" si="7"/>
        <v>0</v>
      </c>
    </row>
    <row r="460" spans="1:4">
      <c r="A460" s="396"/>
      <c r="D460" s="82">
        <f t="shared" si="7"/>
        <v>0</v>
      </c>
    </row>
    <row r="461" spans="1:4">
      <c r="A461" s="396"/>
      <c r="D461" s="82">
        <f t="shared" si="7"/>
        <v>0</v>
      </c>
    </row>
    <row r="462" spans="1:4">
      <c r="A462" s="396"/>
      <c r="D462" s="82">
        <f t="shared" si="7"/>
        <v>0</v>
      </c>
    </row>
    <row r="463" spans="1:4">
      <c r="A463" s="396"/>
      <c r="D463" s="82">
        <f t="shared" si="7"/>
        <v>0</v>
      </c>
    </row>
    <row r="464" spans="1:4">
      <c r="A464" s="396"/>
      <c r="D464" s="82">
        <f t="shared" si="7"/>
        <v>0</v>
      </c>
    </row>
    <row r="465" spans="1:4">
      <c r="A465" s="396"/>
      <c r="D465" s="82">
        <f t="shared" si="7"/>
        <v>0</v>
      </c>
    </row>
    <row r="466" spans="1:4">
      <c r="A466" s="396"/>
      <c r="D466" s="82">
        <f t="shared" si="7"/>
        <v>0</v>
      </c>
    </row>
    <row r="467" spans="1:4">
      <c r="A467" s="396"/>
      <c r="D467" s="82">
        <f t="shared" si="7"/>
        <v>0</v>
      </c>
    </row>
    <row r="468" spans="1:4">
      <c r="A468" s="396"/>
      <c r="D468" s="82">
        <f t="shared" si="7"/>
        <v>0</v>
      </c>
    </row>
    <row r="469" spans="1:4">
      <c r="A469" s="396"/>
      <c r="D469" s="82">
        <f t="shared" si="7"/>
        <v>0</v>
      </c>
    </row>
    <row r="470" spans="1:4">
      <c r="A470" s="396"/>
      <c r="D470" s="82">
        <f t="shared" si="7"/>
        <v>0</v>
      </c>
    </row>
    <row r="471" spans="1:4">
      <c r="A471" s="396"/>
      <c r="D471" s="82">
        <f t="shared" si="7"/>
        <v>0</v>
      </c>
    </row>
    <row r="472" spans="1:4">
      <c r="A472" s="396"/>
      <c r="D472" s="82">
        <f t="shared" si="7"/>
        <v>0</v>
      </c>
    </row>
    <row r="473" spans="1:4">
      <c r="A473" s="396"/>
      <c r="D473" s="82">
        <f t="shared" si="7"/>
        <v>0</v>
      </c>
    </row>
    <row r="474" spans="1:4">
      <c r="A474" s="396"/>
      <c r="D474" s="82">
        <f t="shared" si="7"/>
        <v>0</v>
      </c>
    </row>
    <row r="475" spans="1:4">
      <c r="A475" s="396"/>
      <c r="D475" s="82">
        <f t="shared" si="7"/>
        <v>0</v>
      </c>
    </row>
    <row r="476" spans="1:4">
      <c r="A476" s="396"/>
      <c r="D476" s="82">
        <f t="shared" si="7"/>
        <v>0</v>
      </c>
    </row>
    <row r="477" spans="1:4">
      <c r="A477" s="396"/>
      <c r="D477" s="82">
        <f t="shared" si="7"/>
        <v>0</v>
      </c>
    </row>
    <row r="478" spans="1:4">
      <c r="A478" s="396"/>
      <c r="D478" s="82">
        <f t="shared" si="7"/>
        <v>0</v>
      </c>
    </row>
    <row r="479" spans="1:4">
      <c r="A479" s="396"/>
      <c r="D479" s="82">
        <f t="shared" si="7"/>
        <v>0</v>
      </c>
    </row>
    <row r="480" spans="1:4">
      <c r="A480" s="396"/>
      <c r="D480" s="82">
        <f t="shared" si="7"/>
        <v>0</v>
      </c>
    </row>
    <row r="481" spans="1:4">
      <c r="A481" s="396"/>
      <c r="D481" s="82">
        <f t="shared" si="7"/>
        <v>0</v>
      </c>
    </row>
    <row r="482" spans="1:4">
      <c r="A482" s="396"/>
      <c r="D482" s="82">
        <f t="shared" si="7"/>
        <v>0</v>
      </c>
    </row>
    <row r="483" spans="1:4">
      <c r="A483" s="396"/>
      <c r="D483" s="82">
        <f t="shared" si="7"/>
        <v>0</v>
      </c>
    </row>
    <row r="484" spans="1:4">
      <c r="A484" s="396"/>
      <c r="D484" s="82">
        <f t="shared" si="7"/>
        <v>0</v>
      </c>
    </row>
    <row r="485" spans="1:4">
      <c r="A485" s="396"/>
      <c r="D485" s="82">
        <f t="shared" si="7"/>
        <v>0</v>
      </c>
    </row>
    <row r="486" spans="1:4">
      <c r="A486" s="396"/>
      <c r="D486" s="82">
        <f t="shared" si="7"/>
        <v>0</v>
      </c>
    </row>
    <row r="487" spans="1:4">
      <c r="A487" s="396"/>
      <c r="D487" s="82">
        <f t="shared" si="7"/>
        <v>0</v>
      </c>
    </row>
    <row r="488" spans="1:4">
      <c r="A488" s="396"/>
      <c r="D488" s="82">
        <f t="shared" si="7"/>
        <v>0</v>
      </c>
    </row>
    <row r="489" spans="1:4">
      <c r="A489" s="396"/>
      <c r="D489" s="82">
        <f t="shared" si="7"/>
        <v>0</v>
      </c>
    </row>
    <row r="490" spans="1:4">
      <c r="A490" s="396"/>
      <c r="D490" s="82">
        <f t="shared" si="7"/>
        <v>0</v>
      </c>
    </row>
    <row r="491" spans="1:4">
      <c r="A491" s="396"/>
      <c r="D491" s="82">
        <f t="shared" si="7"/>
        <v>0</v>
      </c>
    </row>
    <row r="492" spans="1:4">
      <c r="A492" s="396"/>
      <c r="D492" s="82">
        <f t="shared" si="7"/>
        <v>0</v>
      </c>
    </row>
    <row r="493" spans="1:4">
      <c r="A493" s="396"/>
      <c r="D493" s="82">
        <f t="shared" si="7"/>
        <v>0</v>
      </c>
    </row>
    <row r="494" spans="1:4">
      <c r="A494" s="396"/>
      <c r="D494" s="82">
        <f t="shared" si="7"/>
        <v>0</v>
      </c>
    </row>
    <row r="495" spans="1:4">
      <c r="A495" s="396"/>
      <c r="D495" s="82">
        <f t="shared" ref="D495:D506" si="8">C495-E495</f>
        <v>0</v>
      </c>
    </row>
    <row r="496" spans="1:4">
      <c r="A496" s="396"/>
      <c r="D496" s="82">
        <f t="shared" si="8"/>
        <v>0</v>
      </c>
    </row>
    <row r="497" spans="1:4">
      <c r="A497" s="396"/>
      <c r="D497" s="82">
        <f t="shared" si="8"/>
        <v>0</v>
      </c>
    </row>
    <row r="498" spans="1:4">
      <c r="A498" s="396"/>
      <c r="D498" s="82">
        <f t="shared" si="8"/>
        <v>0</v>
      </c>
    </row>
    <row r="499" spans="1:4">
      <c r="A499" s="396"/>
      <c r="D499" s="82">
        <f t="shared" si="8"/>
        <v>0</v>
      </c>
    </row>
    <row r="500" spans="1:4">
      <c r="A500" s="396"/>
      <c r="D500" s="82">
        <f t="shared" si="8"/>
        <v>0</v>
      </c>
    </row>
    <row r="501" spans="1:4">
      <c r="A501" s="396"/>
      <c r="D501" s="82">
        <f t="shared" si="8"/>
        <v>0</v>
      </c>
    </row>
    <row r="502" spans="1:4">
      <c r="A502" s="396"/>
      <c r="D502" s="82">
        <f t="shared" si="8"/>
        <v>0</v>
      </c>
    </row>
    <row r="503" spans="1:4">
      <c r="A503" s="396"/>
      <c r="D503" s="82">
        <f t="shared" si="8"/>
        <v>0</v>
      </c>
    </row>
    <row r="504" spans="1:4">
      <c r="A504" s="396"/>
      <c r="D504" s="82">
        <f t="shared" si="8"/>
        <v>0</v>
      </c>
    </row>
    <row r="505" spans="1:4">
      <c r="A505" s="396"/>
      <c r="D505" s="82">
        <f t="shared" si="8"/>
        <v>0</v>
      </c>
    </row>
    <row r="506" spans="1:4">
      <c r="D506" s="82">
        <f t="shared" si="8"/>
        <v>0</v>
      </c>
    </row>
  </sheetData>
  <sheetProtection algorithmName="SHA-512" hashValue="bKIap7U7+et4J190C+RTXU7kwU+CsTRXSOEZdHpgkVgE8hW7pU6jVCuwtTGGZsEtkGU/ebztrejnWZj2wOwRZA==" saltValue="VBBJo0EsZExuCLJQ8uuH2g=="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M54" sqref="M54"/>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1040</v>
      </c>
      <c r="C1" s="315" t="str">
        <f t="array" ref="C1">IF(B1="","",_xll.RssMarket(B1,"銘柄名称"))</f>
        <v>パンパシフィックＨＤ</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1391</v>
      </c>
      <c r="C3" s="310" t="s">
        <v>1392</v>
      </c>
      <c r="D3" s="231" t="s">
        <v>1393</v>
      </c>
      <c r="E3" s="215" t="s">
        <v>819</v>
      </c>
      <c r="F3" s="215">
        <v>14369900</v>
      </c>
      <c r="G3" s="215">
        <v>1018</v>
      </c>
      <c r="H3" s="215">
        <v>1020</v>
      </c>
      <c r="I3" s="215">
        <v>963.7</v>
      </c>
      <c r="J3" s="216">
        <v>988.7</v>
      </c>
    </row>
    <row r="4" spans="1:21" ht="17.25" customHeight="1">
      <c r="B4" s="313"/>
      <c r="C4" s="232"/>
      <c r="D4" s="232" t="s">
        <v>1394</v>
      </c>
      <c r="E4" s="217" t="s">
        <v>819</v>
      </c>
      <c r="F4" s="217">
        <v>15848200</v>
      </c>
      <c r="G4" s="217">
        <v>982.9</v>
      </c>
      <c r="H4" s="217">
        <v>1023.5</v>
      </c>
      <c r="I4" s="217">
        <v>976.1</v>
      </c>
      <c r="J4" s="218">
        <v>1012.5</v>
      </c>
    </row>
    <row r="5" spans="1:21" ht="17.25" customHeight="1">
      <c r="B5" s="236"/>
      <c r="C5" s="231"/>
      <c r="D5" s="231" t="s">
        <v>1395</v>
      </c>
      <c r="E5" s="215" t="s">
        <v>819</v>
      </c>
      <c r="F5" s="215">
        <v>11821900</v>
      </c>
      <c r="G5" s="215">
        <v>1030</v>
      </c>
      <c r="H5" s="215">
        <v>1037.5</v>
      </c>
      <c r="I5" s="215">
        <v>1019.5</v>
      </c>
      <c r="J5" s="216">
        <v>1023.5</v>
      </c>
      <c r="L5" s="2"/>
      <c r="M5" s="2"/>
      <c r="N5" s="3"/>
      <c r="O5" s="3"/>
      <c r="P5" s="3"/>
      <c r="Q5" s="3"/>
      <c r="R5" s="3"/>
      <c r="S5" s="2"/>
      <c r="T5" s="2"/>
      <c r="U5" s="2"/>
    </row>
    <row r="6" spans="1:21" ht="17.25" customHeight="1">
      <c r="B6" s="237"/>
      <c r="C6" s="232"/>
      <c r="D6" s="232" t="s">
        <v>1396</v>
      </c>
      <c r="E6" s="217" t="s">
        <v>819</v>
      </c>
      <c r="F6" s="217">
        <v>14572200</v>
      </c>
      <c r="G6" s="217">
        <v>1034</v>
      </c>
      <c r="H6" s="217">
        <v>1063.5</v>
      </c>
      <c r="I6" s="217">
        <v>1014.5</v>
      </c>
      <c r="J6" s="218">
        <v>1058.5</v>
      </c>
      <c r="L6" s="2"/>
      <c r="M6" s="2"/>
      <c r="N6" s="3"/>
      <c r="O6" s="3"/>
      <c r="P6" s="3"/>
      <c r="Q6" s="3"/>
      <c r="R6" s="3"/>
      <c r="S6" s="2"/>
      <c r="T6" s="2"/>
      <c r="U6" s="2"/>
    </row>
    <row r="7" spans="1:21" ht="17.25" customHeight="1">
      <c r="B7" s="236"/>
      <c r="C7" s="231"/>
      <c r="D7" s="231" t="s">
        <v>1397</v>
      </c>
      <c r="E7" s="215" t="s">
        <v>819</v>
      </c>
      <c r="F7" s="215">
        <v>15621000</v>
      </c>
      <c r="G7" s="215">
        <v>1035.5</v>
      </c>
      <c r="H7" s="215">
        <v>1051.5</v>
      </c>
      <c r="I7" s="215">
        <v>1006.5</v>
      </c>
      <c r="J7" s="216">
        <v>1047.5</v>
      </c>
      <c r="L7" s="2"/>
      <c r="M7" s="2"/>
      <c r="N7" s="3"/>
      <c r="O7" s="3"/>
      <c r="P7" s="3"/>
      <c r="Q7" s="3"/>
      <c r="R7" s="3"/>
      <c r="S7" s="2"/>
      <c r="T7" s="2"/>
      <c r="U7" s="2"/>
    </row>
    <row r="8" spans="1:21" ht="17.25" customHeight="1">
      <c r="B8" s="237"/>
      <c r="C8" s="232"/>
      <c r="D8" s="232" t="s">
        <v>1398</v>
      </c>
      <c r="E8" s="217" t="s">
        <v>819</v>
      </c>
      <c r="F8" s="217">
        <v>7950800</v>
      </c>
      <c r="G8" s="217">
        <v>1050</v>
      </c>
      <c r="H8" s="217">
        <v>1051</v>
      </c>
      <c r="I8" s="217">
        <v>1032</v>
      </c>
      <c r="J8" s="218">
        <v>1037.5</v>
      </c>
      <c r="L8" s="2"/>
      <c r="M8" s="2"/>
      <c r="N8" s="3"/>
      <c r="O8" s="3"/>
      <c r="P8" s="3"/>
      <c r="Q8" s="3"/>
      <c r="R8" s="3"/>
      <c r="S8" s="2"/>
      <c r="T8" s="2"/>
      <c r="U8" s="2"/>
    </row>
    <row r="9" spans="1:21" ht="17.25" customHeight="1">
      <c r="B9" s="236"/>
      <c r="C9" s="231"/>
      <c r="D9" s="231" t="s">
        <v>1399</v>
      </c>
      <c r="E9" s="215" t="s">
        <v>819</v>
      </c>
      <c r="F9" s="215">
        <v>7721600</v>
      </c>
      <c r="G9" s="215">
        <v>1058</v>
      </c>
      <c r="H9" s="215">
        <v>1067</v>
      </c>
      <c r="I9" s="215">
        <v>1039</v>
      </c>
      <c r="J9" s="216">
        <v>1039</v>
      </c>
      <c r="L9" s="2"/>
      <c r="M9" s="2"/>
      <c r="N9" s="3"/>
      <c r="O9" s="3"/>
      <c r="P9" s="3"/>
      <c r="Q9" s="3"/>
      <c r="R9" s="3"/>
      <c r="S9" s="2"/>
      <c r="T9" s="2"/>
      <c r="U9" s="2"/>
    </row>
    <row r="10" spans="1:21" ht="17.25" customHeight="1">
      <c r="B10" s="237"/>
      <c r="C10" s="232"/>
      <c r="D10" s="232" t="s">
        <v>1400</v>
      </c>
      <c r="E10" s="217" t="s">
        <v>819</v>
      </c>
      <c r="F10" s="217">
        <v>9990500</v>
      </c>
      <c r="G10" s="217">
        <v>1013.5</v>
      </c>
      <c r="H10" s="217">
        <v>1025.5</v>
      </c>
      <c r="I10" s="217">
        <v>999.4</v>
      </c>
      <c r="J10" s="218">
        <v>1000.5</v>
      </c>
      <c r="M10" s="3"/>
      <c r="N10" s="3"/>
      <c r="O10" s="3"/>
      <c r="P10" s="3"/>
      <c r="Q10" s="3"/>
      <c r="R10" s="2"/>
      <c r="S10" s="2"/>
      <c r="T10" s="2"/>
      <c r="U10" s="2"/>
    </row>
    <row r="11" spans="1:21" ht="17.25" customHeight="1">
      <c r="B11" s="236"/>
      <c r="C11" s="231"/>
      <c r="D11" s="231" t="s">
        <v>1401</v>
      </c>
      <c r="E11" s="215" t="s">
        <v>819</v>
      </c>
      <c r="F11" s="215">
        <v>8990900</v>
      </c>
      <c r="G11" s="215">
        <v>980</v>
      </c>
      <c r="H11" s="215">
        <v>1022</v>
      </c>
      <c r="I11" s="215">
        <v>977</v>
      </c>
      <c r="J11" s="216">
        <v>1010</v>
      </c>
      <c r="M11" s="3"/>
      <c r="N11" s="3"/>
      <c r="O11" s="3"/>
      <c r="P11" s="3"/>
      <c r="Q11" s="3"/>
      <c r="R11" s="2"/>
      <c r="S11" s="2"/>
      <c r="T11" s="2"/>
      <c r="U11" s="2"/>
    </row>
    <row r="12" spans="1:21" ht="17.25" customHeight="1">
      <c r="B12" s="237"/>
      <c r="C12" s="232"/>
      <c r="D12" s="232" t="s">
        <v>1402</v>
      </c>
      <c r="E12" s="217" t="s">
        <v>819</v>
      </c>
      <c r="F12" s="217">
        <v>7203800</v>
      </c>
      <c r="G12" s="217">
        <v>1019</v>
      </c>
      <c r="H12" s="217">
        <v>1023.5</v>
      </c>
      <c r="I12" s="217">
        <v>1002.5</v>
      </c>
      <c r="J12" s="218">
        <v>1003.5</v>
      </c>
      <c r="M12" s="3"/>
      <c r="N12" s="3"/>
      <c r="O12" s="3"/>
      <c r="P12" s="3"/>
      <c r="Q12" s="3"/>
      <c r="R12" s="2"/>
      <c r="S12" s="2"/>
      <c r="T12" s="2"/>
      <c r="U12" s="2"/>
    </row>
    <row r="13" spans="1:21" ht="17.25" customHeight="1">
      <c r="B13" s="236"/>
      <c r="C13" s="231"/>
      <c r="D13" s="231" t="s">
        <v>1403</v>
      </c>
      <c r="E13" s="215" t="s">
        <v>819</v>
      </c>
      <c r="F13" s="215">
        <v>5148400</v>
      </c>
      <c r="G13" s="215">
        <v>1016.5</v>
      </c>
      <c r="H13" s="215">
        <v>1038</v>
      </c>
      <c r="I13" s="215">
        <v>1012</v>
      </c>
      <c r="J13" s="216">
        <v>1012</v>
      </c>
      <c r="M13" s="3"/>
      <c r="N13" s="3"/>
      <c r="O13" s="3"/>
      <c r="P13" s="3"/>
      <c r="Q13" s="3"/>
      <c r="R13" s="2"/>
      <c r="S13" s="2"/>
      <c r="T13" s="2"/>
      <c r="U13" s="2"/>
    </row>
    <row r="14" spans="1:21" ht="17.25" customHeight="1">
      <c r="B14" s="237"/>
      <c r="C14" s="232"/>
      <c r="D14" s="232" t="s">
        <v>1404</v>
      </c>
      <c r="E14" s="217" t="s">
        <v>819</v>
      </c>
      <c r="F14" s="217">
        <v>5750300</v>
      </c>
      <c r="G14" s="217">
        <v>982</v>
      </c>
      <c r="H14" s="217">
        <v>1023.5</v>
      </c>
      <c r="I14" s="217">
        <v>981</v>
      </c>
      <c r="J14" s="218">
        <v>1016</v>
      </c>
      <c r="M14" s="3"/>
      <c r="N14" s="3"/>
      <c r="O14" s="3"/>
      <c r="P14" s="3"/>
      <c r="Q14" s="3"/>
      <c r="R14" s="2"/>
      <c r="S14" s="2"/>
      <c r="T14" s="2"/>
      <c r="U14" s="2"/>
    </row>
    <row r="15" spans="1:21" ht="17.25" customHeight="1">
      <c r="A15" s="209"/>
      <c r="B15" s="238"/>
      <c r="C15" s="233"/>
      <c r="D15" s="233" t="s">
        <v>1405</v>
      </c>
      <c r="E15" s="219" t="s">
        <v>819</v>
      </c>
      <c r="F15" s="219">
        <v>10232500</v>
      </c>
      <c r="G15" s="220">
        <v>980.3</v>
      </c>
      <c r="H15" s="220">
        <v>1006.5</v>
      </c>
      <c r="I15" s="220">
        <v>980.1</v>
      </c>
      <c r="J15" s="221">
        <v>989.6</v>
      </c>
      <c r="K15" s="211"/>
      <c r="M15" s="3"/>
      <c r="N15" s="3"/>
      <c r="O15" s="3"/>
      <c r="P15" s="3"/>
      <c r="Q15" s="3"/>
      <c r="R15" s="2"/>
      <c r="S15" s="2"/>
      <c r="T15" s="2"/>
      <c r="U15" s="2"/>
    </row>
    <row r="16" spans="1:21" ht="17.25" customHeight="1">
      <c r="A16" s="209"/>
      <c r="B16" s="239"/>
      <c r="C16" s="234"/>
      <c r="D16" s="234" t="s">
        <v>1406</v>
      </c>
      <c r="E16" s="222" t="s">
        <v>819</v>
      </c>
      <c r="F16" s="222">
        <v>8659600</v>
      </c>
      <c r="G16" s="223">
        <v>975.2</v>
      </c>
      <c r="H16" s="223">
        <v>988.9</v>
      </c>
      <c r="I16" s="223">
        <v>964.9</v>
      </c>
      <c r="J16" s="224">
        <v>973</v>
      </c>
      <c r="K16" s="210"/>
      <c r="M16" s="3"/>
      <c r="N16" s="3"/>
      <c r="O16" s="3"/>
      <c r="P16" s="3"/>
      <c r="Q16" s="3"/>
      <c r="R16" s="2"/>
      <c r="S16" s="2"/>
      <c r="T16" s="2"/>
      <c r="U16" s="2"/>
    </row>
    <row r="17" spans="1:21" ht="17.25" customHeight="1">
      <c r="A17" s="209"/>
      <c r="B17" s="238"/>
      <c r="C17" s="233"/>
      <c r="D17" s="233" t="s">
        <v>1407</v>
      </c>
      <c r="E17" s="219" t="s">
        <v>819</v>
      </c>
      <c r="F17" s="219">
        <v>8170100</v>
      </c>
      <c r="G17" s="220">
        <v>975.6</v>
      </c>
      <c r="H17" s="220">
        <v>984</v>
      </c>
      <c r="I17" s="220">
        <v>967</v>
      </c>
      <c r="J17" s="221">
        <v>971.5</v>
      </c>
      <c r="K17" s="211"/>
      <c r="M17" s="3"/>
      <c r="N17" s="3"/>
      <c r="O17" s="3"/>
      <c r="P17" s="3"/>
      <c r="Q17" s="3"/>
      <c r="R17" s="2"/>
      <c r="S17" s="2"/>
      <c r="T17" s="2"/>
      <c r="U17" s="2"/>
    </row>
    <row r="18" spans="1:21" ht="17.25" customHeight="1">
      <c r="A18" s="68"/>
      <c r="B18" s="239"/>
      <c r="C18" s="234"/>
      <c r="D18" s="234" t="s">
        <v>1408</v>
      </c>
      <c r="E18" s="222" t="s">
        <v>819</v>
      </c>
      <c r="F18" s="222">
        <v>10094000</v>
      </c>
      <c r="G18" s="223">
        <v>986.5</v>
      </c>
      <c r="H18" s="223">
        <v>991.2</v>
      </c>
      <c r="I18" s="223">
        <v>970.5</v>
      </c>
      <c r="J18" s="224">
        <v>974.5</v>
      </c>
      <c r="M18" s="3"/>
      <c r="N18" s="3"/>
      <c r="O18" s="3"/>
      <c r="P18" s="3"/>
      <c r="Q18" s="3"/>
      <c r="R18" s="2"/>
      <c r="S18" s="2"/>
      <c r="T18" s="2"/>
      <c r="U18" s="2"/>
    </row>
    <row r="19" spans="1:21" ht="17.25" customHeight="1">
      <c r="A19" s="68"/>
      <c r="B19" s="238"/>
      <c r="C19" s="233"/>
      <c r="D19" s="233" t="s">
        <v>1409</v>
      </c>
      <c r="E19" s="219" t="s">
        <v>819</v>
      </c>
      <c r="F19" s="219">
        <v>6915800</v>
      </c>
      <c r="G19" s="220">
        <v>986.1</v>
      </c>
      <c r="H19" s="220">
        <v>987.9</v>
      </c>
      <c r="I19" s="220">
        <v>967.5</v>
      </c>
      <c r="J19" s="221">
        <v>970.9</v>
      </c>
      <c r="M19" s="3"/>
      <c r="N19" s="3"/>
      <c r="O19" s="3"/>
      <c r="P19" s="3"/>
      <c r="Q19" s="3"/>
      <c r="R19" s="2"/>
      <c r="S19" s="2"/>
      <c r="T19" s="2"/>
      <c r="U19" s="2"/>
    </row>
    <row r="20" spans="1:21" ht="17.25" customHeight="1">
      <c r="A20" s="68"/>
      <c r="B20" s="239"/>
      <c r="C20" s="234"/>
      <c r="D20" s="234" t="s">
        <v>1410</v>
      </c>
      <c r="E20" s="222" t="s">
        <v>819</v>
      </c>
      <c r="F20" s="222">
        <v>10665900</v>
      </c>
      <c r="G20" s="223">
        <v>998.6</v>
      </c>
      <c r="H20" s="223">
        <v>999.8</v>
      </c>
      <c r="I20" s="223">
        <v>976.3</v>
      </c>
      <c r="J20" s="224">
        <v>983</v>
      </c>
      <c r="M20" s="3"/>
      <c r="N20" s="3"/>
      <c r="O20" s="3"/>
      <c r="P20" s="3"/>
      <c r="Q20" s="3"/>
      <c r="R20" s="2"/>
      <c r="S20" s="2"/>
      <c r="T20" s="2"/>
      <c r="U20" s="2"/>
    </row>
    <row r="21" spans="1:21" ht="17.25" customHeight="1">
      <c r="A21" s="66"/>
      <c r="B21" s="238"/>
      <c r="C21" s="233"/>
      <c r="D21" s="233" t="s">
        <v>1411</v>
      </c>
      <c r="E21" s="219" t="s">
        <v>819</v>
      </c>
      <c r="F21" s="219">
        <v>11880600</v>
      </c>
      <c r="G21" s="220">
        <v>970</v>
      </c>
      <c r="H21" s="220">
        <v>1001</v>
      </c>
      <c r="I21" s="220">
        <v>958.1</v>
      </c>
      <c r="J21" s="221">
        <v>991.9</v>
      </c>
      <c r="M21" s="3"/>
      <c r="N21" s="3"/>
      <c r="O21" s="3"/>
      <c r="P21" s="3"/>
      <c r="Q21" s="3"/>
      <c r="R21" s="2"/>
      <c r="S21" s="2"/>
      <c r="T21" s="2"/>
      <c r="U21" s="2"/>
    </row>
    <row r="22" spans="1:21" ht="17.25" customHeight="1">
      <c r="A22" s="66"/>
      <c r="B22" s="239"/>
      <c r="C22" s="234"/>
      <c r="D22" s="234" t="s">
        <v>1412</v>
      </c>
      <c r="E22" s="222" t="s">
        <v>819</v>
      </c>
      <c r="F22" s="222">
        <v>29687500</v>
      </c>
      <c r="G22" s="223">
        <v>1000.5</v>
      </c>
      <c r="H22" s="223">
        <v>1009</v>
      </c>
      <c r="I22" s="223">
        <v>968.2</v>
      </c>
      <c r="J22" s="224">
        <v>968.2</v>
      </c>
      <c r="M22" s="3"/>
      <c r="O22" s="3"/>
      <c r="P22" s="3"/>
      <c r="Q22" s="3"/>
      <c r="R22" s="2"/>
      <c r="S22" s="2"/>
      <c r="T22" s="2"/>
      <c r="U22" s="2"/>
    </row>
    <row r="23" spans="1:21" ht="17.25" customHeight="1">
      <c r="A23" s="66"/>
      <c r="B23" s="238"/>
      <c r="C23" s="233"/>
      <c r="D23" s="233" t="s">
        <v>1413</v>
      </c>
      <c r="E23" s="219" t="s">
        <v>819</v>
      </c>
      <c r="F23" s="225">
        <v>11166000</v>
      </c>
      <c r="G23" s="220">
        <v>975.5</v>
      </c>
      <c r="H23" s="220">
        <v>984.6</v>
      </c>
      <c r="I23" s="220">
        <v>956.2</v>
      </c>
      <c r="J23" s="221">
        <v>982.4</v>
      </c>
      <c r="M23" s="3"/>
      <c r="N23" s="3"/>
      <c r="O23" s="3"/>
      <c r="P23" s="3"/>
      <c r="Q23" s="3"/>
      <c r="R23" s="2"/>
      <c r="S23" s="2"/>
      <c r="T23" s="2"/>
      <c r="U23" s="2"/>
    </row>
    <row r="24" spans="1:21" ht="17.25" customHeight="1">
      <c r="A24" s="66"/>
      <c r="B24" s="239"/>
      <c r="C24" s="234"/>
      <c r="D24" s="234" t="s">
        <v>1414</v>
      </c>
      <c r="E24" s="222" t="s">
        <v>819</v>
      </c>
      <c r="F24" s="226">
        <v>12692200</v>
      </c>
      <c r="G24" s="223">
        <v>975.3</v>
      </c>
      <c r="H24" s="223">
        <v>979</v>
      </c>
      <c r="I24" s="223">
        <v>934.6</v>
      </c>
      <c r="J24" s="224">
        <v>936.5</v>
      </c>
      <c r="M24" s="3"/>
      <c r="N24" s="3"/>
      <c r="O24" s="3"/>
      <c r="P24" s="3"/>
      <c r="Q24" s="3"/>
      <c r="R24" s="2"/>
      <c r="S24" s="2"/>
      <c r="T24" s="2"/>
      <c r="U24" s="2"/>
    </row>
    <row r="25" spans="1:21" ht="17.25" customHeight="1">
      <c r="A25" s="66"/>
      <c r="B25" s="238"/>
      <c r="C25" s="233"/>
      <c r="D25" s="233" t="s">
        <v>1415</v>
      </c>
      <c r="E25" s="219" t="s">
        <v>819</v>
      </c>
      <c r="F25" s="219">
        <v>7898300</v>
      </c>
      <c r="G25" s="220">
        <v>947.2</v>
      </c>
      <c r="H25" s="220">
        <v>962</v>
      </c>
      <c r="I25" s="220">
        <v>944.2</v>
      </c>
      <c r="J25" s="221">
        <v>950.8</v>
      </c>
      <c r="M25" s="3"/>
      <c r="N25" s="3"/>
      <c r="O25" s="3"/>
      <c r="P25" s="3"/>
      <c r="Q25" s="3"/>
      <c r="R25" s="2"/>
      <c r="S25" s="2"/>
      <c r="T25" s="2"/>
      <c r="U25" s="2"/>
    </row>
    <row r="26" spans="1:21" ht="17.25" customHeight="1">
      <c r="A26" s="66"/>
      <c r="B26" s="239"/>
      <c r="C26" s="234"/>
      <c r="D26" s="234" t="s">
        <v>1416</v>
      </c>
      <c r="E26" s="222" t="s">
        <v>819</v>
      </c>
      <c r="F26" s="226">
        <v>14019400</v>
      </c>
      <c r="G26" s="223">
        <v>960</v>
      </c>
      <c r="H26" s="223">
        <v>1001.5</v>
      </c>
      <c r="I26" s="223">
        <v>955.3</v>
      </c>
      <c r="J26" s="224">
        <v>992.1</v>
      </c>
      <c r="M26" s="3"/>
      <c r="N26" s="3"/>
      <c r="O26" s="208"/>
      <c r="P26" s="3"/>
      <c r="Q26" s="3"/>
      <c r="R26" s="2"/>
      <c r="S26" s="2"/>
      <c r="T26" s="2"/>
      <c r="U26" s="2"/>
    </row>
    <row r="27" spans="1:21" ht="17.25" customHeight="1">
      <c r="A27" s="66"/>
      <c r="B27" s="238"/>
      <c r="C27" s="233"/>
      <c r="D27" s="233" t="s">
        <v>1417</v>
      </c>
      <c r="E27" s="219" t="s">
        <v>819</v>
      </c>
      <c r="F27" s="225">
        <v>10175600</v>
      </c>
      <c r="G27" s="220">
        <v>995.5</v>
      </c>
      <c r="H27" s="220">
        <v>1006</v>
      </c>
      <c r="I27" s="220">
        <v>977.8</v>
      </c>
      <c r="J27" s="221">
        <v>977.8</v>
      </c>
      <c r="M27" s="3"/>
      <c r="N27" s="3"/>
      <c r="O27" s="3"/>
      <c r="P27" s="3"/>
      <c r="Q27" s="3"/>
      <c r="R27" s="2"/>
      <c r="S27" s="2"/>
      <c r="T27" s="2"/>
      <c r="U27" s="2"/>
    </row>
    <row r="28" spans="1:21" ht="17.25" customHeight="1">
      <c r="A28" s="66"/>
      <c r="B28" s="239"/>
      <c r="C28" s="234"/>
      <c r="D28" s="234" t="s">
        <v>1418</v>
      </c>
      <c r="E28" s="222" t="s">
        <v>819</v>
      </c>
      <c r="F28" s="226">
        <v>11845800</v>
      </c>
      <c r="G28" s="223">
        <v>989</v>
      </c>
      <c r="H28" s="223">
        <v>999.9</v>
      </c>
      <c r="I28" s="223">
        <v>969.2</v>
      </c>
      <c r="J28" s="224">
        <v>975.2</v>
      </c>
      <c r="M28" s="3"/>
      <c r="N28" s="3"/>
      <c r="O28" s="3"/>
      <c r="P28" s="3"/>
      <c r="Q28" s="3"/>
      <c r="R28" s="2"/>
      <c r="S28" s="2"/>
      <c r="T28" s="2"/>
      <c r="U28" s="2"/>
    </row>
    <row r="29" spans="1:21" ht="17.25" customHeight="1">
      <c r="A29" s="66"/>
      <c r="B29" s="238"/>
      <c r="C29" s="233"/>
      <c r="D29" s="233" t="s">
        <v>1419</v>
      </c>
      <c r="E29" s="219" t="s">
        <v>819</v>
      </c>
      <c r="F29" s="219">
        <v>7948500</v>
      </c>
      <c r="G29" s="220">
        <v>983.9</v>
      </c>
      <c r="H29" s="220">
        <v>984</v>
      </c>
      <c r="I29" s="220">
        <v>953.7</v>
      </c>
      <c r="J29" s="221">
        <v>956.5</v>
      </c>
      <c r="M29" s="3"/>
      <c r="N29" s="3"/>
      <c r="O29" s="3"/>
      <c r="P29" s="3"/>
      <c r="Q29" s="3"/>
      <c r="R29" s="2"/>
      <c r="S29" s="2"/>
      <c r="T29" s="2"/>
      <c r="U29" s="2"/>
    </row>
    <row r="30" spans="1:21" ht="17.25" customHeight="1">
      <c r="A30" s="66"/>
      <c r="B30" s="239"/>
      <c r="C30" s="234"/>
      <c r="D30" s="234" t="s">
        <v>1420</v>
      </c>
      <c r="E30" s="222" t="s">
        <v>819</v>
      </c>
      <c r="F30" s="222">
        <v>8693200</v>
      </c>
      <c r="G30" s="223">
        <v>950</v>
      </c>
      <c r="H30" s="223">
        <v>952.6</v>
      </c>
      <c r="I30" s="223">
        <v>931.1</v>
      </c>
      <c r="J30" s="224">
        <v>938.5</v>
      </c>
      <c r="M30" s="3"/>
      <c r="N30" s="3"/>
      <c r="O30" s="3"/>
      <c r="P30" s="3"/>
      <c r="Q30" s="3"/>
      <c r="R30" s="2"/>
      <c r="S30" s="2"/>
      <c r="T30" s="2"/>
      <c r="U30" s="2"/>
    </row>
    <row r="31" spans="1:21" ht="17.25" customHeight="1">
      <c r="A31" s="66"/>
      <c r="B31" s="238"/>
      <c r="C31" s="233"/>
      <c r="D31" s="233" t="s">
        <v>1421</v>
      </c>
      <c r="E31" s="219" t="s">
        <v>819</v>
      </c>
      <c r="F31" s="225">
        <v>8301900</v>
      </c>
      <c r="G31" s="220">
        <v>945</v>
      </c>
      <c r="H31" s="220">
        <v>969</v>
      </c>
      <c r="I31" s="220">
        <v>938</v>
      </c>
      <c r="J31" s="221">
        <v>954.1</v>
      </c>
      <c r="M31" s="3"/>
      <c r="N31" s="3"/>
      <c r="O31" s="3"/>
      <c r="P31" s="3"/>
      <c r="Q31" s="3"/>
      <c r="R31" s="2"/>
      <c r="S31" s="2"/>
      <c r="T31" s="2"/>
      <c r="U31" s="2"/>
    </row>
    <row r="32" spans="1:21" ht="17.25" customHeight="1">
      <c r="A32" s="66"/>
      <c r="B32" s="239"/>
      <c r="C32" s="234"/>
      <c r="D32" s="234" t="s">
        <v>1422</v>
      </c>
      <c r="E32" s="222" t="s">
        <v>819</v>
      </c>
      <c r="F32" s="226">
        <v>7832900</v>
      </c>
      <c r="G32" s="223">
        <v>949.6</v>
      </c>
      <c r="H32" s="223">
        <v>964.5</v>
      </c>
      <c r="I32" s="223">
        <v>947</v>
      </c>
      <c r="J32" s="224">
        <v>962.6</v>
      </c>
      <c r="N32" s="3"/>
      <c r="O32" s="3"/>
      <c r="P32" s="3"/>
      <c r="Q32" s="3"/>
      <c r="R32" s="3"/>
      <c r="S32" s="2"/>
      <c r="T32" s="2"/>
      <c r="U32" s="2"/>
    </row>
    <row r="33" spans="1:21" ht="17.25" customHeight="1">
      <c r="A33" s="66"/>
      <c r="B33" s="238"/>
      <c r="C33" s="233"/>
      <c r="D33" s="233" t="s">
        <v>1423</v>
      </c>
      <c r="E33" s="219" t="s">
        <v>819</v>
      </c>
      <c r="F33" s="225">
        <v>8479500</v>
      </c>
      <c r="G33" s="220">
        <v>969.5</v>
      </c>
      <c r="H33" s="220">
        <v>971.9</v>
      </c>
      <c r="I33" s="220">
        <v>954.7</v>
      </c>
      <c r="J33" s="221">
        <v>961.5</v>
      </c>
      <c r="N33" s="3"/>
      <c r="O33" s="3"/>
      <c r="P33" s="3"/>
      <c r="Q33" s="3"/>
      <c r="R33" s="3"/>
      <c r="S33" s="2"/>
      <c r="T33" s="2"/>
      <c r="U33" s="2"/>
    </row>
    <row r="34" spans="1:21" ht="17.25" customHeight="1">
      <c r="A34" s="66"/>
      <c r="B34" s="239"/>
      <c r="C34" s="234"/>
      <c r="D34" s="234" t="s">
        <v>1424</v>
      </c>
      <c r="E34" s="222" t="s">
        <v>819</v>
      </c>
      <c r="F34" s="222">
        <v>6233100</v>
      </c>
      <c r="G34" s="223">
        <v>957</v>
      </c>
      <c r="H34" s="223">
        <v>972.2</v>
      </c>
      <c r="I34" s="223">
        <v>954.1</v>
      </c>
      <c r="J34" s="224">
        <v>963.2</v>
      </c>
      <c r="N34" s="3"/>
      <c r="O34" s="3"/>
      <c r="P34" s="3"/>
      <c r="Q34" s="3"/>
      <c r="R34" s="3"/>
      <c r="S34" s="2"/>
      <c r="T34" s="2"/>
      <c r="U34" s="2"/>
    </row>
    <row r="35" spans="1:21" ht="17.25" customHeight="1">
      <c r="A35" s="66"/>
      <c r="B35" s="238"/>
      <c r="C35" s="233"/>
      <c r="D35" s="233" t="s">
        <v>1425</v>
      </c>
      <c r="E35" s="219" t="s">
        <v>819</v>
      </c>
      <c r="F35" s="219">
        <v>6870200</v>
      </c>
      <c r="G35" s="220">
        <v>953.9</v>
      </c>
      <c r="H35" s="220">
        <v>963.1</v>
      </c>
      <c r="I35" s="220">
        <v>940</v>
      </c>
      <c r="J35" s="221">
        <v>940</v>
      </c>
      <c r="N35" s="3"/>
      <c r="O35" s="3"/>
      <c r="P35" s="3"/>
      <c r="Q35" s="3"/>
      <c r="R35" s="3"/>
      <c r="S35" s="2"/>
      <c r="T35" s="2"/>
      <c r="U35" s="2"/>
    </row>
    <row r="36" spans="1:21" ht="17.25" customHeight="1">
      <c r="A36" s="66"/>
      <c r="B36" s="239"/>
      <c r="C36" s="234"/>
      <c r="D36" s="234" t="s">
        <v>1426</v>
      </c>
      <c r="E36" s="222" t="s">
        <v>819</v>
      </c>
      <c r="F36" s="226">
        <v>5711800</v>
      </c>
      <c r="G36" s="223">
        <v>950</v>
      </c>
      <c r="H36" s="223">
        <v>959.3</v>
      </c>
      <c r="I36" s="223">
        <v>946.3</v>
      </c>
      <c r="J36" s="224">
        <v>959.3</v>
      </c>
      <c r="N36" s="3"/>
      <c r="O36" s="3"/>
      <c r="P36" s="3"/>
      <c r="Q36" s="3"/>
      <c r="R36" s="3"/>
      <c r="S36" s="2"/>
      <c r="T36" s="2"/>
      <c r="U36" s="2"/>
    </row>
    <row r="37" spans="1:21" ht="17.25" customHeight="1">
      <c r="A37" s="66"/>
      <c r="B37" s="238"/>
      <c r="C37" s="233"/>
      <c r="D37" s="233" t="s">
        <v>1427</v>
      </c>
      <c r="E37" s="219" t="s">
        <v>819</v>
      </c>
      <c r="F37" s="225">
        <v>4821700</v>
      </c>
      <c r="G37" s="220">
        <v>959.4</v>
      </c>
      <c r="H37" s="220">
        <v>962.3</v>
      </c>
      <c r="I37" s="220">
        <v>942</v>
      </c>
      <c r="J37" s="221">
        <v>942</v>
      </c>
      <c r="N37" s="3"/>
      <c r="O37" s="3"/>
      <c r="P37" s="3"/>
      <c r="Q37" s="3"/>
      <c r="R37" s="3"/>
      <c r="S37" s="2"/>
      <c r="T37" s="2"/>
      <c r="U37" s="2"/>
    </row>
    <row r="38" spans="1:21" ht="17.25" customHeight="1">
      <c r="A38" s="66"/>
      <c r="B38" s="239"/>
      <c r="C38" s="234"/>
      <c r="D38" s="234" t="s">
        <v>1428</v>
      </c>
      <c r="E38" s="222" t="s">
        <v>819</v>
      </c>
      <c r="F38" s="226">
        <v>6811900</v>
      </c>
      <c r="G38" s="223">
        <v>949</v>
      </c>
      <c r="H38" s="223">
        <v>956.5</v>
      </c>
      <c r="I38" s="223">
        <v>941.5</v>
      </c>
      <c r="J38" s="224">
        <v>949.4</v>
      </c>
      <c r="N38" s="3"/>
      <c r="O38" s="3"/>
      <c r="P38" s="3"/>
      <c r="Q38" s="3"/>
      <c r="R38" s="3"/>
      <c r="S38" s="2"/>
      <c r="T38" s="2"/>
      <c r="U38" s="2"/>
    </row>
    <row r="39" spans="1:21" ht="17.25" customHeight="1">
      <c r="A39" s="66"/>
      <c r="B39" s="238"/>
      <c r="C39" s="233"/>
      <c r="D39" s="233" t="s">
        <v>1429</v>
      </c>
      <c r="E39" s="219" t="s">
        <v>819</v>
      </c>
      <c r="F39" s="219">
        <v>8867300</v>
      </c>
      <c r="G39" s="220">
        <v>944.3</v>
      </c>
      <c r="H39" s="220">
        <v>945.7</v>
      </c>
      <c r="I39" s="220">
        <v>914.5</v>
      </c>
      <c r="J39" s="221">
        <v>922</v>
      </c>
      <c r="N39" s="3"/>
      <c r="O39" s="3"/>
      <c r="P39" s="3"/>
      <c r="Q39" s="3"/>
      <c r="R39" s="3"/>
      <c r="S39" s="2"/>
      <c r="T39" s="2"/>
      <c r="U39" s="2"/>
    </row>
    <row r="40" spans="1:21" ht="17.25" customHeight="1">
      <c r="A40" s="66"/>
      <c r="B40" s="239"/>
      <c r="C40" s="234"/>
      <c r="D40" s="234" t="s">
        <v>1430</v>
      </c>
      <c r="E40" s="222" t="s">
        <v>819</v>
      </c>
      <c r="F40" s="226">
        <v>5115300</v>
      </c>
      <c r="G40" s="223">
        <v>919.5</v>
      </c>
      <c r="H40" s="223">
        <v>921.6</v>
      </c>
      <c r="I40" s="223">
        <v>910.1</v>
      </c>
      <c r="J40" s="224">
        <v>918.4</v>
      </c>
      <c r="N40" s="3"/>
      <c r="O40" s="3"/>
      <c r="P40" s="3"/>
      <c r="Q40" s="3"/>
      <c r="R40" s="3"/>
      <c r="S40" s="2"/>
      <c r="T40" s="2"/>
      <c r="U40" s="2"/>
    </row>
    <row r="41" spans="1:21" ht="17.25" customHeight="1">
      <c r="A41" s="66"/>
      <c r="B41" s="238"/>
      <c r="C41" s="233"/>
      <c r="D41" s="233" t="s">
        <v>1431</v>
      </c>
      <c r="E41" s="219" t="s">
        <v>819</v>
      </c>
      <c r="F41" s="225">
        <v>6641100</v>
      </c>
      <c r="G41" s="220">
        <v>914</v>
      </c>
      <c r="H41" s="220">
        <v>920.6</v>
      </c>
      <c r="I41" s="220">
        <v>906.1</v>
      </c>
      <c r="J41" s="221">
        <v>914.6</v>
      </c>
      <c r="N41" s="3"/>
      <c r="O41" s="3"/>
      <c r="P41" s="3"/>
      <c r="Q41" s="3"/>
      <c r="R41" s="3"/>
      <c r="S41" s="2"/>
      <c r="T41" s="2"/>
      <c r="U41" s="2"/>
    </row>
    <row r="42" spans="1:21" ht="17.25" customHeight="1">
      <c r="A42" s="66"/>
      <c r="B42" s="239"/>
      <c r="C42" s="234"/>
      <c r="D42" s="234" t="s">
        <v>1432</v>
      </c>
      <c r="E42" s="222" t="s">
        <v>819</v>
      </c>
      <c r="F42" s="226">
        <v>11586100</v>
      </c>
      <c r="G42" s="223">
        <v>902.1</v>
      </c>
      <c r="H42" s="223">
        <v>910.5</v>
      </c>
      <c r="I42" s="223">
        <v>898.1</v>
      </c>
      <c r="J42" s="224">
        <v>900.7</v>
      </c>
      <c r="N42" s="3"/>
      <c r="O42" s="3"/>
      <c r="P42" s="3"/>
      <c r="Q42" s="3"/>
      <c r="R42" s="3"/>
      <c r="S42" s="2"/>
      <c r="T42" s="2"/>
      <c r="U42" s="2"/>
    </row>
    <row r="43" spans="1:21" ht="17.25" customHeight="1">
      <c r="A43" s="66"/>
      <c r="B43" s="238"/>
      <c r="C43" s="233"/>
      <c r="D43" s="233" t="s">
        <v>1433</v>
      </c>
      <c r="E43" s="219" t="s">
        <v>819</v>
      </c>
      <c r="F43" s="219">
        <v>11175700</v>
      </c>
      <c r="G43" s="220">
        <v>889.1</v>
      </c>
      <c r="H43" s="220">
        <v>890.3</v>
      </c>
      <c r="I43" s="220">
        <v>872.7</v>
      </c>
      <c r="J43" s="221">
        <v>889.4</v>
      </c>
      <c r="N43" s="3"/>
      <c r="O43" s="3"/>
      <c r="P43" s="3"/>
      <c r="Q43" s="3"/>
      <c r="R43" s="3"/>
      <c r="S43" s="2"/>
      <c r="T43" s="2"/>
      <c r="U43" s="2"/>
    </row>
    <row r="44" spans="1:21" ht="17.25" customHeight="1">
      <c r="A44" s="66"/>
      <c r="B44" s="239"/>
      <c r="C44" s="234"/>
      <c r="D44" s="234" t="s">
        <v>1434</v>
      </c>
      <c r="E44" s="222" t="s">
        <v>819</v>
      </c>
      <c r="F44" s="222">
        <v>6483500</v>
      </c>
      <c r="G44" s="223">
        <v>880</v>
      </c>
      <c r="H44" s="223">
        <v>899.9</v>
      </c>
      <c r="I44" s="223">
        <v>879</v>
      </c>
      <c r="J44" s="224">
        <v>888</v>
      </c>
      <c r="N44" s="3"/>
      <c r="O44" s="3"/>
      <c r="P44" s="3"/>
      <c r="Q44" s="3"/>
      <c r="R44" s="3"/>
      <c r="S44" s="2"/>
      <c r="T44" s="2"/>
      <c r="U44" s="2"/>
    </row>
    <row r="45" spans="1:21" ht="15.75" customHeight="1">
      <c r="A45" s="66"/>
      <c r="B45" s="238"/>
      <c r="C45" s="233"/>
      <c r="D45" s="233" t="s">
        <v>1435</v>
      </c>
      <c r="E45" s="219" t="s">
        <v>819</v>
      </c>
      <c r="F45" s="225">
        <v>12605500</v>
      </c>
      <c r="G45" s="220">
        <v>890</v>
      </c>
      <c r="H45" s="220">
        <v>892.2</v>
      </c>
      <c r="I45" s="220">
        <v>869.3</v>
      </c>
      <c r="J45" s="221">
        <v>887.3</v>
      </c>
      <c r="N45" s="3"/>
      <c r="O45" s="3"/>
      <c r="P45" s="3"/>
      <c r="Q45" s="3"/>
      <c r="R45" s="3"/>
      <c r="S45" s="2"/>
      <c r="T45" s="2"/>
      <c r="U45" s="2"/>
    </row>
    <row r="46" spans="1:21" ht="15.75" customHeight="1">
      <c r="A46" s="66"/>
      <c r="B46" s="239"/>
      <c r="C46" s="234"/>
      <c r="D46" s="234" t="s">
        <v>1436</v>
      </c>
      <c r="E46" s="222" t="s">
        <v>819</v>
      </c>
      <c r="F46" s="226">
        <v>8199800</v>
      </c>
      <c r="G46" s="223">
        <v>888</v>
      </c>
      <c r="H46" s="223">
        <v>897.8</v>
      </c>
      <c r="I46" s="223">
        <v>882.1</v>
      </c>
      <c r="J46" s="224">
        <v>883.5</v>
      </c>
      <c r="N46" s="3"/>
      <c r="O46" s="3"/>
      <c r="P46" s="3"/>
      <c r="Q46" s="3"/>
      <c r="R46" s="3"/>
      <c r="S46" s="2"/>
      <c r="T46" s="2"/>
      <c r="U46" s="2"/>
    </row>
    <row r="47" spans="1:21" ht="15.75" customHeight="1">
      <c r="A47" s="66"/>
      <c r="B47" s="238"/>
      <c r="C47" s="233"/>
      <c r="D47" s="233" t="s">
        <v>1437</v>
      </c>
      <c r="E47" s="219" t="s">
        <v>819</v>
      </c>
      <c r="F47" s="225">
        <v>8683900</v>
      </c>
      <c r="G47" s="220">
        <v>887.3</v>
      </c>
      <c r="H47" s="220">
        <v>915.5</v>
      </c>
      <c r="I47" s="220">
        <v>881.7</v>
      </c>
      <c r="J47" s="221">
        <v>907.3</v>
      </c>
      <c r="N47" s="3"/>
      <c r="O47" s="3"/>
      <c r="P47" s="3"/>
      <c r="Q47" s="3"/>
      <c r="R47" s="3"/>
      <c r="S47" s="2"/>
      <c r="T47" s="2"/>
      <c r="U47" s="2"/>
    </row>
    <row r="48" spans="1:21" ht="15.75" customHeight="1">
      <c r="A48" s="66"/>
      <c r="B48" s="239"/>
      <c r="C48" s="234"/>
      <c r="D48" s="234" t="s">
        <v>1438</v>
      </c>
      <c r="E48" s="222" t="s">
        <v>819</v>
      </c>
      <c r="F48" s="222">
        <v>6062600</v>
      </c>
      <c r="G48" s="223">
        <v>896.7</v>
      </c>
      <c r="H48" s="223">
        <v>903.5</v>
      </c>
      <c r="I48" s="223">
        <v>887.5</v>
      </c>
      <c r="J48" s="224">
        <v>893.8</v>
      </c>
      <c r="N48" s="3"/>
      <c r="O48" s="3"/>
      <c r="P48" s="3"/>
      <c r="Q48" s="3"/>
      <c r="R48" s="3"/>
      <c r="S48" s="2"/>
      <c r="T48" s="2"/>
      <c r="U48" s="2"/>
    </row>
    <row r="49" spans="1:21" ht="15.75" customHeight="1">
      <c r="A49" s="66"/>
      <c r="B49" s="238"/>
      <c r="C49" s="233"/>
      <c r="D49" s="233" t="s">
        <v>1439</v>
      </c>
      <c r="E49" s="219" t="s">
        <v>819</v>
      </c>
      <c r="F49" s="225">
        <v>11563500</v>
      </c>
      <c r="G49" s="220">
        <v>885</v>
      </c>
      <c r="H49" s="220">
        <v>895.3</v>
      </c>
      <c r="I49" s="220">
        <v>878.5</v>
      </c>
      <c r="J49" s="221">
        <v>883.6</v>
      </c>
      <c r="N49" s="3"/>
      <c r="O49" s="3"/>
      <c r="P49" s="3"/>
      <c r="Q49" s="3"/>
      <c r="R49" s="3"/>
      <c r="S49" s="2"/>
      <c r="T49" s="2"/>
      <c r="U49" s="2"/>
    </row>
    <row r="50" spans="1:21" ht="15.75" customHeight="1">
      <c r="A50" s="66"/>
      <c r="B50" s="239"/>
      <c r="C50" s="234"/>
      <c r="D50" s="234" t="s">
        <v>1440</v>
      </c>
      <c r="E50" s="222" t="s">
        <v>819</v>
      </c>
      <c r="F50" s="222">
        <v>15717300</v>
      </c>
      <c r="G50" s="223">
        <v>868.6</v>
      </c>
      <c r="H50" s="223">
        <v>875.2</v>
      </c>
      <c r="I50" s="223">
        <v>841</v>
      </c>
      <c r="J50" s="224">
        <v>858</v>
      </c>
      <c r="N50" s="3"/>
      <c r="O50" s="3"/>
      <c r="P50" s="3"/>
      <c r="Q50" s="3"/>
      <c r="R50" s="3"/>
      <c r="S50" s="2"/>
      <c r="T50" s="2"/>
      <c r="U50" s="2"/>
    </row>
    <row r="51" spans="1:21" ht="15.75" customHeight="1">
      <c r="A51" s="66"/>
      <c r="B51" s="238"/>
      <c r="C51" s="233"/>
      <c r="D51" s="233" t="s">
        <v>1441</v>
      </c>
      <c r="E51" s="219" t="s">
        <v>819</v>
      </c>
      <c r="F51" s="225">
        <v>9131900</v>
      </c>
      <c r="G51" s="220">
        <v>843</v>
      </c>
      <c r="H51" s="220">
        <v>871.3</v>
      </c>
      <c r="I51" s="220">
        <v>842.1</v>
      </c>
      <c r="J51" s="221">
        <v>871.3</v>
      </c>
      <c r="N51" s="3"/>
      <c r="O51" s="3"/>
      <c r="P51" s="3"/>
      <c r="Q51" s="3"/>
      <c r="R51" s="3"/>
      <c r="S51" s="2"/>
      <c r="T51" s="2"/>
      <c r="U51" s="2"/>
    </row>
    <row r="52" spans="1:21" ht="15.75" customHeight="1">
      <c r="A52" s="66"/>
      <c r="B52" s="239"/>
      <c r="C52" s="234"/>
      <c r="D52" s="234" t="s">
        <v>1442</v>
      </c>
      <c r="E52" s="222" t="s">
        <v>819</v>
      </c>
      <c r="F52" s="226">
        <v>9284700</v>
      </c>
      <c r="G52" s="223">
        <v>871.6</v>
      </c>
      <c r="H52" s="223">
        <v>888.5</v>
      </c>
      <c r="I52" s="223">
        <v>868.9</v>
      </c>
      <c r="J52" s="224">
        <v>871.3</v>
      </c>
      <c r="N52" s="3"/>
      <c r="O52" s="3"/>
      <c r="P52" s="3"/>
      <c r="Q52" s="3"/>
      <c r="R52" s="3"/>
      <c r="S52" s="2"/>
      <c r="T52" s="2"/>
      <c r="U52" s="2"/>
    </row>
    <row r="53" spans="1:21" ht="15.75" customHeight="1">
      <c r="A53" s="66"/>
      <c r="B53" s="238"/>
      <c r="C53" s="233"/>
      <c r="D53" s="233" t="s">
        <v>1443</v>
      </c>
      <c r="E53" s="219" t="s">
        <v>819</v>
      </c>
      <c r="F53" s="225">
        <v>8372100</v>
      </c>
      <c r="G53" s="220">
        <v>886.3</v>
      </c>
      <c r="H53" s="220">
        <v>889.8</v>
      </c>
      <c r="I53" s="220">
        <v>866</v>
      </c>
      <c r="J53" s="221">
        <v>884.8</v>
      </c>
      <c r="N53" s="3"/>
      <c r="O53" s="3"/>
      <c r="P53" s="3"/>
      <c r="Q53" s="3"/>
      <c r="R53" s="3"/>
      <c r="S53" s="2"/>
      <c r="T53" s="2"/>
      <c r="U53" s="2"/>
    </row>
    <row r="54" spans="1:21" ht="15.75" customHeight="1">
      <c r="A54" s="66"/>
      <c r="B54" s="239"/>
      <c r="C54" s="234"/>
      <c r="D54" s="234" t="s">
        <v>1444</v>
      </c>
      <c r="E54" s="222" t="s">
        <v>819</v>
      </c>
      <c r="F54" s="226">
        <v>9807500</v>
      </c>
      <c r="G54" s="223">
        <v>895</v>
      </c>
      <c r="H54" s="223">
        <v>895.5</v>
      </c>
      <c r="I54" s="223">
        <v>865.3</v>
      </c>
      <c r="J54" s="224">
        <v>872.1</v>
      </c>
      <c r="N54" s="3"/>
      <c r="O54" s="3"/>
      <c r="P54" s="3"/>
      <c r="Q54" s="3"/>
      <c r="R54" s="3"/>
      <c r="S54" s="2"/>
      <c r="T54" s="2"/>
      <c r="U54" s="2"/>
    </row>
    <row r="55" spans="1:21" ht="15.75" customHeight="1">
      <c r="A55" s="66"/>
      <c r="B55" s="238"/>
      <c r="C55" s="233"/>
      <c r="D55" s="233" t="s">
        <v>1445</v>
      </c>
      <c r="E55" s="219" t="s">
        <v>819</v>
      </c>
      <c r="F55" s="225">
        <v>10250600</v>
      </c>
      <c r="G55" s="220">
        <v>872.4</v>
      </c>
      <c r="H55" s="220">
        <v>873.2</v>
      </c>
      <c r="I55" s="220">
        <v>859.6</v>
      </c>
      <c r="J55" s="221">
        <v>867.1</v>
      </c>
      <c r="N55" s="3"/>
      <c r="O55" s="3"/>
      <c r="P55" s="3"/>
      <c r="Q55" s="3"/>
      <c r="R55" s="3"/>
      <c r="S55" s="2"/>
      <c r="T55" s="2"/>
      <c r="U55" s="2"/>
    </row>
    <row r="56" spans="1:21" ht="15.75" customHeight="1">
      <c r="A56" s="66"/>
      <c r="B56" s="239"/>
      <c r="C56" s="234"/>
      <c r="D56" s="234" t="s">
        <v>1446</v>
      </c>
      <c r="E56" s="222" t="s">
        <v>819</v>
      </c>
      <c r="F56" s="226">
        <v>9405200</v>
      </c>
      <c r="G56" s="223">
        <v>855.6</v>
      </c>
      <c r="H56" s="223">
        <v>878.4</v>
      </c>
      <c r="I56" s="223">
        <v>854.9</v>
      </c>
      <c r="J56" s="224">
        <v>866.9</v>
      </c>
      <c r="N56" s="3"/>
      <c r="O56" s="3"/>
      <c r="P56" s="3"/>
      <c r="Q56" s="3"/>
      <c r="R56" s="3"/>
      <c r="S56" s="2"/>
      <c r="T56" s="2"/>
      <c r="U56" s="2"/>
    </row>
    <row r="57" spans="1:21" ht="15.75" customHeight="1">
      <c r="A57" s="66"/>
      <c r="B57" s="238"/>
      <c r="C57" s="233"/>
      <c r="D57" s="233" t="s">
        <v>1447</v>
      </c>
      <c r="E57" s="219" t="s">
        <v>819</v>
      </c>
      <c r="F57" s="225">
        <v>13279300</v>
      </c>
      <c r="G57" s="220">
        <v>862.9</v>
      </c>
      <c r="H57" s="220">
        <v>865</v>
      </c>
      <c r="I57" s="220">
        <v>818.4</v>
      </c>
      <c r="J57" s="221">
        <v>824.6</v>
      </c>
      <c r="N57" s="3"/>
      <c r="O57" s="3"/>
      <c r="P57" s="3"/>
      <c r="Q57" s="3"/>
      <c r="R57" s="3"/>
      <c r="S57" s="2"/>
      <c r="T57" s="2"/>
      <c r="U57" s="2"/>
    </row>
    <row r="58" spans="1:21" ht="15.75" customHeight="1">
      <c r="A58" s="66"/>
      <c r="B58" s="239"/>
      <c r="C58" s="234"/>
      <c r="D58" s="234" t="s">
        <v>1448</v>
      </c>
      <c r="E58" s="222" t="s">
        <v>819</v>
      </c>
      <c r="F58" s="226">
        <v>13257500</v>
      </c>
      <c r="G58" s="223">
        <v>818.7</v>
      </c>
      <c r="H58" s="223">
        <v>826.2</v>
      </c>
      <c r="I58" s="223">
        <v>801.6</v>
      </c>
      <c r="J58" s="224">
        <v>809.4</v>
      </c>
      <c r="N58" s="3"/>
      <c r="O58" s="3"/>
      <c r="P58" s="3"/>
      <c r="Q58" s="3"/>
      <c r="R58" s="3"/>
      <c r="S58" s="2"/>
      <c r="T58" s="2"/>
      <c r="U58" s="2"/>
    </row>
    <row r="59" spans="1:21" ht="15.75" customHeight="1">
      <c r="A59" s="66"/>
      <c r="B59" s="238"/>
      <c r="C59" s="233"/>
      <c r="D59" s="233" t="s">
        <v>1449</v>
      </c>
      <c r="E59" s="219" t="s">
        <v>819</v>
      </c>
      <c r="F59" s="225">
        <v>13791600</v>
      </c>
      <c r="G59" s="220">
        <v>819.4</v>
      </c>
      <c r="H59" s="220">
        <v>819.4</v>
      </c>
      <c r="I59" s="220">
        <v>801</v>
      </c>
      <c r="J59" s="221">
        <v>819</v>
      </c>
      <c r="N59" s="3"/>
      <c r="O59" s="3"/>
      <c r="P59" s="3"/>
      <c r="Q59" s="3"/>
      <c r="R59" s="3"/>
      <c r="S59" s="2"/>
      <c r="T59" s="2"/>
      <c r="U59" s="2"/>
    </row>
    <row r="60" spans="1:21" ht="15.75" customHeight="1">
      <c r="A60" s="66"/>
      <c r="B60" s="239"/>
      <c r="C60" s="234"/>
      <c r="D60" s="234" t="s">
        <v>1450</v>
      </c>
      <c r="E60" s="222" t="s">
        <v>819</v>
      </c>
      <c r="F60" s="226">
        <v>16167200</v>
      </c>
      <c r="G60" s="223">
        <v>839.8</v>
      </c>
      <c r="H60" s="223">
        <v>861.9</v>
      </c>
      <c r="I60" s="223">
        <v>836.8</v>
      </c>
      <c r="J60" s="224">
        <v>858.5</v>
      </c>
      <c r="N60" s="3"/>
      <c r="O60" s="3"/>
      <c r="P60" s="3"/>
      <c r="Q60" s="3"/>
      <c r="R60" s="3"/>
      <c r="S60" s="2"/>
      <c r="T60" s="2"/>
      <c r="U60" s="2"/>
    </row>
    <row r="61" spans="1:21" ht="15.75" customHeight="1">
      <c r="A61" s="66"/>
      <c r="B61" s="238"/>
      <c r="C61" s="233"/>
      <c r="D61" s="233" t="s">
        <v>1451</v>
      </c>
      <c r="E61" s="219" t="s">
        <v>819</v>
      </c>
      <c r="F61" s="225">
        <v>24956100</v>
      </c>
      <c r="G61" s="220">
        <v>861.9</v>
      </c>
      <c r="H61" s="220">
        <v>907.4</v>
      </c>
      <c r="I61" s="220">
        <v>856.4</v>
      </c>
      <c r="J61" s="221">
        <v>878.2</v>
      </c>
      <c r="N61" s="3"/>
      <c r="O61" s="3"/>
      <c r="P61" s="3"/>
      <c r="Q61" s="3"/>
      <c r="R61" s="3"/>
      <c r="S61" s="2"/>
      <c r="T61" s="2"/>
      <c r="U61" s="2"/>
    </row>
    <row r="62" spans="1:21" ht="15.75" customHeight="1">
      <c r="A62" s="66"/>
      <c r="B62" s="239"/>
      <c r="C62" s="234"/>
      <c r="D62" s="234" t="s">
        <v>1452</v>
      </c>
      <c r="E62" s="222" t="s">
        <v>819</v>
      </c>
      <c r="F62" s="226">
        <v>12430600</v>
      </c>
      <c r="G62" s="223">
        <v>881</v>
      </c>
      <c r="H62" s="223">
        <v>882.6</v>
      </c>
      <c r="I62" s="223">
        <v>819.7</v>
      </c>
      <c r="J62" s="224">
        <v>823.5</v>
      </c>
      <c r="N62" s="3"/>
      <c r="O62" s="3"/>
      <c r="P62" s="3"/>
      <c r="Q62" s="3"/>
      <c r="R62" s="3"/>
      <c r="S62" s="2"/>
      <c r="T62" s="2"/>
      <c r="U62" s="2"/>
    </row>
    <row r="63" spans="1:21" ht="15.75" customHeight="1">
      <c r="A63" s="66"/>
      <c r="B63" s="240"/>
      <c r="C63" s="235"/>
      <c r="D63" s="235" t="s">
        <v>1453</v>
      </c>
      <c r="E63" s="227" t="s">
        <v>819</v>
      </c>
      <c r="F63" s="228">
        <v>9167400</v>
      </c>
      <c r="G63" s="229">
        <v>808.5</v>
      </c>
      <c r="H63" s="229">
        <v>833.5</v>
      </c>
      <c r="I63" s="229">
        <v>794.7</v>
      </c>
      <c r="J63" s="230">
        <v>826.7</v>
      </c>
      <c r="N63" s="3"/>
      <c r="O63" s="3"/>
      <c r="P63" s="3"/>
      <c r="Q63" s="3"/>
      <c r="R63" s="3"/>
      <c r="S63" s="2"/>
      <c r="T63" s="2"/>
      <c r="U63" s="2"/>
    </row>
    <row r="64" spans="1:21">
      <c r="A64" s="66"/>
      <c r="B64" s="3"/>
      <c r="C64" s="3"/>
      <c r="D64" s="3" t="s">
        <v>1454</v>
      </c>
      <c r="E64" s="3" t="s">
        <v>819</v>
      </c>
      <c r="F64" s="1">
        <v>9425900</v>
      </c>
      <c r="G64" s="2">
        <v>814</v>
      </c>
      <c r="H64" s="2">
        <v>829.4</v>
      </c>
      <c r="I64" s="2">
        <v>807.3</v>
      </c>
      <c r="J64" s="2">
        <v>824.6</v>
      </c>
      <c r="N64" s="3"/>
      <c r="O64" s="3"/>
      <c r="P64" s="3"/>
      <c r="Q64" s="3"/>
      <c r="R64" s="3"/>
      <c r="S64" s="2"/>
      <c r="T64" s="2"/>
      <c r="U64" s="2"/>
    </row>
    <row r="65" spans="1:21">
      <c r="A65" s="66"/>
      <c r="B65" s="3"/>
      <c r="C65" s="3"/>
      <c r="D65" s="3" t="s">
        <v>1455</v>
      </c>
      <c r="E65" s="3" t="s">
        <v>819</v>
      </c>
      <c r="F65" s="1">
        <v>9390800</v>
      </c>
      <c r="G65" s="2">
        <v>825</v>
      </c>
      <c r="H65" s="2">
        <v>844.4</v>
      </c>
      <c r="I65" s="2">
        <v>820.2</v>
      </c>
      <c r="J65" s="2">
        <v>826.1</v>
      </c>
      <c r="N65" s="3"/>
      <c r="O65" s="3"/>
      <c r="P65" s="3"/>
      <c r="Q65" s="3"/>
      <c r="R65" s="3"/>
      <c r="S65" s="2"/>
      <c r="T65" s="2"/>
      <c r="U65" s="2"/>
    </row>
    <row r="66" spans="1:21">
      <c r="A66" s="66"/>
      <c r="B66" s="3"/>
      <c r="C66" s="3"/>
      <c r="D66" s="3" t="s">
        <v>1456</v>
      </c>
      <c r="E66" s="3" t="s">
        <v>819</v>
      </c>
      <c r="F66" s="1">
        <v>6266300</v>
      </c>
      <c r="G66" s="2">
        <v>825</v>
      </c>
      <c r="H66" s="2">
        <v>843.7</v>
      </c>
      <c r="I66" s="2">
        <v>822.2</v>
      </c>
      <c r="J66" s="2">
        <v>831.9</v>
      </c>
      <c r="N66" s="3"/>
      <c r="O66" s="3"/>
      <c r="P66" s="3"/>
      <c r="Q66" s="3"/>
      <c r="R66" s="3"/>
      <c r="S66" s="2"/>
      <c r="T66" s="2"/>
      <c r="U66" s="2"/>
    </row>
    <row r="67" spans="1:21">
      <c r="A67" s="66"/>
      <c r="B67" s="3"/>
      <c r="C67" s="3"/>
      <c r="D67" s="3" t="s">
        <v>1457</v>
      </c>
      <c r="E67" s="3" t="s">
        <v>819</v>
      </c>
      <c r="F67" s="1">
        <v>10968100</v>
      </c>
      <c r="G67" s="2">
        <v>846.9</v>
      </c>
      <c r="H67" s="2">
        <v>856</v>
      </c>
      <c r="I67" s="2">
        <v>829</v>
      </c>
      <c r="J67" s="2">
        <v>839.3</v>
      </c>
      <c r="N67" s="3"/>
      <c r="O67" s="3"/>
      <c r="P67" s="3"/>
      <c r="Q67" s="3"/>
      <c r="R67" s="3"/>
      <c r="S67" s="2"/>
      <c r="T67" s="2"/>
      <c r="U67" s="2"/>
    </row>
    <row r="68" spans="1:21">
      <c r="A68" s="66"/>
      <c r="B68" s="3"/>
      <c r="C68" s="3"/>
      <c r="D68" s="3" t="s">
        <v>1458</v>
      </c>
      <c r="E68" s="3" t="s">
        <v>819</v>
      </c>
      <c r="F68" s="1">
        <v>7836700</v>
      </c>
      <c r="G68" s="2">
        <v>853.6</v>
      </c>
      <c r="H68" s="2">
        <v>854.6</v>
      </c>
      <c r="I68" s="2">
        <v>833.2</v>
      </c>
      <c r="J68" s="2">
        <v>833.2</v>
      </c>
      <c r="N68" s="3"/>
      <c r="O68" s="3"/>
      <c r="P68" s="3"/>
      <c r="Q68" s="3"/>
      <c r="R68" s="3"/>
      <c r="S68" s="2"/>
      <c r="T68" s="2"/>
      <c r="U68" s="2"/>
    </row>
    <row r="69" spans="1:21">
      <c r="A69" s="66"/>
      <c r="B69" s="3"/>
      <c r="C69" s="3"/>
      <c r="D69" s="3" t="s">
        <v>1459</v>
      </c>
      <c r="E69" s="3" t="s">
        <v>819</v>
      </c>
      <c r="F69" s="1">
        <v>8280200</v>
      </c>
      <c r="G69" s="2">
        <v>846</v>
      </c>
      <c r="H69" s="2">
        <v>851.8</v>
      </c>
      <c r="I69" s="2">
        <v>836.4</v>
      </c>
      <c r="J69" s="2">
        <v>849</v>
      </c>
      <c r="N69" s="3"/>
      <c r="O69" s="3"/>
      <c r="P69" s="3"/>
      <c r="Q69" s="3"/>
      <c r="R69" s="3"/>
      <c r="S69" s="2"/>
      <c r="T69" s="2"/>
      <c r="U69" s="2"/>
    </row>
    <row r="70" spans="1:21">
      <c r="A70" s="66"/>
      <c r="B70" s="306"/>
      <c r="C70" s="306"/>
      <c r="D70" s="306" t="s">
        <v>1460</v>
      </c>
      <c r="E70" s="306" t="s">
        <v>819</v>
      </c>
      <c r="F70" s="307">
        <v>13632800</v>
      </c>
      <c r="G70" s="308">
        <v>883</v>
      </c>
      <c r="H70" s="308">
        <v>893.5</v>
      </c>
      <c r="I70" s="308">
        <v>860.6</v>
      </c>
      <c r="J70" s="308">
        <v>867.8</v>
      </c>
      <c r="N70" s="3"/>
      <c r="O70" s="3"/>
      <c r="P70" s="3"/>
      <c r="Q70" s="3"/>
      <c r="R70" s="3"/>
      <c r="S70" s="2"/>
      <c r="T70" s="2"/>
      <c r="U70" s="2"/>
    </row>
    <row r="71" spans="1:21">
      <c r="A71" s="66"/>
      <c r="B71" s="306"/>
      <c r="C71" s="306"/>
      <c r="D71" s="306" t="s">
        <v>1461</v>
      </c>
      <c r="E71" s="306" t="s">
        <v>819</v>
      </c>
      <c r="F71" s="307">
        <v>11446700</v>
      </c>
      <c r="G71" s="308">
        <v>860.6</v>
      </c>
      <c r="H71" s="308">
        <v>869.7</v>
      </c>
      <c r="I71" s="308">
        <v>851.6</v>
      </c>
      <c r="J71" s="308">
        <v>855.3</v>
      </c>
      <c r="N71" s="3"/>
      <c r="O71" s="3"/>
      <c r="P71" s="3"/>
      <c r="Q71" s="3"/>
      <c r="R71" s="3"/>
      <c r="S71" s="2"/>
      <c r="T71" s="2"/>
      <c r="U71" s="2"/>
    </row>
    <row r="72" spans="1:21">
      <c r="A72" s="66"/>
      <c r="B72" s="306"/>
      <c r="C72" s="306"/>
      <c r="D72" s="306" t="s">
        <v>1462</v>
      </c>
      <c r="E72" s="306" t="s">
        <v>819</v>
      </c>
      <c r="F72" s="307">
        <v>10026400</v>
      </c>
      <c r="G72" s="308">
        <v>852.4</v>
      </c>
      <c r="H72" s="308">
        <v>858.6</v>
      </c>
      <c r="I72" s="308">
        <v>837.2</v>
      </c>
      <c r="J72" s="308">
        <v>837.2</v>
      </c>
      <c r="N72" s="3"/>
      <c r="O72" s="3"/>
      <c r="P72" s="3"/>
      <c r="Q72" s="3"/>
      <c r="R72" s="3"/>
      <c r="S72" s="2"/>
      <c r="T72" s="2"/>
      <c r="U72" s="2"/>
    </row>
    <row r="73" spans="1:21">
      <c r="A73" s="66"/>
      <c r="B73" s="306"/>
      <c r="C73" s="306"/>
      <c r="D73" s="306" t="s">
        <v>1463</v>
      </c>
      <c r="E73" s="306" t="s">
        <v>819</v>
      </c>
      <c r="F73" s="307">
        <v>10168000</v>
      </c>
      <c r="G73" s="308">
        <v>827.8</v>
      </c>
      <c r="H73" s="308">
        <v>836.3</v>
      </c>
      <c r="I73" s="308">
        <v>822.5</v>
      </c>
      <c r="J73" s="308">
        <v>834.6</v>
      </c>
      <c r="N73" s="3"/>
      <c r="O73" s="3"/>
      <c r="P73" s="3"/>
      <c r="Q73" s="3"/>
      <c r="R73" s="3"/>
      <c r="S73" s="2"/>
      <c r="T73" s="2"/>
      <c r="U73" s="2"/>
    </row>
    <row r="74" spans="1:21">
      <c r="A74" s="66"/>
      <c r="B74" s="306"/>
      <c r="C74" s="306"/>
      <c r="D74" s="306" t="s">
        <v>1464</v>
      </c>
      <c r="E74" s="306" t="s">
        <v>819</v>
      </c>
      <c r="F74" s="307">
        <v>7820900</v>
      </c>
      <c r="G74" s="308">
        <v>836</v>
      </c>
      <c r="H74" s="308">
        <v>852.4</v>
      </c>
      <c r="I74" s="308">
        <v>833.8</v>
      </c>
      <c r="J74" s="308">
        <v>835.6</v>
      </c>
      <c r="N74" s="3"/>
      <c r="O74" s="3"/>
      <c r="P74" s="3"/>
      <c r="Q74" s="3"/>
      <c r="R74" s="3"/>
      <c r="S74" s="2"/>
      <c r="T74" s="2"/>
      <c r="U74" s="2"/>
    </row>
    <row r="75" spans="1:21">
      <c r="A75" s="66"/>
      <c r="B75" s="306"/>
      <c r="C75" s="306"/>
      <c r="D75" s="306" t="s">
        <v>1465</v>
      </c>
      <c r="E75" s="306" t="s">
        <v>819</v>
      </c>
      <c r="F75" s="307">
        <v>7911200</v>
      </c>
      <c r="G75" s="308">
        <v>840</v>
      </c>
      <c r="H75" s="308">
        <v>845.4</v>
      </c>
      <c r="I75" s="308">
        <v>825.3</v>
      </c>
      <c r="J75" s="308">
        <v>835.3</v>
      </c>
      <c r="N75" s="3"/>
      <c r="O75" s="3"/>
      <c r="P75" s="3"/>
      <c r="Q75" s="3"/>
      <c r="R75" s="3"/>
      <c r="S75" s="2"/>
      <c r="T75" s="2"/>
      <c r="U75" s="2"/>
    </row>
    <row r="76" spans="1:21">
      <c r="A76" s="66"/>
      <c r="B76" s="306"/>
      <c r="C76" s="306"/>
      <c r="D76" s="306" t="s">
        <v>1466</v>
      </c>
      <c r="E76" s="306" t="s">
        <v>819</v>
      </c>
      <c r="F76" s="307">
        <v>13115400</v>
      </c>
      <c r="G76" s="308">
        <v>826.7</v>
      </c>
      <c r="H76" s="308">
        <v>828.7</v>
      </c>
      <c r="I76" s="308">
        <v>811</v>
      </c>
      <c r="J76" s="308">
        <v>819</v>
      </c>
      <c r="N76" s="3"/>
      <c r="O76" s="3"/>
      <c r="P76" s="3"/>
      <c r="Q76" s="3"/>
      <c r="R76" s="3"/>
      <c r="S76" s="2"/>
      <c r="T76" s="2"/>
      <c r="U76" s="2"/>
    </row>
    <row r="77" spans="1:21">
      <c r="A77" s="66"/>
      <c r="B77" s="306"/>
      <c r="C77" s="306"/>
      <c r="D77" s="306" t="s">
        <v>1467</v>
      </c>
      <c r="E77" s="306" t="s">
        <v>819</v>
      </c>
      <c r="F77" s="306">
        <v>8875500</v>
      </c>
      <c r="G77" s="308">
        <v>815.1</v>
      </c>
      <c r="H77" s="308">
        <v>822.3</v>
      </c>
      <c r="I77" s="308">
        <v>809.8</v>
      </c>
      <c r="J77" s="308">
        <v>816.4</v>
      </c>
      <c r="N77" s="3"/>
      <c r="O77" s="3"/>
      <c r="P77" s="3"/>
      <c r="Q77" s="3"/>
      <c r="R77" s="3"/>
      <c r="S77" s="2"/>
      <c r="T77" s="2"/>
      <c r="U77" s="2"/>
    </row>
    <row r="78" spans="1:21">
      <c r="A78" s="66"/>
      <c r="B78" s="306"/>
      <c r="C78" s="306"/>
      <c r="D78" s="306" t="s">
        <v>1468</v>
      </c>
      <c r="E78" s="306" t="s">
        <v>819</v>
      </c>
      <c r="F78" s="307">
        <v>10696300</v>
      </c>
      <c r="G78" s="308">
        <v>811.9</v>
      </c>
      <c r="H78" s="308">
        <v>824.4</v>
      </c>
      <c r="I78" s="308">
        <v>806.1</v>
      </c>
      <c r="J78" s="308">
        <v>813.4</v>
      </c>
      <c r="N78" s="3"/>
      <c r="O78" s="3"/>
      <c r="P78" s="3"/>
      <c r="Q78" s="3"/>
      <c r="R78" s="3"/>
      <c r="S78" s="2"/>
      <c r="T78" s="2"/>
      <c r="U78" s="2"/>
    </row>
    <row r="79" spans="1:21">
      <c r="A79" s="66"/>
      <c r="B79" s="306"/>
      <c r="C79" s="306"/>
      <c r="D79" s="306" t="s">
        <v>1469</v>
      </c>
      <c r="E79" s="306" t="s">
        <v>819</v>
      </c>
      <c r="F79" s="307">
        <v>10505100</v>
      </c>
      <c r="G79" s="308">
        <v>815.9</v>
      </c>
      <c r="H79" s="308">
        <v>832</v>
      </c>
      <c r="I79" s="308">
        <v>815.1</v>
      </c>
      <c r="J79" s="308">
        <v>818.5</v>
      </c>
      <c r="N79" s="3"/>
      <c r="O79" s="3"/>
      <c r="P79" s="3"/>
      <c r="Q79" s="3"/>
      <c r="R79" s="3"/>
      <c r="S79" s="2"/>
      <c r="T79" s="2"/>
      <c r="U79" s="2"/>
    </row>
    <row r="80" spans="1:21">
      <c r="A80" s="66"/>
      <c r="B80" s="306"/>
      <c r="C80" s="306"/>
      <c r="D80" s="306" t="s">
        <v>1470</v>
      </c>
      <c r="E80" s="306" t="s">
        <v>819</v>
      </c>
      <c r="F80" s="307">
        <v>10826200</v>
      </c>
      <c r="G80" s="308">
        <v>822.7</v>
      </c>
      <c r="H80" s="308">
        <v>831</v>
      </c>
      <c r="I80" s="308">
        <v>813.5</v>
      </c>
      <c r="J80" s="308">
        <v>820.7</v>
      </c>
      <c r="N80" s="3"/>
      <c r="O80" s="3"/>
      <c r="P80" s="3"/>
      <c r="Q80" s="3"/>
      <c r="R80" s="3"/>
      <c r="S80" s="2"/>
      <c r="T80" s="2"/>
      <c r="U80" s="2"/>
    </row>
    <row r="81" spans="1:21">
      <c r="A81" s="66"/>
      <c r="B81" s="306"/>
      <c r="C81" s="306"/>
      <c r="D81" s="306" t="s">
        <v>1471</v>
      </c>
      <c r="E81" s="306" t="s">
        <v>819</v>
      </c>
      <c r="F81" s="307">
        <v>11977400</v>
      </c>
      <c r="G81" s="308">
        <v>822.8</v>
      </c>
      <c r="H81" s="308">
        <v>828</v>
      </c>
      <c r="I81" s="308">
        <v>815.4</v>
      </c>
      <c r="J81" s="308">
        <v>823</v>
      </c>
      <c r="N81" s="3"/>
      <c r="O81" s="3"/>
      <c r="P81" s="3"/>
      <c r="Q81" s="3"/>
      <c r="R81" s="3"/>
      <c r="S81" s="2"/>
      <c r="T81" s="2"/>
      <c r="U81" s="2"/>
    </row>
    <row r="82" spans="1:21">
      <c r="A82" s="66"/>
      <c r="B82" s="306"/>
      <c r="C82" s="306"/>
      <c r="D82" s="306" t="s">
        <v>1472</v>
      </c>
      <c r="E82" s="306" t="s">
        <v>819</v>
      </c>
      <c r="F82" s="307">
        <v>11480100</v>
      </c>
      <c r="G82" s="308">
        <v>822.5</v>
      </c>
      <c r="H82" s="308">
        <v>846.4</v>
      </c>
      <c r="I82" s="308">
        <v>820.1</v>
      </c>
      <c r="J82" s="308">
        <v>826.4</v>
      </c>
      <c r="N82" s="3"/>
      <c r="O82" s="3"/>
      <c r="P82" s="3"/>
      <c r="Q82" s="3"/>
      <c r="R82" s="3"/>
      <c r="S82" s="2"/>
      <c r="T82" s="2"/>
      <c r="U82" s="2"/>
    </row>
    <row r="83" spans="1:21">
      <c r="A83" s="66"/>
      <c r="B83" s="306"/>
      <c r="C83" s="306"/>
      <c r="D83" s="306" t="s">
        <v>1473</v>
      </c>
      <c r="E83" s="306" t="s">
        <v>819</v>
      </c>
      <c r="F83" s="306">
        <v>12157200</v>
      </c>
      <c r="G83" s="308">
        <v>851</v>
      </c>
      <c r="H83" s="308">
        <v>854</v>
      </c>
      <c r="I83" s="308">
        <v>821</v>
      </c>
      <c r="J83" s="308">
        <v>823</v>
      </c>
      <c r="N83" s="3"/>
      <c r="O83" s="3"/>
      <c r="P83" s="3"/>
      <c r="Q83" s="3"/>
      <c r="R83" s="3"/>
      <c r="S83" s="2"/>
      <c r="T83" s="2"/>
      <c r="U83" s="2"/>
    </row>
    <row r="84" spans="1:21">
      <c r="A84" s="66"/>
      <c r="B84" s="3"/>
      <c r="C84" s="3"/>
      <c r="D84" s="3" t="s">
        <v>1474</v>
      </c>
      <c r="E84" s="3" t="s">
        <v>819</v>
      </c>
      <c r="F84" s="1">
        <v>10371000</v>
      </c>
      <c r="G84" s="2">
        <v>811</v>
      </c>
      <c r="H84" s="2">
        <v>818.1</v>
      </c>
      <c r="I84" s="2">
        <v>793.6</v>
      </c>
      <c r="J84" s="2">
        <v>793.6</v>
      </c>
      <c r="N84" s="3"/>
      <c r="O84" s="3"/>
      <c r="P84" s="3"/>
      <c r="Q84" s="3"/>
      <c r="R84" s="3"/>
      <c r="S84" s="2"/>
      <c r="T84" s="2"/>
      <c r="U84" s="2"/>
    </row>
    <row r="85" spans="1:21">
      <c r="A85" s="66"/>
      <c r="B85" s="3"/>
      <c r="C85" s="3"/>
      <c r="D85" s="3" t="s">
        <v>1475</v>
      </c>
      <c r="E85" s="3" t="s">
        <v>819</v>
      </c>
      <c r="F85" s="1">
        <v>8356400</v>
      </c>
      <c r="G85" s="2">
        <v>814</v>
      </c>
      <c r="H85" s="2">
        <v>829.5</v>
      </c>
      <c r="I85" s="2">
        <v>808.2</v>
      </c>
      <c r="J85" s="2">
        <v>820.7</v>
      </c>
      <c r="N85" s="3"/>
      <c r="O85" s="3"/>
      <c r="P85" s="3"/>
      <c r="Q85" s="3"/>
      <c r="R85" s="3"/>
      <c r="S85" s="2"/>
      <c r="T85" s="2"/>
      <c r="U85" s="2"/>
    </row>
    <row r="86" spans="1:21">
      <c r="A86" s="66"/>
      <c r="B86" s="3"/>
      <c r="C86" s="3"/>
      <c r="D86" s="3" t="s">
        <v>1476</v>
      </c>
      <c r="E86" s="3" t="s">
        <v>819</v>
      </c>
      <c r="F86" s="3">
        <v>8524900</v>
      </c>
      <c r="G86" s="2">
        <v>835</v>
      </c>
      <c r="H86" s="2">
        <v>847.6</v>
      </c>
      <c r="I86" s="2">
        <v>815.1</v>
      </c>
      <c r="J86" s="2">
        <v>818.3</v>
      </c>
      <c r="N86" s="3"/>
      <c r="O86" s="3"/>
      <c r="P86" s="3"/>
      <c r="Q86" s="3"/>
      <c r="R86" s="3"/>
      <c r="S86" s="2"/>
      <c r="T86" s="2"/>
      <c r="U86" s="2"/>
    </row>
    <row r="87" spans="1:21">
      <c r="A87" s="66"/>
      <c r="B87" s="306"/>
      <c r="C87" s="306"/>
      <c r="D87" s="306" t="s">
        <v>1477</v>
      </c>
      <c r="E87" s="306" t="s">
        <v>819</v>
      </c>
      <c r="F87" s="306">
        <v>8826900</v>
      </c>
      <c r="G87" s="308">
        <v>821</v>
      </c>
      <c r="H87" s="308">
        <v>852.7</v>
      </c>
      <c r="I87" s="308">
        <v>816.8</v>
      </c>
      <c r="J87" s="308">
        <v>852.7</v>
      </c>
      <c r="N87" s="3"/>
      <c r="O87" s="3"/>
      <c r="P87" s="3"/>
      <c r="Q87" s="3"/>
      <c r="R87" s="3"/>
      <c r="S87" s="2"/>
      <c r="T87" s="2"/>
      <c r="U87" s="2"/>
    </row>
    <row r="88" spans="1:21">
      <c r="A88" s="66"/>
      <c r="B88" s="306"/>
      <c r="C88" s="306"/>
      <c r="D88" s="306" t="s">
        <v>1478</v>
      </c>
      <c r="E88" s="306" t="s">
        <v>819</v>
      </c>
      <c r="F88" s="307">
        <v>13886200</v>
      </c>
      <c r="G88" s="308">
        <v>852</v>
      </c>
      <c r="H88" s="308">
        <v>869.8</v>
      </c>
      <c r="I88" s="308">
        <v>838.1</v>
      </c>
      <c r="J88" s="308">
        <v>866.7</v>
      </c>
      <c r="N88" s="3"/>
      <c r="O88" s="3"/>
      <c r="P88" s="3"/>
      <c r="Q88" s="3"/>
      <c r="R88" s="3"/>
      <c r="S88" s="2"/>
      <c r="T88" s="2"/>
      <c r="U88" s="2"/>
    </row>
    <row r="89" spans="1:21">
      <c r="A89" s="66"/>
      <c r="B89" s="3"/>
      <c r="C89" s="3"/>
      <c r="D89" s="3" t="s">
        <v>1479</v>
      </c>
      <c r="E89" s="3" t="s">
        <v>819</v>
      </c>
      <c r="F89" s="1">
        <v>14734400</v>
      </c>
      <c r="G89" s="2">
        <v>881.7</v>
      </c>
      <c r="H89" s="2">
        <v>882.6</v>
      </c>
      <c r="I89" s="2">
        <v>856.2</v>
      </c>
      <c r="J89" s="2">
        <v>873.2</v>
      </c>
      <c r="N89" s="3"/>
      <c r="O89" s="3"/>
      <c r="P89" s="3"/>
      <c r="Q89" s="3"/>
      <c r="R89" s="3"/>
      <c r="S89" s="2"/>
      <c r="T89" s="2"/>
      <c r="U89" s="2"/>
    </row>
    <row r="90" spans="1:21">
      <c r="A90" s="66"/>
      <c r="B90" s="306"/>
      <c r="C90" s="306"/>
      <c r="D90" s="306" t="s">
        <v>1480</v>
      </c>
      <c r="E90" s="306" t="s">
        <v>819</v>
      </c>
      <c r="F90" s="306">
        <v>10620300</v>
      </c>
      <c r="G90" s="308">
        <v>874.6</v>
      </c>
      <c r="H90" s="308">
        <v>877.8</v>
      </c>
      <c r="I90" s="308">
        <v>860.3</v>
      </c>
      <c r="J90" s="308">
        <v>870.9</v>
      </c>
      <c r="N90" s="3"/>
      <c r="O90" s="3"/>
      <c r="P90" s="3"/>
      <c r="Q90" s="3"/>
      <c r="R90" s="3"/>
      <c r="S90" s="2"/>
      <c r="T90" s="2"/>
      <c r="U90" s="2"/>
    </row>
    <row r="91" spans="1:21">
      <c r="A91" s="66"/>
      <c r="B91" s="306"/>
      <c r="C91" s="306"/>
      <c r="D91" s="306" t="s">
        <v>1481</v>
      </c>
      <c r="E91" s="306" t="s">
        <v>819</v>
      </c>
      <c r="F91" s="307">
        <v>9319000</v>
      </c>
      <c r="G91" s="308">
        <v>867.6</v>
      </c>
      <c r="H91" s="308">
        <v>867.6</v>
      </c>
      <c r="I91" s="308">
        <v>848.9</v>
      </c>
      <c r="J91" s="308">
        <v>850.4</v>
      </c>
      <c r="N91" s="3"/>
      <c r="O91" s="3"/>
      <c r="P91" s="3"/>
      <c r="Q91" s="3"/>
      <c r="R91" s="3"/>
      <c r="S91" s="2"/>
      <c r="T91" s="2"/>
      <c r="U91" s="2"/>
    </row>
    <row r="92" spans="1:21">
      <c r="A92" s="66"/>
      <c r="B92" s="306"/>
      <c r="C92" s="306"/>
      <c r="D92" s="306" t="s">
        <v>1482</v>
      </c>
      <c r="E92" s="306" t="s">
        <v>819</v>
      </c>
      <c r="F92" s="307">
        <v>7961100</v>
      </c>
      <c r="G92" s="308">
        <v>852.5</v>
      </c>
      <c r="H92" s="308">
        <v>873.5</v>
      </c>
      <c r="I92" s="308">
        <v>846.5</v>
      </c>
      <c r="J92" s="308">
        <v>872.7</v>
      </c>
      <c r="N92" s="3"/>
      <c r="O92" s="3"/>
      <c r="P92" s="3"/>
      <c r="Q92" s="3"/>
      <c r="R92" s="3"/>
      <c r="S92" s="2"/>
      <c r="T92" s="2"/>
      <c r="U92" s="2"/>
    </row>
    <row r="93" spans="1:21">
      <c r="A93" s="66"/>
      <c r="B93" s="306"/>
      <c r="C93" s="306"/>
      <c r="D93" s="306" t="s">
        <v>1483</v>
      </c>
      <c r="E93" s="306" t="s">
        <v>819</v>
      </c>
      <c r="F93" s="306">
        <v>7420500</v>
      </c>
      <c r="G93" s="308">
        <v>881.8</v>
      </c>
      <c r="H93" s="308">
        <v>890.6</v>
      </c>
      <c r="I93" s="308">
        <v>873</v>
      </c>
      <c r="J93" s="308">
        <v>874</v>
      </c>
      <c r="N93" s="3"/>
      <c r="O93" s="3"/>
      <c r="P93" s="3"/>
      <c r="Q93" s="3"/>
      <c r="R93" s="3"/>
      <c r="S93" s="2"/>
      <c r="T93" s="2"/>
      <c r="U93" s="2"/>
    </row>
    <row r="94" spans="1:21">
      <c r="A94" s="66"/>
      <c r="B94" s="306"/>
      <c r="C94" s="306"/>
      <c r="D94" s="306" t="s">
        <v>1484</v>
      </c>
      <c r="E94" s="306" t="s">
        <v>819</v>
      </c>
      <c r="F94" s="306">
        <v>8447400</v>
      </c>
      <c r="G94" s="308">
        <v>872</v>
      </c>
      <c r="H94" s="308">
        <v>874.5</v>
      </c>
      <c r="I94" s="308">
        <v>853</v>
      </c>
      <c r="J94" s="308">
        <v>858.5</v>
      </c>
      <c r="N94" s="3"/>
      <c r="O94" s="3"/>
      <c r="P94" s="3"/>
      <c r="Q94" s="3"/>
      <c r="R94" s="3"/>
      <c r="S94" s="2"/>
      <c r="T94" s="2"/>
      <c r="U94" s="2"/>
    </row>
    <row r="95" spans="1:21">
      <c r="A95" s="66"/>
      <c r="B95" s="306"/>
      <c r="C95" s="306"/>
      <c r="D95" s="306" t="s">
        <v>1485</v>
      </c>
      <c r="E95" s="306" t="s">
        <v>819</v>
      </c>
      <c r="F95" s="306">
        <v>8272100</v>
      </c>
      <c r="G95" s="308">
        <v>869.1</v>
      </c>
      <c r="H95" s="308">
        <v>892.2</v>
      </c>
      <c r="I95" s="308">
        <v>864.1</v>
      </c>
      <c r="J95" s="308">
        <v>869</v>
      </c>
      <c r="N95" s="3"/>
      <c r="O95" s="3"/>
      <c r="P95" s="3"/>
      <c r="Q95" s="3"/>
      <c r="R95" s="3"/>
      <c r="S95" s="2"/>
      <c r="T95" s="2"/>
      <c r="U95" s="2"/>
    </row>
    <row r="96" spans="1:21">
      <c r="A96" s="66"/>
      <c r="B96" s="306"/>
      <c r="C96" s="306"/>
      <c r="D96" s="306" t="s">
        <v>1486</v>
      </c>
      <c r="E96" s="306" t="s">
        <v>819</v>
      </c>
      <c r="F96" s="307">
        <v>13238300</v>
      </c>
      <c r="G96" s="308">
        <v>884</v>
      </c>
      <c r="H96" s="308">
        <v>903.9</v>
      </c>
      <c r="I96" s="308">
        <v>881.3</v>
      </c>
      <c r="J96" s="308">
        <v>889</v>
      </c>
      <c r="N96" s="3"/>
      <c r="O96" s="3"/>
      <c r="P96" s="3"/>
      <c r="Q96" s="3"/>
      <c r="R96" s="3"/>
      <c r="S96" s="2"/>
      <c r="T96" s="2"/>
      <c r="U96" s="2"/>
    </row>
    <row r="97" spans="1:21">
      <c r="A97" s="66"/>
      <c r="B97" s="306"/>
      <c r="C97" s="306"/>
      <c r="D97" s="306" t="s">
        <v>1487</v>
      </c>
      <c r="E97" s="306" t="s">
        <v>819</v>
      </c>
      <c r="F97" s="306">
        <v>9065700</v>
      </c>
      <c r="G97" s="308">
        <v>877.6</v>
      </c>
      <c r="H97" s="308">
        <v>895.9</v>
      </c>
      <c r="I97" s="308">
        <v>877</v>
      </c>
      <c r="J97" s="308">
        <v>880.9</v>
      </c>
      <c r="N97" s="3"/>
      <c r="O97" s="3"/>
      <c r="P97" s="3"/>
      <c r="Q97" s="3"/>
      <c r="R97" s="3"/>
      <c r="S97" s="2"/>
      <c r="T97" s="2"/>
      <c r="U97" s="2"/>
    </row>
    <row r="98" spans="1:21">
      <c r="A98" s="66"/>
      <c r="B98" s="306"/>
      <c r="C98" s="306"/>
      <c r="D98" s="306" t="s">
        <v>1488</v>
      </c>
      <c r="E98" s="306" t="s">
        <v>819</v>
      </c>
      <c r="F98" s="307">
        <v>7010800</v>
      </c>
      <c r="G98" s="308">
        <v>857.7</v>
      </c>
      <c r="H98" s="308">
        <v>869.4</v>
      </c>
      <c r="I98" s="308">
        <v>853.5</v>
      </c>
      <c r="J98" s="308">
        <v>866.3</v>
      </c>
      <c r="N98" s="3"/>
      <c r="O98" s="3"/>
      <c r="P98" s="3"/>
      <c r="Q98" s="3"/>
      <c r="R98" s="3"/>
      <c r="S98" s="2"/>
      <c r="T98" s="2"/>
      <c r="U98" s="2"/>
    </row>
    <row r="99" spans="1:21">
      <c r="A99" s="66"/>
      <c r="B99" s="306"/>
      <c r="C99" s="306"/>
      <c r="D99" s="306" t="s">
        <v>1489</v>
      </c>
      <c r="E99" s="306" t="s">
        <v>819</v>
      </c>
      <c r="F99" s="307">
        <v>6045000</v>
      </c>
      <c r="G99" s="308">
        <v>856</v>
      </c>
      <c r="H99" s="308">
        <v>862</v>
      </c>
      <c r="I99" s="308">
        <v>846.2</v>
      </c>
      <c r="J99" s="308">
        <v>856.2</v>
      </c>
      <c r="N99" s="3"/>
      <c r="O99" s="3"/>
      <c r="P99" s="3"/>
      <c r="Q99" s="3"/>
      <c r="R99" s="3"/>
      <c r="S99" s="2"/>
      <c r="T99" s="2"/>
      <c r="U99" s="2"/>
    </row>
    <row r="100" spans="1:21">
      <c r="A100" s="66"/>
      <c r="B100" s="306"/>
      <c r="C100" s="306"/>
      <c r="D100" s="306" t="s">
        <v>1490</v>
      </c>
      <c r="E100" s="306" t="s">
        <v>819</v>
      </c>
      <c r="F100" s="307">
        <v>6927400</v>
      </c>
      <c r="G100" s="308">
        <v>850</v>
      </c>
      <c r="H100" s="308">
        <v>871</v>
      </c>
      <c r="I100" s="308">
        <v>843.8</v>
      </c>
      <c r="J100" s="308">
        <v>862.7</v>
      </c>
      <c r="N100" s="3"/>
      <c r="O100" s="3"/>
      <c r="P100" s="3"/>
      <c r="Q100" s="3"/>
      <c r="R100" s="3"/>
      <c r="S100" s="2"/>
      <c r="T100" s="2"/>
      <c r="U100" s="2"/>
    </row>
    <row r="101" spans="1:21">
      <c r="A101" s="66"/>
      <c r="B101" s="306"/>
      <c r="C101" s="306"/>
      <c r="D101" s="306" t="s">
        <v>1491</v>
      </c>
      <c r="E101" s="306" t="s">
        <v>819</v>
      </c>
      <c r="F101" s="306">
        <v>8374100</v>
      </c>
      <c r="G101" s="308">
        <v>864.1</v>
      </c>
      <c r="H101" s="308">
        <v>894</v>
      </c>
      <c r="I101" s="308">
        <v>862.1</v>
      </c>
      <c r="J101" s="308">
        <v>894</v>
      </c>
      <c r="N101" s="3"/>
      <c r="O101" s="3"/>
      <c r="P101" s="3"/>
      <c r="Q101" s="3"/>
      <c r="R101" s="3"/>
      <c r="S101" s="2"/>
      <c r="T101" s="2"/>
      <c r="U101" s="2"/>
    </row>
    <row r="102" spans="1:21">
      <c r="A102" s="66"/>
      <c r="B102" s="306"/>
      <c r="C102" s="306"/>
      <c r="D102" s="306" t="s">
        <v>1492</v>
      </c>
      <c r="E102" s="306" t="s">
        <v>819</v>
      </c>
      <c r="F102" s="306">
        <v>11826600</v>
      </c>
      <c r="G102" s="308">
        <v>909</v>
      </c>
      <c r="H102" s="308">
        <v>927.8</v>
      </c>
      <c r="I102" s="308">
        <v>896.7</v>
      </c>
      <c r="J102" s="308">
        <v>923.8</v>
      </c>
      <c r="N102" s="3"/>
      <c r="O102" s="3"/>
      <c r="P102" s="3"/>
      <c r="Q102" s="3"/>
      <c r="R102" s="3"/>
      <c r="S102" s="2"/>
      <c r="T102" s="2"/>
      <c r="U102" s="2"/>
    </row>
    <row r="103" spans="1:21">
      <c r="A103" s="66"/>
      <c r="B103" s="306"/>
      <c r="C103" s="306"/>
      <c r="D103" s="306" t="s">
        <v>1493</v>
      </c>
      <c r="E103" s="306" t="s">
        <v>819</v>
      </c>
      <c r="F103" s="307">
        <v>20441100</v>
      </c>
      <c r="G103" s="308">
        <v>925.8</v>
      </c>
      <c r="H103" s="308">
        <v>984.5</v>
      </c>
      <c r="I103" s="308">
        <v>925</v>
      </c>
      <c r="J103" s="308">
        <v>964.6</v>
      </c>
      <c r="N103" s="3"/>
      <c r="O103" s="3"/>
      <c r="P103" s="3"/>
      <c r="Q103" s="3"/>
      <c r="R103" s="3"/>
      <c r="S103" s="2"/>
      <c r="T103" s="2"/>
      <c r="U103" s="2"/>
    </row>
    <row r="104" spans="1:21">
      <c r="A104" s="66"/>
      <c r="B104" s="306"/>
      <c r="C104" s="306"/>
      <c r="D104" s="306" t="s">
        <v>1501</v>
      </c>
      <c r="E104" s="306" t="s">
        <v>819</v>
      </c>
      <c r="F104" s="307">
        <v>12683900</v>
      </c>
      <c r="G104" s="308">
        <v>969.8</v>
      </c>
      <c r="H104" s="308">
        <v>973</v>
      </c>
      <c r="I104" s="308">
        <v>927.9</v>
      </c>
      <c r="J104" s="308">
        <v>941.4</v>
      </c>
      <c r="N104" s="3"/>
      <c r="O104" s="3"/>
      <c r="P104" s="3"/>
      <c r="Q104" s="3"/>
      <c r="R104" s="3"/>
      <c r="S104" s="2"/>
      <c r="T104" s="2"/>
      <c r="U104" s="2"/>
    </row>
    <row r="105" spans="1:21">
      <c r="A105" s="66"/>
      <c r="B105" s="306"/>
      <c r="C105" s="306"/>
      <c r="D105" s="306" t="s">
        <v>1503</v>
      </c>
      <c r="E105" s="306" t="s">
        <v>819</v>
      </c>
      <c r="F105" s="307">
        <v>13335800</v>
      </c>
      <c r="G105" s="308">
        <v>902.6</v>
      </c>
      <c r="H105" s="308">
        <v>928.9</v>
      </c>
      <c r="I105" s="308">
        <v>897.3</v>
      </c>
      <c r="J105" s="308">
        <v>902.2</v>
      </c>
      <c r="N105" s="3"/>
      <c r="O105" s="3"/>
      <c r="P105" s="3"/>
      <c r="Q105" s="3"/>
      <c r="R105" s="3"/>
      <c r="S105" s="2"/>
      <c r="T105" s="2"/>
      <c r="U105" s="2"/>
    </row>
    <row r="106" spans="1:21">
      <c r="A106" s="66"/>
      <c r="B106" s="306"/>
      <c r="C106" s="306"/>
      <c r="D106" s="306" t="s">
        <v>1508</v>
      </c>
      <c r="E106" s="306" t="s">
        <v>819</v>
      </c>
      <c r="F106" s="307">
        <v>7666700</v>
      </c>
      <c r="G106" s="308">
        <v>897.3</v>
      </c>
      <c r="H106" s="308">
        <v>906.9</v>
      </c>
      <c r="I106" s="308">
        <v>887.4</v>
      </c>
      <c r="J106" s="308">
        <v>896.6</v>
      </c>
      <c r="N106" s="3"/>
      <c r="O106" s="3"/>
      <c r="P106" s="3"/>
      <c r="Q106" s="3"/>
      <c r="R106" s="3"/>
      <c r="S106" s="2"/>
      <c r="T106" s="2"/>
      <c r="U106" s="2"/>
    </row>
    <row r="107" spans="1:21">
      <c r="A107" s="66"/>
      <c r="B107" s="306"/>
      <c r="C107" s="306"/>
      <c r="D107" s="306" t="s">
        <v>1513</v>
      </c>
      <c r="E107" s="306" t="s">
        <v>819</v>
      </c>
      <c r="F107" s="307">
        <v>5504300</v>
      </c>
      <c r="G107" s="308">
        <v>897</v>
      </c>
      <c r="H107" s="308">
        <v>899.9</v>
      </c>
      <c r="I107" s="308">
        <v>881.3</v>
      </c>
      <c r="J107" s="308">
        <v>889.1</v>
      </c>
      <c r="N107" s="3"/>
      <c r="O107" s="3"/>
      <c r="P107" s="3"/>
      <c r="Q107" s="3"/>
      <c r="R107" s="3"/>
      <c r="S107" s="2"/>
      <c r="T107" s="2"/>
      <c r="U107" s="2"/>
    </row>
    <row r="108" spans="1:21">
      <c r="A108" s="66"/>
      <c r="B108" s="306" t="s">
        <v>875</v>
      </c>
      <c r="C108" s="306" t="s">
        <v>875</v>
      </c>
      <c r="D108" s="306" t="s">
        <v>875</v>
      </c>
      <c r="E108" s="306" t="s">
        <v>875</v>
      </c>
      <c r="F108" s="306" t="s">
        <v>875</v>
      </c>
      <c r="G108" s="308" t="s">
        <v>875</v>
      </c>
      <c r="H108" s="308" t="s">
        <v>875</v>
      </c>
      <c r="I108" s="308" t="s">
        <v>875</v>
      </c>
      <c r="J108" s="308" t="s">
        <v>875</v>
      </c>
      <c r="N108" s="3"/>
      <c r="O108" s="3"/>
      <c r="P108" s="3"/>
      <c r="Q108" s="3"/>
      <c r="R108" s="3"/>
      <c r="S108" s="2"/>
      <c r="T108" s="2"/>
      <c r="U108" s="2"/>
    </row>
    <row r="109" spans="1:21">
      <c r="A109" s="66"/>
      <c r="B109" s="3"/>
      <c r="C109" s="3"/>
      <c r="D109" s="3"/>
      <c r="E109" s="3"/>
      <c r="G109" s="2"/>
      <c r="H109" s="2"/>
      <c r="I109" s="2"/>
      <c r="J109" s="2"/>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1348</v>
      </c>
      <c r="H4" s="304">
        <v>100</v>
      </c>
      <c r="I4" s="304">
        <v>4150</v>
      </c>
      <c r="J4" s="304">
        <v>110</v>
      </c>
      <c r="K4" s="304" t="s">
        <v>1041</v>
      </c>
      <c r="L4" s="304" t="s">
        <v>1042</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08051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08051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C3" sqref="C3"/>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880" t="s">
        <v>1373</v>
      </c>
      <c r="B1" s="880"/>
      <c r="C1" s="880"/>
      <c r="D1" s="880"/>
      <c r="E1" s="880"/>
      <c r="G1" s="694" t="s">
        <v>1390</v>
      </c>
      <c r="H1" s="695"/>
      <c r="I1" s="695"/>
    </row>
    <row r="2" spans="1:9" ht="13.8">
      <c r="G2" s="696" t="s">
        <v>1382</v>
      </c>
      <c r="H2" s="696"/>
      <c r="I2" s="695"/>
    </row>
    <row r="3" spans="1:9" ht="34.049999999999997" customHeight="1">
      <c r="A3" s="668" t="s">
        <v>1374</v>
      </c>
      <c r="B3" s="669">
        <v>6488</v>
      </c>
      <c r="C3" s="715" t="str">
        <f>IF($B$3="","",HYPERLINK("https://kabutan.jp/stock/?code="&amp;TEXT($B$3,"0000"),"株探"))</f>
        <v>株探</v>
      </c>
      <c r="D3" s="670" t="str" cm="1">
        <f t="array" ref="D3">IFERROR(INDEX(買抽出v13!$D$4:$D$78,$H$3),IFERROR(INDEX(管理!$D$4:$D$120,$H$4),"—"))</f>
        <v>ヨシタケ</v>
      </c>
      <c r="G3" s="697" t="s">
        <v>1375</v>
      </c>
      <c r="H3" s="698" t="str">
        <f>IFERROR(MATCH($B$3,買抽出v13!$C$4:$C$78,0),"")</f>
        <v/>
      </c>
      <c r="I3" s="695"/>
    </row>
    <row r="4" spans="1:9" ht="13.8">
      <c r="A4" s="671"/>
      <c r="B4" s="672" t="str">
        <f>IF($B$3="","",HYPERLINK("https://kabutan.jp/stock/?code="&amp;TEXT($B$3,"0000"),"株探"))</f>
        <v>株探</v>
      </c>
      <c r="D4" s="671"/>
      <c r="E4" s="672"/>
      <c r="G4" s="697" t="s">
        <v>1376</v>
      </c>
      <c r="H4" s="698">
        <f>IFERROR(MATCH($B$3,管理!$B$4:$B$120,0),"")</f>
        <v>31</v>
      </c>
      <c r="I4" s="695"/>
    </row>
    <row r="5" spans="1:9" ht="13.8">
      <c r="G5" s="697" t="s">
        <v>1383</v>
      </c>
      <c r="H5" s="698" t="str">
        <f>IFERROR(MATCH($B$3,分析!$C$3:$C$206,0)+2,"")</f>
        <v/>
      </c>
      <c r="I5" s="695"/>
    </row>
    <row r="6" spans="1:9" ht="25.8" customHeight="1" thickBot="1">
      <c r="A6" s="881" t="s">
        <v>1385</v>
      </c>
      <c r="B6" s="881"/>
      <c r="D6" s="882" t="s">
        <v>1377</v>
      </c>
      <c r="E6" s="882"/>
      <c r="G6" s="695"/>
      <c r="H6" s="695"/>
      <c r="I6" s="695"/>
    </row>
    <row r="7" spans="1:9" ht="25.8" customHeight="1" thickTop="1">
      <c r="A7" s="673" t="s">
        <v>525</v>
      </c>
      <c r="B7" s="683" t="str" cm="1">
        <f t="array" ref="B7">IF($H$3&lt;&gt;"",INDEX(買抽出v13!E$4:E$78,$H$3),IF($H$5&lt;&gt;"",INDEX(分析!$E:$E,$H$5),"データなし"))</f>
        <v>データなし</v>
      </c>
      <c r="C7" s="684"/>
      <c r="D7" s="673" t="s">
        <v>783</v>
      </c>
      <c r="E7" s="685" t="str" cm="1">
        <f t="array" ref="E7">IF($H$4="","管理未登録",INDEX(管理!C$4:C$120,$H$4))</f>
        <v>買</v>
      </c>
      <c r="G7" s="699" t="s">
        <v>1387</v>
      </c>
      <c r="H7" s="700">
        <v>26</v>
      </c>
      <c r="I7" s="695"/>
    </row>
    <row r="8" spans="1:9" ht="25.8" customHeight="1">
      <c r="A8" s="674" t="s">
        <v>526</v>
      </c>
      <c r="B8" s="686" t="str" cm="1">
        <f t="array" ref="B8">IF($H$3&lt;&gt;"",INDEX(買抽出v13!F$4:F$78,$H$3),IF($H$5&lt;&gt;"",INDEX(分析!$H:$H,$H$5),"データなし"))</f>
        <v>データなし</v>
      </c>
      <c r="C8" s="684"/>
      <c r="D8" s="674" t="s">
        <v>785</v>
      </c>
      <c r="E8" s="687" cm="1">
        <f t="array" ref="E8">IF($H$4="","管理未登録",INDEX(管理!E$4:E$120,$H$4))</f>
        <v>46233</v>
      </c>
      <c r="G8" s="699" t="s">
        <v>1388</v>
      </c>
      <c r="H8" s="701">
        <v>0.06</v>
      </c>
      <c r="I8" s="695"/>
    </row>
    <row r="9" spans="1:9" ht="25.8" customHeight="1">
      <c r="A9" s="674" t="s">
        <v>527</v>
      </c>
      <c r="B9" s="686" t="str" cm="1">
        <f t="array" ref="B9">IF($H$3&lt;&gt;"",INDEX(買抽出v13!G$4:G$78,$H$3),IF($H$5&lt;&gt;"",INDEX(分析!$I:$I,$H$5),"データなし"))</f>
        <v>データなし</v>
      </c>
      <c r="C9" s="684"/>
      <c r="D9" s="674" t="s">
        <v>786</v>
      </c>
      <c r="E9" s="686" cm="1">
        <f t="array" aca="1" ref="E9" ca="1">IF($H$4="","管理未登録",INDEX(管理!F$4:F$120,$H$4))</f>
        <v>989</v>
      </c>
      <c r="G9" s="699" t="s">
        <v>1389</v>
      </c>
      <c r="H9" s="701">
        <v>0.04</v>
      </c>
      <c r="I9" s="695"/>
    </row>
    <row r="10" spans="1:9" ht="25.8" customHeight="1">
      <c r="A10" s="674" t="s">
        <v>528</v>
      </c>
      <c r="B10" s="686" t="str" cm="1">
        <f t="array" ref="B10">IF($H$3&lt;&gt;"",INDEX(買抽出v13!H$4:H$78,$H$3),IF($H$5&lt;&gt;"",INDEX(分析!$J:$J,$H$5),"データなし"))</f>
        <v>データなし</v>
      </c>
      <c r="C10" s="684"/>
      <c r="D10" s="674" t="s">
        <v>787</v>
      </c>
      <c r="E10" s="686" cm="1">
        <f t="array" ref="E10">IF($H$4="","管理未登録",INDEX(管理!G$4:G$120,$H$4))</f>
        <v>100</v>
      </c>
    </row>
    <row r="11" spans="1:9" ht="25.8" customHeight="1">
      <c r="A11" s="674" t="s">
        <v>529</v>
      </c>
      <c r="B11" s="688" t="str" cm="1">
        <f t="array" ref="B11">IF($H$3&lt;&gt;"",INDEX(買抽出v13!I$4:I$78,$H$3),IF($H$5&lt;&gt;"",INDEX(分析!$W:$W,$H$5),"データなし"))</f>
        <v>データなし</v>
      </c>
      <c r="C11" s="684"/>
      <c r="D11" s="674" t="s">
        <v>525</v>
      </c>
      <c r="E11" s="686" cm="1">
        <f t="array" ref="E11">IF($H$4="","管理未登録",INDEX(管理!H$4:H$120,$H$4))</f>
        <v>988</v>
      </c>
    </row>
    <row r="12" spans="1:9" ht="25.8" customHeight="1">
      <c r="A12" s="674" t="s">
        <v>530</v>
      </c>
      <c r="B12" s="677" t="str" cm="1">
        <f t="array" ref="B12">IF($H$3&lt;&gt;"",INDEX(買抽出v13!J$4:J$78,$H$3),IF($H$5&lt;&gt;"",INDEX(分析!$AD:$AD,$H$5),"データなし"))</f>
        <v>データなし</v>
      </c>
      <c r="C12" s="684"/>
      <c r="D12" s="674" t="s">
        <v>788</v>
      </c>
      <c r="E12" s="675" cm="1">
        <f t="array" ref="E12">IF($H$4="","管理未登録",INDEX(管理!J$4:J$120,$H$4))</f>
        <v>-2</v>
      </c>
    </row>
    <row r="13" spans="1:9" ht="25.8" customHeight="1">
      <c r="A13" s="674" t="s">
        <v>531</v>
      </c>
      <c r="B13" s="677" t="str" cm="1">
        <f t="array" ref="B13">IF($H$3&lt;&gt;"",INDEX(買抽出v13!K$4:K$78,$H$3),IF($H$5&lt;&gt;"",INDEX(分析!$AE:$AE,$H$5),"データなし"))</f>
        <v>データなし</v>
      </c>
      <c r="C13" s="684"/>
      <c r="D13" s="674" t="s">
        <v>1378</v>
      </c>
      <c r="E13" s="675" cm="1">
        <f t="array" aca="1" ref="E13" ca="1">IF($H$4="","管理未登録",INDEX(管理!K$4:K$120,$H$4))</f>
        <v>-100</v>
      </c>
    </row>
    <row r="14" spans="1:9" ht="25.8" customHeight="1">
      <c r="A14" s="674" t="s">
        <v>532</v>
      </c>
      <c r="B14" s="689" t="str" cm="1">
        <f t="array" ref="B14">IF($H$3&lt;&gt;"",INDEX(買抽出v13!L$4:L$78,$H$3),IF($H$5&lt;&gt;"",INDEX(分析!$O:$O,$H$5),"データなし"))</f>
        <v>データなし</v>
      </c>
      <c r="C14" s="684"/>
      <c r="D14" s="674" t="s">
        <v>790</v>
      </c>
      <c r="E14" s="676" cm="1">
        <f t="array" aca="1" ref="E14" ca="1">IF($H$4="","管理未登録",INDEX(管理!L$4:L$120,$H$4))</f>
        <v>-1.0111223458038423E-3</v>
      </c>
    </row>
    <row r="15" spans="1:9" ht="25.8" customHeight="1">
      <c r="A15" s="674" t="s">
        <v>533</v>
      </c>
      <c r="B15" s="690" t="str" cm="1">
        <f t="array" ref="B15">IF($H$3&lt;&gt;"",INDEX(買抽出v13!M$4:M$78,$H$3),IF($H$5&lt;&gt;"",INDEX(分析!$X:$X,$H$5),"データなし"))</f>
        <v>データなし</v>
      </c>
      <c r="C15" s="684"/>
      <c r="D15" s="674" t="s">
        <v>1379</v>
      </c>
      <c r="E15" s="686" cm="1">
        <f t="array" aca="1" ref="E15" ca="1">IF($H$4="","管理未登録",INDEX(管理!M$4:M$120,$H$4))</f>
        <v>1048</v>
      </c>
    </row>
    <row r="16" spans="1:9" ht="25.8" customHeight="1">
      <c r="A16" s="674" t="s">
        <v>534</v>
      </c>
      <c r="B16" s="677" t="str" cm="1">
        <f t="array" ref="B16">IF($H$3&lt;&gt;"",INDEX(買抽出v13!N$4:N$78,$H$3),IF($H$5&lt;&gt;"",INDEX(分析!$V:$V,$H$5),"データなし"))</f>
        <v>データなし</v>
      </c>
      <c r="C16" s="684"/>
      <c r="D16" s="674" t="s">
        <v>1380</v>
      </c>
      <c r="E16" s="686" cm="1">
        <f t="array" aca="1" ref="E16" ca="1">IF($H$4="","管理未登録",INDEX(管理!N$4:N$120,$H$4))</f>
        <v>949</v>
      </c>
    </row>
    <row r="17" spans="1:5" ht="25.8" customHeight="1">
      <c r="A17" s="674" t="s">
        <v>535</v>
      </c>
      <c r="B17" s="686" t="str" cm="1">
        <f t="array" ref="B17">IF($H$3&lt;&gt;"",INDEX(買抽出v13!O$4:O$78,$H$3),IF($H$5&lt;&gt;"",INDEX(分析!$R:$R,$H$5),"データなし"))</f>
        <v>データなし</v>
      </c>
      <c r="C17" s="684"/>
      <c r="D17" s="674" t="s">
        <v>793</v>
      </c>
      <c r="E17" s="677" t="str" cm="1">
        <f t="array" aca="1" ref="E17" ca="1">IF($H$4="","管理未登録",INDEX(管理!O$4:O$120,$H$4))</f>
        <v>保持継続</v>
      </c>
    </row>
    <row r="18" spans="1:5" ht="25.8" customHeight="1">
      <c r="A18" s="674" t="s">
        <v>536</v>
      </c>
      <c r="B18" s="686" t="str" cm="1">
        <f t="array" ref="B18">IF($H$3&lt;&gt;"",INDEX(買抽出v13!P$4:P$78,$H$3),IF($H$5&lt;&gt;"",INDEX(分析!$S:$S,$H$5),"データなし"))</f>
        <v>データなし</v>
      </c>
      <c r="C18" s="684"/>
      <c r="D18" s="674" t="s">
        <v>796</v>
      </c>
      <c r="E18" s="686" cm="1">
        <f t="array" aca="1" ref="E18" ca="1">IF($H$4="","管理未登録",INDEX(管理!R$4:R$120,$H$4))</f>
        <v>970</v>
      </c>
    </row>
    <row r="19" spans="1:5" ht="25.8" customHeight="1">
      <c r="A19" s="674" t="s">
        <v>537</v>
      </c>
      <c r="B19" s="678" t="str" cm="1">
        <f t="array" ref="B19">IF($H$3&lt;&gt;"",INDEX(買抽出v13!Q$4:Q$78,$H$3)&amp;" / "&amp;TEXT($H$7,"0")&amp;"点",IF($H$5&lt;&gt;"",INDEX(分析!$T:$T,$H$5)&amp;" / "&amp;TEXT($H$7,"0")&amp;"点","データなし"))</f>
        <v>データなし</v>
      </c>
      <c r="C19" s="684"/>
      <c r="D19" s="674" t="s">
        <v>549</v>
      </c>
      <c r="E19" s="677" t="str" cm="1">
        <f t="array" aca="1" ref="E19" ca="1">IF($H$4="","管理未登録",INDEX(管理!S$4:S$120,$H$4))</f>
        <v>📌保有中</v>
      </c>
    </row>
    <row r="20" spans="1:5" ht="25.8" customHeight="1">
      <c r="A20" s="674" t="s">
        <v>1384</v>
      </c>
      <c r="B20" s="677" t="str">
        <f>IF($H$3&lt;&gt;"","買抽出v13",IF($H$5&lt;&gt;"","分析シート","該当なし"))</f>
        <v>該当なし</v>
      </c>
      <c r="C20" s="684"/>
      <c r="D20" s="674" t="s">
        <v>652</v>
      </c>
      <c r="E20" s="691" cm="1">
        <f t="array" aca="1" ref="E20" ca="1">IF($H$4="","管理未登録",INDEX(管理!W$4:W$120,$H$4))</f>
        <v>7</v>
      </c>
    </row>
    <row r="21" spans="1:5" ht="25.8" customHeight="1">
      <c r="A21" s="674" t="s">
        <v>1271</v>
      </c>
      <c r="B21" s="677" t="str">
        <f>IFERROR("買い 第"&amp;MATCH($B$3,厳選TOP2!$B$18:$B$22,0)&amp;"位",IFERROR("売り 第"&amp;MATCH($B$3,厳選TOP2!$B$26:$B$30,0)&amp;"位","対象外"))</f>
        <v>対象外</v>
      </c>
      <c r="C21" s="684"/>
      <c r="D21" s="674" t="s">
        <v>1260</v>
      </c>
      <c r="E21" s="677" t="str" cm="1">
        <f t="array" ref="E21">IF($H$4="","管理未登録",INDEX(管理!AD$4:AD$120,$H$4))</f>
        <v>v13買</v>
      </c>
    </row>
    <row r="22" spans="1:5" ht="25.8" customHeight="1">
      <c r="A22" s="679" t="str">
        <f>"売（逆）利確ライン -"&amp;TEXT($H$8,"0%")</f>
        <v>売（逆）利確ライン -6%</v>
      </c>
      <c r="B22" s="692" t="str">
        <f>IF(N($B$7)=0,"データなし",ROUND($B$7*(1-$H$8),0))</f>
        <v>データなし</v>
      </c>
      <c r="C22" s="684"/>
      <c r="D22" s="674" t="s">
        <v>1261</v>
      </c>
      <c r="E22" s="687" cm="1">
        <f t="array" ref="E22">IF($H$4="","管理未登録",INDEX(管理!AE$4:AE$120,$H$4))</f>
        <v>46251</v>
      </c>
    </row>
    <row r="23" spans="1:5" ht="25.8" customHeight="1" thickBot="1">
      <c r="A23" s="680" t="str">
        <f>"売（逆）損切ライン +"&amp;TEXT($H$9,"0%")</f>
        <v>売（逆）損切ライン +4%</v>
      </c>
      <c r="B23" s="693" t="str">
        <f>IF(N($B$7)=0,"データなし",ROUND($B$7*(1+$H$9),0))</f>
        <v>データなし</v>
      </c>
      <c r="C23" s="684"/>
      <c r="D23" s="674" t="s">
        <v>797</v>
      </c>
      <c r="E23" s="687" t="str" cm="1">
        <f t="array" aca="1" ref="E23" ca="1">IF($H$4="","管理未登録",INDEX(管理!T$4:T$120,$H$4))</f>
        <v/>
      </c>
    </row>
    <row r="24" spans="1:5" ht="25.8" customHeight="1" thickTop="1">
      <c r="A24" s="684"/>
      <c r="B24" s="684"/>
      <c r="C24" s="684"/>
      <c r="D24" s="674" t="s">
        <v>798</v>
      </c>
      <c r="E24" s="686" t="str" cm="1">
        <f t="array" aca="1" ref="E24" ca="1">IF($H$4="","管理未登録",INDEX(管理!U$4:U$120,$H$4))</f>
        <v/>
      </c>
    </row>
    <row r="25" spans="1:5" ht="25.8" customHeight="1">
      <c r="A25" s="684"/>
      <c r="B25" s="684"/>
      <c r="C25" s="684"/>
      <c r="D25" s="674" t="s">
        <v>799</v>
      </c>
      <c r="E25" s="675" t="str" cm="1">
        <f t="array" aca="1" ref="E25" ca="1">IF($H$4="","管理未登録",INDEX(管理!V$4:V$120,$H$4))</f>
        <v/>
      </c>
    </row>
    <row r="26" spans="1:5" ht="25.8" customHeight="1">
      <c r="A26" s="684"/>
      <c r="B26" s="684"/>
      <c r="C26" s="684"/>
      <c r="D26" s="674" t="s">
        <v>1265</v>
      </c>
      <c r="E26" s="676" t="str" cm="1">
        <f t="array" aca="1" ref="E26" ca="1">IF($H$4="","管理未登録",INDEX(管理!AJ$4:AJ$120,$H$4))</f>
        <v/>
      </c>
    </row>
    <row r="27" spans="1:5" ht="25.8" customHeight="1">
      <c r="A27" s="684"/>
      <c r="B27" s="684"/>
      <c r="C27" s="684"/>
      <c r="D27" s="674" t="s">
        <v>860</v>
      </c>
      <c r="E27" s="677" t="str" cm="1">
        <f t="array" aca="1" ref="E27" ca="1">IF($H$4="","管理未登録",INDEX(管理!AH$4:AH$120,$H$4))</f>
        <v>保有中</v>
      </c>
    </row>
    <row r="28" spans="1:5" ht="25.8" customHeight="1" thickBot="1">
      <c r="A28" s="684"/>
      <c r="B28" s="684"/>
      <c r="C28" s="684"/>
      <c r="D28" s="681" t="s">
        <v>1266</v>
      </c>
      <c r="E28" s="682" t="str" cm="1">
        <f t="array" aca="1" ref="E28" ca="1">IF($H$4="","管理未登録",INDEX(管理!AK$4:AK$120,$H$4))</f>
        <v/>
      </c>
    </row>
    <row r="29" spans="1:5" ht="25.8" customHeight="1" thickTop="1">
      <c r="A29" s="684"/>
      <c r="B29" s="684"/>
      <c r="C29" s="684"/>
      <c r="D29" s="684"/>
      <c r="E29" s="684"/>
    </row>
    <row r="30" spans="1:5" ht="25.8" customHeight="1">
      <c r="A30" s="883" t="s">
        <v>1386</v>
      </c>
      <c r="B30" s="883"/>
      <c r="C30" s="883"/>
      <c r="D30" s="883"/>
      <c r="E30" s="883"/>
    </row>
    <row r="31" spans="1:5" ht="25.8" customHeight="1">
      <c r="A31" s="871" t="str" cm="1">
        <f t="array" ref="A31">IF($H$3&lt;&gt;"",INDEX(買抽出v13!R$4:R$78,$H$3),IF($H$5&lt;&gt;"",INDEX(分析!$Y:$Y,$H$5),"この銘柄は分析シートにもありません"))</f>
        <v>この銘柄は分析シートにもありません</v>
      </c>
      <c r="B31" s="872"/>
      <c r="C31" s="872"/>
      <c r="D31" s="872"/>
      <c r="E31" s="873"/>
    </row>
    <row r="32" spans="1:5" ht="25.8" customHeight="1">
      <c r="A32" s="874"/>
      <c r="B32" s="875"/>
      <c r="C32" s="875"/>
      <c r="D32" s="875"/>
      <c r="E32" s="876"/>
    </row>
    <row r="33" spans="1:5" ht="25.8" customHeight="1">
      <c r="A33" s="874"/>
      <c r="B33" s="875"/>
      <c r="C33" s="875"/>
      <c r="D33" s="875"/>
      <c r="E33" s="876"/>
    </row>
    <row r="34" spans="1:5" ht="25.8" customHeight="1">
      <c r="A34" s="877"/>
      <c r="B34" s="878"/>
      <c r="C34" s="878"/>
      <c r="D34" s="878"/>
      <c r="E34" s="879"/>
    </row>
    <row r="35" spans="1:5" ht="25.8" customHeight="1">
      <c r="A35" s="684"/>
      <c r="B35" s="684"/>
      <c r="C35" s="684"/>
      <c r="D35" s="684"/>
      <c r="E35" s="684"/>
    </row>
    <row r="36" spans="1:5" ht="25.8" customHeight="1">
      <c r="A36" s="884" t="s">
        <v>1381</v>
      </c>
      <c r="B36" s="884"/>
      <c r="C36" s="884"/>
      <c r="D36" s="884"/>
      <c r="E36" s="884"/>
    </row>
    <row r="37" spans="1:5" ht="25.8" customHeight="1">
      <c r="A37" s="871" t="str" cm="1">
        <f t="array" ref="A37">IF($H$4="","この銘柄は管理シートに登録されていません","スコア "&amp;INDEX(管理!Z$4:Z$120,$H$4)&amp;" ｜ "&amp;INDEX(管理!AA$4:AA$120,$H$4))</f>
        <v xml:space="preserve">スコア 18 ｜ </v>
      </c>
      <c r="B37" s="872"/>
      <c r="C37" s="872"/>
      <c r="D37" s="872"/>
      <c r="E37" s="873"/>
    </row>
    <row r="38" spans="1:5" ht="25.8" customHeight="1">
      <c r="A38" s="874"/>
      <c r="B38" s="875"/>
      <c r="C38" s="875"/>
      <c r="D38" s="875"/>
      <c r="E38" s="876"/>
    </row>
    <row r="39" spans="1:5" ht="25.8" customHeight="1">
      <c r="A39" s="874"/>
      <c r="B39" s="875"/>
      <c r="C39" s="875"/>
      <c r="D39" s="875"/>
      <c r="E39" s="876"/>
    </row>
    <row r="40" spans="1:5" ht="25.8" customHeight="1">
      <c r="A40" s="877"/>
      <c r="B40" s="878"/>
      <c r="C40" s="878"/>
      <c r="D40" s="878"/>
      <c r="E40" s="879"/>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54085.88</v>
      </c>
      <c r="C3" s="418">
        <f t="array" ref="C3">_xll.RssIndexMarket("DJIA", "前日比率")</f>
        <v>1.71</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1398</v>
      </c>
      <c r="J6">
        <v>47706.51</v>
      </c>
    </row>
    <row r="7" spans="1:64" ht="26.25" customHeight="1">
      <c r="A7" s="417" t="s">
        <v>807</v>
      </c>
      <c r="B7" s="418"/>
      <c r="C7" s="418"/>
      <c r="I7" t="s">
        <v>1399</v>
      </c>
      <c r="J7">
        <v>47417.27</v>
      </c>
    </row>
    <row r="8" spans="1:64" ht="26.25" customHeight="1">
      <c r="A8" s="419" t="s">
        <v>808</v>
      </c>
      <c r="B8" s="420"/>
      <c r="C8" s="420"/>
      <c r="I8" t="s">
        <v>1400</v>
      </c>
      <c r="J8">
        <v>46677.85</v>
      </c>
    </row>
    <row r="9" spans="1:64" ht="26.25" customHeight="1">
      <c r="A9" s="417" t="s">
        <v>809</v>
      </c>
      <c r="B9" s="418"/>
      <c r="C9" s="418"/>
      <c r="I9" t="s">
        <v>1401</v>
      </c>
      <c r="J9">
        <v>46558.47</v>
      </c>
    </row>
    <row r="10" spans="1:64" ht="26.25" customHeight="1">
      <c r="I10" t="s">
        <v>1402</v>
      </c>
      <c r="J10">
        <v>46946.41</v>
      </c>
    </row>
    <row r="11" spans="1:64" ht="26.25" customHeight="1">
      <c r="A11" s="409" t="s">
        <v>810</v>
      </c>
      <c r="B11" s="421"/>
      <c r="C11" s="421"/>
      <c r="D11" s="421"/>
      <c r="I11" t="s">
        <v>1403</v>
      </c>
      <c r="J11">
        <v>46993.26</v>
      </c>
    </row>
    <row r="12" spans="1:64" ht="26.25" customHeight="1">
      <c r="A12" s="410" t="s">
        <v>811</v>
      </c>
      <c r="I12" t="s">
        <v>1404</v>
      </c>
      <c r="J12">
        <v>46225.15</v>
      </c>
    </row>
    <row r="13" spans="1:64" ht="26.25" customHeight="1">
      <c r="A13" s="411" t="s">
        <v>812</v>
      </c>
      <c r="I13" t="s">
        <v>1405</v>
      </c>
      <c r="J13">
        <v>46021.43</v>
      </c>
    </row>
    <row r="14" spans="1:64" ht="26.25" customHeight="1">
      <c r="A14" s="412" t="s">
        <v>813</v>
      </c>
      <c r="I14" t="s">
        <v>1494</v>
      </c>
      <c r="J14">
        <v>45577.47</v>
      </c>
    </row>
    <row r="15" spans="1:64" ht="26.25" customHeight="1">
      <c r="A15" s="413" t="s">
        <v>814</v>
      </c>
      <c r="I15" t="s">
        <v>1406</v>
      </c>
      <c r="J15">
        <v>46208.47</v>
      </c>
    </row>
    <row r="16" spans="1:64" ht="26.25" customHeight="1">
      <c r="I16" t="s">
        <v>1407</v>
      </c>
      <c r="J16">
        <v>46124.06</v>
      </c>
    </row>
    <row r="17" spans="1:10" ht="26.25" customHeight="1">
      <c r="A17" s="414" t="s">
        <v>815</v>
      </c>
      <c r="B17" s="422"/>
      <c r="C17" s="422"/>
      <c r="D17" s="422"/>
      <c r="I17" t="s">
        <v>1408</v>
      </c>
      <c r="J17">
        <v>46429.49</v>
      </c>
    </row>
    <row r="18" spans="1:10" ht="26.25" customHeight="1">
      <c r="A18" t="s">
        <v>816</v>
      </c>
      <c r="I18" t="s">
        <v>1409</v>
      </c>
      <c r="J18">
        <v>45960.11</v>
      </c>
    </row>
    <row r="19" spans="1:10" ht="26.25" customHeight="1">
      <c r="A19" t="s">
        <v>817</v>
      </c>
      <c r="I19" t="s">
        <v>1410</v>
      </c>
      <c r="J19">
        <v>45166.64</v>
      </c>
    </row>
    <row r="20" spans="1:10" ht="26.25" customHeight="1">
      <c r="A20" t="s">
        <v>818</v>
      </c>
      <c r="I20" t="s">
        <v>1411</v>
      </c>
      <c r="J20">
        <v>45216.14</v>
      </c>
    </row>
    <row r="21" spans="1:10" ht="26.25" customHeight="1">
      <c r="I21" t="s">
        <v>1412</v>
      </c>
      <c r="J21">
        <v>46341.51</v>
      </c>
    </row>
    <row r="22" spans="1:10" ht="26.25" customHeight="1">
      <c r="I22" t="s">
        <v>1413</v>
      </c>
      <c r="J22">
        <v>46565.74</v>
      </c>
    </row>
    <row r="23" spans="1:10">
      <c r="I23" t="s">
        <v>1414</v>
      </c>
      <c r="J23">
        <v>46504.67</v>
      </c>
    </row>
    <row r="24" spans="1:10">
      <c r="I24" t="s">
        <v>1416</v>
      </c>
      <c r="J24">
        <v>46669.88</v>
      </c>
    </row>
    <row r="25" spans="1:10">
      <c r="I25" t="s">
        <v>1417</v>
      </c>
      <c r="J25">
        <v>46584.46</v>
      </c>
    </row>
    <row r="26" spans="1:10">
      <c r="I26" t="s">
        <v>1418</v>
      </c>
      <c r="J26">
        <v>47909.919999999998</v>
      </c>
    </row>
    <row r="27" spans="1:10">
      <c r="I27" t="s">
        <v>1419</v>
      </c>
      <c r="J27">
        <v>48185.8</v>
      </c>
    </row>
    <row r="28" spans="1:10">
      <c r="I28" t="s">
        <v>1420</v>
      </c>
      <c r="J28">
        <v>47916.57</v>
      </c>
    </row>
    <row r="29" spans="1:10">
      <c r="I29" t="s">
        <v>1421</v>
      </c>
      <c r="J29">
        <v>48218.25</v>
      </c>
    </row>
    <row r="30" spans="1:10">
      <c r="I30" t="s">
        <v>1422</v>
      </c>
      <c r="J30">
        <v>48535.99</v>
      </c>
    </row>
    <row r="31" spans="1:10">
      <c r="I31" t="s">
        <v>1423</v>
      </c>
      <c r="J31">
        <v>48463.72</v>
      </c>
    </row>
    <row r="32" spans="1:10">
      <c r="I32" t="s">
        <v>1424</v>
      </c>
      <c r="J32">
        <v>48578.720000000001</v>
      </c>
    </row>
    <row r="33" spans="9:10">
      <c r="I33" t="s">
        <v>1425</v>
      </c>
      <c r="J33">
        <v>49447.43</v>
      </c>
    </row>
    <row r="34" spans="9:10">
      <c r="I34" t="s">
        <v>1426</v>
      </c>
      <c r="J34">
        <v>49442.559999999998</v>
      </c>
    </row>
    <row r="35" spans="9:10">
      <c r="I35" t="s">
        <v>1427</v>
      </c>
      <c r="J35">
        <v>49149.38</v>
      </c>
    </row>
    <row r="36" spans="9:10">
      <c r="I36" t="s">
        <v>1428</v>
      </c>
      <c r="J36">
        <v>49490.03</v>
      </c>
    </row>
    <row r="37" spans="9:10">
      <c r="I37" t="s">
        <v>1429</v>
      </c>
      <c r="J37">
        <v>49310.32</v>
      </c>
    </row>
    <row r="38" spans="9:10">
      <c r="I38" t="s">
        <v>1430</v>
      </c>
      <c r="J38">
        <v>49230.71</v>
      </c>
    </row>
    <row r="39" spans="9:10">
      <c r="I39" t="s">
        <v>1431</v>
      </c>
      <c r="J39">
        <v>49167.79</v>
      </c>
    </row>
    <row r="40" spans="9:10">
      <c r="I40" t="s">
        <v>1432</v>
      </c>
      <c r="J40">
        <v>49141.93</v>
      </c>
    </row>
    <row r="41" spans="9:10">
      <c r="I41" t="s">
        <v>1495</v>
      </c>
      <c r="J41">
        <v>48861.81</v>
      </c>
    </row>
    <row r="42" spans="9:10">
      <c r="I42" t="s">
        <v>1433</v>
      </c>
      <c r="J42">
        <v>49652.14</v>
      </c>
    </row>
    <row r="43" spans="9:10">
      <c r="I43" t="s">
        <v>1434</v>
      </c>
      <c r="J43">
        <v>49499.27</v>
      </c>
    </row>
    <row r="44" spans="9:10">
      <c r="I44" t="s">
        <v>1496</v>
      </c>
      <c r="J44">
        <v>48941.9</v>
      </c>
    </row>
    <row r="45" spans="9:10">
      <c r="I45" t="s">
        <v>1497</v>
      </c>
      <c r="J45">
        <v>49298.25</v>
      </c>
    </row>
    <row r="46" spans="9:10">
      <c r="I46" t="s">
        <v>1498</v>
      </c>
      <c r="J46">
        <v>49910.59</v>
      </c>
    </row>
    <row r="47" spans="9:10">
      <c r="I47" t="s">
        <v>1435</v>
      </c>
      <c r="J47">
        <v>49596.97</v>
      </c>
    </row>
    <row r="48" spans="9:10">
      <c r="I48" t="s">
        <v>1436</v>
      </c>
      <c r="J48">
        <v>49609.16</v>
      </c>
    </row>
    <row r="49" spans="9:10">
      <c r="I49" t="s">
        <v>1437</v>
      </c>
      <c r="J49">
        <v>49704.47</v>
      </c>
    </row>
    <row r="50" spans="9:10">
      <c r="I50" t="s">
        <v>1438</v>
      </c>
      <c r="J50">
        <v>49760.56</v>
      </c>
    </row>
    <row r="51" spans="9:10">
      <c r="I51" t="s">
        <v>1439</v>
      </c>
      <c r="J51">
        <v>49693.2</v>
      </c>
    </row>
    <row r="52" spans="9:10">
      <c r="I52" t="s">
        <v>1440</v>
      </c>
      <c r="J52">
        <v>50063.46</v>
      </c>
    </row>
    <row r="53" spans="9:10">
      <c r="I53" t="s">
        <v>1441</v>
      </c>
      <c r="J53">
        <v>49526.17</v>
      </c>
    </row>
    <row r="54" spans="9:10">
      <c r="I54" t="s">
        <v>1442</v>
      </c>
      <c r="J54">
        <v>49686.12</v>
      </c>
    </row>
    <row r="55" spans="9:10">
      <c r="I55" t="s">
        <v>1443</v>
      </c>
      <c r="J55">
        <v>49363.88</v>
      </c>
    </row>
    <row r="56" spans="9:10">
      <c r="I56" t="s">
        <v>1444</v>
      </c>
      <c r="J56">
        <v>50009.35</v>
      </c>
    </row>
    <row r="57" spans="9:10">
      <c r="I57" t="s">
        <v>1445</v>
      </c>
      <c r="J57">
        <v>50285.66</v>
      </c>
    </row>
    <row r="58" spans="9:10">
      <c r="I58" t="s">
        <v>1446</v>
      </c>
      <c r="J58">
        <v>50579.7</v>
      </c>
    </row>
    <row r="59" spans="9:10">
      <c r="I59" t="s">
        <v>1448</v>
      </c>
      <c r="J59">
        <v>50461.68</v>
      </c>
    </row>
    <row r="60" spans="9:10">
      <c r="I60" t="s">
        <v>1449</v>
      </c>
      <c r="J60">
        <v>50644.28</v>
      </c>
    </row>
    <row r="61" spans="9:10">
      <c r="I61" t="s">
        <v>1450</v>
      </c>
      <c r="J61">
        <v>50668.97</v>
      </c>
    </row>
    <row r="62" spans="9:10">
      <c r="I62" t="s">
        <v>1451</v>
      </c>
      <c r="J62">
        <v>51032.46</v>
      </c>
    </row>
    <row r="63" spans="9:10">
      <c r="I63" t="s">
        <v>1452</v>
      </c>
      <c r="J63">
        <v>51078.879999999997</v>
      </c>
    </row>
    <row r="64" spans="9:10">
      <c r="I64" t="s">
        <v>1453</v>
      </c>
      <c r="J64">
        <v>51307.79</v>
      </c>
    </row>
    <row r="65" spans="9:10">
      <c r="I65" t="s">
        <v>1454</v>
      </c>
      <c r="J65">
        <v>50687.07</v>
      </c>
    </row>
    <row r="66" spans="9:10">
      <c r="I66" t="s">
        <v>1455</v>
      </c>
      <c r="J66">
        <v>51561.93</v>
      </c>
    </row>
    <row r="67" spans="9:10">
      <c r="I67" t="s">
        <v>1456</v>
      </c>
      <c r="J67">
        <v>50866.78</v>
      </c>
    </row>
    <row r="68" spans="9:10">
      <c r="I68" t="s">
        <v>1457</v>
      </c>
      <c r="J68">
        <v>50786.01</v>
      </c>
    </row>
    <row r="69" spans="9:10">
      <c r="I69" t="s">
        <v>1458</v>
      </c>
      <c r="J69">
        <v>50872.11</v>
      </c>
    </row>
    <row r="70" spans="9:10">
      <c r="I70" t="s">
        <v>1459</v>
      </c>
      <c r="J70">
        <v>49918.78</v>
      </c>
    </row>
    <row r="71" spans="9:10">
      <c r="I71" t="s">
        <v>1460</v>
      </c>
      <c r="J71">
        <v>50848.75</v>
      </c>
    </row>
    <row r="72" spans="9:10">
      <c r="I72" t="s">
        <v>1461</v>
      </c>
      <c r="J72">
        <v>51202.26</v>
      </c>
    </row>
    <row r="73" spans="9:10">
      <c r="I73" s="423" t="s">
        <v>1462</v>
      </c>
      <c r="J73" s="423">
        <v>51671.03</v>
      </c>
    </row>
    <row r="74" spans="9:10">
      <c r="I74" s="423" t="s">
        <v>1463</v>
      </c>
      <c r="J74" s="423">
        <v>51999.67</v>
      </c>
    </row>
    <row r="75" spans="9:10">
      <c r="I75" s="423" t="s">
        <v>1464</v>
      </c>
      <c r="J75" s="423">
        <v>51492.55</v>
      </c>
    </row>
    <row r="76" spans="9:10">
      <c r="I76" s="423" t="s">
        <v>1465</v>
      </c>
      <c r="J76" s="423">
        <v>51564.7</v>
      </c>
    </row>
    <row r="77" spans="9:10">
      <c r="I77" s="423" t="s">
        <v>1467</v>
      </c>
      <c r="J77" s="423">
        <v>51712.71</v>
      </c>
    </row>
    <row r="78" spans="9:10">
      <c r="I78" s="423" t="s">
        <v>1468</v>
      </c>
      <c r="J78" s="423">
        <v>51666.84</v>
      </c>
    </row>
    <row r="79" spans="9:10">
      <c r="I79" s="423" t="s">
        <v>1469</v>
      </c>
      <c r="J79" s="423">
        <v>51848.9</v>
      </c>
    </row>
    <row r="80" spans="9:10">
      <c r="I80" s="423" t="s">
        <v>1470</v>
      </c>
      <c r="J80" s="423">
        <v>51920.62</v>
      </c>
    </row>
    <row r="81" spans="9:10">
      <c r="I81" s="423" t="s">
        <v>1471</v>
      </c>
      <c r="J81" s="423">
        <v>51876.11</v>
      </c>
    </row>
    <row r="82" spans="9:10">
      <c r="I82" s="423" t="s">
        <v>1472</v>
      </c>
      <c r="J82" s="423">
        <v>52182.74</v>
      </c>
    </row>
    <row r="83" spans="9:10">
      <c r="I83" s="423" t="s">
        <v>1473</v>
      </c>
      <c r="J83" s="423">
        <v>52319.199999999997</v>
      </c>
    </row>
    <row r="84" spans="9:10">
      <c r="I84" t="s">
        <v>1474</v>
      </c>
      <c r="J84">
        <v>52305.24</v>
      </c>
    </row>
    <row r="85" spans="9:10">
      <c r="I85" s="423" t="s">
        <v>1475</v>
      </c>
      <c r="J85" s="423">
        <v>52900.07</v>
      </c>
    </row>
    <row r="86" spans="9:10">
      <c r="I86" s="423" t="s">
        <v>1477</v>
      </c>
      <c r="J86" s="423">
        <v>53055.91</v>
      </c>
    </row>
    <row r="87" spans="9:10">
      <c r="I87" s="423" t="s">
        <v>1478</v>
      </c>
      <c r="J87" s="423">
        <v>52925.15</v>
      </c>
    </row>
    <row r="88" spans="9:10">
      <c r="I88" s="423" t="s">
        <v>1479</v>
      </c>
      <c r="J88" s="423">
        <v>52348.39</v>
      </c>
    </row>
    <row r="89" spans="9:10">
      <c r="I89" s="423" t="s">
        <v>1480</v>
      </c>
      <c r="J89" s="423">
        <v>52487.41</v>
      </c>
    </row>
    <row r="90" spans="9:10">
      <c r="I90" s="423" t="s">
        <v>1481</v>
      </c>
      <c r="J90" s="423">
        <v>52637.01</v>
      </c>
    </row>
    <row r="91" spans="9:10">
      <c r="I91" s="423" t="s">
        <v>1482</v>
      </c>
      <c r="J91" s="423">
        <v>52498.64</v>
      </c>
    </row>
    <row r="92" spans="9:10">
      <c r="I92" s="423" t="s">
        <v>1483</v>
      </c>
      <c r="J92" s="423">
        <v>52508.27</v>
      </c>
    </row>
    <row r="93" spans="9:10">
      <c r="I93" s="423" t="s">
        <v>1484</v>
      </c>
      <c r="J93" s="423">
        <v>52658.64</v>
      </c>
    </row>
    <row r="94" spans="9:10">
      <c r="I94" s="423" t="s">
        <v>1485</v>
      </c>
      <c r="J94" s="423">
        <v>52552.97</v>
      </c>
    </row>
    <row r="95" spans="9:10">
      <c r="I95" s="423" t="s">
        <v>1486</v>
      </c>
      <c r="J95" s="423">
        <v>52146.42</v>
      </c>
    </row>
    <row r="96" spans="9:10">
      <c r="I96" s="423" t="s">
        <v>1499</v>
      </c>
      <c r="J96" s="423">
        <v>51839.26</v>
      </c>
    </row>
    <row r="97" spans="9:10">
      <c r="I97" s="423" t="s">
        <v>1487</v>
      </c>
      <c r="J97" s="423">
        <v>52224.639999999999</v>
      </c>
    </row>
    <row r="98" spans="9:10">
      <c r="I98" s="423" t="s">
        <v>1488</v>
      </c>
      <c r="J98" s="423">
        <v>52218.58</v>
      </c>
    </row>
    <row r="99" spans="9:10">
      <c r="I99" s="423" t="s">
        <v>1489</v>
      </c>
      <c r="J99" s="423">
        <v>51711.65</v>
      </c>
    </row>
    <row r="100" spans="9:10">
      <c r="I100" t="s">
        <v>1490</v>
      </c>
      <c r="J100">
        <v>51947.25</v>
      </c>
    </row>
    <row r="101" spans="9:10">
      <c r="I101" s="423" t="s">
        <v>1491</v>
      </c>
      <c r="J101" s="423">
        <v>52210.080000000002</v>
      </c>
    </row>
    <row r="102" spans="9:10">
      <c r="I102" s="423" t="s">
        <v>1492</v>
      </c>
      <c r="J102" s="423">
        <v>52747.32</v>
      </c>
    </row>
    <row r="103" spans="9:10">
      <c r="I103" s="423" t="s">
        <v>1493</v>
      </c>
      <c r="J103" s="423">
        <v>51594.14</v>
      </c>
    </row>
    <row r="104" spans="9:10">
      <c r="I104" s="423" t="s">
        <v>1501</v>
      </c>
      <c r="J104" s="423">
        <v>52208.06</v>
      </c>
    </row>
    <row r="105" spans="9:10">
      <c r="I105" s="423" t="s">
        <v>1503</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885" t="s">
        <v>1043</v>
      </c>
      <c r="C1" s="886"/>
      <c r="D1" s="886"/>
      <c r="E1" s="886"/>
      <c r="F1" s="886"/>
      <c r="G1" s="886"/>
    </row>
    <row r="2" spans="2:7" ht="34.799999999999997" customHeight="1">
      <c r="B2" s="887" t="s">
        <v>1044</v>
      </c>
      <c r="C2" s="886"/>
      <c r="D2" s="886"/>
      <c r="E2" s="886"/>
      <c r="F2" s="886"/>
      <c r="G2" s="886"/>
    </row>
    <row r="3" spans="2:7" ht="34.799999999999997" customHeight="1">
      <c r="B3" s="887" t="s">
        <v>1045</v>
      </c>
      <c r="C3" s="886"/>
      <c r="D3" s="886"/>
      <c r="E3" s="886"/>
      <c r="F3" s="886"/>
      <c r="G3" s="886"/>
    </row>
    <row r="5" spans="2:7" ht="34.799999999999997" customHeight="1">
      <c r="B5" s="888" t="s">
        <v>1046</v>
      </c>
      <c r="C5" s="886"/>
      <c r="D5" s="886"/>
      <c r="E5" s="886"/>
      <c r="F5" s="886"/>
      <c r="G5" s="886"/>
    </row>
    <row r="6" spans="2:7" ht="34.799999999999997" customHeight="1">
      <c r="B6" s="889" t="s">
        <v>1047</v>
      </c>
      <c r="C6" s="886"/>
      <c r="D6" s="886"/>
      <c r="E6" s="886"/>
      <c r="F6" s="886"/>
      <c r="G6" s="886"/>
    </row>
    <row r="7" spans="2:7" ht="34.799999999999997" customHeight="1">
      <c r="B7" s="889" t="s">
        <v>1048</v>
      </c>
      <c r="C7" s="886"/>
      <c r="D7" s="886"/>
      <c r="E7" s="886"/>
      <c r="F7" s="886"/>
      <c r="G7" s="886"/>
    </row>
    <row r="8" spans="2:7" ht="34.799999999999997" customHeight="1">
      <c r="B8" s="889" t="s">
        <v>1049</v>
      </c>
      <c r="C8" s="886"/>
      <c r="D8" s="886"/>
      <c r="E8" s="886"/>
      <c r="F8" s="886"/>
      <c r="G8" s="886"/>
    </row>
    <row r="9" spans="2:7" ht="34.799999999999997" customHeight="1">
      <c r="B9" s="889" t="s">
        <v>1050</v>
      </c>
      <c r="C9" s="886"/>
      <c r="D9" s="886"/>
      <c r="E9" s="886"/>
      <c r="F9" s="886"/>
      <c r="G9" s="886"/>
    </row>
    <row r="10" spans="2:7" ht="34.799999999999997" customHeight="1">
      <c r="B10" s="889" t="s">
        <v>1051</v>
      </c>
      <c r="C10" s="886"/>
      <c r="D10" s="886"/>
      <c r="E10" s="886"/>
      <c r="F10" s="886"/>
      <c r="G10" s="886"/>
    </row>
    <row r="11" spans="2:7" ht="34.799999999999997" customHeight="1">
      <c r="B11" s="889" t="s">
        <v>1052</v>
      </c>
      <c r="C11" s="886"/>
      <c r="D11" s="886"/>
      <c r="E11" s="886"/>
      <c r="F11" s="886"/>
      <c r="G11" s="886"/>
    </row>
    <row r="13" spans="2:7" ht="34.799999999999997" customHeight="1">
      <c r="B13" s="888" t="s">
        <v>1053</v>
      </c>
      <c r="C13" s="886"/>
      <c r="D13" s="886"/>
      <c r="E13" s="886"/>
      <c r="F13" s="886"/>
      <c r="G13" s="886"/>
    </row>
    <row r="14" spans="2:7" ht="34.799999999999997" customHeight="1">
      <c r="B14" s="511" t="s">
        <v>1054</v>
      </c>
      <c r="C14" s="511" t="s">
        <v>1055</v>
      </c>
      <c r="D14" s="511" t="s">
        <v>1056</v>
      </c>
      <c r="E14" s="511" t="s">
        <v>1057</v>
      </c>
      <c r="F14" s="511" t="s">
        <v>1058</v>
      </c>
      <c r="G14" s="511" t="s">
        <v>1059</v>
      </c>
    </row>
    <row r="15" spans="2:7" ht="34.799999999999997" customHeight="1">
      <c r="B15" s="514" t="s">
        <v>1060</v>
      </c>
      <c r="C15" s="514" t="s">
        <v>1061</v>
      </c>
      <c r="D15" s="514" t="s">
        <v>1062</v>
      </c>
      <c r="E15" s="514" t="s">
        <v>1063</v>
      </c>
      <c r="F15" s="514" t="s">
        <v>1064</v>
      </c>
      <c r="G15" s="514" t="s">
        <v>1065</v>
      </c>
    </row>
    <row r="16" spans="2:7" ht="34.799999999999997" customHeight="1">
      <c r="B16" s="514" t="s">
        <v>1066</v>
      </c>
      <c r="C16" s="514" t="s">
        <v>1067</v>
      </c>
      <c r="D16" s="514" t="s">
        <v>1068</v>
      </c>
      <c r="E16" s="514" t="s">
        <v>1069</v>
      </c>
      <c r="F16" s="514" t="s">
        <v>1070</v>
      </c>
      <c r="G16" s="514" t="s">
        <v>1071</v>
      </c>
    </row>
    <row r="17" spans="2:7" ht="34.799999999999997" customHeight="1">
      <c r="B17" s="514" t="s">
        <v>1072</v>
      </c>
      <c r="C17" s="514" t="s">
        <v>1073</v>
      </c>
      <c r="D17" s="514" t="s">
        <v>1074</v>
      </c>
      <c r="E17" s="514" t="s">
        <v>1075</v>
      </c>
      <c r="F17" s="514" t="s">
        <v>1076</v>
      </c>
      <c r="G17" s="514" t="s">
        <v>1077</v>
      </c>
    </row>
    <row r="18" spans="2:7" ht="34.799999999999997" customHeight="1">
      <c r="B18" s="514" t="s">
        <v>1078</v>
      </c>
      <c r="C18" s="514" t="s">
        <v>1079</v>
      </c>
      <c r="D18" s="514" t="s">
        <v>1080</v>
      </c>
      <c r="E18" s="514" t="s">
        <v>1081</v>
      </c>
      <c r="F18" s="514" t="s">
        <v>1076</v>
      </c>
      <c r="G18" s="514" t="s">
        <v>1082</v>
      </c>
    </row>
    <row r="19" spans="2:7" ht="34.799999999999997" customHeight="1">
      <c r="B19" s="514" t="s">
        <v>1083</v>
      </c>
      <c r="C19" s="514" t="s">
        <v>1084</v>
      </c>
      <c r="D19" s="514" t="s">
        <v>1085</v>
      </c>
      <c r="E19" s="514" t="s">
        <v>1086</v>
      </c>
      <c r="F19" s="514" t="s">
        <v>1087</v>
      </c>
      <c r="G19" s="514" t="s">
        <v>1088</v>
      </c>
    </row>
    <row r="21" spans="2:7" ht="34.799999999999997" customHeight="1">
      <c r="B21" s="887" t="s">
        <v>1089</v>
      </c>
      <c r="C21" s="886"/>
      <c r="D21" s="886"/>
      <c r="E21" s="886"/>
      <c r="F21" s="886"/>
      <c r="G21" s="886"/>
    </row>
    <row r="22" spans="2:7" ht="34.799999999999997" customHeight="1">
      <c r="B22" s="887" t="s">
        <v>1090</v>
      </c>
      <c r="C22" s="886"/>
      <c r="D22" s="886"/>
      <c r="E22" s="886"/>
      <c r="F22" s="886"/>
      <c r="G22" s="886"/>
    </row>
    <row r="23" spans="2:7" ht="34.799999999999997" customHeight="1">
      <c r="B23" s="887" t="s">
        <v>1091</v>
      </c>
      <c r="C23" s="886"/>
      <c r="D23" s="886"/>
      <c r="E23" s="886"/>
      <c r="F23" s="886"/>
      <c r="G23" s="886"/>
    </row>
    <row r="24" spans="2:7" ht="34.799999999999997" customHeight="1">
      <c r="B24" s="887" t="s">
        <v>1092</v>
      </c>
      <c r="C24" s="886"/>
      <c r="D24" s="886"/>
      <c r="E24" s="886"/>
      <c r="F24" s="886"/>
      <c r="G24" s="886"/>
    </row>
    <row r="25" spans="2:7" ht="34.799999999999997" customHeight="1">
      <c r="B25" s="887" t="s">
        <v>1093</v>
      </c>
      <c r="C25" s="886"/>
      <c r="D25" s="886"/>
      <c r="E25" s="886"/>
      <c r="F25" s="886"/>
      <c r="G25" s="886"/>
    </row>
  </sheetData>
  <mergeCells count="16">
    <mergeCell ref="B25:G25"/>
    <mergeCell ref="B13:G13"/>
    <mergeCell ref="B21:G21"/>
    <mergeCell ref="B22:G22"/>
    <mergeCell ref="B23:G23"/>
    <mergeCell ref="B24:G24"/>
    <mergeCell ref="B7:G7"/>
    <mergeCell ref="B8:G8"/>
    <mergeCell ref="B9:G9"/>
    <mergeCell ref="B10:G10"/>
    <mergeCell ref="B11:G11"/>
    <mergeCell ref="B1:G1"/>
    <mergeCell ref="B2:G2"/>
    <mergeCell ref="B3:G3"/>
    <mergeCell ref="B5:G5"/>
    <mergeCell ref="B6:G6"/>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890" t="s">
        <v>1094</v>
      </c>
      <c r="B1" s="853"/>
      <c r="C1" s="853"/>
    </row>
    <row r="3" spans="1:3">
      <c r="A3" s="496" t="s">
        <v>598</v>
      </c>
      <c r="B3" s="496" t="s">
        <v>1095</v>
      </c>
      <c r="C3" s="496" t="s">
        <v>600</v>
      </c>
    </row>
    <row r="4" spans="1:3">
      <c r="A4" s="510" t="s">
        <v>1096</v>
      </c>
      <c r="B4" s="497">
        <v>2</v>
      </c>
      <c r="C4" s="499" t="s">
        <v>1097</v>
      </c>
    </row>
    <row r="5" spans="1:3">
      <c r="A5" s="510" t="s">
        <v>1098</v>
      </c>
      <c r="B5" s="497">
        <v>1</v>
      </c>
      <c r="C5" s="499" t="s">
        <v>1099</v>
      </c>
    </row>
    <row r="6" spans="1:3">
      <c r="A6" s="510" t="s">
        <v>1100</v>
      </c>
      <c r="B6" s="500">
        <v>20</v>
      </c>
      <c r="C6" s="499" t="s">
        <v>1101</v>
      </c>
    </row>
    <row r="7" spans="1:3">
      <c r="A7" s="510" t="s">
        <v>1102</v>
      </c>
      <c r="B7" s="497">
        <v>1.1000000000000001</v>
      </c>
      <c r="C7" s="499" t="s">
        <v>1103</v>
      </c>
    </row>
    <row r="8" spans="1:3">
      <c r="A8" s="510" t="s">
        <v>1104</v>
      </c>
      <c r="B8" s="500">
        <v>40</v>
      </c>
      <c r="C8" s="499" t="s">
        <v>1105</v>
      </c>
    </row>
    <row r="9" spans="1:3">
      <c r="A9" s="510" t="s">
        <v>1106</v>
      </c>
      <c r="B9" s="500">
        <v>14</v>
      </c>
      <c r="C9" s="499" t="s">
        <v>1107</v>
      </c>
    </row>
    <row r="10" spans="1:3">
      <c r="A10" s="510" t="s">
        <v>1108</v>
      </c>
      <c r="B10" s="497">
        <v>80</v>
      </c>
      <c r="C10" s="499" t="s">
        <v>1109</v>
      </c>
    </row>
    <row r="11" spans="1:3" ht="24">
      <c r="A11" s="510" t="s">
        <v>1110</v>
      </c>
      <c r="B11" s="500">
        <v>10</v>
      </c>
      <c r="C11" s="499" t="s">
        <v>1111</v>
      </c>
    </row>
    <row r="12" spans="1:3">
      <c r="A12" s="510" t="s">
        <v>1112</v>
      </c>
      <c r="B12" s="497">
        <v>0.05</v>
      </c>
      <c r="C12" s="499" t="s">
        <v>1113</v>
      </c>
    </row>
    <row r="13" spans="1:3">
      <c r="A13" s="510" t="s">
        <v>1114</v>
      </c>
      <c r="B13" s="497">
        <v>0.03</v>
      </c>
      <c r="C13" s="499" t="s">
        <v>1115</v>
      </c>
    </row>
    <row r="15" spans="1:3">
      <c r="A15" s="891" t="s">
        <v>1116</v>
      </c>
      <c r="B15" s="853"/>
      <c r="C15" s="853"/>
    </row>
    <row r="16" spans="1:3" ht="24">
      <c r="A16" s="509" t="s">
        <v>1117</v>
      </c>
      <c r="B16" s="500" t="s">
        <v>588</v>
      </c>
      <c r="C16" s="499" t="s">
        <v>1216</v>
      </c>
    </row>
    <row r="17" spans="1:3">
      <c r="A17" s="509" t="s">
        <v>1118</v>
      </c>
      <c r="B17" s="500" t="s">
        <v>588</v>
      </c>
      <c r="C17" s="499" t="s">
        <v>1119</v>
      </c>
    </row>
    <row r="18" spans="1:3">
      <c r="A18" s="509" t="s">
        <v>1120</v>
      </c>
      <c r="B18" s="500" t="s">
        <v>588</v>
      </c>
      <c r="C18" s="499" t="s">
        <v>1217</v>
      </c>
    </row>
    <row r="19" spans="1:3" ht="24">
      <c r="A19" s="509" t="s">
        <v>1121</v>
      </c>
      <c r="B19" s="500" t="s">
        <v>588</v>
      </c>
      <c r="C19" s="499" t="s">
        <v>1122</v>
      </c>
    </row>
    <row r="20" spans="1:3">
      <c r="A20" s="509" t="s">
        <v>1123</v>
      </c>
      <c r="B20" s="500" t="s">
        <v>588</v>
      </c>
      <c r="C20" s="499" t="s">
        <v>1124</v>
      </c>
    </row>
    <row r="21" spans="1:3">
      <c r="A21" s="509" t="s">
        <v>1125</v>
      </c>
      <c r="B21" s="500" t="s">
        <v>588</v>
      </c>
      <c r="C21" s="499" t="s">
        <v>1126</v>
      </c>
    </row>
    <row r="22" spans="1:3">
      <c r="A22" s="509" t="s">
        <v>1127</v>
      </c>
      <c r="B22" s="500" t="s">
        <v>588</v>
      </c>
      <c r="C22" s="499" t="s">
        <v>1128</v>
      </c>
    </row>
    <row r="23" spans="1:3">
      <c r="A23" s="509" t="s">
        <v>1129</v>
      </c>
      <c r="B23" s="500" t="s">
        <v>588</v>
      </c>
      <c r="C23" s="499" t="s">
        <v>1130</v>
      </c>
    </row>
    <row r="24" spans="1:3">
      <c r="A24" s="522" t="s">
        <v>1215</v>
      </c>
      <c r="B24" s="523" t="s">
        <v>588</v>
      </c>
      <c r="C24" s="524" t="s">
        <v>1218</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890" t="s">
        <v>1131</v>
      </c>
      <c r="B1" s="853"/>
      <c r="C1" s="853"/>
      <c r="D1" s="853"/>
      <c r="E1" s="853"/>
      <c r="F1" s="853"/>
      <c r="G1" s="853"/>
      <c r="H1" s="853"/>
      <c r="I1" s="853"/>
      <c r="J1" s="853"/>
      <c r="K1" s="853"/>
      <c r="L1" s="853"/>
      <c r="M1" s="853"/>
      <c r="N1" s="853"/>
      <c r="O1" s="853"/>
      <c r="P1" s="853"/>
      <c r="Q1" s="853"/>
      <c r="R1" s="853"/>
      <c r="S1" s="853"/>
      <c r="T1" s="853"/>
      <c r="U1" s="853"/>
      <c r="V1" s="853"/>
      <c r="W1" s="853"/>
      <c r="X1" s="853"/>
      <c r="Y1" s="853"/>
      <c r="Z1" s="853"/>
      <c r="AA1" s="853"/>
      <c r="AB1" s="853"/>
      <c r="AC1" s="853"/>
      <c r="AD1" s="853"/>
    </row>
    <row r="2" spans="1:31">
      <c r="A2" s="892" t="s">
        <v>1132</v>
      </c>
      <c r="B2" s="853"/>
      <c r="C2" s="853"/>
      <c r="D2" s="853"/>
      <c r="E2" s="853"/>
      <c r="F2" s="853"/>
      <c r="G2" s="853"/>
      <c r="H2" s="853"/>
      <c r="I2" s="853"/>
      <c r="J2" s="853"/>
      <c r="K2" s="853"/>
      <c r="L2" s="853"/>
      <c r="M2" s="853"/>
      <c r="N2" s="853"/>
      <c r="O2" s="853"/>
      <c r="P2" s="853"/>
      <c r="Q2" s="853"/>
      <c r="R2" s="853"/>
      <c r="S2" s="853"/>
      <c r="T2" s="853"/>
      <c r="U2" s="853"/>
      <c r="V2" s="853"/>
      <c r="W2" s="853"/>
      <c r="X2" s="853"/>
      <c r="Y2" s="853"/>
      <c r="Z2" s="853"/>
      <c r="AA2" s="853"/>
      <c r="AB2" s="853"/>
      <c r="AC2" s="853"/>
      <c r="AD2" s="853"/>
    </row>
    <row r="3" spans="1:31">
      <c r="A3" s="892" t="s">
        <v>1133</v>
      </c>
      <c r="B3" s="853"/>
      <c r="C3" s="853"/>
      <c r="D3" s="853"/>
      <c r="E3" s="853"/>
      <c r="F3" s="853"/>
      <c r="G3" s="853"/>
      <c r="H3" s="853"/>
      <c r="I3" s="853"/>
      <c r="J3" s="853"/>
      <c r="K3" s="853"/>
      <c r="L3" s="853"/>
      <c r="M3" s="853"/>
      <c r="N3" s="853"/>
      <c r="O3" s="853"/>
      <c r="P3" s="853"/>
      <c r="Q3" s="853"/>
      <c r="R3" s="853"/>
      <c r="S3" s="853"/>
      <c r="T3" s="853"/>
      <c r="U3" s="853"/>
      <c r="V3" s="853"/>
      <c r="W3" s="853"/>
      <c r="X3" s="853"/>
      <c r="Y3" s="853"/>
      <c r="Z3" s="853"/>
      <c r="AA3" s="853"/>
      <c r="AB3" s="853"/>
      <c r="AC3" s="853"/>
      <c r="AD3" s="853"/>
    </row>
    <row r="5" spans="1:31" ht="36">
      <c r="A5" s="496" t="s">
        <v>1134</v>
      </c>
      <c r="B5" s="496" t="s">
        <v>1</v>
      </c>
      <c r="C5" s="496" t="s">
        <v>610</v>
      </c>
      <c r="D5" s="496" t="s">
        <v>525</v>
      </c>
      <c r="E5" s="496" t="s">
        <v>1135</v>
      </c>
      <c r="F5" s="496" t="s">
        <v>1136</v>
      </c>
      <c r="G5" s="496" t="s">
        <v>1137</v>
      </c>
      <c r="H5" s="496" t="s">
        <v>1138</v>
      </c>
      <c r="I5" s="496" t="s">
        <v>1139</v>
      </c>
      <c r="J5" s="496" t="s">
        <v>1140</v>
      </c>
      <c r="K5" s="496" t="s">
        <v>1141</v>
      </c>
      <c r="L5" s="496" t="s">
        <v>1142</v>
      </c>
      <c r="M5" s="496" t="s">
        <v>1143</v>
      </c>
      <c r="N5" s="496" t="s">
        <v>1144</v>
      </c>
      <c r="O5" s="496" t="s">
        <v>1145</v>
      </c>
      <c r="P5" s="496" t="s">
        <v>1146</v>
      </c>
      <c r="Q5" s="496" t="s">
        <v>1147</v>
      </c>
      <c r="R5" s="496" t="s">
        <v>1148</v>
      </c>
      <c r="S5" s="496" t="s">
        <v>1149</v>
      </c>
      <c r="T5" s="496" t="s">
        <v>1150</v>
      </c>
      <c r="U5" s="496" t="s">
        <v>1151</v>
      </c>
      <c r="V5" s="496" t="s">
        <v>1152</v>
      </c>
      <c r="W5" s="496" t="s">
        <v>1153</v>
      </c>
      <c r="X5" s="496" t="s">
        <v>537</v>
      </c>
      <c r="Y5" s="496" t="s">
        <v>1154</v>
      </c>
      <c r="Z5" s="496" t="s">
        <v>1155</v>
      </c>
      <c r="AA5" s="496" t="s">
        <v>1156</v>
      </c>
      <c r="AB5" s="496" t="s">
        <v>1157</v>
      </c>
      <c r="AC5" s="496" t="s">
        <v>1158</v>
      </c>
      <c r="AD5" s="496" t="s">
        <v>1159</v>
      </c>
      <c r="AE5" s="496" t="s">
        <v>1160</v>
      </c>
    </row>
    <row r="6" spans="1:31">
      <c r="A6" s="500" t="str">
        <f>IF(終値!A6="","",HYPERLINK("https://kabutan.jp/stock/?code="&amp;終値!A6,"📈"))</f>
        <v>📈</v>
      </c>
      <c r="B6" s="500" t="str">
        <f>IF(終値!A6="","",終値!A6)</f>
        <v>5706</v>
      </c>
      <c r="C6" s="499" t="str">
        <f>IF(終値!A6="","",終値!B6)</f>
        <v>三井金属</v>
      </c>
      <c r="D6" s="501">
        <f>IF(終値!A6="","",終値!E6)</f>
        <v>31900</v>
      </c>
      <c r="E6" s="501">
        <f>IF($D6="","",AVERAGE(終値!E6:X6))</f>
        <v>32490</v>
      </c>
      <c r="F6" s="502">
        <f>IF($D6="","",STDEVP(終値!E6:X6))</f>
        <v>3104.0960842087347</v>
      </c>
      <c r="G6" s="501">
        <f>IF($D6="","",$E6+BB設定!$B$4*$F6)</f>
        <v>38698.192168417467</v>
      </c>
      <c r="H6" s="501">
        <f>IF($D6="","",$E6+BB設定!$B$5*$F6)</f>
        <v>35594.096084208737</v>
      </c>
      <c r="I6" s="501">
        <f>IF($D6="","",$E6-BB設定!$B$5*$F6)</f>
        <v>29385.903915791267</v>
      </c>
      <c r="J6" s="501">
        <f>IF($D6="","",$E6-BB設定!$B$4*$F6)</f>
        <v>26281.80783158253</v>
      </c>
      <c r="K6" s="506">
        <f t="shared" ref="K6:K69" si="0">IF($D6="","",IFERROR(($D6-$J6)/($G6-$J6),""))</f>
        <v>0.45248214101671441</v>
      </c>
      <c r="L6" s="505">
        <f t="shared" ref="L6:L69" si="1">IF($D6="","",IFERROR(($G6-$J6)/$E6*100,""))</f>
        <v>38.216018272806821</v>
      </c>
      <c r="M6" s="505">
        <f>IF($D6="","",IFERROR(MIN(BB_帯幅!B6:AP6)*100,""))</f>
        <v>23.566676474818735</v>
      </c>
      <c r="N6" s="500" t="str">
        <f>IF($L6="","",IF($L6&lt;=$M6*BB設定!$B$7,"スクイーズ★",IF($L6&lt;=$M6*1.3,"収縮","－")))</f>
        <v>－</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43.237294917967191</v>
      </c>
      <c r="R6" s="503">
        <f>IF($D6="","",IFERROR(100-100/(1+SUMPRODUCT((((高値!E6:R6+安値!E6:R6+終値!E6:R6)/3)&gt;((高値!F6:S6+安値!F6:S6+終値!F6:S6)/3))*((高値!E6:R6+安値!E6:R6+終値!E6:R6)/3)*出来高!E6:R6)/SUMPRODUCT((((高値!E6:R6+安値!E6:R6+終値!E6:R6)/3)&lt;((高値!F6:S6+安値!F6:S6+終値!F6:S6)/3))*((高値!E6:R6+安値!E6:R6+終値!E6:R6)/3)*出来高!E6:R6)),50))</f>
        <v>54.332763471258559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v>
      </c>
      <c r="T6" s="500" t="str">
        <f t="shared" ref="T6:T69" si="3">IF($D6="","",IF($D6&gt;=$H6,"上walk▲",IF($D6&lt;=$I6,"下walk▼","－")))</f>
        <v>－</v>
      </c>
      <c r="U6" s="500" t="str">
        <f>IF(終値!A6="","",BB_スイング!BT6)</f>
        <v>－</v>
      </c>
      <c r="V6" s="508">
        <f>IF($D6="","",IFERROR(出来高!E6/AVERAGE(出来高!E6:I6),""))</f>
        <v>0.73523925329206452</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様子見</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0</v>
      </c>
      <c r="Y6" s="501">
        <f t="shared" ref="Y6:Y69" si="4">IF($D6="","",$D6)</f>
        <v>31900</v>
      </c>
      <c r="Z6" s="501">
        <f t="shared" ref="Z6:Z69" si="5">IF($D6="","",$H6)</f>
        <v>35594.096084208737</v>
      </c>
      <c r="AA6" s="501">
        <f t="shared" ref="AA6:AA69" si="6">IF($D6="","",IF($D6&gt;$E6,$E6,$AD6))</f>
        <v>25665</v>
      </c>
      <c r="AB6" s="501">
        <f>IF($D6="","",IF($D6&gt;$G6,$E6+3*$F6,$G6))</f>
        <v>38698.192168417467</v>
      </c>
      <c r="AC6" s="507">
        <f t="shared" ref="AC6:AC69" si="7">IF($D6="","",IF(($Y6-$AA6)&lt;=0,"－",IFERROR(ROUND(MIN(20,($AB6-$Y6)/($Y6-$AA6)),2),"－")))</f>
        <v>1.0900000000000001</v>
      </c>
      <c r="AD6" s="501">
        <f>IF($D6="","",MIN(終値!E6:I6))</f>
        <v>25665</v>
      </c>
      <c r="AE6" s="503">
        <f t="shared" ref="AE6:AE69" si="8">IF($D6="","",$X6+(10000-ROW())/100000)</f>
        <v>9.9940000000000001E-2</v>
      </c>
    </row>
    <row r="7" spans="1:31">
      <c r="A7" s="500" t="str">
        <f>IF(終値!A7="","",HYPERLINK("https://kabutan.jp/stock/?code="&amp;終値!A7,"📈"))</f>
        <v>📈</v>
      </c>
      <c r="B7" s="500" t="str">
        <f>IF(終値!A7="","",終値!A7)</f>
        <v>5423</v>
      </c>
      <c r="C7" s="499" t="str">
        <f>IF(終値!A7="","",終値!B7)</f>
        <v>東京製鐵</v>
      </c>
      <c r="D7" s="501">
        <f>IF(終値!A7="","",終値!E7)</f>
        <v>1689</v>
      </c>
      <c r="E7" s="501">
        <f>IF($D7="","",AVERAGE(終値!E7:X7))</f>
        <v>1737.1</v>
      </c>
      <c r="F7" s="502">
        <f>IF($D7="","",STDEVP(終値!E7:X7))</f>
        <v>29.16659047609096</v>
      </c>
      <c r="G7" s="501">
        <f>IF($D7="","",$E7+BB設定!$B$4*$F7)</f>
        <v>1795.4331809521818</v>
      </c>
      <c r="H7" s="501">
        <f>IF($D7="","",$E7+BB設定!$B$5*$F7)</f>
        <v>1766.2665904760909</v>
      </c>
      <c r="I7" s="501">
        <f>IF($D7="","",$E7-BB設定!$B$5*$F7)</f>
        <v>1707.9334095239089</v>
      </c>
      <c r="J7" s="501">
        <f>IF($D7="","",$E7-BB設定!$B$4*$F7)</f>
        <v>1678.766819047818</v>
      </c>
      <c r="K7" s="506">
        <f t="shared" si="0"/>
        <v>8.771320871881276E-2</v>
      </c>
      <c r="L7" s="505">
        <f t="shared" si="1"/>
        <v>6.7161569227081834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-1σ下</v>
      </c>
      <c r="Q7" s="503">
        <f>IF($D7="","",IFERROR(100-100/(1+SUMPRODUCT((終値!E7:R7&gt;終値!F7:S7)*(終値!E7:R7-終値!F7:S7))/SUMPRODUCT((終値!E7:R7&lt;終値!F7:S7)*(終値!F7:S7-終値!E7:R7))),100))</f>
        <v>44.699140401146131</v>
      </c>
      <c r="R7" s="503">
        <f>IF($D7="","",IFERROR(100-100/(1+SUMPRODUCT((((高値!E7:R7+安値!E7:R7+終値!E7:R7)/3)&gt;((高値!F7:S7+安値!F7:S7+終値!F7:S7)/3))*((高値!E7:R7+安値!E7:R7+終値!E7:R7)/3)*出来高!E7:R7)/SUMPRODUCT((((高値!E7:R7+安値!E7:R7+終値!E7:R7)/3)&lt;((高値!F7:S7+安値!F7:S7+終値!F7:S7)/3))*((高値!E7:R7+安値!E7:R7+終値!E7:R7)/3)*出来高!E7:R7)),50))</f>
        <v>50.432102630696505</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v>
      </c>
      <c r="T7" s="500" t="str">
        <f t="shared" si="3"/>
        <v>下walk▼</v>
      </c>
      <c r="U7" s="500" t="str">
        <f>IF(終値!A7="","",BB_スイング!BT7)</f>
        <v>二番天井M形成</v>
      </c>
      <c r="V7" s="508">
        <f>IF($D7="","",IFERROR(出来高!E7/AVERAGE(出来高!E7:I7),""))</f>
        <v>0.81640111094869172</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▼二番天井警戒</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0</v>
      </c>
      <c r="Y7" s="501">
        <f t="shared" si="4"/>
        <v>1689</v>
      </c>
      <c r="Z7" s="501">
        <f t="shared" si="5"/>
        <v>1766.2665904760909</v>
      </c>
      <c r="AA7" s="501">
        <f t="shared" si="6"/>
        <v>1689</v>
      </c>
      <c r="AB7" s="501">
        <f t="shared" ref="AB7:AB70" si="10">IF($D7="","",IF($D7&gt;$G7,$E7+3*$F7,$G7))</f>
        <v>1795.4331809521818</v>
      </c>
      <c r="AC7" s="507" t="str">
        <f t="shared" si="7"/>
        <v>－</v>
      </c>
      <c r="AD7" s="501">
        <f>IF($D7="","",MIN(終値!E7:I7))</f>
        <v>1689</v>
      </c>
      <c r="AE7" s="503">
        <f t="shared" si="8"/>
        <v>9.9930000000000005E-2</v>
      </c>
    </row>
    <row r="8" spans="1:31">
      <c r="A8" s="500" t="str">
        <f>IF(終値!A8="","",HYPERLINK("https://kabutan.jp/stock/?code="&amp;終値!A8,"📈"))</f>
        <v>📈</v>
      </c>
      <c r="B8" s="500" t="str">
        <f>IF(終値!A8="","",終値!A8)</f>
        <v>5713</v>
      </c>
      <c r="C8" s="499" t="str">
        <f>IF(終値!A8="","",終値!B8)</f>
        <v>住友鉱山</v>
      </c>
      <c r="D8" s="501">
        <f>IF(終値!A8="","",終値!E8)</f>
        <v>8058</v>
      </c>
      <c r="E8" s="501">
        <f>IF($D8="","",AVERAGE(終値!E8:X8))</f>
        <v>7506.85</v>
      </c>
      <c r="F8" s="502">
        <f>IF($D8="","",STDEVP(終値!E8:X8))</f>
        <v>342.73536073769804</v>
      </c>
      <c r="G8" s="501">
        <f>IF($D8="","",$E8+BB設定!$B$4*$F8)</f>
        <v>8192.3207214753966</v>
      </c>
      <c r="H8" s="501">
        <f>IF($D8="","",$E8+BB設定!$B$5*$F8)</f>
        <v>7849.5853607376985</v>
      </c>
      <c r="I8" s="501">
        <f>IF($D8="","",$E8-BB設定!$B$5*$F8)</f>
        <v>7164.1146392623023</v>
      </c>
      <c r="J8" s="501">
        <f>IF($D8="","",$E8-BB設定!$B$4*$F8)</f>
        <v>6821.3792785246042</v>
      </c>
      <c r="K8" s="506">
        <f t="shared" si="0"/>
        <v>0.90202300604007801</v>
      </c>
      <c r="L8" s="505">
        <f t="shared" si="1"/>
        <v>18.262539453309877</v>
      </c>
      <c r="M8" s="505">
        <f>IF($D8="","",IFERROR(MIN(BB_帯幅!B8:AP8)*100,""))</f>
        <v>14.351793291565571</v>
      </c>
      <c r="N8" s="500" t="str">
        <f>IF($L8="","",IF($L8&lt;=$M8*BB設定!$B$7,"スクイーズ★",IF($L8&lt;=$M8*1.3,"収縮","－")))</f>
        <v>収縮</v>
      </c>
      <c r="O8" s="500" t="str">
        <f>IF($D8="","",IF(AND(BB_帯幅!B8&gt;BB_帯幅!C8,BB_帯幅!C8&gt;BB_帯幅!D8),"拡大↑","縮小↓"))</f>
        <v>拡大↑</v>
      </c>
      <c r="P8" s="500" t="str">
        <f t="shared" si="2"/>
        <v>+1σ上</v>
      </c>
      <c r="Q8" s="503">
        <f>IF($D8="","",IFERROR(100-100/(1+SUMPRODUCT((終値!E8:R8&gt;終値!F8:S8)*(終値!E8:R8-終値!F8:S8))/SUMPRODUCT((終値!E8:R8&lt;終値!F8:S8)*(終値!F8:S8-終値!E8:R8))),100))</f>
        <v>60.263996358670916</v>
      </c>
      <c r="R8" s="503">
        <f>IF($D8="","",IFERROR(100-100/(1+SUMPRODUCT((((高値!E8:R8+安値!E8:R8+終値!E8:R8)/3)&gt;((高値!F8:S8+安値!F8:S8+終値!F8:S8)/3))*((高値!E8:R8+安値!E8:R8+終値!E8:R8)/3)*出来高!E8:R8)/SUMPRODUCT((((高値!E8:R8+安値!E8:R8+終値!E8:R8)/3)&lt;((高値!F8:S8+安値!F8:S8+終値!F8:S8)/3))*((高値!E8:R8+安値!E8:R8+終値!E8:R8)/3)*出来高!E8:R8)),50))</f>
        <v>64.552569259858615</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二番天井M形成</v>
      </c>
      <c r="V8" s="508">
        <f>IF($D8="","",IFERROR(出来高!E8/AVERAGE(出来高!E8:I8),""))</f>
        <v>0.7212580695387637</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▼二番天井警戒</v>
      </c>
      <c r="X8" s="504">
        <f t="shared" si="9"/>
        <v>42</v>
      </c>
      <c r="Y8" s="501">
        <f t="shared" si="4"/>
        <v>8058</v>
      </c>
      <c r="Z8" s="501">
        <f t="shared" si="5"/>
        <v>7849.5853607376985</v>
      </c>
      <c r="AA8" s="501">
        <f t="shared" si="6"/>
        <v>7506.85</v>
      </c>
      <c r="AB8" s="501">
        <f t="shared" si="10"/>
        <v>8192.3207214753966</v>
      </c>
      <c r="AC8" s="507">
        <f t="shared" si="7"/>
        <v>0.24</v>
      </c>
      <c r="AD8" s="501">
        <f>IF($D8="","",MIN(終値!E8:I8))</f>
        <v>7315</v>
      </c>
      <c r="AE8" s="503">
        <f t="shared" si="8"/>
        <v>42.099919999999997</v>
      </c>
    </row>
    <row r="9" spans="1:31">
      <c r="A9" s="500" t="str">
        <f>IF(終値!A9="","",HYPERLINK("https://kabutan.jp/stock/?code="&amp;終値!A9,"📈"))</f>
        <v>📈</v>
      </c>
      <c r="B9" s="500" t="str">
        <f>IF(終値!A9="","",終値!A9)</f>
        <v>5711</v>
      </c>
      <c r="C9" s="499" t="str">
        <f>IF(終値!A9="","",終値!B9)</f>
        <v>三菱マテリアル</v>
      </c>
      <c r="D9" s="501">
        <f>IF(終値!A9="","",終値!E9)</f>
        <v>4144</v>
      </c>
      <c r="E9" s="501">
        <f>IF($D9="","",AVERAGE(終値!E9:X9))</f>
        <v>4157.7</v>
      </c>
      <c r="F9" s="502">
        <f>IF($D9="","",STDEVP(終値!E9:X9))</f>
        <v>156.74951355586401</v>
      </c>
      <c r="G9" s="501">
        <f>IF($D9="","",$E9+BB設定!$B$4*$F9)</f>
        <v>4471.1990271117274</v>
      </c>
      <c r="H9" s="501">
        <f>IF($D9="","",$E9+BB設定!$B$5*$F9)</f>
        <v>4314.4495135558636</v>
      </c>
      <c r="I9" s="501">
        <f>IF($D9="","",$E9-BB設定!$B$5*$F9)</f>
        <v>4000.950486444136</v>
      </c>
      <c r="J9" s="501">
        <f>IF($D9="","",$E9-BB設定!$B$4*$F9)</f>
        <v>3844.2009728882717</v>
      </c>
      <c r="K9" s="506">
        <f t="shared" si="0"/>
        <v>0.47814985244736175</v>
      </c>
      <c r="L9" s="505">
        <f t="shared" si="1"/>
        <v>15.080406335797575</v>
      </c>
      <c r="M9" s="505">
        <f>IF($D9="","",IFERROR(MIN(BB_帯幅!B9:AP9)*100,""))</f>
        <v>15.080406335797583</v>
      </c>
      <c r="N9" s="500" t="str">
        <f>IF($L9="","",IF($L9&lt;=$M9*BB設定!$B$7,"スクイーズ★",IF($L9&lt;=$M9*1.3,"収縮","－")))</f>
        <v>スクイーズ★</v>
      </c>
      <c r="O9" s="500" t="str">
        <f>IF($D9="","",IF(AND(BB_帯幅!B9&gt;BB_帯幅!C9,BB_帯幅!C9&gt;BB_帯幅!D9),"拡大↑","縮小↓"))</f>
        <v>縮小↓</v>
      </c>
      <c r="P9" s="500" t="str">
        <f t="shared" si="2"/>
        <v>バンド内</v>
      </c>
      <c r="Q9" s="503">
        <f>IF($D9="","",IFERROR(100-100/(1+SUMPRODUCT((終値!E9:R9&gt;終値!F9:S9)*(終値!E9:R9-終値!F9:S9))/SUMPRODUCT((終値!E9:R9&lt;終値!F9:S9)*(終値!F9:S9-終値!E9:R9))),100))</f>
        <v>53.118971061093241</v>
      </c>
      <c r="R9" s="503">
        <f>IF($D9="","",IFERROR(100-100/(1+SUMPRODUCT((((高値!E9:R9+安値!E9:R9+終値!E9:R9)/3)&gt;((高値!F9:S9+安値!F9:S9+終値!F9:S9)/3))*((高値!E9:R9+安値!E9:R9+終値!E9:R9)/3)*出来高!E9:R9)/SUMPRODUCT((((高値!E9:R9+安値!E9:R9+終値!E9:R9)/3)&lt;((高値!F9:S9+安値!F9:S9+終値!F9:S9)/3))*((高値!E9:R9+安値!E9:R9+終値!E9:R9)/3)*出来高!E9:R9)),50))</f>
        <v>67.512592234957509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v>
      </c>
      <c r="U9" s="500" t="str">
        <f>IF(終値!A9="","",BB_スイング!BT9)</f>
        <v>二番底W形成</v>
      </c>
      <c r="V9" s="508">
        <f>IF($D9="","",IFERROR(出来高!E9/AVERAGE(出来高!E9:I9),""))</f>
        <v>0.74404667784067546</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△二番底形成</v>
      </c>
      <c r="X9" s="504">
        <f t="shared" si="9"/>
        <v>30</v>
      </c>
      <c r="Y9" s="501">
        <f t="shared" si="4"/>
        <v>4144</v>
      </c>
      <c r="Z9" s="501">
        <f t="shared" si="5"/>
        <v>4314.4495135558636</v>
      </c>
      <c r="AA9" s="501">
        <f t="shared" si="6"/>
        <v>3944</v>
      </c>
      <c r="AB9" s="501">
        <f t="shared" si="10"/>
        <v>4471.1990271117274</v>
      </c>
      <c r="AC9" s="507">
        <f t="shared" si="7"/>
        <v>1.64</v>
      </c>
      <c r="AD9" s="501">
        <f>IF($D9="","",MIN(終値!E9:I9))</f>
        <v>3944</v>
      </c>
      <c r="AE9" s="503">
        <f t="shared" si="8"/>
        <v>30.099910000000001</v>
      </c>
    </row>
    <row r="10" spans="1:31" ht="24">
      <c r="A10" s="500" t="str">
        <f>IF(終値!A10="","",HYPERLINK("https://kabutan.jp/stock/?code="&amp;終値!A10,"📈"))</f>
        <v>📈</v>
      </c>
      <c r="B10" s="500" t="str">
        <f>IF(終値!A10="","",終値!A10)</f>
        <v>5714</v>
      </c>
      <c r="C10" s="499" t="str">
        <f>IF(終値!A10="","",終値!B10)</f>
        <v>ＤＯＷＡホールディングス</v>
      </c>
      <c r="D10" s="501">
        <f>IF(終値!A10="","",終値!E10)</f>
        <v>8197</v>
      </c>
      <c r="E10" s="501">
        <f>IF($D10="","",AVERAGE(終値!E10:X10))</f>
        <v>8310</v>
      </c>
      <c r="F10" s="502">
        <f>IF($D10="","",STDEVP(終値!E10:X10))</f>
        <v>237.21087664776252</v>
      </c>
      <c r="G10" s="501">
        <f>IF($D10="","",$E10+BB設定!$B$4*$F10)</f>
        <v>8784.4217532955245</v>
      </c>
      <c r="H10" s="501">
        <f>IF($D10="","",$E10+BB設定!$B$5*$F10)</f>
        <v>8547.2108766477631</v>
      </c>
      <c r="I10" s="501">
        <f>IF($D10="","",$E10-BB設定!$B$5*$F10)</f>
        <v>8072.7891233522378</v>
      </c>
      <c r="J10" s="501">
        <f>IF($D10="","",$E10-BB設定!$B$4*$F10)</f>
        <v>7835.5782467044746</v>
      </c>
      <c r="K10" s="506">
        <f t="shared" si="0"/>
        <v>0.38090765314295144</v>
      </c>
      <c r="L10" s="505">
        <f t="shared" si="1"/>
        <v>11.418092738761128</v>
      </c>
      <c r="M10" s="505">
        <f>IF($D10="","",IFERROR(MIN(BB_帯幅!B10:AP10)*100,""))</f>
        <v>11.303972146647935</v>
      </c>
      <c r="N10" s="500" t="str">
        <f>IF($L10="","",IF($L10&lt;=$M10*BB設定!$B$7,"スクイーズ★",IF($L10&lt;=$M10*1.3,"収縮","－")))</f>
        <v>スクイーズ★</v>
      </c>
      <c r="O10" s="500" t="str">
        <f>IF($D10="","",IF(AND(BB_帯幅!B10&gt;BB_帯幅!C10,BB_帯幅!C10&gt;BB_帯幅!D10),"拡大↑","縮小↓"))</f>
        <v>縮小↓</v>
      </c>
      <c r="P10" s="500" t="str">
        <f t="shared" si="2"/>
        <v>バンド内</v>
      </c>
      <c r="Q10" s="503">
        <f>IF($D10="","",IFERROR(100-100/(1+SUMPRODUCT((終値!E10:R10&gt;終値!F10:S10)*(終値!E10:R10-終値!F10:S10))/SUMPRODUCT((終値!E10:R10&lt;終値!F10:S10)*(終値!F10:S10-終値!E10:R10))),100))</f>
        <v>48.43100189035917</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55.174888146647831</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強気div▲</v>
      </c>
      <c r="T10" s="500" t="str">
        <f t="shared" si="3"/>
        <v>－</v>
      </c>
      <c r="U10" s="500" t="str">
        <f>IF(終値!A10="","",BB_スイング!BT10)</f>
        <v>二番底W形成</v>
      </c>
      <c r="V10" s="508">
        <f>IF($D10="","",IFERROR(出来高!E10/AVERAGE(出来高!E10:I10),""))</f>
        <v>0.63315772920270486</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○反発(ダイバ)買</v>
      </c>
      <c r="X10" s="504">
        <f t="shared" si="9"/>
        <v>35</v>
      </c>
      <c r="Y10" s="501">
        <f t="shared" si="4"/>
        <v>8197</v>
      </c>
      <c r="Z10" s="501">
        <f t="shared" si="5"/>
        <v>8547.2108766477631</v>
      </c>
      <c r="AA10" s="501">
        <f t="shared" si="6"/>
        <v>7907</v>
      </c>
      <c r="AB10" s="501">
        <f t="shared" si="10"/>
        <v>8784.4217532955245</v>
      </c>
      <c r="AC10" s="507">
        <f t="shared" si="7"/>
        <v>2.0299999999999998</v>
      </c>
      <c r="AD10" s="501">
        <f>IF($D10="","",MIN(終値!E10:I10))</f>
        <v>7907</v>
      </c>
      <c r="AE10" s="503">
        <f t="shared" si="8"/>
        <v>35.099899999999998</v>
      </c>
    </row>
    <row r="11" spans="1:31">
      <c r="A11" s="500" t="str">
        <f>IF(終値!A11="","",HYPERLINK("https://kabutan.jp/stock/?code="&amp;終値!A11,"📈"))</f>
        <v>📈</v>
      </c>
      <c r="B11" s="500" t="str">
        <f>IF(終値!A11="","",終値!A11)</f>
        <v>6701</v>
      </c>
      <c r="C11" s="499" t="str">
        <f>IF(終値!A11="","",終値!B11)</f>
        <v>日本電気</v>
      </c>
      <c r="D11" s="501">
        <f>IF(終値!A11="","",終値!E11)</f>
        <v>4598</v>
      </c>
      <c r="E11" s="501">
        <f>IF($D11="","",AVERAGE(終値!E11:X11))</f>
        <v>4452.8999999999996</v>
      </c>
      <c r="F11" s="502">
        <f>IF($D11="","",STDEVP(終値!E11:X11))</f>
        <v>189.45735667954415</v>
      </c>
      <c r="G11" s="501">
        <f>IF($D11="","",$E11+BB設定!$B$4*$F11)</f>
        <v>4831.8147133590883</v>
      </c>
      <c r="H11" s="501">
        <f>IF($D11="","",$E11+BB設定!$B$5*$F11)</f>
        <v>4642.357356679544</v>
      </c>
      <c r="I11" s="501">
        <f>IF($D11="","",$E11-BB設定!$B$5*$F11)</f>
        <v>4263.4426433204553</v>
      </c>
      <c r="J11" s="501">
        <f>IF($D11="","",$E11-BB設定!$B$4*$F11)</f>
        <v>4073.9852866409115</v>
      </c>
      <c r="K11" s="506">
        <f t="shared" si="0"/>
        <v>0.69146788826657724</v>
      </c>
      <c r="L11" s="505">
        <f t="shared" si="1"/>
        <v>17.01878386485609</v>
      </c>
      <c r="M11" s="505">
        <f>IF($D11="","",IFERROR(MIN(BB_帯幅!B11:AP11)*100,""))</f>
        <v>9.206433421586274</v>
      </c>
      <c r="N11" s="500" t="str">
        <f>IF($L11="","",IF($L11&lt;=$M11*BB設定!$B$7,"スクイーズ★",IF($L11&lt;=$M11*1.3,"収縮","－")))</f>
        <v>－</v>
      </c>
      <c r="O11" s="500" t="str">
        <f>IF($D11="","",IF(AND(BB_帯幅!B11&gt;BB_帯幅!C11,BB_帯幅!C11&gt;BB_帯幅!D11),"拡大↑","縮小↓"))</f>
        <v>縮小↓</v>
      </c>
      <c r="P11" s="500" t="str">
        <f t="shared" si="2"/>
        <v>バンド内</v>
      </c>
      <c r="Q11" s="503">
        <f>IF($D11="","",IFERROR(100-100/(1+SUMPRODUCT((終値!E11:R11&gt;終値!F11:S11)*(終値!E11:R11-終値!F11:S11))/SUMPRODUCT((終値!E11:R11&lt;終値!F11:S11)*(終値!F11:S11-終値!E11:R11))),100))</f>
        <v>57.246782316731959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59.294371856355447</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弱気div▼</v>
      </c>
      <c r="T11" s="500" t="str">
        <f t="shared" si="3"/>
        <v>－</v>
      </c>
      <c r="U11" s="500" t="str">
        <f>IF(終値!A11="","",BB_スイング!BT11)</f>
        <v>二番底W▲</v>
      </c>
      <c r="V11" s="508">
        <f>IF($D11="","",IFERROR(出来高!E11/AVERAGE(出来高!E11:I11),""))</f>
        <v>0.65588615069824163</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△二番底買(確)</v>
      </c>
      <c r="X11" s="504">
        <f t="shared" si="9"/>
        <v>20</v>
      </c>
      <c r="Y11" s="501">
        <f t="shared" si="4"/>
        <v>4598</v>
      </c>
      <c r="Z11" s="501">
        <f t="shared" si="5"/>
        <v>4642.357356679544</v>
      </c>
      <c r="AA11" s="501">
        <f t="shared" si="6"/>
        <v>4452.8999999999996</v>
      </c>
      <c r="AB11" s="501">
        <f t="shared" si="10"/>
        <v>4831.8147133590883</v>
      </c>
      <c r="AC11" s="507">
        <f t="shared" si="7"/>
        <v>1.61</v>
      </c>
      <c r="AD11" s="501">
        <f>IF($D11="","",MIN(終値!E11:I11))</f>
        <v>4598</v>
      </c>
      <c r="AE11" s="503">
        <f t="shared" si="8"/>
        <v>20.099889999999998</v>
      </c>
    </row>
    <row r="12" spans="1:31">
      <c r="A12" s="500" t="str">
        <f>IF(終値!A12="","",HYPERLINK("https://kabutan.jp/stock/?code="&amp;終値!A12,"📈"))</f>
        <v>📈</v>
      </c>
      <c r="B12" s="500" t="str">
        <f>IF(終値!A12="","",終値!A12)</f>
        <v>1605</v>
      </c>
      <c r="C12" s="499" t="str">
        <f>IF(終値!A12="","",終値!B12)</f>
        <v>ＩＮＰＥＸ</v>
      </c>
      <c r="D12" s="501">
        <f>IF(終値!A12="","",終値!E12)</f>
        <v>3492</v>
      </c>
      <c r="E12" s="501">
        <f>IF($D12="","",AVERAGE(終値!E12:X12))</f>
        <v>3514.25</v>
      </c>
      <c r="F12" s="502">
        <f>IF($D12="","",STDEVP(終値!E12:X12))</f>
        <v>130.90869909979244</v>
      </c>
      <c r="G12" s="501">
        <f>IF($D12="","",$E12+BB設定!$B$4*$F12)</f>
        <v>3776.0673981995851</v>
      </c>
      <c r="H12" s="501">
        <f>IF($D12="","",$E12+BB設定!$B$5*$F12)</f>
        <v>3645.1586990997926</v>
      </c>
      <c r="I12" s="501">
        <f>IF($D12="","",$E12-BB設定!$B$5*$F12)</f>
        <v>3383.3413009002074</v>
      </c>
      <c r="J12" s="501">
        <f>IF($D12="","",$E12-BB設定!$B$4*$F12)</f>
        <v>3252.4326018004149</v>
      </c>
      <c r="K12" s="506">
        <f t="shared" si="0"/>
        <v>0.45750855337917862</v>
      </c>
      <c r="L12" s="505">
        <f t="shared" si="1"/>
        <v>14.900328559412968</v>
      </c>
      <c r="M12" s="505">
        <f>IF($D12="","",IFERROR(MIN(BB_帯幅!B12:AP12)*100,""))</f>
        <v>10.063584422694696</v>
      </c>
      <c r="N12" s="500" t="str">
        <f>IF($L12="","",IF($L12&lt;=$M12*BB設定!$B$7,"スクイーズ★",IF($L12&lt;=$M12*1.3,"収縮","－")))</f>
        <v>－</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55.004955401387519</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55.357914366800429</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0.83495245466009271</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3492</v>
      </c>
      <c r="Z12" s="501">
        <f t="shared" si="5"/>
        <v>3645.1586990997926</v>
      </c>
      <c r="AA12" s="501">
        <f t="shared" si="6"/>
        <v>3492</v>
      </c>
      <c r="AB12" s="501">
        <f t="shared" si="10"/>
        <v>3776.0673981995851</v>
      </c>
      <c r="AC12" s="507" t="str">
        <f t="shared" si="7"/>
        <v>－</v>
      </c>
      <c r="AD12" s="501">
        <f>IF($D12="","",MIN(終値!E12:I12))</f>
        <v>3492</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2793</v>
      </c>
      <c r="E13" s="501">
        <f>IF($D13="","",AVERAGE(終値!E13:X13))</f>
        <v>2691.3</v>
      </c>
      <c r="F13" s="502">
        <f>IF($D13="","",STDEVP(終値!E13:X13))</f>
        <v>64.805941085675158</v>
      </c>
      <c r="G13" s="501">
        <f>IF($D13="","",$E13+BB設定!$B$4*$F13)</f>
        <v>2820.9118821713505</v>
      </c>
      <c r="H13" s="501">
        <f>IF($D13="","",$E13+BB設定!$B$5*$F13)</f>
        <v>2756.1059410856751</v>
      </c>
      <c r="I13" s="501">
        <f>IF($D13="","",$E13-BB設定!$B$5*$F13)</f>
        <v>2626.4940589143253</v>
      </c>
      <c r="J13" s="501">
        <f>IF($D13="","",$E13-BB設定!$B$4*$F13)</f>
        <v>2561.6881178286499</v>
      </c>
      <c r="K13" s="506">
        <f t="shared" si="0"/>
        <v>0.89232514140003671</v>
      </c>
      <c r="L13" s="505">
        <f t="shared" si="1"/>
        <v>9.6319163357002431</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+1σ上</v>
      </c>
      <c r="Q13" s="503">
        <f>IF($D13="","",IFERROR(100-100/(1+SUMPRODUCT((終値!E13:R13&gt;終値!F13:S13)*(終値!E13:R13-終値!F13:S13))/SUMPRODUCT((終値!E13:R13&lt;終値!F13:S13)*(終値!F13:S13-終値!E13:R13))),100))</f>
        <v>57.07006369426751</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59.845512327367992</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1.0904394354069928</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52</v>
      </c>
      <c r="Y13" s="501">
        <f t="shared" si="4"/>
        <v>2793</v>
      </c>
      <c r="Z13" s="501">
        <f t="shared" si="5"/>
        <v>2756.1059410856751</v>
      </c>
      <c r="AA13" s="501">
        <f t="shared" si="6"/>
        <v>2691.3</v>
      </c>
      <c r="AB13" s="501">
        <f t="shared" si="10"/>
        <v>2820.9118821713505</v>
      </c>
      <c r="AC13" s="507">
        <f t="shared" si="7"/>
        <v>0.27</v>
      </c>
      <c r="AD13" s="501">
        <f>IF($D13="","",MIN(終値!E13:I13))</f>
        <v>2584</v>
      </c>
      <c r="AE13" s="503">
        <f t="shared" si="8"/>
        <v>52.099870000000003</v>
      </c>
    </row>
    <row r="14" spans="1:31">
      <c r="A14" s="500" t="str">
        <f>IF(終値!A14="","",HYPERLINK("https://kabutan.jp/stock/?code="&amp;終値!A14,"📈"))</f>
        <v>📈</v>
      </c>
      <c r="B14" s="500" t="str">
        <f>IF(終値!A14="","",終値!A14)</f>
        <v>8002</v>
      </c>
      <c r="C14" s="499" t="str">
        <f>IF(終値!A14="","",終値!B14)</f>
        <v>丸紅</v>
      </c>
      <c r="D14" s="501">
        <f>IF(終値!A14="","",終値!E14)</f>
        <v>4937</v>
      </c>
      <c r="E14" s="501">
        <f>IF($D14="","",AVERAGE(終値!E14:X14))</f>
        <v>5115.95</v>
      </c>
      <c r="F14" s="502">
        <f>IF($D14="","",STDEVP(終値!E14:X14))</f>
        <v>173.49768730447101</v>
      </c>
      <c r="G14" s="501">
        <f>IF($D14="","",$E14+BB設定!$B$4*$F14)</f>
        <v>5462.9453746089421</v>
      </c>
      <c r="H14" s="501">
        <f>IF($D14="","",$E14+BB設定!$B$5*$F14)</f>
        <v>5289.4476873044705</v>
      </c>
      <c r="I14" s="501">
        <f>IF($D14="","",$E14-BB設定!$B$5*$F14)</f>
        <v>4942.4523126955291</v>
      </c>
      <c r="J14" s="501">
        <f>IF($D14="","",$E14-BB設定!$B$4*$F14)</f>
        <v>4768.9546253910576</v>
      </c>
      <c r="K14" s="506">
        <f t="shared" si="0"/>
        <v>0.2421435369251343</v>
      </c>
      <c r="L14" s="505">
        <f t="shared" si="1"/>
        <v>13.565237135192575</v>
      </c>
      <c r="M14" s="505">
        <f>IF($D14="","",IFERROR(MIN(BB_帯幅!B14:AP14)*100,""))</f>
        <v>10.119594564710161</v>
      </c>
      <c r="N14" s="500" t="str">
        <f>IF($L14="","",IF($L14&lt;=$M14*BB設定!$B$7,"スクイーズ★",IF($L14&lt;=$M14*1.3,"収縮","－")))</f>
        <v>－</v>
      </c>
      <c r="O14" s="500" t="str">
        <f>IF($D14="","",IF(AND(BB_帯幅!B14&gt;BB_帯幅!C14,BB_帯幅!C14&gt;BB_帯幅!D14),"拡大↑","縮小↓"))</f>
        <v>縮小↓</v>
      </c>
      <c r="P14" s="500" t="str">
        <f t="shared" si="2"/>
        <v>-1σ下</v>
      </c>
      <c r="Q14" s="503">
        <f>IF($D14="","",IFERROR(100-100/(1+SUMPRODUCT((終値!E14:R14&gt;終値!F14:S14)*(終値!E14:R14-終値!F14:S14))/SUMPRODUCT((終値!E14:R14&lt;終値!F14:S14)*(終値!F14:S14-終値!E14:R14))),100))</f>
        <v>52.711496746203906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43.545565150670427</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下walk▼</v>
      </c>
      <c r="U14" s="500" t="str">
        <f>IF(終値!A14="","",BB_スイング!BT14)</f>
        <v>二番底W形成</v>
      </c>
      <c r="V14" s="508">
        <f>IF($D14="","",IFERROR(出来高!E14/AVERAGE(出来高!E14:I14),""))</f>
        <v>1.3015185879921873</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0</v>
      </c>
      <c r="Y14" s="501">
        <f t="shared" si="4"/>
        <v>4937</v>
      </c>
      <c r="Z14" s="501">
        <f t="shared" si="5"/>
        <v>5289.4476873044705</v>
      </c>
      <c r="AA14" s="501">
        <f t="shared" si="6"/>
        <v>4937</v>
      </c>
      <c r="AB14" s="501">
        <f t="shared" si="10"/>
        <v>5462.9453746089421</v>
      </c>
      <c r="AC14" s="507" t="str">
        <f t="shared" si="7"/>
        <v>－</v>
      </c>
      <c r="AD14" s="501">
        <f>IF($D14="","",MIN(終値!E14:I14))</f>
        <v>4937</v>
      </c>
      <c r="AE14" s="503">
        <f t="shared" si="8"/>
        <v>9.9860000000000004E-2</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3786</v>
      </c>
      <c r="E15" s="501">
        <f>IF($D15="","",AVERAGE(終値!E15:X15))</f>
        <v>3908.4</v>
      </c>
      <c r="F15" s="502">
        <f>IF($D15="","",STDEVP(終値!E15:X15))</f>
        <v>66.192446699000328</v>
      </c>
      <c r="G15" s="501">
        <f>IF($D15="","",$E15+BB設定!$B$4*$F15)</f>
        <v>4040.7848933980008</v>
      </c>
      <c r="H15" s="501">
        <f>IF($D15="","",$E15+BB設定!$B$5*$F15)</f>
        <v>3974.5924466990004</v>
      </c>
      <c r="I15" s="501">
        <f>IF($D15="","",$E15-BB設定!$B$5*$F15)</f>
        <v>3842.2075533009997</v>
      </c>
      <c r="J15" s="501">
        <f>IF($D15="","",$E15-BB設定!$B$4*$F15)</f>
        <v>3776.0151066019994</v>
      </c>
      <c r="K15" s="506">
        <f t="shared" si="0"/>
        <v>3.7711604178212885E-2</v>
      </c>
      <c r="L15" s="505">
        <f t="shared" si="1"/>
        <v>6.7743779243680633</v>
      </c>
      <c r="M15" s="505">
        <f>IF($D15="","",IFERROR(MIN(BB_帯幅!B15:AP15)*100,""))</f>
        <v>5.9519252870835988</v>
      </c>
      <c r="N15" s="500" t="str">
        <f>IF($L15="","",IF($L15&lt;=$M15*BB設定!$B$7,"スクイーズ★",IF($L15&lt;=$M15*1.3,"収縮","－")))</f>
        <v>収縮</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45.523520485584221</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52.789238926292377</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0.69565511183188056</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15</v>
      </c>
      <c r="Y15" s="501">
        <f t="shared" si="4"/>
        <v>3786</v>
      </c>
      <c r="Z15" s="501">
        <f t="shared" si="5"/>
        <v>3974.5924466990004</v>
      </c>
      <c r="AA15" s="501">
        <f t="shared" si="6"/>
        <v>3786</v>
      </c>
      <c r="AB15" s="501">
        <f t="shared" si="10"/>
        <v>4040.7848933980008</v>
      </c>
      <c r="AC15" s="507" t="str">
        <f t="shared" si="7"/>
        <v>－</v>
      </c>
      <c r="AD15" s="501">
        <f>IF($D15="","",MIN(終値!E15:I15))</f>
        <v>3786</v>
      </c>
      <c r="AE15" s="503">
        <f t="shared" si="8"/>
        <v>15.09985</v>
      </c>
    </row>
    <row r="16" spans="1:31">
      <c r="A16" s="500" t="str">
        <f>IF(終値!A16="","",HYPERLINK("https://kabutan.jp/stock/?code="&amp;終値!A16,"📈"))</f>
        <v>📈</v>
      </c>
      <c r="B16" s="500" t="str">
        <f>IF(終値!A16="","",終値!A16)</f>
        <v>8058</v>
      </c>
      <c r="C16" s="499" t="str">
        <f>IF(終値!A16="","",終値!B16)</f>
        <v>三菱商事</v>
      </c>
      <c r="D16" s="501">
        <f>IF(終値!A16="","",終値!E16)</f>
        <v>4738</v>
      </c>
      <c r="E16" s="501">
        <f>IF($D16="","",AVERAGE(終値!E16:X16))</f>
        <v>4658.25</v>
      </c>
      <c r="F16" s="502">
        <f>IF($D16="","",STDEVP(終値!E16:X16))</f>
        <v>179.69693236112852</v>
      </c>
      <c r="G16" s="501">
        <f>IF($D16="","",$E16+BB設定!$B$4*$F16)</f>
        <v>5017.6438647222567</v>
      </c>
      <c r="H16" s="501">
        <f>IF($D16="","",$E16+BB設定!$B$5*$F16)</f>
        <v>4837.9469323611283</v>
      </c>
      <c r="I16" s="501">
        <f>IF($D16="","",$E16-BB設定!$B$5*$F16)</f>
        <v>4478.5530676388717</v>
      </c>
      <c r="J16" s="501">
        <f>IF($D16="","",$E16-BB設定!$B$4*$F16)</f>
        <v>4298.8561352777433</v>
      </c>
      <c r="K16" s="506">
        <f t="shared" si="0"/>
        <v>0.61095069758860743</v>
      </c>
      <c r="L16" s="505">
        <f t="shared" si="1"/>
        <v>15.430424074373711</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64.299424184261028</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55.30647355783789</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弱気div▼</v>
      </c>
      <c r="T16" s="500" t="str">
        <f t="shared" si="3"/>
        <v>－</v>
      </c>
      <c r="U16" s="500" t="str">
        <f>IF(終値!A16="","",BB_スイング!BT16)</f>
        <v>－</v>
      </c>
      <c r="V16" s="508">
        <f>IF($D16="","",IFERROR(出来高!E16/AVERAGE(出来高!E16:I16),""))</f>
        <v>0.87004350713061063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20</v>
      </c>
      <c r="Y16" s="501">
        <f t="shared" si="4"/>
        <v>4738</v>
      </c>
      <c r="Z16" s="501">
        <f t="shared" si="5"/>
        <v>4837.9469323611283</v>
      </c>
      <c r="AA16" s="501">
        <f t="shared" si="6"/>
        <v>4658.25</v>
      </c>
      <c r="AB16" s="501">
        <f t="shared" si="10"/>
        <v>5017.6438647222567</v>
      </c>
      <c r="AC16" s="507">
        <f t="shared" si="7"/>
        <v>3.51</v>
      </c>
      <c r="AD16" s="501">
        <f>IF($D16="","",MIN(終値!E16:I16))</f>
        <v>4738</v>
      </c>
      <c r="AE16" s="503">
        <f t="shared" si="8"/>
        <v>20.09984</v>
      </c>
    </row>
    <row r="17" spans="1:31">
      <c r="A17" s="500" t="str">
        <f>IF(終値!A17="","",HYPERLINK("https://kabutan.jp/stock/?code="&amp;終値!A17,"📈"))</f>
        <v>📈</v>
      </c>
      <c r="B17" s="500" t="str">
        <f>IF(終値!A17="","",終値!A17)</f>
        <v>5333</v>
      </c>
      <c r="C17" s="499" t="str">
        <f>IF(終値!A17="","",終値!B17)</f>
        <v>ＮＧＫ</v>
      </c>
      <c r="D17" s="501">
        <f>IF(終値!A17="","",終値!E17)</f>
        <v>5603</v>
      </c>
      <c r="E17" s="501">
        <f>IF($D17="","",AVERAGE(終値!E17:X17))</f>
        <v>6245.5</v>
      </c>
      <c r="F17" s="502">
        <f>IF($D17="","",STDEVP(終値!E17:X17))</f>
        <v>650.75314059941354</v>
      </c>
      <c r="G17" s="501">
        <f>IF($D17="","",$E17+BB設定!$B$4*$F17)</f>
        <v>7547.0062811988273</v>
      </c>
      <c r="H17" s="501">
        <f>IF($D17="","",$E17+BB設定!$B$5*$F17)</f>
        <v>6896.2531405994132</v>
      </c>
      <c r="I17" s="501">
        <f>IF($D17="","",$E17-BB設定!$B$5*$F17)</f>
        <v>5594.7468594005868</v>
      </c>
      <c r="J17" s="501">
        <f>IF($D17="","",$E17-BB設定!$B$4*$F17)</f>
        <v>4943.9937188011727</v>
      </c>
      <c r="K17" s="506">
        <f t="shared" si="0"/>
        <v>0.2531706111290572</v>
      </c>
      <c r="L17" s="505">
        <f t="shared" si="1"/>
        <v>41.678209309065004</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30.659861465548659</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28.200291349433087</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0.6624218905168594</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5603</v>
      </c>
      <c r="Z17" s="501">
        <f t="shared" si="5"/>
        <v>6896.2531405994132</v>
      </c>
      <c r="AA17" s="501">
        <f t="shared" si="6"/>
        <v>5180</v>
      </c>
      <c r="AB17" s="501">
        <f t="shared" si="10"/>
        <v>7547.0062811988273</v>
      </c>
      <c r="AC17" s="507">
        <f t="shared" si="7"/>
        <v>4.5999999999999996</v>
      </c>
      <c r="AD17" s="501">
        <f>IF($D17="","",MIN(終値!E17:I17))</f>
        <v>5180</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1701</v>
      </c>
      <c r="E18" s="501">
        <f>IF($D18="","",AVERAGE(終値!E18:X18))</f>
        <v>1710.578947368421</v>
      </c>
      <c r="F18" s="502">
        <f>IF($D18="","",STDEVP(終値!E18:X18))</f>
        <v>39.96355680587223</v>
      </c>
      <c r="G18" s="501">
        <f>IF($D18="","",$E18+BB設定!$B$4*$F18)</f>
        <v>1790.5060609801656</v>
      </c>
      <c r="H18" s="501">
        <f>IF($D18="","",$E18+BB設定!$B$5*$F18)</f>
        <v>1750.5425041742933</v>
      </c>
      <c r="I18" s="501">
        <f>IF($D18="","",$E18-BB設定!$B$5*$F18)</f>
        <v>1670.6153905625488</v>
      </c>
      <c r="J18" s="501">
        <f>IF($D18="","",$E18-BB設定!$B$4*$F18)</f>
        <v>1630.6518337566765</v>
      </c>
      <c r="K18" s="506">
        <f t="shared" si="0"/>
        <v>0.44007698429501707</v>
      </c>
      <c r="L18" s="505">
        <f t="shared" si="1"/>
        <v>9.3450365134804834</v>
      </c>
      <c r="M18" s="505">
        <f>IF($D18="","",IFERROR(MIN(BB_帯幅!B18:AP18)*100,""))</f>
        <v>6.9163206300637396</v>
      </c>
      <c r="N18" s="500" t="str">
        <f>IF($L18="","",IF($L18&lt;=$M18*BB設定!$B$7,"スクイーズ★",IF($L18&lt;=$M18*1.3,"収縮","－")))</f>
        <v>－</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50.427350427350426</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65.897666916068417</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二番天井M▼</v>
      </c>
      <c r="V18" s="508">
        <f>IF($D18="","",IFERROR(出来高!E18/AVERAGE(出来高!E18:I18),""))</f>
        <v>0.79120116139620023</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▼二番天井警戒</v>
      </c>
      <c r="X18" s="504">
        <f t="shared" si="9"/>
        <v>5</v>
      </c>
      <c r="Y18" s="501">
        <f t="shared" si="4"/>
        <v>1701</v>
      </c>
      <c r="Z18" s="501">
        <f t="shared" si="5"/>
        <v>1750.5425041742933</v>
      </c>
      <c r="AA18" s="501">
        <f t="shared" si="6"/>
        <v>1701</v>
      </c>
      <c r="AB18" s="501">
        <f t="shared" si="10"/>
        <v>1790.5060609801656</v>
      </c>
      <c r="AC18" s="507" t="str">
        <f t="shared" si="7"/>
        <v>－</v>
      </c>
      <c r="AD18" s="501">
        <f>IF($D18="","",MIN(終値!E18:I18))</f>
        <v>1701</v>
      </c>
      <c r="AE18" s="503">
        <f t="shared" si="8"/>
        <v>5.0998200000000002</v>
      </c>
    </row>
    <row r="19" spans="1:31" ht="24">
      <c r="A19" s="500" t="str">
        <f>IF(終値!A19="","",HYPERLINK("https://kabutan.jp/stock/?code="&amp;終値!A19,"📈"))</f>
        <v>📈</v>
      </c>
      <c r="B19" s="500" t="str">
        <f>IF(終値!A19="","",終値!A19)</f>
        <v>8411</v>
      </c>
      <c r="C19" s="499" t="str">
        <f>IF(終値!A19="","",終値!B19)</f>
        <v>みずほフィナンシャルＧ</v>
      </c>
      <c r="D19" s="501">
        <f>IF(終値!A19="","",終値!E19)</f>
        <v>8131</v>
      </c>
      <c r="E19" s="501">
        <f>IF($D19="","",AVERAGE(終値!E19:X19))</f>
        <v>8302.7999999999993</v>
      </c>
      <c r="F19" s="502">
        <f>IF($D19="","",STDEVP(終値!E19:X19))</f>
        <v>243.06657524225741</v>
      </c>
      <c r="G19" s="501">
        <f>IF($D19="","",$E19+BB設定!$B$4*$F19)</f>
        <v>8788.933150484514</v>
      </c>
      <c r="H19" s="501">
        <f>IF($D19="","",$E19+BB設定!$B$5*$F19)</f>
        <v>8545.8665752422567</v>
      </c>
      <c r="I19" s="501">
        <f>IF($D19="","",$E19-BB設定!$B$5*$F19)</f>
        <v>8059.7334247577419</v>
      </c>
      <c r="J19" s="501">
        <f>IF($D19="","",$E19-BB設定!$B$4*$F19)</f>
        <v>7816.6668495154845</v>
      </c>
      <c r="K19" s="506">
        <f t="shared" si="0"/>
        <v>0.32329943984608822</v>
      </c>
      <c r="L19" s="505">
        <f t="shared" si="1"/>
        <v>11.710101423243119</v>
      </c>
      <c r="M19" s="505">
        <f>IF($D19="","",IFERROR(MIN(BB_帯幅!B19:AP19)*100,""))</f>
        <v>9.5287107288350441</v>
      </c>
      <c r="N19" s="500" t="str">
        <f>IF($L19="","",IF($L19&lt;=$M19*BB設定!$B$7,"スクイーズ★",IF($L19&lt;=$M19*1.3,"収縮","－")))</f>
        <v>収縮</v>
      </c>
      <c r="O19" s="500" t="str">
        <f>IF($D19="","",IF(AND(BB_帯幅!B19&gt;BB_帯幅!C19,BB_帯幅!C19&gt;BB_帯幅!D19),"拡大↑","縮小↓"))</f>
        <v>縮小↓</v>
      </c>
      <c r="P19" s="500" t="str">
        <f t="shared" si="2"/>
        <v>バンド内</v>
      </c>
      <c r="Q19" s="503">
        <f>IF($D19="","",IFERROR(100-100/(1+SUMPRODUCT((終値!E19:R19&gt;終値!F19:S19)*(終値!E19:R19-終値!F19:S19))/SUMPRODUCT((終値!E19:R19&lt;終値!F19:S19)*(終値!F19:S19-終値!E19:R19))),100))</f>
        <v>45.451653944020357</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43.254260694903529</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0.67526806424788832</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5</v>
      </c>
      <c r="Y19" s="501">
        <f t="shared" si="4"/>
        <v>8131</v>
      </c>
      <c r="Z19" s="501">
        <f t="shared" si="5"/>
        <v>8545.8665752422567</v>
      </c>
      <c r="AA19" s="501">
        <f t="shared" si="6"/>
        <v>7818</v>
      </c>
      <c r="AB19" s="501">
        <f t="shared" si="10"/>
        <v>8788.933150484514</v>
      </c>
      <c r="AC19" s="507">
        <f t="shared" si="7"/>
        <v>2.1</v>
      </c>
      <c r="AD19" s="501">
        <f>IF($D19="","",MIN(終値!E19:I19))</f>
        <v>7818</v>
      </c>
      <c r="AE19" s="503">
        <f t="shared" si="8"/>
        <v>5.0998099999999997</v>
      </c>
    </row>
    <row r="20" spans="1:31">
      <c r="A20" s="500" t="str">
        <f>IF(終値!A20="","",HYPERLINK("https://kabutan.jp/stock/?code="&amp;終値!A20,"📈"))</f>
        <v>📈</v>
      </c>
      <c r="B20" s="500" t="str">
        <f>IF(終値!A20="","",終値!A20)</f>
        <v>5541</v>
      </c>
      <c r="C20" s="499" t="str">
        <f>IF(終値!A20="","",終値!B20)</f>
        <v>大平洋金属</v>
      </c>
      <c r="D20" s="501">
        <f>IF(終値!A20="","",終値!E20)</f>
        <v>2493</v>
      </c>
      <c r="E20" s="501">
        <f>IF($D20="","",AVERAGE(終値!E20:X20))</f>
        <v>2327.2631578947367</v>
      </c>
      <c r="F20" s="502">
        <f>IF($D20="","",STDEVP(終値!E20:X20))</f>
        <v>79.577729035508113</v>
      </c>
      <c r="G20" s="501">
        <f>IF($D20="","",$E20+BB設定!$B$4*$F20)</f>
        <v>2486.4186159657529</v>
      </c>
      <c r="H20" s="501">
        <f>IF($D20="","",$E20+BB設定!$B$5*$F20)</f>
        <v>2406.8408869302448</v>
      </c>
      <c r="I20" s="501">
        <f>IF($D20="","",$E20-BB設定!$B$5*$F20)</f>
        <v>2247.6854288592285</v>
      </c>
      <c r="J20" s="501">
        <f>IF($D20="","",$E20-BB設定!$B$4*$F20)</f>
        <v>2168.1076998237204</v>
      </c>
      <c r="K20" s="506">
        <f t="shared" si="0"/>
        <v>1.0206759608310463</v>
      </c>
      <c r="L20" s="505">
        <f t="shared" si="1"/>
        <v>13.677478417609612</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↑+2σ突破</v>
      </c>
      <c r="Q20" s="503">
        <f>IF($D20="","",IFERROR(100-100/(1+SUMPRODUCT((終値!E20:R20&gt;終値!F20:S20)*(終値!E20:R20-終値!F20:S20))/SUMPRODUCT((終値!E20:R20&lt;終値!F20:S20)*(終値!F20:S20-終値!E20:R20))),100))</f>
        <v>52.373540856031127</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71.008586349764258</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1.1034171924936491</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55</v>
      </c>
      <c r="Y20" s="501">
        <f t="shared" si="4"/>
        <v>2493</v>
      </c>
      <c r="Z20" s="501">
        <f t="shared" si="5"/>
        <v>2406.8408869302448</v>
      </c>
      <c r="AA20" s="501">
        <f t="shared" si="6"/>
        <v>2327.2631578947367</v>
      </c>
      <c r="AB20" s="501">
        <f t="shared" si="10"/>
        <v>2565.996345001261</v>
      </c>
      <c r="AC20" s="507">
        <f t="shared" si="7"/>
        <v>0.44</v>
      </c>
      <c r="AD20" s="501">
        <f>IF($D20="","",MIN(終値!E20:I20))</f>
        <v>2361</v>
      </c>
      <c r="AE20" s="503">
        <f t="shared" si="8"/>
        <v>55.099800000000002</v>
      </c>
    </row>
    <row r="21" spans="1:31">
      <c r="A21" s="500" t="str">
        <f>IF(終値!A21="","",HYPERLINK("https://kabutan.jp/stock/?code="&amp;終値!A21,"📈"))</f>
        <v>📈</v>
      </c>
      <c r="B21" s="500" t="str">
        <f>IF(終値!A21="","",終値!A21)</f>
        <v>5332</v>
      </c>
      <c r="C21" s="499" t="str">
        <f>IF(終値!A21="","",終値!B21)</f>
        <v>ＴＯＴＯ</v>
      </c>
      <c r="D21" s="501">
        <f>IF(終値!A21="","",終値!E21)</f>
        <v>6295</v>
      </c>
      <c r="E21" s="501">
        <f>IF($D21="","",AVERAGE(終値!E21:X21))</f>
        <v>7499.3684210526317</v>
      </c>
      <c r="F21" s="502">
        <f>IF($D21="","",STDEVP(終値!E21:X21))</f>
        <v>673.457474180134</v>
      </c>
      <c r="G21" s="501">
        <f>IF($D21="","",$E21+BB設定!$B$4*$F21)</f>
        <v>8846.2833694129004</v>
      </c>
      <c r="H21" s="501">
        <f>IF($D21="","",$E21+BB設定!$B$5*$F21)</f>
        <v>8172.825895232766</v>
      </c>
      <c r="I21" s="501">
        <f>IF($D21="","",$E21-BB設定!$B$5*$F21)</f>
        <v>6825.9109468724973</v>
      </c>
      <c r="J21" s="501">
        <f>IF($D21="","",$E21-BB設定!$B$4*$F21)</f>
        <v>6152.4534726923639</v>
      </c>
      <c r="K21" s="506">
        <f t="shared" si="0"/>
        <v>5.2915934848437152E-2</v>
      </c>
      <c r="L21" s="505">
        <f t="shared" si="1"/>
        <v>35.920756862114835</v>
      </c>
      <c r="M21" s="505">
        <f>IF($D21="","",IFERROR(MIN(BB_帯幅!B21:AP21)*100,""))</f>
        <v>14.459579532758502</v>
      </c>
      <c r="N21" s="500" t="str">
        <f>IF($L21="","",IF($L21&lt;=$M21*BB設定!$B$7,"スクイーズ★",IF($L21&lt;=$M21*1.3,"収縮","－")))</f>
        <v>－</v>
      </c>
      <c r="O21" s="500" t="str">
        <f>IF($D21="","",IF(AND(BB_帯幅!B21&gt;BB_帯幅!C21,BB_帯幅!C21&gt;BB_帯幅!D21),"拡大↑","縮小↓"))</f>
        <v>拡大↑</v>
      </c>
      <c r="P21" s="500" t="str">
        <f t="shared" si="2"/>
        <v>-1σ下</v>
      </c>
      <c r="Q21" s="503">
        <f>IF($D21="","",IFERROR(100-100/(1+SUMPRODUCT((終値!E21:R21&gt;終値!F21:S21)*(終値!E21:R21-終値!F21:S21))/SUMPRODUCT((終値!E21:R21&lt;終値!F21:S21)*(終値!F21:S21-終値!E21:R21))),100))</f>
        <v>45.533561374978973</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36.158286877680567</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0.91687472602870268</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6295</v>
      </c>
      <c r="Z21" s="501">
        <f t="shared" si="5"/>
        <v>8172.825895232766</v>
      </c>
      <c r="AA21" s="501">
        <f t="shared" si="6"/>
        <v>6171</v>
      </c>
      <c r="AB21" s="501">
        <f t="shared" si="10"/>
        <v>8846.2833694129004</v>
      </c>
      <c r="AC21" s="507">
        <f t="shared" si="7"/>
        <v>20</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4742</v>
      </c>
      <c r="E22" s="501">
        <f>IF($D22="","",AVERAGE(終値!E22:X22))</f>
        <v>4722.2</v>
      </c>
      <c r="F22" s="502">
        <f>IF($D22="","",STDEVP(終値!E22:X22))</f>
        <v>215.66028841675976</v>
      </c>
      <c r="G22" s="501">
        <f>IF($D22="","",$E22+BB設定!$B$4*$F22)</f>
        <v>5153.520576833519</v>
      </c>
      <c r="H22" s="501">
        <f>IF($D22="","",$E22+BB設定!$B$5*$F22)</f>
        <v>4937.8602884167594</v>
      </c>
      <c r="I22" s="501">
        <f>IF($D22="","",$E22-BB設定!$B$5*$F22)</f>
        <v>4506.5397115832402</v>
      </c>
      <c r="J22" s="501">
        <f>IF($D22="","",$E22-BB設定!$B$4*$F22)</f>
        <v>4290.8794231664806</v>
      </c>
      <c r="K22" s="506">
        <f t="shared" si="0"/>
        <v>0.52295276537159341</v>
      </c>
      <c r="L22" s="505">
        <f t="shared" si="1"/>
        <v>18.267780984859566</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64.021641118124435</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57.240427772139441</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弱気div▼</v>
      </c>
      <c r="T22" s="500" t="str">
        <f t="shared" si="3"/>
        <v>－</v>
      </c>
      <c r="U22" s="500" t="str">
        <f>IF(終値!A22="","",BB_スイング!BT22)</f>
        <v>二番底W▲</v>
      </c>
      <c r="V22" s="508">
        <f>IF($D22="","",IFERROR(出来高!E22/AVERAGE(出来高!E22:I22),""))</f>
        <v>0.902984441900886</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△二番底買(確)</v>
      </c>
      <c r="X22" s="504">
        <f t="shared" si="9"/>
        <v>20</v>
      </c>
      <c r="Y22" s="501">
        <f t="shared" si="4"/>
        <v>4742</v>
      </c>
      <c r="Z22" s="501">
        <f t="shared" si="5"/>
        <v>4937.8602884167594</v>
      </c>
      <c r="AA22" s="501">
        <f t="shared" si="6"/>
        <v>4722.2</v>
      </c>
      <c r="AB22" s="501">
        <f t="shared" si="10"/>
        <v>5153.520576833519</v>
      </c>
      <c r="AC22" s="507">
        <f t="shared" si="7"/>
        <v>20</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4969</v>
      </c>
      <c r="E23" s="501">
        <f>IF($D23="","",AVERAGE(終値!E23:X23))</f>
        <v>4998.5789473684208</v>
      </c>
      <c r="F23" s="502">
        <f>IF($D23="","",STDEVP(終値!E23:X23))</f>
        <v>81.932138665241652</v>
      </c>
      <c r="G23" s="501">
        <f>IF($D23="","",$E23+BB設定!$B$4*$F23)</f>
        <v>5162.4432246989045</v>
      </c>
      <c r="H23" s="501">
        <f>IF($D23="","",$E23+BB設定!$B$5*$F23)</f>
        <v>5080.5110860336627</v>
      </c>
      <c r="I23" s="501">
        <f>IF($D23="","",$E23-BB設定!$B$5*$F23)</f>
        <v>4916.646808703179</v>
      </c>
      <c r="J23" s="501">
        <f>IF($D23="","",$E23-BB設定!$B$4*$F23)</f>
        <v>4834.7146700379371</v>
      </c>
      <c r="K23" s="506">
        <f t="shared" si="0"/>
        <v>0.40974558991656979</v>
      </c>
      <c r="L23" s="505">
        <f t="shared" si="1"/>
        <v>6.5564345009196083</v>
      </c>
      <c r="M23" s="505">
        <f>IF($D23="","",IFERROR(MIN(BB_帯幅!B23:AP23)*100,""))</f>
        <v>6.5564345009195932</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50.180823851106993</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56.218644928133173</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二番天井M形成</v>
      </c>
      <c r="V23" s="508">
        <f>IF($D23="","",IFERROR(出来高!E23/AVERAGE(出来高!E23:I23),""))</f>
        <v>0.80918578163903165</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▼二番天井警戒</v>
      </c>
      <c r="X23" s="504">
        <f t="shared" si="9"/>
        <v>10</v>
      </c>
      <c r="Y23" s="501">
        <f t="shared" si="4"/>
        <v>4969</v>
      </c>
      <c r="Z23" s="501">
        <f t="shared" si="5"/>
        <v>5080.5110860336627</v>
      </c>
      <c r="AA23" s="501">
        <f t="shared" si="6"/>
        <v>4969</v>
      </c>
      <c r="AB23" s="501">
        <f t="shared" si="10"/>
        <v>5162.4432246989045</v>
      </c>
      <c r="AC23" s="507" t="str">
        <f t="shared" si="7"/>
        <v>－</v>
      </c>
      <c r="AD23" s="501">
        <f>IF($D23="","",MIN(終値!E23:I23))</f>
        <v>4969</v>
      </c>
      <c r="AE23" s="503">
        <f t="shared" si="8"/>
        <v>10.099769999999999</v>
      </c>
    </row>
    <row r="24" spans="1:31">
      <c r="A24" s="500" t="str">
        <f>IF(終値!A24="","",HYPERLINK("https://kabutan.jp/stock/?code="&amp;終値!A24,"📈"))</f>
        <v>📈</v>
      </c>
      <c r="B24" s="500" t="str">
        <f>IF(終値!A24="","",終値!A24)</f>
        <v>5019</v>
      </c>
      <c r="C24" s="499" t="str">
        <f>IF(終値!A24="","",終値!B24)</f>
        <v>出光興産</v>
      </c>
      <c r="D24" s="501">
        <f>IF(終値!A24="","",終値!E24)</f>
        <v>1249.5</v>
      </c>
      <c r="E24" s="501">
        <f>IF($D24="","",AVERAGE(終値!E24:X24))</f>
        <v>1279.05</v>
      </c>
      <c r="F24" s="502">
        <f>IF($D24="","",STDEVP(終値!E24:X24))</f>
        <v>34.400181685566722</v>
      </c>
      <c r="G24" s="501">
        <f>IF($D24="","",$E24+BB設定!$B$4*$F24)</f>
        <v>1347.8503633711334</v>
      </c>
      <c r="H24" s="501">
        <f>IF($D24="","",$E24+BB設定!$B$5*$F24)</f>
        <v>1313.4501816855666</v>
      </c>
      <c r="I24" s="501">
        <f>IF($D24="","",$E24-BB設定!$B$5*$F24)</f>
        <v>1244.6498183144333</v>
      </c>
      <c r="J24" s="501">
        <f>IF($D24="","",$E24-BB設定!$B$4*$F24)</f>
        <v>1210.2496366288665</v>
      </c>
      <c r="K24" s="506">
        <f t="shared" si="0"/>
        <v>0.28524822724702187</v>
      </c>
      <c r="L24" s="505">
        <f t="shared" si="1"/>
        <v>10.758041260487623</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50.533807829181491</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52.657931126857399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0.8211186487114277</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15</v>
      </c>
      <c r="Y24" s="501">
        <f t="shared" si="4"/>
        <v>1249.5</v>
      </c>
      <c r="Z24" s="501">
        <f t="shared" si="5"/>
        <v>1313.4501816855666</v>
      </c>
      <c r="AA24" s="501">
        <f t="shared" si="6"/>
        <v>1249.5</v>
      </c>
      <c r="AB24" s="501">
        <f t="shared" si="10"/>
        <v>1347.8503633711334</v>
      </c>
      <c r="AC24" s="507" t="str">
        <f t="shared" si="7"/>
        <v>－</v>
      </c>
      <c r="AD24" s="501">
        <f>IF($D24="","",MIN(終値!E24:I24))</f>
        <v>1249.5</v>
      </c>
      <c r="AE24" s="503">
        <f t="shared" si="8"/>
        <v>15.09976</v>
      </c>
    </row>
    <row r="25" spans="1:31">
      <c r="A25" s="500" t="str">
        <f>IF(終値!A25="","",HYPERLINK("https://kabutan.jp/stock/?code="&amp;終値!A25,"📈"))</f>
        <v>📈</v>
      </c>
      <c r="B25" s="500" t="str">
        <f>IF(終値!A25="","",終値!A25)</f>
        <v>8053</v>
      </c>
      <c r="C25" s="499" t="str">
        <f>IF(終値!A25="","",終値!B25)</f>
        <v>住友商事</v>
      </c>
      <c r="D25" s="501">
        <f>IF(終値!A25="","",終値!E25)</f>
        <v>0</v>
      </c>
      <c r="E25" s="501" t="e">
        <f>IF($D25="","",AVERAGE(終値!E25:X25))</f>
        <v>#DIV/0!</v>
      </c>
      <c r="F25" s="502" t="e">
        <f>IF($D25="","",STDEVP(終値!E25:X25))</f>
        <v>#DIV/0!</v>
      </c>
      <c r="G25" s="501" t="e">
        <f>IF($D25="","",$E25+BB設定!$B$4*$F25)</f>
        <v>#DIV/0!</v>
      </c>
      <c r="H25" s="501" t="e">
        <f>IF($D25="","",$E25+BB設定!$B$5*$F25)</f>
        <v>#DIV/0!</v>
      </c>
      <c r="I25" s="501" t="e">
        <f>IF($D25="","",$E25-BB設定!$B$5*$F25)</f>
        <v>#DIV/0!</v>
      </c>
      <c r="J25" s="501" t="e">
        <f>IF($D25="","",$E25-BB設定!$B$4*$F25)</f>
        <v>#DIV/0!</v>
      </c>
      <c r="K25" s="506" t="str">
        <f t="shared" si="0"/>
        <v/>
      </c>
      <c r="L25" s="505" t="str">
        <f t="shared" si="1"/>
        <v/>
      </c>
      <c r="M25" s="505">
        <f>IF($D25="","",IFERROR(MIN(BB_帯幅!B25:AP25)*100,""))</f>
        <v>0</v>
      </c>
      <c r="N25" s="500" t="str">
        <f>IF($L25="","",IF($L25&lt;=$M25*BB設定!$B$7,"スクイーズ★",IF($L25&lt;=$M25*1.3,"収縮","－")))</f>
        <v/>
      </c>
      <c r="O25" s="500" t="str">
        <f>IF($D25="","",IF(AND(BB_帯幅!B25&gt;BB_帯幅!C25,BB_帯幅!C25&gt;BB_帯幅!D25),"拡大↑","縮小↓"))</f>
        <v>縮小↓</v>
      </c>
      <c r="P25" s="500" t="e">
        <f t="shared" si="2"/>
        <v>#DIV/0!</v>
      </c>
      <c r="Q25" s="503">
        <f>IF($D25="","",IFERROR(100-100/(1+SUMPRODUCT((終値!E25:R25&gt;終値!F25:S25)*(終値!E25:R25-終値!F25:S25))/SUMPRODUCT((終値!E25:R25&lt;終値!F25:S25)*(終値!F25:S25-終値!E25:R25))),100))</f>
        <v>100</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50</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e">
        <f t="shared" si="3"/>
        <v>#DIV/0!</v>
      </c>
      <c r="U25" s="500" t="str">
        <f>IF(終値!A25="","",BB_スイング!BT25)</f>
        <v>－</v>
      </c>
      <c r="V25" s="508" t="str">
        <f>IF($D25="","",IFERROR(出来高!E25/AVERAGE(出来高!E25:I25),""))</f>
        <v/>
      </c>
      <c r="W25" s="509" t="e">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#DIV/0!</v>
      </c>
      <c r="X25" s="504" t="e">
        <f t="shared" si="9"/>
        <v>#DIV/0!</v>
      </c>
      <c r="Y25" s="501">
        <f t="shared" si="4"/>
        <v>0</v>
      </c>
      <c r="Z25" s="501" t="e">
        <f t="shared" si="5"/>
        <v>#DIV/0!</v>
      </c>
      <c r="AA25" s="501" t="e">
        <f t="shared" si="6"/>
        <v>#DIV/0!</v>
      </c>
      <c r="AB25" s="501" t="e">
        <f t="shared" si="10"/>
        <v>#DIV/0!</v>
      </c>
      <c r="AC25" s="507" t="e">
        <f t="shared" si="7"/>
        <v>#DIV/0!</v>
      </c>
      <c r="AD25" s="501">
        <f>IF($D25="","",MIN(終値!E25:I25))</f>
        <v>0</v>
      </c>
      <c r="AE25" s="503" t="e">
        <f t="shared" si="8"/>
        <v>#DIV/0!</v>
      </c>
    </row>
    <row r="26" spans="1:31">
      <c r="A26" s="500" t="str">
        <f>IF(終値!A26="","",HYPERLINK("https://kabutan.jp/stock/?code="&amp;終値!A26,"📈"))</f>
        <v>📈</v>
      </c>
      <c r="B26" s="500" t="str">
        <f>IF(終値!A26="","",終値!A26)</f>
        <v>8591</v>
      </c>
      <c r="C26" s="499" t="str">
        <f>IF(終値!A26="","",終値!B26)</f>
        <v>オリックス</v>
      </c>
      <c r="D26" s="501">
        <f>IF(終値!A26="","",終値!E26)</f>
        <v>6328</v>
      </c>
      <c r="E26" s="501">
        <f>IF($D26="","",AVERAGE(終値!E26:X26))</f>
        <v>6446.2</v>
      </c>
      <c r="F26" s="502">
        <f>IF($D26="","",STDEVP(終値!E26:X26))</f>
        <v>111.87251673221623</v>
      </c>
      <c r="G26" s="501">
        <f>IF($D26="","",$E26+BB設定!$B$4*$F26)</f>
        <v>6669.9450334644325</v>
      </c>
      <c r="H26" s="501">
        <f>IF($D26="","",$E26+BB設定!$B$5*$F26)</f>
        <v>6558.0725167322162</v>
      </c>
      <c r="I26" s="501">
        <f>IF($D26="","",$E26-BB設定!$B$5*$F26)</f>
        <v>6334.3274832677835</v>
      </c>
      <c r="J26" s="501">
        <f>IF($D26="","",$E26-BB設定!$B$4*$F26)</f>
        <v>6222.4549665355671</v>
      </c>
      <c r="K26" s="506">
        <f t="shared" si="0"/>
        <v>0.23586005872441118</v>
      </c>
      <c r="L26" s="505">
        <f t="shared" si="1"/>
        <v>6.9419203085362753</v>
      </c>
      <c r="M26" s="505">
        <f>IF($D26="","",IFERROR(MIN(BB_帯幅!B26:AP26)*100,""))</f>
        <v>6.7365572591759042</v>
      </c>
      <c r="N26" s="500" t="str">
        <f>IF($L26="","",IF($L26&lt;=$M26*BB設定!$B$7,"スクイーズ★",IF($L26&lt;=$M26*1.3,"収縮","－")))</f>
        <v>スクイーズ★</v>
      </c>
      <c r="O26" s="500" t="str">
        <f>IF($D26="","",IF(AND(BB_帯幅!B26&gt;BB_帯幅!C26,BB_帯幅!C26&gt;BB_帯幅!D26),"拡大↑","縮小↓"))</f>
        <v>縮小↓</v>
      </c>
      <c r="P26" s="500" t="str">
        <f t="shared" si="2"/>
        <v>-1σ下</v>
      </c>
      <c r="Q26" s="503">
        <f>IF($D26="","",IFERROR(100-100/(1+SUMPRODUCT((終値!E26:R26&gt;終値!F26:S26)*(終値!E26:R26-終値!F26:S26))/SUMPRODUCT((終値!E26:R26&lt;終値!F26:S26)*(終値!F26:S26-終値!E26:R26))),100))</f>
        <v>48.387096774193552</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45.821880060179119</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下walk▼</v>
      </c>
      <c r="U26" s="500" t="str">
        <f>IF(終値!A26="","",BB_スイング!BT26)</f>
        <v>二番底W形成</v>
      </c>
      <c r="V26" s="508">
        <f>IF($D26="","",IFERROR(出来高!E26/AVERAGE(出来高!E26:I26),""))</f>
        <v>0.76566209477601888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5</v>
      </c>
      <c r="Y26" s="501">
        <f t="shared" si="4"/>
        <v>6328</v>
      </c>
      <c r="Z26" s="501">
        <f t="shared" si="5"/>
        <v>6558.0725167322162</v>
      </c>
      <c r="AA26" s="501">
        <f t="shared" si="6"/>
        <v>6315</v>
      </c>
      <c r="AB26" s="501">
        <f t="shared" si="10"/>
        <v>6669.9450334644325</v>
      </c>
      <c r="AC26" s="507">
        <f t="shared" si="7"/>
        <v>20</v>
      </c>
      <c r="AD26" s="501">
        <f>IF($D26="","",MIN(終値!E26:I26))</f>
        <v>6315</v>
      </c>
      <c r="AE26" s="503">
        <f t="shared" si="8"/>
        <v>5.0997399999999997</v>
      </c>
    </row>
    <row r="27" spans="1:31">
      <c r="A27" s="500" t="str">
        <f>IF(終値!A27="","",HYPERLINK("https://kabutan.jp/stock/?code="&amp;終値!A27,"📈"))</f>
        <v>📈</v>
      </c>
      <c r="B27" s="500" t="str">
        <f>IF(終値!A27="","",終値!A27)</f>
        <v>3401</v>
      </c>
      <c r="C27" s="499" t="str">
        <f>IF(終値!A27="","",終値!B27)</f>
        <v>帝人</v>
      </c>
      <c r="D27" s="501">
        <f>IF(終値!A27="","",終値!E27)</f>
        <v>0</v>
      </c>
      <c r="E27" s="501" t="e">
        <f>IF($D27="","",AVERAGE(終値!E27:X27))</f>
        <v>#DIV/0!</v>
      </c>
      <c r="F27" s="502" t="e">
        <f>IF($D27="","",STDEVP(終値!E27:X27))</f>
        <v>#DIV/0!</v>
      </c>
      <c r="G27" s="501" t="e">
        <f>IF($D27="","",$E27+BB設定!$B$4*$F27)</f>
        <v>#DIV/0!</v>
      </c>
      <c r="H27" s="501" t="e">
        <f>IF($D27="","",$E27+BB設定!$B$5*$F27)</f>
        <v>#DIV/0!</v>
      </c>
      <c r="I27" s="501" t="e">
        <f>IF($D27="","",$E27-BB設定!$B$5*$F27)</f>
        <v>#DIV/0!</v>
      </c>
      <c r="J27" s="501" t="e">
        <f>IF($D27="","",$E27-BB設定!$B$4*$F27)</f>
        <v>#DIV/0!</v>
      </c>
      <c r="K27" s="506" t="str">
        <f t="shared" si="0"/>
        <v/>
      </c>
      <c r="L27" s="505" t="str">
        <f t="shared" si="1"/>
        <v/>
      </c>
      <c r="M27" s="505">
        <f>IF($D27="","",IFERROR(MIN(BB_帯幅!B27:AP27)*100,""))</f>
        <v>0</v>
      </c>
      <c r="N27" s="500" t="str">
        <f>IF($L27="","",IF($L27&lt;=$M27*BB設定!$B$7,"スクイーズ★",IF($L27&lt;=$M27*1.3,"収縮","－")))</f>
        <v/>
      </c>
      <c r="O27" s="500" t="str">
        <f>IF($D27="","",IF(AND(BB_帯幅!B27&gt;BB_帯幅!C27,BB_帯幅!C27&gt;BB_帯幅!D27),"拡大↑","縮小↓"))</f>
        <v>縮小↓</v>
      </c>
      <c r="P27" s="500" t="e">
        <f t="shared" si="2"/>
        <v>#DIV/0!</v>
      </c>
      <c r="Q27" s="503">
        <f>IF($D27="","",IFERROR(100-100/(1+SUMPRODUCT((終値!E27:R27&gt;終値!F27:S27)*(終値!E27:R27-終値!F27:S27))/SUMPRODUCT((終値!E27:R27&lt;終値!F27:S27)*(終値!F27:S27-終値!E27:R27))),100))</f>
        <v>100</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50</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e">
        <f t="shared" si="3"/>
        <v>#DIV/0!</v>
      </c>
      <c r="U27" s="500" t="str">
        <f>IF(終値!A27="","",BB_スイング!BT27)</f>
        <v>－</v>
      </c>
      <c r="V27" s="508" t="str">
        <f>IF($D27="","",IFERROR(出来高!E27/AVERAGE(出来高!E27:I27),""))</f>
        <v/>
      </c>
      <c r="W27" s="509" t="e">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#DIV/0!</v>
      </c>
      <c r="X27" s="504" t="e">
        <f t="shared" si="9"/>
        <v>#DIV/0!</v>
      </c>
      <c r="Y27" s="501">
        <f t="shared" si="4"/>
        <v>0</v>
      </c>
      <c r="Z27" s="501" t="e">
        <f t="shared" si="5"/>
        <v>#DIV/0!</v>
      </c>
      <c r="AA27" s="501" t="e">
        <f t="shared" si="6"/>
        <v>#DIV/0!</v>
      </c>
      <c r="AB27" s="501" t="e">
        <f t="shared" si="10"/>
        <v>#DIV/0!</v>
      </c>
      <c r="AC27" s="507" t="e">
        <f t="shared" si="7"/>
        <v>#DIV/0!</v>
      </c>
      <c r="AD27" s="501">
        <f>IF($D27="","",MIN(終値!E27:I27))</f>
        <v>0</v>
      </c>
      <c r="AE27" s="503" t="e">
        <f t="shared" si="8"/>
        <v>#DIV/0!</v>
      </c>
    </row>
    <row r="28" spans="1:31">
      <c r="A28" s="500" t="str">
        <f>IF(終値!A28="","",HYPERLINK("https://kabutan.jp/stock/?code="&amp;終値!A28,"📈"))</f>
        <v>📈</v>
      </c>
      <c r="B28" s="500" t="str">
        <f>IF(終値!A28="","",終値!A28)</f>
        <v>3436</v>
      </c>
      <c r="C28" s="499" t="str">
        <f>IF(終値!A28="","",終値!B28)</f>
        <v>ＳＵＭＣＯ</v>
      </c>
      <c r="D28" s="501">
        <f>IF(終値!A28="","",終値!E28)</f>
        <v>6328</v>
      </c>
      <c r="E28" s="501">
        <f>IF($D28="","",AVERAGE(終値!E28:X28))</f>
        <v>6300.6</v>
      </c>
      <c r="F28" s="502">
        <f>IF($D28="","",STDEVP(終値!E28:X28))</f>
        <v>624.05507769747373</v>
      </c>
      <c r="G28" s="501">
        <f>IF($D28="","",$E28+BB設定!$B$4*$F28)</f>
        <v>7548.7101553949478</v>
      </c>
      <c r="H28" s="501">
        <f>IF($D28="","",$E28+BB設定!$B$5*$F28)</f>
        <v>6924.6550776974746</v>
      </c>
      <c r="I28" s="501">
        <f>IF($D28="","",$E28-BB設定!$B$5*$F28)</f>
        <v>5676.5449223025262</v>
      </c>
      <c r="J28" s="501">
        <f>IF($D28="","",$E28-BB設定!$B$4*$F28)</f>
        <v>5052.4898446050529</v>
      </c>
      <c r="K28" s="506">
        <f t="shared" si="0"/>
        <v>0.5109765952474481</v>
      </c>
      <c r="L28" s="505">
        <f t="shared" si="1"/>
        <v>39.618771399388862</v>
      </c>
      <c r="M28" s="505">
        <f>IF($D28="","",IFERROR(MIN(BB_帯幅!B28:AP28)*100,""))</f>
        <v>6.7365572591759042</v>
      </c>
      <c r="N28" s="500" t="str">
        <f>IF($L28="","",IF($L28&lt;=$M28*BB設定!$B$7,"スクイーズ★",IF($L28&lt;=$M28*1.3,"収縮","－")))</f>
        <v>－</v>
      </c>
      <c r="O28" s="500" t="str">
        <f>IF($D28="","",IF(AND(BB_帯幅!B28&gt;BB_帯幅!C28,BB_帯幅!C28&gt;BB_帯幅!D28),"拡大↑","縮小↓"))</f>
        <v>縮小↓</v>
      </c>
      <c r="P28" s="500" t="str">
        <f t="shared" si="2"/>
        <v>バンド内</v>
      </c>
      <c r="Q28" s="503">
        <f>IF($D28="","",IFERROR(100-100/(1+SUMPRODUCT((終値!E28:R28&gt;終値!F28:S28)*(終値!E28:R28-終値!F28:S28))/SUMPRODUCT((終値!E28:R28&lt;終値!F28:S28)*(終値!F28:S28-終値!E28:R28))),100))</f>
        <v>49.594959495949588</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39.727386749479884</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v>
      </c>
      <c r="U28" s="500" t="str">
        <f>IF(終値!A28="","",BB_スイング!BT28)</f>
        <v>二番天井M形成</v>
      </c>
      <c r="V28" s="508">
        <f>IF($D28="","",IFERROR(出来高!E28/AVERAGE(出来高!E28:I28),""))</f>
        <v>0.76566209477601888</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6328</v>
      </c>
      <c r="Z28" s="501">
        <f t="shared" si="5"/>
        <v>6924.6550776974746</v>
      </c>
      <c r="AA28" s="501">
        <f t="shared" si="6"/>
        <v>6300.6</v>
      </c>
      <c r="AB28" s="501">
        <f t="shared" si="10"/>
        <v>7548.7101553949478</v>
      </c>
      <c r="AC28" s="507">
        <f t="shared" si="7"/>
        <v>20</v>
      </c>
      <c r="AD28" s="501">
        <f>IF($D28="","",MIN(終値!E28:I28))</f>
        <v>6315</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1281.5</v>
      </c>
      <c r="E29" s="501">
        <f>IF($D29="","",AVERAGE(終値!E29:X29))</f>
        <v>1286</v>
      </c>
      <c r="F29" s="502">
        <f>IF($D29="","",STDEVP(終値!E29:X29))</f>
        <v>30.474989745691467</v>
      </c>
      <c r="G29" s="501">
        <f>IF($D29="","",$E29+BB設定!$B$4*$F29)</f>
        <v>1346.9499794913829</v>
      </c>
      <c r="H29" s="501">
        <f>IF($D29="","",$E29+BB設定!$B$5*$F29)</f>
        <v>1316.4749897456916</v>
      </c>
      <c r="I29" s="501">
        <f>IF($D29="","",$E29-BB設定!$B$5*$F29)</f>
        <v>1255.5250102543084</v>
      </c>
      <c r="J29" s="501">
        <f>IF($D29="","",$E29-BB設定!$B$4*$F29)</f>
        <v>1225.0500205086171</v>
      </c>
      <c r="K29" s="506">
        <f t="shared" si="0"/>
        <v>0.46308448306667432</v>
      </c>
      <c r="L29" s="505">
        <f t="shared" si="1"/>
        <v>9.4790014761093175</v>
      </c>
      <c r="M29" s="505">
        <f>IF($D29="","",IFERROR(MIN(BB_帯幅!B29:AP29)*100,""))</f>
        <v>6.9048195629834153</v>
      </c>
      <c r="N29" s="500" t="str">
        <f>IF($L29="","",IF($L29&lt;=$M29*BB設定!$B$7,"スクイーズ★",IF($L29&lt;=$M29*1.3,"収縮","－")))</f>
        <v>－</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54.500000000000007</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58.473847875006122</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二番天井M▼</v>
      </c>
      <c r="V29" s="508">
        <f>IF($D29="","",IFERROR(出来高!E29/AVERAGE(出来高!E29:I29),""))</f>
        <v>0.71020266522393727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▼二番天井警戒</v>
      </c>
      <c r="X29" s="504">
        <f t="shared" si="9"/>
        <v>0</v>
      </c>
      <c r="Y29" s="501">
        <f t="shared" si="4"/>
        <v>1281.5</v>
      </c>
      <c r="Z29" s="501">
        <f t="shared" si="5"/>
        <v>1316.4749897456916</v>
      </c>
      <c r="AA29" s="501">
        <f t="shared" si="6"/>
        <v>1281.5</v>
      </c>
      <c r="AB29" s="501">
        <f t="shared" si="10"/>
        <v>1346.9499794913829</v>
      </c>
      <c r="AC29" s="507" t="str">
        <f t="shared" si="7"/>
        <v>－</v>
      </c>
      <c r="AD29" s="501">
        <f>IF($D29="","",MIN(終値!E29:I29))</f>
        <v>1281.5</v>
      </c>
      <c r="AE29" s="503">
        <f t="shared" si="8"/>
        <v>9.9709999999999993E-2</v>
      </c>
    </row>
    <row r="30" spans="1:31" ht="24">
      <c r="A30" s="500" t="str">
        <f>IF(終値!A30="","",HYPERLINK("https://kabutan.jp/stock/?code="&amp;終値!A30,"📈"))</f>
        <v>📈</v>
      </c>
      <c r="B30" s="500" t="str">
        <f>IF(終値!A30="","",終値!A30)</f>
        <v>6254</v>
      </c>
      <c r="C30" s="499" t="str">
        <f>IF(終値!A30="","",終値!B30)</f>
        <v>野村マイクロ・サイエンス</v>
      </c>
      <c r="D30" s="501">
        <f>IF(終値!A30="","",終値!E30)</f>
        <v>4210</v>
      </c>
      <c r="E30" s="501">
        <f>IF($D30="","",AVERAGE(終値!E30:X30))</f>
        <v>4142.75</v>
      </c>
      <c r="F30" s="502">
        <f>IF($D30="","",STDEVP(終値!E30:X30))</f>
        <v>318.08597501304581</v>
      </c>
      <c r="G30" s="501">
        <f>IF($D30="","",$E30+BB設定!$B$4*$F30)</f>
        <v>4778.9219500260915</v>
      </c>
      <c r="H30" s="501">
        <f>IF($D30="","",$E30+BB設定!$B$5*$F30)</f>
        <v>4460.8359750130458</v>
      </c>
      <c r="I30" s="501">
        <f>IF($D30="","",$E30-BB設定!$B$5*$F30)</f>
        <v>3824.6640249869542</v>
      </c>
      <c r="J30" s="501">
        <f>IF($D30="","",$E30-BB設定!$B$4*$F30)</f>
        <v>3506.5780499739085</v>
      </c>
      <c r="K30" s="506">
        <f t="shared" si="0"/>
        <v>0.55285520683302825</v>
      </c>
      <c r="L30" s="505">
        <f t="shared" si="1"/>
        <v>30.712543601525145</v>
      </c>
      <c r="M30" s="505">
        <f>IF($D30="","",IFERROR(MIN(BB_帯幅!B30:AP30)*100,""))</f>
        <v>22.743216617674396</v>
      </c>
      <c r="N30" s="500" t="str">
        <f>IF($L30="","",IF($L30&lt;=$M30*BB設定!$B$7,"スクイーズ★",IF($L30&lt;=$M30*1.3,"収縮","－")))</f>
        <v>－</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47.779751332149203</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49.824234030613489</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0.8982789181771399</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20</v>
      </c>
      <c r="Y30" s="501">
        <f t="shared" si="4"/>
        <v>4210</v>
      </c>
      <c r="Z30" s="501">
        <f t="shared" si="5"/>
        <v>4460.8359750130458</v>
      </c>
      <c r="AA30" s="501">
        <f t="shared" si="6"/>
        <v>4142.75</v>
      </c>
      <c r="AB30" s="501">
        <f t="shared" si="10"/>
        <v>4778.9219500260915</v>
      </c>
      <c r="AC30" s="507">
        <f t="shared" si="7"/>
        <v>8.4600000000000009</v>
      </c>
      <c r="AD30" s="501">
        <f>IF($D30="","",MIN(終値!E30:I30))</f>
        <v>3440</v>
      </c>
      <c r="AE30" s="503">
        <f t="shared" si="8"/>
        <v>20.099699999999999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0</v>
      </c>
      <c r="E31" s="501" t="e">
        <f>IF($D31="","",AVERAGE(終値!E31:X31))</f>
        <v>#DIV/0!</v>
      </c>
      <c r="F31" s="502" t="e">
        <f>IF($D31="","",STDEVP(終値!E31:X31))</f>
        <v>#DIV/0!</v>
      </c>
      <c r="G31" s="501" t="e">
        <f>IF($D31="","",$E31+BB設定!$B$4*$F31)</f>
        <v>#DIV/0!</v>
      </c>
      <c r="H31" s="501" t="e">
        <f>IF($D31="","",$E31+BB設定!$B$5*$F31)</f>
        <v>#DIV/0!</v>
      </c>
      <c r="I31" s="501" t="e">
        <f>IF($D31="","",$E31-BB設定!$B$5*$F31)</f>
        <v>#DIV/0!</v>
      </c>
      <c r="J31" s="501" t="e">
        <f>IF($D31="","",$E31-BB設定!$B$4*$F31)</f>
        <v>#DIV/0!</v>
      </c>
      <c r="K31" s="506" t="str">
        <f t="shared" si="0"/>
        <v/>
      </c>
      <c r="L31" s="505" t="str">
        <f t="shared" si="1"/>
        <v/>
      </c>
      <c r="M31" s="505">
        <f>IF($D31="","",IFERROR(MIN(BB_帯幅!B31:AP31)*100,""))</f>
        <v>0</v>
      </c>
      <c r="N31" s="500" t="str">
        <f>IF($L31="","",IF($L31&lt;=$M31*BB設定!$B$7,"スクイーズ★",IF($L31&lt;=$M31*1.3,"収縮","－")))</f>
        <v/>
      </c>
      <c r="O31" s="500" t="str">
        <f>IF($D31="","",IF(AND(BB_帯幅!B31&gt;BB_帯幅!C31,BB_帯幅!C31&gt;BB_帯幅!D31),"拡大↑","縮小↓"))</f>
        <v>縮小↓</v>
      </c>
      <c r="P31" s="500" t="e">
        <f t="shared" si="2"/>
        <v>#DIV/0!</v>
      </c>
      <c r="Q31" s="503">
        <f>IF($D31="","",IFERROR(100-100/(1+SUMPRODUCT((終値!E31:R31&gt;終値!F31:S31)*(終値!E31:R31-終値!F31:S31))/SUMPRODUCT((終値!E31:R31&lt;終値!F31:S31)*(終値!F31:S31-終値!E31:R31))),100))</f>
        <v>100</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50</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e">
        <f t="shared" si="3"/>
        <v>#DIV/0!</v>
      </c>
      <c r="U31" s="500" t="str">
        <f>IF(終値!A31="","",BB_スイング!BT31)</f>
        <v>－</v>
      </c>
      <c r="V31" s="508" t="str">
        <f>IF($D31="","",IFERROR(出来高!E31/AVERAGE(出来高!E31:I31),""))</f>
        <v/>
      </c>
      <c r="W31" s="509" t="e">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#DIV/0!</v>
      </c>
      <c r="X31" s="504" t="e">
        <f t="shared" si="9"/>
        <v>#DIV/0!</v>
      </c>
      <c r="Y31" s="501">
        <f t="shared" si="4"/>
        <v>0</v>
      </c>
      <c r="Z31" s="501" t="e">
        <f t="shared" si="5"/>
        <v>#DIV/0!</v>
      </c>
      <c r="AA31" s="501" t="e">
        <f t="shared" si="6"/>
        <v>#DIV/0!</v>
      </c>
      <c r="AB31" s="501" t="e">
        <f t="shared" si="10"/>
        <v>#DIV/0!</v>
      </c>
      <c r="AC31" s="507" t="e">
        <f t="shared" si="7"/>
        <v>#DIV/0!</v>
      </c>
      <c r="AD31" s="501">
        <f>IF($D31="","",MIN(終値!E31:I31))</f>
        <v>0</v>
      </c>
      <c r="AE31" s="503" t="e">
        <f t="shared" si="8"/>
        <v>#DIV/0!</v>
      </c>
    </row>
    <row r="32" spans="1:31">
      <c r="A32" s="500" t="str">
        <f>IF(終値!A32="","",HYPERLINK("https://kabutan.jp/stock/?code="&amp;終値!A32,"📈"))</f>
        <v>📈</v>
      </c>
      <c r="B32" s="500" t="str">
        <f>IF(終値!A32="","",終値!A32)</f>
        <v>3863</v>
      </c>
      <c r="C32" s="499" t="str">
        <f>IF(終値!A32="","",終値!B32)</f>
        <v>日本製紙</v>
      </c>
      <c r="D32" s="501">
        <f>IF(終値!A32="","",終値!E32)</f>
        <v>1338</v>
      </c>
      <c r="E32" s="501">
        <f>IF($D32="","",AVERAGE(終値!E32:X32))</f>
        <v>1417.6</v>
      </c>
      <c r="F32" s="502">
        <f>IF($D32="","",STDEVP(終値!E32:X32))</f>
        <v>82.882084915861043</v>
      </c>
      <c r="G32" s="501">
        <f>IF($D32="","",$E32+BB設定!$B$4*$F32)</f>
        <v>1583.3641698317219</v>
      </c>
      <c r="H32" s="501">
        <f>IF($D32="","",$E32+BB設定!$B$5*$F32)</f>
        <v>1500.4820849158609</v>
      </c>
      <c r="I32" s="501">
        <f>IF($D32="","",$E32-BB設定!$B$5*$F32)</f>
        <v>1334.7179150841389</v>
      </c>
      <c r="J32" s="501">
        <f>IF($D32="","",$E32-BB設定!$B$4*$F32)</f>
        <v>1251.8358301682779</v>
      </c>
      <c r="K32" s="506">
        <f t="shared" si="0"/>
        <v>0.25989986231401202</v>
      </c>
      <c r="L32" s="505">
        <f t="shared" si="1"/>
        <v>23.386592809215863</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49.604743083003953</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43.995995733417601</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0.4723642196471135</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1338</v>
      </c>
      <c r="Z32" s="501">
        <f t="shared" si="5"/>
        <v>1500.4820849158609</v>
      </c>
      <c r="AA32" s="501">
        <f t="shared" si="6"/>
        <v>1338</v>
      </c>
      <c r="AB32" s="501">
        <f t="shared" si="10"/>
        <v>1583.3641698317219</v>
      </c>
      <c r="AC32" s="507" t="str">
        <f t="shared" si="7"/>
        <v>－</v>
      </c>
      <c r="AD32" s="501">
        <f>IF($D32="","",MIN(終値!E32:I32))</f>
        <v>1338</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1765.5</v>
      </c>
      <c r="E33" s="501">
        <f>IF($D33="","",AVERAGE(終値!E33:X33))</f>
        <v>1807.3</v>
      </c>
      <c r="F33" s="502">
        <f>IF($D33="","",STDEVP(終値!E33:X33))</f>
        <v>45.976189489778292</v>
      </c>
      <c r="G33" s="501">
        <f>IF($D33="","",$E33+BB設定!$B$4*$F33)</f>
        <v>1899.2523789795566</v>
      </c>
      <c r="H33" s="501">
        <f>IF($D33="","",$E33+BB設定!$B$5*$F33)</f>
        <v>1853.2761894897783</v>
      </c>
      <c r="I33" s="501">
        <f>IF($D33="","",$E33-BB設定!$B$5*$F33)</f>
        <v>1761.3238105102216</v>
      </c>
      <c r="J33" s="501">
        <f>IF($D33="","",$E33-BB設定!$B$4*$F33)</f>
        <v>1715.3476210204433</v>
      </c>
      <c r="K33" s="506">
        <f t="shared" si="0"/>
        <v>0.27270843634565917</v>
      </c>
      <c r="L33" s="505">
        <f t="shared" si="1"/>
        <v>10.17566303099172</v>
      </c>
      <c r="M33" s="505">
        <f>IF($D33="","",IFERROR(MIN(BB_帯幅!B33:AP33)*100,""))</f>
        <v>6.3860436620670358</v>
      </c>
      <c r="N33" s="500" t="str">
        <f>IF($L33="","",IF($L33&lt;=$M33*BB設定!$B$7,"スクイーズ★",IF($L33&lt;=$M33*1.3,"収縮","－")))</f>
        <v>－</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48.762109795479006</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46.609451549637235</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0.9091455227579246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0</v>
      </c>
      <c r="Y33" s="501">
        <f t="shared" si="4"/>
        <v>1765.5</v>
      </c>
      <c r="Z33" s="501">
        <f t="shared" si="5"/>
        <v>1853.2761894897783</v>
      </c>
      <c r="AA33" s="501">
        <f t="shared" si="6"/>
        <v>1765.5</v>
      </c>
      <c r="AB33" s="501">
        <f t="shared" si="10"/>
        <v>1899.2523789795566</v>
      </c>
      <c r="AC33" s="507" t="str">
        <f t="shared" si="7"/>
        <v>－</v>
      </c>
      <c r="AD33" s="501">
        <f>IF($D33="","",MIN(終値!E33:I33))</f>
        <v>1765.5</v>
      </c>
      <c r="AE33" s="503">
        <f t="shared" si="8"/>
        <v>9.9669999999999995E-2</v>
      </c>
    </row>
    <row r="34" spans="1:31">
      <c r="A34" s="500" t="str">
        <f>IF(終値!A34="","",HYPERLINK("https://kabutan.jp/stock/?code="&amp;終値!A34,"📈"))</f>
        <v>📈</v>
      </c>
      <c r="B34" s="500" t="str">
        <f>IF(終値!A34="","",終値!A34)</f>
        <v>5233</v>
      </c>
      <c r="C34" s="499" t="str">
        <f>IF(終値!A34="","",終値!B34)</f>
        <v>太平洋セメント</v>
      </c>
      <c r="D34" s="501">
        <f>IF(終値!A34="","",終値!E34)</f>
        <v>4000</v>
      </c>
      <c r="E34" s="501">
        <f>IF($D34="","",AVERAGE(終値!E34:X34))</f>
        <v>4064.5</v>
      </c>
      <c r="F34" s="502">
        <f>IF($D34="","",STDEVP(終値!E34:X34))</f>
        <v>114.87101462074756</v>
      </c>
      <c r="G34" s="501">
        <f>IF($D34="","",$E34+BB設定!$B$4*$F34)</f>
        <v>4294.2420292414954</v>
      </c>
      <c r="H34" s="501">
        <f>IF($D34="","",$E34+BB設定!$B$5*$F34)</f>
        <v>4179.3710146207477</v>
      </c>
      <c r="I34" s="501">
        <f>IF($D34="","",$E34-BB設定!$B$5*$F34)</f>
        <v>3949.6289853792523</v>
      </c>
      <c r="J34" s="501">
        <f>IF($D34="","",$E34-BB設定!$B$4*$F34)</f>
        <v>3834.7579707585051</v>
      </c>
      <c r="K34" s="506">
        <f t="shared" si="0"/>
        <v>0.35962516259443211</v>
      </c>
      <c r="L34" s="505">
        <f t="shared" si="1"/>
        <v>11.304811378594916</v>
      </c>
      <c r="M34" s="505">
        <f>IF($D34="","",IFERROR(MIN(BB_帯幅!B34:AP34)*100,""))</f>
        <v>9.4815417186154747</v>
      </c>
      <c r="N34" s="500" t="str">
        <f>IF($L34="","",IF($L34&lt;=$M34*BB設定!$B$7,"スクイーズ★",IF($L34&lt;=$M34*1.3,"収縮","－")))</f>
        <v>収縮</v>
      </c>
      <c r="O34" s="500" t="str">
        <f>IF($D34="","",IF(AND(BB_帯幅!B34&gt;BB_帯幅!C34,BB_帯幅!C34&gt;BB_帯幅!D34),"拡大↑","縮小↓"))</f>
        <v>縮小↓</v>
      </c>
      <c r="P34" s="500" t="str">
        <f t="shared" si="2"/>
        <v>バンド内</v>
      </c>
      <c r="Q34" s="503">
        <f>IF($D34="","",IFERROR(100-100/(1+SUMPRODUCT((終値!E34:R34&gt;終値!F34:S34)*(終値!E34:R34-終値!F34:S34))/SUMPRODUCT((終値!E34:R34&lt;終値!F34:S34)*(終値!F34:S34-終値!E34:R34))),100))</f>
        <v>56.887486855941113</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58.505573022971902</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強気div▲</v>
      </c>
      <c r="T34" s="500" t="str">
        <f t="shared" si="3"/>
        <v>－</v>
      </c>
      <c r="U34" s="500" t="str">
        <f>IF(終値!A34="","",BB_スイング!BT34)</f>
        <v>二番天井M▼</v>
      </c>
      <c r="V34" s="508">
        <f>IF($D34="","",IFERROR(出来高!E34/AVERAGE(出来高!E34:I34),""))</f>
        <v>0.9033143402643119</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▼二番天井警戒</v>
      </c>
      <c r="X34" s="504">
        <f t="shared" si="9"/>
        <v>15</v>
      </c>
      <c r="Y34" s="501">
        <f t="shared" si="4"/>
        <v>4000</v>
      </c>
      <c r="Z34" s="501">
        <f t="shared" si="5"/>
        <v>4179.3710146207477</v>
      </c>
      <c r="AA34" s="501">
        <f t="shared" si="6"/>
        <v>3959</v>
      </c>
      <c r="AB34" s="501">
        <f t="shared" si="10"/>
        <v>4294.2420292414954</v>
      </c>
      <c r="AC34" s="507">
        <f t="shared" si="7"/>
        <v>7.18</v>
      </c>
      <c r="AD34" s="501">
        <f>IF($D34="","",MIN(終値!E34:I34))</f>
        <v>3959</v>
      </c>
      <c r="AE34" s="503">
        <f t="shared" si="8"/>
        <v>15.09966</v>
      </c>
    </row>
    <row r="35" spans="1:31" ht="24">
      <c r="A35" s="500" t="str">
        <f>IF(終値!A35="","",HYPERLINK("https://kabutan.jp/stock/?code="&amp;終値!A35,"📈"))</f>
        <v>📈</v>
      </c>
      <c r="B35" s="500" t="str">
        <f>IF(終値!A35="","",終値!A35)</f>
        <v>8308</v>
      </c>
      <c r="C35" s="499" t="str">
        <f>IF(終値!A35="","",終値!B35)</f>
        <v>りそなホールディングス</v>
      </c>
      <c r="D35" s="501">
        <f>IF(終値!A35="","",終値!E35)</f>
        <v>2191.5</v>
      </c>
      <c r="E35" s="501">
        <f>IF($D35="","",AVERAGE(終値!E35:X35))</f>
        <v>2301.9250000000002</v>
      </c>
      <c r="F35" s="502">
        <f>IF($D35="","",STDEVP(終値!E35:X35))</f>
        <v>67.897215517280245</v>
      </c>
      <c r="G35" s="501">
        <f>IF($D35="","",$E35+BB設定!$B$4*$F35)</f>
        <v>2437.7194310345608</v>
      </c>
      <c r="H35" s="501">
        <f>IF($D35="","",$E35+BB設定!$B$5*$F35)</f>
        <v>2369.8222155172803</v>
      </c>
      <c r="I35" s="501">
        <f>IF($D35="","",$E35-BB設定!$B$5*$F35)</f>
        <v>2234.0277844827201</v>
      </c>
      <c r="J35" s="501">
        <f>IF($D35="","",$E35-BB設定!$B$4*$F35)</f>
        <v>2166.1305689654396</v>
      </c>
      <c r="K35" s="506">
        <f t="shared" si="0"/>
        <v>9.3411161419807154E-2</v>
      </c>
      <c r="L35" s="505">
        <f t="shared" si="1"/>
        <v>11.798336699463327</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-1σ下</v>
      </c>
      <c r="Q35" s="503">
        <f>IF($D35="","",IFERROR(100-100/(1+SUMPRODUCT((終値!E35:R35&gt;終値!F35:S35)*(終値!E35:R35-終値!F35:S35))/SUMPRODUCT((終値!E35:R35&lt;終値!F35:S35)*(終値!F35:S35-終値!E35:R35))),100))</f>
        <v>37.42647058823529</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53.977037324036502</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下walk▼</v>
      </c>
      <c r="U35" s="500" t="str">
        <f>IF(終値!A35="","",BB_スイング!BT35)</f>
        <v>二番底W形成</v>
      </c>
      <c r="V35" s="508">
        <f>IF($D35="","",IFERROR(出来高!E35/AVERAGE(出来高!E35:I35),""))</f>
        <v>0.74565231577401836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0</v>
      </c>
      <c r="Y35" s="501">
        <f t="shared" si="4"/>
        <v>2191.5</v>
      </c>
      <c r="Z35" s="501">
        <f t="shared" si="5"/>
        <v>2369.8222155172803</v>
      </c>
      <c r="AA35" s="501">
        <f t="shared" si="6"/>
        <v>2178</v>
      </c>
      <c r="AB35" s="501">
        <f t="shared" si="10"/>
        <v>2437.7194310345608</v>
      </c>
      <c r="AC35" s="507">
        <f t="shared" si="7"/>
        <v>18.239999999999998</v>
      </c>
      <c r="AD35" s="501">
        <f>IF($D35="","",MIN(終値!E35:I35))</f>
        <v>2178</v>
      </c>
      <c r="AE35" s="503">
        <f t="shared" si="8"/>
        <v>9.9650000000000002E-2</v>
      </c>
    </row>
    <row r="36" spans="1:31">
      <c r="A36" s="500" t="str">
        <f>IF(終値!A36="","",HYPERLINK("https://kabutan.jp/stock/?code="&amp;終値!A36,"📈"))</f>
        <v>📈</v>
      </c>
      <c r="B36" s="500" t="str">
        <f>IF(終値!A36="","",終値!A36)</f>
        <v>5938</v>
      </c>
      <c r="C36" s="499" t="str">
        <f>IF(終値!A36="","",終値!B36)</f>
        <v>ＬＩＸＩＬ</v>
      </c>
      <c r="D36" s="501">
        <f>IF(終値!A36="","",終値!E36)</f>
        <v>1720</v>
      </c>
      <c r="E36" s="501">
        <f>IF($D36="","",AVERAGE(終値!E36:X36))</f>
        <v>1849.4</v>
      </c>
      <c r="F36" s="502">
        <f>IF($D36="","",STDEVP(終値!E36:X36))</f>
        <v>58.945440875440063</v>
      </c>
      <c r="G36" s="501">
        <f>IF($D36="","",$E36+BB設定!$B$4*$F36)</f>
        <v>1967.2908817508803</v>
      </c>
      <c r="H36" s="501">
        <f>IF($D36="","",$E36+BB設定!$B$5*$F36)</f>
        <v>1908.3454408754401</v>
      </c>
      <c r="I36" s="501">
        <f>IF($D36="","",$E36-BB設定!$B$5*$F36)</f>
        <v>1790.4545591245601</v>
      </c>
      <c r="J36" s="501">
        <f>IF($D36="","",$E36-BB設定!$B$4*$F36)</f>
        <v>1731.5091182491199</v>
      </c>
      <c r="K36" s="506">
        <f t="shared" si="0"/>
        <v>-4.8812588718439763E-2</v>
      </c>
      <c r="L36" s="505">
        <f t="shared" si="1"/>
        <v>12.749095030915997</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↓-2σ割れ</v>
      </c>
      <c r="Q36" s="503">
        <f>IF($D36="","",IFERROR(100-100/(1+SUMPRODUCT((終値!E36:R36&gt;終値!F36:S36)*(終値!E36:R36-終値!F36:S36))/SUMPRODUCT((終値!E36:R36&lt;終値!F36:S36)*(終値!F36:S36-終値!E36:R36))),100))</f>
        <v>38.066465256797585</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44.025170540519312</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下walk▼</v>
      </c>
      <c r="U36" s="500" t="str">
        <f>IF(終値!A36="","",BB_スイング!BT36)</f>
        <v>二番天井M▼</v>
      </c>
      <c r="V36" s="508">
        <f>IF($D36="","",IFERROR(出来高!E36/AVERAGE(出来高!E36:I36),""))</f>
        <v>0.71432028263078928</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1720</v>
      </c>
      <c r="Z36" s="501">
        <f t="shared" si="5"/>
        <v>1908.3454408754401</v>
      </c>
      <c r="AA36" s="501">
        <f t="shared" si="6"/>
        <v>1719</v>
      </c>
      <c r="AB36" s="501">
        <f t="shared" si="10"/>
        <v>1967.2908817508803</v>
      </c>
      <c r="AC36" s="507">
        <f t="shared" si="7"/>
        <v>20</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1528</v>
      </c>
      <c r="E37" s="501">
        <f>IF($D37="","",AVERAGE(終値!E37:X37))</f>
        <v>1551.125</v>
      </c>
      <c r="F37" s="502">
        <f>IF($D37="","",STDEVP(終値!E37:X37))</f>
        <v>21.46326804100438</v>
      </c>
      <c r="G37" s="501">
        <f>IF($D37="","",$E37+BB設定!$B$4*$F37)</f>
        <v>1594.0515360820089</v>
      </c>
      <c r="H37" s="501">
        <f>IF($D37="","",$E37+BB設定!$B$5*$F37)</f>
        <v>1572.5882680410043</v>
      </c>
      <c r="I37" s="501">
        <f>IF($D37="","",$E37-BB設定!$B$5*$F37)</f>
        <v>1529.6617319589957</v>
      </c>
      <c r="J37" s="501">
        <f>IF($D37="","",$E37-BB設定!$B$4*$F37)</f>
        <v>1508.1984639179911</v>
      </c>
      <c r="K37" s="506">
        <f t="shared" si="0"/>
        <v>0.23064446714474091</v>
      </c>
      <c r="L37" s="505">
        <f t="shared" si="1"/>
        <v>5.5348906222269445</v>
      </c>
      <c r="M37" s="505">
        <f>IF($D37="","",IFERROR(MIN(BB_帯幅!B37:AP37)*100,""))</f>
        <v>5.534890622226933</v>
      </c>
      <c r="N37" s="500" t="str">
        <f>IF($L37="","",IF($L37&lt;=$M37*BB設定!$B$7,"スクイーズ★",IF($L37&lt;=$M37*1.3,"収縮","－")))</f>
        <v>スクイーズ★</v>
      </c>
      <c r="O37" s="500" t="str">
        <f>IF($D37="","",IF(AND(BB_帯幅!B37&gt;BB_帯幅!C37,BB_帯幅!C37&gt;BB_帯幅!D37),"拡大↑","縮小↓"))</f>
        <v>縮小↓</v>
      </c>
      <c r="P37" s="500" t="str">
        <f t="shared" si="2"/>
        <v>-1σ下</v>
      </c>
      <c r="Q37" s="503">
        <f>IF($D37="","",IFERROR(100-100/(1+SUMPRODUCT((終値!E37:R37&gt;終値!F37:S37)*(終値!E37:R37-終値!F37:S37))/SUMPRODUCT((終値!E37:R37&lt;終値!F37:S37)*(終値!F37:S37-終値!E37:R37))),100))</f>
        <v>46.062052505966591</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53.072807058073316</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v>
      </c>
      <c r="T37" s="500" t="str">
        <f t="shared" si="3"/>
        <v>下walk▼</v>
      </c>
      <c r="U37" s="500" t="str">
        <f>IF(終値!A37="","",BB_スイング!BT37)</f>
        <v>－</v>
      </c>
      <c r="V37" s="508">
        <f>IF($D37="","",IFERROR(出来高!E37/AVERAGE(出来高!E37:I37),""))</f>
        <v>0.90205044991886707</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10</v>
      </c>
      <c r="Y37" s="501">
        <f t="shared" si="4"/>
        <v>1528</v>
      </c>
      <c r="Z37" s="501">
        <f t="shared" si="5"/>
        <v>1572.5882680410043</v>
      </c>
      <c r="AA37" s="501">
        <f t="shared" si="6"/>
        <v>1528</v>
      </c>
      <c r="AB37" s="501">
        <f t="shared" si="10"/>
        <v>1594.0515360820089</v>
      </c>
      <c r="AC37" s="507" t="str">
        <f t="shared" si="7"/>
        <v>－</v>
      </c>
      <c r="AD37" s="501">
        <f>IF($D37="","",MIN(終値!E37:I37))</f>
        <v>1528</v>
      </c>
      <c r="AE37" s="503">
        <f t="shared" si="8"/>
        <v>10.099629999999999</v>
      </c>
    </row>
    <row r="38" spans="1:31">
      <c r="A38" s="500" t="str">
        <f>IF(終値!A38="","",HYPERLINK("https://kabutan.jp/stock/?code="&amp;終値!A38,"📈"))</f>
        <v>📈</v>
      </c>
      <c r="B38" s="500" t="str">
        <f>IF(終値!A38="","",終値!A38)</f>
        <v>5406</v>
      </c>
      <c r="C38" s="499" t="str">
        <f>IF(終値!A38="","",終値!B38)</f>
        <v>神戸製鋼所</v>
      </c>
      <c r="D38" s="501">
        <f>IF(終値!A38="","",終値!E38)</f>
        <v>2050.5</v>
      </c>
      <c r="E38" s="501">
        <f>IF($D38="","",AVERAGE(終値!E38:X38))</f>
        <v>1970.925</v>
      </c>
      <c r="F38" s="502">
        <f>IF($D38="","",STDEVP(終値!E38:X38))</f>
        <v>74.301291206815506</v>
      </c>
      <c r="G38" s="501">
        <f>IF($D38="","",$E38+BB設定!$B$4*$F38)</f>
        <v>2119.5275824136311</v>
      </c>
      <c r="H38" s="501">
        <f>IF($D38="","",$E38+BB設定!$B$5*$F38)</f>
        <v>2045.2262912068154</v>
      </c>
      <c r="I38" s="501">
        <f>IF($D38="","",$E38-BB設定!$B$5*$F38)</f>
        <v>1896.6237087931845</v>
      </c>
      <c r="J38" s="501">
        <f>IF($D38="","",$E38-BB設定!$B$4*$F38)</f>
        <v>1822.3224175863688</v>
      </c>
      <c r="K38" s="506">
        <f t="shared" si="0"/>
        <v>0.76774433764046324</v>
      </c>
      <c r="L38" s="505">
        <f t="shared" si="1"/>
        <v>15.079476125538124</v>
      </c>
      <c r="M38" s="505">
        <f>IF($D38="","",IFERROR(MIN(BB_帯幅!B38:AP38)*100,""))</f>
        <v>5.9581100938607907</v>
      </c>
      <c r="N38" s="500" t="str">
        <f>IF($L38="","",IF($L38&lt;=$M38*BB設定!$B$7,"スクイーズ★",IF($L38&lt;=$M38*1.3,"収縮","－")))</f>
        <v>－</v>
      </c>
      <c r="O38" s="500" t="str">
        <f>IF($D38="","",IF(AND(BB_帯幅!B38&gt;BB_帯幅!C38,BB_帯幅!C38&gt;BB_帯幅!D38),"拡大↑","縮小↓"))</f>
        <v>拡大↑</v>
      </c>
      <c r="P38" s="500" t="str">
        <f t="shared" si="2"/>
        <v>+1σ上</v>
      </c>
      <c r="Q38" s="503">
        <f>IF($D38="","",IFERROR(100-100/(1+SUMPRODUCT((終値!E38:R38&gt;終値!F38:S38)*(終値!E38:R38-終値!F38:S38))/SUMPRODUCT((終値!E38:R38&lt;終値!F38:S38)*(終値!F38:S38-終値!E38:R38))),100))</f>
        <v>78.917378917378926</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79.737662443800204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v>
      </c>
      <c r="T38" s="500" t="str">
        <f t="shared" si="3"/>
        <v>上walk▲</v>
      </c>
      <c r="U38" s="500" t="str">
        <f>IF(終値!A38="","",BB_スイング!BT38)</f>
        <v>二番底W▲</v>
      </c>
      <c r="V38" s="508">
        <f>IF($D38="","",IFERROR(出来高!E38/AVERAGE(出来高!E38:I38),""))</f>
        <v>0.70164717077092187</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40</v>
      </c>
      <c r="Y38" s="501">
        <f t="shared" si="4"/>
        <v>2050.5</v>
      </c>
      <c r="Z38" s="501">
        <f t="shared" si="5"/>
        <v>2045.2262912068154</v>
      </c>
      <c r="AA38" s="501">
        <f t="shared" si="6"/>
        <v>1970.925</v>
      </c>
      <c r="AB38" s="501">
        <f t="shared" si="10"/>
        <v>2119.5275824136311</v>
      </c>
      <c r="AC38" s="507">
        <f t="shared" si="7"/>
        <v>0.87</v>
      </c>
      <c r="AD38" s="501">
        <f>IF($D38="","",MIN(終値!E38:I38))</f>
        <v>2050.5</v>
      </c>
      <c r="AE38" s="503">
        <f t="shared" si="8"/>
        <v>40.099620000000002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1409.5</v>
      </c>
      <c r="E39" s="501">
        <f>IF($D39="","",AVERAGE(終値!E39:X39))</f>
        <v>1423.5250000000001</v>
      </c>
      <c r="F39" s="502">
        <f>IF($D39="","",STDEVP(終値!E39:X39))</f>
        <v>43.00740488567056</v>
      </c>
      <c r="G39" s="501">
        <f>IF($D39="","",$E39+BB設定!$B$4*$F39)</f>
        <v>1509.5398097713412</v>
      </c>
      <c r="H39" s="501">
        <f>IF($D39="","",$E39+BB設定!$B$5*$F39)</f>
        <v>1466.5324048856708</v>
      </c>
      <c r="I39" s="501">
        <f>IF($D39="","",$E39-BB設定!$B$5*$F39)</f>
        <v>1380.5175951143294</v>
      </c>
      <c r="J39" s="501">
        <f>IF($D39="","",$E39-BB設定!$B$4*$F39)</f>
        <v>1337.510190228659</v>
      </c>
      <c r="K39" s="506">
        <f t="shared" si="0"/>
        <v>0.41847334175775264</v>
      </c>
      <c r="L39" s="505">
        <f t="shared" si="1"/>
        <v>12.084762792552446</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55.088852988691436</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53.978579308515592</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v>
      </c>
      <c r="V39" s="508">
        <f>IF($D39="","",IFERROR(出来高!E39/AVERAGE(出来高!E39:I39),""))</f>
        <v>0.70681655122471287</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様子見</v>
      </c>
      <c r="X39" s="504">
        <f t="shared" si="9"/>
        <v>5</v>
      </c>
      <c r="Y39" s="501">
        <f t="shared" si="4"/>
        <v>1409.5</v>
      </c>
      <c r="Z39" s="501">
        <f t="shared" si="5"/>
        <v>1466.5324048856708</v>
      </c>
      <c r="AA39" s="501">
        <f t="shared" si="6"/>
        <v>1409.5</v>
      </c>
      <c r="AB39" s="501">
        <f t="shared" si="10"/>
        <v>1509.5398097713412</v>
      </c>
      <c r="AC39" s="507" t="str">
        <f t="shared" si="7"/>
        <v>－</v>
      </c>
      <c r="AD39" s="501">
        <f>IF($D39="","",MIN(終値!E39:I39))</f>
        <v>1409.5</v>
      </c>
      <c r="AE39" s="503">
        <f t="shared" si="8"/>
        <v>5.0996100000000002</v>
      </c>
    </row>
    <row r="40" spans="1:31" ht="24">
      <c r="A40" s="500" t="str">
        <f>IF(終値!A40="","",HYPERLINK("https://kabutan.jp/stock/?code="&amp;終値!A40,"📈"))</f>
        <v>📈</v>
      </c>
      <c r="B40" s="500" t="str">
        <f>IF(終値!A40="","",終値!A40)</f>
        <v>8604</v>
      </c>
      <c r="C40" s="499" t="str">
        <f>IF(終値!A40="","",終値!B40)</f>
        <v>野村ホールディングス</v>
      </c>
      <c r="D40" s="501">
        <f>IF(終値!A40="","",終値!E40)</f>
        <v>1515</v>
      </c>
      <c r="E40" s="501">
        <f>IF($D40="","",AVERAGE(終値!E40:X40))</f>
        <v>1552.6</v>
      </c>
      <c r="F40" s="502">
        <f>IF($D40="","",STDEVP(終値!E40:X40))</f>
        <v>43.490976075503291</v>
      </c>
      <c r="G40" s="501">
        <f>IF($D40="","",$E40+BB設定!$B$4*$F40)</f>
        <v>1639.5819521510066</v>
      </c>
      <c r="H40" s="501">
        <f>IF($D40="","",$E40+BB設定!$B$5*$F40)</f>
        <v>1596.0909760755032</v>
      </c>
      <c r="I40" s="501">
        <f>IF($D40="","",$E40-BB設定!$B$5*$F40)</f>
        <v>1509.1090239244966</v>
      </c>
      <c r="J40" s="501">
        <f>IF($D40="","",$E40-BB設定!$B$4*$F40)</f>
        <v>1465.6180478489932</v>
      </c>
      <c r="K40" s="506">
        <f t="shared" si="0"/>
        <v>0.28386320914754987</v>
      </c>
      <c r="L40" s="505">
        <f t="shared" si="1"/>
        <v>11.204682745202458</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47.437092264678476</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49.729278461805812</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0.59981613524682076</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5</v>
      </c>
      <c r="Y40" s="501">
        <f t="shared" si="4"/>
        <v>1515</v>
      </c>
      <c r="Z40" s="501">
        <f t="shared" si="5"/>
        <v>1596.0909760755032</v>
      </c>
      <c r="AA40" s="501">
        <f t="shared" si="6"/>
        <v>1470</v>
      </c>
      <c r="AB40" s="501">
        <f t="shared" si="10"/>
        <v>1639.5819521510066</v>
      </c>
      <c r="AC40" s="507">
        <f t="shared" si="7"/>
        <v>2.77</v>
      </c>
      <c r="AD40" s="501">
        <f>IF($D40="","",MIN(終値!E40:I40))</f>
        <v>1470</v>
      </c>
      <c r="AE40" s="503">
        <f t="shared" si="8"/>
        <v>5.0995999999999997</v>
      </c>
    </row>
    <row r="41" spans="1:31" ht="24">
      <c r="A41" s="500" t="str">
        <f>IF(終値!A41="","",HYPERLINK("https://kabutan.jp/stock/?code="&amp;終値!A41,"📈"))</f>
        <v>📈</v>
      </c>
      <c r="B41" s="500" t="str">
        <f>IF(終値!A41="","",終値!A41)</f>
        <v>3861</v>
      </c>
      <c r="C41" s="499" t="str">
        <f>IF(終値!A41="","",終値!B41)</f>
        <v>王子ホールディングス</v>
      </c>
      <c r="D41" s="501">
        <f>IF(終値!A41="","",終値!E41)</f>
        <v>872.6</v>
      </c>
      <c r="E41" s="501">
        <f>IF($D41="","",AVERAGE(終値!E41:X41))</f>
        <v>853.0799999999997</v>
      </c>
      <c r="F41" s="502">
        <f>IF($D41="","",STDEVP(終値!E41:X41))</f>
        <v>26.506010639098452</v>
      </c>
      <c r="G41" s="501">
        <f>IF($D41="","",$E41+BB設定!$B$4*$F41)</f>
        <v>906.09202127819663</v>
      </c>
      <c r="H41" s="501">
        <f>IF($D41="","",$E41+BB設定!$B$5*$F41)</f>
        <v>879.58601063909816</v>
      </c>
      <c r="I41" s="501">
        <f>IF($D41="","",$E41-BB設定!$B$5*$F41)</f>
        <v>826.57398936090124</v>
      </c>
      <c r="J41" s="501">
        <f>IF($D41="","",$E41-BB設定!$B$4*$F41)</f>
        <v>800.06797872180277</v>
      </c>
      <c r="K41" s="506">
        <f t="shared" si="0"/>
        <v>0.68410918438256774</v>
      </c>
      <c r="L41" s="505">
        <f t="shared" si="1"/>
        <v>12.428382163032058</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73.541495480690216</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64.282603912468232</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0.83441819131438011</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18</v>
      </c>
      <c r="Y41" s="501">
        <f t="shared" si="4"/>
        <v>872.6</v>
      </c>
      <c r="Z41" s="501">
        <f t="shared" si="5"/>
        <v>879.58601063909816</v>
      </c>
      <c r="AA41" s="501">
        <f t="shared" si="6"/>
        <v>853.0799999999997</v>
      </c>
      <c r="AB41" s="501">
        <f t="shared" si="10"/>
        <v>906.09202127819663</v>
      </c>
      <c r="AC41" s="507">
        <f t="shared" si="7"/>
        <v>1.72</v>
      </c>
      <c r="AD41" s="501">
        <f>IF($D41="","",MIN(終値!E41:I41))</f>
        <v>872.6</v>
      </c>
      <c r="AE41" s="503">
        <f t="shared" si="8"/>
        <v>18.099589999999999</v>
      </c>
    </row>
    <row r="42" spans="1:31">
      <c r="A42" s="500" t="str">
        <f>IF(終値!A42="","",HYPERLINK("https://kabutan.jp/stock/?code="&amp;終値!A42,"📈"))</f>
        <v>📈</v>
      </c>
      <c r="B42" s="500" t="str">
        <f>IF(終値!A42="","",終値!A42)</f>
        <v>5947</v>
      </c>
      <c r="C42" s="499" t="str">
        <f>IF(終値!A42="","",終値!B42)</f>
        <v>リンナイ</v>
      </c>
      <c r="D42" s="501">
        <f>IF(終値!A42="","",終値!E42)</f>
        <v>3486</v>
      </c>
      <c r="E42" s="501">
        <f>IF($D42="","",AVERAGE(終値!E42:X42))</f>
        <v>3613.65</v>
      </c>
      <c r="F42" s="502">
        <f>IF($D42="","",STDEVP(終値!E42:X42))</f>
        <v>67.083734988445585</v>
      </c>
      <c r="G42" s="501">
        <f>IF($D42="","",$E42+BB設定!$B$4*$F42)</f>
        <v>3747.8174699768911</v>
      </c>
      <c r="H42" s="501">
        <f>IF($D42="","",$E42+BB設定!$B$5*$F42)</f>
        <v>3680.7337349884456</v>
      </c>
      <c r="I42" s="501">
        <f>IF($D42="","",$E42-BB設定!$B$5*$F42)</f>
        <v>3546.5662650115546</v>
      </c>
      <c r="J42" s="501">
        <f>IF($D42="","",$E42-BB設定!$B$4*$F42)</f>
        <v>3479.4825300231091</v>
      </c>
      <c r="K42" s="506">
        <f t="shared" si="0"/>
        <v>2.4288562562942602E-2</v>
      </c>
      <c r="L42" s="505">
        <f t="shared" si="1"/>
        <v>7.42559295874758</v>
      </c>
      <c r="M42" s="505">
        <f>IF($D42="","",IFERROR(MIN(BB_帯幅!B42:AP42)*100,""))</f>
        <v>3.341506870209157</v>
      </c>
      <c r="N42" s="500" t="str">
        <f>IF($L42="","",IF($L42&lt;=$M42*BB設定!$B$7,"スクイーズ★",IF($L42&lt;=$M42*1.3,"収縮","－")))</f>
        <v>－</v>
      </c>
      <c r="O42" s="500" t="str">
        <f>IF($D42="","",IF(AND(BB_帯幅!B42&gt;BB_帯幅!C42,BB_帯幅!C42&gt;BB_帯幅!D42),"拡大↑","縮小↓"))</f>
        <v>拡大↑</v>
      </c>
      <c r="P42" s="500" t="str">
        <f t="shared" si="2"/>
        <v>-1σ下</v>
      </c>
      <c r="Q42" s="503">
        <f>IF($D42="","",IFERROR(100-100/(1+SUMPRODUCT((終値!E42:R42&gt;終値!F42:S42)*(終値!E42:R42-終値!F42:S42))/SUMPRODUCT((終値!E42:R42&lt;終値!F42:S42)*(終値!F42:S42-終値!E42:R42))),100))</f>
        <v>44.507845934379453</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43.675639934402618</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v>
      </c>
      <c r="T42" s="500" t="str">
        <f t="shared" si="3"/>
        <v>下walk▼</v>
      </c>
      <c r="U42" s="500" t="str">
        <f>IF(終値!A42="","",BB_スイング!BT42)</f>
        <v>二番天井M▼</v>
      </c>
      <c r="V42" s="508">
        <f>IF($D42="","",IFERROR(出来高!E42/AVERAGE(出来高!E42:I42),""))</f>
        <v>0.95634607804493499</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▼二番天井警戒</v>
      </c>
      <c r="X42" s="504">
        <f t="shared" si="9"/>
        <v>0</v>
      </c>
      <c r="Y42" s="501">
        <f t="shared" si="4"/>
        <v>3486</v>
      </c>
      <c r="Z42" s="501">
        <f t="shared" si="5"/>
        <v>3680.7337349884456</v>
      </c>
      <c r="AA42" s="501">
        <f t="shared" si="6"/>
        <v>3486</v>
      </c>
      <c r="AB42" s="501">
        <f t="shared" si="10"/>
        <v>3747.8174699768911</v>
      </c>
      <c r="AC42" s="507" t="str">
        <f t="shared" si="7"/>
        <v>－</v>
      </c>
      <c r="AD42" s="501">
        <f>IF($D42="","",MIN(終値!E42:I42))</f>
        <v>3486</v>
      </c>
      <c r="AE42" s="503">
        <f t="shared" si="8"/>
        <v>9.9580000000000002E-2</v>
      </c>
    </row>
    <row r="43" spans="1:31" ht="24">
      <c r="A43" s="500" t="str">
        <f>IF(終値!A43="","",HYPERLINK("https://kabutan.jp/stock/?code="&amp;終値!A43,"📈"))</f>
        <v>📈</v>
      </c>
      <c r="B43" s="500" t="str">
        <f>IF(終値!A43="","",終値!A43)</f>
        <v>8750</v>
      </c>
      <c r="C43" s="499" t="str">
        <f>IF(終値!A43="","",終値!B43)</f>
        <v>第一ライフグループ</v>
      </c>
      <c r="D43" s="501">
        <f>IF(終値!A43="","",終値!E43)</f>
        <v>1881</v>
      </c>
      <c r="E43" s="501">
        <f>IF($D43="","",AVERAGE(終値!E43:X43))</f>
        <v>1882.5</v>
      </c>
      <c r="F43" s="502">
        <f>IF($D43="","",STDEVP(終値!E43:X43))</f>
        <v>35.178492233031733</v>
      </c>
      <c r="G43" s="501">
        <f>IF($D43="","",$E43+BB設定!$B$4*$F43)</f>
        <v>1952.8569844660635</v>
      </c>
      <c r="H43" s="501">
        <f>IF($D43="","",$E43+BB設定!$B$5*$F43)</f>
        <v>1917.6784922330316</v>
      </c>
      <c r="I43" s="501">
        <f>IF($D43="","",$E43-BB設定!$B$5*$F43)</f>
        <v>1847.3215077669684</v>
      </c>
      <c r="J43" s="501">
        <f>IF($D43="","",$E43-BB設定!$B$4*$F43)</f>
        <v>1812.1430155339365</v>
      </c>
      <c r="K43" s="506">
        <f t="shared" si="0"/>
        <v>0.48934007752475861</v>
      </c>
      <c r="L43" s="505">
        <f t="shared" si="1"/>
        <v>7.4748456272046235</v>
      </c>
      <c r="M43" s="505">
        <f>IF($D43="","",IFERROR(MIN(BB_帯幅!B43:AP43)*100,""))</f>
        <v>7.4748456272046182</v>
      </c>
      <c r="N43" s="500" t="str">
        <f>IF($L43="","",IF($L43&lt;=$M43*BB設定!$B$7,"スクイーズ★",IF($L43&lt;=$M43*1.3,"収縮","－")))</f>
        <v>スクイーズ★</v>
      </c>
      <c r="O43" s="500" t="str">
        <f>IF($D43="","",IF(AND(BB_帯幅!B43&gt;BB_帯幅!C43,BB_帯幅!C43&gt;BB_帯幅!D43),"拡大↑","縮小↓"))</f>
        <v>縮小↓</v>
      </c>
      <c r="P43" s="500" t="str">
        <f t="shared" si="2"/>
        <v>バンド内</v>
      </c>
      <c r="Q43" s="503">
        <f>IF($D43="","",IFERROR(100-100/(1+SUMPRODUCT((終値!E43:R43&gt;終値!F43:S43)*(終値!E43:R43-終値!F43:S43))/SUMPRODUCT((終値!E43:R43&lt;終値!F43:S43)*(終値!F43:S43-終値!E43:R43))),100))</f>
        <v>50.616565844578879</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67.403830485934733</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二番天井M形成</v>
      </c>
      <c r="V43" s="508">
        <f>IF($D43="","",IFERROR(出来高!E43/AVERAGE(出来高!E43:I43),""))</f>
        <v>0.75370495251398895</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▼二番天井警戒</v>
      </c>
      <c r="X43" s="504">
        <f t="shared" si="9"/>
        <v>15</v>
      </c>
      <c r="Y43" s="501">
        <f t="shared" si="4"/>
        <v>1881</v>
      </c>
      <c r="Z43" s="501">
        <f t="shared" si="5"/>
        <v>1917.6784922330316</v>
      </c>
      <c r="AA43" s="501">
        <f t="shared" si="6"/>
        <v>1881</v>
      </c>
      <c r="AB43" s="501">
        <f t="shared" si="10"/>
        <v>1952.8569844660635</v>
      </c>
      <c r="AC43" s="507" t="str">
        <f t="shared" si="7"/>
        <v>－</v>
      </c>
      <c r="AD43" s="501">
        <f>IF($D43="","",MIN(終値!E43:I43))</f>
        <v>1881</v>
      </c>
      <c r="AE43" s="503">
        <f t="shared" si="8"/>
        <v>15.09957</v>
      </c>
    </row>
    <row r="44" spans="1:31">
      <c r="A44" s="500" t="str">
        <f>IF(終値!A44="","",HYPERLINK("https://kabutan.jp/stock/?code="&amp;終値!A44,"📈"))</f>
        <v>📈</v>
      </c>
      <c r="B44" s="500" t="str">
        <f>IF(終値!A44="","",終値!A44)</f>
        <v>3402</v>
      </c>
      <c r="C44" s="499" t="str">
        <f>IF(終値!A44="","",終値!B44)</f>
        <v>東レ</v>
      </c>
      <c r="D44" s="501">
        <f>IF(終値!A44="","",終値!E44)</f>
        <v>1146.5</v>
      </c>
      <c r="E44" s="501">
        <f>IF($D44="","",AVERAGE(終値!E44:X44))</f>
        <v>1158.0999999999999</v>
      </c>
      <c r="F44" s="502">
        <f>IF($D44="","",STDEVP(終値!E44:X44))</f>
        <v>13.622224487946159</v>
      </c>
      <c r="G44" s="501">
        <f>IF($D44="","",$E44+BB設定!$B$4*$F44)</f>
        <v>1185.3444489758922</v>
      </c>
      <c r="H44" s="501">
        <f>IF($D44="","",$E44+BB設定!$B$5*$F44)</f>
        <v>1171.7222244879461</v>
      </c>
      <c r="I44" s="501">
        <f>IF($D44="","",$E44-BB設定!$B$5*$F44)</f>
        <v>1144.4777755120538</v>
      </c>
      <c r="J44" s="501">
        <f>IF($D44="","",$E44-BB設定!$B$4*$F44)</f>
        <v>1130.8555510241076</v>
      </c>
      <c r="K44" s="506">
        <f t="shared" si="0"/>
        <v>0.28711259658317245</v>
      </c>
      <c r="L44" s="505">
        <f t="shared" si="1"/>
        <v>4.7050252958971219</v>
      </c>
      <c r="M44" s="505">
        <f>IF($D44="","",IFERROR(MIN(BB_帯幅!B44:AP44)*100,""))</f>
        <v>4.6146080115106241</v>
      </c>
      <c r="N44" s="500" t="str">
        <f>IF($L44="","",IF($L44&lt;=$M44*BB設定!$B$7,"スクイーズ★",IF($L44&lt;=$M44*1.3,"収縮","－")))</f>
        <v>スクイーズ★</v>
      </c>
      <c r="O44" s="500" t="str">
        <f>IF($D44="","",IF(AND(BB_帯幅!B44&gt;BB_帯幅!C44,BB_帯幅!C44&gt;BB_帯幅!D44),"拡大↑","縮小↓"))</f>
        <v>縮小↓</v>
      </c>
      <c r="P44" s="500" t="str">
        <f t="shared" si="2"/>
        <v>バンド内</v>
      </c>
      <c r="Q44" s="503">
        <f>IF($D44="","",IFERROR(100-100/(1+SUMPRODUCT((終値!E44:R44&gt;終値!F44:S44)*(終値!E44:R44-終値!F44:S44))/SUMPRODUCT((終値!E44:R44&lt;終値!F44:S44)*(終値!F44:S44-終値!E44:R44))),100))</f>
        <v>51.804670912951167</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56.499729950650959</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v>
      </c>
      <c r="U44" s="500" t="str">
        <f>IF(終値!A44="","",BB_スイング!BT44)</f>
        <v>二番底W形成</v>
      </c>
      <c r="V44" s="508">
        <f>IF($D44="","",IFERROR(出来高!E44/AVERAGE(出来高!E44:I44),""))</f>
        <v>0.97028018035404129</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△二番底形成</v>
      </c>
      <c r="X44" s="504">
        <f t="shared" si="9"/>
        <v>25</v>
      </c>
      <c r="Y44" s="501">
        <f t="shared" si="4"/>
        <v>1146.5</v>
      </c>
      <c r="Z44" s="501">
        <f t="shared" si="5"/>
        <v>1171.7222244879461</v>
      </c>
      <c r="AA44" s="501">
        <f t="shared" si="6"/>
        <v>1129.5</v>
      </c>
      <c r="AB44" s="501">
        <f t="shared" si="10"/>
        <v>1185.3444489758922</v>
      </c>
      <c r="AC44" s="507">
        <f t="shared" si="7"/>
        <v>2.2799999999999998</v>
      </c>
      <c r="AD44" s="501">
        <f>IF($D44="","",MIN(終値!E44:I44))</f>
        <v>1129.5</v>
      </c>
      <c r="AE44" s="503">
        <f t="shared" si="8"/>
        <v>25.09956</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3470</v>
      </c>
      <c r="E45" s="501">
        <f>IF($D45="","",AVERAGE(終値!E45:X45))</f>
        <v>3571.35</v>
      </c>
      <c r="F45" s="502">
        <f>IF($D45="","",STDEVP(終値!E45:X45))</f>
        <v>120.88228778443928</v>
      </c>
      <c r="G45" s="501">
        <f>IF($D45="","",$E45+BB設定!$B$4*$F45)</f>
        <v>3813.1145755688785</v>
      </c>
      <c r="H45" s="501">
        <f>IF($D45="","",$E45+BB設定!$B$5*$F45)</f>
        <v>3692.232287784439</v>
      </c>
      <c r="I45" s="501">
        <f>IF($D45="","",$E45-BB設定!$B$5*$F45)</f>
        <v>3450.4677122155608</v>
      </c>
      <c r="J45" s="501">
        <f>IF($D45="","",$E45-BB設定!$B$4*$F45)</f>
        <v>3329.5854244311213</v>
      </c>
      <c r="K45" s="506">
        <f t="shared" si="0"/>
        <v>0.29039526415000916</v>
      </c>
      <c r="L45" s="505">
        <f t="shared" si="1"/>
        <v>13.539114092367235</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46.850044365572316</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56.113252162667145</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1.0021039453745473</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3470</v>
      </c>
      <c r="Z45" s="501">
        <f t="shared" si="5"/>
        <v>3692.232287784439</v>
      </c>
      <c r="AA45" s="501">
        <f t="shared" si="6"/>
        <v>3470</v>
      </c>
      <c r="AB45" s="501">
        <f t="shared" si="10"/>
        <v>3813.1145755688785</v>
      </c>
      <c r="AC45" s="507" t="str">
        <f t="shared" si="7"/>
        <v>－</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646</v>
      </c>
      <c r="E46" s="501">
        <f>IF($D46="","",AVERAGE(終値!E46:X46))</f>
        <v>602.14210526315799</v>
      </c>
      <c r="F46" s="502">
        <f>IF($D46="","",STDEVP(終値!E46:X46))</f>
        <v>41.717071045562371</v>
      </c>
      <c r="G46" s="501">
        <f>IF($D46="","",$E46+BB設定!$B$4*$F46)</f>
        <v>685.57624735428271</v>
      </c>
      <c r="H46" s="501">
        <f>IF($D46="","",$E46+BB設定!$B$5*$F46)</f>
        <v>643.85917630872041</v>
      </c>
      <c r="I46" s="501">
        <f>IF($D46="","",$E46-BB設定!$B$5*$F46)</f>
        <v>560.42503421759557</v>
      </c>
      <c r="J46" s="501">
        <f>IF($D46="","",$E46-BB設定!$B$4*$F46)</f>
        <v>518.70796317203326</v>
      </c>
      <c r="K46" s="506">
        <f t="shared" si="0"/>
        <v>0.76282942233013851</v>
      </c>
      <c r="L46" s="505">
        <f t="shared" si="1"/>
        <v>27.712442415785215</v>
      </c>
      <c r="M46" s="505">
        <f>IF($D46="","",IFERROR(MIN(BB_帯幅!B46:AP46)*100,""))</f>
        <v>6.5486197888283124</v>
      </c>
      <c r="N46" s="500" t="str">
        <f>IF($L46="","",IF($L46&lt;=$M46*BB設定!$B$7,"スクイーズ★",IF($L46&lt;=$M46*1.3,"収縮","－")))</f>
        <v>－</v>
      </c>
      <c r="O46" s="500" t="str">
        <f>IF($D46="","",IF(AND(BB_帯幅!B46&gt;BB_帯幅!C46,BB_帯幅!C46&gt;BB_帯幅!D46),"拡大↑","縮小↓"))</f>
        <v>縮小↓</v>
      </c>
      <c r="P46" s="500" t="str">
        <f t="shared" si="2"/>
        <v>+1σ上</v>
      </c>
      <c r="Q46" s="503">
        <f>IF($D46="","",IFERROR(100-100/(1+SUMPRODUCT((終値!E46:R46&gt;終値!F46:S46)*(終値!E46:R46-終値!F46:S46))/SUMPRODUCT((終値!E46:R46&lt;終値!F46:S46)*(終値!F46:S46-終値!E46:R46))),100))</f>
        <v>53.172963400236128</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76.885993974852596</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0.72148172288305901</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37</v>
      </c>
      <c r="Y46" s="501">
        <f t="shared" si="4"/>
        <v>646</v>
      </c>
      <c r="Z46" s="501">
        <f t="shared" si="5"/>
        <v>643.85917630872041</v>
      </c>
      <c r="AA46" s="501">
        <f t="shared" si="6"/>
        <v>602.14210526315799</v>
      </c>
      <c r="AB46" s="501">
        <f t="shared" si="10"/>
        <v>685.57624735428271</v>
      </c>
      <c r="AC46" s="507">
        <f t="shared" si="7"/>
        <v>0.9</v>
      </c>
      <c r="AD46" s="501">
        <f>IF($D46="","",MIN(終値!E46:I46))</f>
        <v>646</v>
      </c>
      <c r="AE46" s="503">
        <f t="shared" si="8"/>
        <v>37.099539999999998</v>
      </c>
    </row>
    <row r="47" spans="1:31">
      <c r="A47" s="500" t="str">
        <f>IF(終値!A47="","",HYPERLINK("https://kabutan.jp/stock/?code="&amp;終値!A47,"📈"))</f>
        <v>📈</v>
      </c>
      <c r="B47" s="500" t="str">
        <f>IF(終値!A47="","",終値!A47)</f>
        <v>8572</v>
      </c>
      <c r="C47" s="499" t="str">
        <f>IF(終値!A47="","",終値!B47)</f>
        <v>アコム</v>
      </c>
      <c r="D47" s="501">
        <f>IF(終値!A47="","",終値!E47)</f>
        <v>469.8</v>
      </c>
      <c r="E47" s="501">
        <f>IF($D47="","",AVERAGE(終値!E47:X47))</f>
        <v>484.97500000000002</v>
      </c>
      <c r="F47" s="502">
        <f>IF($D47="","",STDEVP(終値!E47:X47))</f>
        <v>6.0512705277487022</v>
      </c>
      <c r="G47" s="501">
        <f>IF($D47="","",$E47+BB設定!$B$4*$F47)</f>
        <v>497.07754105549742</v>
      </c>
      <c r="H47" s="501">
        <f>IF($D47="","",$E47+BB設定!$B$5*$F47)</f>
        <v>491.02627052774875</v>
      </c>
      <c r="I47" s="501">
        <f>IF($D47="","",$E47-BB設定!$B$5*$F47)</f>
        <v>478.9237294722513</v>
      </c>
      <c r="J47" s="501">
        <f>IF($D47="","",$E47-BB設定!$B$4*$F47)</f>
        <v>472.87245894450263</v>
      </c>
      <c r="K47" s="506">
        <f t="shared" si="0"/>
        <v>-0.12693445659112207</v>
      </c>
      <c r="L47" s="505">
        <f t="shared" si="1"/>
        <v>4.9909958474137417</v>
      </c>
      <c r="M47" s="505">
        <f>IF($D47="","",IFERROR(MIN(BB_帯幅!B47:AP47)*100,""))</f>
        <v>2.8642737931539664</v>
      </c>
      <c r="N47" s="500" t="str">
        <f>IF($L47="","",IF($L47&lt;=$M47*BB設定!$B$7,"スクイーズ★",IF($L47&lt;=$M47*1.3,"収縮","－")))</f>
        <v>－</v>
      </c>
      <c r="O47" s="500" t="str">
        <f>IF($D47="","",IF(AND(BB_帯幅!B47&gt;BB_帯幅!C47,BB_帯幅!C47&gt;BB_帯幅!D47),"拡大↑","縮小↓"))</f>
        <v>縮小↓</v>
      </c>
      <c r="P47" s="500" t="str">
        <f t="shared" si="2"/>
        <v>↓-2σ割れ</v>
      </c>
      <c r="Q47" s="503">
        <f>IF($D47="","",IFERROR(100-100/(1+SUMPRODUCT((終値!E47:R47&gt;終値!F47:S47)*(終値!E47:R47-終値!F47:S47))/SUMPRODUCT((終値!E47:R47&lt;終値!F47:S47)*(終値!F47:S47-終値!E47:R47))),100))</f>
        <v>41.279069767441854</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45.211851744081706</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下walk▼</v>
      </c>
      <c r="U47" s="500" t="str">
        <f>IF(終値!A47="","",BB_スイング!BT47)</f>
        <v>－</v>
      </c>
      <c r="V47" s="508">
        <f>IF($D47="","",IFERROR(出来高!E47/AVERAGE(出来高!E47:I47),""))</f>
        <v>0.78092748810912682</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▼-2σ割れ危険</v>
      </c>
      <c r="X47" s="504">
        <f t="shared" si="9"/>
        <v>0</v>
      </c>
      <c r="Y47" s="501">
        <f t="shared" si="4"/>
        <v>469.8</v>
      </c>
      <c r="Z47" s="501">
        <f t="shared" si="5"/>
        <v>491.02627052774875</v>
      </c>
      <c r="AA47" s="501">
        <f t="shared" si="6"/>
        <v>469.8</v>
      </c>
      <c r="AB47" s="501">
        <f t="shared" si="10"/>
        <v>497.07754105549742</v>
      </c>
      <c r="AC47" s="507" t="str">
        <f t="shared" si="7"/>
        <v>－</v>
      </c>
      <c r="AD47" s="501">
        <f>IF($D47="","",MIN(終値!E47:I47))</f>
        <v>469.8</v>
      </c>
      <c r="AE47" s="503">
        <f t="shared" si="8"/>
        <v>9.9529999999999993E-2</v>
      </c>
    </row>
    <row r="48" spans="1:31">
      <c r="A48" s="500" t="str">
        <f>IF(終値!A48="","",HYPERLINK("https://kabutan.jp/stock/?code="&amp;終値!A48,"📈"))</f>
        <v>📈</v>
      </c>
      <c r="B48" s="500" t="str">
        <f>IF(終値!A48="","",終値!A48)</f>
        <v>3941</v>
      </c>
      <c r="C48" s="499" t="str">
        <f>IF(終値!A48="","",終値!B48)</f>
        <v>レンゴー</v>
      </c>
      <c r="D48" s="501">
        <f>IF(終値!A48="","",終値!E48)</f>
        <v>1493.5</v>
      </c>
      <c r="E48" s="501">
        <f>IF($D48="","",AVERAGE(終値!E48:X48))</f>
        <v>1462.8</v>
      </c>
      <c r="F48" s="502">
        <f>IF($D48="","",STDEVP(終値!E48:X48))</f>
        <v>41.350755736745604</v>
      </c>
      <c r="G48" s="501">
        <f>IF($D48="","",$E48+BB設定!$B$4*$F48)</f>
        <v>1545.5015114734911</v>
      </c>
      <c r="H48" s="501">
        <f>IF($D48="","",$E48+BB設定!$B$5*$F48)</f>
        <v>1504.1507557367456</v>
      </c>
      <c r="I48" s="501">
        <f>IF($D48="","",$E48-BB設定!$B$5*$F48)</f>
        <v>1421.4492442632543</v>
      </c>
      <c r="J48" s="501">
        <f>IF($D48="","",$E48-BB設定!$B$4*$F48)</f>
        <v>1380.0984885265088</v>
      </c>
      <c r="K48" s="506">
        <f t="shared" si="0"/>
        <v>0.68560724860415956</v>
      </c>
      <c r="L48" s="505">
        <f t="shared" si="1"/>
        <v>11.30728896274147</v>
      </c>
      <c r="M48" s="505">
        <f>IF($D48="","",IFERROR(MIN(BB_帯幅!B48:AP48)*100,""))</f>
        <v>3.7290300719615073</v>
      </c>
      <c r="N48" s="500" t="str">
        <f>IF($L48="","",IF($L48&lt;=$M48*BB設定!$B$7,"スクイーズ★",IF($L48&lt;=$M48*1.3,"収縮","－")))</f>
        <v>－</v>
      </c>
      <c r="O48" s="500" t="str">
        <f>IF($D48="","",IF(AND(BB_帯幅!B48&gt;BB_帯幅!C48,BB_帯幅!C48&gt;BB_帯幅!D48),"拡大↑","縮小↓"))</f>
        <v>縮小↓</v>
      </c>
      <c r="P48" s="500" t="str">
        <f t="shared" si="2"/>
        <v>バンド内</v>
      </c>
      <c r="Q48" s="503">
        <f>IF($D48="","",IFERROR(100-100/(1+SUMPRODUCT((終値!E48:R48&gt;終値!F48:S48)*(終値!E48:R48-終値!F48:S48))/SUMPRODUCT((終値!E48:R48&lt;終値!F48:S48)*(終値!F48:S48-終値!E48:R48))),100))</f>
        <v>68.322981366459629</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62.846823331654988</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v>
      </c>
      <c r="U48" s="500" t="str">
        <f>IF(終値!A48="","",BB_スイング!BT48)</f>
        <v>－</v>
      </c>
      <c r="V48" s="508">
        <f>IF($D48="","",IFERROR(出来高!E48/AVERAGE(出来高!E48:I48),""))</f>
        <v>0.95321055251368836</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様子見</v>
      </c>
      <c r="X48" s="504">
        <f t="shared" si="9"/>
        <v>25</v>
      </c>
      <c r="Y48" s="501">
        <f t="shared" si="4"/>
        <v>1493.5</v>
      </c>
      <c r="Z48" s="501">
        <f t="shared" si="5"/>
        <v>1504.1507557367456</v>
      </c>
      <c r="AA48" s="501">
        <f t="shared" si="6"/>
        <v>1462.8</v>
      </c>
      <c r="AB48" s="501">
        <f t="shared" si="10"/>
        <v>1545.5015114734911</v>
      </c>
      <c r="AC48" s="507">
        <f t="shared" si="7"/>
        <v>1.69</v>
      </c>
      <c r="AD48" s="501">
        <f>IF($D48="","",MIN(終値!E48:I48))</f>
        <v>1490</v>
      </c>
      <c r="AE48" s="503">
        <f t="shared" si="8"/>
        <v>25.099519999999998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3498</v>
      </c>
      <c r="E49" s="501">
        <f>IF($D49="","",AVERAGE(終値!E49:X49))</f>
        <v>3748.2105263157896</v>
      </c>
      <c r="F49" s="502">
        <f>IF($D49="","",STDEVP(終値!E49:X49))</f>
        <v>145.74548072703516</v>
      </c>
      <c r="G49" s="501">
        <f>IF($D49="","",$E49+BB設定!$B$4*$F49)</f>
        <v>4039.7014877698598</v>
      </c>
      <c r="H49" s="501">
        <f>IF($D49="","",$E49+BB設定!$B$5*$F49)</f>
        <v>3893.9560070428247</v>
      </c>
      <c r="I49" s="501">
        <f>IF($D49="","",$E49-BB設定!$B$5*$F49)</f>
        <v>3602.4650455887545</v>
      </c>
      <c r="J49" s="501">
        <f>IF($D49="","",$E49-BB設定!$B$4*$F49)</f>
        <v>3456.7195648617194</v>
      </c>
      <c r="K49" s="506">
        <f t="shared" si="0"/>
        <v>7.0809116914565304E-2</v>
      </c>
      <c r="L49" s="505">
        <f t="shared" si="1"/>
        <v>15.553606682844681</v>
      </c>
      <c r="M49" s="505">
        <f>IF($D49="","",IFERROR(MIN(BB_帯幅!B49:AP49)*100,""))</f>
        <v>6.419372084920524</v>
      </c>
      <c r="N49" s="500" t="str">
        <f>IF($L49="","",IF($L49&lt;=$M49*BB設定!$B$7,"スクイーズ★",IF($L49&lt;=$M49*1.3,"収縮","－")))</f>
        <v>－</v>
      </c>
      <c r="O49" s="500" t="str">
        <f>IF($D49="","",IF(AND(BB_帯幅!B49&gt;BB_帯幅!C49,BB_帯幅!C49&gt;BB_帯幅!D49),"拡大↑","縮小↓"))</f>
        <v>拡大↑</v>
      </c>
      <c r="P49" s="500" t="str">
        <f t="shared" si="2"/>
        <v>-1σ下</v>
      </c>
      <c r="Q49" s="503">
        <f>IF($D49="","",IFERROR(100-100/(1+SUMPRODUCT((終値!E49:R49&gt;終値!F49:S49)*(終値!E49:R49-終値!F49:S49))/SUMPRODUCT((終値!E49:R49&lt;終値!F49:S49)*(終値!F49:S49-終値!E49:R49))),100))</f>
        <v>49.050410316529891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48.024061604544599</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強気div▲</v>
      </c>
      <c r="T49" s="500" t="str">
        <f t="shared" si="3"/>
        <v>下walk▼</v>
      </c>
      <c r="U49" s="500" t="str">
        <f>IF(終値!A49="","",BB_スイング!BT49)</f>
        <v>－</v>
      </c>
      <c r="V49" s="508">
        <f>IF($D49="","",IFERROR(出来高!E49/AVERAGE(出来高!E49:I49),""))</f>
        <v>0.67415831428931317</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3498</v>
      </c>
      <c r="Z49" s="501">
        <f t="shared" si="5"/>
        <v>3893.9560070428247</v>
      </c>
      <c r="AA49" s="501">
        <f t="shared" si="6"/>
        <v>3442</v>
      </c>
      <c r="AB49" s="501">
        <f t="shared" si="10"/>
        <v>4039.7014877698598</v>
      </c>
      <c r="AC49" s="507">
        <f t="shared" si="7"/>
        <v>9.67</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6515</v>
      </c>
      <c r="E50" s="501">
        <f>IF($D50="","",AVERAGE(終値!E50:X50))</f>
        <v>6888.55</v>
      </c>
      <c r="F50" s="502">
        <f>IF($D50="","",STDEVP(終値!E50:X50))</f>
        <v>185.41668614232108</v>
      </c>
      <c r="G50" s="501">
        <f>IF($D50="","",$E50+BB設定!$B$4*$F50)</f>
        <v>7259.3833722846421</v>
      </c>
      <c r="H50" s="501">
        <f>IF($D50="","",$E50+BB設定!$B$5*$F50)</f>
        <v>7073.9666861423211</v>
      </c>
      <c r="I50" s="501">
        <f>IF($D50="","",$E50-BB設定!$B$5*$F50)</f>
        <v>6703.1333138576792</v>
      </c>
      <c r="J50" s="501">
        <f>IF($D50="","",$E50-BB設定!$B$4*$F50)</f>
        <v>6517.7166277153583</v>
      </c>
      <c r="K50" s="506">
        <f t="shared" si="0"/>
        <v>-3.6628684449590047E-3</v>
      </c>
      <c r="L50" s="505">
        <f t="shared" si="1"/>
        <v>10.766659813302999</v>
      </c>
      <c r="M50" s="505">
        <f>IF($D50="","",IFERROR(MIN(BB_帯幅!B50:AP50)*100,""))</f>
        <v>9.7664388013525123</v>
      </c>
      <c r="N50" s="500" t="str">
        <f>IF($L50="","",IF($L50&lt;=$M50*BB設定!$B$7,"スクイーズ★",IF($L50&lt;=$M50*1.3,"収縮","－")))</f>
        <v>収縮</v>
      </c>
      <c r="O50" s="500" t="str">
        <f>IF($D50="","",IF(AND(BB_帯幅!B50&gt;BB_帯幅!C50,BB_帯幅!C50&gt;BB_帯幅!D50),"拡大↑","縮小↓"))</f>
        <v>縮小↓</v>
      </c>
      <c r="P50" s="500" t="str">
        <f t="shared" si="2"/>
        <v>↓-2σ割れ</v>
      </c>
      <c r="Q50" s="503">
        <f>IF($D50="","",IFERROR(100-100/(1+SUMPRODUCT((終値!E50:R50&gt;終値!F50:S50)*(終値!E50:R50-終値!F50:S50))/SUMPRODUCT((終値!E50:R50&lt;終値!F50:S50)*(終値!F50:S50-終値!E50:R50))),100))</f>
        <v>40.219465648854964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46.376043575165276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下walk▼</v>
      </c>
      <c r="U50" s="500" t="str">
        <f>IF(終値!A50="","",BB_スイング!BT50)</f>
        <v>二番天井M▼</v>
      </c>
      <c r="V50" s="508">
        <f>IF($D50="","",IFERROR(出来高!E50/AVERAGE(出来高!E50:I50),""))</f>
        <v>0.73486967828365413</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▼二番天井警戒</v>
      </c>
      <c r="X50" s="504">
        <f t="shared" si="9"/>
        <v>0</v>
      </c>
      <c r="Y50" s="501">
        <f t="shared" si="4"/>
        <v>6515</v>
      </c>
      <c r="Z50" s="501">
        <f t="shared" si="5"/>
        <v>7073.9666861423211</v>
      </c>
      <c r="AA50" s="501">
        <f t="shared" si="6"/>
        <v>6515</v>
      </c>
      <c r="AB50" s="501">
        <f t="shared" si="10"/>
        <v>7259.3833722846421</v>
      </c>
      <c r="AC50" s="507" t="str">
        <f t="shared" si="7"/>
        <v>－</v>
      </c>
      <c r="AD50" s="501">
        <f>IF($D50="","",MIN(終値!E50:I50))</f>
        <v>6515</v>
      </c>
      <c r="AE50" s="503">
        <f t="shared" si="8"/>
        <v>9.9500000000000005E-2</v>
      </c>
    </row>
    <row r="51" spans="1:31">
      <c r="A51" s="500" t="str">
        <f>IF(終値!A51="","",HYPERLINK("https://kabutan.jp/stock/?code="&amp;終値!A51,"📈"))</f>
        <v>📈</v>
      </c>
      <c r="B51" s="500" t="str">
        <f>IF(終値!A51="","",終値!A51)</f>
        <v>5449</v>
      </c>
      <c r="C51" s="499" t="str">
        <f>IF(終値!A51="","",終値!B51)</f>
        <v>大阪製鐵</v>
      </c>
      <c r="D51" s="501">
        <f>IF(終値!A51="","",終値!E51)</f>
        <v>2448</v>
      </c>
      <c r="E51" s="501">
        <f>IF($D51="","",AVERAGE(終値!E51:X51))</f>
        <v>2572.4499999999998</v>
      </c>
      <c r="F51" s="502">
        <f>IF($D51="","",STDEVP(終値!E51:X51))</f>
        <v>130.70213272934762</v>
      </c>
      <c r="G51" s="501">
        <f>IF($D51="","",$E51+BB設定!$B$4*$F51)</f>
        <v>2833.854265458695</v>
      </c>
      <c r="H51" s="501">
        <f>IF($D51="","",$E51+BB設定!$B$5*$F51)</f>
        <v>2703.1521327293476</v>
      </c>
      <c r="I51" s="501">
        <f>IF($D51="","",$E51-BB設定!$B$5*$F51)</f>
        <v>2441.747867270652</v>
      </c>
      <c r="J51" s="501">
        <f>IF($D51="","",$E51-BB設定!$B$4*$F51)</f>
        <v>2311.0457345413047</v>
      </c>
      <c r="K51" s="506">
        <f t="shared" si="0"/>
        <v>0.26195874275115005</v>
      </c>
      <c r="L51" s="505">
        <f t="shared" si="1"/>
        <v>20.323369974825177</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バンド内</v>
      </c>
      <c r="Q51" s="503">
        <f>IF($D51="","",IFERROR(100-100/(1+SUMPRODUCT((終値!E51:R51&gt;終値!F51:S51)*(終値!E51:R51-終値!F51:S51))/SUMPRODUCT((終値!E51:R51&lt;終値!F51:S51)*(終値!F51:S51-終値!E51:R51))),100))</f>
        <v>45.992366412213734</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62.759332774422951</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v>
      </c>
      <c r="T51" s="500" t="str">
        <f t="shared" si="3"/>
        <v>－</v>
      </c>
      <c r="U51" s="500" t="str">
        <f>IF(終値!A51="","",BB_スイング!BT51)</f>
        <v>－</v>
      </c>
      <c r="V51" s="508">
        <f>IF($D51="","",IFERROR(出来高!E51/AVERAGE(出来高!E51:I51),""))</f>
        <v>0.76761433868974038</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5</v>
      </c>
      <c r="Y51" s="501">
        <f t="shared" si="4"/>
        <v>2448</v>
      </c>
      <c r="Z51" s="501">
        <f t="shared" si="5"/>
        <v>2703.1521327293476</v>
      </c>
      <c r="AA51" s="501">
        <f t="shared" si="6"/>
        <v>2368</v>
      </c>
      <c r="AB51" s="501">
        <f t="shared" si="10"/>
        <v>2833.854265458695</v>
      </c>
      <c r="AC51" s="507">
        <f t="shared" si="7"/>
        <v>4.82</v>
      </c>
      <c r="AD51" s="501">
        <f>IF($D51="","",MIN(終値!E51:I51))</f>
        <v>2368</v>
      </c>
      <c r="AE51" s="503">
        <f t="shared" si="8"/>
        <v>5.0994900000000003</v>
      </c>
    </row>
    <row r="52" spans="1:31">
      <c r="A52" s="500" t="str">
        <f>IF(終値!A52="","",HYPERLINK("https://kabutan.jp/stock/?code="&amp;終値!A52,"📈"))</f>
        <v>📈</v>
      </c>
      <c r="B52" s="500" t="str">
        <f>IF(終値!A52="","",終値!A52)</f>
        <v>8766</v>
      </c>
      <c r="C52" s="499" t="str">
        <f>IF(終値!A52="","",終値!B52)</f>
        <v>東京海上ＨＤ</v>
      </c>
      <c r="D52" s="501">
        <f>IF(終値!A52="","",終値!E52)</f>
        <v>7709</v>
      </c>
      <c r="E52" s="501">
        <f>IF($D52="","",AVERAGE(終値!E52:X52))</f>
        <v>7901.75</v>
      </c>
      <c r="F52" s="502">
        <f>IF($D52="","",STDEVP(終値!E52:X52))</f>
        <v>238.76785273566458</v>
      </c>
      <c r="G52" s="501">
        <f>IF($D52="","",$E52+BB設定!$B$4*$F52)</f>
        <v>8379.2857054713295</v>
      </c>
      <c r="H52" s="501">
        <f>IF($D52="","",$E52+BB設定!$B$5*$F52)</f>
        <v>8140.5178527356647</v>
      </c>
      <c r="I52" s="501">
        <f>IF($D52="","",$E52-BB設定!$B$5*$F52)</f>
        <v>7662.9821472643353</v>
      </c>
      <c r="J52" s="501">
        <f>IF($D52="","",$E52-BB設定!$B$4*$F52)</f>
        <v>7424.2142945286705</v>
      </c>
      <c r="K52" s="506">
        <f t="shared" si="0"/>
        <v>0.29818263033362602</v>
      </c>
      <c r="L52" s="505">
        <f t="shared" si="1"/>
        <v>12.086834067676893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52.4</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64.355012373826497</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0.79238283616804195</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10</v>
      </c>
      <c r="Y52" s="501">
        <f t="shared" si="4"/>
        <v>7709</v>
      </c>
      <c r="Z52" s="501">
        <f t="shared" si="5"/>
        <v>8140.5178527356647</v>
      </c>
      <c r="AA52" s="501">
        <f t="shared" si="6"/>
        <v>7709</v>
      </c>
      <c r="AB52" s="501">
        <f t="shared" si="10"/>
        <v>8379.2857054713295</v>
      </c>
      <c r="AC52" s="507" t="str">
        <f t="shared" si="7"/>
        <v>－</v>
      </c>
      <c r="AD52" s="501">
        <f>IF($D52="","",MIN(終値!E52:I52))</f>
        <v>7709</v>
      </c>
      <c r="AE52" s="503">
        <f t="shared" si="8"/>
        <v>10.09948</v>
      </c>
    </row>
    <row r="53" spans="1:31">
      <c r="A53" s="500" t="str">
        <f>IF(終値!A53="","",HYPERLINK("https://kabutan.jp/stock/?code="&amp;終値!A53,"📈"))</f>
        <v>📈</v>
      </c>
      <c r="B53" s="500" t="str">
        <f>IF(終値!A53="","",終値!A53)</f>
        <v>5201</v>
      </c>
      <c r="C53" s="499" t="str">
        <f>IF(終値!A53="","",終値!B53)</f>
        <v>ＡＧＣ</v>
      </c>
      <c r="D53" s="501">
        <f>IF(終値!A53="","",終値!E53)</f>
        <v>5585</v>
      </c>
      <c r="E53" s="501">
        <f>IF($D53="","",AVERAGE(終値!E53:X53))</f>
        <v>6267.15</v>
      </c>
      <c r="F53" s="502">
        <f>IF($D53="","",STDEVP(終値!E53:X53))</f>
        <v>246.37984394020546</v>
      </c>
      <c r="G53" s="501">
        <f>IF($D53="","",$E53+BB設定!$B$4*$F53)</f>
        <v>6759.9096878804103</v>
      </c>
      <c r="H53" s="501">
        <f>IF($D53="","",$E53+BB設定!$B$5*$F53)</f>
        <v>6513.529843940205</v>
      </c>
      <c r="I53" s="501">
        <f>IF($D53="","",$E53-BB設定!$B$5*$F53)</f>
        <v>6020.7701560597943</v>
      </c>
      <c r="J53" s="501">
        <f>IF($D53="","",$E53-BB設定!$B$4*$F53)</f>
        <v>5774.390312119589</v>
      </c>
      <c r="K53" s="506">
        <f t="shared" si="0"/>
        <v>-0.19217309854854919</v>
      </c>
      <c r="L53" s="505">
        <f t="shared" si="1"/>
        <v>15.725160172659363</v>
      </c>
      <c r="M53" s="505">
        <f>IF($D53="","",IFERROR(MIN(BB_帯幅!B53:AP53)*100,""))</f>
        <v>14.360035540116552</v>
      </c>
      <c r="N53" s="500" t="str">
        <f>IF($L53="","",IF($L53&lt;=$M53*BB設定!$B$7,"スクイーズ★",IF($L53&lt;=$M53*1.3,"収縮","－")))</f>
        <v>スクイーズ★</v>
      </c>
      <c r="O53" s="500" t="str">
        <f>IF($D53="","",IF(AND(BB_帯幅!B53&gt;BB_帯幅!C53,BB_帯幅!C53&gt;BB_帯幅!D53),"拡大↑","縮小↓"))</f>
        <v>縮小↓</v>
      </c>
      <c r="P53" s="500" t="str">
        <f t="shared" si="2"/>
        <v>↓-2σ割れ</v>
      </c>
      <c r="Q53" s="503">
        <f>IF($D53="","",IFERROR(100-100/(1+SUMPRODUCT((終値!E53:R53&gt;終値!F53:S53)*(終値!E53:R53-終値!F53:S53))/SUMPRODUCT((終値!E53:R53&lt;終値!F53:S53)*(終値!F53:S53-終値!E53:R53))),100))</f>
        <v>29.946808510638292</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32.384556836787652</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v>
      </c>
      <c r="V53" s="508">
        <f>IF($D53="","",IFERROR(出来高!E53/AVERAGE(出来高!E53:I53),""))</f>
        <v>1.9489541227663287</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▼-2σ割れ危険</v>
      </c>
      <c r="X53" s="504">
        <f t="shared" si="9"/>
        <v>0</v>
      </c>
      <c r="Y53" s="501">
        <f t="shared" si="4"/>
        <v>5585</v>
      </c>
      <c r="Z53" s="501">
        <f t="shared" si="5"/>
        <v>6513.529843940205</v>
      </c>
      <c r="AA53" s="501">
        <f t="shared" si="6"/>
        <v>5585</v>
      </c>
      <c r="AB53" s="501">
        <f t="shared" si="10"/>
        <v>6759.9096878804103</v>
      </c>
      <c r="AC53" s="507" t="str">
        <f t="shared" si="7"/>
        <v>－</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6811</v>
      </c>
      <c r="E54" s="501">
        <f>IF($D54="","",AVERAGE(終値!E54:X54))</f>
        <v>6868.15</v>
      </c>
      <c r="F54" s="502">
        <f>IF($D54="","",STDEVP(終値!E54:X54))</f>
        <v>263.70594892796788</v>
      </c>
      <c r="G54" s="501">
        <f>IF($D54="","",$E54+BB設定!$B$4*$F54)</f>
        <v>7395.5618978559351</v>
      </c>
      <c r="H54" s="501">
        <f>IF($D54="","",$E54+BB設定!$B$5*$F54)</f>
        <v>7131.8559489279678</v>
      </c>
      <c r="I54" s="501">
        <f>IF($D54="","",$E54-BB設定!$B$5*$F54)</f>
        <v>6604.4440510720315</v>
      </c>
      <c r="J54" s="501">
        <f>IF($D54="","",$E54-BB設定!$B$4*$F54)</f>
        <v>6340.7381021440642</v>
      </c>
      <c r="K54" s="506">
        <f t="shared" si="0"/>
        <v>0.44582033489163875</v>
      </c>
      <c r="L54" s="505">
        <f t="shared" si="1"/>
        <v>15.358193919932891</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60.903732809430252</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51.59285099986328</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v>
      </c>
      <c r="T54" s="500" t="str">
        <f t="shared" si="3"/>
        <v>－</v>
      </c>
      <c r="U54" s="500" t="str">
        <f>IF(終値!A54="","",BB_スイング!BT54)</f>
        <v>－</v>
      </c>
      <c r="V54" s="508">
        <f>IF($D54="","",IFERROR(出来高!E54/AVERAGE(出来高!E54:I54),""))</f>
        <v>0.88517237837652774</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様子見</v>
      </c>
      <c r="X54" s="504">
        <f t="shared" si="9"/>
        <v>5</v>
      </c>
      <c r="Y54" s="501">
        <f t="shared" si="4"/>
        <v>6811</v>
      </c>
      <c r="Z54" s="501">
        <f t="shared" si="5"/>
        <v>7131.8559489279678</v>
      </c>
      <c r="AA54" s="501">
        <f t="shared" si="6"/>
        <v>6811</v>
      </c>
      <c r="AB54" s="501">
        <f t="shared" si="10"/>
        <v>7395.5618978559351</v>
      </c>
      <c r="AC54" s="507" t="str">
        <f t="shared" si="7"/>
        <v>－</v>
      </c>
      <c r="AD54" s="501">
        <f>IF($D54="","",MIN(終値!E54:I54))</f>
        <v>6811</v>
      </c>
      <c r="AE54" s="503">
        <f t="shared" si="8"/>
        <v>5.0994599999999997</v>
      </c>
    </row>
    <row r="55" spans="1:31" ht="24">
      <c r="A55" s="500" t="str">
        <f>IF(終値!A55="","",HYPERLINK("https://kabutan.jp/stock/?code="&amp;終値!A55,"📈"))</f>
        <v>📈</v>
      </c>
      <c r="B55" s="500" t="str">
        <f>IF(終値!A55="","",終値!A55)</f>
        <v>5901</v>
      </c>
      <c r="C55" s="499" t="str">
        <f>IF(終値!A55="","",終値!B55)</f>
        <v>東洋製罐グループＨＤ</v>
      </c>
      <c r="D55" s="501">
        <f>IF(終値!A55="","",終値!E55)</f>
        <v>3995</v>
      </c>
      <c r="E55" s="501">
        <f>IF($D55="","",AVERAGE(終値!E55:X55))</f>
        <v>4081.6</v>
      </c>
      <c r="F55" s="502">
        <f>IF($D55="","",STDEVP(終値!E55:X55))</f>
        <v>58.86628916451248</v>
      </c>
      <c r="G55" s="501">
        <f>IF($D55="","",$E55+BB設定!$B$4*$F55)</f>
        <v>4199.3325783290247</v>
      </c>
      <c r="H55" s="501">
        <f>IF($D55="","",$E55+BB設定!$B$5*$F55)</f>
        <v>4140.4662891645121</v>
      </c>
      <c r="I55" s="501">
        <f>IF($D55="","",$E55-BB設定!$B$5*$F55)</f>
        <v>4022.7337108354873</v>
      </c>
      <c r="J55" s="501">
        <f>IF($D55="","",$E55-BB設定!$B$4*$F55)</f>
        <v>3963.8674216709751</v>
      </c>
      <c r="K55" s="506">
        <f t="shared" si="0"/>
        <v>0.13221734702020765</v>
      </c>
      <c r="L55" s="505">
        <f t="shared" si="1"/>
        <v>5.768942489662134</v>
      </c>
      <c r="M55" s="505">
        <f>IF($D55="","",IFERROR(MIN(BB_帯幅!B55:AP55)*100,""))</f>
        <v>4.5476506426549514</v>
      </c>
      <c r="N55" s="500" t="str">
        <f>IF($L55="","",IF($L55&lt;=$M55*BB設定!$B$7,"スクイーズ★",IF($L55&lt;=$M55*1.3,"収縮","－")))</f>
        <v>収縮</v>
      </c>
      <c r="O55" s="500" t="str">
        <f>IF($D55="","",IF(AND(BB_帯幅!B55&gt;BB_帯幅!C55,BB_帯幅!C55&gt;BB_帯幅!D55),"拡大↑","縮小↓"))</f>
        <v>拡大↑</v>
      </c>
      <c r="P55" s="500" t="str">
        <f t="shared" si="2"/>
        <v>-1σ下</v>
      </c>
      <c r="Q55" s="503">
        <f>IF($D55="","",IFERROR(100-100/(1+SUMPRODUCT((終値!E55:R55&gt;終値!F55:S55)*(終値!E55:R55-終値!F55:S55))/SUMPRODUCT((終値!E55:R55&lt;終値!F55:S55)*(終値!F55:S55-終値!E55:R55))),100))</f>
        <v>49.596774193548384</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58.227921824720568</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強気div▲</v>
      </c>
      <c r="T55" s="500" t="str">
        <f t="shared" si="3"/>
        <v>下walk▼</v>
      </c>
      <c r="U55" s="500" t="str">
        <f>IF(終値!A55="","",BB_スイング!BT55)</f>
        <v>二番天井M形成</v>
      </c>
      <c r="V55" s="508">
        <f>IF($D55="","",IFERROR(出来高!E55/AVERAGE(出来高!E55:I55),""))</f>
        <v>0.82982933465248576</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▼二番天井警戒</v>
      </c>
      <c r="X55" s="504">
        <f t="shared" si="9"/>
        <v>0</v>
      </c>
      <c r="Y55" s="501">
        <f t="shared" si="4"/>
        <v>3995</v>
      </c>
      <c r="Z55" s="501">
        <f t="shared" si="5"/>
        <v>4140.4662891645121</v>
      </c>
      <c r="AA55" s="501">
        <f t="shared" si="6"/>
        <v>3995</v>
      </c>
      <c r="AB55" s="501">
        <f t="shared" si="10"/>
        <v>4199.3325783290247</v>
      </c>
      <c r="AC55" s="507" t="str">
        <f t="shared" si="7"/>
        <v>－</v>
      </c>
      <c r="AD55" s="501">
        <f>IF($D55="","",MIN(終値!E55:I55))</f>
        <v>3995</v>
      </c>
      <c r="AE55" s="503">
        <f t="shared" si="8"/>
        <v>9.9449999999999997E-2</v>
      </c>
    </row>
    <row r="56" spans="1:31">
      <c r="A56" s="500" t="str">
        <f>IF(終値!A56="","",HYPERLINK("https://kabutan.jp/stock/?code="&amp;終値!A56,"📈"))</f>
        <v>📈</v>
      </c>
      <c r="B56" s="500" t="str">
        <f>IF(終値!A56="","",終値!A56)</f>
        <v>9412</v>
      </c>
      <c r="C56" s="499" t="str">
        <f>IF(終値!A56="","",終値!B56)</f>
        <v>スカパーＪＳＡＴ</v>
      </c>
      <c r="D56" s="501">
        <f>IF(終値!A56="","",終値!E56)</f>
        <v>2214</v>
      </c>
      <c r="E56" s="501">
        <f>IF($D56="","",AVERAGE(終値!E56:X56))</f>
        <v>2333.6</v>
      </c>
      <c r="F56" s="502">
        <f>IF($D56="","",STDEVP(終値!E56:X56))</f>
        <v>193.85984628076025</v>
      </c>
      <c r="G56" s="501">
        <f>IF($D56="","",$E56+BB設定!$B$4*$F56)</f>
        <v>2721.3196925615202</v>
      </c>
      <c r="H56" s="501">
        <f>IF($D56="","",$E56+BB設定!$B$5*$F56)</f>
        <v>2527.4598462807603</v>
      </c>
      <c r="I56" s="501">
        <f>IF($D56="","",$E56-BB設定!$B$5*$F56)</f>
        <v>2139.7401537192395</v>
      </c>
      <c r="J56" s="501">
        <f>IF($D56="","",$E56-BB設定!$B$4*$F56)</f>
        <v>1945.8803074384793</v>
      </c>
      <c r="K56" s="506">
        <f t="shared" si="0"/>
        <v>0.34576486274162799</v>
      </c>
      <c r="L56" s="505">
        <f t="shared" si="1"/>
        <v>33.229318868831029</v>
      </c>
      <c r="M56" s="505">
        <f>IF($D56="","",IFERROR(MIN(BB_帯幅!B56:AP56)*100,""))</f>
        <v>24.11533918340238</v>
      </c>
      <c r="N56" s="500" t="str">
        <f>IF($L56="","",IF($L56&lt;=$M56*BB設定!$B$7,"スクイーズ★",IF($L56&lt;=$M56*1.3,"収縮","－")))</f>
        <v>－</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29.657228017883767</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30.916961179009562</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v>
      </c>
      <c r="T56" s="500" t="str">
        <f t="shared" si="3"/>
        <v>－</v>
      </c>
      <c r="U56" s="500" t="str">
        <f>IF(終値!A56="","",BB_スイング!BT56)</f>
        <v>－</v>
      </c>
      <c r="V56" s="508">
        <f>IF($D56="","",IFERROR(出来高!E56/AVERAGE(出来高!E56:I56),""))</f>
        <v>1.1084135290812025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様子見</v>
      </c>
      <c r="X56" s="504">
        <f t="shared" si="9"/>
        <v>0</v>
      </c>
      <c r="Y56" s="501">
        <f t="shared" si="4"/>
        <v>2214</v>
      </c>
      <c r="Z56" s="501">
        <f t="shared" si="5"/>
        <v>2527.4598462807603</v>
      </c>
      <c r="AA56" s="501">
        <f t="shared" si="6"/>
        <v>2040</v>
      </c>
      <c r="AB56" s="501">
        <f t="shared" si="10"/>
        <v>2721.3196925615202</v>
      </c>
      <c r="AC56" s="507">
        <f t="shared" si="7"/>
        <v>2.92</v>
      </c>
      <c r="AD56" s="501">
        <f>IF($D56="","",MIN(終値!E56:I56))</f>
        <v>2040</v>
      </c>
      <c r="AE56" s="503">
        <f t="shared" si="8"/>
        <v>9.9440000000000001E-2</v>
      </c>
    </row>
    <row r="57" spans="1:31">
      <c r="A57" s="500" t="str">
        <f>IF(終値!A57="","",HYPERLINK("https://kabutan.jp/stock/?code="&amp;終値!A57,"📈"))</f>
        <v>📈</v>
      </c>
      <c r="B57" s="500" t="str">
        <f>IF(終値!A57="","",終値!A57)</f>
        <v>6203</v>
      </c>
      <c r="C57" s="499" t="str">
        <f>IF(終値!A57="","",終値!B57)</f>
        <v>豊和工業</v>
      </c>
      <c r="D57" s="501">
        <f>IF(終値!A57="","",終値!E57)</f>
        <v>1383</v>
      </c>
      <c r="E57" s="501">
        <f>IF($D57="","",AVERAGE(終値!E57:X57))</f>
        <v>1491.8</v>
      </c>
      <c r="F57" s="502">
        <f>IF($D57="","",STDEVP(終値!E57:X57))</f>
        <v>117.72450891806685</v>
      </c>
      <c r="G57" s="501">
        <f>IF($D57="","",$E57+BB設定!$B$4*$F57)</f>
        <v>1727.2490178361336</v>
      </c>
      <c r="H57" s="501">
        <f>IF($D57="","",$E57+BB設定!$B$5*$F57)</f>
        <v>1609.5245089180669</v>
      </c>
      <c r="I57" s="501">
        <f>IF($D57="","",$E57-BB設定!$B$5*$F57)</f>
        <v>1374.075491081933</v>
      </c>
      <c r="J57" s="501">
        <f>IF($D57="","",$E57-BB設定!$B$4*$F57)</f>
        <v>1256.3509821638663</v>
      </c>
      <c r="K57" s="506">
        <f t="shared" si="0"/>
        <v>0.26895210479127607</v>
      </c>
      <c r="L57" s="505">
        <f t="shared" si="1"/>
        <v>31.565761876408853</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30.944055944055947</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45.443564332081856</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v>
      </c>
      <c r="T57" s="500" t="str">
        <f t="shared" si="3"/>
        <v>－</v>
      </c>
      <c r="U57" s="500" t="str">
        <f>IF(終値!A57="","",BB_スイング!BT57)</f>
        <v>二番天井M形成</v>
      </c>
      <c r="V57" s="508">
        <f>IF($D57="","",IFERROR(出来高!E57/AVERAGE(出来高!E57:I57),""))</f>
        <v>0.70889399409255005</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▼二番天井警戒</v>
      </c>
      <c r="X57" s="504">
        <f t="shared" si="9"/>
        <v>0</v>
      </c>
      <c r="Y57" s="501">
        <f t="shared" si="4"/>
        <v>1383</v>
      </c>
      <c r="Z57" s="501">
        <f t="shared" si="5"/>
        <v>1609.5245089180669</v>
      </c>
      <c r="AA57" s="501">
        <f t="shared" si="6"/>
        <v>1324</v>
      </c>
      <c r="AB57" s="501">
        <f t="shared" si="10"/>
        <v>1727.2490178361336</v>
      </c>
      <c r="AC57" s="507">
        <f t="shared" si="7"/>
        <v>5.83</v>
      </c>
      <c r="AD57" s="501">
        <f>IF($D57="","",MIN(終値!E57:I57))</f>
        <v>1324</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3876</v>
      </c>
      <c r="E58" s="501">
        <f>IF($D58="","",AVERAGE(終値!E58:X58))</f>
        <v>4093.85</v>
      </c>
      <c r="F58" s="502">
        <f>IF($D58="","",STDEVP(終値!E58:X58))</f>
        <v>93.380552043774088</v>
      </c>
      <c r="G58" s="501">
        <f>IF($D58="","",$E58+BB設定!$B$4*$F58)</f>
        <v>4280.6111040875485</v>
      </c>
      <c r="H58" s="501">
        <f>IF($D58="","",$E58+BB設定!$B$5*$F58)</f>
        <v>4187.230552043774</v>
      </c>
      <c r="I58" s="501">
        <f>IF($D58="","",$E58-BB設定!$B$5*$F58)</f>
        <v>4000.4694479562258</v>
      </c>
      <c r="J58" s="501">
        <f>IF($D58="","",$E58-BB設定!$B$4*$F58)</f>
        <v>3907.0888959124518</v>
      </c>
      <c r="K58" s="506">
        <f t="shared" si="0"/>
        <v>-8.3231720181623559E-2</v>
      </c>
      <c r="L58" s="505">
        <f t="shared" si="1"/>
        <v>9.1239837359721694</v>
      </c>
      <c r="M58" s="505">
        <f>IF($D58="","",IFERROR(MIN(BB_帯幅!B58:AP58)*100,""))</f>
        <v>7.5469152478513477</v>
      </c>
      <c r="N58" s="500" t="str">
        <f>IF($L58="","",IF($L58&lt;=$M58*BB設定!$B$7,"スクイーズ★",IF($L58&lt;=$M58*1.3,"収縮","－")))</f>
        <v>収縮</v>
      </c>
      <c r="O58" s="500" t="str">
        <f>IF($D58="","",IF(AND(BB_帯幅!B58&gt;BB_帯幅!C58,BB_帯幅!C58&gt;BB_帯幅!D58),"拡大↑","縮小↓"))</f>
        <v>拡大↑</v>
      </c>
      <c r="P58" s="500" t="str">
        <f t="shared" si="2"/>
        <v>↓-2σ割れ</v>
      </c>
      <c r="Q58" s="503">
        <f>IF($D58="","",IFERROR(100-100/(1+SUMPRODUCT((終値!E58:R58&gt;終値!F58:S58)*(終値!E58:R58-終値!F58:S58))/SUMPRODUCT((終値!E58:R58&lt;終値!F58:S58)*(終値!F58:S58-終値!E58:R58))),100))</f>
        <v>35.699797160243406</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46.786420405890233</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v>
      </c>
      <c r="T58" s="500" t="str">
        <f t="shared" si="3"/>
        <v>下walk▼</v>
      </c>
      <c r="U58" s="500" t="str">
        <f>IF(終値!A58="","",BB_スイング!BT58)</f>
        <v>二番天井M▼</v>
      </c>
      <c r="V58" s="508">
        <f>IF($D58="","",IFERROR(出来高!E58/AVERAGE(出来高!E58:I58),""))</f>
        <v>0.87137969680882443</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▼二番天井警戒</v>
      </c>
      <c r="X58" s="504">
        <f t="shared" si="9"/>
        <v>0</v>
      </c>
      <c r="Y58" s="501">
        <f t="shared" si="4"/>
        <v>3876</v>
      </c>
      <c r="Z58" s="501">
        <f t="shared" si="5"/>
        <v>4187.230552043774</v>
      </c>
      <c r="AA58" s="501">
        <f t="shared" si="6"/>
        <v>3876</v>
      </c>
      <c r="AB58" s="501">
        <f t="shared" si="10"/>
        <v>4280.6111040875485</v>
      </c>
      <c r="AC58" s="507" t="str">
        <f t="shared" si="7"/>
        <v>－</v>
      </c>
      <c r="AD58" s="501">
        <f>IF($D58="","",MIN(終値!E58:I58))</f>
        <v>3876</v>
      </c>
      <c r="AE58" s="503">
        <f t="shared" si="8"/>
        <v>9.9419999999999994E-2</v>
      </c>
    </row>
    <row r="59" spans="1:31">
      <c r="A59" s="500" t="str">
        <f>IF(終値!A59="","",HYPERLINK("https://kabutan.jp/stock/?code="&amp;終値!A59,"📈"))</f>
        <v>📈</v>
      </c>
      <c r="B59" s="500" t="str">
        <f>IF(終値!A59="","",終値!A59)</f>
        <v>1961</v>
      </c>
      <c r="C59" s="499" t="str">
        <f>IF(終値!A59="","",終値!B59)</f>
        <v>三機工業</v>
      </c>
      <c r="D59" s="501">
        <f>IF(終値!A59="","",終値!E59)</f>
        <v>2312</v>
      </c>
      <c r="E59" s="501">
        <f>IF($D59="","",AVERAGE(終値!E59:X59))</f>
        <v>2490.0500000000002</v>
      </c>
      <c r="F59" s="502">
        <f>IF($D59="","",STDEVP(終値!E59:X59))</f>
        <v>186.72639743753425</v>
      </c>
      <c r="G59" s="501">
        <f>IF($D59="","",$E59+BB設定!$B$4*$F59)</f>
        <v>2863.5027948750685</v>
      </c>
      <c r="H59" s="501">
        <f>IF($D59="","",$E59+BB設定!$B$5*$F59)</f>
        <v>2676.7763974375343</v>
      </c>
      <c r="I59" s="501">
        <f>IF($D59="","",$E59-BB設定!$B$5*$F59)</f>
        <v>2303.323602562466</v>
      </c>
      <c r="J59" s="501">
        <f>IF($D59="","",$E59-BB設定!$B$4*$F59)</f>
        <v>2116.5972051249319</v>
      </c>
      <c r="K59" s="506">
        <f t="shared" si="0"/>
        <v>0.26161645803244893</v>
      </c>
      <c r="L59" s="505">
        <f t="shared" si="1"/>
        <v>29.995606102292587</v>
      </c>
      <c r="M59" s="505">
        <f>IF($D59="","",IFERROR(MIN(BB_帯幅!B59:AP59)*100,""))</f>
        <v>24.463026176114589</v>
      </c>
      <c r="N59" s="500" t="str">
        <f>IF($L59="","",IF($L59&lt;=$M59*BB設定!$B$7,"スクイーズ★",IF($L59&lt;=$M59*1.3,"収縮","－")))</f>
        <v>収縮</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36.577181208053695</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38.537324535086675</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0.67377940544479531</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15</v>
      </c>
      <c r="Y59" s="501">
        <f t="shared" si="4"/>
        <v>2312</v>
      </c>
      <c r="Z59" s="501">
        <f t="shared" si="5"/>
        <v>2676.7763974375343</v>
      </c>
      <c r="AA59" s="501">
        <f t="shared" si="6"/>
        <v>2203</v>
      </c>
      <c r="AB59" s="501">
        <f t="shared" si="10"/>
        <v>2863.5027948750685</v>
      </c>
      <c r="AC59" s="507">
        <f t="shared" si="7"/>
        <v>5.0599999999999996</v>
      </c>
      <c r="AD59" s="501">
        <f>IF($D59="","",MIN(終値!E59:I59))</f>
        <v>2203</v>
      </c>
      <c r="AE59" s="503">
        <f t="shared" si="8"/>
        <v>15.099410000000001</v>
      </c>
    </row>
    <row r="60" spans="1:31">
      <c r="A60" s="500" t="str">
        <f>IF(終値!A60="","",HYPERLINK("https://kabutan.jp/stock/?code="&amp;終値!A60,"📈"))</f>
        <v>📈</v>
      </c>
      <c r="B60" s="500" t="str">
        <f>IF(終値!A60="","",終値!A60)</f>
        <v>3107</v>
      </c>
      <c r="C60" s="499" t="str">
        <f>IF(終値!A60="","",終値!B60)</f>
        <v>ダイワボウＨＤ</v>
      </c>
      <c r="D60" s="501">
        <f>IF(終値!A60="","",終値!E60)</f>
        <v>3605</v>
      </c>
      <c r="E60" s="501">
        <f>IF($D60="","",AVERAGE(終値!E60:X60))</f>
        <v>3492</v>
      </c>
      <c r="F60" s="502">
        <f>IF($D60="","",STDEVP(終値!E60:X60))</f>
        <v>87.652723859558407</v>
      </c>
      <c r="G60" s="501">
        <f>IF($D60="","",$E60+BB設定!$B$4*$F60)</f>
        <v>3667.3054477191167</v>
      </c>
      <c r="H60" s="501">
        <f>IF($D60="","",$E60+BB設定!$B$5*$F60)</f>
        <v>3579.6527238595586</v>
      </c>
      <c r="I60" s="501">
        <f>IF($D60="","",$E60-BB設定!$B$5*$F60)</f>
        <v>3404.3472761404414</v>
      </c>
      <c r="J60" s="501">
        <f>IF($D60="","",$E60-BB設定!$B$4*$F60)</f>
        <v>3316.6945522808833</v>
      </c>
      <c r="K60" s="506">
        <f t="shared" si="0"/>
        <v>0.82229460484609218</v>
      </c>
      <c r="L60" s="505">
        <f t="shared" si="1"/>
        <v>10.040403649433948</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69.819819819819813</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64.336046966486521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二番天井M形成</v>
      </c>
      <c r="V60" s="508">
        <f>IF($D60="","",IFERROR(出来高!E60/AVERAGE(出来高!E60:I60),""))</f>
        <v>0.92466460268317852</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▼二番天井警戒</v>
      </c>
      <c r="X60" s="504">
        <f t="shared" si="9"/>
        <v>32</v>
      </c>
      <c r="Y60" s="501">
        <f t="shared" si="4"/>
        <v>3605</v>
      </c>
      <c r="Z60" s="501">
        <f t="shared" si="5"/>
        <v>3579.6527238595586</v>
      </c>
      <c r="AA60" s="501">
        <f t="shared" si="6"/>
        <v>3492</v>
      </c>
      <c r="AB60" s="501">
        <f t="shared" si="10"/>
        <v>3667.3054477191167</v>
      </c>
      <c r="AC60" s="507">
        <f t="shared" si="7"/>
        <v>0.55000000000000004</v>
      </c>
      <c r="AD60" s="501">
        <f>IF($D60="","",MIN(終値!E60:I60))</f>
        <v>3535</v>
      </c>
      <c r="AE60" s="503">
        <f t="shared" si="8"/>
        <v>32.099400000000003</v>
      </c>
    </row>
    <row r="61" spans="1:31">
      <c r="A61" s="500" t="str">
        <f>IF(終値!A61="","",HYPERLINK("https://kabutan.jp/stock/?code="&amp;終値!A61,"📈"))</f>
        <v>📈</v>
      </c>
      <c r="B61" s="500" t="str">
        <f>IF(終値!A61="","",終値!A61)</f>
        <v>4045</v>
      </c>
      <c r="C61" s="499" t="str">
        <f>IF(終値!A61="","",終値!B61)</f>
        <v>東亞合成</v>
      </c>
      <c r="D61" s="501">
        <f>IF(終値!A61="","",終値!E61)</f>
        <v>1825.5</v>
      </c>
      <c r="E61" s="501">
        <f>IF($D61="","",AVERAGE(終値!E61:X61))</f>
        <v>1766.575</v>
      </c>
      <c r="F61" s="502">
        <f>IF($D61="","",STDEVP(終値!E61:X61))</f>
        <v>33.988702167043684</v>
      </c>
      <c r="G61" s="501">
        <f>IF($D61="","",$E61+BB設定!$B$4*$F61)</f>
        <v>1834.5524043340874</v>
      </c>
      <c r="H61" s="501">
        <f>IF($D61="","",$E61+BB設定!$B$5*$F61)</f>
        <v>1800.5637021670436</v>
      </c>
      <c r="I61" s="501">
        <f>IF($D61="","",$E61-BB設定!$B$5*$F61)</f>
        <v>1732.5862978329565</v>
      </c>
      <c r="J61" s="501">
        <f>IF($D61="","",$E61-BB設定!$B$4*$F61)</f>
        <v>1698.5975956659126</v>
      </c>
      <c r="K61" s="506">
        <f t="shared" si="0"/>
        <v>0.93341607830744944</v>
      </c>
      <c r="L61" s="505">
        <f t="shared" si="1"/>
        <v>7.6959545260277542</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77.097505668934232</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53.199980694570755</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二番底W形成</v>
      </c>
      <c r="V61" s="508">
        <f>IF($D61="","",IFERROR(出来高!E61/AVERAGE(出来高!E61:I61),""))</f>
        <v>0.59687448862706594</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△二番底形成</v>
      </c>
      <c r="X61" s="504">
        <f t="shared" si="9"/>
        <v>35</v>
      </c>
      <c r="Y61" s="501">
        <f t="shared" si="4"/>
        <v>1825.5</v>
      </c>
      <c r="Z61" s="501">
        <f t="shared" si="5"/>
        <v>1800.5637021670436</v>
      </c>
      <c r="AA61" s="501">
        <f t="shared" si="6"/>
        <v>1766.575</v>
      </c>
      <c r="AB61" s="501">
        <f t="shared" si="10"/>
        <v>1834.5524043340874</v>
      </c>
      <c r="AC61" s="507">
        <f t="shared" si="7"/>
        <v>0.15</v>
      </c>
      <c r="AD61" s="501">
        <f>IF($D61="","",MIN(終値!E61:I61))</f>
        <v>1790</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3090</v>
      </c>
      <c r="E62" s="501">
        <f>IF($D62="","",AVERAGE(終値!E62:X62))</f>
        <v>3036.35</v>
      </c>
      <c r="F62" s="502">
        <f>IF($D62="","",STDEVP(終値!E62:X62))</f>
        <v>61.799898867231164</v>
      </c>
      <c r="G62" s="501">
        <f>IF($D62="","",$E62+BB設定!$B$4*$F62)</f>
        <v>3159.9497977344622</v>
      </c>
      <c r="H62" s="501">
        <f>IF($D62="","",$E62+BB設定!$B$5*$F62)</f>
        <v>3098.1498988672311</v>
      </c>
      <c r="I62" s="501">
        <f>IF($D62="","",$E62-BB設定!$B$5*$F62)</f>
        <v>2974.5501011327688</v>
      </c>
      <c r="J62" s="501">
        <f>IF($D62="","",$E62-BB設定!$B$4*$F62)</f>
        <v>2912.7502022655376</v>
      </c>
      <c r="K62" s="506">
        <f t="shared" si="0"/>
        <v>0.71703109949767052</v>
      </c>
      <c r="L62" s="505">
        <f t="shared" si="1"/>
        <v>8.1413406052966426</v>
      </c>
      <c r="M62" s="505">
        <f>IF($D62="","",IFERROR(MIN(BB_帯幅!B62:AP62)*100,""))</f>
        <v>7.9855873929494257</v>
      </c>
      <c r="N62" s="500" t="str">
        <f>IF($L62="","",IF($L62&lt;=$M62*BB設定!$B$7,"スクイーズ★",IF($L62&lt;=$M62*1.3,"収縮","－")))</f>
        <v>スクイーズ★</v>
      </c>
      <c r="O62" s="500" t="str">
        <f>IF($D62="","",IF(AND(BB_帯幅!B62&gt;BB_帯幅!C62,BB_帯幅!C62&gt;BB_帯幅!D62),"拡大↑","縮小↓"))</f>
        <v>縮小↓</v>
      </c>
      <c r="P62" s="500" t="str">
        <f t="shared" si="2"/>
        <v>バンド内</v>
      </c>
      <c r="Q62" s="503">
        <f>IF($D62="","",IFERROR(100-100/(1+SUMPRODUCT((終値!E62:R62&gt;終値!F62:S62)*(終値!E62:R62-終値!F62:S62))/SUMPRODUCT((終値!E62:R62&lt;終値!F62:S62)*(終値!F62:S62-終値!E62:R62))),100))</f>
        <v>56.388595564941916</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54.056879375437056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v>
      </c>
      <c r="U62" s="500" t="str">
        <f>IF(終値!A62="","",BB_スイング!BT62)</f>
        <v>二番底W形成</v>
      </c>
      <c r="V62" s="508">
        <f>IF($D62="","",IFERROR(出来高!E62/AVERAGE(出来高!E62:I62),""))</f>
        <v>0.94807692307692304</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△二番底形成</v>
      </c>
      <c r="X62" s="504">
        <f t="shared" si="9"/>
        <v>40</v>
      </c>
      <c r="Y62" s="501">
        <f t="shared" si="4"/>
        <v>3090</v>
      </c>
      <c r="Z62" s="501">
        <f t="shared" si="5"/>
        <v>3098.1498988672311</v>
      </c>
      <c r="AA62" s="501">
        <f t="shared" si="6"/>
        <v>3036.35</v>
      </c>
      <c r="AB62" s="501">
        <f t="shared" si="10"/>
        <v>3159.9497977344622</v>
      </c>
      <c r="AC62" s="507">
        <f t="shared" si="7"/>
        <v>1.3</v>
      </c>
      <c r="AD62" s="501">
        <f>IF($D62="","",MIN(終値!E62:I62))</f>
        <v>2987</v>
      </c>
      <c r="AE62" s="503">
        <f t="shared" si="8"/>
        <v>40.099379999999996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1074</v>
      </c>
      <c r="E63" s="501">
        <f>IF($D63="","",AVERAGE(終値!E63:X63))</f>
        <v>1103.2105263157894</v>
      </c>
      <c r="F63" s="502">
        <f>IF($D63="","",STDEVP(終値!E63:X63))</f>
        <v>14.795372489106612</v>
      </c>
      <c r="G63" s="501">
        <f>IF($D63="","",$E63+BB設定!$B$4*$F63)</f>
        <v>1132.8012712940026</v>
      </c>
      <c r="H63" s="501">
        <f>IF($D63="","",$E63+BB設定!$B$5*$F63)</f>
        <v>1118.0058988048959</v>
      </c>
      <c r="I63" s="501">
        <f>IF($D63="","",$E63-BB設定!$B$5*$F63)</f>
        <v>1088.4151538266829</v>
      </c>
      <c r="J63" s="501">
        <f>IF($D63="","",$E63-BB設定!$B$4*$F63)</f>
        <v>1073.6197813375761</v>
      </c>
      <c r="K63" s="506">
        <f t="shared" si="0"/>
        <v>6.4246213250769612E-3</v>
      </c>
      <c r="L63" s="505">
        <f t="shared" si="1"/>
        <v>5.3644783606321438</v>
      </c>
      <c r="M63" s="505">
        <f>IF($D63="","",IFERROR(MIN(BB_帯幅!B63:AP63)*100,""))</f>
        <v>5.2550978775354356</v>
      </c>
      <c r="N63" s="500" t="str">
        <f>IF($L63="","",IF($L63&lt;=$M63*BB設定!$B$7,"スクイーズ★",IF($L63&lt;=$M63*1.3,"収縮","－")))</f>
        <v>スクイーズ★</v>
      </c>
      <c r="O63" s="500" t="str">
        <f>IF($D63="","",IF(AND(BB_帯幅!B63&gt;BB_帯幅!C63,BB_帯幅!C63&gt;BB_帯幅!D63),"拡大↑","縮小↓"))</f>
        <v>縮小↓</v>
      </c>
      <c r="P63" s="500" t="str">
        <f t="shared" si="2"/>
        <v>-1σ下</v>
      </c>
      <c r="Q63" s="503">
        <f>IF($D63="","",IFERROR(100-100/(1+SUMPRODUCT((終値!E63:R63&gt;終値!F63:S63)*(終値!E63:R63-終値!F63:S63))/SUMPRODUCT((終値!E63:R63&lt;終値!F63:S63)*(終値!F63:S63-終値!E63:R63))),100))</f>
        <v>49.809564113415149</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48.862438384893792</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下walk▼</v>
      </c>
      <c r="U63" s="500" t="str">
        <f>IF(終値!A63="","",BB_スイング!BT63)</f>
        <v>二番天井M▼</v>
      </c>
      <c r="V63" s="508">
        <f>IF($D63="","",IFERROR(出来高!E63/AVERAGE(出来高!E63:I63),""))</f>
        <v>0.80947775628626695</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1074</v>
      </c>
      <c r="Z63" s="501">
        <f t="shared" si="5"/>
        <v>1118.0058988048959</v>
      </c>
      <c r="AA63" s="501">
        <f t="shared" si="6"/>
        <v>1074</v>
      </c>
      <c r="AB63" s="501">
        <f t="shared" si="10"/>
        <v>1132.8012712940026</v>
      </c>
      <c r="AC63" s="507" t="str">
        <f t="shared" si="7"/>
        <v>－</v>
      </c>
      <c r="AD63" s="501">
        <f>IF($D63="","",MIN(終値!E63:I63))</f>
        <v>1074</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3767</v>
      </c>
      <c r="E64" s="501">
        <f>IF($D64="","",AVERAGE(終値!E64:X64))</f>
        <v>3848.95</v>
      </c>
      <c r="F64" s="502">
        <f>IF($D64="","",STDEVP(終値!E64:X64))</f>
        <v>68.715700534885045</v>
      </c>
      <c r="G64" s="501">
        <f>IF($D64="","",$E64+BB設定!$B$4*$F64)</f>
        <v>3986.3814010697697</v>
      </c>
      <c r="H64" s="501">
        <f>IF($D64="","",$E64+BB設定!$B$5*$F64)</f>
        <v>3917.6657005348848</v>
      </c>
      <c r="I64" s="501">
        <f>IF($D64="","",$E64-BB設定!$B$5*$F64)</f>
        <v>3780.2342994651149</v>
      </c>
      <c r="J64" s="501">
        <f>IF($D64="","",$E64-BB設定!$B$4*$F64)</f>
        <v>3711.5185989302299</v>
      </c>
      <c r="K64" s="506">
        <f t="shared" si="0"/>
        <v>0.20185125319941907</v>
      </c>
      <c r="L64" s="505">
        <f t="shared" si="1"/>
        <v>7.1412411732950485</v>
      </c>
      <c r="M64" s="505">
        <f>IF($D64="","",IFERROR(MIN(BB_帯幅!B64:AP64)*100,""))</f>
        <v>2.536276412812227</v>
      </c>
      <c r="N64" s="500" t="str">
        <f>IF($L64="","",IF($L64&lt;=$M64*BB設定!$B$7,"スクイーズ★",IF($L64&lt;=$M64*1.3,"収縮","－")))</f>
        <v>－</v>
      </c>
      <c r="O64" s="500" t="str">
        <f>IF($D64="","",IF(AND(BB_帯幅!B64&gt;BB_帯幅!C64,BB_帯幅!C64&gt;BB_帯幅!D64),"拡大↑","縮小↓"))</f>
        <v>縮小↓</v>
      </c>
      <c r="P64" s="500" t="str">
        <f t="shared" si="2"/>
        <v>-1σ下</v>
      </c>
      <c r="Q64" s="503">
        <f>IF($D64="","",IFERROR(100-100/(1+SUMPRODUCT((終値!E64:R64&gt;終値!F64:S64)*(終値!E64:R64-終値!F64:S64))/SUMPRODUCT((終値!E64:R64&lt;終値!F64:S64)*(終値!F64:S64-終値!E64:R64))),100))</f>
        <v>46.33507853403141</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46.00028258631545</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0.54482075999483581</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3767</v>
      </c>
      <c r="Z64" s="501">
        <f t="shared" si="5"/>
        <v>3917.6657005348848</v>
      </c>
      <c r="AA64" s="501">
        <f t="shared" si="6"/>
        <v>3767</v>
      </c>
      <c r="AB64" s="501">
        <f t="shared" si="10"/>
        <v>3986.3814010697697</v>
      </c>
      <c r="AC64" s="507" t="str">
        <f t="shared" si="7"/>
        <v>－</v>
      </c>
      <c r="AD64" s="501">
        <f>IF($D64="","",MIN(終値!E64:I64))</f>
        <v>3767</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5228</v>
      </c>
      <c r="E65" s="501">
        <f>IF($D65="","",AVERAGE(終値!E65:X65))</f>
        <v>5645.2</v>
      </c>
      <c r="F65" s="502">
        <f>IF($D65="","",STDEVP(終値!E65:X65))</f>
        <v>518.66199012458969</v>
      </c>
      <c r="G65" s="501">
        <f>IF($D65="","",$E65+BB設定!$B$4*$F65)</f>
        <v>6682.5239802491797</v>
      </c>
      <c r="H65" s="501">
        <f>IF($D65="","",$E65+BB設定!$B$5*$F65)</f>
        <v>6163.8619901245893</v>
      </c>
      <c r="I65" s="501">
        <f>IF($D65="","",$E65-BB設定!$B$5*$F65)</f>
        <v>5126.5380098754104</v>
      </c>
      <c r="J65" s="501">
        <f>IF($D65="","",$E65-BB設定!$B$4*$F65)</f>
        <v>4607.87601975082</v>
      </c>
      <c r="K65" s="506">
        <f t="shared" si="0"/>
        <v>0.29890564185174701</v>
      </c>
      <c r="L65" s="505">
        <f t="shared" si="1"/>
        <v>36.750654724338553</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36.417981826877096</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49.661921473947608</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0.90458685685602525</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0</v>
      </c>
      <c r="Y65" s="501">
        <f t="shared" si="4"/>
        <v>5228</v>
      </c>
      <c r="Z65" s="501">
        <f t="shared" si="5"/>
        <v>6163.8619901245893</v>
      </c>
      <c r="AA65" s="501">
        <f t="shared" si="6"/>
        <v>4622</v>
      </c>
      <c r="AB65" s="501">
        <f t="shared" si="10"/>
        <v>6682.5239802491797</v>
      </c>
      <c r="AC65" s="507">
        <f t="shared" si="7"/>
        <v>2.4</v>
      </c>
      <c r="AD65" s="501">
        <f>IF($D65="","",MIN(終値!E65:I65))</f>
        <v>4622</v>
      </c>
      <c r="AE65" s="503">
        <f t="shared" si="8"/>
        <v>9.9349999999999994E-2</v>
      </c>
    </row>
    <row r="66" spans="1:31">
      <c r="A66" s="500" t="str">
        <f>IF(終値!A66="","",HYPERLINK("https://kabutan.jp/stock/?code="&amp;終値!A66,"📈"))</f>
        <v>📈</v>
      </c>
      <c r="B66" s="500" t="str">
        <f>IF(終値!A66="","",終値!A66)</f>
        <v>4063</v>
      </c>
      <c r="C66" s="499" t="str">
        <f>IF(終値!A66="","",終値!B66)</f>
        <v>信越化学</v>
      </c>
      <c r="D66" s="501">
        <f>IF(終値!A66="","",終値!E66)</f>
        <v>5987</v>
      </c>
      <c r="E66" s="501">
        <f>IF($D66="","",AVERAGE(終値!E66:X66))</f>
        <v>6726.45</v>
      </c>
      <c r="F66" s="502">
        <f>IF($D66="","",STDEVP(終値!E66:X66))</f>
        <v>665.22819205141934</v>
      </c>
      <c r="G66" s="501">
        <f>IF($D66="","",$E66+BB設定!$B$4*$F66)</f>
        <v>8056.9063841028383</v>
      </c>
      <c r="H66" s="501">
        <f>IF($D66="","",$E66+BB設定!$B$5*$F66)</f>
        <v>7391.6781920514195</v>
      </c>
      <c r="I66" s="501">
        <f>IF($D66="","",$E66-BB設定!$B$5*$F66)</f>
        <v>6061.2218079485801</v>
      </c>
      <c r="J66" s="501">
        <f>IF($D66="","",$E66-BB設定!$B$4*$F66)</f>
        <v>5395.9936158971614</v>
      </c>
      <c r="K66" s="506">
        <f t="shared" si="0"/>
        <v>0.22210663617558937</v>
      </c>
      <c r="L66" s="505">
        <f t="shared" si="1"/>
        <v>39.558946668832398</v>
      </c>
      <c r="M66" s="505">
        <f>IF($D66="","",IFERROR(MIN(BB_帯幅!B66:AP66)*100,""))</f>
        <v>11.291922862572669</v>
      </c>
      <c r="N66" s="500" t="str">
        <f>IF($L66="","",IF($L66&lt;=$M66*BB設定!$B$7,"スクイーズ★",IF($L66&lt;=$M66*1.3,"収縮","－")))</f>
        <v>－</v>
      </c>
      <c r="O66" s="500" t="str">
        <f>IF($D66="","",IF(AND(BB_帯幅!B66&gt;BB_帯幅!C66,BB_帯幅!C66&gt;BB_帯幅!D66),"拡大↑","縮小↓"))</f>
        <v>拡大↑</v>
      </c>
      <c r="P66" s="500" t="str">
        <f t="shared" si="2"/>
        <v>-1σ下</v>
      </c>
      <c r="Q66" s="503">
        <f>IF($D66="","",IFERROR(100-100/(1+SUMPRODUCT((終値!E66:R66&gt;終値!F66:S66)*(終値!E66:R66-終値!F66:S66))/SUMPRODUCT((終値!E66:R66&lt;終値!F66:S66)*(終値!F66:S66-終値!E66:R66))),100))</f>
        <v>25.337222019686479</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34.455563454516252</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下walk▼</v>
      </c>
      <c r="U66" s="500" t="str">
        <f>IF(終値!A66="","",BB_スイング!BT66)</f>
        <v>－</v>
      </c>
      <c r="V66" s="508">
        <f>IF($D66="","",IFERROR(出来高!E66/AVERAGE(出来高!E66:I66),""))</f>
        <v>0.60321072702669454</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様子見</v>
      </c>
      <c r="X66" s="504">
        <f t="shared" si="9"/>
        <v>0</v>
      </c>
      <c r="Y66" s="501">
        <f t="shared" si="4"/>
        <v>5987</v>
      </c>
      <c r="Z66" s="501">
        <f t="shared" si="5"/>
        <v>7391.6781920514195</v>
      </c>
      <c r="AA66" s="501">
        <f t="shared" si="6"/>
        <v>5690</v>
      </c>
      <c r="AB66" s="501">
        <f t="shared" si="10"/>
        <v>8056.9063841028383</v>
      </c>
      <c r="AC66" s="507">
        <f t="shared" si="7"/>
        <v>6.97</v>
      </c>
      <c r="AD66" s="501">
        <f>IF($D66="","",MIN(終値!E66:I66))</f>
        <v>5690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1870</v>
      </c>
      <c r="E67" s="501">
        <f>IF($D67="","",AVERAGE(終値!E67:X67))</f>
        <v>2044.2368421052631</v>
      </c>
      <c r="F67" s="502">
        <f>IF($D67="","",STDEVP(終値!E67:X67))</f>
        <v>115.06123866298016</v>
      </c>
      <c r="G67" s="501">
        <f>IF($D67="","",$E67+BB設定!$B$4*$F67)</f>
        <v>2274.3593194312234</v>
      </c>
      <c r="H67" s="501">
        <f>IF($D67="","",$E67+BB設定!$B$5*$F67)</f>
        <v>2159.2980807682434</v>
      </c>
      <c r="I67" s="501">
        <f>IF($D67="","",$E67-BB設定!$B$5*$F67)</f>
        <v>1929.1756034422829</v>
      </c>
      <c r="J67" s="501">
        <f>IF($D67="","",$E67-BB設定!$B$4*$F67)</f>
        <v>1814.1143647793028</v>
      </c>
      <c r="K67" s="506">
        <f t="shared" si="0"/>
        <v>0.12142585085579702</v>
      </c>
      <c r="L67" s="505">
        <f t="shared" si="1"/>
        <v>22.514267680350386</v>
      </c>
      <c r="M67" s="505">
        <f>IF($D67="","",IFERROR(MIN(BB_帯幅!B67:AP67)*100,""))</f>
        <v>5.5723066103507861</v>
      </c>
      <c r="N67" s="500" t="str">
        <f>IF($L67="","",IF($L67&lt;=$M67*BB設定!$B$7,"スクイーズ★",IF($L67&lt;=$M67*1.3,"収縮","－")))</f>
        <v>－</v>
      </c>
      <c r="O67" s="500" t="str">
        <f>IF($D67="","",IF(AND(BB_帯幅!B67&gt;BB_帯幅!C67,BB_帯幅!C67&gt;BB_帯幅!D67),"拡大↑","縮小↓"))</f>
        <v>拡大↑</v>
      </c>
      <c r="P67" s="500" t="str">
        <f t="shared" si="2"/>
        <v>-1σ下</v>
      </c>
      <c r="Q67" s="503">
        <f>IF($D67="","",IFERROR(100-100/(1+SUMPRODUCT((終値!E67:R67&gt;終値!F67:S67)*(終値!E67:R67-終値!F67:S67))/SUMPRODUCT((終値!E67:R67&lt;終値!F67:S67)*(終値!F67:S67-終値!E67:R67))),100))</f>
        <v>46.768629254829804</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16.723880686610997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0.73036100115129243</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1870</v>
      </c>
      <c r="Z67" s="501">
        <f t="shared" si="5"/>
        <v>2159.2980807682434</v>
      </c>
      <c r="AA67" s="501">
        <f t="shared" si="6"/>
        <v>1869</v>
      </c>
      <c r="AB67" s="501">
        <f t="shared" si="10"/>
        <v>2274.3593194312234</v>
      </c>
      <c r="AC67" s="507">
        <f t="shared" si="7"/>
        <v>20</v>
      </c>
      <c r="AD67" s="501">
        <f>IF($D67="","",MIN(終値!E67:I67))</f>
        <v>1869</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5649</v>
      </c>
      <c r="E68" s="501">
        <f>IF($D68="","",AVERAGE(終値!E68:X68))</f>
        <v>5643.15</v>
      </c>
      <c r="F68" s="502">
        <f>IF($D68="","",STDEVP(終値!E68:X68))</f>
        <v>215.79116640863685</v>
      </c>
      <c r="G68" s="501">
        <f>IF($D68="","",$E68+BB設定!$B$4*$F68)</f>
        <v>6074.7323328172733</v>
      </c>
      <c r="H68" s="501">
        <f>IF($D68="","",$E68+BB設定!$B$5*$F68)</f>
        <v>5858.9411664086365</v>
      </c>
      <c r="I68" s="501">
        <f>IF($D68="","",$E68-BB設定!$B$5*$F68)</f>
        <v>5427.3588335913628</v>
      </c>
      <c r="J68" s="501">
        <f>IF($D68="","",$E68-BB設定!$B$4*$F68)</f>
        <v>5211.5676671827259</v>
      </c>
      <c r="K68" s="506">
        <f t="shared" si="0"/>
        <v>0.50677738586032106</v>
      </c>
      <c r="L68" s="505">
        <f t="shared" si="1"/>
        <v>15.29579517883713</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バンド内</v>
      </c>
      <c r="Q68" s="503">
        <f>IF($D68="","",IFERROR(100-100/(1+SUMPRODUCT((終値!E68:R68&gt;終値!F68:S68)*(終値!E68:R68-終値!F68:S68))/SUMPRODUCT((終値!E68:R68&lt;終値!F68:S68)*(終値!F68:S68-終値!E68:R68))),100))</f>
        <v>50.035236081747705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48.938264835415318</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v>
      </c>
      <c r="U68" s="500" t="str">
        <f>IF(終値!A68="","",BB_スイング!BT68)</f>
        <v>二番底W形成</v>
      </c>
      <c r="V68" s="508">
        <f>IF($D68="","",IFERROR(出来高!E68/AVERAGE(出来高!E68:I68),""))</f>
        <v>0.76738749513848525</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△二番底形成</v>
      </c>
      <c r="X68" s="504">
        <f t="shared" si="9"/>
        <v>15</v>
      </c>
      <c r="Y68" s="501">
        <f t="shared" si="4"/>
        <v>5649</v>
      </c>
      <c r="Z68" s="501">
        <f t="shared" si="5"/>
        <v>5858.9411664086365</v>
      </c>
      <c r="AA68" s="501">
        <f t="shared" si="6"/>
        <v>5643.15</v>
      </c>
      <c r="AB68" s="501">
        <f t="shared" si="10"/>
        <v>6074.7323328172733</v>
      </c>
      <c r="AC68" s="507">
        <f t="shared" si="7"/>
        <v>20</v>
      </c>
      <c r="AD68" s="501">
        <f>IF($D68="","",MIN(終値!E68:I68))</f>
        <v>5172</v>
      </c>
      <c r="AE68" s="503">
        <f t="shared" si="8"/>
        <v>15.099320000000001</v>
      </c>
    </row>
    <row r="69" spans="1:31">
      <c r="A69" s="500" t="str">
        <f>IF(終値!A69="","",HYPERLINK("https://kabutan.jp/stock/?code="&amp;終値!A69,"📈"))</f>
        <v>📈</v>
      </c>
      <c r="B69" s="500" t="str">
        <f>IF(終値!A69="","",終値!A69)</f>
        <v>4980</v>
      </c>
      <c r="C69" s="499" t="str">
        <f>IF(終値!A69="","",終値!B69)</f>
        <v>デクセリアルズ</v>
      </c>
      <c r="D69" s="501">
        <f>IF(終値!A69="","",終値!E69)</f>
        <v>3467</v>
      </c>
      <c r="E69" s="501">
        <f>IF($D69="","",AVERAGE(終値!E69:X69))</f>
        <v>3680.25</v>
      </c>
      <c r="F69" s="502">
        <f>IF($D69="","",STDEVP(終値!E69:X69))</f>
        <v>326.5499770326129</v>
      </c>
      <c r="G69" s="501">
        <f>IF($D69="","",$E69+BB設定!$B$4*$F69)</f>
        <v>4333.3499540652256</v>
      </c>
      <c r="H69" s="501">
        <f>IF($D69="","",$E69+BB設定!$B$5*$F69)</f>
        <v>4006.7999770326128</v>
      </c>
      <c r="I69" s="501">
        <f>IF($D69="","",$E69-BB設定!$B$5*$F69)</f>
        <v>3353.7000229673872</v>
      </c>
      <c r="J69" s="501">
        <f>IF($D69="","",$E69-BB設定!$B$4*$F69)</f>
        <v>3027.1500459347744</v>
      </c>
      <c r="K69" s="506">
        <f t="shared" si="0"/>
        <v>0.33674015082023528</v>
      </c>
      <c r="L69" s="505">
        <f t="shared" si="1"/>
        <v>35.492151569334993</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バンド内</v>
      </c>
      <c r="Q69" s="503">
        <f>IF($D69="","",IFERROR(100-100/(1+SUMPRODUCT((終値!E69:R69&gt;終値!F69:S69)*(終値!E69:R69-終値!F69:S69))/SUMPRODUCT((終値!E69:R69&lt;終値!F69:S69)*(終値!F69:S69-終値!E69:R69))),100))</f>
        <v>36.641221374045806</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44.632868088054472</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強気div▲</v>
      </c>
      <c r="T69" s="500" t="str">
        <f t="shared" si="3"/>
        <v>－</v>
      </c>
      <c r="U69" s="500" t="str">
        <f>IF(終値!A69="","",BB_スイング!BT69)</f>
        <v>－</v>
      </c>
      <c r="V69" s="508">
        <f>IF($D69="","",IFERROR(出来高!E69/AVERAGE(出来高!E69:I69),""))</f>
        <v>1.0953538267054812</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○反発(ダイバ)買</v>
      </c>
      <c r="X69" s="504">
        <f t="shared" si="9"/>
        <v>5</v>
      </c>
      <c r="Y69" s="501">
        <f t="shared" si="4"/>
        <v>3467</v>
      </c>
      <c r="Z69" s="501">
        <f t="shared" si="5"/>
        <v>4006.7999770326128</v>
      </c>
      <c r="AA69" s="501">
        <f t="shared" si="6"/>
        <v>3135</v>
      </c>
      <c r="AB69" s="501">
        <f t="shared" si="10"/>
        <v>4333.3499540652256</v>
      </c>
      <c r="AC69" s="507">
        <f t="shared" si="7"/>
        <v>2.61</v>
      </c>
      <c r="AD69" s="501">
        <f>IF($D69="","",MIN(終値!E69:I69))</f>
        <v>3135</v>
      </c>
      <c r="AE69" s="503">
        <f t="shared" si="8"/>
        <v>5.09931</v>
      </c>
    </row>
    <row r="70" spans="1:31">
      <c r="A70" s="500" t="str">
        <f>IF(終値!A70="","",HYPERLINK("https://kabutan.jp/stock/?code="&amp;終値!A70,"📈"))</f>
        <v>📈</v>
      </c>
      <c r="B70" s="500" t="str">
        <f>IF(終値!A70="","",終値!A70)</f>
        <v>9424</v>
      </c>
      <c r="C70" s="499" t="str">
        <f>IF(終値!A70="","",終値!B70)</f>
        <v>日本通信</v>
      </c>
      <c r="D70" s="501">
        <f>IF(終値!A70="","",終値!E70)</f>
        <v>115</v>
      </c>
      <c r="E70" s="501">
        <f>IF($D70="","",AVERAGE(終値!E70:X70))</f>
        <v>113.68421052631579</v>
      </c>
      <c r="F70" s="502">
        <f>IF($D70="","",STDEVP(終値!E70:X70))</f>
        <v>1.8652679101757208</v>
      </c>
      <c r="G70" s="501">
        <f>IF($D70="","",$E70+BB設定!$B$4*$F70)</f>
        <v>117.41474634666724</v>
      </c>
      <c r="H70" s="501">
        <f>IF($D70="","",$E70+BB設定!$B$5*$F70)</f>
        <v>115.54947843649151</v>
      </c>
      <c r="I70" s="501">
        <f>IF($D70="","",$E70-BB設定!$B$5*$F70)</f>
        <v>111.81894261614008</v>
      </c>
      <c r="J70" s="501">
        <f>IF($D70="","",$E70-BB設定!$B$4*$F70)</f>
        <v>109.95367470596435</v>
      </c>
      <c r="K70" s="506">
        <f t="shared" ref="K70:K133" si="11">IF($D70="","",IFERROR(($D70-$J70)/($G70-$J70),""))</f>
        <v>0.67635395249471786</v>
      </c>
      <c r="L70" s="505">
        <f t="shared" ref="L70:L133" si="12">IF($D70="","",IFERROR(($G70-$J70)/$E70*100,""))</f>
        <v>6.5629796839516228</v>
      </c>
      <c r="M70" s="505">
        <f>IF($D70="","",IFERROR(MIN(BB_帯幅!B70:AP70)*100,""))</f>
        <v>6.5629796839516104</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49.799196787148595</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66.611977286597892</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v>
      </c>
      <c r="T70" s="500" t="str">
        <f t="shared" ref="T70:T133" si="14">IF($D70="","",IF($D70&gt;=$H70,"上walk▲",IF($D70&lt;=$I70,"下walk▼","－")))</f>
        <v>－</v>
      </c>
      <c r="U70" s="500" t="str">
        <f>IF(終値!A70="","",BB_スイング!BT70)</f>
        <v>－</v>
      </c>
      <c r="V70" s="508">
        <f>IF($D70="","",IFERROR(出来高!E70/AVERAGE(出来高!E70:I70),""))</f>
        <v>0.54020298695835089</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40</v>
      </c>
      <c r="Y70" s="501">
        <f t="shared" ref="Y70:Y133" si="15">IF($D70="","",$D70)</f>
        <v>115</v>
      </c>
      <c r="Z70" s="501">
        <f t="shared" ref="Z70:Z133" si="16">IF($D70="","",$H70)</f>
        <v>115.54947843649151</v>
      </c>
      <c r="AA70" s="501">
        <f t="shared" ref="AA70:AA133" si="17">IF($D70="","",IF($D70&gt;$E70,$E70,$AD70))</f>
        <v>113.68421052631579</v>
      </c>
      <c r="AB70" s="501">
        <f t="shared" si="10"/>
        <v>117.41474634666724</v>
      </c>
      <c r="AC70" s="507">
        <f t="shared" ref="AC70:AC133" si="18">IF($D70="","",IF(($Y70-$AA70)&lt;=0,"－",IFERROR(ROUND(MIN(20,($AB70-$Y70)/($Y70-$AA70)),2),"－")))</f>
        <v>1.84</v>
      </c>
      <c r="AD70" s="501">
        <f>IF($D70="","",MIN(終値!E70:I70))</f>
        <v>114</v>
      </c>
      <c r="AE70" s="503">
        <f t="shared" ref="AE70:AE133" si="19">IF($D70="","",$X70+(10000-ROW())/100000)</f>
        <v>40.099299999999999</v>
      </c>
    </row>
    <row r="71" spans="1:31">
      <c r="A71" s="500" t="str">
        <f>IF(終値!A71="","",HYPERLINK("https://kabutan.jp/stock/?code="&amp;終値!A71,"📈"))</f>
        <v>📈</v>
      </c>
      <c r="B71" s="500" t="str">
        <f>IF(終値!A71="","",終値!A71)</f>
        <v>3854</v>
      </c>
      <c r="C71" s="499" t="str">
        <f>IF(終値!A71="","",終値!B71)</f>
        <v>アイル</v>
      </c>
      <c r="D71" s="501">
        <f>IF(終値!A71="","",終値!E71)</f>
        <v>2210</v>
      </c>
      <c r="E71" s="501">
        <f>IF($D71="","",AVERAGE(終値!E71:X71))</f>
        <v>2340.0500000000002</v>
      </c>
      <c r="F71" s="502">
        <f>IF($D71="","",STDEVP(終値!E71:X71))</f>
        <v>78.372491985389871</v>
      </c>
      <c r="G71" s="501">
        <f>IF($D71="","",$E71+BB設定!$B$4*$F71)</f>
        <v>2496.7949839707799</v>
      </c>
      <c r="H71" s="501">
        <f>IF($D71="","",$E71+BB設定!$B$5*$F71)</f>
        <v>2418.42249198539</v>
      </c>
      <c r="I71" s="501">
        <f>IF($D71="","",$E71-BB設定!$B$5*$F71)</f>
        <v>2261.6775080146103</v>
      </c>
      <c r="J71" s="501">
        <f>IF($D71="","",$E71-BB設定!$B$4*$F71)</f>
        <v>2183.3050160292205</v>
      </c>
      <c r="K71" s="506">
        <f t="shared" si="11"/>
        <v>8.5154188971546196E-2</v>
      </c>
      <c r="L71" s="505">
        <f t="shared" si="12"/>
        <v>13.396720922269154</v>
      </c>
      <c r="M71" s="505">
        <f>IF($D71="","",IFERROR(MIN(BB_帯幅!B71:AP71)*100,""))</f>
        <v>11.997005423603728</v>
      </c>
      <c r="N71" s="500" t="str">
        <f>IF($L71="","",IF($L71&lt;=$M71*BB設定!$B$7,"スクイーズ★",IF($L71&lt;=$M71*1.3,"収縮","－")))</f>
        <v>収縮</v>
      </c>
      <c r="O71" s="500" t="str">
        <f>IF($D71="","",IF(AND(BB_帯幅!B71&gt;BB_帯幅!C71,BB_帯幅!C71&gt;BB_帯幅!D71),"拡大↑","縮小↓"))</f>
        <v>拡大↑</v>
      </c>
      <c r="P71" s="500" t="str">
        <f t="shared" si="13"/>
        <v>-1σ下</v>
      </c>
      <c r="Q71" s="503">
        <f>IF($D71="","",IFERROR(100-100/(1+SUMPRODUCT((終値!E71:R71&gt;終値!F71:S71)*(終値!E71:R71-終値!F71:S71))/SUMPRODUCT((終値!E71:R71&lt;終値!F71:S71)*(終値!F71:S71-終値!E71:R71))),100))</f>
        <v>28.282828282828277</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29.607949787375546</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0.64081225033288947</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2210</v>
      </c>
      <c r="Z71" s="501">
        <f t="shared" si="16"/>
        <v>2418.42249198539</v>
      </c>
      <c r="AA71" s="501">
        <f t="shared" si="17"/>
        <v>2210</v>
      </c>
      <c r="AB71" s="501">
        <f t="shared" ref="AB71:AB134" si="21">IF($D71="","",IF($D71&gt;$G71,$E71+3*$F71,$G71))</f>
        <v>2496.7949839707799</v>
      </c>
      <c r="AC71" s="507" t="str">
        <f t="shared" si="18"/>
        <v>－</v>
      </c>
      <c r="AD71" s="501">
        <f>IF($D71="","",MIN(終値!E71:I71))</f>
        <v>2210</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2290</v>
      </c>
      <c r="E72" s="501">
        <f>IF($D72="","",AVERAGE(終値!E72:X72))</f>
        <v>2330.9</v>
      </c>
      <c r="F72" s="502">
        <f>IF($D72="","",STDEVP(終値!E72:X72))</f>
        <v>63.22649760978382</v>
      </c>
      <c r="G72" s="501">
        <f>IF($D72="","",$E72+BB設定!$B$4*$F72)</f>
        <v>2457.3529952195677</v>
      </c>
      <c r="H72" s="501">
        <f>IF($D72="","",$E72+BB設定!$B$5*$F72)</f>
        <v>2394.1264976097841</v>
      </c>
      <c r="I72" s="501">
        <f>IF($D72="","",$E72-BB設定!$B$5*$F72)</f>
        <v>2267.6735023902161</v>
      </c>
      <c r="J72" s="501">
        <f>IF($D72="","",$E72-BB設定!$B$4*$F72)</f>
        <v>2204.4470047804325</v>
      </c>
      <c r="K72" s="506">
        <f t="shared" si="11"/>
        <v>0.33827982908201154</v>
      </c>
      <c r="L72" s="505">
        <f t="shared" si="12"/>
        <v>10.850143311130257</v>
      </c>
      <c r="M72" s="505">
        <f>IF($D72="","",IFERROR(MIN(BB_帯幅!B72:AP72)*100,""))</f>
        <v>10.850143311130262</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43.840579710144929</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38.177804972401894</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v>
      </c>
      <c r="V72" s="508">
        <f>IF($D72="","",IFERROR(出来高!E72/AVERAGE(出来高!E72:I72),""))</f>
        <v>0.76223150357995229</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☆スクイーズ監視</v>
      </c>
      <c r="X72" s="504">
        <f t="shared" si="20"/>
        <v>15</v>
      </c>
      <c r="Y72" s="501">
        <f t="shared" si="15"/>
        <v>2290</v>
      </c>
      <c r="Z72" s="501">
        <f t="shared" si="16"/>
        <v>2394.1264976097841</v>
      </c>
      <c r="AA72" s="501">
        <f t="shared" si="17"/>
        <v>2267</v>
      </c>
      <c r="AB72" s="501">
        <f t="shared" si="21"/>
        <v>2457.3529952195677</v>
      </c>
      <c r="AC72" s="507">
        <f t="shared" si="18"/>
        <v>7.28</v>
      </c>
      <c r="AD72" s="501">
        <f>IF($D72="","",MIN(終値!E72:I72))</f>
        <v>2267</v>
      </c>
      <c r="AE72" s="503">
        <f t="shared" si="19"/>
        <v>15.09928</v>
      </c>
    </row>
    <row r="73" spans="1:31">
      <c r="A73" s="500" t="str">
        <f>IF(終値!A73="","",HYPERLINK("https://kabutan.jp/stock/?code="&amp;終値!A73,"📈"))</f>
        <v>📈</v>
      </c>
      <c r="B73" s="500" t="str">
        <f>IF(終値!A73="","",終値!A73)</f>
        <v>7806</v>
      </c>
      <c r="C73" s="499" t="str">
        <f>IF(終値!A73="","",終値!B73)</f>
        <v>ＭＴＧ</v>
      </c>
      <c r="D73" s="501">
        <f>IF(終値!A73="","",終値!E73)</f>
        <v>7400</v>
      </c>
      <c r="E73" s="501">
        <f>IF($D73="","",AVERAGE(終値!E73:X73))</f>
        <v>7633</v>
      </c>
      <c r="F73" s="502">
        <f>IF($D73="","",STDEVP(終値!E73:X73))</f>
        <v>277.95863001533161</v>
      </c>
      <c r="G73" s="501">
        <f>IF($D73="","",$E73+BB設定!$B$4*$F73)</f>
        <v>8188.9172600306629</v>
      </c>
      <c r="H73" s="501">
        <f>IF($D73="","",$E73+BB設定!$B$5*$F73)</f>
        <v>7910.9586300153314</v>
      </c>
      <c r="I73" s="501">
        <f>IF($D73="","",$E73-BB設定!$B$5*$F73)</f>
        <v>7355.0413699846686</v>
      </c>
      <c r="J73" s="501">
        <f>IF($D73="","",$E73-BB設定!$B$4*$F73)</f>
        <v>7077.0827399693371</v>
      </c>
      <c r="K73" s="506">
        <f t="shared" si="11"/>
        <v>0.29043644013935782</v>
      </c>
      <c r="L73" s="505">
        <f t="shared" si="12"/>
        <v>14.566153806646479</v>
      </c>
      <c r="M73" s="505">
        <f>IF($D73="","",IFERROR(MIN(BB_帯幅!B73:AP73)*100,""))</f>
        <v>13.970550251695826</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52.076677316293932</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42.26763620066837</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1.3931844215349369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20</v>
      </c>
      <c r="Y73" s="501">
        <f t="shared" si="15"/>
        <v>7400</v>
      </c>
      <c r="Z73" s="501">
        <f t="shared" si="16"/>
        <v>7910.9586300153314</v>
      </c>
      <c r="AA73" s="501">
        <f t="shared" si="17"/>
        <v>7180</v>
      </c>
      <c r="AB73" s="501">
        <f t="shared" si="21"/>
        <v>8188.9172600306629</v>
      </c>
      <c r="AC73" s="507">
        <f t="shared" si="18"/>
        <v>3.59</v>
      </c>
      <c r="AD73" s="501">
        <f>IF($D73="","",MIN(終値!E73:I73))</f>
        <v>7180</v>
      </c>
      <c r="AE73" s="503">
        <f t="shared" si="19"/>
        <v>20.099270000000001</v>
      </c>
    </row>
    <row r="74" spans="1:31" ht="24">
      <c r="A74" s="500" t="str">
        <f>IF(終値!A74="","",HYPERLINK("https://kabutan.jp/stock/?code="&amp;終値!A74,"📈"))</f>
        <v>📈</v>
      </c>
      <c r="B74" s="500" t="str">
        <f>IF(終値!A74="","",終値!A74)</f>
        <v>9202</v>
      </c>
      <c r="C74" s="499" t="str">
        <f>IF(終値!A74="","",終値!B74)</f>
        <v>ＡＮＡホールディングス</v>
      </c>
      <c r="D74" s="501">
        <f>IF(終値!A74="","",終値!E74)</f>
        <v>3100</v>
      </c>
      <c r="E74" s="501">
        <f>IF($D74="","",AVERAGE(終値!E74:X74))</f>
        <v>3078.7</v>
      </c>
      <c r="F74" s="502">
        <f>IF($D74="","",STDEVP(終値!E74:X74))</f>
        <v>71.294529944449451</v>
      </c>
      <c r="G74" s="501">
        <f>IF($D74="","",$E74+BB設定!$B$4*$F74)</f>
        <v>3221.2890598888989</v>
      </c>
      <c r="H74" s="501">
        <f>IF($D74="","",$E74+BB設定!$B$5*$F74)</f>
        <v>3149.9945299444494</v>
      </c>
      <c r="I74" s="501">
        <f>IF($D74="","",$E74-BB設定!$B$5*$F74)</f>
        <v>3007.4054700555503</v>
      </c>
      <c r="J74" s="501">
        <f>IF($D74="","",$E74-BB設定!$B$4*$F74)</f>
        <v>2936.1109401111007</v>
      </c>
      <c r="K74" s="506">
        <f t="shared" si="11"/>
        <v>0.57469016212252355</v>
      </c>
      <c r="L74" s="505">
        <f t="shared" si="12"/>
        <v>9.2629395451910934</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バンド内</v>
      </c>
      <c r="Q74" s="503">
        <f>IF($D74="","",IFERROR(100-100/(1+SUMPRODUCT((終値!E74:R74&gt;終値!F74:S74)*(終値!E74:R74-終値!F74:S74))/SUMPRODUCT((終値!E74:R74&lt;終値!F74:S74)*(終値!F74:S74-終値!E74:R74))),100))</f>
        <v>56.714060031595579</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39.164506343014288</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v>
      </c>
      <c r="U74" s="500" t="str">
        <f>IF(終値!A74="","",BB_スイング!BT74)</f>
        <v>－</v>
      </c>
      <c r="V74" s="508">
        <f>IF($D74="","",IFERROR(出来高!E74/AVERAGE(出来高!E74:I74),""))</f>
        <v>0.56656809540831243</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35</v>
      </c>
      <c r="Y74" s="501">
        <f t="shared" si="15"/>
        <v>3100</v>
      </c>
      <c r="Z74" s="501">
        <f t="shared" si="16"/>
        <v>3149.9945299444494</v>
      </c>
      <c r="AA74" s="501">
        <f t="shared" si="17"/>
        <v>3078.7</v>
      </c>
      <c r="AB74" s="501">
        <f t="shared" si="21"/>
        <v>3221.2890598888989</v>
      </c>
      <c r="AC74" s="507">
        <f t="shared" si="18"/>
        <v>5.69</v>
      </c>
      <c r="AD74" s="501">
        <f>IF($D74="","",MIN(終値!E74:I74))</f>
        <v>3100</v>
      </c>
      <c r="AE74" s="503">
        <f t="shared" si="19"/>
        <v>35.099260000000001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0</v>
      </c>
      <c r="E75" s="501" t="e">
        <f>IF($D75="","",AVERAGE(終値!E75:X75))</f>
        <v>#DIV/0!</v>
      </c>
      <c r="F75" s="502" t="e">
        <f>IF($D75="","",STDEVP(終値!E75:X75))</f>
        <v>#DIV/0!</v>
      </c>
      <c r="G75" s="501" t="e">
        <f>IF($D75="","",$E75+BB設定!$B$4*$F75)</f>
        <v>#DIV/0!</v>
      </c>
      <c r="H75" s="501" t="e">
        <f>IF($D75="","",$E75+BB設定!$B$5*$F75)</f>
        <v>#DIV/0!</v>
      </c>
      <c r="I75" s="501" t="e">
        <f>IF($D75="","",$E75-BB設定!$B$5*$F75)</f>
        <v>#DIV/0!</v>
      </c>
      <c r="J75" s="501" t="e">
        <f>IF($D75="","",$E75-BB設定!$B$4*$F75)</f>
        <v>#DIV/0!</v>
      </c>
      <c r="K75" s="506" t="str">
        <f t="shared" si="11"/>
        <v/>
      </c>
      <c r="L75" s="505" t="str">
        <f t="shared" si="12"/>
        <v/>
      </c>
      <c r="M75" s="505">
        <f>IF($D75="","",IFERROR(MIN(BB_帯幅!B75:AP75)*100,""))</f>
        <v>0</v>
      </c>
      <c r="N75" s="500" t="str">
        <f>IF($L75="","",IF($L75&lt;=$M75*BB設定!$B$7,"スクイーズ★",IF($L75&lt;=$M75*1.3,"収縮","－")))</f>
        <v/>
      </c>
      <c r="O75" s="500" t="str">
        <f>IF($D75="","",IF(AND(BB_帯幅!B75&gt;BB_帯幅!C75,BB_帯幅!C75&gt;BB_帯幅!D75),"拡大↑","縮小↓"))</f>
        <v>縮小↓</v>
      </c>
      <c r="P75" s="500" t="e">
        <f t="shared" si="13"/>
        <v>#DIV/0!</v>
      </c>
      <c r="Q75" s="503">
        <f>IF($D75="","",IFERROR(100-100/(1+SUMPRODUCT((終値!E75:R75&gt;終値!F75:S75)*(終値!E75:R75-終値!F75:S75))/SUMPRODUCT((終値!E75:R75&lt;終値!F75:S75)*(終値!F75:S75-終値!E75:R75))),100))</f>
        <v>100</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50</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v>
      </c>
      <c r="T75" s="500" t="e">
        <f t="shared" si="14"/>
        <v>#DIV/0!</v>
      </c>
      <c r="U75" s="500" t="str">
        <f>IF(終値!A75="","",BB_スイング!BT75)</f>
        <v>－</v>
      </c>
      <c r="V75" s="508" t="str">
        <f>IF($D75="","",IFERROR(出来高!E75/AVERAGE(出来高!E75:I75),""))</f>
        <v/>
      </c>
      <c r="W75" s="509" t="e">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#DIV/0!</v>
      </c>
      <c r="X75" s="504" t="e">
        <f t="shared" si="20"/>
        <v>#DIV/0!</v>
      </c>
      <c r="Y75" s="501">
        <f t="shared" si="15"/>
        <v>0</v>
      </c>
      <c r="Z75" s="501" t="e">
        <f t="shared" si="16"/>
        <v>#DIV/0!</v>
      </c>
      <c r="AA75" s="501" t="e">
        <f t="shared" si="17"/>
        <v>#DIV/0!</v>
      </c>
      <c r="AB75" s="501" t="e">
        <f t="shared" si="21"/>
        <v>#DIV/0!</v>
      </c>
      <c r="AC75" s="507" t="e">
        <f t="shared" si="18"/>
        <v>#DIV/0!</v>
      </c>
      <c r="AD75" s="501">
        <f>IF($D75="","",MIN(終値!E75:I75))</f>
        <v>0</v>
      </c>
      <c r="AE75" s="503" t="e">
        <f t="shared" si="19"/>
        <v>#DIV/0!</v>
      </c>
    </row>
    <row r="76" spans="1:31">
      <c r="A76" s="500" t="str">
        <f>IF(終値!A76="","",HYPERLINK("https://kabutan.jp/stock/?code="&amp;終値!A76,"📈"))</f>
        <v>📈</v>
      </c>
      <c r="B76" s="500" t="str">
        <f>IF(終値!A76="","",終値!A76)</f>
        <v>2802</v>
      </c>
      <c r="C76" s="499" t="str">
        <f>IF(終値!A76="","",終値!B76)</f>
        <v>味の素</v>
      </c>
      <c r="D76" s="501">
        <f>IF(終値!A76="","",終値!E76)</f>
        <v>4953</v>
      </c>
      <c r="E76" s="501">
        <f>IF($D76="","",AVERAGE(終値!E76:X76))</f>
        <v>5315.35</v>
      </c>
      <c r="F76" s="502">
        <f>IF($D76="","",STDEVP(終値!E76:X76))</f>
        <v>379.49878458303391</v>
      </c>
      <c r="G76" s="501">
        <f>IF($D76="","",$E76+BB設定!$B$4*$F76)</f>
        <v>6074.3475691660678</v>
      </c>
      <c r="H76" s="501">
        <f>IF($D76="","",$E76+BB設定!$B$5*$F76)</f>
        <v>5694.8487845830341</v>
      </c>
      <c r="I76" s="501">
        <f>IF($D76="","",$E76-BB設定!$B$5*$F76)</f>
        <v>4935.8512154169666</v>
      </c>
      <c r="J76" s="501">
        <f>IF($D76="","",$E76-BB設定!$B$4*$F76)</f>
        <v>4556.3524308339329</v>
      </c>
      <c r="K76" s="506">
        <f t="shared" si="11"/>
        <v>0.26129699572152465</v>
      </c>
      <c r="L76" s="505">
        <f t="shared" si="12"/>
        <v>28.558705227917912</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23.045602605863195</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37.792433603460559</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0.72928332101614535</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4953</v>
      </c>
      <c r="Z76" s="501">
        <f t="shared" si="16"/>
        <v>5694.8487845830341</v>
      </c>
      <c r="AA76" s="501">
        <f t="shared" si="17"/>
        <v>4839</v>
      </c>
      <c r="AB76" s="501">
        <f t="shared" si="21"/>
        <v>6074.3475691660678</v>
      </c>
      <c r="AC76" s="507">
        <f t="shared" si="18"/>
        <v>9.84</v>
      </c>
      <c r="AD76" s="501">
        <f>IF($D76="","",MIN(終値!E76:I76))</f>
        <v>4839</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2918.5</v>
      </c>
      <c r="E77" s="501">
        <f>IF($D77="","",AVERAGE(終値!E77:X77))</f>
        <v>2941.4</v>
      </c>
      <c r="F77" s="502">
        <f>IF($D77="","",STDEVP(終値!E77:X77))</f>
        <v>100.90324573570466</v>
      </c>
      <c r="G77" s="501">
        <f>IF($D77="","",$E77+BB設定!$B$4*$F77)</f>
        <v>3143.2064914714092</v>
      </c>
      <c r="H77" s="501">
        <f>IF($D77="","",$E77+BB設定!$B$5*$F77)</f>
        <v>3042.3032457357049</v>
      </c>
      <c r="I77" s="501">
        <f>IF($D77="","",$E77-BB設定!$B$5*$F77)</f>
        <v>2840.4967542642953</v>
      </c>
      <c r="J77" s="501">
        <f>IF($D77="","",$E77-BB設定!$B$4*$F77)</f>
        <v>2739.593508528591</v>
      </c>
      <c r="K77" s="506">
        <f t="shared" si="11"/>
        <v>0.44326247923683754</v>
      </c>
      <c r="L77" s="505">
        <f t="shared" si="12"/>
        <v>13.721798563365004</v>
      </c>
      <c r="M77" s="505">
        <f>IF($D77="","",IFERROR(MIN(BB_帯幅!B77:AP77)*100,""))</f>
        <v>7.9148806001700631</v>
      </c>
      <c r="N77" s="500" t="str">
        <f>IF($L77="","",IF($L77&lt;=$M77*BB設定!$B$7,"スクイーズ★",IF($L77&lt;=$M77*1.3,"収縮","－")))</f>
        <v>－</v>
      </c>
      <c r="O77" s="500" t="str">
        <f>IF($D77="","",IF(AND(BB_帯幅!B77&gt;BB_帯幅!C77,BB_帯幅!C77&gt;BB_帯幅!D77),"拡大↑","縮小↓"))</f>
        <v>縮小↓</v>
      </c>
      <c r="P77" s="500" t="str">
        <f t="shared" si="13"/>
        <v>バンド内</v>
      </c>
      <c r="Q77" s="503">
        <f>IF($D77="","",IFERROR(100-100/(1+SUMPRODUCT((終値!E77:R77&gt;終値!F77:S77)*(終値!E77:R77-終値!F77:S77))/SUMPRODUCT((終値!E77:R77&lt;終値!F77:S77)*(終値!F77:S77-終値!E77:R77))),100))</f>
        <v>56.692444973230224</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45.23383629877253</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v>
      </c>
      <c r="T77" s="500" t="str">
        <f t="shared" si="14"/>
        <v>－</v>
      </c>
      <c r="U77" s="500" t="str">
        <f>IF(終値!A77="","",BB_スイング!BT77)</f>
        <v>二番底W形成</v>
      </c>
      <c r="V77" s="508">
        <f>IF($D77="","",IFERROR(出来高!E77/AVERAGE(出来高!E77:I77),""))</f>
        <v>1.1130338704164449</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△二番底形成</v>
      </c>
      <c r="X77" s="504">
        <f t="shared" si="20"/>
        <v>0</v>
      </c>
      <c r="Y77" s="501">
        <f t="shared" si="15"/>
        <v>2918.5</v>
      </c>
      <c r="Z77" s="501">
        <f t="shared" si="16"/>
        <v>3042.3032457357049</v>
      </c>
      <c r="AA77" s="501">
        <f t="shared" si="17"/>
        <v>2918.5</v>
      </c>
      <c r="AB77" s="501">
        <f t="shared" si="21"/>
        <v>3143.2064914714092</v>
      </c>
      <c r="AC77" s="507" t="str">
        <f t="shared" si="18"/>
        <v>－</v>
      </c>
      <c r="AD77" s="501">
        <f>IF($D77="","",MIN(終値!E77:I77))</f>
        <v>2918.5</v>
      </c>
      <c r="AE77" s="503">
        <f t="shared" si="19"/>
        <v>9.9229999999999999E-2</v>
      </c>
    </row>
    <row r="78" spans="1:31">
      <c r="A78" s="500" t="str">
        <f>IF(終値!A78="","",HYPERLINK("https://kabutan.jp/stock/?code="&amp;終値!A78,"📈"))</f>
        <v>📈</v>
      </c>
      <c r="B78" s="500" t="str">
        <f>IF(終値!A78="","",終値!A78)</f>
        <v>6954</v>
      </c>
      <c r="C78" s="499" t="str">
        <f>IF(終値!A78="","",終値!B78)</f>
        <v>ファナック</v>
      </c>
      <c r="D78" s="501">
        <f>IF(終値!A78="","",終値!E78)</f>
        <v>6187</v>
      </c>
      <c r="E78" s="501">
        <f>IF($D78="","",AVERAGE(終値!E78:X78))</f>
        <v>6779.45</v>
      </c>
      <c r="F78" s="502">
        <f>IF($D78="","",STDEVP(終値!E78:X78))</f>
        <v>324.1003663990524</v>
      </c>
      <c r="G78" s="501">
        <f>IF($D78="","",$E78+BB設定!$B$4*$F78)</f>
        <v>7427.6507327981044</v>
      </c>
      <c r="H78" s="501">
        <f>IF($D78="","",$E78+BB設定!$B$5*$F78)</f>
        <v>7103.5503663990521</v>
      </c>
      <c r="I78" s="501">
        <f>IF($D78="","",$E78-BB設定!$B$5*$F78)</f>
        <v>6455.3496336009475</v>
      </c>
      <c r="J78" s="501">
        <f>IF($D78="","",$E78-BB設定!$B$4*$F78)</f>
        <v>6131.2492672018952</v>
      </c>
      <c r="K78" s="506">
        <f t="shared" si="11"/>
        <v>4.3004219200311729E-2</v>
      </c>
      <c r="L78" s="505">
        <f t="shared" si="12"/>
        <v>19.12251680587967</v>
      </c>
      <c r="M78" s="505">
        <f>IF($D78="","",IFERROR(MIN(BB_帯幅!B78:AP78)*100,""))</f>
        <v>14.321083954966982</v>
      </c>
      <c r="N78" s="500" t="str">
        <f>IF($L78="","",IF($L78&lt;=$M78*BB設定!$B$7,"スクイーズ★",IF($L78&lt;=$M78*1.3,"収縮","－")))</f>
        <v>－</v>
      </c>
      <c r="O78" s="500" t="str">
        <f>IF($D78="","",IF(AND(BB_帯幅!B78&gt;BB_帯幅!C78,BB_帯幅!C78&gt;BB_帯幅!D78),"拡大↑","縮小↓"))</f>
        <v>拡大↑</v>
      </c>
      <c r="P78" s="500" t="str">
        <f t="shared" si="13"/>
        <v>-1σ下</v>
      </c>
      <c r="Q78" s="503">
        <f>IF($D78="","",IFERROR(100-100/(1+SUMPRODUCT((終値!E78:R78&gt;終値!F78:S78)*(終値!E78:R78-終値!F78:S78))/SUMPRODUCT((終値!E78:R78&lt;終値!F78:S78)*(終値!F78:S78-終値!E78:R78))),100))</f>
        <v>39.600216099405728</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52.426875826332186</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v>
      </c>
      <c r="T78" s="500" t="str">
        <f t="shared" si="14"/>
        <v>下walk▼</v>
      </c>
      <c r="U78" s="500" t="str">
        <f>IF(終値!A78="","",BB_スイング!BT78)</f>
        <v>二番天井M▼</v>
      </c>
      <c r="V78" s="508">
        <f>IF($D78="","",IFERROR(出来高!E78/AVERAGE(出来高!E78:I78),""))</f>
        <v>0.93913452210698967</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0</v>
      </c>
      <c r="Y78" s="501">
        <f t="shared" si="15"/>
        <v>6187</v>
      </c>
      <c r="Z78" s="501">
        <f t="shared" si="16"/>
        <v>7103.5503663990521</v>
      </c>
      <c r="AA78" s="501">
        <f t="shared" si="17"/>
        <v>6114</v>
      </c>
      <c r="AB78" s="501">
        <f t="shared" si="21"/>
        <v>7427.6507327981044</v>
      </c>
      <c r="AC78" s="507">
        <f t="shared" si="18"/>
        <v>17</v>
      </c>
      <c r="AD78" s="501">
        <f>IF($D78="","",MIN(終値!E78:I78))</f>
        <v>6114</v>
      </c>
      <c r="AE78" s="503">
        <f t="shared" si="19"/>
        <v>9.9220000000000003E-2</v>
      </c>
    </row>
    <row r="79" spans="1:31">
      <c r="A79" s="500" t="str">
        <f>IF(終値!A79="","",HYPERLINK("https://kabutan.jp/stock/?code="&amp;終値!A79,"📈"))</f>
        <v>📈</v>
      </c>
      <c r="B79" s="500" t="str">
        <f>IF(終値!A79="","",終値!A79)</f>
        <v>6479</v>
      </c>
      <c r="C79" s="499" t="str">
        <f>IF(終値!A79="","",終値!B79)</f>
        <v>ミネベアミツミ</v>
      </c>
      <c r="D79" s="501">
        <f>IF(終値!A79="","",終値!E79)</f>
        <v>3847</v>
      </c>
      <c r="E79" s="501">
        <f>IF($D79="","",AVERAGE(終値!E79:X79))</f>
        <v>3995.4</v>
      </c>
      <c r="F79" s="502">
        <f>IF($D79="","",STDEVP(終値!E79:X79))</f>
        <v>287.23707977905639</v>
      </c>
      <c r="G79" s="501">
        <f>IF($D79="","",$E79+BB設定!$B$4*$F79)</f>
        <v>4569.8741595581132</v>
      </c>
      <c r="H79" s="501">
        <f>IF($D79="","",$E79+BB設定!$B$5*$F79)</f>
        <v>4282.6370797790569</v>
      </c>
      <c r="I79" s="501">
        <f>IF($D79="","",$E79-BB設定!$B$5*$F79)</f>
        <v>3708.1629202209438</v>
      </c>
      <c r="J79" s="501">
        <f>IF($D79="","",$E79-BB設定!$B$4*$F79)</f>
        <v>3420.9258404418874</v>
      </c>
      <c r="K79" s="506">
        <f t="shared" si="11"/>
        <v>0.37083840279765584</v>
      </c>
      <c r="L79" s="505">
        <f t="shared" si="12"/>
        <v>28.756778272919505</v>
      </c>
      <c r="M79" s="505">
        <f>IF($D79="","",IFERROR(MIN(BB_帯幅!B79:AP79)*100,""))</f>
        <v>21.054771792371358</v>
      </c>
      <c r="N79" s="500" t="str">
        <f>IF($L79="","",IF($L79&lt;=$M79*BB設定!$B$7,"スクイーズ★",IF($L79&lt;=$M79*1.3,"収縮","－")))</f>
        <v>－</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38.59899928520371</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39.719735470712415</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0.6953934518992656</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15</v>
      </c>
      <c r="Y79" s="501">
        <f t="shared" si="15"/>
        <v>3847</v>
      </c>
      <c r="Z79" s="501">
        <f t="shared" si="16"/>
        <v>4282.6370797790569</v>
      </c>
      <c r="AA79" s="501">
        <f t="shared" si="17"/>
        <v>3512</v>
      </c>
      <c r="AB79" s="501">
        <f t="shared" si="21"/>
        <v>4569.8741595581132</v>
      </c>
      <c r="AC79" s="507">
        <f t="shared" si="18"/>
        <v>2.16</v>
      </c>
      <c r="AD79" s="501">
        <f>IF($D79="","",MIN(終値!E79:I79))</f>
        <v>3512</v>
      </c>
      <c r="AE79" s="503">
        <f t="shared" si="19"/>
        <v>15.099209999999999</v>
      </c>
    </row>
    <row r="80" spans="1:31">
      <c r="A80" s="500" t="str">
        <f>IF(終値!A80="","",HYPERLINK("https://kabutan.jp/stock/?code="&amp;終値!A80,"📈"))</f>
        <v>📈</v>
      </c>
      <c r="B80" s="500" t="str">
        <f>IF(終値!A80="","",終値!A80)</f>
        <v>1833</v>
      </c>
      <c r="C80" s="499" t="str">
        <f>IF(終値!A80="","",終値!B80)</f>
        <v>奥村組</v>
      </c>
      <c r="D80" s="501">
        <f>IF(終値!A80="","",終値!E80)</f>
        <v>5730</v>
      </c>
      <c r="E80" s="501">
        <f>IF($D80="","",AVERAGE(終値!E80:X80))</f>
        <v>5721.5789473684208</v>
      </c>
      <c r="F80" s="502">
        <f>IF($D80="","",STDEVP(終値!E80:X80))</f>
        <v>81.386870652958777</v>
      </c>
      <c r="G80" s="501">
        <f>IF($D80="","",$E80+BB設定!$B$4*$F80)</f>
        <v>5884.3526886743384</v>
      </c>
      <c r="H80" s="501">
        <f>IF($D80="","",$E80+BB設定!$B$5*$F80)</f>
        <v>5802.9658180213792</v>
      </c>
      <c r="I80" s="501">
        <f>IF($D80="","",$E80-BB設定!$B$5*$F80)</f>
        <v>5640.1920767154625</v>
      </c>
      <c r="J80" s="501">
        <f>IF($D80="","",$E80-BB設定!$B$4*$F80)</f>
        <v>5558.8052060625032</v>
      </c>
      <c r="K80" s="506">
        <f t="shared" si="11"/>
        <v>0.52586735601214885</v>
      </c>
      <c r="L80" s="505">
        <f t="shared" si="12"/>
        <v>5.6898189399548054</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50.706566916043229</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55.776463802154844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v>
      </c>
      <c r="T80" s="500" t="str">
        <f t="shared" si="14"/>
        <v>－</v>
      </c>
      <c r="U80" s="500" t="str">
        <f>IF(終値!A80="","",BB_スイング!BT80)</f>
        <v>－</v>
      </c>
      <c r="V80" s="508">
        <f>IF($D80="","",IFERROR(出来高!E80/AVERAGE(出来高!E80:I80),""))</f>
        <v>0.64863968148639684</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・押し目注目</v>
      </c>
      <c r="X80" s="504">
        <f t="shared" si="20"/>
        <v>20</v>
      </c>
      <c r="Y80" s="501">
        <f t="shared" si="15"/>
        <v>5730</v>
      </c>
      <c r="Z80" s="501">
        <f t="shared" si="16"/>
        <v>5802.9658180213792</v>
      </c>
      <c r="AA80" s="501">
        <f t="shared" si="17"/>
        <v>5721.5789473684208</v>
      </c>
      <c r="AB80" s="501">
        <f t="shared" si="21"/>
        <v>5884.3526886743384</v>
      </c>
      <c r="AC80" s="507">
        <f t="shared" si="18"/>
        <v>18.329999999999998</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5894</v>
      </c>
      <c r="E81" s="501">
        <f>IF($D81="","",AVERAGE(終値!E81:X81))</f>
        <v>5663.15</v>
      </c>
      <c r="F81" s="502">
        <f>IF($D81="","",STDEVP(終値!E81:X81))</f>
        <v>155.18675040092825</v>
      </c>
      <c r="G81" s="501">
        <f>IF($D81="","",$E81+BB設定!$B$4*$F81)</f>
        <v>5973.5235008018562</v>
      </c>
      <c r="H81" s="501">
        <f>IF($D81="","",$E81+BB設定!$B$5*$F81)</f>
        <v>5818.3367504009275</v>
      </c>
      <c r="I81" s="501">
        <f>IF($D81="","",$E81-BB設定!$B$5*$F81)</f>
        <v>5507.9632495990718</v>
      </c>
      <c r="J81" s="501">
        <f>IF($D81="","",$E81-BB設定!$B$4*$F81)</f>
        <v>5352.776499198143</v>
      </c>
      <c r="K81" s="506">
        <f t="shared" si="11"/>
        <v>0.87189064047606257</v>
      </c>
      <c r="L81" s="505">
        <f t="shared" si="12"/>
        <v>10.961161219528236</v>
      </c>
      <c r="M81" s="505">
        <f>IF($D81="","",IFERROR(MIN(BB_帯幅!B81:AP81)*100,""))</f>
        <v>7.9378072149172958</v>
      </c>
      <c r="N81" s="500" t="str">
        <f>IF($L81="","",IF($L81&lt;=$M81*BB設定!$B$7,"スクイーズ★",IF($L81&lt;=$M81*1.3,"収縮","－")))</f>
        <v>－</v>
      </c>
      <c r="O81" s="500" t="str">
        <f>IF($D81="","",IF(AND(BB_帯幅!B81&gt;BB_帯幅!C81,BB_帯幅!C81&gt;BB_帯幅!D81),"拡大↑","縮小↓"))</f>
        <v>縮小↓</v>
      </c>
      <c r="P81" s="500" t="str">
        <f t="shared" si="13"/>
        <v>+1σ上</v>
      </c>
      <c r="Q81" s="503">
        <f>IF($D81="","",IFERROR(100-100/(1+SUMPRODUCT((終値!E81:R81&gt;終値!F81:S81)*(終値!E81:R81-終値!F81:S81))/SUMPRODUCT((終値!E81:R81&lt;終値!F81:S81)*(終値!F81:S81-終値!E81:R81))),100))</f>
        <v>58.453333333333333</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59.074511066370697</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上walk▲</v>
      </c>
      <c r="U81" s="500" t="str">
        <f>IF(終値!A81="","",BB_スイング!BT81)</f>
        <v>二番底W▲</v>
      </c>
      <c r="V81" s="508">
        <f>IF($D81="","",IFERROR(出来高!E81/AVERAGE(出来高!E81:I81),""))</f>
        <v>1.2415843175062264</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△二番底買(確)</v>
      </c>
      <c r="X81" s="504">
        <f t="shared" si="20"/>
        <v>42</v>
      </c>
      <c r="Y81" s="501">
        <f t="shared" si="15"/>
        <v>5894</v>
      </c>
      <c r="Z81" s="501">
        <f t="shared" si="16"/>
        <v>5818.3367504009275</v>
      </c>
      <c r="AA81" s="501">
        <f t="shared" si="17"/>
        <v>5663.15</v>
      </c>
      <c r="AB81" s="501">
        <f t="shared" si="21"/>
        <v>5973.5235008018562</v>
      </c>
      <c r="AC81" s="507">
        <f t="shared" si="18"/>
        <v>0.34</v>
      </c>
      <c r="AD81" s="501">
        <f>IF($D81="","",MIN(終値!E81:I81))</f>
        <v>5560</v>
      </c>
      <c r="AE81" s="503">
        <f t="shared" si="19"/>
        <v>42.09919</v>
      </c>
    </row>
    <row r="82" spans="1:31" ht="24">
      <c r="A82" s="500" t="str">
        <f>IF(終値!A82="","",HYPERLINK("https://kabutan.jp/stock/?code="&amp;終値!A82,"📈"))</f>
        <v>📈</v>
      </c>
      <c r="B82" s="500" t="str">
        <f>IF(終値!A82="","",終値!A82)</f>
        <v>7167</v>
      </c>
      <c r="C82" s="499" t="str">
        <f>IF(終値!A82="","",終値!B82)</f>
        <v>めぶきフィナンシャルＧ</v>
      </c>
      <c r="D82" s="501">
        <f>IF(終値!A82="","",終値!E82)</f>
        <v>1496.5</v>
      </c>
      <c r="E82" s="501">
        <f>IF($D82="","",AVERAGE(終値!E82:X82))</f>
        <v>1513.825</v>
      </c>
      <c r="F82" s="502">
        <f>IF($D82="","",STDEVP(終値!E82:X82))</f>
        <v>33.246155792813099</v>
      </c>
      <c r="G82" s="501">
        <f>IF($D82="","",$E82+BB設定!$B$4*$F82)</f>
        <v>1580.3173115856262</v>
      </c>
      <c r="H82" s="501">
        <f>IF($D82="","",$E82+BB設定!$B$5*$F82)</f>
        <v>1547.0711557928132</v>
      </c>
      <c r="I82" s="501">
        <f>IF($D82="","",$E82-BB設定!$B$5*$F82)</f>
        <v>1480.5788442071869</v>
      </c>
      <c r="J82" s="501">
        <f>IF($D82="","",$E82-BB設定!$B$4*$F82)</f>
        <v>1447.3326884143739</v>
      </c>
      <c r="K82" s="506">
        <f t="shared" si="11"/>
        <v>0.36972177995579525</v>
      </c>
      <c r="L82" s="505">
        <f t="shared" si="12"/>
        <v>8.7846761132397884</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バンド内</v>
      </c>
      <c r="Q82" s="503">
        <f>IF($D82="","",IFERROR(100-100/(1+SUMPRODUCT((終値!E82:R82&gt;終値!F82:S82)*(終値!E82:R82-終値!F82:S82))/SUMPRODUCT((終値!E82:R82&lt;終値!F82:S82)*(終値!F82:S82-終値!E82:R82))),100))</f>
        <v>45.591939546599491</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59.462611102962562</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v>
      </c>
      <c r="U82" s="500" t="str">
        <f>IF(終値!A82="","",BB_スイング!BT82)</f>
        <v>二番底W形成</v>
      </c>
      <c r="V82" s="508">
        <f>IF($D82="","",IFERROR(出来高!E82/AVERAGE(出来高!E82:I82),""))</f>
        <v>0.76075247628806386</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△二番底形成</v>
      </c>
      <c r="X82" s="504">
        <f t="shared" si="20"/>
        <v>10</v>
      </c>
      <c r="Y82" s="501">
        <f t="shared" si="15"/>
        <v>1496.5</v>
      </c>
      <c r="Z82" s="501">
        <f t="shared" si="16"/>
        <v>1547.0711557928132</v>
      </c>
      <c r="AA82" s="501">
        <f t="shared" si="17"/>
        <v>1465.5</v>
      </c>
      <c r="AB82" s="501">
        <f t="shared" si="21"/>
        <v>1580.3173115856262</v>
      </c>
      <c r="AC82" s="507">
        <f t="shared" si="18"/>
        <v>2.7</v>
      </c>
      <c r="AD82" s="501">
        <f>IF($D82="","",MIN(終値!E82:I82))</f>
        <v>1465.5</v>
      </c>
      <c r="AE82" s="503">
        <f t="shared" si="19"/>
        <v>10.09918</v>
      </c>
    </row>
    <row r="83" spans="1:31">
      <c r="A83" s="500" t="str">
        <f>IF(終値!A83="","",HYPERLINK("https://kabutan.jp/stock/?code="&amp;終値!A83,"📈"))</f>
        <v>📈</v>
      </c>
      <c r="B83" s="500" t="str">
        <f>IF(終値!A83="","",終値!A83)</f>
        <v>1925</v>
      </c>
      <c r="C83" s="499" t="str">
        <f>IF(終値!A83="","",終値!B83)</f>
        <v>大和ハウス</v>
      </c>
      <c r="D83" s="501">
        <f>IF(終値!A83="","",終値!E83)</f>
        <v>4544</v>
      </c>
      <c r="E83" s="501">
        <f>IF($D83="","",AVERAGE(終値!E83:X83))</f>
        <v>4623.3999999999996</v>
      </c>
      <c r="F83" s="502">
        <f>IF($D83="","",STDEVP(終値!E83:X83))</f>
        <v>105.31970375955298</v>
      </c>
      <c r="G83" s="501">
        <f>IF($D83="","",$E83+BB設定!$B$4*$F83)</f>
        <v>4834.0394075191052</v>
      </c>
      <c r="H83" s="501">
        <f>IF($D83="","",$E83+BB設定!$B$5*$F83)</f>
        <v>4728.7197037595524</v>
      </c>
      <c r="I83" s="501">
        <f>IF($D83="","",$E83-BB設定!$B$5*$F83)</f>
        <v>4518.0802962404468</v>
      </c>
      <c r="J83" s="501">
        <f>IF($D83="","",$E83-BB設定!$B$4*$F83)</f>
        <v>4412.760592480894</v>
      </c>
      <c r="K83" s="506">
        <f t="shared" si="11"/>
        <v>0.31152624540876134</v>
      </c>
      <c r="L83" s="505">
        <f t="shared" si="12"/>
        <v>9.1118833550679419</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50.16393442622951</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57.679613935794073</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v>
      </c>
      <c r="T83" s="500" t="str">
        <f t="shared" si="14"/>
        <v>－</v>
      </c>
      <c r="U83" s="500" t="str">
        <f>IF(終値!A83="","",BB_スイング!BT83)</f>
        <v>二番底W形成</v>
      </c>
      <c r="V83" s="508">
        <f>IF($D83="","",IFERROR(出来高!E83/AVERAGE(出来高!E83:I83),""))</f>
        <v>0.67587525332501908</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5</v>
      </c>
      <c r="Y83" s="501">
        <f t="shared" si="15"/>
        <v>4544</v>
      </c>
      <c r="Z83" s="501">
        <f t="shared" si="16"/>
        <v>4728.7197037595524</v>
      </c>
      <c r="AA83" s="501">
        <f t="shared" si="17"/>
        <v>4544</v>
      </c>
      <c r="AB83" s="501">
        <f t="shared" si="21"/>
        <v>4834.0394075191052</v>
      </c>
      <c r="AC83" s="507" t="str">
        <f t="shared" si="18"/>
        <v>－</v>
      </c>
      <c r="AD83" s="501">
        <f>IF($D83="","",MIN(終値!E83:I83))</f>
        <v>4544</v>
      </c>
      <c r="AE83" s="503">
        <f t="shared" si="19"/>
        <v>5.09917</v>
      </c>
    </row>
    <row r="84" spans="1:31" ht="24">
      <c r="A84" s="500" t="str">
        <f>IF(終値!A84="","",HYPERLINK("https://kabutan.jp/stock/?code="&amp;終値!A84,"📈"))</f>
        <v>📈</v>
      </c>
      <c r="B84" s="500" t="str">
        <f>IF(終値!A84="","",終値!A84)</f>
        <v>5411</v>
      </c>
      <c r="C84" s="499" t="str">
        <f>IF(終値!A84="","",終値!B84)</f>
        <v>ＪＦＥホールディングス</v>
      </c>
      <c r="D84" s="501">
        <f>IF(終値!A84="","",終値!E84)</f>
        <v>1799.5</v>
      </c>
      <c r="E84" s="501">
        <f>IF($D84="","",AVERAGE(終値!E84:X84))</f>
        <v>1725.925</v>
      </c>
      <c r="F84" s="502">
        <f>IF($D84="","",STDEVP(終値!E84:X84))</f>
        <v>78.674531298254337</v>
      </c>
      <c r="G84" s="501">
        <f>IF($D84="","",$E84+BB設定!$B$4*$F84)</f>
        <v>1883.2740625965087</v>
      </c>
      <c r="H84" s="501">
        <f>IF($D84="","",$E84+BB設定!$B$5*$F84)</f>
        <v>1804.5995312982543</v>
      </c>
      <c r="I84" s="501">
        <f>IF($D84="","",$E84-BB設定!$B$5*$F84)</f>
        <v>1647.2504687017456</v>
      </c>
      <c r="J84" s="501">
        <f>IF($D84="","",$E84-BB設定!$B$4*$F84)</f>
        <v>1568.5759374034913</v>
      </c>
      <c r="K84" s="506">
        <f t="shared" si="11"/>
        <v>0.73379548243216719</v>
      </c>
      <c r="L84" s="505">
        <f t="shared" si="12"/>
        <v>18.233592142938853</v>
      </c>
      <c r="M84" s="505">
        <f>IF($D84="","",IFERROR(MIN(BB_帯幅!B84:AP84)*100,""))</f>
        <v>8.1409712881682594</v>
      </c>
      <c r="N84" s="500" t="str">
        <f>IF($L84="","",IF($L84&lt;=$M84*BB設定!$B$7,"スクイーズ★",IF($L84&lt;=$M84*1.3,"収縮","－")))</f>
        <v>－</v>
      </c>
      <c r="O84" s="500" t="str">
        <f>IF($D84="","",IF(AND(BB_帯幅!B84&gt;BB_帯幅!C84,BB_帯幅!C84&gt;BB_帯幅!D84),"拡大↑","縮小↓"))</f>
        <v>縮小↓</v>
      </c>
      <c r="P84" s="500" t="str">
        <f t="shared" si="13"/>
        <v>バンド内</v>
      </c>
      <c r="Q84" s="503">
        <f>IF($D84="","",IFERROR(100-100/(1+SUMPRODUCT((終値!E84:R84&gt;終値!F84:S84)*(終値!E84:R84-終値!F84:S84))/SUMPRODUCT((終値!E84:R84&lt;終値!F84:S84)*(終値!F84:S84-終値!E84:R84))),100))</f>
        <v>72.010178117048355</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57.144962770395416</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v>
      </c>
      <c r="U84" s="500" t="str">
        <f>IF(終値!A84="","",BB_スイング!BT84)</f>
        <v>－</v>
      </c>
      <c r="V84" s="508">
        <f>IF($D84="","",IFERROR(出来高!E84/AVERAGE(出来高!E84:I84),""))</f>
        <v>0.70589925755627581</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様子見</v>
      </c>
      <c r="X84" s="504">
        <f t="shared" si="20"/>
        <v>13</v>
      </c>
      <c r="Y84" s="501">
        <f t="shared" si="15"/>
        <v>1799.5</v>
      </c>
      <c r="Z84" s="501">
        <f t="shared" si="16"/>
        <v>1804.5995312982543</v>
      </c>
      <c r="AA84" s="501">
        <f t="shared" si="17"/>
        <v>1725.925</v>
      </c>
      <c r="AB84" s="501">
        <f t="shared" si="21"/>
        <v>1883.2740625965087</v>
      </c>
      <c r="AC84" s="507">
        <f t="shared" si="18"/>
        <v>1.1399999999999999</v>
      </c>
      <c r="AD84" s="501">
        <f>IF($D84="","",MIN(終値!E84:I84))</f>
        <v>1794</v>
      </c>
      <c r="AE84" s="503">
        <f t="shared" si="19"/>
        <v>13.099159999999999</v>
      </c>
    </row>
    <row r="85" spans="1:31">
      <c r="A85" s="500" t="str">
        <f>IF(終値!A85="","",HYPERLINK("https://kabutan.jp/stock/?code="&amp;終値!A85,"📈"))</f>
        <v>📈</v>
      </c>
      <c r="B85" s="500" t="str">
        <f>IF(終値!A85="","",終値!A85)</f>
        <v>7182</v>
      </c>
      <c r="C85" s="499" t="str">
        <f>IF(終値!A85="","",終値!B85)</f>
        <v>ゆうちょ銀行</v>
      </c>
      <c r="D85" s="501">
        <f>IF(終値!A85="","",終値!E85)</f>
        <v>3095</v>
      </c>
      <c r="E85" s="501">
        <f>IF($D85="","",AVERAGE(終値!E85:X85))</f>
        <v>3273.6</v>
      </c>
      <c r="F85" s="502">
        <f>IF($D85="","",STDEVP(終値!E85:X85))</f>
        <v>111.56047687241212</v>
      </c>
      <c r="G85" s="501">
        <f>IF($D85="","",$E85+BB設定!$B$4*$F85)</f>
        <v>3496.7209537448243</v>
      </c>
      <c r="H85" s="501">
        <f>IF($D85="","",$E85+BB設定!$B$5*$F85)</f>
        <v>3385.1604768724119</v>
      </c>
      <c r="I85" s="501">
        <f>IF($D85="","",$E85-BB設定!$B$5*$F85)</f>
        <v>3162.0395231275879</v>
      </c>
      <c r="J85" s="501">
        <f>IF($D85="","",$E85-BB設定!$B$4*$F85)</f>
        <v>3050.4790462551755</v>
      </c>
      <c r="K85" s="506">
        <f t="shared" si="11"/>
        <v>9.976865237798678E-2</v>
      </c>
      <c r="L85" s="505">
        <f t="shared" si="12"/>
        <v>13.631534319698464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-1σ下</v>
      </c>
      <c r="Q85" s="503">
        <f>IF($D85="","",IFERROR(100-100/(1+SUMPRODUCT((終値!E85:R85&gt;終値!F85:S85)*(終値!E85:R85-終値!F85:S85))/SUMPRODUCT((終値!E85:R85&lt;終値!F85:S85)*(終値!F85:S85-終値!E85:R85))),100))</f>
        <v>38.913043478260875</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35.225993355581338</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下walk▼</v>
      </c>
      <c r="U85" s="500" t="str">
        <f>IF(終値!A85="","",BB_スイング!BT85)</f>
        <v>二番天井M▼</v>
      </c>
      <c r="V85" s="508">
        <f>IF($D85="","",IFERROR(出来高!E85/AVERAGE(出来高!E85:I85),""))</f>
        <v>0.65360659818909395</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▼二番天井警戒</v>
      </c>
      <c r="X85" s="504">
        <f t="shared" si="20"/>
        <v>0</v>
      </c>
      <c r="Y85" s="501">
        <f t="shared" si="15"/>
        <v>3095</v>
      </c>
      <c r="Z85" s="501">
        <f t="shared" si="16"/>
        <v>3385.1604768724119</v>
      </c>
      <c r="AA85" s="501">
        <f t="shared" si="17"/>
        <v>3095</v>
      </c>
      <c r="AB85" s="501">
        <f t="shared" si="21"/>
        <v>3496.7209537448243</v>
      </c>
      <c r="AC85" s="507" t="str">
        <f t="shared" si="18"/>
        <v>－</v>
      </c>
      <c r="AD85" s="501">
        <f>IF($D85="","",MIN(終値!E85:I85))</f>
        <v>3095</v>
      </c>
      <c r="AE85" s="503">
        <f t="shared" si="19"/>
        <v>9.9150000000000002E-2</v>
      </c>
    </row>
    <row r="86" spans="1:31" ht="24">
      <c r="A86" s="500" t="str">
        <f>IF(終値!A86="","",HYPERLINK("https://kabutan.jp/stock/?code="&amp;終値!A86,"📈"))</f>
        <v>📈</v>
      </c>
      <c r="B86" s="500" t="str">
        <f>IF(終値!A86="","",終値!A86)</f>
        <v>1963</v>
      </c>
      <c r="C86" s="499" t="str">
        <f>IF(終値!A86="","",終値!B86)</f>
        <v>日揮ホールディングス</v>
      </c>
      <c r="D86" s="501">
        <f>IF(終値!A86="","",終値!E86)</f>
        <v>2292.5</v>
      </c>
      <c r="E86" s="501">
        <f>IF($D86="","",AVERAGE(終値!E86:X86))</f>
        <v>2313.9473684210525</v>
      </c>
      <c r="F86" s="502">
        <f>IF($D86="","",STDEVP(終値!E86:X86))</f>
        <v>81.215582951348836</v>
      </c>
      <c r="G86" s="501">
        <f>IF($D86="","",$E86+BB設定!$B$4*$F86)</f>
        <v>2476.37853432375</v>
      </c>
      <c r="H86" s="501">
        <f>IF($D86="","",$E86+BB設定!$B$5*$F86)</f>
        <v>2395.1629513724015</v>
      </c>
      <c r="I86" s="501">
        <f>IF($D86="","",$E86-BB設定!$B$5*$F86)</f>
        <v>2232.7317854697035</v>
      </c>
      <c r="J86" s="501">
        <f>IF($D86="","",$E86-BB設定!$B$4*$F86)</f>
        <v>2151.5162025183549</v>
      </c>
      <c r="K86" s="506">
        <f t="shared" si="11"/>
        <v>0.43398013151644715</v>
      </c>
      <c r="L86" s="505">
        <f t="shared" si="12"/>
        <v>14.039313782105101</v>
      </c>
      <c r="M86" s="505">
        <f>IF($D86="","",IFERROR(MIN(BB_帯幅!B86:AP86)*100,""))</f>
        <v>12.628687462118329</v>
      </c>
      <c r="N86" s="500" t="str">
        <f>IF($L86="","",IF($L86&lt;=$M86*BB設定!$B$7,"スクイーズ★",IF($L86&lt;=$M86*1.3,"収縮","－")))</f>
        <v>収縮</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49.899106370712019</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48.020151199398676</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v>
      </c>
      <c r="T86" s="500" t="str">
        <f t="shared" si="14"/>
        <v>－</v>
      </c>
      <c r="U86" s="500" t="str">
        <f>IF(終値!A86="","",BB_スイング!BT86)</f>
        <v>－</v>
      </c>
      <c r="V86" s="508">
        <f>IF($D86="","",IFERROR(出来高!E86/AVERAGE(出来高!E86:I86),""))</f>
        <v>0.70166179971619225</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様子見</v>
      </c>
      <c r="X86" s="504">
        <f t="shared" si="20"/>
        <v>15</v>
      </c>
      <c r="Y86" s="501">
        <f t="shared" si="15"/>
        <v>2292.5</v>
      </c>
      <c r="Z86" s="501">
        <f t="shared" si="16"/>
        <v>2395.1629513724015</v>
      </c>
      <c r="AA86" s="501">
        <f t="shared" si="17"/>
        <v>2225.5</v>
      </c>
      <c r="AB86" s="501">
        <f t="shared" si="21"/>
        <v>2476.37853432375</v>
      </c>
      <c r="AC86" s="507">
        <f t="shared" si="18"/>
        <v>2.74</v>
      </c>
      <c r="AD86" s="501">
        <f>IF($D86="","",MIN(終値!E86:I86))</f>
        <v>2225.5</v>
      </c>
      <c r="AE86" s="503">
        <f t="shared" si="19"/>
        <v>15.09914</v>
      </c>
    </row>
    <row r="87" spans="1:31">
      <c r="A87" s="500" t="str">
        <f>IF(終値!A87="","",HYPERLINK("https://kabutan.jp/stock/?code="&amp;終値!A87,"📈"))</f>
        <v>📈</v>
      </c>
      <c r="B87" s="500" t="str">
        <f>IF(終値!A87="","",終値!A87)</f>
        <v>2914</v>
      </c>
      <c r="C87" s="499" t="str">
        <f>IF(終値!A87="","",終値!B87)</f>
        <v>日本たばこ産業</v>
      </c>
      <c r="D87" s="501">
        <f>IF(終値!A87="","",終値!E87)</f>
        <v>6819</v>
      </c>
      <c r="E87" s="501">
        <f>IF($D87="","",AVERAGE(終値!E87:X87))</f>
        <v>6443.6</v>
      </c>
      <c r="F87" s="502">
        <f>IF($D87="","",STDEVP(終値!E87:X87))</f>
        <v>302.61153315761118</v>
      </c>
      <c r="G87" s="501">
        <f>IF($D87="","",$E87+BB設定!$B$4*$F87)</f>
        <v>7048.8230663152226</v>
      </c>
      <c r="H87" s="501">
        <f>IF($D87="","",$E87+BB設定!$B$5*$F87)</f>
        <v>6746.2115331576115</v>
      </c>
      <c r="I87" s="501">
        <f>IF($D87="","",$E87-BB設定!$B$5*$F87)</f>
        <v>6140.9884668423892</v>
      </c>
      <c r="J87" s="501">
        <f>IF($D87="","",$E87-BB設定!$B$4*$F87)</f>
        <v>5838.3769336847781</v>
      </c>
      <c r="K87" s="506">
        <f t="shared" si="11"/>
        <v>0.81013358618793752</v>
      </c>
      <c r="L87" s="505">
        <f t="shared" si="12"/>
        <v>18.785246331715879</v>
      </c>
      <c r="M87" s="505">
        <f>IF($D87="","",IFERROR(MIN(BB_帯幅!B87:AP87)*100,""))</f>
        <v>5.0040049575081795</v>
      </c>
      <c r="N87" s="500" t="str">
        <f>IF($L87="","",IF($L87&lt;=$M87*BB設定!$B$7,"スクイーズ★",IF($L87&lt;=$M87*1.3,"収縮","－")))</f>
        <v>－</v>
      </c>
      <c r="O87" s="500" t="str">
        <f>IF($D87="","",IF(AND(BB_帯幅!B87&gt;BB_帯幅!C87,BB_帯幅!C87&gt;BB_帯幅!D87),"拡大↑","縮小↓"))</f>
        <v>縮小↓</v>
      </c>
      <c r="P87" s="500" t="str">
        <f t="shared" si="13"/>
        <v>+1σ上</v>
      </c>
      <c r="Q87" s="503">
        <f>IF($D87="","",IFERROR(100-100/(1+SUMPRODUCT((終値!E87:R87&gt;終値!F87:S87)*(終値!E87:R87-終値!F87:S87))/SUMPRODUCT((終値!E87:R87&lt;終値!F87:S87)*(終値!F87:S87-終値!E87:R87))),100))</f>
        <v>70.259593679458234</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75.260672273662038</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弱気div▼</v>
      </c>
      <c r="T87" s="500" t="str">
        <f t="shared" si="14"/>
        <v>上walk▲</v>
      </c>
      <c r="U87" s="500" t="str">
        <f>IF(終値!A87="","",BB_スイング!BT87)</f>
        <v>二番底W▲</v>
      </c>
      <c r="V87" s="508">
        <f>IF($D87="","",IFERROR(出来高!E87/AVERAGE(出来高!E87:I87),""))</f>
        <v>0.64984431870491466</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△二番底買(確)</v>
      </c>
      <c r="X87" s="504">
        <f t="shared" si="20"/>
        <v>30</v>
      </c>
      <c r="Y87" s="501">
        <f t="shared" si="15"/>
        <v>6819</v>
      </c>
      <c r="Z87" s="501">
        <f t="shared" si="16"/>
        <v>6746.2115331576115</v>
      </c>
      <c r="AA87" s="501">
        <f t="shared" si="17"/>
        <v>6443.6</v>
      </c>
      <c r="AB87" s="501">
        <f t="shared" si="21"/>
        <v>7048.8230663152226</v>
      </c>
      <c r="AC87" s="507">
        <f t="shared" si="18"/>
        <v>0.61</v>
      </c>
      <c r="AD87" s="501">
        <f>IF($D87="","",MIN(終値!E87:I87))</f>
        <v>6665</v>
      </c>
      <c r="AE87" s="503">
        <f t="shared" si="19"/>
        <v>30.099129999999999</v>
      </c>
    </row>
    <row r="88" spans="1:31">
      <c r="A88" s="500" t="str">
        <f>IF(終値!A88="","",HYPERLINK("https://kabutan.jp/stock/?code="&amp;終値!A88,"📈"))</f>
        <v>📈</v>
      </c>
      <c r="B88" s="500" t="str">
        <f>IF(終値!A88="","",終値!A88)</f>
        <v>3003</v>
      </c>
      <c r="C88" s="499" t="str">
        <f>IF(終値!A88="","",終値!B88)</f>
        <v>ヒューリック</v>
      </c>
      <c r="D88" s="501">
        <f>IF(終値!A88="","",終値!E88)</f>
        <v>1715</v>
      </c>
      <c r="E88" s="501">
        <f>IF($D88="","",AVERAGE(終値!E88:X88))</f>
        <v>1785.325</v>
      </c>
      <c r="F88" s="502">
        <f>IF($D88="","",STDEVP(終値!E88:X88))</f>
        <v>42.960526940436836</v>
      </c>
      <c r="G88" s="501">
        <f>IF($D88="","",$E88+BB設定!$B$4*$F88)</f>
        <v>1871.2460538808737</v>
      </c>
      <c r="H88" s="501">
        <f>IF($D88="","",$E88+BB設定!$B$5*$F88)</f>
        <v>1828.285526940437</v>
      </c>
      <c r="I88" s="501">
        <f>IF($D88="","",$E88-BB設定!$B$5*$F88)</f>
        <v>1742.3644730595631</v>
      </c>
      <c r="J88" s="501">
        <f>IF($D88="","",$E88-BB設定!$B$4*$F88)</f>
        <v>1699.4039461191264</v>
      </c>
      <c r="K88" s="506">
        <f t="shared" si="11"/>
        <v>9.0758045766622719E-2</v>
      </c>
      <c r="L88" s="505">
        <f t="shared" si="12"/>
        <v>9.6252563405400817</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45.092322643343053</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54.953160631417653</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0.64054997244889922</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1715</v>
      </c>
      <c r="Z88" s="501">
        <f t="shared" si="16"/>
        <v>1828.285526940437</v>
      </c>
      <c r="AA88" s="501">
        <f t="shared" si="17"/>
        <v>1710</v>
      </c>
      <c r="AB88" s="501">
        <f t="shared" si="21"/>
        <v>1871.2460538808737</v>
      </c>
      <c r="AC88" s="507">
        <f t="shared" si="18"/>
        <v>20</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2127</v>
      </c>
      <c r="E89" s="501">
        <f>IF($D89="","",AVERAGE(終値!E89:X89))</f>
        <v>2060.85</v>
      </c>
      <c r="F89" s="502">
        <f>IF($D89="","",STDEVP(終値!E89:X89))</f>
        <v>48.138627940563495</v>
      </c>
      <c r="G89" s="501">
        <f>IF($D89="","",$E89+BB設定!$B$4*$F89)</f>
        <v>2157.127255881127</v>
      </c>
      <c r="H89" s="501">
        <f>IF($D89="","",$E89+BB設定!$B$5*$F89)</f>
        <v>2108.9886279405632</v>
      </c>
      <c r="I89" s="501">
        <f>IF($D89="","",$E89-BB設定!$B$5*$F89)</f>
        <v>2012.7113720594364</v>
      </c>
      <c r="J89" s="501">
        <f>IF($D89="","",$E89-BB設定!$B$4*$F89)</f>
        <v>1964.5727441188728</v>
      </c>
      <c r="K89" s="506">
        <f t="shared" si="11"/>
        <v>0.84353908093140439</v>
      </c>
      <c r="L89" s="505">
        <f t="shared" si="12"/>
        <v>9.3434510887378579</v>
      </c>
      <c r="M89" s="505">
        <f>IF($D89="","",IFERROR(MIN(BB_帯幅!B89:AP89)*100,""))</f>
        <v>7.3901216004219101</v>
      </c>
      <c r="N89" s="500" t="str">
        <f>IF($L89="","",IF($L89&lt;=$M89*BB設定!$B$7,"スクイーズ★",IF($L89&lt;=$M89*1.3,"収縮","－")))</f>
        <v>収縮</v>
      </c>
      <c r="O89" s="500" t="str">
        <f>IF($D89="","",IF(AND(BB_帯幅!B89&gt;BB_帯幅!C89,BB_帯幅!C89&gt;BB_帯幅!D89),"拡大↑","縮小↓"))</f>
        <v>縮小↓</v>
      </c>
      <c r="P89" s="500" t="str">
        <f t="shared" si="13"/>
        <v>+1σ上</v>
      </c>
      <c r="Q89" s="503">
        <f>IF($D89="","",IFERROR(100-100/(1+SUMPRODUCT((終値!E89:R89&gt;終値!F89:S89)*(終値!E89:R89-終値!F89:S89))/SUMPRODUCT((終値!E89:R89&lt;終値!F89:S89)*(終値!F89:S89-終値!E89:R89))),100))</f>
        <v>57.575757575757578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48.37520271363023</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0.80745341614906829</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37</v>
      </c>
      <c r="Y89" s="501">
        <f t="shared" si="15"/>
        <v>2127</v>
      </c>
      <c r="Z89" s="501">
        <f t="shared" si="16"/>
        <v>2108.9886279405632</v>
      </c>
      <c r="AA89" s="501">
        <f t="shared" si="17"/>
        <v>2060.85</v>
      </c>
      <c r="AB89" s="501">
        <f t="shared" si="21"/>
        <v>2157.127255881127</v>
      </c>
      <c r="AC89" s="507">
        <f t="shared" si="18"/>
        <v>0.46</v>
      </c>
      <c r="AD89" s="501">
        <f>IF($D89="","",MIN(終値!E89:I89))</f>
        <v>2041</v>
      </c>
      <c r="AE89" s="503">
        <f t="shared" si="19"/>
        <v>37.099110000000003</v>
      </c>
    </row>
    <row r="90" spans="1:31">
      <c r="A90" s="500" t="str">
        <f>IF(終値!A90="","",HYPERLINK("https://kabutan.jp/stock/?code="&amp;終値!A90,"📈"))</f>
        <v>📈</v>
      </c>
      <c r="B90" s="500" t="str">
        <f>IF(終値!A90="","",終値!A90)</f>
        <v>6323</v>
      </c>
      <c r="C90" s="499" t="str">
        <f>IF(終値!A90="","",終値!B90)</f>
        <v>ローツェ</v>
      </c>
      <c r="D90" s="501">
        <f>IF(終値!A90="","",終値!E90)</f>
        <v>4292</v>
      </c>
      <c r="E90" s="501">
        <f>IF($D90="","",AVERAGE(終値!E90:X90))</f>
        <v>4329.1499999999996</v>
      </c>
      <c r="F90" s="502">
        <f>IF($D90="","",STDEVP(終値!E90:X90))</f>
        <v>398.06183878889976</v>
      </c>
      <c r="G90" s="501">
        <f>IF($D90="","",$E90+BB設定!$B$4*$F90)</f>
        <v>5125.2736775777994</v>
      </c>
      <c r="H90" s="501">
        <f>IF($D90="","",$E90+BB設定!$B$5*$F90)</f>
        <v>4727.2118387888995</v>
      </c>
      <c r="I90" s="501">
        <f>IF($D90="","",$E90-BB設定!$B$5*$F90)</f>
        <v>3931.0881612110998</v>
      </c>
      <c r="J90" s="501">
        <f>IF($D90="","",$E90-BB設定!$B$4*$F90)</f>
        <v>3533.0263224221999</v>
      </c>
      <c r="K90" s="506">
        <f t="shared" si="11"/>
        <v>0.47666819801602422</v>
      </c>
      <c r="L90" s="505">
        <f t="shared" si="12"/>
        <v>36.779676267987931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44.989775051124745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50.177613927297962</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0.79980111261637798</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4292</v>
      </c>
      <c r="Z90" s="501">
        <f t="shared" si="16"/>
        <v>4727.2118387888995</v>
      </c>
      <c r="AA90" s="501">
        <f t="shared" si="17"/>
        <v>3406</v>
      </c>
      <c r="AB90" s="501">
        <f t="shared" si="21"/>
        <v>5125.2736775777994</v>
      </c>
      <c r="AC90" s="507">
        <f t="shared" si="18"/>
        <v>0.94</v>
      </c>
      <c r="AD90" s="501">
        <f>IF($D90="","",MIN(終値!E90:I90))</f>
        <v>3406</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5412</v>
      </c>
      <c r="E91" s="501">
        <f>IF($D91="","",AVERAGE(終値!E91:X91))</f>
        <v>4921.1000000000004</v>
      </c>
      <c r="F91" s="502">
        <f>IF($D91="","",STDEVP(終値!E91:X91))</f>
        <v>211.15915798278795</v>
      </c>
      <c r="G91" s="501">
        <f>IF($D91="","",$E91+BB設定!$B$4*$F91)</f>
        <v>5343.4183159655759</v>
      </c>
      <c r="H91" s="501">
        <f>IF($D91="","",$E91+BB設定!$B$5*$F91)</f>
        <v>5132.2591579827886</v>
      </c>
      <c r="I91" s="501">
        <f>IF($D91="","",$E91-BB設定!$B$5*$F91)</f>
        <v>4709.9408420172122</v>
      </c>
      <c r="J91" s="501">
        <f>IF($D91="","",$E91-BB設定!$B$4*$F91)</f>
        <v>4498.7816840344249</v>
      </c>
      <c r="K91" s="506">
        <f t="shared" si="11"/>
        <v>1.0811966725592059</v>
      </c>
      <c r="L91" s="505">
        <f t="shared" si="12"/>
        <v>17.163573833719106</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↑+2σ突破</v>
      </c>
      <c r="Q91" s="503">
        <f>IF($D91="","",IFERROR(100-100/(1+SUMPRODUCT((終値!E91:R91&gt;終値!F91:S91)*(終値!E91:R91-終値!F91:S91))/SUMPRODUCT((終値!E91:R91&lt;終値!F91:S91)*(終値!F91:S91-終値!E91:R91))),100))</f>
        <v>80.526315789473685</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76.190804661273376</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0.87063236345027473</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△二番底買(確)</v>
      </c>
      <c r="X91" s="504">
        <f t="shared" si="20"/>
        <v>48</v>
      </c>
      <c r="Y91" s="501">
        <f t="shared" si="15"/>
        <v>5412</v>
      </c>
      <c r="Z91" s="501">
        <f t="shared" si="16"/>
        <v>5132.2591579827886</v>
      </c>
      <c r="AA91" s="501">
        <f t="shared" si="17"/>
        <v>4921.1000000000004</v>
      </c>
      <c r="AB91" s="501">
        <f t="shared" si="21"/>
        <v>5554.5774739483641</v>
      </c>
      <c r="AC91" s="507">
        <f t="shared" si="18"/>
        <v>0.28999999999999998</v>
      </c>
      <c r="AD91" s="501">
        <f>IF($D91="","",MIN(終値!E91:I91))</f>
        <v>4957</v>
      </c>
      <c r="AE91" s="503">
        <f t="shared" si="19"/>
        <v>48.099089999999997</v>
      </c>
    </row>
    <row r="92" spans="1:31">
      <c r="A92" s="500" t="str">
        <f>IF(終値!A92="","",HYPERLINK("https://kabutan.jp/stock/?code="&amp;終値!A92,"📈"))</f>
        <v>📈</v>
      </c>
      <c r="B92" s="500" t="str">
        <f>IF(終値!A92="","",終値!A92)</f>
        <v>6134</v>
      </c>
      <c r="C92" s="499" t="str">
        <f>IF(終値!A92="","",終値!B92)</f>
        <v>ＦＵＪＩ</v>
      </c>
      <c r="D92" s="501">
        <f>IF(終値!A92="","",終値!E92)</f>
        <v>8143</v>
      </c>
      <c r="E92" s="501">
        <f>IF($D92="","",AVERAGE(終値!E92:X92))</f>
        <v>7553.15</v>
      </c>
      <c r="F92" s="502">
        <f>IF($D92="","",STDEVP(終値!E92:X92))</f>
        <v>516.33935304216357</v>
      </c>
      <c r="G92" s="501">
        <f>IF($D92="","",$E92+BB設定!$B$4*$F92)</f>
        <v>8585.8287060843268</v>
      </c>
      <c r="H92" s="501">
        <f>IF($D92="","",$E92+BB設定!$B$5*$F92)</f>
        <v>8069.4893530421632</v>
      </c>
      <c r="I92" s="501">
        <f>IF($D92="","",$E92-BB設定!$B$5*$F92)</f>
        <v>7036.8106469578361</v>
      </c>
      <c r="J92" s="501">
        <f>IF($D92="","",$E92-BB設定!$B$4*$F92)</f>
        <v>6520.4712939156725</v>
      </c>
      <c r="K92" s="506">
        <f t="shared" si="11"/>
        <v>0.78559221591610606</v>
      </c>
      <c r="L92" s="505">
        <f t="shared" si="12"/>
        <v>27.344318756659863</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53.311617806731817</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63.532747867701111</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2.1110213502596653</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42</v>
      </c>
      <c r="Y92" s="501">
        <f t="shared" si="15"/>
        <v>8143</v>
      </c>
      <c r="Z92" s="501">
        <f t="shared" si="16"/>
        <v>8069.4893530421632</v>
      </c>
      <c r="AA92" s="501">
        <f t="shared" si="17"/>
        <v>7553.15</v>
      </c>
      <c r="AB92" s="501">
        <f t="shared" si="21"/>
        <v>8585.8287060843268</v>
      </c>
      <c r="AC92" s="507">
        <f t="shared" si="18"/>
        <v>0.75</v>
      </c>
      <c r="AD92" s="501">
        <f>IF($D92="","",MIN(終値!E92:I92))</f>
        <v>6497</v>
      </c>
      <c r="AE92" s="503">
        <f t="shared" si="19"/>
        <v>42.099080000000001</v>
      </c>
    </row>
    <row r="93" spans="1:31">
      <c r="A93" s="500" t="str">
        <f>IF(終値!A93="","",HYPERLINK("https://kabutan.jp/stock/?code="&amp;終値!A93,"📈"))</f>
        <v>📈</v>
      </c>
      <c r="B93" s="500" t="str">
        <f>IF(終値!A93="","",終値!A93)</f>
        <v>7746</v>
      </c>
      <c r="C93" s="499" t="str">
        <f>IF(終値!A93="","",終値!B93)</f>
        <v>岡本硝子</v>
      </c>
      <c r="D93" s="501">
        <f>IF(終値!A93="","",終値!E93)</f>
        <v>735</v>
      </c>
      <c r="E93" s="501">
        <f>IF($D93="","",AVERAGE(終値!E93:X93))</f>
        <v>765.1</v>
      </c>
      <c r="F93" s="502">
        <f>IF($D93="","",STDEVP(終値!E93:X93))</f>
        <v>34.9784219198065</v>
      </c>
      <c r="G93" s="501">
        <f>IF($D93="","",$E93+BB設定!$B$4*$F93)</f>
        <v>835.05684383961307</v>
      </c>
      <c r="H93" s="501">
        <f>IF($D93="","",$E93+BB設定!$B$5*$F93)</f>
        <v>800.07842191980649</v>
      </c>
      <c r="I93" s="501">
        <f>IF($D93="","",$E93-BB設定!$B$5*$F93)</f>
        <v>730.12157808019356</v>
      </c>
      <c r="J93" s="501">
        <f>IF($D93="","",$E93-BB設定!$B$4*$F93)</f>
        <v>695.14315616038698</v>
      </c>
      <c r="K93" s="506">
        <f t="shared" si="11"/>
        <v>0.28486736716561312</v>
      </c>
      <c r="L93" s="505">
        <f t="shared" si="12"/>
        <v>18.286980483495764</v>
      </c>
      <c r="M93" s="505">
        <f>IF($D93="","",IFERROR(MIN(BB_帯幅!B93:AP93)*100,""))</f>
        <v>18.286980483495753</v>
      </c>
      <c r="N93" s="500" t="str">
        <f>IF($L93="","",IF($L93&lt;=$M93*BB設定!$B$7,"スクイーズ★",IF($L93&lt;=$M93*1.3,"収縮","－")))</f>
        <v>スクイーズ★</v>
      </c>
      <c r="O93" s="500" t="str">
        <f>IF($D93="","",IF(AND(BB_帯幅!B93&gt;BB_帯幅!C93,BB_帯幅!C93&gt;BB_帯幅!D93),"拡大↑","縮小↓"))</f>
        <v>縮小↓</v>
      </c>
      <c r="P93" s="500" t="str">
        <f t="shared" si="13"/>
        <v>バンド内</v>
      </c>
      <c r="Q93" s="503">
        <f>IF($D93="","",IFERROR(100-100/(1+SUMPRODUCT((終値!E93:R93&gt;終値!F93:S93)*(終値!E93:R93-終値!F93:S93))/SUMPRODUCT((終値!E93:R93&lt;終値!F93:S93)*(終値!F93:S93-終値!E93:R93))),100))</f>
        <v>36.190476190476183</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51.049336664965423</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v>
      </c>
      <c r="U93" s="500" t="str">
        <f>IF(終値!A93="","",BB_スイング!BT93)</f>
        <v>二番底W形成</v>
      </c>
      <c r="V93" s="508">
        <f>IF($D93="","",IFERROR(出来高!E93/AVERAGE(出来高!E93:I93),""))</f>
        <v>0.94745649263721554</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○反発(ダイバ)買</v>
      </c>
      <c r="X93" s="504">
        <f t="shared" si="20"/>
        <v>30</v>
      </c>
      <c r="Y93" s="501">
        <f t="shared" si="15"/>
        <v>735</v>
      </c>
      <c r="Z93" s="501">
        <f t="shared" si="16"/>
        <v>800.07842191980649</v>
      </c>
      <c r="AA93" s="501">
        <f t="shared" si="17"/>
        <v>718</v>
      </c>
      <c r="AB93" s="501">
        <f t="shared" si="21"/>
        <v>835.05684383961307</v>
      </c>
      <c r="AC93" s="507">
        <f t="shared" si="18"/>
        <v>5.89</v>
      </c>
      <c r="AD93" s="501">
        <f>IF($D93="","",MIN(終値!E93:I93))</f>
        <v>718</v>
      </c>
      <c r="AE93" s="503">
        <f t="shared" si="19"/>
        <v>30.099070000000001</v>
      </c>
    </row>
    <row r="94" spans="1:31">
      <c r="A94" s="500" t="str">
        <f>IF(終値!A94="","",HYPERLINK("https://kabutan.jp/stock/?code="&amp;終値!A94,"📈"))</f>
        <v>📈</v>
      </c>
      <c r="B94" s="500" t="str">
        <f>IF(終値!A94="","",終値!A94)</f>
        <v>3407</v>
      </c>
      <c r="C94" s="499" t="str">
        <f>IF(終値!A94="","",終値!B94)</f>
        <v>旭化成</v>
      </c>
      <c r="D94" s="501">
        <f>IF(終値!A94="","",終値!E94)</f>
        <v>1579.5</v>
      </c>
      <c r="E94" s="501">
        <f>IF($D94="","",AVERAGE(終値!E94:X94))</f>
        <v>1822.625</v>
      </c>
      <c r="F94" s="502">
        <f>IF($D94="","",STDEVP(終値!E94:X94))</f>
        <v>79.61122329797476</v>
      </c>
      <c r="G94" s="501">
        <f>IF($D94="","",$E94+BB設定!$B$4*$F94)</f>
        <v>1981.8474465959496</v>
      </c>
      <c r="H94" s="501">
        <f>IF($D94="","",$E94+BB設定!$B$5*$F94)</f>
        <v>1902.2362232979747</v>
      </c>
      <c r="I94" s="501">
        <f>IF($D94="","",$E94-BB設定!$B$5*$F94)</f>
        <v>1743.0137767020253</v>
      </c>
      <c r="J94" s="501">
        <f>IF($D94="","",$E94-BB設定!$B$4*$F94)</f>
        <v>1663.4025534040504</v>
      </c>
      <c r="K94" s="506">
        <f t="shared" si="11"/>
        <v>-0.26347589550914741</v>
      </c>
      <c r="L94" s="505">
        <f t="shared" si="12"/>
        <v>17.471772481552659</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↓-2σ割れ</v>
      </c>
      <c r="Q94" s="503">
        <f>IF($D94="","",IFERROR(100-100/(1+SUMPRODUCT((終値!E94:R94&gt;終値!F94:S94)*(終値!E94:R94-終値!F94:S94))/SUMPRODUCT((終値!E94:R94&lt;終値!F94:S94)*(終値!F94:S94-終値!E94:R94))),100))</f>
        <v>28.348623853211009</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27.60969266619567</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1.5993752938270425</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1579.5</v>
      </c>
      <c r="Z94" s="501">
        <f t="shared" si="16"/>
        <v>1902.2362232979747</v>
      </c>
      <c r="AA94" s="501">
        <f t="shared" si="17"/>
        <v>1579.5</v>
      </c>
      <c r="AB94" s="501">
        <f t="shared" si="21"/>
        <v>1981.8474465959496</v>
      </c>
      <c r="AC94" s="507" t="str">
        <f t="shared" si="18"/>
        <v>－</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1238</v>
      </c>
      <c r="E95" s="501">
        <f>IF($D95="","",AVERAGE(終値!E95:X95))</f>
        <v>1270.3684210526317</v>
      </c>
      <c r="F95" s="502">
        <f>IF($D95="","",STDEVP(終値!E95:X95))</f>
        <v>35.606342614048842</v>
      </c>
      <c r="G95" s="501">
        <f>IF($D95="","",$E95+BB設定!$B$4*$F95)</f>
        <v>1341.5811062807293</v>
      </c>
      <c r="H95" s="501">
        <f>IF($D95="","",$E95+BB設定!$B$5*$F95)</f>
        <v>1305.9747636666805</v>
      </c>
      <c r="I95" s="501">
        <f>IF($D95="","",$E95-BB設定!$B$5*$F95)</f>
        <v>1234.7620784385829</v>
      </c>
      <c r="J95" s="501">
        <f>IF($D95="","",$E95-BB設定!$B$4*$F95)</f>
        <v>1199.1557358245341</v>
      </c>
      <c r="K95" s="506">
        <f t="shared" si="11"/>
        <v>0.27273416281836521</v>
      </c>
      <c r="L95" s="505">
        <f t="shared" si="12"/>
        <v>11.211343740596215</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バンド内</v>
      </c>
      <c r="Q95" s="503">
        <f>IF($D95="","",IFERROR(100-100/(1+SUMPRODUCT((終値!E95:R95&gt;終値!F95:S95)*(終値!E95:R95-終値!F95:S95))/SUMPRODUCT((終値!E95:R95&lt;終値!F95:S95)*(終値!F95:S95-終値!E95:R95))),100))</f>
        <v>49.589138978206506</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55.080494023099227</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強気div▲</v>
      </c>
      <c r="T95" s="500" t="str">
        <f t="shared" si="14"/>
        <v>－</v>
      </c>
      <c r="U95" s="500" t="str">
        <f>IF(終値!A95="","",BB_スイング!BT95)</f>
        <v>－</v>
      </c>
      <c r="V95" s="508">
        <f>IF($D95="","",IFERROR(出来高!E95/AVERAGE(出来高!E95:I95),""))</f>
        <v>0.94914889032536087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○反発(ダイバ)買</v>
      </c>
      <c r="X95" s="504">
        <f t="shared" si="20"/>
        <v>15</v>
      </c>
      <c r="Y95" s="501">
        <f t="shared" si="15"/>
        <v>1238</v>
      </c>
      <c r="Z95" s="501">
        <f t="shared" si="16"/>
        <v>1305.9747636666805</v>
      </c>
      <c r="AA95" s="501">
        <f t="shared" si="17"/>
        <v>1218</v>
      </c>
      <c r="AB95" s="501">
        <f t="shared" si="21"/>
        <v>1341.5811062807293</v>
      </c>
      <c r="AC95" s="507">
        <f t="shared" si="18"/>
        <v>5.18</v>
      </c>
      <c r="AD95" s="501">
        <f>IF($D95="","",MIN(終値!E95:I95))</f>
        <v>1218</v>
      </c>
      <c r="AE95" s="503">
        <f t="shared" si="19"/>
        <v>15.09905</v>
      </c>
    </row>
    <row r="96" spans="1:31">
      <c r="A96" s="500" t="str">
        <f>IF(終値!A96="","",HYPERLINK("https://kabutan.jp/stock/?code="&amp;終値!A96,"📈"))</f>
        <v>📈</v>
      </c>
      <c r="B96" s="500" t="str">
        <f>IF(終値!A96="","",終値!A96)</f>
        <v>4062</v>
      </c>
      <c r="C96" s="499" t="str">
        <f>IF(終値!A96="","",終値!B96)</f>
        <v>イビデン</v>
      </c>
      <c r="D96" s="501">
        <f>IF(終値!A96="","",終値!E96)</f>
        <v>16330</v>
      </c>
      <c r="E96" s="501">
        <f>IF($D96="","",AVERAGE(終値!E96:X96))</f>
        <v>17510</v>
      </c>
      <c r="F96" s="502">
        <f>IF($D96="","",STDEVP(終値!E96:X96))</f>
        <v>2112.370114350229</v>
      </c>
      <c r="G96" s="501">
        <f>IF($D96="","",$E96+BB設定!$B$4*$F96)</f>
        <v>21734.740228700459</v>
      </c>
      <c r="H96" s="501">
        <f>IF($D96="","",$E96+BB設定!$B$5*$F96)</f>
        <v>19622.370114350229</v>
      </c>
      <c r="I96" s="501">
        <f>IF($D96="","",$E96-BB設定!$B$5*$F96)</f>
        <v>15397.629885649771</v>
      </c>
      <c r="J96" s="501">
        <f>IF($D96="","",$E96-BB設定!$B$4*$F96)</f>
        <v>13285.259771299541</v>
      </c>
      <c r="K96" s="506">
        <f t="shared" si="11"/>
        <v>0.36034644308024461</v>
      </c>
      <c r="L96" s="505">
        <f t="shared" si="12"/>
        <v>48.255171087383879</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43.502202643171813</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34.639501408861094</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強気div▲</v>
      </c>
      <c r="T96" s="500" t="str">
        <f t="shared" si="14"/>
        <v>－</v>
      </c>
      <c r="U96" s="500" t="str">
        <f>IF(終値!A96="","",BB_スイング!BT96)</f>
        <v>－</v>
      </c>
      <c r="V96" s="508">
        <f>IF($D96="","",IFERROR(出来高!E96/AVERAGE(出来高!E96:I96),""))</f>
        <v>1.3065877679384259</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○反発(ダイバ)買</v>
      </c>
      <c r="X96" s="504">
        <f t="shared" si="20"/>
        <v>20</v>
      </c>
      <c r="Y96" s="501">
        <f t="shared" si="15"/>
        <v>16330</v>
      </c>
      <c r="Z96" s="501">
        <f t="shared" si="16"/>
        <v>19622.370114350229</v>
      </c>
      <c r="AA96" s="501">
        <f t="shared" si="17"/>
        <v>13470</v>
      </c>
      <c r="AB96" s="501">
        <f t="shared" si="21"/>
        <v>21734.740228700459</v>
      </c>
      <c r="AC96" s="507">
        <f t="shared" si="18"/>
        <v>1.89</v>
      </c>
      <c r="AD96" s="501">
        <f>IF($D96="","",MIN(終値!E96:I96))</f>
        <v>13470</v>
      </c>
      <c r="AE96" s="503">
        <f t="shared" si="19"/>
        <v>20.099039999999999</v>
      </c>
    </row>
    <row r="97" spans="1:31">
      <c r="A97" s="500" t="str">
        <f>IF(終値!A97="","",HYPERLINK("https://kabutan.jp/stock/?code="&amp;終値!A97,"📈"))</f>
        <v>📈</v>
      </c>
      <c r="B97" s="500" t="str">
        <f>IF(終値!A97="","",終値!A97)</f>
        <v>4182</v>
      </c>
      <c r="C97" s="499" t="str">
        <f>IF(終値!A97="","",終値!B97)</f>
        <v>三菱瓦斯化学</v>
      </c>
      <c r="D97" s="501">
        <f>IF(終値!A97="","",終値!E97)</f>
        <v>4322</v>
      </c>
      <c r="E97" s="501">
        <f>IF($D97="","",AVERAGE(終値!E97:X97))</f>
        <v>4423.55</v>
      </c>
      <c r="F97" s="502">
        <f>IF($D97="","",STDEVP(終値!E97:X97))</f>
        <v>281.06929305777959</v>
      </c>
      <c r="G97" s="501">
        <f>IF($D97="","",$E97+BB設定!$B$4*$F97)</f>
        <v>4985.6885861155597</v>
      </c>
      <c r="H97" s="501">
        <f>IF($D97="","",$E97+BB設定!$B$5*$F97)</f>
        <v>4704.6192930577799</v>
      </c>
      <c r="I97" s="501">
        <f>IF($D97="","",$E97-BB設定!$B$5*$F97)</f>
        <v>4142.4807069422204</v>
      </c>
      <c r="J97" s="501">
        <f>IF($D97="","",$E97-BB設定!$B$4*$F97)</f>
        <v>3861.4114138844411</v>
      </c>
      <c r="K97" s="506">
        <f t="shared" si="11"/>
        <v>0.40967529848669321</v>
      </c>
      <c r="L97" s="505">
        <f t="shared" si="12"/>
        <v>25.415722038433351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44.297832233741758</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40.702705642394051</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0.64865481076151388</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20</v>
      </c>
      <c r="Y97" s="501">
        <f t="shared" si="15"/>
        <v>4322</v>
      </c>
      <c r="Z97" s="501">
        <f t="shared" si="16"/>
        <v>4704.6192930577799</v>
      </c>
      <c r="AA97" s="501">
        <f t="shared" si="17"/>
        <v>3820</v>
      </c>
      <c r="AB97" s="501">
        <f t="shared" si="21"/>
        <v>4985.6885861155597</v>
      </c>
      <c r="AC97" s="507">
        <f t="shared" si="18"/>
        <v>1.32</v>
      </c>
      <c r="AD97" s="501">
        <f>IF($D97="","",MIN(終値!E97:I97))</f>
        <v>3820</v>
      </c>
      <c r="AE97" s="503">
        <f t="shared" si="19"/>
        <v>20.099029999999999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1117.5</v>
      </c>
      <c r="E98" s="501">
        <f>IF($D98="","",AVERAGE(終値!E98:X98))</f>
        <v>1178.3684210526317</v>
      </c>
      <c r="F98" s="502">
        <f>IF($D98="","",STDEVP(終値!E98:X98))</f>
        <v>29.463555590478911</v>
      </c>
      <c r="G98" s="501">
        <f>IF($D98="","",$E98+BB設定!$B$4*$F98)</f>
        <v>1237.2955322335895</v>
      </c>
      <c r="H98" s="501">
        <f>IF($D98="","",$E98+BB設定!$B$5*$F98)</f>
        <v>1207.8319766431107</v>
      </c>
      <c r="I98" s="501">
        <f>IF($D98="","",$E98-BB設定!$B$5*$F98)</f>
        <v>1148.9048654621527</v>
      </c>
      <c r="J98" s="501">
        <f>IF($D98="","",$E98-BB設定!$B$4*$F98)</f>
        <v>1119.4413098716739</v>
      </c>
      <c r="K98" s="506">
        <f t="shared" si="11"/>
        <v>-1.6472128301965674E-2</v>
      </c>
      <c r="L98" s="505">
        <f t="shared" si="12"/>
        <v>10.00147494250032</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↓-2σ割れ</v>
      </c>
      <c r="Q98" s="503">
        <f>IF($D98="","",IFERROR(100-100/(1+SUMPRODUCT((終値!E98:R98&gt;終値!F98:S98)*(終値!E98:R98-終値!F98:S98))/SUMPRODUCT((終値!E98:R98&lt;終値!F98:S98)*(終値!F98:S98-終値!E98:R98))),100))</f>
        <v>49.217638691322904</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53.816397951174714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下walk▼</v>
      </c>
      <c r="U98" s="500" t="str">
        <f>IF(終値!A98="","",BB_スイング!BT98)</f>
        <v>二番天井M形成</v>
      </c>
      <c r="V98" s="508">
        <f>IF($D98="","",IFERROR(出来高!E98/AVERAGE(出来高!E98:I98),""))</f>
        <v>0.77952356037056414</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▼二番天井警戒</v>
      </c>
      <c r="X98" s="504">
        <f t="shared" si="20"/>
        <v>0</v>
      </c>
      <c r="Y98" s="501">
        <f t="shared" si="15"/>
        <v>1117.5</v>
      </c>
      <c r="Z98" s="501">
        <f t="shared" si="16"/>
        <v>1207.8319766431107</v>
      </c>
      <c r="AA98" s="501">
        <f t="shared" si="17"/>
        <v>1117.5</v>
      </c>
      <c r="AB98" s="501">
        <f t="shared" si="21"/>
        <v>1237.2955322335895</v>
      </c>
      <c r="AC98" s="507" t="str">
        <f t="shared" si="18"/>
        <v>－</v>
      </c>
      <c r="AD98" s="501">
        <f>IF($D98="","",MIN(終値!E98:I98))</f>
        <v>1117.5</v>
      </c>
      <c r="AE98" s="503">
        <f t="shared" si="19"/>
        <v>9.9019999999999997E-2</v>
      </c>
    </row>
    <row r="99" spans="1:31">
      <c r="A99" s="500" t="str">
        <f>IF(終値!A99="","",HYPERLINK("https://kabutan.jp/stock/?code="&amp;終値!A99,"📈"))</f>
        <v>📈</v>
      </c>
      <c r="B99" s="500" t="str">
        <f>IF(終値!A99="","",終値!A99)</f>
        <v>4523</v>
      </c>
      <c r="C99" s="499" t="str">
        <f>IF(終値!A99="","",終値!B99)</f>
        <v>エーザイ</v>
      </c>
      <c r="D99" s="501">
        <f>IF(終値!A99="","",終値!E99)</f>
        <v>4623</v>
      </c>
      <c r="E99" s="501">
        <f>IF($D99="","",AVERAGE(終値!E99:X99))</f>
        <v>4546.6000000000004</v>
      </c>
      <c r="F99" s="502">
        <f>IF($D99="","",STDEVP(終値!E99:X99))</f>
        <v>251.78113511540136</v>
      </c>
      <c r="G99" s="501">
        <f>IF($D99="","",$E99+BB設定!$B$4*$F99)</f>
        <v>5050.1622702308032</v>
      </c>
      <c r="H99" s="501">
        <f>IF($D99="","",$E99+BB設定!$B$5*$F99)</f>
        <v>4798.3811351154018</v>
      </c>
      <c r="I99" s="501">
        <f>IF($D99="","",$E99-BB設定!$B$5*$F99)</f>
        <v>4294.818864884599</v>
      </c>
      <c r="J99" s="501">
        <f>IF($D99="","",$E99-BB設定!$B$4*$F99)</f>
        <v>4043.0377297691975</v>
      </c>
      <c r="K99" s="506">
        <f t="shared" si="11"/>
        <v>0.57585953566872916</v>
      </c>
      <c r="L99" s="505">
        <f t="shared" si="12"/>
        <v>22.151157798390127</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61.919698870765366</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62.056294679296983</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0.72636995939372007</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・押し目注目</v>
      </c>
      <c r="X99" s="504">
        <f t="shared" si="20"/>
        <v>25</v>
      </c>
      <c r="Y99" s="501">
        <f t="shared" si="15"/>
        <v>4623</v>
      </c>
      <c r="Z99" s="501">
        <f t="shared" si="16"/>
        <v>4798.3811351154018</v>
      </c>
      <c r="AA99" s="501">
        <f t="shared" si="17"/>
        <v>4546.6000000000004</v>
      </c>
      <c r="AB99" s="501">
        <f t="shared" si="21"/>
        <v>5050.1622702308032</v>
      </c>
      <c r="AC99" s="507">
        <f t="shared" si="18"/>
        <v>5.59</v>
      </c>
      <c r="AD99" s="501">
        <f>IF($D99="","",MIN(終値!E99:I99))</f>
        <v>4623</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2307</v>
      </c>
      <c r="E100" s="501">
        <f>IF($D100="","",AVERAGE(終値!E100:X100))</f>
        <v>2418.6578947368421</v>
      </c>
      <c r="F100" s="502">
        <f>IF($D100="","",STDEVP(終値!E100:X100))</f>
        <v>45.003231647580172</v>
      </c>
      <c r="G100" s="501">
        <f>IF($D100="","",$E100+BB設定!$B$4*$F100)</f>
        <v>2508.6643580320024</v>
      </c>
      <c r="H100" s="501">
        <f>IF($D100="","",$E100+BB設定!$B$5*$F100)</f>
        <v>2463.6611263844225</v>
      </c>
      <c r="I100" s="501">
        <f>IF($D100="","",$E100-BB設定!$B$5*$F100)</f>
        <v>2373.6546630892617</v>
      </c>
      <c r="J100" s="501">
        <f>IF($D100="","",$E100-BB設定!$B$4*$F100)</f>
        <v>2328.6514314416818</v>
      </c>
      <c r="K100" s="506">
        <f t="shared" si="11"/>
        <v>-0.12027709260544842</v>
      </c>
      <c r="L100" s="505">
        <f t="shared" si="12"/>
        <v>7.4426783127138618</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↓-2σ割れ</v>
      </c>
      <c r="Q100" s="503">
        <f>IF($D100="","",IFERROR(100-100/(1+SUMPRODUCT((終値!E100:R100&gt;終値!F100:S100)*(終値!E100:R100-終値!F100:S100))/SUMPRODUCT((終値!E100:R100&lt;終値!F100:S100)*(終値!F100:S100-終値!E100:R100))),100))</f>
        <v>49.11382807316842</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38.638910280527639</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強気div▲</v>
      </c>
      <c r="T100" s="500" t="str">
        <f t="shared" si="14"/>
        <v>下walk▼</v>
      </c>
      <c r="U100" s="500" t="str">
        <f>IF(終値!A100="","",BB_スイング!BT100)</f>
        <v>－</v>
      </c>
      <c r="V100" s="508">
        <f>IF($D100="","",IFERROR(出来高!E100/AVERAGE(出来高!E100:I100),""))</f>
        <v>0.90791387322195027</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▼-2σ割れ危険</v>
      </c>
      <c r="X100" s="504">
        <f t="shared" si="20"/>
        <v>0</v>
      </c>
      <c r="Y100" s="501">
        <f t="shared" si="15"/>
        <v>2307</v>
      </c>
      <c r="Z100" s="501">
        <f t="shared" si="16"/>
        <v>2463.6611263844225</v>
      </c>
      <c r="AA100" s="501">
        <f t="shared" si="17"/>
        <v>2307</v>
      </c>
      <c r="AB100" s="501">
        <f t="shared" si="21"/>
        <v>2508.6643580320024</v>
      </c>
      <c r="AC100" s="507" t="str">
        <f t="shared" si="18"/>
        <v>－</v>
      </c>
      <c r="AD100" s="501">
        <f>IF($D100="","",MIN(終値!E100:I100))</f>
        <v>2307</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2945</v>
      </c>
      <c r="E101" s="501">
        <f>IF($D101="","",AVERAGE(終値!E101:X101))</f>
        <v>2770.2894736842104</v>
      </c>
      <c r="F101" s="502">
        <f>IF($D101="","",STDEVP(終値!E101:X101))</f>
        <v>181.70054281046527</v>
      </c>
      <c r="G101" s="501">
        <f>IF($D101="","",$E101+BB設定!$B$4*$F101)</f>
        <v>3133.6905593051411</v>
      </c>
      <c r="H101" s="501">
        <f>IF($D101="","",$E101+BB設定!$B$5*$F101)</f>
        <v>2951.9900164946757</v>
      </c>
      <c r="I101" s="501">
        <f>IF($D101="","",$E101-BB設定!$B$5*$F101)</f>
        <v>2588.5889308737451</v>
      </c>
      <c r="J101" s="501">
        <f>IF($D101="","",$E101-BB設定!$B$4*$F101)</f>
        <v>2406.8883880632798</v>
      </c>
      <c r="K101" s="506">
        <f t="shared" si="11"/>
        <v>0.74038250466047439</v>
      </c>
      <c r="L101" s="505">
        <f t="shared" si="12"/>
        <v>26.235603829345905</v>
      </c>
      <c r="M101" s="505">
        <f>IF($D101="","",IFERROR(MIN(BB_帯幅!B101:AP101)*100,""))</f>
        <v>7.7884784063958223</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52.209737827715351</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60.203763283384177</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0.64136936448634319</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25</v>
      </c>
      <c r="Y101" s="501">
        <f t="shared" si="15"/>
        <v>2945</v>
      </c>
      <c r="Z101" s="501">
        <f t="shared" si="16"/>
        <v>2951.9900164946757</v>
      </c>
      <c r="AA101" s="501">
        <f t="shared" si="17"/>
        <v>2770.2894736842104</v>
      </c>
      <c r="AB101" s="501">
        <f t="shared" si="21"/>
        <v>3133.6905593051411</v>
      </c>
      <c r="AC101" s="507">
        <f t="shared" si="18"/>
        <v>1.08</v>
      </c>
      <c r="AD101" s="501">
        <f>IF($D101="","",MIN(終値!E101:I101))</f>
        <v>2920</v>
      </c>
      <c r="AE101" s="503">
        <f t="shared" si="19"/>
        <v>25.098990000000001</v>
      </c>
    </row>
    <row r="102" spans="1:31">
      <c r="A102" s="500" t="str">
        <f>IF(終値!A102="","",HYPERLINK("https://kabutan.jp/stock/?code="&amp;終値!A102,"📈"))</f>
        <v>📈</v>
      </c>
      <c r="B102" s="500" t="str">
        <f>IF(終値!A102="","",終値!A102)</f>
        <v>5802</v>
      </c>
      <c r="C102" s="499" t="str">
        <f>IF(終値!A102="","",終値!B102)</f>
        <v>住友電工</v>
      </c>
      <c r="D102" s="501">
        <f>IF(終値!A102="","",終値!E102)</f>
        <v>0</v>
      </c>
      <c r="E102" s="501" t="e">
        <f>IF($D102="","",AVERAGE(終値!E102:X102))</f>
        <v>#DIV/0!</v>
      </c>
      <c r="F102" s="502" t="e">
        <f>IF($D102="","",STDEVP(終値!E102:X102))</f>
        <v>#DIV/0!</v>
      </c>
      <c r="G102" s="501" t="e">
        <f>IF($D102="","",$E102+BB設定!$B$4*$F102)</f>
        <v>#DIV/0!</v>
      </c>
      <c r="H102" s="501" t="e">
        <f>IF($D102="","",$E102+BB設定!$B$5*$F102)</f>
        <v>#DIV/0!</v>
      </c>
      <c r="I102" s="501" t="e">
        <f>IF($D102="","",$E102-BB設定!$B$5*$F102)</f>
        <v>#DIV/0!</v>
      </c>
      <c r="J102" s="501" t="e">
        <f>IF($D102="","",$E102-BB設定!$B$4*$F102)</f>
        <v>#DIV/0!</v>
      </c>
      <c r="K102" s="506" t="str">
        <f t="shared" si="11"/>
        <v/>
      </c>
      <c r="L102" s="505" t="str">
        <f t="shared" si="12"/>
        <v/>
      </c>
      <c r="M102" s="505">
        <f>IF($D102="","",IFERROR(MIN(BB_帯幅!B102:AP102)*100,""))</f>
        <v>0</v>
      </c>
      <c r="N102" s="500" t="str">
        <f>IF($L102="","",IF($L102&lt;=$M102*BB設定!$B$7,"スクイーズ★",IF($L102&lt;=$M102*1.3,"収縮","－")))</f>
        <v/>
      </c>
      <c r="O102" s="500" t="str">
        <f>IF($D102="","",IF(AND(BB_帯幅!B102&gt;BB_帯幅!C102,BB_帯幅!C102&gt;BB_帯幅!D102),"拡大↑","縮小↓"))</f>
        <v>縮小↓</v>
      </c>
      <c r="P102" s="500" t="e">
        <f t="shared" si="13"/>
        <v>#DIV/0!</v>
      </c>
      <c r="Q102" s="503">
        <f>IF($D102="","",IFERROR(100-100/(1+SUMPRODUCT((終値!E102:R102&gt;終値!F102:S102)*(終値!E102:R102-終値!F102:S102))/SUMPRODUCT((終値!E102:R102&lt;終値!F102:S102)*(終値!F102:S102-終値!E102:R102))),100))</f>
        <v>100</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v>
      </c>
      <c r="T102" s="500" t="e">
        <f t="shared" si="14"/>
        <v>#DIV/0!</v>
      </c>
      <c r="U102" s="500" t="str">
        <f>IF(終値!A102="","",BB_スイング!BT102)</f>
        <v>－</v>
      </c>
      <c r="V102" s="508" t="str">
        <f>IF($D102="","",IFERROR(出来高!E102/AVERAGE(出来高!E102:I102),""))</f>
        <v/>
      </c>
      <c r="W102" s="509" t="e">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#DIV/0!</v>
      </c>
      <c r="X102" s="504" t="e">
        <f t="shared" si="20"/>
        <v>#DIV/0!</v>
      </c>
      <c r="Y102" s="501">
        <f t="shared" si="15"/>
        <v>0</v>
      </c>
      <c r="Z102" s="501" t="e">
        <f t="shared" si="16"/>
        <v>#DIV/0!</v>
      </c>
      <c r="AA102" s="501" t="e">
        <f t="shared" si="17"/>
        <v>#DIV/0!</v>
      </c>
      <c r="AB102" s="501" t="e">
        <f t="shared" si="21"/>
        <v>#DIV/0!</v>
      </c>
      <c r="AC102" s="507" t="e">
        <f t="shared" si="18"/>
        <v>#DIV/0!</v>
      </c>
      <c r="AD102" s="501">
        <f>IF($D102="","",MIN(終値!E102:I102))</f>
        <v>0</v>
      </c>
      <c r="AE102" s="503" t="e">
        <f t="shared" si="19"/>
        <v>#DIV/0!</v>
      </c>
    </row>
    <row r="103" spans="1:31">
      <c r="A103" s="500" t="str">
        <f>IF(終値!A103="","",HYPERLINK("https://kabutan.jp/stock/?code="&amp;終値!A103,"📈"))</f>
        <v>📈</v>
      </c>
      <c r="B103" s="500" t="str">
        <f>IF(終値!A103="","",終値!A103)</f>
        <v>5803</v>
      </c>
      <c r="C103" s="499" t="str">
        <f>IF(終値!A103="","",終値!B103)</f>
        <v>フジクラ</v>
      </c>
      <c r="D103" s="501">
        <f>IF(終値!A103="","",終値!E103)</f>
        <v>4628</v>
      </c>
      <c r="E103" s="501">
        <f>IF($D103="","",AVERAGE(終値!E103:X103))</f>
        <v>4623.6499999999996</v>
      </c>
      <c r="F103" s="502">
        <f>IF($D103="","",STDEVP(終値!E103:X103))</f>
        <v>442.92643576557941</v>
      </c>
      <c r="G103" s="501">
        <f>IF($D103="","",$E103+BB設定!$B$4*$F103)</f>
        <v>5509.5028715311582</v>
      </c>
      <c r="H103" s="501">
        <f>IF($D103="","",$E103+BB設定!$B$5*$F103)</f>
        <v>5066.5764357655789</v>
      </c>
      <c r="I103" s="501">
        <f>IF($D103="","",$E103-BB設定!$B$5*$F103)</f>
        <v>4180.7235642344203</v>
      </c>
      <c r="J103" s="501">
        <f>IF($D103="","",$E103-BB設定!$B$4*$F103)</f>
        <v>3737.797128468841</v>
      </c>
      <c r="K103" s="506">
        <f t="shared" si="11"/>
        <v>0.50245526099186288</v>
      </c>
      <c r="L103" s="505">
        <f t="shared" si="12"/>
        <v>38.318336012940371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44.496079000871333</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39.571164743420823</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1.0128295162610295</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4628</v>
      </c>
      <c r="Z103" s="501">
        <f t="shared" si="16"/>
        <v>5066.5764357655789</v>
      </c>
      <c r="AA103" s="501">
        <f t="shared" si="17"/>
        <v>4623.6499999999996</v>
      </c>
      <c r="AB103" s="501">
        <f t="shared" si="21"/>
        <v>5509.5028715311582</v>
      </c>
      <c r="AC103" s="507">
        <f t="shared" si="18"/>
        <v>20</v>
      </c>
      <c r="AD103" s="501">
        <f>IF($D103="","",MIN(終値!E103:I103))</f>
        <v>3720</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2327.5</v>
      </c>
      <c r="E104" s="501">
        <f>IF($D104="","",AVERAGE(終値!E104:X104))</f>
        <v>2395.1750000000002</v>
      </c>
      <c r="F104" s="502">
        <f>IF($D104="","",STDEVP(終値!E104:X104))</f>
        <v>62.283680647501882</v>
      </c>
      <c r="G104" s="501">
        <f>IF($D104="","",$E104+BB設定!$B$4*$F104)</f>
        <v>2519.7423612950038</v>
      </c>
      <c r="H104" s="501">
        <f>IF($D104="","",$E104+BB設定!$B$5*$F104)</f>
        <v>2457.4586806475022</v>
      </c>
      <c r="I104" s="501">
        <f>IF($D104="","",$E104-BB設定!$B$5*$F104)</f>
        <v>2332.8913193524982</v>
      </c>
      <c r="J104" s="501">
        <f>IF($D104="","",$E104-BB設定!$B$4*$F104)</f>
        <v>2270.6076387049966</v>
      </c>
      <c r="K104" s="506">
        <f t="shared" si="11"/>
        <v>0.22835982356674264</v>
      </c>
      <c r="L104" s="505">
        <f t="shared" si="12"/>
        <v>10.401524840147678</v>
      </c>
      <c r="M104" s="505">
        <f>IF($D104="","",IFERROR(MIN(BB_帯幅!B104:AP104)*100,""))</f>
        <v>9.1616696337256709</v>
      </c>
      <c r="N104" s="500" t="str">
        <f>IF($L104="","",IF($L104&lt;=$M104*BB設定!$B$7,"スクイーズ★",IF($L104&lt;=$M104*1.3,"収縮","－")))</f>
        <v>収縮</v>
      </c>
      <c r="O104" s="500" t="str">
        <f>IF($D104="","",IF(AND(BB_帯幅!B104&gt;BB_帯幅!C104,BB_帯幅!C104&gt;BB_帯幅!D104),"拡大↑","縮小↓"))</f>
        <v>縮小↓</v>
      </c>
      <c r="P104" s="500" t="str">
        <f t="shared" si="13"/>
        <v>-1σ下</v>
      </c>
      <c r="Q104" s="503">
        <f>IF($D104="","",IFERROR(100-100/(1+SUMPRODUCT((終値!E104:R104&gt;終値!F104:S104)*(終値!E104:R104-終値!F104:S104))/SUMPRODUCT((終値!E104:R104&lt;終値!F104:S104)*(終値!F104:S104-終値!E104:R104))),100))</f>
        <v>49.522154648132059</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63.385354935320457</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下walk▼</v>
      </c>
      <c r="U104" s="500" t="str">
        <f>IF(終値!A104="","",BB_スイング!BT104)</f>
        <v>二番底W形成</v>
      </c>
      <c r="V104" s="508">
        <f>IF($D104="","",IFERROR(出来高!E104/AVERAGE(出来高!E104:I104),""))</f>
        <v>0.83744643121028517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15</v>
      </c>
      <c r="Y104" s="501">
        <f t="shared" si="15"/>
        <v>2327.5</v>
      </c>
      <c r="Z104" s="501">
        <f t="shared" si="16"/>
        <v>2457.4586806475022</v>
      </c>
      <c r="AA104" s="501">
        <f t="shared" si="17"/>
        <v>2327.5</v>
      </c>
      <c r="AB104" s="501">
        <f t="shared" si="21"/>
        <v>2519.7423612950038</v>
      </c>
      <c r="AC104" s="507" t="str">
        <f t="shared" si="18"/>
        <v>－</v>
      </c>
      <c r="AD104" s="501">
        <f>IF($D104="","",MIN(終値!E104:I104))</f>
        <v>2327.5</v>
      </c>
      <c r="AE104" s="503">
        <f t="shared" si="19"/>
        <v>15.09896</v>
      </c>
    </row>
    <row r="105" spans="1:31">
      <c r="A105" s="500" t="str">
        <f>IF(終値!A105="","",HYPERLINK("https://kabutan.jp/stock/?code="&amp;終値!A105,"📈"))</f>
        <v>📈</v>
      </c>
      <c r="B105" s="500" t="str">
        <f>IF(終値!A105="","",終値!A105)</f>
        <v>6925</v>
      </c>
      <c r="C105" s="499" t="str">
        <f>IF(終値!A105="","",終値!B105)</f>
        <v>ウシオ電機</v>
      </c>
      <c r="D105" s="501">
        <f>IF(終値!A105="","",終値!E105)</f>
        <v>4013</v>
      </c>
      <c r="E105" s="501">
        <f>IF($D105="","",AVERAGE(終値!E105:X105))</f>
        <v>4064</v>
      </c>
      <c r="F105" s="502">
        <f>IF($D105="","",STDEVP(終値!E105:X105))</f>
        <v>246.79525927375511</v>
      </c>
      <c r="G105" s="501">
        <f>IF($D105="","",$E105+BB設定!$B$4*$F105)</f>
        <v>4557.5905185475103</v>
      </c>
      <c r="H105" s="501">
        <f>IF($D105="","",$E105+BB設定!$B$5*$F105)</f>
        <v>4310.7952592737547</v>
      </c>
      <c r="I105" s="501">
        <f>IF($D105="","",$E105-BB設定!$B$5*$F105)</f>
        <v>3817.2047407262448</v>
      </c>
      <c r="J105" s="501">
        <f>IF($D105="","",$E105-BB設定!$B$4*$F105)</f>
        <v>3570.4094814524897</v>
      </c>
      <c r="K105" s="506">
        <f t="shared" si="11"/>
        <v>0.44833774344969413</v>
      </c>
      <c r="L105" s="505">
        <f t="shared" si="12"/>
        <v>24.290871975763302</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45.790934320074008</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43.02276168815802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1.4788616548774469</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0</v>
      </c>
      <c r="Y105" s="501">
        <f t="shared" si="15"/>
        <v>4013</v>
      </c>
      <c r="Z105" s="501">
        <f t="shared" si="16"/>
        <v>4310.7952592737547</v>
      </c>
      <c r="AA105" s="501">
        <f t="shared" si="17"/>
        <v>3582</v>
      </c>
      <c r="AB105" s="501">
        <f t="shared" si="21"/>
        <v>4557.5905185475103</v>
      </c>
      <c r="AC105" s="507">
        <f t="shared" si="18"/>
        <v>1.26</v>
      </c>
      <c r="AD105" s="501">
        <f>IF($D105="","",MIN(終値!E105:I105))</f>
        <v>3582</v>
      </c>
      <c r="AE105" s="503">
        <f t="shared" si="19"/>
        <v>9.8949999999999996E-2</v>
      </c>
    </row>
    <row r="106" spans="1:31">
      <c r="A106" s="500" t="str">
        <f>IF(終値!A106="","",HYPERLINK("https://kabutan.jp/stock/?code="&amp;終値!A106,"📈"))</f>
        <v>📈</v>
      </c>
      <c r="B106" s="500" t="str">
        <f>IF(終値!A106="","",終値!A106)</f>
        <v>7021</v>
      </c>
      <c r="C106" s="499" t="str">
        <f>IF(終値!A106="","",終値!B106)</f>
        <v>ニッチツ</v>
      </c>
      <c r="D106" s="501">
        <f>IF(終値!A106="","",終値!E106)</f>
        <v>2060</v>
      </c>
      <c r="E106" s="501">
        <f>IF($D106="","",AVERAGE(終値!E106:X106))</f>
        <v>1910.45</v>
      </c>
      <c r="F106" s="502">
        <f>IF($D106="","",STDEVP(終値!E106:X106))</f>
        <v>75.76178126205852</v>
      </c>
      <c r="G106" s="501">
        <f>IF($D106="","",$E106+BB設定!$B$4*$F106)</f>
        <v>2061.9735625241169</v>
      </c>
      <c r="H106" s="501">
        <f>IF($D106="","",$E106+BB設定!$B$5*$F106)</f>
        <v>1986.2117812620586</v>
      </c>
      <c r="I106" s="501">
        <f>IF($D106="","",$E106-BB設定!$B$5*$F106)</f>
        <v>1834.6882187379415</v>
      </c>
      <c r="J106" s="501">
        <f>IF($D106="","",$E106-BB設定!$B$4*$F106)</f>
        <v>1758.9264374758829</v>
      </c>
      <c r="K106" s="506">
        <f t="shared" si="11"/>
        <v>0.99348760519076762</v>
      </c>
      <c r="L106" s="505">
        <f t="shared" si="12"/>
        <v>15.862604362754009</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91.071428571428569</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94.34734974544682</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0.52631578947368418</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2060</v>
      </c>
      <c r="Z106" s="501">
        <f t="shared" si="16"/>
        <v>1986.2117812620586</v>
      </c>
      <c r="AA106" s="501">
        <f t="shared" si="17"/>
        <v>1910.45</v>
      </c>
      <c r="AB106" s="501">
        <f t="shared" si="21"/>
        <v>2061.9735625241169</v>
      </c>
      <c r="AC106" s="507">
        <f t="shared" si="18"/>
        <v>0.01</v>
      </c>
      <c r="AD106" s="501">
        <f>IF($D106="","",MIN(終値!E106:I106))</f>
        <v>1972</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18060</v>
      </c>
      <c r="E107" s="501">
        <f>IF($D107="","",AVERAGE(終値!E107:X107))</f>
        <v>17668.25</v>
      </c>
      <c r="F107" s="502">
        <f>IF($D107="","",STDEVP(終値!E107:X107))</f>
        <v>1126.0908877617294</v>
      </c>
      <c r="G107" s="501">
        <f>IF($D107="","",$E107+BB設定!$B$4*$F107)</f>
        <v>19920.431775523459</v>
      </c>
      <c r="H107" s="501">
        <f>IF($D107="","",$E107+BB設定!$B$5*$F107)</f>
        <v>18794.340887761729</v>
      </c>
      <c r="I107" s="501">
        <f>IF($D107="","",$E107-BB設定!$B$5*$F107)</f>
        <v>16542.159112238271</v>
      </c>
      <c r="J107" s="501">
        <f>IF($D107="","",$E107-BB設定!$B$4*$F107)</f>
        <v>15416.068224476541</v>
      </c>
      <c r="K107" s="506">
        <f t="shared" si="11"/>
        <v>0.58697122147455183</v>
      </c>
      <c r="L107" s="505">
        <f t="shared" si="12"/>
        <v>25.494112609041174</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47.002778880508139</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56.390534522935496</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0.91834490558924253</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18060</v>
      </c>
      <c r="Z107" s="501">
        <f t="shared" si="16"/>
        <v>18794.340887761729</v>
      </c>
      <c r="AA107" s="501">
        <f t="shared" si="17"/>
        <v>17668.25</v>
      </c>
      <c r="AB107" s="501">
        <f t="shared" si="21"/>
        <v>19920.431775523459</v>
      </c>
      <c r="AC107" s="507">
        <f t="shared" si="18"/>
        <v>4.75</v>
      </c>
      <c r="AD107" s="501">
        <f>IF($D107="","",MIN(終値!E107:I107))</f>
        <v>14760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4375</v>
      </c>
      <c r="E108" s="501">
        <f>IF($D108="","",AVERAGE(終値!E108:X108))</f>
        <v>4391.6000000000004</v>
      </c>
      <c r="F108" s="502">
        <f>IF($D108="","",STDEVP(終値!E108:X108))</f>
        <v>104.27866512379222</v>
      </c>
      <c r="G108" s="501">
        <f>IF($D108="","",$E108+BB設定!$B$4*$F108)</f>
        <v>4600.1573302475845</v>
      </c>
      <c r="H108" s="501">
        <f>IF($D108="","",$E108+BB設定!$B$5*$F108)</f>
        <v>4495.8786651237924</v>
      </c>
      <c r="I108" s="501">
        <f>IF($D108="","",$E108-BB設定!$B$5*$F108)</f>
        <v>4287.3213348762083</v>
      </c>
      <c r="J108" s="501">
        <f>IF($D108="","",$E108-BB設定!$B$4*$F108)</f>
        <v>4183.0426697524163</v>
      </c>
      <c r="K108" s="506">
        <f t="shared" si="11"/>
        <v>0.4602027893714068</v>
      </c>
      <c r="L108" s="505">
        <f t="shared" si="12"/>
        <v>9.4980112144814672</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57.262569832402228</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57.884186102229918</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0.88754016422706172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様子見</v>
      </c>
      <c r="X108" s="504">
        <f t="shared" si="20"/>
        <v>5</v>
      </c>
      <c r="Y108" s="501">
        <f t="shared" si="15"/>
        <v>4375</v>
      </c>
      <c r="Z108" s="501">
        <f t="shared" si="16"/>
        <v>4495.8786651237924</v>
      </c>
      <c r="AA108" s="501">
        <f t="shared" si="17"/>
        <v>4375</v>
      </c>
      <c r="AB108" s="501">
        <f t="shared" si="21"/>
        <v>4600.1573302475845</v>
      </c>
      <c r="AC108" s="507" t="str">
        <f t="shared" si="18"/>
        <v>－</v>
      </c>
      <c r="AD108" s="501">
        <f>IF($D108="","",MIN(終値!E108:I108))</f>
        <v>4375</v>
      </c>
      <c r="AE108" s="503">
        <f t="shared" si="19"/>
        <v>5.0989199999999997</v>
      </c>
    </row>
    <row r="109" spans="1:31">
      <c r="A109" s="500" t="str">
        <f>IF(終値!A109="","",HYPERLINK("https://kabutan.jp/stock/?code="&amp;終値!A109,"📈"))</f>
        <v>📈</v>
      </c>
      <c r="B109" s="500" t="str">
        <f>IF(終値!A109="","",終値!A109)</f>
        <v>9020</v>
      </c>
      <c r="C109" s="499" t="str">
        <f>IF(終値!A109="","",終値!B109)</f>
        <v>東日本旅客鉄道</v>
      </c>
      <c r="D109" s="501">
        <f>IF(終値!A109="","",終値!E109)</f>
        <v>3408</v>
      </c>
      <c r="E109" s="501">
        <f>IF($D109="","",AVERAGE(終値!E109:X109))</f>
        <v>3610.1</v>
      </c>
      <c r="F109" s="502">
        <f>IF($D109="","",STDEVP(終値!E109:X109))</f>
        <v>133.91448764043417</v>
      </c>
      <c r="G109" s="501">
        <f>IF($D109="","",$E109+BB設定!$B$4*$F109)</f>
        <v>3877.9289752808681</v>
      </c>
      <c r="H109" s="501">
        <f>IF($D109="","",$E109+BB設定!$B$5*$F109)</f>
        <v>3744.0144876404343</v>
      </c>
      <c r="I109" s="501">
        <f>IF($D109="","",$E109-BB設定!$B$5*$F109)</f>
        <v>3476.1855123595656</v>
      </c>
      <c r="J109" s="501">
        <f>IF($D109="","",$E109-BB設定!$B$4*$F109)</f>
        <v>3342.2710247191317</v>
      </c>
      <c r="K109" s="506">
        <f t="shared" si="11"/>
        <v>0.12270699092945289</v>
      </c>
      <c r="L109" s="505">
        <f t="shared" si="12"/>
        <v>14.837759357406622</v>
      </c>
      <c r="M109" s="505">
        <f>IF($D109="","",IFERROR(MIN(BB_帯幅!B109:AP109)*100,""))</f>
        <v>5.3265008081435434</v>
      </c>
      <c r="N109" s="500" t="str">
        <f>IF($L109="","",IF($L109&lt;=$M109*BB設定!$B$7,"スクイーズ★",IF($L109&lt;=$M109*1.3,"収縮","－")))</f>
        <v>－</v>
      </c>
      <c r="O109" s="500" t="str">
        <f>IF($D109="","",IF(AND(BB_帯幅!B109&gt;BB_帯幅!C109,BB_帯幅!C109&gt;BB_帯幅!D109),"拡大↑","縮小↓"))</f>
        <v>縮小↓</v>
      </c>
      <c r="P109" s="500" t="str">
        <f t="shared" si="13"/>
        <v>-1σ下</v>
      </c>
      <c r="Q109" s="503">
        <f>IF($D109="","",IFERROR(100-100/(1+SUMPRODUCT((終値!E109:R109&gt;終値!F109:S109)*(終値!E109:R109-終値!F109:S109))/SUMPRODUCT((終値!E109:R109&lt;終値!F109:S109)*(終値!F109:S109-終値!E109:R109))),100))</f>
        <v>44.404003639672432</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48.891282671195619</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0.93209265661615703</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3408</v>
      </c>
      <c r="Z109" s="501">
        <f t="shared" si="16"/>
        <v>3744.0144876404343</v>
      </c>
      <c r="AA109" s="501">
        <f t="shared" si="17"/>
        <v>3408</v>
      </c>
      <c r="AB109" s="501">
        <f t="shared" si="21"/>
        <v>3877.9289752808681</v>
      </c>
      <c r="AC109" s="507" t="str">
        <f t="shared" si="18"/>
        <v>－</v>
      </c>
      <c r="AD109" s="501">
        <f>IF($D109="","",MIN(終値!E109:I109))</f>
        <v>3408</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2195</v>
      </c>
      <c r="E110" s="501">
        <f>IF($D110="","",AVERAGE(終値!E110:X110))</f>
        <v>2149.2750000000001</v>
      </c>
      <c r="F110" s="502">
        <f>IF($D110="","",STDEVP(終値!E110:X110))</f>
        <v>81.600164675078929</v>
      </c>
      <c r="G110" s="501">
        <f>IF($D110="","",$E110+BB設定!$B$4*$F110)</f>
        <v>2312.4753293501581</v>
      </c>
      <c r="H110" s="501">
        <f>IF($D110="","",$E110+BB設定!$B$5*$F110)</f>
        <v>2230.8751646750788</v>
      </c>
      <c r="I110" s="501">
        <f>IF($D110="","",$E110-BB設定!$B$5*$F110)</f>
        <v>2067.6748353249213</v>
      </c>
      <c r="J110" s="501">
        <f>IF($D110="","",$E110-BB設定!$B$4*$F110)</f>
        <v>1986.0746706498421</v>
      </c>
      <c r="K110" s="506">
        <f t="shared" si="11"/>
        <v>0.64008856532971103</v>
      </c>
      <c r="L110" s="505">
        <f t="shared" si="12"/>
        <v>15.18654703099026</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63.090128755364809</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50.213025730141936</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v>
      </c>
      <c r="T110" s="500" t="str">
        <f t="shared" si="14"/>
        <v>－</v>
      </c>
      <c r="U110" s="500" t="str">
        <f>IF(終値!A110="","",BB_スイング!BT110)</f>
        <v>二番天井M▼</v>
      </c>
      <c r="V110" s="508">
        <f>IF($D110="","",IFERROR(出来高!E110/AVERAGE(出来高!E110:I110),""))</f>
        <v>1.0273645692466788</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▼二番天井警戒</v>
      </c>
      <c r="X110" s="504">
        <f t="shared" si="20"/>
        <v>5</v>
      </c>
      <c r="Y110" s="501">
        <f t="shared" si="15"/>
        <v>2195</v>
      </c>
      <c r="Z110" s="501">
        <f t="shared" si="16"/>
        <v>2230.8751646750788</v>
      </c>
      <c r="AA110" s="501">
        <f t="shared" si="17"/>
        <v>2149.2750000000001</v>
      </c>
      <c r="AB110" s="501">
        <f t="shared" si="21"/>
        <v>2312.4753293501581</v>
      </c>
      <c r="AC110" s="507">
        <f t="shared" si="18"/>
        <v>2.57</v>
      </c>
      <c r="AD110" s="501">
        <f>IF($D110="","",MIN(終値!E110:I110))</f>
        <v>2195</v>
      </c>
      <c r="AE110" s="503">
        <f t="shared" si="19"/>
        <v>5.0989000000000004</v>
      </c>
    </row>
    <row r="111" spans="1:31">
      <c r="A111" s="500" t="str">
        <f>IF(終値!A111="","",HYPERLINK("https://kabutan.jp/stock/?code="&amp;終値!A111,"📈"))</f>
        <v>📈</v>
      </c>
      <c r="B111" s="500" t="str">
        <f>IF(終値!A111="","",終値!A111)</f>
        <v>9227</v>
      </c>
      <c r="C111" s="499" t="str">
        <f>IF(終値!A111="","",終値!B111)</f>
        <v>マイクロ波化学</v>
      </c>
      <c r="D111" s="501">
        <f>IF(終値!A111="","",終値!E111)</f>
        <v>880</v>
      </c>
      <c r="E111" s="501">
        <f>IF($D111="","",AVERAGE(終値!E111:X111))</f>
        <v>858.52631578947364</v>
      </c>
      <c r="F111" s="502">
        <f>IF($D111="","",STDEVP(終値!E111:X111))</f>
        <v>49.979330907941737</v>
      </c>
      <c r="G111" s="501">
        <f>IF($D111="","",$E111+BB設定!$B$4*$F111)</f>
        <v>958.48497760535713</v>
      </c>
      <c r="H111" s="501">
        <f>IF($D111="","",$E111+BB設定!$B$5*$F111)</f>
        <v>908.50564669741539</v>
      </c>
      <c r="I111" s="501">
        <f>IF($D111="","",$E111-BB設定!$B$5*$F111)</f>
        <v>808.5469848815319</v>
      </c>
      <c r="J111" s="501">
        <f>IF($D111="","",$E111-BB設定!$B$4*$F111)</f>
        <v>758.56765397359015</v>
      </c>
      <c r="K111" s="506">
        <f t="shared" si="11"/>
        <v>0.60741282356340121</v>
      </c>
      <c r="L111" s="505">
        <f t="shared" si="12"/>
        <v>23.286103169467708</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バンド内</v>
      </c>
      <c r="Q111" s="503">
        <f>IF($D111="","",IFERROR(100-100/(1+SUMPRODUCT((終値!E111:R111&gt;終値!F111:S111)*(終値!E111:R111-終値!F111:S111))/SUMPRODUCT((終値!E111:R111&lt;終値!F111:S111)*(終値!F111:S111-終値!E111:R111))),100))</f>
        <v>51.140395337050172</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82.681160203669307</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v>
      </c>
      <c r="U111" s="500" t="str">
        <f>IF(終値!A111="","",BB_スイング!BT111)</f>
        <v>－</v>
      </c>
      <c r="V111" s="508">
        <f>IF($D111="","",IFERROR(出来高!E111/AVERAGE(出来高!E111:I111),""))</f>
        <v>0.17029849394863128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様子見</v>
      </c>
      <c r="X111" s="504">
        <f t="shared" si="20"/>
        <v>30</v>
      </c>
      <c r="Y111" s="501">
        <f t="shared" si="15"/>
        <v>880</v>
      </c>
      <c r="Z111" s="501">
        <f t="shared" si="16"/>
        <v>908.50564669741539</v>
      </c>
      <c r="AA111" s="501">
        <f t="shared" si="17"/>
        <v>858.52631578947364</v>
      </c>
      <c r="AB111" s="501">
        <f t="shared" si="21"/>
        <v>958.48497760535713</v>
      </c>
      <c r="AC111" s="507">
        <f t="shared" si="18"/>
        <v>3.65</v>
      </c>
      <c r="AD111" s="501">
        <f>IF($D111="","",MIN(終値!E111:I111))</f>
        <v>850</v>
      </c>
      <c r="AE111" s="503">
        <f t="shared" si="19"/>
        <v>30.098890000000001</v>
      </c>
    </row>
    <row r="112" spans="1:31">
      <c r="A112" s="500" t="str">
        <f>IF(終値!A112="","",HYPERLINK("https://kabutan.jp/stock/?code="&amp;終値!A112,"📈"))</f>
        <v>📈</v>
      </c>
      <c r="B112" s="500" t="str">
        <f>IF(終値!A112="","",終値!A112)</f>
        <v>9348</v>
      </c>
      <c r="C112" s="499" t="str">
        <f>IF(終値!A112="","",終値!B112)</f>
        <v>ｉｓｐａｃｅ</v>
      </c>
      <c r="D112" s="501">
        <f>IF(終値!A112="","",終値!E112)</f>
        <v>413</v>
      </c>
      <c r="E112" s="501">
        <f>IF($D112="","",AVERAGE(終値!E112:X112))</f>
        <v>426.84210526315792</v>
      </c>
      <c r="F112" s="502">
        <f>IF($D112="","",STDEVP(終値!E112:X112))</f>
        <v>25.098255669929138</v>
      </c>
      <c r="G112" s="501">
        <f>IF($D112="","",$E112+BB設定!$B$4*$F112)</f>
        <v>477.03861660301618</v>
      </c>
      <c r="H112" s="501">
        <f>IF($D112="","",$E112+BB設定!$B$5*$F112)</f>
        <v>451.94036093308705</v>
      </c>
      <c r="I112" s="501">
        <f>IF($D112="","",$E112-BB設定!$B$5*$F112)</f>
        <v>401.74384959322879</v>
      </c>
      <c r="J112" s="501">
        <f>IF($D112="","",$E112-BB設定!$B$4*$F112)</f>
        <v>376.64559392329966</v>
      </c>
      <c r="K112" s="506">
        <f t="shared" si="11"/>
        <v>0.36212084372319048</v>
      </c>
      <c r="L112" s="505">
        <f t="shared" si="12"/>
        <v>23.51994366109265</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48.435814455231927</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39.55170170502727</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v>
      </c>
      <c r="V112" s="508">
        <f>IF($D112="","",IFERROR(出来高!E112/AVERAGE(出来高!E112:I112),""))</f>
        <v>0.66535865641186631</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様子見</v>
      </c>
      <c r="X112" s="504">
        <f t="shared" si="20"/>
        <v>0</v>
      </c>
      <c r="Y112" s="501">
        <f t="shared" si="15"/>
        <v>413</v>
      </c>
      <c r="Z112" s="501">
        <f t="shared" si="16"/>
        <v>451.94036093308705</v>
      </c>
      <c r="AA112" s="501">
        <f t="shared" si="17"/>
        <v>400</v>
      </c>
      <c r="AB112" s="501">
        <f t="shared" si="21"/>
        <v>477.03861660301618</v>
      </c>
      <c r="AC112" s="507">
        <f t="shared" si="18"/>
        <v>4.93</v>
      </c>
      <c r="AD112" s="501">
        <f>IF($D112="","",MIN(終値!E112:I112))</f>
        <v>400</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4148</v>
      </c>
      <c r="E113" s="501">
        <f>IF($D113="","",AVERAGE(終値!E113:X113))</f>
        <v>4000.1</v>
      </c>
      <c r="F113" s="502">
        <f>IF($D113="","",STDEVP(終値!E113:X113))</f>
        <v>169.51457164503589</v>
      </c>
      <c r="G113" s="501">
        <f>IF($D113="","",$E113+BB設定!$B$4*$F113)</f>
        <v>4339.1291432900716</v>
      </c>
      <c r="H113" s="501">
        <f>IF($D113="","",$E113+BB設定!$B$5*$F113)</f>
        <v>4169.6145716450355</v>
      </c>
      <c r="I113" s="501">
        <f>IF($D113="","",$E113-BB設定!$B$5*$F113)</f>
        <v>3830.5854283549638</v>
      </c>
      <c r="J113" s="501">
        <f>IF($D113="","",$E113-BB設定!$B$4*$F113)</f>
        <v>3661.0708567099282</v>
      </c>
      <c r="K113" s="506">
        <f t="shared" si="11"/>
        <v>0.71812284124709824</v>
      </c>
      <c r="L113" s="505">
        <f t="shared" si="12"/>
        <v>16.951033388668872</v>
      </c>
      <c r="M113" s="505">
        <f>IF($D113="","",IFERROR(MIN(BB_帯幅!B113:AP113)*100,""))</f>
        <v>12.131203361581671</v>
      </c>
      <c r="N113" s="500" t="str">
        <f>IF($L113="","",IF($L113&lt;=$M113*BB設定!$B$7,"スクイーズ★",IF($L113&lt;=$M113*1.3,"収縮","－")))</f>
        <v>－</v>
      </c>
      <c r="O113" s="500" t="str">
        <f>IF($D113="","",IF(AND(BB_帯幅!B113&gt;BB_帯幅!C113,BB_帯幅!C113&gt;BB_帯幅!D113),"拡大↑","縮小↓"))</f>
        <v>縮小↓</v>
      </c>
      <c r="P113" s="500" t="str">
        <f t="shared" si="13"/>
        <v>バンド内</v>
      </c>
      <c r="Q113" s="503">
        <f>IF($D113="","",IFERROR(100-100/(1+SUMPRODUCT((終値!E113:R113&gt;終値!F113:S113)*(終値!E113:R113-終値!F113:S113))/SUMPRODUCT((終値!E113:R113&lt;終値!F113:S113)*(終値!F113:S113-終値!E113:R113))),100))</f>
        <v>63.258426966292134</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70.729760428839342</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v>
      </c>
      <c r="U113" s="500" t="str">
        <f>IF(終値!A113="","",BB_スイング!BT113)</f>
        <v>二番天井M形成</v>
      </c>
      <c r="V113" s="508">
        <f>IF($D113="","",IFERROR(出来高!E113/AVERAGE(出来高!E113:I113),""))</f>
        <v>0.57508947745168215</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▼二番天井警戒</v>
      </c>
      <c r="X113" s="504">
        <f t="shared" si="20"/>
        <v>20</v>
      </c>
      <c r="Y113" s="501">
        <f t="shared" si="15"/>
        <v>4148</v>
      </c>
      <c r="Z113" s="501">
        <f t="shared" si="16"/>
        <v>4169.6145716450355</v>
      </c>
      <c r="AA113" s="501">
        <f t="shared" si="17"/>
        <v>4000.1</v>
      </c>
      <c r="AB113" s="501">
        <f t="shared" si="21"/>
        <v>4339.1291432900716</v>
      </c>
      <c r="AC113" s="507">
        <f t="shared" si="18"/>
        <v>1.29</v>
      </c>
      <c r="AD113" s="501">
        <f>IF($D113="","",MIN(終値!E113:I113))</f>
        <v>4148</v>
      </c>
      <c r="AE113" s="503">
        <f t="shared" si="19"/>
        <v>20.098870000000002</v>
      </c>
    </row>
    <row r="114" spans="1:31">
      <c r="A114" s="500" t="str">
        <f>IF(終値!A114="","",HYPERLINK("https://kabutan.jp/stock/?code="&amp;終値!A114,"📈"))</f>
        <v>📈</v>
      </c>
      <c r="B114" s="500" t="str">
        <f>IF(終値!A114="","",終値!A114)</f>
        <v>9501</v>
      </c>
      <c r="C114" s="499" t="str">
        <f>IF(終値!A114="","",終値!B114)</f>
        <v>東京電力ＨＤ</v>
      </c>
      <c r="D114" s="501">
        <f>IF(終値!A114="","",終値!E114)</f>
        <v>522.79999999999995</v>
      </c>
      <c r="E114" s="501">
        <f>IF($D114="","",AVERAGE(終値!E114:X114))</f>
        <v>505.16999999999996</v>
      </c>
      <c r="F114" s="502">
        <f>IF($D114="","",STDEVP(終値!E114:X114))</f>
        <v>21.520782978321215</v>
      </c>
      <c r="G114" s="501">
        <f>IF($D114="","",$E114+BB設定!$B$4*$F114)</f>
        <v>548.2115659566424</v>
      </c>
      <c r="H114" s="501">
        <f>IF($D114="","",$E114+BB設定!$B$5*$F114)</f>
        <v>526.69078297832118</v>
      </c>
      <c r="I114" s="501">
        <f>IF($D114="","",$E114-BB設定!$B$5*$F114)</f>
        <v>483.64921702167874</v>
      </c>
      <c r="J114" s="501">
        <f>IF($D114="","",$E114-BB設定!$B$4*$F114)</f>
        <v>462.12843404335752</v>
      </c>
      <c r="K114" s="506">
        <f t="shared" si="11"/>
        <v>0.70480202808791192</v>
      </c>
      <c r="L114" s="505">
        <f t="shared" si="12"/>
        <v>17.040428353481975</v>
      </c>
      <c r="M114" s="505">
        <f>IF($D114="","",IFERROR(MIN(BB_帯幅!B114:AP114)*100,""))</f>
        <v>14.075109570409325</v>
      </c>
      <c r="N114" s="500" t="str">
        <f>IF($L114="","",IF($L114&lt;=$M114*BB設定!$B$7,"スクイーズ★",IF($L114&lt;=$M114*1.3,"収縮","－")))</f>
        <v>収縮</v>
      </c>
      <c r="O114" s="500" t="str">
        <f>IF($D114="","",IF(AND(BB_帯幅!B114&gt;BB_帯幅!C114,BB_帯幅!C114&gt;BB_帯幅!D114),"拡大↑","縮小↓"))</f>
        <v>縮小↓</v>
      </c>
      <c r="P114" s="500" t="str">
        <f t="shared" si="13"/>
        <v>バンド内</v>
      </c>
      <c r="Q114" s="503">
        <f>IF($D114="","",IFERROR(100-100/(1+SUMPRODUCT((終値!E114:R114&gt;終値!F114:S114)*(終値!E114:R114-終値!F114:S114))/SUMPRODUCT((終値!E114:R114&lt;終値!F114:S114)*(終値!F114:S114-終値!E114:R114))),100))</f>
        <v>67.21763085399445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54.004097676348977</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v>
      </c>
      <c r="U114" s="500" t="str">
        <f>IF(終値!A114="","",BB_スイング!BT114)</f>
        <v>二番底W▲</v>
      </c>
      <c r="V114" s="508">
        <f>IF($D114="","",IFERROR(出来高!E114/AVERAGE(出来高!E114:I114),""))</f>
        <v>0.70477515087563813</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△二番底買(確)</v>
      </c>
      <c r="X114" s="504">
        <f t="shared" si="20"/>
        <v>30</v>
      </c>
      <c r="Y114" s="501">
        <f t="shared" si="15"/>
        <v>522.79999999999995</v>
      </c>
      <c r="Z114" s="501">
        <f t="shared" si="16"/>
        <v>526.69078297832118</v>
      </c>
      <c r="AA114" s="501">
        <f t="shared" si="17"/>
        <v>505.16999999999996</v>
      </c>
      <c r="AB114" s="501">
        <f t="shared" si="21"/>
        <v>548.2115659566424</v>
      </c>
      <c r="AC114" s="507">
        <f t="shared" si="18"/>
        <v>1.44</v>
      </c>
      <c r="AD114" s="501">
        <f>IF($D114="","",MIN(終値!E114:I114))</f>
        <v>520</v>
      </c>
      <c r="AE114" s="503">
        <f t="shared" si="19"/>
        <v>30.098859999999998</v>
      </c>
    </row>
    <row r="115" spans="1:31">
      <c r="A115" s="500" t="str">
        <f>IF(終値!A115="","",HYPERLINK("https://kabutan.jp/stock/?code="&amp;終値!A115,"📈"))</f>
        <v>📈</v>
      </c>
      <c r="B115" s="500" t="str">
        <f>IF(終値!A115="","",終値!A115)</f>
        <v>9531</v>
      </c>
      <c r="C115" s="499" t="str">
        <f>IF(終値!A115="","",終値!B115)</f>
        <v>東京瓦斯</v>
      </c>
      <c r="D115" s="501">
        <f>IF(終値!A115="","",終値!E115)</f>
        <v>6038</v>
      </c>
      <c r="E115" s="501">
        <f>IF($D115="","",AVERAGE(終値!E115:X115))</f>
        <v>6136.55</v>
      </c>
      <c r="F115" s="502">
        <f>IF($D115="","",STDEVP(終値!E115:X115))</f>
        <v>99.703798824317616</v>
      </c>
      <c r="G115" s="501">
        <f>IF($D115="","",$E115+BB設定!$B$4*$F115)</f>
        <v>6335.9575976486358</v>
      </c>
      <c r="H115" s="501">
        <f>IF($D115="","",$E115+BB設定!$B$5*$F115)</f>
        <v>6236.2537988243175</v>
      </c>
      <c r="I115" s="501">
        <f>IF($D115="","",$E115-BB設定!$B$5*$F115)</f>
        <v>6036.8462011756828</v>
      </c>
      <c r="J115" s="501">
        <f>IF($D115="","",$E115-BB設定!$B$4*$F115)</f>
        <v>5937.1424023513646</v>
      </c>
      <c r="K115" s="506">
        <f t="shared" si="11"/>
        <v>0.25289306635735781</v>
      </c>
      <c r="L115" s="505">
        <f t="shared" si="12"/>
        <v>6.4990132125912963</v>
      </c>
      <c r="M115" s="505">
        <f>IF($D115="","",IFERROR(MIN(BB_帯幅!B115:AP115)*100,""))</f>
        <v>4.5302830805037893</v>
      </c>
      <c r="N115" s="500" t="str">
        <f>IF($L115="","",IF($L115&lt;=$M115*BB設定!$B$7,"スクイーズ★",IF($L115&lt;=$M115*1.3,"収縮","－")))</f>
        <v>－</v>
      </c>
      <c r="O115" s="500" t="str">
        <f>IF($D115="","",IF(AND(BB_帯幅!B115&gt;BB_帯幅!C115,BB_帯幅!C115&gt;BB_帯幅!D115),"拡大↑","縮小↓"))</f>
        <v>縮小↓</v>
      </c>
      <c r="P115" s="500" t="str">
        <f t="shared" si="13"/>
        <v>バンド内</v>
      </c>
      <c r="Q115" s="503">
        <f>IF($D115="","",IFERROR(100-100/(1+SUMPRODUCT((終値!E115:R115&gt;終値!F115:S115)*(終値!E115:R115-終値!F115:S115))/SUMPRODUCT((終値!E115:R115&lt;終値!F115:S115)*(終値!F115:S115-終値!E115:R115))),100))</f>
        <v>59.32678821879383</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65.596380630334167</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強気div▲</v>
      </c>
      <c r="T115" s="500" t="str">
        <f t="shared" si="14"/>
        <v>－</v>
      </c>
      <c r="U115" s="500" t="str">
        <f>IF(終値!A115="","",BB_スイング!BT115)</f>
        <v>二番底W形成</v>
      </c>
      <c r="V115" s="508">
        <f>IF($D115="","",IFERROR(出来高!E115/AVERAGE(出来高!E115:I115),""))</f>
        <v>0.67972826778668705</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○反発(ダイバ)買</v>
      </c>
      <c r="X115" s="504">
        <f t="shared" si="20"/>
        <v>25</v>
      </c>
      <c r="Y115" s="501">
        <f t="shared" si="15"/>
        <v>6038</v>
      </c>
      <c r="Z115" s="501">
        <f t="shared" si="16"/>
        <v>6236.2537988243175</v>
      </c>
      <c r="AA115" s="501">
        <f t="shared" si="17"/>
        <v>6038</v>
      </c>
      <c r="AB115" s="501">
        <f t="shared" si="21"/>
        <v>6335.9575976486358</v>
      </c>
      <c r="AC115" s="507" t="str">
        <f t="shared" si="18"/>
        <v>－</v>
      </c>
      <c r="AD115" s="501">
        <f>IF($D115="","",MIN(終値!E115:I115))</f>
        <v>6038</v>
      </c>
      <c r="AE115" s="503">
        <f t="shared" si="19"/>
        <v>25.098849999999999</v>
      </c>
    </row>
    <row r="116" spans="1:31">
      <c r="A116" s="500" t="str">
        <f>IF(終値!A116="","",HYPERLINK("https://kabutan.jp/stock/?code="&amp;終値!A116,"📈"))</f>
        <v>📈</v>
      </c>
      <c r="B116" s="500" t="str">
        <f>IF(終値!A116="","",終値!A116)</f>
        <v>9882</v>
      </c>
      <c r="C116" s="499" t="str">
        <f>IF(終値!A116="","",終値!B116)</f>
        <v>イエローハット</v>
      </c>
      <c r="D116" s="501">
        <f>IF(終値!A116="","",終値!E116)</f>
        <v>1720</v>
      </c>
      <c r="E116" s="501">
        <f>IF($D116="","",AVERAGE(終値!E116:X116))</f>
        <v>1814.65</v>
      </c>
      <c r="F116" s="502">
        <f>IF($D116="","",STDEVP(終値!E116:X116))</f>
        <v>35.759299489783068</v>
      </c>
      <c r="G116" s="501">
        <f>IF($D116="","",$E116+BB設定!$B$4*$F116)</f>
        <v>1886.1685989795662</v>
      </c>
      <c r="H116" s="501">
        <f>IF($D116="","",$E116+BB設定!$B$5*$F116)</f>
        <v>1850.4092994897831</v>
      </c>
      <c r="I116" s="501">
        <f>IF($D116="","",$E116-BB設定!$B$5*$F116)</f>
        <v>1778.8907005102171</v>
      </c>
      <c r="J116" s="501">
        <f>IF($D116="","",$E116-BB設定!$B$4*$F116)</f>
        <v>1743.1314010204339</v>
      </c>
      <c r="K116" s="506">
        <f t="shared" si="11"/>
        <v>-0.1617159826288187</v>
      </c>
      <c r="L116" s="505">
        <f t="shared" si="12"/>
        <v>7.8823573669375522</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↓-2σ割れ</v>
      </c>
      <c r="Q116" s="503">
        <f>IF($D116="","",IFERROR(100-100/(1+SUMPRODUCT((終値!E116:R116&gt;終値!F116:S116)*(終値!E116:R116-終値!F116:S116))/SUMPRODUCT((終値!E116:R116&lt;終値!F116:S116)*(終値!F116:S116-終値!E116:R116))),100))</f>
        <v>35.238095238095227</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43.670693178852154</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二番天井M▼</v>
      </c>
      <c r="V116" s="508">
        <f>IF($D116="","",IFERROR(出来高!E116/AVERAGE(出来高!E116:I116),""))</f>
        <v>0.82769876428071809</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▼二番天井警戒</v>
      </c>
      <c r="X116" s="504">
        <f t="shared" si="20"/>
        <v>0</v>
      </c>
      <c r="Y116" s="501">
        <f t="shared" si="15"/>
        <v>1720</v>
      </c>
      <c r="Z116" s="501">
        <f t="shared" si="16"/>
        <v>1850.4092994897831</v>
      </c>
      <c r="AA116" s="501">
        <f t="shared" si="17"/>
        <v>1720</v>
      </c>
      <c r="AB116" s="501">
        <f t="shared" si="21"/>
        <v>1886.1685989795662</v>
      </c>
      <c r="AC116" s="507" t="str">
        <f t="shared" si="18"/>
        <v>－</v>
      </c>
      <c r="AD116" s="501">
        <f>IF($D116="","",MIN(終値!E116:I116))</f>
        <v>1720</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5406</v>
      </c>
      <c r="E117" s="501">
        <f>IF($D117="","",AVERAGE(終値!E117:X117))</f>
        <v>5554</v>
      </c>
      <c r="F117" s="502">
        <f>IF($D117="","",STDEVP(終値!E117:X117))</f>
        <v>178.29301724969488</v>
      </c>
      <c r="G117" s="501">
        <f>IF($D117="","",$E117+BB設定!$B$4*$F117)</f>
        <v>5910.5860344993898</v>
      </c>
      <c r="H117" s="501">
        <f>IF($D117="","",$E117+BB設定!$B$5*$F117)</f>
        <v>5732.2930172496945</v>
      </c>
      <c r="I117" s="501">
        <f>IF($D117="","",$E117-BB設定!$B$5*$F117)</f>
        <v>5375.7069827503055</v>
      </c>
      <c r="J117" s="501">
        <f>IF($D117="","",$E117-BB設定!$B$4*$F117)</f>
        <v>5197.4139655006102</v>
      </c>
      <c r="K117" s="506">
        <f t="shared" si="11"/>
        <v>0.29247644932620986</v>
      </c>
      <c r="L117" s="505">
        <f t="shared" si="12"/>
        <v>12.84069263591609</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40.213695968916959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51.231743575957381</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弱気div▼</v>
      </c>
      <c r="T117" s="500" t="str">
        <f t="shared" si="14"/>
        <v>－</v>
      </c>
      <c r="U117" s="500" t="str">
        <f>IF(終値!A117="","",BB_スイング!BT117)</f>
        <v>二番底W形成</v>
      </c>
      <c r="V117" s="508">
        <f>IF($D117="","",IFERROR(出来高!E117/AVERAGE(出来高!E117:I117),""))</f>
        <v>0.76642830843168031</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10</v>
      </c>
      <c r="Y117" s="501">
        <f t="shared" si="15"/>
        <v>5406</v>
      </c>
      <c r="Z117" s="501">
        <f t="shared" si="16"/>
        <v>5732.2930172496945</v>
      </c>
      <c r="AA117" s="501">
        <f t="shared" si="17"/>
        <v>5304</v>
      </c>
      <c r="AB117" s="501">
        <f t="shared" si="21"/>
        <v>5910.5860344993898</v>
      </c>
      <c r="AC117" s="507">
        <f t="shared" si="18"/>
        <v>4.95</v>
      </c>
      <c r="AD117" s="501">
        <f>IF($D117="","",MIN(終値!E117:I117))</f>
        <v>5304</v>
      </c>
      <c r="AE117" s="503">
        <f t="shared" si="19"/>
        <v>10.09883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4574</v>
      </c>
      <c r="E118" s="501">
        <f>IF($D118="","",AVERAGE(終値!E118:X118))</f>
        <v>4622.3</v>
      </c>
      <c r="F118" s="502">
        <f>IF($D118="","",STDEVP(終値!E118:X118))</f>
        <v>118.24681813900956</v>
      </c>
      <c r="G118" s="501">
        <f>IF($D118="","",$E118+BB設定!$B$4*$F118)</f>
        <v>4858.7936362780192</v>
      </c>
      <c r="H118" s="501">
        <f>IF($D118="","",$E118+BB設定!$B$5*$F118)</f>
        <v>4740.5468181390097</v>
      </c>
      <c r="I118" s="501">
        <f>IF($D118="","",$E118-BB設定!$B$5*$F118)</f>
        <v>4504.0531818609907</v>
      </c>
      <c r="J118" s="501">
        <f>IF($D118="","",$E118-BB設定!$B$4*$F118)</f>
        <v>4385.8063637219811</v>
      </c>
      <c r="K118" s="506">
        <f t="shared" si="11"/>
        <v>0.39788308734189515</v>
      </c>
      <c r="L118" s="505">
        <f t="shared" si="12"/>
        <v>10.232725538282631</v>
      </c>
      <c r="M118" s="505">
        <f>IF($D118="","",IFERROR(MIN(BB_帯幅!B118:AP118)*100,""))</f>
        <v>5.1767158802810274</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46.554487179487182</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59.254891105632915</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弱気div▼</v>
      </c>
      <c r="T118" s="500" t="str">
        <f t="shared" si="14"/>
        <v>－</v>
      </c>
      <c r="U118" s="500" t="str">
        <f>IF(終値!A118="","",BB_スイング!BT118)</f>
        <v>二番天井M形成</v>
      </c>
      <c r="V118" s="508">
        <f>IF($D118="","",IFERROR(出来高!E118/AVERAGE(出来高!E118:I118),""))</f>
        <v>0.68569130485781793</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▼二番天井警戒</v>
      </c>
      <c r="X118" s="504">
        <f t="shared" si="20"/>
        <v>0</v>
      </c>
      <c r="Y118" s="501">
        <f t="shared" si="15"/>
        <v>4574</v>
      </c>
      <c r="Z118" s="501">
        <f t="shared" si="16"/>
        <v>4740.5468181390097</v>
      </c>
      <c r="AA118" s="501">
        <f t="shared" si="17"/>
        <v>4437</v>
      </c>
      <c r="AB118" s="501">
        <f t="shared" si="21"/>
        <v>4858.7936362780192</v>
      </c>
      <c r="AC118" s="507">
        <f t="shared" si="18"/>
        <v>2.08</v>
      </c>
      <c r="AD118" s="501">
        <f>IF($D118="","",MIN(終値!E118:I118))</f>
        <v>4437</v>
      </c>
      <c r="AE118" s="503">
        <f t="shared" si="19"/>
        <v>9.8820000000000005E-2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2783.5</v>
      </c>
      <c r="E119" s="501">
        <f>IF($D119="","",AVERAGE(終値!E119:X119))</f>
        <v>2903.4749999999999</v>
      </c>
      <c r="F119" s="502">
        <f>IF($D119="","",STDEVP(終値!E119:X119))</f>
        <v>59.118625449176335</v>
      </c>
      <c r="G119" s="501">
        <f>IF($D119="","",$E119+BB設定!$B$4*$F119)</f>
        <v>3021.7122508983525</v>
      </c>
      <c r="H119" s="501">
        <f>IF($D119="","",$E119+BB設定!$B$5*$F119)</f>
        <v>2962.5936254491762</v>
      </c>
      <c r="I119" s="501">
        <f>IF($D119="","",$E119-BB設定!$B$5*$F119)</f>
        <v>2844.3563745508236</v>
      </c>
      <c r="J119" s="501">
        <f>IF($D119="","",$E119-BB設定!$B$4*$F119)</f>
        <v>2785.2377491016473</v>
      </c>
      <c r="K119" s="506">
        <f t="shared" si="11"/>
        <v>-7.3485686128698198E-3</v>
      </c>
      <c r="L119" s="505">
        <f t="shared" si="12"/>
        <v>8.1445337671826081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↓-2σ割れ</v>
      </c>
      <c r="Q119" s="503">
        <f>IF($D119="","",IFERROR(100-100/(1+SUMPRODUCT((終値!E119:R119&gt;終値!F119:S119)*(終値!E119:R119-終値!F119:S119))/SUMPRODUCT((終値!E119:R119&lt;終値!F119:S119)*(終値!F119:S119-終値!E119:R119))),100))</f>
        <v>43.428571428571431</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40.151428278128357</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下walk▼</v>
      </c>
      <c r="U119" s="500" t="str">
        <f>IF(終値!A119="","",BB_スイング!BT119)</f>
        <v>二番天井M▼</v>
      </c>
      <c r="V119" s="508">
        <f>IF($D119="","",IFERROR(出来高!E119/AVERAGE(出来高!E119:I119),""))</f>
        <v>1.2075264345966497</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▼二番天井警戒</v>
      </c>
      <c r="X119" s="504">
        <f t="shared" si="20"/>
        <v>0</v>
      </c>
      <c r="Y119" s="501">
        <f t="shared" si="15"/>
        <v>2783.5</v>
      </c>
      <c r="Z119" s="501">
        <f t="shared" si="16"/>
        <v>2962.5936254491762</v>
      </c>
      <c r="AA119" s="501">
        <f t="shared" si="17"/>
        <v>2783.5</v>
      </c>
      <c r="AB119" s="501">
        <f t="shared" si="21"/>
        <v>3021.7122508983525</v>
      </c>
      <c r="AC119" s="507" t="str">
        <f t="shared" si="18"/>
        <v>－</v>
      </c>
      <c r="AD119" s="501">
        <f>IF($D119="","",MIN(終値!E119:I119))</f>
        <v>2783.5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4490</v>
      </c>
      <c r="E120" s="501">
        <f>IF($D120="","",AVERAGE(終値!E120:X120))</f>
        <v>4346.5789473684208</v>
      </c>
      <c r="F120" s="502">
        <f>IF($D120="","",STDEVP(終値!E120:X120))</f>
        <v>84.682885731026374</v>
      </c>
      <c r="G120" s="501">
        <f>IF($D120="","",$E120+BB設定!$B$4*$F120)</f>
        <v>4515.9447188304739</v>
      </c>
      <c r="H120" s="501">
        <f>IF($D120="","",$E120+BB設定!$B$5*$F120)</f>
        <v>4431.2618330994474</v>
      </c>
      <c r="I120" s="501">
        <f>IF($D120="","",$E120-BB設定!$B$5*$F120)</f>
        <v>4261.8960616373943</v>
      </c>
      <c r="J120" s="501">
        <f>IF($D120="","",$E120-BB設定!$B$4*$F120)</f>
        <v>4177.2131759063677</v>
      </c>
      <c r="K120" s="506">
        <f t="shared" si="11"/>
        <v>0.92340625084246464</v>
      </c>
      <c r="L120" s="505">
        <f t="shared" si="12"/>
        <v>7.7930608652394717</v>
      </c>
      <c r="M120" s="505">
        <f>IF($D120="","",IFERROR(MIN(BB_帯幅!B120:AP120)*100,""))</f>
        <v>7.1847000152929938</v>
      </c>
      <c r="N120" s="500" t="str">
        <f>IF($L120="","",IF($L120&lt;=$M120*BB設定!$B$7,"スクイーズ★",IF($L120&lt;=$M120*1.3,"収縮","－")))</f>
        <v>スクイーズ★</v>
      </c>
      <c r="O120" s="500" t="str">
        <f>IF($D120="","",IF(AND(BB_帯幅!B120&gt;BB_帯幅!C120,BB_帯幅!C120&gt;BB_帯幅!D120),"拡大↑","縮小↓"))</f>
        <v>縮小↓</v>
      </c>
      <c r="P120" s="500" t="str">
        <f t="shared" si="13"/>
        <v>+1σ上</v>
      </c>
      <c r="Q120" s="503">
        <f>IF($D120="","",IFERROR(100-100/(1+SUMPRODUCT((終値!E120:R120&gt;終値!F120:S120)*(終値!E120:R120-終値!F120:S120))/SUMPRODUCT((終値!E120:R120&lt;終値!F120:S120)*(終値!F120:S120-終値!E120:R120))),100))</f>
        <v>51.386623164763456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69.107921546743484</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1.0365251727541955</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☆スクイーズ監視</v>
      </c>
      <c r="X120" s="504">
        <f t="shared" si="20"/>
        <v>57</v>
      </c>
      <c r="Y120" s="501">
        <f t="shared" si="15"/>
        <v>4490</v>
      </c>
      <c r="Z120" s="501">
        <f t="shared" si="16"/>
        <v>4431.2618330994474</v>
      </c>
      <c r="AA120" s="501">
        <f t="shared" si="17"/>
        <v>4346.5789473684208</v>
      </c>
      <c r="AB120" s="501">
        <f t="shared" si="21"/>
        <v>4515.9447188304739</v>
      </c>
      <c r="AC120" s="507">
        <f t="shared" si="18"/>
        <v>0.18</v>
      </c>
      <c r="AD120" s="501">
        <f>IF($D120="","",MIN(終値!E120:I120))</f>
        <v>4380</v>
      </c>
      <c r="AE120" s="503">
        <f t="shared" si="19"/>
        <v>57.098799999999997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2980</v>
      </c>
      <c r="E121" s="501">
        <f>IF($D121="","",AVERAGE(終値!E121:X121))</f>
        <v>3289.7368421052633</v>
      </c>
      <c r="F121" s="502">
        <f>IF($D121="","",STDEVP(終値!E121:X121))</f>
        <v>251.59676219681847</v>
      </c>
      <c r="G121" s="501">
        <f>IF($D121="","",$E121+BB設定!$B$4*$F121)</f>
        <v>3792.9303664989002</v>
      </c>
      <c r="H121" s="501">
        <f>IF($D121="","",$E121+BB設定!$B$5*$F121)</f>
        <v>3541.3336043020818</v>
      </c>
      <c r="I121" s="501">
        <f>IF($D121="","",$E121-BB設定!$B$5*$F121)</f>
        <v>3038.1400799084449</v>
      </c>
      <c r="J121" s="501">
        <f>IF($D121="","",$E121-BB設定!$B$4*$F121)</f>
        <v>2786.5433177116265</v>
      </c>
      <c r="K121" s="506">
        <f t="shared" si="11"/>
        <v>0.19222890688179517</v>
      </c>
      <c r="L121" s="505">
        <f t="shared" si="12"/>
        <v>30.591718945617469</v>
      </c>
      <c r="M121" s="505">
        <f>IF($D121="","",IFERROR(MIN(BB_帯幅!B121:AP121)*100,""))</f>
        <v>11.914236765660549</v>
      </c>
      <c r="N121" s="500" t="str">
        <f>IF($L121="","",IF($L121&lt;=$M121*BB設定!$B$7,"スクイーズ★",IF($L121&lt;=$M121*1.3,"収縮","－")))</f>
        <v>－</v>
      </c>
      <c r="O121" s="500" t="str">
        <f>IF($D121="","",IF(AND(BB_帯幅!B121&gt;BB_帯幅!C121,BB_帯幅!C121&gt;BB_帯幅!D121),"拡大↑","縮小↓"))</f>
        <v>拡大↑</v>
      </c>
      <c r="P121" s="500" t="str">
        <f t="shared" si="13"/>
        <v>-1σ下</v>
      </c>
      <c r="Q121" s="503">
        <f>IF($D121="","",IFERROR(100-100/(1+SUMPRODUCT((終値!E121:R121&gt;終値!F121:S121)*(終値!E121:R121-終値!F121:S121))/SUMPRODUCT((終値!E121:R121&lt;終値!F121:S121)*(終値!F121:S121-終値!E121:R121))),100))</f>
        <v>45.751820648293588</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41.133894567190154</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v>
      </c>
      <c r="T121" s="500" t="str">
        <f t="shared" si="14"/>
        <v>下walk▼</v>
      </c>
      <c r="U121" s="500" t="str">
        <f>IF(終値!A121="","",BB_スイング!BT121)</f>
        <v>－</v>
      </c>
      <c r="V121" s="508">
        <f>IF($D121="","",IFERROR(出来高!E121/AVERAGE(出来高!E121:I121),""))</f>
        <v>0.73132552751862756</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様子見</v>
      </c>
      <c r="X121" s="504">
        <f t="shared" si="20"/>
        <v>0</v>
      </c>
      <c r="Y121" s="501">
        <f t="shared" si="15"/>
        <v>2980</v>
      </c>
      <c r="Z121" s="501">
        <f t="shared" si="16"/>
        <v>3541.3336043020818</v>
      </c>
      <c r="AA121" s="501">
        <f t="shared" si="17"/>
        <v>2941</v>
      </c>
      <c r="AB121" s="501">
        <f t="shared" si="21"/>
        <v>3792.9303664989002</v>
      </c>
      <c r="AC121" s="507">
        <f t="shared" si="18"/>
        <v>20</v>
      </c>
      <c r="AD121" s="501">
        <f>IF($D121="","",MIN(終値!E121:I121))</f>
        <v>2941</v>
      </c>
      <c r="AE121" s="503">
        <f t="shared" si="19"/>
        <v>9.8790000000000003E-2</v>
      </c>
    </row>
    <row r="122" spans="1:31">
      <c r="A122" s="500" t="str">
        <f>IF(終値!A122="","",HYPERLINK("https://kabutan.jp/stock/?code="&amp;終値!A122,"📈"))</f>
        <v>📈</v>
      </c>
      <c r="B122" s="500" t="str">
        <f>IF(終値!A122="","",終値!A122)</f>
        <v>8334</v>
      </c>
      <c r="C122" s="499" t="str">
        <f>IF(終値!A122="","",終値!B122)</f>
        <v>群馬銀行</v>
      </c>
      <c r="D122" s="501">
        <f>IF(終値!A122="","",終値!E122)</f>
        <v>2495.5</v>
      </c>
      <c r="E122" s="501">
        <f>IF($D122="","",AVERAGE(終値!E122:X122))</f>
        <v>2532.35</v>
      </c>
      <c r="F122" s="502">
        <f>IF($D122="","",STDEVP(終値!E122:X122))</f>
        <v>58.499594015685275</v>
      </c>
      <c r="G122" s="501">
        <f>IF($D122="","",$E122+BB設定!$B$4*$F122)</f>
        <v>2649.3491880313704</v>
      </c>
      <c r="H122" s="501">
        <f>IF($D122="","",$E122+BB設定!$B$5*$F122)</f>
        <v>2590.8495940156854</v>
      </c>
      <c r="I122" s="501">
        <f>IF($D122="","",$E122-BB設定!$B$5*$F122)</f>
        <v>2473.8504059843144</v>
      </c>
      <c r="J122" s="501">
        <f>IF($D122="","",$E122-BB設定!$B$4*$F122)</f>
        <v>2415.3508119686294</v>
      </c>
      <c r="K122" s="506">
        <f t="shared" si="11"/>
        <v>0.34252027462737833</v>
      </c>
      <c r="L122" s="505">
        <f t="shared" si="12"/>
        <v>9.2403647229940979</v>
      </c>
      <c r="M122" s="505">
        <f>IF($D122="","",IFERROR(MIN(BB_帯幅!B122:AP122)*100,""))</f>
        <v>6.6240843150951338</v>
      </c>
      <c r="N122" s="500" t="str">
        <f>IF($L122="","",IF($L122&lt;=$M122*BB設定!$B$7,"スクイーズ★",IF($L122&lt;=$M122*1.3,"収縮","－")))</f>
        <v>－</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48.880597014925371</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54.05933856829494</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二番天井M▼</v>
      </c>
      <c r="V122" s="508">
        <f>IF($D122="","",IFERROR(出来高!E122/AVERAGE(出来高!E122:I122),""))</f>
        <v>0.93560310931526214</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▼二番天井警戒</v>
      </c>
      <c r="X122" s="504">
        <f t="shared" si="20"/>
        <v>0</v>
      </c>
      <c r="Y122" s="501">
        <f t="shared" si="15"/>
        <v>2495.5</v>
      </c>
      <c r="Z122" s="501">
        <f t="shared" si="16"/>
        <v>2590.8495940156854</v>
      </c>
      <c r="AA122" s="501">
        <f t="shared" si="17"/>
        <v>2475</v>
      </c>
      <c r="AB122" s="501">
        <f t="shared" si="21"/>
        <v>2649.3491880313704</v>
      </c>
      <c r="AC122" s="507">
        <f t="shared" si="18"/>
        <v>7.5</v>
      </c>
      <c r="AD122" s="501">
        <f>IF($D122="","",MIN(終値!E122:I122))</f>
        <v>2475</v>
      </c>
      <c r="AE122" s="503">
        <f t="shared" si="19"/>
        <v>9.8780000000000007E-2</v>
      </c>
    </row>
    <row r="123" spans="1:31">
      <c r="A123" s="500" t="str">
        <f>IF(終値!A123="","",HYPERLINK("https://kabutan.jp/stock/?code="&amp;終値!A123,"📈"))</f>
        <v>📈</v>
      </c>
      <c r="B123" s="500" t="str">
        <f>IF(終値!A123="","",終値!A123)</f>
        <v>8359</v>
      </c>
      <c r="C123" s="499" t="str">
        <f>IF(終値!A123="","",終値!B123)</f>
        <v>八十二長野銀行</v>
      </c>
      <c r="D123" s="501">
        <f>IF(終値!A123="","",終値!E123)</f>
        <v>2488.5</v>
      </c>
      <c r="E123" s="501">
        <f>IF($D123="","",AVERAGE(終値!E123:X123))</f>
        <v>2570.7249999999999</v>
      </c>
      <c r="F123" s="502">
        <f>IF($D123="","",STDEVP(終値!E123:X123))</f>
        <v>63.780771984979928</v>
      </c>
      <c r="G123" s="501">
        <f>IF($D123="","",$E123+BB設定!$B$4*$F123)</f>
        <v>2698.2865439699599</v>
      </c>
      <c r="H123" s="501">
        <f>IF($D123="","",$E123+BB設定!$B$5*$F123)</f>
        <v>2634.5057719849797</v>
      </c>
      <c r="I123" s="501">
        <f>IF($D123="","",$E123-BB設定!$B$5*$F123)</f>
        <v>2506.9442280150201</v>
      </c>
      <c r="J123" s="501">
        <f>IF($D123="","",$E123-BB設定!$B$4*$F123)</f>
        <v>2443.1634560300399</v>
      </c>
      <c r="K123" s="506">
        <f t="shared" si="11"/>
        <v>0.17770459089393184</v>
      </c>
      <c r="L123" s="505">
        <f t="shared" si="12"/>
        <v>9.9241687827332754</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-1σ下</v>
      </c>
      <c r="Q123" s="503">
        <f>IF($D123="","",IFERROR(100-100/(1+SUMPRODUCT((終値!E123:R123&gt;終値!F123:S123)*(終値!E123:R123-終値!F123:S123))/SUMPRODUCT((終値!E123:R123&lt;終値!F123:S123)*(終値!F123:S123-終値!E123:R123))),100))</f>
        <v>44.806517311608964</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56.103595140607631</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下walk▼</v>
      </c>
      <c r="U123" s="500" t="str">
        <f>IF(終値!A123="","",BB_スイング!BT123)</f>
        <v>二番天井M形成</v>
      </c>
      <c r="V123" s="508">
        <f>IF($D123="","",IFERROR(出来高!E123/AVERAGE(出来高!E123:I123),""))</f>
        <v>0.9875137470978349</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▼二番天井警戒</v>
      </c>
      <c r="X123" s="504">
        <f t="shared" si="20"/>
        <v>0</v>
      </c>
      <c r="Y123" s="501">
        <f t="shared" si="15"/>
        <v>2488.5</v>
      </c>
      <c r="Z123" s="501">
        <f t="shared" si="16"/>
        <v>2634.5057719849797</v>
      </c>
      <c r="AA123" s="501">
        <f t="shared" si="17"/>
        <v>2488.5</v>
      </c>
      <c r="AB123" s="501">
        <f t="shared" si="21"/>
        <v>2698.2865439699599</v>
      </c>
      <c r="AC123" s="507" t="str">
        <f t="shared" si="18"/>
        <v>－</v>
      </c>
      <c r="AD123" s="501">
        <f>IF($D123="","",MIN(終値!E123:I123))</f>
        <v>2488.5</v>
      </c>
      <c r="AE123" s="503">
        <f t="shared" si="19"/>
        <v>9.8769999999999997E-2</v>
      </c>
    </row>
    <row r="124" spans="1:31">
      <c r="A124" s="500" t="str">
        <f>IF(終値!A124="","",HYPERLINK("https://kabutan.jp/stock/?code="&amp;終値!A124,"📈"))</f>
        <v>📈</v>
      </c>
      <c r="B124" s="500" t="str">
        <f>IF(終値!A124="","",終値!A124)</f>
        <v>8801</v>
      </c>
      <c r="C124" s="499" t="str">
        <f>IF(終値!A124="","",終値!B124)</f>
        <v>三井不動産</v>
      </c>
      <c r="D124" s="501">
        <f>IF(終値!A124="","",終値!E124)</f>
        <v>1474</v>
      </c>
      <c r="E124" s="501">
        <f>IF($D124="","",AVERAGE(終値!E124:X124))</f>
        <v>1551.55</v>
      </c>
      <c r="F124" s="502">
        <f>IF($D124="","",STDEVP(終値!E124:X124))</f>
        <v>37.131152688813749</v>
      </c>
      <c r="G124" s="501">
        <f>IF($D124="","",$E124+BB設定!$B$4*$F124)</f>
        <v>1625.8123053776274</v>
      </c>
      <c r="H124" s="501">
        <f>IF($D124="","",$E124+BB設定!$B$5*$F124)</f>
        <v>1588.6811526888137</v>
      </c>
      <c r="I124" s="501">
        <f>IF($D124="","",$E124-BB設定!$B$5*$F124)</f>
        <v>1514.4188473111863</v>
      </c>
      <c r="J124" s="501">
        <f>IF($D124="","",$E124-BB設定!$B$4*$F124)</f>
        <v>1477.2876946223726</v>
      </c>
      <c r="K124" s="506">
        <f t="shared" si="11"/>
        <v>-2.213568920096454E-2</v>
      </c>
      <c r="L124" s="505">
        <f t="shared" si="12"/>
        <v>9.572660291660263</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↓-2σ割れ</v>
      </c>
      <c r="Q124" s="503">
        <f>IF($D124="","",IFERROR(100-100/(1+SUMPRODUCT((終値!E124:R124&gt;終値!F124:S124)*(終値!E124:R124-終値!F124:S124))/SUMPRODUCT((終値!E124:R124&lt;終値!F124:S124)*(終値!F124:S124-終値!E124:R124))),100))</f>
        <v>43.786127167630056</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42.618693265973079</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二番天井M▼</v>
      </c>
      <c r="V124" s="508">
        <f>IF($D124="","",IFERROR(出来高!E124/AVERAGE(出来高!E124:I124),""))</f>
        <v>0.75692295505697305</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▼二番天井警戒</v>
      </c>
      <c r="X124" s="504">
        <f t="shared" si="20"/>
        <v>0</v>
      </c>
      <c r="Y124" s="501">
        <f t="shared" si="15"/>
        <v>1474</v>
      </c>
      <c r="Z124" s="501">
        <f t="shared" si="16"/>
        <v>1588.6811526888137</v>
      </c>
      <c r="AA124" s="501">
        <f t="shared" si="17"/>
        <v>1474</v>
      </c>
      <c r="AB124" s="501">
        <f t="shared" si="21"/>
        <v>1625.8123053776274</v>
      </c>
      <c r="AC124" s="507" t="str">
        <f t="shared" si="18"/>
        <v>－</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2411</v>
      </c>
      <c r="E125" s="501">
        <f>IF($D125="","",AVERAGE(終値!E125:X125))</f>
        <v>2511.6999999999998</v>
      </c>
      <c r="F125" s="502">
        <f>IF($D125="","",STDEVP(終値!E125:X125))</f>
        <v>39.950093867223892</v>
      </c>
      <c r="G125" s="501">
        <f>IF($D125="","",$E125+BB設定!$B$4*$F125)</f>
        <v>2591.6001877344474</v>
      </c>
      <c r="H125" s="501">
        <f>IF($D125="","",$E125+BB設定!$B$5*$F125)</f>
        <v>2551.6500938672239</v>
      </c>
      <c r="I125" s="501">
        <f>IF($D125="","",$E125-BB設定!$B$5*$F125)</f>
        <v>2471.7499061327758</v>
      </c>
      <c r="J125" s="501">
        <f>IF($D125="","",$E125-BB設定!$B$4*$F125)</f>
        <v>2431.7998122655522</v>
      </c>
      <c r="K125" s="506">
        <f t="shared" si="11"/>
        <v>-0.13016122274131217</v>
      </c>
      <c r="L125" s="505">
        <f t="shared" si="12"/>
        <v>6.3622397367876449</v>
      </c>
      <c r="M125" s="505">
        <f>IF($D125="","",IFERROR(MIN(BB_帯幅!B125:AP125)*100,""))</f>
        <v>5.6412159072397525</v>
      </c>
      <c r="N125" s="500" t="str">
        <f>IF($L125="","",IF($L125&lt;=$M125*BB設定!$B$7,"スクイーズ★",IF($L125&lt;=$M125*1.3,"収縮","－")))</f>
        <v>収縮</v>
      </c>
      <c r="O125" s="500" t="str">
        <f>IF($D125="","",IF(AND(BB_帯幅!B125&gt;BB_帯幅!C125,BB_帯幅!C125&gt;BB_帯幅!D125),"拡大↑","縮小↓"))</f>
        <v>縮小↓</v>
      </c>
      <c r="P125" s="500" t="str">
        <f t="shared" si="13"/>
        <v>↓-2σ割れ</v>
      </c>
      <c r="Q125" s="503">
        <f>IF($D125="","",IFERROR(100-100/(1+SUMPRODUCT((終値!E125:R125&gt;終値!F125:S125)*(終値!E125:R125-終値!F125:S125))/SUMPRODUCT((終値!E125:R125&lt;終値!F125:S125)*(終値!F125:S125-終値!E125:R125))),100))</f>
        <v>44.08163265306122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53.053903259535105</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二番天井M▼</v>
      </c>
      <c r="V125" s="508">
        <f>IF($D125="","",IFERROR(出来高!E125/AVERAGE(出来高!E125:I125),""))</f>
        <v>0.64820592823712953</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▼二番天井警戒</v>
      </c>
      <c r="X125" s="504">
        <f t="shared" si="20"/>
        <v>0</v>
      </c>
      <c r="Y125" s="501">
        <f t="shared" si="15"/>
        <v>2411</v>
      </c>
      <c r="Z125" s="501">
        <f t="shared" si="16"/>
        <v>2551.6500938672239</v>
      </c>
      <c r="AA125" s="501">
        <f t="shared" si="17"/>
        <v>2411</v>
      </c>
      <c r="AB125" s="501">
        <f t="shared" si="21"/>
        <v>2591.6001877344474</v>
      </c>
      <c r="AC125" s="507" t="str">
        <f t="shared" si="18"/>
        <v>－</v>
      </c>
      <c r="AD125" s="501">
        <f>IF($D125="","",MIN(終値!E125:I125))</f>
        <v>2411</v>
      </c>
      <c r="AE125" s="503">
        <f t="shared" si="19"/>
        <v>9.8750000000000004E-2</v>
      </c>
    </row>
    <row r="126" spans="1:31">
      <c r="A126" s="500" t="str">
        <f>IF(終値!A126="","",HYPERLINK("https://kabutan.jp/stock/?code="&amp;終値!A126,"📈"))</f>
        <v>📈</v>
      </c>
      <c r="B126" s="500" t="str">
        <f>IF(終値!A126="","",終値!A126)</f>
        <v>9416</v>
      </c>
      <c r="C126" s="499" t="str">
        <f>IF(終値!A126="","",終値!B126)</f>
        <v>ビジョン</v>
      </c>
      <c r="D126" s="501">
        <f>IF(終値!A126="","",終値!E126)</f>
        <v>1009</v>
      </c>
      <c r="E126" s="501">
        <f>IF($D126="","",AVERAGE(終値!E126:X126))</f>
        <v>1013.95</v>
      </c>
      <c r="F126" s="502">
        <f>IF($D126="","",STDEVP(終値!E126:X126))</f>
        <v>14.978234208343784</v>
      </c>
      <c r="G126" s="501">
        <f>IF($D126="","",$E126+BB設定!$B$4*$F126)</f>
        <v>1043.9064684166876</v>
      </c>
      <c r="H126" s="501">
        <f>IF($D126="","",$E126+BB設定!$B$5*$F126)</f>
        <v>1028.9282342083438</v>
      </c>
      <c r="I126" s="501">
        <f>IF($D126="","",$E126-BB設定!$B$5*$F126)</f>
        <v>998.97176579165625</v>
      </c>
      <c r="J126" s="501">
        <f>IF($D126="","",$E126-BB設定!$B$4*$F126)</f>
        <v>983.99353158331246</v>
      </c>
      <c r="K126" s="506">
        <f t="shared" si="11"/>
        <v>0.41738011418524568</v>
      </c>
      <c r="L126" s="505">
        <f t="shared" si="12"/>
        <v>5.9088650163593037</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縮小↓</v>
      </c>
      <c r="P126" s="500" t="str">
        <f t="shared" si="13"/>
        <v>バンド内</v>
      </c>
      <c r="Q126" s="503">
        <f>IF($D126="","",IFERROR(100-100/(1+SUMPRODUCT((終値!E126:R126&gt;終値!F126:S126)*(終値!E126:R126-終値!F126:S126))/SUMPRODUCT((終値!E126:R126&lt;終値!F126:S126)*(終値!F126:S126-終値!E126:R126))),100))</f>
        <v>48.299319727891152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36.092124392038549</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二番天井M形成</v>
      </c>
      <c r="V126" s="508">
        <f>IF($D126="","",IFERROR(出来高!E126/AVERAGE(出来高!E126:I126),""))</f>
        <v>0.5140393544107893</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▼二番天井警戒</v>
      </c>
      <c r="X126" s="504">
        <f t="shared" si="20"/>
        <v>0</v>
      </c>
      <c r="Y126" s="501">
        <f t="shared" si="15"/>
        <v>1009</v>
      </c>
      <c r="Z126" s="501">
        <f t="shared" si="16"/>
        <v>1028.9282342083438</v>
      </c>
      <c r="AA126" s="501">
        <f t="shared" si="17"/>
        <v>1009</v>
      </c>
      <c r="AB126" s="501">
        <f t="shared" si="21"/>
        <v>1043.9064684166876</v>
      </c>
      <c r="AC126" s="507" t="str">
        <f t="shared" si="18"/>
        <v>－</v>
      </c>
      <c r="AD126" s="501">
        <f>IF($D126="","",MIN(終値!E126:I126))</f>
        <v>1009</v>
      </c>
      <c r="AE126" s="503">
        <f t="shared" si="19"/>
        <v>9.8739999999999994E-2</v>
      </c>
    </row>
    <row r="127" spans="1:31">
      <c r="A127" s="500" t="str">
        <f>IF(終値!A127="","",HYPERLINK("https://kabutan.jp/stock/?code="&amp;終値!A127,"📈"))</f>
        <v>📈</v>
      </c>
      <c r="B127" s="500" t="str">
        <f>IF(終値!A127="","",終値!A127)</f>
        <v>9532</v>
      </c>
      <c r="C127" s="499" t="str">
        <f>IF(終値!A127="","",終値!B127)</f>
        <v>大阪瓦斯</v>
      </c>
      <c r="D127" s="501">
        <f>IF(終値!A127="","",終値!E127)</f>
        <v>5375</v>
      </c>
      <c r="E127" s="501">
        <f>IF($D127="","",AVERAGE(終値!E127:X127))</f>
        <v>5456.3</v>
      </c>
      <c r="F127" s="502">
        <f>IF($D127="","",STDEVP(終値!E127:X127))</f>
        <v>80.38600624486827</v>
      </c>
      <c r="G127" s="501">
        <f>IF($D127="","",$E127+BB設定!$B$4*$F127)</f>
        <v>5617.0720124897371</v>
      </c>
      <c r="H127" s="501">
        <f>IF($D127="","",$E127+BB設定!$B$5*$F127)</f>
        <v>5536.6860062448686</v>
      </c>
      <c r="I127" s="501">
        <f>IF($D127="","",$E127-BB設定!$B$5*$F127)</f>
        <v>5375.9139937551317</v>
      </c>
      <c r="J127" s="501">
        <f>IF($D127="","",$E127-BB設定!$B$4*$F127)</f>
        <v>5295.5279875102633</v>
      </c>
      <c r="K127" s="506">
        <f t="shared" si="11"/>
        <v>0.2471574848725922</v>
      </c>
      <c r="L127" s="505">
        <f t="shared" si="12"/>
        <v>5.8930781844743461</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-1σ下</v>
      </c>
      <c r="Q127" s="503">
        <f>IF($D127="","",IFERROR(100-100/(1+SUMPRODUCT((終値!E127:R127&gt;終値!F127:S127)*(終値!E127:R127-終値!F127:S127))/SUMPRODUCT((終値!E127:R127&lt;終値!F127:S127)*(終値!F127:S127-終値!E127:R127))),100))</f>
        <v>55.234159779614323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47.857750166538089</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強気div▲</v>
      </c>
      <c r="T127" s="500" t="str">
        <f t="shared" si="14"/>
        <v>下walk▼</v>
      </c>
      <c r="U127" s="500" t="str">
        <f>IF(終値!A127="","",BB_スイング!BT127)</f>
        <v>二番底W形成</v>
      </c>
      <c r="V127" s="508">
        <f>IF($D127="","",IFERROR(出来高!E127/AVERAGE(出来高!E127:I127),""))</f>
        <v>0.56255973463765674</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5375</v>
      </c>
      <c r="Z127" s="501">
        <f t="shared" si="16"/>
        <v>5536.6860062448686</v>
      </c>
      <c r="AA127" s="501">
        <f t="shared" si="17"/>
        <v>5375</v>
      </c>
      <c r="AB127" s="501">
        <f t="shared" si="21"/>
        <v>5617.0720124897371</v>
      </c>
      <c r="AC127" s="507" t="str">
        <f t="shared" si="18"/>
        <v>－</v>
      </c>
      <c r="AD127" s="501">
        <f>IF($D127="","",MIN(終値!E127:I127))</f>
        <v>5375</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1998</v>
      </c>
      <c r="E128" s="501">
        <f>IF($D128="","",AVERAGE(終値!E128:X128))</f>
        <v>1953.1052631578948</v>
      </c>
      <c r="F128" s="502">
        <f>IF($D128="","",STDEVP(終値!E128:X128))</f>
        <v>86.916714361836426</v>
      </c>
      <c r="G128" s="501">
        <f>IF($D128="","",$E128+BB設定!$B$4*$F128)</f>
        <v>2126.9386918815676</v>
      </c>
      <c r="H128" s="501">
        <f>IF($D128="","",$E128+BB設定!$B$5*$F128)</f>
        <v>2040.0219775197313</v>
      </c>
      <c r="I128" s="501">
        <f>IF($D128="","",$E128-BB設定!$B$5*$F128)</f>
        <v>1866.1885487960583</v>
      </c>
      <c r="J128" s="501">
        <f>IF($D128="","",$E128-BB設定!$B$4*$F128)</f>
        <v>1779.271834434222</v>
      </c>
      <c r="K128" s="506">
        <f t="shared" si="11"/>
        <v>0.6291314828561263</v>
      </c>
      <c r="L128" s="505">
        <f t="shared" si="12"/>
        <v>17.800722982294232</v>
      </c>
      <c r="M128" s="505">
        <f>IF($D128="","",IFERROR(MIN(BB_帯幅!B128:AP128)*100,""))</f>
        <v>15.732303958675439</v>
      </c>
      <c r="N128" s="500" t="str">
        <f>IF($L128="","",IF($L128&lt;=$M128*BB設定!$B$7,"スクイーズ★",IF($L128&lt;=$M128*1.3,"収縮","－")))</f>
        <v>収縮</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50.655294362388183</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52.427647901011028</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0.95356435854317889</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様子見</v>
      </c>
      <c r="X128" s="504">
        <f t="shared" si="20"/>
        <v>40</v>
      </c>
      <c r="Y128" s="501">
        <f t="shared" si="15"/>
        <v>1998</v>
      </c>
      <c r="Z128" s="501">
        <f t="shared" si="16"/>
        <v>2040.0219775197313</v>
      </c>
      <c r="AA128" s="501">
        <f t="shared" si="17"/>
        <v>1953.1052631578948</v>
      </c>
      <c r="AB128" s="501">
        <f t="shared" si="21"/>
        <v>2126.9386918815676</v>
      </c>
      <c r="AC128" s="507">
        <f t="shared" si="18"/>
        <v>2.87</v>
      </c>
      <c r="AD128" s="501">
        <f>IF($D128="","",MIN(終値!E128:I128))</f>
        <v>1891</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1858</v>
      </c>
      <c r="E129" s="501">
        <f>IF($D129="","",AVERAGE(終値!E129:X129))</f>
        <v>1861.05</v>
      </c>
      <c r="F129" s="502">
        <f>IF($D129="","",STDEVP(終値!E129:X129))</f>
        <v>105.83074931228637</v>
      </c>
      <c r="G129" s="501">
        <f>IF($D129="","",$E129+BB設定!$B$4*$F129)</f>
        <v>2072.7114986245729</v>
      </c>
      <c r="H129" s="501">
        <f>IF($D129="","",$E129+BB設定!$B$5*$F129)</f>
        <v>1966.8807493122863</v>
      </c>
      <c r="I129" s="501">
        <f>IF($D129="","",$E129-BB設定!$B$5*$F129)</f>
        <v>1755.2192506877136</v>
      </c>
      <c r="J129" s="501">
        <f>IF($D129="","",$E129-BB設定!$B$4*$F129)</f>
        <v>1649.3885013754273</v>
      </c>
      <c r="K129" s="506">
        <f t="shared" si="11"/>
        <v>0.49279509967608731</v>
      </c>
      <c r="L129" s="505">
        <f t="shared" si="12"/>
        <v>22.746460183721322</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47.457627118644069</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51.830107990358989</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二番底W形成</v>
      </c>
      <c r="V129" s="508">
        <f>IF($D129="","",IFERROR(出来高!E129/AVERAGE(出来高!E129:I129),""))</f>
        <v>0.88507651817915978</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△二番底形成</v>
      </c>
      <c r="X129" s="504">
        <f t="shared" si="20"/>
        <v>0</v>
      </c>
      <c r="Y129" s="501">
        <f t="shared" si="15"/>
        <v>1858</v>
      </c>
      <c r="Z129" s="501">
        <f t="shared" si="16"/>
        <v>1966.8807493122863</v>
      </c>
      <c r="AA129" s="501">
        <f t="shared" si="17"/>
        <v>1677</v>
      </c>
      <c r="AB129" s="501">
        <f t="shared" si="21"/>
        <v>2072.7114986245729</v>
      </c>
      <c r="AC129" s="507">
        <f t="shared" si="18"/>
        <v>1.19</v>
      </c>
      <c r="AD129" s="501">
        <f>IF($D129="","",MIN(終値!E129:I129))</f>
        <v>1677</v>
      </c>
      <c r="AE129" s="503">
        <f t="shared" si="19"/>
        <v>9.8710000000000006E-2</v>
      </c>
    </row>
    <row r="130" spans="1:31">
      <c r="A130" s="500" t="str">
        <f>IF(終値!A130="","",HYPERLINK("https://kabutan.jp/stock/?code="&amp;終値!A130,"📈"))</f>
        <v>📈</v>
      </c>
      <c r="B130" s="500" t="str">
        <f>IF(終値!A130="","",終値!A130)</f>
        <v>4519</v>
      </c>
      <c r="C130" s="499" t="str">
        <f>IF(終値!A130="","",終値!B130)</f>
        <v>中外製薬</v>
      </c>
      <c r="D130" s="501">
        <f>IF(終値!A130="","",終値!E130)</f>
        <v>6680</v>
      </c>
      <c r="E130" s="501">
        <f>IF($D130="","",AVERAGE(終値!E130:X130))</f>
        <v>7177.8421052631575</v>
      </c>
      <c r="F130" s="502">
        <f>IF($D130="","",STDEVP(終値!E130:X130))</f>
        <v>255.71967858696459</v>
      </c>
      <c r="G130" s="501">
        <f>IF($D130="","",$E130+BB設定!$B$4*$F130)</f>
        <v>7689.2814624370867</v>
      </c>
      <c r="H130" s="501">
        <f>IF($D130="","",$E130+BB設定!$B$5*$F130)</f>
        <v>7433.5617838501221</v>
      </c>
      <c r="I130" s="501">
        <f>IF($D130="","",$E130-BB設定!$B$5*$F130)</f>
        <v>6922.1224266761928</v>
      </c>
      <c r="J130" s="501">
        <f>IF($D130="","",$E130-BB設定!$B$4*$F130)</f>
        <v>6666.4027480892282</v>
      </c>
      <c r="K130" s="506">
        <f t="shared" si="11"/>
        <v>1.3293122361472514E-2</v>
      </c>
      <c r="L130" s="505">
        <f t="shared" si="12"/>
        <v>14.25050452973648</v>
      </c>
      <c r="M130" s="505">
        <f>IF($D130="","",IFERROR(MIN(BB_帯幅!B130:AP130)*100,""))</f>
        <v>3.5080110738205694</v>
      </c>
      <c r="N130" s="500" t="str">
        <f>IF($L130="","",IF($L130&lt;=$M130*BB設定!$B$7,"スクイーズ★",IF($L130&lt;=$M130*1.3,"収縮","－")))</f>
        <v>－</v>
      </c>
      <c r="O130" s="500" t="str">
        <f>IF($D130="","",IF(AND(BB_帯幅!B130&gt;BB_帯幅!C130,BB_帯幅!C130&gt;BB_帯幅!D130),"拡大↑","縮小↓"))</f>
        <v>拡大↑</v>
      </c>
      <c r="P130" s="500" t="str">
        <f t="shared" si="13"/>
        <v>-1σ下</v>
      </c>
      <c r="Q130" s="503">
        <f>IF($D130="","",IFERROR(100-100/(1+SUMPRODUCT((終値!E130:R130&gt;終値!F130:S130)*(終値!E130:R130-終値!F130:S130))/SUMPRODUCT((終値!E130:R130&lt;終値!F130:S130)*(終値!F130:S130-終値!E130:R130))),100))</f>
        <v>48.196957776029379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53.40345795880522</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二番天井M▼</v>
      </c>
      <c r="V130" s="508">
        <f>IF($D130="","",IFERROR(出来高!E130/AVERAGE(出来高!E130:I130),""))</f>
        <v>1.0055990817239031</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▼二番天井警戒</v>
      </c>
      <c r="X130" s="504">
        <f t="shared" si="20"/>
        <v>0</v>
      </c>
      <c r="Y130" s="501">
        <f t="shared" si="15"/>
        <v>6680</v>
      </c>
      <c r="Z130" s="501">
        <f t="shared" si="16"/>
        <v>7433.5617838501221</v>
      </c>
      <c r="AA130" s="501">
        <f t="shared" si="17"/>
        <v>6680</v>
      </c>
      <c r="AB130" s="501">
        <f t="shared" si="21"/>
        <v>7689.2814624370867</v>
      </c>
      <c r="AC130" s="507" t="str">
        <f t="shared" si="18"/>
        <v>－</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2532</v>
      </c>
      <c r="E131" s="501">
        <f>IF($D131="","",AVERAGE(終値!E131:X131))</f>
        <v>2553.5500000000002</v>
      </c>
      <c r="F131" s="502">
        <f>IF($D131="","",STDEVP(終値!E131:X131))</f>
        <v>132.31760087002789</v>
      </c>
      <c r="G131" s="501">
        <f>IF($D131="","",$E131+BB設定!$B$4*$F131)</f>
        <v>2818.1852017400561</v>
      </c>
      <c r="H131" s="501">
        <f>IF($D131="","",$E131+BB設定!$B$5*$F131)</f>
        <v>2685.8676008700281</v>
      </c>
      <c r="I131" s="501">
        <f>IF($D131="","",$E131-BB設定!$B$5*$F131)</f>
        <v>2421.2323991299722</v>
      </c>
      <c r="J131" s="501">
        <f>IF($D131="","",$E131-BB設定!$B$4*$F131)</f>
        <v>2288.9147982599443</v>
      </c>
      <c r="K131" s="506">
        <f t="shared" si="11"/>
        <v>0.45928357252114899</v>
      </c>
      <c r="L131" s="505">
        <f t="shared" si="12"/>
        <v>20.726847074860949</v>
      </c>
      <c r="M131" s="505">
        <f>IF($D131="","",IFERROR(MIN(BB_帯幅!B131:AP131)*100,""))</f>
        <v>15.615726386664717</v>
      </c>
      <c r="N131" s="500" t="str">
        <f>IF($L131="","",IF($L131&lt;=$M131*BB設定!$B$7,"スクイーズ★",IF($L131&lt;=$M131*1.3,"収縮","－")))</f>
        <v>－</v>
      </c>
      <c r="O131" s="500" t="str">
        <f>IF($D131="","",IF(AND(BB_帯幅!B131&gt;BB_帯幅!C131,BB_帯幅!C131&gt;BB_帯幅!D131),"拡大↑","縮小↓"))</f>
        <v>縮小↓</v>
      </c>
      <c r="P131" s="500" t="str">
        <f t="shared" si="13"/>
        <v>バンド内</v>
      </c>
      <c r="Q131" s="503">
        <f>IF($D131="","",IFERROR(100-100/(1+SUMPRODUCT((終値!E131:R131&gt;終値!F131:S131)*(終値!E131:R131-終値!F131:S131))/SUMPRODUCT((終値!E131:R131&lt;終値!F131:S131)*(終値!F131:S131-終値!E131:R131))),100))</f>
        <v>47.879464285714285</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50.527913112185963</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v>
      </c>
      <c r="U131" s="500" t="str">
        <f>IF(終値!A131="","",BB_スイング!BT131)</f>
        <v>－</v>
      </c>
      <c r="V131" s="508">
        <f>IF($D131="","",IFERROR(出来高!E131/AVERAGE(出来高!E131:I131),""))</f>
        <v>0.51675873395043292</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様子見</v>
      </c>
      <c r="X131" s="504">
        <f t="shared" si="20"/>
        <v>10</v>
      </c>
      <c r="Y131" s="501">
        <f t="shared" si="15"/>
        <v>2532</v>
      </c>
      <c r="Z131" s="501">
        <f t="shared" si="16"/>
        <v>2685.8676008700281</v>
      </c>
      <c r="AA131" s="501">
        <f t="shared" si="17"/>
        <v>2300</v>
      </c>
      <c r="AB131" s="501">
        <f t="shared" si="21"/>
        <v>2818.1852017400561</v>
      </c>
      <c r="AC131" s="507">
        <f t="shared" si="18"/>
        <v>1.23</v>
      </c>
      <c r="AD131" s="501">
        <f>IF($D131="","",MIN(終値!E131:I131))</f>
        <v>2300</v>
      </c>
      <c r="AE131" s="503">
        <f t="shared" si="19"/>
        <v>10.09869</v>
      </c>
    </row>
    <row r="132" spans="1:31">
      <c r="A132" s="500" t="str">
        <f>IF(終値!A132="","",HYPERLINK("https://kabutan.jp/stock/?code="&amp;終値!A132,"📈"))</f>
        <v>📈</v>
      </c>
      <c r="B132" s="500" t="str">
        <f>IF(終値!A132="","",終値!A132)</f>
        <v>6227</v>
      </c>
      <c r="C132" s="499" t="str">
        <f>IF(終値!A132="","",終値!B132)</f>
        <v>ＡＩメカテック</v>
      </c>
      <c r="D132" s="501">
        <f>IF(終値!A132="","",終値!E132)</f>
        <v>6830</v>
      </c>
      <c r="E132" s="501">
        <f>IF($D132="","",AVERAGE(終値!E132:X132))</f>
        <v>6604.7368421052633</v>
      </c>
      <c r="F132" s="502">
        <f>IF($D132="","",STDEVP(終値!E132:X132))</f>
        <v>712.30809730394367</v>
      </c>
      <c r="G132" s="501">
        <f>IF($D132="","",$E132+BB設定!$B$4*$F132)</f>
        <v>8029.3530367131507</v>
      </c>
      <c r="H132" s="501">
        <f>IF($D132="","",$E132+BB設定!$B$5*$F132)</f>
        <v>7317.0449394092066</v>
      </c>
      <c r="I132" s="501">
        <f>IF($D132="","",$E132-BB設定!$B$5*$F132)</f>
        <v>5892.4287448013201</v>
      </c>
      <c r="J132" s="501">
        <f>IF($D132="","",$E132-BB設定!$B$4*$F132)</f>
        <v>5180.120647497376</v>
      </c>
      <c r="K132" s="506">
        <f t="shared" si="11"/>
        <v>0.57906099858591675</v>
      </c>
      <c r="L132" s="505">
        <f t="shared" si="12"/>
        <v>43.139226548011564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47.540983606557376</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47.341213534337847</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0.7141238802328419</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10</v>
      </c>
      <c r="Y132" s="501">
        <f t="shared" si="15"/>
        <v>6830</v>
      </c>
      <c r="Z132" s="501">
        <f t="shared" si="16"/>
        <v>7317.0449394092066</v>
      </c>
      <c r="AA132" s="501">
        <f t="shared" si="17"/>
        <v>6604.7368421052633</v>
      </c>
      <c r="AB132" s="501">
        <f t="shared" si="21"/>
        <v>8029.3530367131507</v>
      </c>
      <c r="AC132" s="507">
        <f t="shared" si="18"/>
        <v>5.32</v>
      </c>
      <c r="AD132" s="501">
        <f>IF($D132="","",MIN(終値!E132:I132))</f>
        <v>5450</v>
      </c>
      <c r="AE132" s="503">
        <f t="shared" si="19"/>
        <v>10.09868</v>
      </c>
    </row>
    <row r="133" spans="1:31">
      <c r="A133" s="500" t="str">
        <f>IF(終値!A133="","",HYPERLINK("https://kabutan.jp/stock/?code="&amp;終値!A133,"📈"))</f>
        <v>📈</v>
      </c>
      <c r="B133" s="500" t="str">
        <f>IF(終値!A133="","",終値!A133)</f>
        <v>6327</v>
      </c>
      <c r="C133" s="499" t="str">
        <f>IF(終値!A133="","",終値!B133)</f>
        <v>北川精機</v>
      </c>
      <c r="D133" s="501">
        <f>IF(終値!A133="","",終値!E133)</f>
        <v>3135</v>
      </c>
      <c r="E133" s="501">
        <f>IF($D133="","",AVERAGE(終値!E133:X133))</f>
        <v>4295.5789473684208</v>
      </c>
      <c r="F133" s="502">
        <f>IF($D133="","",STDEVP(終値!E133:X133))</f>
        <v>1221.0265015352957</v>
      </c>
      <c r="G133" s="501">
        <f>IF($D133="","",$E133+BB設定!$B$4*$F133)</f>
        <v>6737.6319504390121</v>
      </c>
      <c r="H133" s="501">
        <f>IF($D133="","",$E133+BB設定!$B$5*$F133)</f>
        <v>5516.605448903716</v>
      </c>
      <c r="I133" s="501">
        <f>IF($D133="","",$E133-BB設定!$B$5*$F133)</f>
        <v>3074.5524458331251</v>
      </c>
      <c r="J133" s="501">
        <f>IF($D133="","",$E133-BB設定!$B$4*$F133)</f>
        <v>1853.5259442978295</v>
      </c>
      <c r="K133" s="506">
        <f t="shared" si="11"/>
        <v>0.26237638046571249</v>
      </c>
      <c r="L133" s="505">
        <f t="shared" si="12"/>
        <v>113.7007622484347</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39.927082359540059</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48.634149282973361</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0.62131475074314113</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5</v>
      </c>
      <c r="Y133" s="501">
        <f t="shared" si="15"/>
        <v>3135</v>
      </c>
      <c r="Z133" s="501">
        <f t="shared" si="16"/>
        <v>5516.605448903716</v>
      </c>
      <c r="AA133" s="501">
        <f t="shared" si="17"/>
        <v>2679</v>
      </c>
      <c r="AB133" s="501">
        <f t="shared" si="21"/>
        <v>6737.6319504390121</v>
      </c>
      <c r="AC133" s="507">
        <f t="shared" si="18"/>
        <v>7.9</v>
      </c>
      <c r="AD133" s="501">
        <f>IF($D133="","",MIN(終値!E133:I133))</f>
        <v>2679</v>
      </c>
      <c r="AE133" s="503">
        <f t="shared" si="19"/>
        <v>5.0986700000000003</v>
      </c>
    </row>
    <row r="134" spans="1:31">
      <c r="A134" s="500" t="str">
        <f>IF(終値!A134="","",HYPERLINK("https://kabutan.jp/stock/?code="&amp;終値!A134,"📈"))</f>
        <v>📈</v>
      </c>
      <c r="B134" s="500" t="str">
        <f>IF(終値!A134="","",終値!A134)</f>
        <v>3110</v>
      </c>
      <c r="C134" s="499" t="str">
        <f>IF(終値!A134="","",終値!B134)</f>
        <v>日東紡績</v>
      </c>
      <c r="D134" s="501">
        <f>IF(終値!A134="","",終値!E134)</f>
        <v>0</v>
      </c>
      <c r="E134" s="501" t="e">
        <f>IF($D134="","",AVERAGE(終値!E134:X134))</f>
        <v>#DIV/0!</v>
      </c>
      <c r="F134" s="502" t="e">
        <f>IF($D134="","",STDEVP(終値!E134:X134))</f>
        <v>#DIV/0!</v>
      </c>
      <c r="G134" s="501" t="e">
        <f>IF($D134="","",$E134+BB設定!$B$4*$F134)</f>
        <v>#DIV/0!</v>
      </c>
      <c r="H134" s="501" t="e">
        <f>IF($D134="","",$E134+BB設定!$B$5*$F134)</f>
        <v>#DIV/0!</v>
      </c>
      <c r="I134" s="501" t="e">
        <f>IF($D134="","",$E134-BB設定!$B$5*$F134)</f>
        <v>#DIV/0!</v>
      </c>
      <c r="J134" s="501" t="e">
        <f>IF($D134="","",$E134-BB設定!$B$4*$F134)</f>
        <v>#DIV/0!</v>
      </c>
      <c r="K134" s="506" t="str">
        <f t="shared" ref="K134:K197" si="22">IF($D134="","",IFERROR(($D134-$J134)/($G134-$J134),""))</f>
        <v/>
      </c>
      <c r="L134" s="505" t="str">
        <f t="shared" ref="L134:L197" si="23">IF($D134="","",IFERROR(($G134-$J134)/$E134*100,""))</f>
        <v/>
      </c>
      <c r="M134" s="505">
        <f>IF($D134="","",IFERROR(MIN(BB_帯幅!B134:AP134)*100,""))</f>
        <v>0</v>
      </c>
      <c r="N134" s="500" t="str">
        <f>IF($L134="","",IF($L134&lt;=$M134*BB設定!$B$7,"スクイーズ★",IF($L134&lt;=$M134*1.3,"収縮","－")))</f>
        <v/>
      </c>
      <c r="O134" s="500" t="str">
        <f>IF($D134="","",IF(AND(BB_帯幅!B134&gt;BB_帯幅!C134,BB_帯幅!C134&gt;BB_帯幅!D134),"拡大↑","縮小↓"))</f>
        <v>縮小↓</v>
      </c>
      <c r="P134" s="500" t="e">
        <f t="shared" ref="P134:P197" si="24">IF($D134="","",IF($D134&gt;$G134,"↑+2σ突破",IF($D134&lt;$J134,"↓-2σ割れ",IF($D134&gt;$H134,"+1σ上",IF($D134&lt;$I134,"-1σ下","バンド内")))))</f>
        <v>#DIV/0!</v>
      </c>
      <c r="Q134" s="503">
        <f>IF($D134="","",IFERROR(100-100/(1+SUMPRODUCT((終値!E134:R134&gt;終値!F134:S134)*(終値!E134:R134-終値!F134:S134))/SUMPRODUCT((終値!E134:R134&lt;終値!F134:S134)*(終値!F134:S134-終値!E134:R134))),100))</f>
        <v>100</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50</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v>
      </c>
      <c r="T134" s="500" t="e">
        <f t="shared" ref="T134:T197" si="25">IF($D134="","",IF($D134&gt;=$H134,"上walk▲",IF($D134&lt;=$I134,"下walk▼","－")))</f>
        <v>#DIV/0!</v>
      </c>
      <c r="U134" s="500" t="str">
        <f>IF(終値!A134="","",BB_スイング!BT134)</f>
        <v>－</v>
      </c>
      <c r="V134" s="508" t="str">
        <f>IF($D134="","",IFERROR(出来高!E134/AVERAGE(出来高!E134:I134),""))</f>
        <v/>
      </c>
      <c r="W134" s="509" t="e">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#DIV/0!</v>
      </c>
      <c r="X134" s="504" t="e">
        <f t="shared" si="20"/>
        <v>#DIV/0!</v>
      </c>
      <c r="Y134" s="501">
        <f t="shared" ref="Y134:Y197" si="26">IF($D134="","",$D134)</f>
        <v>0</v>
      </c>
      <c r="Z134" s="501" t="e">
        <f t="shared" ref="Z134:Z197" si="27">IF($D134="","",$H134)</f>
        <v>#DIV/0!</v>
      </c>
      <c r="AA134" s="501" t="e">
        <f t="shared" ref="AA134:AA197" si="28">IF($D134="","",IF($D134&gt;$E134,$E134,$AD134))</f>
        <v>#DIV/0!</v>
      </c>
      <c r="AB134" s="501" t="e">
        <f t="shared" si="21"/>
        <v>#DIV/0!</v>
      </c>
      <c r="AC134" s="507" t="e">
        <f t="shared" ref="AC134:AC197" si="29">IF($D134="","",IF(($Y134-$AA134)&lt;=0,"－",IFERROR(ROUND(MIN(20,($AB134-$Y134)/($Y134-$AA134)),2),"－")))</f>
        <v>#DIV/0!</v>
      </c>
      <c r="AD134" s="501">
        <f>IF($D134="","",MIN(終値!E134:I134))</f>
        <v>0</v>
      </c>
      <c r="AE134" s="503" t="e">
        <f t="shared" ref="AE134:AE197" si="30">IF($D134="","",$X134+(10000-ROW())/100000)</f>
        <v>#DIV/0!</v>
      </c>
    </row>
    <row r="135" spans="1:31">
      <c r="A135" s="500" t="str">
        <f>IF(終値!A135="","",HYPERLINK("https://kabutan.jp/stock/?code="&amp;終値!A135,"📈"))</f>
        <v>📈</v>
      </c>
      <c r="B135" s="500" t="str">
        <f>IF(終値!A135="","",終値!A135)</f>
        <v>6232</v>
      </c>
      <c r="C135" s="499" t="str">
        <f>IF(終値!A135="","",終値!B135)</f>
        <v>ＡＣＳＬ</v>
      </c>
      <c r="D135" s="501">
        <f>IF(終値!A135="","",終値!E135)</f>
        <v>3135</v>
      </c>
      <c r="E135" s="501">
        <f>IF($D135="","",AVERAGE(終値!E135:X135))</f>
        <v>4168.2</v>
      </c>
      <c r="F135" s="502">
        <f>IF($D135="","",STDEVP(終値!E135:X135))</f>
        <v>1313.2566238172949</v>
      </c>
      <c r="G135" s="501">
        <f>IF($D135="","",$E135+BB設定!$B$4*$F135)</f>
        <v>6794.7132476345896</v>
      </c>
      <c r="H135" s="501">
        <f>IF($D135="","",$E135+BB設定!$B$5*$F135)</f>
        <v>5481.4566238172947</v>
      </c>
      <c r="I135" s="501">
        <f>IF($D135="","",$E135-BB設定!$B$5*$F135)</f>
        <v>2854.9433761827049</v>
      </c>
      <c r="J135" s="501">
        <f>IF($D135="","",$E135-BB設定!$B$4*$F135)</f>
        <v>1541.68675236541</v>
      </c>
      <c r="K135" s="506">
        <f t="shared" si="22"/>
        <v>0.30331338497331228</v>
      </c>
      <c r="L135" s="505">
        <f t="shared" si="23"/>
        <v>126.0262582234341</v>
      </c>
      <c r="M135" s="505">
        <f>IF($D135="","",IFERROR(MIN(BB_帯幅!B135:AP135)*100,""))</f>
        <v>65.941168005679103</v>
      </c>
      <c r="N135" s="500" t="str">
        <f>IF($L135="","",IF($L135&lt;=$M135*BB設定!$B$7,"スクイーズ★",IF($L135&lt;=$M135*1.3,"収縮","－")))</f>
        <v>－</v>
      </c>
      <c r="O135" s="500" t="str">
        <f>IF($D135="","",IF(AND(BB_帯幅!B135&gt;BB_帯幅!C135,BB_帯幅!C135&gt;BB_帯幅!D135),"拡大↑","縮小↓"))</f>
        <v>縮小↓</v>
      </c>
      <c r="P135" s="500" t="str">
        <f t="shared" si="24"/>
        <v>バンド内</v>
      </c>
      <c r="Q135" s="503">
        <f>IF($D135="","",IFERROR(100-100/(1+SUMPRODUCT((終値!E135:R135&gt;終値!F135:S135)*(終値!E135:R135-終値!F135:S135))/SUMPRODUCT((終値!E135:R135&lt;終値!F135:S135)*(終値!F135:S135-終値!E135:R135))),100))</f>
        <v>35.03680044438272</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47.541261560534458</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v>
      </c>
      <c r="U135" s="500" t="str">
        <f>IF(終値!A135="","",BB_スイング!BT135)</f>
        <v>－</v>
      </c>
      <c r="V135" s="508">
        <f>IF($D135="","",IFERROR(出来高!E135/AVERAGE(出来高!E135:I135),""))</f>
        <v>0.62131475074314113</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○反発(ダイバ)買</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5</v>
      </c>
      <c r="Y135" s="501">
        <f t="shared" si="26"/>
        <v>3135</v>
      </c>
      <c r="Z135" s="501">
        <f t="shared" si="27"/>
        <v>5481.4566238172947</v>
      </c>
      <c r="AA135" s="501">
        <f t="shared" si="28"/>
        <v>2679</v>
      </c>
      <c r="AB135" s="501">
        <f t="shared" ref="AB135:AB198" si="32">IF($D135="","",IF($D135&gt;$G135,$E135+3*$F135,$G135))</f>
        <v>6794.7132476345896</v>
      </c>
      <c r="AC135" s="507">
        <f t="shared" si="29"/>
        <v>8.0299999999999994</v>
      </c>
      <c r="AD135" s="501">
        <f>IF($D135="","",MIN(終値!E135:I135))</f>
        <v>2679</v>
      </c>
      <c r="AE135" s="503">
        <f t="shared" si="30"/>
        <v>5.0986500000000001</v>
      </c>
    </row>
    <row r="136" spans="1:31">
      <c r="A136" s="500" t="str">
        <f>IF(終値!A136="","",HYPERLINK("https://kabutan.jp/stock/?code="&amp;終値!A136,"📈"))</f>
        <v>📈</v>
      </c>
      <c r="B136" s="500" t="str">
        <f>IF(終値!A136="","",終値!A136)</f>
        <v>7794</v>
      </c>
      <c r="C136" s="499" t="str">
        <f>IF(終値!A136="","",終値!B136)</f>
        <v>イーディーピー</v>
      </c>
      <c r="D136" s="501">
        <f>IF(終値!A136="","",終値!E136)</f>
        <v>881</v>
      </c>
      <c r="E136" s="501">
        <f>IF($D136="","",AVERAGE(終値!E136:X136))</f>
        <v>968.89473684210532</v>
      </c>
      <c r="F136" s="502">
        <f>IF($D136="","",STDEVP(終値!E136:X136))</f>
        <v>100.06150463160782</v>
      </c>
      <c r="G136" s="501">
        <f>IF($D136="","",$E136+BB設定!$B$4*$F136)</f>
        <v>1169.0177461053208</v>
      </c>
      <c r="H136" s="501">
        <f>IF($D136="","",$E136+BB設定!$B$5*$F136)</f>
        <v>1068.9562414737131</v>
      </c>
      <c r="I136" s="501">
        <f>IF($D136="","",$E136-BB設定!$B$5*$F136)</f>
        <v>868.8332322104975</v>
      </c>
      <c r="J136" s="501">
        <f>IF($D136="","",$E136-BB設定!$B$4*$F136)</f>
        <v>768.77172757888968</v>
      </c>
      <c r="K136" s="506">
        <f t="shared" si="22"/>
        <v>0.28039822315858731</v>
      </c>
      <c r="L136" s="505">
        <f t="shared" si="23"/>
        <v>41.30954615678305</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46.30124777183601</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46.016269416510006</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0.68341584158415847</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10</v>
      </c>
      <c r="Y136" s="501">
        <f t="shared" si="26"/>
        <v>881</v>
      </c>
      <c r="Z136" s="501">
        <f t="shared" si="27"/>
        <v>1068.9562414737131</v>
      </c>
      <c r="AA136" s="501">
        <f t="shared" si="28"/>
        <v>820</v>
      </c>
      <c r="AB136" s="501">
        <f t="shared" si="32"/>
        <v>1169.0177461053208</v>
      </c>
      <c r="AC136" s="507">
        <f t="shared" si="29"/>
        <v>4.72</v>
      </c>
      <c r="AD136" s="501">
        <f>IF($D136="","",MIN(終値!E136:I136))</f>
        <v>820</v>
      </c>
      <c r="AE136" s="503">
        <f t="shared" si="30"/>
        <v>10.09864</v>
      </c>
    </row>
    <row r="137" spans="1:31">
      <c r="A137" s="500" t="str">
        <f>IF(終値!A137="","",HYPERLINK("https://kabutan.jp/stock/?code="&amp;終値!A137,"📈"))</f>
        <v>📈</v>
      </c>
      <c r="B137" s="500" t="str">
        <f>IF(終値!A137="","",終値!A137)</f>
        <v>6085</v>
      </c>
      <c r="C137" s="499" t="str">
        <f>IF(終値!A137="","",終値!B137)</f>
        <v>アーキテクツＳＪ</v>
      </c>
      <c r="D137" s="501">
        <f>IF(終値!A137="","",終値!E137)</f>
        <v>77</v>
      </c>
      <c r="E137" s="501">
        <f>IF($D137="","",AVERAGE(終値!E137:X137))</f>
        <v>157.47368421052633</v>
      </c>
      <c r="F137" s="502">
        <f>IF($D137="","",STDEVP(終値!E137:X137))</f>
        <v>63.621717924697307</v>
      </c>
      <c r="G137" s="501">
        <f>IF($D137="","",$E137+BB設定!$B$4*$F137)</f>
        <v>284.71712005992094</v>
      </c>
      <c r="H137" s="501">
        <f>IF($D137="","",$E137+BB設定!$B$5*$F137)</f>
        <v>221.09540213522365</v>
      </c>
      <c r="I137" s="501">
        <f>IF($D137="","",$E137-BB設定!$B$5*$F137)</f>
        <v>93.851966285829022</v>
      </c>
      <c r="J137" s="501">
        <f>IF($D137="","",$E137-BB設定!$B$4*$F137)</f>
        <v>30.230248361131714</v>
      </c>
      <c r="K137" s="506">
        <f t="shared" si="22"/>
        <v>0.1837806065462779</v>
      </c>
      <c r="L137" s="505">
        <f t="shared" si="23"/>
        <v>161.60596799054127</v>
      </c>
      <c r="M137" s="505">
        <f>IF($D137="","",IFERROR(MIN(BB_帯幅!B137:AP137)*100,""))</f>
        <v>48.106097795816069</v>
      </c>
      <c r="N137" s="500" t="str">
        <f>IF($L137="","",IF($L137&lt;=$M137*BB設定!$B$7,"スクイーズ★",IF($L137&lt;=$M137*1.3,"収縮","－")))</f>
        <v>－</v>
      </c>
      <c r="O137" s="500" t="str">
        <f>IF($D137="","",IF(AND(BB_帯幅!B137&gt;BB_帯幅!C137,BB_帯幅!C137&gt;BB_帯幅!D137),"拡大↑","縮小↓"))</f>
        <v>拡大↑</v>
      </c>
      <c r="P137" s="500" t="str">
        <f t="shared" si="24"/>
        <v>-1σ下</v>
      </c>
      <c r="Q137" s="503">
        <f>IF($D137="","",IFERROR(100-100/(1+SUMPRODUCT((終値!E137:R137&gt;終値!F137:S137)*(終値!E137:R137-終値!F137:S137))/SUMPRODUCT((終値!E137:R137&lt;終値!F137:S137)*(終値!F137:S137-終値!E137:R137))),100))</f>
        <v>35.167464114832541</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32.55109665321379</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0.76251320784252341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77</v>
      </c>
      <c r="Z137" s="501">
        <f t="shared" si="27"/>
        <v>221.09540213522365</v>
      </c>
      <c r="AA137" s="501">
        <f t="shared" si="28"/>
        <v>70</v>
      </c>
      <c r="AB137" s="501">
        <f t="shared" si="32"/>
        <v>284.71712005992094</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876</v>
      </c>
      <c r="E138" s="501">
        <f>IF($D138="","",AVERAGE(終値!E138:X138))</f>
        <v>884.15</v>
      </c>
      <c r="F138" s="502">
        <f>IF($D138="","",STDEVP(終値!E138:X138))</f>
        <v>63.317671309042943</v>
      </c>
      <c r="G138" s="501">
        <f>IF($D138="","",$E138+BB設定!$B$4*$F138)</f>
        <v>1010.7853426180859</v>
      </c>
      <c r="H138" s="501">
        <f>IF($D138="","",$E138+BB設定!$B$5*$F138)</f>
        <v>947.46767130904288</v>
      </c>
      <c r="I138" s="501">
        <f>IF($D138="","",$E138-BB設定!$B$5*$F138)</f>
        <v>820.83232869095707</v>
      </c>
      <c r="J138" s="501">
        <f>IF($D138="","",$E138-BB設定!$B$4*$F138)</f>
        <v>757.51465738191405</v>
      </c>
      <c r="K138" s="506">
        <f t="shared" si="22"/>
        <v>0.46782098965618463</v>
      </c>
      <c r="L138" s="505">
        <f t="shared" si="23"/>
        <v>28.645669313597448</v>
      </c>
      <c r="M138" s="505">
        <f>IF($D138="","",IFERROR(MIN(BB_帯幅!B138:AP138)*100,""))</f>
        <v>25.476583299096706</v>
      </c>
      <c r="N138" s="500" t="str">
        <f>IF($L138="","",IF($L138&lt;=$M138*BB設定!$B$7,"スクイーズ★",IF($L138&lt;=$M138*1.3,"収縮","－")))</f>
        <v>収縮</v>
      </c>
      <c r="O138" s="500" t="str">
        <f>IF($D138="","",IF(AND(BB_帯幅!B138&gt;BB_帯幅!C138,BB_帯幅!C138&gt;BB_帯幅!D138),"拡大↑","縮小↓"))</f>
        <v>縮小↓</v>
      </c>
      <c r="P138" s="500" t="str">
        <f t="shared" si="24"/>
        <v>バンド内</v>
      </c>
      <c r="Q138" s="503">
        <f>IF($D138="","",IFERROR(100-100/(1+SUMPRODUCT((終値!E138:R138&gt;終値!F138:S138)*(終値!E138:R138-終値!F138:S138))/SUMPRODUCT((終値!E138:R138&lt;終値!F138:S138)*(終値!F138:S138-終値!E138:R138))),100))</f>
        <v>49.738219895287962</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35.108567950365838</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強気div▲</v>
      </c>
      <c r="T138" s="500" t="str">
        <f t="shared" si="25"/>
        <v>－</v>
      </c>
      <c r="U138" s="500" t="str">
        <f>IF(終値!A138="","",BB_スイング!BT138)</f>
        <v>－</v>
      </c>
      <c r="V138" s="508">
        <f>IF($D138="","",IFERROR(出来高!E138/AVERAGE(出来高!E138:I138),""))</f>
        <v>1.0080830925158102</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○反発(ダイバ)買</v>
      </c>
      <c r="X138" s="504">
        <f t="shared" si="31"/>
        <v>30</v>
      </c>
      <c r="Y138" s="501">
        <f t="shared" si="26"/>
        <v>876</v>
      </c>
      <c r="Z138" s="501">
        <f t="shared" si="27"/>
        <v>947.46767130904288</v>
      </c>
      <c r="AA138" s="501">
        <f t="shared" si="28"/>
        <v>762</v>
      </c>
      <c r="AB138" s="501">
        <f t="shared" si="32"/>
        <v>1010.7853426180859</v>
      </c>
      <c r="AC138" s="507">
        <f t="shared" si="29"/>
        <v>1.18</v>
      </c>
      <c r="AD138" s="501">
        <f>IF($D138="","",MIN(終値!E138:I138))</f>
        <v>762</v>
      </c>
      <c r="AE138" s="503">
        <f t="shared" si="30"/>
        <v>30.09862</v>
      </c>
    </row>
    <row r="139" spans="1:31">
      <c r="A139" s="500" t="str">
        <f>IF(終値!A139="","",HYPERLINK("https://kabutan.jp/stock/?code="&amp;終値!A139,"📈"))</f>
        <v>📈</v>
      </c>
      <c r="B139" s="500" t="str">
        <f>IF(終値!A139="","",終値!A139)</f>
        <v>4422</v>
      </c>
      <c r="C139" s="499" t="str">
        <f>IF(終値!A139="","",終値!B139)</f>
        <v>ＶＡＬＵＥＮＥＸ</v>
      </c>
      <c r="D139" s="501">
        <f>IF(終値!A139="","",終値!E139)</f>
        <v>555</v>
      </c>
      <c r="E139" s="501">
        <f>IF($D139="","",AVERAGE(終値!E139:X139))</f>
        <v>539.70000000000005</v>
      </c>
      <c r="F139" s="502">
        <f>IF($D139="","",STDEVP(終値!E139:X139))</f>
        <v>26.931579975931601</v>
      </c>
      <c r="G139" s="501">
        <f>IF($D139="","",$E139+BB設定!$B$4*$F139)</f>
        <v>593.56315995186321</v>
      </c>
      <c r="H139" s="501">
        <f>IF($D139="","",$E139+BB設定!$B$5*$F139)</f>
        <v>566.63157997593169</v>
      </c>
      <c r="I139" s="501">
        <f>IF($D139="","",$E139-BB設定!$B$5*$F139)</f>
        <v>512.7684200240684</v>
      </c>
      <c r="J139" s="501">
        <f>IF($D139="","",$E139-BB設定!$B$4*$F139)</f>
        <v>485.83684004813682</v>
      </c>
      <c r="K139" s="506">
        <f t="shared" si="22"/>
        <v>0.64202657264885121</v>
      </c>
      <c r="L139" s="505">
        <f t="shared" si="23"/>
        <v>19.96040761603231</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51.271186440677958</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47.058442287596591</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1.1081538833776918</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0</v>
      </c>
      <c r="Y139" s="501">
        <f t="shared" si="26"/>
        <v>555</v>
      </c>
      <c r="Z139" s="501">
        <f t="shared" si="27"/>
        <v>566.63157997593169</v>
      </c>
      <c r="AA139" s="501">
        <f t="shared" si="28"/>
        <v>539.70000000000005</v>
      </c>
      <c r="AB139" s="501">
        <f t="shared" si="32"/>
        <v>593.56315995186321</v>
      </c>
      <c r="AC139" s="507">
        <f t="shared" si="29"/>
        <v>2.52</v>
      </c>
      <c r="AD139" s="501">
        <f>IF($D139="","",MIN(終値!E139:I139))</f>
        <v>485</v>
      </c>
      <c r="AE139" s="503">
        <f t="shared" si="30"/>
        <v>9.8610000000000003E-2</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46</v>
      </c>
      <c r="E140" s="501">
        <f>IF($D140="","",AVERAGE(終値!E140:X140))</f>
        <v>49</v>
      </c>
      <c r="F140" s="502">
        <f>IF($D140="","",STDEVP(終値!E140:X140))</f>
        <v>2.955814964652415</v>
      </c>
      <c r="G140" s="501">
        <f>IF($D140="","",$E140+BB設定!$B$4*$F140)</f>
        <v>54.91162992930483</v>
      </c>
      <c r="H140" s="501">
        <f>IF($D140="","",$E140+BB設定!$B$5*$F140)</f>
        <v>51.955814964652419</v>
      </c>
      <c r="I140" s="501">
        <f>IF($D140="","",$E140-BB設定!$B$5*$F140)</f>
        <v>46.044185035347581</v>
      </c>
      <c r="J140" s="501">
        <f>IF($D140="","",$E140-BB設定!$B$4*$F140)</f>
        <v>43.08837007069517</v>
      </c>
      <c r="K140" s="506">
        <f t="shared" si="22"/>
        <v>0.24626287201025954</v>
      </c>
      <c r="L140" s="505">
        <f t="shared" si="23"/>
        <v>24.12910175226461</v>
      </c>
      <c r="M140" s="505">
        <f>IF($D140="","",IFERROR(MIN(BB_帯幅!B140:AP140)*100,""))</f>
        <v>24.12910175226461</v>
      </c>
      <c r="N140" s="500" t="str">
        <f>IF($L140="","",IF($L140&lt;=$M140*BB設定!$B$7,"スクイーズ★",IF($L140&lt;=$M140*1.3,"収縮","－")))</f>
        <v>スクイーズ★</v>
      </c>
      <c r="O140" s="500" t="str">
        <f>IF($D140="","",IF(AND(BB_帯幅!B140&gt;BB_帯幅!C140,BB_帯幅!C140&gt;BB_帯幅!D140),"拡大↑","縮小↓"))</f>
        <v>縮小↓</v>
      </c>
      <c r="P140" s="500" t="str">
        <f t="shared" si="24"/>
        <v>-1σ下</v>
      </c>
      <c r="Q140" s="503">
        <f>IF($D140="","",IFERROR(100-100/(1+SUMPRODUCT((終値!E140:R140&gt;終値!F140:S140)*(終値!E140:R140-終値!F140:S140))/SUMPRODUCT((終値!E140:R140&lt;終値!F140:S140)*(終値!F140:S140-終値!E140:R140))),100))</f>
        <v>47.368421052631575</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36.4191803809777</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強気div▲</v>
      </c>
      <c r="T140" s="500" t="str">
        <f t="shared" si="25"/>
        <v>下walk▼</v>
      </c>
      <c r="U140" s="500" t="str">
        <f>IF(終値!A140="","",BB_スイング!BT140)</f>
        <v>－</v>
      </c>
      <c r="V140" s="508">
        <f>IF($D140="","",IFERROR(出来高!E140/AVERAGE(出来高!E140:I140),""))</f>
        <v>0.70443844320889593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☆スクイーズ監視</v>
      </c>
      <c r="X140" s="504">
        <f t="shared" si="31"/>
        <v>10</v>
      </c>
      <c r="Y140" s="501">
        <f t="shared" si="26"/>
        <v>46</v>
      </c>
      <c r="Z140" s="501">
        <f t="shared" si="27"/>
        <v>51.955814964652419</v>
      </c>
      <c r="AA140" s="501">
        <f t="shared" si="28"/>
        <v>44</v>
      </c>
      <c r="AB140" s="501">
        <f t="shared" si="32"/>
        <v>54.91162992930483</v>
      </c>
      <c r="AC140" s="507">
        <f t="shared" si="29"/>
        <v>4.46</v>
      </c>
      <c r="AD140" s="501">
        <f>IF($D140="","",MIN(終値!E140:I140))</f>
        <v>44</v>
      </c>
      <c r="AE140" s="503">
        <f t="shared" si="30"/>
        <v>10.098599999999999</v>
      </c>
    </row>
    <row r="141" spans="1:31">
      <c r="A141" s="500" t="str">
        <f>IF(終値!A141="","",HYPERLINK("https://kabutan.jp/stock/?code="&amp;終値!A141,"📈"))</f>
        <v>📈</v>
      </c>
      <c r="B141" s="500" t="str">
        <f>IF(終値!A141="","",終値!A141)</f>
        <v>6613</v>
      </c>
      <c r="C141" s="499" t="str">
        <f>IF(終値!A141="","",終値!B141)</f>
        <v>ＱＤレーザ</v>
      </c>
      <c r="D141" s="501">
        <f>IF(終値!A141="","",終値!E141)</f>
        <v>1626</v>
      </c>
      <c r="E141" s="501">
        <f>IF($D141="","",AVERAGE(終値!E141:X141))</f>
        <v>1947.8</v>
      </c>
      <c r="F141" s="502">
        <f>IF($D141="","",STDEVP(終値!E141:X141))</f>
        <v>504.41506718178039</v>
      </c>
      <c r="G141" s="501">
        <f>IF($D141="","",$E141+BB設定!$B$4*$F141)</f>
        <v>2956.6301343635605</v>
      </c>
      <c r="H141" s="501">
        <f>IF($D141="","",$E141+BB設定!$B$5*$F141)</f>
        <v>2452.2150671817803</v>
      </c>
      <c r="I141" s="501">
        <f>IF($D141="","",$E141-BB設定!$B$5*$F141)</f>
        <v>1443.3849328182196</v>
      </c>
      <c r="J141" s="501">
        <f>IF($D141="","",$E141-BB設定!$B$4*$F141)</f>
        <v>938.96986563643918</v>
      </c>
      <c r="K141" s="506">
        <f t="shared" si="22"/>
        <v>0.34050833285079585</v>
      </c>
      <c r="L141" s="505">
        <f t="shared" si="23"/>
        <v>103.58662433140576</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26.851385390428206</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40.018436561432516</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強気div▲</v>
      </c>
      <c r="T141" s="500" t="str">
        <f t="shared" si="25"/>
        <v>－</v>
      </c>
      <c r="U141" s="500" t="str">
        <f>IF(終値!A141="","",BB_スイング!BT141)</f>
        <v>－</v>
      </c>
      <c r="V141" s="508">
        <f>IF($D141="","",IFERROR(出来高!E141/AVERAGE(出来高!E141:I141),""))</f>
        <v>0.80064251065518166</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○反発(ダイバ)買</v>
      </c>
      <c r="X141" s="504">
        <f t="shared" si="31"/>
        <v>5</v>
      </c>
      <c r="Y141" s="501">
        <f t="shared" si="26"/>
        <v>1626</v>
      </c>
      <c r="Z141" s="501">
        <f t="shared" si="27"/>
        <v>2452.2150671817803</v>
      </c>
      <c r="AA141" s="501">
        <f t="shared" si="28"/>
        <v>1243</v>
      </c>
      <c r="AB141" s="501">
        <f t="shared" si="32"/>
        <v>2956.6301343635605</v>
      </c>
      <c r="AC141" s="507">
        <f t="shared" si="29"/>
        <v>3.47</v>
      </c>
      <c r="AD141" s="501">
        <f>IF($D141="","",MIN(終値!E141:I141))</f>
        <v>1243</v>
      </c>
      <c r="AE141" s="503">
        <f t="shared" si="30"/>
        <v>5.0985899999999997</v>
      </c>
    </row>
    <row r="142" spans="1:31">
      <c r="A142" s="500" t="str">
        <f>IF(終値!A142="","",HYPERLINK("https://kabutan.jp/stock/?code="&amp;終値!A142,"📈"))</f>
        <v>📈</v>
      </c>
      <c r="B142" s="500" t="str">
        <f>IF(終値!A142="","",終値!A142)</f>
        <v>4568</v>
      </c>
      <c r="C142" s="499" t="str">
        <f>IF(終値!A142="","",終値!B142)</f>
        <v>第一三共</v>
      </c>
      <c r="D142" s="501">
        <f>IF(終値!A142="","",終値!E142)</f>
        <v>2500</v>
      </c>
      <c r="E142" s="501">
        <f>IF($D142="","",AVERAGE(終値!E142:X142))</f>
        <v>2737.625</v>
      </c>
      <c r="F142" s="502">
        <f>IF($D142="","",STDEVP(終値!E142:X142))</f>
        <v>103.15799472168892</v>
      </c>
      <c r="G142" s="501">
        <f>IF($D142="","",$E142+BB設定!$B$4*$F142)</f>
        <v>2943.9409894433779</v>
      </c>
      <c r="H142" s="501">
        <f>IF($D142="","",$E142+BB設定!$B$5*$F142)</f>
        <v>2840.7829947216887</v>
      </c>
      <c r="I142" s="501">
        <f>IF($D142="","",$E142-BB設定!$B$5*$F142)</f>
        <v>2634.4670052783113</v>
      </c>
      <c r="J142" s="501">
        <f>IF($D142="","",$E142-BB設定!$B$4*$F142)</f>
        <v>2531.3090105566221</v>
      </c>
      <c r="K142" s="506">
        <f t="shared" si="22"/>
        <v>-7.5876355102411058E-2</v>
      </c>
      <c r="L142" s="505">
        <f t="shared" si="23"/>
        <v>15.072626049468274</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↓-2σ割れ</v>
      </c>
      <c r="Q142" s="503">
        <f>IF($D142="","",IFERROR(100-100/(1+SUMPRODUCT((終値!E142:R142&gt;終値!F142:S142)*(終値!E142:R142-終値!F142:S142))/SUMPRODUCT((終値!E142:R142&lt;終値!F142:S142)*(終値!F142:S142-終値!E142:R142))),100))</f>
        <v>37.173476222371065</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40.875402753387284</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下walk▼</v>
      </c>
      <c r="U142" s="500" t="str">
        <f>IF(終値!A142="","",BB_スイング!BT142)</f>
        <v>二番天井M▼</v>
      </c>
      <c r="V142" s="508">
        <f>IF($D142="","",IFERROR(出来高!E142/AVERAGE(出来高!E142:I142),""))</f>
        <v>0.8488230086397015</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2500</v>
      </c>
      <c r="Z142" s="501">
        <f t="shared" si="27"/>
        <v>2840.7829947216887</v>
      </c>
      <c r="AA142" s="501">
        <f t="shared" si="28"/>
        <v>2500</v>
      </c>
      <c r="AB142" s="501">
        <f t="shared" si="32"/>
        <v>2943.9409894433779</v>
      </c>
      <c r="AC142" s="507" t="str">
        <f t="shared" si="29"/>
        <v>－</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1786</v>
      </c>
      <c r="E143" s="501">
        <f>IF($D143="","",AVERAGE(終値!E143:X143))</f>
        <v>1718.1</v>
      </c>
      <c r="F143" s="502">
        <f>IF($D143="","",STDEVP(終値!E143:X143))</f>
        <v>270.35733761079985</v>
      </c>
      <c r="G143" s="501">
        <f>IF($D143="","",$E143+BB設定!$B$4*$F143)</f>
        <v>2258.8146752215998</v>
      </c>
      <c r="H143" s="501">
        <f>IF($D143="","",$E143+BB設定!$B$5*$F143)</f>
        <v>1988.4573376107996</v>
      </c>
      <c r="I143" s="501">
        <f>IF($D143="","",$E143-BB設定!$B$5*$F143)</f>
        <v>1447.7426623892002</v>
      </c>
      <c r="J143" s="501">
        <f>IF($D143="","",$E143-BB設定!$B$4*$F143)</f>
        <v>1177.3853247784002</v>
      </c>
      <c r="K143" s="506">
        <f t="shared" si="22"/>
        <v>0.56278727313270416</v>
      </c>
      <c r="L143" s="505">
        <f t="shared" si="23"/>
        <v>62.943329866899468</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45.610859728506789</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65.033187833304382</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弱気div▼</v>
      </c>
      <c r="T143" s="500" t="str">
        <f t="shared" si="25"/>
        <v>－</v>
      </c>
      <c r="U143" s="500" t="str">
        <f>IF(終値!A143="","",BB_スイング!BT143)</f>
        <v>－</v>
      </c>
      <c r="V143" s="508">
        <f>IF($D143="","",IFERROR(出来高!E143/AVERAGE(出来高!E143:I143),""))</f>
        <v>2.2442368868294524</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・押し目注目</v>
      </c>
      <c r="X143" s="504">
        <f t="shared" si="31"/>
        <v>35</v>
      </c>
      <c r="Y143" s="501">
        <f t="shared" si="26"/>
        <v>1786</v>
      </c>
      <c r="Z143" s="501">
        <f t="shared" si="27"/>
        <v>1988.4573376107996</v>
      </c>
      <c r="AA143" s="501">
        <f t="shared" si="28"/>
        <v>1718.1</v>
      </c>
      <c r="AB143" s="501">
        <f t="shared" si="32"/>
        <v>2258.8146752215998</v>
      </c>
      <c r="AC143" s="507">
        <f t="shared" si="29"/>
        <v>6.96</v>
      </c>
      <c r="AD143" s="501">
        <f>IF($D143="","",MIN(終値!E143:I143))</f>
        <v>1498</v>
      </c>
      <c r="AE143" s="503">
        <f t="shared" si="30"/>
        <v>35.098570000000002</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19440</v>
      </c>
      <c r="E144" s="501">
        <f>IF($D144="","",AVERAGE(終値!E144:X144))</f>
        <v>19231.052631578947</v>
      </c>
      <c r="F144" s="502">
        <f>IF($D144="","",STDEVP(終値!E144:X144))</f>
        <v>2086.2857823536469</v>
      </c>
      <c r="G144" s="501">
        <f>IF($D144="","",$E144+BB設定!$B$4*$F144)</f>
        <v>23403.62419628624</v>
      </c>
      <c r="H144" s="501">
        <f>IF($D144="","",$E144+BB設定!$B$5*$F144)</f>
        <v>21317.338413932594</v>
      </c>
      <c r="I144" s="501">
        <f>IF($D144="","",$E144-BB設定!$B$5*$F144)</f>
        <v>17144.7668492253</v>
      </c>
      <c r="J144" s="501">
        <f>IF($D144="","",$E144-BB設定!$B$4*$F144)</f>
        <v>15058.481066871653</v>
      </c>
      <c r="K144" s="506">
        <f t="shared" si="22"/>
        <v>0.52503820068520635</v>
      </c>
      <c r="L144" s="505">
        <f t="shared" si="23"/>
        <v>43.394104780885399</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48.599837662337663</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49.358546671656391</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1.0125569370922074</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19440</v>
      </c>
      <c r="Z144" s="501">
        <f t="shared" si="27"/>
        <v>21317.338413932594</v>
      </c>
      <c r="AA144" s="501">
        <f t="shared" si="28"/>
        <v>19231.052631578947</v>
      </c>
      <c r="AB144" s="501">
        <f t="shared" si="32"/>
        <v>23403.62419628624</v>
      </c>
      <c r="AC144" s="507">
        <f t="shared" si="29"/>
        <v>18.97</v>
      </c>
      <c r="AD144" s="501">
        <f>IF($D144="","",MIN(終値!E144:I144))</f>
        <v>15290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22040</v>
      </c>
      <c r="E145" s="501">
        <f>IF($D145="","",AVERAGE(終値!E145:X145))</f>
        <v>23640</v>
      </c>
      <c r="F145" s="502">
        <f>IF($D145="","",STDEVP(終値!E145:X145))</f>
        <v>2598.2243936965874</v>
      </c>
      <c r="G145" s="501">
        <f>IF($D145="","",$E145+BB設定!$B$4*$F145)</f>
        <v>28836.448787393176</v>
      </c>
      <c r="H145" s="501">
        <f>IF($D145="","",$E145+BB設定!$B$5*$F145)</f>
        <v>26238.224393696586</v>
      </c>
      <c r="I145" s="501">
        <f>IF($D145="","",$E145-BB設定!$B$5*$F145)</f>
        <v>21041.775606303414</v>
      </c>
      <c r="J145" s="501">
        <f>IF($D145="","",$E145-BB設定!$B$4*$F145)</f>
        <v>18443.551212606824</v>
      </c>
      <c r="K145" s="506">
        <f t="shared" si="22"/>
        <v>0.34604870889118799</v>
      </c>
      <c r="L145" s="505">
        <f t="shared" si="23"/>
        <v>43.963187710602163</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38.679245283018865</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36.725853110408217</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0.93844621513944226</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15</v>
      </c>
      <c r="Y145" s="501">
        <f t="shared" si="26"/>
        <v>22040</v>
      </c>
      <c r="Z145" s="501">
        <f t="shared" si="27"/>
        <v>26238.224393696586</v>
      </c>
      <c r="AA145" s="501">
        <f t="shared" si="28"/>
        <v>18450</v>
      </c>
      <c r="AB145" s="501">
        <f t="shared" si="32"/>
        <v>28836.448787393176</v>
      </c>
      <c r="AC145" s="507">
        <f t="shared" si="29"/>
        <v>1.89</v>
      </c>
      <c r="AD145" s="501">
        <f>IF($D145="","",MIN(終値!E145:I145))</f>
        <v>18450</v>
      </c>
      <c r="AE145" s="503">
        <f t="shared" si="30"/>
        <v>15.098549999999999</v>
      </c>
    </row>
    <row r="146" spans="1:31">
      <c r="A146" s="500" t="str">
        <f>IF(終値!A146="","",HYPERLINK("https://kabutan.jp/stock/?code="&amp;終値!A146,"📈"))</f>
        <v>📈</v>
      </c>
      <c r="B146" s="500" t="str">
        <f>IF(終値!A146="","",終値!A146)</f>
        <v>4888</v>
      </c>
      <c r="C146" s="499" t="str">
        <f>IF(終値!A146="","",終値!B146)</f>
        <v>ステラファーマ</v>
      </c>
      <c r="D146" s="501">
        <f>IF(終値!A146="","",終値!E146)</f>
        <v>316</v>
      </c>
      <c r="E146" s="501">
        <f>IF($D146="","",AVERAGE(終値!E146:X146))</f>
        <v>311.3</v>
      </c>
      <c r="F146" s="502">
        <f>IF($D146="","",STDEVP(終値!E146:X146))</f>
        <v>10.218121158021175</v>
      </c>
      <c r="G146" s="501">
        <f>IF($D146="","",$E146+BB設定!$B$4*$F146)</f>
        <v>331.73624231604236</v>
      </c>
      <c r="H146" s="501">
        <f>IF($D146="","",$E146+BB設定!$B$5*$F146)</f>
        <v>321.51812115802119</v>
      </c>
      <c r="I146" s="501">
        <f>IF($D146="","",$E146-BB設定!$B$5*$F146)</f>
        <v>301.08187884197883</v>
      </c>
      <c r="J146" s="501">
        <f>IF($D146="","",$E146-BB設定!$B$4*$F146)</f>
        <v>290.86375768395766</v>
      </c>
      <c r="K146" s="506">
        <f t="shared" si="22"/>
        <v>0.61499178585073122</v>
      </c>
      <c r="L146" s="505">
        <f t="shared" si="23"/>
        <v>13.129612795401446</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45.45454545454546</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44.790334506371956</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0.76926403182565073</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30</v>
      </c>
      <c r="Y146" s="501">
        <f t="shared" si="26"/>
        <v>316</v>
      </c>
      <c r="Z146" s="501">
        <f t="shared" si="27"/>
        <v>321.51812115802119</v>
      </c>
      <c r="AA146" s="501">
        <f t="shared" si="28"/>
        <v>311.3</v>
      </c>
      <c r="AB146" s="501">
        <f t="shared" si="32"/>
        <v>331.73624231604236</v>
      </c>
      <c r="AC146" s="507">
        <f t="shared" si="29"/>
        <v>3.35</v>
      </c>
      <c r="AD146" s="501">
        <f>IF($D146="","",MIN(終値!E146:I146))</f>
        <v>297</v>
      </c>
      <c r="AE146" s="503">
        <f t="shared" si="30"/>
        <v>30.09854</v>
      </c>
    </row>
    <row r="147" spans="1:31">
      <c r="A147" s="500" t="str">
        <f>IF(終値!A147="","",HYPERLINK("https://kabutan.jp/stock/?code="&amp;終値!A147,"📈"))</f>
        <v>📈</v>
      </c>
      <c r="B147" s="500" t="str">
        <f>IF(終値!A147="","",終値!A147)</f>
        <v>6387</v>
      </c>
      <c r="C147" s="499" t="str">
        <f>IF(終値!A147="","",終値!B147)</f>
        <v>サムコ</v>
      </c>
      <c r="D147" s="501">
        <f>IF(終値!A147="","",終値!E147)</f>
        <v>9350</v>
      </c>
      <c r="E147" s="501">
        <f>IF($D147="","",AVERAGE(終値!E147:X147))</f>
        <v>10374.736842105263</v>
      </c>
      <c r="F147" s="502">
        <f>IF($D147="","",STDEVP(終値!E147:X147))</f>
        <v>1747.9653387538224</v>
      </c>
      <c r="G147" s="501">
        <f>IF($D147="","",$E147+BB設定!$B$4*$F147)</f>
        <v>13870.667519612907</v>
      </c>
      <c r="H147" s="501">
        <f>IF($D147="","",$E147+BB設定!$B$5*$F147)</f>
        <v>12122.702180859085</v>
      </c>
      <c r="I147" s="501">
        <f>IF($D147="","",$E147-BB設定!$B$5*$F147)</f>
        <v>8626.7715033514414</v>
      </c>
      <c r="J147" s="501">
        <f>IF($D147="","",$E147-BB設定!$B$4*$F147)</f>
        <v>6878.8061645976186</v>
      </c>
      <c r="K147" s="506">
        <f t="shared" si="22"/>
        <v>0.35343862098034662</v>
      </c>
      <c r="L147" s="505">
        <f t="shared" si="23"/>
        <v>67.39314414838195</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43.506729719898146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43.228635039300258</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0.71317178502879075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10</v>
      </c>
      <c r="Y147" s="501">
        <f t="shared" si="26"/>
        <v>9350</v>
      </c>
      <c r="Z147" s="501">
        <f t="shared" si="27"/>
        <v>12122.702180859085</v>
      </c>
      <c r="AA147" s="501">
        <f t="shared" si="28"/>
        <v>7370</v>
      </c>
      <c r="AB147" s="501">
        <f t="shared" si="32"/>
        <v>13870.667519612907</v>
      </c>
      <c r="AC147" s="507">
        <f t="shared" si="29"/>
        <v>2.2799999999999998</v>
      </c>
      <c r="AD147" s="501">
        <f>IF($D147="","",MIN(終値!E147:I147))</f>
        <v>7370</v>
      </c>
      <c r="AE147" s="503">
        <f t="shared" si="30"/>
        <v>10.09853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1460</v>
      </c>
      <c r="E148" s="501">
        <f>IF($D148="","",AVERAGE(終値!E148:X148))</f>
        <v>1420.2</v>
      </c>
      <c r="F148" s="502">
        <f>IF($D148="","",STDEVP(終値!E148:X148))</f>
        <v>132.13954744889963</v>
      </c>
      <c r="G148" s="501">
        <f>IF($D148="","",$E148+BB設定!$B$4*$F148)</f>
        <v>1684.4790948977993</v>
      </c>
      <c r="H148" s="501">
        <f>IF($D148="","",$E148+BB設定!$B$5*$F148)</f>
        <v>1552.3395474488998</v>
      </c>
      <c r="I148" s="501">
        <f>IF($D148="","",$E148-BB設定!$B$5*$F148)</f>
        <v>1288.0604525511003</v>
      </c>
      <c r="J148" s="501">
        <f>IF($D148="","",$E148-BB設定!$B$4*$F148)</f>
        <v>1155.9209051022008</v>
      </c>
      <c r="K148" s="506">
        <f t="shared" si="22"/>
        <v>0.57529918326568963</v>
      </c>
      <c r="L148" s="505">
        <f t="shared" si="23"/>
        <v>37.217165877735425</v>
      </c>
      <c r="M148" s="505">
        <f>IF($D148="","",IFERROR(MIN(BB_帯幅!B148:AP148)*100,""))</f>
        <v>31.189909193088354</v>
      </c>
      <c r="N148" s="500" t="str">
        <f>IF($L148="","",IF($L148&lt;=$M148*BB設定!$B$7,"スクイーズ★",IF($L148&lt;=$M148*1.3,"収縮","－")))</f>
        <v>収縮</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50.268096514745302</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50.480431211228357</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0.87118754055807912</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・押し目注目</v>
      </c>
      <c r="X148" s="504">
        <f t="shared" si="31"/>
        <v>30</v>
      </c>
      <c r="Y148" s="501">
        <f t="shared" si="26"/>
        <v>1460</v>
      </c>
      <c r="Z148" s="501">
        <f t="shared" si="27"/>
        <v>1552.3395474488998</v>
      </c>
      <c r="AA148" s="501">
        <f t="shared" si="28"/>
        <v>1420.2</v>
      </c>
      <c r="AB148" s="501">
        <f t="shared" si="32"/>
        <v>1684.4790948977993</v>
      </c>
      <c r="AC148" s="507">
        <f t="shared" si="29"/>
        <v>5.64</v>
      </c>
      <c r="AD148" s="501">
        <f>IF($D148="","",MIN(終値!E148:I148))</f>
        <v>1206</v>
      </c>
      <c r="AE148" s="503">
        <f t="shared" si="30"/>
        <v>30.098520000000001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0</v>
      </c>
      <c r="E149" s="501" t="e">
        <f>IF($D149="","",AVERAGE(終値!E149:X149))</f>
        <v>#DIV/0!</v>
      </c>
      <c r="F149" s="502" t="e">
        <f>IF($D149="","",STDEVP(終値!E149:X149))</f>
        <v>#DIV/0!</v>
      </c>
      <c r="G149" s="501" t="e">
        <f>IF($D149="","",$E149+BB設定!$B$4*$F149)</f>
        <v>#DIV/0!</v>
      </c>
      <c r="H149" s="501" t="e">
        <f>IF($D149="","",$E149+BB設定!$B$5*$F149)</f>
        <v>#DIV/0!</v>
      </c>
      <c r="I149" s="501" t="e">
        <f>IF($D149="","",$E149-BB設定!$B$5*$F149)</f>
        <v>#DIV/0!</v>
      </c>
      <c r="J149" s="501" t="e">
        <f>IF($D149="","",$E149-BB設定!$B$4*$F149)</f>
        <v>#DIV/0!</v>
      </c>
      <c r="K149" s="506" t="str">
        <f t="shared" si="22"/>
        <v/>
      </c>
      <c r="L149" s="505" t="str">
        <f t="shared" si="23"/>
        <v/>
      </c>
      <c r="M149" s="505">
        <f>IF($D149="","",IFERROR(MIN(BB_帯幅!B149:AP149)*100,""))</f>
        <v>0</v>
      </c>
      <c r="N149" s="500" t="str">
        <f>IF($L149="","",IF($L149&lt;=$M149*BB設定!$B$7,"スクイーズ★",IF($L149&lt;=$M149*1.3,"収縮","－")))</f>
        <v/>
      </c>
      <c r="O149" s="500" t="str">
        <f>IF($D149="","",IF(AND(BB_帯幅!B149&gt;BB_帯幅!C149,BB_帯幅!C149&gt;BB_帯幅!D149),"拡大↑","縮小↓"))</f>
        <v>縮小↓</v>
      </c>
      <c r="P149" s="500" t="e">
        <f t="shared" si="24"/>
        <v>#DIV/0!</v>
      </c>
      <c r="Q149" s="503">
        <f>IF($D149="","",IFERROR(100-100/(1+SUMPRODUCT((終値!E149:R149&gt;終値!F149:S149)*(終値!E149:R149-終値!F149:S149))/SUMPRODUCT((終値!E149:R149&lt;終値!F149:S149)*(終値!F149:S149-終値!E149:R149))),100))</f>
        <v>100</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50</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v>
      </c>
      <c r="T149" s="500" t="e">
        <f t="shared" si="25"/>
        <v>#DIV/0!</v>
      </c>
      <c r="U149" s="500" t="str">
        <f>IF(終値!A149="","",BB_スイング!BT149)</f>
        <v>－</v>
      </c>
      <c r="V149" s="508" t="str">
        <f>IF($D149="","",IFERROR(出来高!E149/AVERAGE(出来高!E149:I149),""))</f>
        <v/>
      </c>
      <c r="W149" s="509" t="e">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#DIV/0!</v>
      </c>
      <c r="X149" s="504" t="e">
        <f t="shared" si="31"/>
        <v>#DIV/0!</v>
      </c>
      <c r="Y149" s="501">
        <f t="shared" si="26"/>
        <v>0</v>
      </c>
      <c r="Z149" s="501" t="e">
        <f t="shared" si="27"/>
        <v>#DIV/0!</v>
      </c>
      <c r="AA149" s="501" t="e">
        <f t="shared" si="28"/>
        <v>#DIV/0!</v>
      </c>
      <c r="AB149" s="501" t="e">
        <f t="shared" si="32"/>
        <v>#DIV/0!</v>
      </c>
      <c r="AC149" s="507" t="e">
        <f t="shared" si="29"/>
        <v>#DIV/0!</v>
      </c>
      <c r="AD149" s="501">
        <f>IF($D149="","",MIN(終値!E149:I149))</f>
        <v>0</v>
      </c>
      <c r="AE149" s="503" t="e">
        <f t="shared" si="30"/>
        <v>#DIV/0!</v>
      </c>
    </row>
    <row r="150" spans="1:31">
      <c r="A150" s="500" t="str">
        <f>IF(終値!A150="","",HYPERLINK("https://kabutan.jp/stock/?code="&amp;終値!A150,"📈"))</f>
        <v>📈</v>
      </c>
      <c r="B150" s="500" t="str">
        <f>IF(終値!A150="","",終値!A150)</f>
        <v>4307</v>
      </c>
      <c r="C150" s="499" t="str">
        <f>IF(終値!A150="","",終値!B150)</f>
        <v>野村総合研究所</v>
      </c>
      <c r="D150" s="501">
        <f>IF(終値!A150="","",終値!E150)</f>
        <v>4627</v>
      </c>
      <c r="E150" s="501">
        <f>IF($D150="","",AVERAGE(終値!E150:X150))</f>
        <v>5044.1499999999996</v>
      </c>
      <c r="F150" s="502">
        <f>IF($D150="","",STDEVP(終値!E150:X150))</f>
        <v>236.10744905656836</v>
      </c>
      <c r="G150" s="501">
        <f>IF($D150="","",$E150+BB設定!$B$4*$F150)</f>
        <v>5516.3648981131364</v>
      </c>
      <c r="H150" s="501">
        <f>IF($D150="","",$E150+BB設定!$B$5*$F150)</f>
        <v>5280.2574490565676</v>
      </c>
      <c r="I150" s="501">
        <f>IF($D150="","",$E150-BB設定!$B$5*$F150)</f>
        <v>4808.0425509434317</v>
      </c>
      <c r="J150" s="501">
        <f>IF($D150="","",$E150-BB設定!$B$4*$F150)</f>
        <v>4571.9351018868629</v>
      </c>
      <c r="K150" s="506">
        <f t="shared" si="22"/>
        <v>5.8304914068958782E-2</v>
      </c>
      <c r="L150" s="505">
        <f t="shared" si="23"/>
        <v>18.723269455235741</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-1σ下</v>
      </c>
      <c r="Q150" s="503">
        <f>IF($D150="","",IFERROR(100-100/(1+SUMPRODUCT((終値!E150:R150&gt;終値!F150:S150)*(終値!E150:R150-終値!F150:S150))/SUMPRODUCT((終値!E150:R150&lt;終値!F150:S150)*(終値!F150:S150-終値!E150:R150))),100))</f>
        <v>40.465116279069768</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54.571962669184877</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下walk▼</v>
      </c>
      <c r="U150" s="500" t="str">
        <f>IF(終値!A150="","",BB_スイング!BT150)</f>
        <v>－</v>
      </c>
      <c r="V150" s="508">
        <f>IF($D150="","",IFERROR(出来高!E150/AVERAGE(出来高!E150:I150),""))</f>
        <v>0.81726152119234208</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0</v>
      </c>
      <c r="Y150" s="501">
        <f t="shared" si="26"/>
        <v>4627</v>
      </c>
      <c r="Z150" s="501">
        <f t="shared" si="27"/>
        <v>5280.2574490565676</v>
      </c>
      <c r="AA150" s="501">
        <f t="shared" si="28"/>
        <v>4627</v>
      </c>
      <c r="AB150" s="501">
        <f t="shared" si="32"/>
        <v>5516.3648981131364</v>
      </c>
      <c r="AC150" s="507" t="str">
        <f t="shared" si="29"/>
        <v>－</v>
      </c>
      <c r="AD150" s="501">
        <f>IF($D150="","",MIN(終値!E150:I150))</f>
        <v>4627</v>
      </c>
      <c r="AE150" s="503">
        <f t="shared" si="30"/>
        <v>9.8500000000000004E-2</v>
      </c>
    </row>
    <row r="151" spans="1:31">
      <c r="A151" s="500" t="str">
        <f>IF(終値!A151="","",HYPERLINK("https://kabutan.jp/stock/?code="&amp;終値!A151,"📈"))</f>
        <v>📈</v>
      </c>
      <c r="B151" s="500" t="str">
        <f>IF(終値!A151="","",終値!A151)</f>
        <v>6516</v>
      </c>
      <c r="C151" s="499" t="str">
        <f>IF(終値!A151="","",終値!B151)</f>
        <v>山洋電気</v>
      </c>
      <c r="D151" s="501">
        <f>IF(終値!A151="","",終値!E151)</f>
        <v>5640</v>
      </c>
      <c r="E151" s="501">
        <f>IF($D151="","",AVERAGE(終値!E151:X151))</f>
        <v>5735.2631578947367</v>
      </c>
      <c r="F151" s="502">
        <f>IF($D151="","",STDEVP(終値!E151:X151))</f>
        <v>305.96471108958457</v>
      </c>
      <c r="G151" s="501">
        <f>IF($D151="","",$E151+BB設定!$B$4*$F151)</f>
        <v>6347.1925800739054</v>
      </c>
      <c r="H151" s="501">
        <f>IF($D151="","",$E151+BB設定!$B$5*$F151)</f>
        <v>6041.2278689843215</v>
      </c>
      <c r="I151" s="501">
        <f>IF($D151="","",$E151-BB設定!$B$5*$F151)</f>
        <v>5429.2984468051518</v>
      </c>
      <c r="J151" s="501">
        <f>IF($D151="","",$E151-BB設定!$B$4*$F151)</f>
        <v>5123.3337357155679</v>
      </c>
      <c r="K151" s="506">
        <f t="shared" si="22"/>
        <v>0.4221616460641075</v>
      </c>
      <c r="L151" s="505">
        <f t="shared" si="23"/>
        <v>21.339192477570354</v>
      </c>
      <c r="M151" s="505">
        <f>IF($D151="","",IFERROR(MIN(BB_帯幅!B151:AP151)*100,""))</f>
        <v>14.932773582594619</v>
      </c>
      <c r="N151" s="500" t="str">
        <f>IF($L151="","",IF($L151&lt;=$M151*BB設定!$B$7,"スクイーズ★",IF($L151&lt;=$M151*1.3,"収縮","－")))</f>
        <v>－</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48.895434462444769</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67.952487902698806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強気div▲</v>
      </c>
      <c r="T151" s="500" t="str">
        <f t="shared" si="25"/>
        <v>－</v>
      </c>
      <c r="U151" s="500" t="str">
        <f>IF(終値!A151="","",BB_スイング!BT151)</f>
        <v>－</v>
      </c>
      <c r="V151" s="508">
        <f>IF($D151="","",IFERROR(出来高!E151/AVERAGE(出来高!E151:I151),""))</f>
        <v>0.29785585120123997</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○反発(ダイバ)買</v>
      </c>
      <c r="X151" s="504">
        <f t="shared" si="31"/>
        <v>20</v>
      </c>
      <c r="Y151" s="501">
        <f t="shared" si="26"/>
        <v>5640</v>
      </c>
      <c r="Z151" s="501">
        <f t="shared" si="27"/>
        <v>6041.2278689843215</v>
      </c>
      <c r="AA151" s="501">
        <f t="shared" si="28"/>
        <v>5140</v>
      </c>
      <c r="AB151" s="501">
        <f t="shared" si="32"/>
        <v>6347.1925800739054</v>
      </c>
      <c r="AC151" s="507">
        <f t="shared" si="29"/>
        <v>1.41</v>
      </c>
      <c r="AD151" s="501">
        <f>IF($D151="","",MIN(終値!E151:I151))</f>
        <v>5140</v>
      </c>
      <c r="AE151" s="503">
        <f t="shared" si="30"/>
        <v>20.098490000000002</v>
      </c>
    </row>
    <row r="152" spans="1:31">
      <c r="A152" s="500" t="str">
        <f>IF(終値!A152="","",HYPERLINK("https://kabutan.jp/stock/?code="&amp;終値!A152,"📈"))</f>
        <v>📈</v>
      </c>
      <c r="B152" s="500" t="str">
        <f>IF(終値!A152="","",終値!A152)</f>
        <v>7381</v>
      </c>
      <c r="C152" s="499" t="str">
        <f>IF(終値!A152="","",終値!B152)</f>
        <v>ＣＣＩグループ</v>
      </c>
      <c r="D152" s="501">
        <f>IF(終値!A152="","",終値!E152)</f>
        <v>1125</v>
      </c>
      <c r="E152" s="501">
        <f>IF($D152="","",AVERAGE(終値!E152:X152))</f>
        <v>1103.45</v>
      </c>
      <c r="F152" s="502">
        <f>IF($D152="","",STDEVP(終値!E152:X152))</f>
        <v>46.553705545316156</v>
      </c>
      <c r="G152" s="501">
        <f>IF($D152="","",$E152+BB設定!$B$4*$F152)</f>
        <v>1196.5574110906323</v>
      </c>
      <c r="H152" s="501">
        <f>IF($D152="","",$E152+BB設定!$B$5*$F152)</f>
        <v>1150.0037055453163</v>
      </c>
      <c r="I152" s="501">
        <f>IF($D152="","",$E152-BB設定!$B$5*$F152)</f>
        <v>1056.8962944546838</v>
      </c>
      <c r="J152" s="501">
        <f>IF($D152="","",$E152-BB設定!$B$4*$F152)</f>
        <v>1010.3425889093677</v>
      </c>
      <c r="K152" s="506">
        <f t="shared" si="22"/>
        <v>0.61572655574658219</v>
      </c>
      <c r="L152" s="505">
        <f t="shared" si="23"/>
        <v>16.875691891908524</v>
      </c>
      <c r="M152" s="505">
        <f>IF($D152="","",IFERROR(MIN(BB_帯幅!B152:AP152)*100,""))</f>
        <v>6.3359659388509311</v>
      </c>
      <c r="N152" s="500" t="str">
        <f>IF($L152="","",IF($L152&lt;=$M152*BB設定!$B$7,"スクイーズ★",IF($L152&lt;=$M152*1.3,"収縮","－")))</f>
        <v>－</v>
      </c>
      <c r="O152" s="500" t="str">
        <f>IF($D152="","",IF(AND(BB_帯幅!B152&gt;BB_帯幅!C152,BB_帯幅!C152&gt;BB_帯幅!D152),"拡大↑","縮小↓"))</f>
        <v>縮小↓</v>
      </c>
      <c r="P152" s="500" t="str">
        <f t="shared" si="24"/>
        <v>バンド内</v>
      </c>
      <c r="Q152" s="503">
        <f>IF($D152="","",IFERROR(100-100/(1+SUMPRODUCT((終値!E152:R152&gt;終値!F152:S152)*(終値!E152:R152-終値!F152:S152))/SUMPRODUCT((終値!E152:R152&lt;終値!F152:S152)*(終値!F152:S152-終値!E152:R152))),100))</f>
        <v>59.219088937093275</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59.493798656847893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v>
      </c>
      <c r="T152" s="500" t="str">
        <f t="shared" si="25"/>
        <v>－</v>
      </c>
      <c r="U152" s="500" t="str">
        <f>IF(終値!A152="","",BB_スイング!BT152)</f>
        <v>二番天井M▼</v>
      </c>
      <c r="V152" s="508">
        <f>IF($D152="","",IFERROR(出来高!E152/AVERAGE(出来高!E152:I152),""))</f>
        <v>0.67841362215756007</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▼二番天井警戒</v>
      </c>
      <c r="X152" s="504">
        <f t="shared" si="31"/>
        <v>5</v>
      </c>
      <c r="Y152" s="501">
        <f t="shared" si="26"/>
        <v>1125</v>
      </c>
      <c r="Z152" s="501">
        <f t="shared" si="27"/>
        <v>1150.0037055453163</v>
      </c>
      <c r="AA152" s="501">
        <f t="shared" si="28"/>
        <v>1103.45</v>
      </c>
      <c r="AB152" s="501">
        <f t="shared" si="32"/>
        <v>1196.5574110906323</v>
      </c>
      <c r="AC152" s="507">
        <f t="shared" si="29"/>
        <v>3.32</v>
      </c>
      <c r="AD152" s="501">
        <f>IF($D152="","",MIN(終値!E152:I152))</f>
        <v>1064</v>
      </c>
      <c r="AE152" s="503">
        <f t="shared" si="30"/>
        <v>5.0984800000000003</v>
      </c>
    </row>
    <row r="153" spans="1:31" ht="24">
      <c r="A153" s="500" t="str">
        <f>IF(終値!A153="","",HYPERLINK("https://kabutan.jp/stock/?code="&amp;終値!A153,"📈"))</f>
        <v>📈</v>
      </c>
      <c r="B153" s="500" t="str">
        <f>IF(終値!A153="","",終値!A153)</f>
        <v>4417</v>
      </c>
      <c r="C153" s="499" t="str">
        <f>IF(終値!A153="","",終値!B153)</f>
        <v>グローバルセキュ</v>
      </c>
      <c r="D153" s="501">
        <f>IF(終値!A153="","",終値!E153)</f>
        <v>4190</v>
      </c>
      <c r="E153" s="501">
        <f>IF($D153="","",AVERAGE(終値!E153:X153))</f>
        <v>4252.5</v>
      </c>
      <c r="F153" s="502">
        <f>IF($D153="","",STDEVP(終値!E153:X153))</f>
        <v>200.2279950456479</v>
      </c>
      <c r="G153" s="501">
        <f>IF($D153="","",$E153+BB設定!$B$4*$F153)</f>
        <v>4652.9559900912955</v>
      </c>
      <c r="H153" s="501">
        <f>IF($D153="","",$E153+BB設定!$B$5*$F153)</f>
        <v>4452.7279950456477</v>
      </c>
      <c r="I153" s="501">
        <f>IF($D153="","",$E153-BB設定!$B$5*$F153)</f>
        <v>4052.2720049543523</v>
      </c>
      <c r="J153" s="501">
        <f>IF($D153="","",$E153-BB設定!$B$4*$F153)</f>
        <v>3852.0440099087041</v>
      </c>
      <c r="K153" s="506">
        <f t="shared" si="22"/>
        <v>0.42196395915347518</v>
      </c>
      <c r="L153" s="505">
        <f t="shared" si="23"/>
        <v>18.833908999002738</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バンド内</v>
      </c>
      <c r="Q153" s="503">
        <f>IF($D153="","",IFERROR(100-100/(1+SUMPRODUCT((終値!E153:R153&gt;終値!F153:S153)*(終値!E153:R153-終値!F153:S153))/SUMPRODUCT((終値!E153:R153&lt;終値!F153:S153)*(終値!F153:S153-終値!E153:R153))),100))</f>
        <v>56.666666666666664</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57.616941654811789</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v>
      </c>
      <c r="T153" s="500" t="str">
        <f t="shared" si="25"/>
        <v>－</v>
      </c>
      <c r="U153" s="500" t="str">
        <f>IF(終値!A153="","",BB_スイング!BT153)</f>
        <v>二番天井M形成</v>
      </c>
      <c r="V153" s="508">
        <f>IF($D153="","",IFERROR(出来高!E153/AVERAGE(出来高!E153:I153),""))</f>
        <v>0.79994585814834862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▼二番天井警戒</v>
      </c>
      <c r="X153" s="504">
        <f t="shared" si="31"/>
        <v>0</v>
      </c>
      <c r="Y153" s="501">
        <f t="shared" si="26"/>
        <v>4190</v>
      </c>
      <c r="Z153" s="501">
        <f t="shared" si="27"/>
        <v>4452.7279950456477</v>
      </c>
      <c r="AA153" s="501">
        <f t="shared" si="28"/>
        <v>4190</v>
      </c>
      <c r="AB153" s="501">
        <f t="shared" si="32"/>
        <v>4652.9559900912955</v>
      </c>
      <c r="AC153" s="507" t="str">
        <f t="shared" si="29"/>
        <v>－</v>
      </c>
      <c r="AD153" s="501">
        <f>IF($D153="","",MIN(終値!E153:I153))</f>
        <v>4190</v>
      </c>
      <c r="AE153" s="503">
        <f t="shared" si="30"/>
        <v>9.8470000000000002E-2</v>
      </c>
    </row>
    <row r="154" spans="1:31">
      <c r="A154" s="500" t="str">
        <f>IF(終値!A154="","",HYPERLINK("https://kabutan.jp/stock/?code="&amp;終値!A154,"📈"))</f>
        <v>📈</v>
      </c>
      <c r="B154" s="500" t="str">
        <f>IF(終値!A154="","",終値!A154)</f>
        <v>6981</v>
      </c>
      <c r="C154" s="499" t="str">
        <f>IF(終値!A154="","",終値!B154)</f>
        <v>村田製作所</v>
      </c>
      <c r="D154" s="501">
        <f>IF(終値!A154="","",終値!E154)</f>
        <v>7129</v>
      </c>
      <c r="E154" s="501">
        <f>IF($D154="","",AVERAGE(終値!E154:X154))</f>
        <v>8274.85</v>
      </c>
      <c r="F154" s="502">
        <f>IF($D154="","",STDEVP(終値!E154:X154))</f>
        <v>1096.7869107078184</v>
      </c>
      <c r="G154" s="501">
        <f>IF($D154="","",$E154+BB設定!$B$4*$F154)</f>
        <v>10468.423821415638</v>
      </c>
      <c r="H154" s="501">
        <f>IF($D154="","",$E154+BB設定!$B$5*$F154)</f>
        <v>9371.636910707819</v>
      </c>
      <c r="I154" s="501">
        <f>IF($D154="","",$E154-BB設定!$B$5*$F154)</f>
        <v>7178.0630892921818</v>
      </c>
      <c r="J154" s="501">
        <f>IF($D154="","",$E154-BB設定!$B$4*$F154)</f>
        <v>6081.2761785843632</v>
      </c>
      <c r="K154" s="506">
        <f t="shared" si="22"/>
        <v>0.23881663137725664</v>
      </c>
      <c r="L154" s="505">
        <f t="shared" si="23"/>
        <v>53.017850992238827</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-1σ下</v>
      </c>
      <c r="Q154" s="503">
        <f>IF($D154="","",IFERROR(100-100/(1+SUMPRODUCT((終値!E154:R154&gt;終値!F154:S154)*(終値!E154:R154-終値!F154:S154))/SUMPRODUCT((終値!E154:R154&lt;終値!F154:S154)*(終値!F154:S154-終値!E154:R154))),100))</f>
        <v>34.346209794730882</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39.173021125708573</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下walk▼</v>
      </c>
      <c r="U154" s="500" t="str">
        <f>IF(終値!A154="","",BB_スイング!BT154)</f>
        <v>－</v>
      </c>
      <c r="V154" s="508">
        <f>IF($D154="","",IFERROR(出来高!E154/AVERAGE(出来高!E154:I154),""))</f>
        <v>0.83615817121688785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様子見</v>
      </c>
      <c r="X154" s="504">
        <f t="shared" si="31"/>
        <v>0</v>
      </c>
      <c r="Y154" s="501">
        <f t="shared" si="26"/>
        <v>7129</v>
      </c>
      <c r="Z154" s="501">
        <f t="shared" si="27"/>
        <v>9371.636910707819</v>
      </c>
      <c r="AA154" s="501">
        <f t="shared" si="28"/>
        <v>6231</v>
      </c>
      <c r="AB154" s="501">
        <f t="shared" si="32"/>
        <v>10468.423821415638</v>
      </c>
      <c r="AC154" s="507">
        <f t="shared" si="29"/>
        <v>3.72</v>
      </c>
      <c r="AD154" s="501">
        <f>IF($D154="","",MIN(終値!E154:I154))</f>
        <v>6231</v>
      </c>
      <c r="AE154" s="503">
        <f t="shared" si="30"/>
        <v>9.8460000000000006E-2</v>
      </c>
    </row>
    <row r="155" spans="1:31">
      <c r="A155" s="500" t="str">
        <f>IF(終値!A155="","",HYPERLINK("https://kabutan.jp/stock/?code="&amp;終値!A155,"📈"))</f>
        <v>📈</v>
      </c>
      <c r="B155" s="500" t="str">
        <f>IF(終値!A155="","",終値!A155)</f>
        <v>6754</v>
      </c>
      <c r="C155" s="499" t="str">
        <f>IF(終値!A155="","",終値!B155)</f>
        <v>アンリツ</v>
      </c>
      <c r="D155" s="501">
        <f>IF(終値!A155="","",終値!E155)</f>
        <v>3613</v>
      </c>
      <c r="E155" s="501">
        <f>IF($D155="","",AVERAGE(終値!E155:X155))</f>
        <v>3866.1578947368421</v>
      </c>
      <c r="F155" s="502">
        <f>IF($D155="","",STDEVP(終値!E155:X155))</f>
        <v>250.44891550928784</v>
      </c>
      <c r="G155" s="501">
        <f>IF($D155="","",$E155+BB設定!$B$4*$F155)</f>
        <v>4367.0557257554174</v>
      </c>
      <c r="H155" s="501">
        <f>IF($D155="","",$E155+BB設定!$B$5*$F155)</f>
        <v>4116.6068102461295</v>
      </c>
      <c r="I155" s="501">
        <f>IF($D155="","",$E155-BB設定!$B$5*$F155)</f>
        <v>3615.7089792275542</v>
      </c>
      <c r="J155" s="501">
        <f>IF($D155="","",$E155-BB設定!$B$4*$F155)</f>
        <v>3365.2600637182663</v>
      </c>
      <c r="K155" s="506">
        <f t="shared" si="22"/>
        <v>0.2472958764644225</v>
      </c>
      <c r="L155" s="505">
        <f t="shared" si="23"/>
        <v>25.911917963850783</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47.701511335012597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67.379633100992777</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0.66189060457007654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0</v>
      </c>
      <c r="Y155" s="501">
        <f t="shared" si="26"/>
        <v>3613</v>
      </c>
      <c r="Z155" s="501">
        <f t="shared" si="27"/>
        <v>4116.6068102461295</v>
      </c>
      <c r="AA155" s="501">
        <f t="shared" si="28"/>
        <v>3438</v>
      </c>
      <c r="AB155" s="501">
        <f t="shared" si="32"/>
        <v>4367.0557257554174</v>
      </c>
      <c r="AC155" s="507">
        <f t="shared" si="29"/>
        <v>4.3099999999999996</v>
      </c>
      <c r="AD155" s="501">
        <f>IF($D155="","",MIN(終値!E155:I155))</f>
        <v>3438</v>
      </c>
      <c r="AE155" s="503">
        <f t="shared" si="30"/>
        <v>9.8449999999999996E-2</v>
      </c>
    </row>
    <row r="156" spans="1:31">
      <c r="A156" s="500" t="str">
        <f>IF(終値!A156="","",HYPERLINK("https://kabutan.jp/stock/?code="&amp;終値!A156,"📈"))</f>
        <v>📈</v>
      </c>
      <c r="B156" s="500" t="str">
        <f>IF(終値!A156="","",終値!A156)</f>
        <v>4088</v>
      </c>
      <c r="C156" s="499" t="str">
        <f>IF(終値!A156="","",終値!B156)</f>
        <v>エア・ウォーター</v>
      </c>
      <c r="D156" s="501">
        <f>IF(終値!A156="","",終値!E156)</f>
        <v>2543</v>
      </c>
      <c r="E156" s="501">
        <f>IF($D156="","",AVERAGE(終値!E156:X156))</f>
        <v>2590.75</v>
      </c>
      <c r="F156" s="502">
        <f>IF($D156="","",STDEVP(終値!E156:X156))</f>
        <v>65.01990079967824</v>
      </c>
      <c r="G156" s="501">
        <f>IF($D156="","",$E156+BB設定!$B$4*$F156)</f>
        <v>2720.7898015993565</v>
      </c>
      <c r="H156" s="501">
        <f>IF($D156="","",$E156+BB設定!$B$5*$F156)</f>
        <v>2655.7699007996785</v>
      </c>
      <c r="I156" s="501">
        <f>IF($D156="","",$E156-BB設定!$B$5*$F156)</f>
        <v>2525.7300992003215</v>
      </c>
      <c r="J156" s="501">
        <f>IF($D156="","",$E156-BB設定!$B$4*$F156)</f>
        <v>2460.7101984006435</v>
      </c>
      <c r="K156" s="506">
        <f t="shared" si="22"/>
        <v>0.31640236522693871</v>
      </c>
      <c r="L156" s="505">
        <f t="shared" si="23"/>
        <v>10.0387765395624</v>
      </c>
      <c r="M156" s="505">
        <f>IF($D156="","",IFERROR(MIN(BB_帯幅!B156:AP156)*100,""))</f>
        <v>8.9932672255682959</v>
      </c>
      <c r="N156" s="500" t="str">
        <f>IF($L156="","",IF($L156&lt;=$M156*BB設定!$B$7,"スクイーズ★",IF($L156&lt;=$M156*1.3,"収縮","－")))</f>
        <v>収縮</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52.755905511811022</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58.711737953399009</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強気div▲</v>
      </c>
      <c r="T156" s="500" t="str">
        <f t="shared" si="25"/>
        <v>－</v>
      </c>
      <c r="U156" s="500" t="str">
        <f>IF(終値!A156="","",BB_スイング!BT156)</f>
        <v>二番底W形成</v>
      </c>
      <c r="V156" s="508">
        <f>IF($D156="","",IFERROR(出来高!E156/AVERAGE(出来高!E156:I156),""))</f>
        <v>1.3784654059626873</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○反発(ダイバ)買</v>
      </c>
      <c r="X156" s="504">
        <f t="shared" si="31"/>
        <v>40</v>
      </c>
      <c r="Y156" s="501">
        <f t="shared" si="26"/>
        <v>2543</v>
      </c>
      <c r="Z156" s="501">
        <f t="shared" si="27"/>
        <v>2655.7699007996785</v>
      </c>
      <c r="AA156" s="501">
        <f t="shared" si="28"/>
        <v>2517</v>
      </c>
      <c r="AB156" s="501">
        <f t="shared" si="32"/>
        <v>2720.7898015993565</v>
      </c>
      <c r="AC156" s="507">
        <f t="shared" si="29"/>
        <v>6.84</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5772</v>
      </c>
      <c r="E157" s="501">
        <f>IF($D157="","",AVERAGE(終値!E157:X157))</f>
        <v>5988</v>
      </c>
      <c r="F157" s="502">
        <f>IF($D157="","",STDEVP(終値!E157:X157))</f>
        <v>166.18754465964048</v>
      </c>
      <c r="G157" s="501">
        <f>IF($D157="","",$E157+BB設定!$B$4*$F157)</f>
        <v>6320.375089319281</v>
      </c>
      <c r="H157" s="501">
        <f>IF($D157="","",$E157+BB設定!$B$5*$F157)</f>
        <v>6154.1875446596405</v>
      </c>
      <c r="I157" s="501">
        <f>IF($D157="","",$E157-BB設定!$B$5*$F157)</f>
        <v>5821.8124553403595</v>
      </c>
      <c r="J157" s="501">
        <f>IF($D157="","",$E157-BB設定!$B$4*$F157)</f>
        <v>5655.624910680719</v>
      </c>
      <c r="K157" s="506">
        <f t="shared" si="22"/>
        <v>0.17506590153555482</v>
      </c>
      <c r="L157" s="505">
        <f t="shared" si="23"/>
        <v>11.101372388753539</v>
      </c>
      <c r="M157" s="505">
        <f>IF($D157="","",IFERROR(MIN(BB_帯幅!B157:AP157)*100,""))</f>
        <v>7.958346857231918</v>
      </c>
      <c r="N157" s="500" t="str">
        <f>IF($L157="","",IF($L157&lt;=$M157*BB設定!$B$7,"スクイーズ★",IF($L157&lt;=$M157*1.3,"収縮","－")))</f>
        <v>－</v>
      </c>
      <c r="O157" s="500" t="str">
        <f>IF($D157="","",IF(AND(BB_帯幅!B157&gt;BB_帯幅!C157,BB_帯幅!C157&gt;BB_帯幅!D157),"拡大↑","縮小↓"))</f>
        <v>縮小↓</v>
      </c>
      <c r="P157" s="500" t="str">
        <f t="shared" si="24"/>
        <v>-1σ下</v>
      </c>
      <c r="Q157" s="503">
        <f>IF($D157="","",IFERROR(100-100/(1+SUMPRODUCT((終値!E157:R157&gt;終値!F157:S157)*(終値!E157:R157-終値!F157:S157))/SUMPRODUCT((終値!E157:R157&lt;終値!F157:S157)*(終値!F157:S157-終値!E157:R157))),100))</f>
        <v>37.783595113438047</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33.408709150163162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下walk▼</v>
      </c>
      <c r="U157" s="500" t="str">
        <f>IF(終値!A157="","",BB_スイング!BT157)</f>
        <v>二番底W形成</v>
      </c>
      <c r="V157" s="508">
        <f>IF($D157="","",IFERROR(出来高!E157/AVERAGE(出来高!E157:I157),""))</f>
        <v>0.63780198705484381</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0</v>
      </c>
      <c r="Y157" s="501">
        <f t="shared" si="26"/>
        <v>5772</v>
      </c>
      <c r="Z157" s="501">
        <f t="shared" si="27"/>
        <v>6154.1875446596405</v>
      </c>
      <c r="AA157" s="501">
        <f t="shared" si="28"/>
        <v>5656</v>
      </c>
      <c r="AB157" s="501">
        <f t="shared" si="32"/>
        <v>6320.375089319281</v>
      </c>
      <c r="AC157" s="507">
        <f t="shared" si="29"/>
        <v>4.7300000000000004</v>
      </c>
      <c r="AD157" s="501">
        <f>IF($D157="","",MIN(終値!E157:I157))</f>
        <v>5656</v>
      </c>
      <c r="AE157" s="503">
        <f t="shared" si="30"/>
        <v>9.8430000000000004E-2</v>
      </c>
    </row>
    <row r="158" spans="1:31">
      <c r="A158" s="500" t="str">
        <f>IF(終値!A158="","",HYPERLINK("https://kabutan.jp/stock/?code="&amp;終値!A158,"📈"))</f>
        <v>📈</v>
      </c>
      <c r="B158" s="500" t="str">
        <f>IF(終値!A158="","",終値!A158)</f>
        <v>6857</v>
      </c>
      <c r="C158" s="499" t="str">
        <f>IF(終値!A158="","",終値!B158)</f>
        <v>アドバンテスト</v>
      </c>
      <c r="D158" s="501">
        <f>IF(終値!A158="","",終値!E158)</f>
        <v>31000</v>
      </c>
      <c r="E158" s="501">
        <f>IF($D158="","",AVERAGE(終値!E158:X158))</f>
        <v>29176.25</v>
      </c>
      <c r="F158" s="502">
        <f>IF($D158="","",STDEVP(終値!E158:X158))</f>
        <v>1816.3616620871517</v>
      </c>
      <c r="G158" s="501">
        <f>IF($D158="","",$E158+BB設定!$B$4*$F158)</f>
        <v>32808.973324174302</v>
      </c>
      <c r="H158" s="501">
        <f>IF($D158="","",$E158+BB設定!$B$5*$F158)</f>
        <v>30992.611662087151</v>
      </c>
      <c r="I158" s="501">
        <f>IF($D158="","",$E158-BB設定!$B$5*$F158)</f>
        <v>27359.888337912849</v>
      </c>
      <c r="J158" s="501">
        <f>IF($D158="","",$E158-BB設定!$B$4*$F158)</f>
        <v>25543.526675825698</v>
      </c>
      <c r="K158" s="506">
        <f t="shared" si="22"/>
        <v>0.75101691448171715</v>
      </c>
      <c r="L158" s="505">
        <f t="shared" si="23"/>
        <v>24.901920734668106</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54.452614379084963</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52.79820327133254</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0.7238615401309364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27</v>
      </c>
      <c r="Y158" s="501">
        <f t="shared" si="26"/>
        <v>31000</v>
      </c>
      <c r="Z158" s="501">
        <f t="shared" si="27"/>
        <v>30992.611662087151</v>
      </c>
      <c r="AA158" s="501">
        <f t="shared" si="28"/>
        <v>29176.25</v>
      </c>
      <c r="AB158" s="501">
        <f t="shared" si="32"/>
        <v>32808.973324174302</v>
      </c>
      <c r="AC158" s="507">
        <f t="shared" si="29"/>
        <v>0.99</v>
      </c>
      <c r="AD158" s="501">
        <f>IF($D158="","",MIN(終値!E158:I158))</f>
        <v>25200</v>
      </c>
      <c r="AE158" s="503">
        <f t="shared" si="30"/>
        <v>27.098420000000001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6800</v>
      </c>
      <c r="E159" s="501">
        <f>IF($D159="","",AVERAGE(終値!E159:X159))</f>
        <v>7197.5</v>
      </c>
      <c r="F159" s="502">
        <f>IF($D159="","",STDEVP(終値!E159:X159))</f>
        <v>792.3249017921878</v>
      </c>
      <c r="G159" s="501">
        <f>IF($D159="","",$E159+BB設定!$B$4*$F159)</f>
        <v>8782.1498035843761</v>
      </c>
      <c r="H159" s="501">
        <f>IF($D159="","",$E159+BB設定!$B$5*$F159)</f>
        <v>7989.824901792188</v>
      </c>
      <c r="I159" s="501">
        <f>IF($D159="","",$E159-BB設定!$B$5*$F159)</f>
        <v>6405.175098207812</v>
      </c>
      <c r="J159" s="501">
        <f>IF($D159="","",$E159-BB設定!$B$4*$F159)</f>
        <v>5612.8501964156239</v>
      </c>
      <c r="K159" s="506">
        <f t="shared" si="22"/>
        <v>0.37457796697387635</v>
      </c>
      <c r="L159" s="505">
        <f t="shared" si="23"/>
        <v>44.033339453542922</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42.293233082706763</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66.55543595711022</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0.80939674567048603</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20</v>
      </c>
      <c r="Y159" s="501">
        <f t="shared" si="26"/>
        <v>6800</v>
      </c>
      <c r="Z159" s="501">
        <f t="shared" si="27"/>
        <v>7989.824901792188</v>
      </c>
      <c r="AA159" s="501">
        <f t="shared" si="28"/>
        <v>5440</v>
      </c>
      <c r="AB159" s="501">
        <f t="shared" si="32"/>
        <v>8782.1498035843761</v>
      </c>
      <c r="AC159" s="507">
        <f t="shared" si="29"/>
        <v>1.46</v>
      </c>
      <c r="AD159" s="501">
        <f>IF($D159="","",MIN(終値!E159:I159))</f>
        <v>5440</v>
      </c>
      <c r="AE159" s="503">
        <f t="shared" si="30"/>
        <v>20.098410000000001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1078</v>
      </c>
      <c r="E160" s="501">
        <f>IF($D160="","",AVERAGE(終値!E160:X160))</f>
        <v>1078.2</v>
      </c>
      <c r="F160" s="502">
        <f>IF($D160="","",STDEVP(終値!E160:X160))</f>
        <v>47.45060589707996</v>
      </c>
      <c r="G160" s="501">
        <f>IF($D160="","",$E160+BB設定!$B$4*$F160)</f>
        <v>1173.10121179416</v>
      </c>
      <c r="H160" s="501">
        <f>IF($D160="","",$E160+BB設定!$B$5*$F160)</f>
        <v>1125.6506058970799</v>
      </c>
      <c r="I160" s="501">
        <f>IF($D160="","",$E160-BB設定!$B$5*$F160)</f>
        <v>1030.7493941029202</v>
      </c>
      <c r="J160" s="501">
        <f>IF($D160="","",$E160-BB設定!$B$4*$F160)</f>
        <v>983.29878820584008</v>
      </c>
      <c r="K160" s="506">
        <f t="shared" si="22"/>
        <v>0.49894627267545411</v>
      </c>
      <c r="L160" s="505">
        <f t="shared" si="23"/>
        <v>17.603637876861427</v>
      </c>
      <c r="M160" s="505">
        <f>IF($D160="","",IFERROR(MIN(BB_帯幅!B160:AP160)*100,""))</f>
        <v>17.60363787686142</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56.164383561643838</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64.319375721220879</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0.80017772412521171</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30</v>
      </c>
      <c r="Y160" s="501">
        <f t="shared" si="26"/>
        <v>1078</v>
      </c>
      <c r="Z160" s="501">
        <f t="shared" si="27"/>
        <v>1125.6506058970799</v>
      </c>
      <c r="AA160" s="501">
        <f t="shared" si="28"/>
        <v>1078</v>
      </c>
      <c r="AB160" s="501">
        <f t="shared" si="32"/>
        <v>1173.10121179416</v>
      </c>
      <c r="AC160" s="507" t="str">
        <f t="shared" si="29"/>
        <v>－</v>
      </c>
      <c r="AD160" s="501">
        <f>IF($D160="","",MIN(終値!E160:I160))</f>
        <v>1078</v>
      </c>
      <c r="AE160" s="503">
        <f t="shared" si="30"/>
        <v>30.098400000000002</v>
      </c>
    </row>
    <row r="161" spans="1:31">
      <c r="A161" s="500" t="str">
        <f>IF(終値!A161="","",HYPERLINK("https://kabutan.jp/stock/?code="&amp;終値!A161,"📈"))</f>
        <v>📈</v>
      </c>
      <c r="B161" s="500" t="str">
        <f>IF(終値!A161="","",終値!A161)</f>
        <v>8892</v>
      </c>
      <c r="C161" s="499" t="str">
        <f>IF(終値!A161="","",終値!B161)</f>
        <v>エスコン</v>
      </c>
      <c r="D161" s="501">
        <f>IF(終値!A161="","",終値!E161)</f>
        <v>1072</v>
      </c>
      <c r="E161" s="501">
        <f>IF($D161="","",AVERAGE(終値!E161:X161))</f>
        <v>1104.2631578947369</v>
      </c>
      <c r="F161" s="502">
        <f>IF($D161="","",STDEVP(終値!E161:X161))</f>
        <v>16.895474651867914</v>
      </c>
      <c r="G161" s="501">
        <f>IF($D161="","",$E161+BB設定!$B$4*$F161)</f>
        <v>1138.0541071984726</v>
      </c>
      <c r="H161" s="501">
        <f>IF($D161="","",$E161+BB設定!$B$5*$F161)</f>
        <v>1121.1586325466048</v>
      </c>
      <c r="I161" s="501">
        <f>IF($D161="","",$E161-BB設定!$B$5*$F161)</f>
        <v>1087.3676832428689</v>
      </c>
      <c r="J161" s="501">
        <f>IF($D161="","",$E161-BB設定!$B$4*$F161)</f>
        <v>1070.4722085910012</v>
      </c>
      <c r="K161" s="506">
        <f t="shared" si="22"/>
        <v>2.2606518024486724E-2</v>
      </c>
      <c r="L161" s="505">
        <f t="shared" si="23"/>
        <v>6.1200899553975363</v>
      </c>
      <c r="M161" s="505">
        <f>IF($D161="","",IFERROR(MIN(BB_帯幅!B161:AP161)*100,""))</f>
        <v>4.8352842772227307</v>
      </c>
      <c r="N161" s="500" t="str">
        <f>IF($L161="","",IF($L161&lt;=$M161*BB設定!$B$7,"スクイーズ★",IF($L161&lt;=$M161*1.3,"収縮","－")))</f>
        <v>収縮</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48.947142243231632</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31.353228789026488</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v>
      </c>
      <c r="V161" s="508">
        <f>IF($D161="","",IFERROR(出来高!E161/AVERAGE(出来高!E161:I161),""))</f>
        <v>0.5329035255851774</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様子見</v>
      </c>
      <c r="X161" s="504">
        <f t="shared" si="31"/>
        <v>0</v>
      </c>
      <c r="Y161" s="501">
        <f t="shared" si="26"/>
        <v>1072</v>
      </c>
      <c r="Z161" s="501">
        <f t="shared" si="27"/>
        <v>1121.1586325466048</v>
      </c>
      <c r="AA161" s="501">
        <f t="shared" si="28"/>
        <v>1068</v>
      </c>
      <c r="AB161" s="501">
        <f t="shared" si="32"/>
        <v>1138.0541071984726</v>
      </c>
      <c r="AC161" s="507">
        <f t="shared" si="29"/>
        <v>16.510000000000002</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4375</v>
      </c>
      <c r="E162" s="501">
        <f>IF($D162="","",AVERAGE(終値!E162:X162))</f>
        <v>4427.6315789473683</v>
      </c>
      <c r="F162" s="502">
        <f>IF($D162="","",STDEVP(終値!E162:X162))</f>
        <v>76.594771380101946</v>
      </c>
      <c r="G162" s="501">
        <f>IF($D162="","",$E162+BB設定!$B$4*$F162)</f>
        <v>4580.8211217075723</v>
      </c>
      <c r="H162" s="501">
        <f>IF($D162="","",$E162+BB設定!$B$5*$F162)</f>
        <v>4504.2263503274698</v>
      </c>
      <c r="I162" s="501">
        <f>IF($D162="","",$E162-BB設定!$B$5*$F162)</f>
        <v>4351.0368075672668</v>
      </c>
      <c r="J162" s="501">
        <f>IF($D162="","",$E162-BB設定!$B$4*$F162)</f>
        <v>4274.4420361871644</v>
      </c>
      <c r="K162" s="506">
        <f t="shared" si="22"/>
        <v>0.32821419138982794</v>
      </c>
      <c r="L162" s="505">
        <f t="shared" si="23"/>
        <v>6.9197059434029722</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49.895178197064993</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55.158720534474199</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1.1290322580645162</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4375</v>
      </c>
      <c r="Z162" s="501">
        <f t="shared" si="27"/>
        <v>4504.2263503274698</v>
      </c>
      <c r="AA162" s="501">
        <f t="shared" si="28"/>
        <v>4375</v>
      </c>
      <c r="AB162" s="501">
        <f t="shared" si="32"/>
        <v>4580.8211217075723</v>
      </c>
      <c r="AC162" s="507" t="str">
        <f t="shared" si="29"/>
        <v>－</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1476</v>
      </c>
      <c r="E163" s="501">
        <f>IF($D163="","",AVERAGE(終値!E163:X163))</f>
        <v>1570.65</v>
      </c>
      <c r="F163" s="502">
        <f>IF($D163="","",STDEVP(終値!E163:X163))</f>
        <v>68.243149839379484</v>
      </c>
      <c r="G163" s="501">
        <f>IF($D163="","",$E163+BB設定!$B$4*$F163)</f>
        <v>1707.1362996787591</v>
      </c>
      <c r="H163" s="501">
        <f>IF($D163="","",$E163+BB設定!$B$5*$F163)</f>
        <v>1638.8931498393795</v>
      </c>
      <c r="I163" s="501">
        <f>IF($D163="","",$E163-BB設定!$B$5*$F163)</f>
        <v>1502.4068501606207</v>
      </c>
      <c r="J163" s="501">
        <f>IF($D163="","",$E163-BB設定!$B$4*$F163)</f>
        <v>1434.1637003212411</v>
      </c>
      <c r="K163" s="506">
        <f t="shared" si="22"/>
        <v>0.15326190166055831</v>
      </c>
      <c r="L163" s="505">
        <f t="shared" si="23"/>
        <v>17.379594394519337</v>
      </c>
      <c r="M163" s="505">
        <f>IF($D163="","",IFERROR(MIN(BB_帯幅!B163:AP163)*100,""))</f>
        <v>8.3683894663822453</v>
      </c>
      <c r="N163" s="500" t="str">
        <f>IF($L163="","",IF($L163&lt;=$M163*BB設定!$B$7,"スクイーズ★",IF($L163&lt;=$M163*1.3,"収縮","－")))</f>
        <v>－</v>
      </c>
      <c r="O163" s="500" t="str">
        <f>IF($D163="","",IF(AND(BB_帯幅!B163&gt;BB_帯幅!C163,BB_帯幅!C163&gt;BB_帯幅!D163),"拡大↑","縮小↓"))</f>
        <v>拡大↑</v>
      </c>
      <c r="P163" s="500" t="str">
        <f t="shared" si="24"/>
        <v>-1σ下</v>
      </c>
      <c r="Q163" s="503">
        <f>IF($D163="","",IFERROR(100-100/(1+SUMPRODUCT((終値!E163:R163&gt;終値!F163:S163)*(終値!E163:R163-終値!F163:S163))/SUMPRODUCT((終値!E163:R163&lt;終値!F163:S163)*(終値!F163:S163-終値!E163:R163))),100))</f>
        <v>34.510869565217391</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24.885506094757829</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下walk▼</v>
      </c>
      <c r="U163" s="500" t="str">
        <f>IF(終値!A163="","",BB_スイング!BT163)</f>
        <v>二番天井M形成</v>
      </c>
      <c r="V163" s="508">
        <f>IF($D163="","",IFERROR(出来高!E163/AVERAGE(出来高!E163:I163),""))</f>
        <v>0.42302016724053121</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1476</v>
      </c>
      <c r="Z163" s="501">
        <f t="shared" si="27"/>
        <v>1638.8931498393795</v>
      </c>
      <c r="AA163" s="501">
        <f t="shared" si="28"/>
        <v>1466</v>
      </c>
      <c r="AB163" s="501">
        <f t="shared" si="32"/>
        <v>1707.1362996787591</v>
      </c>
      <c r="AC163" s="507">
        <f t="shared" si="29"/>
        <v>20</v>
      </c>
      <c r="AD163" s="501">
        <f>IF($D163="","",MIN(終値!E163:I163))</f>
        <v>1466</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1304</v>
      </c>
      <c r="E164" s="501">
        <f>IF($D164="","",AVERAGE(終値!E164:X164))</f>
        <v>1258.3</v>
      </c>
      <c r="F164" s="502">
        <f>IF($D164="","",STDEVP(終値!E164:X164))</f>
        <v>33.149811462510606</v>
      </c>
      <c r="G164" s="501">
        <f>IF($D164="","",$E164+BB設定!$B$4*$F164)</f>
        <v>1324.5996229250211</v>
      </c>
      <c r="H164" s="501">
        <f>IF($D164="","",$E164+BB設定!$B$5*$F164)</f>
        <v>1291.4498114625105</v>
      </c>
      <c r="I164" s="501">
        <f>IF($D164="","",$E164-BB設定!$B$5*$F164)</f>
        <v>1225.1501885374894</v>
      </c>
      <c r="J164" s="501">
        <f>IF($D164="","",$E164-BB設定!$B$4*$F164)</f>
        <v>1192.0003770749788</v>
      </c>
      <c r="K164" s="506">
        <f t="shared" si="22"/>
        <v>0.84464751067802146</v>
      </c>
      <c r="L164" s="505">
        <f t="shared" si="23"/>
        <v>10.537967563382523</v>
      </c>
      <c r="M164" s="505">
        <f>IF($D164="","",IFERROR(MIN(BB_帯幅!B164:AP164)*100,""))</f>
        <v>8.8151109442649105</v>
      </c>
      <c r="N164" s="500" t="str">
        <f>IF($L164="","",IF($L164&lt;=$M164*BB設定!$B$7,"スクイーズ★",IF($L164&lt;=$M164*1.3,"収縮","－")))</f>
        <v>収縮</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57.373737373737377</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63.535938445428648</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0.71014492753623193</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1304</v>
      </c>
      <c r="Z164" s="501">
        <f t="shared" si="27"/>
        <v>1291.4498114625105</v>
      </c>
      <c r="AA164" s="501">
        <f t="shared" si="28"/>
        <v>1258.3</v>
      </c>
      <c r="AB164" s="501">
        <f t="shared" si="32"/>
        <v>1324.5996229250211</v>
      </c>
      <c r="AC164" s="507">
        <f t="shared" si="29"/>
        <v>0.45</v>
      </c>
      <c r="AD164" s="501">
        <f>IF($D164="","",MIN(終値!E164:I164))</f>
        <v>1203</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7712</v>
      </c>
      <c r="E165" s="501">
        <f>IF($D165="","",AVERAGE(終値!E165:X165))</f>
        <v>7170.4</v>
      </c>
      <c r="F165" s="502">
        <f>IF($D165="","",STDEVP(終値!E165:X165))</f>
        <v>703.81271656599108</v>
      </c>
      <c r="G165" s="501">
        <f>IF($D165="","",$E165+BB設定!$B$4*$F165)</f>
        <v>8578.0254331319811</v>
      </c>
      <c r="H165" s="501">
        <f>IF($D165="","",$E165+BB設定!$B$5*$F165)</f>
        <v>7874.2127165659904</v>
      </c>
      <c r="I165" s="501">
        <f>IF($D165="","",$E165-BB設定!$B$5*$F165)</f>
        <v>6466.5872834340089</v>
      </c>
      <c r="J165" s="501">
        <f>IF($D165="","",$E165-BB設定!$B$4*$F165)</f>
        <v>5762.7745668680172</v>
      </c>
      <c r="K165" s="506">
        <f t="shared" si="22"/>
        <v>0.69238072403783402</v>
      </c>
      <c r="L165" s="505">
        <f t="shared" si="23"/>
        <v>39.262117402989567</v>
      </c>
      <c r="M165" s="505">
        <f>IF($D165="","",IFERROR(MIN(BB_帯幅!B165:AP165)*100,""))</f>
        <v>6.5298788247896562</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69.455050329746612</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85.27598062086706</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二番底W▲</v>
      </c>
      <c r="V165" s="508">
        <f>IF($D165="","",IFERROR(出来高!E165/AVERAGE(出来高!E165:I165),""))</f>
        <v>0.65565094672468538</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△二番底買(確)</v>
      </c>
      <c r="X165" s="504">
        <f t="shared" si="31"/>
        <v>30</v>
      </c>
      <c r="Y165" s="501">
        <f t="shared" si="26"/>
        <v>7712</v>
      </c>
      <c r="Z165" s="501">
        <f t="shared" si="27"/>
        <v>7874.2127165659904</v>
      </c>
      <c r="AA165" s="501">
        <f t="shared" si="28"/>
        <v>7170.4</v>
      </c>
      <c r="AB165" s="501">
        <f t="shared" si="32"/>
        <v>8578.0254331319811</v>
      </c>
      <c r="AC165" s="507">
        <f t="shared" si="29"/>
        <v>1.6</v>
      </c>
      <c r="AD165" s="501">
        <f>IF($D165="","",MIN(終値!E165:I165))</f>
        <v>7712</v>
      </c>
      <c r="AE165" s="503">
        <f t="shared" si="30"/>
        <v>30.09835</v>
      </c>
    </row>
    <row r="166" spans="1:31">
      <c r="A166" s="500" t="str">
        <f>IF(終値!A166="","",HYPERLINK("https://kabutan.jp/stock/?code="&amp;終値!A166,"📈"))</f>
        <v>📈</v>
      </c>
      <c r="B166" s="500" t="str">
        <f>IF(終値!A166="","",終値!A166)</f>
        <v>9733</v>
      </c>
      <c r="C166" s="499" t="str">
        <f>IF(終値!A166="","",終値!B166)</f>
        <v>ナガセ</v>
      </c>
      <c r="D166" s="501">
        <f>IF(終値!A166="","",終値!E166)</f>
        <v>2291</v>
      </c>
      <c r="E166" s="501">
        <f>IF($D166="","",AVERAGE(終値!E166:X166))</f>
        <v>2345.9</v>
      </c>
      <c r="F166" s="502">
        <f>IF($D166="","",STDEVP(終値!E166:X166))</f>
        <v>32.80076218626634</v>
      </c>
      <c r="G166" s="501">
        <f>IF($D166="","",$E166+BB設定!$B$4*$F166)</f>
        <v>2411.5015243725329</v>
      </c>
      <c r="H166" s="501">
        <f>IF($D166="","",$E166+BB設定!$B$5*$F166)</f>
        <v>2378.7007621862663</v>
      </c>
      <c r="I166" s="501">
        <f>IF($D166="","",$E166-BB設定!$B$5*$F166)</f>
        <v>2313.0992378137339</v>
      </c>
      <c r="J166" s="501">
        <f>IF($D166="","",$E166-BB設定!$B$4*$F166)</f>
        <v>2280.2984756274673</v>
      </c>
      <c r="K166" s="506">
        <f t="shared" si="22"/>
        <v>8.1564601393724859E-2</v>
      </c>
      <c r="L166" s="505">
        <f t="shared" si="23"/>
        <v>5.5928662238401312</v>
      </c>
      <c r="M166" s="505">
        <f>IF($D166="","",IFERROR(MIN(BB_帯幅!B166:AP166)*100,""))</f>
        <v>4.4857319023621205</v>
      </c>
      <c r="N166" s="500" t="str">
        <f>IF($L166="","",IF($L166&lt;=$M166*BB設定!$B$7,"スクイーズ★",IF($L166&lt;=$M166*1.3,"収縮","－")))</f>
        <v>収縮</v>
      </c>
      <c r="O166" s="500" t="str">
        <f>IF($D166="","",IF(AND(BB_帯幅!B166&gt;BB_帯幅!C166,BB_帯幅!C166&gt;BB_帯幅!D166),"拡大↑","縮小↓"))</f>
        <v>拡大↑</v>
      </c>
      <c r="P166" s="500" t="str">
        <f t="shared" si="24"/>
        <v>-1σ下</v>
      </c>
      <c r="Q166" s="503">
        <f>IF($D166="","",IFERROR(100-100/(1+SUMPRODUCT((終値!E166:R166&gt;終値!F166:S166)*(終値!E166:R166-終値!F166:S166))/SUMPRODUCT((終値!E166:R166&lt;終値!F166:S166)*(終値!F166:S166-終値!E166:R166))),100))</f>
        <v>37.5</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41.687804453898607</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0.86530931871574002</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2291</v>
      </c>
      <c r="Z166" s="501">
        <f t="shared" si="27"/>
        <v>2378.7007621862663</v>
      </c>
      <c r="AA166" s="501">
        <f t="shared" si="28"/>
        <v>2291</v>
      </c>
      <c r="AB166" s="501">
        <f t="shared" si="32"/>
        <v>2411.5015243725329</v>
      </c>
      <c r="AC166" s="507" t="str">
        <f t="shared" si="29"/>
        <v>－</v>
      </c>
      <c r="AD166" s="501">
        <f>IF($D166="","",MIN(終値!E166:I166))</f>
        <v>2291</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3235</v>
      </c>
      <c r="E167" s="501">
        <f>IF($D167="","",AVERAGE(終値!E167:X167))</f>
        <v>3182.1052631578946</v>
      </c>
      <c r="F167" s="502">
        <f>IF($D167="","",STDEVP(終値!E167:X167))</f>
        <v>75.049383557089726</v>
      </c>
      <c r="G167" s="501">
        <f>IF($D167="","",$E167+BB設定!$B$4*$F167)</f>
        <v>3332.2040302720739</v>
      </c>
      <c r="H167" s="501">
        <f>IF($D167="","",$E167+BB設定!$B$5*$F167)</f>
        <v>3257.1546467149842</v>
      </c>
      <c r="I167" s="501">
        <f>IF($D167="","",$E167-BB設定!$B$5*$F167)</f>
        <v>3107.0558796008049</v>
      </c>
      <c r="J167" s="501">
        <f>IF($D167="","",$E167-BB設定!$B$4*$F167)</f>
        <v>3032.0064960437153</v>
      </c>
      <c r="K167" s="506">
        <f t="shared" si="22"/>
        <v>0.67619977118755648</v>
      </c>
      <c r="L167" s="505">
        <f t="shared" si="23"/>
        <v>9.4339284656612854</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縮小↓</v>
      </c>
      <c r="P167" s="500" t="str">
        <f t="shared" si="24"/>
        <v>バンド内</v>
      </c>
      <c r="Q167" s="503">
        <f>IF($D167="","",IFERROR(100-100/(1+SUMPRODUCT((終値!E167:R167&gt;終値!F167:S167)*(終値!E167:R167-終値!F167:S167))/SUMPRODUCT((終値!E167:R167&lt;終値!F167:S167)*(終値!F167:S167-終値!E167:R167))),100))</f>
        <v>50.210970464135023</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48.198233368275773</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v>
      </c>
      <c r="U167" s="500" t="str">
        <f>IF(終値!A167="","",BB_スイング!BT167)</f>
        <v>－</v>
      </c>
      <c r="V167" s="508">
        <f>IF($D167="","",IFERROR(出来高!E167/AVERAGE(出来高!E167:I167),""))</f>
        <v>0.78343386788288949</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35</v>
      </c>
      <c r="Y167" s="501">
        <f t="shared" si="26"/>
        <v>3235</v>
      </c>
      <c r="Z167" s="501">
        <f t="shared" si="27"/>
        <v>3257.1546467149842</v>
      </c>
      <c r="AA167" s="501">
        <f t="shared" si="28"/>
        <v>3182.1052631578946</v>
      </c>
      <c r="AB167" s="501">
        <f t="shared" si="32"/>
        <v>3332.2040302720739</v>
      </c>
      <c r="AC167" s="507">
        <f t="shared" si="29"/>
        <v>1.84</v>
      </c>
      <c r="AD167" s="501">
        <f>IF($D167="","",MIN(終値!E167:I167))</f>
        <v>3055</v>
      </c>
      <c r="AE167" s="503">
        <f t="shared" si="30"/>
        <v>35.098329999999997</v>
      </c>
    </row>
    <row r="168" spans="1:31">
      <c r="A168" s="500" t="str">
        <f>IF(終値!A168="","",HYPERLINK("https://kabutan.jp/stock/?code="&amp;終値!A168,"📈"))</f>
        <v>📈</v>
      </c>
      <c r="B168" s="500" t="str">
        <f>IF(終値!A168="","",終値!A168)</f>
        <v>2359</v>
      </c>
      <c r="C168" s="499" t="str">
        <f>IF(終値!A168="","",終値!B168)</f>
        <v>コア</v>
      </c>
      <c r="D168" s="501">
        <f>IF(終値!A168="","",終値!E168)</f>
        <v>2011</v>
      </c>
      <c r="E168" s="501">
        <f>IF($D168="","",AVERAGE(終値!E168:X168))</f>
        <v>1998.6315789473683</v>
      </c>
      <c r="F168" s="502">
        <f>IF($D168="","",STDEVP(終値!E168:X168))</f>
        <v>31.609809480628986</v>
      </c>
      <c r="G168" s="501">
        <f>IF($D168="","",$E168+BB設定!$B$4*$F168)</f>
        <v>2061.8511979086261</v>
      </c>
      <c r="H168" s="501">
        <f>IF($D168="","",$E168+BB設定!$B$5*$F168)</f>
        <v>2030.2413884279972</v>
      </c>
      <c r="I168" s="501">
        <f>IF($D168="","",$E168-BB設定!$B$5*$F168)</f>
        <v>1967.0217694667394</v>
      </c>
      <c r="J168" s="501">
        <f>IF($D168="","",$E168-BB設定!$B$4*$F168)</f>
        <v>1935.4119599861103</v>
      </c>
      <c r="K168" s="506">
        <f t="shared" si="22"/>
        <v>0.59782106611723951</v>
      </c>
      <c r="L168" s="505">
        <f t="shared" si="23"/>
        <v>6.326290410617263</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50.189214758751184</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68.351091598631214</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0.52451539338654507</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・押し目注目</v>
      </c>
      <c r="X168" s="504">
        <f t="shared" si="31"/>
        <v>25</v>
      </c>
      <c r="Y168" s="501">
        <f t="shared" si="26"/>
        <v>2011</v>
      </c>
      <c r="Z168" s="501">
        <f t="shared" si="27"/>
        <v>2030.2413884279972</v>
      </c>
      <c r="AA168" s="501">
        <f t="shared" si="28"/>
        <v>1998.6315789473683</v>
      </c>
      <c r="AB168" s="501">
        <f t="shared" si="32"/>
        <v>2061.8511979086261</v>
      </c>
      <c r="AC168" s="507">
        <f t="shared" si="29"/>
        <v>4.1100000000000003</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895</v>
      </c>
      <c r="E169" s="501">
        <f>IF($D169="","",AVERAGE(終値!E169:X169))</f>
        <v>909.75</v>
      </c>
      <c r="F169" s="502">
        <f>IF($D169="","",STDEVP(終値!E169:X169))</f>
        <v>8.6883542745447482</v>
      </c>
      <c r="G169" s="501">
        <f>IF($D169="","",$E169+BB設定!$B$4*$F169)</f>
        <v>927.12670854908947</v>
      </c>
      <c r="H169" s="501">
        <f>IF($D169="","",$E169+BB設定!$B$5*$F169)</f>
        <v>918.43835427454474</v>
      </c>
      <c r="I169" s="501">
        <f>IF($D169="","",$E169-BB設定!$B$5*$F169)</f>
        <v>901.06164572545526</v>
      </c>
      <c r="J169" s="501">
        <f>IF($D169="","",$E169-BB設定!$B$4*$F169)</f>
        <v>892.37329145091053</v>
      </c>
      <c r="K169" s="506">
        <f t="shared" si="22"/>
        <v>7.5581303031842281E-2</v>
      </c>
      <c r="L169" s="505">
        <f t="shared" si="23"/>
        <v>3.8201063037294798</v>
      </c>
      <c r="M169" s="505">
        <f>IF($D169="","",IFERROR(MIN(BB_帯幅!B169:AP169)*100,""))</f>
        <v>3.5429541461586265</v>
      </c>
      <c r="N169" s="500" t="str">
        <f>IF($L169="","",IF($L169&lt;=$M169*BB設定!$B$7,"スクイーズ★",IF($L169&lt;=$M169*1.3,"収縮","－")))</f>
        <v>スクイーズ★</v>
      </c>
      <c r="O169" s="500" t="str">
        <f>IF($D169="","",IF(AND(BB_帯幅!B169&gt;BB_帯幅!C169,BB_帯幅!C169&gt;BB_帯幅!D169),"拡大↑","縮小↓"))</f>
        <v>縮小↓</v>
      </c>
      <c r="P169" s="500" t="str">
        <f t="shared" si="24"/>
        <v>-1σ下</v>
      </c>
      <c r="Q169" s="503">
        <f>IF($D169="","",IFERROR(100-100/(1+SUMPRODUCT((終値!E169:R169&gt;終値!F169:S169)*(終値!E169:R169-終値!F169:S169))/SUMPRODUCT((終値!E169:R169&lt;終値!F169:S169)*(終値!F169:S169-終値!E169:R169))),100))</f>
        <v>48.091603053435115</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44.698415062427159</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下walk▼</v>
      </c>
      <c r="U169" s="500" t="str">
        <f>IF(終値!A169="","",BB_スイング!BT169)</f>
        <v>二番天井M形成</v>
      </c>
      <c r="V169" s="508">
        <f>IF($D169="","",IFERROR(出来高!E169/AVERAGE(出来高!E169:I169),""))</f>
        <v>0.74457429048414026</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▼二番天井警戒</v>
      </c>
      <c r="X169" s="504">
        <f t="shared" si="31"/>
        <v>0</v>
      </c>
      <c r="Y169" s="501">
        <f t="shared" si="26"/>
        <v>895</v>
      </c>
      <c r="Z169" s="501">
        <f t="shared" si="27"/>
        <v>918.43835427454474</v>
      </c>
      <c r="AA169" s="501">
        <f t="shared" si="28"/>
        <v>895</v>
      </c>
      <c r="AB169" s="501">
        <f t="shared" si="32"/>
        <v>927.12670854908947</v>
      </c>
      <c r="AC169" s="507" t="str">
        <f t="shared" si="29"/>
        <v>－</v>
      </c>
      <c r="AD169" s="501">
        <f>IF($D169="","",MIN(終値!E169:I169))</f>
        <v>895</v>
      </c>
      <c r="AE169" s="503">
        <f t="shared" si="30"/>
        <v>9.8309999999999995E-2</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1007</v>
      </c>
      <c r="E170" s="501">
        <f>IF($D170="","",AVERAGE(終値!E170:X170))</f>
        <v>1098.5</v>
      </c>
      <c r="F170" s="502">
        <f>IF($D170="","",STDEVP(終値!E170:X170))</f>
        <v>37.829221509304155</v>
      </c>
      <c r="G170" s="501">
        <f>IF($D170="","",$E170+BB設定!$B$4*$F170)</f>
        <v>1174.1584430186083</v>
      </c>
      <c r="H170" s="501">
        <f>IF($D170="","",$E170+BB設定!$B$5*$F170)</f>
        <v>1136.3292215093043</v>
      </c>
      <c r="I170" s="501">
        <f>IF($D170="","",$E170-BB設定!$B$5*$F170)</f>
        <v>1060.6707784906957</v>
      </c>
      <c r="J170" s="501">
        <f>IF($D170="","",$E170-BB設定!$B$4*$F170)</f>
        <v>1022.8415569813917</v>
      </c>
      <c r="K170" s="506">
        <f t="shared" si="22"/>
        <v>-0.1046912700641715</v>
      </c>
      <c r="L170" s="505">
        <f t="shared" si="23"/>
        <v>13.774864454912752</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↓-2σ割れ</v>
      </c>
      <c r="Q170" s="503">
        <f>IF($D170="","",IFERROR(100-100/(1+SUMPRODUCT((終値!E170:R170&gt;終値!F170:S170)*(終値!E170:R170-終値!F170:S170))/SUMPRODUCT((終値!E170:R170&lt;終値!F170:S170)*(終値!F170:S170-終値!E170:R170))),100))</f>
        <v>31.59851301115242</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42.932547826316195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0.74091118269673262</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1007</v>
      </c>
      <c r="Z170" s="501">
        <f t="shared" si="27"/>
        <v>1136.3292215093043</v>
      </c>
      <c r="AA170" s="501">
        <f t="shared" si="28"/>
        <v>1007</v>
      </c>
      <c r="AB170" s="501">
        <f t="shared" si="32"/>
        <v>1174.1584430186083</v>
      </c>
      <c r="AC170" s="507" t="str">
        <f t="shared" si="29"/>
        <v>－</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2990</v>
      </c>
      <c r="E171" s="501">
        <f>IF($D171="","",AVERAGE(終値!E171:X171))</f>
        <v>3099.25</v>
      </c>
      <c r="F171" s="502">
        <f>IF($D171="","",STDEVP(終値!E171:X171))</f>
        <v>79.644130354973427</v>
      </c>
      <c r="G171" s="501">
        <f>IF($D171="","",$E171+BB設定!$B$4*$F171)</f>
        <v>3258.5382607099468</v>
      </c>
      <c r="H171" s="501">
        <f>IF($D171="","",$E171+BB設定!$B$5*$F171)</f>
        <v>3178.8941303549736</v>
      </c>
      <c r="I171" s="501">
        <f>IF($D171="","",$E171-BB設定!$B$5*$F171)</f>
        <v>3019.6058696450264</v>
      </c>
      <c r="J171" s="501">
        <f>IF($D171="","",$E171-BB設定!$B$4*$F171)</f>
        <v>2939.9617392900532</v>
      </c>
      <c r="K171" s="506">
        <f t="shared" si="22"/>
        <v>0.15706826255408465</v>
      </c>
      <c r="L171" s="505">
        <f t="shared" si="23"/>
        <v>10.279148872143056</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-1σ下</v>
      </c>
      <c r="Q171" s="503">
        <f>IF($D171="","",IFERROR(100-100/(1+SUMPRODUCT((終値!E171:R171&gt;終値!F171:S171)*(終値!E171:R171-終値!F171:S171))/SUMPRODUCT((終値!E171:R171&lt;終値!F171:S171)*(終値!F171:S171-終値!E171:R171))),100))</f>
        <v>45.652173913043477</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45.377266151357823</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下walk▼</v>
      </c>
      <c r="U171" s="500" t="str">
        <f>IF(終値!A171="","",BB_スイング!BT171)</f>
        <v>－</v>
      </c>
      <c r="V171" s="508">
        <f>IF($D171="","",IFERROR(出来高!E171/AVERAGE(出来高!E171:I171),""))</f>
        <v>0.4121446168186963</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様子見</v>
      </c>
      <c r="X171" s="504">
        <f t="shared" si="31"/>
        <v>0</v>
      </c>
      <c r="Y171" s="501">
        <f t="shared" si="26"/>
        <v>2990</v>
      </c>
      <c r="Z171" s="501">
        <f t="shared" si="27"/>
        <v>3178.8941303549736</v>
      </c>
      <c r="AA171" s="501">
        <f t="shared" si="28"/>
        <v>2990</v>
      </c>
      <c r="AB171" s="501">
        <f t="shared" si="32"/>
        <v>3258.5382607099468</v>
      </c>
      <c r="AC171" s="507" t="str">
        <f t="shared" si="29"/>
        <v>－</v>
      </c>
      <c r="AD171" s="501">
        <f>IF($D171="","",MIN(終値!E171:I171))</f>
        <v>2990</v>
      </c>
      <c r="AE171" s="503">
        <f t="shared" si="30"/>
        <v>9.8290000000000002E-2</v>
      </c>
    </row>
    <row r="172" spans="1:31">
      <c r="A172" s="500" t="str">
        <f>IF(終値!A172="","",HYPERLINK("https://kabutan.jp/stock/?code="&amp;終値!A172,"📈"))</f>
        <v>📈</v>
      </c>
      <c r="B172" s="500" t="str">
        <f>IF(終値!A172="","",終値!A172)</f>
        <v>8303</v>
      </c>
      <c r="C172" s="499" t="str">
        <f>IF(終値!A172="","",終値!B172)</f>
        <v>ＳＢＩ新生銀行</v>
      </c>
      <c r="D172" s="501">
        <f>IF(終値!A172="","",終値!E172)</f>
        <v>1438</v>
      </c>
      <c r="E172" s="501">
        <f>IF($D172="","",AVERAGE(終値!E172:X172))</f>
        <v>1448.925</v>
      </c>
      <c r="F172" s="502">
        <f>IF($D172="","",STDEVP(終値!E172:X172))</f>
        <v>21.956362972951599</v>
      </c>
      <c r="G172" s="501">
        <f>IF($D172="","",$E172+BB設定!$B$4*$F172)</f>
        <v>1492.8377259459032</v>
      </c>
      <c r="H172" s="501">
        <f>IF($D172="","",$E172+BB設定!$B$5*$F172)</f>
        <v>1470.8813629729516</v>
      </c>
      <c r="I172" s="501">
        <f>IF($D172="","",$E172-BB設定!$B$5*$F172)</f>
        <v>1426.9686370270483</v>
      </c>
      <c r="J172" s="501">
        <f>IF($D172="","",$E172-BB設定!$B$4*$F172)</f>
        <v>1405.0122740540967</v>
      </c>
      <c r="K172" s="506">
        <f t="shared" si="22"/>
        <v>0.3756055361552979</v>
      </c>
      <c r="L172" s="505">
        <f t="shared" si="23"/>
        <v>6.0614215291893334</v>
      </c>
      <c r="M172" s="505">
        <f>IF($D172="","",IFERROR(MIN(BB_帯幅!B172:AP172)*100,""))</f>
        <v>6.0210280263401428</v>
      </c>
      <c r="N172" s="500" t="str">
        <f>IF($L172="","",IF($L172&lt;=$M172*BB設定!$B$7,"スクイーズ★",IF($L172&lt;=$M172*1.3,"収縮","－")))</f>
        <v>スクイーズ★</v>
      </c>
      <c r="O172" s="500" t="str">
        <f>IF($D172="","",IF(AND(BB_帯幅!B172&gt;BB_帯幅!C172,BB_帯幅!C172&gt;BB_帯幅!D172),"拡大↑","縮小↓"))</f>
        <v>縮小↓</v>
      </c>
      <c r="P172" s="500" t="str">
        <f t="shared" si="24"/>
        <v>バンド内</v>
      </c>
      <c r="Q172" s="503">
        <f>IF($D172="","",IFERROR(100-100/(1+SUMPRODUCT((終値!E172:R172&gt;終値!F172:S172)*(終値!E172:R172-終値!F172:S172))/SUMPRODUCT((終値!E172:R172&lt;終値!F172:S172)*(終値!F172:S172-終値!E172:R172))),100))</f>
        <v>49.173553719008268</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49.507968062388251</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v>
      </c>
      <c r="T172" s="500" t="str">
        <f t="shared" si="25"/>
        <v>－</v>
      </c>
      <c r="U172" s="500" t="str">
        <f>IF(終値!A172="","",BB_スイング!BT172)</f>
        <v>二番底W形成</v>
      </c>
      <c r="V172" s="508">
        <f>IF($D172="","",IFERROR(出来高!E172/AVERAGE(出来高!E172:I172),""))</f>
        <v>0.63802335764471507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△二番底形成</v>
      </c>
      <c r="X172" s="504">
        <f t="shared" si="31"/>
        <v>15</v>
      </c>
      <c r="Y172" s="501">
        <f t="shared" si="26"/>
        <v>1438</v>
      </c>
      <c r="Z172" s="501">
        <f t="shared" si="27"/>
        <v>1470.8813629729516</v>
      </c>
      <c r="AA172" s="501">
        <f t="shared" si="28"/>
        <v>1418</v>
      </c>
      <c r="AB172" s="501">
        <f t="shared" si="32"/>
        <v>1492.8377259459032</v>
      </c>
      <c r="AC172" s="507">
        <f t="shared" si="29"/>
        <v>2.74</v>
      </c>
      <c r="AD172" s="501">
        <f>IF($D172="","",MIN(終値!E172:I172))</f>
        <v>1418</v>
      </c>
      <c r="AE172" s="503">
        <f t="shared" si="30"/>
        <v>15.098280000000001</v>
      </c>
    </row>
    <row r="173" spans="1:31">
      <c r="A173" s="500" t="str">
        <f>IF(終値!A173="","",HYPERLINK("https://kabutan.jp/stock/?code="&amp;終値!A173,"📈"))</f>
        <v>📈</v>
      </c>
      <c r="B173" s="500" t="str">
        <f>IF(終値!A173="","",終値!A173)</f>
        <v>4382</v>
      </c>
      <c r="C173" s="499" t="str">
        <f>IF(終値!A173="","",終値!B173)</f>
        <v>ＨＥＲＯＺ</v>
      </c>
      <c r="D173" s="501">
        <f>IF(終値!A173="","",終値!E173)</f>
        <v>705</v>
      </c>
      <c r="E173" s="501">
        <f>IF($D173="","",AVERAGE(終値!E173:X173))</f>
        <v>704.63157894736844</v>
      </c>
      <c r="F173" s="502">
        <f>IF($D173="","",STDEVP(終値!E173:X173))</f>
        <v>9.2463963183148419</v>
      </c>
      <c r="G173" s="501">
        <f>IF($D173="","",$E173+BB設定!$B$4*$F173)</f>
        <v>723.12437158399814</v>
      </c>
      <c r="H173" s="501">
        <f>IF($D173="","",$E173+BB設定!$B$5*$F173)</f>
        <v>713.87797526568329</v>
      </c>
      <c r="I173" s="501">
        <f>IF($D173="","",$E173-BB設定!$B$5*$F173)</f>
        <v>695.38518262905359</v>
      </c>
      <c r="J173" s="501">
        <f>IF($D173="","",$E173-BB設定!$B$4*$F173)</f>
        <v>686.13878631073874</v>
      </c>
      <c r="K173" s="506">
        <f t="shared" si="22"/>
        <v>0.50996120650544174</v>
      </c>
      <c r="L173" s="505">
        <f t="shared" si="23"/>
        <v>5.2489253076779852</v>
      </c>
      <c r="M173" s="505">
        <f>IF($D173="","",IFERROR(MIN(BB_帯幅!B173:AP173)*100,""))</f>
        <v>5.2489253076779798</v>
      </c>
      <c r="N173" s="500" t="str">
        <f>IF($L173="","",IF($L173&lt;=$M173*BB設定!$B$7,"スクイーズ★",IF($L173&lt;=$M173*1.3,"収縮","－")))</f>
        <v>スクイーズ★</v>
      </c>
      <c r="O173" s="500" t="str">
        <f>IF($D173="","",IF(AND(BB_帯幅!B173&gt;BB_帯幅!C173,BB_帯幅!C173&gt;BB_帯幅!D173),"拡大↑","縮小↓"))</f>
        <v>縮小↓</v>
      </c>
      <c r="P173" s="500" t="str">
        <f t="shared" si="24"/>
        <v>バンド内</v>
      </c>
      <c r="Q173" s="503">
        <f>IF($D173="","",IFERROR(100-100/(1+SUMPRODUCT((終値!E173:R173&gt;終値!F173:S173)*(終値!E173:R173-終値!F173:S173))/SUMPRODUCT((終値!E173:R173&lt;終値!F173:S173)*(終値!F173:S173-終値!E173:R173))),100))</f>
        <v>50.436534586971128</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47.929743007430545</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v>
      </c>
      <c r="U173" s="500" t="str">
        <f>IF(終値!A173="","",BB_スイング!BT173)</f>
        <v>－</v>
      </c>
      <c r="V173" s="508">
        <f>IF($D173="","",IFERROR(出来高!E173/AVERAGE(出来高!E173:I173),""))</f>
        <v>0.76344086021505375</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35</v>
      </c>
      <c r="Y173" s="501">
        <f t="shared" si="26"/>
        <v>705</v>
      </c>
      <c r="Z173" s="501">
        <f t="shared" si="27"/>
        <v>713.87797526568329</v>
      </c>
      <c r="AA173" s="501">
        <f t="shared" si="28"/>
        <v>704.63157894736844</v>
      </c>
      <c r="AB173" s="501">
        <f t="shared" si="32"/>
        <v>723.12437158399814</v>
      </c>
      <c r="AC173" s="507">
        <f t="shared" si="29"/>
        <v>20</v>
      </c>
      <c r="AD173" s="501">
        <f>IF($D173="","",MIN(終値!E173:I173))</f>
        <v>695</v>
      </c>
      <c r="AE173" s="503">
        <f t="shared" si="30"/>
        <v>35.098269999999999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3696</v>
      </c>
      <c r="E174" s="501">
        <f>IF($D174="","",AVERAGE(終値!E174:X174))</f>
        <v>3811.3</v>
      </c>
      <c r="F174" s="502">
        <f>IF($D174="","",STDEVP(終値!E174:X174))</f>
        <v>84.377188860497128</v>
      </c>
      <c r="G174" s="501">
        <f>IF($D174="","",$E174+BB設定!$B$4*$F174)</f>
        <v>3980.0543777209946</v>
      </c>
      <c r="H174" s="501">
        <f>IF($D174="","",$E174+BB設定!$B$5*$F174)</f>
        <v>3895.6771888604972</v>
      </c>
      <c r="I174" s="501">
        <f>IF($D174="","",$E174-BB設定!$B$5*$F174)</f>
        <v>3726.9228111395032</v>
      </c>
      <c r="J174" s="501">
        <f>IF($D174="","",$E174-BB設定!$B$4*$F174)</f>
        <v>3642.5456222790058</v>
      </c>
      <c r="K174" s="506">
        <f t="shared" si="22"/>
        <v>0.15837923271351101</v>
      </c>
      <c r="L174" s="505">
        <f t="shared" si="23"/>
        <v>8.8554759646836718</v>
      </c>
      <c r="M174" s="505">
        <f>IF($D174="","",IFERROR(MIN(BB_帯幅!B174:AP174)*100,""))</f>
        <v>7.7464580251261044</v>
      </c>
      <c r="N174" s="500" t="str">
        <f>IF($L174="","",IF($L174&lt;=$M174*BB設定!$B$7,"スクイーズ★",IF($L174&lt;=$M174*1.3,"収縮","－")))</f>
        <v>収縮</v>
      </c>
      <c r="O174" s="500" t="str">
        <f>IF($D174="","",IF(AND(BB_帯幅!B174&gt;BB_帯幅!C174,BB_帯幅!C174&gt;BB_帯幅!D174),"拡大↑","縮小↓"))</f>
        <v>縮小↓</v>
      </c>
      <c r="P174" s="500" t="str">
        <f t="shared" si="24"/>
        <v>-1σ下</v>
      </c>
      <c r="Q174" s="503">
        <f>IF($D174="","",IFERROR(100-100/(1+SUMPRODUCT((終値!E174:R174&gt;終値!F174:S174)*(終値!E174:R174-終値!F174:S174))/SUMPRODUCT((終値!E174:R174&lt;終値!F174:S174)*(終値!F174:S174-終値!E174:R174))),100))</f>
        <v>45.243362831858406</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44.729967951922198</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v>
      </c>
      <c r="T174" s="500" t="str">
        <f t="shared" si="25"/>
        <v>下walk▼</v>
      </c>
      <c r="U174" s="500" t="str">
        <f>IF(終値!A174="","",BB_スイング!BT174)</f>
        <v>二番底W形成</v>
      </c>
      <c r="V174" s="508">
        <f>IF($D174="","",IFERROR(出来高!E174/AVERAGE(出来高!E174:I174),""))</f>
        <v>0.70913461538461542</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0</v>
      </c>
      <c r="Y174" s="501">
        <f t="shared" si="26"/>
        <v>3696</v>
      </c>
      <c r="Z174" s="501">
        <f t="shared" si="27"/>
        <v>3895.6771888604972</v>
      </c>
      <c r="AA174" s="501">
        <f t="shared" si="28"/>
        <v>3696</v>
      </c>
      <c r="AB174" s="501">
        <f t="shared" si="32"/>
        <v>3980.0543777209946</v>
      </c>
      <c r="AC174" s="507" t="str">
        <f t="shared" si="29"/>
        <v>－</v>
      </c>
      <c r="AD174" s="501">
        <f>IF($D174="","",MIN(終値!E174:I174))</f>
        <v>3696</v>
      </c>
      <c r="AE174" s="503">
        <f t="shared" si="30"/>
        <v>9.826E-2</v>
      </c>
    </row>
    <row r="175" spans="1:31">
      <c r="A175" s="500" t="str">
        <f>IF(終値!A175="","",HYPERLINK("https://kabutan.jp/stock/?code="&amp;終値!A175,"📈"))</f>
        <v>📈</v>
      </c>
      <c r="B175" s="500" t="str">
        <f>IF(終値!A175="","",終値!A175)</f>
        <v>1942</v>
      </c>
      <c r="C175" s="499" t="str">
        <f>IF(終値!A175="","",終値!B175)</f>
        <v>関電工</v>
      </c>
      <c r="D175" s="501">
        <f>IF(終値!A175="","",終値!E175)</f>
        <v>5515</v>
      </c>
      <c r="E175" s="501">
        <f>IF($D175="","",AVERAGE(終値!E175:X175))</f>
        <v>6022.95</v>
      </c>
      <c r="F175" s="502">
        <f>IF($D175="","",STDEVP(終値!E175:X175))</f>
        <v>422.9342117871289</v>
      </c>
      <c r="G175" s="501">
        <f>IF($D175="","",$E175+BB設定!$B$4*$F175)</f>
        <v>6868.8184235742574</v>
      </c>
      <c r="H175" s="501">
        <f>IF($D175="","",$E175+BB設定!$B$5*$F175)</f>
        <v>6445.8842117871291</v>
      </c>
      <c r="I175" s="501">
        <f>IF($D175="","",$E175-BB設定!$B$5*$F175)</f>
        <v>5600.0157882128706</v>
      </c>
      <c r="J175" s="501">
        <f>IF($D175="","",$E175-BB設定!$B$4*$F175)</f>
        <v>5177.0815764257422</v>
      </c>
      <c r="K175" s="506">
        <f t="shared" si="22"/>
        <v>0.19974644646644171</v>
      </c>
      <c r="L175" s="505">
        <f t="shared" si="23"/>
        <v>28.088176842718521</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-1σ下</v>
      </c>
      <c r="Q175" s="503">
        <f>IF($D175="","",IFERROR(100-100/(1+SUMPRODUCT((終値!E175:R175&gt;終値!F175:S175)*(終値!E175:R175-終値!F175:S175))/SUMPRODUCT((終値!E175:R175&lt;終値!F175:S175)*(終値!F175:S175-終値!E175:R175))),100))</f>
        <v>33.875196643943369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25.227968710824243</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下walk▼</v>
      </c>
      <c r="U175" s="500" t="str">
        <f>IF(終値!A175="","",BB_スイング!BT175)</f>
        <v>二番天井M▼</v>
      </c>
      <c r="V175" s="508">
        <f>IF($D175="","",IFERROR(出来高!E175/AVERAGE(出来高!E175:I175),""))</f>
        <v>0.40781514815031267</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5515</v>
      </c>
      <c r="Z175" s="501">
        <f t="shared" si="27"/>
        <v>6445.8842117871291</v>
      </c>
      <c r="AA175" s="501">
        <f t="shared" si="28"/>
        <v>5323</v>
      </c>
      <c r="AB175" s="501">
        <f t="shared" si="32"/>
        <v>6868.8184235742574</v>
      </c>
      <c r="AC175" s="507">
        <f t="shared" si="29"/>
        <v>7.05</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2437</v>
      </c>
      <c r="E176" s="501">
        <f>IF($D176="","",AVERAGE(終値!E176:X176))</f>
        <v>2520.25</v>
      </c>
      <c r="F176" s="502">
        <f>IF($D176="","",STDEVP(終値!E176:X176))</f>
        <v>90.387983161480051</v>
      </c>
      <c r="G176" s="501">
        <f>IF($D176="","",$E176+BB設定!$B$4*$F176)</f>
        <v>2701.0259663229599</v>
      </c>
      <c r="H176" s="501">
        <f>IF($D176="","",$E176+BB設定!$B$5*$F176)</f>
        <v>2610.63798316148</v>
      </c>
      <c r="I176" s="501">
        <f>IF($D176="","",$E176-BB設定!$B$5*$F176)</f>
        <v>2429.86201683852</v>
      </c>
      <c r="J176" s="501">
        <f>IF($D176="","",$E176-BB設定!$B$4*$F176)</f>
        <v>2339.4740336770401</v>
      </c>
      <c r="K176" s="506">
        <f t="shared" si="22"/>
        <v>0.26974262206052269</v>
      </c>
      <c r="L176" s="505">
        <f t="shared" si="23"/>
        <v>14.345875712565014</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38.41463414634147</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45.327693839740149</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二番天井M形成</v>
      </c>
      <c r="V176" s="508">
        <f>IF($D176="","",IFERROR(出来高!E176/AVERAGE(出来高!E176:I176),""))</f>
        <v>1.0089928057553956</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▼二番天井警戒</v>
      </c>
      <c r="X176" s="504">
        <f t="shared" si="31"/>
        <v>0</v>
      </c>
      <c r="Y176" s="501">
        <f t="shared" si="26"/>
        <v>2437</v>
      </c>
      <c r="Z176" s="501">
        <f t="shared" si="27"/>
        <v>2610.63798316148</v>
      </c>
      <c r="AA176" s="501">
        <f t="shared" si="28"/>
        <v>2389</v>
      </c>
      <c r="AB176" s="501">
        <f t="shared" si="32"/>
        <v>2701.0259663229599</v>
      </c>
      <c r="AC176" s="507">
        <f t="shared" si="29"/>
        <v>5.5</v>
      </c>
      <c r="AD176" s="501">
        <f>IF($D176="","",MIN(終値!E176:I176))</f>
        <v>2389</v>
      </c>
      <c r="AE176" s="503">
        <f t="shared" si="30"/>
        <v>9.8239999999999994E-2</v>
      </c>
    </row>
    <row r="177" spans="1:31">
      <c r="A177" s="500" t="str">
        <f>IF(終値!A177="","",HYPERLINK("https://kabutan.jp/stock/?code="&amp;終値!A177,"📈"))</f>
        <v>📈</v>
      </c>
      <c r="B177" s="500" t="str">
        <f>IF(終値!A177="","",終値!A177)</f>
        <v>7236</v>
      </c>
      <c r="C177" s="499" t="str">
        <f>IF(終値!A177="","",終値!B177)</f>
        <v>ティラド</v>
      </c>
      <c r="D177" s="501">
        <f>IF(終値!A177="","",終値!E177)</f>
        <v>0</v>
      </c>
      <c r="E177" s="501" t="e">
        <f>IF($D177="","",AVERAGE(終値!E177:X177))</f>
        <v>#DIV/0!</v>
      </c>
      <c r="F177" s="502" t="e">
        <f>IF($D177="","",STDEVP(終値!E177:X177))</f>
        <v>#DIV/0!</v>
      </c>
      <c r="G177" s="501" t="e">
        <f>IF($D177="","",$E177+BB設定!$B$4*$F177)</f>
        <v>#DIV/0!</v>
      </c>
      <c r="H177" s="501" t="e">
        <f>IF($D177="","",$E177+BB設定!$B$5*$F177)</f>
        <v>#DIV/0!</v>
      </c>
      <c r="I177" s="501" t="e">
        <f>IF($D177="","",$E177-BB設定!$B$5*$F177)</f>
        <v>#DIV/0!</v>
      </c>
      <c r="J177" s="501" t="e">
        <f>IF($D177="","",$E177-BB設定!$B$4*$F177)</f>
        <v>#DIV/0!</v>
      </c>
      <c r="K177" s="506" t="str">
        <f t="shared" si="22"/>
        <v/>
      </c>
      <c r="L177" s="505" t="str">
        <f t="shared" si="23"/>
        <v/>
      </c>
      <c r="M177" s="505">
        <f>IF($D177="","",IFERROR(MIN(BB_帯幅!B177:AP177)*100,""))</f>
        <v>0</v>
      </c>
      <c r="N177" s="500" t="str">
        <f>IF($L177="","",IF($L177&lt;=$M177*BB設定!$B$7,"スクイーズ★",IF($L177&lt;=$M177*1.3,"収縮","－")))</f>
        <v/>
      </c>
      <c r="O177" s="500" t="str">
        <f>IF($D177="","",IF(AND(BB_帯幅!B177&gt;BB_帯幅!C177,BB_帯幅!C177&gt;BB_帯幅!D177),"拡大↑","縮小↓"))</f>
        <v>縮小↓</v>
      </c>
      <c r="P177" s="500" t="e">
        <f t="shared" si="24"/>
        <v>#DIV/0!</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e">
        <f t="shared" si="25"/>
        <v>#DIV/0!</v>
      </c>
      <c r="U177" s="500" t="str">
        <f>IF(終値!A177="","",BB_スイング!BT177)</f>
        <v>－</v>
      </c>
      <c r="V177" s="508" t="str">
        <f>IF($D177="","",IFERROR(出来高!E177/AVERAGE(出来高!E177:I177),""))</f>
        <v/>
      </c>
      <c r="W177" s="509" t="e">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#DIV/0!</v>
      </c>
      <c r="X177" s="504" t="e">
        <f t="shared" si="31"/>
        <v>#DIV/0!</v>
      </c>
      <c r="Y177" s="501">
        <f t="shared" si="26"/>
        <v>0</v>
      </c>
      <c r="Z177" s="501" t="e">
        <f t="shared" si="27"/>
        <v>#DIV/0!</v>
      </c>
      <c r="AA177" s="501" t="e">
        <f t="shared" si="28"/>
        <v>#DIV/0!</v>
      </c>
      <c r="AB177" s="501" t="e">
        <f t="shared" si="32"/>
        <v>#DIV/0!</v>
      </c>
      <c r="AC177" s="507" t="e">
        <f t="shared" si="29"/>
        <v>#DIV/0!</v>
      </c>
      <c r="AD177" s="501">
        <f>IF($D177="","",MIN(終値!E177:I177))</f>
        <v>0</v>
      </c>
      <c r="AE177" s="503" t="e">
        <f t="shared" si="30"/>
        <v>#DIV/0!</v>
      </c>
    </row>
    <row r="178" spans="1:31">
      <c r="A178" s="500" t="str">
        <f>IF(終値!A178="","",HYPERLINK("https://kabutan.jp/stock/?code="&amp;終値!A178,"📈"))</f>
        <v>📈</v>
      </c>
      <c r="B178" s="500" t="str">
        <f>IF(終値!A178="","",終値!A178)</f>
        <v>6436</v>
      </c>
      <c r="C178" s="499" t="str">
        <f>IF(終値!A178="","",終値!B178)</f>
        <v>アマノ</v>
      </c>
      <c r="D178" s="501">
        <f>IF(終値!A178="","",終値!E178)</f>
        <v>3879</v>
      </c>
      <c r="E178" s="501">
        <f>IF($D178="","",AVERAGE(終値!E178:X178))</f>
        <v>3819.7368421052633</v>
      </c>
      <c r="F178" s="502">
        <f>IF($D178="","",STDEVP(終値!E178:X178))</f>
        <v>84.90728200452611</v>
      </c>
      <c r="G178" s="501">
        <f>IF($D178="","",$E178+BB設定!$B$4*$F178)</f>
        <v>3989.5514061143158</v>
      </c>
      <c r="H178" s="501">
        <f>IF($D178="","",$E178+BB設定!$B$5*$F178)</f>
        <v>3904.6441241097896</v>
      </c>
      <c r="I178" s="501">
        <f>IF($D178="","",$E178-BB設定!$B$5*$F178)</f>
        <v>3734.8295601007371</v>
      </c>
      <c r="J178" s="501">
        <f>IF($D178="","",$E178-BB設定!$B$4*$F178)</f>
        <v>3649.9222780962109</v>
      </c>
      <c r="K178" s="506">
        <f t="shared" si="22"/>
        <v>0.67449374333869694</v>
      </c>
      <c r="L178" s="505">
        <f t="shared" si="23"/>
        <v>8.8914273955824914</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50.902568849803288</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63.338679447180489</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v>
      </c>
      <c r="V178" s="508">
        <f>IF($D178="","",IFERROR(出来高!E178/AVERAGE(出来高!E178:I178),""))</f>
        <v>0.52972662970751294</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様子見</v>
      </c>
      <c r="X178" s="504">
        <f t="shared" si="31"/>
        <v>25</v>
      </c>
      <c r="Y178" s="501">
        <f t="shared" si="26"/>
        <v>3879</v>
      </c>
      <c r="Z178" s="501">
        <f t="shared" si="27"/>
        <v>3904.6441241097896</v>
      </c>
      <c r="AA178" s="501">
        <f t="shared" si="28"/>
        <v>3819.7368421052633</v>
      </c>
      <c r="AB178" s="501">
        <f t="shared" si="32"/>
        <v>3989.5514061143158</v>
      </c>
      <c r="AC178" s="507">
        <f t="shared" si="29"/>
        <v>1.87</v>
      </c>
      <c r="AD178" s="501">
        <f>IF($D178="","",MIN(終値!E178:I178))</f>
        <v>3874</v>
      </c>
      <c r="AE178" s="503">
        <f t="shared" si="30"/>
        <v>25.098220000000001</v>
      </c>
    </row>
    <row r="179" spans="1:31">
      <c r="A179" s="500" t="str">
        <f>IF(終値!A179="","",HYPERLINK("https://kabutan.jp/stock/?code="&amp;終値!A179,"📈"))</f>
        <v>📈</v>
      </c>
      <c r="B179" s="500" t="str">
        <f>IF(終値!A179="","",終値!A179)</f>
        <v>5410</v>
      </c>
      <c r="C179" s="499" t="str">
        <f>IF(終値!A179="","",終値!B179)</f>
        <v>合同製鐵</v>
      </c>
      <c r="D179" s="501">
        <f>IF(終値!A179="","",終値!E179)</f>
        <v>2828</v>
      </c>
      <c r="E179" s="501">
        <f>IF($D179="","",AVERAGE(終値!E179:X179))</f>
        <v>2759.25</v>
      </c>
      <c r="F179" s="502">
        <f>IF($D179="","",STDEVP(終値!E179:X179))</f>
        <v>85.26363527319252</v>
      </c>
      <c r="G179" s="501">
        <f>IF($D179="","",$E179+BB設定!$B$4*$F179)</f>
        <v>2929.7772705463849</v>
      </c>
      <c r="H179" s="501">
        <f>IF($D179="","",$E179+BB設定!$B$5*$F179)</f>
        <v>2844.5136352731924</v>
      </c>
      <c r="I179" s="501">
        <f>IF($D179="","",$E179-BB設定!$B$5*$F179)</f>
        <v>2673.9863647268076</v>
      </c>
      <c r="J179" s="501">
        <f>IF($D179="","",$E179-BB設定!$B$4*$F179)</f>
        <v>2588.7227294536151</v>
      </c>
      <c r="K179" s="506">
        <f t="shared" si="22"/>
        <v>0.70158066149689358</v>
      </c>
      <c r="L179" s="505">
        <f t="shared" si="23"/>
        <v>12.360407396675537</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バンド内</v>
      </c>
      <c r="Q179" s="503">
        <f>IF($D179="","",IFERROR(100-100/(1+SUMPRODUCT((終値!E179:R179&gt;終値!F179:S179)*(終値!E179:R179-終値!F179:S179))/SUMPRODUCT((終値!E179:R179&lt;終値!F179:S179)*(終値!F179:S179-終値!E179:R179))),100))</f>
        <v>63.492063492063487</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56.979772181045263</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v>
      </c>
      <c r="T179" s="500" t="str">
        <f t="shared" si="25"/>
        <v>－</v>
      </c>
      <c r="U179" s="500" t="str">
        <f>IF(終値!A179="","",BB_スイング!BT179)</f>
        <v>二番底W形成</v>
      </c>
      <c r="V179" s="508">
        <f>IF($D179="","",IFERROR(出来高!E179/AVERAGE(出来高!E179:I179),""))</f>
        <v>0.69678292242934459</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20</v>
      </c>
      <c r="Y179" s="501">
        <f t="shared" si="26"/>
        <v>2828</v>
      </c>
      <c r="Z179" s="501">
        <f t="shared" si="27"/>
        <v>2844.5136352731924</v>
      </c>
      <c r="AA179" s="501">
        <f t="shared" si="28"/>
        <v>2759.25</v>
      </c>
      <c r="AB179" s="501">
        <f t="shared" si="32"/>
        <v>2929.7772705463849</v>
      </c>
      <c r="AC179" s="507">
        <f t="shared" si="29"/>
        <v>1.48</v>
      </c>
      <c r="AD179" s="501">
        <f>IF($D179="","",MIN(終値!E179:I179))</f>
        <v>2828</v>
      </c>
      <c r="AE179" s="503">
        <f t="shared" si="30"/>
        <v>20.098210000000002</v>
      </c>
    </row>
    <row r="180" spans="1:31">
      <c r="A180" s="500" t="str">
        <f>IF(終値!A180="","",HYPERLINK("https://kabutan.jp/stock/?code="&amp;終値!A180,"📈"))</f>
        <v>📈</v>
      </c>
      <c r="B180" s="500" t="str">
        <f>IF(終値!A180="","",終値!A180)</f>
        <v>5440</v>
      </c>
      <c r="C180" s="499" t="str">
        <f>IF(終値!A180="","",終値!B180)</f>
        <v>共英製鋼</v>
      </c>
      <c r="D180" s="501">
        <f>IF(終値!A180="","",終値!E180)</f>
        <v>1865</v>
      </c>
      <c r="E180" s="501">
        <f>IF($D180="","",AVERAGE(終値!E180:X180))</f>
        <v>1870.5263157894738</v>
      </c>
      <c r="F180" s="502">
        <f>IF($D180="","",STDEVP(終値!E180:X180))</f>
        <v>65.783031263511006</v>
      </c>
      <c r="G180" s="501">
        <f>IF($D180="","",$E180+BB設定!$B$4*$F180)</f>
        <v>2002.0923783164958</v>
      </c>
      <c r="H180" s="501">
        <f>IF($D180="","",$E180+BB設定!$B$5*$F180)</f>
        <v>1936.3093470529848</v>
      </c>
      <c r="I180" s="501">
        <f>IF($D180="","",$E180-BB設定!$B$5*$F180)</f>
        <v>1804.7432845259627</v>
      </c>
      <c r="J180" s="501">
        <f>IF($D180="","",$E180-BB設定!$B$4*$F180)</f>
        <v>1738.9602532624517</v>
      </c>
      <c r="K180" s="506">
        <f t="shared" si="22"/>
        <v>0.47899794337791812</v>
      </c>
      <c r="L180" s="505">
        <f t="shared" si="23"/>
        <v>14.067277366423289</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50.790608528988976</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68.688063669364382</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0.80557624773864001</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様子見</v>
      </c>
      <c r="X180" s="504">
        <f t="shared" si="31"/>
        <v>10</v>
      </c>
      <c r="Y180" s="501">
        <f t="shared" si="26"/>
        <v>1865</v>
      </c>
      <c r="Z180" s="501">
        <f t="shared" si="27"/>
        <v>1936.3093470529848</v>
      </c>
      <c r="AA180" s="501">
        <f t="shared" si="28"/>
        <v>1865</v>
      </c>
      <c r="AB180" s="501">
        <f t="shared" si="32"/>
        <v>2002.0923783164958</v>
      </c>
      <c r="AC180" s="507" t="str">
        <f t="shared" si="29"/>
        <v>－</v>
      </c>
      <c r="AD180" s="501">
        <f>IF($D180="","",MIN(終値!E180:I180))</f>
        <v>1865</v>
      </c>
      <c r="AE180" s="503">
        <f t="shared" si="30"/>
        <v>10.0982</v>
      </c>
    </row>
    <row r="181" spans="1:31">
      <c r="A181" s="500" t="str">
        <f>IF(終値!A181="","",HYPERLINK("https://kabutan.jp/stock/?code="&amp;終値!A181,"📈"))</f>
        <v>📈</v>
      </c>
      <c r="B181" s="500" t="str">
        <f>IF(終値!A181="","",終値!A181)</f>
        <v>9505</v>
      </c>
      <c r="C181" s="499" t="str">
        <f>IF(終値!A181="","",終値!B181)</f>
        <v>北陸電力</v>
      </c>
      <c r="D181" s="501">
        <f>IF(終値!A181="","",終値!E181)</f>
        <v>931.9</v>
      </c>
      <c r="E181" s="501">
        <f>IF($D181="","",AVERAGE(終値!E181:X181))</f>
        <v>932.75</v>
      </c>
      <c r="F181" s="502">
        <f>IF($D181="","",STDEVP(終値!E181:X181))</f>
        <v>28.133138822392361</v>
      </c>
      <c r="G181" s="501">
        <f>IF($D181="","",$E181+BB設定!$B$4*$F181)</f>
        <v>989.01627764478474</v>
      </c>
      <c r="H181" s="501">
        <f>IF($D181="","",$E181+BB設定!$B$5*$F181)</f>
        <v>960.88313882239231</v>
      </c>
      <c r="I181" s="501">
        <f>IF($D181="","",$E181-BB設定!$B$5*$F181)</f>
        <v>904.61686117760769</v>
      </c>
      <c r="J181" s="501">
        <f>IF($D181="","",$E181-BB設定!$B$4*$F181)</f>
        <v>876.48372235521526</v>
      </c>
      <c r="K181" s="506">
        <f t="shared" si="22"/>
        <v>0.49244663024124175</v>
      </c>
      <c r="L181" s="505">
        <f t="shared" si="23"/>
        <v>12.064599870229909</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60.914388166741368</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57.248211922903977</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v>
      </c>
      <c r="V181" s="508">
        <f>IF($D181="","",IFERROR(出来高!E181/AVERAGE(出来高!E181:I181),""))</f>
        <v>0.70376998150348125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△二番底買(確)</v>
      </c>
      <c r="X181" s="504">
        <f t="shared" si="31"/>
        <v>5</v>
      </c>
      <c r="Y181" s="501">
        <f t="shared" si="26"/>
        <v>931.9</v>
      </c>
      <c r="Z181" s="501">
        <f t="shared" si="27"/>
        <v>960.88313882239231</v>
      </c>
      <c r="AA181" s="501">
        <f t="shared" si="28"/>
        <v>931.9</v>
      </c>
      <c r="AB181" s="501">
        <f t="shared" si="32"/>
        <v>989.01627764478474</v>
      </c>
      <c r="AC181" s="507" t="str">
        <f t="shared" si="29"/>
        <v>－</v>
      </c>
      <c r="AD181" s="501">
        <f>IF($D181="","",MIN(終値!E181:I181))</f>
        <v>931.9</v>
      </c>
      <c r="AE181" s="503">
        <f t="shared" si="30"/>
        <v>5.0981899999999998</v>
      </c>
    </row>
    <row r="182" spans="1:31">
      <c r="A182" s="500" t="str">
        <f>IF(終値!A182="","",HYPERLINK("https://kabutan.jp/stock/?code="&amp;終値!A182,"📈"))</f>
        <v>📈</v>
      </c>
      <c r="B182" s="500" t="str">
        <f>IF(終値!A182="","",終値!A182)</f>
        <v>8091</v>
      </c>
      <c r="C182" s="499" t="str">
        <f>IF(終値!A182="","",終値!B182)</f>
        <v>ニチモウ</v>
      </c>
      <c r="D182" s="501">
        <f>IF(終値!A182="","",終値!E182)</f>
        <v>2360</v>
      </c>
      <c r="E182" s="501">
        <f>IF($D182="","",AVERAGE(終値!E182:X182))</f>
        <v>2331.4499999999998</v>
      </c>
      <c r="F182" s="502">
        <f>IF($D182="","",STDEVP(終値!E182:X182))</f>
        <v>37.498633308428722</v>
      </c>
      <c r="G182" s="501">
        <f>IF($D182="","",$E182+BB設定!$B$4*$F182)</f>
        <v>2406.4472666168572</v>
      </c>
      <c r="H182" s="501">
        <f>IF($D182="","",$E182+BB設定!$B$5*$F182)</f>
        <v>2368.9486333084287</v>
      </c>
      <c r="I182" s="501">
        <f>IF($D182="","",$E182-BB設定!$B$5*$F182)</f>
        <v>2293.9513666915709</v>
      </c>
      <c r="J182" s="501">
        <f>IF($D182="","",$E182-BB設定!$B$4*$F182)</f>
        <v>2256.4527333831425</v>
      </c>
      <c r="K182" s="506">
        <f t="shared" si="22"/>
        <v>0.69034027030515077</v>
      </c>
      <c r="L182" s="505">
        <f t="shared" si="23"/>
        <v>6.4335299163059361</v>
      </c>
      <c r="M182" s="505">
        <f>IF($D182="","",IFERROR(MIN(BB_帯幅!B182:AP182)*100,""))</f>
        <v>3.7551715015837268</v>
      </c>
      <c r="N182" s="500" t="str">
        <f>IF($L182="","",IF($L182&lt;=$M182*BB設定!$B$7,"スクイーズ★",IF($L182&lt;=$M182*1.3,"収縮","－")))</f>
        <v>－</v>
      </c>
      <c r="O182" s="500" t="str">
        <f>IF($D182="","",IF(AND(BB_帯幅!B182&gt;BB_帯幅!C182,BB_帯幅!C182&gt;BB_帯幅!D182),"拡大↑","縮小↓"))</f>
        <v>拡大↑</v>
      </c>
      <c r="P182" s="500" t="str">
        <f t="shared" si="24"/>
        <v>バンド内</v>
      </c>
      <c r="Q182" s="503">
        <f>IF($D182="","",IFERROR(100-100/(1+SUMPRODUCT((終値!E182:R182&gt;終値!F182:S182)*(終値!E182:R182-終値!F182:S182))/SUMPRODUCT((終値!E182:R182&lt;終値!F182:S182)*(終値!F182:S182-終値!E182:R182))),100))</f>
        <v>70.222222222222229</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78.841086972007162</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v>
      </c>
      <c r="T182" s="500" t="str">
        <f t="shared" si="25"/>
        <v>－</v>
      </c>
      <c r="U182" s="500" t="str">
        <f>IF(終値!A182="","",BB_スイング!BT182)</f>
        <v>二番底W▲</v>
      </c>
      <c r="V182" s="508">
        <f>IF($D182="","",IFERROR(出来高!E182/AVERAGE(出来高!E182:I182),""))</f>
        <v>0.32909930715935337</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28</v>
      </c>
      <c r="Y182" s="501">
        <f t="shared" si="26"/>
        <v>2360</v>
      </c>
      <c r="Z182" s="501">
        <f t="shared" si="27"/>
        <v>2368.9486333084287</v>
      </c>
      <c r="AA182" s="501">
        <f t="shared" si="28"/>
        <v>2331.4499999999998</v>
      </c>
      <c r="AB182" s="501">
        <f t="shared" si="32"/>
        <v>2406.4472666168572</v>
      </c>
      <c r="AC182" s="507">
        <f t="shared" si="29"/>
        <v>1.63</v>
      </c>
      <c r="AD182" s="501">
        <f>IF($D182="","",MIN(終値!E182:I182))</f>
        <v>2360</v>
      </c>
      <c r="AE182" s="503">
        <f t="shared" si="30"/>
        <v>28.098179999999999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14046</v>
      </c>
      <c r="F183" s="502">
        <f>IF($D183="","",STDEVP(終値!E183:X183))</f>
        <v>1058.2787912454828</v>
      </c>
      <c r="G183" s="501">
        <f>IF($D183="","",$E183+BB設定!$B$4*$F183)</f>
        <v>16162.557582490965</v>
      </c>
      <c r="H183" s="501">
        <f>IF($D183="","",$E183+BB設定!$B$5*$F183)</f>
        <v>15104.278791245482</v>
      </c>
      <c r="I183" s="501">
        <f>IF($D183="","",$E183-BB設定!$B$5*$F183)</f>
        <v>12987.721208754518</v>
      </c>
      <c r="J183" s="501">
        <f>IF($D183="","",$E183-BB設定!$B$4*$F183)</f>
        <v>11929.442417509035</v>
      </c>
      <c r="K183" s="506">
        <f t="shared" si="22"/>
        <v>0.49385795118094528</v>
      </c>
      <c r="L183" s="505">
        <f t="shared" si="23"/>
        <v>30.137513633646083</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48.153214774281807</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61.86579712654752</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v>
      </c>
      <c r="T183" s="500" t="str">
        <f t="shared" si="25"/>
        <v>－</v>
      </c>
      <c r="U183" s="500" t="str">
        <f>IF(終値!A183="","",BB_スイング!BT183)</f>
        <v>－</v>
      </c>
      <c r="V183" s="508">
        <f>IF($D183="","",IFERROR(出来高!E183/AVERAGE(出来高!E183:I183),""))</f>
        <v>1.1524456254305679</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様子見</v>
      </c>
      <c r="X183" s="504">
        <f t="shared" si="31"/>
        <v>5</v>
      </c>
      <c r="Y183" s="501">
        <f t="shared" si="26"/>
        <v>14020</v>
      </c>
      <c r="Z183" s="501">
        <f t="shared" si="27"/>
        <v>15104.278791245482</v>
      </c>
      <c r="AA183" s="501">
        <f t="shared" si="28"/>
        <v>11930</v>
      </c>
      <c r="AB183" s="501">
        <f t="shared" si="32"/>
        <v>16162.557582490965</v>
      </c>
      <c r="AC183" s="507">
        <f t="shared" si="29"/>
        <v>1.03</v>
      </c>
      <c r="AD183" s="501">
        <f>IF($D183="","",MIN(終値!E183:I183))</f>
        <v>11930</v>
      </c>
      <c r="AE183" s="503">
        <f t="shared" si="30"/>
        <v>5.0981699999999996</v>
      </c>
    </row>
    <row r="184" spans="1:31">
      <c r="A184" s="500" t="str">
        <f>IF(終値!A184="","",HYPERLINK("https://kabutan.jp/stock/?code="&amp;終値!A184,"📈"))</f>
        <v>📈</v>
      </c>
      <c r="B184" s="500" t="str">
        <f>IF(終値!A184="","",終値!A184)</f>
        <v>9022</v>
      </c>
      <c r="C184" s="499" t="str">
        <f>IF(終値!A184="","",終値!B184)</f>
        <v>東海旅客鉄道</v>
      </c>
      <c r="D184" s="501">
        <f>IF(終値!A184="","",終値!E184)</f>
        <v>3820</v>
      </c>
      <c r="E184" s="501">
        <f>IF($D184="","",AVERAGE(終値!E184:X184))</f>
        <v>3831.25</v>
      </c>
      <c r="F184" s="502">
        <f>IF($D184="","",STDEVP(終値!E184:X184))</f>
        <v>185.33965441858362</v>
      </c>
      <c r="G184" s="501">
        <f>IF($D184="","",$E184+BB設定!$B$4*$F184)</f>
        <v>4201.9293088371669</v>
      </c>
      <c r="H184" s="501">
        <f>IF($D184="","",$E184+BB設定!$B$5*$F184)</f>
        <v>4016.5896544185835</v>
      </c>
      <c r="I184" s="501">
        <f>IF($D184="","",$E184-BB設定!$B$5*$F184)</f>
        <v>3645.9103455814165</v>
      </c>
      <c r="J184" s="501">
        <f>IF($D184="","",$E184-BB設定!$B$4*$F184)</f>
        <v>3460.5706911628326</v>
      </c>
      <c r="K184" s="506">
        <f t="shared" si="22"/>
        <v>0.4848251578496634</v>
      </c>
      <c r="L184" s="505">
        <f t="shared" si="23"/>
        <v>19.350306497209377</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57.257346393588605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61.496726085216288</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v>
      </c>
      <c r="T184" s="500" t="str">
        <f t="shared" si="25"/>
        <v>－</v>
      </c>
      <c r="U184" s="500" t="str">
        <f>IF(終値!A184="","",BB_スイング!BT184)</f>
        <v>－</v>
      </c>
      <c r="V184" s="508">
        <f>IF($D184="","",IFERROR(出来高!E184/AVERAGE(出来高!E184:I184),""))</f>
        <v>0.94225164645400072</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10</v>
      </c>
      <c r="Y184" s="501">
        <f t="shared" si="26"/>
        <v>3820</v>
      </c>
      <c r="Z184" s="501">
        <f t="shared" si="27"/>
        <v>4016.5896544185835</v>
      </c>
      <c r="AA184" s="501">
        <f t="shared" si="28"/>
        <v>3820</v>
      </c>
      <c r="AB184" s="501">
        <f t="shared" si="32"/>
        <v>4201.9293088371669</v>
      </c>
      <c r="AC184" s="507" t="str">
        <f t="shared" si="29"/>
        <v>－</v>
      </c>
      <c r="AD184" s="501">
        <f>IF($D184="","",MIN(終値!E184:I184))</f>
        <v>3820</v>
      </c>
      <c r="AE184" s="503">
        <f t="shared" si="30"/>
        <v>10.09816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2381</v>
      </c>
      <c r="E185" s="501">
        <f>IF($D185="","",AVERAGE(終値!E185:X185))</f>
        <v>2349.6</v>
      </c>
      <c r="F185" s="502">
        <f>IF($D185="","",STDEVP(終値!E185:X185))</f>
        <v>31.244839573920046</v>
      </c>
      <c r="G185" s="501">
        <f>IF($D185="","",$E185+BB設定!$B$4*$F185)</f>
        <v>2412.0896791478399</v>
      </c>
      <c r="H185" s="501">
        <f>IF($D185="","",$E185+BB設定!$B$5*$F185)</f>
        <v>2380.8448395739201</v>
      </c>
      <c r="I185" s="501">
        <f>IF($D185="","",$E185-BB設定!$B$5*$F185)</f>
        <v>2318.3551604260797</v>
      </c>
      <c r="J185" s="501">
        <f>IF($D185="","",$E185-BB設定!$B$4*$F185)</f>
        <v>2287.1103208521599</v>
      </c>
      <c r="K185" s="506">
        <f t="shared" si="22"/>
        <v>0.75124148842013594</v>
      </c>
      <c r="L185" s="505">
        <f t="shared" si="23"/>
        <v>5.3191759574259434</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+1σ上</v>
      </c>
      <c r="Q185" s="503">
        <f>IF($D185="","",IFERROR(100-100/(1+SUMPRODUCT((終値!E185:R185&gt;終値!F185:S185)*(終値!E185:R185-終値!F185:S185))/SUMPRODUCT((終値!E185:R185&lt;終値!F185:S185)*(終値!F185:S185-終値!E185:R185))),100))</f>
        <v>62.57309941520468</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55.981381725342736</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v>
      </c>
      <c r="T185" s="500" t="str">
        <f t="shared" si="25"/>
        <v>上walk▲</v>
      </c>
      <c r="U185" s="500" t="str">
        <f>IF(終値!A185="","",BB_スイング!BT185)</f>
        <v>二番底W形成</v>
      </c>
      <c r="V185" s="508">
        <f>IF($D185="","",IFERROR(出来高!E185/AVERAGE(出来高!E185:I185),""))</f>
        <v>0.99547976166016028</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32</v>
      </c>
      <c r="Y185" s="501">
        <f t="shared" si="26"/>
        <v>2381</v>
      </c>
      <c r="Z185" s="501">
        <f t="shared" si="27"/>
        <v>2380.8448395739201</v>
      </c>
      <c r="AA185" s="501">
        <f t="shared" si="28"/>
        <v>2349.6</v>
      </c>
      <c r="AB185" s="501">
        <f t="shared" si="32"/>
        <v>2412.0896791478399</v>
      </c>
      <c r="AC185" s="507">
        <f t="shared" si="29"/>
        <v>0.99</v>
      </c>
      <c r="AD185" s="501">
        <f>IF($D185="","",MIN(終値!E185:I185))</f>
        <v>2361</v>
      </c>
      <c r="AE185" s="503">
        <f t="shared" si="30"/>
        <v>32.098149999999997</v>
      </c>
    </row>
    <row r="186" spans="1:31">
      <c r="A186" s="500" t="str">
        <f>IF(終値!A186="","",HYPERLINK("https://kabutan.jp/stock/?code="&amp;終値!A186,"📈"))</f>
        <v>📈</v>
      </c>
      <c r="B186" s="500" t="str">
        <f>IF(終値!A186="","",終値!A186)</f>
        <v>9506</v>
      </c>
      <c r="C186" s="499" t="str">
        <f>IF(終値!A186="","",終値!B186)</f>
        <v>東北電力</v>
      </c>
      <c r="D186" s="501">
        <f>IF(終値!A186="","",終値!E186)</f>
        <v>1186.5</v>
      </c>
      <c r="E186" s="501">
        <f>IF($D186="","",AVERAGE(終値!E186:X186))</f>
        <v>1137.625</v>
      </c>
      <c r="F186" s="502">
        <f>IF($D186="","",STDEVP(終値!E186:X186))</f>
        <v>37.65364358199615</v>
      </c>
      <c r="G186" s="501">
        <f>IF($D186="","",$E186+BB設定!$B$4*$F186)</f>
        <v>1212.9322871639922</v>
      </c>
      <c r="H186" s="501">
        <f>IF($D186="","",$E186+BB設定!$B$5*$F186)</f>
        <v>1175.2786435819962</v>
      </c>
      <c r="I186" s="501">
        <f>IF($D186="","",$E186-BB設定!$B$5*$F186)</f>
        <v>1099.9713564180038</v>
      </c>
      <c r="J186" s="501">
        <f>IF($D186="","",$E186-BB設定!$B$4*$F186)</f>
        <v>1062.3177128360078</v>
      </c>
      <c r="K186" s="506">
        <f t="shared" si="22"/>
        <v>0.82450378868095331</v>
      </c>
      <c r="L186" s="505">
        <f t="shared" si="23"/>
        <v>13.239386821490776</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76.986301369863014</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53.953682320992108</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二番底W▲</v>
      </c>
      <c r="V186" s="508">
        <f>IF($D186="","",IFERROR(出来高!E186/AVERAGE(出来高!E186:I186),""))</f>
        <v>0.83043731544163435</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△二番底買(確)</v>
      </c>
      <c r="X186" s="504">
        <f t="shared" si="31"/>
        <v>25</v>
      </c>
      <c r="Y186" s="501">
        <f t="shared" si="26"/>
        <v>1186.5</v>
      </c>
      <c r="Z186" s="501">
        <f t="shared" si="27"/>
        <v>1175.2786435819962</v>
      </c>
      <c r="AA186" s="501">
        <f t="shared" si="28"/>
        <v>1137.625</v>
      </c>
      <c r="AB186" s="501">
        <f t="shared" si="32"/>
        <v>1212.9322871639922</v>
      </c>
      <c r="AC186" s="507">
        <f t="shared" si="29"/>
        <v>0.54</v>
      </c>
      <c r="AD186" s="501">
        <f>IF($D186="","",MIN(終値!E186:I186))</f>
        <v>1179</v>
      </c>
      <c r="AE186" s="503">
        <f t="shared" si="30"/>
        <v>25.098140000000001</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635.20000000000005</v>
      </c>
      <c r="E187" s="501">
        <f>IF($D187="","",AVERAGE(終値!E187:X187))</f>
        <v>672.14999999999986</v>
      </c>
      <c r="F187" s="502">
        <f>IF($D187="","",STDEVP(終値!E187:X187))</f>
        <v>17.515093491043654</v>
      </c>
      <c r="G187" s="501">
        <f>IF($D187="","",$E187+BB設定!$B$4*$F187)</f>
        <v>707.18018698208721</v>
      </c>
      <c r="H187" s="501">
        <f>IF($D187="","",$E187+BB設定!$B$5*$F187)</f>
        <v>689.66509349104354</v>
      </c>
      <c r="I187" s="501">
        <f>IF($D187="","",$E187-BB設定!$B$5*$F187)</f>
        <v>654.63490650895619</v>
      </c>
      <c r="J187" s="501">
        <f>IF($D187="","",$E187-BB設定!$B$4*$F187)</f>
        <v>637.11981301791252</v>
      </c>
      <c r="K187" s="506">
        <f t="shared" si="22"/>
        <v>-2.7402266206774308E-2</v>
      </c>
      <c r="L187" s="505">
        <f t="shared" si="23"/>
        <v>10.423324252648174</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↓-2σ割れ</v>
      </c>
      <c r="Q187" s="503">
        <f>IF($D187="","",IFERROR(100-100/(1+SUMPRODUCT((終値!E187:R187&gt;終値!F187:S187)*(終値!E187:R187-終値!F187:S187))/SUMPRODUCT((終値!E187:R187&lt;終値!F187:S187)*(終値!F187:S187-終値!E187:R187))),100))</f>
        <v>37.884872824631863</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55.013049254697847</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二番天井M▼</v>
      </c>
      <c r="V187" s="508">
        <f>IF($D187="","",IFERROR(出来高!E187/AVERAGE(出来高!E187:I187),""))</f>
        <v>0.53206050763387336</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▼二番天井警戒</v>
      </c>
      <c r="X187" s="504">
        <f t="shared" si="31"/>
        <v>0</v>
      </c>
      <c r="Y187" s="501">
        <f t="shared" si="26"/>
        <v>635.20000000000005</v>
      </c>
      <c r="Z187" s="501">
        <f t="shared" si="27"/>
        <v>689.66509349104354</v>
      </c>
      <c r="AA187" s="501">
        <f t="shared" si="28"/>
        <v>635.20000000000005</v>
      </c>
      <c r="AB187" s="501">
        <f t="shared" si="32"/>
        <v>707.18018698208721</v>
      </c>
      <c r="AC187" s="507" t="str">
        <f t="shared" si="29"/>
        <v>－</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617.70000000000005</v>
      </c>
      <c r="E188" s="501">
        <f>IF($D188="","",AVERAGE(終値!E188:X188))</f>
        <v>628.56999999999994</v>
      </c>
      <c r="F188" s="502">
        <f>IF($D188="","",STDEVP(終値!E188:X188))</f>
        <v>16.504244908507623</v>
      </c>
      <c r="G188" s="501">
        <f>IF($D188="","",$E188+BB設定!$B$4*$F188)</f>
        <v>661.57848981701522</v>
      </c>
      <c r="H188" s="501">
        <f>IF($D188="","",$E188+BB設定!$B$5*$F188)</f>
        <v>645.07424490850758</v>
      </c>
      <c r="I188" s="501">
        <f>IF($D188="","",$E188-BB設定!$B$5*$F188)</f>
        <v>612.06575509149229</v>
      </c>
      <c r="J188" s="501">
        <f>IF($D188="","",$E188-BB設定!$B$4*$F188)</f>
        <v>595.56151018298465</v>
      </c>
      <c r="K188" s="506">
        <f t="shared" si="22"/>
        <v>0.33534539053045986</v>
      </c>
      <c r="L188" s="505">
        <f t="shared" si="23"/>
        <v>10.502725175243901</v>
      </c>
      <c r="M188" s="505">
        <f>IF($D188="","",IFERROR(MIN(BB_帯幅!B188:AP188)*100,""))</f>
        <v>10.136530722814213</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43.058491895701231</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47.376742370655229</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0.74902447771420011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15</v>
      </c>
      <c r="Y188" s="501">
        <f t="shared" si="26"/>
        <v>617.70000000000005</v>
      </c>
      <c r="Z188" s="501">
        <f t="shared" si="27"/>
        <v>645.07424490850758</v>
      </c>
      <c r="AA188" s="501">
        <f t="shared" si="28"/>
        <v>617.70000000000005</v>
      </c>
      <c r="AB188" s="501">
        <f t="shared" si="32"/>
        <v>661.57848981701522</v>
      </c>
      <c r="AC188" s="507" t="str">
        <f t="shared" si="29"/>
        <v>－</v>
      </c>
      <c r="AD188" s="501">
        <f>IF($D188="","",MIN(終値!E188:I188))</f>
        <v>617.70000000000005</v>
      </c>
      <c r="AE188" s="503">
        <f t="shared" si="30"/>
        <v>15.09812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1915.5</v>
      </c>
      <c r="E189" s="501">
        <f>IF($D189="","",AVERAGE(終値!E189:X189))</f>
        <v>2018.1</v>
      </c>
      <c r="F189" s="502">
        <f>IF($D189="","",STDEVP(終値!E189:X189))</f>
        <v>68.748745443098812</v>
      </c>
      <c r="G189" s="501">
        <f>IF($D189="","",$E189+BB設定!$B$4*$F189)</f>
        <v>2155.5974908861976</v>
      </c>
      <c r="H189" s="501">
        <f>IF($D189="","",$E189+BB設定!$B$5*$F189)</f>
        <v>2086.8487454430988</v>
      </c>
      <c r="I189" s="501">
        <f>IF($D189="","",$E189-BB設定!$B$5*$F189)</f>
        <v>1949.351254556901</v>
      </c>
      <c r="J189" s="501">
        <f>IF($D189="","",$E189-BB設定!$B$4*$F189)</f>
        <v>1880.6025091138022</v>
      </c>
      <c r="K189" s="506">
        <f t="shared" si="22"/>
        <v>0.12690228258449227</v>
      </c>
      <c r="L189" s="505">
        <f t="shared" si="23"/>
        <v>13.626429898042488</v>
      </c>
      <c r="M189" s="505">
        <f>IF($D189="","",IFERROR(MIN(BB_帯幅!B189:AP189)*100,""))</f>
        <v>4.2820201031130285</v>
      </c>
      <c r="N189" s="500" t="str">
        <f>IF($L189="","",IF($L189&lt;=$M189*BB設定!$B$7,"スクイーズ★",IF($L189&lt;=$M189*1.3,"収縮","－")))</f>
        <v>－</v>
      </c>
      <c r="O189" s="500" t="str">
        <f>IF($D189="","",IF(AND(BB_帯幅!B189&gt;BB_帯幅!C189,BB_帯幅!C189&gt;BB_帯幅!D189),"拡大↑","縮小↓"))</f>
        <v>縮小↓</v>
      </c>
      <c r="P189" s="500" t="str">
        <f t="shared" si="24"/>
        <v>-1σ下</v>
      </c>
      <c r="Q189" s="503">
        <f>IF($D189="","",IFERROR(100-100/(1+SUMPRODUCT((終値!E189:R189&gt;終値!F189:S189)*(終値!E189:R189-終値!F189:S189))/SUMPRODUCT((終値!E189:R189&lt;終値!F189:S189)*(終値!F189:S189-終値!E189:R189))),100))</f>
        <v>47.87234042553191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56.179981633983644</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1.4877213610157081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1915.5</v>
      </c>
      <c r="Z189" s="501">
        <f t="shared" si="27"/>
        <v>2086.8487454430988</v>
      </c>
      <c r="AA189" s="501">
        <f t="shared" si="28"/>
        <v>1915.5</v>
      </c>
      <c r="AB189" s="501">
        <f t="shared" si="32"/>
        <v>2155.5974908861976</v>
      </c>
      <c r="AC189" s="507" t="str">
        <f t="shared" si="29"/>
        <v>－</v>
      </c>
      <c r="AD189" s="501">
        <f>IF($D189="","",MIN(終値!E189:I189))</f>
        <v>1915.5</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1686</v>
      </c>
      <c r="E190" s="501">
        <f>IF($D190="","",AVERAGE(終値!E190:X190))</f>
        <v>1700.075</v>
      </c>
      <c r="F190" s="502">
        <f>IF($D190="","",STDEVP(終値!E190:X190))</f>
        <v>59.53744095105197</v>
      </c>
      <c r="G190" s="501">
        <f>IF($D190="","",$E190+BB設定!$B$4*$F190)</f>
        <v>1819.149881902104</v>
      </c>
      <c r="H190" s="501">
        <f>IF($D190="","",$E190+BB設定!$B$5*$F190)</f>
        <v>1759.6124409510521</v>
      </c>
      <c r="I190" s="501">
        <f>IF($D190="","",$E190-BB設定!$B$5*$F190)</f>
        <v>1640.537559048948</v>
      </c>
      <c r="J190" s="501">
        <f>IF($D190="","",$E190-BB設定!$B$4*$F190)</f>
        <v>1581.0001180978961</v>
      </c>
      <c r="K190" s="506">
        <f t="shared" si="22"/>
        <v>0.44089853470704404</v>
      </c>
      <c r="L190" s="505">
        <f t="shared" si="23"/>
        <v>14.008191627087502</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56.635318704284217</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63.825297923121141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v>
      </c>
      <c r="T190" s="500" t="str">
        <f t="shared" si="25"/>
        <v>－</v>
      </c>
      <c r="U190" s="500" t="str">
        <f>IF(終値!A190="","",BB_スイング!BT190)</f>
        <v>－</v>
      </c>
      <c r="V190" s="508">
        <f>IF($D190="","",IFERROR(出来高!E190/AVERAGE(出来高!E190:I190),""))</f>
        <v>0.71786483194017725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様子見</v>
      </c>
      <c r="X190" s="504">
        <f t="shared" si="31"/>
        <v>20</v>
      </c>
      <c r="Y190" s="501">
        <f t="shared" si="26"/>
        <v>1686</v>
      </c>
      <c r="Z190" s="501">
        <f t="shared" si="27"/>
        <v>1759.6124409510521</v>
      </c>
      <c r="AA190" s="501">
        <f t="shared" si="28"/>
        <v>1686</v>
      </c>
      <c r="AB190" s="501">
        <f t="shared" si="32"/>
        <v>1819.149881902104</v>
      </c>
      <c r="AC190" s="507" t="str">
        <f t="shared" si="29"/>
        <v>－</v>
      </c>
      <c r="AD190" s="501">
        <f>IF($D190="","",MIN(終値!E190:I190))</f>
        <v>1686</v>
      </c>
      <c r="AE190" s="503">
        <f t="shared" si="30"/>
        <v>20.098099999999999</v>
      </c>
    </row>
    <row r="191" spans="1:31">
      <c r="A191" s="500" t="str">
        <f>IF(終値!A191="","",HYPERLINK("https://kabutan.jp/stock/?code="&amp;終値!A191,"📈"))</f>
        <v>📈</v>
      </c>
      <c r="B191" s="500" t="str">
        <f>IF(終値!A191="","",終値!A191)</f>
        <v>6485</v>
      </c>
      <c r="C191" s="499" t="str">
        <f>IF(終値!A191="","",終値!B191)</f>
        <v>前澤給装工業</v>
      </c>
      <c r="D191" s="501">
        <f>IF(終値!A191="","",終値!E191)</f>
        <v>1573</v>
      </c>
      <c r="E191" s="501">
        <f>IF($D191="","",AVERAGE(終値!E191:X191))</f>
        <v>1554.25</v>
      </c>
      <c r="F191" s="502">
        <f>IF($D191="","",STDEVP(終値!E191:X191))</f>
        <v>20.774684113121911</v>
      </c>
      <c r="G191" s="501">
        <f>IF($D191="","",$E191+BB設定!$B$4*$F191)</f>
        <v>1595.7993682262438</v>
      </c>
      <c r="H191" s="501">
        <f>IF($D191="","",$E191+BB設定!$B$5*$F191)</f>
        <v>1575.024684113122</v>
      </c>
      <c r="I191" s="501">
        <f>IF($D191="","",$E191-BB設定!$B$5*$F191)</f>
        <v>1533.475315886878</v>
      </c>
      <c r="J191" s="501">
        <f>IF($D191="","",$E191-BB設定!$B$4*$F191)</f>
        <v>1512.7006317737562</v>
      </c>
      <c r="K191" s="506">
        <f t="shared" si="22"/>
        <v>0.72563519976889734</v>
      </c>
      <c r="L191" s="505">
        <f t="shared" si="23"/>
        <v>5.346548911210399</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バンド内</v>
      </c>
      <c r="Q191" s="503">
        <f>IF($D191="","",IFERROR(100-100/(1+SUMPRODUCT((終値!E191:R191&gt;終値!F191:S191)*(終値!E191:R191-終値!F191:S191))/SUMPRODUCT((終値!E191:R191&lt;終値!F191:S191)*(終値!F191:S191-終値!E191:R191))),100))</f>
        <v>59.659090909090914</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60.347635128585459</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v>
      </c>
      <c r="U191" s="500" t="str">
        <f>IF(終値!A191="","",BB_スイング!BT191)</f>
        <v>二番底W形成</v>
      </c>
      <c r="V191" s="508">
        <f>IF($D191="","",IFERROR(出来高!E191/AVERAGE(出来高!E191:I191),""))</f>
        <v>0.72307692307692306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△二番底形成</v>
      </c>
      <c r="X191" s="504">
        <f t="shared" si="31"/>
        <v>45</v>
      </c>
      <c r="Y191" s="501">
        <f t="shared" si="26"/>
        <v>1573</v>
      </c>
      <c r="Z191" s="501">
        <f t="shared" si="27"/>
        <v>1575.024684113122</v>
      </c>
      <c r="AA191" s="501">
        <f t="shared" si="28"/>
        <v>1554.25</v>
      </c>
      <c r="AB191" s="501">
        <f t="shared" si="32"/>
        <v>1595.7993682262438</v>
      </c>
      <c r="AC191" s="507">
        <f t="shared" si="29"/>
        <v>1.22</v>
      </c>
      <c r="AD191" s="501">
        <f>IF($D191="","",MIN(終値!E191:I191))</f>
        <v>1569</v>
      </c>
      <c r="AE191" s="503">
        <f t="shared" si="30"/>
        <v>45.098089999999999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1601.5</v>
      </c>
      <c r="E192" s="501">
        <f>IF($D192="","",AVERAGE(終値!E192:X192))</f>
        <v>1679.575</v>
      </c>
      <c r="F192" s="502">
        <f>IF($D192="","",STDEVP(終値!E192:X192))</f>
        <v>34.119010463376569</v>
      </c>
      <c r="G192" s="501">
        <f>IF($D192="","",$E192+BB設定!$B$4*$F192)</f>
        <v>1747.8130209267531</v>
      </c>
      <c r="H192" s="501">
        <f>IF($D192="","",$E192+BB設定!$B$5*$F192)</f>
        <v>1713.6940104633766</v>
      </c>
      <c r="I192" s="501">
        <f>IF($D192="","",$E192-BB設定!$B$5*$F192)</f>
        <v>1645.4559895366235</v>
      </c>
      <c r="J192" s="501">
        <f>IF($D192="","",$E192-BB設定!$B$4*$F192)</f>
        <v>1611.336979073247</v>
      </c>
      <c r="K192" s="506">
        <f t="shared" si="22"/>
        <v>-7.2078431786628483E-2</v>
      </c>
      <c r="L192" s="505">
        <f t="shared" si="23"/>
        <v>8.1256295106503789</v>
      </c>
      <c r="M192" s="505">
        <f>IF($D192="","",IFERROR(MIN(BB_帯幅!B192:AP192)*100,""))</f>
        <v>5.7435853746937067</v>
      </c>
      <c r="N192" s="500" t="str">
        <f>IF($L192="","",IF($L192&lt;=$M192*BB設定!$B$7,"スクイーズ★",IF($L192&lt;=$M192*1.3,"収縮","－")))</f>
        <v>－</v>
      </c>
      <c r="O192" s="500" t="str">
        <f>IF($D192="","",IF(AND(BB_帯幅!B192&gt;BB_帯幅!C192,BB_帯幅!C192&gt;BB_帯幅!D192),"拡大↑","縮小↓"))</f>
        <v>拡大↑</v>
      </c>
      <c r="P192" s="500" t="str">
        <f t="shared" si="24"/>
        <v>↓-2σ割れ</v>
      </c>
      <c r="Q192" s="503">
        <f>IF($D192="","",IFERROR(100-100/(1+SUMPRODUCT((終値!E192:R192&gt;終値!F192:S192)*(終値!E192:R192-終値!F192:S192))/SUMPRODUCT((終値!E192:R192&lt;終値!F192:S192)*(終値!F192:S192-終値!E192:R192))),100))</f>
        <v>37.313432835820898</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45.211247840161782</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二番天井M▼</v>
      </c>
      <c r="V192" s="508">
        <f>IF($D192="","",IFERROR(出来高!E192/AVERAGE(出来高!E192:I192),""))</f>
        <v>0.96201824613665987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▼二番天井警戒</v>
      </c>
      <c r="X192" s="504">
        <f t="shared" si="31"/>
        <v>0</v>
      </c>
      <c r="Y192" s="501">
        <f t="shared" si="26"/>
        <v>1601.5</v>
      </c>
      <c r="Z192" s="501">
        <f t="shared" si="27"/>
        <v>1713.6940104633766</v>
      </c>
      <c r="AA192" s="501">
        <f t="shared" si="28"/>
        <v>1601.5</v>
      </c>
      <c r="AB192" s="501">
        <f t="shared" si="32"/>
        <v>1747.8130209267531</v>
      </c>
      <c r="AC192" s="507" t="str">
        <f t="shared" si="29"/>
        <v>－</v>
      </c>
      <c r="AD192" s="501">
        <f>IF($D192="","",MIN(終値!E192:I192))</f>
        <v>1601.5</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2158</v>
      </c>
      <c r="E193" s="501">
        <f>IF($D193="","",AVERAGE(終値!E193:X193))</f>
        <v>2096.4499999999998</v>
      </c>
      <c r="F193" s="502">
        <f>IF($D193="","",STDEVP(終値!E193:X193))</f>
        <v>95.504175301397154</v>
      </c>
      <c r="G193" s="501">
        <f>IF($D193="","",$E193+BB設定!$B$4*$F193)</f>
        <v>2287.4583506027943</v>
      </c>
      <c r="H193" s="501">
        <f>IF($D193="","",$E193+BB設定!$B$5*$F193)</f>
        <v>2191.9541753013968</v>
      </c>
      <c r="I193" s="501">
        <f>IF($D193="","",$E193-BB設定!$B$5*$F193)</f>
        <v>2000.9458246986026</v>
      </c>
      <c r="J193" s="501">
        <f>IF($D193="","",$E193-BB設定!$B$4*$F193)</f>
        <v>1905.4416493972055</v>
      </c>
      <c r="K193" s="506">
        <f t="shared" si="22"/>
        <v>0.66111861027477925</v>
      </c>
      <c r="L193" s="505">
        <f t="shared" si="23"/>
        <v>18.222075470704706</v>
      </c>
      <c r="M193" s="505">
        <f>IF($D193="","",IFERROR(MIN(BB_帯幅!B193:AP193)*100,""))</f>
        <v>17.691719996432525</v>
      </c>
      <c r="N193" s="500" t="str">
        <f>IF($L193="","",IF($L193&lt;=$M193*BB設定!$B$7,"スクイーズ★",IF($L193&lt;=$M193*1.3,"収縮","－")))</f>
        <v>スクイーズ★</v>
      </c>
      <c r="O193" s="500" t="str">
        <f>IF($D193="","",IF(AND(BB_帯幅!B193&gt;BB_帯幅!C193,BB_帯幅!C193&gt;BB_帯幅!D193),"拡大↑","縮小↓"))</f>
        <v>拡大↑</v>
      </c>
      <c r="P193" s="500" t="str">
        <f t="shared" si="24"/>
        <v>バンド内</v>
      </c>
      <c r="Q193" s="503">
        <f>IF($D193="","",IFERROR(100-100/(1+SUMPRODUCT((終値!E193:R193&gt;終値!F193:S193)*(終値!E193:R193-終値!F193:S193))/SUMPRODUCT((終値!E193:R193&lt;終値!F193:S193)*(終値!F193:S193-終値!E193:R193))),100))</f>
        <v>52.485659655831746</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51.6838154598994</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弱気div▼</v>
      </c>
      <c r="T193" s="500" t="str">
        <f t="shared" si="25"/>
        <v>－</v>
      </c>
      <c r="U193" s="500" t="str">
        <f>IF(終値!A193="","",BB_スイング!BT193)</f>
        <v>二番天井M形成</v>
      </c>
      <c r="V193" s="508">
        <f>IF($D193="","",IFERROR(出来高!E193/AVERAGE(出来高!E193:I193),""))</f>
        <v>1.4325757114130766</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▼二番天井警戒</v>
      </c>
      <c r="X193" s="504">
        <f t="shared" si="31"/>
        <v>35</v>
      </c>
      <c r="Y193" s="501">
        <f t="shared" si="26"/>
        <v>2158</v>
      </c>
      <c r="Z193" s="501">
        <f t="shared" si="27"/>
        <v>2191.9541753013968</v>
      </c>
      <c r="AA193" s="501">
        <f t="shared" si="28"/>
        <v>2096.4499999999998</v>
      </c>
      <c r="AB193" s="501">
        <f t="shared" si="32"/>
        <v>2287.4583506027943</v>
      </c>
      <c r="AC193" s="507">
        <f t="shared" si="29"/>
        <v>2.1</v>
      </c>
      <c r="AD193" s="501">
        <f>IF($D193="","",MIN(終値!E193:I193))</f>
        <v>1984</v>
      </c>
      <c r="AE193" s="503">
        <f t="shared" si="30"/>
        <v>35.09807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8150</v>
      </c>
      <c r="E194" s="501">
        <f>IF($D194="","",AVERAGE(終値!E194:X194))</f>
        <v>7808.9473684210525</v>
      </c>
      <c r="F194" s="502">
        <f>IF($D194="","",STDEVP(終値!E194:X194))</f>
        <v>221.87940624160555</v>
      </c>
      <c r="G194" s="501">
        <f>IF($D194="","",$E194+BB設定!$B$4*$F194)</f>
        <v>8252.7061809042643</v>
      </c>
      <c r="H194" s="501">
        <f>IF($D194="","",$E194+BB設定!$B$5*$F194)</f>
        <v>8030.826774662658</v>
      </c>
      <c r="I194" s="501">
        <f>IF($D194="","",$E194-BB設定!$B$5*$F194)</f>
        <v>7587.067962179447</v>
      </c>
      <c r="J194" s="501">
        <f>IF($D194="","",$E194-BB設定!$B$4*$F194)</f>
        <v>7365.1885559378416</v>
      </c>
      <c r="K194" s="506">
        <f t="shared" si="22"/>
        <v>0.88427702389780716</v>
      </c>
      <c r="L194" s="505">
        <f t="shared" si="23"/>
        <v>11.365393862884703</v>
      </c>
      <c r="M194" s="505">
        <f>IF($D194="","",IFERROR(MIN(BB_帯幅!B194:AP194)*100,""))</f>
        <v>6.4260276574236261</v>
      </c>
      <c r="N194" s="500" t="str">
        <f>IF($L194="","",IF($L194&lt;=$M194*BB設定!$B$7,"スクイーズ★",IF($L194&lt;=$M194*1.3,"収縮","－")))</f>
        <v>－</v>
      </c>
      <c r="O194" s="500" t="str">
        <f>IF($D194="","",IF(AND(BB_帯幅!B194&gt;BB_帯幅!C194,BB_帯幅!C194&gt;BB_帯幅!D194),"拡大↑","縮小↓"))</f>
        <v>拡大↑</v>
      </c>
      <c r="P194" s="500" t="str">
        <f t="shared" si="24"/>
        <v>+1σ上</v>
      </c>
      <c r="Q194" s="503">
        <f>IF($D194="","",IFERROR(100-100/(1+SUMPRODUCT((終値!E194:R194&gt;終値!F194:S194)*(終値!E194:R194-終値!F194:S194))/SUMPRODUCT((終値!E194:R194&lt;終値!F194:S194)*(終値!F194:S194-終値!E194:R194))),100))</f>
        <v>51.283618581907099</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58.033080786787089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v>
      </c>
      <c r="T194" s="500" t="str">
        <f t="shared" si="25"/>
        <v>上walk▲</v>
      </c>
      <c r="U194" s="500" t="str">
        <f>IF(終値!A194="","",BB_スイング!BT194)</f>
        <v>－</v>
      </c>
      <c r="V194" s="508">
        <f>IF($D194="","",IFERROR(出来高!E194/AVERAGE(出来高!E194:I194),""))</f>
        <v>0.53741338297652286</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42</v>
      </c>
      <c r="Y194" s="501">
        <f t="shared" si="26"/>
        <v>8150</v>
      </c>
      <c r="Z194" s="501">
        <f t="shared" si="27"/>
        <v>8030.826774662658</v>
      </c>
      <c r="AA194" s="501">
        <f t="shared" si="28"/>
        <v>7808.9473684210525</v>
      </c>
      <c r="AB194" s="501">
        <f t="shared" si="32"/>
        <v>8252.7061809042643</v>
      </c>
      <c r="AC194" s="507">
        <f t="shared" si="29"/>
        <v>0.3</v>
      </c>
      <c r="AD194" s="501">
        <f>IF($D194="","",MIN(終値!E194:I194))</f>
        <v>8060</v>
      </c>
      <c r="AE194" s="503">
        <f t="shared" si="30"/>
        <v>42.098059999999997</v>
      </c>
    </row>
    <row r="195" spans="1:31">
      <c r="A195" s="500" t="str">
        <f>IF(終値!A195="","",HYPERLINK("https://kabutan.jp/stock/?code="&amp;終値!A195,"📈"))</f>
        <v>📈</v>
      </c>
      <c r="B195" s="500" t="str">
        <f>IF(終値!A195="","",終値!A195)</f>
        <v>6890</v>
      </c>
      <c r="C195" s="499" t="str">
        <f>IF(終値!A195="","",終値!B195)</f>
        <v>フェローテック</v>
      </c>
      <c r="D195" s="501">
        <f>IF(終値!A195="","",終値!E195)</f>
        <v>8740</v>
      </c>
      <c r="E195" s="501">
        <f>IF($D195="","",AVERAGE(終値!E195:X195))</f>
        <v>8159</v>
      </c>
      <c r="F195" s="502">
        <f>IF($D195="","",STDEVP(終値!E195:X195))</f>
        <v>655.20912692055811</v>
      </c>
      <c r="G195" s="501">
        <f>IF($D195="","",$E195+BB設定!$B$4*$F195)</f>
        <v>9469.4182538411169</v>
      </c>
      <c r="H195" s="501">
        <f>IF($D195="","",$E195+BB設定!$B$5*$F195)</f>
        <v>8814.2091269205575</v>
      </c>
      <c r="I195" s="501">
        <f>IF($D195="","",$E195-BB設定!$B$5*$F195)</f>
        <v>7503.7908730794416</v>
      </c>
      <c r="J195" s="501">
        <f>IF($D195="","",$E195-BB設定!$B$4*$F195)</f>
        <v>6848.581746158884</v>
      </c>
      <c r="K195" s="506">
        <f t="shared" si="22"/>
        <v>0.72168494612195921</v>
      </c>
      <c r="L195" s="505">
        <f t="shared" si="23"/>
        <v>32.122030980294561</v>
      </c>
      <c r="M195" s="505">
        <f>IF($D195="","",IFERROR(MIN(BB_帯幅!B195:AP195)*100,""))</f>
        <v>22.577335255178259</v>
      </c>
      <c r="N195" s="500" t="str">
        <f>IF($L195="","",IF($L195&lt;=$M195*BB設定!$B$7,"スクイーズ★",IF($L195&lt;=$M195*1.3,"収縮","－")))</f>
        <v>－</v>
      </c>
      <c r="O195" s="500" t="str">
        <f>IF($D195="","",IF(AND(BB_帯幅!B195&gt;BB_帯幅!C195,BB_帯幅!C195&gt;BB_帯幅!D195),"拡大↑","縮小↓"))</f>
        <v>縮小↓</v>
      </c>
      <c r="P195" s="500" t="str">
        <f t="shared" si="24"/>
        <v>バンド内</v>
      </c>
      <c r="Q195" s="503">
        <f>IF($D195="","",IFERROR(100-100/(1+SUMPRODUCT((終値!E195:R195&gt;終値!F195:S195)*(終値!E195:R195-終値!F195:S195))/SUMPRODUCT((終値!E195:R195&lt;終値!F195:S195)*(終値!F195:S195-終値!E195:R195))),100))</f>
        <v>52.137931034482762</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25.278176097463117</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v>
      </c>
      <c r="T195" s="500" t="str">
        <f t="shared" si="25"/>
        <v>－</v>
      </c>
      <c r="U195" s="500" t="str">
        <f>IF(終値!A195="","",BB_スイング!BT195)</f>
        <v>二番底W▲</v>
      </c>
      <c r="V195" s="508">
        <f>IF($D195="","",IFERROR(出来高!E195/AVERAGE(出来高!E195:I195),""))</f>
        <v>0.76829686051666468</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△二番底買(確)</v>
      </c>
      <c r="X195" s="504">
        <f t="shared" si="31"/>
        <v>15</v>
      </c>
      <c r="Y195" s="501">
        <f t="shared" si="26"/>
        <v>8740</v>
      </c>
      <c r="Z195" s="501">
        <f t="shared" si="27"/>
        <v>8814.2091269205575</v>
      </c>
      <c r="AA195" s="501">
        <f t="shared" si="28"/>
        <v>8159</v>
      </c>
      <c r="AB195" s="501">
        <f t="shared" si="32"/>
        <v>9469.4182538411169</v>
      </c>
      <c r="AC195" s="507">
        <f t="shared" si="29"/>
        <v>1.26</v>
      </c>
      <c r="AD195" s="501">
        <f>IF($D195="","",MIN(終値!E195:I195))</f>
        <v>7160</v>
      </c>
      <c r="AE195" s="503">
        <f t="shared" si="30"/>
        <v>15.098050000000001</v>
      </c>
    </row>
    <row r="196" spans="1:31">
      <c r="A196" s="500" t="str">
        <f>IF(終値!A196="","",HYPERLINK("https://kabutan.jp/stock/?code="&amp;終値!A196,"📈"))</f>
        <v>📈</v>
      </c>
      <c r="B196" s="500" t="str">
        <f>IF(終値!A196="","",終値!A196)</f>
        <v>4966</v>
      </c>
      <c r="C196" s="499" t="str">
        <f>IF(終値!A196="","",終値!B196)</f>
        <v>上村工業</v>
      </c>
      <c r="D196" s="501">
        <f>IF(終値!A196="","",終値!E196)</f>
        <v>23900</v>
      </c>
      <c r="E196" s="501">
        <f>IF($D196="","",AVERAGE(終値!E196:X196))</f>
        <v>23424</v>
      </c>
      <c r="F196" s="502">
        <f>IF($D196="","",STDEVP(終値!E196:X196))</f>
        <v>1363.7133129804079</v>
      </c>
      <c r="G196" s="501">
        <f>IF($D196="","",$E196+BB設定!$B$4*$F196)</f>
        <v>26151.426625960816</v>
      </c>
      <c r="H196" s="501">
        <f>IF($D196="","",$E196+BB設定!$B$5*$F196)</f>
        <v>24787.713312980406</v>
      </c>
      <c r="I196" s="501">
        <f>IF($D196="","",$E196-BB設定!$B$5*$F196)</f>
        <v>22060.286687019594</v>
      </c>
      <c r="J196" s="501">
        <f>IF($D196="","",$E196-BB設定!$B$4*$F196)</f>
        <v>20696.573374039184</v>
      </c>
      <c r="K196" s="506">
        <f t="shared" si="22"/>
        <v>0.58726174252851171</v>
      </c>
      <c r="L196" s="505">
        <f t="shared" si="23"/>
        <v>23.287454115102594</v>
      </c>
      <c r="M196" s="505">
        <f>IF($D196="","",IFERROR(MIN(BB_帯幅!B196:AP196)*100,""))</f>
        <v>12.179732456043721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51.595330739299605</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43.46189714731586</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強気div▲</v>
      </c>
      <c r="T196" s="500" t="str">
        <f t="shared" si="25"/>
        <v>－</v>
      </c>
      <c r="U196" s="500" t="str">
        <f>IF(終値!A196="","",BB_スイング!BT196)</f>
        <v>二番天井M形成</v>
      </c>
      <c r="V196" s="508">
        <f>IF($D196="","",IFERROR(出来高!E196/AVERAGE(出来高!E196:I196),""))</f>
        <v>0.77982471829726341</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15</v>
      </c>
      <c r="Y196" s="501">
        <f t="shared" si="26"/>
        <v>23900</v>
      </c>
      <c r="Z196" s="501">
        <f t="shared" si="27"/>
        <v>24787.713312980406</v>
      </c>
      <c r="AA196" s="501">
        <f t="shared" si="28"/>
        <v>23424</v>
      </c>
      <c r="AB196" s="501">
        <f t="shared" si="32"/>
        <v>26151.426625960816</v>
      </c>
      <c r="AC196" s="507">
        <f t="shared" si="29"/>
        <v>4.7300000000000004</v>
      </c>
      <c r="AD196" s="501">
        <f>IF($D196="","",MIN(終値!E196:I196))</f>
        <v>20230</v>
      </c>
      <c r="AE196" s="503">
        <f t="shared" si="30"/>
        <v>15.098039999999999</v>
      </c>
    </row>
    <row r="197" spans="1:31">
      <c r="A197" s="500" t="str">
        <f>IF(終値!A197="","",HYPERLINK("https://kabutan.jp/stock/?code="&amp;終値!A197,"📈"))</f>
        <v>📈</v>
      </c>
      <c r="B197" s="500" t="str">
        <f>IF(終値!A197="","",終値!A197)</f>
        <v>6146</v>
      </c>
      <c r="C197" s="499" t="str">
        <f>IF(終値!A197="","",終値!B197)</f>
        <v>ディスコ</v>
      </c>
      <c r="D197" s="501">
        <f>IF(終値!A197="","",終値!E197)</f>
        <v>60890</v>
      </c>
      <c r="E197" s="501">
        <f>IF($D197="","",AVERAGE(終値!E197:X197))</f>
        <v>65470.5</v>
      </c>
      <c r="F197" s="502">
        <f>IF($D197="","",STDEVP(終値!E197:X197))</f>
        <v>7325.087354427932</v>
      </c>
      <c r="G197" s="501">
        <f>IF($D197="","",$E197+BB設定!$B$4*$F197)</f>
        <v>80120.674708855862</v>
      </c>
      <c r="H197" s="501">
        <f>IF($D197="","",$E197+BB設定!$B$5*$F197)</f>
        <v>72795.587354427931</v>
      </c>
      <c r="I197" s="501">
        <f>IF($D197="","",$E197-BB設定!$B$5*$F197)</f>
        <v>58145.412645572069</v>
      </c>
      <c r="J197" s="501">
        <f>IF($D197="","",$E197-BB設定!$B$4*$F197)</f>
        <v>50820.325291144138</v>
      </c>
      <c r="K197" s="506">
        <f t="shared" si="22"/>
        <v>0.34367080628631885</v>
      </c>
      <c r="L197" s="505">
        <f t="shared" si="23"/>
        <v>44.753514052453738</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39.44138806601778</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55.843049373969833</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0.63089977538646735</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60890</v>
      </c>
      <c r="Z197" s="501">
        <f t="shared" si="27"/>
        <v>72795.587354427931</v>
      </c>
      <c r="AA197" s="501">
        <f t="shared" si="28"/>
        <v>51320</v>
      </c>
      <c r="AB197" s="501">
        <f t="shared" si="32"/>
        <v>80120.674708855862</v>
      </c>
      <c r="AC197" s="507">
        <f t="shared" si="29"/>
        <v>2.0099999999999998</v>
      </c>
      <c r="AD197" s="501">
        <f>IF($D197="","",MIN(終値!E197:I197))</f>
        <v>51320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56700</v>
      </c>
      <c r="E198" s="501">
        <f>IF($D198="","",AVERAGE(終値!E198:X198))</f>
        <v>64210</v>
      </c>
      <c r="F198" s="502">
        <f>IF($D198="","",STDEVP(終値!E198:X198))</f>
        <v>7325.4153465861582</v>
      </c>
      <c r="G198" s="501">
        <f>IF($D198="","",$E198+BB設定!$B$4*$F198)</f>
        <v>78860.83069317232</v>
      </c>
      <c r="H198" s="501">
        <f>IF($D198="","",$E198+BB設定!$B$5*$F198)</f>
        <v>71535.41534658616</v>
      </c>
      <c r="I198" s="501">
        <f>IF($D198="","",$E198-BB設定!$B$5*$F198)</f>
        <v>56884.58465341384</v>
      </c>
      <c r="J198" s="501">
        <f>IF($D198="","",$E198-BB設定!$B$4*$F198)</f>
        <v>49559.16930682768</v>
      </c>
      <c r="K198" s="506">
        <f t="shared" ref="K198:K261" si="33">IF($D198="","",IFERROR(($D198-$J198)/($G198-$J198),""))</f>
        <v>0.24370053967315788</v>
      </c>
      <c r="L198" s="505">
        <f t="shared" ref="L198:L261" si="34">IF($D198="","",IFERROR(($G198-$J198)/$E198*100,""))</f>
        <v>45.634108996020309</v>
      </c>
      <c r="M198" s="505">
        <f>IF($D198="","",IFERROR(MIN(BB_帯幅!B198:AP198)*100,""))</f>
        <v>15.342965894944232</v>
      </c>
      <c r="N198" s="500" t="str">
        <f>IF($L198="","",IF($L198&lt;=$M198*BB設定!$B$7,"スクイーズ★",IF($L198&lt;=$M198*1.3,"収縮","－")))</f>
        <v>－</v>
      </c>
      <c r="O198" s="500" t="str">
        <f>IF($D198="","",IF(AND(BB_帯幅!B198&gt;BB_帯幅!C198,BB_帯幅!C198&gt;BB_帯幅!D198),"拡大↑","縮小↓"))</f>
        <v>拡大↑</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31.019240769630784</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48.913146568455602</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0.52203284887417145</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56700</v>
      </c>
      <c r="Z198" s="501">
        <f t="shared" ref="Z198:Z261" si="38">IF($D198="","",$H198)</f>
        <v>71535.41534658616</v>
      </c>
      <c r="AA198" s="501">
        <f t="shared" ref="AA198:AA261" si="39">IF($D198="","",IF($D198&gt;$E198,$E198,$AD198))</f>
        <v>50000</v>
      </c>
      <c r="AB198" s="501">
        <f t="shared" si="32"/>
        <v>78860.83069317232</v>
      </c>
      <c r="AC198" s="507">
        <f t="shared" ref="AC198:AC261" si="40">IF($D198="","",IF(($Y198-$AA198)&lt;=0,"－",IFERROR(ROUND(MIN(20,($AB198-$Y198)/($Y198-$AA198)),2),"－")))</f>
        <v>3.31</v>
      </c>
      <c r="AD198" s="501">
        <f>IF($D198="","",MIN(終値!E198:I198))</f>
        <v>50000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44100</v>
      </c>
      <c r="E199" s="501">
        <f>IF($D199="","",AVERAGE(終値!E199:X199))</f>
        <v>42388.5</v>
      </c>
      <c r="F199" s="502">
        <f>IF($D199="","",STDEVP(終値!E199:X199))</f>
        <v>3853.0692635871469</v>
      </c>
      <c r="G199" s="501">
        <f>IF($D199="","",$E199+BB設定!$B$4*$F199)</f>
        <v>50094.638527174291</v>
      </c>
      <c r="H199" s="501">
        <f>IF($D199="","",$E199+BB設定!$B$5*$F199)</f>
        <v>46241.569263587146</v>
      </c>
      <c r="I199" s="501">
        <f>IF($D199="","",$E199-BB設定!$B$5*$F199)</f>
        <v>38535.430736412854</v>
      </c>
      <c r="J199" s="501">
        <f>IF($D199="","",$E199-BB設定!$B$4*$F199)</f>
        <v>34682.361472825709</v>
      </c>
      <c r="K199" s="506">
        <f t="shared" si="33"/>
        <v>0.61104783504505578</v>
      </c>
      <c r="L199" s="505">
        <f t="shared" si="34"/>
        <v>36.359571710130304</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49.135037438678026</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59.619497491970868</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v>
      </c>
      <c r="T199" s="500" t="str">
        <f t="shared" si="36"/>
        <v>－</v>
      </c>
      <c r="U199" s="500" t="str">
        <f>IF(終値!A199="","",BB_スイング!BT199)</f>
        <v>－</v>
      </c>
      <c r="V199" s="508">
        <f>IF($D199="","",IFERROR(出来高!E199/AVERAGE(出来高!E199:I199),""))</f>
        <v>0.87303034724248618</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様子見</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15</v>
      </c>
      <c r="Y199" s="501">
        <f t="shared" si="37"/>
        <v>44100</v>
      </c>
      <c r="Z199" s="501">
        <f t="shared" si="38"/>
        <v>46241.569263587146</v>
      </c>
      <c r="AA199" s="501">
        <f t="shared" si="39"/>
        <v>42388.5</v>
      </c>
      <c r="AB199" s="501">
        <f t="shared" ref="AB199:AB262" si="43">IF($D199="","",IF($D199&gt;$G199,$E199+3*$F199,$G199))</f>
        <v>50094.638527174291</v>
      </c>
      <c r="AC199" s="507">
        <f t="shared" si="40"/>
        <v>3.5</v>
      </c>
      <c r="AD199" s="501">
        <f>IF($D199="","",MIN(終値!E199:I199))</f>
        <v>33620</v>
      </c>
      <c r="AE199" s="503">
        <f t="shared" si="41"/>
        <v>15.09801</v>
      </c>
    </row>
    <row r="200" spans="1:31">
      <c r="A200" s="500" t="str">
        <f>IF(終値!A200="","",HYPERLINK("https://kabutan.jp/stock/?code="&amp;終値!A200,"📈"))</f>
        <v>📈</v>
      </c>
      <c r="B200" s="500" t="str">
        <f>IF(終値!A200="","",終値!A200)</f>
        <v>5801</v>
      </c>
      <c r="C200" s="499" t="str">
        <f>IF(終値!A200="","",終値!B200)</f>
        <v>古河電工</v>
      </c>
      <c r="D200" s="501">
        <f>IF(終値!A200="","",終値!E200)</f>
        <v>3566</v>
      </c>
      <c r="E200" s="501">
        <f>IF($D200="","",AVERAGE(終値!E200:X200))</f>
        <v>3404.95</v>
      </c>
      <c r="F200" s="502">
        <f>IF($D200="","",STDEVP(終値!E200:X200))</f>
        <v>297.77016724312728</v>
      </c>
      <c r="G200" s="501">
        <f>IF($D200="","",$E200+BB設定!$B$4*$F200)</f>
        <v>4000.4903344862541</v>
      </c>
      <c r="H200" s="501">
        <f>IF($D200="","",$E200+BB設定!$B$5*$F200)</f>
        <v>3702.720167243127</v>
      </c>
      <c r="I200" s="501">
        <f>IF($D200="","",$E200-BB設定!$B$5*$F200)</f>
        <v>3107.1798327568727</v>
      </c>
      <c r="J200" s="501">
        <f>IF($D200="","",$E200-BB設定!$B$4*$F200)</f>
        <v>2809.4096655137455</v>
      </c>
      <c r="K200" s="506">
        <f t="shared" si="33"/>
        <v>0.6352133438106512</v>
      </c>
      <c r="L200" s="505">
        <f t="shared" si="34"/>
        <v>34.98085637006443</v>
      </c>
      <c r="M200" s="505">
        <f>IF($D200="","",IFERROR(MIN(BB_帯幅!B200:AP200)*100,""))</f>
        <v>30.776854461058313</v>
      </c>
      <c r="N200" s="500" t="str">
        <f>IF($L200="","",IF($L200&lt;=$M200*BB設定!$B$7,"スクイーズ★",IF($L200&lt;=$M200*1.3,"収縮","－")))</f>
        <v>収縮</v>
      </c>
      <c r="O200" s="500" t="str">
        <f>IF($D200="","",IF(AND(BB_帯幅!B200&gt;BB_帯幅!C200,BB_帯幅!C200&gt;BB_帯幅!D200),"拡大↑","縮小↓"))</f>
        <v>縮小↓</v>
      </c>
      <c r="P200" s="500" t="str">
        <f t="shared" si="35"/>
        <v>バンド内</v>
      </c>
      <c r="Q200" s="503">
        <f>IF($D200="","",IFERROR(100-100/(1+SUMPRODUCT((終値!E200:R200&gt;終値!F200:S200)*(終値!E200:R200-終値!F200:S200))/SUMPRODUCT((終値!E200:R200&lt;終値!F200:S200)*(終値!F200:S200-終値!E200:R200))),100))</f>
        <v>49.56240487062405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46.201628318279077</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v>
      </c>
      <c r="U200" s="500" t="str">
        <f>IF(終値!A200="","",BB_スイング!BT200)</f>
        <v>－</v>
      </c>
      <c r="V200" s="508">
        <f>IF($D200="","",IFERROR(出来高!E200/AVERAGE(出来高!E200:I200),""))</f>
        <v>1.2168758520567997</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30</v>
      </c>
      <c r="Y200" s="501">
        <f t="shared" si="37"/>
        <v>3566</v>
      </c>
      <c r="Z200" s="501">
        <f t="shared" si="38"/>
        <v>3702.720167243127</v>
      </c>
      <c r="AA200" s="501">
        <f t="shared" si="39"/>
        <v>3404.95</v>
      </c>
      <c r="AB200" s="501">
        <f t="shared" si="43"/>
        <v>4000.4903344862541</v>
      </c>
      <c r="AC200" s="507">
        <f t="shared" si="40"/>
        <v>2.7</v>
      </c>
      <c r="AD200" s="501">
        <f>IF($D200="","",MIN(終値!E200:I200))</f>
        <v>2772.5</v>
      </c>
      <c r="AE200" s="503">
        <f t="shared" si="41"/>
        <v>30.097999999999999</v>
      </c>
    </row>
    <row r="201" spans="1:31">
      <c r="A201" s="500" t="str">
        <f>IF(終値!A201="","",HYPERLINK("https://kabutan.jp/stock/?code="&amp;終値!A201,"📈"))</f>
        <v>📈</v>
      </c>
      <c r="B201" s="500" t="str">
        <f>IF(終値!A201="","",終値!A201)</f>
        <v>6506</v>
      </c>
      <c r="C201" s="499" t="str">
        <f>IF(終値!A201="","",終値!B201)</f>
        <v>安川電機</v>
      </c>
      <c r="D201" s="501">
        <f>IF(終値!A201="","",終値!E201)</f>
        <v>5133</v>
      </c>
      <c r="E201" s="501">
        <f>IF($D201="","",AVERAGE(終値!E201:X201))</f>
        <v>5584.6</v>
      </c>
      <c r="F201" s="502">
        <f>IF($D201="","",STDEVP(終値!E201:X201))</f>
        <v>857.91138236999745</v>
      </c>
      <c r="G201" s="501">
        <f>IF($D201="","",$E201+BB設定!$B$4*$F201)</f>
        <v>7300.4227647399948</v>
      </c>
      <c r="H201" s="501">
        <f>IF($D201="","",$E201+BB設定!$B$5*$F201)</f>
        <v>6442.5113823699976</v>
      </c>
      <c r="I201" s="501">
        <f>IF($D201="","",$E201-BB設定!$B$5*$F201)</f>
        <v>4726.6886176300031</v>
      </c>
      <c r="J201" s="501">
        <f>IF($D201="","",$E201-BB設定!$B$4*$F201)</f>
        <v>3868.7772352600055</v>
      </c>
      <c r="K201" s="506">
        <f t="shared" si="33"/>
        <v>0.36840132638395412</v>
      </c>
      <c r="L201" s="505">
        <f t="shared" si="34"/>
        <v>61.448367465530019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35.244460077383039</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31.65889495866945</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v>
      </c>
      <c r="T201" s="500" t="str">
        <f t="shared" si="36"/>
        <v>－</v>
      </c>
      <c r="U201" s="500" t="str">
        <f>IF(終値!A201="","",BB_スイング!BT201)</f>
        <v>－</v>
      </c>
      <c r="V201" s="508">
        <f>IF($D201="","",IFERROR(出来高!E201/AVERAGE(出来高!E201:I201),""))</f>
        <v>0.72826429750516386</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様子見</v>
      </c>
      <c r="X201" s="504">
        <f t="shared" si="42"/>
        <v>0</v>
      </c>
      <c r="Y201" s="501">
        <f t="shared" si="37"/>
        <v>5133</v>
      </c>
      <c r="Z201" s="501">
        <f t="shared" si="38"/>
        <v>6442.5113823699976</v>
      </c>
      <c r="AA201" s="501">
        <f t="shared" si="39"/>
        <v>4544</v>
      </c>
      <c r="AB201" s="501">
        <f t="shared" si="43"/>
        <v>7300.4227647399948</v>
      </c>
      <c r="AC201" s="507">
        <f t="shared" si="40"/>
        <v>3.68</v>
      </c>
      <c r="AD201" s="501">
        <f>IF($D201="","",MIN(終値!E201:I201))</f>
        <v>4544</v>
      </c>
      <c r="AE201" s="503">
        <f t="shared" si="41"/>
        <v>9.7989999999999994E-2</v>
      </c>
    </row>
    <row r="202" spans="1:31">
      <c r="A202" s="500" t="str">
        <f>IF(終値!A202="","",HYPERLINK("https://kabutan.jp/stock/?code="&amp;終値!A202,"📈"))</f>
        <v>📈</v>
      </c>
      <c r="B202" s="500" t="str">
        <f>IF(終値!A202="","",終値!A202)</f>
        <v>2768</v>
      </c>
      <c r="C202" s="499" t="str">
        <f>IF(終値!A202="","",終値!B202)</f>
        <v>双日</v>
      </c>
      <c r="D202" s="501">
        <f>IF(終値!A202="","",終値!E202)</f>
        <v>5232</v>
      </c>
      <c r="E202" s="501">
        <f>IF($D202="","",AVERAGE(終値!E202:X202))</f>
        <v>5264.9</v>
      </c>
      <c r="F202" s="502">
        <f>IF($D202="","",STDEVP(終値!E202:X202))</f>
        <v>122.65720525105731</v>
      </c>
      <c r="G202" s="501">
        <f>IF($D202="","",$E202+BB設定!$B$4*$F202)</f>
        <v>5510.2144105021143</v>
      </c>
      <c r="H202" s="501">
        <f>IF($D202="","",$E202+BB設定!$B$5*$F202)</f>
        <v>5387.557205251057</v>
      </c>
      <c r="I202" s="501">
        <f>IF($D202="","",$E202-BB設定!$B$5*$F202)</f>
        <v>5142.2427947489423</v>
      </c>
      <c r="J202" s="501">
        <f>IF($D202="","",$E202-BB設定!$B$4*$F202)</f>
        <v>5019.5855894978849</v>
      </c>
      <c r="K202" s="506">
        <f t="shared" si="33"/>
        <v>0.43294319739990156</v>
      </c>
      <c r="L202" s="505">
        <f t="shared" si="34"/>
        <v>9.3188630554090182</v>
      </c>
      <c r="M202" s="505">
        <f>IF($D202="","",IFERROR(MIN(BB_帯幅!B202:AP202)*100,""))</f>
        <v>5.0650679899827615</v>
      </c>
      <c r="N202" s="500" t="str">
        <f>IF($L202="","",IF($L202&lt;=$M202*BB設定!$B$7,"スクイーズ★",IF($L202&lt;=$M202*1.3,"収縮","－")))</f>
        <v>－</v>
      </c>
      <c r="O202" s="500" t="str">
        <f>IF($D202="","",IF(AND(BB_帯幅!B202&gt;BB_帯幅!C202,BB_帯幅!C202&gt;BB_帯幅!D202),"拡大↑","縮小↓"))</f>
        <v>縮小↓</v>
      </c>
      <c r="P202" s="500" t="str">
        <f t="shared" si="35"/>
        <v>バンド内</v>
      </c>
      <c r="Q202" s="503">
        <f>IF($D202="","",IFERROR(100-100/(1+SUMPRODUCT((終値!E202:R202&gt;終値!F202:S202)*(終値!E202:R202-終値!F202:S202))/SUMPRODUCT((終値!E202:R202&lt;終値!F202:S202)*(終値!F202:S202-終値!E202:R202))),100))</f>
        <v>57.25938009787928</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61.55647960129928</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強気div▲</v>
      </c>
      <c r="T202" s="500" t="str">
        <f t="shared" si="36"/>
        <v>－</v>
      </c>
      <c r="U202" s="500" t="str">
        <f>IF(終値!A202="","",BB_スイング!BT202)</f>
        <v>二番天井M▼</v>
      </c>
      <c r="V202" s="508">
        <f>IF($D202="","",IFERROR(出来高!E202/AVERAGE(出来高!E202:I202),""))</f>
        <v>0.77085963028937465</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▼二番天井警戒</v>
      </c>
      <c r="X202" s="504">
        <f t="shared" si="42"/>
        <v>10</v>
      </c>
      <c r="Y202" s="501">
        <f t="shared" si="37"/>
        <v>5232</v>
      </c>
      <c r="Z202" s="501">
        <f t="shared" si="38"/>
        <v>5387.557205251057</v>
      </c>
      <c r="AA202" s="501">
        <f t="shared" si="39"/>
        <v>5193</v>
      </c>
      <c r="AB202" s="501">
        <f t="shared" si="43"/>
        <v>5510.2144105021143</v>
      </c>
      <c r="AC202" s="507">
        <f t="shared" si="40"/>
        <v>7.13</v>
      </c>
      <c r="AD202" s="501">
        <f>IF($D202="","",MIN(終値!E202:I202))</f>
        <v>5193</v>
      </c>
      <c r="AE202" s="503">
        <f t="shared" si="41"/>
        <v>10.09798</v>
      </c>
    </row>
    <row r="203" spans="1:31">
      <c r="A203" s="500" t="str">
        <f>IF(終値!A203="","",HYPERLINK("https://kabutan.jp/stock/?code="&amp;終値!A203,"📈"))</f>
        <v>📈</v>
      </c>
      <c r="B203" s="500" t="str">
        <f>IF(終値!A203="","",終値!A203)</f>
        <v>6305</v>
      </c>
      <c r="C203" s="499" t="str">
        <f>IF(終値!A203="","",終値!B203)</f>
        <v>日立建機</v>
      </c>
      <c r="D203" s="501">
        <f>IF(終値!A203="","",終値!E203)</f>
        <v>5305</v>
      </c>
      <c r="E203" s="501">
        <f>IF($D203="","",AVERAGE(終値!E203:X203))</f>
        <v>5346.95</v>
      </c>
      <c r="F203" s="502">
        <f>IF($D203="","",STDEVP(終値!E203:X203))</f>
        <v>148.59625668232695</v>
      </c>
      <c r="G203" s="501">
        <f>IF($D203="","",$E203+BB設定!$B$4*$F203)</f>
        <v>5644.1425133646535</v>
      </c>
      <c r="H203" s="501">
        <f>IF($D203="","",$E203+BB設定!$B$5*$F203)</f>
        <v>5495.5462566823271</v>
      </c>
      <c r="I203" s="501">
        <f>IF($D203="","",$E203-BB設定!$B$5*$F203)</f>
        <v>5198.3537433176725</v>
      </c>
      <c r="J203" s="501">
        <f>IF($D203="","",$E203-BB設定!$B$4*$F203)</f>
        <v>5049.7574866353461</v>
      </c>
      <c r="K203" s="506">
        <f t="shared" si="33"/>
        <v>0.42942285200077135</v>
      </c>
      <c r="L203" s="505">
        <f t="shared" si="34"/>
        <v>11.116337851098427</v>
      </c>
      <c r="M203" s="505">
        <f>IF($D203="","",IFERROR(MIN(BB_帯幅!B203:AP203)*100,""))</f>
        <v>5.840896363537019</v>
      </c>
      <c r="N203" s="500" t="str">
        <f>IF($L203="","",IF($L203&lt;=$M203*BB設定!$B$7,"スクイーズ★",IF($L203&lt;=$M203*1.3,"収縮","－")))</f>
        <v>－</v>
      </c>
      <c r="O203" s="500" t="str">
        <f>IF($D203="","",IF(AND(BB_帯幅!B203&gt;BB_帯幅!C203,BB_帯幅!C203&gt;BB_帯幅!D203),"拡大↑","縮小↓"))</f>
        <v>縮小↓</v>
      </c>
      <c r="P203" s="500" t="str">
        <f t="shared" si="35"/>
        <v>バンド内</v>
      </c>
      <c r="Q203" s="503">
        <f>IF($D203="","",IFERROR(100-100/(1+SUMPRODUCT((終値!E203:R203&gt;終値!F203:S203)*(終値!E203:R203-終値!F203:S203))/SUMPRODUCT((終値!E203:R203&lt;終値!F203:S203)*(終値!F203:S203-終値!E203:R203))),100))</f>
        <v>53.559127439724449</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48.066011422983742</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v>
      </c>
      <c r="T203" s="500" t="str">
        <f t="shared" si="36"/>
        <v>－</v>
      </c>
      <c r="U203" s="500" t="str">
        <f>IF(終値!A203="","",BB_スイング!BT203)</f>
        <v>二番底W形成</v>
      </c>
      <c r="V203" s="508">
        <f>IF($D203="","",IFERROR(出来高!E203/AVERAGE(出来高!E203:I203),""))</f>
        <v>0.78322462291072159</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△二番底形成</v>
      </c>
      <c r="X203" s="504">
        <f t="shared" si="42"/>
        <v>0</v>
      </c>
      <c r="Y203" s="501">
        <f t="shared" si="37"/>
        <v>5305</v>
      </c>
      <c r="Z203" s="501">
        <f t="shared" si="38"/>
        <v>5495.5462566823271</v>
      </c>
      <c r="AA203" s="501">
        <f t="shared" si="39"/>
        <v>5244</v>
      </c>
      <c r="AB203" s="501">
        <f t="shared" si="43"/>
        <v>5644.1425133646535</v>
      </c>
      <c r="AC203" s="507">
        <f t="shared" si="40"/>
        <v>5.56</v>
      </c>
      <c r="AD203" s="501">
        <f>IF($D203="","",MIN(終値!E203:I203))</f>
        <v>5244</v>
      </c>
      <c r="AE203" s="503">
        <f t="shared" si="41"/>
        <v>9.7970000000000002E-2</v>
      </c>
    </row>
    <row r="204" spans="1:31">
      <c r="A204" s="500" t="str">
        <f>IF(終値!A204="","",HYPERLINK("https://kabutan.jp/stock/?code="&amp;終値!A204,"📈"))</f>
        <v>📈</v>
      </c>
      <c r="B204" s="500" t="str">
        <f>IF(終値!A204="","",終値!A204)</f>
        <v>8015</v>
      </c>
      <c r="C204" s="499" t="str">
        <f>IF(終値!A204="","",終値!B204)</f>
        <v>豊田通商</v>
      </c>
      <c r="D204" s="501">
        <f>IF(終値!A204="","",終値!E204)</f>
        <v>6804</v>
      </c>
      <c r="E204" s="501">
        <f>IF($D204="","",AVERAGE(終値!E204:X204))</f>
        <v>6383.15</v>
      </c>
      <c r="F204" s="502">
        <f>IF($D204="","",STDEVP(終値!E204:X204))</f>
        <v>242.68874613380817</v>
      </c>
      <c r="G204" s="501">
        <f>IF($D204="","",$E204+BB設定!$B$4*$F204)</f>
        <v>6868.5274922676163</v>
      </c>
      <c r="H204" s="501">
        <f>IF($D204="","",$E204+BB設定!$B$5*$F204)</f>
        <v>6625.8387461338079</v>
      </c>
      <c r="I204" s="501">
        <f>IF($D204="","",$E204-BB設定!$B$5*$F204)</f>
        <v>6140.4612538661913</v>
      </c>
      <c r="J204" s="501">
        <f>IF($D204="","",$E204-BB設定!$B$4*$F204)</f>
        <v>5897.772507732383</v>
      </c>
      <c r="K204" s="506">
        <f t="shared" si="33"/>
        <v>0.93352854912353611</v>
      </c>
      <c r="L204" s="505">
        <f t="shared" si="34"/>
        <v>15.208086674059567</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+1σ上</v>
      </c>
      <c r="Q204" s="503">
        <f>IF($D204="","",IFERROR(100-100/(1+SUMPRODUCT((終値!E204:R204&gt;終値!F204:S204)*(終値!E204:R204-終値!F204:S204))/SUMPRODUCT((終値!E204:R204&lt;終値!F204:S204)*(終値!F204:S204-終値!E204:R204))),100))</f>
        <v>71.138669673055247</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72.470989452260568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二番天井M形成</v>
      </c>
      <c r="V204" s="508">
        <f>IF($D204="","",IFERROR(出来高!E204/AVERAGE(出来高!E204:I204),""))</f>
        <v>0.57109529411298721</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▼二番天井警戒</v>
      </c>
      <c r="X204" s="504">
        <f t="shared" si="42"/>
        <v>25</v>
      </c>
      <c r="Y204" s="501">
        <f t="shared" si="37"/>
        <v>6804</v>
      </c>
      <c r="Z204" s="501">
        <f t="shared" si="38"/>
        <v>6625.8387461338079</v>
      </c>
      <c r="AA204" s="501">
        <f t="shared" si="39"/>
        <v>6383.15</v>
      </c>
      <c r="AB204" s="501">
        <f t="shared" si="43"/>
        <v>6868.5274922676163</v>
      </c>
      <c r="AC204" s="507">
        <f t="shared" si="40"/>
        <v>0.15</v>
      </c>
      <c r="AD204" s="501">
        <f>IF($D204="","",MIN(終値!E204:I204))</f>
        <v>6577</v>
      </c>
      <c r="AE204" s="503">
        <f t="shared" si="41"/>
        <v>25.09796</v>
      </c>
    </row>
    <row r="205" spans="1:31">
      <c r="A205" s="500" t="str">
        <f>IF(終値!A205="","",HYPERLINK("https://kabutan.jp/stock/?code="&amp;終値!A205,"📈"))</f>
        <v>📈</v>
      </c>
      <c r="B205" s="500" t="str">
        <f>IF(終値!A205="","",終値!A205)</f>
        <v>6758</v>
      </c>
      <c r="C205" s="499" t="str">
        <f>IF(終値!A205="","",終値!B205)</f>
        <v>ソニーグループ</v>
      </c>
      <c r="D205" s="501">
        <f>IF(終値!A205="","",終値!E205)</f>
        <v>0</v>
      </c>
      <c r="E205" s="501" t="e">
        <f>IF($D205="","",AVERAGE(終値!E205:X205))</f>
        <v>#DIV/0!</v>
      </c>
      <c r="F205" s="502" t="e">
        <f>IF($D205="","",STDEVP(終値!E205:X205))</f>
        <v>#DIV/0!</v>
      </c>
      <c r="G205" s="501" t="e">
        <f>IF($D205="","",$E205+BB設定!$B$4*$F205)</f>
        <v>#DIV/0!</v>
      </c>
      <c r="H205" s="501" t="e">
        <f>IF($D205="","",$E205+BB設定!$B$5*$F205)</f>
        <v>#DIV/0!</v>
      </c>
      <c r="I205" s="501" t="e">
        <f>IF($D205="","",$E205-BB設定!$B$5*$F205)</f>
        <v>#DIV/0!</v>
      </c>
      <c r="J205" s="501" t="e">
        <f>IF($D205="","",$E205-BB設定!$B$4*$F205)</f>
        <v>#DIV/0!</v>
      </c>
      <c r="K205" s="506" t="str">
        <f t="shared" si="33"/>
        <v/>
      </c>
      <c r="L205" s="505" t="str">
        <f t="shared" si="34"/>
        <v/>
      </c>
      <c r="M205" s="505">
        <f>IF($D205="","",IFERROR(MIN(BB_帯幅!B205:AP205)*100,""))</f>
        <v>0</v>
      </c>
      <c r="N205" s="500" t="str">
        <f>IF($L205="","",IF($L205&lt;=$M205*BB設定!$B$7,"スクイーズ★",IF($L205&lt;=$M205*1.3,"収縮","－")))</f>
        <v/>
      </c>
      <c r="O205" s="500" t="str">
        <f>IF($D205="","",IF(AND(BB_帯幅!B205&gt;BB_帯幅!C205,BB_帯幅!C205&gt;BB_帯幅!D205),"拡大↑","縮小↓"))</f>
        <v>縮小↓</v>
      </c>
      <c r="P205" s="500" t="e">
        <f t="shared" si="35"/>
        <v>#DIV/0!</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e">
        <f t="shared" si="36"/>
        <v>#DIV/0!</v>
      </c>
      <c r="U205" s="500" t="str">
        <f>IF(終値!A205="","",BB_スイング!BT205)</f>
        <v>－</v>
      </c>
      <c r="V205" s="508" t="str">
        <f>IF($D205="","",IFERROR(出来高!E205/AVERAGE(出来高!E205:I205),""))</f>
        <v/>
      </c>
      <c r="W205" s="509" t="e">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#DIV/0!</v>
      </c>
      <c r="X205" s="504" t="e">
        <f t="shared" si="42"/>
        <v>#DIV/0!</v>
      </c>
      <c r="Y205" s="501">
        <f t="shared" si="37"/>
        <v>0</v>
      </c>
      <c r="Z205" s="501" t="e">
        <f t="shared" si="38"/>
        <v>#DIV/0!</v>
      </c>
      <c r="AA205" s="501" t="e">
        <f t="shared" si="39"/>
        <v>#DIV/0!</v>
      </c>
      <c r="AB205" s="501" t="e">
        <f t="shared" si="43"/>
        <v>#DIV/0!</v>
      </c>
      <c r="AC205" s="507" t="e">
        <f t="shared" si="40"/>
        <v>#DIV/0!</v>
      </c>
      <c r="AD205" s="501">
        <f>IF($D205="","",MIN(終値!E205:I205))</f>
        <v>0</v>
      </c>
      <c r="AE205" s="503" t="e">
        <f t="shared" si="41"/>
        <v>#DIV/0!</v>
      </c>
    </row>
    <row r="206" spans="1:31">
      <c r="A206" s="500" t="str">
        <f>IF(終値!A206="","",HYPERLINK("https://kabutan.jp/stock/?code="&amp;終値!A206,"📈"))</f>
        <v>📈</v>
      </c>
      <c r="B206" s="500" t="str">
        <f>IF(終値!A206="","",終値!A206)</f>
        <v>9101</v>
      </c>
      <c r="C206" s="499" t="str">
        <f>IF(終値!A206="","",終値!B206)</f>
        <v>日本郵船</v>
      </c>
      <c r="D206" s="501">
        <f>IF(終値!A206="","",終値!E206)</f>
        <v>6019</v>
      </c>
      <c r="E206" s="501">
        <f>IF($D206="","",AVERAGE(終値!E206:X206))</f>
        <v>5733.35</v>
      </c>
      <c r="F206" s="502">
        <f>IF($D206="","",STDEVP(終値!E206:X206))</f>
        <v>309.870501177508</v>
      </c>
      <c r="G206" s="501">
        <f>IF($D206="","",$E206+BB設定!$B$4*$F206)</f>
        <v>6353.0910023550168</v>
      </c>
      <c r="H206" s="501">
        <f>IF($D206="","",$E206+BB設定!$B$5*$F206)</f>
        <v>6043.2205011775086</v>
      </c>
      <c r="I206" s="501">
        <f>IF($D206="","",$E206-BB設定!$B$5*$F206)</f>
        <v>5423.4794988224921</v>
      </c>
      <c r="J206" s="501">
        <f>IF($D206="","",$E206-BB設定!$B$4*$F206)</f>
        <v>5113.6089976449839</v>
      </c>
      <c r="K206" s="506">
        <f t="shared" si="33"/>
        <v>0.73045917481216294</v>
      </c>
      <c r="L206" s="505">
        <f t="shared" si="34"/>
        <v>21.618809329799031</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82.527881040892197</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63.604753951972711</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v>
      </c>
      <c r="T206" s="500" t="str">
        <f t="shared" si="36"/>
        <v>－</v>
      </c>
      <c r="U206" s="500" t="str">
        <f>IF(終値!A206="","",BB_スイング!BT206)</f>
        <v>二番底W▲</v>
      </c>
      <c r="V206" s="508">
        <f>IF($D206="","",IFERROR(出来高!E206/AVERAGE(出来高!E206:I206),""))</f>
        <v>1.1345037085305787</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18</v>
      </c>
      <c r="Y206" s="501">
        <f t="shared" si="37"/>
        <v>6019</v>
      </c>
      <c r="Z206" s="501">
        <f t="shared" si="38"/>
        <v>6043.2205011775086</v>
      </c>
      <c r="AA206" s="501">
        <f t="shared" si="39"/>
        <v>5733.35</v>
      </c>
      <c r="AB206" s="501">
        <f t="shared" si="43"/>
        <v>6353.0910023550168</v>
      </c>
      <c r="AC206" s="507">
        <f t="shared" si="40"/>
        <v>1.17</v>
      </c>
      <c r="AD206" s="501">
        <f>IF($D206="","",MIN(終値!E206:I206))</f>
        <v>6019</v>
      </c>
      <c r="AE206" s="503">
        <f t="shared" si="41"/>
        <v>18.097940000000001</v>
      </c>
    </row>
    <row r="207" spans="1:31">
      <c r="A207" s="500" t="str">
        <f>IF(終値!A207="","",HYPERLINK("https://kabutan.jp/stock/?code="&amp;終値!A207,"📈"))</f>
        <v>📈</v>
      </c>
      <c r="B207" s="500" t="str">
        <f>IF(終値!A207="","",終値!A207)</f>
        <v>7011</v>
      </c>
      <c r="C207" s="499" t="str">
        <f>IF(終値!A207="","",終値!B207)</f>
        <v>三菱重工業</v>
      </c>
      <c r="D207" s="501">
        <f>IF(終値!A207="","",終値!E207)</f>
        <v>4091</v>
      </c>
      <c r="E207" s="501">
        <f>IF($D207="","",AVERAGE(終値!E207:X207))</f>
        <v>3851.05</v>
      </c>
      <c r="F207" s="502">
        <f>IF($D207="","",STDEVP(終値!E207:X207))</f>
        <v>113.83034525116754</v>
      </c>
      <c r="G207" s="501">
        <f>IF($D207="","",$E207+BB設定!$B$4*$F207)</f>
        <v>4078.7106905023352</v>
      </c>
      <c r="H207" s="501">
        <f>IF($D207="","",$E207+BB設定!$B$5*$F207)</f>
        <v>3964.8803452511679</v>
      </c>
      <c r="I207" s="501">
        <f>IF($D207="","",$E207-BB設定!$B$5*$F207)</f>
        <v>3737.2196547488325</v>
      </c>
      <c r="J207" s="501">
        <f>IF($D207="","",$E207-BB設定!$B$4*$F207)</f>
        <v>3623.3893094976652</v>
      </c>
      <c r="K207" s="506">
        <f t="shared" si="33"/>
        <v>1.0269904072383957</v>
      </c>
      <c r="L207" s="505">
        <f t="shared" si="34"/>
        <v>11.823304839061294</v>
      </c>
      <c r="M207" s="505">
        <f>IF($D207="","",IFERROR(MIN(BB_帯幅!B207:AP207)*100,""))</f>
        <v>10.442568461391598</v>
      </c>
      <c r="N207" s="500" t="str">
        <f>IF($L207="","",IF($L207&lt;=$M207*BB設定!$B$7,"スクイーズ★",IF($L207&lt;=$M207*1.3,"収縮","－")))</f>
        <v>収縮</v>
      </c>
      <c r="O207" s="500" t="str">
        <f>IF($D207="","",IF(AND(BB_帯幅!B207&gt;BB_帯幅!C207,BB_帯幅!C207&gt;BB_帯幅!D207),"拡大↑","縮小↓"))</f>
        <v>縮小↓</v>
      </c>
      <c r="P207" s="500" t="str">
        <f t="shared" si="35"/>
        <v>↑+2σ突破</v>
      </c>
      <c r="Q207" s="503">
        <f>IF($D207="","",IFERROR(100-100/(1+SUMPRODUCT((終値!E207:R207&gt;終値!F207:S207)*(終値!E207:R207-終値!F207:S207))/SUMPRODUCT((終値!E207:R207&lt;終値!F207:S207)*(終値!F207:S207-終値!E207:R207))),100))</f>
        <v>65.575304022450894</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69.003404842685939</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2.115050566851528</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70</v>
      </c>
      <c r="Y207" s="501">
        <f t="shared" si="37"/>
        <v>4091</v>
      </c>
      <c r="Z207" s="501">
        <f t="shared" si="38"/>
        <v>3964.8803452511679</v>
      </c>
      <c r="AA207" s="501">
        <f t="shared" si="39"/>
        <v>3851.05</v>
      </c>
      <c r="AB207" s="501">
        <f t="shared" si="43"/>
        <v>4192.5410357535029</v>
      </c>
      <c r="AC207" s="507">
        <f t="shared" si="40"/>
        <v>0.42</v>
      </c>
      <c r="AD207" s="501">
        <f>IF($D207="","",MIN(終値!E207:I207))</f>
        <v>3736</v>
      </c>
      <c r="AE207" s="503">
        <f t="shared" si="41"/>
        <v>70.097930000000005</v>
      </c>
    </row>
    <row r="208" spans="1:31">
      <c r="A208" s="500" t="str">
        <f>IF(終値!A208="","",HYPERLINK("https://kabutan.jp/stock/?code="&amp;終値!A208,"📈"))</f>
        <v>📈</v>
      </c>
      <c r="B208" s="500" t="str">
        <f>IF(終値!A208="","",終値!A208)</f>
        <v>1812</v>
      </c>
      <c r="C208" s="499" t="str">
        <f>IF(終値!A208="","",終値!B208)</f>
        <v>鹿島建設</v>
      </c>
      <c r="D208" s="501">
        <f>IF(終値!A208="","",終値!E208)</f>
        <v>5310</v>
      </c>
      <c r="E208" s="501">
        <f>IF($D208="","",AVERAGE(終値!E208:X208))</f>
        <v>5623</v>
      </c>
      <c r="F208" s="502">
        <f>IF($D208="","",STDEVP(終値!E208:X208))</f>
        <v>237.81799763684833</v>
      </c>
      <c r="G208" s="501">
        <f>IF($D208="","",$E208+BB設定!$B$4*$F208)</f>
        <v>6098.6359952736966</v>
      </c>
      <c r="H208" s="501">
        <f>IF($D208="","",$E208+BB設定!$B$5*$F208)</f>
        <v>5860.8179976368483</v>
      </c>
      <c r="I208" s="501">
        <f>IF($D208="","",$E208-BB設定!$B$5*$F208)</f>
        <v>5385.1820023631517</v>
      </c>
      <c r="J208" s="501">
        <f>IF($D208="","",$E208-BB設定!$B$4*$F208)</f>
        <v>5147.3640047263034</v>
      </c>
      <c r="K208" s="506">
        <f t="shared" si="33"/>
        <v>0.17096687055834631</v>
      </c>
      <c r="L208" s="505">
        <f t="shared" si="34"/>
        <v>16.917517171392372</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-1σ下</v>
      </c>
      <c r="Q208" s="503">
        <f>IF($D208="","",IFERROR(100-100/(1+SUMPRODUCT((終値!E208:R208&gt;終値!F208:S208)*(終値!E208:R208-終値!F208:S208))/SUMPRODUCT((終値!E208:R208&lt;終値!F208:S208)*(終値!F208:S208-終値!E208:R208))),100))</f>
        <v>36.394849785407729</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42.961554823183647</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0.91406829023873404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様子見</v>
      </c>
      <c r="X208" s="504">
        <f t="shared" si="42"/>
        <v>0</v>
      </c>
      <c r="Y208" s="501">
        <f t="shared" si="37"/>
        <v>5310</v>
      </c>
      <c r="Z208" s="501">
        <f t="shared" si="38"/>
        <v>5860.8179976368483</v>
      </c>
      <c r="AA208" s="501">
        <f t="shared" si="39"/>
        <v>5255</v>
      </c>
      <c r="AB208" s="501">
        <f t="shared" si="43"/>
        <v>6098.6359952736966</v>
      </c>
      <c r="AC208" s="507">
        <f t="shared" si="40"/>
        <v>14.34</v>
      </c>
      <c r="AD208" s="501">
        <f>IF($D208="","",MIN(終値!E208:I208))</f>
        <v>5255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82900</v>
      </c>
      <c r="E209" s="501">
        <f>IF($D209="","",AVERAGE(終値!E209:X209))</f>
        <v>76022</v>
      </c>
      <c r="F209" s="502">
        <f>IF($D209="","",STDEVP(終値!E209:X209))</f>
        <v>3588.8808840640004</v>
      </c>
      <c r="G209" s="501">
        <f>IF($D209="","",$E209+BB設定!$B$4*$F209)</f>
        <v>83199.761768127995</v>
      </c>
      <c r="H209" s="501">
        <f>IF($D209="","",$E209+BB設定!$B$5*$F209)</f>
        <v>79610.880884063998</v>
      </c>
      <c r="I209" s="501">
        <f>IF($D209="","",$E209-BB設定!$B$5*$F209)</f>
        <v>72433.119115936002</v>
      </c>
      <c r="J209" s="501">
        <f>IF($D209="","",$E209-BB設定!$B$4*$F209)</f>
        <v>68844.238231872005</v>
      </c>
      <c r="K209" s="506">
        <f t="shared" si="33"/>
        <v>0.97911871570751674</v>
      </c>
      <c r="L209" s="505">
        <f t="shared" si="34"/>
        <v>18.883380516503106</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60.801393728222997</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66.049124016559375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0.68137365205199663</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82900</v>
      </c>
      <c r="Z209" s="501">
        <f t="shared" si="38"/>
        <v>79610.880884063998</v>
      </c>
      <c r="AA209" s="501">
        <f t="shared" si="39"/>
        <v>76022</v>
      </c>
      <c r="AB209" s="501">
        <f t="shared" si="43"/>
        <v>83199.761768127995</v>
      </c>
      <c r="AC209" s="507">
        <f t="shared" si="40"/>
        <v>0.04</v>
      </c>
      <c r="AD209" s="501">
        <f>IF($D209="","",MIN(終値!E209:I209))</f>
        <v>77590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6840</v>
      </c>
      <c r="E210" s="501">
        <f>IF($D210="","",AVERAGE(終値!E210:X210))</f>
        <v>6899.5</v>
      </c>
      <c r="F210" s="502">
        <f>IF($D210="","",STDEVP(終値!E210:X210))</f>
        <v>848.97865108611541</v>
      </c>
      <c r="G210" s="501">
        <f>IF($D210="","",$E210+BB設定!$B$4*$F210)</f>
        <v>8597.4573021722317</v>
      </c>
      <c r="H210" s="501">
        <f>IF($D210="","",$E210+BB設定!$B$5*$F210)</f>
        <v>7748.4786510861159</v>
      </c>
      <c r="I210" s="501">
        <f>IF($D210="","",$E210-BB設定!$B$5*$F210)</f>
        <v>6050.5213489138841</v>
      </c>
      <c r="J210" s="501">
        <f>IF($D210="","",$E210-BB設定!$B$4*$F210)</f>
        <v>5201.5426978277692</v>
      </c>
      <c r="K210" s="506">
        <f t="shared" si="33"/>
        <v>0.48247894693115045</v>
      </c>
      <c r="L210" s="505">
        <f t="shared" si="34"/>
        <v>49.219720332552541</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45.72649572649572</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41.73700007538222</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1.0093017829301147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0</v>
      </c>
      <c r="Y210" s="501">
        <f t="shared" si="37"/>
        <v>6840</v>
      </c>
      <c r="Z210" s="501">
        <f t="shared" si="38"/>
        <v>7748.4786510861159</v>
      </c>
      <c r="AA210" s="501">
        <f t="shared" si="39"/>
        <v>5440</v>
      </c>
      <c r="AB210" s="501">
        <f t="shared" si="43"/>
        <v>8597.4573021722317</v>
      </c>
      <c r="AC210" s="507">
        <f t="shared" si="40"/>
        <v>1.26</v>
      </c>
      <c r="AD210" s="501">
        <f>IF($D210="","",MIN(終値!E210:I210))</f>
        <v>5440</v>
      </c>
      <c r="AE210" s="503">
        <f t="shared" si="41"/>
        <v>9.7900000000000001E-2</v>
      </c>
    </row>
    <row r="211" spans="1:31">
      <c r="A211" s="500" t="str">
        <f>IF(終値!A211="","",HYPERLINK("https://kabutan.jp/stock/?code="&amp;終値!A211,"📈"))</f>
        <v>📈</v>
      </c>
      <c r="B211" s="500" t="str">
        <f>IF(終値!A211="","",終値!A211)</f>
        <v>6273</v>
      </c>
      <c r="C211" s="499" t="str">
        <f>IF(終値!A211="","",終値!B211)</f>
        <v>ＳＭＣ</v>
      </c>
      <c r="D211" s="501">
        <f>IF(終値!A211="","",終値!E211)</f>
        <v>73650</v>
      </c>
      <c r="E211" s="501">
        <f>IF($D211="","",AVERAGE(終値!E211:X211))</f>
        <v>71328</v>
      </c>
      <c r="F211" s="502">
        <f>IF($D211="","",STDEVP(終値!E211:X211))</f>
        <v>3016.593442941889</v>
      </c>
      <c r="G211" s="501">
        <f>IF($D211="","",$E211+BB設定!$B$4*$F211)</f>
        <v>77361.186885883784</v>
      </c>
      <c r="H211" s="501">
        <f>IF($D211="","",$E211+BB設定!$B$5*$F211)</f>
        <v>74344.593442941885</v>
      </c>
      <c r="I211" s="501">
        <f>IF($D211="","",$E211-BB設定!$B$5*$F211)</f>
        <v>68311.406557058115</v>
      </c>
      <c r="J211" s="501">
        <f>IF($D211="","",$E211-BB設定!$B$4*$F211)</f>
        <v>65294.813114116223</v>
      </c>
      <c r="K211" s="506">
        <f t="shared" si="33"/>
        <v>0.69243561022723521</v>
      </c>
      <c r="L211" s="505">
        <f t="shared" si="34"/>
        <v>16.91674205328561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バンド内</v>
      </c>
      <c r="Q211" s="503">
        <f>IF($D211="","",IFERROR(100-100/(1+SUMPRODUCT((終値!E211:R211&gt;終値!F211:S211)*(終値!E211:R211-終値!F211:S211))/SUMPRODUCT((終値!E211:R211&lt;終値!F211:S211)*(終値!F211:S211-終値!E211:R211))),100))</f>
        <v>49.729385546004458</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43.810637181368477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弱気div▼</v>
      </c>
      <c r="T211" s="500" t="str">
        <f t="shared" si="36"/>
        <v>－</v>
      </c>
      <c r="U211" s="500" t="str">
        <f>IF(終値!A211="","",BB_スイング!BT211)</f>
        <v>－</v>
      </c>
      <c r="V211" s="508">
        <f>IF($D211="","",IFERROR(出来高!E211/AVERAGE(出来高!E211:I211),""))</f>
        <v>1.0156746452022876</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10</v>
      </c>
      <c r="Y211" s="501">
        <f t="shared" si="37"/>
        <v>73650</v>
      </c>
      <c r="Z211" s="501">
        <f t="shared" si="38"/>
        <v>74344.593442941885</v>
      </c>
      <c r="AA211" s="501">
        <f t="shared" si="39"/>
        <v>71328</v>
      </c>
      <c r="AB211" s="501">
        <f t="shared" si="43"/>
        <v>77361.186885883784</v>
      </c>
      <c r="AC211" s="507">
        <f t="shared" si="40"/>
        <v>1.6</v>
      </c>
      <c r="AD211" s="501">
        <f>IF($D211="","",MIN(終値!E211:I211))</f>
        <v>64930</v>
      </c>
      <c r="AE211" s="503">
        <f t="shared" si="41"/>
        <v>10.09789</v>
      </c>
    </row>
    <row r="212" spans="1:31">
      <c r="A212" s="500" t="str">
        <f>IF(終値!A212="","",HYPERLINK("https://kabutan.jp/stock/?code="&amp;終値!A212,"📈"))</f>
        <v>📈</v>
      </c>
      <c r="B212" s="500" t="str">
        <f>IF(終値!A212="","",終値!A212)</f>
        <v>4502</v>
      </c>
      <c r="C212" s="499" t="str">
        <f>IF(終値!A212="","",終値!B212)</f>
        <v>武田薬品</v>
      </c>
      <c r="D212" s="501">
        <f>IF(終値!A212="","",終値!E212)</f>
        <v>5286</v>
      </c>
      <c r="E212" s="501">
        <f>IF($D212="","",AVERAGE(終値!E212:X212))</f>
        <v>5506.55</v>
      </c>
      <c r="F212" s="502">
        <f>IF($D212="","",STDEVP(終値!E212:X212))</f>
        <v>162.03933935930499</v>
      </c>
      <c r="G212" s="501">
        <f>IF($D212="","",$E212+BB設定!$B$4*$F212)</f>
        <v>5830.62867871861</v>
      </c>
      <c r="H212" s="501">
        <f>IF($D212="","",$E212+BB設定!$B$5*$F212)</f>
        <v>5668.5893393593051</v>
      </c>
      <c r="I212" s="501">
        <f>IF($D212="","",$E212-BB設定!$B$5*$F212)</f>
        <v>5344.5106606406953</v>
      </c>
      <c r="J212" s="501">
        <f>IF($D212="","",$E212-BB設定!$B$4*$F212)</f>
        <v>5182.4713212813904</v>
      </c>
      <c r="K212" s="506">
        <f t="shared" si="33"/>
        <v>0.15972769194190223</v>
      </c>
      <c r="L212" s="505">
        <f t="shared" si="34"/>
        <v>11.770661438418239</v>
      </c>
      <c r="M212" s="505">
        <f>IF($D212="","",IFERROR(MIN(BB_帯幅!B212:AP212)*100,""))</f>
        <v>7.5987021525511445</v>
      </c>
      <c r="N212" s="500" t="str">
        <f>IF($L212="","",IF($L212&lt;=$M212*BB設定!$B$7,"スクイーズ★",IF($L212&lt;=$M212*1.3,"収縮","－")))</f>
        <v>－</v>
      </c>
      <c r="O212" s="500" t="str">
        <f>IF($D212="","",IF(AND(BB_帯幅!B212&gt;BB_帯幅!C212,BB_帯幅!C212&gt;BB_帯幅!D212),"拡大↑","縮小↓"))</f>
        <v>縮小↓</v>
      </c>
      <c r="P212" s="500" t="str">
        <f t="shared" si="35"/>
        <v>-1σ下</v>
      </c>
      <c r="Q212" s="503">
        <f>IF($D212="","",IFERROR(100-100/(1+SUMPRODUCT((終値!E212:R212&gt;終値!F212:S212)*(終値!E212:R212-終値!F212:S212))/SUMPRODUCT((終値!E212:R212&lt;終値!F212:S212)*(終値!F212:S212-終値!E212:R212))),100))</f>
        <v>48.786039453717748</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44.689494864650101</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下walk▼</v>
      </c>
      <c r="U212" s="500" t="str">
        <f>IF(終値!A212="","",BB_スイング!BT212)</f>
        <v>－</v>
      </c>
      <c r="V212" s="508">
        <f>IF($D212="","",IFERROR(出来高!E212/AVERAGE(出来高!E212:I212),""))</f>
        <v>0.74157502387333274</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0</v>
      </c>
      <c r="Y212" s="501">
        <f t="shared" si="37"/>
        <v>5286</v>
      </c>
      <c r="Z212" s="501">
        <f t="shared" si="38"/>
        <v>5668.5893393593051</v>
      </c>
      <c r="AA212" s="501">
        <f t="shared" si="39"/>
        <v>5286</v>
      </c>
      <c r="AB212" s="501">
        <f t="shared" si="43"/>
        <v>5830.62867871861</v>
      </c>
      <c r="AC212" s="507" t="str">
        <f t="shared" si="40"/>
        <v>－</v>
      </c>
      <c r="AD212" s="501">
        <f>IF($D212="","",MIN(終値!E212:I212))</f>
        <v>5286</v>
      </c>
      <c r="AE212" s="503">
        <f t="shared" si="41"/>
        <v>9.7879999999999995E-2</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14685</v>
      </c>
      <c r="E213" s="501">
        <f>IF($D213="","",AVERAGE(終値!E213:X213))</f>
        <v>14658.25</v>
      </c>
      <c r="F213" s="502">
        <f>IF($D213="","",STDEVP(終値!E213:X213))</f>
        <v>1277.8118748469981</v>
      </c>
      <c r="G213" s="501">
        <f>IF($D213="","",$E213+BB設定!$B$4*$F213)</f>
        <v>17213.873749693998</v>
      </c>
      <c r="H213" s="501">
        <f>IF($D213="","",$E213+BB設定!$B$5*$F213)</f>
        <v>15936.061874846999</v>
      </c>
      <c r="I213" s="501">
        <f>IF($D213="","",$E213-BB設定!$B$5*$F213)</f>
        <v>13380.438125153001</v>
      </c>
      <c r="J213" s="501">
        <f>IF($D213="","",$E213-BB設定!$B$4*$F213)</f>
        <v>12102.626250306004</v>
      </c>
      <c r="K213" s="506">
        <f t="shared" si="33"/>
        <v>0.50523355599649633</v>
      </c>
      <c r="L213" s="505">
        <f t="shared" si="34"/>
        <v>34.869425063619417</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46.766917293233078</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43.019383906588935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v>
      </c>
      <c r="T213" s="500" t="str">
        <f t="shared" si="36"/>
        <v>－</v>
      </c>
      <c r="U213" s="500" t="str">
        <f>IF(終値!A213="","",BB_スイング!BT213)</f>
        <v>二番天井M形成</v>
      </c>
      <c r="V213" s="508">
        <f>IF($D213="","",IFERROR(出来高!E213/AVERAGE(出来高!E213:I213),""))</f>
        <v>0.86293802865527358</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0</v>
      </c>
      <c r="Y213" s="501">
        <f t="shared" si="37"/>
        <v>14685</v>
      </c>
      <c r="Z213" s="501">
        <f t="shared" si="38"/>
        <v>15936.061874846999</v>
      </c>
      <c r="AA213" s="501">
        <f t="shared" si="39"/>
        <v>14658.25</v>
      </c>
      <c r="AB213" s="501">
        <f t="shared" si="43"/>
        <v>17213.873749693998</v>
      </c>
      <c r="AC213" s="507">
        <f t="shared" si="40"/>
        <v>20</v>
      </c>
      <c r="AD213" s="501">
        <f>IF($D213="","",MIN(終値!E213:I213))</f>
        <v>12125</v>
      </c>
      <c r="AE213" s="503">
        <f t="shared" si="41"/>
        <v>9.7869999999999999E-2</v>
      </c>
    </row>
    <row r="214" spans="1:31">
      <c r="A214" s="500" t="str">
        <f>IF(終値!A214="","",HYPERLINK("https://kabutan.jp/stock/?code="&amp;終値!A214,"📈"))</f>
        <v>📈</v>
      </c>
      <c r="B214" s="500" t="str">
        <f>IF(終値!A214="","",終値!A214)</f>
        <v>9519</v>
      </c>
      <c r="C214" s="499" t="str">
        <f>IF(終値!A214="","",終値!B214)</f>
        <v>レノバ</v>
      </c>
      <c r="D214" s="501">
        <f>IF(終値!A214="","",終値!E214)</f>
        <v>919</v>
      </c>
      <c r="E214" s="501">
        <f>IF($D214="","",AVERAGE(終値!E214:X214))</f>
        <v>963.15</v>
      </c>
      <c r="F214" s="502">
        <f>IF($D214="","",STDEVP(終値!E214:X214))</f>
        <v>36.322548093436396</v>
      </c>
      <c r="G214" s="501">
        <f>IF($D214="","",$E214+BB設定!$B$4*$F214)</f>
        <v>1035.7950961868728</v>
      </c>
      <c r="H214" s="501">
        <f>IF($D214="","",$E214+BB設定!$B$5*$F214)</f>
        <v>999.47254809343633</v>
      </c>
      <c r="I214" s="501">
        <f>IF($D214="","",$E214-BB設定!$B$5*$F214)</f>
        <v>926.82745190656362</v>
      </c>
      <c r="J214" s="501">
        <f>IF($D214="","",$E214-BB設定!$B$4*$F214)</f>
        <v>890.50490381312716</v>
      </c>
      <c r="K214" s="506">
        <f t="shared" si="33"/>
        <v>0.19612539374696286</v>
      </c>
      <c r="L214" s="505">
        <f t="shared" si="34"/>
        <v>15.084897718293686</v>
      </c>
      <c r="M214" s="505">
        <f>IF($D214="","",IFERROR(MIN(BB_帯幅!B214:AP214)*100,""))</f>
        <v>12.106926085886279</v>
      </c>
      <c r="N214" s="500" t="str">
        <f>IF($L214="","",IF($L214&lt;=$M214*BB設定!$B$7,"スクイーズ★",IF($L214&lt;=$M214*1.3,"収縮","－")))</f>
        <v>収縮</v>
      </c>
      <c r="O214" s="500" t="str">
        <f>IF($D214="","",IF(AND(BB_帯幅!B214&gt;BB_帯幅!C214,BB_帯幅!C214&gt;BB_帯幅!D214),"拡大↑","縮小↓"))</f>
        <v>拡大↑</v>
      </c>
      <c r="P214" s="500" t="str">
        <f t="shared" si="35"/>
        <v>-1σ下</v>
      </c>
      <c r="Q214" s="503">
        <f>IF($D214="","",IFERROR(100-100/(1+SUMPRODUCT((終値!E214:R214&gt;終値!F214:S214)*(終値!E214:R214-終値!F214:S214))/SUMPRODUCT((終値!E214:R214&lt;終値!F214:S214)*(終値!F214:S214-終値!E214:R214))),100))</f>
        <v>49.75</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48.998137208243953</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下walk▼</v>
      </c>
      <c r="U214" s="500" t="str">
        <f>IF(終値!A214="","",BB_スイング!BT214)</f>
        <v>二番天井M▼</v>
      </c>
      <c r="V214" s="508">
        <f>IF($D214="","",IFERROR(出来高!E214/AVERAGE(出来高!E214:I214),""))</f>
        <v>0.78587052239865918</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919</v>
      </c>
      <c r="Z214" s="501">
        <f t="shared" si="38"/>
        <v>999.47254809343633</v>
      </c>
      <c r="AA214" s="501">
        <f t="shared" si="39"/>
        <v>904</v>
      </c>
      <c r="AB214" s="501">
        <f t="shared" si="43"/>
        <v>1035.7950961868728</v>
      </c>
      <c r="AC214" s="507">
        <f t="shared" si="40"/>
        <v>7.79</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4235</v>
      </c>
      <c r="E215" s="501">
        <f>IF($D215="","",AVERAGE(終値!E215:X215))</f>
        <v>4128.8</v>
      </c>
      <c r="F215" s="502">
        <f>IF($D215="","",STDEVP(終値!E215:X215))</f>
        <v>301.86877943901391</v>
      </c>
      <c r="G215" s="501">
        <f>IF($D215="","",$E215+BB設定!$B$4*$F215)</f>
        <v>4732.537558878028</v>
      </c>
      <c r="H215" s="501">
        <f>IF($D215="","",$E215+BB設定!$B$5*$F215)</f>
        <v>4430.6687794390145</v>
      </c>
      <c r="I215" s="501">
        <f>IF($D215="","",$E215-BB設定!$B$5*$F215)</f>
        <v>3826.9312205609863</v>
      </c>
      <c r="J215" s="501">
        <f>IF($D215="","",$E215-BB設定!$B$4*$F215)</f>
        <v>3525.0624411219724</v>
      </c>
      <c r="K215" s="506">
        <f t="shared" si="33"/>
        <v>0.58795212293679355</v>
      </c>
      <c r="L215" s="505">
        <f t="shared" si="34"/>
        <v>29.245183049701019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45.88918677390528</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38.233030984508957</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0.89217926774461898</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10</v>
      </c>
      <c r="Y215" s="501">
        <f t="shared" si="37"/>
        <v>4235</v>
      </c>
      <c r="Z215" s="501">
        <f t="shared" si="38"/>
        <v>4430.6687794390145</v>
      </c>
      <c r="AA215" s="501">
        <f t="shared" si="39"/>
        <v>4128.8</v>
      </c>
      <c r="AB215" s="501">
        <f t="shared" si="43"/>
        <v>4732.537558878028</v>
      </c>
      <c r="AC215" s="507">
        <f t="shared" si="40"/>
        <v>4.68</v>
      </c>
      <c r="AD215" s="501">
        <f>IF($D215="","",MIN(終値!E215:I215))</f>
        <v>3507</v>
      </c>
      <c r="AE215" s="503">
        <f t="shared" si="41"/>
        <v>10.097849999999999</v>
      </c>
    </row>
    <row r="216" spans="1:31">
      <c r="A216" s="500" t="str">
        <f>IF(終値!A216="","",HYPERLINK("https://kabutan.jp/stock/?code="&amp;終値!A216,"📈"))</f>
        <v>📈</v>
      </c>
      <c r="B216" s="500" t="str">
        <f>IF(終値!A216="","",終値!A216)</f>
        <v>6622</v>
      </c>
      <c r="C216" s="499" t="str">
        <f>IF(終値!A216="","",終値!B216)</f>
        <v>ダイヘン</v>
      </c>
      <c r="D216" s="501">
        <f>IF(終値!A216="","",終値!E216)</f>
        <v>14780</v>
      </c>
      <c r="E216" s="501">
        <f>IF($D216="","",AVERAGE(終値!E216:X216))</f>
        <v>14601</v>
      </c>
      <c r="F216" s="502">
        <f>IF($D216="","",STDEVP(終値!E216:X216))</f>
        <v>1200.9950041528066</v>
      </c>
      <c r="G216" s="501">
        <f>IF($D216="","",$E216+BB設定!$B$4*$F216)</f>
        <v>17002.990008305613</v>
      </c>
      <c r="H216" s="501">
        <f>IF($D216="","",$E216+BB設定!$B$5*$F216)</f>
        <v>15801.995004152806</v>
      </c>
      <c r="I216" s="501">
        <f>IF($D216="","",$E216-BB設定!$B$5*$F216)</f>
        <v>13400.004995847194</v>
      </c>
      <c r="J216" s="501">
        <f>IF($D216="","",$E216-BB設定!$B$4*$F216)</f>
        <v>12199.009991694387</v>
      </c>
      <c r="K216" s="506">
        <f t="shared" si="33"/>
        <v>0.53726077114830884</v>
      </c>
      <c r="L216" s="505">
        <f t="shared" si="34"/>
        <v>32.901719174106056</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48.475289169295479</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39.823555771365818</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v>
      </c>
      <c r="T216" s="500" t="str">
        <f t="shared" si="36"/>
        <v>－</v>
      </c>
      <c r="U216" s="500" t="str">
        <f>IF(終値!A216="","",BB_スイング!BT216)</f>
        <v>二番天井M形成</v>
      </c>
      <c r="V216" s="508">
        <f>IF($D216="","",IFERROR(出来高!E216/AVERAGE(出来高!E216:I216),""))</f>
        <v>1.4742442322991249</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14780</v>
      </c>
      <c r="Z216" s="501">
        <f t="shared" si="38"/>
        <v>15801.995004152806</v>
      </c>
      <c r="AA216" s="501">
        <f t="shared" si="39"/>
        <v>14601</v>
      </c>
      <c r="AB216" s="501">
        <f t="shared" si="43"/>
        <v>17002.990008305613</v>
      </c>
      <c r="AC216" s="507">
        <f t="shared" si="40"/>
        <v>12.42</v>
      </c>
      <c r="AD216" s="501">
        <f>IF($D216="","",MIN(終値!E216:I216))</f>
        <v>11900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2730</v>
      </c>
      <c r="E217" s="501">
        <f>IF($D217="","",AVERAGE(終値!E217:X217))</f>
        <v>2533.35</v>
      </c>
      <c r="F217" s="502">
        <f>IF($D217="","",STDEVP(終値!E217:X217))</f>
        <v>228.0353645818999</v>
      </c>
      <c r="G217" s="501">
        <f>IF($D217="","",$E217+BB設定!$B$4*$F217)</f>
        <v>2989.4207291637995</v>
      </c>
      <c r="H217" s="501">
        <f>IF($D217="","",$E217+BB設定!$B$5*$F217)</f>
        <v>2761.3853645818999</v>
      </c>
      <c r="I217" s="501">
        <f>IF($D217="","",$E217-BB設定!$B$5*$F217)</f>
        <v>2305.3146354180999</v>
      </c>
      <c r="J217" s="501">
        <f>IF($D217="","",$E217-BB設定!$B$4*$F217)</f>
        <v>2077.2792708362003</v>
      </c>
      <c r="K217" s="506">
        <f t="shared" si="33"/>
        <v>0.71559156006411062</v>
      </c>
      <c r="L217" s="505">
        <f t="shared" si="34"/>
        <v>36.005347004069677</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67.037724180581321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59.487608945480723</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強気div▲</v>
      </c>
      <c r="T217" s="500" t="str">
        <f t="shared" si="36"/>
        <v>－</v>
      </c>
      <c r="U217" s="500" t="str">
        <f>IF(終値!A217="","",BB_スイング!BT217)</f>
        <v>二番天井M▼</v>
      </c>
      <c r="V217" s="508">
        <f>IF($D217="","",IFERROR(出来高!E217/AVERAGE(出来高!E217:I217),""))</f>
        <v>1.0226804895392791</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▼二番天井警戒</v>
      </c>
      <c r="X217" s="504">
        <f t="shared" si="42"/>
        <v>20</v>
      </c>
      <c r="Y217" s="501">
        <f t="shared" si="37"/>
        <v>2730</v>
      </c>
      <c r="Z217" s="501">
        <f t="shared" si="38"/>
        <v>2761.3853645818999</v>
      </c>
      <c r="AA217" s="501">
        <f t="shared" si="39"/>
        <v>2533.35</v>
      </c>
      <c r="AB217" s="501">
        <f t="shared" si="43"/>
        <v>2989.4207291637995</v>
      </c>
      <c r="AC217" s="507">
        <f t="shared" si="40"/>
        <v>1.32</v>
      </c>
      <c r="AD217" s="501">
        <f>IF($D217="","",MIN(終値!E217:I217))</f>
        <v>2475</v>
      </c>
      <c r="AE217" s="503">
        <f t="shared" si="41"/>
        <v>20.097829999999998</v>
      </c>
    </row>
    <row r="218" spans="1:31">
      <c r="A218" s="500" t="str">
        <f>IF(終値!A218="","",HYPERLINK("https://kabutan.jp/stock/?code="&amp;終値!A218,"📈"))</f>
        <v>📈</v>
      </c>
      <c r="B218" s="500" t="str">
        <f>IF(終値!A218="","",終値!A218)</f>
        <v>285A</v>
      </c>
      <c r="C218" s="499" t="str">
        <f>IF(終値!A218="","",終値!B218)</f>
        <v>QPS研究所</v>
      </c>
      <c r="D218" s="501">
        <f>IF(終値!A218="","",終値!E218)</f>
        <v>52090</v>
      </c>
      <c r="E218" s="501">
        <f>IF($D218="","",AVERAGE(終値!E218:X218))</f>
        <v>60504</v>
      </c>
      <c r="F218" s="502">
        <f>IF($D218="","",STDEVP(終値!E218:X218))</f>
        <v>12821.818279791678</v>
      </c>
      <c r="G218" s="501">
        <f>IF($D218="","",$E218+BB設定!$B$4*$F218)</f>
        <v>86147.636559583363</v>
      </c>
      <c r="H218" s="501">
        <f>IF($D218="","",$E218+BB設定!$B$5*$F218)</f>
        <v>73325.818279791682</v>
      </c>
      <c r="I218" s="501">
        <f>IF($D218="","",$E218-BB設定!$B$5*$F218)</f>
        <v>47682.181720208318</v>
      </c>
      <c r="J218" s="501">
        <f>IF($D218="","",$E218-BB設定!$B$4*$F218)</f>
        <v>34860.363440416644</v>
      </c>
      <c r="K218" s="506">
        <f t="shared" si="33"/>
        <v>0.33594370516736283</v>
      </c>
      <c r="L218" s="505">
        <f t="shared" si="34"/>
        <v>84.766747850004492</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40.469841269841268</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39.624236885176842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強気div▲</v>
      </c>
      <c r="T218" s="500" t="str">
        <f t="shared" si="36"/>
        <v>－</v>
      </c>
      <c r="U218" s="500" t="str">
        <f>IF(終値!A218="","",BB_スイング!BT218)</f>
        <v>－</v>
      </c>
      <c r="V218" s="508">
        <f>IF($D218="","",IFERROR(出来高!E218/AVERAGE(出来高!E218:I218),""))</f>
        <v>0.86288644822364879</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○反発(ダイバ)買</v>
      </c>
      <c r="X218" s="504">
        <f t="shared" si="42"/>
        <v>10</v>
      </c>
      <c r="Y218" s="501">
        <f t="shared" si="37"/>
        <v>52090</v>
      </c>
      <c r="Z218" s="501">
        <f t="shared" si="38"/>
        <v>73325.818279791682</v>
      </c>
      <c r="AA218" s="501">
        <f t="shared" si="39"/>
        <v>38380</v>
      </c>
      <c r="AB218" s="501">
        <f t="shared" si="43"/>
        <v>86147.636559583363</v>
      </c>
      <c r="AC218" s="507">
        <f t="shared" si="40"/>
        <v>2.48</v>
      </c>
      <c r="AD218" s="501">
        <f>IF($D218="","",MIN(終値!E218:I218))</f>
        <v>38380</v>
      </c>
      <c r="AE218" s="503">
        <f t="shared" si="41"/>
        <v>10.09782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3250</v>
      </c>
      <c r="E219" s="501">
        <f>IF($D219="","",AVERAGE(終値!E219:X219))</f>
        <v>3063.6842105263158</v>
      </c>
      <c r="F219" s="502">
        <f>IF($D219="","",STDEVP(終値!E219:X219))</f>
        <v>71.797267673842313</v>
      </c>
      <c r="G219" s="501">
        <f>IF($D219="","",$E219+BB設定!$B$4*$F219)</f>
        <v>3207.2787458740004</v>
      </c>
      <c r="H219" s="501">
        <f>IF($D219="","",$E219+BB設定!$B$5*$F219)</f>
        <v>3135.4814782001581</v>
      </c>
      <c r="I219" s="501">
        <f>IF($D219="","",$E219-BB設定!$B$5*$F219)</f>
        <v>2991.8869428524736</v>
      </c>
      <c r="J219" s="501">
        <f>IF($D219="","",$E219-BB設定!$B$4*$F219)</f>
        <v>2920.0896751786313</v>
      </c>
      <c r="K219" s="506">
        <f t="shared" si="33"/>
        <v>1.1487565457228539</v>
      </c>
      <c r="L219" s="505">
        <f t="shared" si="34"/>
        <v>9.3739775695104157</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↑+2σ突破</v>
      </c>
      <c r="Q219" s="503">
        <f>IF($D219="","",IFERROR(100-100/(1+SUMPRODUCT((終値!E219:R219&gt;終値!F219:S219)*(終値!E219:R219-終値!F219:S219))/SUMPRODUCT((終値!E219:R219&lt;終値!F219:S219)*(終値!F219:S219-終値!E219:R219))),100))</f>
        <v>51.524628616106334</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65.755927705247615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v>
      </c>
      <c r="T219" s="500" t="str">
        <f t="shared" si="36"/>
        <v>上walk▲</v>
      </c>
      <c r="U219" s="500" t="str">
        <f>IF(終値!A219="","",BB_スイング!BT219)</f>
        <v>－</v>
      </c>
      <c r="V219" s="508">
        <f>IF($D219="","",IFERROR(出来高!E219/AVERAGE(出来高!E219:I219),""))</f>
        <v>1.2880399056494336</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55</v>
      </c>
      <c r="Y219" s="501">
        <f t="shared" si="37"/>
        <v>3250</v>
      </c>
      <c r="Z219" s="501">
        <f t="shared" si="38"/>
        <v>3135.4814782001581</v>
      </c>
      <c r="AA219" s="501">
        <f t="shared" si="39"/>
        <v>3063.6842105263158</v>
      </c>
      <c r="AB219" s="501">
        <f t="shared" si="43"/>
        <v>3279.0760135478426</v>
      </c>
      <c r="AC219" s="507">
        <f t="shared" si="40"/>
        <v>0.16</v>
      </c>
      <c r="AD219" s="501">
        <f>IF($D219="","",MIN(終値!E219:I219))</f>
        <v>3035</v>
      </c>
      <c r="AE219" s="503">
        <f t="shared" si="41"/>
        <v>55.097810000000003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1590</v>
      </c>
      <c r="E220" s="501">
        <f>IF($D220="","",AVERAGE(終値!E220:X220))</f>
        <v>1668.7</v>
      </c>
      <c r="F220" s="502">
        <f>IF($D220="","",STDEVP(終値!E220:X220))</f>
        <v>189.21604054624967</v>
      </c>
      <c r="G220" s="501">
        <f>IF($D220="","",$E220+BB設定!$B$4*$F220)</f>
        <v>2047.1320810924994</v>
      </c>
      <c r="H220" s="501">
        <f>IF($D220="","",$E220+BB設定!$B$5*$F220)</f>
        <v>1857.9160405462496</v>
      </c>
      <c r="I220" s="501">
        <f>IF($D220="","",$E220-BB設定!$B$5*$F220)</f>
        <v>1479.4839594537505</v>
      </c>
      <c r="J220" s="501">
        <f>IF($D220="","",$E220-BB設定!$B$4*$F220)</f>
        <v>1290.2679189075006</v>
      </c>
      <c r="K220" s="506">
        <f t="shared" si="33"/>
        <v>0.39601832940167198</v>
      </c>
      <c r="L220" s="505">
        <f t="shared" si="34"/>
        <v>45.35651478306459</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39.114043355325158</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49.051072852377594</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0.83441822095616192</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0</v>
      </c>
      <c r="Y220" s="501">
        <f t="shared" si="37"/>
        <v>1590</v>
      </c>
      <c r="Z220" s="501">
        <f t="shared" si="38"/>
        <v>1857.9160405462496</v>
      </c>
      <c r="AA220" s="501">
        <f t="shared" si="39"/>
        <v>1371</v>
      </c>
      <c r="AB220" s="501">
        <f t="shared" si="43"/>
        <v>2047.1320810924994</v>
      </c>
      <c r="AC220" s="507">
        <f t="shared" si="40"/>
        <v>2.09</v>
      </c>
      <c r="AD220" s="501">
        <f>IF($D220="","",MIN(終値!E220:I220))</f>
        <v>1371</v>
      </c>
      <c r="AE220" s="503">
        <f t="shared" si="41"/>
        <v>9.7799999999999998E-2</v>
      </c>
    </row>
    <row r="221" spans="1:31">
      <c r="A221" s="500" t="str">
        <f>IF(終値!A221="","",HYPERLINK("https://kabutan.jp/stock/?code="&amp;終値!A221,"📈"))</f>
        <v>📈</v>
      </c>
      <c r="B221" s="500" t="str">
        <f>IF(終値!A221="","",終値!A221)</f>
        <v>485A</v>
      </c>
      <c r="C221" s="499" t="str">
        <f>IF(終値!A221="","",終値!B221)</f>
        <v>パワーエックス</v>
      </c>
      <c r="D221" s="501">
        <f>IF(終値!A221="","",終値!E221)</f>
        <v>0</v>
      </c>
      <c r="E221" s="501" t="e">
        <f>IF($D221="","",AVERAGE(終値!E221:X221))</f>
        <v>#DIV/0!</v>
      </c>
      <c r="F221" s="502" t="e">
        <f>IF($D221="","",STDEVP(終値!E221:X221))</f>
        <v>#DIV/0!</v>
      </c>
      <c r="G221" s="501" t="e">
        <f>IF($D221="","",$E221+BB設定!$B$4*$F221)</f>
        <v>#DIV/0!</v>
      </c>
      <c r="H221" s="501" t="e">
        <f>IF($D221="","",$E221+BB設定!$B$5*$F221)</f>
        <v>#DIV/0!</v>
      </c>
      <c r="I221" s="501" t="e">
        <f>IF($D221="","",$E221-BB設定!$B$5*$F221)</f>
        <v>#DIV/0!</v>
      </c>
      <c r="J221" s="501" t="e">
        <f>IF($D221="","",$E221-BB設定!$B$4*$F221)</f>
        <v>#DIV/0!</v>
      </c>
      <c r="K221" s="506" t="str">
        <f t="shared" si="33"/>
        <v/>
      </c>
      <c r="L221" s="505" t="str">
        <f t="shared" si="34"/>
        <v/>
      </c>
      <c r="M221" s="505">
        <f>IF($D221="","",IFERROR(MIN(BB_帯幅!B221:AP221)*100,""))</f>
        <v>0</v>
      </c>
      <c r="N221" s="500" t="str">
        <f>IF($L221="","",IF($L221&lt;=$M221*BB設定!$B$7,"スクイーズ★",IF($L221&lt;=$M221*1.3,"収縮","－")))</f>
        <v/>
      </c>
      <c r="O221" s="500" t="str">
        <f>IF($D221="","",IF(AND(BB_帯幅!B221&gt;BB_帯幅!C221,BB_帯幅!C221&gt;BB_帯幅!D221),"拡大↑","縮小↓"))</f>
        <v>縮小↓</v>
      </c>
      <c r="P221" s="500" t="e">
        <f t="shared" si="35"/>
        <v>#DIV/0!</v>
      </c>
      <c r="Q221" s="503">
        <f>IF($D221="","",IFERROR(100-100/(1+SUMPRODUCT((終値!E221:R221&gt;終値!F221:S221)*(終値!E221:R221-終値!F221:S221))/SUMPRODUCT((終値!E221:R221&lt;終値!F221:S221)*(終値!F221:S221-終値!E221:R221))),100))</f>
        <v>100</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50</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v>
      </c>
      <c r="T221" s="500" t="e">
        <f t="shared" si="36"/>
        <v>#DIV/0!</v>
      </c>
      <c r="U221" s="500" t="str">
        <f>IF(終値!A221="","",BB_スイング!BT221)</f>
        <v>－</v>
      </c>
      <c r="V221" s="508" t="str">
        <f>IF($D221="","",IFERROR(出来高!E221/AVERAGE(出来高!E221:I221),""))</f>
        <v/>
      </c>
      <c r="W221" s="509" t="e">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#DIV/0!</v>
      </c>
      <c r="X221" s="504" t="e">
        <f t="shared" si="42"/>
        <v>#DIV/0!</v>
      </c>
      <c r="Y221" s="501">
        <f t="shared" si="37"/>
        <v>0</v>
      </c>
      <c r="Z221" s="501" t="e">
        <f t="shared" si="38"/>
        <v>#DIV/0!</v>
      </c>
      <c r="AA221" s="501" t="e">
        <f t="shared" si="39"/>
        <v>#DIV/0!</v>
      </c>
      <c r="AB221" s="501" t="e">
        <f t="shared" si="43"/>
        <v>#DIV/0!</v>
      </c>
      <c r="AC221" s="507" t="e">
        <f t="shared" si="40"/>
        <v>#DIV/0!</v>
      </c>
      <c r="AD221" s="501">
        <f>IF($D221="","",MIN(終値!E221:I221))</f>
        <v>0</v>
      </c>
      <c r="AE221" s="503" t="e">
        <f t="shared" si="41"/>
        <v>#DIV/0!</v>
      </c>
    </row>
    <row r="222" spans="1:31">
      <c r="A222" s="500" t="str">
        <f>IF(終値!A222="","",HYPERLINK("https://kabutan.jp/stock/?code="&amp;終値!A222,"📈"))</f>
        <v>📈</v>
      </c>
      <c r="B222" s="500" t="str">
        <f>IF(終値!A222="","",終値!A222)</f>
        <v>1570</v>
      </c>
      <c r="C222" s="499" t="str">
        <f>IF(終値!A222="","",終値!B222)</f>
        <v>ＮＦ日経レバ</v>
      </c>
      <c r="D222" s="501">
        <f>IF(終値!A222="","",終値!E222)</f>
        <v>65180</v>
      </c>
      <c r="E222" s="501">
        <f>IF($D222="","",AVERAGE(終値!E222:X222))</f>
        <v>69465.5</v>
      </c>
      <c r="F222" s="502">
        <f>IF($D222="","",STDEVP(終値!E222:X222))</f>
        <v>5213.9087784501944</v>
      </c>
      <c r="G222" s="501">
        <f>IF($D222="","",$E222+BB設定!$B$4*$F222)</f>
        <v>79893.317556900394</v>
      </c>
      <c r="H222" s="501">
        <f>IF($D222="","",$E222+BB設定!$B$5*$F222)</f>
        <v>74679.40877845019</v>
      </c>
      <c r="I222" s="501">
        <f>IF($D222="","",$E222-BB設定!$B$5*$F222)</f>
        <v>64251.591221549803</v>
      </c>
      <c r="J222" s="501">
        <f>IF($D222="","",$E222-BB設定!$B$4*$F222)</f>
        <v>59037.682443099613</v>
      </c>
      <c r="K222" s="506">
        <f t="shared" si="33"/>
        <v>0.29451596766937282</v>
      </c>
      <c r="L222" s="505">
        <f t="shared" si="34"/>
        <v>30.023011586760017</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39.865771812080538</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41.442502583303735</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0.81612138812948209</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5</v>
      </c>
      <c r="Y222" s="501">
        <f t="shared" si="37"/>
        <v>65180</v>
      </c>
      <c r="Z222" s="501">
        <f t="shared" si="38"/>
        <v>74679.40877845019</v>
      </c>
      <c r="AA222" s="501">
        <f t="shared" si="39"/>
        <v>60430</v>
      </c>
      <c r="AB222" s="501">
        <f t="shared" si="43"/>
        <v>79893.317556900394</v>
      </c>
      <c r="AC222" s="507">
        <f t="shared" si="40"/>
        <v>3.1</v>
      </c>
      <c r="AD222" s="501">
        <f>IF($D222="","",MIN(終値!E222:I222))</f>
        <v>60430</v>
      </c>
      <c r="AE222" s="503">
        <f t="shared" si="41"/>
        <v>5.0977800000000002</v>
      </c>
    </row>
    <row r="223" spans="1:31">
      <c r="A223" s="500" t="str">
        <f>IF(終値!A223="","",HYPERLINK("https://kabutan.jp/stock/?code="&amp;終値!A223,"📈"))</f>
        <v>📈</v>
      </c>
      <c r="B223" s="500" t="str">
        <f>IF(終値!A223="","",終値!A223)</f>
        <v>6135</v>
      </c>
      <c r="C223" s="499" t="str">
        <f>IF(終値!A223="","",終値!B223)</f>
        <v>牧野フライス</v>
      </c>
      <c r="D223" s="501">
        <f>IF(終値!A223="","",終値!E223)</f>
        <v>14880</v>
      </c>
      <c r="E223" s="501">
        <f>IF($D223="","",AVERAGE(終値!E223:X223))</f>
        <v>14607.5</v>
      </c>
      <c r="F223" s="502">
        <f>IF($D223="","",STDEVP(終値!E223:X223))</f>
        <v>329.69493475029304</v>
      </c>
      <c r="G223" s="501">
        <f>IF($D223="","",$E223+BB設定!$B$4*$F223)</f>
        <v>15266.889869500586</v>
      </c>
      <c r="H223" s="501">
        <f>IF($D223="","",$E223+BB設定!$B$5*$F223)</f>
        <v>14937.194934750292</v>
      </c>
      <c r="I223" s="501">
        <f>IF($D223="","",$E223-BB設定!$B$5*$F223)</f>
        <v>14277.805065249708</v>
      </c>
      <c r="J223" s="501">
        <f>IF($D223="","",$E223-BB設定!$B$4*$F223)</f>
        <v>13948.110130499414</v>
      </c>
      <c r="K223" s="506">
        <f t="shared" si="33"/>
        <v>0.70663041138802152</v>
      </c>
      <c r="L223" s="505">
        <f t="shared" si="34"/>
        <v>9.028100215650678</v>
      </c>
      <c r="M223" s="505">
        <f>IF($D223="","",IFERROR(MIN(BB_帯幅!B223:AP223)*100,""))</f>
        <v>7.9406094482362386</v>
      </c>
      <c r="N223" s="500" t="str">
        <f>IF($L223="","",IF($L223&lt;=$M223*BB設定!$B$7,"スクイーズ★",IF($L223&lt;=$M223*1.3,"収縮","－")))</f>
        <v>収縮</v>
      </c>
      <c r="O223" s="500" t="str">
        <f>IF($D223="","",IF(AND(BB_帯幅!B223&gt;BB_帯幅!C223,BB_帯幅!C223&gt;BB_帯幅!D223),"拡大↑","縮小↓"))</f>
        <v>縮小↓</v>
      </c>
      <c r="P223" s="500" t="str">
        <f t="shared" si="35"/>
        <v>バンド内</v>
      </c>
      <c r="Q223" s="503">
        <f>IF($D223="","",IFERROR(100-100/(1+SUMPRODUCT((終値!E223:R223&gt;終値!F223:S223)*(終値!E223:R223-終値!F223:S223))/SUMPRODUCT((終値!E223:R223&lt;終値!F223:S223)*(終値!F223:S223-終値!E223:R223))),100))</f>
        <v>50.931677018633543</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55.922281932523234</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v>
      </c>
      <c r="U223" s="500" t="str">
        <f>IF(終値!A223="","",BB_スイング!BT223)</f>
        <v>二番天井M形成</v>
      </c>
      <c r="V223" s="508">
        <f>IF($D223="","",IFERROR(出来高!E223/AVERAGE(出来高!E223:I223),""))</f>
        <v>0.56780435143663843</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▼二番天井警戒</v>
      </c>
      <c r="X223" s="504">
        <f t="shared" si="42"/>
        <v>25</v>
      </c>
      <c r="Y223" s="501">
        <f t="shared" si="37"/>
        <v>14880</v>
      </c>
      <c r="Z223" s="501">
        <f t="shared" si="38"/>
        <v>14937.194934750292</v>
      </c>
      <c r="AA223" s="501">
        <f t="shared" si="39"/>
        <v>14607.5</v>
      </c>
      <c r="AB223" s="501">
        <f t="shared" si="43"/>
        <v>15266.889869500586</v>
      </c>
      <c r="AC223" s="507">
        <f t="shared" si="40"/>
        <v>1.42</v>
      </c>
      <c r="AD223" s="501">
        <f>IF($D223="","",MIN(終値!E223:I223))</f>
        <v>13920</v>
      </c>
      <c r="AE223" s="503">
        <f t="shared" si="41"/>
        <v>25.097770000000001</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2327</v>
      </c>
      <c r="E224" s="501">
        <f>IF($D224="","",AVERAGE(終値!E224:X224))</f>
        <v>2364.9</v>
      </c>
      <c r="F224" s="502">
        <f>IF($D224="","",STDEVP(終値!E224:X224))</f>
        <v>196.6550024789606</v>
      </c>
      <c r="G224" s="501">
        <f>IF($D224="","",$E224+BB設定!$B$4*$F224)</f>
        <v>2758.2100049579212</v>
      </c>
      <c r="H224" s="501">
        <f>IF($D224="","",$E224+BB設定!$B$5*$F224)</f>
        <v>2561.5550024789609</v>
      </c>
      <c r="I224" s="501">
        <f>IF($D224="","",$E224-BB設定!$B$5*$F224)</f>
        <v>2168.2449975210393</v>
      </c>
      <c r="J224" s="501">
        <f>IF($D224="","",$E224-BB設定!$B$4*$F224)</f>
        <v>1971.589995042079</v>
      </c>
      <c r="K224" s="506">
        <f t="shared" si="33"/>
        <v>0.45181917632116314</v>
      </c>
      <c r="L224" s="505">
        <f t="shared" si="34"/>
        <v>33.26229480806132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39.06942392909896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53.941791585427801</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弱気div▼</v>
      </c>
      <c r="T224" s="500" t="str">
        <f t="shared" si="36"/>
        <v>－</v>
      </c>
      <c r="U224" s="500" t="str">
        <f>IF(終値!A224="","",BB_スイング!BT224)</f>
        <v>－</v>
      </c>
      <c r="V224" s="508">
        <f>IF($D224="","",IFERROR(出来高!E224/AVERAGE(出来高!E224:I224),""))</f>
        <v>0.66298467087466184</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様子見</v>
      </c>
      <c r="X224" s="504">
        <f t="shared" si="42"/>
        <v>0</v>
      </c>
      <c r="Y224" s="501">
        <f t="shared" si="37"/>
        <v>2327</v>
      </c>
      <c r="Z224" s="501">
        <f t="shared" si="38"/>
        <v>2561.5550024789609</v>
      </c>
      <c r="AA224" s="501">
        <f t="shared" si="39"/>
        <v>1983</v>
      </c>
      <c r="AB224" s="501">
        <f t="shared" si="43"/>
        <v>2758.2100049579212</v>
      </c>
      <c r="AC224" s="507">
        <f t="shared" si="40"/>
        <v>1.25</v>
      </c>
      <c r="AD224" s="501">
        <f>IF($D224="","",MIN(終値!E224:I224))</f>
        <v>1983</v>
      </c>
      <c r="AE224" s="503">
        <f t="shared" si="41"/>
        <v>9.776E-2</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2240</v>
      </c>
      <c r="E225" s="501">
        <f>IF($D225="","",AVERAGE(終値!E225:X225))</f>
        <v>1932.4</v>
      </c>
      <c r="F225" s="502">
        <f>IF($D225="","",STDEVP(終値!E225:X225))</f>
        <v>152.33627276522162</v>
      </c>
      <c r="G225" s="501">
        <f>IF($D225="","",$E225+BB設定!$B$4*$F225)</f>
        <v>2237.0725455304432</v>
      </c>
      <c r="H225" s="501">
        <f>IF($D225="","",$E225+BB設定!$B$5*$F225)</f>
        <v>2084.7362727652217</v>
      </c>
      <c r="I225" s="501">
        <f>IF($D225="","",$E225-BB設定!$B$5*$F225)</f>
        <v>1780.0637272347785</v>
      </c>
      <c r="J225" s="501">
        <f>IF($D225="","",$E225-BB設定!$B$4*$F225)</f>
        <v>1627.727454469557</v>
      </c>
      <c r="K225" s="506">
        <f t="shared" si="33"/>
        <v>1.0048042636471559</v>
      </c>
      <c r="L225" s="505">
        <f t="shared" si="34"/>
        <v>31.53307240017006</v>
      </c>
      <c r="M225" s="505">
        <f>IF($D225="","",IFERROR(MIN(BB_帯幅!B225:AP225)*100,""))</f>
        <v>23.374456526717744</v>
      </c>
      <c r="N225" s="500" t="str">
        <f>IF($L225="","",IF($L225&lt;=$M225*BB設定!$B$7,"スクイーズ★",IF($L225&lt;=$M225*1.3,"収縮","－")))</f>
        <v>－</v>
      </c>
      <c r="O225" s="500" t="str">
        <f>IF($D225="","",IF(AND(BB_帯幅!B225&gt;BB_帯幅!C225,BB_帯幅!C225&gt;BB_帯幅!D225),"拡大↑","縮小↓"))</f>
        <v>縮小↓</v>
      </c>
      <c r="P225" s="500" t="str">
        <f t="shared" si="35"/>
        <v>↑+2σ突破</v>
      </c>
      <c r="Q225" s="503">
        <f>IF($D225="","",IFERROR(100-100/(1+SUMPRODUCT((終値!E225:R225&gt;終値!F225:S225)*(終値!E225:R225-終値!F225:S225))/SUMPRODUCT((終値!E225:R225&lt;終値!F225:S225)*(終値!F225:S225-終値!E225:R225))),100))</f>
        <v>58.281053952321201</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68.726466131699851</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0.58859062936534901</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55</v>
      </c>
      <c r="Y225" s="501">
        <f t="shared" si="37"/>
        <v>2240</v>
      </c>
      <c r="Z225" s="501">
        <f t="shared" si="38"/>
        <v>2084.7362727652217</v>
      </c>
      <c r="AA225" s="501">
        <f t="shared" si="39"/>
        <v>1932.4</v>
      </c>
      <c r="AB225" s="501">
        <f t="shared" si="43"/>
        <v>2389.4088182956648</v>
      </c>
      <c r="AC225" s="507">
        <f t="shared" si="40"/>
        <v>0.49</v>
      </c>
      <c r="AD225" s="501">
        <f>IF($D225="","",MIN(終値!E225:I225))</f>
        <v>1567</v>
      </c>
      <c r="AE225" s="503">
        <f t="shared" si="41"/>
        <v>55.097749999999998</v>
      </c>
    </row>
    <row r="226" spans="1:31">
      <c r="A226" s="500" t="str">
        <f>IF(終値!A226="","",HYPERLINK("https://kabutan.jp/stock/?code="&amp;終値!A226,"📈"))</f>
        <v>📈</v>
      </c>
      <c r="B226" s="500" t="str">
        <f>IF(終値!A226="","",終値!A226)</f>
        <v>2267</v>
      </c>
      <c r="C226" s="499" t="str">
        <f>IF(終値!A226="","",終値!B226)</f>
        <v>ヤクルト</v>
      </c>
      <c r="D226" s="501">
        <f>IF(終値!A226="","",終値!E226)</f>
        <v>2795.5</v>
      </c>
      <c r="E226" s="501">
        <f>IF($D226="","",AVERAGE(終値!E226:X226))</f>
        <v>2832.45</v>
      </c>
      <c r="F226" s="502">
        <f>IF($D226="","",STDEVP(終値!E226:X226))</f>
        <v>49.943693295550347</v>
      </c>
      <c r="G226" s="501">
        <f>IF($D226="","",$E226+BB設定!$B$4*$F226)</f>
        <v>2932.3373865911003</v>
      </c>
      <c r="H226" s="501">
        <f>IF($D226="","",$E226+BB設定!$B$5*$F226)</f>
        <v>2882.3936932955503</v>
      </c>
      <c r="I226" s="501">
        <f>IF($D226="","",$E226-BB設定!$B$5*$F226)</f>
        <v>2782.5063067044493</v>
      </c>
      <c r="J226" s="501">
        <f>IF($D226="","",$E226-BB設定!$B$4*$F226)</f>
        <v>2732.5626134088993</v>
      </c>
      <c r="K226" s="506">
        <f t="shared" si="33"/>
        <v>0.31504171216703003</v>
      </c>
      <c r="L226" s="505">
        <f t="shared" si="34"/>
        <v>7.0530732469134856</v>
      </c>
      <c r="M226" s="505">
        <f>IF($D226="","",IFERROR(MIN(BB_帯幅!B226:AP226)*100,""))</f>
        <v>4.8245619830309971</v>
      </c>
      <c r="N226" s="500" t="str">
        <f>IF($L226="","",IF($L226&lt;=$M226*BB設定!$B$7,"スクイーズ★",IF($L226&lt;=$M226*1.3,"収縮","－")))</f>
        <v>－</v>
      </c>
      <c r="O226" s="500" t="str">
        <f>IF($D226="","",IF(AND(BB_帯幅!B226&gt;BB_帯幅!C226,BB_帯幅!C226&gt;BB_帯幅!D226),"拡大↑","縮小↓"))</f>
        <v>拡大↑</v>
      </c>
      <c r="P226" s="500" t="str">
        <f t="shared" si="35"/>
        <v>バンド内</v>
      </c>
      <c r="Q226" s="503">
        <f>IF($D226="","",IFERROR(100-100/(1+SUMPRODUCT((終値!E226:R226&gt;終値!F226:S226)*(終値!E226:R226-終値!F226:S226))/SUMPRODUCT((終値!E226:R226&lt;終値!F226:S226)*(終値!F226:S226-終値!E226:R226))),100))</f>
        <v>43.924191750278709</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29.787165822314705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0.57978205256593507</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5</v>
      </c>
      <c r="Y226" s="501">
        <f t="shared" si="37"/>
        <v>2795.5</v>
      </c>
      <c r="Z226" s="501">
        <f t="shared" si="38"/>
        <v>2882.3936932955503</v>
      </c>
      <c r="AA226" s="501">
        <f t="shared" si="39"/>
        <v>2781.5</v>
      </c>
      <c r="AB226" s="501">
        <f t="shared" si="43"/>
        <v>2932.3373865911003</v>
      </c>
      <c r="AC226" s="507">
        <f t="shared" si="40"/>
        <v>9.77</v>
      </c>
      <c r="AD226" s="501">
        <f>IF($D226="","",MIN(終値!E226:I226))</f>
        <v>2781.5</v>
      </c>
      <c r="AE226" s="503">
        <f t="shared" si="41"/>
        <v>5.0977399999999999</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32510</v>
      </c>
      <c r="E227" s="501">
        <f>IF($D227="","",AVERAGE(終値!E227:X227))</f>
        <v>33006</v>
      </c>
      <c r="F227" s="502">
        <f>IF($D227="","",STDEVP(終値!E227:X227))</f>
        <v>695.29418234298498</v>
      </c>
      <c r="G227" s="501">
        <f>IF($D227="","",$E227+BB設定!$B$4*$F227)</f>
        <v>34396.588364685973</v>
      </c>
      <c r="H227" s="501">
        <f>IF($D227="","",$E227+BB設定!$B$5*$F227)</f>
        <v>33701.294182342986</v>
      </c>
      <c r="I227" s="501">
        <f>IF($D227="","",$E227-BB設定!$B$5*$F227)</f>
        <v>32310.705817657014</v>
      </c>
      <c r="J227" s="501">
        <f>IF($D227="","",$E227-BB設定!$B$4*$F227)</f>
        <v>31615.411635314031</v>
      </c>
      <c r="K227" s="506">
        <f t="shared" si="33"/>
        <v>0.32165822302417624</v>
      </c>
      <c r="L227" s="505">
        <f t="shared" si="34"/>
        <v>8.4262762206021407</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49.556213017751482</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57.678277425680278</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二番天井M▼</v>
      </c>
      <c r="V227" s="508">
        <f>IF($D227="","",IFERROR(出来高!E227/AVERAGE(出来高!E227:I227),""))</f>
        <v>0.53128103277060579</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▼二番天井警戒</v>
      </c>
      <c r="X227" s="504">
        <f t="shared" si="42"/>
        <v>5</v>
      </c>
      <c r="Y227" s="501">
        <f t="shared" si="37"/>
        <v>32510</v>
      </c>
      <c r="Z227" s="501">
        <f t="shared" si="38"/>
        <v>33701.294182342986</v>
      </c>
      <c r="AA227" s="501">
        <f t="shared" si="39"/>
        <v>32510</v>
      </c>
      <c r="AB227" s="501">
        <f t="shared" si="43"/>
        <v>34396.588364685973</v>
      </c>
      <c r="AC227" s="507" t="str">
        <f t="shared" si="40"/>
        <v>－</v>
      </c>
      <c r="AD227" s="501">
        <f>IF($D227="","",MIN(終値!E227:I227))</f>
        <v>32510</v>
      </c>
      <c r="AE227" s="503">
        <f t="shared" si="41"/>
        <v>5.0977300000000003</v>
      </c>
    </row>
    <row r="228" spans="1:31">
      <c r="A228" s="500" t="str">
        <f>IF(終値!A228="","",HYPERLINK("https://kabutan.jp/stock/?code="&amp;終値!A228,"📈"))</f>
        <v>📈</v>
      </c>
      <c r="B228" s="500" t="str">
        <f>IF(終値!A228="","",終値!A228)</f>
        <v>3696</v>
      </c>
      <c r="C228" s="499">
        <f>IF(終値!A228="","",終値!B228)</f>
        <v>0</v>
      </c>
      <c r="D228" s="501">
        <f>IF(終値!A228="","",終値!E228)</f>
        <v>0</v>
      </c>
      <c r="E228" s="501" t="e">
        <f>IF($D228="","",AVERAGE(終値!E228:X228))</f>
        <v>#DIV/0!</v>
      </c>
      <c r="F228" s="502" t="e">
        <f>IF($D228="","",STDEVP(終値!E228:X228))</f>
        <v>#DIV/0!</v>
      </c>
      <c r="G228" s="501" t="e">
        <f>IF($D228="","",$E228+BB設定!$B$4*$F228)</f>
        <v>#DIV/0!</v>
      </c>
      <c r="H228" s="501" t="e">
        <f>IF($D228="","",$E228+BB設定!$B$5*$F228)</f>
        <v>#DIV/0!</v>
      </c>
      <c r="I228" s="501" t="e">
        <f>IF($D228="","",$E228-BB設定!$B$5*$F228)</f>
        <v>#DIV/0!</v>
      </c>
      <c r="J228" s="501" t="e">
        <f>IF($D228="","",$E228-BB設定!$B$4*$F228)</f>
        <v>#DIV/0!</v>
      </c>
      <c r="K228" s="506" t="str">
        <f t="shared" si="33"/>
        <v/>
      </c>
      <c r="L228" s="505" t="str">
        <f t="shared" si="34"/>
        <v/>
      </c>
      <c r="M228" s="505">
        <f>IF($D228="","",IFERROR(MIN(BB_帯幅!B228:AP228)*100,""))</f>
        <v>0</v>
      </c>
      <c r="N228" s="500" t="str">
        <f>IF($L228="","",IF($L228&lt;=$M228*BB設定!$B$7,"スクイーズ★",IF($L228&lt;=$M228*1.3,"収縮","－")))</f>
        <v/>
      </c>
      <c r="O228" s="500" t="str">
        <f>IF($D228="","",IF(AND(BB_帯幅!B228&gt;BB_帯幅!C228,BB_帯幅!C228&gt;BB_帯幅!D228),"拡大↑","縮小↓"))</f>
        <v>縮小↓</v>
      </c>
      <c r="P228" s="500" t="e">
        <f t="shared" si="35"/>
        <v>#DIV/0!</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e">
        <f t="shared" si="36"/>
        <v>#DIV/0!</v>
      </c>
      <c r="U228" s="500" t="str">
        <f>IF(終値!A228="","",BB_スイング!BT228)</f>
        <v>－</v>
      </c>
      <c r="V228" s="508" t="str">
        <f>IF($D228="","",IFERROR(出来高!E228/AVERAGE(出来高!E228:I228),""))</f>
        <v/>
      </c>
      <c r="W228" s="509" t="e">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#DIV/0!</v>
      </c>
      <c r="X228" s="504" t="e">
        <f t="shared" si="42"/>
        <v>#DIV/0!</v>
      </c>
      <c r="Y228" s="501">
        <f t="shared" si="37"/>
        <v>0</v>
      </c>
      <c r="Z228" s="501" t="e">
        <f t="shared" si="38"/>
        <v>#DIV/0!</v>
      </c>
      <c r="AA228" s="501" t="e">
        <f t="shared" si="39"/>
        <v>#DIV/0!</v>
      </c>
      <c r="AB228" s="501" t="e">
        <f t="shared" si="43"/>
        <v>#DIV/0!</v>
      </c>
      <c r="AC228" s="507" t="e">
        <f t="shared" si="40"/>
        <v>#DIV/0!</v>
      </c>
      <c r="AD228" s="501">
        <f>IF($D228="","",MIN(終値!E228:I228))</f>
        <v>0</v>
      </c>
      <c r="AE228" s="503" t="e">
        <f t="shared" si="41"/>
        <v>#DIV/0!</v>
      </c>
    </row>
    <row r="229" spans="1:31">
      <c r="A229" s="500" t="str">
        <f>IF(終値!A229="","",HYPERLINK("https://kabutan.jp/stock/?code="&amp;終値!A229,"📈"))</f>
        <v>📈</v>
      </c>
      <c r="B229" s="500" t="str">
        <f>IF(終値!A229="","",終値!A229)</f>
        <v>4222</v>
      </c>
      <c r="C229" s="499" t="str">
        <f>IF(終値!A229="","",終値!B229)</f>
        <v>児玉化学</v>
      </c>
      <c r="D229" s="501">
        <f>IF(終値!A229="","",終値!E229)</f>
        <v>590</v>
      </c>
      <c r="E229" s="501">
        <f>IF($D229="","",AVERAGE(終値!E229:X229))</f>
        <v>614.57894736842104</v>
      </c>
      <c r="F229" s="502">
        <f>IF($D229="","",STDEVP(終値!E229:X229))</f>
        <v>39.399860792532181</v>
      </c>
      <c r="G229" s="501">
        <f>IF($D229="","",$E229+BB設定!$B$4*$F229)</f>
        <v>693.37866895348543</v>
      </c>
      <c r="H229" s="501">
        <f>IF($D229="","",$E229+BB設定!$B$5*$F229)</f>
        <v>653.97880816095324</v>
      </c>
      <c r="I229" s="501">
        <f>IF($D229="","",$E229-BB設定!$B$5*$F229)</f>
        <v>575.17908657588885</v>
      </c>
      <c r="J229" s="501">
        <f>IF($D229="","",$E229-BB設定!$B$4*$F229)</f>
        <v>535.77922578335665</v>
      </c>
      <c r="K229" s="506">
        <f t="shared" si="33"/>
        <v>0.34404166109972839</v>
      </c>
      <c r="L229" s="505">
        <f t="shared" si="34"/>
        <v>25.643482232015476</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47.84198975859546</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33.141321346320666</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0.82488958170953497</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10</v>
      </c>
      <c r="Y229" s="501">
        <f t="shared" si="37"/>
        <v>590</v>
      </c>
      <c r="Z229" s="501">
        <f t="shared" si="38"/>
        <v>653.97880816095324</v>
      </c>
      <c r="AA229" s="501">
        <f t="shared" si="39"/>
        <v>550</v>
      </c>
      <c r="AB229" s="501">
        <f t="shared" si="43"/>
        <v>693.37866895348543</v>
      </c>
      <c r="AC229" s="507">
        <f t="shared" si="40"/>
        <v>2.58</v>
      </c>
      <c r="AD229" s="501">
        <f>IF($D229="","",MIN(終値!E229:I229))</f>
        <v>550</v>
      </c>
      <c r="AE229" s="503">
        <f t="shared" si="41"/>
        <v>10.097709999999999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0</v>
      </c>
      <c r="E230" s="501" t="e">
        <f>IF($D230="","",AVERAGE(終値!E230:X230))</f>
        <v>#DIV/0!</v>
      </c>
      <c r="F230" s="502" t="e">
        <f>IF($D230="","",STDEVP(終値!E230:X230))</f>
        <v>#DIV/0!</v>
      </c>
      <c r="G230" s="501" t="e">
        <f>IF($D230="","",$E230+BB設定!$B$4*$F230)</f>
        <v>#DIV/0!</v>
      </c>
      <c r="H230" s="501" t="e">
        <f>IF($D230="","",$E230+BB設定!$B$5*$F230)</f>
        <v>#DIV/0!</v>
      </c>
      <c r="I230" s="501" t="e">
        <f>IF($D230="","",$E230-BB設定!$B$5*$F230)</f>
        <v>#DIV/0!</v>
      </c>
      <c r="J230" s="501" t="e">
        <f>IF($D230="","",$E230-BB設定!$B$4*$F230)</f>
        <v>#DIV/0!</v>
      </c>
      <c r="K230" s="506" t="str">
        <f t="shared" si="33"/>
        <v/>
      </c>
      <c r="L230" s="505" t="str">
        <f t="shared" si="34"/>
        <v/>
      </c>
      <c r="M230" s="505">
        <f>IF($D230="","",IFERROR(MIN(BB_帯幅!B230:AP230)*100,""))</f>
        <v>0</v>
      </c>
      <c r="N230" s="500" t="str">
        <f>IF($L230="","",IF($L230&lt;=$M230*BB設定!$B$7,"スクイーズ★",IF($L230&lt;=$M230*1.3,"収縮","－")))</f>
        <v/>
      </c>
      <c r="O230" s="500" t="str">
        <f>IF($D230="","",IF(AND(BB_帯幅!B230&gt;BB_帯幅!C230,BB_帯幅!C230&gt;BB_帯幅!D230),"拡大↑","縮小↓"))</f>
        <v>縮小↓</v>
      </c>
      <c r="P230" s="500" t="e">
        <f t="shared" si="35"/>
        <v>#DIV/0!</v>
      </c>
      <c r="Q230" s="503">
        <f>IF($D230="","",IFERROR(100-100/(1+SUMPRODUCT((終値!E230:R230&gt;終値!F230:S230)*(終値!E230:R230-終値!F230:S230))/SUMPRODUCT((終値!E230:R230&lt;終値!F230:S230)*(終値!F230:S230-終値!E230:R230))),100))</f>
        <v>100</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v>
      </c>
      <c r="T230" s="500" t="e">
        <f t="shared" si="36"/>
        <v>#DIV/0!</v>
      </c>
      <c r="U230" s="500" t="str">
        <f>IF(終値!A230="","",BB_スイング!BT230)</f>
        <v>－</v>
      </c>
      <c r="V230" s="508" t="str">
        <f>IF($D230="","",IFERROR(出来高!E230/AVERAGE(出来高!E230:I230),""))</f>
        <v/>
      </c>
      <c r="W230" s="509" t="e">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#DIV/0!</v>
      </c>
      <c r="X230" s="504" t="e">
        <f t="shared" si="42"/>
        <v>#DIV/0!</v>
      </c>
      <c r="Y230" s="501">
        <f t="shared" si="37"/>
        <v>0</v>
      </c>
      <c r="Z230" s="501" t="e">
        <f t="shared" si="38"/>
        <v>#DIV/0!</v>
      </c>
      <c r="AA230" s="501" t="e">
        <f t="shared" si="39"/>
        <v>#DIV/0!</v>
      </c>
      <c r="AB230" s="501" t="e">
        <f t="shared" si="43"/>
        <v>#DIV/0!</v>
      </c>
      <c r="AC230" s="507" t="e">
        <f t="shared" si="40"/>
        <v>#DIV/0!</v>
      </c>
      <c r="AD230" s="501">
        <f>IF($D230="","",MIN(終値!E230:I230))</f>
        <v>0</v>
      </c>
      <c r="AE230" s="503" t="e">
        <f t="shared" si="41"/>
        <v>#DIV/0!</v>
      </c>
    </row>
    <row r="231" spans="1:31">
      <c r="A231" s="500" t="str">
        <f>IF(終値!A231="","",HYPERLINK("https://kabutan.jp/stock/?code="&amp;終値!A231,"📈"))</f>
        <v>📈</v>
      </c>
      <c r="B231" s="500" t="str">
        <f>IF(終値!A231="","",終値!A231)</f>
        <v>7013</v>
      </c>
      <c r="C231" s="499" t="str">
        <f>IF(終値!A231="","",終値!B231)</f>
        <v>ＩＨＩ</v>
      </c>
      <c r="D231" s="501">
        <f>IF(終値!A231="","",終値!E231)</f>
        <v>2879.5</v>
      </c>
      <c r="E231" s="501">
        <f>IF($D231="","",AVERAGE(終値!E231:X231))</f>
        <v>2828.2631578947367</v>
      </c>
      <c r="F231" s="502">
        <f>IF($D231="","",STDEVP(終値!E231:X231))</f>
        <v>85.817948132116555</v>
      </c>
      <c r="G231" s="501">
        <f>IF($D231="","",$E231+BB設定!$B$4*$F231)</f>
        <v>2999.8990541589696</v>
      </c>
      <c r="H231" s="501">
        <f>IF($D231="","",$E231+BB設定!$B$5*$F231)</f>
        <v>2914.0811060268534</v>
      </c>
      <c r="I231" s="501">
        <f>IF($D231="","",$E231-BB設定!$B$5*$F231)</f>
        <v>2742.4452097626199</v>
      </c>
      <c r="J231" s="501">
        <f>IF($D231="","",$E231-BB設定!$B$4*$F231)</f>
        <v>2656.6272616305037</v>
      </c>
      <c r="K231" s="506">
        <f t="shared" si="33"/>
        <v>0.64926027486227111</v>
      </c>
      <c r="L231" s="505">
        <f t="shared" si="34"/>
        <v>12.137194220073422</v>
      </c>
      <c r="M231" s="505">
        <f>IF($D231="","",IFERROR(MIN(BB_帯幅!B231:AP231)*100,""))</f>
        <v>11.979447613977728</v>
      </c>
      <c r="N231" s="500" t="str">
        <f>IF($L231="","",IF($L231&lt;=$M231*BB設定!$B$7,"スクイーズ★",IF($L231&lt;=$M231*1.3,"収縮","－")))</f>
        <v>スクイーズ★</v>
      </c>
      <c r="O231" s="500" t="str">
        <f>IF($D231="","",IF(AND(BB_帯幅!B231&gt;BB_帯幅!C231,BB_帯幅!C231&gt;BB_帯幅!D231),"拡大↑","縮小↓"))</f>
        <v>拡大↑</v>
      </c>
      <c r="P231" s="500" t="str">
        <f t="shared" si="35"/>
        <v>バンド内</v>
      </c>
      <c r="Q231" s="503">
        <f>IF($D231="","",IFERROR(100-100/(1+SUMPRODUCT((終値!E231:R231&gt;終値!F231:S231)*(終値!E231:R231-終値!F231:S231))/SUMPRODUCT((終値!E231:R231&lt;終値!F231:S231)*(終値!F231:S231-終値!E231:R231))),100))</f>
        <v>50.521888144570795</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61.974964273404971</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弱気div▼</v>
      </c>
      <c r="T231" s="500" t="str">
        <f t="shared" si="36"/>
        <v>－</v>
      </c>
      <c r="U231" s="500" t="str">
        <f>IF(終値!A231="","",BB_スイング!BT231)</f>
        <v>二番天井M形成</v>
      </c>
      <c r="V231" s="508">
        <f>IF($D231="","",IFERROR(出来高!E231/AVERAGE(出来高!E231:I231),""))</f>
        <v>1.252104653614504</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40</v>
      </c>
      <c r="Y231" s="501">
        <f t="shared" si="37"/>
        <v>2879.5</v>
      </c>
      <c r="Z231" s="501">
        <f t="shared" si="38"/>
        <v>2914.0811060268534</v>
      </c>
      <c r="AA231" s="501">
        <f t="shared" si="39"/>
        <v>2828.2631578947367</v>
      </c>
      <c r="AB231" s="501">
        <f t="shared" si="43"/>
        <v>2999.8990541589696</v>
      </c>
      <c r="AC231" s="507">
        <f t="shared" si="40"/>
        <v>2.35</v>
      </c>
      <c r="AD231" s="501">
        <f>IF($D231="","",MIN(終値!E231:I231))</f>
        <v>2755</v>
      </c>
      <c r="AE231" s="503">
        <f t="shared" si="41"/>
        <v>40.09769</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4020</v>
      </c>
      <c r="E232" s="501">
        <f>IF($D232="","",AVERAGE(終値!E232:X232))</f>
        <v>4109.25</v>
      </c>
      <c r="F232" s="502">
        <f>IF($D232="","",STDEVP(終値!E232:X232))</f>
        <v>46.510079552716313</v>
      </c>
      <c r="G232" s="501">
        <f>IF($D232="","",$E232+BB設定!$B$4*$F232)</f>
        <v>4202.2701591054329</v>
      </c>
      <c r="H232" s="501">
        <f>IF($D232="","",$E232+BB設定!$B$5*$F232)</f>
        <v>4155.760079552716</v>
      </c>
      <c r="I232" s="501">
        <f>IF($D232="","",$E232-BB設定!$B$5*$F232)</f>
        <v>4062.7399204472836</v>
      </c>
      <c r="J232" s="501">
        <f>IF($D232="","",$E232-BB設定!$B$4*$F232)</f>
        <v>4016.2298408945676</v>
      </c>
      <c r="K232" s="506">
        <f t="shared" si="33"/>
        <v>2.0265279815094538E-2</v>
      </c>
      <c r="L232" s="505">
        <f t="shared" si="34"/>
        <v>4.5273545832175044</v>
      </c>
      <c r="M232" s="505">
        <f>IF($D232="","",IFERROR(MIN(BB_帯幅!B232:AP232)*100,""))</f>
        <v>4.5186890587014039</v>
      </c>
      <c r="N232" s="500" t="str">
        <f>IF($L232="","",IF($L232&lt;=$M232*BB設定!$B$7,"スクイーズ★",IF($L232&lt;=$M232*1.3,"収縮","－")))</f>
        <v>スクイーズ★</v>
      </c>
      <c r="O232" s="500" t="str">
        <f>IF($D232="","",IF(AND(BB_帯幅!B232&gt;BB_帯幅!C232,BB_帯幅!C232&gt;BB_帯幅!D232),"拡大↑","縮小↓"))</f>
        <v>縮小↓</v>
      </c>
      <c r="P232" s="500" t="str">
        <f t="shared" si="35"/>
        <v>-1σ下</v>
      </c>
      <c r="Q232" s="503">
        <f>IF($D232="","",IFERROR(100-100/(1+SUMPRODUCT((終値!E232:R232&gt;終値!F232:S232)*(終値!E232:R232-終値!F232:S232))/SUMPRODUCT((終値!E232:R232&lt;終値!F232:S232)*(終値!F232:S232-終値!E232:R232))),100))</f>
        <v>40.650406504065046</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40.379677265715749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下walk▼</v>
      </c>
      <c r="U232" s="500" t="str">
        <f>IF(終値!A232="","",BB_スイング!BT232)</f>
        <v>二番天井M▼</v>
      </c>
      <c r="V232" s="508">
        <f>IF($D232="","",IFERROR(出来高!E232/AVERAGE(出来高!E232:I232),""))</f>
        <v>0.73687752355316283</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▼二番天井警戒</v>
      </c>
      <c r="X232" s="504">
        <f t="shared" si="42"/>
        <v>0</v>
      </c>
      <c r="Y232" s="501">
        <f t="shared" si="37"/>
        <v>4020</v>
      </c>
      <c r="Z232" s="501">
        <f t="shared" si="38"/>
        <v>4155.760079552716</v>
      </c>
      <c r="AA232" s="501">
        <f t="shared" si="39"/>
        <v>4020</v>
      </c>
      <c r="AB232" s="501">
        <f t="shared" si="43"/>
        <v>4202.2701591054329</v>
      </c>
      <c r="AC232" s="507" t="str">
        <f t="shared" si="40"/>
        <v>－</v>
      </c>
      <c r="AD232" s="501">
        <f>IF($D232="","",MIN(終値!E232:I232))</f>
        <v>4020</v>
      </c>
      <c r="AE232" s="503">
        <f t="shared" si="41"/>
        <v>9.7680000000000003E-2</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4051</v>
      </c>
      <c r="E233" s="501">
        <f>IF($D233="","",AVERAGE(終値!E233:X233))</f>
        <v>3794.35</v>
      </c>
      <c r="F233" s="502">
        <f>IF($D233="","",STDEVP(終値!E233:X233))</f>
        <v>191.93417491421374</v>
      </c>
      <c r="G233" s="501">
        <f>IF($D233="","",$E233+BB設定!$B$4*$F233)</f>
        <v>4178.2183498284276</v>
      </c>
      <c r="H233" s="501">
        <f>IF($D233="","",$E233+BB設定!$B$5*$F233)</f>
        <v>3986.2841749142135</v>
      </c>
      <c r="I233" s="501">
        <f>IF($D233="","",$E233-BB設定!$B$5*$F233)</f>
        <v>3602.4158250857863</v>
      </c>
      <c r="J233" s="501">
        <f>IF($D233="","",$E233-BB設定!$B$4*$F233)</f>
        <v>3410.4816501715723</v>
      </c>
      <c r="K233" s="506">
        <f t="shared" si="33"/>
        <v>0.83429429661850396</v>
      </c>
      <c r="L233" s="505">
        <f t="shared" si="34"/>
        <v>20.233681649211469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+1σ上</v>
      </c>
      <c r="Q233" s="503">
        <f>IF($D233="","",IFERROR(100-100/(1+SUMPRODUCT((終値!E233:R233&gt;終値!F233:S233)*(終値!E233:R233-終値!F233:S233))/SUMPRODUCT((終値!E233:R233&lt;終値!F233:S233)*(終値!F233:S233-終値!E233:R233))),100))</f>
        <v>55.420956995760143</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67.383912033598875</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上walk▲</v>
      </c>
      <c r="U233" s="500" t="str">
        <f>IF(終値!A233="","",BB_スイング!BT233)</f>
        <v>二番底W▲</v>
      </c>
      <c r="V233" s="508">
        <f>IF($D233="","",IFERROR(出来高!E233/AVERAGE(出来高!E233:I233),""))</f>
        <v>0.75911796242482632</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37</v>
      </c>
      <c r="Y233" s="501">
        <f t="shared" si="37"/>
        <v>4051</v>
      </c>
      <c r="Z233" s="501">
        <f t="shared" si="38"/>
        <v>3986.2841749142135</v>
      </c>
      <c r="AA233" s="501">
        <f t="shared" si="39"/>
        <v>3794.35</v>
      </c>
      <c r="AB233" s="501">
        <f t="shared" si="43"/>
        <v>4178.2183498284276</v>
      </c>
      <c r="AC233" s="507">
        <f t="shared" si="40"/>
        <v>0.5</v>
      </c>
      <c r="AD233" s="501">
        <f>IF($D233="","",MIN(終値!E233:I233))</f>
        <v>3479</v>
      </c>
      <c r="AE233" s="503">
        <f t="shared" si="41"/>
        <v>37.097670000000001</v>
      </c>
    </row>
    <row r="234" spans="1:31">
      <c r="A234" s="500" t="str">
        <f>IF(終値!A234="","",HYPERLINK("https://kabutan.jp/stock/?code="&amp;終値!A234,"📈"))</f>
        <v>📈</v>
      </c>
      <c r="B234" s="500" t="str">
        <f>IF(終値!A234="","",終値!A234)</f>
        <v>6762</v>
      </c>
      <c r="C234" s="499" t="str">
        <f>IF(終値!A234="","",終値!B234)</f>
        <v>ＴＤＫ</v>
      </c>
      <c r="D234" s="501">
        <f>IF(終値!A234="","",終値!E234)</f>
        <v>3052</v>
      </c>
      <c r="E234" s="501">
        <f>IF($D234="","",AVERAGE(終値!E234:X234))</f>
        <v>3127.2</v>
      </c>
      <c r="F234" s="502">
        <f>IF($D234="","",STDEVP(終値!E234:X234))</f>
        <v>193.10135939449</v>
      </c>
      <c r="G234" s="501">
        <f>IF($D234="","",$E234+BB設定!$B$4*$F234)</f>
        <v>3513.4027187889797</v>
      </c>
      <c r="H234" s="501">
        <f>IF($D234="","",$E234+BB設定!$B$5*$F234)</f>
        <v>3320.3013593944897</v>
      </c>
      <c r="I234" s="501">
        <f>IF($D234="","",$E234-BB設定!$B$5*$F234)</f>
        <v>2934.0986406055099</v>
      </c>
      <c r="J234" s="501">
        <f>IF($D234="","",$E234-BB設定!$B$4*$F234)</f>
        <v>2740.99728121102</v>
      </c>
      <c r="K234" s="506">
        <f t="shared" si="33"/>
        <v>0.40264180397822508</v>
      </c>
      <c r="L234" s="505">
        <f t="shared" si="34"/>
        <v>24.699585494306721</v>
      </c>
      <c r="M234" s="505">
        <f>IF($D234="","",IFERROR(MIN(BB_帯幅!B234:AP234)*100,""))</f>
        <v>16.982646093630915</v>
      </c>
      <c r="N234" s="500" t="str">
        <f>IF($L234="","",IF($L234&lt;=$M234*BB設定!$B$7,"スクイーズ★",IF($L234&lt;=$M234*1.3,"収縮","－")))</f>
        <v>－</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43.83673469387756</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46.67820692245585</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v>
      </c>
      <c r="V234" s="508">
        <f>IF($D234="","",IFERROR(出来高!E234/AVERAGE(出来高!E234:I234),""))</f>
        <v>0.84862839505788845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○反発(ダイバ)買</v>
      </c>
      <c r="X234" s="504">
        <f t="shared" si="42"/>
        <v>10</v>
      </c>
      <c r="Y234" s="501">
        <f t="shared" si="37"/>
        <v>3052</v>
      </c>
      <c r="Z234" s="501">
        <f t="shared" si="38"/>
        <v>3320.3013593944897</v>
      </c>
      <c r="AA234" s="501">
        <f t="shared" si="39"/>
        <v>2746</v>
      </c>
      <c r="AB234" s="501">
        <f t="shared" si="43"/>
        <v>3513.4027187889797</v>
      </c>
      <c r="AC234" s="507">
        <f t="shared" si="40"/>
        <v>1.51</v>
      </c>
      <c r="AD234" s="501">
        <f>IF($D234="","",MIN(終値!E234:I234))</f>
        <v>2746</v>
      </c>
      <c r="AE234" s="503">
        <f t="shared" si="41"/>
        <v>10.097659999999999</v>
      </c>
    </row>
    <row r="235" spans="1:31">
      <c r="A235" s="500" t="str">
        <f>IF(終値!A235="","",HYPERLINK("https://kabutan.jp/stock/?code="&amp;終値!A235,"📈"))</f>
        <v>📈</v>
      </c>
      <c r="B235" s="500" t="str">
        <f>IF(終値!A235="","",終値!A235)</f>
        <v>4392</v>
      </c>
      <c r="C235" s="499" t="str">
        <f>IF(終値!A235="","",終値!B235)</f>
        <v>ＦＩＧ</v>
      </c>
      <c r="D235" s="501">
        <f>IF(終値!A235="","",終値!E235)</f>
        <v>871</v>
      </c>
      <c r="E235" s="501">
        <f>IF($D235="","",AVERAGE(終値!E235:X235))</f>
        <v>1002.45</v>
      </c>
      <c r="F235" s="502">
        <f>IF($D235="","",STDEVP(終値!E235:X235))</f>
        <v>103.61296974800017</v>
      </c>
      <c r="G235" s="501">
        <f>IF($D235="","",$E235+BB設定!$B$4*$F235)</f>
        <v>1209.6759394960004</v>
      </c>
      <c r="H235" s="501">
        <f>IF($D235="","",$E235+BB設定!$B$5*$F235)</f>
        <v>1106.0629697480001</v>
      </c>
      <c r="I235" s="501">
        <f>IF($D235="","",$E235-BB設定!$B$5*$F235)</f>
        <v>898.83703025199986</v>
      </c>
      <c r="J235" s="501">
        <f>IF($D235="","",$E235-BB設定!$B$4*$F235)</f>
        <v>795.22406050399968</v>
      </c>
      <c r="K235" s="506">
        <f t="shared" si="33"/>
        <v>0.18283410773838682</v>
      </c>
      <c r="L235" s="505">
        <f t="shared" si="34"/>
        <v>41.343895355578901</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-1σ下</v>
      </c>
      <c r="Q235" s="503">
        <f>IF($D235="","",IFERROR(100-100/(1+SUMPRODUCT((終値!E235:R235&gt;終値!F235:S235)*(終値!E235:R235-終値!F235:S235))/SUMPRODUCT((終値!E235:R235&lt;終値!F235:S235)*(終値!F235:S235-終値!E235:R235))),100))</f>
        <v>33.63636363636364</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33.246221158910487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下walk▼</v>
      </c>
      <c r="U235" s="500" t="str">
        <f>IF(終値!A235="","",BB_スイング!BT235)</f>
        <v>二番天井M▼</v>
      </c>
      <c r="V235" s="508">
        <f>IF($D235="","",IFERROR(出来高!E235/AVERAGE(出来高!E235:I235),""))</f>
        <v>0.65753875402164375</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871</v>
      </c>
      <c r="Z235" s="501">
        <f t="shared" si="38"/>
        <v>1106.0629697480001</v>
      </c>
      <c r="AA235" s="501">
        <f t="shared" si="39"/>
        <v>817</v>
      </c>
      <c r="AB235" s="501">
        <f t="shared" si="43"/>
        <v>1209.6759394960004</v>
      </c>
      <c r="AC235" s="507">
        <f t="shared" si="40"/>
        <v>6.27</v>
      </c>
      <c r="AD235" s="501">
        <f>IF($D235="","",MIN(終値!E235:I235))</f>
        <v>817</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1809</v>
      </c>
      <c r="E236" s="501">
        <f>IF($D236="","",AVERAGE(終値!E236:X236))</f>
        <v>1727.2</v>
      </c>
      <c r="F236" s="502">
        <f>IF($D236="","",STDEVP(終値!E236:X236))</f>
        <v>30.472282487532834</v>
      </c>
      <c r="G236" s="501">
        <f>IF($D236="","",$E236+BB設定!$B$4*$F236)</f>
        <v>1788.1445649750658</v>
      </c>
      <c r="H236" s="501">
        <f>IF($D236="","",$E236+BB設定!$B$5*$F236)</f>
        <v>1757.6722824875328</v>
      </c>
      <c r="I236" s="501">
        <f>IF($D236="","",$E236-BB設定!$B$5*$F236)</f>
        <v>1696.7277175124673</v>
      </c>
      <c r="J236" s="501">
        <f>IF($D236="","",$E236-BB設定!$B$4*$F236)</f>
        <v>1666.2554350249343</v>
      </c>
      <c r="K236" s="506">
        <f t="shared" si="33"/>
        <v>1.1711016809576602</v>
      </c>
      <c r="L236" s="505">
        <f t="shared" si="34"/>
        <v>7.0570362407440665</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63.636363636363633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65.604109315007264</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1.3998178506375227</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55</v>
      </c>
      <c r="Y236" s="501">
        <f t="shared" si="37"/>
        <v>1809</v>
      </c>
      <c r="Z236" s="501">
        <f t="shared" si="38"/>
        <v>1757.6722824875328</v>
      </c>
      <c r="AA236" s="501">
        <f t="shared" si="39"/>
        <v>1727.2</v>
      </c>
      <c r="AB236" s="501">
        <f t="shared" si="43"/>
        <v>1818.6168474625986</v>
      </c>
      <c r="AC236" s="507">
        <f t="shared" si="40"/>
        <v>0.12</v>
      </c>
      <c r="AD236" s="501">
        <f>IF($D236="","",MIN(終値!E236:I236))</f>
        <v>1701</v>
      </c>
      <c r="AE236" s="503">
        <f t="shared" si="41"/>
        <v>55.097639999999998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4325</v>
      </c>
      <c r="E237" s="501">
        <f>IF($D237="","",AVERAGE(終値!E237:X237))</f>
        <v>4034</v>
      </c>
      <c r="F237" s="502">
        <f>IF($D237="","",STDEVP(終値!E237:X237))</f>
        <v>108.02314566795395</v>
      </c>
      <c r="G237" s="501">
        <f>IF($D237="","",$E237+BB設定!$B$4*$F237)</f>
        <v>4250.0462913359079</v>
      </c>
      <c r="H237" s="501">
        <f>IF($D237="","",$E237+BB設定!$B$5*$F237)</f>
        <v>4142.0231456679539</v>
      </c>
      <c r="I237" s="501">
        <f>IF($D237="","",$E237-BB設定!$B$5*$F237)</f>
        <v>3925.9768543320461</v>
      </c>
      <c r="J237" s="501">
        <f>IF($D237="","",$E237-BB設定!$B$4*$F237)</f>
        <v>3817.9537086640921</v>
      </c>
      <c r="K237" s="506">
        <f t="shared" si="33"/>
        <v>1.1734667792736011</v>
      </c>
      <c r="L237" s="505">
        <f t="shared" si="34"/>
        <v>10.711268782147144</v>
      </c>
      <c r="M237" s="505">
        <f>IF($D237="","",IFERROR(MIN(BB_帯幅!B237:AP237)*100,""))</f>
        <v>7.8950194092730808</v>
      </c>
      <c r="N237" s="500" t="str">
        <f>IF($L237="","",IF($L237&lt;=$M237*BB設定!$B$7,"スクイーズ★",IF($L237&lt;=$M237*1.3,"収縮","－")))</f>
        <v>－</v>
      </c>
      <c r="O237" s="500" t="str">
        <f>IF($D237="","",IF(AND(BB_帯幅!B237&gt;BB_帯幅!C237,BB_帯幅!C237&gt;BB_帯幅!D237),"拡大↑","縮小↓"))</f>
        <v>縮小↓</v>
      </c>
      <c r="P237" s="500" t="str">
        <f t="shared" si="35"/>
        <v>↑+2σ突破</v>
      </c>
      <c r="Q237" s="503">
        <f>IF($D237="","",IFERROR(100-100/(1+SUMPRODUCT((終値!E237:R237&gt;終値!F237:S237)*(終値!E237:R237-終値!F237:S237))/SUMPRODUCT((終値!E237:R237&lt;終値!F237:S237)*(終値!F237:S237-終値!E237:R237))),100))</f>
        <v>68.852459016393453</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46.444363230662347</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1.6490201541747933</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48</v>
      </c>
      <c r="Y237" s="501">
        <f t="shared" si="37"/>
        <v>4325</v>
      </c>
      <c r="Z237" s="501">
        <f t="shared" si="38"/>
        <v>4142.0231456679539</v>
      </c>
      <c r="AA237" s="501">
        <f t="shared" si="39"/>
        <v>4034</v>
      </c>
      <c r="AB237" s="501">
        <f t="shared" si="43"/>
        <v>4358.0694370038618</v>
      </c>
      <c r="AC237" s="507">
        <f t="shared" si="40"/>
        <v>0.11</v>
      </c>
      <c r="AD237" s="501">
        <f>IF($D237="","",MIN(終値!E237:I237))</f>
        <v>4065</v>
      </c>
      <c r="AE237" s="503">
        <f t="shared" si="41"/>
        <v>48.097630000000002</v>
      </c>
    </row>
    <row r="238" spans="1:31">
      <c r="A238" s="500" t="str">
        <f>IF(終値!A238="","",HYPERLINK("https://kabutan.jp/stock/?code="&amp;終値!A238,"📈"))</f>
        <v>📈</v>
      </c>
      <c r="B238" s="500" t="str">
        <f>IF(終値!A238="","",終値!A238)</f>
        <v>6809</v>
      </c>
      <c r="C238" s="499" t="str">
        <f>IF(終値!A238="","",終値!B238)</f>
        <v>ＴＯＡ</v>
      </c>
      <c r="D238" s="501">
        <f>IF(終値!A238="","",終値!E238)</f>
        <v>1608</v>
      </c>
      <c r="E238" s="501">
        <f>IF($D238="","",AVERAGE(終値!E238:X238))</f>
        <v>1617.1578947368421</v>
      </c>
      <c r="F238" s="502">
        <f>IF($D238="","",STDEVP(終値!E238:X238))</f>
        <v>18.502526592460534</v>
      </c>
      <c r="G238" s="501">
        <f>IF($D238="","",$E238+BB設定!$B$4*$F238)</f>
        <v>1654.1629479217631</v>
      </c>
      <c r="H238" s="501">
        <f>IF($D238="","",$E238+BB設定!$B$5*$F238)</f>
        <v>1635.6604213293026</v>
      </c>
      <c r="I238" s="501">
        <f>IF($D238="","",$E238-BB設定!$B$5*$F238)</f>
        <v>1598.6553681443816</v>
      </c>
      <c r="J238" s="501">
        <f>IF($D238="","",$E238-BB設定!$B$4*$F238)</f>
        <v>1580.152841551921</v>
      </c>
      <c r="K238" s="506">
        <f t="shared" si="33"/>
        <v>0.37626156499386182</v>
      </c>
      <c r="L238" s="505">
        <f t="shared" si="34"/>
        <v>4.576554126886025</v>
      </c>
      <c r="M238" s="505">
        <f>IF($D238="","",IFERROR(MIN(BB_帯幅!B238:AP238)*100,""))</f>
        <v>2.60121050939726</v>
      </c>
      <c r="N238" s="500" t="str">
        <f>IF($L238="","",IF($L238&lt;=$M238*BB設定!$B$7,"スクイーズ★",IF($L238&lt;=$M238*1.3,"収縮","－")))</f>
        <v>－</v>
      </c>
      <c r="O238" s="500" t="str">
        <f>IF($D238="","",IF(AND(BB_帯幅!B238&gt;BB_帯幅!C238,BB_帯幅!C238&gt;BB_帯幅!D238),"拡大↑","縮小↓"))</f>
        <v>縮小↓</v>
      </c>
      <c r="P238" s="500" t="str">
        <f t="shared" si="35"/>
        <v>バンド内</v>
      </c>
      <c r="Q238" s="503">
        <f>IF($D238="","",IFERROR(100-100/(1+SUMPRODUCT((終値!E238:R238&gt;終値!F238:S238)*(終値!E238:R238-終値!F238:S238))/SUMPRODUCT((終値!E238:R238&lt;終値!F238:S238)*(終値!F238:S238-終値!E238:R238))),100))</f>
        <v>50.307107341327871</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61.788684574292425</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v>
      </c>
      <c r="T238" s="500" t="str">
        <f t="shared" si="36"/>
        <v>－</v>
      </c>
      <c r="U238" s="500" t="str">
        <f>IF(終値!A238="","",BB_スイング!BT238)</f>
        <v>二番天井M▼</v>
      </c>
      <c r="V238" s="508">
        <f>IF($D238="","",IFERROR(出来高!E238/AVERAGE(出来高!E238:I238),""))</f>
        <v>1.0981968281555508</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▼二番天井警戒</v>
      </c>
      <c r="X238" s="504">
        <f t="shared" si="42"/>
        <v>0</v>
      </c>
      <c r="Y238" s="501">
        <f t="shared" si="37"/>
        <v>1608</v>
      </c>
      <c r="Z238" s="501">
        <f t="shared" si="38"/>
        <v>1635.6604213293026</v>
      </c>
      <c r="AA238" s="501">
        <f t="shared" si="39"/>
        <v>1602</v>
      </c>
      <c r="AB238" s="501">
        <f t="shared" si="43"/>
        <v>1654.1629479217631</v>
      </c>
      <c r="AC238" s="507">
        <f t="shared" si="40"/>
        <v>7.69</v>
      </c>
      <c r="AD238" s="501">
        <f>IF($D238="","",MIN(終値!E238:I238))</f>
        <v>1602</v>
      </c>
      <c r="AE238" s="503">
        <f t="shared" si="41"/>
        <v>9.7619999999999998E-2</v>
      </c>
    </row>
    <row r="239" spans="1:31" ht="24">
      <c r="A239" s="500" t="str">
        <f>IF(終値!A239="","",HYPERLINK("https://kabutan.jp/stock/?code="&amp;終値!A239,"📈"))</f>
        <v>📈</v>
      </c>
      <c r="B239" s="500" t="str">
        <f>IF(終値!A239="","",終値!A239)</f>
        <v>3984</v>
      </c>
      <c r="C239" s="499" t="str">
        <f>IF(終値!A239="","",終値!B239)</f>
        <v>ユーザーローカル</v>
      </c>
      <c r="D239" s="501">
        <f>IF(終値!A239="","",終値!E239)</f>
        <v>1809</v>
      </c>
      <c r="E239" s="501">
        <f>IF($D239="","",AVERAGE(終値!E239:X239))</f>
        <v>1789.4736842105262</v>
      </c>
      <c r="F239" s="502">
        <f>IF($D239="","",STDEVP(終値!E239:X239))</f>
        <v>22.903386146002703</v>
      </c>
      <c r="G239" s="501">
        <f>IF($D239="","",$E239+BB設定!$B$4*$F239)</f>
        <v>1835.2804565025317</v>
      </c>
      <c r="H239" s="501">
        <f>IF($D239="","",$E239+BB設定!$B$5*$F239)</f>
        <v>1812.377070356529</v>
      </c>
      <c r="I239" s="501">
        <f>IF($D239="","",$E239-BB設定!$B$5*$F239)</f>
        <v>1766.5702980645235</v>
      </c>
      <c r="J239" s="501">
        <f>IF($D239="","",$E239-BB設定!$B$4*$F239)</f>
        <v>1743.6669119185208</v>
      </c>
      <c r="K239" s="506">
        <f t="shared" si="33"/>
        <v>0.71313787036771448</v>
      </c>
      <c r="L239" s="505">
        <f t="shared" si="34"/>
        <v>5.1195804326359049</v>
      </c>
      <c r="M239" s="505">
        <f>IF($D239="","",IFERROR(MIN(BB_帯幅!B239:AP239)*100,""))</f>
        <v>5.0227925214949174</v>
      </c>
      <c r="N239" s="500" t="str">
        <f>IF($L239="","",IF($L239&lt;=$M239*BB設定!$B$7,"スクイーズ★",IF($L239&lt;=$M239*1.3,"収縮","－")))</f>
        <v>スクイーズ★</v>
      </c>
      <c r="O239" s="500" t="str">
        <f>IF($D239="","",IF(AND(BB_帯幅!B239&gt;BB_帯幅!C239,BB_帯幅!C239&gt;BB_帯幅!D239),"拡大↑","縮小↓"))</f>
        <v>縮小↓</v>
      </c>
      <c r="P239" s="500" t="str">
        <f t="shared" si="35"/>
        <v>バンド内</v>
      </c>
      <c r="Q239" s="503">
        <f>IF($D239="","",IFERROR(100-100/(1+SUMPRODUCT((終値!E239:R239&gt;終値!F239:S239)*(終値!E239:R239-終値!F239:S239))/SUMPRODUCT((終値!E239:R239&lt;終値!F239:S239)*(終値!F239:S239-終値!E239:R239))),100))</f>
        <v>50.199733688415442</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54.983775877445801</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v>
      </c>
      <c r="U239" s="500" t="str">
        <f>IF(終値!A239="","",BB_スイング!BT239)</f>
        <v>二番天井M形成</v>
      </c>
      <c r="V239" s="508">
        <f>IF($D239="","",IFERROR(出来高!E239/AVERAGE(出来高!E239:I239),""))</f>
        <v>1.1199575371549895</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▼二番天井警戒</v>
      </c>
      <c r="X239" s="504">
        <f t="shared" si="42"/>
        <v>25</v>
      </c>
      <c r="Y239" s="501">
        <f t="shared" si="37"/>
        <v>1809</v>
      </c>
      <c r="Z239" s="501">
        <f t="shared" si="38"/>
        <v>1812.377070356529</v>
      </c>
      <c r="AA239" s="501">
        <f t="shared" si="39"/>
        <v>1789.4736842105262</v>
      </c>
      <c r="AB239" s="501">
        <f t="shared" si="43"/>
        <v>1835.2804565025317</v>
      </c>
      <c r="AC239" s="507">
        <f t="shared" si="40"/>
        <v>1.35</v>
      </c>
      <c r="AD239" s="501">
        <f>IF($D239="","",MIN(終値!E239:I239))</f>
        <v>1795</v>
      </c>
      <c r="AE239" s="503">
        <f t="shared" si="41"/>
        <v>25.09761</v>
      </c>
    </row>
    <row r="240" spans="1:31">
      <c r="A240" s="500" t="str">
        <f>IF(終値!A240="","",HYPERLINK("https://kabutan.jp/stock/?code="&amp;終値!A240,"📈"))</f>
        <v>📈</v>
      </c>
      <c r="B240" s="500" t="str">
        <f>IF(終値!A240="","",終値!A240)</f>
        <v>7609</v>
      </c>
      <c r="C240" s="499" t="str">
        <f>IF(終値!A240="","",終値!B240)</f>
        <v>ダイトロン</v>
      </c>
      <c r="D240" s="501">
        <f>IF(終値!A240="","",終値!E240)</f>
        <v>4150</v>
      </c>
      <c r="E240" s="501">
        <f>IF($D240="","",AVERAGE(終値!E240:X240))</f>
        <v>3452.3684210526317</v>
      </c>
      <c r="F240" s="502">
        <f>IF($D240="","",STDEVP(終値!E240:X240))</f>
        <v>216.81527682782863</v>
      </c>
      <c r="G240" s="501">
        <f>IF($D240="","",$E240+BB設定!$B$4*$F240)</f>
        <v>3885.9989747082891</v>
      </c>
      <c r="H240" s="501">
        <f>IF($D240="","",$E240+BB設定!$B$5*$F240)</f>
        <v>3669.1836978804604</v>
      </c>
      <c r="I240" s="501">
        <f>IF($D240="","",$E240-BB設定!$B$5*$F240)</f>
        <v>3235.553144224803</v>
      </c>
      <c r="J240" s="501">
        <f>IF($D240="","",$E240-BB設定!$B$4*$F240)</f>
        <v>3018.7378673969743</v>
      </c>
      <c r="K240" s="506">
        <f t="shared" si="33"/>
        <v>1.3044077764655764</v>
      </c>
      <c r="L240" s="505">
        <f t="shared" si="34"/>
        <v>25.12075773902734</v>
      </c>
      <c r="M240" s="505">
        <f>IF($D240="","",IFERROR(MIN(BB_帯幅!B240:AP240)*100,""))</f>
        <v>11.537549311290439</v>
      </c>
      <c r="N240" s="500" t="str">
        <f>IF($L240="","",IF($L240&lt;=$M240*BB設定!$B$7,"スクイーズ★",IF($L240&lt;=$M240*1.3,"収縮","－")))</f>
        <v>－</v>
      </c>
      <c r="O240" s="500" t="str">
        <f>IF($D240="","",IF(AND(BB_帯幅!B240&gt;BB_帯幅!C240,BB_帯幅!C240&gt;BB_帯幅!D240),"拡大↑","縮小↓"))</f>
        <v>縮小↓</v>
      </c>
      <c r="P240" s="500" t="str">
        <f t="shared" si="35"/>
        <v>↑+2σ突破</v>
      </c>
      <c r="Q240" s="503">
        <f>IF($D240="","",IFERROR(100-100/(1+SUMPRODUCT((終値!E240:R240&gt;終値!F240:S240)*(終値!E240:R240-終値!F240:S240))/SUMPRODUCT((終値!E240:R240&lt;終値!F240:S240)*(終値!F240:S240-終値!E240:R240))),100))</f>
        <v>54.205607476635514</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75.725630870688292</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2.5825999894609262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50</v>
      </c>
      <c r="Y240" s="501">
        <f t="shared" si="37"/>
        <v>4150</v>
      </c>
      <c r="Z240" s="501">
        <f t="shared" si="38"/>
        <v>3669.1836978804604</v>
      </c>
      <c r="AA240" s="501">
        <f t="shared" si="39"/>
        <v>3452.3684210526317</v>
      </c>
      <c r="AB240" s="501">
        <f t="shared" si="43"/>
        <v>4102.8142515361178</v>
      </c>
      <c r="AC240" s="507">
        <f t="shared" si="40"/>
        <v>-7.0000000000000007E-2</v>
      </c>
      <c r="AD240" s="501">
        <f>IF($D240="","",MIN(終値!E240:I240))</f>
        <v>3080</v>
      </c>
      <c r="AE240" s="503">
        <f t="shared" si="41"/>
        <v>50.0976</v>
      </c>
    </row>
    <row r="241" spans="1:31">
      <c r="A241" s="500" t="str">
        <f>IF(終値!A241="","",HYPERLINK("https://kabutan.jp/stock/?code="&amp;終値!A241,"📈"))</f>
        <v>📈</v>
      </c>
      <c r="B241" s="500" t="str">
        <f>IF(終値!A241="","",終値!A241)</f>
        <v>7972</v>
      </c>
      <c r="C241" s="499" t="str">
        <f>IF(終値!A241="","",終値!B241)</f>
        <v>イトーキ</v>
      </c>
      <c r="D241" s="501">
        <f>IF(終値!A241="","",終値!E241)</f>
        <v>2894</v>
      </c>
      <c r="E241" s="501">
        <f>IF($D241="","",AVERAGE(終値!E241:X241))</f>
        <v>2856.95</v>
      </c>
      <c r="F241" s="502">
        <f>IF($D241="","",STDEVP(終値!E241:X241))</f>
        <v>51.121888658381941</v>
      </c>
      <c r="G241" s="501">
        <f>IF($D241="","",$E241+BB設定!$B$4*$F241)</f>
        <v>2959.1937773167638</v>
      </c>
      <c r="H241" s="501">
        <f>IF($D241="","",$E241+BB設定!$B$5*$F241)</f>
        <v>2908.0718886583818</v>
      </c>
      <c r="I241" s="501">
        <f>IF($D241="","",$E241-BB設定!$B$5*$F241)</f>
        <v>2805.8281113416178</v>
      </c>
      <c r="J241" s="501">
        <f>IF($D241="","",$E241-BB設定!$B$4*$F241)</f>
        <v>2754.7062226832359</v>
      </c>
      <c r="K241" s="506">
        <f t="shared" si="33"/>
        <v>0.68118462058191898</v>
      </c>
      <c r="L241" s="505">
        <f t="shared" si="34"/>
        <v>7.1575475466328751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縮小↓</v>
      </c>
      <c r="P241" s="500" t="str">
        <f t="shared" si="35"/>
        <v>バンド内</v>
      </c>
      <c r="Q241" s="503">
        <f>IF($D241="","",IFERROR(100-100/(1+SUMPRODUCT((終値!E241:R241&gt;終値!F241:S241)*(終値!E241:R241-終値!F241:S241))/SUMPRODUCT((終値!E241:R241&lt;終値!F241:S241)*(終値!F241:S241-終値!E241:R241))),100))</f>
        <v>60.56782334384858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55.118871177415549</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v>
      </c>
      <c r="U241" s="500" t="str">
        <f>IF(終値!A241="","",BB_スイング!BT241)</f>
        <v>二番天井M形成</v>
      </c>
      <c r="V241" s="508">
        <f>IF($D241="","",IFERROR(出来高!E241/AVERAGE(出来高!E241:I241),""))</f>
        <v>0.64794080420601696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25</v>
      </c>
      <c r="Y241" s="501">
        <f t="shared" si="37"/>
        <v>2894</v>
      </c>
      <c r="Z241" s="501">
        <f t="shared" si="38"/>
        <v>2908.0718886583818</v>
      </c>
      <c r="AA241" s="501">
        <f t="shared" si="39"/>
        <v>2856.95</v>
      </c>
      <c r="AB241" s="501">
        <f t="shared" si="43"/>
        <v>2959.1937773167638</v>
      </c>
      <c r="AC241" s="507">
        <f t="shared" si="40"/>
        <v>1.76</v>
      </c>
      <c r="AD241" s="501">
        <f>IF($D241="","",MIN(終値!E241:I241))</f>
        <v>2883</v>
      </c>
      <c r="AE241" s="503">
        <f t="shared" si="41"/>
        <v>25.09759</v>
      </c>
    </row>
    <row r="242" spans="1:31">
      <c r="A242" s="500" t="str">
        <f>IF(終値!A242="","",HYPERLINK("https://kabutan.jp/stock/?code="&amp;終値!A242,"📈"))</f>
        <v>📈</v>
      </c>
      <c r="B242" s="500" t="str">
        <f>IF(終値!A242="","",終値!A242)</f>
        <v>6521</v>
      </c>
      <c r="C242" s="499" t="str">
        <f>IF(終値!A242="","",終値!B242)</f>
        <v>オキサイド</v>
      </c>
      <c r="D242" s="501">
        <f>IF(終値!A242="","",終値!E242)</f>
        <v>3085</v>
      </c>
      <c r="E242" s="501">
        <f>IF($D242="","",AVERAGE(終値!E242:X242))</f>
        <v>3530.55</v>
      </c>
      <c r="F242" s="502">
        <f>IF($D242="","",STDEVP(終値!E242:X242))</f>
        <v>553.64451365474577</v>
      </c>
      <c r="G242" s="501">
        <f>IF($D242="","",$E242+BB設定!$B$4*$F242)</f>
        <v>4637.8390273094919</v>
      </c>
      <c r="H242" s="501">
        <f>IF($D242="","",$E242+BB設定!$B$5*$F242)</f>
        <v>4084.1945136547461</v>
      </c>
      <c r="I242" s="501">
        <f>IF($D242="","",$E242-BB設定!$B$5*$F242)</f>
        <v>2976.9054863452543</v>
      </c>
      <c r="J242" s="501">
        <f>IF($D242="","",$E242-BB設定!$B$4*$F242)</f>
        <v>2423.2609726905084</v>
      </c>
      <c r="K242" s="506">
        <f t="shared" si="33"/>
        <v>0.29881043295326221</v>
      </c>
      <c r="L242" s="505">
        <f t="shared" si="34"/>
        <v>62.726149031141986</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26.63551401869158</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17.311120102524399</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0.6695951107715814</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3085</v>
      </c>
      <c r="Z242" s="501">
        <f t="shared" si="38"/>
        <v>4084.1945136547461</v>
      </c>
      <c r="AA242" s="501">
        <f t="shared" si="39"/>
        <v>2698</v>
      </c>
      <c r="AB242" s="501">
        <f t="shared" si="43"/>
        <v>4637.8390273094919</v>
      </c>
      <c r="AC242" s="507">
        <f t="shared" si="40"/>
        <v>4.01</v>
      </c>
      <c r="AD242" s="501">
        <f>IF($D242="","",MIN(終値!E242:I242))</f>
        <v>2698</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1756</v>
      </c>
      <c r="E243" s="501">
        <f>IF($D243="","",AVERAGE(終値!E243:X243))</f>
        <v>1727.2</v>
      </c>
      <c r="F243" s="502">
        <f>IF($D243="","",STDEVP(終値!E243:X243))</f>
        <v>21.181595785020544</v>
      </c>
      <c r="G243" s="501">
        <f>IF($D243="","",$E243+BB設定!$B$4*$F243)</f>
        <v>1769.5631915700412</v>
      </c>
      <c r="H243" s="501">
        <f>IF($D243="","",$E243+BB設定!$B$5*$F243)</f>
        <v>1748.3815957850206</v>
      </c>
      <c r="I243" s="501">
        <f>IF($D243="","",$E243-BB設定!$B$5*$F243)</f>
        <v>1706.0184042149795</v>
      </c>
      <c r="J243" s="501">
        <f>IF($D243="","",$E243-BB設定!$B$4*$F243)</f>
        <v>1684.8368084299589</v>
      </c>
      <c r="K243" s="506">
        <f t="shared" si="33"/>
        <v>0.83991773202903608</v>
      </c>
      <c r="L243" s="505">
        <f t="shared" si="34"/>
        <v>4.9054181994026376</v>
      </c>
      <c r="M243" s="505">
        <f>IF($D243="","",IFERROR(MIN(BB_帯幅!B243:AP243)*100,""))</f>
        <v>4.9054181994026269</v>
      </c>
      <c r="N243" s="500" t="str">
        <f>IF($L243="","",IF($L243&lt;=$M243*BB設定!$B$7,"スクイーズ★",IF($L243&lt;=$M243*1.3,"収縮","－")))</f>
        <v>スクイーズ★</v>
      </c>
      <c r="O243" s="500" t="str">
        <f>IF($D243="","",IF(AND(BB_帯幅!B243&gt;BB_帯幅!C243,BB_帯幅!C243&gt;BB_帯幅!D243),"拡大↑","縮小↓"))</f>
        <v>縮小↓</v>
      </c>
      <c r="P243" s="500" t="str">
        <f t="shared" si="35"/>
        <v>+1σ上</v>
      </c>
      <c r="Q243" s="503">
        <f>IF($D243="","",IFERROR(100-100/(1+SUMPRODUCT((終値!E243:R243&gt;終値!F243:S243)*(終値!E243:R243-終値!F243:S243))/SUMPRODUCT((終値!E243:R243&lt;終値!F243:S243)*(終値!F243:S243-終値!E243:R243))),100))</f>
        <v>51.582278481012651</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34.255074610406098</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弱気div▼</v>
      </c>
      <c r="T243" s="500" t="str">
        <f t="shared" si="36"/>
        <v>上walk▲</v>
      </c>
      <c r="U243" s="500" t="str">
        <f>IF(終値!A243="","",BB_スイング!BT243)</f>
        <v>－</v>
      </c>
      <c r="V243" s="508">
        <f>IF($D243="","",IFERROR(出来高!E243/AVERAGE(出来高!E243:I243),""))</f>
        <v>0.93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☆スクイーズ監視</v>
      </c>
      <c r="X243" s="504">
        <f t="shared" si="42"/>
        <v>47</v>
      </c>
      <c r="Y243" s="501">
        <f t="shared" si="37"/>
        <v>1756</v>
      </c>
      <c r="Z243" s="501">
        <f t="shared" si="38"/>
        <v>1748.3815957850206</v>
      </c>
      <c r="AA243" s="501">
        <f t="shared" si="39"/>
        <v>1727.2</v>
      </c>
      <c r="AB243" s="501">
        <f t="shared" si="43"/>
        <v>1769.5631915700412</v>
      </c>
      <c r="AC243" s="507">
        <f t="shared" si="40"/>
        <v>0.47</v>
      </c>
      <c r="AD243" s="501">
        <f>IF($D243="","",MIN(終値!E243:I243))</f>
        <v>1707</v>
      </c>
      <c r="AE243" s="503">
        <f t="shared" si="41"/>
        <v>47.097569999999997</v>
      </c>
    </row>
    <row r="244" spans="1:31">
      <c r="A244" s="500" t="str">
        <f>IF(終値!A244="","",HYPERLINK("https://kabutan.jp/stock/?code="&amp;終値!A244,"📈"))</f>
        <v>📈</v>
      </c>
      <c r="B244" s="500" t="str">
        <f>IF(終値!A244="","",終値!A244)</f>
        <v>6902</v>
      </c>
      <c r="C244" s="499" t="str">
        <f>IF(終値!A244="","",終値!B244)</f>
        <v>デンソー</v>
      </c>
      <c r="D244" s="501">
        <f>IF(終値!A244="","",終値!E244)</f>
        <v>1890.5</v>
      </c>
      <c r="E244" s="501">
        <f>IF($D244="","",AVERAGE(終値!E244:X244))</f>
        <v>1992.35</v>
      </c>
      <c r="F244" s="502">
        <f>IF($D244="","",STDEVP(終値!E244:X244))</f>
        <v>82.122484740782156</v>
      </c>
      <c r="G244" s="501">
        <f>IF($D244="","",$E244+BB設定!$B$4*$F244)</f>
        <v>2156.594969481564</v>
      </c>
      <c r="H244" s="501">
        <f>IF($D244="","",$E244+BB設定!$B$5*$F244)</f>
        <v>2074.472484740782</v>
      </c>
      <c r="I244" s="501">
        <f>IF($D244="","",$E244-BB設定!$B$5*$F244)</f>
        <v>1910.2275152592179</v>
      </c>
      <c r="J244" s="501">
        <f>IF($D244="","",$E244-BB設定!$B$4*$F244)</f>
        <v>1828.1050305184356</v>
      </c>
      <c r="K244" s="506">
        <f t="shared" si="33"/>
        <v>0.18994484177662438</v>
      </c>
      <c r="L244" s="505">
        <f t="shared" si="34"/>
        <v>16.487561872318039</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-1σ下</v>
      </c>
      <c r="Q244" s="503">
        <f>IF($D244="","",IFERROR(100-100/(1+SUMPRODUCT((終値!E244:R244&gt;終値!F244:S244)*(終値!E244:R244-終値!F244:S244))/SUMPRODUCT((終値!E244:R244&lt;終値!F244:S244)*(終値!F244:S244-終値!E244:R244))),100))</f>
        <v>47.257053291536046</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54.45952546717789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下walk▼</v>
      </c>
      <c r="U244" s="500" t="str">
        <f>IF(終値!A244="","",BB_スイング!BT244)</f>
        <v>－</v>
      </c>
      <c r="V244" s="508">
        <f>IF($D244="","",IFERROR(出来高!E244/AVERAGE(出来高!E244:I244),""))</f>
        <v>0.62673024948451916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様子見</v>
      </c>
      <c r="X244" s="504">
        <f t="shared" si="42"/>
        <v>0</v>
      </c>
      <c r="Y244" s="501">
        <f t="shared" si="37"/>
        <v>1890.5</v>
      </c>
      <c r="Z244" s="501">
        <f t="shared" si="38"/>
        <v>2074.472484740782</v>
      </c>
      <c r="AA244" s="501">
        <f t="shared" si="39"/>
        <v>1890.5</v>
      </c>
      <c r="AB244" s="501">
        <f t="shared" si="43"/>
        <v>2156.594969481564</v>
      </c>
      <c r="AC244" s="507" t="str">
        <f t="shared" si="40"/>
        <v>－</v>
      </c>
      <c r="AD244" s="501">
        <f>IF($D244="","",MIN(終値!E244:I244))</f>
        <v>1890.5</v>
      </c>
      <c r="AE244" s="503">
        <f t="shared" si="41"/>
        <v>9.7559999999999994E-2</v>
      </c>
    </row>
    <row r="245" spans="1:31" ht="24">
      <c r="A245" s="500" t="str">
        <f>IF(終値!A245="","",HYPERLINK("https://kabutan.jp/stock/?code="&amp;終値!A245,"📈"))</f>
        <v>📈</v>
      </c>
      <c r="B245" s="500" t="str">
        <f>IF(終値!A245="","",終値!A245)</f>
        <v>3936</v>
      </c>
      <c r="C245" s="499" t="str">
        <f>IF(終値!A245="","",終値!B245)</f>
        <v>グローバルウェイ</v>
      </c>
      <c r="D245" s="501">
        <f>IF(終値!A245="","",終値!E245)</f>
        <v>0</v>
      </c>
      <c r="E245" s="501" t="e">
        <f>IF($D245="","",AVERAGE(終値!E245:X245))</f>
        <v>#DIV/0!</v>
      </c>
      <c r="F245" s="502" t="e">
        <f>IF($D245="","",STDEVP(終値!E245:X245))</f>
        <v>#DIV/0!</v>
      </c>
      <c r="G245" s="501" t="e">
        <f>IF($D245="","",$E245+BB設定!$B$4*$F245)</f>
        <v>#DIV/0!</v>
      </c>
      <c r="H245" s="501" t="e">
        <f>IF($D245="","",$E245+BB設定!$B$5*$F245)</f>
        <v>#DIV/0!</v>
      </c>
      <c r="I245" s="501" t="e">
        <f>IF($D245="","",$E245-BB設定!$B$5*$F245)</f>
        <v>#DIV/0!</v>
      </c>
      <c r="J245" s="501" t="e">
        <f>IF($D245="","",$E245-BB設定!$B$4*$F245)</f>
        <v>#DIV/0!</v>
      </c>
      <c r="K245" s="506" t="str">
        <f t="shared" si="33"/>
        <v/>
      </c>
      <c r="L245" s="505" t="str">
        <f t="shared" si="34"/>
        <v/>
      </c>
      <c r="M245" s="505">
        <f>IF($D245="","",IFERROR(MIN(BB_帯幅!B245:AP245)*100,""))</f>
        <v>0</v>
      </c>
      <c r="N245" s="500" t="str">
        <f>IF($L245="","",IF($L245&lt;=$M245*BB設定!$B$7,"スクイーズ★",IF($L245&lt;=$M245*1.3,"収縮","－")))</f>
        <v/>
      </c>
      <c r="O245" s="500" t="str">
        <f>IF($D245="","",IF(AND(BB_帯幅!B245&gt;BB_帯幅!C245,BB_帯幅!C245&gt;BB_帯幅!D245),"拡大↑","縮小↓"))</f>
        <v>縮小↓</v>
      </c>
      <c r="P245" s="500" t="e">
        <f t="shared" si="35"/>
        <v>#DIV/0!</v>
      </c>
      <c r="Q245" s="503">
        <f>IF($D245="","",IFERROR(100-100/(1+SUMPRODUCT((終値!E245:R245&gt;終値!F245:S245)*(終値!E245:R245-終値!F245:S245))/SUMPRODUCT((終値!E245:R245&lt;終値!F245:S245)*(終値!F245:S245-終値!E245:R245))),100))</f>
        <v>100</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50</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v>
      </c>
      <c r="T245" s="500" t="e">
        <f t="shared" si="36"/>
        <v>#DIV/0!</v>
      </c>
      <c r="U245" s="500" t="str">
        <f>IF(終値!A245="","",BB_スイング!BT245)</f>
        <v>－</v>
      </c>
      <c r="V245" s="508" t="str">
        <f>IF($D245="","",IFERROR(出来高!E245/AVERAGE(出来高!E245:I245),""))</f>
        <v/>
      </c>
      <c r="W245" s="509" t="e">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#DIV/0!</v>
      </c>
      <c r="X245" s="504" t="e">
        <f t="shared" si="42"/>
        <v>#DIV/0!</v>
      </c>
      <c r="Y245" s="501">
        <f t="shared" si="37"/>
        <v>0</v>
      </c>
      <c r="Z245" s="501" t="e">
        <f t="shared" si="38"/>
        <v>#DIV/0!</v>
      </c>
      <c r="AA245" s="501" t="e">
        <f t="shared" si="39"/>
        <v>#DIV/0!</v>
      </c>
      <c r="AB245" s="501" t="e">
        <f t="shared" si="43"/>
        <v>#DIV/0!</v>
      </c>
      <c r="AC245" s="507" t="e">
        <f t="shared" si="40"/>
        <v>#DIV/0!</v>
      </c>
      <c r="AD245" s="501">
        <f>IF($D245="","",MIN(終値!E245:I245))</f>
        <v>0</v>
      </c>
      <c r="AE245" s="503" t="e">
        <f t="shared" si="41"/>
        <v>#DIV/0!</v>
      </c>
    </row>
    <row r="246" spans="1:31">
      <c r="A246" s="500" t="str">
        <f>IF(終値!A246="","",HYPERLINK("https://kabutan.jp/stock/?code="&amp;終値!A246,"📈"))</f>
        <v>📈</v>
      </c>
      <c r="B246" s="500" t="str">
        <f>IF(終値!A246="","",終値!A246)</f>
        <v>6928</v>
      </c>
      <c r="C246" s="499" t="str">
        <f>IF(終値!A246="","",終値!B246)</f>
        <v>エノモト</v>
      </c>
      <c r="D246" s="501">
        <f>IF(終値!A246="","",終値!E246)</f>
        <v>2548</v>
      </c>
      <c r="E246" s="501">
        <f>IF($D246="","",AVERAGE(終値!E246:X246))</f>
        <v>2612</v>
      </c>
      <c r="F246" s="502">
        <f>IF($D246="","",STDEVP(終値!E246:X246))</f>
        <v>221.47234590350101</v>
      </c>
      <c r="G246" s="501">
        <f>IF($D246="","",$E246+BB設定!$B$4*$F246)</f>
        <v>3054.9446918070021</v>
      </c>
      <c r="H246" s="501">
        <f>IF($D246="","",$E246+BB設定!$B$5*$F246)</f>
        <v>2833.4723459035008</v>
      </c>
      <c r="I246" s="501">
        <f>IF($D246="","",$E246-BB設定!$B$5*$F246)</f>
        <v>2390.5276540964992</v>
      </c>
      <c r="J246" s="501">
        <f>IF($D246="","",$E246-BB設定!$B$4*$F246)</f>
        <v>2169.0553081929979</v>
      </c>
      <c r="K246" s="506">
        <f t="shared" si="33"/>
        <v>0.42775621744228304</v>
      </c>
      <c r="L246" s="505">
        <f t="shared" si="34"/>
        <v>33.916132603905211</v>
      </c>
      <c r="M246" s="505">
        <f>IF($D246="","",IFERROR(MIN(BB_帯幅!B246:AP246)*100,""))</f>
        <v>12.117354622163559</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37.048424289008459</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28.810930998301899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強気div▲</v>
      </c>
      <c r="T246" s="500" t="str">
        <f t="shared" si="36"/>
        <v>－</v>
      </c>
      <c r="U246" s="500" t="str">
        <f>IF(終値!A246="","",BB_スイング!BT246)</f>
        <v>－</v>
      </c>
      <c r="V246" s="508">
        <f>IF($D246="","",IFERROR(出来高!E246/AVERAGE(出来高!E246:I246),""))</f>
        <v>0.82700822264389628</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○反発(ダイバ)買</v>
      </c>
      <c r="X246" s="504">
        <f t="shared" si="42"/>
        <v>5</v>
      </c>
      <c r="Y246" s="501">
        <f t="shared" si="37"/>
        <v>2548</v>
      </c>
      <c r="Z246" s="501">
        <f t="shared" si="38"/>
        <v>2833.4723459035008</v>
      </c>
      <c r="AA246" s="501">
        <f t="shared" si="39"/>
        <v>2174</v>
      </c>
      <c r="AB246" s="501">
        <f t="shared" si="43"/>
        <v>3054.9446918070021</v>
      </c>
      <c r="AC246" s="507">
        <f t="shared" si="40"/>
        <v>1.36</v>
      </c>
      <c r="AD246" s="501">
        <f>IF($D246="","",MIN(終値!E246:I246))</f>
        <v>2174</v>
      </c>
      <c r="AE246" s="503">
        <f t="shared" si="41"/>
        <v>5.0975400000000004</v>
      </c>
    </row>
    <row r="247" spans="1:31">
      <c r="A247" s="500" t="str">
        <f>IF(終値!A247="","",HYPERLINK("https://kabutan.jp/stock/?code="&amp;終値!A247,"📈"))</f>
        <v>📈</v>
      </c>
      <c r="B247" s="500" t="str">
        <f>IF(終値!A247="","",終値!A247)</f>
        <v>5632</v>
      </c>
      <c r="C247" s="499" t="str">
        <f>IF(終値!A247="","",終値!B247)</f>
        <v>三菱製鋼</v>
      </c>
      <c r="D247" s="501">
        <f>IF(終値!A247="","",終値!E247)</f>
        <v>2176</v>
      </c>
      <c r="E247" s="501">
        <f>IF($D247="","",AVERAGE(終値!E247:X247))</f>
        <v>2144.3157894736842</v>
      </c>
      <c r="F247" s="502">
        <f>IF($D247="","",STDEVP(終値!E247:X247))</f>
        <v>34.24225249535548</v>
      </c>
      <c r="G247" s="501">
        <f>IF($D247="","",$E247+BB設定!$B$4*$F247)</f>
        <v>2212.8002944643949</v>
      </c>
      <c r="H247" s="501">
        <f>IF($D247="","",$E247+BB設定!$B$5*$F247)</f>
        <v>2178.5580419690396</v>
      </c>
      <c r="I247" s="501">
        <f>IF($D247="","",$E247-BB設定!$B$5*$F247)</f>
        <v>2110.0735369783288</v>
      </c>
      <c r="J247" s="501">
        <f>IF($D247="","",$E247-BB設定!$B$4*$F247)</f>
        <v>2075.8312844829734</v>
      </c>
      <c r="K247" s="506">
        <f t="shared" si="33"/>
        <v>0.73132393619997305</v>
      </c>
      <c r="L247" s="505">
        <f t="shared" si="34"/>
        <v>6.3875391233788461</v>
      </c>
      <c r="M247" s="505">
        <f>IF($D247="","",IFERROR(MIN(BB_帯幅!B247:AP247)*100,""))</f>
        <v>6.387539123378863</v>
      </c>
      <c r="N247" s="500" t="str">
        <f>IF($L247="","",IF($L247&lt;=$M247*BB設定!$B$7,"スクイーズ★",IF($L247&lt;=$M247*1.3,"収縮","－")))</f>
        <v>スクイーズ★</v>
      </c>
      <c r="O247" s="500" t="str">
        <f>IF($D247="","",IF(AND(BB_帯幅!B247&gt;BB_帯幅!C247,BB_帯幅!C247&gt;BB_帯幅!D247),"拡大↑","縮小↓"))</f>
        <v>縮小↓</v>
      </c>
      <c r="P247" s="500" t="str">
        <f t="shared" si="35"/>
        <v>バンド内</v>
      </c>
      <c r="Q247" s="503">
        <f>IF($D247="","",IFERROR(100-100/(1+SUMPRODUCT((終値!E247:R247&gt;終値!F247:S247)*(終値!E247:R247-終値!F247:S247))/SUMPRODUCT((終値!E247:R247&lt;終値!F247:S247)*(終値!F247:S247-終値!E247:R247))),100))</f>
        <v>51.086048454469505</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58.81962631228744</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v>
      </c>
      <c r="T247" s="500" t="str">
        <f t="shared" si="36"/>
        <v>－</v>
      </c>
      <c r="U247" s="500" t="str">
        <f>IF(終値!A247="","",BB_スイング!BT247)</f>
        <v>－</v>
      </c>
      <c r="V247" s="508">
        <f>IF($D247="","",IFERROR(出来高!E247/AVERAGE(出来高!E247:I247),""))</f>
        <v>0.61642319610447105</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☆スクイーズ監視</v>
      </c>
      <c r="X247" s="504">
        <f t="shared" si="42"/>
        <v>40</v>
      </c>
      <c r="Y247" s="501">
        <f t="shared" si="37"/>
        <v>2176</v>
      </c>
      <c r="Z247" s="501">
        <f t="shared" si="38"/>
        <v>2178.5580419690396</v>
      </c>
      <c r="AA247" s="501">
        <f t="shared" si="39"/>
        <v>2144.3157894736842</v>
      </c>
      <c r="AB247" s="501">
        <f t="shared" si="43"/>
        <v>2212.8002944643949</v>
      </c>
      <c r="AC247" s="507">
        <f t="shared" si="40"/>
        <v>1.1599999999999999</v>
      </c>
      <c r="AD247" s="501">
        <f>IF($D247="","",MIN(終値!E247:I247))</f>
        <v>2119</v>
      </c>
      <c r="AE247" s="503">
        <f t="shared" si="41"/>
        <v>40.097529999999999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12415</v>
      </c>
      <c r="E248" s="501">
        <f>IF($D248="","",AVERAGE(終値!E248:X248))</f>
        <v>12481.75</v>
      </c>
      <c r="F248" s="502">
        <f>IF($D248="","",STDEVP(終値!E248:X248))</f>
        <v>293.60379340192458</v>
      </c>
      <c r="G248" s="501">
        <f>IF($D248="","",$E248+BB設定!$B$4*$F248)</f>
        <v>13068.957586803848</v>
      </c>
      <c r="H248" s="501">
        <f>IF($D248="","",$E248+BB設定!$B$5*$F248)</f>
        <v>12775.353793401924</v>
      </c>
      <c r="I248" s="501">
        <f>IF($D248="","",$E248-BB設定!$B$5*$F248)</f>
        <v>12188.146206598076</v>
      </c>
      <c r="J248" s="501">
        <f>IF($D248="","",$E248-BB設定!$B$4*$F248)</f>
        <v>11894.542413196152</v>
      </c>
      <c r="K248" s="506">
        <f t="shared" si="33"/>
        <v>0.44316320028891482</v>
      </c>
      <c r="L248" s="505">
        <f t="shared" si="34"/>
        <v>9.4090586144386528</v>
      </c>
      <c r="M248" s="505">
        <f>IF($D248="","",IFERROR(MIN(BB_帯幅!B248:AP248)*100,""))</f>
        <v>9.409058614438667</v>
      </c>
      <c r="N248" s="500" t="str">
        <f>IF($L248="","",IF($L248&lt;=$M248*BB設定!$B$7,"スクイーズ★",IF($L248&lt;=$M248*1.3,"収縮","－")))</f>
        <v>スクイーズ★</v>
      </c>
      <c r="O248" s="500" t="str">
        <f>IF($D248="","",IF(AND(BB_帯幅!B248&gt;BB_帯幅!C248,BB_帯幅!C248&gt;BB_帯幅!D248),"拡大↑","縮小↓"))</f>
        <v>縮小↓</v>
      </c>
      <c r="P248" s="500" t="str">
        <f t="shared" si="35"/>
        <v>バンド内</v>
      </c>
      <c r="Q248" s="503">
        <f>IF($D248="","",IFERROR(100-100/(1+SUMPRODUCT((終値!E248:R248&gt;終値!F248:S248)*(終値!E248:R248-終値!F248:S248))/SUMPRODUCT((終値!E248:R248&lt;終値!F248:S248)*(終値!F248:S248-終値!E248:R248))),100))</f>
        <v>50.932568149210908</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51.773636670006752</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v>
      </c>
      <c r="T248" s="500" t="str">
        <f t="shared" si="36"/>
        <v>－</v>
      </c>
      <c r="U248" s="500" t="str">
        <f>IF(終値!A248="","",BB_スイング!BT248)</f>
        <v>二番底W形成</v>
      </c>
      <c r="V248" s="508">
        <f>IF($D248="","",IFERROR(出来高!E248/AVERAGE(出来高!E248:I248),""))</f>
        <v>0.74829006250808683</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25</v>
      </c>
      <c r="Y248" s="501">
        <f t="shared" si="37"/>
        <v>12415</v>
      </c>
      <c r="Z248" s="501">
        <f t="shared" si="38"/>
        <v>12775.353793401924</v>
      </c>
      <c r="AA248" s="501">
        <f t="shared" si="39"/>
        <v>12385</v>
      </c>
      <c r="AB248" s="501">
        <f t="shared" si="43"/>
        <v>13068.957586803848</v>
      </c>
      <c r="AC248" s="507">
        <f t="shared" si="40"/>
        <v>20</v>
      </c>
      <c r="AD248" s="501">
        <f>IF($D248="","",MIN(終値!E248:I248))</f>
        <v>12385</v>
      </c>
      <c r="AE248" s="503">
        <f t="shared" si="41"/>
        <v>25.097519999999999</v>
      </c>
    </row>
    <row r="249" spans="1:31">
      <c r="A249" s="500" t="str">
        <f>IF(終値!A249="","",HYPERLINK("https://kabutan.jp/stock/?code="&amp;終値!A249,"📈"))</f>
        <v>📈</v>
      </c>
      <c r="B249" s="500" t="str">
        <f>IF(終値!A249="","",終値!A249)</f>
        <v>6361</v>
      </c>
      <c r="C249" s="499" t="str">
        <f>IF(終値!A249="","",終値!B249)</f>
        <v>荏原製作所</v>
      </c>
      <c r="D249" s="501">
        <f>IF(終値!A249="","",終値!E249)</f>
        <v>5787</v>
      </c>
      <c r="E249" s="501">
        <f>IF($D249="","",AVERAGE(終値!E249:X249))</f>
        <v>5673.6</v>
      </c>
      <c r="F249" s="502">
        <f>IF($D249="","",STDEVP(終値!E249:X249))</f>
        <v>361.35486713202022</v>
      </c>
      <c r="G249" s="501">
        <f>IF($D249="","",$E249+BB設定!$B$4*$F249)</f>
        <v>6396.3097342640413</v>
      </c>
      <c r="H249" s="501">
        <f>IF($D249="","",$E249+BB設定!$B$5*$F249)</f>
        <v>6034.9548671320208</v>
      </c>
      <c r="I249" s="501">
        <f>IF($D249="","",$E249-BB設定!$B$5*$F249)</f>
        <v>5312.2451328679799</v>
      </c>
      <c r="J249" s="501">
        <f>IF($D249="","",$E249-BB設定!$B$4*$F249)</f>
        <v>4950.8902657359595</v>
      </c>
      <c r="K249" s="506">
        <f t="shared" si="33"/>
        <v>0.57845473405410719</v>
      </c>
      <c r="L249" s="505">
        <f t="shared" si="34"/>
        <v>25.476231467288525</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48.216917182434422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39.952065757014111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0.61083596262362716</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5787</v>
      </c>
      <c r="Z249" s="501">
        <f t="shared" si="38"/>
        <v>6034.9548671320208</v>
      </c>
      <c r="AA249" s="501">
        <f t="shared" si="39"/>
        <v>5673.6</v>
      </c>
      <c r="AB249" s="501">
        <f t="shared" si="43"/>
        <v>6396.3097342640413</v>
      </c>
      <c r="AC249" s="507">
        <f t="shared" si="40"/>
        <v>5.37</v>
      </c>
      <c r="AD249" s="501">
        <f>IF($D249="","",MIN(終値!E249:I249))</f>
        <v>4871</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833</v>
      </c>
      <c r="E250" s="501">
        <f>IF($D250="","",AVERAGE(終値!E250:X250))</f>
        <v>866.10526315789468</v>
      </c>
      <c r="F250" s="502">
        <f>IF($D250="","",STDEVP(終値!E250:X250))</f>
        <v>32.364526937344792</v>
      </c>
      <c r="G250" s="501">
        <f>IF($D250="","",$E250+BB設定!$B$4*$F250)</f>
        <v>930.83431703258429</v>
      </c>
      <c r="H250" s="501">
        <f>IF($D250="","",$E250+BB設定!$B$5*$F250)</f>
        <v>898.46979009523943</v>
      </c>
      <c r="I250" s="501">
        <f>IF($D250="","",$E250-BB設定!$B$5*$F250)</f>
        <v>833.74073622054993</v>
      </c>
      <c r="J250" s="501">
        <f>IF($D250="","",$E250-BB設定!$B$4*$F250)</f>
        <v>801.37620928320507</v>
      </c>
      <c r="K250" s="506">
        <f t="shared" si="33"/>
        <v>0.24427817821975364</v>
      </c>
      <c r="L250" s="505">
        <f t="shared" si="34"/>
        <v>14.947156339561287</v>
      </c>
      <c r="M250" s="505">
        <f>IF($D250="","",IFERROR(MIN(BB_帯幅!B250:AP250)*100,""))</f>
        <v>9.2243278728751523</v>
      </c>
      <c r="N250" s="500" t="str">
        <f>IF($L250="","",IF($L250&lt;=$M250*BB設定!$B$7,"スクイーズ★",IF($L250&lt;=$M250*1.3,"収縮","－")))</f>
        <v>－</v>
      </c>
      <c r="O250" s="500" t="str">
        <f>IF($D250="","",IF(AND(BB_帯幅!B250&gt;BB_帯幅!C250,BB_帯幅!C250&gt;BB_帯幅!D250),"拡大↑","縮小↓"))</f>
        <v>拡大↑</v>
      </c>
      <c r="P250" s="500" t="str">
        <f t="shared" si="35"/>
        <v>-1σ下</v>
      </c>
      <c r="Q250" s="503">
        <f>IF($D250="","",IFERROR(100-100/(1+SUMPRODUCT((終値!E250:R250&gt;終値!F250:S250)*(終値!E250:R250-終値!F250:S250))/SUMPRODUCT((終値!E250:R250&lt;終値!F250:S250)*(終値!F250:S250-終値!E250:R250))),100))</f>
        <v>48.163916977115484</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34.929139169360127</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下walk▼</v>
      </c>
      <c r="U250" s="500" t="str">
        <f>IF(終値!A250="","",BB_スイング!BT250)</f>
        <v>－</v>
      </c>
      <c r="V250" s="508">
        <f>IF($D250="","",IFERROR(出来高!E250/AVERAGE(出来高!E250:I250),""))</f>
        <v>0.49661399548532731</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様子見</v>
      </c>
      <c r="X250" s="504">
        <f t="shared" si="42"/>
        <v>0</v>
      </c>
      <c r="Y250" s="501">
        <f t="shared" si="37"/>
        <v>833</v>
      </c>
      <c r="Z250" s="501">
        <f t="shared" si="38"/>
        <v>898.46979009523943</v>
      </c>
      <c r="AA250" s="501">
        <f t="shared" si="39"/>
        <v>814</v>
      </c>
      <c r="AB250" s="501">
        <f t="shared" si="43"/>
        <v>930.83431703258429</v>
      </c>
      <c r="AC250" s="507">
        <f t="shared" si="40"/>
        <v>5.15</v>
      </c>
      <c r="AD250" s="501">
        <f>IF($D250="","",MIN(終値!E250:I250))</f>
        <v>814</v>
      </c>
      <c r="AE250" s="503">
        <f t="shared" si="41"/>
        <v>9.7500000000000003E-2</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14360</v>
      </c>
      <c r="E251" s="501">
        <f>IF($D251="","",AVERAGE(終値!E251:X251))</f>
        <v>11747.5</v>
      </c>
      <c r="F251" s="502">
        <f>IF($D251="","",STDEVP(終値!E251:X251))</f>
        <v>2021.4125630360568</v>
      </c>
      <c r="G251" s="501">
        <f>IF($D251="","",$E251+BB設定!$B$4*$F251)</f>
        <v>15790.325126072114</v>
      </c>
      <c r="H251" s="501">
        <f>IF($D251="","",$E251+BB設定!$B$5*$F251)</f>
        <v>13768.912563036058</v>
      </c>
      <c r="I251" s="501">
        <f>IF($D251="","",$E251-BB設定!$B$5*$F251)</f>
        <v>9726.0874369639423</v>
      </c>
      <c r="J251" s="501">
        <f>IF($D251="","",$E251-BB設定!$B$4*$F251)</f>
        <v>7704.6748739278864</v>
      </c>
      <c r="K251" s="506">
        <f t="shared" si="33"/>
        <v>0.82310326548037283</v>
      </c>
      <c r="L251" s="505">
        <f t="shared" si="34"/>
        <v>68.828689101036204</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+1σ上</v>
      </c>
      <c r="Q251" s="503">
        <f>IF($D251="","",IFERROR(100-100/(1+SUMPRODUCT((終値!E251:R251&gt;終値!F251:S251)*(終値!E251:R251-終値!F251:S251))/SUMPRODUCT((終値!E251:R251&lt;終値!F251:S251)*(終値!F251:S251-終値!E251:R251))),100))</f>
        <v>59.462915601023013</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75.625229591337657</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上walk▲</v>
      </c>
      <c r="U251" s="500" t="str">
        <f>IF(終値!A251="","",BB_スイング!BT251)</f>
        <v>－</v>
      </c>
      <c r="V251" s="508">
        <f>IF($D251="","",IFERROR(出来高!E251/AVERAGE(出来高!E251:I251),""))</f>
        <v>1.9168570288987998</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40</v>
      </c>
      <c r="Y251" s="501">
        <f t="shared" si="37"/>
        <v>14360</v>
      </c>
      <c r="Z251" s="501">
        <f t="shared" si="38"/>
        <v>13768.912563036058</v>
      </c>
      <c r="AA251" s="501">
        <f t="shared" si="39"/>
        <v>11747.5</v>
      </c>
      <c r="AB251" s="501">
        <f t="shared" si="43"/>
        <v>15790.325126072114</v>
      </c>
      <c r="AC251" s="507">
        <f t="shared" si="40"/>
        <v>0.55000000000000004</v>
      </c>
      <c r="AD251" s="501">
        <f>IF($D251="","",MIN(終値!E251:I251))</f>
        <v>10140</v>
      </c>
      <c r="AE251" s="503">
        <f t="shared" si="41"/>
        <v>40.097490000000001</v>
      </c>
    </row>
    <row r="252" spans="1:31">
      <c r="A252" s="500" t="str">
        <f>IF(終値!A252="","",HYPERLINK("https://kabutan.jp/stock/?code="&amp;終値!A252,"📈"))</f>
        <v>📈</v>
      </c>
      <c r="B252" s="500" t="str">
        <f>IF(終値!A252="","",終値!A252)</f>
        <v>300A</v>
      </c>
      <c r="C252" s="499" t="str">
        <f>IF(終値!A252="","",終値!B252)</f>
        <v>ＭＩＣ</v>
      </c>
      <c r="D252" s="501">
        <f>IF(終値!A252="","",終値!E252)</f>
        <v>3000</v>
      </c>
      <c r="E252" s="501">
        <f>IF($D252="","",AVERAGE(終値!E252:X252))</f>
        <v>2928.4736842105262</v>
      </c>
      <c r="F252" s="502">
        <f>IF($D252="","",STDEVP(終値!E252:X252))</f>
        <v>52.544085170707774</v>
      </c>
      <c r="G252" s="501">
        <f>IF($D252="","",$E252+BB設定!$B$4*$F252)</f>
        <v>3033.5618545519419</v>
      </c>
      <c r="H252" s="501">
        <f>IF($D252="","",$E252+BB設定!$B$5*$F252)</f>
        <v>2981.0177693812338</v>
      </c>
      <c r="I252" s="501">
        <f>IF($D252="","",$E252-BB設定!$B$5*$F252)</f>
        <v>2875.9295990398186</v>
      </c>
      <c r="J252" s="501">
        <f>IF($D252="","",$E252-BB設定!$B$4*$F252)</f>
        <v>2823.3855138691106</v>
      </c>
      <c r="K252" s="506">
        <f t="shared" si="33"/>
        <v>0.84031573466878107</v>
      </c>
      <c r="L252" s="505">
        <f t="shared" si="34"/>
        <v>7.176992636677622</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51.307556553826409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87.938715275202824</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二番天井M形成</v>
      </c>
      <c r="V252" s="508">
        <f>IF($D252="","",IFERROR(出来高!E252/AVERAGE(出来高!E252:I252),""))</f>
        <v>0.34516765285996054</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37</v>
      </c>
      <c r="Y252" s="501">
        <f t="shared" si="37"/>
        <v>3000</v>
      </c>
      <c r="Z252" s="501">
        <f t="shared" si="38"/>
        <v>2981.0177693812338</v>
      </c>
      <c r="AA252" s="501">
        <f t="shared" si="39"/>
        <v>2928.4736842105262</v>
      </c>
      <c r="AB252" s="501">
        <f t="shared" si="43"/>
        <v>3033.5618545519419</v>
      </c>
      <c r="AC252" s="507">
        <f t="shared" si="40"/>
        <v>0.47</v>
      </c>
      <c r="AD252" s="501">
        <f>IF($D252="","",MIN(終値!E252:I252))</f>
        <v>2957</v>
      </c>
      <c r="AE252" s="503">
        <f t="shared" si="41"/>
        <v>37.097479999999997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2677</v>
      </c>
      <c r="E253" s="501">
        <f>IF($D253="","",AVERAGE(終値!E253:X253))</f>
        <v>2616</v>
      </c>
      <c r="F253" s="502">
        <f>IF($D253="","",STDEVP(終値!E253:X253))</f>
        <v>81.082057201331537</v>
      </c>
      <c r="G253" s="501">
        <f>IF($D253="","",$E253+BB設定!$B$4*$F253)</f>
        <v>2778.164114402663</v>
      </c>
      <c r="H253" s="501">
        <f>IF($D253="","",$E253+BB設定!$B$5*$F253)</f>
        <v>2697.0820572013317</v>
      </c>
      <c r="I253" s="501">
        <f>IF($D253="","",$E253-BB設定!$B$5*$F253)</f>
        <v>2534.9179427986683</v>
      </c>
      <c r="J253" s="501">
        <f>IF($D253="","",$E253-BB設定!$B$4*$F253)</f>
        <v>2453.835885597337</v>
      </c>
      <c r="K253" s="506">
        <f t="shared" si="33"/>
        <v>0.68808106905987043</v>
      </c>
      <c r="L253" s="505">
        <f t="shared" si="34"/>
        <v>12.39786807359809</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縮小↓</v>
      </c>
      <c r="P253" s="500" t="str">
        <f t="shared" si="35"/>
        <v>バンド内</v>
      </c>
      <c r="Q253" s="503">
        <f>IF($D253="","",IFERROR(100-100/(1+SUMPRODUCT((終値!E253:R253&gt;終値!F253:S253)*(終値!E253:R253-終値!F253:S253))/SUMPRODUCT((終値!E253:R253&lt;終値!F253:S253)*(終値!F253:S253-終値!E253:R253))),100))</f>
        <v>56.708860759493668</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69.896615008090876</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二番底W▲</v>
      </c>
      <c r="V253" s="508">
        <f>IF($D253="","",IFERROR(出来高!E253/AVERAGE(出来高!E253:I253),""))</f>
        <v>0.45459430413756047</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△二番底買(確)</v>
      </c>
      <c r="X253" s="504">
        <f t="shared" si="42"/>
        <v>45</v>
      </c>
      <c r="Y253" s="501">
        <f t="shared" si="37"/>
        <v>2677</v>
      </c>
      <c r="Z253" s="501">
        <f t="shared" si="38"/>
        <v>2697.0820572013317</v>
      </c>
      <c r="AA253" s="501">
        <f t="shared" si="39"/>
        <v>2616</v>
      </c>
      <c r="AB253" s="501">
        <f t="shared" si="43"/>
        <v>2778.164114402663</v>
      </c>
      <c r="AC253" s="507">
        <f t="shared" si="40"/>
        <v>1.66</v>
      </c>
      <c r="AD253" s="501">
        <f>IF($D253="","",MIN(終値!E253:I253))</f>
        <v>2653</v>
      </c>
      <c r="AE253" s="503">
        <f t="shared" si="41"/>
        <v>45.097470000000001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6466</v>
      </c>
      <c r="E254" s="501">
        <f>IF($D254="","",AVERAGE(終値!E254:X254))</f>
        <v>6390.6</v>
      </c>
      <c r="F254" s="502">
        <f>IF($D254="","",STDEVP(終値!E254:X254))</f>
        <v>159.38550749676082</v>
      </c>
      <c r="G254" s="501">
        <f>IF($D254="","",$E254+BB設定!$B$4*$F254)</f>
        <v>6709.3710149935223</v>
      </c>
      <c r="H254" s="501">
        <f>IF($D254="","",$E254+BB設定!$B$5*$F254)</f>
        <v>6549.9855074967609</v>
      </c>
      <c r="I254" s="501">
        <f>IF($D254="","",$E254-BB設定!$B$5*$F254)</f>
        <v>6231.2144925032399</v>
      </c>
      <c r="J254" s="501">
        <f>IF($D254="","",$E254-BB設定!$B$4*$F254)</f>
        <v>6071.8289850064784</v>
      </c>
      <c r="K254" s="506">
        <f t="shared" si="33"/>
        <v>0.61826671255153476</v>
      </c>
      <c r="L254" s="505">
        <f t="shared" si="34"/>
        <v>9.9762468310807098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縮小↓</v>
      </c>
      <c r="P254" s="500" t="str">
        <f t="shared" si="35"/>
        <v>バンド内</v>
      </c>
      <c r="Q254" s="503">
        <f>IF($D254="","",IFERROR(100-100/(1+SUMPRODUCT((終値!E254:R254&gt;終値!F254:S254)*(終値!E254:R254-終値!F254:S254))/SUMPRODUCT((終値!E254:R254&lt;終値!F254:S254)*(終値!F254:S254-終値!E254:R254))),100))</f>
        <v>56.073752711496745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74.74027854275792</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v>
      </c>
      <c r="U254" s="500" t="str">
        <f>IF(終値!A254="","",BB_スイング!BT254)</f>
        <v>二番底W形成</v>
      </c>
      <c r="V254" s="508">
        <f>IF($D254="","",IFERROR(出来高!E254/AVERAGE(出来高!E254:I254),""))</f>
        <v>0.72949772004974434</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45</v>
      </c>
      <c r="Y254" s="501">
        <f t="shared" si="37"/>
        <v>6466</v>
      </c>
      <c r="Z254" s="501">
        <f t="shared" si="38"/>
        <v>6549.9855074967609</v>
      </c>
      <c r="AA254" s="501">
        <f t="shared" si="39"/>
        <v>6390.6</v>
      </c>
      <c r="AB254" s="501">
        <f t="shared" si="43"/>
        <v>6709.3710149935223</v>
      </c>
      <c r="AC254" s="507">
        <f t="shared" si="40"/>
        <v>3.23</v>
      </c>
      <c r="AD254" s="501">
        <f>IF($D254="","",MIN(終値!E254:I254))</f>
        <v>6304</v>
      </c>
      <c r="AE254" s="503">
        <f t="shared" si="41"/>
        <v>45.097459999999998</v>
      </c>
    </row>
    <row r="255" spans="1:31">
      <c r="A255" s="500" t="str">
        <f>IF(終値!A255="","",HYPERLINK("https://kabutan.jp/stock/?code="&amp;終値!A255,"📈"))</f>
        <v>📈</v>
      </c>
      <c r="B255" s="500" t="str">
        <f>IF(終値!A255="","",終値!A255)</f>
        <v>6370</v>
      </c>
      <c r="C255" s="499" t="str">
        <f>IF(終値!A255="","",終値!B255)</f>
        <v>栗田工業</v>
      </c>
      <c r="D255" s="501">
        <f>IF(終値!A255="","",終値!E255)</f>
        <v>8950</v>
      </c>
      <c r="E255" s="501">
        <f>IF($D255="","",AVERAGE(終値!E255:X255))</f>
        <v>8845.6</v>
      </c>
      <c r="F255" s="502">
        <f>IF($D255="","",STDEVP(終値!E255:X255))</f>
        <v>329.68582013790035</v>
      </c>
      <c r="G255" s="501">
        <f>IF($D255="","",$E255+BB設定!$B$4*$F255)</f>
        <v>9504.9716402758004</v>
      </c>
      <c r="H255" s="501">
        <f>IF($D255="","",$E255+BB設定!$B$5*$F255)</f>
        <v>9175.2858201379004</v>
      </c>
      <c r="I255" s="501">
        <f>IF($D255="","",$E255-BB設定!$B$5*$F255)</f>
        <v>8515.9141798621004</v>
      </c>
      <c r="J255" s="501">
        <f>IF($D255="","",$E255-BB設定!$B$4*$F255)</f>
        <v>8186.2283597241994</v>
      </c>
      <c r="K255" s="506">
        <f t="shared" si="33"/>
        <v>0.57916628015449068</v>
      </c>
      <c r="L255" s="505">
        <f t="shared" si="34"/>
        <v>14.908466136289238</v>
      </c>
      <c r="M255" s="505">
        <f>IF($D255="","",IFERROR(MIN(BB_帯幅!B255:AP255)*100,""))</f>
        <v>8.1901465246613334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48.335467349551855</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47.210499616324313</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v>
      </c>
      <c r="T255" s="500" t="str">
        <f t="shared" si="36"/>
        <v>－</v>
      </c>
      <c r="U255" s="500" t="str">
        <f>IF(終値!A255="","",BB_スイング!BT255)</f>
        <v>二番底W形成</v>
      </c>
      <c r="V255" s="508">
        <f>IF($D255="","",IFERROR(出来高!E255/AVERAGE(出来高!E255:I255),""))</f>
        <v>0.7804282494365139</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△二番底形成</v>
      </c>
      <c r="X255" s="504">
        <f t="shared" si="42"/>
        <v>10</v>
      </c>
      <c r="Y255" s="501">
        <f t="shared" si="37"/>
        <v>8950</v>
      </c>
      <c r="Z255" s="501">
        <f t="shared" si="38"/>
        <v>9175.2858201379004</v>
      </c>
      <c r="AA255" s="501">
        <f t="shared" si="39"/>
        <v>8845.6</v>
      </c>
      <c r="AB255" s="501">
        <f t="shared" si="43"/>
        <v>9504.9716402758004</v>
      </c>
      <c r="AC255" s="507">
        <f t="shared" si="40"/>
        <v>5.32</v>
      </c>
      <c r="AD255" s="501">
        <f>IF($D255="","",MIN(終値!E255:I255))</f>
        <v>8178</v>
      </c>
      <c r="AE255" s="503">
        <f t="shared" si="41"/>
        <v>10.09745</v>
      </c>
    </row>
    <row r="256" spans="1:31">
      <c r="A256" s="500" t="str">
        <f>IF(終値!A256="","",HYPERLINK("https://kabutan.jp/stock/?code="&amp;終値!A256,"📈"))</f>
        <v>📈</v>
      </c>
      <c r="B256" s="500" t="str">
        <f>IF(終値!A256="","",終値!A256)</f>
        <v>7014</v>
      </c>
      <c r="C256" s="499" t="str">
        <f>IF(終値!A256="","",終値!B256)</f>
        <v>名村造船所</v>
      </c>
      <c r="D256" s="501">
        <f>IF(終値!A256="","",終値!E256)</f>
        <v>4155</v>
      </c>
      <c r="E256" s="501">
        <f>IF($D256="","",AVERAGE(終値!E256:X256))</f>
        <v>4086.25</v>
      </c>
      <c r="F256" s="502">
        <f>IF($D256="","",STDEVP(終値!E256:X256))</f>
        <v>212.11361931757236</v>
      </c>
      <c r="G256" s="501">
        <f>IF($D256="","",$E256+BB設定!$B$4*$F256)</f>
        <v>4510.4772386351451</v>
      </c>
      <c r="H256" s="501">
        <f>IF($D256="","",$E256+BB設定!$B$5*$F256)</f>
        <v>4298.3636193175726</v>
      </c>
      <c r="I256" s="501">
        <f>IF($D256="","",$E256-BB設定!$B$5*$F256)</f>
        <v>3874.1363806824274</v>
      </c>
      <c r="J256" s="501">
        <f>IF($D256="","",$E256-BB設定!$B$4*$F256)</f>
        <v>3662.0227613648553</v>
      </c>
      <c r="K256" s="506">
        <f t="shared" si="33"/>
        <v>0.5810296861431945</v>
      </c>
      <c r="L256" s="505">
        <f t="shared" si="34"/>
        <v>20.763645818789595</v>
      </c>
      <c r="M256" s="505">
        <f>IF($D256="","",IFERROR(MIN(BB_帯幅!B256:AP256)*100,""))</f>
        <v>14.425009479241691</v>
      </c>
      <c r="N256" s="500" t="str">
        <f>IF($L256="","",IF($L256&lt;=$M256*BB設定!$B$7,"スクイーズ★",IF($L256&lt;=$M256*1.3,"収縮","－")))</f>
        <v>－</v>
      </c>
      <c r="O256" s="500" t="str">
        <f>IF($D256="","",IF(AND(BB_帯幅!B256&gt;BB_帯幅!C256,BB_帯幅!C256&gt;BB_帯幅!D256),"拡大↑","縮小↓"))</f>
        <v>縮小↓</v>
      </c>
      <c r="P256" s="500" t="str">
        <f t="shared" si="35"/>
        <v>バンド内</v>
      </c>
      <c r="Q256" s="503">
        <f>IF($D256="","",IFERROR(100-100/(1+SUMPRODUCT((終値!E256:R256&gt;終値!F256:S256)*(終値!E256:R256-終値!F256:S256))/SUMPRODUCT((終値!E256:R256&lt;終値!F256:S256)*(終値!F256:S256-終値!E256:R256))),100))</f>
        <v>59.473684210526308</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68.933258538438494</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v>
      </c>
      <c r="T256" s="500" t="str">
        <f t="shared" si="36"/>
        <v>－</v>
      </c>
      <c r="U256" s="500" t="str">
        <f>IF(終値!A256="","",BB_スイング!BT256)</f>
        <v>二番天井M▼</v>
      </c>
      <c r="V256" s="508">
        <f>IF($D256="","",IFERROR(出来高!E256/AVERAGE(出来高!E256:I256),""))</f>
        <v>0.72441627751834559</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▼二番天井警戒</v>
      </c>
      <c r="X256" s="504">
        <f t="shared" si="42"/>
        <v>10</v>
      </c>
      <c r="Y256" s="501">
        <f t="shared" si="37"/>
        <v>4155</v>
      </c>
      <c r="Z256" s="501">
        <f t="shared" si="38"/>
        <v>4298.3636193175726</v>
      </c>
      <c r="AA256" s="501">
        <f t="shared" si="39"/>
        <v>4086.25</v>
      </c>
      <c r="AB256" s="501">
        <f t="shared" si="43"/>
        <v>4510.4772386351451</v>
      </c>
      <c r="AC256" s="507">
        <f t="shared" si="40"/>
        <v>5.17</v>
      </c>
      <c r="AD256" s="501">
        <f>IF($D256="","",MIN(終値!E256:I256))</f>
        <v>4125</v>
      </c>
      <c r="AE256" s="503">
        <f t="shared" si="41"/>
        <v>10.097440000000001</v>
      </c>
    </row>
    <row r="257" spans="1:31">
      <c r="A257" s="500" t="str">
        <f>IF(終値!A257="","",HYPERLINK("https://kabutan.jp/stock/?code="&amp;終値!A257,"📈"))</f>
        <v>📈</v>
      </c>
      <c r="B257" s="500" t="str">
        <f>IF(終値!A257="","",終値!A257)</f>
        <v>9880</v>
      </c>
      <c r="C257" s="499" t="str">
        <f>IF(終値!A257="","",終値!B257)</f>
        <v>イノテック</v>
      </c>
      <c r="D257" s="501">
        <f>IF(終値!A257="","",終値!E257)</f>
        <v>3600</v>
      </c>
      <c r="E257" s="501">
        <f>IF($D257="","",AVERAGE(終値!E257:X257))</f>
        <v>3405</v>
      </c>
      <c r="F257" s="502">
        <f>IF($D257="","",STDEVP(終値!E257:X257))</f>
        <v>186.6279721799495</v>
      </c>
      <c r="G257" s="501">
        <f>IF($D257="","",$E257+BB設定!$B$4*$F257)</f>
        <v>3778.2559443598989</v>
      </c>
      <c r="H257" s="501">
        <f>IF($D257="","",$E257+BB設定!$B$5*$F257)</f>
        <v>3591.6279721799497</v>
      </c>
      <c r="I257" s="501">
        <f>IF($D257="","",$E257-BB設定!$B$5*$F257)</f>
        <v>3218.3720278200503</v>
      </c>
      <c r="J257" s="501">
        <f>IF($D257="","",$E257-BB設定!$B$4*$F257)</f>
        <v>3031.7440556401011</v>
      </c>
      <c r="K257" s="506">
        <f t="shared" si="33"/>
        <v>0.76121486200897326</v>
      </c>
      <c r="L257" s="505">
        <f t="shared" si="34"/>
        <v>21.923990858143842</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53.666666666666664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52.726552322978286</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0.90573685304510498</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3600</v>
      </c>
      <c r="Z257" s="501">
        <f t="shared" si="38"/>
        <v>3591.6279721799497</v>
      </c>
      <c r="AA257" s="501">
        <f t="shared" si="39"/>
        <v>3405</v>
      </c>
      <c r="AB257" s="501">
        <f t="shared" si="43"/>
        <v>3778.2559443598989</v>
      </c>
      <c r="AC257" s="507">
        <f t="shared" si="40"/>
        <v>0.91</v>
      </c>
      <c r="AD257" s="501">
        <f>IF($D257="","",MIN(終値!E257:I257))</f>
        <v>3005</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1459</v>
      </c>
      <c r="E258" s="501">
        <f>IF($D258="","",AVERAGE(終値!E258:X258))</f>
        <v>1598.5263157894738</v>
      </c>
      <c r="F258" s="502">
        <f>IF($D258="","",STDEVP(終値!E258:X258))</f>
        <v>74.21687169587068</v>
      </c>
      <c r="G258" s="501">
        <f>IF($D258="","",$E258+BB設定!$B$4*$F258)</f>
        <v>1746.960059181215</v>
      </c>
      <c r="H258" s="501">
        <f>IF($D258="","",$E258+BB設定!$B$5*$F258)</f>
        <v>1672.7431874853444</v>
      </c>
      <c r="I258" s="501">
        <f>IF($D258="","",$E258-BB設定!$B$5*$F258)</f>
        <v>1524.3094440936031</v>
      </c>
      <c r="J258" s="501">
        <f>IF($D258="","",$E258-BB設定!$B$4*$F258)</f>
        <v>1450.0925723977325</v>
      </c>
      <c r="K258" s="506">
        <f t="shared" si="33"/>
        <v>3.0004726010174492E-2</v>
      </c>
      <c r="L258" s="505">
        <f t="shared" si="34"/>
        <v>18.571323089971575</v>
      </c>
      <c r="M258" s="505">
        <f>IF($D258="","",IFERROR(MIN(BB_帯幅!B258:AP258)*100,""))</f>
        <v>16.88562235053648</v>
      </c>
      <c r="N258" s="500" t="str">
        <f>IF($L258="","",IF($L258&lt;=$M258*BB設定!$B$7,"スクイーズ★",IF($L258&lt;=$M258*1.3,"収縮","－")))</f>
        <v>スクイーズ★</v>
      </c>
      <c r="O258" s="500" t="str">
        <f>IF($D258="","",IF(AND(BB_帯幅!B258&gt;BB_帯幅!C258,BB_帯幅!C258&gt;BB_帯幅!D258),"拡大↑","縮小↓"))</f>
        <v>拡大↑</v>
      </c>
      <c r="P258" s="500" t="str">
        <f t="shared" si="35"/>
        <v>-1σ下</v>
      </c>
      <c r="Q258" s="503">
        <f>IF($D258="","",IFERROR(100-100/(1+SUMPRODUCT((終値!E258:R258&gt;終値!F258:S258)*(終値!E258:R258-終値!F258:S258))/SUMPRODUCT((終値!E258:R258&lt;終値!F258:S258)*(終値!F258:S258-終値!E258:R258))),100))</f>
        <v>47.551130247578044</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52.274983655889258</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v>
      </c>
      <c r="T258" s="500" t="str">
        <f t="shared" si="36"/>
        <v>下walk▼</v>
      </c>
      <c r="U258" s="500" t="str">
        <f>IF(終値!A258="","",BB_スイング!BT258)</f>
        <v>－</v>
      </c>
      <c r="V258" s="508">
        <f>IF($D258="","",IFERROR(出来高!E258/AVERAGE(出来高!E258:I258),""))</f>
        <v>0.48734553011466952</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☆スクイーズ監視</v>
      </c>
      <c r="X258" s="504">
        <f t="shared" si="42"/>
        <v>15</v>
      </c>
      <c r="Y258" s="501">
        <f t="shared" si="37"/>
        <v>1459</v>
      </c>
      <c r="Z258" s="501">
        <f t="shared" si="38"/>
        <v>1672.7431874853444</v>
      </c>
      <c r="AA258" s="501">
        <f t="shared" si="39"/>
        <v>1457</v>
      </c>
      <c r="AB258" s="501">
        <f t="shared" si="43"/>
        <v>1746.960059181215</v>
      </c>
      <c r="AC258" s="507">
        <f t="shared" si="40"/>
        <v>20</v>
      </c>
      <c r="AD258" s="501">
        <f>IF($D258="","",MIN(終値!E258:I258))</f>
        <v>1457</v>
      </c>
      <c r="AE258" s="503">
        <f t="shared" si="41"/>
        <v>15.09742</v>
      </c>
    </row>
    <row r="259" spans="1:31">
      <c r="A259" s="500" t="str">
        <f>IF(終値!A259="","",HYPERLINK("https://kabutan.jp/stock/?code="&amp;終値!A259,"📈"))</f>
        <v>📈</v>
      </c>
      <c r="B259" s="500" t="str">
        <f>IF(終値!A259="","",終値!A259)</f>
        <v>9104</v>
      </c>
      <c r="C259" s="499" t="str">
        <f>IF(終値!A259="","",終値!B259)</f>
        <v>商船三井</v>
      </c>
      <c r="D259" s="501">
        <f>IF(終値!A259="","",終値!E259)</f>
        <v>6058</v>
      </c>
      <c r="E259" s="501">
        <f>IF($D259="","",AVERAGE(終値!E259:X259))</f>
        <v>5674.15</v>
      </c>
      <c r="F259" s="502">
        <f>IF($D259="","",STDEVP(終値!E259:X259))</f>
        <v>233.56396875374421</v>
      </c>
      <c r="G259" s="501">
        <f>IF($D259="","",$E259+BB設定!$B$4*$F259)</f>
        <v>6141.2779375074879</v>
      </c>
      <c r="H259" s="501">
        <f>IF($D259="","",$E259+BB設定!$B$5*$F259)</f>
        <v>5907.7139687537438</v>
      </c>
      <c r="I259" s="501">
        <f>IF($D259="","",$E259-BB設定!$B$5*$F259)</f>
        <v>5440.5860312462555</v>
      </c>
      <c r="J259" s="501">
        <f>IF($D259="","",$E259-BB設定!$B$4*$F259)</f>
        <v>5207.0220624925114</v>
      </c>
      <c r="K259" s="506">
        <f t="shared" si="33"/>
        <v>0.91086174597922342</v>
      </c>
      <c r="L259" s="505">
        <f t="shared" si="34"/>
        <v>16.465124732602707</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82.053571428571431</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72.949649493169403</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v>
      </c>
      <c r="T259" s="500" t="str">
        <f t="shared" si="36"/>
        <v>上walk▲</v>
      </c>
      <c r="U259" s="500" t="str">
        <f>IF(終値!A259="","",BB_スイング!BT259)</f>
        <v>－</v>
      </c>
      <c r="V259" s="508">
        <f>IF($D259="","",IFERROR(出来高!E259/AVERAGE(出来高!E259:I259),""))</f>
        <v>1.614095708742737</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33</v>
      </c>
      <c r="Y259" s="501">
        <f t="shared" si="37"/>
        <v>6058</v>
      </c>
      <c r="Z259" s="501">
        <f t="shared" si="38"/>
        <v>5907.7139687537438</v>
      </c>
      <c r="AA259" s="501">
        <f t="shared" si="39"/>
        <v>5674.15</v>
      </c>
      <c r="AB259" s="501">
        <f t="shared" si="43"/>
        <v>6141.2779375074879</v>
      </c>
      <c r="AC259" s="507">
        <f t="shared" si="40"/>
        <v>0.22</v>
      </c>
      <c r="AD259" s="501">
        <f>IF($D259="","",MIN(終値!E259:I259))</f>
        <v>5801</v>
      </c>
      <c r="AE259" s="503">
        <f t="shared" si="41"/>
        <v>33.097409999999996</v>
      </c>
    </row>
    <row r="260" spans="1:31">
      <c r="A260" s="500" t="str">
        <f>IF(終値!A260="","",HYPERLINK("https://kabutan.jp/stock/?code="&amp;終値!A260,"📈"))</f>
        <v>📈</v>
      </c>
      <c r="B260" s="500" t="str">
        <f>IF(終値!A260="","",終値!A260)</f>
        <v>6366</v>
      </c>
      <c r="C260" s="499" t="str">
        <f>IF(終値!A260="","",終値!B260)</f>
        <v>千代田化工建</v>
      </c>
      <c r="D260" s="501">
        <f>IF(終値!A260="","",終値!E260)</f>
        <v>671</v>
      </c>
      <c r="E260" s="501">
        <f>IF($D260="","",AVERAGE(終値!E260:X260))</f>
        <v>684.3</v>
      </c>
      <c r="F260" s="502">
        <f>IF($D260="","",STDEVP(終値!E260:X260))</f>
        <v>32.513228077199592</v>
      </c>
      <c r="G260" s="501">
        <f>IF($D260="","",$E260+BB設定!$B$4*$F260)</f>
        <v>749.32645615439912</v>
      </c>
      <c r="H260" s="501">
        <f>IF($D260="","",$E260+BB設定!$B$5*$F260)</f>
        <v>716.8132280771996</v>
      </c>
      <c r="I260" s="501">
        <f>IF($D260="","",$E260-BB設定!$B$5*$F260)</f>
        <v>651.78677192280031</v>
      </c>
      <c r="J260" s="501">
        <f>IF($D260="","",$E260-BB設定!$B$4*$F260)</f>
        <v>619.27354384560078</v>
      </c>
      <c r="K260" s="506">
        <f t="shared" si="33"/>
        <v>0.39773393179831018</v>
      </c>
      <c r="L260" s="505">
        <f t="shared" si="34"/>
        <v>19.00524803577354</v>
      </c>
      <c r="M260" s="505">
        <f>IF($D260="","",IFERROR(MIN(BB_帯幅!B260:AP260)*100,""))</f>
        <v>14.617263994961624</v>
      </c>
      <c r="N260" s="500" t="str">
        <f>IF($L260="","",IF($L260&lt;=$M260*BB設定!$B$7,"スクイーズ★",IF($L260&lt;=$M260*1.3,"収縮","－")))</f>
        <v>－</v>
      </c>
      <c r="O260" s="500" t="str">
        <f>IF($D260="","",IF(AND(BB_帯幅!B260&gt;BB_帯幅!C260,BB_帯幅!C260&gt;BB_帯幅!D260),"拡大↑","縮小↓"))</f>
        <v>拡大↑</v>
      </c>
      <c r="P260" s="500" t="str">
        <f t="shared" si="35"/>
        <v>バンド内</v>
      </c>
      <c r="Q260" s="503">
        <f>IF($D260="","",IFERROR(100-100/(1+SUMPRODUCT((終値!E260:R260&gt;終値!F260:S260)*(終値!E260:R260-終値!F260:S260))/SUMPRODUCT((終値!E260:R260&lt;終値!F260:S260)*(終値!F260:S260-終値!E260:R260))),100))</f>
        <v>52.35457063711911</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55.470421497240515</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強気div▲</v>
      </c>
      <c r="T260" s="500" t="str">
        <f t="shared" si="36"/>
        <v>－</v>
      </c>
      <c r="U260" s="500" t="str">
        <f>IF(終値!A260="","",BB_スイング!BT260)</f>
        <v>二番底W形成</v>
      </c>
      <c r="V260" s="508">
        <f>IF($D260="","",IFERROR(出来高!E260/AVERAGE(出来高!E260:I260),""))</f>
        <v>0.95167577483089383</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○反発(ダイバ)買</v>
      </c>
      <c r="X260" s="504">
        <f t="shared" si="42"/>
        <v>40</v>
      </c>
      <c r="Y260" s="501">
        <f t="shared" si="37"/>
        <v>671</v>
      </c>
      <c r="Z260" s="501">
        <f t="shared" si="38"/>
        <v>716.8132280771996</v>
      </c>
      <c r="AA260" s="501">
        <f t="shared" si="39"/>
        <v>630</v>
      </c>
      <c r="AB260" s="501">
        <f t="shared" si="43"/>
        <v>749.32645615439912</v>
      </c>
      <c r="AC260" s="507">
        <f t="shared" si="40"/>
        <v>1.91</v>
      </c>
      <c r="AD260" s="501">
        <f>IF($D260="","",MIN(終値!E260:I260))</f>
        <v>630</v>
      </c>
      <c r="AE260" s="503">
        <f t="shared" si="41"/>
        <v>40.0974</v>
      </c>
    </row>
    <row r="261" spans="1:31">
      <c r="A261" s="500" t="str">
        <f>IF(終値!A261="","",HYPERLINK("https://kabutan.jp/stock/?code="&amp;終値!A261,"📈"))</f>
        <v>📈</v>
      </c>
      <c r="B261" s="500" t="str">
        <f>IF(終値!A261="","",終値!A261)</f>
        <v>6140</v>
      </c>
      <c r="C261" s="499" t="str">
        <f>IF(終値!A261="","",終値!B261)</f>
        <v>旭ダイヤモンド</v>
      </c>
      <c r="D261" s="501">
        <f>IF(終値!A261="","",終値!E261)</f>
        <v>1136</v>
      </c>
      <c r="E261" s="501">
        <f>IF($D261="","",AVERAGE(終値!E261:X261))</f>
        <v>1146.421052631579</v>
      </c>
      <c r="F261" s="502">
        <f>IF($D261="","",STDEVP(終値!E261:X261))</f>
        <v>50.62380944874154</v>
      </c>
      <c r="G261" s="501">
        <f>IF($D261="","",$E261+BB設定!$B$4*$F261)</f>
        <v>1247.6686715290621</v>
      </c>
      <c r="H261" s="501">
        <f>IF($D261="","",$E261+BB設定!$B$5*$F261)</f>
        <v>1197.0448620803204</v>
      </c>
      <c r="I261" s="501">
        <f>IF($D261="","",$E261-BB設定!$B$5*$F261)</f>
        <v>1095.7972431828375</v>
      </c>
      <c r="J261" s="501">
        <f>IF($D261="","",$E261-BB設定!$B$4*$F261)</f>
        <v>1045.1734337340959</v>
      </c>
      <c r="K261" s="506">
        <f t="shared" si="33"/>
        <v>0.44853680143268032</v>
      </c>
      <c r="L261" s="505">
        <f t="shared" si="34"/>
        <v>17.663251850630605</v>
      </c>
      <c r="M261" s="505">
        <f>IF($D261="","",IFERROR(MIN(BB_帯幅!B261:AP261)*100,""))</f>
        <v>9.2209720719868642</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49.6006085964245</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41.95578221188925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0.76595159515951594</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0</v>
      </c>
      <c r="Y261" s="501">
        <f t="shared" si="37"/>
        <v>1136</v>
      </c>
      <c r="Z261" s="501">
        <f t="shared" si="38"/>
        <v>1197.0448620803204</v>
      </c>
      <c r="AA261" s="501">
        <f t="shared" si="39"/>
        <v>1048</v>
      </c>
      <c r="AB261" s="501">
        <f t="shared" si="43"/>
        <v>1247.6686715290621</v>
      </c>
      <c r="AC261" s="507">
        <f t="shared" si="40"/>
        <v>1.27</v>
      </c>
      <c r="AD261" s="501">
        <f>IF($D261="","",MIN(終値!E261:I261))</f>
        <v>1048</v>
      </c>
      <c r="AE261" s="503">
        <f t="shared" si="41"/>
        <v>9.7390000000000004E-2</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600</v>
      </c>
      <c r="E262" s="501">
        <f>IF($D262="","",AVERAGE(終値!E262:X262))</f>
        <v>579.15</v>
      </c>
      <c r="F262" s="502">
        <f>IF($D262="","",STDEVP(終値!E262:X262))</f>
        <v>14.543985010993376</v>
      </c>
      <c r="G262" s="501">
        <f>IF($D262="","",$E262+BB設定!$B$4*$F262)</f>
        <v>608.23797002198671</v>
      </c>
      <c r="H262" s="501">
        <f>IF($D262="","",$E262+BB設定!$B$5*$F262)</f>
        <v>593.6939850109934</v>
      </c>
      <c r="I262" s="501">
        <f>IF($D262="","",$E262-BB設定!$B$5*$F262)</f>
        <v>564.60601498900655</v>
      </c>
      <c r="J262" s="501">
        <f>IF($D262="","",$E262-BB設定!$B$4*$F262)</f>
        <v>550.06202997801324</v>
      </c>
      <c r="K262" s="506">
        <f t="shared" ref="K262:K325" si="44">IF($D262="","",IFERROR(($D262-$J262)/($G262-$J262),""))</f>
        <v>0.85839558388296133</v>
      </c>
      <c r="L262" s="505">
        <f t="shared" ref="L262:L325" si="45">IF($D262="","",IFERROR(($G262-$J262)/$E262*100,""))</f>
        <v>10.045055692648445</v>
      </c>
      <c r="M262" s="505">
        <f>IF($D262="","",IFERROR(MIN(BB_帯幅!B262:AP262)*100,""))</f>
        <v>10.04505569264845</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+1σ上</v>
      </c>
      <c r="Q262" s="503">
        <f>IF($D262="","",IFERROR(100-100/(1+SUMPRODUCT((終値!E262:R262&gt;終値!F262:S262)*(終値!E262:R262-終値!F262:S262))/SUMPRODUCT((終値!E262:R262&lt;終値!F262:S262)*(終値!F262:S262-終値!E262:R262))),100))</f>
        <v>58.192090395480228</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61.505065296635586</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弱気div▼</v>
      </c>
      <c r="T262" s="500" t="str">
        <f t="shared" ref="T262:T325" si="47">IF($D262="","",IF($D262&gt;=$H262,"上walk▲",IF($D262&lt;=$I262,"下walk▼","－")))</f>
        <v>上walk▲</v>
      </c>
      <c r="U262" s="500" t="str">
        <f>IF(終値!A262="","",BB_スイング!BT262)</f>
        <v>二番底W形成</v>
      </c>
      <c r="V262" s="508">
        <f>IF($D262="","",IFERROR(出来高!E262/AVERAGE(出来高!E262:I262),""))</f>
        <v>1.2823029113509976</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57</v>
      </c>
      <c r="Y262" s="501">
        <f t="shared" ref="Y262:Y325" si="48">IF($D262="","",$D262)</f>
        <v>600</v>
      </c>
      <c r="Z262" s="501">
        <f t="shared" ref="Z262:Z325" si="49">IF($D262="","",$H262)</f>
        <v>593.6939850109934</v>
      </c>
      <c r="AA262" s="501">
        <f t="shared" ref="AA262:AA325" si="50">IF($D262="","",IF($D262&gt;$E262,$E262,$AD262))</f>
        <v>579.15</v>
      </c>
      <c r="AB262" s="501">
        <f t="shared" si="43"/>
        <v>608.23797002198671</v>
      </c>
      <c r="AC262" s="507">
        <f t="shared" ref="AC262:AC325" si="51">IF($D262="","",IF(($Y262-$AA262)&lt;=0,"－",IFERROR(ROUND(MIN(20,($AB262-$Y262)/($Y262-$AA262)),2),"－")))</f>
        <v>0.4</v>
      </c>
      <c r="AD262" s="501">
        <f>IF($D262="","",MIN(終値!E262:I262))</f>
        <v>566</v>
      </c>
      <c r="AE262" s="503">
        <f t="shared" ref="AE262:AE325" si="52">IF($D262="","",$X262+(10000-ROW())/100000)</f>
        <v>57.097380000000001</v>
      </c>
    </row>
    <row r="263" spans="1:31">
      <c r="A263" s="500" t="str">
        <f>IF(終値!A263="","",HYPERLINK("https://kabutan.jp/stock/?code="&amp;終値!A263,"📈"))</f>
        <v>📈</v>
      </c>
      <c r="B263" s="500" t="str">
        <f>IF(終値!A263="","",終値!A263)</f>
        <v>5631</v>
      </c>
      <c r="C263" s="499" t="str">
        <f>IF(終値!A263="","",終値!B263)</f>
        <v>日本製鋼所</v>
      </c>
      <c r="D263" s="501">
        <f>IF(終値!A263="","",終値!E263)</f>
        <v>7596</v>
      </c>
      <c r="E263" s="501">
        <f>IF($D263="","",AVERAGE(終値!E263:X263))</f>
        <v>7713.75</v>
      </c>
      <c r="F263" s="502">
        <f>IF($D263="","",STDEVP(終値!E263:X263))</f>
        <v>330.82077851912504</v>
      </c>
      <c r="G263" s="501">
        <f>IF($D263="","",$E263+BB設定!$B$4*$F263)</f>
        <v>8375.3915570382505</v>
      </c>
      <c r="H263" s="501">
        <f>IF($D263="","",$E263+BB設定!$B$5*$F263)</f>
        <v>8044.5707785191253</v>
      </c>
      <c r="I263" s="501">
        <f>IF($D263="","",$E263-BB設定!$B$5*$F263)</f>
        <v>7382.9292214808747</v>
      </c>
      <c r="J263" s="501">
        <f>IF($D263="","",$E263-BB設定!$B$4*$F263)</f>
        <v>7052.1084429617495</v>
      </c>
      <c r="K263" s="506">
        <f t="shared" si="44"/>
        <v>0.41101677430367883</v>
      </c>
      <c r="L263" s="505">
        <f t="shared" si="45"/>
        <v>17.154861307100973</v>
      </c>
      <c r="M263" s="505">
        <f>IF($D263="","",IFERROR(MIN(BB_帯幅!B263:AP263)*100,""))</f>
        <v>11.893304927114196</v>
      </c>
      <c r="N263" s="500" t="str">
        <f>IF($L263="","",IF($L263&lt;=$M263*BB設定!$B$7,"スクイーズ★",IF($L263&lt;=$M263*1.3,"収縮","－")))</f>
        <v>－</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44.395924308588064</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51.262251390522678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弱気div▼</v>
      </c>
      <c r="T263" s="500" t="str">
        <f t="shared" si="47"/>
        <v>－</v>
      </c>
      <c r="U263" s="500" t="str">
        <f>IF(終値!A263="","",BB_スイング!BT263)</f>
        <v>二番底W形成</v>
      </c>
      <c r="V263" s="508">
        <f>IF($D263="","",IFERROR(出来高!E263/AVERAGE(出来高!E263:I263),""))</f>
        <v>1.2749906068935515</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0</v>
      </c>
      <c r="Y263" s="501">
        <f t="shared" si="48"/>
        <v>7596</v>
      </c>
      <c r="Z263" s="501">
        <f t="shared" si="49"/>
        <v>8044.5707785191253</v>
      </c>
      <c r="AA263" s="501">
        <f t="shared" si="50"/>
        <v>7223</v>
      </c>
      <c r="AB263" s="501">
        <f t="shared" ref="AB263:AB326" si="54">IF($D263="","",IF($D263&gt;$G263,$E263+3*$F263,$G263))</f>
        <v>8375.3915570382505</v>
      </c>
      <c r="AC263" s="507">
        <f t="shared" si="51"/>
        <v>2.09</v>
      </c>
      <c r="AD263" s="501">
        <f>IF($D263="","",MIN(終値!E263:I263))</f>
        <v>7223</v>
      </c>
      <c r="AE263" s="503">
        <f t="shared" si="52"/>
        <v>9.7369999999999998E-2</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5725</v>
      </c>
      <c r="E264" s="501">
        <f>IF($D264="","",AVERAGE(終値!E264:X264))</f>
        <v>5860.25</v>
      </c>
      <c r="F264" s="502">
        <f>IF($D264="","",STDEVP(終値!E264:X264))</f>
        <v>375.5569031451825</v>
      </c>
      <c r="G264" s="501">
        <f>IF($D264="","",$E264+BB設定!$B$4*$F264)</f>
        <v>6611.3638062903647</v>
      </c>
      <c r="H264" s="501">
        <f>IF($D264="","",$E264+BB設定!$B$5*$F264)</f>
        <v>6235.8069031451823</v>
      </c>
      <c r="I264" s="501">
        <f>IF($D264="","",$E264-BB設定!$B$5*$F264)</f>
        <v>5484.6930968548177</v>
      </c>
      <c r="J264" s="501">
        <f>IF($D264="","",$E264-BB設定!$B$4*$F264)</f>
        <v>5109.1361937096353</v>
      </c>
      <c r="K264" s="506">
        <f t="shared" si="44"/>
        <v>0.40996703903768</v>
      </c>
      <c r="L264" s="505">
        <f t="shared" si="45"/>
        <v>25.634189882355351</v>
      </c>
      <c r="M264" s="505">
        <f>IF($D264="","",IFERROR(MIN(BB_帯幅!B264:AP264)*100,""))</f>
        <v>19.164616644034705</v>
      </c>
      <c r="N264" s="500" t="str">
        <f>IF($L264="","",IF($L264&lt;=$M264*BB設定!$B$7,"スクイーズ★",IF($L264&lt;=$M264*1.3,"収縮","－")))</f>
        <v>－</v>
      </c>
      <c r="O264" s="500" t="str">
        <f>IF($D264="","",IF(AND(BB_帯幅!B264&gt;BB_帯幅!C264,BB_帯幅!C264&gt;BB_帯幅!D264),"拡大↑","縮小↓"))</f>
        <v>縮小↓</v>
      </c>
      <c r="P264" s="500" t="str">
        <f t="shared" si="46"/>
        <v>バンド内</v>
      </c>
      <c r="Q264" s="503">
        <f>IF($D264="","",IFERROR(100-100/(1+SUMPRODUCT((終値!E264:R264&gt;終値!F264:S264)*(終値!E264:R264-終値!F264:S264))/SUMPRODUCT((終値!E264:R264&lt;終値!F264:S264)*(終値!F264:S264-終値!E264:R264))),100))</f>
        <v>44.195356285028026</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51.839328720202175</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v>
      </c>
      <c r="T264" s="500" t="str">
        <f t="shared" si="47"/>
        <v>－</v>
      </c>
      <c r="U264" s="500" t="str">
        <f>IF(終値!A264="","",BB_スイング!BT264)</f>
        <v>－</v>
      </c>
      <c r="V264" s="508">
        <f>IF($D264="","",IFERROR(出来高!E264/AVERAGE(出来高!E264:I264),""))</f>
        <v>0.9038235869352631</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10</v>
      </c>
      <c r="Y264" s="501">
        <f t="shared" si="48"/>
        <v>5725</v>
      </c>
      <c r="Z264" s="501">
        <f t="shared" si="49"/>
        <v>6235.8069031451823</v>
      </c>
      <c r="AA264" s="501">
        <f t="shared" si="50"/>
        <v>5178</v>
      </c>
      <c r="AB264" s="501">
        <f t="shared" si="54"/>
        <v>6611.3638062903647</v>
      </c>
      <c r="AC264" s="507">
        <f t="shared" si="51"/>
        <v>1.62</v>
      </c>
      <c r="AD264" s="501">
        <f>IF($D264="","",MIN(終値!E264:I264))</f>
        <v>5178</v>
      </c>
      <c r="AE264" s="503">
        <f t="shared" si="52"/>
        <v>10.09736</v>
      </c>
    </row>
    <row r="265" spans="1:31">
      <c r="A265" s="500" t="str">
        <f>IF(終値!A265="","",HYPERLINK("https://kabutan.jp/stock/?code="&amp;終値!A265,"📈"))</f>
        <v>📈</v>
      </c>
      <c r="B265" s="500" t="str">
        <f>IF(終値!A265="","",終値!A265)</f>
        <v>6955</v>
      </c>
      <c r="C265" s="499" t="str">
        <f>IF(終値!A265="","",終値!B265)</f>
        <v>ＦＤＫ</v>
      </c>
      <c r="D265" s="501">
        <f>IF(終値!A265="","",終値!E265)</f>
        <v>389</v>
      </c>
      <c r="E265" s="501">
        <f>IF($D265="","",AVERAGE(終値!E265:X265))</f>
        <v>414.15789473684208</v>
      </c>
      <c r="F265" s="502">
        <f>IF($D265="","",STDEVP(終値!E265:X265))</f>
        <v>21.911936564094916</v>
      </c>
      <c r="G265" s="501">
        <f>IF($D265="","",$E265+BB設定!$B$4*$F265)</f>
        <v>457.98176786503188</v>
      </c>
      <c r="H265" s="501">
        <f>IF($D265="","",$E265+BB設定!$B$5*$F265)</f>
        <v>436.06983130093698</v>
      </c>
      <c r="I265" s="501">
        <f>IF($D265="","",$E265-BB設定!$B$5*$F265)</f>
        <v>392.24595817274718</v>
      </c>
      <c r="J265" s="501">
        <f>IF($D265="","",$E265-BB設定!$B$4*$F265)</f>
        <v>370.33402160865228</v>
      </c>
      <c r="K265" s="506">
        <f t="shared" si="44"/>
        <v>0.21296586836069481</v>
      </c>
      <c r="L265" s="505">
        <f t="shared" si="45"/>
        <v>21.162881927452187</v>
      </c>
      <c r="M265" s="505">
        <f>IF($D265="","",IFERROR(MIN(BB_帯幅!B265:AP265)*100,""))</f>
        <v>17.975672294086166</v>
      </c>
      <c r="N265" s="500" t="str">
        <f>IF($L265="","",IF($L265&lt;=$M265*BB設定!$B$7,"スクイーズ★",IF($L265&lt;=$M265*1.3,"収縮","－")))</f>
        <v>収縮</v>
      </c>
      <c r="O265" s="500" t="str">
        <f>IF($D265="","",IF(AND(BB_帯幅!B265&gt;BB_帯幅!C265,BB_帯幅!C265&gt;BB_帯幅!D265),"拡大↑","縮小↓"))</f>
        <v>縮小↓</v>
      </c>
      <c r="P265" s="500" t="str">
        <f t="shared" si="46"/>
        <v>-1σ下</v>
      </c>
      <c r="Q265" s="503">
        <f>IF($D265="","",IFERROR(100-100/(1+SUMPRODUCT((終値!E265:R265&gt;終値!F265:S265)*(終値!E265:R265-終値!F265:S265))/SUMPRODUCT((終値!E265:R265&lt;終値!F265:S265)*(終値!F265:S265-終値!E265:R265))),100))</f>
        <v>47.322404371584696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37.537504488334193</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下walk▼</v>
      </c>
      <c r="U265" s="500" t="str">
        <f>IF(終値!A265="","",BB_スイング!BT265)</f>
        <v>－</v>
      </c>
      <c r="V265" s="508">
        <f>IF($D265="","",IFERROR(出来高!E265/AVERAGE(出来高!E265:I265),""))</f>
        <v>0.47251837283925058</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様子見</v>
      </c>
      <c r="X265" s="504">
        <f t="shared" si="53"/>
        <v>0</v>
      </c>
      <c r="Y265" s="501">
        <f t="shared" si="48"/>
        <v>389</v>
      </c>
      <c r="Z265" s="501">
        <f t="shared" si="49"/>
        <v>436.06983130093698</v>
      </c>
      <c r="AA265" s="501">
        <f t="shared" si="50"/>
        <v>381</v>
      </c>
      <c r="AB265" s="501">
        <f t="shared" si="54"/>
        <v>457.98176786503188</v>
      </c>
      <c r="AC265" s="507">
        <f t="shared" si="51"/>
        <v>8.6199999999999992</v>
      </c>
      <c r="AD265" s="501">
        <f>IF($D265="","",MIN(終値!E265:I265))</f>
        <v>381</v>
      </c>
      <c r="AE265" s="503">
        <f t="shared" si="52"/>
        <v>9.7350000000000006E-2</v>
      </c>
    </row>
    <row r="266" spans="1:31">
      <c r="A266" s="500" t="str">
        <f>IF(終値!A266="","",HYPERLINK("https://kabutan.jp/stock/?code="&amp;終値!A266,"📈"))</f>
        <v>📈</v>
      </c>
      <c r="B266" s="500" t="str">
        <f>IF(終値!A266="","",終値!A266)</f>
        <v>281A</v>
      </c>
      <c r="C266" s="499" t="str">
        <f>IF(終値!A266="","",終値!B266)</f>
        <v>インフォメティス</v>
      </c>
      <c r="D266" s="501">
        <f>IF(終値!A266="","",終値!E266)</f>
        <v>475</v>
      </c>
      <c r="E266" s="501">
        <f>IF($D266="","",AVERAGE(終値!E266:X266))</f>
        <v>486.1</v>
      </c>
      <c r="F266" s="502">
        <f>IF($D266="","",STDEVP(終値!E266:X266))</f>
        <v>55.9900884085746</v>
      </c>
      <c r="G266" s="501">
        <f>IF($D266="","",$E266+BB設定!$B$4*$F266)</f>
        <v>598.08017681714921</v>
      </c>
      <c r="H266" s="501">
        <f>IF($D266="","",$E266+BB設定!$B$5*$F266)</f>
        <v>542.09008840857462</v>
      </c>
      <c r="I266" s="501">
        <f>IF($D266="","",$E266-BB設定!$B$5*$F266)</f>
        <v>430.10991159142543</v>
      </c>
      <c r="J266" s="501">
        <f>IF($D266="","",$E266-BB設定!$B$4*$F266)</f>
        <v>374.11982318285084</v>
      </c>
      <c r="K266" s="506">
        <f t="shared" si="44"/>
        <v>0.45043765639821659</v>
      </c>
      <c r="L266" s="505">
        <f t="shared" si="45"/>
        <v>46.072897270993288</v>
      </c>
      <c r="M266" s="505">
        <f>IF($D266="","",IFERROR(MIN(BB_帯幅!B266:AP266)*100,""))</f>
        <v>29.674839269797022</v>
      </c>
      <c r="N266" s="500" t="str">
        <f>IF($L266="","",IF($L266&lt;=$M266*BB設定!$B$7,"スクイーズ★",IF($L266&lt;=$M266*1.3,"収縮","－")))</f>
        <v>－</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37.442922374429223</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58.890984774820524</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v>
      </c>
      <c r="T266" s="500" t="str">
        <f t="shared" si="47"/>
        <v>－</v>
      </c>
      <c r="U266" s="500" t="str">
        <f>IF(終値!A266="","",BB_スイング!BT266)</f>
        <v>二番天井M形成</v>
      </c>
      <c r="V266" s="508">
        <f>IF($D266="","",IFERROR(出来高!E266/AVERAGE(出来高!E266:I266),""))</f>
        <v>1.0934163701067616</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▼二番天井警戒</v>
      </c>
      <c r="X266" s="504">
        <f t="shared" si="53"/>
        <v>0</v>
      </c>
      <c r="Y266" s="501">
        <f t="shared" si="48"/>
        <v>475</v>
      </c>
      <c r="Z266" s="501">
        <f t="shared" si="49"/>
        <v>542.09008840857462</v>
      </c>
      <c r="AA266" s="501">
        <f t="shared" si="50"/>
        <v>416</v>
      </c>
      <c r="AB266" s="501">
        <f t="shared" si="54"/>
        <v>598.08017681714921</v>
      </c>
      <c r="AC266" s="507">
        <f t="shared" si="51"/>
        <v>2.09</v>
      </c>
      <c r="AD266" s="501">
        <f>IF($D266="","",MIN(終値!E266:I266))</f>
        <v>416</v>
      </c>
      <c r="AE266" s="503">
        <f t="shared" si="52"/>
        <v>9.7339999999999996E-2</v>
      </c>
    </row>
    <row r="267" spans="1:31">
      <c r="A267" s="500" t="str">
        <f>IF(終値!A267="","",HYPERLINK("https://kabutan.jp/stock/?code="&amp;終値!A267,"📈"))</f>
        <v>📈</v>
      </c>
      <c r="B267" s="500" t="str">
        <f>IF(終値!A267="","",終値!A267)</f>
        <v>6356</v>
      </c>
      <c r="C267" s="499" t="str">
        <f>IF(終値!A267="","",終値!B267)</f>
        <v>日本ギア工業</v>
      </c>
      <c r="D267" s="501">
        <f>IF(終値!A267="","",終値!E267)</f>
        <v>1338</v>
      </c>
      <c r="E267" s="501">
        <f>IF($D267="","",AVERAGE(終値!E267:X267))</f>
        <v>1424.7</v>
      </c>
      <c r="F267" s="502">
        <f>IF($D267="","",STDEVP(終値!E267:X267))</f>
        <v>128.46754453946724</v>
      </c>
      <c r="G267" s="501">
        <f>IF($D267="","",$E267+BB設定!$B$4*$F267)</f>
        <v>1681.6350890789345</v>
      </c>
      <c r="H267" s="501">
        <f>IF($D267="","",$E267+BB設定!$B$5*$F267)</f>
        <v>1553.1675445394674</v>
      </c>
      <c r="I267" s="501">
        <f>IF($D267="","",$E267-BB設定!$B$5*$F267)</f>
        <v>1296.2324554605327</v>
      </c>
      <c r="J267" s="501">
        <f>IF($D267="","",$E267-BB設定!$B$4*$F267)</f>
        <v>1167.7649109210656</v>
      </c>
      <c r="K267" s="506">
        <f t="shared" si="44"/>
        <v>0.33128034339178081</v>
      </c>
      <c r="L267" s="505">
        <f t="shared" si="45"/>
        <v>36.068658535682516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36.544850498338874</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43.127262565467177</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0.4894951050489495</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1338</v>
      </c>
      <c r="Z267" s="501">
        <f t="shared" si="49"/>
        <v>1553.1675445394674</v>
      </c>
      <c r="AA267" s="501">
        <f t="shared" si="50"/>
        <v>1250</v>
      </c>
      <c r="AB267" s="501">
        <f t="shared" si="54"/>
        <v>1681.6350890789345</v>
      </c>
      <c r="AC267" s="507">
        <f t="shared" si="51"/>
        <v>3.9</v>
      </c>
      <c r="AD267" s="501">
        <f>IF($D267="","",MIN(終値!E267:I267))</f>
        <v>1250</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4475</v>
      </c>
      <c r="E268" s="501">
        <f>IF($D268="","",AVERAGE(終値!E268:X268))</f>
        <v>4623.4210526315792</v>
      </c>
      <c r="F268" s="502">
        <f>IF($D268="","",STDEVP(終値!E268:X268))</f>
        <v>313.47396698583975</v>
      </c>
      <c r="G268" s="501">
        <f>IF($D268="","",$E268+BB設定!$B$4*$F268)</f>
        <v>5250.3689866032582</v>
      </c>
      <c r="H268" s="501">
        <f>IF($D268="","",$E268+BB設定!$B$5*$F268)</f>
        <v>4936.8950196174192</v>
      </c>
      <c r="I268" s="501">
        <f>IF($D268="","",$E268-BB設定!$B$5*$F268)</f>
        <v>4309.9470856457392</v>
      </c>
      <c r="J268" s="501">
        <f>IF($D268="","",$E268-BB設定!$B$4*$F268)</f>
        <v>3996.4731186598997</v>
      </c>
      <c r="K268" s="506">
        <f t="shared" si="44"/>
        <v>0.38163207453979464</v>
      </c>
      <c r="L268" s="505">
        <f t="shared" si="45"/>
        <v>27.120520793356267</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48.665207877461711</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59.931918406356033</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強気div▲</v>
      </c>
      <c r="T268" s="500" t="str">
        <f t="shared" si="47"/>
        <v>－</v>
      </c>
      <c r="U268" s="500" t="str">
        <f>IF(終値!A268="","",BB_スイング!BT268)</f>
        <v>－</v>
      </c>
      <c r="V268" s="508">
        <f>IF($D268="","",IFERROR(出来高!E268/AVERAGE(出来高!E268:I268),""))</f>
        <v>0.80362195812110926</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○反発(ダイバ)買</v>
      </c>
      <c r="X268" s="504">
        <f t="shared" si="53"/>
        <v>15</v>
      </c>
      <c r="Y268" s="501">
        <f t="shared" si="48"/>
        <v>4475</v>
      </c>
      <c r="Z268" s="501">
        <f t="shared" si="49"/>
        <v>4936.8950196174192</v>
      </c>
      <c r="AA268" s="501">
        <f t="shared" si="50"/>
        <v>4120</v>
      </c>
      <c r="AB268" s="501">
        <f t="shared" si="54"/>
        <v>5250.3689866032582</v>
      </c>
      <c r="AC268" s="507">
        <f t="shared" si="51"/>
        <v>2.1800000000000002</v>
      </c>
      <c r="AD268" s="501">
        <f>IF($D268="","",MIN(終値!E268:I268))</f>
        <v>4120</v>
      </c>
      <c r="AE268" s="503">
        <f t="shared" si="52"/>
        <v>15.09732</v>
      </c>
    </row>
    <row r="269" spans="1:31">
      <c r="A269" s="500" t="str">
        <f>IF(終値!A269="","",HYPERLINK("https://kabutan.jp/stock/?code="&amp;終値!A269,"📈"))</f>
        <v>📈</v>
      </c>
      <c r="B269" s="500" t="str">
        <f>IF(終値!A269="","",終値!A269)</f>
        <v>6376</v>
      </c>
      <c r="C269" s="499" t="str">
        <f>IF(終値!A269="","",終値!B269)</f>
        <v>日機装</v>
      </c>
      <c r="D269" s="501">
        <f>IF(終値!A269="","",終値!E269)</f>
        <v>3975</v>
      </c>
      <c r="E269" s="501">
        <f>IF($D269="","",AVERAGE(終値!E269:X269))</f>
        <v>3830</v>
      </c>
      <c r="F269" s="502">
        <f>IF($D269="","",STDEVP(終値!E269:X269))</f>
        <v>168.23346872724227</v>
      </c>
      <c r="G269" s="501">
        <f>IF($D269="","",$E269+BB設定!$B$4*$F269)</f>
        <v>4166.4669374544847</v>
      </c>
      <c r="H269" s="501">
        <f>IF($D269="","",$E269+BB設定!$B$5*$F269)</f>
        <v>3998.2334687272423</v>
      </c>
      <c r="I269" s="501">
        <f>IF($D269="","",$E269-BB設定!$B$5*$F269)</f>
        <v>3661.7665312727577</v>
      </c>
      <c r="J269" s="501">
        <f>IF($D269="","",$E269-BB設定!$B$4*$F269)</f>
        <v>3493.5330625455153</v>
      </c>
      <c r="K269" s="506">
        <f t="shared" si="44"/>
        <v>0.71547436591688118</v>
      </c>
      <c r="L269" s="505">
        <f t="shared" si="45"/>
        <v>17.57007506289737</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バンド内</v>
      </c>
      <c r="Q269" s="503">
        <f>IF($D269="","",IFERROR(100-100/(1+SUMPRODUCT((終値!E269:R269&gt;終値!F269:S269)*(終値!E269:R269-終値!F269:S269))/SUMPRODUCT((終値!E269:R269&lt;終値!F269:S269)*(終値!F269:S269-終値!E269:R269))),100))</f>
        <v>59.736842105263158</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41.197811926196749</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強気div▲</v>
      </c>
      <c r="T269" s="500" t="str">
        <f t="shared" si="47"/>
        <v>－</v>
      </c>
      <c r="U269" s="500" t="str">
        <f>IF(終値!A269="","",BB_スイング!BT269)</f>
        <v>二番底W形成</v>
      </c>
      <c r="V269" s="508">
        <f>IF($D269="","",IFERROR(出来高!E269/AVERAGE(出来高!E269:I269),""))</f>
        <v>0.68485807637328977</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○反発(ダイバ)買</v>
      </c>
      <c r="X269" s="504">
        <f t="shared" si="53"/>
        <v>50</v>
      </c>
      <c r="Y269" s="501">
        <f t="shared" si="48"/>
        <v>3975</v>
      </c>
      <c r="Z269" s="501">
        <f t="shared" si="49"/>
        <v>3998.2334687272423</v>
      </c>
      <c r="AA269" s="501">
        <f t="shared" si="50"/>
        <v>3830</v>
      </c>
      <c r="AB269" s="501">
        <f t="shared" si="54"/>
        <v>4166.4669374544847</v>
      </c>
      <c r="AC269" s="507">
        <f t="shared" si="51"/>
        <v>1.32</v>
      </c>
      <c r="AD269" s="501">
        <f>IF($D269="","",MIN(終値!E269:I269))</f>
        <v>3525</v>
      </c>
      <c r="AE269" s="503">
        <f t="shared" si="52"/>
        <v>50.09731</v>
      </c>
    </row>
    <row r="270" spans="1:31">
      <c r="A270" s="500" t="str">
        <f>IF(終値!A270="","",HYPERLINK("https://kabutan.jp/stock/?code="&amp;終値!A270,"📈"))</f>
        <v>📈</v>
      </c>
      <c r="B270" s="500" t="str">
        <f>IF(終値!A270="","",終値!A270)</f>
        <v>9115</v>
      </c>
      <c r="C270" s="499" t="str">
        <f>IF(終値!A270="","",終値!B270)</f>
        <v>明海グループ</v>
      </c>
      <c r="D270" s="501">
        <f>IF(終値!A270="","",終値!E270)</f>
        <v>846</v>
      </c>
      <c r="E270" s="501">
        <f>IF($D270="","",AVERAGE(終値!E270:X270))</f>
        <v>835.65</v>
      </c>
      <c r="F270" s="502">
        <f>IF($D270="","",STDEVP(終値!E270:X270))</f>
        <v>28.550437825014175</v>
      </c>
      <c r="G270" s="501">
        <f>IF($D270="","",$E270+BB設定!$B$4*$F270)</f>
        <v>892.75087565002832</v>
      </c>
      <c r="H270" s="501">
        <f>IF($D270="","",$E270+BB設定!$B$5*$F270)</f>
        <v>864.20043782501421</v>
      </c>
      <c r="I270" s="501">
        <f>IF($D270="","",$E270-BB設定!$B$5*$F270)</f>
        <v>807.09956217498575</v>
      </c>
      <c r="J270" s="501">
        <f>IF($D270="","",$E270-BB設定!$B$4*$F270)</f>
        <v>778.54912434997163</v>
      </c>
      <c r="K270" s="506">
        <f t="shared" si="44"/>
        <v>0.59062908302348327</v>
      </c>
      <c r="L270" s="505">
        <f t="shared" si="45"/>
        <v>13.666218069772833</v>
      </c>
      <c r="M270" s="505">
        <f>IF($D270="","",IFERROR(MIN(BB_帯幅!B270:AP270)*100,""))</f>
        <v>10.633736377266469</v>
      </c>
      <c r="N270" s="500" t="str">
        <f>IF($L270="","",IF($L270&lt;=$M270*BB設定!$B$7,"スクイーズ★",IF($L270&lt;=$M270*1.3,"収縮","－")))</f>
        <v>収縮</v>
      </c>
      <c r="O270" s="500" t="str">
        <f>IF($D270="","",IF(AND(BB_帯幅!B270&gt;BB_帯幅!C270,BB_帯幅!C270&gt;BB_帯幅!D270),"拡大↑","縮小↓"))</f>
        <v>拡大↑</v>
      </c>
      <c r="P270" s="500" t="str">
        <f t="shared" si="46"/>
        <v>バンド内</v>
      </c>
      <c r="Q270" s="503">
        <f>IF($D270="","",IFERROR(100-100/(1+SUMPRODUCT((終値!E270:R270&gt;終値!F270:S270)*(終値!E270:R270-終値!F270:S270))/SUMPRODUCT((終値!E270:R270&lt;終値!F270:S270)*(終値!F270:S270-終値!E270:R270))),100))</f>
        <v>54.3424317617866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49.415187204485889</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v>
      </c>
      <c r="T270" s="500" t="str">
        <f t="shared" si="47"/>
        <v>－</v>
      </c>
      <c r="U270" s="500" t="str">
        <f>IF(終値!A270="","",BB_スイング!BT270)</f>
        <v>－</v>
      </c>
      <c r="V270" s="508">
        <f>IF($D270="","",IFERROR(出来高!E270/AVERAGE(出来高!E270:I270),""))</f>
        <v>0.77467906153165123</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35</v>
      </c>
      <c r="Y270" s="501">
        <f t="shared" si="48"/>
        <v>846</v>
      </c>
      <c r="Z270" s="501">
        <f t="shared" si="49"/>
        <v>864.20043782501421</v>
      </c>
      <c r="AA270" s="501">
        <f t="shared" si="50"/>
        <v>835.65</v>
      </c>
      <c r="AB270" s="501">
        <f t="shared" si="54"/>
        <v>892.75087565002832</v>
      </c>
      <c r="AC270" s="507">
        <f t="shared" si="51"/>
        <v>4.5199999999999996</v>
      </c>
      <c r="AD270" s="501">
        <f>IF($D270="","",MIN(終値!E270:I270))</f>
        <v>788</v>
      </c>
      <c r="AE270" s="503">
        <f t="shared" si="52"/>
        <v>35.097299999999997</v>
      </c>
    </row>
    <row r="271" spans="1:31">
      <c r="A271" s="500" t="str">
        <f>IF(終値!A271="","",HYPERLINK("https://kabutan.jp/stock/?code="&amp;終値!A271,"📈"))</f>
        <v>📈</v>
      </c>
      <c r="B271" s="500" t="str">
        <f>IF(終値!A271="","",終値!A271)</f>
        <v>3864</v>
      </c>
      <c r="C271" s="499" t="str">
        <f>IF(終値!A271="","",終値!B271)</f>
        <v>三菱製紙</v>
      </c>
      <c r="D271" s="501">
        <f>IF(終値!A271="","",終値!E271)</f>
        <v>1152</v>
      </c>
      <c r="E271" s="501">
        <f>IF($D271="","",AVERAGE(終値!E271:X271))</f>
        <v>1098.9000000000001</v>
      </c>
      <c r="F271" s="502">
        <f>IF($D271="","",STDEVP(終値!E271:X271))</f>
        <v>65.041448323357628</v>
      </c>
      <c r="G271" s="501">
        <f>IF($D271="","",$E271+BB設定!$B$4*$F271)</f>
        <v>1228.9828966467153</v>
      </c>
      <c r="H271" s="501">
        <f>IF($D271="","",$E271+BB設定!$B$5*$F271)</f>
        <v>1163.9414483233577</v>
      </c>
      <c r="I271" s="501">
        <f>IF($D271="","",$E271-BB設定!$B$5*$F271)</f>
        <v>1033.8585516766425</v>
      </c>
      <c r="J271" s="501">
        <f>IF($D271="","",$E271-BB設定!$B$4*$F271)</f>
        <v>968.81710335328489</v>
      </c>
      <c r="K271" s="506">
        <f t="shared" si="44"/>
        <v>0.70410062109937177</v>
      </c>
      <c r="L271" s="505">
        <f t="shared" si="45"/>
        <v>23.675110864813028</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59.642147117296226</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50.081128306994621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0.87446300715990455</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20</v>
      </c>
      <c r="Y271" s="501">
        <f t="shared" si="48"/>
        <v>1152</v>
      </c>
      <c r="Z271" s="501">
        <f t="shared" si="49"/>
        <v>1163.9414483233577</v>
      </c>
      <c r="AA271" s="501">
        <f t="shared" si="50"/>
        <v>1098.9000000000001</v>
      </c>
      <c r="AB271" s="501">
        <f t="shared" si="54"/>
        <v>1228.9828966467153</v>
      </c>
      <c r="AC271" s="507">
        <f t="shared" si="51"/>
        <v>1.45</v>
      </c>
      <c r="AD271" s="501">
        <f>IF($D271="","",MIN(終値!E271:I271))</f>
        <v>1117</v>
      </c>
      <c r="AE271" s="503">
        <f t="shared" si="52"/>
        <v>20.097290000000001</v>
      </c>
    </row>
    <row r="272" spans="1:31">
      <c r="A272" s="500" t="str">
        <f>IF(終値!A272="","",HYPERLINK("https://kabutan.jp/stock/?code="&amp;終値!A272,"📈"))</f>
        <v>📈</v>
      </c>
      <c r="B272" s="500" t="str">
        <f>IF(終値!A272="","",終値!A272)</f>
        <v>6997</v>
      </c>
      <c r="C272" s="499" t="str">
        <f>IF(終値!A272="","",終値!B272)</f>
        <v>日本ケミコン</v>
      </c>
      <c r="D272" s="501">
        <f>IF(終値!A272="","",終値!E272)</f>
        <v>3245</v>
      </c>
      <c r="E272" s="501">
        <f>IF($D272="","",AVERAGE(終値!E272:X272))</f>
        <v>3451.45</v>
      </c>
      <c r="F272" s="502">
        <f>IF($D272="","",STDEVP(終値!E272:X272))</f>
        <v>563.93452412492002</v>
      </c>
      <c r="G272" s="501">
        <f>IF($D272="","",$E272+BB設定!$B$4*$F272)</f>
        <v>4579.3190482498394</v>
      </c>
      <c r="H272" s="501">
        <f>IF($D272="","",$E272+BB設定!$B$5*$F272)</f>
        <v>4015.3845241249201</v>
      </c>
      <c r="I272" s="501">
        <f>IF($D272="","",$E272-BB設定!$B$5*$F272)</f>
        <v>2887.5154758750796</v>
      </c>
      <c r="J272" s="501">
        <f>IF($D272="","",$E272-BB設定!$B$4*$F272)</f>
        <v>2323.5809517501598</v>
      </c>
      <c r="K272" s="506">
        <f t="shared" si="44"/>
        <v>0.40847785018998595</v>
      </c>
      <c r="L272" s="505">
        <f t="shared" si="45"/>
        <v>65.356244375543028</v>
      </c>
      <c r="M272" s="505">
        <f>IF($D272="","",IFERROR(MIN(BB_帯幅!B272:AP272)*100,""))</f>
        <v>42.880442005053801</v>
      </c>
      <c r="N272" s="500" t="str">
        <f>IF($L272="","",IF($L272&lt;=$M272*BB設定!$B$7,"スクイーズ★",IF($L272&lt;=$M272*1.3,"収縮","－")))</f>
        <v>－</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41.239316239316231</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48.88226089958642</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v>
      </c>
      <c r="T272" s="500" t="str">
        <f t="shared" si="47"/>
        <v>－</v>
      </c>
      <c r="U272" s="500" t="str">
        <f>IF(終値!A272="","",BB_スイング!BT272)</f>
        <v>－</v>
      </c>
      <c r="V272" s="508">
        <f>IF($D272="","",IFERROR(出来高!E272/AVERAGE(出来高!E272:I272),""))</f>
        <v>0.53068794817204579</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様子見</v>
      </c>
      <c r="X272" s="504">
        <f t="shared" si="53"/>
        <v>0</v>
      </c>
      <c r="Y272" s="501">
        <f t="shared" si="48"/>
        <v>3245</v>
      </c>
      <c r="Z272" s="501">
        <f t="shared" si="49"/>
        <v>4015.3845241249201</v>
      </c>
      <c r="AA272" s="501">
        <f t="shared" si="50"/>
        <v>2570</v>
      </c>
      <c r="AB272" s="501">
        <f t="shared" si="54"/>
        <v>4579.3190482498394</v>
      </c>
      <c r="AC272" s="507">
        <f t="shared" si="51"/>
        <v>1.98</v>
      </c>
      <c r="AD272" s="501">
        <f>IF($D272="","",MIN(終値!E272:I272))</f>
        <v>2570</v>
      </c>
      <c r="AE272" s="503">
        <f t="shared" si="52"/>
        <v>9.7280000000000005E-2</v>
      </c>
    </row>
    <row r="273" spans="1:31">
      <c r="A273" s="500" t="str">
        <f>IF(終値!A273="","",HYPERLINK("https://kabutan.jp/stock/?code="&amp;終値!A273,"📈"))</f>
        <v>📈</v>
      </c>
      <c r="B273" s="500" t="str">
        <f>IF(終値!A273="","",終値!A273)</f>
        <v>4544</v>
      </c>
      <c r="C273" s="499" t="str">
        <f>IF(終値!A273="","",終値!B273)</f>
        <v>ＨＵグループＨＤ</v>
      </c>
      <c r="D273" s="501">
        <f>IF(終値!A273="","",終値!E273)</f>
        <v>3346</v>
      </c>
      <c r="E273" s="501">
        <f>IF($D273="","",AVERAGE(終値!E273:X273))</f>
        <v>3402.35</v>
      </c>
      <c r="F273" s="502">
        <f>IF($D273="","",STDEVP(終値!E273:X273))</f>
        <v>67.351521883324949</v>
      </c>
      <c r="G273" s="501">
        <f>IF($D273="","",$E273+BB設定!$B$4*$F273)</f>
        <v>3537.0530437666498</v>
      </c>
      <c r="H273" s="501">
        <f>IF($D273="","",$E273+BB設定!$B$5*$F273)</f>
        <v>3469.7015218833249</v>
      </c>
      <c r="I273" s="501">
        <f>IF($D273="","",$E273-BB設定!$B$5*$F273)</f>
        <v>3334.998478116675</v>
      </c>
      <c r="J273" s="501">
        <f>IF($D273="","",$E273-BB設定!$B$4*$F273)</f>
        <v>3267.64695623335</v>
      </c>
      <c r="K273" s="506">
        <f t="shared" si="44"/>
        <v>0.29083620375491775</v>
      </c>
      <c r="L273" s="505">
        <f t="shared" si="45"/>
        <v>7.9182355587549731</v>
      </c>
      <c r="M273" s="505">
        <f>IF($D273="","",IFERROR(MIN(BB_帯幅!B273:AP273)*100,""))</f>
        <v>7.1331518685314901</v>
      </c>
      <c r="N273" s="500" t="str">
        <f>IF($L273="","",IF($L273&lt;=$M273*BB設定!$B$7,"スクイーズ★",IF($L273&lt;=$M273*1.3,"収縮","－")))</f>
        <v>収縮</v>
      </c>
      <c r="O273" s="500" t="str">
        <f>IF($D273="","",IF(AND(BB_帯幅!B273&gt;BB_帯幅!C273,BB_帯幅!C273&gt;BB_帯幅!D273),"拡大↑","縮小↓"))</f>
        <v>拡大↑</v>
      </c>
      <c r="P273" s="500" t="str">
        <f t="shared" si="46"/>
        <v>バンド内</v>
      </c>
      <c r="Q273" s="503">
        <f>IF($D273="","",IFERROR(100-100/(1+SUMPRODUCT((終値!E273:R273&gt;終値!F273:S273)*(終値!E273:R273-終値!F273:S273))/SUMPRODUCT((終値!E273:R273&lt;終値!F273:S273)*(終値!F273:S273-終値!E273:R273))),100))</f>
        <v>50.153846153846153</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41.101524874635537</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v>
      </c>
      <c r="T273" s="500" t="str">
        <f t="shared" si="47"/>
        <v>－</v>
      </c>
      <c r="U273" s="500" t="str">
        <f>IF(終値!A273="","",BB_スイング!BT273)</f>
        <v>二番底W形成</v>
      </c>
      <c r="V273" s="508">
        <f>IF($D273="","",IFERROR(出来高!E273/AVERAGE(出来高!E273:I273),""))</f>
        <v>0.86412973252358183</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30</v>
      </c>
      <c r="Y273" s="501">
        <f t="shared" si="48"/>
        <v>3346</v>
      </c>
      <c r="Z273" s="501">
        <f t="shared" si="49"/>
        <v>3469.7015218833249</v>
      </c>
      <c r="AA273" s="501">
        <f t="shared" si="50"/>
        <v>3346</v>
      </c>
      <c r="AB273" s="501">
        <f t="shared" si="54"/>
        <v>3537.0530437666498</v>
      </c>
      <c r="AC273" s="507" t="str">
        <f t="shared" si="51"/>
        <v>－</v>
      </c>
      <c r="AD273" s="501">
        <f>IF($D273="","",MIN(終値!E273:I273))</f>
        <v>3346</v>
      </c>
      <c r="AE273" s="503">
        <f t="shared" si="52"/>
        <v>30.097270000000002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854</v>
      </c>
      <c r="E274" s="501">
        <f>IF($D274="","",AVERAGE(終値!E274:X274))</f>
        <v>855</v>
      </c>
      <c r="F274" s="502">
        <f>IF($D274="","",STDEVP(終値!E274:X274))</f>
        <v>3.7696851746252595</v>
      </c>
      <c r="G274" s="501">
        <f>IF($D274="","",$E274+BB設定!$B$4*$F274)</f>
        <v>862.53937034925048</v>
      </c>
      <c r="H274" s="501">
        <f>IF($D274="","",$E274+BB設定!$B$5*$F274)</f>
        <v>858.76968517462524</v>
      </c>
      <c r="I274" s="501">
        <f>IF($D274="","",$E274-BB設定!$B$5*$F274)</f>
        <v>851.23031482537476</v>
      </c>
      <c r="J274" s="501">
        <f>IF($D274="","",$E274-BB設定!$B$4*$F274)</f>
        <v>847.46062965074952</v>
      </c>
      <c r="K274" s="506">
        <f t="shared" si="44"/>
        <v>0.43368146452048117</v>
      </c>
      <c r="L274" s="505">
        <f t="shared" si="45"/>
        <v>1.7635954033334444</v>
      </c>
      <c r="M274" s="505">
        <f>IF($D274="","",IFERROR(MIN(BB_帯幅!B274:AP274)*100,""))</f>
        <v>1.7635954033334549</v>
      </c>
      <c r="N274" s="500" t="str">
        <f>IF($L274="","",IF($L274&lt;=$M274*BB設定!$B$7,"スクイーズ★",IF($L274&lt;=$M274*1.3,"収縮","－")))</f>
        <v>スクイーズ★</v>
      </c>
      <c r="O274" s="500" t="str">
        <f>IF($D274="","",IF(AND(BB_帯幅!B274&gt;BB_帯幅!C274,BB_帯幅!C274&gt;BB_帯幅!D274),"拡大↑","縮小↓"))</f>
        <v>縮小↓</v>
      </c>
      <c r="P274" s="500" t="str">
        <f t="shared" si="46"/>
        <v>バンド内</v>
      </c>
      <c r="Q274" s="503">
        <f>IF($D274="","",IFERROR(100-100/(1+SUMPRODUCT((終値!E274:R274&gt;終値!F274:S274)*(終値!E274:R274-終値!F274:S274))/SUMPRODUCT((終値!E274:R274&lt;終値!F274:S274)*(終値!F274:S274-終値!E274:R274))),100))</f>
        <v>49.856404365307299</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39.394814079223217</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強気div▲</v>
      </c>
      <c r="T274" s="500" t="str">
        <f t="shared" si="47"/>
        <v>－</v>
      </c>
      <c r="U274" s="500" t="str">
        <f>IF(終値!A274="","",BB_スイング!BT274)</f>
        <v>－</v>
      </c>
      <c r="V274" s="508">
        <f>IF($D274="","",IFERROR(出来高!E274/AVERAGE(出来高!E274:I274),""))</f>
        <v>0.5</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○反発(ダイバ)買</v>
      </c>
      <c r="X274" s="504">
        <f t="shared" si="53"/>
        <v>30</v>
      </c>
      <c r="Y274" s="501">
        <f t="shared" si="48"/>
        <v>854</v>
      </c>
      <c r="Z274" s="501">
        <f t="shared" si="49"/>
        <v>858.76968517462524</v>
      </c>
      <c r="AA274" s="501">
        <f t="shared" si="50"/>
        <v>854</v>
      </c>
      <c r="AB274" s="501">
        <f t="shared" si="54"/>
        <v>862.53937034925048</v>
      </c>
      <c r="AC274" s="507" t="str">
        <f t="shared" si="51"/>
        <v>－</v>
      </c>
      <c r="AD274" s="501">
        <f>IF($D274="","",MIN(終値!E274:I274))</f>
        <v>854</v>
      </c>
      <c r="AE274" s="503">
        <f t="shared" si="52"/>
        <v>30.097259999999999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1527</v>
      </c>
      <c r="E275" s="501">
        <f>IF($D275="","",AVERAGE(終値!E275:X275))</f>
        <v>1483.85</v>
      </c>
      <c r="F275" s="502">
        <f>IF($D275="","",STDEVP(終値!E275:X275))</f>
        <v>25.797819675313647</v>
      </c>
      <c r="G275" s="501">
        <f>IF($D275="","",$E275+BB設定!$B$4*$F275)</f>
        <v>1535.4456393506273</v>
      </c>
      <c r="H275" s="501">
        <f>IF($D275="","",$E275+BB設定!$B$5*$F275)</f>
        <v>1509.6478196753135</v>
      </c>
      <c r="I275" s="501">
        <f>IF($D275="","",$E275-BB設定!$B$5*$F275)</f>
        <v>1458.0521803246863</v>
      </c>
      <c r="J275" s="501">
        <f>IF($D275="","",$E275-BB設定!$B$4*$F275)</f>
        <v>1432.2543606493725</v>
      </c>
      <c r="K275" s="506">
        <f t="shared" si="44"/>
        <v>0.91815549281952458</v>
      </c>
      <c r="L275" s="505">
        <f t="shared" si="45"/>
        <v>6.9542931361832236</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+1σ上</v>
      </c>
      <c r="Q275" s="503">
        <f>IF($D275="","",IFERROR(100-100/(1+SUMPRODUCT((終値!E275:R275&gt;終値!F275:S275)*(終値!E275:R275-終値!F275:S275))/SUMPRODUCT((終値!E275:R275&lt;終値!F275:S275)*(終値!F275:S275-終値!E275:R275))),100))</f>
        <v>59.016393442622949</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66.117409804976717</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0.76820578182028854</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57</v>
      </c>
      <c r="Y275" s="501">
        <f t="shared" si="48"/>
        <v>1527</v>
      </c>
      <c r="Z275" s="501">
        <f t="shared" si="49"/>
        <v>1509.6478196753135</v>
      </c>
      <c r="AA275" s="501">
        <f t="shared" si="50"/>
        <v>1483.85</v>
      </c>
      <c r="AB275" s="501">
        <f t="shared" si="54"/>
        <v>1535.4456393506273</v>
      </c>
      <c r="AC275" s="507">
        <f t="shared" si="51"/>
        <v>0.2</v>
      </c>
      <c r="AD275" s="501">
        <f>IF($D275="","",MIN(終値!E275:I275))</f>
        <v>1448</v>
      </c>
      <c r="AE275" s="503">
        <f t="shared" si="52"/>
        <v>57.097250000000003</v>
      </c>
    </row>
    <row r="276" spans="1:31">
      <c r="A276" s="500" t="str">
        <f>IF(終値!A276="","",HYPERLINK("https://kabutan.jp/stock/?code="&amp;終値!A276,"📈"))</f>
        <v>📈</v>
      </c>
      <c r="B276" s="500" t="str">
        <f>IF(終値!A276="","",終値!A276)</f>
        <v>7952</v>
      </c>
      <c r="C276" s="499" t="str">
        <f>IF(終値!A276="","",終値!B276)</f>
        <v>河合楽器</v>
      </c>
      <c r="D276" s="501">
        <f>IF(終値!A276="","",終値!E276)</f>
        <v>3565</v>
      </c>
      <c r="E276" s="501">
        <f>IF($D276="","",AVERAGE(終値!E276:X276))</f>
        <v>3298</v>
      </c>
      <c r="F276" s="502">
        <f>IF($D276="","",STDEVP(終値!E276:X276))</f>
        <v>113.63758181165244</v>
      </c>
      <c r="G276" s="501">
        <f>IF($D276="","",$E276+BB設定!$B$4*$F276)</f>
        <v>3525.2751636233047</v>
      </c>
      <c r="H276" s="501">
        <f>IF($D276="","",$E276+BB設定!$B$5*$F276)</f>
        <v>3411.6375818116526</v>
      </c>
      <c r="I276" s="501">
        <f>IF($D276="","",$E276-BB設定!$B$5*$F276)</f>
        <v>3184.3624181883474</v>
      </c>
      <c r="J276" s="501">
        <f>IF($D276="","",$E276-BB設定!$B$4*$F276)</f>
        <v>3070.7248363766953</v>
      </c>
      <c r="K276" s="506">
        <f t="shared" si="44"/>
        <v>1.0873937031732532</v>
      </c>
      <c r="L276" s="505">
        <f t="shared" si="45"/>
        <v>13.782605435009382</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↑+2σ突破</v>
      </c>
      <c r="Q276" s="503">
        <f>IF($D276="","",IFERROR(100-100/(1+SUMPRODUCT((終値!E276:R276&gt;終値!F276:S276)*(終値!E276:R276-終値!F276:S276))/SUMPRODUCT((終値!E276:R276&lt;終値!F276:S276)*(終値!F276:S276-終値!E276:R276))),100))</f>
        <v>78.832116788321173</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74.64720953670485</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0.87489779231398201</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48</v>
      </c>
      <c r="Y276" s="501">
        <f t="shared" si="48"/>
        <v>3565</v>
      </c>
      <c r="Z276" s="501">
        <f t="shared" si="49"/>
        <v>3411.6375818116526</v>
      </c>
      <c r="AA276" s="501">
        <f t="shared" si="50"/>
        <v>3298</v>
      </c>
      <c r="AB276" s="501">
        <f t="shared" si="54"/>
        <v>3638.9127454349573</v>
      </c>
      <c r="AC276" s="507">
        <f t="shared" si="51"/>
        <v>0.28000000000000003</v>
      </c>
      <c r="AD276" s="501">
        <f>IF($D276="","",MIN(終値!E276:I276))</f>
        <v>3365</v>
      </c>
      <c r="AE276" s="503">
        <f t="shared" si="52"/>
        <v>48.097239999999999</v>
      </c>
    </row>
    <row r="277" spans="1:31">
      <c r="A277" s="500" t="str">
        <f>IF(終値!A277="","",HYPERLINK("https://kabutan.jp/stock/?code="&amp;終値!A277,"📈"))</f>
        <v>📈</v>
      </c>
      <c r="B277" s="500" t="str">
        <f>IF(終値!A277="","",終値!A277)</f>
        <v>3002</v>
      </c>
      <c r="C277" s="499" t="str">
        <f>IF(終値!A277="","",終値!B277)</f>
        <v>グンゼ</v>
      </c>
      <c r="D277" s="501">
        <f>IF(終値!A277="","",終値!E277)</f>
        <v>4000</v>
      </c>
      <c r="E277" s="501">
        <f>IF($D277="","",AVERAGE(終値!E277:X277))</f>
        <v>4009.4736842105262</v>
      </c>
      <c r="F277" s="502">
        <f>IF($D277="","",STDEVP(終値!E277:X277))</f>
        <v>39.165463331940046</v>
      </c>
      <c r="G277" s="501">
        <f>IF($D277="","",$E277+BB設定!$B$4*$F277)</f>
        <v>4087.8046108744065</v>
      </c>
      <c r="H277" s="501">
        <f>IF($D277="","",$E277+BB設定!$B$5*$F277)</f>
        <v>4048.6391475424662</v>
      </c>
      <c r="I277" s="501">
        <f>IF($D277="","",$E277-BB設定!$B$5*$F277)</f>
        <v>3970.3082208785863</v>
      </c>
      <c r="J277" s="501">
        <f>IF($D277="","",$E277-BB設定!$B$4*$F277)</f>
        <v>3931.142757546646</v>
      </c>
      <c r="K277" s="506">
        <f t="shared" si="44"/>
        <v>0.439527817338495</v>
      </c>
      <c r="L277" s="505">
        <f t="shared" si="45"/>
        <v>3.9072922200412856</v>
      </c>
      <c r="M277" s="505">
        <f>IF($D277="","",IFERROR(MIN(BB_帯幅!B277:AP277)*100,""))</f>
        <v>3.907292220041275</v>
      </c>
      <c r="N277" s="500" t="str">
        <f>IF($L277="","",IF($L277&lt;=$M277*BB設定!$B$7,"スクイーズ★",IF($L277&lt;=$M277*1.3,"収縮","－")))</f>
        <v>スクイーズ★</v>
      </c>
      <c r="O277" s="500" t="str">
        <f>IF($D277="","",IF(AND(BB_帯幅!B277&gt;BB_帯幅!C277,BB_帯幅!C277&gt;BB_帯幅!D277),"拡大↑","縮小↓"))</f>
        <v>縮小↓</v>
      </c>
      <c r="P277" s="500" t="str">
        <f t="shared" si="46"/>
        <v>バンド内</v>
      </c>
      <c r="Q277" s="503">
        <f>IF($D277="","",IFERROR(100-100/(1+SUMPRODUCT((終値!E277:R277&gt;終値!F277:S277)*(終値!E277:R277-終値!F277:S277))/SUMPRODUCT((終値!E277:R277&lt;終値!F277:S277)*(終値!F277:S277-終値!E277:R277))),100))</f>
        <v>50.181159420289859</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55.965925234666209</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v>
      </c>
      <c r="U277" s="500" t="str">
        <f>IF(終値!A277="","",BB_スイング!BT277)</f>
        <v>二番天井M▼</v>
      </c>
      <c r="V277" s="508">
        <f>IF($D277="","",IFERROR(出来高!E277/AVERAGE(出来高!E277:I277),""))</f>
        <v>0.47661591050341828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▼二番天井警戒</v>
      </c>
      <c r="X277" s="504">
        <f t="shared" si="53"/>
        <v>10</v>
      </c>
      <c r="Y277" s="501">
        <f t="shared" si="48"/>
        <v>4000</v>
      </c>
      <c r="Z277" s="501">
        <f t="shared" si="49"/>
        <v>4048.6391475424662</v>
      </c>
      <c r="AA277" s="501">
        <f t="shared" si="50"/>
        <v>3990</v>
      </c>
      <c r="AB277" s="501">
        <f t="shared" si="54"/>
        <v>4087.8046108744065</v>
      </c>
      <c r="AC277" s="507">
        <f t="shared" si="51"/>
        <v>8.7799999999999994</v>
      </c>
      <c r="AD277" s="501">
        <f>IF($D277="","",MIN(終値!E277:I277))</f>
        <v>3990</v>
      </c>
      <c r="AE277" s="503">
        <f t="shared" si="52"/>
        <v>10.09723</v>
      </c>
    </row>
    <row r="278" spans="1:31">
      <c r="A278" s="500" t="str">
        <f>IF(終値!A278="","",HYPERLINK("https://kabutan.jp/stock/?code="&amp;終値!A278,"📈"))</f>
        <v>📈</v>
      </c>
      <c r="B278" s="500" t="str">
        <f>IF(終値!A278="","",終値!A278)</f>
        <v>8871</v>
      </c>
      <c r="C278" s="499" t="str">
        <f>IF(終値!A278="","",終値!B278)</f>
        <v>ゴールドクレスト</v>
      </c>
      <c r="D278" s="501">
        <f>IF(終値!A278="","",終値!E278)</f>
        <v>3200</v>
      </c>
      <c r="E278" s="501">
        <f>IF($D278="","",AVERAGE(終値!E278:X278))</f>
        <v>3336.8421052631579</v>
      </c>
      <c r="F278" s="502">
        <f>IF($D278="","",STDEVP(終値!E278:X278))</f>
        <v>51.175922749395319</v>
      </c>
      <c r="G278" s="501">
        <f>IF($D278="","",$E278+BB設定!$B$4*$F278)</f>
        <v>3439.1939507619486</v>
      </c>
      <c r="H278" s="501">
        <f>IF($D278="","",$E278+BB設定!$B$5*$F278)</f>
        <v>3388.0180280125533</v>
      </c>
      <c r="I278" s="501">
        <f>IF($D278="","",$E278-BB設定!$B$5*$F278)</f>
        <v>3285.6661825137626</v>
      </c>
      <c r="J278" s="501">
        <f>IF($D278="","",$E278-BB設定!$B$4*$F278)</f>
        <v>3234.4902597643672</v>
      </c>
      <c r="K278" s="506">
        <f t="shared" si="44"/>
        <v>-0.16848870480198011</v>
      </c>
      <c r="L278" s="505">
        <f t="shared" si="45"/>
        <v>6.1346532002429743</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↓-2σ割れ</v>
      </c>
      <c r="Q278" s="503">
        <f>IF($D278="","",IFERROR(100-100/(1+SUMPRODUCT((終値!E278:R278&gt;終値!F278:S278)*(終値!E278:R278-終値!F278:S278))/SUMPRODUCT((終値!E278:R278&lt;終値!F278:S278)*(終値!F278:S278-終値!E278:R278))),100))</f>
        <v>49.098474341192791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27.410212108809802</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二番天井M▼</v>
      </c>
      <c r="V278" s="508">
        <f>IF($D278="","",IFERROR(出来高!E278/AVERAGE(出来高!E278:I278),""))</f>
        <v>0.88806542294914392</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▼二番天井警戒</v>
      </c>
      <c r="X278" s="504">
        <f t="shared" si="53"/>
        <v>0</v>
      </c>
      <c r="Y278" s="501">
        <f t="shared" si="48"/>
        <v>3200</v>
      </c>
      <c r="Z278" s="501">
        <f t="shared" si="49"/>
        <v>3388.0180280125533</v>
      </c>
      <c r="AA278" s="501">
        <f t="shared" si="50"/>
        <v>3200</v>
      </c>
      <c r="AB278" s="501">
        <f t="shared" si="54"/>
        <v>3439.1939507619486</v>
      </c>
      <c r="AC278" s="507" t="str">
        <f t="shared" si="51"/>
        <v>－</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3210</v>
      </c>
      <c r="E279" s="501">
        <f>IF($D279="","",AVERAGE(終値!E279:X279))</f>
        <v>3173.9473684210525</v>
      </c>
      <c r="F279" s="502">
        <f>IF($D279="","",STDEVP(終値!E279:X279))</f>
        <v>116.02199142005273</v>
      </c>
      <c r="G279" s="501">
        <f>IF($D279="","",$E279+BB設定!$B$4*$F279)</f>
        <v>3405.9913512611579</v>
      </c>
      <c r="H279" s="501">
        <f>IF($D279="","",$E279+BB設定!$B$5*$F279)</f>
        <v>3289.9693598411054</v>
      </c>
      <c r="I279" s="501">
        <f>IF($D279="","",$E279-BB設定!$B$5*$F279)</f>
        <v>3057.9253770009996</v>
      </c>
      <c r="J279" s="501">
        <f>IF($D279="","",$E279-BB設定!$B$4*$F279)</f>
        <v>2941.9033855809471</v>
      </c>
      <c r="K279" s="506">
        <f t="shared" si="44"/>
        <v>0.5776849094246721</v>
      </c>
      <c r="L279" s="505">
        <f t="shared" si="45"/>
        <v>14.621791473217819</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バンド内</v>
      </c>
      <c r="Q279" s="503">
        <f>IF($D279="","",IFERROR(100-100/(1+SUMPRODUCT((終値!E279:R279&gt;終値!F279:S279)*(終値!E279:R279-終値!F279:S279))/SUMPRODUCT((終値!E279:R279&lt;終値!F279:S279)*(終値!F279:S279-終値!E279:R279))),100))</f>
        <v>49.870432754599634</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45.130947067766449</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v>
      </c>
      <c r="U279" s="500" t="str">
        <f>IF(終値!A279="","",BB_スイング!BT279)</f>
        <v>－</v>
      </c>
      <c r="V279" s="508">
        <f>IF($D279="","",IFERROR(出来高!E279/AVERAGE(出来高!E279:I279),""))</f>
        <v>0.99214551467548573</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20</v>
      </c>
      <c r="Y279" s="501">
        <f t="shared" si="48"/>
        <v>3210</v>
      </c>
      <c r="Z279" s="501">
        <f t="shared" si="49"/>
        <v>3289.9693598411054</v>
      </c>
      <c r="AA279" s="501">
        <f t="shared" si="50"/>
        <v>3173.9473684210525</v>
      </c>
      <c r="AB279" s="501">
        <f t="shared" si="54"/>
        <v>3405.9913512611579</v>
      </c>
      <c r="AC279" s="507">
        <f t="shared" si="51"/>
        <v>5.44</v>
      </c>
      <c r="AD279" s="501">
        <f>IF($D279="","",MIN(終値!E279:I279))</f>
        <v>2916</v>
      </c>
      <c r="AE279" s="503">
        <f t="shared" si="52"/>
        <v>20.09721</v>
      </c>
    </row>
    <row r="280" spans="1:31">
      <c r="A280" s="500" t="str">
        <f>IF(終値!A280="","",HYPERLINK("https://kabutan.jp/stock/?code="&amp;終値!A280,"📈"))</f>
        <v>📈</v>
      </c>
      <c r="B280" s="500" t="str">
        <f>IF(終値!A280="","",終値!A280)</f>
        <v>6488</v>
      </c>
      <c r="C280" s="499" t="str">
        <f>IF(終値!A280="","",終値!B280)</f>
        <v>ヨシタケ</v>
      </c>
      <c r="D280" s="501">
        <f>IF(終値!A280="","",終値!E280)</f>
        <v>990</v>
      </c>
      <c r="E280" s="501">
        <f>IF($D280="","",AVERAGE(終値!E280:X280))</f>
        <v>976.65</v>
      </c>
      <c r="F280" s="502">
        <f>IF($D280="","",STDEVP(終値!E280:X280))</f>
        <v>8.9625610179233934</v>
      </c>
      <c r="G280" s="501">
        <f>IF($D280="","",$E280+BB設定!$B$4*$F280)</f>
        <v>994.57512203584679</v>
      </c>
      <c r="H280" s="501">
        <f>IF($D280="","",$E280+BB設定!$B$5*$F280)</f>
        <v>985.61256101792333</v>
      </c>
      <c r="I280" s="501">
        <f>IF($D280="","",$E280-BB設定!$B$5*$F280)</f>
        <v>967.68743898207663</v>
      </c>
      <c r="J280" s="501">
        <f>IF($D280="","",$E280-BB設定!$B$4*$F280)</f>
        <v>958.72487796415317</v>
      </c>
      <c r="K280" s="506">
        <f t="shared" si="44"/>
        <v>0.87238240200827022</v>
      </c>
      <c r="L280" s="505">
        <f t="shared" si="45"/>
        <v>3.670736094987316</v>
      </c>
      <c r="M280" s="505">
        <f>IF($D280="","",IFERROR(MIN(BB_帯幅!B280:AP280)*100,""))</f>
        <v>3.5739945695495603</v>
      </c>
      <c r="N280" s="500" t="str">
        <f>IF($L280="","",IF($L280&lt;=$M280*BB設定!$B$7,"スクイーズ★",IF($L280&lt;=$M280*1.3,"収縮","－")))</f>
        <v>スクイーズ★</v>
      </c>
      <c r="O280" s="500" t="str">
        <f>IF($D280="","",IF(AND(BB_帯幅!B280&gt;BB_帯幅!C280,BB_帯幅!C280&gt;BB_帯幅!D280),"拡大↑","縮小↓"))</f>
        <v>拡大↑</v>
      </c>
      <c r="P280" s="500" t="str">
        <f t="shared" si="46"/>
        <v>+1σ上</v>
      </c>
      <c r="Q280" s="503">
        <f>IF($D280="","",IFERROR(100-100/(1+SUMPRODUCT((終値!E280:R280&gt;終値!F280:S280)*(終値!E280:R280-終値!F280:S280))/SUMPRODUCT((終値!E280:R280&lt;終値!F280:S280)*(終値!F280:S280-終値!E280:R280))),100))</f>
        <v>59.722222222222221</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52.381742005521701</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上walk▲</v>
      </c>
      <c r="U280" s="500" t="str">
        <f>IF(終値!A280="","",BB_スイング!BT280)</f>
        <v>－</v>
      </c>
      <c r="V280" s="508">
        <f>IF($D280="","",IFERROR(出来高!E280/AVERAGE(出来高!E280:I280),""))</f>
        <v>0.71753986332574027</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62</v>
      </c>
      <c r="Y280" s="501">
        <f t="shared" si="48"/>
        <v>990</v>
      </c>
      <c r="Z280" s="501">
        <f t="shared" si="49"/>
        <v>985.61256101792333</v>
      </c>
      <c r="AA280" s="501">
        <f t="shared" si="50"/>
        <v>976.65</v>
      </c>
      <c r="AB280" s="501">
        <f t="shared" si="54"/>
        <v>994.57512203584679</v>
      </c>
      <c r="AC280" s="507">
        <f t="shared" si="51"/>
        <v>0.34</v>
      </c>
      <c r="AD280" s="501">
        <f>IF($D280="","",MIN(終値!E280:I280))</f>
        <v>980</v>
      </c>
      <c r="AE280" s="503">
        <f t="shared" si="52"/>
        <v>62.097200000000001</v>
      </c>
    </row>
    <row r="281" spans="1:31">
      <c r="A281" s="500" t="str">
        <f>IF(終値!A281="","",HYPERLINK("https://kabutan.jp/stock/?code="&amp;終値!A281,"📈"))</f>
        <v>📈</v>
      </c>
      <c r="B281" s="500" t="str">
        <f>IF(終値!A281="","",終値!A281)</f>
        <v>8007</v>
      </c>
      <c r="C281" s="499" t="str">
        <f>IF(終値!A281="","",終値!B281)</f>
        <v>高島</v>
      </c>
      <c r="D281" s="501">
        <f>IF(終値!A281="","",終値!E281)</f>
        <v>793</v>
      </c>
      <c r="E281" s="501">
        <f>IF($D281="","",AVERAGE(終値!E281:X281))</f>
        <v>789.75</v>
      </c>
      <c r="F281" s="502">
        <f>IF($D281="","",STDEVP(終値!E281:X281))</f>
        <v>14.292917826672062</v>
      </c>
      <c r="G281" s="501">
        <f>IF($D281="","",$E281+BB設定!$B$4*$F281)</f>
        <v>818.33583565334413</v>
      </c>
      <c r="H281" s="501">
        <f>IF($D281="","",$E281+BB設定!$B$5*$F281)</f>
        <v>804.04291782667201</v>
      </c>
      <c r="I281" s="501">
        <f>IF($D281="","",$E281-BB設定!$B$5*$F281)</f>
        <v>775.45708217332799</v>
      </c>
      <c r="J281" s="501">
        <f>IF($D281="","",$E281-BB設定!$B$4*$F281)</f>
        <v>761.16416434665587</v>
      </c>
      <c r="K281" s="506">
        <f t="shared" si="44"/>
        <v>0.55684633535664707</v>
      </c>
      <c r="L281" s="505">
        <f t="shared" si="45"/>
        <v>7.2392113082226359</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59.550561797752813</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63.899595578900481</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弱気div▼</v>
      </c>
      <c r="T281" s="500" t="str">
        <f t="shared" si="47"/>
        <v>－</v>
      </c>
      <c r="U281" s="500" t="str">
        <f>IF(終値!A281="","",BB_スイング!BT281)</f>
        <v>－</v>
      </c>
      <c r="V281" s="508">
        <f>IF($D281="","",IFERROR(出来高!E281/AVERAGE(出来高!E281:I281),""))</f>
        <v>0.89333097470369716</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・押し目注目</v>
      </c>
      <c r="X281" s="504">
        <f t="shared" si="53"/>
        <v>25</v>
      </c>
      <c r="Y281" s="501">
        <f t="shared" si="48"/>
        <v>793</v>
      </c>
      <c r="Z281" s="501">
        <f t="shared" si="49"/>
        <v>804.04291782667201</v>
      </c>
      <c r="AA281" s="501">
        <f t="shared" si="50"/>
        <v>789.75</v>
      </c>
      <c r="AB281" s="501">
        <f t="shared" si="54"/>
        <v>818.33583565334413</v>
      </c>
      <c r="AC281" s="507">
        <f t="shared" si="51"/>
        <v>7.8</v>
      </c>
      <c r="AD281" s="501">
        <f>IF($D281="","",MIN(終値!E281:I281))</f>
        <v>793</v>
      </c>
      <c r="AE281" s="503">
        <f t="shared" si="52"/>
        <v>25.097190000000001</v>
      </c>
    </row>
    <row r="282" spans="1:31">
      <c r="A282" s="500" t="str">
        <f>IF(終値!A282="","",HYPERLINK("https://kabutan.jp/stock/?code="&amp;終値!A282,"📈"))</f>
        <v>📈</v>
      </c>
      <c r="B282" s="500" t="str">
        <f>IF(終値!A282="","",終値!A282)</f>
        <v>4218</v>
      </c>
      <c r="C282" s="499" t="str">
        <f>IF(終値!A282="","",終値!B282)</f>
        <v>ニチバン</v>
      </c>
      <c r="D282" s="501">
        <f>IF(終値!A282="","",終値!E282)</f>
        <v>1941</v>
      </c>
      <c r="E282" s="501">
        <f>IF($D282="","",AVERAGE(終値!E282:X282))</f>
        <v>1921.4</v>
      </c>
      <c r="F282" s="502">
        <f>IF($D282="","",STDEVP(終値!E282:X282))</f>
        <v>22.289908030317214</v>
      </c>
      <c r="G282" s="501">
        <f>IF($D282="","",$E282+BB設定!$B$4*$F282)</f>
        <v>1965.9798160606344</v>
      </c>
      <c r="H282" s="501">
        <f>IF($D282="","",$E282+BB設定!$B$5*$F282)</f>
        <v>1943.6899080303174</v>
      </c>
      <c r="I282" s="501">
        <f>IF($D282="","",$E282-BB設定!$B$5*$F282)</f>
        <v>1899.1100919696828</v>
      </c>
      <c r="J282" s="501">
        <f>IF($D282="","",$E282-BB設定!$B$4*$F282)</f>
        <v>1876.8201839393657</v>
      </c>
      <c r="K282" s="506">
        <f t="shared" si="44"/>
        <v>0.71983042699572108</v>
      </c>
      <c r="L282" s="505">
        <f t="shared" si="45"/>
        <v>4.6403472531106855</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バンド内</v>
      </c>
      <c r="Q282" s="503">
        <f>IF($D282="","",IFERROR(100-100/(1+SUMPRODUCT((終値!E282:R282&gt;終値!F282:S282)*(終値!E282:R282-終値!F282:S282))/SUMPRODUCT((終値!E282:R282&lt;終値!F282:S282)*(終値!F282:S282-終値!E282:R282))),100))</f>
        <v>62.566844919786099</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38.481190747520792</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v>
      </c>
      <c r="U282" s="500" t="str">
        <f>IF(終値!A282="","",BB_スイング!BT282)</f>
        <v>－</v>
      </c>
      <c r="V282" s="508">
        <f>IF($D282="","",IFERROR(出来高!E282/AVERAGE(出来高!E282:I282),""))</f>
        <v>0.51302288871349644</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様子見</v>
      </c>
      <c r="X282" s="504">
        <f t="shared" si="53"/>
        <v>25</v>
      </c>
      <c r="Y282" s="501">
        <f t="shared" si="48"/>
        <v>1941</v>
      </c>
      <c r="Z282" s="501">
        <f t="shared" si="49"/>
        <v>1943.6899080303174</v>
      </c>
      <c r="AA282" s="501">
        <f t="shared" si="50"/>
        <v>1921.4</v>
      </c>
      <c r="AB282" s="501">
        <f t="shared" si="54"/>
        <v>1965.9798160606344</v>
      </c>
      <c r="AC282" s="507">
        <f t="shared" si="51"/>
        <v>1.27</v>
      </c>
      <c r="AD282" s="501">
        <f>IF($D282="","",MIN(終値!E282:I282))</f>
        <v>1928</v>
      </c>
      <c r="AE282" s="503">
        <f t="shared" si="52"/>
        <v>25.097180000000002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13070</v>
      </c>
      <c r="E283" s="501">
        <f>IF($D283="","",AVERAGE(終値!E283:X283))</f>
        <v>15843.75</v>
      </c>
      <c r="F283" s="502">
        <f>IF($D283="","",STDEVP(終値!E283:X283))</f>
        <v>2259.2575522724273</v>
      </c>
      <c r="G283" s="501">
        <f>IF($D283="","",$E283+BB設定!$B$4*$F283)</f>
        <v>20362.265104544855</v>
      </c>
      <c r="H283" s="501">
        <f>IF($D283="","",$E283+BB設定!$B$5*$F283)</f>
        <v>18103.007552272429</v>
      </c>
      <c r="I283" s="501">
        <f>IF($D283="","",$E283-BB設定!$B$5*$F283)</f>
        <v>13584.492447727573</v>
      </c>
      <c r="J283" s="501">
        <f>IF($D283="","",$E283-BB設定!$B$4*$F283)</f>
        <v>11325.234895455145</v>
      </c>
      <c r="K283" s="506">
        <f t="shared" si="44"/>
        <v>0.19306841563834976</v>
      </c>
      <c r="L283" s="505">
        <f t="shared" si="45"/>
        <v>57.03845496861355</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-1σ下</v>
      </c>
      <c r="Q283" s="503">
        <f>IF($D283="","",IFERROR(100-100/(1+SUMPRODUCT((終値!E283:R283&gt;終値!F283:S283)*(終値!E283:R283-終値!F283:S283))/SUMPRODUCT((終値!E283:R283&lt;終値!F283:S283)*(終値!F283:S283-終値!E283:R283))),100))</f>
        <v>29.709831095712417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38.922656644604892</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下walk▼</v>
      </c>
      <c r="U283" s="500" t="str">
        <f>IF(終値!A283="","",BB_スイング!BT283)</f>
        <v>－</v>
      </c>
      <c r="V283" s="508">
        <f>IF($D283="","",IFERROR(出来高!E283/AVERAGE(出来高!E283:I283),""))</f>
        <v>0.72372987802862521</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13070</v>
      </c>
      <c r="Z283" s="501">
        <f t="shared" si="49"/>
        <v>18103.007552272429</v>
      </c>
      <c r="AA283" s="501">
        <f t="shared" si="50"/>
        <v>11730</v>
      </c>
      <c r="AB283" s="501">
        <f t="shared" si="54"/>
        <v>20362.265104544855</v>
      </c>
      <c r="AC283" s="507">
        <f t="shared" si="51"/>
        <v>5.44</v>
      </c>
      <c r="AD283" s="501">
        <f>IF($D283="","",MIN(終値!E283:I283))</f>
        <v>11730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2155</v>
      </c>
      <c r="E284" s="501">
        <f>IF($D284="","",AVERAGE(終値!E284:X284))</f>
        <v>2496.75</v>
      </c>
      <c r="F284" s="502">
        <f>IF($D284="","",STDEVP(終値!E284:X284))</f>
        <v>352.28821652164299</v>
      </c>
      <c r="G284" s="501">
        <f>IF($D284="","",$E284+BB設定!$B$4*$F284)</f>
        <v>3201.3264330432858</v>
      </c>
      <c r="H284" s="501">
        <f>IF($D284="","",$E284+BB設定!$B$5*$F284)</f>
        <v>2849.0382165216429</v>
      </c>
      <c r="I284" s="501">
        <f>IF($D284="","",$E284-BB設定!$B$5*$F284)</f>
        <v>2144.4617834783571</v>
      </c>
      <c r="J284" s="501">
        <f>IF($D284="","",$E284-BB設定!$B$4*$F284)</f>
        <v>1792.173566956714</v>
      </c>
      <c r="K284" s="506">
        <f t="shared" si="44"/>
        <v>0.25747840548407586</v>
      </c>
      <c r="L284" s="505">
        <f t="shared" si="45"/>
        <v>56.439485975230674</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バンド内</v>
      </c>
      <c r="Q284" s="503">
        <f>IF($D284="","",IFERROR(100-100/(1+SUMPRODUCT((終値!E284:R284&gt;終値!F284:S284)*(終値!E284:R284-終値!F284:S284))/SUMPRODUCT((終値!E284:R284&lt;終値!F284:S284)*(終値!F284:S284-終値!E284:R284))),100))</f>
        <v>29.527794381350873</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48.030607147854546</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強気div▲</v>
      </c>
      <c r="T284" s="500" t="str">
        <f t="shared" si="47"/>
        <v>－</v>
      </c>
      <c r="U284" s="500" t="str">
        <f>IF(終値!A284="","",BB_スイング!BT284)</f>
        <v>－</v>
      </c>
      <c r="V284" s="508">
        <f>IF($D284="","",IFERROR(出来高!E284/AVERAGE(出来高!E284:I284),""))</f>
        <v>1.6744157839411338</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○反発(ダイバ)買</v>
      </c>
      <c r="X284" s="504">
        <f t="shared" si="53"/>
        <v>8</v>
      </c>
      <c r="Y284" s="501">
        <f t="shared" si="48"/>
        <v>2155</v>
      </c>
      <c r="Z284" s="501">
        <f t="shared" si="49"/>
        <v>2849.0382165216429</v>
      </c>
      <c r="AA284" s="501">
        <f t="shared" si="50"/>
        <v>1876</v>
      </c>
      <c r="AB284" s="501">
        <f t="shared" si="54"/>
        <v>3201.3264330432858</v>
      </c>
      <c r="AC284" s="507">
        <f t="shared" si="51"/>
        <v>3.75</v>
      </c>
      <c r="AD284" s="501">
        <f>IF($D284="","",MIN(終値!E284:I284))</f>
        <v>1876</v>
      </c>
      <c r="AE284" s="503">
        <f t="shared" si="52"/>
        <v>8.0971600000000006</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4155</v>
      </c>
      <c r="E285" s="501">
        <f>IF($D285="","",AVERAGE(終値!E285:X285))</f>
        <v>4148.95</v>
      </c>
      <c r="F285" s="502">
        <f>IF($D285="","",STDEVP(終値!E285:X285))</f>
        <v>174.99584995079169</v>
      </c>
      <c r="G285" s="501">
        <f>IF($D285="","",$E285+BB設定!$B$4*$F285)</f>
        <v>4498.941699901583</v>
      </c>
      <c r="H285" s="501">
        <f>IF($D285="","",$E285+BB設定!$B$5*$F285)</f>
        <v>4323.9458499507919</v>
      </c>
      <c r="I285" s="501">
        <f>IF($D285="","",$E285-BB設定!$B$5*$F285)</f>
        <v>3973.9541500492082</v>
      </c>
      <c r="J285" s="501">
        <f>IF($D285="","",$E285-BB設定!$B$4*$F285)</f>
        <v>3798.9583000984167</v>
      </c>
      <c r="K285" s="506">
        <f t="shared" si="44"/>
        <v>0.50864306210933208</v>
      </c>
      <c r="L285" s="505">
        <f t="shared" si="45"/>
        <v>16.871338526691485</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55.044510385756681</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68.871906438239776</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v>
      </c>
      <c r="T285" s="500" t="str">
        <f t="shared" si="47"/>
        <v>－</v>
      </c>
      <c r="U285" s="500" t="str">
        <f>IF(終値!A285="","",BB_スイング!BT285)</f>
        <v>二番底W形成</v>
      </c>
      <c r="V285" s="508">
        <f>IF($D285="","",IFERROR(出来高!E285/AVERAGE(出来高!E285:I285),""))</f>
        <v>0.62537861960340857</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4155</v>
      </c>
      <c r="Z285" s="501">
        <f t="shared" si="49"/>
        <v>4323.9458499507919</v>
      </c>
      <c r="AA285" s="501">
        <f t="shared" si="50"/>
        <v>4148.95</v>
      </c>
      <c r="AB285" s="501">
        <f t="shared" si="54"/>
        <v>4498.941699901583</v>
      </c>
      <c r="AC285" s="507">
        <f t="shared" si="51"/>
        <v>20</v>
      </c>
      <c r="AD285" s="501">
        <f>IF($D285="","",MIN(終値!E285:I285))</f>
        <v>4155</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2584</v>
      </c>
      <c r="E286" s="501">
        <f>IF($D286="","",AVERAGE(終値!E286:X286))</f>
        <v>2596.9</v>
      </c>
      <c r="F286" s="502">
        <f>IF($D286="","",STDEVP(終値!E286:X286))</f>
        <v>102.86163035845776</v>
      </c>
      <c r="G286" s="501">
        <f>IF($D286="","",$E286+BB設定!$B$4*$F286)</f>
        <v>2802.6232607169154</v>
      </c>
      <c r="H286" s="501">
        <f>IF($D286="","",$E286+BB設定!$B$5*$F286)</f>
        <v>2699.7616303584578</v>
      </c>
      <c r="I286" s="501">
        <f>IF($D286="","",$E286-BB設定!$B$5*$F286)</f>
        <v>2494.0383696415424</v>
      </c>
      <c r="J286" s="501">
        <f>IF($D286="","",$E286-BB設定!$B$4*$F286)</f>
        <v>2391.1767392830848</v>
      </c>
      <c r="K286" s="506">
        <f t="shared" si="44"/>
        <v>0.46864720120844505</v>
      </c>
      <c r="L286" s="505">
        <f t="shared" si="45"/>
        <v>15.843756842151436</v>
      </c>
      <c r="M286" s="505">
        <f>IF($D286="","",IFERROR(MIN(BB_帯幅!B286:AP286)*100,""))</f>
        <v>7.4159275119102723</v>
      </c>
      <c r="N286" s="500" t="str">
        <f>IF($L286="","",IF($L286&lt;=$M286*BB設定!$B$7,"スクイーズ★",IF($L286&lt;=$M286*1.3,"収縮","－")))</f>
        <v>－</v>
      </c>
      <c r="O286" s="500" t="str">
        <f>IF($D286="","",IF(AND(BB_帯幅!B286&gt;BB_帯幅!C286,BB_帯幅!C286&gt;BB_帯幅!D286),"拡大↑","縮小↓"))</f>
        <v>縮小↓</v>
      </c>
      <c r="P286" s="500" t="str">
        <f t="shared" si="46"/>
        <v>バンド内</v>
      </c>
      <c r="Q286" s="503">
        <f>IF($D286="","",IFERROR(100-100/(1+SUMPRODUCT((終値!E286:R286&gt;終値!F286:S286)*(終値!E286:R286-終値!F286:S286))/SUMPRODUCT((終値!E286:R286&lt;終値!F286:S286)*(終値!F286:S286-終値!E286:R286))),100))</f>
        <v>57.142857142857139</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64.684312504879131</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二番底W形成</v>
      </c>
      <c r="V286" s="508">
        <f>IF($D286="","",IFERROR(出来高!E286/AVERAGE(出来高!E286:I286),""))</f>
        <v>0.70117696807385999</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△二番底形成</v>
      </c>
      <c r="X286" s="504">
        <f t="shared" si="53"/>
        <v>10</v>
      </c>
      <c r="Y286" s="501">
        <f t="shared" si="48"/>
        <v>2584</v>
      </c>
      <c r="Z286" s="501">
        <f t="shared" si="49"/>
        <v>2699.7616303584578</v>
      </c>
      <c r="AA286" s="501">
        <f t="shared" si="50"/>
        <v>2584</v>
      </c>
      <c r="AB286" s="501">
        <f t="shared" si="54"/>
        <v>2802.6232607169154</v>
      </c>
      <c r="AC286" s="507" t="str">
        <f t="shared" si="51"/>
        <v>－</v>
      </c>
      <c r="AD286" s="501">
        <f>IF($D286="","",MIN(終値!E286:I286))</f>
        <v>2584</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10660</v>
      </c>
      <c r="E287" s="501">
        <f>IF($D287="","",AVERAGE(終値!E287:X287))</f>
        <v>9707</v>
      </c>
      <c r="F287" s="502">
        <f>IF($D287="","",STDEVP(終値!E287:X287))</f>
        <v>721</v>
      </c>
      <c r="G287" s="501">
        <f>IF($D287="","",$E287+BB設定!$B$4*$F287)</f>
        <v>11149</v>
      </c>
      <c r="H287" s="501">
        <f>IF($D287="","",$E287+BB設定!$B$5*$F287)</f>
        <v>10428</v>
      </c>
      <c r="I287" s="501">
        <f>IF($D287="","",$E287-BB設定!$B$5*$F287)</f>
        <v>8986</v>
      </c>
      <c r="J287" s="501">
        <f>IF($D287="","",$E287-BB設定!$B$4*$F287)</f>
        <v>8265</v>
      </c>
      <c r="K287" s="506">
        <f t="shared" si="44"/>
        <v>0.83044382801664351</v>
      </c>
      <c r="L287" s="505">
        <f t="shared" si="45"/>
        <v>29.710518182754715</v>
      </c>
      <c r="M287" s="505">
        <f>IF($D287="","",IFERROR(MIN(BB_帯幅!B287:AP287)*100,""))</f>
        <v>8.5852282051242366</v>
      </c>
      <c r="N287" s="500" t="str">
        <f>IF($L287="","",IF($L287&lt;=$M287*BB設定!$B$7,"スクイーズ★",IF($L287&lt;=$M287*1.3,"収縮","－")))</f>
        <v>－</v>
      </c>
      <c r="O287" s="500" t="str">
        <f>IF($D287="","",IF(AND(BB_帯幅!B287&gt;BB_帯幅!C287,BB_帯幅!C287&gt;BB_帯幅!D287),"拡大↑","縮小↓"))</f>
        <v>拡大↑</v>
      </c>
      <c r="P287" s="500" t="str">
        <f t="shared" si="46"/>
        <v>+1σ上</v>
      </c>
      <c r="Q287" s="503">
        <f>IF($D287="","",IFERROR(100-100/(1+SUMPRODUCT((終値!E287:R287&gt;終値!F287:S287)*(終値!E287:R287-終値!F287:S287))/SUMPRODUCT((終値!E287:R287&lt;終値!F287:S287)*(終値!F287:S287-終値!E287:R287))),100))</f>
        <v>62.365591397849464</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43.73997949920642</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1.1961206896551724</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37</v>
      </c>
      <c r="Y287" s="501">
        <f t="shared" si="48"/>
        <v>10660</v>
      </c>
      <c r="Z287" s="501">
        <f t="shared" si="49"/>
        <v>10428</v>
      </c>
      <c r="AA287" s="501">
        <f t="shared" si="50"/>
        <v>9707</v>
      </c>
      <c r="AB287" s="501">
        <f t="shared" si="54"/>
        <v>11149</v>
      </c>
      <c r="AC287" s="507">
        <f t="shared" si="51"/>
        <v>0.51</v>
      </c>
      <c r="AD287" s="501">
        <f>IF($D287="","",MIN(終値!E287:I287))</f>
        <v>9130</v>
      </c>
      <c r="AE287" s="503">
        <f t="shared" si="52"/>
        <v>37.09713</v>
      </c>
    </row>
    <row r="288" spans="1:31">
      <c r="A288" s="500" t="str">
        <f>IF(終値!A288="","",HYPERLINK("https://kabutan.jp/stock/?code="&amp;終値!A288,"📈"))</f>
        <v>📈</v>
      </c>
      <c r="B288" s="500" t="str">
        <f>IF(終値!A288="","",終値!A288)</f>
        <v>2933</v>
      </c>
      <c r="C288" s="499" t="str">
        <f>IF(終値!A288="","",終値!B288)</f>
        <v>紀文食品</v>
      </c>
      <c r="D288" s="501">
        <f>IF(終値!A288="","",終値!E288)</f>
        <v>1092</v>
      </c>
      <c r="E288" s="501">
        <f>IF($D288="","",AVERAGE(終値!E288:X288))</f>
        <v>1086</v>
      </c>
      <c r="F288" s="502">
        <f>IF($D288="","",STDEVP(終値!E288:X288))</f>
        <v>12.494209184974244</v>
      </c>
      <c r="G288" s="501">
        <f>IF($D288="","",$E288+BB設定!$B$4*$F288)</f>
        <v>1110.9884183699485</v>
      </c>
      <c r="H288" s="501">
        <f>IF($D288="","",$E288+BB設定!$B$5*$F288)</f>
        <v>1098.4942091849744</v>
      </c>
      <c r="I288" s="501">
        <f>IF($D288="","",$E288-BB設定!$B$5*$F288)</f>
        <v>1073.5057908150256</v>
      </c>
      <c r="J288" s="501">
        <f>IF($D288="","",$E288-BB設定!$B$4*$F288)</f>
        <v>1061.0115816300515</v>
      </c>
      <c r="K288" s="506">
        <f t="shared" si="44"/>
        <v>0.62005561758994132</v>
      </c>
      <c r="L288" s="505">
        <f t="shared" si="45"/>
        <v>4.6019186684987989</v>
      </c>
      <c r="M288" s="505">
        <f>IF($D288="","",IFERROR(MIN(BB_帯幅!B288:AP288)*100,""))</f>
        <v>2.7885982505080205</v>
      </c>
      <c r="N288" s="500" t="str">
        <f>IF($L288="","",IF($L288&lt;=$M288*BB設定!$B$7,"スクイーズ★",IF($L288&lt;=$M288*1.3,"収縮","－")))</f>
        <v>－</v>
      </c>
      <c r="O288" s="500" t="str">
        <f>IF($D288="","",IF(AND(BB_帯幅!B288&gt;BB_帯幅!C288,BB_帯幅!C288&gt;BB_帯幅!D288),"拡大↑","縮小↓"))</f>
        <v>縮小↓</v>
      </c>
      <c r="P288" s="500" t="str">
        <f t="shared" si="46"/>
        <v>バンド内</v>
      </c>
      <c r="Q288" s="503">
        <f>IF($D288="","",IFERROR(100-100/(1+SUMPRODUCT((終値!E288:R288&gt;終値!F288:S288)*(終値!E288:R288-終値!F288:S288))/SUMPRODUCT((終値!E288:R288&lt;終値!F288:S288)*(終値!F288:S288-終値!E288:R288))),100))</f>
        <v>50.372317126587816</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58.378986033019764</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v>
      </c>
      <c r="U288" s="500" t="str">
        <f>IF(終値!A288="","",BB_スイング!BT288)</f>
        <v>－</v>
      </c>
      <c r="V288" s="508">
        <f>IF($D288="","",IFERROR(出来高!E288/AVERAGE(出来高!E288:I288),""))</f>
        <v>0.99070100143061512</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20</v>
      </c>
      <c r="Y288" s="501">
        <f t="shared" si="48"/>
        <v>1092</v>
      </c>
      <c r="Z288" s="501">
        <f t="shared" si="49"/>
        <v>1098.4942091849744</v>
      </c>
      <c r="AA288" s="501">
        <f t="shared" si="50"/>
        <v>1086</v>
      </c>
      <c r="AB288" s="501">
        <f t="shared" si="54"/>
        <v>1110.9884183699485</v>
      </c>
      <c r="AC288" s="507">
        <f t="shared" si="51"/>
        <v>3.16</v>
      </c>
      <c r="AD288" s="501">
        <f>IF($D288="","",MIN(終値!E288:I288))</f>
        <v>1088</v>
      </c>
      <c r="AE288" s="503">
        <f t="shared" si="52"/>
        <v>20.09712</v>
      </c>
    </row>
    <row r="289" spans="1:31">
      <c r="A289" s="500" t="str">
        <f>IF(終値!A289="","",HYPERLINK("https://kabutan.jp/stock/?code="&amp;終値!A289,"📈"))</f>
        <v>📈</v>
      </c>
      <c r="B289" s="500" t="str">
        <f>IF(終値!A289="","",終値!A289)</f>
        <v>4047</v>
      </c>
      <c r="C289" s="499" t="str">
        <f>IF(終値!A289="","",終値!B289)</f>
        <v>関東電化</v>
      </c>
      <c r="D289" s="501">
        <f>IF(終値!A289="","",終値!E289)</f>
        <v>2837</v>
      </c>
      <c r="E289" s="501">
        <f>IF($D289="","",AVERAGE(終値!E289:X289))</f>
        <v>2866.25</v>
      </c>
      <c r="F289" s="502">
        <f>IF($D289="","",STDEVP(終値!E289:X289))</f>
        <v>238.36523970579267</v>
      </c>
      <c r="G289" s="501">
        <f>IF($D289="","",$E289+BB設定!$B$4*$F289)</f>
        <v>3342.9804794115853</v>
      </c>
      <c r="H289" s="501">
        <f>IF($D289="","",$E289+BB設定!$B$5*$F289)</f>
        <v>3104.6152397057926</v>
      </c>
      <c r="I289" s="501">
        <f>IF($D289="","",$E289-BB設定!$B$5*$F289)</f>
        <v>2627.8847602942074</v>
      </c>
      <c r="J289" s="501">
        <f>IF($D289="","",$E289-BB設定!$B$4*$F289)</f>
        <v>2389.5195205884147</v>
      </c>
      <c r="K289" s="506">
        <f t="shared" si="44"/>
        <v>0.46932228873209192</v>
      </c>
      <c r="L289" s="505">
        <f t="shared" si="45"/>
        <v>33.265101049216597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47.02308626974483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52.291498859942301</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v>
      </c>
      <c r="T289" s="500" t="str">
        <f t="shared" si="47"/>
        <v>－</v>
      </c>
      <c r="U289" s="500" t="str">
        <f>IF(終値!A289="","",BB_スイング!BT289)</f>
        <v>－</v>
      </c>
      <c r="V289" s="508">
        <f>IF($D289="","",IFERROR(出来高!E289/AVERAGE(出来高!E289:I289),""))</f>
        <v>0.87771838002742875</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様子見</v>
      </c>
      <c r="X289" s="504">
        <f t="shared" si="53"/>
        <v>0</v>
      </c>
      <c r="Y289" s="501">
        <f t="shared" si="48"/>
        <v>2837</v>
      </c>
      <c r="Z289" s="501">
        <f t="shared" si="49"/>
        <v>3104.6152397057926</v>
      </c>
      <c r="AA289" s="501">
        <f t="shared" si="50"/>
        <v>2420</v>
      </c>
      <c r="AB289" s="501">
        <f t="shared" si="54"/>
        <v>3342.9804794115853</v>
      </c>
      <c r="AC289" s="507">
        <f t="shared" si="51"/>
        <v>1.21</v>
      </c>
      <c r="AD289" s="501">
        <f>IF($D289="","",MIN(終値!E289:I289))</f>
        <v>2420</v>
      </c>
      <c r="AE289" s="503">
        <f t="shared" si="52"/>
        <v>9.7110000000000002E-2</v>
      </c>
    </row>
    <row r="290" spans="1:31">
      <c r="A290" s="500" t="str">
        <f>IF(終値!A290="","",HYPERLINK("https://kabutan.jp/stock/?code="&amp;終値!A290,"📈"))</f>
        <v>📈</v>
      </c>
      <c r="B290" s="500" t="str">
        <f>IF(終値!A290="","",終値!A290)</f>
        <v>6482</v>
      </c>
      <c r="C290" s="499" t="str">
        <f>IF(終値!A290="","",終値!B290)</f>
        <v>ＹＵＳＨＩＮ</v>
      </c>
      <c r="D290" s="501">
        <f>IF(終値!A290="","",終値!E290)</f>
        <v>679</v>
      </c>
      <c r="E290" s="501">
        <f>IF($D290="","",AVERAGE(終値!E290:X290))</f>
        <v>679.45</v>
      </c>
      <c r="F290" s="502">
        <f>IF($D290="","",STDEVP(終値!E290:X290))</f>
        <v>11.447598001327616</v>
      </c>
      <c r="G290" s="501">
        <f>IF($D290="","",$E290+BB設定!$B$4*$F290)</f>
        <v>702.34519600265526</v>
      </c>
      <c r="H290" s="501">
        <f>IF($D290="","",$E290+BB設定!$B$5*$F290)</f>
        <v>690.89759800132765</v>
      </c>
      <c r="I290" s="501">
        <f>IF($D290="","",$E290-BB設定!$B$5*$F290)</f>
        <v>668.00240199867244</v>
      </c>
      <c r="J290" s="501">
        <f>IF($D290="","",$E290-BB設定!$B$4*$F290)</f>
        <v>656.55480399734483</v>
      </c>
      <c r="K290" s="506">
        <f t="shared" si="44"/>
        <v>0.49017261088422526</v>
      </c>
      <c r="L290" s="505">
        <f t="shared" si="45"/>
        <v>6.7393321076327064</v>
      </c>
      <c r="M290" s="505">
        <f>IF($D290="","",IFERROR(MIN(BB_帯幅!B290:AP290)*100,""))</f>
        <v>6.5390854710974171</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53.278688524590166</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61.598478768494871</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1.0634328358208955</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45</v>
      </c>
      <c r="Y290" s="501">
        <f t="shared" si="48"/>
        <v>679</v>
      </c>
      <c r="Z290" s="501">
        <f t="shared" si="49"/>
        <v>690.89759800132765</v>
      </c>
      <c r="AA290" s="501">
        <f t="shared" si="50"/>
        <v>663</v>
      </c>
      <c r="AB290" s="501">
        <f t="shared" si="54"/>
        <v>702.34519600265526</v>
      </c>
      <c r="AC290" s="507">
        <f t="shared" si="51"/>
        <v>1.46</v>
      </c>
      <c r="AD290" s="501">
        <f>IF($D290="","",MIN(終値!E290:I290))</f>
        <v>663</v>
      </c>
      <c r="AE290" s="503">
        <f t="shared" si="52"/>
        <v>45.097099999999998</v>
      </c>
    </row>
    <row r="291" spans="1:31">
      <c r="A291" s="500" t="str">
        <f>IF(終値!A291="","",HYPERLINK("https://kabutan.jp/stock/?code="&amp;終値!A291,"📈"))</f>
        <v>📈</v>
      </c>
      <c r="B291" s="500" t="str">
        <f>IF(終値!A291="","",終値!A291)</f>
        <v>6706</v>
      </c>
      <c r="C291" s="499" t="str">
        <f>IF(終値!A291="","",終値!B291)</f>
        <v>電気興業</v>
      </c>
      <c r="D291" s="501">
        <f>IF(終値!A291="","",終値!E291)</f>
        <v>3085</v>
      </c>
      <c r="E291" s="501">
        <f>IF($D291="","",AVERAGE(終値!E291:X291))</f>
        <v>3008.6842105263158</v>
      </c>
      <c r="F291" s="502">
        <f>IF($D291="","",STDEVP(終値!E291:X291))</f>
        <v>53.994203033463108</v>
      </c>
      <c r="G291" s="501">
        <f>IF($D291="","",$E291+BB設定!$B$4*$F291)</f>
        <v>3116.6726165932419</v>
      </c>
      <c r="H291" s="501">
        <f>IF($D291="","",$E291+BB設定!$B$5*$F291)</f>
        <v>3062.6784135597791</v>
      </c>
      <c r="I291" s="501">
        <f>IF($D291="","",$E291-BB設定!$B$5*$F291)</f>
        <v>2954.6900074928526</v>
      </c>
      <c r="J291" s="501">
        <f>IF($D291="","",$E291-BB設定!$B$4*$F291)</f>
        <v>2900.6958044593898</v>
      </c>
      <c r="K291" s="506">
        <f t="shared" si="44"/>
        <v>0.85335177290415465</v>
      </c>
      <c r="L291" s="505">
        <f t="shared" si="45"/>
        <v>7.1784473551004782</v>
      </c>
      <c r="M291" s="505">
        <f>IF($D291="","",IFERROR(MIN(BB_帯幅!B291:AP291)*100,""))</f>
        <v>4.1041251268752399</v>
      </c>
      <c r="N291" s="500" t="str">
        <f>IF($L291="","",IF($L291&lt;=$M291*BB設定!$B$7,"スクイーズ★",IF($L291&lt;=$M291*1.3,"収縮","－")))</f>
        <v>－</v>
      </c>
      <c r="O291" s="500" t="str">
        <f>IF($D291="","",IF(AND(BB_帯幅!B291&gt;BB_帯幅!C291,BB_帯幅!C291&gt;BB_帯幅!D291),"拡大↑","縮小↓"))</f>
        <v>拡大↑</v>
      </c>
      <c r="P291" s="500" t="str">
        <f t="shared" si="46"/>
        <v>+1σ上</v>
      </c>
      <c r="Q291" s="503">
        <f>IF($D291="","",IFERROR(100-100/(1+SUMPRODUCT((終値!E291:R291&gt;終値!F291:S291)*(終値!E291:R291-終値!F291:S291))/SUMPRODUCT((終値!E291:R291&lt;終値!F291:S291)*(終値!F291:S291-終値!E291:R291))),100))</f>
        <v>50.742157612853859</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71.203608495882747</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二番天井M形成</v>
      </c>
      <c r="V291" s="508">
        <f>IF($D291="","",IFERROR(出来高!E291/AVERAGE(出来高!E291:I291),""))</f>
        <v>0.73741007194244601</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▼二番天井警戒</v>
      </c>
      <c r="X291" s="504">
        <f t="shared" si="53"/>
        <v>32</v>
      </c>
      <c r="Y291" s="501">
        <f t="shared" si="48"/>
        <v>3085</v>
      </c>
      <c r="Z291" s="501">
        <f t="shared" si="49"/>
        <v>3062.6784135597791</v>
      </c>
      <c r="AA291" s="501">
        <f t="shared" si="50"/>
        <v>3008.6842105263158</v>
      </c>
      <c r="AB291" s="501">
        <f t="shared" si="54"/>
        <v>3116.6726165932419</v>
      </c>
      <c r="AC291" s="507">
        <f t="shared" si="51"/>
        <v>0.42</v>
      </c>
      <c r="AD291" s="501">
        <f>IF($D291="","",MIN(終値!E291:I291))</f>
        <v>3005</v>
      </c>
      <c r="AE291" s="503">
        <f t="shared" si="52"/>
        <v>32.097090000000001</v>
      </c>
    </row>
    <row r="292" spans="1:31">
      <c r="A292" s="500" t="str">
        <f>IF(終値!A292="","",HYPERLINK("https://kabutan.jp/stock/?code="&amp;終値!A292,"📈"))</f>
        <v>📈</v>
      </c>
      <c r="B292" s="500" t="str">
        <f>IF(終値!A292="","",終値!A292)</f>
        <v>8141</v>
      </c>
      <c r="C292" s="499" t="str">
        <f>IF(終値!A292="","",終値!B292)</f>
        <v>新光商事</v>
      </c>
      <c r="D292" s="501">
        <f>IF(終値!A292="","",終値!E292)</f>
        <v>1579</v>
      </c>
      <c r="E292" s="501">
        <f>IF($D292="","",AVERAGE(終値!E292:X292))</f>
        <v>1584.0526315789473</v>
      </c>
      <c r="F292" s="502">
        <f>IF($D292="","",STDEVP(終値!E292:X292))</f>
        <v>14.258787444610487</v>
      </c>
      <c r="G292" s="501">
        <f>IF($D292="","",$E292+BB設定!$B$4*$F292)</f>
        <v>1612.5702064681682</v>
      </c>
      <c r="H292" s="501">
        <f>IF($D292="","",$E292+BB設定!$B$5*$F292)</f>
        <v>1598.3114190235578</v>
      </c>
      <c r="I292" s="501">
        <f>IF($D292="","",$E292-BB設定!$B$5*$F292)</f>
        <v>1569.7938441343367</v>
      </c>
      <c r="J292" s="501">
        <f>IF($D292="","",$E292-BB設定!$B$4*$F292)</f>
        <v>1555.5350566897264</v>
      </c>
      <c r="K292" s="506">
        <f t="shared" si="44"/>
        <v>0.4114119696612582</v>
      </c>
      <c r="L292" s="505">
        <f t="shared" si="45"/>
        <v>3.6005842635159455</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バンド内</v>
      </c>
      <c r="Q292" s="503">
        <f>IF($D292="","",IFERROR(100-100/(1+SUMPRODUCT((終値!E292:R292&gt;終値!F292:S292)*(終値!E292:R292-終値!F292:S292))/SUMPRODUCT((終値!E292:R292&lt;終値!F292:S292)*(終値!F292:S292-終値!E292:R292))),100))</f>
        <v>49.894035725098398</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26.500735155807234</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強気div▲</v>
      </c>
      <c r="T292" s="500" t="str">
        <f t="shared" si="47"/>
        <v>－</v>
      </c>
      <c r="U292" s="500" t="str">
        <f>IF(終値!A292="","",BB_スイング!BT292)</f>
        <v>－</v>
      </c>
      <c r="V292" s="508">
        <f>IF($D292="","",IFERROR(出来高!E292/AVERAGE(出来高!E292:I292),""))</f>
        <v>0.23564226216571679</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○反発(ダイバ)買</v>
      </c>
      <c r="X292" s="504">
        <f t="shared" si="53"/>
        <v>20</v>
      </c>
      <c r="Y292" s="501">
        <f t="shared" si="48"/>
        <v>1579</v>
      </c>
      <c r="Z292" s="501">
        <f t="shared" si="49"/>
        <v>1598.3114190235578</v>
      </c>
      <c r="AA292" s="501">
        <f t="shared" si="50"/>
        <v>1556</v>
      </c>
      <c r="AB292" s="501">
        <f t="shared" si="54"/>
        <v>1612.5702064681682</v>
      </c>
      <c r="AC292" s="507">
        <f t="shared" si="51"/>
        <v>1.46</v>
      </c>
      <c r="AD292" s="501">
        <f>IF($D292="","",MIN(終値!E292:I292))</f>
        <v>1556</v>
      </c>
      <c r="AE292" s="503">
        <f t="shared" si="52"/>
        <v>20.097079999999998</v>
      </c>
    </row>
    <row r="293" spans="1:31">
      <c r="A293" s="500" t="str">
        <f>IF(終値!A293="","",HYPERLINK("https://kabutan.jp/stock/?code="&amp;終値!A293,"📈"))</f>
        <v>📈</v>
      </c>
      <c r="B293" s="500" t="str">
        <f>IF(終値!A293="","",終値!A293)</f>
        <v>8344</v>
      </c>
      <c r="C293" s="499" t="str">
        <f>IF(終値!A293="","",終値!B293)</f>
        <v>山形銀行</v>
      </c>
      <c r="D293" s="501">
        <f>IF(終値!A293="","",終値!E293)</f>
        <v>3900</v>
      </c>
      <c r="E293" s="501">
        <f>IF($D293="","",AVERAGE(終値!E293:X293))</f>
        <v>3850</v>
      </c>
      <c r="F293" s="502">
        <f>IF($D293="","",STDEVP(終値!E293:X293))</f>
        <v>138.01268057682236</v>
      </c>
      <c r="G293" s="501">
        <f>IF($D293="","",$E293+BB設定!$B$4*$F293)</f>
        <v>4126.0253611536446</v>
      </c>
      <c r="H293" s="501">
        <f>IF($D293="","",$E293+BB設定!$B$5*$F293)</f>
        <v>3988.0126805768223</v>
      </c>
      <c r="I293" s="501">
        <f>IF($D293="","",$E293-BB設定!$B$5*$F293)</f>
        <v>3711.9873194231777</v>
      </c>
      <c r="J293" s="501">
        <f>IF($D293="","",$E293-BB設定!$B$4*$F293)</f>
        <v>3573.9746388463554</v>
      </c>
      <c r="K293" s="506">
        <f t="shared" si="44"/>
        <v>0.59057138769971285</v>
      </c>
      <c r="L293" s="505">
        <f t="shared" si="45"/>
        <v>14.338979800189328</v>
      </c>
      <c r="M293" s="505">
        <f>IF($D293="","",IFERROR(MIN(BB_帯幅!B293:AP293)*100,""))</f>
        <v>14.338979800189335</v>
      </c>
      <c r="N293" s="500" t="str">
        <f>IF($L293="","",IF($L293&lt;=$M293*BB設定!$B$7,"スクイーズ★",IF($L293&lt;=$M293*1.3,"収縮","－")))</f>
        <v>スクイーズ★</v>
      </c>
      <c r="O293" s="500" t="str">
        <f>IF($D293="","",IF(AND(BB_帯幅!B293&gt;BB_帯幅!C293,BB_帯幅!C293&gt;BB_帯幅!D293),"拡大↑","縮小↓"))</f>
        <v>縮小↓</v>
      </c>
      <c r="P293" s="500" t="str">
        <f t="shared" si="46"/>
        <v>バンド内</v>
      </c>
      <c r="Q293" s="503">
        <f>IF($D293="","",IFERROR(100-100/(1+SUMPRODUCT((終値!E293:R293&gt;終値!F293:S293)*(終値!E293:R293-終値!F293:S293))/SUMPRODUCT((終値!E293:R293&lt;終値!F293:S293)*(終値!F293:S293-終値!E293:R293))),100))</f>
        <v>55.73770491803279</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60.83982891388748</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v>
      </c>
      <c r="U293" s="500" t="str">
        <f>IF(終値!A293="","",BB_スイング!BT293)</f>
        <v>－</v>
      </c>
      <c r="V293" s="508">
        <f>IF($D293="","",IFERROR(出来高!E293/AVERAGE(出来高!E293:I293),""))</f>
        <v>1.1585291610860831</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・押し目注目</v>
      </c>
      <c r="X293" s="504">
        <f t="shared" si="53"/>
        <v>45</v>
      </c>
      <c r="Y293" s="501">
        <f t="shared" si="48"/>
        <v>3900</v>
      </c>
      <c r="Z293" s="501">
        <f t="shared" si="49"/>
        <v>3988.0126805768223</v>
      </c>
      <c r="AA293" s="501">
        <f t="shared" si="50"/>
        <v>3850</v>
      </c>
      <c r="AB293" s="501">
        <f t="shared" si="54"/>
        <v>4126.0253611536446</v>
      </c>
      <c r="AC293" s="507">
        <f t="shared" si="51"/>
        <v>4.5199999999999996</v>
      </c>
      <c r="AD293" s="501">
        <f>IF($D293="","",MIN(終値!E293:I293))</f>
        <v>3700</v>
      </c>
      <c r="AE293" s="503">
        <f t="shared" si="52"/>
        <v>45.097070000000002</v>
      </c>
    </row>
    <row r="294" spans="1:31">
      <c r="A294" s="500" t="str">
        <f>IF(終値!A294="","",HYPERLINK("https://kabutan.jp/stock/?code="&amp;終値!A294,"📈"))</f>
        <v>📈</v>
      </c>
      <c r="B294" s="500" t="str">
        <f>IF(終値!A294="","",終値!A294)</f>
        <v>7414</v>
      </c>
      <c r="C294" s="499" t="str">
        <f>IF(終値!A294="","",終値!B294)</f>
        <v>小野建</v>
      </c>
      <c r="D294" s="501">
        <f>IF(終値!A294="","",終値!E294)</f>
        <v>1405</v>
      </c>
      <c r="E294" s="501">
        <f>IF($D294="","",AVERAGE(終値!E294:X294))</f>
        <v>1410.8947368421052</v>
      </c>
      <c r="F294" s="502">
        <f>IF($D294="","",STDEVP(終値!E294:X294))</f>
        <v>30.981989227770626</v>
      </c>
      <c r="G294" s="501">
        <f>IF($D294="","",$E294+BB設定!$B$4*$F294)</f>
        <v>1472.8587152976465</v>
      </c>
      <c r="H294" s="501">
        <f>IF($D294="","",$E294+BB設定!$B$5*$F294)</f>
        <v>1441.8767260698758</v>
      </c>
      <c r="I294" s="501">
        <f>IF($D294="","",$E294-BB設定!$B$5*$F294)</f>
        <v>1379.9127476143346</v>
      </c>
      <c r="J294" s="501">
        <f>IF($D294="","",$E294-BB設定!$B$4*$F294)</f>
        <v>1348.9307583865639</v>
      </c>
      <c r="K294" s="506">
        <f t="shared" si="44"/>
        <v>0.45243416425936378</v>
      </c>
      <c r="L294" s="505">
        <f t="shared" si="45"/>
        <v>8.7836430085819792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50.40756439517444</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63.754078158638308</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0.69409206234142806</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様子見</v>
      </c>
      <c r="X294" s="504">
        <f t="shared" si="53"/>
        <v>10</v>
      </c>
      <c r="Y294" s="501">
        <f t="shared" si="48"/>
        <v>1405</v>
      </c>
      <c r="Z294" s="501">
        <f t="shared" si="49"/>
        <v>1441.8767260698758</v>
      </c>
      <c r="AA294" s="501">
        <f t="shared" si="50"/>
        <v>1405</v>
      </c>
      <c r="AB294" s="501">
        <f t="shared" si="54"/>
        <v>1472.8587152976465</v>
      </c>
      <c r="AC294" s="507" t="str">
        <f t="shared" si="51"/>
        <v>－</v>
      </c>
      <c r="AD294" s="501">
        <f>IF($D294="","",MIN(終値!E294:I294))</f>
        <v>1405</v>
      </c>
      <c r="AE294" s="503">
        <f t="shared" si="52"/>
        <v>10.097060000000001</v>
      </c>
    </row>
    <row r="295" spans="1:31">
      <c r="A295" s="500" t="str">
        <f>IF(終値!A295="","",HYPERLINK("https://kabutan.jp/stock/?code="&amp;終値!A295,"📈"))</f>
        <v>📈</v>
      </c>
      <c r="B295" s="500" t="str">
        <f>IF(終値!A295="","",終値!A295)</f>
        <v>6407</v>
      </c>
      <c r="C295" s="499" t="str">
        <f>IF(終値!A295="","",終値!B295)</f>
        <v>ＣＫＤ</v>
      </c>
      <c r="D295" s="501">
        <f>IF(終値!A295="","",終値!E295)</f>
        <v>6330</v>
      </c>
      <c r="E295" s="501">
        <f>IF($D295="","",AVERAGE(終値!E295:X295))</f>
        <v>6453.1578947368425</v>
      </c>
      <c r="F295" s="502">
        <f>IF($D295="","",STDEVP(終値!E295:X295))</f>
        <v>632.02308944813706</v>
      </c>
      <c r="G295" s="501">
        <f>IF($D295="","",$E295+BB設定!$B$4*$F295)</f>
        <v>7717.2040736331164</v>
      </c>
      <c r="H295" s="501">
        <f>IF($D295="","",$E295+BB設定!$B$5*$F295)</f>
        <v>7085.1809841849799</v>
      </c>
      <c r="I295" s="501">
        <f>IF($D295="","",$E295-BB設定!$B$5*$F295)</f>
        <v>5821.1348052887051</v>
      </c>
      <c r="J295" s="501">
        <f>IF($D295="","",$E295-BB設定!$B$4*$F295)</f>
        <v>5189.1117158405686</v>
      </c>
      <c r="K295" s="506">
        <f t="shared" si="44"/>
        <v>0.45128425812560891</v>
      </c>
      <c r="L295" s="505">
        <f t="shared" si="45"/>
        <v>39.176049912779057</v>
      </c>
      <c r="M295" s="505">
        <f>IF($D295="","",IFERROR(MIN(BB_帯幅!B295:AP295)*100,""))</f>
        <v>18.243488273951186</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48.536036036036037</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54.005533316278729</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0.94769802359430055</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15</v>
      </c>
      <c r="Y295" s="501">
        <f t="shared" si="48"/>
        <v>6330</v>
      </c>
      <c r="Z295" s="501">
        <f t="shared" si="49"/>
        <v>7085.1809841849799</v>
      </c>
      <c r="AA295" s="501">
        <f t="shared" si="50"/>
        <v>5130</v>
      </c>
      <c r="AB295" s="501">
        <f t="shared" si="54"/>
        <v>7717.2040736331164</v>
      </c>
      <c r="AC295" s="507">
        <f t="shared" si="51"/>
        <v>1.1599999999999999</v>
      </c>
      <c r="AD295" s="501">
        <f>IF($D295="","",MIN(終値!E295:I295))</f>
        <v>5130</v>
      </c>
      <c r="AE295" s="503">
        <f t="shared" si="52"/>
        <v>15.097049999999999</v>
      </c>
    </row>
    <row r="296" spans="1:31">
      <c r="A296" s="500" t="str">
        <f>IF(終値!A296="","",HYPERLINK("https://kabutan.jp/stock/?code="&amp;終値!A296,"📈"))</f>
        <v>📈</v>
      </c>
      <c r="B296" s="500" t="str">
        <f>IF(終値!A296="","",終値!A296)</f>
        <v>7048</v>
      </c>
      <c r="C296" s="499" t="str">
        <f>IF(終値!A296="","",終値!B296)</f>
        <v>ベルトラ</v>
      </c>
      <c r="D296" s="501">
        <f>IF(終値!A296="","",終値!E296)</f>
        <v>157</v>
      </c>
      <c r="E296" s="501">
        <f>IF($D296="","",AVERAGE(終値!E296:X296))</f>
        <v>164.42105263157896</v>
      </c>
      <c r="F296" s="502">
        <f>IF($D296="","",STDEVP(終値!E296:X296))</f>
        <v>8.2354547343446942</v>
      </c>
      <c r="G296" s="501">
        <f>IF($D296="","",$E296+BB設定!$B$4*$F296)</f>
        <v>180.89196210026836</v>
      </c>
      <c r="H296" s="501">
        <f>IF($D296="","",$E296+BB設定!$B$5*$F296)</f>
        <v>172.65650736592366</v>
      </c>
      <c r="I296" s="501">
        <f>IF($D296="","",$E296-BB設定!$B$5*$F296)</f>
        <v>156.18559789723426</v>
      </c>
      <c r="J296" s="501">
        <f>IF($D296="","",$E296-BB設定!$B$4*$F296)</f>
        <v>147.95014316288956</v>
      </c>
      <c r="K296" s="506">
        <f t="shared" si="44"/>
        <v>0.27472243880381619</v>
      </c>
      <c r="L296" s="505">
        <f t="shared" si="45"/>
        <v>20.035037125806564</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48.07692307692308</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47.967631110136054</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v>
      </c>
      <c r="V296" s="508">
        <f>IF($D296="","",IFERROR(出来高!E296/AVERAGE(出来高!E296:I296),""))</f>
        <v>0.60164528722810928</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様子見</v>
      </c>
      <c r="X296" s="504">
        <f t="shared" si="53"/>
        <v>15</v>
      </c>
      <c r="Y296" s="501">
        <f t="shared" si="48"/>
        <v>157</v>
      </c>
      <c r="Z296" s="501">
        <f t="shared" si="49"/>
        <v>172.65650736592366</v>
      </c>
      <c r="AA296" s="501">
        <f t="shared" si="50"/>
        <v>157</v>
      </c>
      <c r="AB296" s="501">
        <f t="shared" si="54"/>
        <v>180.89196210026836</v>
      </c>
      <c r="AC296" s="507" t="str">
        <f t="shared" si="51"/>
        <v>－</v>
      </c>
      <c r="AD296" s="501">
        <f>IF($D296="","",MIN(終値!E296:I296))</f>
        <v>157</v>
      </c>
      <c r="AE296" s="503">
        <f t="shared" si="52"/>
        <v>15.09704</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2656</v>
      </c>
      <c r="E297" s="501">
        <f>IF($D297="","",AVERAGE(終値!E297:X297))</f>
        <v>2804.2249999999999</v>
      </c>
      <c r="F297" s="502">
        <f>IF($D297="","",STDEVP(終値!E297:X297))</f>
        <v>55.678648286394306</v>
      </c>
      <c r="G297" s="501">
        <f>IF($D297="","",$E297+BB設定!$B$4*$F297)</f>
        <v>2915.5822965727884</v>
      </c>
      <c r="H297" s="501">
        <f>IF($D297="","",$E297+BB設定!$B$5*$F297)</f>
        <v>2859.9036482863944</v>
      </c>
      <c r="I297" s="501">
        <f>IF($D297="","",$E297-BB設定!$B$5*$F297)</f>
        <v>2748.5463517136054</v>
      </c>
      <c r="J297" s="501">
        <f>IF($D297="","",$E297-BB設定!$B$4*$F297)</f>
        <v>2692.8677034272114</v>
      </c>
      <c r="K297" s="506">
        <f t="shared" si="44"/>
        <v>-0.16553788822950125</v>
      </c>
      <c r="L297" s="505">
        <f t="shared" si="45"/>
        <v>7.9421085378518859</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↓-2σ割れ</v>
      </c>
      <c r="Q297" s="503">
        <f>IF($D297="","",IFERROR(100-100/(1+SUMPRODUCT((終値!E297:R297&gt;終値!F297:S297)*(終値!E297:R297-終値!F297:S297))/SUMPRODUCT((終値!E297:R297&lt;終値!F297:S297)*(終値!F297:S297-終値!E297:R297))),100))</f>
        <v>39.019792648444863</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42.243656903043608</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0.89118216868394295</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2656</v>
      </c>
      <c r="Z297" s="501">
        <f t="shared" si="49"/>
        <v>2859.9036482863944</v>
      </c>
      <c r="AA297" s="501">
        <f t="shared" si="50"/>
        <v>2656</v>
      </c>
      <c r="AB297" s="501">
        <f t="shared" si="54"/>
        <v>2915.5822965727884</v>
      </c>
      <c r="AC297" s="507" t="str">
        <f t="shared" si="51"/>
        <v>－</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3147</v>
      </c>
      <c r="E298" s="501">
        <f>IF($D298="","",AVERAGE(終値!E298:X298))</f>
        <v>3203.7368421052633</v>
      </c>
      <c r="F298" s="502">
        <f>IF($D298="","",STDEVP(終値!E298:X298))</f>
        <v>54.122514145188433</v>
      </c>
      <c r="G298" s="501">
        <f>IF($D298="","",$E298+BB設定!$B$4*$F298)</f>
        <v>3311.9818703956403</v>
      </c>
      <c r="H298" s="501">
        <f>IF($D298="","",$E298+BB設定!$B$5*$F298)</f>
        <v>3257.8593562504516</v>
      </c>
      <c r="I298" s="501">
        <f>IF($D298="","",$E298-BB設定!$B$5*$F298)</f>
        <v>3149.6143279600751</v>
      </c>
      <c r="J298" s="501">
        <f>IF($D298="","",$E298-BB設定!$B$4*$F298)</f>
        <v>3095.4918138148864</v>
      </c>
      <c r="K298" s="506">
        <f t="shared" si="44"/>
        <v>0.2379240275448877</v>
      </c>
      <c r="L298" s="505">
        <f t="shared" si="45"/>
        <v>6.7574231982952844</v>
      </c>
      <c r="M298" s="505">
        <f>IF($D298="","",IFERROR(MIN(BB_帯幅!B298:AP298)*100,""))</f>
        <v>5.4883959611780808</v>
      </c>
      <c r="N298" s="500" t="str">
        <f>IF($L298="","",IF($L298&lt;=$M298*BB設定!$B$7,"スクイーズ★",IF($L298&lt;=$M298*1.3,"収縮","－")))</f>
        <v>収縮</v>
      </c>
      <c r="O298" s="500" t="str">
        <f>IF($D298="","",IF(AND(BB_帯幅!B298&gt;BB_帯幅!C298,BB_帯幅!C298&gt;BB_帯幅!D298),"拡大↑","縮小↓"))</f>
        <v>拡大↑</v>
      </c>
      <c r="P298" s="500" t="str">
        <f t="shared" si="46"/>
        <v>-1σ下</v>
      </c>
      <c r="Q298" s="503">
        <f>IF($D298="","",IFERROR(100-100/(1+SUMPRODUCT((終値!E298:R298&gt;終値!F298:S298)*(終値!E298:R298-終値!F298:S298))/SUMPRODUCT((終値!E298:R298&lt;終値!F298:S298)*(終値!F298:S298-終値!E298:R298))),100))</f>
        <v>50.330009830080051</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54.738842334629943</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v>
      </c>
      <c r="T298" s="500" t="str">
        <f t="shared" si="47"/>
        <v>下walk▼</v>
      </c>
      <c r="U298" s="500" t="str">
        <f>IF(終値!A298="","",BB_スイング!BT298)</f>
        <v>－</v>
      </c>
      <c r="V298" s="508">
        <f>IF($D298="","",IFERROR(出来高!E298/AVERAGE(出来高!E298:I298),""))</f>
        <v>0.83596088605068852</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15</v>
      </c>
      <c r="Y298" s="501">
        <f t="shared" si="48"/>
        <v>3147</v>
      </c>
      <c r="Z298" s="501">
        <f t="shared" si="49"/>
        <v>3257.8593562504516</v>
      </c>
      <c r="AA298" s="501">
        <f t="shared" si="50"/>
        <v>3147</v>
      </c>
      <c r="AB298" s="501">
        <f t="shared" si="54"/>
        <v>3311.9818703956403</v>
      </c>
      <c r="AC298" s="507" t="str">
        <f t="shared" si="51"/>
        <v>－</v>
      </c>
      <c r="AD298" s="501">
        <f>IF($D298="","",MIN(終値!E298:I298))</f>
        <v>3147</v>
      </c>
      <c r="AE298" s="503">
        <f t="shared" si="52"/>
        <v>15.097020000000001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1135</v>
      </c>
      <c r="E299" s="501">
        <f>IF($D299="","",AVERAGE(終値!E299:X299))</f>
        <v>1051.5999999999999</v>
      </c>
      <c r="F299" s="502">
        <f>IF($D299="","",STDEVP(終値!E299:X299))</f>
        <v>71.304558059075021</v>
      </c>
      <c r="G299" s="501">
        <f>IF($D299="","",$E299+BB設定!$B$4*$F299)</f>
        <v>1194.20911611815</v>
      </c>
      <c r="H299" s="501">
        <f>IF($D299="","",$E299+BB設定!$B$5*$F299)</f>
        <v>1122.904558059075</v>
      </c>
      <c r="I299" s="501">
        <f>IF($D299="","",$E299-BB設定!$B$5*$F299)</f>
        <v>980.29544194092489</v>
      </c>
      <c r="J299" s="501">
        <f>IF($D299="","",$E299-BB設定!$B$4*$F299)</f>
        <v>908.99088388184987</v>
      </c>
      <c r="K299" s="506">
        <f t="shared" si="44"/>
        <v>0.79240767445365878</v>
      </c>
      <c r="L299" s="505">
        <f t="shared" si="45"/>
        <v>27.122311928138089</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53.170731707317081</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57.47474068052923</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0.98935909624973528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27</v>
      </c>
      <c r="Y299" s="501">
        <f t="shared" si="48"/>
        <v>1135</v>
      </c>
      <c r="Z299" s="501">
        <f t="shared" si="49"/>
        <v>1122.904558059075</v>
      </c>
      <c r="AA299" s="501">
        <f t="shared" si="50"/>
        <v>1051.5999999999999</v>
      </c>
      <c r="AB299" s="501">
        <f t="shared" si="54"/>
        <v>1194.20911611815</v>
      </c>
      <c r="AC299" s="507">
        <f t="shared" si="51"/>
        <v>0.71</v>
      </c>
      <c r="AD299" s="501">
        <f>IF($D299="","",MIN(終値!E299:I299))</f>
        <v>906</v>
      </c>
      <c r="AE299" s="503">
        <f t="shared" si="52"/>
        <v>27.097010000000001</v>
      </c>
    </row>
    <row r="300" spans="1:31">
      <c r="A300" s="500" t="str">
        <f>IF(終値!A300="","",HYPERLINK("https://kabutan.jp/stock/?code="&amp;終値!A300,"📈"))</f>
        <v>📈</v>
      </c>
      <c r="B300" s="500" t="str">
        <f>IF(終値!A300="","",終値!A300)</f>
        <v>6965</v>
      </c>
      <c r="C300" s="499" t="str">
        <f>IF(終値!A300="","",終値!B300)</f>
        <v>浜松ホトニクス</v>
      </c>
      <c r="D300" s="501">
        <f>IF(終値!A300="","",終値!E300)</f>
        <v>2408</v>
      </c>
      <c r="E300" s="501">
        <f>IF($D300="","",AVERAGE(終値!E300:X300))</f>
        <v>2379.3421052631579</v>
      </c>
      <c r="F300" s="502">
        <f>IF($D300="","",STDEVP(終値!E300:X300))</f>
        <v>115.48753095505236</v>
      </c>
      <c r="G300" s="501">
        <f>IF($D300="","",$E300+BB設定!$B$4*$F300)</f>
        <v>2610.3171671732625</v>
      </c>
      <c r="H300" s="501">
        <f>IF($D300="","",$E300+BB設定!$B$5*$F300)</f>
        <v>2494.8296362182105</v>
      </c>
      <c r="I300" s="501">
        <f>IF($D300="","",$E300-BB設定!$B$5*$F300)</f>
        <v>2263.8545743081054</v>
      </c>
      <c r="J300" s="501">
        <f>IF($D300="","",$E300-BB設定!$B$4*$F300)</f>
        <v>2148.3670433530533</v>
      </c>
      <c r="K300" s="506">
        <f t="shared" si="44"/>
        <v>0.56203677249796713</v>
      </c>
      <c r="L300" s="505">
        <f t="shared" si="45"/>
        <v>19.415035895778303</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バンド内</v>
      </c>
      <c r="Q300" s="503">
        <f>IF($D300="","",IFERROR(100-100/(1+SUMPRODUCT((終値!E300:R300&gt;終値!F300:S300)*(終値!E300:R300-終値!F300:S300))/SUMPRODUCT((終値!E300:R300&lt;終値!F300:S300)*(終値!F300:S300-終値!E300:R300))),100))</f>
        <v>49.604082350871018</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61.448609095296213</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v>
      </c>
      <c r="U300" s="500" t="str">
        <f>IF(終値!A300="","",BB_スイング!BT300)</f>
        <v>－</v>
      </c>
      <c r="V300" s="508">
        <f>IF($D300="","",IFERROR(出来高!E300/AVERAGE(出来高!E300:I300),""))</f>
        <v>0.76555574080568478</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・押し目注目</v>
      </c>
      <c r="X300" s="504">
        <f t="shared" si="53"/>
        <v>40</v>
      </c>
      <c r="Y300" s="501">
        <f t="shared" si="48"/>
        <v>2408</v>
      </c>
      <c r="Z300" s="501">
        <f t="shared" si="49"/>
        <v>2494.8296362182105</v>
      </c>
      <c r="AA300" s="501">
        <f t="shared" si="50"/>
        <v>2379.3421052631579</v>
      </c>
      <c r="AB300" s="501">
        <f t="shared" si="54"/>
        <v>2610.3171671732625</v>
      </c>
      <c r="AC300" s="507">
        <f t="shared" si="51"/>
        <v>7.06</v>
      </c>
      <c r="AD300" s="501">
        <f>IF($D300="","",MIN(終値!E300:I300))</f>
        <v>2152.5</v>
      </c>
      <c r="AE300" s="503">
        <f t="shared" si="52"/>
        <v>40.097000000000001</v>
      </c>
    </row>
    <row r="301" spans="1:31">
      <c r="A301" s="500" t="str">
        <f>IF(終値!A301="","",HYPERLINK("https://kabutan.jp/stock/?code="&amp;終値!A301,"📈"))</f>
        <v>📈</v>
      </c>
      <c r="B301" s="500" t="str">
        <f>IF(終値!A301="","",終値!A301)</f>
        <v>6331</v>
      </c>
      <c r="C301" s="499" t="str">
        <f>IF(終値!A301="","",終値!B301)</f>
        <v>三菱化工機</v>
      </c>
      <c r="D301" s="501">
        <f>IF(終値!A301="","",終値!E301)</f>
        <v>3150</v>
      </c>
      <c r="E301" s="501">
        <f>IF($D301="","",AVERAGE(終値!E301:X301))</f>
        <v>3376.25</v>
      </c>
      <c r="F301" s="502">
        <f>IF($D301="","",STDEVP(終値!E301:X301))</f>
        <v>237.18597660907358</v>
      </c>
      <c r="G301" s="501">
        <f>IF($D301="","",$E301+BB設定!$B$4*$F301)</f>
        <v>3850.6219532181472</v>
      </c>
      <c r="H301" s="501">
        <f>IF($D301="","",$E301+BB設定!$B$5*$F301)</f>
        <v>3613.4359766090738</v>
      </c>
      <c r="I301" s="501">
        <f>IF($D301="","",$E301-BB設定!$B$5*$F301)</f>
        <v>3139.0640233909262</v>
      </c>
      <c r="J301" s="501">
        <f>IF($D301="","",$E301-BB設定!$B$4*$F301)</f>
        <v>2901.8780467818528</v>
      </c>
      <c r="K301" s="506">
        <f t="shared" si="44"/>
        <v>0.26152679509705806</v>
      </c>
      <c r="L301" s="505">
        <f t="shared" si="45"/>
        <v>28.100522959979095</v>
      </c>
      <c r="M301" s="505">
        <f>IF($D301="","",IFERROR(MIN(BB_帯幅!B301:AP301)*100,""))</f>
        <v>14.779175908643689</v>
      </c>
      <c r="N301" s="500" t="str">
        <f>IF($L301="","",IF($L301&lt;=$M301*BB設定!$B$7,"スクイーズ★",IF($L301&lt;=$M301*1.3,"収縮","－")))</f>
        <v>－</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37.610619469026545</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45.47010930837704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二番底W形成</v>
      </c>
      <c r="V301" s="508">
        <f>IF($D301="","",IFERROR(出来高!E301/AVERAGE(出来高!E301:I301),""))</f>
        <v>0.59804383690784824</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5</v>
      </c>
      <c r="Y301" s="501">
        <f t="shared" si="48"/>
        <v>3150</v>
      </c>
      <c r="Z301" s="501">
        <f t="shared" si="49"/>
        <v>3613.4359766090738</v>
      </c>
      <c r="AA301" s="501">
        <f t="shared" si="50"/>
        <v>3070</v>
      </c>
      <c r="AB301" s="501">
        <f t="shared" si="54"/>
        <v>3850.6219532181472</v>
      </c>
      <c r="AC301" s="507">
        <f t="shared" si="51"/>
        <v>8.76</v>
      </c>
      <c r="AD301" s="501">
        <f>IF($D301="","",MIN(終値!E301:I301))</f>
        <v>3070</v>
      </c>
      <c r="AE301" s="503">
        <f t="shared" si="52"/>
        <v>5.0969899999999999</v>
      </c>
    </row>
    <row r="302" spans="1:31">
      <c r="A302" s="500" t="str">
        <f>IF(終値!A302="","",HYPERLINK("https://kabutan.jp/stock/?code="&amp;終値!A302,"📈"))</f>
        <v>📈</v>
      </c>
      <c r="B302" s="500" t="str">
        <f>IF(終値!A302="","",終値!A302)</f>
        <v>7741</v>
      </c>
      <c r="C302" s="499" t="str">
        <f>IF(終値!A302="","",終値!B302)</f>
        <v>ＨＯＹＡ</v>
      </c>
      <c r="D302" s="501">
        <f>IF(終値!A302="","",終値!E302)</f>
        <v>25925</v>
      </c>
      <c r="E302" s="501">
        <f>IF($D302="","",AVERAGE(終値!E302:X302))</f>
        <v>24912.5</v>
      </c>
      <c r="F302" s="502">
        <f>IF($D302="","",STDEVP(終値!E302:X302))</f>
        <v>658.38153831953707</v>
      </c>
      <c r="G302" s="501">
        <f>IF($D302="","",$E302+BB設定!$B$4*$F302)</f>
        <v>26229.263076639076</v>
      </c>
      <c r="H302" s="501">
        <f>IF($D302="","",$E302+BB設定!$B$5*$F302)</f>
        <v>25570.881538319536</v>
      </c>
      <c r="I302" s="501">
        <f>IF($D302="","",$E302-BB設定!$B$5*$F302)</f>
        <v>24254.118461680464</v>
      </c>
      <c r="J302" s="501">
        <f>IF($D302="","",$E302-BB設定!$B$4*$F302)</f>
        <v>23595.736923360924</v>
      </c>
      <c r="K302" s="506">
        <f t="shared" si="44"/>
        <v>0.88446551925814898</v>
      </c>
      <c r="L302" s="505">
        <f t="shared" si="45"/>
        <v>10.571103475276072</v>
      </c>
      <c r="M302" s="505">
        <f>IF($D302="","",IFERROR(MIN(BB_帯幅!B302:AP302)*100,""))</f>
        <v>8.1425754028629651</v>
      </c>
      <c r="N302" s="500" t="str">
        <f>IF($L302="","",IF($L302&lt;=$M302*BB設定!$B$7,"スクイーズ★",IF($L302&lt;=$M302*1.3,"収縮","－")))</f>
        <v>収縮</v>
      </c>
      <c r="O302" s="500" t="str">
        <f>IF($D302="","",IF(AND(BB_帯幅!B302&gt;BB_帯幅!C302,BB_帯幅!C302&gt;BB_帯幅!D302),"拡大↑","縮小↓"))</f>
        <v>縮小↓</v>
      </c>
      <c r="P302" s="500" t="str">
        <f t="shared" si="46"/>
        <v>+1σ上</v>
      </c>
      <c r="Q302" s="503">
        <f>IF($D302="","",IFERROR(100-100/(1+SUMPRODUCT((終値!E302:R302&gt;終値!F302:S302)*(終値!E302:R302-終値!F302:S302))/SUMPRODUCT((終値!E302:R302&lt;終値!F302:S302)*(終値!F302:S302-終値!E302:R302))),100))</f>
        <v>54.436689930209369</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59.107429204928088</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上walk▲</v>
      </c>
      <c r="U302" s="500" t="str">
        <f>IF(終値!A302="","",BB_スイング!BT302)</f>
        <v>二番天井M形成</v>
      </c>
      <c r="V302" s="508">
        <f>IF($D302="","",IFERROR(出来高!E302/AVERAGE(出来高!E302:I302),""))</f>
        <v>0.95340412930595153</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27</v>
      </c>
      <c r="Y302" s="501">
        <f t="shared" si="48"/>
        <v>25925</v>
      </c>
      <c r="Z302" s="501">
        <f t="shared" si="49"/>
        <v>25570.881538319536</v>
      </c>
      <c r="AA302" s="501">
        <f t="shared" si="50"/>
        <v>24912.5</v>
      </c>
      <c r="AB302" s="501">
        <f t="shared" si="54"/>
        <v>26229.263076639076</v>
      </c>
      <c r="AC302" s="507">
        <f t="shared" si="51"/>
        <v>0.3</v>
      </c>
      <c r="AD302" s="501">
        <f>IF($D302="","",MIN(終値!E302:I302))</f>
        <v>23765</v>
      </c>
      <c r="AE302" s="503">
        <f t="shared" si="52"/>
        <v>27.096979999999999</v>
      </c>
    </row>
    <row r="303" spans="1:31">
      <c r="A303" s="500" t="str">
        <f>IF(終値!A303="","",HYPERLINK("https://kabutan.jp/stock/?code="&amp;終値!A303,"📈"))</f>
        <v>📈</v>
      </c>
      <c r="B303" s="500" t="str">
        <f>IF(終値!A303="","",終値!A303)</f>
        <v>1321</v>
      </c>
      <c r="C303" s="499" t="str">
        <f>IF(終値!A303="","",終値!B303)</f>
        <v>ＮＦ日経２２５</v>
      </c>
      <c r="D303" s="501">
        <f>IF(終値!A303="","",終値!E303)</f>
        <v>66090</v>
      </c>
      <c r="E303" s="501">
        <f>IF($D303="","",AVERAGE(終値!E303:X303))</f>
        <v>68159.5</v>
      </c>
      <c r="F303" s="502">
        <f>IF($D303="","",STDEVP(終値!E303:X303))</f>
        <v>2523.8927770410533</v>
      </c>
      <c r="G303" s="501">
        <f>IF($D303="","",$E303+BB設定!$B$4*$F303)</f>
        <v>73207.285554082104</v>
      </c>
      <c r="H303" s="501">
        <f>IF($D303="","",$E303+BB設定!$B$5*$F303)</f>
        <v>70683.392777041052</v>
      </c>
      <c r="I303" s="501">
        <f>IF($D303="","",$E303-BB設定!$B$5*$F303)</f>
        <v>65635.607222958948</v>
      </c>
      <c r="J303" s="501">
        <f>IF($D303="","",$E303-BB設定!$B$4*$F303)</f>
        <v>63111.714445917896</v>
      </c>
      <c r="K303" s="506">
        <f t="shared" si="44"/>
        <v>0.29500912055124728</v>
      </c>
      <c r="L303" s="505">
        <f t="shared" si="45"/>
        <v>14.811685983852884</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40.217391304347828</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44.649527011858957</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0.7195927545326154</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10</v>
      </c>
      <c r="Y303" s="501">
        <f t="shared" si="48"/>
        <v>66090</v>
      </c>
      <c r="Z303" s="501">
        <f t="shared" si="49"/>
        <v>70683.392777041052</v>
      </c>
      <c r="AA303" s="501">
        <f t="shared" si="50"/>
        <v>63680</v>
      </c>
      <c r="AB303" s="501">
        <f t="shared" si="54"/>
        <v>73207.285554082104</v>
      </c>
      <c r="AC303" s="507">
        <f t="shared" si="51"/>
        <v>2.95</v>
      </c>
      <c r="AD303" s="501">
        <f>IF($D303="","",MIN(終値!E303:I303))</f>
        <v>63680</v>
      </c>
      <c r="AE303" s="503">
        <f t="shared" si="52"/>
        <v>10.096970000000001</v>
      </c>
    </row>
    <row r="304" spans="1:31">
      <c r="A304" s="500" t="str">
        <f>IF(終値!A304="","",HYPERLINK("https://kabutan.jp/stock/?code="&amp;終値!A304,"📈"))</f>
        <v>📈</v>
      </c>
      <c r="B304" s="500" t="str">
        <f>IF(終値!A304="","",終値!A304)</f>
        <v>1944</v>
      </c>
      <c r="C304" s="499" t="str">
        <f>IF(終値!A304="","",終値!B304)</f>
        <v>きんでん</v>
      </c>
      <c r="D304" s="501">
        <f>IF(終値!A304="","",終値!E304)</f>
        <v>7158</v>
      </c>
      <c r="E304" s="501">
        <f>IF($D304="","",AVERAGE(終値!E304:X304))</f>
        <v>7461.9</v>
      </c>
      <c r="F304" s="502">
        <f>IF($D304="","",STDEVP(終値!E304:X304))</f>
        <v>317.40776613057216</v>
      </c>
      <c r="G304" s="501">
        <f>IF($D304="","",$E304+BB設定!$B$4*$F304)</f>
        <v>8096.7155322611443</v>
      </c>
      <c r="H304" s="501">
        <f>IF($D304="","",$E304+BB設定!$B$5*$F304)</f>
        <v>7779.3077661305715</v>
      </c>
      <c r="I304" s="501">
        <f>IF($D304="","",$E304-BB設定!$B$5*$F304)</f>
        <v>7144.4922338694278</v>
      </c>
      <c r="J304" s="501">
        <f>IF($D304="","",$E304-BB設定!$B$4*$F304)</f>
        <v>6827.084467738855</v>
      </c>
      <c r="K304" s="506">
        <f t="shared" si="44"/>
        <v>0.26063912699367914</v>
      </c>
      <c r="L304" s="505">
        <f t="shared" si="45"/>
        <v>17.014849629749655</v>
      </c>
      <c r="M304" s="505">
        <f>IF($D304="","",IFERROR(MIN(BB_帯幅!B304:AP304)*100,""))</f>
        <v>13.248369503047345</v>
      </c>
      <c r="N304" s="500" t="str">
        <f>IF($L304="","",IF($L304&lt;=$M304*BB設定!$B$7,"スクイーズ★",IF($L304&lt;=$M304*1.3,"収縮","－")))</f>
        <v>収縮</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45.231153685964181</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51.727349008611213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二番天井M形成</v>
      </c>
      <c r="V304" s="508">
        <f>IF($D304="","",IFERROR(出来高!E304/AVERAGE(出来高!E304:I304),""))</f>
        <v>0.38334301935714604</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▼二番天井警戒</v>
      </c>
      <c r="X304" s="504">
        <f t="shared" si="53"/>
        <v>10</v>
      </c>
      <c r="Y304" s="501">
        <f t="shared" si="48"/>
        <v>7158</v>
      </c>
      <c r="Z304" s="501">
        <f t="shared" si="49"/>
        <v>7779.3077661305715</v>
      </c>
      <c r="AA304" s="501">
        <f t="shared" si="50"/>
        <v>6963</v>
      </c>
      <c r="AB304" s="501">
        <f t="shared" si="54"/>
        <v>8096.7155322611443</v>
      </c>
      <c r="AC304" s="507">
        <f t="shared" si="51"/>
        <v>4.8099999999999996</v>
      </c>
      <c r="AD304" s="501">
        <f>IF($D304="","",MIN(終値!E304:I304))</f>
        <v>6963</v>
      </c>
      <c r="AE304" s="503">
        <f t="shared" si="52"/>
        <v>10.096959999999999</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889.1</v>
      </c>
      <c r="E305" s="501">
        <f>IF($D305="","",AVERAGE(終値!E305:X305))</f>
        <v>884.29500000000007</v>
      </c>
      <c r="F305" s="502">
        <f>IF($D305="","",STDEVP(終値!E305:X305))</f>
        <v>29.272845351963987</v>
      </c>
      <c r="G305" s="501">
        <f>IF($D305="","",$E305+BB設定!$B$4*$F305)</f>
        <v>942.84069070392809</v>
      </c>
      <c r="H305" s="501">
        <f>IF($D305="","",$E305+BB設定!$B$5*$F305)</f>
        <v>913.56784535196402</v>
      </c>
      <c r="I305" s="501">
        <f>IF($D305="","",$E305-BB設定!$B$5*$F305)</f>
        <v>855.02215464803612</v>
      </c>
      <c r="J305" s="501">
        <f>IF($D305="","",$E305-BB設定!$B$4*$F305)</f>
        <v>825.74930929607206</v>
      </c>
      <c r="K305" s="506">
        <f t="shared" si="44"/>
        <v>0.54103632515242972</v>
      </c>
      <c r="L305" s="505">
        <f t="shared" si="45"/>
        <v>13.241212650513237</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53.106060606060602</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49.859683961581993</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0.46152388490704627</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889.1</v>
      </c>
      <c r="Z305" s="501">
        <f t="shared" si="49"/>
        <v>913.56784535196402</v>
      </c>
      <c r="AA305" s="501">
        <f t="shared" si="50"/>
        <v>884.29500000000007</v>
      </c>
      <c r="AB305" s="501">
        <f t="shared" si="54"/>
        <v>942.84069070392809</v>
      </c>
      <c r="AC305" s="507">
        <f t="shared" si="51"/>
        <v>11.18</v>
      </c>
      <c r="AD305" s="501">
        <f>IF($D305="","",MIN(終値!E305:I305))</f>
        <v>889.1</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R39" sqref="R39"/>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7"/>
    <col min="16" max="16" width="8.88671875" style="435"/>
    <col min="17" max="17" width="36.44140625" style="435" customWidth="1"/>
    <col min="18" max="19" width="4.33203125" style="435" customWidth="1"/>
    <col min="20" max="16384" width="8.88671875" style="435"/>
  </cols>
  <sheetData>
    <row r="1" spans="1:23">
      <c r="A1" s="893" t="s">
        <v>1161</v>
      </c>
      <c r="B1" s="886"/>
      <c r="C1" s="886"/>
      <c r="D1" s="886"/>
      <c r="E1" s="886"/>
      <c r="F1" s="886"/>
      <c r="G1" s="886"/>
      <c r="H1" s="886"/>
      <c r="I1" s="886"/>
      <c r="J1" s="886"/>
      <c r="K1" s="886"/>
      <c r="L1" s="886"/>
      <c r="M1" s="886"/>
      <c r="N1" s="886"/>
      <c r="O1" s="532"/>
    </row>
    <row r="2" spans="1:23" ht="21">
      <c r="A2" s="887" t="s">
        <v>1162</v>
      </c>
      <c r="B2" s="886"/>
      <c r="C2" s="886"/>
      <c r="D2" s="886"/>
      <c r="E2" s="886"/>
      <c r="F2" s="886"/>
      <c r="G2" s="886"/>
      <c r="H2" s="886"/>
      <c r="I2" s="886"/>
      <c r="J2" s="886"/>
      <c r="K2" s="886"/>
      <c r="L2" s="886"/>
      <c r="M2" s="886"/>
      <c r="N2" s="886"/>
      <c r="O2" s="533"/>
      <c r="P2" s="525"/>
      <c r="Q2" s="526" t="s">
        <v>1219</v>
      </c>
      <c r="R2" s="528">
        <f>終値!E3</f>
        <v>46238</v>
      </c>
      <c r="S2" s="525"/>
    </row>
    <row r="4" spans="1:23" ht="70.2" customHeight="1">
      <c r="A4" s="511" t="s">
        <v>1163</v>
      </c>
      <c r="B4" s="511" t="s">
        <v>1</v>
      </c>
      <c r="C4" s="511" t="s">
        <v>610</v>
      </c>
      <c r="D4" s="511" t="s">
        <v>525</v>
      </c>
      <c r="E4" s="511" t="s">
        <v>1144</v>
      </c>
      <c r="F4" s="511" t="s">
        <v>1146</v>
      </c>
      <c r="G4" s="511" t="s">
        <v>1164</v>
      </c>
      <c r="H4" s="511" t="s">
        <v>1165</v>
      </c>
      <c r="I4" s="511" t="s">
        <v>1166</v>
      </c>
      <c r="J4" s="511" t="s">
        <v>1153</v>
      </c>
      <c r="K4" s="511" t="s">
        <v>537</v>
      </c>
      <c r="L4" s="511" t="s">
        <v>1167</v>
      </c>
      <c r="M4" s="511" t="s">
        <v>1058</v>
      </c>
      <c r="N4" s="534" t="s">
        <v>1158</v>
      </c>
      <c r="O4" s="536" t="s">
        <v>1222</v>
      </c>
      <c r="Q4" s="561" t="s">
        <v>1220</v>
      </c>
      <c r="R4" s="527"/>
      <c r="S4" s="527"/>
    </row>
    <row r="5" spans="1:23" ht="38.4">
      <c r="A5" s="512">
        <v>1</v>
      </c>
      <c r="B5" s="513" t="str">
        <f>IFERROR(INDEX(BBスクリーニング!$B$6:$B$405,MATCH(LARGE(BBスクリーニング!$AE$6:$AE$405,$A5),BBスクリーニング!$AE$6:$AE$405,0)),"")</f>
        <v/>
      </c>
      <c r="C5" s="514" t="str">
        <f>IFERROR(INDEX(BBスクリーニング!$C$6:$C$405,MATCH(LARGE(BBスクリーニング!$AE$6:$AE$405,$A5),BBスクリーニング!$AE$6:$AE$405,0)),"")</f>
        <v/>
      </c>
      <c r="D5" s="515" t="str">
        <f>IFERROR(INDEX(BBスクリーニング!$D$6:$D$405,MATCH(LARGE(BBスクリーニング!$AE$6:$AE$405,$A5),BBスクリーニング!$AE$6:$AE$405,0)),"")</f>
        <v/>
      </c>
      <c r="E5" s="513" t="str">
        <f>IFERROR(INDEX(BBスクリーニング!$N$6:$N$405,MATCH(LARGE(BBスクリーニング!$AE$6:$AE$405,$A5),BBスクリーニング!$AE$6:$AE$405,0)),"")</f>
        <v/>
      </c>
      <c r="F5" s="513" t="str">
        <f>IFERROR(INDEX(BBスクリーニング!$P$6:$P$405,MATCH(LARGE(BBスクリーニング!$AE$6:$AE$405,$A5),BBスクリーニング!$AE$6:$AE$405,0)),"")</f>
        <v/>
      </c>
      <c r="G5" s="516" t="str">
        <f>IFERROR(INDEX(BBスクリーニング!$Q$6:$Q$405,MATCH(LARGE(BBスクリーニング!$AE$6:$AE$405,$A5),BBスクリーニング!$AE$6:$AE$405,0)),"")</f>
        <v/>
      </c>
      <c r="H5" s="516" t="str">
        <f>IFERROR(INDEX(BBスクリーニング!$R$6:$R$405,MATCH(LARGE(BBスクリーニング!$AE$6:$AE$405,$A5),BBスクリーニング!$AE$6:$AE$405,0)),"")</f>
        <v/>
      </c>
      <c r="I5" s="513" t="str">
        <f>IFERROR(INDEX(BBスクリーニング!$S$6:$S$405,MATCH(LARGE(BBスクリーニング!$AE$6:$AE$405,$A5),BBスクリーニング!$AE$6:$AE$405,0)),"")</f>
        <v/>
      </c>
      <c r="J5" s="517" t="str">
        <f>IFERROR(INDEX(BBスクリーニング!$W$6:$W$405,MATCH(LARGE(BBスクリーニング!$AE$6:$AE$405,$A5),BBスクリーニング!$AE$6:$AE$405,0)),"")</f>
        <v/>
      </c>
      <c r="K5" s="512" t="str">
        <f>IFERROR(INDEX(BBスクリーニング!$X$6:$X$405,MATCH(LARGE(BBスクリーニング!$AE$6:$AE$405,$A5),BBスクリーニング!$AE$6:$AE$405,0)),"")</f>
        <v/>
      </c>
      <c r="L5" s="515" t="str">
        <f>IFERROR(INDEX(BBスクリーニング!$Z$6:$Z$405,MATCH(LARGE(BBスクリーニング!$AE$6:$AE$405,$A5),BBスクリーニング!$AE$6:$AE$405,0)),"")</f>
        <v/>
      </c>
      <c r="M5" s="515" t="str">
        <f>IFERROR(INDEX(BBスクリーニング!$AA$6:$AA$405,MATCH(LARGE(BBスクリーニング!$AE$6:$AE$405,$A5),BBスクリーニング!$AE$6:$AE$405,0)),"")</f>
        <v/>
      </c>
      <c r="N5" s="535" t="str">
        <f>IFERROR(INDEX(BBスクリーニング!$AC$6:$AC$405,MATCH(LARGE(BBスクリーニング!$AE$6:$AE$405,$A5),BBスクリーニング!$AE$6:$AE$405,0)),"")</f>
        <v/>
      </c>
      <c r="O5" s="536" t="str">
        <f>IF($B5="","",HYPERLINK("https://kabutan.jp/stock/?code="&amp;$B5,"株探"))</f>
        <v/>
      </c>
    </row>
    <row r="6" spans="1:23">
      <c r="A6" s="512">
        <v>2</v>
      </c>
      <c r="B6" s="513" t="str">
        <f>IFERROR(INDEX(BBスクリーニング!$B$6:$B$405,MATCH(LARGE(BBスクリーニング!$AE$6:$AE$405,$A6),BBスクリーニング!$AE$6:$AE$405,0)),"")</f>
        <v/>
      </c>
      <c r="C6" s="514" t="str">
        <f>IFERROR(INDEX(BBスクリーニング!$C$6:$C$405,MATCH(LARGE(BBスクリーニング!$AE$6:$AE$405,$A6),BBスクリーニング!$AE$6:$AE$405,0)),"")</f>
        <v/>
      </c>
      <c r="D6" s="515" t="str">
        <f>IFERROR(INDEX(BBスクリーニング!$D$6:$D$405,MATCH(LARGE(BBスクリーニング!$AE$6:$AE$405,$A6),BBスクリーニング!$AE$6:$AE$405,0)),"")</f>
        <v/>
      </c>
      <c r="E6" s="513" t="str">
        <f>IFERROR(INDEX(BBスクリーニング!$N$6:$N$405,MATCH(LARGE(BBスクリーニング!$AE$6:$AE$405,$A6),BBスクリーニング!$AE$6:$AE$405,0)),"")</f>
        <v/>
      </c>
      <c r="F6" s="513" t="str">
        <f>IFERROR(INDEX(BBスクリーニング!$P$6:$P$405,MATCH(LARGE(BBスクリーニング!$AE$6:$AE$405,$A6),BBスクリーニング!$AE$6:$AE$405,0)),"")</f>
        <v/>
      </c>
      <c r="G6" s="516" t="str">
        <f>IFERROR(INDEX(BBスクリーニング!$Q$6:$Q$405,MATCH(LARGE(BBスクリーニング!$AE$6:$AE$405,$A6),BBスクリーニング!$AE$6:$AE$405,0)),"")</f>
        <v/>
      </c>
      <c r="H6" s="516" t="str">
        <f>IFERROR(INDEX(BBスクリーニング!$R$6:$R$405,MATCH(LARGE(BBスクリーニング!$AE$6:$AE$405,$A6),BBスクリーニング!$AE$6:$AE$405,0)),"")</f>
        <v/>
      </c>
      <c r="I6" s="513" t="str">
        <f>IFERROR(INDEX(BBスクリーニング!$S$6:$S$405,MATCH(LARGE(BBスクリーニング!$AE$6:$AE$405,$A6),BBスクリーニング!$AE$6:$AE$405,0)),"")</f>
        <v/>
      </c>
      <c r="J6" s="517" t="str">
        <f>IFERROR(INDEX(BBスクリーニング!$W$6:$W$405,MATCH(LARGE(BBスクリーニング!$AE$6:$AE$405,$A6),BBスクリーニング!$AE$6:$AE$405,0)),"")</f>
        <v/>
      </c>
      <c r="K6" s="512" t="str">
        <f>IFERROR(INDEX(BBスクリーニング!$X$6:$X$405,MATCH(LARGE(BBスクリーニング!$AE$6:$AE$405,$A6),BBスクリーニング!$AE$6:$AE$405,0)),"")</f>
        <v/>
      </c>
      <c r="L6" s="515" t="str">
        <f>IFERROR(INDEX(BBスクリーニング!$Z$6:$Z$405,MATCH(LARGE(BBスクリーニング!$AE$6:$AE$405,$A6),BBスクリーニング!$AE$6:$AE$405,0)),"")</f>
        <v/>
      </c>
      <c r="M6" s="515" t="str">
        <f>IFERROR(INDEX(BBスクリーニング!$AA$6:$AA$405,MATCH(LARGE(BBスクリーニング!$AE$6:$AE$405,$A6),BBスクリーニング!$AE$6:$AE$405,0)),"")</f>
        <v/>
      </c>
      <c r="N6" s="535" t="str">
        <f>IFERROR(INDEX(BBスクリーニング!$AC$6:$AC$405,MATCH(LARGE(BBスクリーニング!$AE$6:$AE$405,$A6),BBスクリーニング!$AE$6:$AE$405,0)),"")</f>
        <v/>
      </c>
      <c r="O6" s="536" t="str">
        <f t="shared" ref="O6:O34" si="0">IF($B6="","",HYPERLINK("https://kabutan.jp/stock/?code="&amp;$B6,"株探"))</f>
        <v/>
      </c>
      <c r="V6" s="435" t="s">
        <v>1176</v>
      </c>
      <c r="W6" s="435" t="s">
        <v>1177</v>
      </c>
    </row>
    <row r="7" spans="1:23">
      <c r="A7" s="512">
        <v>3</v>
      </c>
      <c r="B7" s="513" t="str">
        <f>IFERROR(INDEX(BBスクリーニング!$B$6:$B$405,MATCH(LARGE(BBスクリーニング!$AE$6:$AE$405,$A7),BBスクリーニング!$AE$6:$AE$405,0)),"")</f>
        <v/>
      </c>
      <c r="C7" s="514" t="str">
        <f>IFERROR(INDEX(BBスクリーニング!$C$6:$C$405,MATCH(LARGE(BBスクリーニング!$AE$6:$AE$405,$A7),BBスクリーニング!$AE$6:$AE$405,0)),"")</f>
        <v/>
      </c>
      <c r="D7" s="515" t="str">
        <f>IFERROR(INDEX(BBスクリーニング!$D$6:$D$405,MATCH(LARGE(BBスクリーニング!$AE$6:$AE$405,$A7),BBスクリーニング!$AE$6:$AE$405,0)),"")</f>
        <v/>
      </c>
      <c r="E7" s="513" t="str">
        <f>IFERROR(INDEX(BBスクリーニング!$N$6:$N$405,MATCH(LARGE(BBスクリーニング!$AE$6:$AE$405,$A7),BBスクリーニング!$AE$6:$AE$405,0)),"")</f>
        <v/>
      </c>
      <c r="F7" s="513" t="str">
        <f>IFERROR(INDEX(BBスクリーニング!$P$6:$P$405,MATCH(LARGE(BBスクリーニング!$AE$6:$AE$405,$A7),BBスクリーニング!$AE$6:$AE$405,0)),"")</f>
        <v/>
      </c>
      <c r="G7" s="516" t="str">
        <f>IFERROR(INDEX(BBスクリーニング!$Q$6:$Q$405,MATCH(LARGE(BBスクリーニング!$AE$6:$AE$405,$A7),BBスクリーニング!$AE$6:$AE$405,0)),"")</f>
        <v/>
      </c>
      <c r="H7" s="516" t="str">
        <f>IFERROR(INDEX(BBスクリーニング!$R$6:$R$405,MATCH(LARGE(BBスクリーニング!$AE$6:$AE$405,$A7),BBスクリーニング!$AE$6:$AE$405,0)),"")</f>
        <v/>
      </c>
      <c r="I7" s="513" t="str">
        <f>IFERROR(INDEX(BBスクリーニング!$S$6:$S$405,MATCH(LARGE(BBスクリーニング!$AE$6:$AE$405,$A7),BBスクリーニング!$AE$6:$AE$405,0)),"")</f>
        <v/>
      </c>
      <c r="J7" s="517" t="str">
        <f>IFERROR(INDEX(BBスクリーニング!$W$6:$W$405,MATCH(LARGE(BBスクリーニング!$AE$6:$AE$405,$A7),BBスクリーニング!$AE$6:$AE$405,0)),"")</f>
        <v/>
      </c>
      <c r="K7" s="512" t="str">
        <f>IFERROR(INDEX(BBスクリーニング!$X$6:$X$405,MATCH(LARGE(BBスクリーニング!$AE$6:$AE$405,$A7),BBスクリーニング!$AE$6:$AE$405,0)),"")</f>
        <v/>
      </c>
      <c r="L7" s="515" t="str">
        <f>IFERROR(INDEX(BBスクリーニング!$Z$6:$Z$405,MATCH(LARGE(BBスクリーニング!$AE$6:$AE$405,$A7),BBスクリーニング!$AE$6:$AE$405,0)),"")</f>
        <v/>
      </c>
      <c r="M7" s="515" t="str">
        <f>IFERROR(INDEX(BBスクリーニング!$AA$6:$AA$405,MATCH(LARGE(BBスクリーニング!$AE$6:$AE$405,$A7),BBスクリーニング!$AE$6:$AE$405,0)),"")</f>
        <v/>
      </c>
      <c r="N7" s="535" t="str">
        <f>IFERROR(INDEX(BBスクリーニング!$AC$6:$AC$405,MATCH(LARGE(BBスクリーニング!$AE$6:$AE$405,$A7),BBスクリーニング!$AE$6:$AE$405,0)),"")</f>
        <v/>
      </c>
      <c r="O7" s="536" t="str">
        <f t="shared" si="0"/>
        <v/>
      </c>
      <c r="V7" s="435">
        <v>3</v>
      </c>
      <c r="W7" s="435" t="s">
        <v>1178</v>
      </c>
    </row>
    <row r="8" spans="1:23">
      <c r="A8" s="512">
        <v>4</v>
      </c>
      <c r="B8" s="513" t="str">
        <f>IFERROR(INDEX(BBスクリーニング!$B$6:$B$405,MATCH(LARGE(BBスクリーニング!$AE$6:$AE$405,$A8),BBスクリーニング!$AE$6:$AE$405,0)),"")</f>
        <v/>
      </c>
      <c r="C8" s="514" t="str">
        <f>IFERROR(INDEX(BBスクリーニング!$C$6:$C$405,MATCH(LARGE(BBスクリーニング!$AE$6:$AE$405,$A8),BBスクリーニング!$AE$6:$AE$405,0)),"")</f>
        <v/>
      </c>
      <c r="D8" s="515" t="str">
        <f>IFERROR(INDEX(BBスクリーニング!$D$6:$D$405,MATCH(LARGE(BBスクリーニング!$AE$6:$AE$405,$A8),BBスクリーニング!$AE$6:$AE$405,0)),"")</f>
        <v/>
      </c>
      <c r="E8" s="513" t="str">
        <f>IFERROR(INDEX(BBスクリーニング!$N$6:$N$405,MATCH(LARGE(BBスクリーニング!$AE$6:$AE$405,$A8),BBスクリーニング!$AE$6:$AE$405,0)),"")</f>
        <v/>
      </c>
      <c r="F8" s="513" t="str">
        <f>IFERROR(INDEX(BBスクリーニング!$P$6:$P$405,MATCH(LARGE(BBスクリーニング!$AE$6:$AE$405,$A8),BBスクリーニング!$AE$6:$AE$405,0)),"")</f>
        <v/>
      </c>
      <c r="G8" s="516" t="str">
        <f>IFERROR(INDEX(BBスクリーニング!$Q$6:$Q$405,MATCH(LARGE(BBスクリーニング!$AE$6:$AE$405,$A8),BBスクリーニング!$AE$6:$AE$405,0)),"")</f>
        <v/>
      </c>
      <c r="H8" s="516" t="str">
        <f>IFERROR(INDEX(BBスクリーニング!$R$6:$R$405,MATCH(LARGE(BBスクリーニング!$AE$6:$AE$405,$A8),BBスクリーニング!$AE$6:$AE$405,0)),"")</f>
        <v/>
      </c>
      <c r="I8" s="513" t="str">
        <f>IFERROR(INDEX(BBスクリーニング!$S$6:$S$405,MATCH(LARGE(BBスクリーニング!$AE$6:$AE$405,$A8),BBスクリーニング!$AE$6:$AE$405,0)),"")</f>
        <v/>
      </c>
      <c r="J8" s="517" t="str">
        <f>IFERROR(INDEX(BBスクリーニング!$W$6:$W$405,MATCH(LARGE(BBスクリーニング!$AE$6:$AE$405,$A8),BBスクリーニング!$AE$6:$AE$405,0)),"")</f>
        <v/>
      </c>
      <c r="K8" s="512" t="str">
        <f>IFERROR(INDEX(BBスクリーニング!$X$6:$X$405,MATCH(LARGE(BBスクリーニング!$AE$6:$AE$405,$A8),BBスクリーニング!$AE$6:$AE$405,0)),"")</f>
        <v/>
      </c>
      <c r="L8" s="515" t="str">
        <f>IFERROR(INDEX(BBスクリーニング!$Z$6:$Z$405,MATCH(LARGE(BBスクリーニング!$AE$6:$AE$405,$A8),BBスクリーニング!$AE$6:$AE$405,0)),"")</f>
        <v/>
      </c>
      <c r="M8" s="515" t="str">
        <f>IFERROR(INDEX(BBスクリーニング!$AA$6:$AA$405,MATCH(LARGE(BBスクリーニング!$AE$6:$AE$405,$A8),BBスクリーニング!$AE$6:$AE$405,0)),"")</f>
        <v/>
      </c>
      <c r="N8" s="535" t="str">
        <f>IFERROR(INDEX(BBスクリーニング!$AC$6:$AC$405,MATCH(LARGE(BBスクリーニング!$AE$6:$AE$405,$A8),BBスクリーニング!$AE$6:$AE$405,0)),"")</f>
        <v/>
      </c>
      <c r="O8" s="536" t="str">
        <f t="shared" si="0"/>
        <v/>
      </c>
      <c r="V8" s="435">
        <v>8002</v>
      </c>
      <c r="W8" s="435" t="s">
        <v>1179</v>
      </c>
    </row>
    <row r="9" spans="1:23">
      <c r="A9" s="512">
        <v>5</v>
      </c>
      <c r="B9" s="513" t="str">
        <f>IFERROR(INDEX(BBスクリーニング!$B$6:$B$405,MATCH(LARGE(BBスクリーニング!$AE$6:$AE$405,$A9),BBスクリーニング!$AE$6:$AE$405,0)),"")</f>
        <v/>
      </c>
      <c r="C9" s="514" t="str">
        <f>IFERROR(INDEX(BBスクリーニング!$C$6:$C$405,MATCH(LARGE(BBスクリーニング!$AE$6:$AE$405,$A9),BBスクリーニング!$AE$6:$AE$405,0)),"")</f>
        <v/>
      </c>
      <c r="D9" s="515" t="str">
        <f>IFERROR(INDEX(BBスクリーニング!$D$6:$D$405,MATCH(LARGE(BBスクリーニング!$AE$6:$AE$405,$A9),BBスクリーニング!$AE$6:$AE$405,0)),"")</f>
        <v/>
      </c>
      <c r="E9" s="513" t="str">
        <f>IFERROR(INDEX(BBスクリーニング!$N$6:$N$405,MATCH(LARGE(BBスクリーニング!$AE$6:$AE$405,$A9),BBスクリーニング!$AE$6:$AE$405,0)),"")</f>
        <v/>
      </c>
      <c r="F9" s="513" t="str">
        <f>IFERROR(INDEX(BBスクリーニング!$P$6:$P$405,MATCH(LARGE(BBスクリーニング!$AE$6:$AE$405,$A9),BBスクリーニング!$AE$6:$AE$405,0)),"")</f>
        <v/>
      </c>
      <c r="G9" s="516" t="str">
        <f>IFERROR(INDEX(BBスクリーニング!$Q$6:$Q$405,MATCH(LARGE(BBスクリーニング!$AE$6:$AE$405,$A9),BBスクリーニング!$AE$6:$AE$405,0)),"")</f>
        <v/>
      </c>
      <c r="H9" s="516" t="str">
        <f>IFERROR(INDEX(BBスクリーニング!$R$6:$R$405,MATCH(LARGE(BBスクリーニング!$AE$6:$AE$405,$A9),BBスクリーニング!$AE$6:$AE$405,0)),"")</f>
        <v/>
      </c>
      <c r="I9" s="513" t="str">
        <f>IFERROR(INDEX(BBスクリーニング!$S$6:$S$405,MATCH(LARGE(BBスクリーニング!$AE$6:$AE$405,$A9),BBスクリーニング!$AE$6:$AE$405,0)),"")</f>
        <v/>
      </c>
      <c r="J9" s="517" t="str">
        <f>IFERROR(INDEX(BBスクリーニング!$W$6:$W$405,MATCH(LARGE(BBスクリーニング!$AE$6:$AE$405,$A9),BBスクリーニング!$AE$6:$AE$405,0)),"")</f>
        <v/>
      </c>
      <c r="K9" s="512" t="str">
        <f>IFERROR(INDEX(BBスクリーニング!$X$6:$X$405,MATCH(LARGE(BBスクリーニング!$AE$6:$AE$405,$A9),BBスクリーニング!$AE$6:$AE$405,0)),"")</f>
        <v/>
      </c>
      <c r="L9" s="515" t="str">
        <f>IFERROR(INDEX(BBスクリーニング!$Z$6:$Z$405,MATCH(LARGE(BBスクリーニング!$AE$6:$AE$405,$A9),BBスクリーニング!$AE$6:$AE$405,0)),"")</f>
        <v/>
      </c>
      <c r="M9" s="515" t="str">
        <f>IFERROR(INDEX(BBスクリーニング!$AA$6:$AA$405,MATCH(LARGE(BBスクリーニング!$AE$6:$AE$405,$A9),BBスクリーニング!$AE$6:$AE$405,0)),"")</f>
        <v/>
      </c>
      <c r="N9" s="535" t="str">
        <f>IFERROR(INDEX(BBスクリーニング!$AC$6:$AC$405,MATCH(LARGE(BBスクリーニング!$AE$6:$AE$405,$A9),BBスクリーニング!$AE$6:$AE$405,0)),"")</f>
        <v/>
      </c>
      <c r="O9" s="536" t="str">
        <f t="shared" si="0"/>
        <v/>
      </c>
      <c r="V9" s="435" t="s">
        <v>24</v>
      </c>
      <c r="W9" s="435" t="s">
        <v>1180</v>
      </c>
    </row>
    <row r="10" spans="1:23">
      <c r="A10" s="512">
        <v>6</v>
      </c>
      <c r="B10" s="513" t="str">
        <f>IFERROR(INDEX(BBスクリーニング!$B$6:$B$405,MATCH(LARGE(BBスクリーニング!$AE$6:$AE$405,$A10),BBスクリーニング!$AE$6:$AE$405,0)),"")</f>
        <v/>
      </c>
      <c r="C10" s="514" t="str">
        <f>IFERROR(INDEX(BBスクリーニング!$C$6:$C$405,MATCH(LARGE(BBスクリーニング!$AE$6:$AE$405,$A10),BBスクリーニング!$AE$6:$AE$405,0)),"")</f>
        <v/>
      </c>
      <c r="D10" s="515" t="str">
        <f>IFERROR(INDEX(BBスクリーニング!$D$6:$D$405,MATCH(LARGE(BBスクリーニング!$AE$6:$AE$405,$A10),BBスクリーニング!$AE$6:$AE$405,0)),"")</f>
        <v/>
      </c>
      <c r="E10" s="513" t="str">
        <f>IFERROR(INDEX(BBスクリーニング!$N$6:$N$405,MATCH(LARGE(BBスクリーニング!$AE$6:$AE$405,$A10),BBスクリーニング!$AE$6:$AE$405,0)),"")</f>
        <v/>
      </c>
      <c r="F10" s="513" t="str">
        <f>IFERROR(INDEX(BBスクリーニング!$P$6:$P$405,MATCH(LARGE(BBスクリーニング!$AE$6:$AE$405,$A10),BBスクリーニング!$AE$6:$AE$405,0)),"")</f>
        <v/>
      </c>
      <c r="G10" s="516" t="str">
        <f>IFERROR(INDEX(BBスクリーニング!$Q$6:$Q$405,MATCH(LARGE(BBスクリーニング!$AE$6:$AE$405,$A10),BBスクリーニング!$AE$6:$AE$405,0)),"")</f>
        <v/>
      </c>
      <c r="H10" s="516" t="str">
        <f>IFERROR(INDEX(BBスクリーニング!$R$6:$R$405,MATCH(LARGE(BBスクリーニング!$AE$6:$AE$405,$A10),BBスクリーニング!$AE$6:$AE$405,0)),"")</f>
        <v/>
      </c>
      <c r="I10" s="513" t="str">
        <f>IFERROR(INDEX(BBスクリーニング!$S$6:$S$405,MATCH(LARGE(BBスクリーニング!$AE$6:$AE$405,$A10),BBスクリーニング!$AE$6:$AE$405,0)),"")</f>
        <v/>
      </c>
      <c r="J10" s="517" t="str">
        <f>IFERROR(INDEX(BBスクリーニング!$W$6:$W$405,MATCH(LARGE(BBスクリーニング!$AE$6:$AE$405,$A10),BBスクリーニング!$AE$6:$AE$405,0)),"")</f>
        <v/>
      </c>
      <c r="K10" s="512" t="str">
        <f>IFERROR(INDEX(BBスクリーニング!$X$6:$X$405,MATCH(LARGE(BBスクリーニング!$AE$6:$AE$405,$A10),BBスクリーニング!$AE$6:$AE$405,0)),"")</f>
        <v/>
      </c>
      <c r="L10" s="515" t="str">
        <f>IFERROR(INDEX(BBスクリーニング!$Z$6:$Z$405,MATCH(LARGE(BBスクリーニング!$AE$6:$AE$405,$A10),BBスクリーニング!$AE$6:$AE$405,0)),"")</f>
        <v/>
      </c>
      <c r="M10" s="515" t="str">
        <f>IFERROR(INDEX(BBスクリーニング!$AA$6:$AA$405,MATCH(LARGE(BBスクリーニング!$AE$6:$AE$405,$A10),BBスクリーニング!$AE$6:$AE$405,0)),"")</f>
        <v/>
      </c>
      <c r="N10" s="535" t="str">
        <f>IFERROR(INDEX(BBスクリーニング!$AC$6:$AC$405,MATCH(LARGE(BBスクリーニング!$AE$6:$AE$405,$A10),BBスクリーニング!$AE$6:$AE$405,0)),"")</f>
        <v/>
      </c>
      <c r="O10" s="536" t="str">
        <f t="shared" si="0"/>
        <v/>
      </c>
      <c r="V10" s="518">
        <v>4988</v>
      </c>
      <c r="W10" s="435" t="s">
        <v>1181</v>
      </c>
    </row>
    <row r="11" spans="1:23">
      <c r="A11" s="512">
        <v>7</v>
      </c>
      <c r="B11" s="513" t="str">
        <f>IFERROR(INDEX(BBスクリーニング!$B$6:$B$405,MATCH(LARGE(BBスクリーニング!$AE$6:$AE$405,$A11),BBスクリーニング!$AE$6:$AE$405,0)),"")</f>
        <v/>
      </c>
      <c r="C11" s="514" t="str">
        <f>IFERROR(INDEX(BBスクリーニング!$C$6:$C$405,MATCH(LARGE(BBスクリーニング!$AE$6:$AE$405,$A11),BBスクリーニング!$AE$6:$AE$405,0)),"")</f>
        <v/>
      </c>
      <c r="D11" s="515" t="str">
        <f>IFERROR(INDEX(BBスクリーニング!$D$6:$D$405,MATCH(LARGE(BBスクリーニング!$AE$6:$AE$405,$A11),BBスクリーニング!$AE$6:$AE$405,0)),"")</f>
        <v/>
      </c>
      <c r="E11" s="513" t="str">
        <f>IFERROR(INDEX(BBスクリーニング!$N$6:$N$405,MATCH(LARGE(BBスクリーニング!$AE$6:$AE$405,$A11),BBスクリーニング!$AE$6:$AE$405,0)),"")</f>
        <v/>
      </c>
      <c r="F11" s="513" t="str">
        <f>IFERROR(INDEX(BBスクリーニング!$P$6:$P$405,MATCH(LARGE(BBスクリーニング!$AE$6:$AE$405,$A11),BBスクリーニング!$AE$6:$AE$405,0)),"")</f>
        <v/>
      </c>
      <c r="G11" s="516" t="str">
        <f>IFERROR(INDEX(BBスクリーニング!$Q$6:$Q$405,MATCH(LARGE(BBスクリーニング!$AE$6:$AE$405,$A11),BBスクリーニング!$AE$6:$AE$405,0)),"")</f>
        <v/>
      </c>
      <c r="H11" s="516" t="str">
        <f>IFERROR(INDEX(BBスクリーニング!$R$6:$R$405,MATCH(LARGE(BBスクリーニング!$AE$6:$AE$405,$A11),BBスクリーニング!$AE$6:$AE$405,0)),"")</f>
        <v/>
      </c>
      <c r="I11" s="513" t="str">
        <f>IFERROR(INDEX(BBスクリーニング!$S$6:$S$405,MATCH(LARGE(BBスクリーニング!$AE$6:$AE$405,$A11),BBスクリーニング!$AE$6:$AE$405,0)),"")</f>
        <v/>
      </c>
      <c r="J11" s="517" t="str">
        <f>IFERROR(INDEX(BBスクリーニング!$W$6:$W$405,MATCH(LARGE(BBスクリーニング!$AE$6:$AE$405,$A11),BBスクリーニング!$AE$6:$AE$405,0)),"")</f>
        <v/>
      </c>
      <c r="K11" s="512" t="str">
        <f>IFERROR(INDEX(BBスクリーニング!$X$6:$X$405,MATCH(LARGE(BBスクリーニング!$AE$6:$AE$405,$A11),BBスクリーニング!$AE$6:$AE$405,0)),"")</f>
        <v/>
      </c>
      <c r="L11" s="515" t="str">
        <f>IFERROR(INDEX(BBスクリーニング!$Z$6:$Z$405,MATCH(LARGE(BBスクリーニング!$AE$6:$AE$405,$A11),BBスクリーニング!$AE$6:$AE$405,0)),"")</f>
        <v/>
      </c>
      <c r="M11" s="515" t="str">
        <f>IFERROR(INDEX(BBスクリーニング!$AA$6:$AA$405,MATCH(LARGE(BBスクリーニング!$AE$6:$AE$405,$A11),BBスクリーニング!$AE$6:$AE$405,0)),"")</f>
        <v/>
      </c>
      <c r="N11" s="535" t="str">
        <f>IFERROR(INDEX(BBスクリーニング!$AC$6:$AC$405,MATCH(LARGE(BBスクリーニング!$AE$6:$AE$405,$A11),BBスクリーニング!$AE$6:$AE$405,0)),"")</f>
        <v/>
      </c>
      <c r="O11" s="536" t="str">
        <f t="shared" si="0"/>
        <v/>
      </c>
      <c r="V11" s="435" t="s">
        <v>1182</v>
      </c>
      <c r="W11" s="435" t="s">
        <v>1183</v>
      </c>
    </row>
    <row r="12" spans="1:23" ht="38.4">
      <c r="A12" s="512">
        <v>8</v>
      </c>
      <c r="B12" s="513" t="str">
        <f>IFERROR(INDEX(BBスクリーニング!$B$6:$B$405,MATCH(LARGE(BBスクリーニング!$AE$6:$AE$405,$A12),BBスクリーニング!$AE$6:$AE$405,0)),"")</f>
        <v/>
      </c>
      <c r="C12" s="514" t="str">
        <f>IFERROR(INDEX(BBスクリーニング!$C$6:$C$405,MATCH(LARGE(BBスクリーニング!$AE$6:$AE$405,$A12),BBスクリーニング!$AE$6:$AE$405,0)),"")</f>
        <v/>
      </c>
      <c r="D12" s="515" t="str">
        <f>IFERROR(INDEX(BBスクリーニング!$D$6:$D$405,MATCH(LARGE(BBスクリーニング!$AE$6:$AE$405,$A12),BBスクリーニング!$AE$6:$AE$405,0)),"")</f>
        <v/>
      </c>
      <c r="E12" s="513" t="str">
        <f>IFERROR(INDEX(BBスクリーニング!$N$6:$N$405,MATCH(LARGE(BBスクリーニング!$AE$6:$AE$405,$A12),BBスクリーニング!$AE$6:$AE$405,0)),"")</f>
        <v/>
      </c>
      <c r="F12" s="513" t="str">
        <f>IFERROR(INDEX(BBスクリーニング!$P$6:$P$405,MATCH(LARGE(BBスクリーニング!$AE$6:$AE$405,$A12),BBスクリーニング!$AE$6:$AE$405,0)),"")</f>
        <v/>
      </c>
      <c r="G12" s="516" t="str">
        <f>IFERROR(INDEX(BBスクリーニング!$Q$6:$Q$405,MATCH(LARGE(BBスクリーニング!$AE$6:$AE$405,$A12),BBスクリーニング!$AE$6:$AE$405,0)),"")</f>
        <v/>
      </c>
      <c r="H12" s="516" t="str">
        <f>IFERROR(INDEX(BBスクリーニング!$R$6:$R$405,MATCH(LARGE(BBスクリーニング!$AE$6:$AE$405,$A12),BBスクリーニング!$AE$6:$AE$405,0)),"")</f>
        <v/>
      </c>
      <c r="I12" s="513" t="str">
        <f>IFERROR(INDEX(BBスクリーニング!$S$6:$S$405,MATCH(LARGE(BBスクリーニング!$AE$6:$AE$405,$A12),BBスクリーニング!$AE$6:$AE$405,0)),"")</f>
        <v/>
      </c>
      <c r="J12" s="517" t="str">
        <f>IFERROR(INDEX(BBスクリーニング!$W$6:$W$405,MATCH(LARGE(BBスクリーニング!$AE$6:$AE$405,$A12),BBスクリーニング!$AE$6:$AE$405,0)),"")</f>
        <v/>
      </c>
      <c r="K12" s="512" t="str">
        <f>IFERROR(INDEX(BBスクリーニング!$X$6:$X$405,MATCH(LARGE(BBスクリーニング!$AE$6:$AE$405,$A12),BBスクリーニング!$AE$6:$AE$405,0)),"")</f>
        <v/>
      </c>
      <c r="L12" s="515" t="str">
        <f>IFERROR(INDEX(BBスクリーニング!$Z$6:$Z$405,MATCH(LARGE(BBスクリーニング!$AE$6:$AE$405,$A12),BBスクリーニング!$AE$6:$AE$405,0)),"")</f>
        <v/>
      </c>
      <c r="M12" s="515" t="str">
        <f>IFERROR(INDEX(BBスクリーニング!$AA$6:$AA$405,MATCH(LARGE(BBスクリーニング!$AE$6:$AE$405,$A12),BBスクリーニング!$AE$6:$AE$405,0)),"")</f>
        <v/>
      </c>
      <c r="N12" s="535" t="str">
        <f>IFERROR(INDEX(BBスクリーニング!$AC$6:$AC$405,MATCH(LARGE(BBスクリーニング!$AE$6:$AE$405,$A12),BBスクリーニング!$AE$6:$AE$405,0)),"")</f>
        <v/>
      </c>
      <c r="O12" s="536" t="str">
        <f t="shared" si="0"/>
        <v/>
      </c>
      <c r="V12" s="435" t="s">
        <v>1184</v>
      </c>
      <c r="W12" s="435" t="s">
        <v>1185</v>
      </c>
    </row>
    <row r="13" spans="1:23" ht="38.4">
      <c r="A13" s="512">
        <v>9</v>
      </c>
      <c r="B13" s="513" t="str">
        <f>IFERROR(INDEX(BBスクリーニング!$B$6:$B$405,MATCH(LARGE(BBスクリーニング!$AE$6:$AE$405,$A13),BBスクリーニング!$AE$6:$AE$405,0)),"")</f>
        <v/>
      </c>
      <c r="C13" s="514" t="str">
        <f>IFERROR(INDEX(BBスクリーニング!$C$6:$C$405,MATCH(LARGE(BBスクリーニング!$AE$6:$AE$405,$A13),BBスクリーニング!$AE$6:$AE$405,0)),"")</f>
        <v/>
      </c>
      <c r="D13" s="515" t="str">
        <f>IFERROR(INDEX(BBスクリーニング!$D$6:$D$405,MATCH(LARGE(BBスクリーニング!$AE$6:$AE$405,$A13),BBスクリーニング!$AE$6:$AE$405,0)),"")</f>
        <v/>
      </c>
      <c r="E13" s="513" t="str">
        <f>IFERROR(INDEX(BBスクリーニング!$N$6:$N$405,MATCH(LARGE(BBスクリーニング!$AE$6:$AE$405,$A13),BBスクリーニング!$AE$6:$AE$405,0)),"")</f>
        <v/>
      </c>
      <c r="F13" s="513" t="str">
        <f>IFERROR(INDEX(BBスクリーニング!$P$6:$P$405,MATCH(LARGE(BBスクリーニング!$AE$6:$AE$405,$A13),BBスクリーニング!$AE$6:$AE$405,0)),"")</f>
        <v/>
      </c>
      <c r="G13" s="516" t="str">
        <f>IFERROR(INDEX(BBスクリーニング!$Q$6:$Q$405,MATCH(LARGE(BBスクリーニング!$AE$6:$AE$405,$A13),BBスクリーニング!$AE$6:$AE$405,0)),"")</f>
        <v/>
      </c>
      <c r="H13" s="516" t="str">
        <f>IFERROR(INDEX(BBスクリーニング!$R$6:$R$405,MATCH(LARGE(BBスクリーニング!$AE$6:$AE$405,$A13),BBスクリーニング!$AE$6:$AE$405,0)),"")</f>
        <v/>
      </c>
      <c r="I13" s="513" t="str">
        <f>IFERROR(INDEX(BBスクリーニング!$S$6:$S$405,MATCH(LARGE(BBスクリーニング!$AE$6:$AE$405,$A13),BBスクリーニング!$AE$6:$AE$405,0)),"")</f>
        <v/>
      </c>
      <c r="J13" s="517" t="str">
        <f>IFERROR(INDEX(BBスクリーニング!$W$6:$W$405,MATCH(LARGE(BBスクリーニング!$AE$6:$AE$405,$A13),BBスクリーニング!$AE$6:$AE$405,0)),"")</f>
        <v/>
      </c>
      <c r="K13" s="512" t="str">
        <f>IFERROR(INDEX(BBスクリーニング!$X$6:$X$405,MATCH(LARGE(BBスクリーニング!$AE$6:$AE$405,$A13),BBスクリーニング!$AE$6:$AE$405,0)),"")</f>
        <v/>
      </c>
      <c r="L13" s="515" t="str">
        <f>IFERROR(INDEX(BBスクリーニング!$Z$6:$Z$405,MATCH(LARGE(BBスクリーニング!$AE$6:$AE$405,$A13),BBスクリーニング!$AE$6:$AE$405,0)),"")</f>
        <v/>
      </c>
      <c r="M13" s="515" t="str">
        <f>IFERROR(INDEX(BBスクリーニング!$AA$6:$AA$405,MATCH(LARGE(BBスクリーニング!$AE$6:$AE$405,$A13),BBスクリーニング!$AE$6:$AE$405,0)),"")</f>
        <v/>
      </c>
      <c r="N13" s="535" t="str">
        <f>IFERROR(INDEX(BBスクリーニング!$AC$6:$AC$405,MATCH(LARGE(BBスクリーニング!$AE$6:$AE$405,$A13),BBスクリーニング!$AE$6:$AE$405,0)),"")</f>
        <v/>
      </c>
      <c r="O13" s="536" t="str">
        <f t="shared" si="0"/>
        <v/>
      </c>
      <c r="V13" s="435">
        <v>68.3</v>
      </c>
      <c r="W13" s="435" t="s">
        <v>1186</v>
      </c>
    </row>
    <row r="14" spans="1:23">
      <c r="A14" s="512">
        <v>10</v>
      </c>
      <c r="B14" s="513" t="str">
        <f>IFERROR(INDEX(BBスクリーニング!$B$6:$B$405,MATCH(LARGE(BBスクリーニング!$AE$6:$AE$405,$A14),BBスクリーニング!$AE$6:$AE$405,0)),"")</f>
        <v/>
      </c>
      <c r="C14" s="514" t="str">
        <f>IFERROR(INDEX(BBスクリーニング!$C$6:$C$405,MATCH(LARGE(BBスクリーニング!$AE$6:$AE$405,$A14),BBスクリーニング!$AE$6:$AE$405,0)),"")</f>
        <v/>
      </c>
      <c r="D14" s="515" t="str">
        <f>IFERROR(INDEX(BBスクリーニング!$D$6:$D$405,MATCH(LARGE(BBスクリーニング!$AE$6:$AE$405,$A14),BBスクリーニング!$AE$6:$AE$405,0)),"")</f>
        <v/>
      </c>
      <c r="E14" s="513" t="str">
        <f>IFERROR(INDEX(BBスクリーニング!$N$6:$N$405,MATCH(LARGE(BBスクリーニング!$AE$6:$AE$405,$A14),BBスクリーニング!$AE$6:$AE$405,0)),"")</f>
        <v/>
      </c>
      <c r="F14" s="513" t="str">
        <f>IFERROR(INDEX(BBスクリーニング!$P$6:$P$405,MATCH(LARGE(BBスクリーニング!$AE$6:$AE$405,$A14),BBスクリーニング!$AE$6:$AE$405,0)),"")</f>
        <v/>
      </c>
      <c r="G14" s="516" t="str">
        <f>IFERROR(INDEX(BBスクリーニング!$Q$6:$Q$405,MATCH(LARGE(BBスクリーニング!$AE$6:$AE$405,$A14),BBスクリーニング!$AE$6:$AE$405,0)),"")</f>
        <v/>
      </c>
      <c r="H14" s="516" t="str">
        <f>IFERROR(INDEX(BBスクリーニング!$R$6:$R$405,MATCH(LARGE(BBスクリーニング!$AE$6:$AE$405,$A14),BBスクリーニング!$AE$6:$AE$405,0)),"")</f>
        <v/>
      </c>
      <c r="I14" s="513" t="str">
        <f>IFERROR(INDEX(BBスクリーニング!$S$6:$S$405,MATCH(LARGE(BBスクリーニング!$AE$6:$AE$405,$A14),BBスクリーニング!$AE$6:$AE$405,0)),"")</f>
        <v/>
      </c>
      <c r="J14" s="517" t="str">
        <f>IFERROR(INDEX(BBスクリーニング!$W$6:$W$405,MATCH(LARGE(BBスクリーニング!$AE$6:$AE$405,$A14),BBスクリーニング!$AE$6:$AE$405,0)),"")</f>
        <v/>
      </c>
      <c r="K14" s="512" t="str">
        <f>IFERROR(INDEX(BBスクリーニング!$X$6:$X$405,MATCH(LARGE(BBスクリーニング!$AE$6:$AE$405,$A14),BBスクリーニング!$AE$6:$AE$405,0)),"")</f>
        <v/>
      </c>
      <c r="L14" s="515" t="str">
        <f>IFERROR(INDEX(BBスクリーニング!$Z$6:$Z$405,MATCH(LARGE(BBスクリーニング!$AE$6:$AE$405,$A14),BBスクリーニング!$AE$6:$AE$405,0)),"")</f>
        <v/>
      </c>
      <c r="M14" s="515" t="str">
        <f>IFERROR(INDEX(BBスクリーニング!$AA$6:$AA$405,MATCH(LARGE(BBスクリーニング!$AE$6:$AE$405,$A14),BBスクリーニング!$AE$6:$AE$405,0)),"")</f>
        <v/>
      </c>
      <c r="N14" s="535" t="str">
        <f>IFERROR(INDEX(BBスクリーニング!$AC$6:$AC$405,MATCH(LARGE(BBスクリーニング!$AE$6:$AE$405,$A14),BBスクリーニング!$AE$6:$AE$405,0)),"")</f>
        <v/>
      </c>
      <c r="O14" s="536" t="str">
        <f t="shared" si="0"/>
        <v/>
      </c>
      <c r="V14" s="435">
        <v>59.4</v>
      </c>
      <c r="W14" s="435" t="s">
        <v>1187</v>
      </c>
    </row>
    <row r="15" spans="1:23">
      <c r="A15" s="512">
        <v>11</v>
      </c>
      <c r="B15" s="513" t="str">
        <f>IFERROR(INDEX(BBスクリーニング!$B$6:$B$405,MATCH(LARGE(BBスクリーニング!$AE$6:$AE$405,$A15),BBスクリーニング!$AE$6:$AE$405,0)),"")</f>
        <v/>
      </c>
      <c r="C15" s="514" t="str">
        <f>IFERROR(INDEX(BBスクリーニング!$C$6:$C$405,MATCH(LARGE(BBスクリーニング!$AE$6:$AE$405,$A15),BBスクリーニング!$AE$6:$AE$405,0)),"")</f>
        <v/>
      </c>
      <c r="D15" s="515" t="str">
        <f>IFERROR(INDEX(BBスクリーニング!$D$6:$D$405,MATCH(LARGE(BBスクリーニング!$AE$6:$AE$405,$A15),BBスクリーニング!$AE$6:$AE$405,0)),"")</f>
        <v/>
      </c>
      <c r="E15" s="513" t="str">
        <f>IFERROR(INDEX(BBスクリーニング!$N$6:$N$405,MATCH(LARGE(BBスクリーニング!$AE$6:$AE$405,$A15),BBスクリーニング!$AE$6:$AE$405,0)),"")</f>
        <v/>
      </c>
      <c r="F15" s="513" t="str">
        <f>IFERROR(INDEX(BBスクリーニング!$P$6:$P$405,MATCH(LARGE(BBスクリーニング!$AE$6:$AE$405,$A15),BBスクリーニング!$AE$6:$AE$405,0)),"")</f>
        <v/>
      </c>
      <c r="G15" s="516" t="str">
        <f>IFERROR(INDEX(BBスクリーニング!$Q$6:$Q$405,MATCH(LARGE(BBスクリーニング!$AE$6:$AE$405,$A15),BBスクリーニング!$AE$6:$AE$405,0)),"")</f>
        <v/>
      </c>
      <c r="H15" s="516" t="str">
        <f>IFERROR(INDEX(BBスクリーニング!$R$6:$R$405,MATCH(LARGE(BBスクリーニング!$AE$6:$AE$405,$A15),BBスクリーニング!$AE$6:$AE$405,0)),"")</f>
        <v/>
      </c>
      <c r="I15" s="513" t="str">
        <f>IFERROR(INDEX(BBスクリーニング!$S$6:$S$405,MATCH(LARGE(BBスクリーニング!$AE$6:$AE$405,$A15),BBスクリーニング!$AE$6:$AE$405,0)),"")</f>
        <v/>
      </c>
      <c r="J15" s="517" t="str">
        <f>IFERROR(INDEX(BBスクリーニング!$W$6:$W$405,MATCH(LARGE(BBスクリーニング!$AE$6:$AE$405,$A15),BBスクリーニング!$AE$6:$AE$405,0)),"")</f>
        <v/>
      </c>
      <c r="K15" s="512" t="str">
        <f>IFERROR(INDEX(BBスクリーニング!$X$6:$X$405,MATCH(LARGE(BBスクリーニング!$AE$6:$AE$405,$A15),BBスクリーニング!$AE$6:$AE$405,0)),"")</f>
        <v/>
      </c>
      <c r="L15" s="515" t="str">
        <f>IFERROR(INDEX(BBスクリーニング!$Z$6:$Z$405,MATCH(LARGE(BBスクリーニング!$AE$6:$AE$405,$A15),BBスクリーニング!$AE$6:$AE$405,0)),"")</f>
        <v/>
      </c>
      <c r="M15" s="515" t="str">
        <f>IFERROR(INDEX(BBスクリーニング!$AA$6:$AA$405,MATCH(LARGE(BBスクリーニング!$AE$6:$AE$405,$A15),BBスクリーニング!$AE$6:$AE$405,0)),"")</f>
        <v/>
      </c>
      <c r="N15" s="535" t="str">
        <f>IFERROR(INDEX(BBスクリーニング!$AC$6:$AC$405,MATCH(LARGE(BBスクリーニング!$AE$6:$AE$405,$A15),BBスクリーニング!$AE$6:$AE$405,0)),"")</f>
        <v/>
      </c>
      <c r="O15" s="536" t="str">
        <f t="shared" si="0"/>
        <v/>
      </c>
      <c r="V15" s="435" t="e" cm="1">
        <f t="array" ref="V15">-(なし)</f>
        <v>#NAME?</v>
      </c>
      <c r="W15" s="435" t="s">
        <v>1188</v>
      </c>
    </row>
    <row r="16" spans="1:23">
      <c r="A16" s="512">
        <v>12</v>
      </c>
      <c r="B16" s="513" t="str">
        <f>IFERROR(INDEX(BBスクリーニング!$B$6:$B$405,MATCH(LARGE(BBスクリーニング!$AE$6:$AE$405,$A16),BBスクリーニング!$AE$6:$AE$405,0)),"")</f>
        <v/>
      </c>
      <c r="C16" s="514" t="str">
        <f>IFERROR(INDEX(BBスクリーニング!$C$6:$C$405,MATCH(LARGE(BBスクリーニング!$AE$6:$AE$405,$A16),BBスクリーニング!$AE$6:$AE$405,0)),"")</f>
        <v/>
      </c>
      <c r="D16" s="515" t="str">
        <f>IFERROR(INDEX(BBスクリーニング!$D$6:$D$405,MATCH(LARGE(BBスクリーニング!$AE$6:$AE$405,$A16),BBスクリーニング!$AE$6:$AE$405,0)),"")</f>
        <v/>
      </c>
      <c r="E16" s="513" t="str">
        <f>IFERROR(INDEX(BBスクリーニング!$N$6:$N$405,MATCH(LARGE(BBスクリーニング!$AE$6:$AE$405,$A16),BBスクリーニング!$AE$6:$AE$405,0)),"")</f>
        <v/>
      </c>
      <c r="F16" s="513" t="str">
        <f>IFERROR(INDEX(BBスクリーニング!$P$6:$P$405,MATCH(LARGE(BBスクリーニング!$AE$6:$AE$405,$A16),BBスクリーニング!$AE$6:$AE$405,0)),"")</f>
        <v/>
      </c>
      <c r="G16" s="516" t="str">
        <f>IFERROR(INDEX(BBスクリーニング!$Q$6:$Q$405,MATCH(LARGE(BBスクリーニング!$AE$6:$AE$405,$A16),BBスクリーニング!$AE$6:$AE$405,0)),"")</f>
        <v/>
      </c>
      <c r="H16" s="516" t="str">
        <f>IFERROR(INDEX(BBスクリーニング!$R$6:$R$405,MATCH(LARGE(BBスクリーニング!$AE$6:$AE$405,$A16),BBスクリーニング!$AE$6:$AE$405,0)),"")</f>
        <v/>
      </c>
      <c r="I16" s="513" t="str">
        <f>IFERROR(INDEX(BBスクリーニング!$S$6:$S$405,MATCH(LARGE(BBスクリーニング!$AE$6:$AE$405,$A16),BBスクリーニング!$AE$6:$AE$405,0)),"")</f>
        <v/>
      </c>
      <c r="J16" s="517" t="str">
        <f>IFERROR(INDEX(BBスクリーニング!$W$6:$W$405,MATCH(LARGE(BBスクリーニング!$AE$6:$AE$405,$A16),BBスクリーニング!$AE$6:$AE$405,0)),"")</f>
        <v/>
      </c>
      <c r="K16" s="512" t="str">
        <f>IFERROR(INDEX(BBスクリーニング!$X$6:$X$405,MATCH(LARGE(BBスクリーニング!$AE$6:$AE$405,$A16),BBスクリーニング!$AE$6:$AE$405,0)),"")</f>
        <v/>
      </c>
      <c r="L16" s="515" t="str">
        <f>IFERROR(INDEX(BBスクリーニング!$Z$6:$Z$405,MATCH(LARGE(BBスクリーニング!$AE$6:$AE$405,$A16),BBスクリーニング!$AE$6:$AE$405,0)),"")</f>
        <v/>
      </c>
      <c r="M16" s="515" t="str">
        <f>IFERROR(INDEX(BBスクリーニング!$AA$6:$AA$405,MATCH(LARGE(BBスクリーニング!$AE$6:$AE$405,$A16),BBスクリーニング!$AE$6:$AE$405,0)),"")</f>
        <v/>
      </c>
      <c r="N16" s="535" t="str">
        <f>IFERROR(INDEX(BBスクリーニング!$AC$6:$AC$405,MATCH(LARGE(BBスクリーニング!$AE$6:$AE$405,$A16),BBスクリーニング!$AE$6:$AE$405,0)),"")</f>
        <v/>
      </c>
      <c r="O16" s="536" t="str">
        <f t="shared" si="0"/>
        <v/>
      </c>
      <c r="V16" s="435" t="s">
        <v>1123</v>
      </c>
      <c r="W16" s="435" t="s">
        <v>1189</v>
      </c>
    </row>
    <row r="17" spans="1:23">
      <c r="A17" s="512">
        <v>13</v>
      </c>
      <c r="B17" s="513" t="str">
        <f>IFERROR(INDEX(BBスクリーニング!$B$6:$B$405,MATCH(LARGE(BBスクリーニング!$AE$6:$AE$405,$A17),BBスクリーニング!$AE$6:$AE$405,0)),"")</f>
        <v/>
      </c>
      <c r="C17" s="514" t="str">
        <f>IFERROR(INDEX(BBスクリーニング!$C$6:$C$405,MATCH(LARGE(BBスクリーニング!$AE$6:$AE$405,$A17),BBスクリーニング!$AE$6:$AE$405,0)),"")</f>
        <v/>
      </c>
      <c r="D17" s="515" t="str">
        <f>IFERROR(INDEX(BBスクリーニング!$D$6:$D$405,MATCH(LARGE(BBスクリーニング!$AE$6:$AE$405,$A17),BBスクリーニング!$AE$6:$AE$405,0)),"")</f>
        <v/>
      </c>
      <c r="E17" s="513" t="str">
        <f>IFERROR(INDEX(BBスクリーニング!$N$6:$N$405,MATCH(LARGE(BBスクリーニング!$AE$6:$AE$405,$A17),BBスクリーニング!$AE$6:$AE$405,0)),"")</f>
        <v/>
      </c>
      <c r="F17" s="513" t="str">
        <f>IFERROR(INDEX(BBスクリーニング!$P$6:$P$405,MATCH(LARGE(BBスクリーニング!$AE$6:$AE$405,$A17),BBスクリーニング!$AE$6:$AE$405,0)),"")</f>
        <v/>
      </c>
      <c r="G17" s="516" t="str">
        <f>IFERROR(INDEX(BBスクリーニング!$Q$6:$Q$405,MATCH(LARGE(BBスクリーニング!$AE$6:$AE$405,$A17),BBスクリーニング!$AE$6:$AE$405,0)),"")</f>
        <v/>
      </c>
      <c r="H17" s="516" t="str">
        <f>IFERROR(INDEX(BBスクリーニング!$R$6:$R$405,MATCH(LARGE(BBスクリーニング!$AE$6:$AE$405,$A17),BBスクリーニング!$AE$6:$AE$405,0)),"")</f>
        <v/>
      </c>
      <c r="I17" s="513" t="str">
        <f>IFERROR(INDEX(BBスクリーニング!$S$6:$S$405,MATCH(LARGE(BBスクリーニング!$AE$6:$AE$405,$A17),BBスクリーニング!$AE$6:$AE$405,0)),"")</f>
        <v/>
      </c>
      <c r="J17" s="517" t="str">
        <f>IFERROR(INDEX(BBスクリーニング!$W$6:$W$405,MATCH(LARGE(BBスクリーニング!$AE$6:$AE$405,$A17),BBスクリーニング!$AE$6:$AE$405,0)),"")</f>
        <v/>
      </c>
      <c r="K17" s="512" t="str">
        <f>IFERROR(INDEX(BBスクリーニング!$X$6:$X$405,MATCH(LARGE(BBスクリーニング!$AE$6:$AE$405,$A17),BBスクリーニング!$AE$6:$AE$405,0)),"")</f>
        <v/>
      </c>
      <c r="L17" s="515" t="str">
        <f>IFERROR(INDEX(BBスクリーニング!$Z$6:$Z$405,MATCH(LARGE(BBスクリーニング!$AE$6:$AE$405,$A17),BBスクリーニング!$AE$6:$AE$405,0)),"")</f>
        <v/>
      </c>
      <c r="M17" s="515" t="str">
        <f>IFERROR(INDEX(BBスクリーニング!$AA$6:$AA$405,MATCH(LARGE(BBスクリーニング!$AE$6:$AE$405,$A17),BBスクリーニング!$AE$6:$AE$405,0)),"")</f>
        <v/>
      </c>
      <c r="N17" s="535" t="str">
        <f>IFERROR(INDEX(BBスクリーニング!$AC$6:$AC$405,MATCH(LARGE(BBスクリーニング!$AE$6:$AE$405,$A17),BBスクリーニング!$AE$6:$AE$405,0)),"")</f>
        <v/>
      </c>
      <c r="O17" s="536" t="str">
        <f t="shared" si="0"/>
        <v/>
      </c>
      <c r="V17" s="435">
        <v>62</v>
      </c>
      <c r="W17" s="435" t="s">
        <v>1190</v>
      </c>
    </row>
    <row r="18" spans="1:23">
      <c r="A18" s="512">
        <v>14</v>
      </c>
      <c r="B18" s="513" t="str">
        <f>IFERROR(INDEX(BBスクリーニング!$B$6:$B$405,MATCH(LARGE(BBスクリーニング!$AE$6:$AE$405,$A18),BBスクリーニング!$AE$6:$AE$405,0)),"")</f>
        <v/>
      </c>
      <c r="C18" s="514" t="str">
        <f>IFERROR(INDEX(BBスクリーニング!$C$6:$C$405,MATCH(LARGE(BBスクリーニング!$AE$6:$AE$405,$A18),BBスクリーニング!$AE$6:$AE$405,0)),"")</f>
        <v/>
      </c>
      <c r="D18" s="515" t="str">
        <f>IFERROR(INDEX(BBスクリーニング!$D$6:$D$405,MATCH(LARGE(BBスクリーニング!$AE$6:$AE$405,$A18),BBスクリーニング!$AE$6:$AE$405,0)),"")</f>
        <v/>
      </c>
      <c r="E18" s="513" t="str">
        <f>IFERROR(INDEX(BBスクリーニング!$N$6:$N$405,MATCH(LARGE(BBスクリーニング!$AE$6:$AE$405,$A18),BBスクリーニング!$AE$6:$AE$405,0)),"")</f>
        <v/>
      </c>
      <c r="F18" s="513" t="str">
        <f>IFERROR(INDEX(BBスクリーニング!$P$6:$P$405,MATCH(LARGE(BBスクリーニング!$AE$6:$AE$405,$A18),BBスクリーニング!$AE$6:$AE$405,0)),"")</f>
        <v/>
      </c>
      <c r="G18" s="516" t="str">
        <f>IFERROR(INDEX(BBスクリーニング!$Q$6:$Q$405,MATCH(LARGE(BBスクリーニング!$AE$6:$AE$405,$A18),BBスクリーニング!$AE$6:$AE$405,0)),"")</f>
        <v/>
      </c>
      <c r="H18" s="516" t="str">
        <f>IFERROR(INDEX(BBスクリーニング!$R$6:$R$405,MATCH(LARGE(BBスクリーニング!$AE$6:$AE$405,$A18),BBスクリーニング!$AE$6:$AE$405,0)),"")</f>
        <v/>
      </c>
      <c r="I18" s="513" t="str">
        <f>IFERROR(INDEX(BBスクリーニング!$S$6:$S$405,MATCH(LARGE(BBスクリーニング!$AE$6:$AE$405,$A18),BBスクリーニング!$AE$6:$AE$405,0)),"")</f>
        <v/>
      </c>
      <c r="J18" s="517" t="str">
        <f>IFERROR(INDEX(BBスクリーニング!$W$6:$W$405,MATCH(LARGE(BBスクリーニング!$AE$6:$AE$405,$A18),BBスクリーニング!$AE$6:$AE$405,0)),"")</f>
        <v/>
      </c>
      <c r="K18" s="512" t="str">
        <f>IFERROR(INDEX(BBスクリーニング!$X$6:$X$405,MATCH(LARGE(BBスクリーニング!$AE$6:$AE$405,$A18),BBスクリーニング!$AE$6:$AE$405,0)),"")</f>
        <v/>
      </c>
      <c r="L18" s="515" t="str">
        <f>IFERROR(INDEX(BBスクリーニング!$Z$6:$Z$405,MATCH(LARGE(BBスクリーニング!$AE$6:$AE$405,$A18),BBスクリーニング!$AE$6:$AE$405,0)),"")</f>
        <v/>
      </c>
      <c r="M18" s="515" t="str">
        <f>IFERROR(INDEX(BBスクリーニング!$AA$6:$AA$405,MATCH(LARGE(BBスクリーニング!$AE$6:$AE$405,$A18),BBスクリーニング!$AE$6:$AE$405,0)),"")</f>
        <v/>
      </c>
      <c r="N18" s="535" t="str">
        <f>IFERROR(INDEX(BBスクリーニング!$AC$6:$AC$405,MATCH(LARGE(BBスクリーニング!$AE$6:$AE$405,$A18),BBスクリーニング!$AE$6:$AE$405,0)),"")</f>
        <v/>
      </c>
      <c r="O18" s="536" t="str">
        <f t="shared" si="0"/>
        <v/>
      </c>
      <c r="V18" s="518">
        <v>4987</v>
      </c>
      <c r="W18" s="435" t="s">
        <v>1191</v>
      </c>
    </row>
    <row r="19" spans="1:23">
      <c r="A19" s="512">
        <v>15</v>
      </c>
      <c r="B19" s="513" t="str">
        <f>IFERROR(INDEX(BBスクリーニング!$B$6:$B$405,MATCH(LARGE(BBスクリーニング!$AE$6:$AE$405,$A19),BBスクリーニング!$AE$6:$AE$405,0)),"")</f>
        <v/>
      </c>
      <c r="C19" s="514" t="str">
        <f>IFERROR(INDEX(BBスクリーニング!$C$6:$C$405,MATCH(LARGE(BBスクリーニング!$AE$6:$AE$405,$A19),BBスクリーニング!$AE$6:$AE$405,0)),"")</f>
        <v/>
      </c>
      <c r="D19" s="515" t="str">
        <f>IFERROR(INDEX(BBスクリーニング!$D$6:$D$405,MATCH(LARGE(BBスクリーニング!$AE$6:$AE$405,$A19),BBスクリーニング!$AE$6:$AE$405,0)),"")</f>
        <v/>
      </c>
      <c r="E19" s="513" t="str">
        <f>IFERROR(INDEX(BBスクリーニング!$N$6:$N$405,MATCH(LARGE(BBスクリーニング!$AE$6:$AE$405,$A19),BBスクリーニング!$AE$6:$AE$405,0)),"")</f>
        <v/>
      </c>
      <c r="F19" s="513" t="str">
        <f>IFERROR(INDEX(BBスクリーニング!$P$6:$P$405,MATCH(LARGE(BBスクリーニング!$AE$6:$AE$405,$A19),BBスクリーニング!$AE$6:$AE$405,0)),"")</f>
        <v/>
      </c>
      <c r="G19" s="516" t="str">
        <f>IFERROR(INDEX(BBスクリーニング!$Q$6:$Q$405,MATCH(LARGE(BBスクリーニング!$AE$6:$AE$405,$A19),BBスクリーニング!$AE$6:$AE$405,0)),"")</f>
        <v/>
      </c>
      <c r="H19" s="516" t="str">
        <f>IFERROR(INDEX(BBスクリーニング!$R$6:$R$405,MATCH(LARGE(BBスクリーニング!$AE$6:$AE$405,$A19),BBスクリーニング!$AE$6:$AE$405,0)),"")</f>
        <v/>
      </c>
      <c r="I19" s="513" t="str">
        <f>IFERROR(INDEX(BBスクリーニング!$S$6:$S$405,MATCH(LARGE(BBスクリーニング!$AE$6:$AE$405,$A19),BBスクリーニング!$AE$6:$AE$405,0)),"")</f>
        <v/>
      </c>
      <c r="J19" s="517" t="str">
        <f>IFERROR(INDEX(BBスクリーニング!$W$6:$W$405,MATCH(LARGE(BBスクリーニング!$AE$6:$AE$405,$A19),BBスクリーニング!$AE$6:$AE$405,0)),"")</f>
        <v/>
      </c>
      <c r="K19" s="512" t="str">
        <f>IFERROR(INDEX(BBスクリーニング!$X$6:$X$405,MATCH(LARGE(BBスクリーニング!$AE$6:$AE$405,$A19),BBスクリーニング!$AE$6:$AE$405,0)),"")</f>
        <v/>
      </c>
      <c r="L19" s="515" t="str">
        <f>IFERROR(INDEX(BBスクリーニング!$Z$6:$Z$405,MATCH(LARGE(BBスクリーニング!$AE$6:$AE$405,$A19),BBスクリーニング!$AE$6:$AE$405,0)),"")</f>
        <v/>
      </c>
      <c r="M19" s="515" t="str">
        <f>IFERROR(INDEX(BBスクリーニング!$AA$6:$AA$405,MATCH(LARGE(BBスクリーニング!$AE$6:$AE$405,$A19),BBスクリーニング!$AE$6:$AE$405,0)),"")</f>
        <v/>
      </c>
      <c r="N19" s="535" t="str">
        <f>IFERROR(INDEX(BBスクリーニング!$AC$6:$AC$405,MATCH(LARGE(BBスクリーニング!$AE$6:$AE$405,$A19),BBスクリーニング!$AE$6:$AE$405,0)),"")</f>
        <v/>
      </c>
      <c r="O19" s="536" t="str">
        <f t="shared" si="0"/>
        <v/>
      </c>
      <c r="V19" s="518">
        <v>4852</v>
      </c>
      <c r="W19" s="435" t="s">
        <v>1192</v>
      </c>
    </row>
    <row r="20" spans="1:23">
      <c r="A20" s="512">
        <v>16</v>
      </c>
      <c r="B20" s="513" t="str">
        <f>IFERROR(INDEX(BBスクリーニング!$B$6:$B$405,MATCH(LARGE(BBスクリーニング!$AE$6:$AE$405,$A20),BBスクリーニング!$AE$6:$AE$405,0)),"")</f>
        <v/>
      </c>
      <c r="C20" s="514" t="str">
        <f>IFERROR(INDEX(BBスクリーニング!$C$6:$C$405,MATCH(LARGE(BBスクリーニング!$AE$6:$AE$405,$A20),BBスクリーニング!$AE$6:$AE$405,0)),"")</f>
        <v/>
      </c>
      <c r="D20" s="515" t="str">
        <f>IFERROR(INDEX(BBスクリーニング!$D$6:$D$405,MATCH(LARGE(BBスクリーニング!$AE$6:$AE$405,$A20),BBスクリーニング!$AE$6:$AE$405,0)),"")</f>
        <v/>
      </c>
      <c r="E20" s="513" t="str">
        <f>IFERROR(INDEX(BBスクリーニング!$N$6:$N$405,MATCH(LARGE(BBスクリーニング!$AE$6:$AE$405,$A20),BBスクリーニング!$AE$6:$AE$405,0)),"")</f>
        <v/>
      </c>
      <c r="F20" s="513" t="str">
        <f>IFERROR(INDEX(BBスクリーニング!$P$6:$P$405,MATCH(LARGE(BBスクリーニング!$AE$6:$AE$405,$A20),BBスクリーニング!$AE$6:$AE$405,0)),"")</f>
        <v/>
      </c>
      <c r="G20" s="516" t="str">
        <f>IFERROR(INDEX(BBスクリーニング!$Q$6:$Q$405,MATCH(LARGE(BBスクリーニング!$AE$6:$AE$405,$A20),BBスクリーニング!$AE$6:$AE$405,0)),"")</f>
        <v/>
      </c>
      <c r="H20" s="516" t="str">
        <f>IFERROR(INDEX(BBスクリーニング!$R$6:$R$405,MATCH(LARGE(BBスクリーニング!$AE$6:$AE$405,$A20),BBスクリーニング!$AE$6:$AE$405,0)),"")</f>
        <v/>
      </c>
      <c r="I20" s="513" t="str">
        <f>IFERROR(INDEX(BBスクリーニング!$S$6:$S$405,MATCH(LARGE(BBスクリーニング!$AE$6:$AE$405,$A20),BBスクリーニング!$AE$6:$AE$405,0)),"")</f>
        <v/>
      </c>
      <c r="J20" s="517" t="str">
        <f>IFERROR(INDEX(BBスクリーニング!$W$6:$W$405,MATCH(LARGE(BBスクリーニング!$AE$6:$AE$405,$A20),BBスクリーニング!$AE$6:$AE$405,0)),"")</f>
        <v/>
      </c>
      <c r="K20" s="512" t="str">
        <f>IFERROR(INDEX(BBスクリーニング!$X$6:$X$405,MATCH(LARGE(BBスクリーニング!$AE$6:$AE$405,$A20),BBスクリーニング!$AE$6:$AE$405,0)),"")</f>
        <v/>
      </c>
      <c r="L20" s="515" t="str">
        <f>IFERROR(INDEX(BBスクリーニング!$Z$6:$Z$405,MATCH(LARGE(BBスクリーニング!$AE$6:$AE$405,$A20),BBスクリーニング!$AE$6:$AE$405,0)),"")</f>
        <v/>
      </c>
      <c r="M20" s="515" t="str">
        <f>IFERROR(INDEX(BBスクリーニング!$AA$6:$AA$405,MATCH(LARGE(BBスクリーニング!$AE$6:$AE$405,$A20),BBスクリーニング!$AE$6:$AE$405,0)),"")</f>
        <v/>
      </c>
      <c r="N20" s="535" t="str">
        <f>IFERROR(INDEX(BBスクリーニング!$AC$6:$AC$405,MATCH(LARGE(BBスクリーニング!$AE$6:$AE$405,$A20),BBスクリーニング!$AE$6:$AE$405,0)),"")</f>
        <v/>
      </c>
      <c r="O20" s="536" t="str">
        <f t="shared" si="0"/>
        <v/>
      </c>
      <c r="V20" s="435" t="s">
        <v>1193</v>
      </c>
      <c r="W20" s="435" t="s">
        <v>1194</v>
      </c>
    </row>
    <row r="21" spans="1:23">
      <c r="A21" s="512">
        <v>17</v>
      </c>
      <c r="B21" s="513" t="str">
        <f>IFERROR(INDEX(BBスクリーニング!$B$6:$B$405,MATCH(LARGE(BBスクリーニング!$AE$6:$AE$405,$A21),BBスクリーニング!$AE$6:$AE$405,0)),"")</f>
        <v/>
      </c>
      <c r="C21" s="514" t="str">
        <f>IFERROR(INDEX(BBスクリーニング!$C$6:$C$405,MATCH(LARGE(BBスクリーニング!$AE$6:$AE$405,$A21),BBスクリーニング!$AE$6:$AE$405,0)),"")</f>
        <v/>
      </c>
      <c r="D21" s="515" t="str">
        <f>IFERROR(INDEX(BBスクリーニング!$D$6:$D$405,MATCH(LARGE(BBスクリーニング!$AE$6:$AE$405,$A21),BBスクリーニング!$AE$6:$AE$405,0)),"")</f>
        <v/>
      </c>
      <c r="E21" s="513" t="str">
        <f>IFERROR(INDEX(BBスクリーニング!$N$6:$N$405,MATCH(LARGE(BBスクリーニング!$AE$6:$AE$405,$A21),BBスクリーニング!$AE$6:$AE$405,0)),"")</f>
        <v/>
      </c>
      <c r="F21" s="513" t="str">
        <f>IFERROR(INDEX(BBスクリーニング!$P$6:$P$405,MATCH(LARGE(BBスクリーニング!$AE$6:$AE$405,$A21),BBスクリーニング!$AE$6:$AE$405,0)),"")</f>
        <v/>
      </c>
      <c r="G21" s="516" t="str">
        <f>IFERROR(INDEX(BBスクリーニング!$Q$6:$Q$405,MATCH(LARGE(BBスクリーニング!$AE$6:$AE$405,$A21),BBスクリーニング!$AE$6:$AE$405,0)),"")</f>
        <v/>
      </c>
      <c r="H21" s="516" t="str">
        <f>IFERROR(INDEX(BBスクリーニング!$R$6:$R$405,MATCH(LARGE(BBスクリーニング!$AE$6:$AE$405,$A21),BBスクリーニング!$AE$6:$AE$405,0)),"")</f>
        <v/>
      </c>
      <c r="I21" s="513" t="str">
        <f>IFERROR(INDEX(BBスクリーニング!$S$6:$S$405,MATCH(LARGE(BBスクリーニング!$AE$6:$AE$405,$A21),BBスクリーニング!$AE$6:$AE$405,0)),"")</f>
        <v/>
      </c>
      <c r="J21" s="517" t="str">
        <f>IFERROR(INDEX(BBスクリーニング!$W$6:$W$405,MATCH(LARGE(BBスクリーニング!$AE$6:$AE$405,$A21),BBスクリーニング!$AE$6:$AE$405,0)),"")</f>
        <v/>
      </c>
      <c r="K21" s="512" t="str">
        <f>IFERROR(INDEX(BBスクリーニング!$X$6:$X$405,MATCH(LARGE(BBスクリーニング!$AE$6:$AE$405,$A21),BBスクリーニング!$AE$6:$AE$405,0)),"")</f>
        <v/>
      </c>
      <c r="L21" s="515" t="str">
        <f>IFERROR(INDEX(BBスクリーニング!$Z$6:$Z$405,MATCH(LARGE(BBスクリーニング!$AE$6:$AE$405,$A21),BBスクリーニング!$AE$6:$AE$405,0)),"")</f>
        <v/>
      </c>
      <c r="M21" s="515" t="str">
        <f>IFERROR(INDEX(BBスクリーニング!$AA$6:$AA$405,MATCH(LARGE(BBスクリーニング!$AE$6:$AE$405,$A21),BBスクリーニング!$AE$6:$AE$405,0)),"")</f>
        <v/>
      </c>
      <c r="N21" s="535" t="str">
        <f>IFERROR(INDEX(BBスクリーニング!$AC$6:$AC$405,MATCH(LARGE(BBスクリーニング!$AE$6:$AE$405,$A21),BBスクリーニング!$AE$6:$AE$405,0)),"")</f>
        <v/>
      </c>
      <c r="O21" s="536" t="str">
        <f t="shared" si="0"/>
        <v/>
      </c>
    </row>
    <row r="22" spans="1:23" ht="38.4">
      <c r="A22" s="512">
        <v>18</v>
      </c>
      <c r="B22" s="513" t="str">
        <f>IFERROR(INDEX(BBスクリーニング!$B$6:$B$405,MATCH(LARGE(BBスクリーニング!$AE$6:$AE$405,$A22),BBスクリーニング!$AE$6:$AE$405,0)),"")</f>
        <v/>
      </c>
      <c r="C22" s="514" t="str">
        <f>IFERROR(INDEX(BBスクリーニング!$C$6:$C$405,MATCH(LARGE(BBスクリーニング!$AE$6:$AE$405,$A22),BBスクリーニング!$AE$6:$AE$405,0)),"")</f>
        <v/>
      </c>
      <c r="D22" s="515" t="str">
        <f>IFERROR(INDEX(BBスクリーニング!$D$6:$D$405,MATCH(LARGE(BBスクリーニング!$AE$6:$AE$405,$A22),BBスクリーニング!$AE$6:$AE$405,0)),"")</f>
        <v/>
      </c>
      <c r="E22" s="513" t="str">
        <f>IFERROR(INDEX(BBスクリーニング!$N$6:$N$405,MATCH(LARGE(BBスクリーニング!$AE$6:$AE$405,$A22),BBスクリーニング!$AE$6:$AE$405,0)),"")</f>
        <v/>
      </c>
      <c r="F22" s="513" t="str">
        <f>IFERROR(INDEX(BBスクリーニング!$P$6:$P$405,MATCH(LARGE(BBスクリーニング!$AE$6:$AE$405,$A22),BBスクリーニング!$AE$6:$AE$405,0)),"")</f>
        <v/>
      </c>
      <c r="G22" s="516" t="str">
        <f>IFERROR(INDEX(BBスクリーニング!$Q$6:$Q$405,MATCH(LARGE(BBスクリーニング!$AE$6:$AE$405,$A22),BBスクリーニング!$AE$6:$AE$405,0)),"")</f>
        <v/>
      </c>
      <c r="H22" s="516" t="str">
        <f>IFERROR(INDEX(BBスクリーニング!$R$6:$R$405,MATCH(LARGE(BBスクリーニング!$AE$6:$AE$405,$A22),BBスクリーニング!$AE$6:$AE$405,0)),"")</f>
        <v/>
      </c>
      <c r="I22" s="513" t="str">
        <f>IFERROR(INDEX(BBスクリーニング!$S$6:$S$405,MATCH(LARGE(BBスクリーニング!$AE$6:$AE$405,$A22),BBスクリーニング!$AE$6:$AE$405,0)),"")</f>
        <v/>
      </c>
      <c r="J22" s="517" t="str">
        <f>IFERROR(INDEX(BBスクリーニング!$W$6:$W$405,MATCH(LARGE(BBスクリーニング!$AE$6:$AE$405,$A22),BBスクリーニング!$AE$6:$AE$405,0)),"")</f>
        <v/>
      </c>
      <c r="K22" s="512" t="str">
        <f>IFERROR(INDEX(BBスクリーニング!$X$6:$X$405,MATCH(LARGE(BBスクリーニング!$AE$6:$AE$405,$A22),BBスクリーニング!$AE$6:$AE$405,0)),"")</f>
        <v/>
      </c>
      <c r="L22" s="515" t="str">
        <f>IFERROR(INDEX(BBスクリーニング!$Z$6:$Z$405,MATCH(LARGE(BBスクリーニング!$AE$6:$AE$405,$A22),BBスクリーニング!$AE$6:$AE$405,0)),"")</f>
        <v/>
      </c>
      <c r="M22" s="515" t="str">
        <f>IFERROR(INDEX(BBスクリーニング!$AA$6:$AA$405,MATCH(LARGE(BBスクリーニング!$AE$6:$AE$405,$A22),BBスクリーニング!$AE$6:$AE$405,0)),"")</f>
        <v/>
      </c>
      <c r="N22" s="535" t="str">
        <f>IFERROR(INDEX(BBスクリーニング!$AC$6:$AC$405,MATCH(LARGE(BBスクリーニング!$AE$6:$AE$405,$A22),BBスクリーニング!$AE$6:$AE$405,0)),"")</f>
        <v/>
      </c>
      <c r="O22" s="536" t="str">
        <f t="shared" si="0"/>
        <v/>
      </c>
    </row>
    <row r="23" spans="1:23">
      <c r="A23" s="512">
        <v>19</v>
      </c>
      <c r="B23" s="513" t="str">
        <f>IFERROR(INDEX(BBスクリーニング!$B$6:$B$405,MATCH(LARGE(BBスクリーニング!$AE$6:$AE$405,$A23),BBスクリーニング!$AE$6:$AE$405,0)),"")</f>
        <v/>
      </c>
      <c r="C23" s="514" t="str">
        <f>IFERROR(INDEX(BBスクリーニング!$C$6:$C$405,MATCH(LARGE(BBスクリーニング!$AE$6:$AE$405,$A23),BBスクリーニング!$AE$6:$AE$405,0)),"")</f>
        <v/>
      </c>
      <c r="D23" s="515" t="str">
        <f>IFERROR(INDEX(BBスクリーニング!$D$6:$D$405,MATCH(LARGE(BBスクリーニング!$AE$6:$AE$405,$A23),BBスクリーニング!$AE$6:$AE$405,0)),"")</f>
        <v/>
      </c>
      <c r="E23" s="513" t="str">
        <f>IFERROR(INDEX(BBスクリーニング!$N$6:$N$405,MATCH(LARGE(BBスクリーニング!$AE$6:$AE$405,$A23),BBスクリーニング!$AE$6:$AE$405,0)),"")</f>
        <v/>
      </c>
      <c r="F23" s="513" t="str">
        <f>IFERROR(INDEX(BBスクリーニング!$P$6:$P$405,MATCH(LARGE(BBスクリーニング!$AE$6:$AE$405,$A23),BBスクリーニング!$AE$6:$AE$405,0)),"")</f>
        <v/>
      </c>
      <c r="G23" s="516" t="str">
        <f>IFERROR(INDEX(BBスクリーニング!$Q$6:$Q$405,MATCH(LARGE(BBスクリーニング!$AE$6:$AE$405,$A23),BBスクリーニング!$AE$6:$AE$405,0)),"")</f>
        <v/>
      </c>
      <c r="H23" s="516" t="str">
        <f>IFERROR(INDEX(BBスクリーニング!$R$6:$R$405,MATCH(LARGE(BBスクリーニング!$AE$6:$AE$405,$A23),BBスクリーニング!$AE$6:$AE$405,0)),"")</f>
        <v/>
      </c>
      <c r="I23" s="513" t="str">
        <f>IFERROR(INDEX(BBスクリーニング!$S$6:$S$405,MATCH(LARGE(BBスクリーニング!$AE$6:$AE$405,$A23),BBスクリーニング!$AE$6:$AE$405,0)),"")</f>
        <v/>
      </c>
      <c r="J23" s="517" t="str">
        <f>IFERROR(INDEX(BBスクリーニング!$W$6:$W$405,MATCH(LARGE(BBスクリーニング!$AE$6:$AE$405,$A23),BBスクリーニング!$AE$6:$AE$405,0)),"")</f>
        <v/>
      </c>
      <c r="K23" s="512" t="str">
        <f>IFERROR(INDEX(BBスクリーニング!$X$6:$X$405,MATCH(LARGE(BBスクリーニング!$AE$6:$AE$405,$A23),BBスクリーニング!$AE$6:$AE$405,0)),"")</f>
        <v/>
      </c>
      <c r="L23" s="515" t="str">
        <f>IFERROR(INDEX(BBスクリーニング!$Z$6:$Z$405,MATCH(LARGE(BBスクリーニング!$AE$6:$AE$405,$A23),BBスクリーニング!$AE$6:$AE$405,0)),"")</f>
        <v/>
      </c>
      <c r="M23" s="515" t="str">
        <f>IFERROR(INDEX(BBスクリーニング!$AA$6:$AA$405,MATCH(LARGE(BBスクリーニング!$AE$6:$AE$405,$A23),BBスクリーニング!$AE$6:$AE$405,0)),"")</f>
        <v/>
      </c>
      <c r="N23" s="535" t="str">
        <f>IFERROR(INDEX(BBスクリーニング!$AC$6:$AC$405,MATCH(LARGE(BBスクリーニング!$AE$6:$AE$405,$A23),BBスクリーニング!$AE$6:$AE$405,0)),"")</f>
        <v/>
      </c>
      <c r="O23" s="536" t="str">
        <f t="shared" si="0"/>
        <v/>
      </c>
    </row>
    <row r="24" spans="1:23">
      <c r="A24" s="512">
        <v>20</v>
      </c>
      <c r="B24" s="513" t="str">
        <f>IFERROR(INDEX(BBスクリーニング!$B$6:$B$405,MATCH(LARGE(BBスクリーニング!$AE$6:$AE$405,$A24),BBスクリーニング!$AE$6:$AE$405,0)),"")</f>
        <v/>
      </c>
      <c r="C24" s="514" t="str">
        <f>IFERROR(INDEX(BBスクリーニング!$C$6:$C$405,MATCH(LARGE(BBスクリーニング!$AE$6:$AE$405,$A24),BBスクリーニング!$AE$6:$AE$405,0)),"")</f>
        <v/>
      </c>
      <c r="D24" s="515" t="str">
        <f>IFERROR(INDEX(BBスクリーニング!$D$6:$D$405,MATCH(LARGE(BBスクリーニング!$AE$6:$AE$405,$A24),BBスクリーニング!$AE$6:$AE$405,0)),"")</f>
        <v/>
      </c>
      <c r="E24" s="513" t="str">
        <f>IFERROR(INDEX(BBスクリーニング!$N$6:$N$405,MATCH(LARGE(BBスクリーニング!$AE$6:$AE$405,$A24),BBスクリーニング!$AE$6:$AE$405,0)),"")</f>
        <v/>
      </c>
      <c r="F24" s="513" t="str">
        <f>IFERROR(INDEX(BBスクリーニング!$P$6:$P$405,MATCH(LARGE(BBスクリーニング!$AE$6:$AE$405,$A24),BBスクリーニング!$AE$6:$AE$405,0)),"")</f>
        <v/>
      </c>
      <c r="G24" s="516" t="str">
        <f>IFERROR(INDEX(BBスクリーニング!$Q$6:$Q$405,MATCH(LARGE(BBスクリーニング!$AE$6:$AE$405,$A24),BBスクリーニング!$AE$6:$AE$405,0)),"")</f>
        <v/>
      </c>
      <c r="H24" s="516" t="str">
        <f>IFERROR(INDEX(BBスクリーニング!$R$6:$R$405,MATCH(LARGE(BBスクリーニング!$AE$6:$AE$405,$A24),BBスクリーニング!$AE$6:$AE$405,0)),"")</f>
        <v/>
      </c>
      <c r="I24" s="513" t="str">
        <f>IFERROR(INDEX(BBスクリーニング!$S$6:$S$405,MATCH(LARGE(BBスクリーニング!$AE$6:$AE$405,$A24),BBスクリーニング!$AE$6:$AE$405,0)),"")</f>
        <v/>
      </c>
      <c r="J24" s="517" t="str">
        <f>IFERROR(INDEX(BBスクリーニング!$W$6:$W$405,MATCH(LARGE(BBスクリーニング!$AE$6:$AE$405,$A24),BBスクリーニング!$AE$6:$AE$405,0)),"")</f>
        <v/>
      </c>
      <c r="K24" s="512" t="str">
        <f>IFERROR(INDEX(BBスクリーニング!$X$6:$X$405,MATCH(LARGE(BBスクリーニング!$AE$6:$AE$405,$A24),BBスクリーニング!$AE$6:$AE$405,0)),"")</f>
        <v/>
      </c>
      <c r="L24" s="515" t="str">
        <f>IFERROR(INDEX(BBスクリーニング!$Z$6:$Z$405,MATCH(LARGE(BBスクリーニング!$AE$6:$AE$405,$A24),BBスクリーニング!$AE$6:$AE$405,0)),"")</f>
        <v/>
      </c>
      <c r="M24" s="515" t="str">
        <f>IFERROR(INDEX(BBスクリーニング!$AA$6:$AA$405,MATCH(LARGE(BBスクリーニング!$AE$6:$AE$405,$A24),BBスクリーニング!$AE$6:$AE$405,0)),"")</f>
        <v/>
      </c>
      <c r="N24" s="535" t="str">
        <f>IFERROR(INDEX(BBスクリーニング!$AC$6:$AC$405,MATCH(LARGE(BBスクリーニング!$AE$6:$AE$405,$A24),BBスクリーニング!$AE$6:$AE$405,0)),"")</f>
        <v/>
      </c>
      <c r="O24" s="536" t="str">
        <f t="shared" si="0"/>
        <v/>
      </c>
    </row>
    <row r="25" spans="1:23" ht="38.4">
      <c r="A25" s="512">
        <v>21</v>
      </c>
      <c r="B25" s="513" t="str">
        <f>IFERROR(INDEX(BBスクリーニング!$B$6:$B$405,MATCH(LARGE(BBスクリーニング!$AE$6:$AE$405,$A25),BBスクリーニング!$AE$6:$AE$405,0)),"")</f>
        <v/>
      </c>
      <c r="C25" s="514" t="str">
        <f>IFERROR(INDEX(BBスクリーニング!$C$6:$C$405,MATCH(LARGE(BBスクリーニング!$AE$6:$AE$405,$A25),BBスクリーニング!$AE$6:$AE$405,0)),"")</f>
        <v/>
      </c>
      <c r="D25" s="515" t="str">
        <f>IFERROR(INDEX(BBスクリーニング!$D$6:$D$405,MATCH(LARGE(BBスクリーニング!$AE$6:$AE$405,$A25),BBスクリーニング!$AE$6:$AE$405,0)),"")</f>
        <v/>
      </c>
      <c r="E25" s="513" t="str">
        <f>IFERROR(INDEX(BBスクリーニング!$N$6:$N$405,MATCH(LARGE(BBスクリーニング!$AE$6:$AE$405,$A25),BBスクリーニング!$AE$6:$AE$405,0)),"")</f>
        <v/>
      </c>
      <c r="F25" s="513" t="str">
        <f>IFERROR(INDEX(BBスクリーニング!$P$6:$P$405,MATCH(LARGE(BBスクリーニング!$AE$6:$AE$405,$A25),BBスクリーニング!$AE$6:$AE$405,0)),"")</f>
        <v/>
      </c>
      <c r="G25" s="516" t="str">
        <f>IFERROR(INDEX(BBスクリーニング!$Q$6:$Q$405,MATCH(LARGE(BBスクリーニング!$AE$6:$AE$405,$A25),BBスクリーニング!$AE$6:$AE$405,0)),"")</f>
        <v/>
      </c>
      <c r="H25" s="516" t="str">
        <f>IFERROR(INDEX(BBスクリーニング!$R$6:$R$405,MATCH(LARGE(BBスクリーニング!$AE$6:$AE$405,$A25),BBスクリーニング!$AE$6:$AE$405,0)),"")</f>
        <v/>
      </c>
      <c r="I25" s="513" t="str">
        <f>IFERROR(INDEX(BBスクリーニング!$S$6:$S$405,MATCH(LARGE(BBスクリーニング!$AE$6:$AE$405,$A25),BBスクリーニング!$AE$6:$AE$405,0)),"")</f>
        <v/>
      </c>
      <c r="J25" s="517" t="str">
        <f>IFERROR(INDEX(BBスクリーニング!$W$6:$W$405,MATCH(LARGE(BBスクリーニング!$AE$6:$AE$405,$A25),BBスクリーニング!$AE$6:$AE$405,0)),"")</f>
        <v/>
      </c>
      <c r="K25" s="512" t="str">
        <f>IFERROR(INDEX(BBスクリーニング!$X$6:$X$405,MATCH(LARGE(BBスクリーニング!$AE$6:$AE$405,$A25),BBスクリーニング!$AE$6:$AE$405,0)),"")</f>
        <v/>
      </c>
      <c r="L25" s="515" t="str">
        <f>IFERROR(INDEX(BBスクリーニング!$Z$6:$Z$405,MATCH(LARGE(BBスクリーニング!$AE$6:$AE$405,$A25),BBスクリーニング!$AE$6:$AE$405,0)),"")</f>
        <v/>
      </c>
      <c r="M25" s="515" t="str">
        <f>IFERROR(INDEX(BBスクリーニング!$AA$6:$AA$405,MATCH(LARGE(BBスクリーニング!$AE$6:$AE$405,$A25),BBスクリーニング!$AE$6:$AE$405,0)),"")</f>
        <v/>
      </c>
      <c r="N25" s="535" t="str">
        <f>IFERROR(INDEX(BBスクリーニング!$AC$6:$AC$405,MATCH(LARGE(BBスクリーニング!$AE$6:$AE$405,$A25),BBスクリーニング!$AE$6:$AE$405,0)),"")</f>
        <v/>
      </c>
      <c r="O25" s="536" t="str">
        <f t="shared" si="0"/>
        <v/>
      </c>
    </row>
    <row r="26" spans="1:23">
      <c r="A26" s="512">
        <v>22</v>
      </c>
      <c r="B26" s="513" t="str">
        <f>IFERROR(INDEX(BBスクリーニング!$B$6:$B$405,MATCH(LARGE(BBスクリーニング!$AE$6:$AE$405,$A26),BBスクリーニング!$AE$6:$AE$405,0)),"")</f>
        <v/>
      </c>
      <c r="C26" s="514" t="str">
        <f>IFERROR(INDEX(BBスクリーニング!$C$6:$C$405,MATCH(LARGE(BBスクリーニング!$AE$6:$AE$405,$A26),BBスクリーニング!$AE$6:$AE$405,0)),"")</f>
        <v/>
      </c>
      <c r="D26" s="515" t="str">
        <f>IFERROR(INDEX(BBスクリーニング!$D$6:$D$405,MATCH(LARGE(BBスクリーニング!$AE$6:$AE$405,$A26),BBスクリーニング!$AE$6:$AE$405,0)),"")</f>
        <v/>
      </c>
      <c r="E26" s="513" t="str">
        <f>IFERROR(INDEX(BBスクリーニング!$N$6:$N$405,MATCH(LARGE(BBスクリーニング!$AE$6:$AE$405,$A26),BBスクリーニング!$AE$6:$AE$405,0)),"")</f>
        <v/>
      </c>
      <c r="F26" s="513" t="str">
        <f>IFERROR(INDEX(BBスクリーニング!$P$6:$P$405,MATCH(LARGE(BBスクリーニング!$AE$6:$AE$405,$A26),BBスクリーニング!$AE$6:$AE$405,0)),"")</f>
        <v/>
      </c>
      <c r="G26" s="516" t="str">
        <f>IFERROR(INDEX(BBスクリーニング!$Q$6:$Q$405,MATCH(LARGE(BBスクリーニング!$AE$6:$AE$405,$A26),BBスクリーニング!$AE$6:$AE$405,0)),"")</f>
        <v/>
      </c>
      <c r="H26" s="516" t="str">
        <f>IFERROR(INDEX(BBスクリーニング!$R$6:$R$405,MATCH(LARGE(BBスクリーニング!$AE$6:$AE$405,$A26),BBスクリーニング!$AE$6:$AE$405,0)),"")</f>
        <v/>
      </c>
      <c r="I26" s="513" t="str">
        <f>IFERROR(INDEX(BBスクリーニング!$S$6:$S$405,MATCH(LARGE(BBスクリーニング!$AE$6:$AE$405,$A26),BBスクリーニング!$AE$6:$AE$405,0)),"")</f>
        <v/>
      </c>
      <c r="J26" s="517" t="str">
        <f>IFERROR(INDEX(BBスクリーニング!$W$6:$W$405,MATCH(LARGE(BBスクリーニング!$AE$6:$AE$405,$A26),BBスクリーニング!$AE$6:$AE$405,0)),"")</f>
        <v/>
      </c>
      <c r="K26" s="512" t="str">
        <f>IFERROR(INDEX(BBスクリーニング!$X$6:$X$405,MATCH(LARGE(BBスクリーニング!$AE$6:$AE$405,$A26),BBスクリーニング!$AE$6:$AE$405,0)),"")</f>
        <v/>
      </c>
      <c r="L26" s="515" t="str">
        <f>IFERROR(INDEX(BBスクリーニング!$Z$6:$Z$405,MATCH(LARGE(BBスクリーニング!$AE$6:$AE$405,$A26),BBスクリーニング!$AE$6:$AE$405,0)),"")</f>
        <v/>
      </c>
      <c r="M26" s="515" t="str">
        <f>IFERROR(INDEX(BBスクリーニング!$AA$6:$AA$405,MATCH(LARGE(BBスクリーニング!$AE$6:$AE$405,$A26),BBスクリーニング!$AE$6:$AE$405,0)),"")</f>
        <v/>
      </c>
      <c r="N26" s="535" t="str">
        <f>IFERROR(INDEX(BBスクリーニング!$AC$6:$AC$405,MATCH(LARGE(BBスクリーニング!$AE$6:$AE$405,$A26),BBスクリーニング!$AE$6:$AE$405,0)),"")</f>
        <v/>
      </c>
      <c r="O26" s="536" t="str">
        <f t="shared" si="0"/>
        <v/>
      </c>
    </row>
    <row r="27" spans="1:23">
      <c r="A27" s="512">
        <v>23</v>
      </c>
      <c r="B27" s="513" t="str">
        <f>IFERROR(INDEX(BBスクリーニング!$B$6:$B$405,MATCH(LARGE(BBスクリーニング!$AE$6:$AE$405,$A27),BBスクリーニング!$AE$6:$AE$405,0)),"")</f>
        <v/>
      </c>
      <c r="C27" s="514" t="str">
        <f>IFERROR(INDEX(BBスクリーニング!$C$6:$C$405,MATCH(LARGE(BBスクリーニング!$AE$6:$AE$405,$A27),BBスクリーニング!$AE$6:$AE$405,0)),"")</f>
        <v/>
      </c>
      <c r="D27" s="515" t="str">
        <f>IFERROR(INDEX(BBスクリーニング!$D$6:$D$405,MATCH(LARGE(BBスクリーニング!$AE$6:$AE$405,$A27),BBスクリーニング!$AE$6:$AE$405,0)),"")</f>
        <v/>
      </c>
      <c r="E27" s="513" t="str">
        <f>IFERROR(INDEX(BBスクリーニング!$N$6:$N$405,MATCH(LARGE(BBスクリーニング!$AE$6:$AE$405,$A27),BBスクリーニング!$AE$6:$AE$405,0)),"")</f>
        <v/>
      </c>
      <c r="F27" s="513" t="str">
        <f>IFERROR(INDEX(BBスクリーニング!$P$6:$P$405,MATCH(LARGE(BBスクリーニング!$AE$6:$AE$405,$A27),BBスクリーニング!$AE$6:$AE$405,0)),"")</f>
        <v/>
      </c>
      <c r="G27" s="516" t="str">
        <f>IFERROR(INDEX(BBスクリーニング!$Q$6:$Q$405,MATCH(LARGE(BBスクリーニング!$AE$6:$AE$405,$A27),BBスクリーニング!$AE$6:$AE$405,0)),"")</f>
        <v/>
      </c>
      <c r="H27" s="516" t="str">
        <f>IFERROR(INDEX(BBスクリーニング!$R$6:$R$405,MATCH(LARGE(BBスクリーニング!$AE$6:$AE$405,$A27),BBスクリーニング!$AE$6:$AE$405,0)),"")</f>
        <v/>
      </c>
      <c r="I27" s="513" t="str">
        <f>IFERROR(INDEX(BBスクリーニング!$S$6:$S$405,MATCH(LARGE(BBスクリーニング!$AE$6:$AE$405,$A27),BBスクリーニング!$AE$6:$AE$405,0)),"")</f>
        <v/>
      </c>
      <c r="J27" s="517" t="str">
        <f>IFERROR(INDEX(BBスクリーニング!$W$6:$W$405,MATCH(LARGE(BBスクリーニング!$AE$6:$AE$405,$A27),BBスクリーニング!$AE$6:$AE$405,0)),"")</f>
        <v/>
      </c>
      <c r="K27" s="512" t="str">
        <f>IFERROR(INDEX(BBスクリーニング!$X$6:$X$405,MATCH(LARGE(BBスクリーニング!$AE$6:$AE$405,$A27),BBスクリーニング!$AE$6:$AE$405,0)),"")</f>
        <v/>
      </c>
      <c r="L27" s="515" t="str">
        <f>IFERROR(INDEX(BBスクリーニング!$Z$6:$Z$405,MATCH(LARGE(BBスクリーニング!$AE$6:$AE$405,$A27),BBスクリーニング!$AE$6:$AE$405,0)),"")</f>
        <v/>
      </c>
      <c r="M27" s="515" t="str">
        <f>IFERROR(INDEX(BBスクリーニング!$AA$6:$AA$405,MATCH(LARGE(BBスクリーニング!$AE$6:$AE$405,$A27),BBスクリーニング!$AE$6:$AE$405,0)),"")</f>
        <v/>
      </c>
      <c r="N27" s="535" t="str">
        <f>IFERROR(INDEX(BBスクリーニング!$AC$6:$AC$405,MATCH(LARGE(BBスクリーニング!$AE$6:$AE$405,$A27),BBスクリーニング!$AE$6:$AE$405,0)),"")</f>
        <v/>
      </c>
      <c r="O27" s="536" t="str">
        <f t="shared" si="0"/>
        <v/>
      </c>
    </row>
    <row r="28" spans="1:23">
      <c r="A28" s="512">
        <v>24</v>
      </c>
      <c r="B28" s="513" t="str">
        <f>IFERROR(INDEX(BBスクリーニング!$B$6:$B$405,MATCH(LARGE(BBスクリーニング!$AE$6:$AE$405,$A28),BBスクリーニング!$AE$6:$AE$405,0)),"")</f>
        <v/>
      </c>
      <c r="C28" s="514" t="str">
        <f>IFERROR(INDEX(BBスクリーニング!$C$6:$C$405,MATCH(LARGE(BBスクリーニング!$AE$6:$AE$405,$A28),BBスクリーニング!$AE$6:$AE$405,0)),"")</f>
        <v/>
      </c>
      <c r="D28" s="515" t="str">
        <f>IFERROR(INDEX(BBスクリーニング!$D$6:$D$405,MATCH(LARGE(BBスクリーニング!$AE$6:$AE$405,$A28),BBスクリーニング!$AE$6:$AE$405,0)),"")</f>
        <v/>
      </c>
      <c r="E28" s="513" t="str">
        <f>IFERROR(INDEX(BBスクリーニング!$N$6:$N$405,MATCH(LARGE(BBスクリーニング!$AE$6:$AE$405,$A28),BBスクリーニング!$AE$6:$AE$405,0)),"")</f>
        <v/>
      </c>
      <c r="F28" s="513" t="str">
        <f>IFERROR(INDEX(BBスクリーニング!$P$6:$P$405,MATCH(LARGE(BBスクリーニング!$AE$6:$AE$405,$A28),BBスクリーニング!$AE$6:$AE$405,0)),"")</f>
        <v/>
      </c>
      <c r="G28" s="516" t="str">
        <f>IFERROR(INDEX(BBスクリーニング!$Q$6:$Q$405,MATCH(LARGE(BBスクリーニング!$AE$6:$AE$405,$A28),BBスクリーニング!$AE$6:$AE$405,0)),"")</f>
        <v/>
      </c>
      <c r="H28" s="516" t="str">
        <f>IFERROR(INDEX(BBスクリーニング!$R$6:$R$405,MATCH(LARGE(BBスクリーニング!$AE$6:$AE$405,$A28),BBスクリーニング!$AE$6:$AE$405,0)),"")</f>
        <v/>
      </c>
      <c r="I28" s="513" t="str">
        <f>IFERROR(INDEX(BBスクリーニング!$S$6:$S$405,MATCH(LARGE(BBスクリーニング!$AE$6:$AE$405,$A28),BBスクリーニング!$AE$6:$AE$405,0)),"")</f>
        <v/>
      </c>
      <c r="J28" s="517" t="str">
        <f>IFERROR(INDEX(BBスクリーニング!$W$6:$W$405,MATCH(LARGE(BBスクリーニング!$AE$6:$AE$405,$A28),BBスクリーニング!$AE$6:$AE$405,0)),"")</f>
        <v/>
      </c>
      <c r="K28" s="512" t="str">
        <f>IFERROR(INDEX(BBスクリーニング!$X$6:$X$405,MATCH(LARGE(BBスクリーニング!$AE$6:$AE$405,$A28),BBスクリーニング!$AE$6:$AE$405,0)),"")</f>
        <v/>
      </c>
      <c r="L28" s="515" t="str">
        <f>IFERROR(INDEX(BBスクリーニング!$Z$6:$Z$405,MATCH(LARGE(BBスクリーニング!$AE$6:$AE$405,$A28),BBスクリーニング!$AE$6:$AE$405,0)),"")</f>
        <v/>
      </c>
      <c r="M28" s="515" t="str">
        <f>IFERROR(INDEX(BBスクリーニング!$AA$6:$AA$405,MATCH(LARGE(BBスクリーニング!$AE$6:$AE$405,$A28),BBスクリーニング!$AE$6:$AE$405,0)),"")</f>
        <v/>
      </c>
      <c r="N28" s="535" t="str">
        <f>IFERROR(INDEX(BBスクリーニング!$AC$6:$AC$405,MATCH(LARGE(BBスクリーニング!$AE$6:$AE$405,$A28),BBスクリーニング!$AE$6:$AE$405,0)),"")</f>
        <v/>
      </c>
      <c r="O28" s="536" t="str">
        <f t="shared" si="0"/>
        <v/>
      </c>
    </row>
    <row r="29" spans="1:23">
      <c r="A29" s="512">
        <v>25</v>
      </c>
      <c r="B29" s="513" t="str">
        <f>IFERROR(INDEX(BBスクリーニング!$B$6:$B$405,MATCH(LARGE(BBスクリーニング!$AE$6:$AE$405,$A29),BBスクリーニング!$AE$6:$AE$405,0)),"")</f>
        <v/>
      </c>
      <c r="C29" s="514" t="str">
        <f>IFERROR(INDEX(BBスクリーニング!$C$6:$C$405,MATCH(LARGE(BBスクリーニング!$AE$6:$AE$405,$A29),BBスクリーニング!$AE$6:$AE$405,0)),"")</f>
        <v/>
      </c>
      <c r="D29" s="515" t="str">
        <f>IFERROR(INDEX(BBスクリーニング!$D$6:$D$405,MATCH(LARGE(BBスクリーニング!$AE$6:$AE$405,$A29),BBスクリーニング!$AE$6:$AE$405,0)),"")</f>
        <v/>
      </c>
      <c r="E29" s="513" t="str">
        <f>IFERROR(INDEX(BBスクリーニング!$N$6:$N$405,MATCH(LARGE(BBスクリーニング!$AE$6:$AE$405,$A29),BBスクリーニング!$AE$6:$AE$405,0)),"")</f>
        <v/>
      </c>
      <c r="F29" s="513" t="str">
        <f>IFERROR(INDEX(BBスクリーニング!$P$6:$P$405,MATCH(LARGE(BBスクリーニング!$AE$6:$AE$405,$A29),BBスクリーニング!$AE$6:$AE$405,0)),"")</f>
        <v/>
      </c>
      <c r="G29" s="516" t="str">
        <f>IFERROR(INDEX(BBスクリーニング!$Q$6:$Q$405,MATCH(LARGE(BBスクリーニング!$AE$6:$AE$405,$A29),BBスクリーニング!$AE$6:$AE$405,0)),"")</f>
        <v/>
      </c>
      <c r="H29" s="516" t="str">
        <f>IFERROR(INDEX(BBスクリーニング!$R$6:$R$405,MATCH(LARGE(BBスクリーニング!$AE$6:$AE$405,$A29),BBスクリーニング!$AE$6:$AE$405,0)),"")</f>
        <v/>
      </c>
      <c r="I29" s="513" t="str">
        <f>IFERROR(INDEX(BBスクリーニング!$S$6:$S$405,MATCH(LARGE(BBスクリーニング!$AE$6:$AE$405,$A29),BBスクリーニング!$AE$6:$AE$405,0)),"")</f>
        <v/>
      </c>
      <c r="J29" s="517" t="str">
        <f>IFERROR(INDEX(BBスクリーニング!$W$6:$W$405,MATCH(LARGE(BBスクリーニング!$AE$6:$AE$405,$A29),BBスクリーニング!$AE$6:$AE$405,0)),"")</f>
        <v/>
      </c>
      <c r="K29" s="512" t="str">
        <f>IFERROR(INDEX(BBスクリーニング!$X$6:$X$405,MATCH(LARGE(BBスクリーニング!$AE$6:$AE$405,$A29),BBスクリーニング!$AE$6:$AE$405,0)),"")</f>
        <v/>
      </c>
      <c r="L29" s="515" t="str">
        <f>IFERROR(INDEX(BBスクリーニング!$Z$6:$Z$405,MATCH(LARGE(BBスクリーニング!$AE$6:$AE$405,$A29),BBスクリーニング!$AE$6:$AE$405,0)),"")</f>
        <v/>
      </c>
      <c r="M29" s="515" t="str">
        <f>IFERROR(INDEX(BBスクリーニング!$AA$6:$AA$405,MATCH(LARGE(BBスクリーニング!$AE$6:$AE$405,$A29),BBスクリーニング!$AE$6:$AE$405,0)),"")</f>
        <v/>
      </c>
      <c r="N29" s="535" t="str">
        <f>IFERROR(INDEX(BBスクリーニング!$AC$6:$AC$405,MATCH(LARGE(BBスクリーニング!$AE$6:$AE$405,$A29),BBスクリーニング!$AE$6:$AE$405,0)),"")</f>
        <v/>
      </c>
      <c r="O29" s="536" t="str">
        <f t="shared" si="0"/>
        <v/>
      </c>
    </row>
    <row r="30" spans="1:23">
      <c r="A30" s="512">
        <v>26</v>
      </c>
      <c r="B30" s="513" t="str">
        <f>IFERROR(INDEX(BBスクリーニング!$B$6:$B$405,MATCH(LARGE(BBスクリーニング!$AE$6:$AE$405,$A30),BBスクリーニング!$AE$6:$AE$405,0)),"")</f>
        <v/>
      </c>
      <c r="C30" s="514" t="str">
        <f>IFERROR(INDEX(BBスクリーニング!$C$6:$C$405,MATCH(LARGE(BBスクリーニング!$AE$6:$AE$405,$A30),BBスクリーニング!$AE$6:$AE$405,0)),"")</f>
        <v/>
      </c>
      <c r="D30" s="515" t="str">
        <f>IFERROR(INDEX(BBスクリーニング!$D$6:$D$405,MATCH(LARGE(BBスクリーニング!$AE$6:$AE$405,$A30),BBスクリーニング!$AE$6:$AE$405,0)),"")</f>
        <v/>
      </c>
      <c r="E30" s="513" t="str">
        <f>IFERROR(INDEX(BBスクリーニング!$N$6:$N$405,MATCH(LARGE(BBスクリーニング!$AE$6:$AE$405,$A30),BBスクリーニング!$AE$6:$AE$405,0)),"")</f>
        <v/>
      </c>
      <c r="F30" s="513" t="str">
        <f>IFERROR(INDEX(BBスクリーニング!$P$6:$P$405,MATCH(LARGE(BBスクリーニング!$AE$6:$AE$405,$A30),BBスクリーニング!$AE$6:$AE$405,0)),"")</f>
        <v/>
      </c>
      <c r="G30" s="516" t="str">
        <f>IFERROR(INDEX(BBスクリーニング!$Q$6:$Q$405,MATCH(LARGE(BBスクリーニング!$AE$6:$AE$405,$A30),BBスクリーニング!$AE$6:$AE$405,0)),"")</f>
        <v/>
      </c>
      <c r="H30" s="516" t="str">
        <f>IFERROR(INDEX(BBスクリーニング!$R$6:$R$405,MATCH(LARGE(BBスクリーニング!$AE$6:$AE$405,$A30),BBスクリーニング!$AE$6:$AE$405,0)),"")</f>
        <v/>
      </c>
      <c r="I30" s="513" t="str">
        <f>IFERROR(INDEX(BBスクリーニング!$S$6:$S$405,MATCH(LARGE(BBスクリーニング!$AE$6:$AE$405,$A30),BBスクリーニング!$AE$6:$AE$405,0)),"")</f>
        <v/>
      </c>
      <c r="J30" s="517" t="str">
        <f>IFERROR(INDEX(BBスクリーニング!$W$6:$W$405,MATCH(LARGE(BBスクリーニング!$AE$6:$AE$405,$A30),BBスクリーニング!$AE$6:$AE$405,0)),"")</f>
        <v/>
      </c>
      <c r="K30" s="512" t="str">
        <f>IFERROR(INDEX(BBスクリーニング!$X$6:$X$405,MATCH(LARGE(BBスクリーニング!$AE$6:$AE$405,$A30),BBスクリーニング!$AE$6:$AE$405,0)),"")</f>
        <v/>
      </c>
      <c r="L30" s="515" t="str">
        <f>IFERROR(INDEX(BBスクリーニング!$Z$6:$Z$405,MATCH(LARGE(BBスクリーニング!$AE$6:$AE$405,$A30),BBスクリーニング!$AE$6:$AE$405,0)),"")</f>
        <v/>
      </c>
      <c r="M30" s="515" t="str">
        <f>IFERROR(INDEX(BBスクリーニング!$AA$6:$AA$405,MATCH(LARGE(BBスクリーニング!$AE$6:$AE$405,$A30),BBスクリーニング!$AE$6:$AE$405,0)),"")</f>
        <v/>
      </c>
      <c r="N30" s="535" t="str">
        <f>IFERROR(INDEX(BBスクリーニング!$AC$6:$AC$405,MATCH(LARGE(BBスクリーニング!$AE$6:$AE$405,$A30),BBスクリーニング!$AE$6:$AE$405,0)),"")</f>
        <v/>
      </c>
      <c r="O30" s="536" t="str">
        <f t="shared" si="0"/>
        <v/>
      </c>
    </row>
    <row r="31" spans="1:23">
      <c r="A31" s="512">
        <v>27</v>
      </c>
      <c r="B31" s="513" t="str">
        <f>IFERROR(INDEX(BBスクリーニング!$B$6:$B$405,MATCH(LARGE(BBスクリーニング!$AE$6:$AE$405,$A31),BBスクリーニング!$AE$6:$AE$405,0)),"")</f>
        <v/>
      </c>
      <c r="C31" s="514" t="str">
        <f>IFERROR(INDEX(BBスクリーニング!$C$6:$C$405,MATCH(LARGE(BBスクリーニング!$AE$6:$AE$405,$A31),BBスクリーニング!$AE$6:$AE$405,0)),"")</f>
        <v/>
      </c>
      <c r="D31" s="515" t="str">
        <f>IFERROR(INDEX(BBスクリーニング!$D$6:$D$405,MATCH(LARGE(BBスクリーニング!$AE$6:$AE$405,$A31),BBスクリーニング!$AE$6:$AE$405,0)),"")</f>
        <v/>
      </c>
      <c r="E31" s="513" t="str">
        <f>IFERROR(INDEX(BBスクリーニング!$N$6:$N$405,MATCH(LARGE(BBスクリーニング!$AE$6:$AE$405,$A31),BBスクリーニング!$AE$6:$AE$405,0)),"")</f>
        <v/>
      </c>
      <c r="F31" s="513" t="str">
        <f>IFERROR(INDEX(BBスクリーニング!$P$6:$P$405,MATCH(LARGE(BBスクリーニング!$AE$6:$AE$405,$A31),BBスクリーニング!$AE$6:$AE$405,0)),"")</f>
        <v/>
      </c>
      <c r="G31" s="516" t="str">
        <f>IFERROR(INDEX(BBスクリーニング!$Q$6:$Q$405,MATCH(LARGE(BBスクリーニング!$AE$6:$AE$405,$A31),BBスクリーニング!$AE$6:$AE$405,0)),"")</f>
        <v/>
      </c>
      <c r="H31" s="516" t="str">
        <f>IFERROR(INDEX(BBスクリーニング!$R$6:$R$405,MATCH(LARGE(BBスクリーニング!$AE$6:$AE$405,$A31),BBスクリーニング!$AE$6:$AE$405,0)),"")</f>
        <v/>
      </c>
      <c r="I31" s="513" t="str">
        <f>IFERROR(INDEX(BBスクリーニング!$S$6:$S$405,MATCH(LARGE(BBスクリーニング!$AE$6:$AE$405,$A31),BBスクリーニング!$AE$6:$AE$405,0)),"")</f>
        <v/>
      </c>
      <c r="J31" s="517" t="str">
        <f>IFERROR(INDEX(BBスクリーニング!$W$6:$W$405,MATCH(LARGE(BBスクリーニング!$AE$6:$AE$405,$A31),BBスクリーニング!$AE$6:$AE$405,0)),"")</f>
        <v/>
      </c>
      <c r="K31" s="512" t="str">
        <f>IFERROR(INDEX(BBスクリーニング!$X$6:$X$405,MATCH(LARGE(BBスクリーニング!$AE$6:$AE$405,$A31),BBスクリーニング!$AE$6:$AE$405,0)),"")</f>
        <v/>
      </c>
      <c r="L31" s="515" t="str">
        <f>IFERROR(INDEX(BBスクリーニング!$Z$6:$Z$405,MATCH(LARGE(BBスクリーニング!$AE$6:$AE$405,$A31),BBスクリーニング!$AE$6:$AE$405,0)),"")</f>
        <v/>
      </c>
      <c r="M31" s="515" t="str">
        <f>IFERROR(INDEX(BBスクリーニング!$AA$6:$AA$405,MATCH(LARGE(BBスクリーニング!$AE$6:$AE$405,$A31),BBスクリーニング!$AE$6:$AE$405,0)),"")</f>
        <v/>
      </c>
      <c r="N31" s="535" t="str">
        <f>IFERROR(INDEX(BBスクリーニング!$AC$6:$AC$405,MATCH(LARGE(BBスクリーニング!$AE$6:$AE$405,$A31),BBスクリーニング!$AE$6:$AE$405,0)),"")</f>
        <v/>
      </c>
      <c r="O31" s="536" t="str">
        <f t="shared" si="0"/>
        <v/>
      </c>
    </row>
    <row r="32" spans="1:23">
      <c r="A32" s="512">
        <v>28</v>
      </c>
      <c r="B32" s="513" t="str">
        <f>IFERROR(INDEX(BBスクリーニング!$B$6:$B$405,MATCH(LARGE(BBスクリーニング!$AE$6:$AE$405,$A32),BBスクリーニング!$AE$6:$AE$405,0)),"")</f>
        <v/>
      </c>
      <c r="C32" s="514" t="str">
        <f>IFERROR(INDEX(BBスクリーニング!$C$6:$C$405,MATCH(LARGE(BBスクリーニング!$AE$6:$AE$405,$A32),BBスクリーニング!$AE$6:$AE$405,0)),"")</f>
        <v/>
      </c>
      <c r="D32" s="515" t="str">
        <f>IFERROR(INDEX(BBスクリーニング!$D$6:$D$405,MATCH(LARGE(BBスクリーニング!$AE$6:$AE$405,$A32),BBスクリーニング!$AE$6:$AE$405,0)),"")</f>
        <v/>
      </c>
      <c r="E32" s="513" t="str">
        <f>IFERROR(INDEX(BBスクリーニング!$N$6:$N$405,MATCH(LARGE(BBスクリーニング!$AE$6:$AE$405,$A32),BBスクリーニング!$AE$6:$AE$405,0)),"")</f>
        <v/>
      </c>
      <c r="F32" s="513" t="str">
        <f>IFERROR(INDEX(BBスクリーニング!$P$6:$P$405,MATCH(LARGE(BBスクリーニング!$AE$6:$AE$405,$A32),BBスクリーニング!$AE$6:$AE$405,0)),"")</f>
        <v/>
      </c>
      <c r="G32" s="516" t="str">
        <f>IFERROR(INDEX(BBスクリーニング!$Q$6:$Q$405,MATCH(LARGE(BBスクリーニング!$AE$6:$AE$405,$A32),BBスクリーニング!$AE$6:$AE$405,0)),"")</f>
        <v/>
      </c>
      <c r="H32" s="516" t="str">
        <f>IFERROR(INDEX(BBスクリーニング!$R$6:$R$405,MATCH(LARGE(BBスクリーニング!$AE$6:$AE$405,$A32),BBスクリーニング!$AE$6:$AE$405,0)),"")</f>
        <v/>
      </c>
      <c r="I32" s="513" t="str">
        <f>IFERROR(INDEX(BBスクリーニング!$S$6:$S$405,MATCH(LARGE(BBスクリーニング!$AE$6:$AE$405,$A32),BBスクリーニング!$AE$6:$AE$405,0)),"")</f>
        <v/>
      </c>
      <c r="J32" s="517" t="str">
        <f>IFERROR(INDEX(BBスクリーニング!$W$6:$W$405,MATCH(LARGE(BBスクリーニング!$AE$6:$AE$405,$A32),BBスクリーニング!$AE$6:$AE$405,0)),"")</f>
        <v/>
      </c>
      <c r="K32" s="512" t="str">
        <f>IFERROR(INDEX(BBスクリーニング!$X$6:$X$405,MATCH(LARGE(BBスクリーニング!$AE$6:$AE$405,$A32),BBスクリーニング!$AE$6:$AE$405,0)),"")</f>
        <v/>
      </c>
      <c r="L32" s="515" t="str">
        <f>IFERROR(INDEX(BBスクリーニング!$Z$6:$Z$405,MATCH(LARGE(BBスクリーニング!$AE$6:$AE$405,$A32),BBスクリーニング!$AE$6:$AE$405,0)),"")</f>
        <v/>
      </c>
      <c r="M32" s="515" t="str">
        <f>IFERROR(INDEX(BBスクリーニング!$AA$6:$AA$405,MATCH(LARGE(BBスクリーニング!$AE$6:$AE$405,$A32),BBスクリーニング!$AE$6:$AE$405,0)),"")</f>
        <v/>
      </c>
      <c r="N32" s="535" t="str">
        <f>IFERROR(INDEX(BBスクリーニング!$AC$6:$AC$405,MATCH(LARGE(BBスクリーニング!$AE$6:$AE$405,$A32),BBスクリーニング!$AE$6:$AE$405,0)),"")</f>
        <v/>
      </c>
      <c r="O32" s="536" t="str">
        <f t="shared" si="0"/>
        <v/>
      </c>
    </row>
    <row r="33" spans="1:15">
      <c r="A33" s="512">
        <v>29</v>
      </c>
      <c r="B33" s="513" t="str">
        <f>IFERROR(INDEX(BBスクリーニング!$B$6:$B$405,MATCH(LARGE(BBスクリーニング!$AE$6:$AE$405,$A33),BBスクリーニング!$AE$6:$AE$405,0)),"")</f>
        <v/>
      </c>
      <c r="C33" s="514" t="str">
        <f>IFERROR(INDEX(BBスクリーニング!$C$6:$C$405,MATCH(LARGE(BBスクリーニング!$AE$6:$AE$405,$A33),BBスクリーニング!$AE$6:$AE$405,0)),"")</f>
        <v/>
      </c>
      <c r="D33" s="515" t="str">
        <f>IFERROR(INDEX(BBスクリーニング!$D$6:$D$405,MATCH(LARGE(BBスクリーニング!$AE$6:$AE$405,$A33),BBスクリーニング!$AE$6:$AE$405,0)),"")</f>
        <v/>
      </c>
      <c r="E33" s="513" t="str">
        <f>IFERROR(INDEX(BBスクリーニング!$N$6:$N$405,MATCH(LARGE(BBスクリーニング!$AE$6:$AE$405,$A33),BBスクリーニング!$AE$6:$AE$405,0)),"")</f>
        <v/>
      </c>
      <c r="F33" s="513" t="str">
        <f>IFERROR(INDEX(BBスクリーニング!$P$6:$P$405,MATCH(LARGE(BBスクリーニング!$AE$6:$AE$405,$A33),BBスクリーニング!$AE$6:$AE$405,0)),"")</f>
        <v/>
      </c>
      <c r="G33" s="516" t="str">
        <f>IFERROR(INDEX(BBスクリーニング!$Q$6:$Q$405,MATCH(LARGE(BBスクリーニング!$AE$6:$AE$405,$A33),BBスクリーニング!$AE$6:$AE$405,0)),"")</f>
        <v/>
      </c>
      <c r="H33" s="516" t="str">
        <f>IFERROR(INDEX(BBスクリーニング!$R$6:$R$405,MATCH(LARGE(BBスクリーニング!$AE$6:$AE$405,$A33),BBスクリーニング!$AE$6:$AE$405,0)),"")</f>
        <v/>
      </c>
      <c r="I33" s="513" t="str">
        <f>IFERROR(INDEX(BBスクリーニング!$S$6:$S$405,MATCH(LARGE(BBスクリーニング!$AE$6:$AE$405,$A33),BBスクリーニング!$AE$6:$AE$405,0)),"")</f>
        <v/>
      </c>
      <c r="J33" s="517" t="str">
        <f>IFERROR(INDEX(BBスクリーニング!$W$6:$W$405,MATCH(LARGE(BBスクリーニング!$AE$6:$AE$405,$A33),BBスクリーニング!$AE$6:$AE$405,0)),"")</f>
        <v/>
      </c>
      <c r="K33" s="512" t="str">
        <f>IFERROR(INDEX(BBスクリーニング!$X$6:$X$405,MATCH(LARGE(BBスクリーニング!$AE$6:$AE$405,$A33),BBスクリーニング!$AE$6:$AE$405,0)),"")</f>
        <v/>
      </c>
      <c r="L33" s="515" t="str">
        <f>IFERROR(INDEX(BBスクリーニング!$Z$6:$Z$405,MATCH(LARGE(BBスクリーニング!$AE$6:$AE$405,$A33),BBスクリーニング!$AE$6:$AE$405,0)),"")</f>
        <v/>
      </c>
      <c r="M33" s="515" t="str">
        <f>IFERROR(INDEX(BBスクリーニング!$AA$6:$AA$405,MATCH(LARGE(BBスクリーニング!$AE$6:$AE$405,$A33),BBスクリーニング!$AE$6:$AE$405,0)),"")</f>
        <v/>
      </c>
      <c r="N33" s="535" t="str">
        <f>IFERROR(INDEX(BBスクリーニング!$AC$6:$AC$405,MATCH(LARGE(BBスクリーニング!$AE$6:$AE$405,$A33),BBスクリーニング!$AE$6:$AE$405,0)),"")</f>
        <v/>
      </c>
      <c r="O33" s="536" t="str">
        <f t="shared" si="0"/>
        <v/>
      </c>
    </row>
    <row r="34" spans="1:15">
      <c r="A34" s="512">
        <v>30</v>
      </c>
      <c r="B34" s="513" t="str">
        <f>IFERROR(INDEX(BBスクリーニング!$B$6:$B$405,MATCH(LARGE(BBスクリーニング!$AE$6:$AE$405,$A34),BBスクリーニング!$AE$6:$AE$405,0)),"")</f>
        <v/>
      </c>
      <c r="C34" s="514" t="str">
        <f>IFERROR(INDEX(BBスクリーニング!$C$6:$C$405,MATCH(LARGE(BBスクリーニング!$AE$6:$AE$405,$A34),BBスクリーニング!$AE$6:$AE$405,0)),"")</f>
        <v/>
      </c>
      <c r="D34" s="515" t="str">
        <f>IFERROR(INDEX(BBスクリーニング!$D$6:$D$405,MATCH(LARGE(BBスクリーニング!$AE$6:$AE$405,$A34),BBスクリーニング!$AE$6:$AE$405,0)),"")</f>
        <v/>
      </c>
      <c r="E34" s="513" t="str">
        <f>IFERROR(INDEX(BBスクリーニング!$N$6:$N$405,MATCH(LARGE(BBスクリーニング!$AE$6:$AE$405,$A34),BBスクリーニング!$AE$6:$AE$405,0)),"")</f>
        <v/>
      </c>
      <c r="F34" s="513" t="str">
        <f>IFERROR(INDEX(BBスクリーニング!$P$6:$P$405,MATCH(LARGE(BBスクリーニング!$AE$6:$AE$405,$A34),BBスクリーニング!$AE$6:$AE$405,0)),"")</f>
        <v/>
      </c>
      <c r="G34" s="516" t="str">
        <f>IFERROR(INDEX(BBスクリーニング!$Q$6:$Q$405,MATCH(LARGE(BBスクリーニング!$AE$6:$AE$405,$A34),BBスクリーニング!$AE$6:$AE$405,0)),"")</f>
        <v/>
      </c>
      <c r="H34" s="516" t="str">
        <f>IFERROR(INDEX(BBスクリーニング!$R$6:$R$405,MATCH(LARGE(BBスクリーニング!$AE$6:$AE$405,$A34),BBスクリーニング!$AE$6:$AE$405,0)),"")</f>
        <v/>
      </c>
      <c r="I34" s="513" t="str">
        <f>IFERROR(INDEX(BBスクリーニング!$S$6:$S$405,MATCH(LARGE(BBスクリーニング!$AE$6:$AE$405,$A34),BBスクリーニング!$AE$6:$AE$405,0)),"")</f>
        <v/>
      </c>
      <c r="J34" s="517" t="str">
        <f>IFERROR(INDEX(BBスクリーニング!$W$6:$W$405,MATCH(LARGE(BBスクリーニング!$AE$6:$AE$405,$A34),BBスクリーニング!$AE$6:$AE$405,0)),"")</f>
        <v/>
      </c>
      <c r="K34" s="512" t="str">
        <f>IFERROR(INDEX(BBスクリーニング!$X$6:$X$405,MATCH(LARGE(BBスクリーニング!$AE$6:$AE$405,$A34),BBスクリーニング!$AE$6:$AE$405,0)),"")</f>
        <v/>
      </c>
      <c r="L34" s="515" t="str">
        <f>IFERROR(INDEX(BBスクリーニング!$Z$6:$Z$405,MATCH(LARGE(BBスクリーニング!$AE$6:$AE$405,$A34),BBスクリーニング!$AE$6:$AE$405,0)),"")</f>
        <v/>
      </c>
      <c r="M34" s="515" t="str">
        <f>IFERROR(INDEX(BBスクリーニング!$AA$6:$AA$405,MATCH(LARGE(BBスクリーニング!$AE$6:$AE$405,$A34),BBスクリーニング!$AE$6:$AE$405,0)),"")</f>
        <v/>
      </c>
      <c r="N34" s="535" t="str">
        <f>IFERROR(INDEX(BBスクリーニング!$AC$6:$AC$405,MATCH(LARGE(BBスクリーニング!$AE$6:$AE$405,$A34),BBスクリーニング!$AE$6:$AE$405,0)),"")</f>
        <v/>
      </c>
      <c r="O34" s="536" t="str">
        <f t="shared" si="0"/>
        <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892" t="s">
        <v>1169</v>
      </c>
      <c r="B1" s="853"/>
      <c r="C1" s="853"/>
      <c r="D1" s="853"/>
      <c r="E1" s="853"/>
      <c r="F1" s="853"/>
      <c r="G1" s="853"/>
      <c r="H1" s="853"/>
    </row>
    <row r="5" spans="1:42">
      <c r="A5" s="498" t="s">
        <v>1170</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0.38216018272806829</v>
      </c>
      <c r="C6" s="503">
        <f>IF(終値!A6="","",IFERROR(4*STDEVP(終値!F6:Y6)/AVERAGE(終値!F6:Y6),""))</f>
        <v>0.41232952721325783</v>
      </c>
      <c r="D6" s="503">
        <f>IF(終値!A6="","",IFERROR(4*STDEVP(終値!G6:Z6)/AVERAGE(終値!G6:Z6),""))</f>
        <v>0.42763298969021224</v>
      </c>
      <c r="E6" s="503">
        <f>IF(終値!A6="","",IFERROR(4*STDEVP(終値!H6:AA6)/AVERAGE(終値!H6:AA6),""))</f>
        <v>0.4868156648608078</v>
      </c>
      <c r="F6" s="503">
        <f>IF(終値!A6="","",IFERROR(4*STDEVP(終値!I6:AB6)/AVERAGE(終値!I6:AB6),""))</f>
        <v>0.48933841104935283</v>
      </c>
      <c r="G6" s="503">
        <f>IF(終値!A6="","",IFERROR(4*STDEVP(終値!J6:AC6)/AVERAGE(終値!J6:AC6),""))</f>
        <v>0.45153802767965162</v>
      </c>
      <c r="H6" s="503">
        <f>IF(終値!A6="","",IFERROR(4*STDEVP(終値!K6:AD6)/AVERAGE(終値!K6:AD6),""))</f>
        <v>0.43131564767096403</v>
      </c>
      <c r="I6" s="503">
        <f>IF(終値!A6="","",IFERROR(4*STDEVP(終値!L6:AE6)/AVERAGE(終値!L6:AE6),""))</f>
        <v>0.46878724776512537</v>
      </c>
      <c r="J6" s="503">
        <f>IF(終値!A6="","",IFERROR(4*STDEVP(終値!M6:AF6)/AVERAGE(終値!M6:AF6),""))</f>
        <v>0.4894428032305439</v>
      </c>
      <c r="K6" s="503">
        <f>IF(終値!A6="","",IFERROR(4*STDEVP(終値!N6:AG6)/AVERAGE(終値!N6:AG6),""))</f>
        <v>0.51134400346580089</v>
      </c>
      <c r="L6" s="503">
        <f>IF(終値!A6="","",IFERROR(4*STDEVP(終値!O6:AH6)/AVERAGE(終値!O6:AH6),""))</f>
        <v>0.58408158940671973</v>
      </c>
      <c r="M6" s="503">
        <f>IF(終値!A6="","",IFERROR(4*STDEVP(終値!P6:AI6)/AVERAGE(終値!P6:AI6),""))</f>
        <v>0.57817890186207832</v>
      </c>
      <c r="N6" s="503">
        <f>IF(終値!A6="","",IFERROR(4*STDEVP(終値!Q6:AJ6)/AVERAGE(終値!Q6:AJ6),""))</f>
        <v>0.54269644826083063</v>
      </c>
      <c r="O6" s="503">
        <f>IF(終値!A6="","",IFERROR(4*STDEVP(終値!R6:AK6)/AVERAGE(終値!R6:AK6),""))</f>
        <v>0.53476073882224706</v>
      </c>
      <c r="P6" s="503">
        <f>IF(終値!A6="","",IFERROR(4*STDEVP(終値!S6:AL6)/AVERAGE(終値!S6:AL6),""))</f>
        <v>0.51997330576554179</v>
      </c>
      <c r="Q6" s="503">
        <f>IF(終値!A6="","",IFERROR(4*STDEVP(終値!T6:AM6)/AVERAGE(終値!T6:AM6),""))</f>
        <v>0.49354261420615503</v>
      </c>
      <c r="R6" s="503">
        <f>IF(終値!A6="","",IFERROR(4*STDEVP(終値!U6:AN6)/AVERAGE(終値!U6:AN6),""))</f>
        <v>0.47088721353565577</v>
      </c>
      <c r="S6" s="503">
        <f>IF(終値!A6="","",IFERROR(4*STDEVP(終値!V6:AO6)/AVERAGE(終値!V6:AO6),""))</f>
        <v>0.45521616191253311</v>
      </c>
      <c r="T6" s="503">
        <f>IF(終値!A6="","",IFERROR(4*STDEVP(終値!W6:AP6)/AVERAGE(終値!W6:AP6),""))</f>
        <v>0.42858635817742141</v>
      </c>
      <c r="U6" s="503">
        <f>IF(終値!A6="","",IFERROR(4*STDEVP(終値!X6:AQ6)/AVERAGE(終値!X6:AQ6),""))</f>
        <v>0.39893812095705383</v>
      </c>
      <c r="V6" s="503">
        <f>IF(終値!A6="","",IFERROR(4*STDEVP(終値!Y6:AR6)/AVERAGE(終値!Y6:AR6),""))</f>
        <v>0.37455686522443393</v>
      </c>
      <c r="W6" s="503">
        <f>IF(終値!A6="","",IFERROR(4*STDEVP(終値!Z6:AS6)/AVERAGE(終値!Z6:AS6),""))</f>
        <v>0.35673450980363108</v>
      </c>
      <c r="X6" s="503">
        <f>IF(終値!A6="","",IFERROR(4*STDEVP(終値!AA6:AT6)/AVERAGE(終値!AA6:AT6),""))</f>
        <v>0.33469656321776275</v>
      </c>
      <c r="Y6" s="503">
        <f>IF(終値!A6="","",IFERROR(4*STDEVP(終値!AB6:AU6)/AVERAGE(終値!AB6:AU6),""))</f>
        <v>0.34229807296113196</v>
      </c>
      <c r="Z6" s="503">
        <f>IF(終値!A6="","",IFERROR(4*STDEVP(終値!AC6:AV6)/AVERAGE(終値!AC6:AV6),""))</f>
        <v>0.35587252726243157</v>
      </c>
      <c r="AA6" s="503">
        <f>IF(終値!A6="","",IFERROR(4*STDEVP(終値!AD6:AW6)/AVERAGE(終値!AD6:AW6),""))</f>
        <v>0.34992342528322867</v>
      </c>
      <c r="AB6" s="503">
        <f>IF(終値!A6="","",IFERROR(4*STDEVP(終値!AE6:AX6)/AVERAGE(終値!AE6:AX6),""))</f>
        <v>0.35526161005167534</v>
      </c>
      <c r="AC6" s="503">
        <f>IF(終値!A6="","",IFERROR(4*STDEVP(終値!AF6:AY6)/AVERAGE(終値!AF6:AY6),""))</f>
        <v>0.37527073749598727</v>
      </c>
      <c r="AD6" s="503">
        <f>IF(終値!A6="","",IFERROR(4*STDEVP(終値!AG6:AZ6)/AVERAGE(終値!AG6:AZ6),""))</f>
        <v>0.37712495193828199</v>
      </c>
      <c r="AE6" s="503">
        <f>IF(終値!A6="","",IFERROR(4*STDEVP(終値!AH6:BA6)/AVERAGE(終値!AH6:BA6),""))</f>
        <v>0.37674899221624469</v>
      </c>
      <c r="AF6" s="503">
        <f>IF(終値!A6="","",IFERROR(4*STDEVP(終値!AI6:BB6)/AVERAGE(終値!AI6:BB6),""))</f>
        <v>0.36428153129610946</v>
      </c>
      <c r="AG6" s="503">
        <f>IF(終値!A6="","",IFERROR(4*STDEVP(終値!AJ6:BC6)/AVERAGE(終値!AJ6:BC6),""))</f>
        <v>0.36442581770159527</v>
      </c>
      <c r="AH6" s="503">
        <f>IF(終値!A6="","",IFERROR(4*STDEVP(終値!AK6:BD6)/AVERAGE(終値!AK6:BD6),""))</f>
        <v>0.36363397931313551</v>
      </c>
      <c r="AI6" s="503">
        <f>IF(終値!A6="","",IFERROR(4*STDEVP(終値!AL6:BE6)/AVERAGE(終値!AL6:BE6),""))</f>
        <v>0.36319324652704366</v>
      </c>
      <c r="AJ6" s="503">
        <f>IF(終値!A6="","",IFERROR(4*STDEVP(終値!AM6:BF6)/AVERAGE(終値!AM6:BF6),""))</f>
        <v>0.36950338369390157</v>
      </c>
      <c r="AK6" s="503">
        <f>IF(終値!A6="","",IFERROR(4*STDEVP(終値!AN6:BG6)/AVERAGE(終値!AN6:BG6),""))</f>
        <v>0.39635104587497511</v>
      </c>
      <c r="AL6" s="503">
        <f>IF(終値!A6="","",IFERROR(4*STDEVP(終値!AO6:BH6)/AVERAGE(終値!AO6:BH6),""))</f>
        <v>0.39543008651995515</v>
      </c>
      <c r="AM6" s="503">
        <f>IF(終値!A6="","",IFERROR(4*STDEVP(終値!AP6:BI6)/AVERAGE(終値!AP6:BI6),""))</f>
        <v>0.34633697876139369</v>
      </c>
      <c r="AN6" s="503">
        <f>IF(終値!A6="","",IFERROR(4*STDEVP(終値!AQ6:BJ6)/AVERAGE(終値!AQ6:BJ6),""))</f>
        <v>0.27331218175934169</v>
      </c>
      <c r="AO6" s="503">
        <f>IF(終値!A6="","",IFERROR(4*STDEVP(終値!AR6:BK6)/AVERAGE(終値!AR6:BK6),""))</f>
        <v>0.23566676474818735</v>
      </c>
      <c r="AP6" s="503">
        <f>IF(終値!A6="","",IFERROR(4*STDEVP(終値!AS6:BL6)/AVERAGE(終値!AS6:BL6),""))</f>
        <v>0.264415398133582</v>
      </c>
    </row>
    <row r="7" spans="1:42">
      <c r="A7" s="500" t="str">
        <f>IF(終値!A7="","",終値!A7)</f>
        <v>5423</v>
      </c>
      <c r="B7" s="503">
        <f>IF(終値!A7="","",IFERROR(4*STDEVP(終値!E7:X7)/AVERAGE(終値!E7:X7),""))</f>
        <v>6.716156922708183E-2</v>
      </c>
      <c r="C7" s="503">
        <f>IF(終値!A7="","",IFERROR(4*STDEVP(終値!F7:Y7)/AVERAGE(終値!F7:Y7),""))</f>
        <v>6.2277256294676925E-2</v>
      </c>
      <c r="D7" s="503">
        <f>IF(終値!A7="","",IFERROR(4*STDEVP(終値!G7:Z7)/AVERAGE(終値!G7:Z7),""))</f>
        <v>5.9261741620259725E-2</v>
      </c>
      <c r="E7" s="503">
        <f>IF(終値!A7="","",IFERROR(4*STDEVP(終値!H7:AA7)/AVERAGE(終値!H7:AA7),""))</f>
        <v>5.9651860867919793E-2</v>
      </c>
      <c r="F7" s="503">
        <f>IF(終値!A7="","",IFERROR(4*STDEVP(終値!I7:AB7)/AVERAGE(終値!I7:AB7),""))</f>
        <v>6.3981802076999036E-2</v>
      </c>
      <c r="G7" s="503">
        <f>IF(終値!A7="","",IFERROR(4*STDEVP(終値!J7:AC7)/AVERAGE(終値!J7:AC7),""))</f>
        <v>6.2292441163696123E-2</v>
      </c>
      <c r="H7" s="503">
        <f>IF(終値!A7="","",IFERROR(4*STDEVP(終値!K7:AD7)/AVERAGE(終値!K7:AD7),""))</f>
        <v>6.0307418930301553E-2</v>
      </c>
      <c r="I7" s="503">
        <f>IF(終値!A7="","",IFERROR(4*STDEVP(終値!L7:AE7)/AVERAGE(終値!L7:AE7),""))</f>
        <v>6.390962650934974E-2</v>
      </c>
      <c r="J7" s="503">
        <f>IF(終値!A7="","",IFERROR(4*STDEVP(終値!M7:AF7)/AVERAGE(終値!M7:AF7),""))</f>
        <v>6.1367305779834541E-2</v>
      </c>
      <c r="K7" s="503">
        <f>IF(終値!A7="","",IFERROR(4*STDEVP(終値!N7:AG7)/AVERAGE(終値!N7:AG7),""))</f>
        <v>6.1749952917174861E-2</v>
      </c>
      <c r="L7" s="503">
        <f>IF(終値!A7="","",IFERROR(4*STDEVP(終値!O7:AH7)/AVERAGE(終値!O7:AH7),""))</f>
        <v>7.1709918925716862E-2</v>
      </c>
      <c r="M7" s="503">
        <f>IF(終値!A7="","",IFERROR(4*STDEVP(終値!P7:AI7)/AVERAGE(終値!P7:AI7),""))</f>
        <v>7.3381672000309414E-2</v>
      </c>
      <c r="N7" s="503">
        <f>IF(終値!A7="","",IFERROR(4*STDEVP(終値!Q7:AJ7)/AVERAGE(終値!Q7:AJ7),""))</f>
        <v>7.6435475629526781E-2</v>
      </c>
      <c r="O7" s="503">
        <f>IF(終値!A7="","",IFERROR(4*STDEVP(終値!R7:AK7)/AVERAGE(終値!R7:AK7),""))</f>
        <v>7.6947069439237348E-2</v>
      </c>
      <c r="P7" s="503">
        <f>IF(終値!A7="","",IFERROR(4*STDEVP(終値!S7:AL7)/AVERAGE(終値!S7:AL7),""))</f>
        <v>7.5424209244088228E-2</v>
      </c>
      <c r="Q7" s="503">
        <f>IF(終値!A7="","",IFERROR(4*STDEVP(終値!T7:AM7)/AVERAGE(終値!T7:AM7),""))</f>
        <v>7.6721007361018903E-2</v>
      </c>
      <c r="R7" s="503">
        <f>IF(終値!A7="","",IFERROR(4*STDEVP(終値!U7:AN7)/AVERAGE(終値!U7:AN7),""))</f>
        <v>7.6721007361018903E-2</v>
      </c>
      <c r="S7" s="503">
        <f>IF(終値!A7="","",IFERROR(4*STDEVP(終値!V7:AO7)/AVERAGE(終値!V7:AO7),""))</f>
        <v>7.9725133441555213E-2</v>
      </c>
      <c r="T7" s="503">
        <f>IF(終値!A7="","",IFERROR(4*STDEVP(終値!W7:AP7)/AVERAGE(終値!W7:AP7),""))</f>
        <v>8.4970689102049385E-2</v>
      </c>
      <c r="U7" s="503">
        <f>IF(終値!A7="","",IFERROR(4*STDEVP(終値!X7:AQ7)/AVERAGE(終値!X7:AQ7),""))</f>
        <v>8.530164408444299E-2</v>
      </c>
      <c r="V7" s="503">
        <f>IF(終値!A7="","",IFERROR(4*STDEVP(終値!Y7:AR7)/AVERAGE(終値!Y7:AR7),""))</f>
        <v>8.5383659333089557E-2</v>
      </c>
      <c r="W7" s="503">
        <f>IF(終値!A7="","",IFERROR(4*STDEVP(終値!Z7:AS7)/AVERAGE(終値!Z7:AS7),""))</f>
        <v>8.4644648803100478E-2</v>
      </c>
      <c r="X7" s="503">
        <f>IF(終値!A7="","",IFERROR(4*STDEVP(終値!AA7:AT7)/AVERAGE(終値!AA7:AT7),""))</f>
        <v>8.5051589029543684E-2</v>
      </c>
      <c r="Y7" s="503">
        <f>IF(終値!A7="","",IFERROR(4*STDEVP(終値!AB7:AU7)/AVERAGE(終値!AB7:AU7),""))</f>
        <v>8.5206664504736254E-2</v>
      </c>
      <c r="Z7" s="503">
        <f>IF(終値!A7="","",IFERROR(4*STDEVP(終値!AC7:AV7)/AVERAGE(終値!AC7:AV7),""))</f>
        <v>8.4991641168068191E-2</v>
      </c>
      <c r="AA7" s="503">
        <f>IF(終値!A7="","",IFERROR(4*STDEVP(終値!AD7:AW7)/AVERAGE(終値!AD7:AW7),""))</f>
        <v>8.3497710553196353E-2</v>
      </c>
      <c r="AB7" s="503">
        <f>IF(終値!A7="","",IFERROR(4*STDEVP(終値!AE7:AX7)/AVERAGE(終値!AE7:AX7),""))</f>
        <v>8.0565277090536722E-2</v>
      </c>
      <c r="AC7" s="503">
        <f>IF(終値!A7="","",IFERROR(4*STDEVP(終値!AF7:AY7)/AVERAGE(終値!AF7:AY7),""))</f>
        <v>7.7159991140156717E-2</v>
      </c>
      <c r="AD7" s="503">
        <f>IF(終値!A7="","",IFERROR(4*STDEVP(終値!AG7:AZ7)/AVERAGE(終値!AG7:AZ7),""))</f>
        <v>7.6906037313784731E-2</v>
      </c>
      <c r="AE7" s="503">
        <f>IF(終値!A7="","",IFERROR(4*STDEVP(終値!AH7:BA7)/AVERAGE(終値!AH7:BA7),""))</f>
        <v>7.7204878317793921E-2</v>
      </c>
      <c r="AF7" s="503">
        <f>IF(終値!A7="","",IFERROR(4*STDEVP(終値!AI7:BB7)/AVERAGE(終値!AI7:BB7),""))</f>
        <v>6.8021111458261382E-2</v>
      </c>
      <c r="AG7" s="503">
        <f>IF(終値!A7="","",IFERROR(4*STDEVP(終値!AJ7:BC7)/AVERAGE(終値!AJ7:BC7),""))</f>
        <v>6.7584044591534567E-2</v>
      </c>
      <c r="AH7" s="503">
        <f>IF(終値!A7="","",IFERROR(4*STDEVP(終値!AK7:BD7)/AVERAGE(終値!AK7:BD7),""))</f>
        <v>7.2952333409233433E-2</v>
      </c>
      <c r="AI7" s="503">
        <f>IF(終値!A7="","",IFERROR(4*STDEVP(終値!AL7:BE7)/AVERAGE(終値!AL7:BE7),""))</f>
        <v>8.6194995426533444E-2</v>
      </c>
      <c r="AJ7" s="503">
        <f>IF(終値!A7="","",IFERROR(4*STDEVP(終値!AM7:BF7)/AVERAGE(終値!AM7:BF7),""))</f>
        <v>0.10435491984728304</v>
      </c>
      <c r="AK7" s="503">
        <f>IF(終値!A7="","",IFERROR(4*STDEVP(終値!AN7:BG7)/AVERAGE(終値!AN7:BG7),""))</f>
        <v>0.10441582120188649</v>
      </c>
      <c r="AL7" s="503">
        <f>IF(終値!A7="","",IFERROR(4*STDEVP(終値!AO7:BH7)/AVERAGE(終値!AO7:BH7),""))</f>
        <v>0.10957897626626005</v>
      </c>
      <c r="AM7" s="503">
        <f>IF(終値!A7="","",IFERROR(4*STDEVP(終値!AP7:BI7)/AVERAGE(終値!AP7:BI7),""))</f>
        <v>0.11383506056316541</v>
      </c>
      <c r="AN7" s="503">
        <f>IF(終値!A7="","",IFERROR(4*STDEVP(終値!AQ7:BJ7)/AVERAGE(終値!AQ7:BJ7),""))</f>
        <v>0.11583682671111116</v>
      </c>
      <c r="AO7" s="503">
        <f>IF(終値!A7="","",IFERROR(4*STDEVP(終値!AR7:BK7)/AVERAGE(終値!AR7:BK7),""))</f>
        <v>0.1171637743416053</v>
      </c>
      <c r="AP7" s="503">
        <f>IF(終値!A7="","",IFERROR(4*STDEVP(終値!AS7:BL7)/AVERAGE(終値!AS7:BL7),""))</f>
        <v>0.11888380811881724</v>
      </c>
    </row>
    <row r="8" spans="1:42">
      <c r="A8" s="500" t="str">
        <f>IF(終値!A8="","",終値!A8)</f>
        <v>5713</v>
      </c>
      <c r="B8" s="503">
        <f>IF(終値!A8="","",IFERROR(4*STDEVP(終値!E8:X8)/AVERAGE(終値!E8:X8),""))</f>
        <v>0.18262539453309873</v>
      </c>
      <c r="C8" s="503">
        <f>IF(終値!A8="","",IFERROR(4*STDEVP(終値!F8:Y8)/AVERAGE(終値!F8:Y8),""))</f>
        <v>0.17783104552860535</v>
      </c>
      <c r="D8" s="503">
        <f>IF(終値!A8="","",IFERROR(4*STDEVP(終値!G8:Z8)/AVERAGE(終値!G8:Z8),""))</f>
        <v>0.16924466719785855</v>
      </c>
      <c r="E8" s="503">
        <f>IF(終値!A8="","",IFERROR(4*STDEVP(終値!H8:AA8)/AVERAGE(終値!H8:AA8),""))</f>
        <v>0.14670114910502827</v>
      </c>
      <c r="F8" s="503">
        <f>IF(終値!A8="","",IFERROR(4*STDEVP(終値!I8:AB8)/AVERAGE(終値!I8:AB8),""))</f>
        <v>0.14671084288894695</v>
      </c>
      <c r="G8" s="503">
        <f>IF(終値!A8="","",IFERROR(4*STDEVP(終値!J8:AC8)/AVERAGE(終値!J8:AC8),""))</f>
        <v>0.14585750914945553</v>
      </c>
      <c r="H8" s="503">
        <f>IF(終値!A8="","",IFERROR(4*STDEVP(終値!K8:AD8)/AVERAGE(終値!K8:AD8),""))</f>
        <v>0.1468161650827646</v>
      </c>
      <c r="I8" s="503">
        <f>IF(終値!A8="","",IFERROR(4*STDEVP(終値!L8:AE8)/AVERAGE(終値!L8:AE8),""))</f>
        <v>0.1435179329156557</v>
      </c>
      <c r="J8" s="503">
        <f>IF(終値!A8="","",IFERROR(4*STDEVP(終値!M8:AF8)/AVERAGE(終値!M8:AF8),""))</f>
        <v>0.15452966772244384</v>
      </c>
      <c r="K8" s="503">
        <f>IF(終値!A8="","",IFERROR(4*STDEVP(終値!N8:AG8)/AVERAGE(終値!N8:AG8),""))</f>
        <v>0.17211766320881783</v>
      </c>
      <c r="L8" s="503">
        <f>IF(終値!A8="","",IFERROR(4*STDEVP(終値!O8:AH8)/AVERAGE(終値!O8:AH8),""))</f>
        <v>0.23010318307168828</v>
      </c>
      <c r="M8" s="503">
        <f>IF(終値!A8="","",IFERROR(4*STDEVP(終値!P8:AI8)/AVERAGE(終値!P8:AI8),""))</f>
        <v>0.25518861448242885</v>
      </c>
      <c r="N8" s="503">
        <f>IF(終値!A8="","",IFERROR(4*STDEVP(終値!Q8:AJ8)/AVERAGE(終値!Q8:AJ8),""))</f>
        <v>0.29302849712413664</v>
      </c>
      <c r="O8" s="503">
        <f>IF(終値!A8="","",IFERROR(4*STDEVP(終値!R8:AK8)/AVERAGE(終値!R8:AK8),""))</f>
        <v>0.32574329886495634</v>
      </c>
      <c r="P8" s="503">
        <f>IF(終値!A8="","",IFERROR(4*STDEVP(終値!S8:AL8)/AVERAGE(終値!S8:AL8),""))</f>
        <v>0.33568536610939786</v>
      </c>
      <c r="Q8" s="503">
        <f>IF(終値!A8="","",IFERROR(4*STDEVP(終値!T8:AM8)/AVERAGE(終値!T8:AM8),""))</f>
        <v>0.34734564508167293</v>
      </c>
      <c r="R8" s="503">
        <f>IF(終値!A8="","",IFERROR(4*STDEVP(終値!U8:AN8)/AVERAGE(終値!U8:AN8),""))</f>
        <v>0.33983040883781918</v>
      </c>
      <c r="S8" s="503">
        <f>IF(終値!A8="","",IFERROR(4*STDEVP(終値!V8:AO8)/AVERAGE(終値!V8:AO8),""))</f>
        <v>0.32601384806109013</v>
      </c>
      <c r="T8" s="503">
        <f>IF(終値!A8="","",IFERROR(4*STDEVP(終値!W8:AP8)/AVERAGE(終値!W8:AP8),""))</f>
        <v>0.31370430517588199</v>
      </c>
      <c r="U8" s="503">
        <f>IF(終値!A8="","",IFERROR(4*STDEVP(終値!X8:AQ8)/AVERAGE(終値!X8:AQ8),""))</f>
        <v>0.30388306411228971</v>
      </c>
      <c r="V8" s="503">
        <f>IF(終値!A8="","",IFERROR(4*STDEVP(終値!Y8:AR8)/AVERAGE(終値!Y8:AR8),""))</f>
        <v>0.30444297714821072</v>
      </c>
      <c r="W8" s="503">
        <f>IF(終値!A8="","",IFERROR(4*STDEVP(終値!Z8:AS8)/AVERAGE(終値!Z8:AS8),""))</f>
        <v>0.30522909407267457</v>
      </c>
      <c r="X8" s="503">
        <f>IF(終値!A8="","",IFERROR(4*STDEVP(終値!AA8:AT8)/AVERAGE(終値!AA8:AT8),""))</f>
        <v>0.30450548731374222</v>
      </c>
      <c r="Y8" s="503">
        <f>IF(終値!A8="","",IFERROR(4*STDEVP(終値!AB8:AU8)/AVERAGE(終値!AB8:AU8),""))</f>
        <v>0.28556903935373501</v>
      </c>
      <c r="Z8" s="503">
        <f>IF(終値!A8="","",IFERROR(4*STDEVP(終値!AC8:AV8)/AVERAGE(終値!AC8:AV8),""))</f>
        <v>0.2733742178891051</v>
      </c>
      <c r="AA8" s="503">
        <f>IF(終値!A8="","",IFERROR(4*STDEVP(終値!AD8:AW8)/AVERAGE(終値!AD8:AW8),""))</f>
        <v>0.25322668647985297</v>
      </c>
      <c r="AB8" s="503">
        <f>IF(終値!A8="","",IFERROR(4*STDEVP(終値!AE8:AX8)/AVERAGE(終値!AE8:AX8),""))</f>
        <v>0.25324013132158846</v>
      </c>
      <c r="AC8" s="503">
        <f>IF(終値!A8="","",IFERROR(4*STDEVP(終値!AF8:AY8)/AVERAGE(終値!AF8:AY8),""))</f>
        <v>0.25339484167692133</v>
      </c>
      <c r="AD8" s="503">
        <f>IF(終値!A8="","",IFERROR(4*STDEVP(終値!AG8:AZ8)/AVERAGE(終値!AG8:AZ8),""))</f>
        <v>0.24779792226997441</v>
      </c>
      <c r="AE8" s="503">
        <f>IF(終値!A8="","",IFERROR(4*STDEVP(終値!AH8:BA8)/AVERAGE(終値!AH8:BA8),""))</f>
        <v>0.24166854646672592</v>
      </c>
      <c r="AF8" s="503">
        <f>IF(終値!A8="","",IFERROR(4*STDEVP(終値!AI8:BB8)/AVERAGE(終値!AI8:BB8),""))</f>
        <v>0.24168582239887412</v>
      </c>
      <c r="AG8" s="503">
        <f>IF(終値!A8="","",IFERROR(4*STDEVP(終値!AJ8:BC8)/AVERAGE(終値!AJ8:BC8),""))</f>
        <v>0.24221181736345371</v>
      </c>
      <c r="AH8" s="503">
        <f>IF(終値!A8="","",IFERROR(4*STDEVP(終値!AK8:BD8)/AVERAGE(終値!AK8:BD8),""))</f>
        <v>0.24771503180696533</v>
      </c>
      <c r="AI8" s="503">
        <f>IF(終値!A8="","",IFERROR(4*STDEVP(終値!AL8:BE8)/AVERAGE(終値!AL8:BE8),""))</f>
        <v>0.27851305727266218</v>
      </c>
      <c r="AJ8" s="503">
        <f>IF(終値!A8="","",IFERROR(4*STDEVP(終値!AM8:BF8)/AVERAGE(終値!AM8:BF8),""))</f>
        <v>0.31472938224301628</v>
      </c>
      <c r="AK8" s="503">
        <f>IF(終値!A8="","",IFERROR(4*STDEVP(終値!AN8:BG8)/AVERAGE(終値!AN8:BG8),""))</f>
        <v>0.35405048413270379</v>
      </c>
      <c r="AL8" s="503">
        <f>IF(終値!A8="","",IFERROR(4*STDEVP(終値!AO8:BH8)/AVERAGE(終値!AO8:BH8),""))</f>
        <v>0.3760583555942989</v>
      </c>
      <c r="AM8" s="503">
        <f>IF(終値!A8="","",IFERROR(4*STDEVP(終値!AP8:BI8)/AVERAGE(終値!AP8:BI8),""))</f>
        <v>0.34882610655180524</v>
      </c>
      <c r="AN8" s="503">
        <f>IF(終値!A8="","",IFERROR(4*STDEVP(終値!AQ8:BJ8)/AVERAGE(終値!AQ8:BJ8),""))</f>
        <v>0.32837599743369189</v>
      </c>
      <c r="AO8" s="503">
        <f>IF(終値!A8="","",IFERROR(4*STDEVP(終値!AR8:BK8)/AVERAGE(終値!AR8:BK8),""))</f>
        <v>0.29436957829472254</v>
      </c>
      <c r="AP8" s="503">
        <f>IF(終値!A8="","",IFERROR(4*STDEVP(終値!AS8:BL8)/AVERAGE(終値!AS8:BL8),""))</f>
        <v>0.2761717186512021</v>
      </c>
    </row>
    <row r="9" spans="1:42">
      <c r="A9" s="500" t="str">
        <f>IF(終値!A9="","",終値!A9)</f>
        <v>5711</v>
      </c>
      <c r="B9" s="503">
        <f>IF(終値!A9="","",IFERROR(4*STDEVP(終値!E9:X9)/AVERAGE(終値!E9:X9),""))</f>
        <v>0.15080406335797583</v>
      </c>
      <c r="C9" s="503">
        <f>IF(終値!A9="","",IFERROR(4*STDEVP(終値!F9:Y9)/AVERAGE(終値!F9:Y9),""))</f>
        <v>0.17133709980081269</v>
      </c>
      <c r="D9" s="503">
        <f>IF(終値!A9="","",IFERROR(4*STDEVP(終値!G9:Z9)/AVERAGE(終値!G9:Z9),""))</f>
        <v>0.17976550507131442</v>
      </c>
      <c r="E9" s="503">
        <f>IF(終値!A9="","",IFERROR(4*STDEVP(終値!H9:AA9)/AVERAGE(終値!H9:AA9),""))</f>
        <v>0.1837949083833629</v>
      </c>
      <c r="F9" s="503">
        <f>IF(終値!A9="","",IFERROR(4*STDEVP(終値!I9:AB9)/AVERAGE(終値!I9:AB9),""))</f>
        <v>0.17716029989339632</v>
      </c>
      <c r="G9" s="503">
        <f>IF(終値!A9="","",IFERROR(4*STDEVP(終値!J9:AC9)/AVERAGE(終値!J9:AC9),""))</f>
        <v>0.1668941645042166</v>
      </c>
      <c r="H9" s="503">
        <f>IF(終値!A9="","",IFERROR(4*STDEVP(終値!K9:AD9)/AVERAGE(終値!K9:AD9),""))</f>
        <v>0.16192445520957183</v>
      </c>
      <c r="I9" s="503">
        <f>IF(終値!A9="","",IFERROR(4*STDEVP(終値!L9:AE9)/AVERAGE(終値!L9:AE9),""))</f>
        <v>0.16496258105348283</v>
      </c>
      <c r="J9" s="503">
        <f>IF(終値!A9="","",IFERROR(4*STDEVP(終値!M9:AF9)/AVERAGE(終値!M9:AF9),""))</f>
        <v>0.17305220798068238</v>
      </c>
      <c r="K9" s="503">
        <f>IF(終値!A9="","",IFERROR(4*STDEVP(終値!N9:AG9)/AVERAGE(終値!N9:AG9),""))</f>
        <v>0.18602509321644409</v>
      </c>
      <c r="L9" s="503">
        <f>IF(終値!A9="","",IFERROR(4*STDEVP(終値!O9:AH9)/AVERAGE(終値!O9:AH9),""))</f>
        <v>0.21751816095446166</v>
      </c>
      <c r="M9" s="503">
        <f>IF(終値!A9="","",IFERROR(4*STDEVP(終値!P9:AI9)/AVERAGE(終値!P9:AI9),""))</f>
        <v>0.23249462376728836</v>
      </c>
      <c r="N9" s="503">
        <f>IF(終値!A9="","",IFERROR(4*STDEVP(終値!Q9:AJ9)/AVERAGE(終値!Q9:AJ9),""))</f>
        <v>0.23664636899207286</v>
      </c>
      <c r="O9" s="503">
        <f>IF(終値!A9="","",IFERROR(4*STDEVP(終値!R9:AK9)/AVERAGE(終値!R9:AK9),""))</f>
        <v>0.24858831179312929</v>
      </c>
      <c r="P9" s="503">
        <f>IF(終値!A9="","",IFERROR(4*STDEVP(終値!S9:AL9)/AVERAGE(終値!S9:AL9),""))</f>
        <v>0.25359672160730695</v>
      </c>
      <c r="Q9" s="503">
        <f>IF(終値!A9="","",IFERROR(4*STDEVP(終値!T9:AM9)/AVERAGE(終値!T9:AM9),""))</f>
        <v>0.25309919326252783</v>
      </c>
      <c r="R9" s="503">
        <f>IF(終値!A9="","",IFERROR(4*STDEVP(終値!U9:AN9)/AVERAGE(終値!U9:AN9),""))</f>
        <v>0.23537345328428894</v>
      </c>
      <c r="S9" s="503">
        <f>IF(終値!A9="","",IFERROR(4*STDEVP(終値!V9:AO9)/AVERAGE(終値!V9:AO9),""))</f>
        <v>0.20273948569536393</v>
      </c>
      <c r="T9" s="503">
        <f>IF(終値!A9="","",IFERROR(4*STDEVP(終値!W9:AP9)/AVERAGE(終値!W9:AP9),""))</f>
        <v>0.19270009186040676</v>
      </c>
      <c r="U9" s="503">
        <f>IF(終値!A9="","",IFERROR(4*STDEVP(終値!X9:AQ9)/AVERAGE(終値!X9:AQ9),""))</f>
        <v>0.18625537592944741</v>
      </c>
      <c r="V9" s="503">
        <f>IF(終値!A9="","",IFERROR(4*STDEVP(終値!Y9:AR9)/AVERAGE(終値!Y9:AR9),""))</f>
        <v>0.19383131945658075</v>
      </c>
      <c r="W9" s="503">
        <f>IF(終値!A9="","",IFERROR(4*STDEVP(終値!Z9:AS9)/AVERAGE(終値!Z9:AS9),""))</f>
        <v>0.20313497668424649</v>
      </c>
      <c r="X9" s="503">
        <f>IF(終値!A9="","",IFERROR(4*STDEVP(終値!AA9:AT9)/AVERAGE(終値!AA9:AT9),""))</f>
        <v>0.22141922473701775</v>
      </c>
      <c r="Y9" s="503">
        <f>IF(終値!A9="","",IFERROR(4*STDEVP(終値!AB9:AU9)/AVERAGE(終値!AB9:AU9),""))</f>
        <v>0.22210046554500862</v>
      </c>
      <c r="Z9" s="503">
        <f>IF(終値!A9="","",IFERROR(4*STDEVP(終値!AC9:AV9)/AVERAGE(終値!AC9:AV9),""))</f>
        <v>0.21996880914269132</v>
      </c>
      <c r="AA9" s="503">
        <f>IF(終値!A9="","",IFERROR(4*STDEVP(終値!AD9:AW9)/AVERAGE(終値!AD9:AW9),""))</f>
        <v>0.21141312563680273</v>
      </c>
      <c r="AB9" s="503">
        <f>IF(終値!A9="","",IFERROR(4*STDEVP(終値!AE9:AX9)/AVERAGE(終値!AE9:AX9),""))</f>
        <v>0.20909769737155837</v>
      </c>
      <c r="AC9" s="503">
        <f>IF(終値!A9="","",IFERROR(4*STDEVP(終値!AF9:AY9)/AVERAGE(終値!AF9:AY9),""))</f>
        <v>0.20417195012554731</v>
      </c>
      <c r="AD9" s="503">
        <f>IF(終値!A9="","",IFERROR(4*STDEVP(終値!AG9:AZ9)/AVERAGE(終値!AG9:AZ9),""))</f>
        <v>0.19543346441773887</v>
      </c>
      <c r="AE9" s="503">
        <f>IF(終値!A9="","",IFERROR(4*STDEVP(終値!AH9:BA9)/AVERAGE(終値!AH9:BA9),""))</f>
        <v>0.18800918856123414</v>
      </c>
      <c r="AF9" s="503">
        <f>IF(終値!A9="","",IFERROR(4*STDEVP(終値!AI9:BB9)/AVERAGE(終値!AI9:BB9),""))</f>
        <v>0.18965709493601093</v>
      </c>
      <c r="AG9" s="503">
        <f>IF(終値!A9="","",IFERROR(4*STDEVP(終値!AJ9:BC9)/AVERAGE(終値!AJ9:BC9),""))</f>
        <v>0.18897184005466955</v>
      </c>
      <c r="AH9" s="503">
        <f>IF(終値!A9="","",IFERROR(4*STDEVP(終値!AK9:BD9)/AVERAGE(終値!AK9:BD9),""))</f>
        <v>0.19012774245063011</v>
      </c>
      <c r="AI9" s="503">
        <f>IF(終値!A9="","",IFERROR(4*STDEVP(終値!AL9:BE9)/AVERAGE(終値!AL9:BE9),""))</f>
        <v>0.20807111185701455</v>
      </c>
      <c r="AJ9" s="503">
        <f>IF(終値!A9="","",IFERROR(4*STDEVP(終値!AM9:BF9)/AVERAGE(終値!AM9:BF9),""))</f>
        <v>0.21848706008233826</v>
      </c>
      <c r="AK9" s="503">
        <f>IF(終値!A9="","",IFERROR(4*STDEVP(終値!AN9:BG9)/AVERAGE(終値!AN9:BG9),""))</f>
        <v>0.29051992771076901</v>
      </c>
      <c r="AL9" s="503">
        <f>IF(終値!A9="","",IFERROR(4*STDEVP(終値!AO9:BH9)/AVERAGE(終値!AO9:BH9),""))</f>
        <v>0.3072613500759846</v>
      </c>
      <c r="AM9" s="503">
        <f>IF(終値!A9="","",IFERROR(4*STDEVP(終値!AP9:BI9)/AVERAGE(終値!AP9:BI9),""))</f>
        <v>0.29132642381448765</v>
      </c>
      <c r="AN9" s="503">
        <f>IF(終値!A9="","",IFERROR(4*STDEVP(終値!AQ9:BJ9)/AVERAGE(終値!AQ9:BJ9),""))</f>
        <v>0.26965973651440889</v>
      </c>
      <c r="AO9" s="503">
        <f>IF(終値!A9="","",IFERROR(4*STDEVP(終値!AR9:BK9)/AVERAGE(終値!AR9:BK9),""))</f>
        <v>0.24612828211114191</v>
      </c>
      <c r="AP9" s="503">
        <f>IF(終値!A9="","",IFERROR(4*STDEVP(終値!AS9:BL9)/AVERAGE(終値!AS9:BL9),""))</f>
        <v>0.24036649972814897</v>
      </c>
    </row>
    <row r="10" spans="1:42">
      <c r="A10" s="500" t="str">
        <f>IF(終値!A10="","",終値!A10)</f>
        <v>5714</v>
      </c>
      <c r="B10" s="503">
        <f>IF(終値!A10="","",IFERROR(4*STDEVP(終値!E10:X10)/AVERAGE(終値!E10:X10),""))</f>
        <v>0.11418092738761132</v>
      </c>
      <c r="C10" s="503">
        <f>IF(終値!A10="","",IFERROR(4*STDEVP(終値!F10:Y10)/AVERAGE(終値!F10:Y10),""))</f>
        <v>0.12535762591146776</v>
      </c>
      <c r="D10" s="503">
        <f>IF(終値!A10="","",IFERROR(4*STDEVP(終値!G10:Z10)/AVERAGE(終値!G10:Z10),""))</f>
        <v>0.13145064161788761</v>
      </c>
      <c r="E10" s="503">
        <f>IF(終値!A10="","",IFERROR(4*STDEVP(終値!H10:AA10)/AVERAGE(終値!H10:AA10),""))</f>
        <v>0.13230019439556109</v>
      </c>
      <c r="F10" s="503">
        <f>IF(終値!A10="","",IFERROR(4*STDEVP(終値!I10:AB10)/AVERAGE(終値!I10:AB10),""))</f>
        <v>0.12702129319430738</v>
      </c>
      <c r="G10" s="503">
        <f>IF(終値!A10="","",IFERROR(4*STDEVP(終値!J10:AC10)/AVERAGE(終値!J10:AC10),""))</f>
        <v>0.11780941797373143</v>
      </c>
      <c r="H10" s="503">
        <f>IF(終値!A10="","",IFERROR(4*STDEVP(終値!K10:AD10)/AVERAGE(終値!K10:AD10),""))</f>
        <v>0.11303972146647935</v>
      </c>
      <c r="I10" s="503">
        <f>IF(終値!A10="","",IFERROR(4*STDEVP(終値!L10:AE10)/AVERAGE(終値!L10:AE10),""))</f>
        <v>0.11502322267728869</v>
      </c>
      <c r="J10" s="503">
        <f>IF(終値!A10="","",IFERROR(4*STDEVP(終値!M10:AF10)/AVERAGE(終値!M10:AF10),""))</f>
        <v>0.12084418067891739</v>
      </c>
      <c r="K10" s="503">
        <f>IF(終値!A10="","",IFERROR(4*STDEVP(終値!N10:AG10)/AVERAGE(終値!N10:AG10),""))</f>
        <v>0.13640356080444666</v>
      </c>
      <c r="L10" s="503">
        <f>IF(終値!A10="","",IFERROR(4*STDEVP(終値!O10:AH10)/AVERAGE(終値!O10:AH10),""))</f>
        <v>0.17322921100745264</v>
      </c>
      <c r="M10" s="503">
        <f>IF(終値!A10="","",IFERROR(4*STDEVP(終値!P10:AI10)/AVERAGE(終値!P10:AI10),""))</f>
        <v>0.18631080205227618</v>
      </c>
      <c r="N10" s="503">
        <f>IF(終値!A10="","",IFERROR(4*STDEVP(終値!Q10:AJ10)/AVERAGE(終値!Q10:AJ10),""))</f>
        <v>0.19378446878390221</v>
      </c>
      <c r="O10" s="503">
        <f>IF(終値!A10="","",IFERROR(4*STDEVP(終値!R10:AK10)/AVERAGE(終値!R10:AK10),""))</f>
        <v>0.21401210018803246</v>
      </c>
      <c r="P10" s="503">
        <f>IF(終値!A10="","",IFERROR(4*STDEVP(終値!S10:AL10)/AVERAGE(終値!S10:AL10),""))</f>
        <v>0.22031406330603875</v>
      </c>
      <c r="Q10" s="503">
        <f>IF(終値!A10="","",IFERROR(4*STDEVP(終値!T10:AM10)/AVERAGE(終値!T10:AM10),""))</f>
        <v>0.22574353140879713</v>
      </c>
      <c r="R10" s="503">
        <f>IF(終値!A10="","",IFERROR(4*STDEVP(終値!U10:AN10)/AVERAGE(終値!U10:AN10),""))</f>
        <v>0.21748769163842854</v>
      </c>
      <c r="S10" s="503">
        <f>IF(終値!A10="","",IFERROR(4*STDEVP(終値!V10:AO10)/AVERAGE(終値!V10:AO10),""))</f>
        <v>0.20186793809993939</v>
      </c>
      <c r="T10" s="503">
        <f>IF(終値!A10="","",IFERROR(4*STDEVP(終値!W10:AP10)/AVERAGE(終値!W10:AP10),""))</f>
        <v>0.19010370177779626</v>
      </c>
      <c r="U10" s="503">
        <f>IF(終値!A10="","",IFERROR(4*STDEVP(終値!X10:AQ10)/AVERAGE(終値!X10:AQ10),""))</f>
        <v>0.18193612376709761</v>
      </c>
      <c r="V10" s="503">
        <f>IF(終値!A10="","",IFERROR(4*STDEVP(終値!Y10:AR10)/AVERAGE(終値!Y10:AR10),""))</f>
        <v>0.19669394763156259</v>
      </c>
      <c r="W10" s="503">
        <f>IF(終値!A10="","",IFERROR(4*STDEVP(終値!Z10:AS10)/AVERAGE(終値!Z10:AS10),""))</f>
        <v>0.20044237541488827</v>
      </c>
      <c r="X10" s="503">
        <f>IF(終値!A10="","",IFERROR(4*STDEVP(終値!AA10:AT10)/AVERAGE(終値!AA10:AT10),""))</f>
        <v>0.21845868340512239</v>
      </c>
      <c r="Y10" s="503">
        <f>IF(終値!A10="","",IFERROR(4*STDEVP(終値!AB10:AU10)/AVERAGE(終値!AB10:AU10),""))</f>
        <v>0.21674949972344779</v>
      </c>
      <c r="Z10" s="503">
        <f>IF(終値!A10="","",IFERROR(4*STDEVP(終値!AC10:AV10)/AVERAGE(終値!AC10:AV10),""))</f>
        <v>0.21681905206470858</v>
      </c>
      <c r="AA10" s="503">
        <f>IF(終値!A10="","",IFERROR(4*STDEVP(終値!AD10:AW10)/AVERAGE(終値!AD10:AW10),""))</f>
        <v>0.22260553453739559</v>
      </c>
      <c r="AB10" s="503">
        <f>IF(終値!A10="","",IFERROR(4*STDEVP(終値!AE10:AX10)/AVERAGE(終値!AE10:AX10),""))</f>
        <v>0.23275817629375453</v>
      </c>
      <c r="AC10" s="503">
        <f>IF(終値!A10="","",IFERROR(4*STDEVP(終値!AF10:AY10)/AVERAGE(終値!AF10:AY10),""))</f>
        <v>0.2373527470779821</v>
      </c>
      <c r="AD10" s="503">
        <f>IF(終値!A10="","",IFERROR(4*STDEVP(終値!AG10:AZ10)/AVERAGE(終値!AG10:AZ10),""))</f>
        <v>0.22838161075802071</v>
      </c>
      <c r="AE10" s="503">
        <f>IF(終値!A10="","",IFERROR(4*STDEVP(終値!AH10:BA10)/AVERAGE(終値!AH10:BA10),""))</f>
        <v>0.21944884388545985</v>
      </c>
      <c r="AF10" s="503">
        <f>IF(終値!A10="","",IFERROR(4*STDEVP(終値!AI10:BB10)/AVERAGE(終値!AI10:BB10),""))</f>
        <v>0.21841889357286437</v>
      </c>
      <c r="AG10" s="503">
        <f>IF(終値!A10="","",IFERROR(4*STDEVP(終値!AJ10:BC10)/AVERAGE(終値!AJ10:BC10),""))</f>
        <v>0.21621192338013387</v>
      </c>
      <c r="AH10" s="503">
        <f>IF(終値!A10="","",IFERROR(4*STDEVP(終値!AK10:BD10)/AVERAGE(終値!AK10:BD10),""))</f>
        <v>0.23492802476188798</v>
      </c>
      <c r="AI10" s="503">
        <f>IF(終値!A10="","",IFERROR(4*STDEVP(終値!AL10:BE10)/AVERAGE(終値!AL10:BE10),""))</f>
        <v>0.26862718851809525</v>
      </c>
      <c r="AJ10" s="503">
        <f>IF(終値!A10="","",IFERROR(4*STDEVP(終値!AM10:BF10)/AVERAGE(終値!AM10:BF10),""))</f>
        <v>0.26524144593276688</v>
      </c>
      <c r="AK10" s="503">
        <f>IF(終値!A10="","",IFERROR(4*STDEVP(終値!AN10:BG10)/AVERAGE(終値!AN10:BG10),""))</f>
        <v>0.26609032296746898</v>
      </c>
      <c r="AL10" s="503">
        <f>IF(終値!A10="","",IFERROR(4*STDEVP(終値!AO10:BH10)/AVERAGE(終値!AO10:BH10),""))</f>
        <v>0.25452973950632057</v>
      </c>
      <c r="AM10" s="503">
        <f>IF(終値!A10="","",IFERROR(4*STDEVP(終値!AP10:BI10)/AVERAGE(終値!AP10:BI10),""))</f>
        <v>0.22274621792203025</v>
      </c>
      <c r="AN10" s="503">
        <f>IF(終値!A10="","",IFERROR(4*STDEVP(終値!AQ10:BJ10)/AVERAGE(終値!AQ10:BJ10),""))</f>
        <v>0.18883508283712019</v>
      </c>
      <c r="AO10" s="503">
        <f>IF(終値!A10="","",IFERROR(4*STDEVP(終値!AR10:BK10)/AVERAGE(終値!AR10:BK10),""))</f>
        <v>0.16763752946564572</v>
      </c>
      <c r="AP10" s="503">
        <f>IF(終値!A10="","",IFERROR(4*STDEVP(終値!AS10:BL10)/AVERAGE(終値!AS10:BL10),""))</f>
        <v>0.18215238821176791</v>
      </c>
    </row>
    <row r="11" spans="1:42">
      <c r="A11" s="500" t="str">
        <f>IF(終値!A11="","",終値!A11)</f>
        <v>6701</v>
      </c>
      <c r="B11" s="503">
        <f>IF(終値!A11="","",IFERROR(4*STDEVP(終値!E11:X11)/AVERAGE(終値!E11:X11),""))</f>
        <v>0.17018783864856085</v>
      </c>
      <c r="C11" s="503">
        <f>IF(終値!A11="","",IFERROR(4*STDEVP(終値!F11:Y11)/AVERAGE(終値!F11:Y11),""))</f>
        <v>0.17696885072818891</v>
      </c>
      <c r="D11" s="503">
        <f>IF(終値!A11="","",IFERROR(4*STDEVP(終値!G11:Z11)/AVERAGE(終値!G11:Z11),""))</f>
        <v>0.17195808461749024</v>
      </c>
      <c r="E11" s="503">
        <f>IF(終値!A11="","",IFERROR(4*STDEVP(終値!H11:AA11)/AVERAGE(終値!H11:AA11),""))</f>
        <v>0.17803202078882857</v>
      </c>
      <c r="F11" s="503">
        <f>IF(終値!A11="","",IFERROR(4*STDEVP(終値!I11:AB11)/AVERAGE(終値!I11:AB11),""))</f>
        <v>0.14505001130484513</v>
      </c>
      <c r="G11" s="503">
        <f>IF(終値!A11="","",IFERROR(4*STDEVP(終値!J11:AC11)/AVERAGE(終値!J11:AC11),""))</f>
        <v>0.14063881951560103</v>
      </c>
      <c r="H11" s="503">
        <f>IF(終値!A11="","",IFERROR(4*STDEVP(終値!K11:AD11)/AVERAGE(終値!K11:AD11),""))</f>
        <v>0.16669153624686794</v>
      </c>
      <c r="I11" s="503">
        <f>IF(終値!A11="","",IFERROR(4*STDEVP(終値!L11:AE11)/AVERAGE(終値!L11:AE11),""))</f>
        <v>0.19078689273347826</v>
      </c>
      <c r="J11" s="503">
        <f>IF(終値!A11="","",IFERROR(4*STDEVP(終値!M11:AF11)/AVERAGE(終値!M11:AF11),""))</f>
        <v>0.20688304308920771</v>
      </c>
      <c r="K11" s="503">
        <f>IF(終値!A11="","",IFERROR(4*STDEVP(終値!N11:AG11)/AVERAGE(終値!N11:AG11),""))</f>
        <v>0.2337544945256653</v>
      </c>
      <c r="L11" s="503">
        <f>IF(終値!A11="","",IFERROR(4*STDEVP(終値!O11:AH11)/AVERAGE(終値!O11:AH11),""))</f>
        <v>0.24708504860110375</v>
      </c>
      <c r="M11" s="503">
        <f>IF(終値!A11="","",IFERROR(4*STDEVP(終値!P11:AI11)/AVERAGE(終値!P11:AI11),""))</f>
        <v>0.25387882435390402</v>
      </c>
      <c r="N11" s="503">
        <f>IF(終値!A11="","",IFERROR(4*STDEVP(終値!Q11:AJ11)/AVERAGE(終値!Q11:AJ11),""))</f>
        <v>0.25011216607489684</v>
      </c>
      <c r="O11" s="503">
        <f>IF(終値!A11="","",IFERROR(4*STDEVP(終値!R11:AK11)/AVERAGE(終値!R11:AK11),""))</f>
        <v>0.25252691244647169</v>
      </c>
      <c r="P11" s="503">
        <f>IF(終値!A11="","",IFERROR(4*STDEVP(終値!S11:AL11)/AVERAGE(終値!S11:AL11),""))</f>
        <v>0.24145274343900089</v>
      </c>
      <c r="Q11" s="503">
        <f>IF(終値!A11="","",IFERROR(4*STDEVP(終値!T11:AM11)/AVERAGE(終値!T11:AM11),""))</f>
        <v>0.23562775692202131</v>
      </c>
      <c r="R11" s="503">
        <f>IF(終値!A11="","",IFERROR(4*STDEVP(終値!U11:AN11)/AVERAGE(終値!U11:AN11),""))</f>
        <v>0.22630955020089374</v>
      </c>
      <c r="S11" s="503">
        <f>IF(終値!A11="","",IFERROR(4*STDEVP(終値!V11:AO11)/AVERAGE(終値!V11:AO11),""))</f>
        <v>0.20793739693257282</v>
      </c>
      <c r="T11" s="503">
        <f>IF(終値!A11="","",IFERROR(4*STDEVP(終値!W11:AP11)/AVERAGE(終値!W11:AP11),""))</f>
        <v>0.18957767048960908</v>
      </c>
      <c r="U11" s="503">
        <f>IF(終値!A11="","",IFERROR(4*STDEVP(終値!X11:AQ11)/AVERAGE(終値!X11:AQ11),""))</f>
        <v>0.17012499407193865</v>
      </c>
      <c r="V11" s="503">
        <f>IF(終値!A11="","",IFERROR(4*STDEVP(終値!Y11:AR11)/AVERAGE(終値!Y11:AR11),""))</f>
        <v>0.15958325335328782</v>
      </c>
      <c r="W11" s="503">
        <f>IF(終値!A11="","",IFERROR(4*STDEVP(終値!Z11:AS11)/AVERAGE(終値!Z11:AS11),""))</f>
        <v>0.16414447115396213</v>
      </c>
      <c r="X11" s="503">
        <f>IF(終値!A11="","",IFERROR(4*STDEVP(終値!AA11:AT11)/AVERAGE(終値!AA11:AT11),""))</f>
        <v>0.17071157571783349</v>
      </c>
      <c r="Y11" s="503">
        <f>IF(終値!A11="","",IFERROR(4*STDEVP(終値!AB11:AU11)/AVERAGE(終値!AB11:AU11),""))</f>
        <v>0.20164521385557063</v>
      </c>
      <c r="Z11" s="503">
        <f>IF(終値!A11="","",IFERROR(4*STDEVP(終値!AC11:AV11)/AVERAGE(終値!AC11:AV11),""))</f>
        <v>0.20330962497400945</v>
      </c>
      <c r="AA11" s="503">
        <f>IF(終値!A11="","",IFERROR(4*STDEVP(終値!AD11:AW11)/AVERAGE(終値!AD11:AW11),""))</f>
        <v>0.20412671475418159</v>
      </c>
      <c r="AB11" s="503">
        <f>IF(終値!A11="","",IFERROR(4*STDEVP(終値!AE11:AX11)/AVERAGE(終値!AE11:AX11),""))</f>
        <v>0.20224834350445486</v>
      </c>
      <c r="AC11" s="503">
        <f>IF(終値!A11="","",IFERROR(4*STDEVP(終値!AF11:AY11)/AVERAGE(終値!AF11:AY11),""))</f>
        <v>0.19543048617855999</v>
      </c>
      <c r="AD11" s="503">
        <f>IF(終値!A11="","",IFERROR(4*STDEVP(終値!AG11:AZ11)/AVERAGE(終値!AG11:AZ11),""))</f>
        <v>0.19183155659897178</v>
      </c>
      <c r="AE11" s="503">
        <f>IF(終値!A11="","",IFERROR(4*STDEVP(終値!AH11:BA11)/AVERAGE(終値!AH11:BA11),""))</f>
        <v>0.17562521870812831</v>
      </c>
      <c r="AF11" s="503">
        <f>IF(終値!A11="","",IFERROR(4*STDEVP(終値!AI11:BB11)/AVERAGE(終値!AI11:BB11),""))</f>
        <v>0.1628513772880992</v>
      </c>
      <c r="AG11" s="503">
        <f>IF(終値!A11="","",IFERROR(4*STDEVP(終値!AJ11:BC11)/AVERAGE(終値!AJ11:BC11),""))</f>
        <v>0.15359037544901469</v>
      </c>
      <c r="AH11" s="503">
        <f>IF(終値!A11="","",IFERROR(4*STDEVP(終値!AK11:BD11)/AVERAGE(終値!AK11:BD11),""))</f>
        <v>0.15163526332269694</v>
      </c>
      <c r="AI11" s="503">
        <f>IF(終値!A11="","",IFERROR(4*STDEVP(終値!AL11:BE11)/AVERAGE(終値!AL11:BE11),""))</f>
        <v>0.14276836286767447</v>
      </c>
      <c r="AJ11" s="503">
        <f>IF(終値!A11="","",IFERROR(4*STDEVP(終値!AM11:BF11)/AVERAGE(終値!AM11:BF11),""))</f>
        <v>0.13117710691544859</v>
      </c>
      <c r="AK11" s="503">
        <f>IF(終値!A11="","",IFERROR(4*STDEVP(終値!AN11:BG11)/AVERAGE(終値!AN11:BG11),""))</f>
        <v>0.11674029120251719</v>
      </c>
      <c r="AL11" s="503">
        <f>IF(終値!A11="","",IFERROR(4*STDEVP(終値!AO11:BH11)/AVERAGE(終値!AO11:BH11),""))</f>
        <v>0.10184511419883488</v>
      </c>
      <c r="AM11" s="503">
        <f>IF(終値!A11="","",IFERROR(4*STDEVP(終値!AP11:BI11)/AVERAGE(終値!AP11:BI11),""))</f>
        <v>9.7067463343179949E-2</v>
      </c>
      <c r="AN11" s="503">
        <f>IF(終値!A11="","",IFERROR(4*STDEVP(終値!AQ11:BJ11)/AVERAGE(終値!AQ11:BJ11),""))</f>
        <v>9.2064334215862742E-2</v>
      </c>
      <c r="AO11" s="503">
        <f>IF(終値!A11="","",IFERROR(4*STDEVP(終値!AR11:BK11)/AVERAGE(終値!AR11:BK11),""))</f>
        <v>9.5411419669679531E-2</v>
      </c>
      <c r="AP11" s="503">
        <f>IF(終値!A11="","",IFERROR(4*STDEVP(終値!AS11:BL11)/AVERAGE(終値!AS11:BL11),""))</f>
        <v>9.6543355735260072E-2</v>
      </c>
    </row>
    <row r="12" spans="1:42">
      <c r="A12" s="500" t="str">
        <f>IF(終値!A12="","",終値!A12)</f>
        <v>1605</v>
      </c>
      <c r="B12" s="503">
        <f>IF(終値!A12="","",IFERROR(4*STDEVP(終値!E12:X12)/AVERAGE(終値!E12:X12),""))</f>
        <v>0.14900328559412956</v>
      </c>
      <c r="C12" s="503">
        <f>IF(終値!A12="","",IFERROR(4*STDEVP(終値!F12:Y12)/AVERAGE(終値!F12:Y12),""))</f>
        <v>0.16419576528379515</v>
      </c>
      <c r="D12" s="503">
        <f>IF(終値!A12="","",IFERROR(4*STDEVP(終値!G12:Z12)/AVERAGE(終値!G12:Z12),""))</f>
        <v>0.18081630238983548</v>
      </c>
      <c r="E12" s="503">
        <f>IF(終値!A12="","",IFERROR(4*STDEVP(終値!H12:AA12)/AVERAGE(終値!H12:AA12),""))</f>
        <v>0.19088597548253938</v>
      </c>
      <c r="F12" s="503">
        <f>IF(終値!A12="","",IFERROR(4*STDEVP(終値!I12:AB12)/AVERAGE(終値!I12:AB12),""))</f>
        <v>0.19307537004471509</v>
      </c>
      <c r="G12" s="503">
        <f>IF(終値!A12="","",IFERROR(4*STDEVP(終値!J12:AC12)/AVERAGE(終値!J12:AC12),""))</f>
        <v>0.19299330693242869</v>
      </c>
      <c r="H12" s="503">
        <f>IF(終値!A12="","",IFERROR(4*STDEVP(終値!K12:AD12)/AVERAGE(終値!K12:AD12),""))</f>
        <v>0.19099677964929826</v>
      </c>
      <c r="I12" s="503">
        <f>IF(終値!A12="","",IFERROR(4*STDEVP(終値!L12:AE12)/AVERAGE(終値!L12:AE12),""))</f>
        <v>0.18402907708002672</v>
      </c>
      <c r="J12" s="503">
        <f>IF(終値!A12="","",IFERROR(4*STDEVP(終値!M12:AF12)/AVERAGE(終値!M12:AF12),""))</f>
        <v>0.15718615685735157</v>
      </c>
      <c r="K12" s="503">
        <f>IF(終値!A12="","",IFERROR(4*STDEVP(終値!N12:AG12)/AVERAGE(終値!N12:AG12),""))</f>
        <v>0.13456641528700142</v>
      </c>
      <c r="L12" s="503">
        <f>IF(終値!A12="","",IFERROR(4*STDEVP(終値!O12:AH12)/AVERAGE(終値!O12:AH12),""))</f>
        <v>0.11958939674920939</v>
      </c>
      <c r="M12" s="503">
        <f>IF(終値!A12="","",IFERROR(4*STDEVP(終値!P12:AI12)/AVERAGE(終値!P12:AI12),""))</f>
        <v>0.11089687790088021</v>
      </c>
      <c r="N12" s="503">
        <f>IF(終値!A12="","",IFERROR(4*STDEVP(終値!Q12:AJ12)/AVERAGE(終値!Q12:AJ12),""))</f>
        <v>0.11184595454555261</v>
      </c>
      <c r="O12" s="503">
        <f>IF(終値!A12="","",IFERROR(4*STDEVP(終値!R12:AK12)/AVERAGE(終値!R12:AK12),""))</f>
        <v>0.10997036030512888</v>
      </c>
      <c r="P12" s="503">
        <f>IF(終値!A12="","",IFERROR(4*STDEVP(終値!S12:AL12)/AVERAGE(終値!S12:AL12),""))</f>
        <v>0.10063584422694696</v>
      </c>
      <c r="Q12" s="503">
        <f>IF(終値!A12="","",IFERROR(4*STDEVP(終値!T12:AM12)/AVERAGE(終値!T12:AM12),""))</f>
        <v>0.10689714164585074</v>
      </c>
      <c r="R12" s="503">
        <f>IF(終値!A12="","",IFERROR(4*STDEVP(終値!U12:AN12)/AVERAGE(終値!U12:AN12),""))</f>
        <v>0.1189240316175688</v>
      </c>
      <c r="S12" s="503">
        <f>IF(終値!A12="","",IFERROR(4*STDEVP(終値!V12:AO12)/AVERAGE(終値!V12:AO12),""))</f>
        <v>0.13336716875075372</v>
      </c>
      <c r="T12" s="503">
        <f>IF(終値!A12="","",IFERROR(4*STDEVP(終値!W12:AP12)/AVERAGE(終値!W12:AP12),""))</f>
        <v>0.13608036095314574</v>
      </c>
      <c r="U12" s="503">
        <f>IF(終値!A12="","",IFERROR(4*STDEVP(終値!X12:AQ12)/AVERAGE(終値!X12:AQ12),""))</f>
        <v>0.14817401316046369</v>
      </c>
      <c r="V12" s="503">
        <f>IF(終値!A12="","",IFERROR(4*STDEVP(終値!Y12:AR12)/AVERAGE(終値!Y12:AR12),""))</f>
        <v>0.16240419972670753</v>
      </c>
      <c r="W12" s="503">
        <f>IF(終値!A12="","",IFERROR(4*STDEVP(終値!Z12:AS12)/AVERAGE(終値!Z12:AS12),""))</f>
        <v>0.16462506838808594</v>
      </c>
      <c r="X12" s="503">
        <f>IF(終値!A12="","",IFERROR(4*STDEVP(終値!AA12:AT12)/AVERAGE(終値!AA12:AT12),""))</f>
        <v>0.16478476203813866</v>
      </c>
      <c r="Y12" s="503">
        <f>IF(終値!A12="","",IFERROR(4*STDEVP(終値!AB12:AU12)/AVERAGE(終値!AB12:AU12),""))</f>
        <v>0.15109551136227889</v>
      </c>
      <c r="Z12" s="503">
        <f>IF(終値!A12="","",IFERROR(4*STDEVP(終値!AC12:AV12)/AVERAGE(終値!AC12:AV12),""))</f>
        <v>0.14224746861671889</v>
      </c>
      <c r="AA12" s="503">
        <f>IF(終値!A12="","",IFERROR(4*STDEVP(終値!AD12:AW12)/AVERAGE(終値!AD12:AW12),""))</f>
        <v>0.13729175587102946</v>
      </c>
      <c r="AB12" s="503">
        <f>IF(終値!A12="","",IFERROR(4*STDEVP(終値!AE12:AX12)/AVERAGE(終値!AE12:AX12),""))</f>
        <v>0.13572910684717179</v>
      </c>
      <c r="AC12" s="503">
        <f>IF(終値!A12="","",IFERROR(4*STDEVP(終値!AF12:AY12)/AVERAGE(終値!AF12:AY12),""))</f>
        <v>0.12204464413381985</v>
      </c>
      <c r="AD12" s="503">
        <f>IF(終値!A12="","",IFERROR(4*STDEVP(終値!AG12:AZ12)/AVERAGE(終値!AG12:AZ12),""))</f>
        <v>0.13342966822695235</v>
      </c>
      <c r="AE12" s="503">
        <f>IF(終値!A12="","",IFERROR(4*STDEVP(終値!AH12:BA12)/AVERAGE(終値!AH12:BA12),""))</f>
        <v>0.14870358019634433</v>
      </c>
      <c r="AF12" s="503">
        <f>IF(終値!A12="","",IFERROR(4*STDEVP(終値!AI12:BB12)/AVERAGE(終値!AI12:BB12),""))</f>
        <v>0.17032409564265591</v>
      </c>
      <c r="AG12" s="503">
        <f>IF(終値!A12="","",IFERROR(4*STDEVP(終値!AJ12:BC12)/AVERAGE(終値!AJ12:BC12),""))</f>
        <v>0.18761945464037125</v>
      </c>
      <c r="AH12" s="503">
        <f>IF(終値!A12="","",IFERROR(4*STDEVP(終値!AK12:BD12)/AVERAGE(終値!AK12:BD12),""))</f>
        <v>0.18968643272156363</v>
      </c>
      <c r="AI12" s="503">
        <f>IF(終値!A12="","",IFERROR(4*STDEVP(終値!AL12:BE12)/AVERAGE(終値!AL12:BE12),""))</f>
        <v>0.18474596990299544</v>
      </c>
      <c r="AJ12" s="503">
        <f>IF(終値!A12="","",IFERROR(4*STDEVP(終値!AM12:BF12)/AVERAGE(終値!AM12:BF12),""))</f>
        <v>0.17227605515155067</v>
      </c>
      <c r="AK12" s="503">
        <f>IF(終値!A12="","",IFERROR(4*STDEVP(終値!AN12:BG12)/AVERAGE(終値!AN12:BG12),""))</f>
        <v>0.16772772041583409</v>
      </c>
      <c r="AL12" s="503">
        <f>IF(終値!A12="","",IFERROR(4*STDEVP(終値!AO12:BH12)/AVERAGE(終値!AO12:BH12),""))</f>
        <v>0.16611768391897586</v>
      </c>
      <c r="AM12" s="503">
        <f>IF(終値!A12="","",IFERROR(4*STDEVP(終値!AP12:BI12)/AVERAGE(終値!AP12:BI12),""))</f>
        <v>0.16184195139008931</v>
      </c>
      <c r="AN12" s="503">
        <f>IF(終値!A12="","",IFERROR(4*STDEVP(終値!AQ12:BJ12)/AVERAGE(終値!AQ12:BJ12),""))</f>
        <v>0.14443505198304696</v>
      </c>
      <c r="AO12" s="503">
        <f>IF(終値!A12="","",IFERROR(4*STDEVP(終値!AR12:BK12)/AVERAGE(終値!AR12:BK12),""))</f>
        <v>0.13964707251791689</v>
      </c>
      <c r="AP12" s="503">
        <f>IF(終値!A12="","",IFERROR(4*STDEVP(終値!AS12:BL12)/AVERAGE(終値!AS12:BL12),""))</f>
        <v>0.15281359629169874</v>
      </c>
    </row>
    <row r="13" spans="1:42">
      <c r="A13" s="500" t="str">
        <f>IF(終値!A13="","",終値!A13)</f>
        <v>5703</v>
      </c>
      <c r="B13" s="503">
        <f>IF(終値!A13="","",IFERROR(4*STDEVP(終値!E13:X13)/AVERAGE(終値!E13:X13),""))</f>
        <v>9.6319163357002427E-2</v>
      </c>
      <c r="C13" s="503">
        <f>IF(終値!A13="","",IFERROR(4*STDEVP(終値!F13:Y13)/AVERAGE(終値!F13:Y13),""))</f>
        <v>9.3399798158334879E-2</v>
      </c>
      <c r="D13" s="503">
        <f>IF(終値!A13="","",IFERROR(4*STDEVP(終値!G13:Z13)/AVERAGE(終値!G13:Z13),""))</f>
        <v>8.0617084862764365E-2</v>
      </c>
      <c r="E13" s="503">
        <f>IF(終値!A13="","",IFERROR(4*STDEVP(終値!H13:AA13)/AVERAGE(終値!H13:AA13),""))</f>
        <v>8.2174531958271513E-2</v>
      </c>
      <c r="F13" s="503">
        <f>IF(終値!A13="","",IFERROR(4*STDEVP(終値!I13:AB13)/AVERAGE(終値!I13:AB13),""))</f>
        <v>7.5680278343013094E-2</v>
      </c>
      <c r="G13" s="503">
        <f>IF(終値!A13="","",IFERROR(4*STDEVP(終値!J13:AC13)/AVERAGE(終値!J13:AC13),""))</f>
        <v>7.2852031849559643E-2</v>
      </c>
      <c r="H13" s="503">
        <f>IF(終値!A13="","",IFERROR(4*STDEVP(終値!K13:AD13)/AVERAGE(終値!K13:AD13),""))</f>
        <v>7.6103751266104469E-2</v>
      </c>
      <c r="I13" s="503">
        <f>IF(終値!A13="","",IFERROR(4*STDEVP(終値!L13:AE13)/AVERAGE(終値!L13:AE13),""))</f>
        <v>8.286924103906039E-2</v>
      </c>
      <c r="J13" s="503">
        <f>IF(終値!A13="","",IFERROR(4*STDEVP(終値!M13:AF13)/AVERAGE(終値!M13:AF13),""))</f>
        <v>9.1203758480472824E-2</v>
      </c>
      <c r="K13" s="503">
        <f>IF(終値!A13="","",IFERROR(4*STDEVP(終値!N13:AG13)/AVERAGE(終値!N13:AG13),""))</f>
        <v>0.10686791609380232</v>
      </c>
      <c r="L13" s="503">
        <f>IF(終値!A13="","",IFERROR(4*STDEVP(終値!O13:AH13)/AVERAGE(終値!O13:AH13),""))</f>
        <v>0.13514288750501033</v>
      </c>
      <c r="M13" s="503">
        <f>IF(終値!A13="","",IFERROR(4*STDEVP(終値!P13:AI13)/AVERAGE(終値!P13:AI13),""))</f>
        <v>0.15115149911729209</v>
      </c>
      <c r="N13" s="503">
        <f>IF(終値!A13="","",IFERROR(4*STDEVP(終値!Q13:AJ13)/AVERAGE(終値!Q13:AJ13),""))</f>
        <v>0.15602537192040261</v>
      </c>
      <c r="O13" s="503">
        <f>IF(終値!A13="","",IFERROR(4*STDEVP(終値!R13:AK13)/AVERAGE(終値!R13:AK13),""))</f>
        <v>0.16375551316185383</v>
      </c>
      <c r="P13" s="503">
        <f>IF(終値!A13="","",IFERROR(4*STDEVP(終値!S13:AL13)/AVERAGE(終値!S13:AL13),""))</f>
        <v>0.17516415861734219</v>
      </c>
      <c r="Q13" s="503">
        <f>IF(終値!A13="","",IFERROR(4*STDEVP(終値!T13:AM13)/AVERAGE(終値!T13:AM13),""))</f>
        <v>0.19084878379382686</v>
      </c>
      <c r="R13" s="503">
        <f>IF(終値!A13="","",IFERROR(4*STDEVP(終値!U13:AN13)/AVERAGE(終値!U13:AN13),""))</f>
        <v>0.19561224175483086</v>
      </c>
      <c r="S13" s="503">
        <f>IF(終値!A13="","",IFERROR(4*STDEVP(終値!V13:AO13)/AVERAGE(終値!V13:AO13),""))</f>
        <v>0.18633535944730728</v>
      </c>
      <c r="T13" s="503">
        <f>IF(終値!A13="","",IFERROR(4*STDEVP(終値!W13:AP13)/AVERAGE(終値!W13:AP13),""))</f>
        <v>0.17729259651917678</v>
      </c>
      <c r="U13" s="503">
        <f>IF(終値!A13="","",IFERROR(4*STDEVP(終値!X13:AQ13)/AVERAGE(終値!X13:AQ13),""))</f>
        <v>0.17969352703258906</v>
      </c>
      <c r="V13" s="503">
        <f>IF(終値!A13="","",IFERROR(4*STDEVP(終値!Y13:AR13)/AVERAGE(終値!Y13:AR13),""))</f>
        <v>0.19846202182733963</v>
      </c>
      <c r="W13" s="503">
        <f>IF(終値!A13="","",IFERROR(4*STDEVP(終値!Z13:AS13)/AVERAGE(終値!Z13:AS13),""))</f>
        <v>0.20179771365046864</v>
      </c>
      <c r="X13" s="503">
        <f>IF(終値!A13="","",IFERROR(4*STDEVP(終値!AA13:AT13)/AVERAGE(終値!AA13:AT13),""))</f>
        <v>0.20707517710763387</v>
      </c>
      <c r="Y13" s="503">
        <f>IF(終値!A13="","",IFERROR(4*STDEVP(終値!AB13:AU13)/AVERAGE(終値!AB13:AU13),""))</f>
        <v>0.1983582645865111</v>
      </c>
      <c r="Z13" s="503">
        <f>IF(終値!A13="","",IFERROR(4*STDEVP(終値!AC13:AV13)/AVERAGE(終値!AC13:AV13),""))</f>
        <v>0.18231986356992749</v>
      </c>
      <c r="AA13" s="503">
        <f>IF(終値!A13="","",IFERROR(4*STDEVP(終値!AD13:AW13)/AVERAGE(終値!AD13:AW13),""))</f>
        <v>0.17291244845672502</v>
      </c>
      <c r="AB13" s="503">
        <f>IF(終値!A13="","",IFERROR(4*STDEVP(終値!AE13:AX13)/AVERAGE(終値!AE13:AX13),""))</f>
        <v>0.16308978605624116</v>
      </c>
      <c r="AC13" s="503">
        <f>IF(終値!A13="","",IFERROR(4*STDEVP(終値!AF13:AY13)/AVERAGE(終値!AF13:AY13),""))</f>
        <v>0.15265579265130069</v>
      </c>
      <c r="AD13" s="503">
        <f>IF(終値!A13="","",IFERROR(4*STDEVP(終値!AG13:AZ13)/AVERAGE(終値!AG13:AZ13),""))</f>
        <v>0.13865764629491001</v>
      </c>
      <c r="AE13" s="503">
        <f>IF(終値!A13="","",IFERROR(4*STDEVP(終値!AH13:BA13)/AVERAGE(終値!AH13:BA13),""))</f>
        <v>0.12757917657085399</v>
      </c>
      <c r="AF13" s="503">
        <f>IF(終値!A13="","",IFERROR(4*STDEVP(終値!AI13:BB13)/AVERAGE(終値!AI13:BB13),""))</f>
        <v>0.12557841329698788</v>
      </c>
      <c r="AG13" s="503">
        <f>IF(終値!A13="","",IFERROR(4*STDEVP(終値!AJ13:BC13)/AVERAGE(終値!AJ13:BC13),""))</f>
        <v>0.12038177337487198</v>
      </c>
      <c r="AH13" s="503">
        <f>IF(終値!A13="","",IFERROR(4*STDEVP(終値!AK13:BD13)/AVERAGE(終値!AK13:BD13),""))</f>
        <v>0.11321504001252519</v>
      </c>
      <c r="AI13" s="503">
        <f>IF(終値!A13="","",IFERROR(4*STDEVP(終値!AL13:BE13)/AVERAGE(終値!AL13:BE13),""))</f>
        <v>0.10268165069565363</v>
      </c>
      <c r="AJ13" s="503">
        <f>IF(終値!A13="","",IFERROR(4*STDEVP(終値!AM13:BF13)/AVERAGE(終値!AM13:BF13),""))</f>
        <v>0.10016342939725556</v>
      </c>
      <c r="AK13" s="503">
        <f>IF(終値!A13="","",IFERROR(4*STDEVP(終値!AN13:BG13)/AVERAGE(終値!AN13:BG13),""))</f>
        <v>0.11185191785082883</v>
      </c>
      <c r="AL13" s="503">
        <f>IF(終値!A13="","",IFERROR(4*STDEVP(終値!AO13:BH13)/AVERAGE(終値!AO13:BH13),""))</f>
        <v>0.118742606969957</v>
      </c>
      <c r="AM13" s="503">
        <f>IF(終値!A13="","",IFERROR(4*STDEVP(終値!AP13:BI13)/AVERAGE(終値!AP13:BI13),""))</f>
        <v>0.12844168699431974</v>
      </c>
      <c r="AN13" s="503">
        <f>IF(終値!A13="","",IFERROR(4*STDEVP(終値!AQ13:BJ13)/AVERAGE(終値!AQ13:BJ13),""))</f>
        <v>0.13826039485754829</v>
      </c>
      <c r="AO13" s="503">
        <f>IF(終値!A13="","",IFERROR(4*STDEVP(終値!AR13:BK13)/AVERAGE(終値!AR13:BK13),""))</f>
        <v>0.14680531655223916</v>
      </c>
      <c r="AP13" s="503">
        <f>IF(終値!A13="","",IFERROR(4*STDEVP(終値!AS13:BL13)/AVERAGE(終値!AS13:BL13),""))</f>
        <v>0.1585848180276061</v>
      </c>
    </row>
    <row r="14" spans="1:42">
      <c r="A14" s="500" t="str">
        <f>IF(終値!A14="","",終値!A14)</f>
        <v>8002</v>
      </c>
      <c r="B14" s="503">
        <f>IF(終値!A14="","",IFERROR(4*STDEVP(終値!E14:X14)/AVERAGE(終値!E14:X14),""))</f>
        <v>0.13565237135192565</v>
      </c>
      <c r="C14" s="503">
        <f>IF(終値!A14="","",IFERROR(4*STDEVP(終値!F14:Y14)/AVERAGE(終値!F14:Y14),""))</f>
        <v>0.13463860278717096</v>
      </c>
      <c r="D14" s="503">
        <f>IF(終値!A14="","",IFERROR(4*STDEVP(終値!G14:Z14)/AVERAGE(終値!G14:Z14),""))</f>
        <v>0.14509336853784793</v>
      </c>
      <c r="E14" s="503">
        <f>IF(終値!A14="","",IFERROR(4*STDEVP(終値!H14:AA14)/AVERAGE(終値!H14:AA14),""))</f>
        <v>0.16231250431373853</v>
      </c>
      <c r="F14" s="503">
        <f>IF(終値!A14="","",IFERROR(4*STDEVP(終値!I14:AB14)/AVERAGE(終値!I14:AB14),""))</f>
        <v>0.17429337942111714</v>
      </c>
      <c r="G14" s="503">
        <f>IF(終値!A14="","",IFERROR(4*STDEVP(終値!J14:AC14)/AVERAGE(終値!J14:AC14),""))</f>
        <v>0.18193210895188802</v>
      </c>
      <c r="H14" s="503">
        <f>IF(終値!A14="","",IFERROR(4*STDEVP(終値!K14:AD14)/AVERAGE(終値!K14:AD14),""))</f>
        <v>0.1858016936305108</v>
      </c>
      <c r="I14" s="503">
        <f>IF(終値!A14="","",IFERROR(4*STDEVP(終値!L14:AE14)/AVERAGE(終値!L14:AE14),""))</f>
        <v>0.17925965812552938</v>
      </c>
      <c r="J14" s="503">
        <f>IF(終値!A14="","",IFERROR(4*STDEVP(終値!M14:AF14)/AVERAGE(終値!M14:AF14),""))</f>
        <v>0.16855918318915852</v>
      </c>
      <c r="K14" s="503">
        <f>IF(終値!A14="","",IFERROR(4*STDEVP(終値!N14:AG14)/AVERAGE(終値!N14:AG14),""))</f>
        <v>0.14653376402944557</v>
      </c>
      <c r="L14" s="503">
        <f>IF(終値!A14="","",IFERROR(4*STDEVP(終値!O14:AH14)/AVERAGE(終値!O14:AH14),""))</f>
        <v>0.12967696809933396</v>
      </c>
      <c r="M14" s="503">
        <f>IF(終値!A14="","",IFERROR(4*STDEVP(終値!P14:AI14)/AVERAGE(終値!P14:AI14),""))</f>
        <v>0.11521474907751707</v>
      </c>
      <c r="N14" s="503">
        <f>IF(終値!A14="","",IFERROR(4*STDEVP(終値!Q14:AJ14)/AVERAGE(終値!Q14:AJ14),""))</f>
        <v>0.11311845090418482</v>
      </c>
      <c r="O14" s="503">
        <f>IF(終値!A14="","",IFERROR(4*STDEVP(終値!R14:AK14)/AVERAGE(終値!R14:AK14),""))</f>
        <v>0.10421507995389294</v>
      </c>
      <c r="P14" s="503">
        <f>IF(終値!A14="","",IFERROR(4*STDEVP(終値!S14:AL14)/AVERAGE(終値!S14:AL14),""))</f>
        <v>0.10423859877542767</v>
      </c>
      <c r="Q14" s="503">
        <f>IF(終値!A14="","",IFERROR(4*STDEVP(終値!T14:AM14)/AVERAGE(終値!T14:AM14),""))</f>
        <v>0.1098840844429551</v>
      </c>
      <c r="R14" s="503">
        <f>IF(終値!A14="","",IFERROR(4*STDEVP(終値!U14:AN14)/AVERAGE(終値!U14:AN14),""))</f>
        <v>0.11007253485528269</v>
      </c>
      <c r="S14" s="503">
        <f>IF(終値!A14="","",IFERROR(4*STDEVP(終値!V14:AO14)/AVERAGE(終値!V14:AO14),""))</f>
        <v>0.10966249427091121</v>
      </c>
      <c r="T14" s="503">
        <f>IF(終値!A14="","",IFERROR(4*STDEVP(終値!W14:AP14)/AVERAGE(終値!W14:AP14),""))</f>
        <v>0.10816388348410529</v>
      </c>
      <c r="U14" s="503">
        <f>IF(終値!A14="","",IFERROR(4*STDEVP(終値!X14:AQ14)/AVERAGE(終値!X14:AQ14),""))</f>
        <v>0.101262577853551</v>
      </c>
      <c r="V14" s="503">
        <f>IF(終値!A14="","",IFERROR(4*STDEVP(終値!Y14:AR14)/AVERAGE(終値!Y14:AR14),""))</f>
        <v>0.1024664595384062</v>
      </c>
      <c r="W14" s="503">
        <f>IF(終値!A14="","",IFERROR(4*STDEVP(終値!Z14:AS14)/AVERAGE(終値!Z14:AS14),""))</f>
        <v>0.10268144006559768</v>
      </c>
      <c r="X14" s="503">
        <f>IF(終値!A14="","",IFERROR(4*STDEVP(終値!AA14:AT14)/AVERAGE(終値!AA14:AT14),""))</f>
        <v>0.10622234885885032</v>
      </c>
      <c r="Y14" s="503">
        <f>IF(終値!A14="","",IFERROR(4*STDEVP(終値!AB14:AU14)/AVERAGE(終値!AB14:AU14),""))</f>
        <v>0.1011959456471016</v>
      </c>
      <c r="Z14" s="503">
        <f>IF(終値!A14="","",IFERROR(4*STDEVP(終値!AC14:AV14)/AVERAGE(終値!AC14:AV14),""))</f>
        <v>0.11266107313730662</v>
      </c>
      <c r="AA14" s="503">
        <f>IF(終値!A14="","",IFERROR(4*STDEVP(終値!AD14:AW14)/AVERAGE(終値!AD14:AW14),""))</f>
        <v>0.12296114149552978</v>
      </c>
      <c r="AB14" s="503">
        <f>IF(終値!A14="","",IFERROR(4*STDEVP(終値!AE14:AX14)/AVERAGE(終値!AE14:AX14),""))</f>
        <v>0.12742704573004576</v>
      </c>
      <c r="AC14" s="503">
        <f>IF(終値!A14="","",IFERROR(4*STDEVP(終値!AF14:AY14)/AVERAGE(終値!AF14:AY14),""))</f>
        <v>0.12823189084380179</v>
      </c>
      <c r="AD14" s="503">
        <f>IF(終値!A14="","",IFERROR(4*STDEVP(終値!AG14:AZ14)/AVERAGE(終値!AG14:AZ14),""))</f>
        <v>0.12701197110723816</v>
      </c>
      <c r="AE14" s="503">
        <f>IF(終値!A14="","",IFERROR(4*STDEVP(終値!AH14:BA14)/AVERAGE(終値!AH14:BA14),""))</f>
        <v>0.1327068942932049</v>
      </c>
      <c r="AF14" s="503">
        <f>IF(終値!A14="","",IFERROR(4*STDEVP(終値!AI14:BB14)/AVERAGE(終値!AI14:BB14),""))</f>
        <v>0.1435106413788767</v>
      </c>
      <c r="AG14" s="503">
        <f>IF(終値!A14="","",IFERROR(4*STDEVP(終値!AJ14:BC14)/AVERAGE(終値!AJ14:BC14),""))</f>
        <v>0.16402225185900293</v>
      </c>
      <c r="AH14" s="503">
        <f>IF(終値!A14="","",IFERROR(4*STDEVP(終値!AK14:BD14)/AVERAGE(終値!AK14:BD14),""))</f>
        <v>0.18536954819379201</v>
      </c>
      <c r="AI14" s="503">
        <f>IF(終値!A14="","",IFERROR(4*STDEVP(終値!AL14:BE14)/AVERAGE(終値!AL14:BE14),""))</f>
        <v>0.21941889184149554</v>
      </c>
      <c r="AJ14" s="503">
        <f>IF(終値!A14="","",IFERROR(4*STDEVP(終値!AM14:BF14)/AVERAGE(終値!AM14:BF14),""))</f>
        <v>0.24523796357146069</v>
      </c>
      <c r="AK14" s="503">
        <f>IF(終値!A14="","",IFERROR(4*STDEVP(終値!AN14:BG14)/AVERAGE(終値!AN14:BG14),""))</f>
        <v>0.25687291302105086</v>
      </c>
      <c r="AL14" s="503">
        <f>IF(終値!A14="","",IFERROR(4*STDEVP(終値!AO14:BH14)/AVERAGE(終値!AO14:BH14),""))</f>
        <v>0.25177677625362588</v>
      </c>
      <c r="AM14" s="503">
        <f>IF(終値!A14="","",IFERROR(4*STDEVP(終値!AP14:BI14)/AVERAGE(終値!AP14:BI14),""))</f>
        <v>0.23791890830540488</v>
      </c>
      <c r="AN14" s="503">
        <f>IF(終値!A14="","",IFERROR(4*STDEVP(終値!AQ14:BJ14)/AVERAGE(終値!AQ14:BJ14),""))</f>
        <v>0.22002798815498581</v>
      </c>
      <c r="AO14" s="503">
        <f>IF(終値!A14="","",IFERROR(4*STDEVP(終値!AR14:BK14)/AVERAGE(終値!AR14:BK14),""))</f>
        <v>0.20477780990162314</v>
      </c>
      <c r="AP14" s="503">
        <f>IF(終値!A14="","",IFERROR(4*STDEVP(終値!AS14:BL14)/AVERAGE(終値!AS14:BL14),""))</f>
        <v>0.20467867170431644</v>
      </c>
    </row>
    <row r="15" spans="1:42">
      <c r="A15" s="500" t="str">
        <f>IF(終値!A15="","",終値!A15)</f>
        <v>5021</v>
      </c>
      <c r="B15" s="503">
        <f>IF(終値!A15="","",IFERROR(4*STDEVP(終値!E15:X15)/AVERAGE(終値!E15:X15),""))</f>
        <v>6.7743779243680607E-2</v>
      </c>
      <c r="C15" s="503">
        <f>IF(終値!A15="","",IFERROR(4*STDEVP(終値!F15:Y15)/AVERAGE(終値!F15:Y15),""))</f>
        <v>6.1534970008946567E-2</v>
      </c>
      <c r="D15" s="503">
        <f>IF(終値!A15="","",IFERROR(4*STDEVP(終値!G15:Z15)/AVERAGE(終値!G15:Z15),""))</f>
        <v>5.9519252870835988E-2</v>
      </c>
      <c r="E15" s="503">
        <f>IF(終値!A15="","",IFERROR(4*STDEVP(終値!H15:AA15)/AVERAGE(終値!H15:AA15),""))</f>
        <v>6.1531692987341569E-2</v>
      </c>
      <c r="F15" s="503">
        <f>IF(終値!A15="","",IFERROR(4*STDEVP(終値!I15:AB15)/AVERAGE(終値!I15:AB15),""))</f>
        <v>6.4027777043872511E-2</v>
      </c>
      <c r="G15" s="503">
        <f>IF(終値!A15="","",IFERROR(4*STDEVP(終値!J15:AC15)/AVERAGE(終値!J15:AC15),""))</f>
        <v>6.5958487251332409E-2</v>
      </c>
      <c r="H15" s="503">
        <f>IF(終値!A15="","",IFERROR(4*STDEVP(終値!K15:AD15)/AVERAGE(終値!K15:AD15),""))</f>
        <v>7.0495186043074448E-2</v>
      </c>
      <c r="I15" s="503">
        <f>IF(終値!A15="","",IFERROR(4*STDEVP(終値!L15:AE15)/AVERAGE(終値!L15:AE15),""))</f>
        <v>8.0263897641356427E-2</v>
      </c>
      <c r="J15" s="503">
        <f>IF(終値!A15="","",IFERROR(4*STDEVP(終値!M15:AF15)/AVERAGE(終値!M15:AF15),""))</f>
        <v>8.3114961604780518E-2</v>
      </c>
      <c r="K15" s="503">
        <f>IF(終値!A15="","",IFERROR(4*STDEVP(終値!N15:AG15)/AVERAGE(終値!N15:AG15),""))</f>
        <v>8.5199976513121473E-2</v>
      </c>
      <c r="L15" s="503">
        <f>IF(終値!A15="","",IFERROR(4*STDEVP(終値!O15:AH15)/AVERAGE(終値!O15:AH15),""))</f>
        <v>8.4849907841639524E-2</v>
      </c>
      <c r="M15" s="503">
        <f>IF(終値!A15="","",IFERROR(4*STDEVP(終値!P15:AI15)/AVERAGE(終値!P15:AI15),""))</f>
        <v>8.158325039165619E-2</v>
      </c>
      <c r="N15" s="503">
        <f>IF(終値!A15="","",IFERROR(4*STDEVP(終値!Q15:AJ15)/AVERAGE(終値!Q15:AJ15),""))</f>
        <v>8.355407880451883E-2</v>
      </c>
      <c r="O15" s="503">
        <f>IF(終値!A15="","",IFERROR(4*STDEVP(終値!R15:AK15)/AVERAGE(終値!R15:AK15),""))</f>
        <v>8.881105002443912E-2</v>
      </c>
      <c r="P15" s="503">
        <f>IF(終値!A15="","",IFERROR(4*STDEVP(終値!S15:AL15)/AVERAGE(終値!S15:AL15),""))</f>
        <v>9.007677387610756E-2</v>
      </c>
      <c r="Q15" s="503">
        <f>IF(終値!A15="","",IFERROR(4*STDEVP(終値!T15:AM15)/AVERAGE(終値!T15:AM15),""))</f>
        <v>9.251581566071608E-2</v>
      </c>
      <c r="R15" s="503">
        <f>IF(終値!A15="","",IFERROR(4*STDEVP(終値!U15:AN15)/AVERAGE(終値!U15:AN15),""))</f>
        <v>0.10289231492801676</v>
      </c>
      <c r="S15" s="503">
        <f>IF(終値!A15="","",IFERROR(4*STDEVP(終値!V15:AO15)/AVERAGE(終値!V15:AO15),""))</f>
        <v>0.11734398624030377</v>
      </c>
      <c r="T15" s="503">
        <f>IF(終値!A15="","",IFERROR(4*STDEVP(終値!W15:AP15)/AVERAGE(終値!W15:AP15),""))</f>
        <v>0.13200168591940331</v>
      </c>
      <c r="U15" s="503">
        <f>IF(終値!A15="","",IFERROR(4*STDEVP(終値!X15:AQ15)/AVERAGE(終値!X15:AQ15),""))</f>
        <v>0.13085178576965445</v>
      </c>
      <c r="V15" s="503">
        <f>IF(終値!A15="","",IFERROR(4*STDEVP(終値!Y15:AR15)/AVERAGE(終値!Y15:AR15),""))</f>
        <v>0.11805437516112315</v>
      </c>
      <c r="W15" s="503">
        <f>IF(終値!A15="","",IFERROR(4*STDEVP(終値!Z15:AS15)/AVERAGE(終値!Z15:AS15),""))</f>
        <v>0.1085625567319056</v>
      </c>
      <c r="X15" s="503">
        <f>IF(終値!A15="","",IFERROR(4*STDEVP(終値!AA15:AT15)/AVERAGE(終値!AA15:AT15),""))</f>
        <v>0.10470819700301034</v>
      </c>
      <c r="Y15" s="503">
        <f>IF(終値!A15="","",IFERROR(4*STDEVP(終値!AB15:AU15)/AVERAGE(終値!AB15:AU15),""))</f>
        <v>0.10024198714825935</v>
      </c>
      <c r="Z15" s="503">
        <f>IF(終値!A15="","",IFERROR(4*STDEVP(終値!AC15:AV15)/AVERAGE(終値!AC15:AV15),""))</f>
        <v>9.7811378912618152E-2</v>
      </c>
      <c r="AA15" s="503">
        <f>IF(終値!A15="","",IFERROR(4*STDEVP(終値!AD15:AW15)/AVERAGE(終値!AD15:AW15),""))</f>
        <v>9.5033722903365508E-2</v>
      </c>
      <c r="AB15" s="503">
        <f>IF(終値!A15="","",IFERROR(4*STDEVP(終値!AE15:AX15)/AVERAGE(終値!AE15:AX15),""))</f>
        <v>9.2869878224324437E-2</v>
      </c>
      <c r="AC15" s="503">
        <f>IF(終値!A15="","",IFERROR(4*STDEVP(終値!AF15:AY15)/AVERAGE(終値!AF15:AY15),""))</f>
        <v>9.2890107065829175E-2</v>
      </c>
      <c r="AD15" s="503">
        <f>IF(終値!A15="","",IFERROR(4*STDEVP(終値!AG15:AZ15)/AVERAGE(終値!AG15:AZ15),""))</f>
        <v>9.2788536710964264E-2</v>
      </c>
      <c r="AE15" s="503">
        <f>IF(終値!A15="","",IFERROR(4*STDEVP(終値!AH15:BA15)/AVERAGE(終値!AH15:BA15),""))</f>
        <v>9.2957928951481444E-2</v>
      </c>
      <c r="AF15" s="503">
        <f>IF(終値!A15="","",IFERROR(4*STDEVP(終値!AI15:BB15)/AVERAGE(終値!AI15:BB15),""))</f>
        <v>9.3614419660181053E-2</v>
      </c>
      <c r="AG15" s="503">
        <f>IF(終値!A15="","",IFERROR(4*STDEVP(終値!AJ15:BC15)/AVERAGE(終値!AJ15:BC15),""))</f>
        <v>9.3550122964247515E-2</v>
      </c>
      <c r="AH15" s="503">
        <f>IF(終値!A15="","",IFERROR(4*STDEVP(終値!AK15:BD15)/AVERAGE(終値!AK15:BD15),""))</f>
        <v>9.3696675418084935E-2</v>
      </c>
      <c r="AI15" s="503">
        <f>IF(終値!A15="","",IFERROR(4*STDEVP(終値!AL15:BE15)/AVERAGE(終値!AL15:BE15),""))</f>
        <v>0.10093270560838132</v>
      </c>
      <c r="AJ15" s="503">
        <f>IF(終値!A15="","",IFERROR(4*STDEVP(終値!AM15:BF15)/AVERAGE(終値!AM15:BF15),""))</f>
        <v>0.10997543944295127</v>
      </c>
      <c r="AK15" s="503">
        <f>IF(終値!A15="","",IFERROR(4*STDEVP(終値!AN15:BG15)/AVERAGE(終値!AN15:BG15),""))</f>
        <v>0.11111723295179554</v>
      </c>
      <c r="AL15" s="503">
        <f>IF(終値!A15="","",IFERROR(4*STDEVP(終値!AO15:BH15)/AVERAGE(終値!AO15:BH15),""))</f>
        <v>0.12378146497736638</v>
      </c>
      <c r="AM15" s="503">
        <f>IF(終値!A15="","",IFERROR(4*STDEVP(終値!AP15:BI15)/AVERAGE(終値!AP15:BI15),""))</f>
        <v>0.12438248044771466</v>
      </c>
      <c r="AN15" s="503">
        <f>IF(終値!A15="","",IFERROR(4*STDEVP(終値!AQ15:BJ15)/AVERAGE(終値!AQ15:BJ15),""))</f>
        <v>0.11398081350328569</v>
      </c>
      <c r="AO15" s="503">
        <f>IF(終値!A15="","",IFERROR(4*STDEVP(終値!AR15:BK15)/AVERAGE(終値!AR15:BK15),""))</f>
        <v>0.11017540435301075</v>
      </c>
      <c r="AP15" s="503">
        <f>IF(終値!A15="","",IFERROR(4*STDEVP(終値!AS15:BL15)/AVERAGE(終値!AS15:BL15),""))</f>
        <v>0.11171804048764578</v>
      </c>
    </row>
    <row r="16" spans="1:42">
      <c r="A16" s="500" t="str">
        <f>IF(終値!A16="","",終値!A16)</f>
        <v>8058</v>
      </c>
      <c r="B16" s="503">
        <f>IF(終値!A16="","",IFERROR(4*STDEVP(終値!E16:X16)/AVERAGE(終値!E16:X16),""))</f>
        <v>0.15430424074373725</v>
      </c>
      <c r="C16" s="503">
        <f>IF(終値!A16="","",IFERROR(4*STDEVP(終値!F16:Y16)/AVERAGE(終値!F16:Y16),""))</f>
        <v>0.1583476663908597</v>
      </c>
      <c r="D16" s="503">
        <f>IF(終値!A16="","",IFERROR(4*STDEVP(終値!G16:Z16)/AVERAGE(終値!G16:Z16),""))</f>
        <v>0.16352626059804451</v>
      </c>
      <c r="E16" s="503">
        <f>IF(終値!A16="","",IFERROR(4*STDEVP(終値!H16:AA16)/AVERAGE(終値!H16:AA16),""))</f>
        <v>0.16950397356858832</v>
      </c>
      <c r="F16" s="503">
        <f>IF(終値!A16="","",IFERROR(4*STDEVP(終値!I16:AB16)/AVERAGE(終値!I16:AB16),""))</f>
        <v>0.17313942106270741</v>
      </c>
      <c r="G16" s="503">
        <f>IF(終値!A16="","",IFERROR(4*STDEVP(終値!J16:AC16)/AVERAGE(終値!J16:AC16),""))</f>
        <v>0.16977245826919166</v>
      </c>
      <c r="H16" s="503">
        <f>IF(終値!A16="","",IFERROR(4*STDEVP(終値!K16:AD16)/AVERAGE(終値!K16:AD16),""))</f>
        <v>0.16720777831102021</v>
      </c>
      <c r="I16" s="503">
        <f>IF(終値!A16="","",IFERROR(4*STDEVP(終値!L16:AE16)/AVERAGE(終値!L16:AE16),""))</f>
        <v>0.15809659065231083</v>
      </c>
      <c r="J16" s="503">
        <f>IF(終値!A16="","",IFERROR(4*STDEVP(終値!M16:AF16)/AVERAGE(終値!M16:AF16),""))</f>
        <v>0.13657411181720111</v>
      </c>
      <c r="K16" s="503">
        <f>IF(終値!A16="","",IFERROR(4*STDEVP(終値!N16:AG16)/AVERAGE(終値!N16:AG16),""))</f>
        <v>0.10968579837194213</v>
      </c>
      <c r="L16" s="503">
        <f>IF(終値!A16="","",IFERROR(4*STDEVP(終値!O16:AH16)/AVERAGE(終値!O16:AH16),""))</f>
        <v>7.7741292143667803E-2</v>
      </c>
      <c r="M16" s="503">
        <f>IF(終値!A16="","",IFERROR(4*STDEVP(終値!P16:AI16)/AVERAGE(終値!P16:AI16),""))</f>
        <v>6.8679619388576627E-2</v>
      </c>
      <c r="N16" s="503">
        <f>IF(終値!A16="","",IFERROR(4*STDEVP(終値!Q16:AJ16)/AVERAGE(終値!Q16:AJ16),""))</f>
        <v>7.150108964527857E-2</v>
      </c>
      <c r="O16" s="503">
        <f>IF(終値!A16="","",IFERROR(4*STDEVP(終値!R16:AK16)/AVERAGE(終値!R16:AK16),""))</f>
        <v>7.3233782775766976E-2</v>
      </c>
      <c r="P16" s="503">
        <f>IF(終値!A16="","",IFERROR(4*STDEVP(終値!S16:AL16)/AVERAGE(終値!S16:AL16),""))</f>
        <v>7.6928163719748477E-2</v>
      </c>
      <c r="Q16" s="503">
        <f>IF(終値!A16="","",IFERROR(4*STDEVP(終値!T16:AM16)/AVERAGE(終値!T16:AM16),""))</f>
        <v>9.0423809539540309E-2</v>
      </c>
      <c r="R16" s="503">
        <f>IF(終値!A16="","",IFERROR(4*STDEVP(終値!U16:AN16)/AVERAGE(終値!U16:AN16),""))</f>
        <v>9.5779269163197275E-2</v>
      </c>
      <c r="S16" s="503">
        <f>IF(終値!A16="","",IFERROR(4*STDEVP(終値!V16:AO16)/AVERAGE(終値!V16:AO16),""))</f>
        <v>9.5473790148520213E-2</v>
      </c>
      <c r="T16" s="503">
        <f>IF(終値!A16="","",IFERROR(4*STDEVP(終値!W16:AP16)/AVERAGE(終値!W16:AP16),""))</f>
        <v>9.6645589242230295E-2</v>
      </c>
      <c r="U16" s="503">
        <f>IF(終値!A16="","",IFERROR(4*STDEVP(終値!X16:AQ16)/AVERAGE(終値!X16:AQ16),""))</f>
        <v>0.11315348242114712</v>
      </c>
      <c r="V16" s="503">
        <f>IF(終値!A16="","",IFERROR(4*STDEVP(終値!Y16:AR16)/AVERAGE(終値!Y16:AR16),""))</f>
        <v>0.12803316585658053</v>
      </c>
      <c r="W16" s="503">
        <f>IF(終値!A16="","",IFERROR(4*STDEVP(終値!Z16:AS16)/AVERAGE(終値!Z16:AS16),""))</f>
        <v>0.14110258491873942</v>
      </c>
      <c r="X16" s="503">
        <f>IF(終値!A16="","",IFERROR(4*STDEVP(終値!AA16:AT16)/AVERAGE(終値!AA16:AT16),""))</f>
        <v>0.15379161164080676</v>
      </c>
      <c r="Y16" s="503">
        <f>IF(終値!A16="","",IFERROR(4*STDEVP(終値!AB16:AU16)/AVERAGE(終値!AB16:AU16),""))</f>
        <v>0.15450815474322951</v>
      </c>
      <c r="Z16" s="503">
        <f>IF(終値!A16="","",IFERROR(4*STDEVP(終値!AC16:AV16)/AVERAGE(終値!AC16:AV16),""))</f>
        <v>0.1619175430764063</v>
      </c>
      <c r="AA16" s="503">
        <f>IF(終値!A16="","",IFERROR(4*STDEVP(終値!AD16:AW16)/AVERAGE(終値!AD16:AW16),""))</f>
        <v>0.16608190817445664</v>
      </c>
      <c r="AB16" s="503">
        <f>IF(終値!A16="","",IFERROR(4*STDEVP(終値!AE16:AX16)/AVERAGE(終値!AE16:AX16),""))</f>
        <v>0.17121034029662802</v>
      </c>
      <c r="AC16" s="503">
        <f>IF(終値!A16="","",IFERROR(4*STDEVP(終値!AF16:AY16)/AVERAGE(終値!AF16:AY16),""))</f>
        <v>0.18709829585822965</v>
      </c>
      <c r="AD16" s="503">
        <f>IF(終値!A16="","",IFERROR(4*STDEVP(終値!AG16:AZ16)/AVERAGE(終値!AG16:AZ16),""))</f>
        <v>0.21222282201003628</v>
      </c>
      <c r="AE16" s="503">
        <f>IF(終値!A16="","",IFERROR(4*STDEVP(終値!AH16:BA16)/AVERAGE(終値!AH16:BA16),""))</f>
        <v>0.22925709083413337</v>
      </c>
      <c r="AF16" s="503">
        <f>IF(終値!A16="","",IFERROR(4*STDEVP(終値!AI16:BB16)/AVERAGE(終値!AI16:BB16),""))</f>
        <v>0.24249797112185786</v>
      </c>
      <c r="AG16" s="503">
        <f>IF(終値!A16="","",IFERROR(4*STDEVP(終値!AJ16:BC16)/AVERAGE(終値!AJ16:BC16),""))</f>
        <v>0.25198328980369206</v>
      </c>
      <c r="AH16" s="503">
        <f>IF(終値!A16="","",IFERROR(4*STDEVP(終値!AK16:BD16)/AVERAGE(終値!AK16:BD16),""))</f>
        <v>0.25547424473943964</v>
      </c>
      <c r="AI16" s="503">
        <f>IF(終値!A16="","",IFERROR(4*STDEVP(終値!AL16:BE16)/AVERAGE(終値!AL16:BE16),""))</f>
        <v>0.27986807018144139</v>
      </c>
      <c r="AJ16" s="503">
        <f>IF(終値!A16="","",IFERROR(4*STDEVP(終値!AM16:BF16)/AVERAGE(終値!AM16:BF16),""))</f>
        <v>0.29492187726846858</v>
      </c>
      <c r="AK16" s="503">
        <f>IF(終値!A16="","",IFERROR(4*STDEVP(終値!AN16:BG16)/AVERAGE(終値!AN16:BG16),""))</f>
        <v>0.30665066177682609</v>
      </c>
      <c r="AL16" s="503">
        <f>IF(終値!A16="","",IFERROR(4*STDEVP(終値!AO16:BH16)/AVERAGE(終値!AO16:BH16),""))</f>
        <v>0.29464054096632403</v>
      </c>
      <c r="AM16" s="503">
        <f>IF(終値!A16="","",IFERROR(4*STDEVP(終値!AP16:BI16)/AVERAGE(終値!AP16:BI16),""))</f>
        <v>0.27164382142310706</v>
      </c>
      <c r="AN16" s="503">
        <f>IF(終値!A16="","",IFERROR(4*STDEVP(終値!AQ16:BJ16)/AVERAGE(終値!AQ16:BJ16),""))</f>
        <v>0.24555922989330942</v>
      </c>
      <c r="AO16" s="503">
        <f>IF(終値!A16="","",IFERROR(4*STDEVP(終値!AR16:BK16)/AVERAGE(終値!AR16:BK16),""))</f>
        <v>0.23116431175873509</v>
      </c>
      <c r="AP16" s="503">
        <f>IF(終値!A16="","",IFERROR(4*STDEVP(終値!AS16:BL16)/AVERAGE(終値!AS16:BL16),""))</f>
        <v>0.21708990595161604</v>
      </c>
    </row>
    <row r="17" spans="1:42">
      <c r="A17" s="500" t="str">
        <f>IF(終値!A17="","",終値!A17)</f>
        <v>5333</v>
      </c>
      <c r="B17" s="503">
        <f>IF(終値!A17="","",IFERROR(4*STDEVP(終値!E17:X17)/AVERAGE(終値!E17:X17),""))</f>
        <v>0.41678209309064995</v>
      </c>
      <c r="C17" s="503">
        <f>IF(終値!A17="","",IFERROR(4*STDEVP(終値!F17:Y17)/AVERAGE(終値!F17:Y17),""))</f>
        <v>0.43234150152925654</v>
      </c>
      <c r="D17" s="503">
        <f>IF(終値!A17="","",IFERROR(4*STDEVP(終値!G17:Z17)/AVERAGE(終値!G17:Z17),""))</f>
        <v>0.43249968183829679</v>
      </c>
      <c r="E17" s="503">
        <f>IF(終値!A17="","",IFERROR(4*STDEVP(終値!H17:AA17)/AVERAGE(終値!H17:AA17),""))</f>
        <v>0.43850206028835015</v>
      </c>
      <c r="F17" s="503">
        <f>IF(終値!A17="","",IFERROR(4*STDEVP(終値!I17:AB17)/AVERAGE(終値!I17:AB17),""))</f>
        <v>0.41091118610549915</v>
      </c>
      <c r="G17" s="503">
        <f>IF(終値!A17="","",IFERROR(4*STDEVP(終値!J17:AC17)/AVERAGE(終値!J17:AC17),""))</f>
        <v>0.36325178324207891</v>
      </c>
      <c r="H17" s="503">
        <f>IF(終値!A17="","",IFERROR(4*STDEVP(終値!K17:AD17)/AVERAGE(終値!K17:AD17),""))</f>
        <v>0.32994553752608974</v>
      </c>
      <c r="I17" s="503">
        <f>IF(終値!A17="","",IFERROR(4*STDEVP(終値!L17:AE17)/AVERAGE(終値!L17:AE17),""))</f>
        <v>0.33039543503986207</v>
      </c>
      <c r="J17" s="503">
        <f>IF(終値!A17="","",IFERROR(4*STDEVP(終値!M17:AF17)/AVERAGE(終値!M17:AF17),""))</f>
        <v>0.31269356331073017</v>
      </c>
      <c r="K17" s="503">
        <f>IF(終値!A17="","",IFERROR(4*STDEVP(終値!N17:AG17)/AVERAGE(終値!N17:AG17),""))</f>
        <v>0.29519494475100294</v>
      </c>
      <c r="L17" s="503">
        <f>IF(終値!A17="","",IFERROR(4*STDEVP(終値!O17:AH17)/AVERAGE(終値!O17:AH17),""))</f>
        <v>0.27916136377435291</v>
      </c>
      <c r="M17" s="503">
        <f>IF(終値!A17="","",IFERROR(4*STDEVP(終値!P17:AI17)/AVERAGE(終値!P17:AI17),""))</f>
        <v>0.2432023091359482</v>
      </c>
      <c r="N17" s="503">
        <f>IF(終値!A17="","",IFERROR(4*STDEVP(終値!Q17:AJ17)/AVERAGE(終値!Q17:AJ17),""))</f>
        <v>0.18658452435029954</v>
      </c>
      <c r="O17" s="503">
        <f>IF(終値!A17="","",IFERROR(4*STDEVP(終値!R17:AK17)/AVERAGE(終値!R17:AK17),""))</f>
        <v>0.17892583444885421</v>
      </c>
      <c r="P17" s="503">
        <f>IF(終値!A17="","",IFERROR(4*STDEVP(終値!S17:AL17)/AVERAGE(終値!S17:AL17),""))</f>
        <v>0.1719413399557454</v>
      </c>
      <c r="Q17" s="503">
        <f>IF(終値!A17="","",IFERROR(4*STDEVP(終値!T17:AM17)/AVERAGE(終値!T17:AM17),""))</f>
        <v>0.17360954662580913</v>
      </c>
      <c r="R17" s="503">
        <f>IF(終値!A17="","",IFERROR(4*STDEVP(終値!U17:AN17)/AVERAGE(終値!U17:AN17),""))</f>
        <v>0.22404403665047382</v>
      </c>
      <c r="S17" s="503">
        <f>IF(終値!A17="","",IFERROR(4*STDEVP(終値!V17:AO17)/AVERAGE(終値!V17:AO17),""))</f>
        <v>0.27431174947400233</v>
      </c>
      <c r="T17" s="503">
        <f>IF(終値!A17="","",IFERROR(4*STDEVP(終値!W17:AP17)/AVERAGE(終値!W17:AP17),""))</f>
        <v>0.31413897922522954</v>
      </c>
      <c r="U17" s="503">
        <f>IF(終値!A17="","",IFERROR(4*STDEVP(終値!X17:AQ17)/AVERAGE(終値!X17:AQ17),""))</f>
        <v>0.34205819010693223</v>
      </c>
      <c r="V17" s="503">
        <f>IF(終値!A17="","",IFERROR(4*STDEVP(終値!Y17:AR17)/AVERAGE(終値!Y17:AR17),""))</f>
        <v>0.34758659996234759</v>
      </c>
      <c r="W17" s="503">
        <f>IF(終値!A17="","",IFERROR(4*STDEVP(終値!Z17:AS17)/AVERAGE(終値!Z17:AS17),""))</f>
        <v>0.35623451238056064</v>
      </c>
      <c r="X17" s="503">
        <f>IF(終値!A17="","",IFERROR(4*STDEVP(終値!AA17:AT17)/AVERAGE(終値!AA17:AT17),""))</f>
        <v>0.36024298141760913</v>
      </c>
      <c r="Y17" s="503">
        <f>IF(終値!A17="","",IFERROR(4*STDEVP(終値!AB17:AU17)/AVERAGE(終値!AB17:AU17),""))</f>
        <v>0.36433026079785552</v>
      </c>
      <c r="Z17" s="503">
        <f>IF(終値!A17="","",IFERROR(4*STDEVP(終値!AC17:AV17)/AVERAGE(終値!AC17:AV17),""))</f>
        <v>0.36334593360615014</v>
      </c>
      <c r="AA17" s="503">
        <f>IF(終値!A17="","",IFERROR(4*STDEVP(終値!AD17:AW17)/AVERAGE(終値!AD17:AW17),""))</f>
        <v>0.36728603726190295</v>
      </c>
      <c r="AB17" s="503">
        <f>IF(終値!A17="","",IFERROR(4*STDEVP(終値!AE17:AX17)/AVERAGE(終値!AE17:AX17),""))</f>
        <v>0.36624739575792475</v>
      </c>
      <c r="AC17" s="503">
        <f>IF(終値!A17="","",IFERROR(4*STDEVP(終値!AF17:AY17)/AVERAGE(終値!AF17:AY17),""))</f>
        <v>0.33748860570106692</v>
      </c>
      <c r="AD17" s="503">
        <f>IF(終値!A17="","",IFERROR(4*STDEVP(終値!AG17:AZ17)/AVERAGE(終値!AG17:AZ17),""))</f>
        <v>0.33168509169394955</v>
      </c>
      <c r="AE17" s="503">
        <f>IF(終値!A17="","",IFERROR(4*STDEVP(終値!AH17:BA17)/AVERAGE(終値!AH17:BA17),""))</f>
        <v>0.32743955172509032</v>
      </c>
      <c r="AF17" s="503">
        <f>IF(終値!A17="","",IFERROR(4*STDEVP(終値!AI17:BB17)/AVERAGE(終値!AI17:BB17),""))</f>
        <v>0.30528034396556814</v>
      </c>
      <c r="AG17" s="503">
        <f>IF(終値!A17="","",IFERROR(4*STDEVP(終値!AJ17:BC17)/AVERAGE(終値!AJ17:BC17),""))</f>
        <v>0.29240275716332809</v>
      </c>
      <c r="AH17" s="503">
        <f>IF(終値!A17="","",IFERROR(4*STDEVP(終値!AK17:BD17)/AVERAGE(終値!AK17:BD17),""))</f>
        <v>0.26125770420990763</v>
      </c>
      <c r="AI17" s="503">
        <f>IF(終値!A17="","",IFERROR(4*STDEVP(終値!AL17:BE17)/AVERAGE(終値!AL17:BE17),""))</f>
        <v>0.23961335216577073</v>
      </c>
      <c r="AJ17" s="503">
        <f>IF(終値!A17="","",IFERROR(4*STDEVP(終値!AM17:BF17)/AVERAGE(終値!AM17:BF17),""))</f>
        <v>0.22229102057604996</v>
      </c>
      <c r="AK17" s="503">
        <f>IF(終値!A17="","",IFERROR(4*STDEVP(終値!AN17:BG17)/AVERAGE(終値!AN17:BG17),""))</f>
        <v>0.20771603958420198</v>
      </c>
      <c r="AL17" s="503">
        <f>IF(終値!A17="","",IFERROR(4*STDEVP(終値!AO17:BH17)/AVERAGE(終値!AO17:BH17),""))</f>
        <v>0.2143998472075444</v>
      </c>
      <c r="AM17" s="503">
        <f>IF(終値!A17="","",IFERROR(4*STDEVP(終値!AP17:BI17)/AVERAGE(終値!AP17:BI17),""))</f>
        <v>0.22345177327975507</v>
      </c>
      <c r="AN17" s="503">
        <f>IF(終値!A17="","",IFERROR(4*STDEVP(終値!AQ17:BJ17)/AVERAGE(終値!AQ17:BJ17),""))</f>
        <v>0.23958692812072557</v>
      </c>
      <c r="AO17" s="503">
        <f>IF(終値!A17="","",IFERROR(4*STDEVP(終値!AR17:BK17)/AVERAGE(終値!AR17:BK17),""))</f>
        <v>0.25342517873741055</v>
      </c>
      <c r="AP17" s="503">
        <f>IF(終値!A17="","",IFERROR(4*STDEVP(終値!AS17:BL17)/AVERAGE(終値!AS17:BL17),""))</f>
        <v>0.25543977294275583</v>
      </c>
    </row>
    <row r="18" spans="1:42">
      <c r="A18" s="500" t="str">
        <f>IF(終値!A18="","",終値!A18)</f>
        <v>1662</v>
      </c>
      <c r="B18" s="503">
        <f>IF(終値!A18="","",IFERROR(4*STDEVP(終値!E18:X18)/AVERAGE(終値!E18:X18),""))</f>
        <v>9.3450365134804758E-2</v>
      </c>
      <c r="C18" s="503">
        <f>IF(終値!A18="","",IFERROR(4*STDEVP(終値!F18:Y18)/AVERAGE(終値!F18:Y18),""))</f>
        <v>0.10672924380476287</v>
      </c>
      <c r="D18" s="503">
        <f>IF(終値!A18="","",IFERROR(4*STDEVP(終値!G18:Z18)/AVERAGE(終値!G18:Z18),""))</f>
        <v>0.11964997639761131</v>
      </c>
      <c r="E18" s="503">
        <f>IF(終値!A18="","",IFERROR(4*STDEVP(終値!H18:AA18)/AVERAGE(終値!H18:AA18),""))</f>
        <v>0.13263555168296987</v>
      </c>
      <c r="F18" s="503">
        <f>IF(終値!A18="","",IFERROR(4*STDEVP(終値!I18:AB18)/AVERAGE(終値!I18:AB18),""))</f>
        <v>0.13429645315300168</v>
      </c>
      <c r="G18" s="503">
        <f>IF(終値!A18="","",IFERROR(4*STDEVP(終値!J18:AC18)/AVERAGE(終値!J18:AC18),""))</f>
        <v>0.13193893512824134</v>
      </c>
      <c r="H18" s="503">
        <f>IF(終値!A18="","",IFERROR(4*STDEVP(終値!K18:AD18)/AVERAGE(終値!K18:AD18),""))</f>
        <v>0.13207928191016299</v>
      </c>
      <c r="I18" s="503">
        <f>IF(終値!A18="","",IFERROR(4*STDEVP(終値!L18:AE18)/AVERAGE(終値!L18:AE18),""))</f>
        <v>0.13496474454149854</v>
      </c>
      <c r="J18" s="503">
        <f>IF(終値!A18="","",IFERROR(4*STDEVP(終値!M18:AF18)/AVERAGE(終値!M18:AF18),""))</f>
        <v>0.13396647980466087</v>
      </c>
      <c r="K18" s="503">
        <f>IF(終値!A18="","",IFERROR(4*STDEVP(終値!N18:AG18)/AVERAGE(終値!N18:AG18),""))</f>
        <v>0.11979180887255303</v>
      </c>
      <c r="L18" s="503">
        <f>IF(終値!A18="","",IFERROR(4*STDEVP(終値!O18:AH18)/AVERAGE(終値!O18:AH18),""))</f>
        <v>0.11025286191599414</v>
      </c>
      <c r="M18" s="503">
        <f>IF(終値!A18="","",IFERROR(4*STDEVP(終値!P18:AI18)/AVERAGE(終値!P18:AI18),""))</f>
        <v>0.10195319019917064</v>
      </c>
      <c r="N18" s="503">
        <f>IF(終値!A18="","",IFERROR(4*STDEVP(終値!Q18:AJ18)/AVERAGE(終値!Q18:AJ18),""))</f>
        <v>0.1009696826214673</v>
      </c>
      <c r="O18" s="503">
        <f>IF(終値!A18="","",IFERROR(4*STDEVP(終値!R18:AK18)/AVERAGE(終値!R18:AK18),""))</f>
        <v>9.3762281614422988E-2</v>
      </c>
      <c r="P18" s="503">
        <f>IF(終値!A18="","",IFERROR(4*STDEVP(終値!S18:AL18)/AVERAGE(終値!S18:AL18),""))</f>
        <v>7.7775514928778738E-2</v>
      </c>
      <c r="Q18" s="503">
        <f>IF(終値!A18="","",IFERROR(4*STDEVP(終値!T18:AM18)/AVERAGE(終値!T18:AM18),""))</f>
        <v>7.6155270873132605E-2</v>
      </c>
      <c r="R18" s="503">
        <f>IF(終値!A18="","",IFERROR(4*STDEVP(終値!U18:AN18)/AVERAGE(終値!U18:AN18),""))</f>
        <v>7.5795177406068337E-2</v>
      </c>
      <c r="S18" s="503">
        <f>IF(終値!A18="","",IFERROR(4*STDEVP(終値!V18:AO18)/AVERAGE(終値!V18:AO18),""))</f>
        <v>7.2723754757513942E-2</v>
      </c>
      <c r="T18" s="503">
        <f>IF(終値!A18="","",IFERROR(4*STDEVP(終値!W18:AP18)/AVERAGE(終値!W18:AP18),""))</f>
        <v>6.9163206300637395E-2</v>
      </c>
      <c r="U18" s="503">
        <f>IF(終値!A18="","",IFERROR(4*STDEVP(終値!X18:AQ18)/AVERAGE(終値!X18:AQ18),""))</f>
        <v>8.9628005688520751E-2</v>
      </c>
      <c r="V18" s="503">
        <f>IF(終値!A18="","",IFERROR(4*STDEVP(終値!Y18:AR18)/AVERAGE(終値!Y18:AR18),""))</f>
        <v>0.10228010546171788</v>
      </c>
      <c r="W18" s="503">
        <f>IF(終値!A18="","",IFERROR(4*STDEVP(終値!Z18:AS18)/AVERAGE(終値!Z18:AS18),""))</f>
        <v>0.11114796427035831</v>
      </c>
      <c r="X18" s="503">
        <f>IF(終値!A18="","",IFERROR(4*STDEVP(終値!AA18:AT18)/AVERAGE(終値!AA18:AT18),""))</f>
        <v>0.12576369619793459</v>
      </c>
      <c r="Y18" s="503">
        <f>IF(終値!A18="","",IFERROR(4*STDEVP(終値!AB18:AU18)/AVERAGE(終値!AB18:AU18),""))</f>
        <v>0.13100815897416926</v>
      </c>
      <c r="Z18" s="503">
        <f>IF(終値!A18="","",IFERROR(4*STDEVP(終値!AC18:AV18)/AVERAGE(終値!AC18:AV18),""))</f>
        <v>0.14362404307932922</v>
      </c>
      <c r="AA18" s="503">
        <f>IF(終値!A18="","",IFERROR(4*STDEVP(終値!AD18:AW18)/AVERAGE(終値!AD18:AW18),""))</f>
        <v>0.17278450175926213</v>
      </c>
      <c r="AB18" s="503">
        <f>IF(終値!A18="","",IFERROR(4*STDEVP(終値!AE18:AX18)/AVERAGE(終値!AE18:AX18),""))</f>
        <v>0.19364103266051064</v>
      </c>
      <c r="AC18" s="503">
        <f>IF(終値!A18="","",IFERROR(4*STDEVP(終値!AF18:AY18)/AVERAGE(終値!AF18:AY18),""))</f>
        <v>0.19423400502283478</v>
      </c>
      <c r="AD18" s="503">
        <f>IF(終値!A18="","",IFERROR(4*STDEVP(終値!AG18:AZ18)/AVERAGE(終値!AG18:AZ18),""))</f>
        <v>0.20914307940717927</v>
      </c>
      <c r="AE18" s="503">
        <f>IF(終値!A18="","",IFERROR(4*STDEVP(終値!AH18:BA18)/AVERAGE(終値!AH18:BA18),""))</f>
        <v>0.21483562532797787</v>
      </c>
      <c r="AF18" s="503">
        <f>IF(終値!A18="","",IFERROR(4*STDEVP(終値!AI18:BB18)/AVERAGE(終値!AI18:BB18),""))</f>
        <v>0.24825446676166299</v>
      </c>
      <c r="AG18" s="503">
        <f>IF(終値!A18="","",IFERROR(4*STDEVP(終値!AJ18:BC18)/AVERAGE(終値!AJ18:BC18),""))</f>
        <v>0.25709176829415231</v>
      </c>
      <c r="AH18" s="503">
        <f>IF(終値!A18="","",IFERROR(4*STDEVP(終値!AK18:BD18)/AVERAGE(終値!AK18:BD18),""))</f>
        <v>0.25766907452712429</v>
      </c>
      <c r="AI18" s="503">
        <f>IF(終値!A18="","",IFERROR(4*STDEVP(終値!AL18:BE18)/AVERAGE(終値!AL18:BE18),""))</f>
        <v>0.25936960614650401</v>
      </c>
      <c r="AJ18" s="503">
        <f>IF(終値!A18="","",IFERROR(4*STDEVP(終値!AM18:BF18)/AVERAGE(終値!AM18:BF18),""))</f>
        <v>0.26384570131415164</v>
      </c>
      <c r="AK18" s="503">
        <f>IF(終値!A18="","",IFERROR(4*STDEVP(終値!AN18:BG18)/AVERAGE(終値!AN18:BG18),""))</f>
        <v>0.26129453762796118</v>
      </c>
      <c r="AL18" s="503">
        <f>IF(終値!A18="","",IFERROR(4*STDEVP(終値!AO18:BH18)/AVERAGE(終値!AO18:BH18),""))</f>
        <v>0.29330286349138063</v>
      </c>
      <c r="AM18" s="503">
        <f>IF(終値!A18="","",IFERROR(4*STDEVP(終値!AP18:BI18)/AVERAGE(終値!AP18:BI18),""))</f>
        <v>0.3049138349436144</v>
      </c>
      <c r="AN18" s="503">
        <f>IF(終値!A18="","",IFERROR(4*STDEVP(終値!AQ18:BJ18)/AVERAGE(終値!AQ18:BJ18),""))</f>
        <v>0.29965546618960442</v>
      </c>
      <c r="AO18" s="503">
        <f>IF(終値!A18="","",IFERROR(4*STDEVP(終値!AR18:BK18)/AVERAGE(終値!AR18:BK18),""))</f>
        <v>0.29750733280678315</v>
      </c>
      <c r="AP18" s="503">
        <f>IF(終値!A18="","",IFERROR(4*STDEVP(終値!AS18:BL18)/AVERAGE(終値!AS18:BL18),""))</f>
        <v>0.30657291199957887</v>
      </c>
    </row>
    <row r="19" spans="1:42">
      <c r="A19" s="500" t="str">
        <f>IF(終値!A19="","",終値!A19)</f>
        <v>8411</v>
      </c>
      <c r="B19" s="503">
        <f>IF(終値!A19="","",IFERROR(4*STDEVP(終値!E19:X19)/AVERAGE(終値!E19:X19),""))</f>
        <v>0.1171010142324312</v>
      </c>
      <c r="C19" s="503">
        <f>IF(終値!A19="","",IFERROR(4*STDEVP(終値!F19:Y19)/AVERAGE(終値!F19:Y19),""))</f>
        <v>0.11816878707742678</v>
      </c>
      <c r="D19" s="503">
        <f>IF(終値!A19="","",IFERROR(4*STDEVP(終値!G19:Z19)/AVERAGE(終値!G19:Z19),""))</f>
        <v>0.12135136934073672</v>
      </c>
      <c r="E19" s="503">
        <f>IF(終値!A19="","",IFERROR(4*STDEVP(終値!H19:AA19)/AVERAGE(終値!H19:AA19),""))</f>
        <v>0.13122324123037785</v>
      </c>
      <c r="F19" s="503">
        <f>IF(終値!A19="","",IFERROR(4*STDEVP(終値!I19:AB19)/AVERAGE(終値!I19:AB19),""))</f>
        <v>0.13454172665191433</v>
      </c>
      <c r="G19" s="503">
        <f>IF(終値!A19="","",IFERROR(4*STDEVP(終値!J19:AC19)/AVERAGE(終値!J19:AC19),""))</f>
        <v>0.14934310080381732</v>
      </c>
      <c r="H19" s="503">
        <f>IF(終値!A19="","",IFERROR(4*STDEVP(終値!K19:AD19)/AVERAGE(終値!K19:AD19),""))</f>
        <v>0.15731747185159051</v>
      </c>
      <c r="I19" s="503">
        <f>IF(終値!A19="","",IFERROR(4*STDEVP(終値!L19:AE19)/AVERAGE(終値!L19:AE19),""))</f>
        <v>0.16010937190563798</v>
      </c>
      <c r="J19" s="503">
        <f>IF(終値!A19="","",IFERROR(4*STDEVP(終値!M19:AF19)/AVERAGE(終値!M19:AF19),""))</f>
        <v>0.1591537780684677</v>
      </c>
      <c r="K19" s="503">
        <f>IF(終値!A19="","",IFERROR(4*STDEVP(終値!N19:AG19)/AVERAGE(終値!N19:AG19),""))</f>
        <v>0.14654140809654131</v>
      </c>
      <c r="L19" s="503">
        <f>IF(終値!A19="","",IFERROR(4*STDEVP(終値!O19:AH19)/AVERAGE(終値!O19:AH19),""))</f>
        <v>0.1382514849948378</v>
      </c>
      <c r="M19" s="503">
        <f>IF(終値!A19="","",IFERROR(4*STDEVP(終値!P19:AI19)/AVERAGE(終値!P19:AI19),""))</f>
        <v>0.13718864372787604</v>
      </c>
      <c r="N19" s="503">
        <f>IF(終値!A19="","",IFERROR(4*STDEVP(終値!Q19:AJ19)/AVERAGE(終値!Q19:AJ19),""))</f>
        <v>0.13797239980484322</v>
      </c>
      <c r="O19" s="503">
        <f>IF(終値!A19="","",IFERROR(4*STDEVP(終値!R19:AK19)/AVERAGE(終値!R19:AK19),""))</f>
        <v>0.12265382937155958</v>
      </c>
      <c r="P19" s="503">
        <f>IF(終値!A19="","",IFERROR(4*STDEVP(終値!S19:AL19)/AVERAGE(終値!S19:AL19),""))</f>
        <v>0.1150848648236355</v>
      </c>
      <c r="Q19" s="503">
        <f>IF(終値!A19="","",IFERROR(4*STDEVP(終値!T19:AM19)/AVERAGE(終値!T19:AM19),""))</f>
        <v>0.10652204218850272</v>
      </c>
      <c r="R19" s="503">
        <f>IF(終値!A19="","",IFERROR(4*STDEVP(終値!U19:AN19)/AVERAGE(終値!U19:AN19),""))</f>
        <v>0.1077896682184158</v>
      </c>
      <c r="S19" s="503">
        <f>IF(終値!A19="","",IFERROR(4*STDEVP(終値!V19:AO19)/AVERAGE(終値!V19:AO19),""))</f>
        <v>0.11774186806372469</v>
      </c>
      <c r="T19" s="503">
        <f>IF(終値!A19="","",IFERROR(4*STDEVP(終値!W19:AP19)/AVERAGE(終値!W19:AP19),""))</f>
        <v>0.11367813778822955</v>
      </c>
      <c r="U19" s="503">
        <f>IF(終値!A19="","",IFERROR(4*STDEVP(終値!X19:AQ19)/AVERAGE(終値!X19:AQ19),""))</f>
        <v>0.1095860611626079</v>
      </c>
      <c r="V19" s="503">
        <f>IF(終値!A19="","",IFERROR(4*STDEVP(終値!Y19:AR19)/AVERAGE(終値!Y19:AR19),""))</f>
        <v>0.10104927162928422</v>
      </c>
      <c r="W19" s="503">
        <f>IF(終値!A19="","",IFERROR(4*STDEVP(終値!Z19:AS19)/AVERAGE(終値!Z19:AS19),""))</f>
        <v>9.6863381782405583E-2</v>
      </c>
      <c r="X19" s="503">
        <f>IF(終値!A19="","",IFERROR(4*STDEVP(終値!AA19:AT19)/AVERAGE(終値!AA19:AT19),""))</f>
        <v>9.5287107288350437E-2</v>
      </c>
      <c r="Y19" s="503">
        <f>IF(終値!A19="","",IFERROR(4*STDEVP(終値!AB19:AU19)/AVERAGE(終値!AB19:AU19),""))</f>
        <v>0.10581880632435463</v>
      </c>
      <c r="Z19" s="503">
        <f>IF(終値!A19="","",IFERROR(4*STDEVP(終値!AC19:AV19)/AVERAGE(終値!AC19:AV19),""))</f>
        <v>0.12236921964482346</v>
      </c>
      <c r="AA19" s="503">
        <f>IF(終値!A19="","",IFERROR(4*STDEVP(終値!AD19:AW19)/AVERAGE(終値!AD19:AW19),""))</f>
        <v>0.14278720770676759</v>
      </c>
      <c r="AB19" s="503">
        <f>IF(終値!A19="","",IFERROR(4*STDEVP(終値!AE19:AX19)/AVERAGE(終値!AE19:AX19),""))</f>
        <v>0.15169306806094718</v>
      </c>
      <c r="AC19" s="503">
        <f>IF(終値!A19="","",IFERROR(4*STDEVP(終値!AF19:AY19)/AVERAGE(終値!AF19:AY19),""))</f>
        <v>0.15670305536169568</v>
      </c>
      <c r="AD19" s="503">
        <f>IF(終値!A19="","",IFERROR(4*STDEVP(終値!AG19:AZ19)/AVERAGE(終値!AG19:AZ19),""))</f>
        <v>0.15767964243234167</v>
      </c>
      <c r="AE19" s="503">
        <f>IF(終値!A19="","",IFERROR(4*STDEVP(終値!AH19:BA19)/AVERAGE(終値!AH19:BA19),""))</f>
        <v>0.16001736520572468</v>
      </c>
      <c r="AF19" s="503">
        <f>IF(終値!A19="","",IFERROR(4*STDEVP(終値!AI19:BB19)/AVERAGE(終値!AI19:BB19),""))</f>
        <v>0.16555412365039773</v>
      </c>
      <c r="AG19" s="503">
        <f>IF(終値!A19="","",IFERROR(4*STDEVP(終値!AJ19:BC19)/AVERAGE(終値!AJ19:BC19),""))</f>
        <v>0.1769617313509485</v>
      </c>
      <c r="AH19" s="503">
        <f>IF(終値!A19="","",IFERROR(4*STDEVP(終値!AK19:BD19)/AVERAGE(終値!AK19:BD19),""))</f>
        <v>0.18649014574422898</v>
      </c>
      <c r="AI19" s="503">
        <f>IF(終値!A19="","",IFERROR(4*STDEVP(終値!AL19:BE19)/AVERAGE(終値!AL19:BE19),""))</f>
        <v>0.18009000356436775</v>
      </c>
      <c r="AJ19" s="503">
        <f>IF(終値!A19="","",IFERROR(4*STDEVP(終値!AM19:BF19)/AVERAGE(終値!AM19:BF19),""))</f>
        <v>0.17804291743624992</v>
      </c>
      <c r="AK19" s="503">
        <f>IF(終値!A19="","",IFERROR(4*STDEVP(終値!AN19:BG19)/AVERAGE(終値!AN19:BG19),""))</f>
        <v>0.1702268955448864</v>
      </c>
      <c r="AL19" s="503">
        <f>IF(終値!A19="","",IFERROR(4*STDEVP(終値!AO19:BH19)/AVERAGE(終値!AO19:BH19),""))</f>
        <v>0.17019285781359933</v>
      </c>
      <c r="AM19" s="503">
        <f>IF(終値!A19="","",IFERROR(4*STDEVP(終値!AP19:BI19)/AVERAGE(終値!AP19:BI19),""))</f>
        <v>0.17452674094796661</v>
      </c>
      <c r="AN19" s="503">
        <f>IF(終値!A19="","",IFERROR(4*STDEVP(終値!AQ19:BJ19)/AVERAGE(終値!AQ19:BJ19),""))</f>
        <v>0.1754872583955038</v>
      </c>
      <c r="AO19" s="503">
        <f>IF(終値!A19="","",IFERROR(4*STDEVP(終値!AR19:BK19)/AVERAGE(終値!AR19:BK19),""))</f>
        <v>0.17113333681350887</v>
      </c>
      <c r="AP19" s="503">
        <f>IF(終値!A19="","",IFERROR(4*STDEVP(終値!AS19:BL19)/AVERAGE(終値!AS19:BL19),""))</f>
        <v>0.16307858149488549</v>
      </c>
    </row>
    <row r="20" spans="1:42">
      <c r="A20" s="500" t="str">
        <f>IF(終値!A20="","",終値!A20)</f>
        <v>5541</v>
      </c>
      <c r="B20" s="503">
        <f>IF(終値!A20="","",IFERROR(4*STDEVP(終値!E20:X20)/AVERAGE(終値!E20:X20),""))</f>
        <v>0.13677478417609609</v>
      </c>
      <c r="C20" s="503">
        <f>IF(終値!A20="","",IFERROR(4*STDEVP(終値!F20:Y20)/AVERAGE(終値!F20:Y20),""))</f>
        <v>0.11966343869923445</v>
      </c>
      <c r="D20" s="503">
        <f>IF(終値!A20="","",IFERROR(4*STDEVP(終値!G20:Z20)/AVERAGE(終値!G20:Z20),""))</f>
        <v>0.1115346192162139</v>
      </c>
      <c r="E20" s="503">
        <f>IF(終値!A20="","",IFERROR(4*STDEVP(終値!H20:AA20)/AVERAGE(終値!H20:AA20),""))</f>
        <v>9.4777510537993881E-2</v>
      </c>
      <c r="F20" s="503">
        <f>IF(終値!A20="","",IFERROR(4*STDEVP(終値!I20:AB20)/AVERAGE(終値!I20:AB20),""))</f>
        <v>0.10245652387446651</v>
      </c>
      <c r="G20" s="503">
        <f>IF(終値!A20="","",IFERROR(4*STDEVP(終値!J20:AC20)/AVERAGE(終値!J20:AC20),""))</f>
        <v>0.1098166207141414</v>
      </c>
      <c r="H20" s="503">
        <f>IF(終値!A20="","",IFERROR(4*STDEVP(終値!K20:AD20)/AVERAGE(終値!K20:AD20),""))</f>
        <v>0.11485712475653584</v>
      </c>
      <c r="I20" s="503">
        <f>IF(終値!A20="","",IFERROR(4*STDEVP(終値!L20:AE20)/AVERAGE(終値!L20:AE20),""))</f>
        <v>0.10308197600539551</v>
      </c>
      <c r="J20" s="503">
        <f>IF(終値!A20="","",IFERROR(4*STDEVP(終値!M20:AF20)/AVERAGE(終値!M20:AF20),""))</f>
        <v>0.10289903001955353</v>
      </c>
      <c r="K20" s="503">
        <f>IF(終値!A20="","",IFERROR(4*STDEVP(終値!N20:AG20)/AVERAGE(終値!N20:AG20),""))</f>
        <v>9.796489258652108E-2</v>
      </c>
      <c r="L20" s="503">
        <f>IF(終値!A20="","",IFERROR(4*STDEVP(終値!O20:AH20)/AVERAGE(終値!O20:AH20),""))</f>
        <v>0.1000507671473746</v>
      </c>
      <c r="M20" s="503">
        <f>IF(終値!A20="","",IFERROR(4*STDEVP(終値!P20:AI20)/AVERAGE(終値!P20:AI20),""))</f>
        <v>9.8966001177672E-2</v>
      </c>
      <c r="N20" s="503">
        <f>IF(終値!A20="","",IFERROR(4*STDEVP(終値!Q20:AJ20)/AVERAGE(終値!Q20:AJ20),""))</f>
        <v>9.9197434509825697E-2</v>
      </c>
      <c r="O20" s="503">
        <f>IF(終値!A20="","",IFERROR(4*STDEVP(終値!R20:AK20)/AVERAGE(終値!R20:AK20),""))</f>
        <v>9.8465784309113777E-2</v>
      </c>
      <c r="P20" s="503">
        <f>IF(終値!A20="","",IFERROR(4*STDEVP(終値!S20:AL20)/AVERAGE(終値!S20:AL20),""))</f>
        <v>9.8375968187983304E-2</v>
      </c>
      <c r="Q20" s="503">
        <f>IF(終値!A20="","",IFERROR(4*STDEVP(終値!T20:AM20)/AVERAGE(終値!T20:AM20),""))</f>
        <v>0.10326777321563459</v>
      </c>
      <c r="R20" s="503">
        <f>IF(終値!A20="","",IFERROR(4*STDEVP(終値!U20:AN20)/AVERAGE(終値!U20:AN20),""))</f>
        <v>0.10695442814807962</v>
      </c>
      <c r="S20" s="503">
        <f>IF(終値!A20="","",IFERROR(4*STDEVP(終値!V20:AO20)/AVERAGE(終値!V20:AO20),""))</f>
        <v>0.11851382882747767</v>
      </c>
      <c r="T20" s="503">
        <f>IF(終値!A20="","",IFERROR(4*STDEVP(終値!W20:AP20)/AVERAGE(終値!W20:AP20),""))</f>
        <v>0.12534310501358287</v>
      </c>
      <c r="U20" s="503">
        <f>IF(終値!A20="","",IFERROR(4*STDEVP(終値!X20:AQ20)/AVERAGE(終値!X20:AQ20),""))</f>
        <v>0.12517583899973997</v>
      </c>
      <c r="V20" s="503">
        <f>IF(終値!A20="","",IFERROR(4*STDEVP(終値!Y20:AR20)/AVERAGE(終値!Y20:AR20),""))</f>
        <v>0.11745831675240288</v>
      </c>
      <c r="W20" s="503">
        <f>IF(終値!A20="","",IFERROR(4*STDEVP(終値!Z20:AS20)/AVERAGE(終値!Z20:AS20),""))</f>
        <v>0.11315864747149632</v>
      </c>
      <c r="X20" s="503">
        <f>IF(終値!A20="","",IFERROR(4*STDEVP(終値!AA20:AT20)/AVERAGE(終値!AA20:AT20),""))</f>
        <v>0.11693820662266691</v>
      </c>
      <c r="Y20" s="503">
        <f>IF(終値!A20="","",IFERROR(4*STDEVP(終値!AB20:AU20)/AVERAGE(終値!AB20:AU20),""))</f>
        <v>0.11690107826350772</v>
      </c>
      <c r="Z20" s="503">
        <f>IF(終値!A20="","",IFERROR(4*STDEVP(終値!AC20:AV20)/AVERAGE(終値!AC20:AV20),""))</f>
        <v>0.11826994580670273</v>
      </c>
      <c r="AA20" s="503">
        <f>IF(終値!A20="","",IFERROR(4*STDEVP(終値!AD20:AW20)/AVERAGE(終値!AD20:AW20),""))</f>
        <v>0.11398827204868016</v>
      </c>
      <c r="AB20" s="503">
        <f>IF(終値!A20="","",IFERROR(4*STDEVP(終値!AE20:AX20)/AVERAGE(終値!AE20:AX20),""))</f>
        <v>0.10981438835826704</v>
      </c>
      <c r="AC20" s="503">
        <f>IF(終値!A20="","",IFERROR(4*STDEVP(終値!AF20:AY20)/AVERAGE(終値!AF20:AY20),""))</f>
        <v>0.10610111148660538</v>
      </c>
      <c r="AD20" s="503">
        <f>IF(終値!A20="","",IFERROR(4*STDEVP(終値!AG20:AZ20)/AVERAGE(終値!AG20:AZ20),""))</f>
        <v>0.10904358220768071</v>
      </c>
      <c r="AE20" s="503">
        <f>IF(終値!A20="","",IFERROR(4*STDEVP(終値!AH20:BA20)/AVERAGE(終値!AH20:BA20),""))</f>
        <v>0.11302377093066872</v>
      </c>
      <c r="AF20" s="503">
        <f>IF(終値!A20="","",IFERROR(4*STDEVP(終値!AI20:BB20)/AVERAGE(終値!AI20:BB20),""))</f>
        <v>0.11580093250876956</v>
      </c>
      <c r="AG20" s="503">
        <f>IF(終値!A20="","",IFERROR(4*STDEVP(終値!AJ20:BC20)/AVERAGE(終値!AJ20:BC20),""))</f>
        <v>0.11497946381682154</v>
      </c>
      <c r="AH20" s="503">
        <f>IF(終値!A20="","",IFERROR(4*STDEVP(終値!AK20:BD20)/AVERAGE(終値!AK20:BD20),""))</f>
        <v>0.11398895244943068</v>
      </c>
      <c r="AI20" s="503">
        <f>IF(終値!A20="","",IFERROR(4*STDEVP(終値!AL20:BE20)/AVERAGE(終値!AL20:BE20),""))</f>
        <v>0.13095317053123054</v>
      </c>
      <c r="AJ20" s="503">
        <f>IF(終値!A20="","",IFERROR(4*STDEVP(終値!AM20:BF20)/AVERAGE(終値!AM20:BF20),""))</f>
        <v>0.1416296656056458</v>
      </c>
      <c r="AK20" s="503">
        <f>IF(終値!A20="","",IFERROR(4*STDEVP(終値!AN20:BG20)/AVERAGE(終値!AN20:BG20),""))</f>
        <v>0.16442312587968597</v>
      </c>
      <c r="AL20" s="503">
        <f>IF(終値!A20="","",IFERROR(4*STDEVP(終値!AO20:BH20)/AVERAGE(終値!AO20:BH20),""))</f>
        <v>0.16270769153400502</v>
      </c>
      <c r="AM20" s="503">
        <f>IF(終値!A20="","",IFERROR(4*STDEVP(終値!AP20:BI20)/AVERAGE(終値!AP20:BI20),""))</f>
        <v>0.21368890773166543</v>
      </c>
      <c r="AN20" s="503">
        <f>IF(終値!A20="","",IFERROR(4*STDEVP(終値!AQ20:BJ20)/AVERAGE(終値!AQ20:BJ20),""))</f>
        <v>0.2434795722378241</v>
      </c>
      <c r="AO20" s="503">
        <f>IF(終値!A20="","",IFERROR(4*STDEVP(終値!AR20:BK20)/AVERAGE(終値!AR20:BK20),""))</f>
        <v>0.26441799113388287</v>
      </c>
      <c r="AP20" s="503">
        <f>IF(終値!A20="","",IFERROR(4*STDEVP(終値!AS20:BL20)/AVERAGE(終値!AS20:BL20),""))</f>
        <v>0.27720209271795232</v>
      </c>
    </row>
    <row r="21" spans="1:42">
      <c r="A21" s="500" t="str">
        <f>IF(終値!A21="","",終値!A21)</f>
        <v>5332</v>
      </c>
      <c r="B21" s="503">
        <f>IF(終値!A21="","",IFERROR(4*STDEVP(終値!E21:X21)/AVERAGE(終値!E21:X21),""))</f>
        <v>0.35920756862114833</v>
      </c>
      <c r="C21" s="503">
        <f>IF(終値!A21="","",IFERROR(4*STDEVP(終値!F21:Y21)/AVERAGE(終値!F21:Y21),""))</f>
        <v>0.34214084736199368</v>
      </c>
      <c r="D21" s="503">
        <f>IF(終値!A21="","",IFERROR(4*STDEVP(終値!G21:Z21)/AVERAGE(終値!G21:Z21),""))</f>
        <v>0.29999719572712041</v>
      </c>
      <c r="E21" s="503">
        <f>IF(終値!A21="","",IFERROR(4*STDEVP(終値!H21:AA21)/AVERAGE(終値!H21:AA21),""))</f>
        <v>0.28938170103416827</v>
      </c>
      <c r="F21" s="503">
        <f>IF(終値!A21="","",IFERROR(4*STDEVP(終値!I21:AB21)/AVERAGE(終値!I21:AB21),""))</f>
        <v>0.26801417219344187</v>
      </c>
      <c r="G21" s="503">
        <f>IF(終値!A21="","",IFERROR(4*STDEVP(終値!J21:AC21)/AVERAGE(終値!J21:AC21),""))</f>
        <v>0.23134670008020436</v>
      </c>
      <c r="H21" s="503">
        <f>IF(終値!A21="","",IFERROR(4*STDEVP(終値!K21:AD21)/AVERAGE(終値!K21:AD21),""))</f>
        <v>0.19947272365898186</v>
      </c>
      <c r="I21" s="503">
        <f>IF(終値!A21="","",IFERROR(4*STDEVP(終値!L21:AE21)/AVERAGE(終値!L21:AE21),""))</f>
        <v>0.20118137319554977</v>
      </c>
      <c r="J21" s="503">
        <f>IF(終値!A21="","",IFERROR(4*STDEVP(終値!M21:AF21)/AVERAGE(終値!M21:AF21),""))</f>
        <v>0.20380140507648875</v>
      </c>
      <c r="K21" s="503">
        <f>IF(終値!A21="","",IFERROR(4*STDEVP(終値!N21:AG21)/AVERAGE(終値!N21:AG21),""))</f>
        <v>0.20138913203650552</v>
      </c>
      <c r="L21" s="503">
        <f>IF(終値!A21="","",IFERROR(4*STDEVP(終値!O21:AH21)/AVERAGE(終値!O21:AH21),""))</f>
        <v>0.21523712850912061</v>
      </c>
      <c r="M21" s="503">
        <f>IF(終値!A21="","",IFERROR(4*STDEVP(終値!P21:AI21)/AVERAGE(終値!P21:AI21),""))</f>
        <v>0.19526520920412707</v>
      </c>
      <c r="N21" s="503">
        <f>IF(終値!A21="","",IFERROR(4*STDEVP(終値!Q21:AJ21)/AVERAGE(終値!Q21:AJ21),""))</f>
        <v>0.16683981026210168</v>
      </c>
      <c r="O21" s="503">
        <f>IF(終値!A21="","",IFERROR(4*STDEVP(終値!R21:AK21)/AVERAGE(終値!R21:AK21),""))</f>
        <v>0.15906983082206955</v>
      </c>
      <c r="P21" s="503">
        <f>IF(終値!A21="","",IFERROR(4*STDEVP(終値!S21:AL21)/AVERAGE(終値!S21:AL21),""))</f>
        <v>0.15422486525467621</v>
      </c>
      <c r="Q21" s="503">
        <f>IF(終値!A21="","",IFERROR(4*STDEVP(終値!T21:AM21)/AVERAGE(終値!T21:AM21),""))</f>
        <v>0.14459579532758501</v>
      </c>
      <c r="R21" s="503">
        <f>IF(終値!A21="","",IFERROR(4*STDEVP(終値!U21:AN21)/AVERAGE(終値!U21:AN21),""))</f>
        <v>0.16103087009438935</v>
      </c>
      <c r="S21" s="503">
        <f>IF(終値!A21="","",IFERROR(4*STDEVP(終値!V21:AO21)/AVERAGE(終値!V21:AO21),""))</f>
        <v>0.18928692095169275</v>
      </c>
      <c r="T21" s="503">
        <f>IF(終値!A21="","",IFERROR(4*STDEVP(終値!W21:AP21)/AVERAGE(終値!W21:AP21),""))</f>
        <v>0.20981843618646914</v>
      </c>
      <c r="U21" s="503">
        <f>IF(終値!A21="","",IFERROR(4*STDEVP(終値!X21:AQ21)/AVERAGE(終値!X21:AQ21),""))</f>
        <v>0.2234589050171476</v>
      </c>
      <c r="V21" s="503">
        <f>IF(終値!A21="","",IFERROR(4*STDEVP(終値!Y21:AR21)/AVERAGE(終値!Y21:AR21),""))</f>
        <v>0.2256001427282126</v>
      </c>
      <c r="W21" s="503">
        <f>IF(終値!A21="","",IFERROR(4*STDEVP(終値!Z21:AS21)/AVERAGE(終値!Z21:AS21),""))</f>
        <v>0.22616354242361769</v>
      </c>
      <c r="X21" s="503">
        <f>IF(終値!A21="","",IFERROR(4*STDEVP(終値!AA21:AT21)/AVERAGE(終値!AA21:AT21),""))</f>
        <v>0.22904949440775646</v>
      </c>
      <c r="Y21" s="503">
        <f>IF(終値!A21="","",IFERROR(4*STDEVP(終値!AB21:AU21)/AVERAGE(終値!AB21:AU21),""))</f>
        <v>0.25256954693514017</v>
      </c>
      <c r="Z21" s="503">
        <f>IF(終値!A21="","",IFERROR(4*STDEVP(終値!AC21:AV21)/AVERAGE(終値!AC21:AV21),""))</f>
        <v>0.25583988358198262</v>
      </c>
      <c r="AA21" s="503">
        <f>IF(終値!A21="","",IFERROR(4*STDEVP(終値!AD21:AW21)/AVERAGE(終値!AD21:AW21),""))</f>
        <v>0.26784104982616902</v>
      </c>
      <c r="AB21" s="503">
        <f>IF(終値!A21="","",IFERROR(4*STDEVP(終値!AE21:AX21)/AVERAGE(終値!AE21:AX21),""))</f>
        <v>0.27912905948469746</v>
      </c>
      <c r="AC21" s="503">
        <f>IF(終値!A21="","",IFERROR(4*STDEVP(終値!AF21:AY21)/AVERAGE(終値!AF21:AY21),""))</f>
        <v>0.28532170329882012</v>
      </c>
      <c r="AD21" s="503">
        <f>IF(終値!A21="","",IFERROR(4*STDEVP(終値!AG21:AZ21)/AVERAGE(終値!AG21:AZ21),""))</f>
        <v>0.30088531842782085</v>
      </c>
      <c r="AE21" s="503">
        <f>IF(終値!A21="","",IFERROR(4*STDEVP(終値!AH21:BA21)/AVERAGE(終値!AH21:BA21),""))</f>
        <v>0.3143542289312285</v>
      </c>
      <c r="AF21" s="503">
        <f>IF(終値!A21="","",IFERROR(4*STDEVP(終値!AI21:BB21)/AVERAGE(終値!AI21:BB21),""))</f>
        <v>0.29635480583857821</v>
      </c>
      <c r="AG21" s="503">
        <f>IF(終値!A21="","",IFERROR(4*STDEVP(終値!AJ21:BC21)/AVERAGE(終値!AJ21:BC21),""))</f>
        <v>0.30119796175019364</v>
      </c>
      <c r="AH21" s="503">
        <f>IF(終値!A21="","",IFERROR(4*STDEVP(終値!AK21:BD21)/AVERAGE(終値!AK21:BD21),""))</f>
        <v>0.29664258256461418</v>
      </c>
      <c r="AI21" s="503">
        <f>IF(終値!A21="","",IFERROR(4*STDEVP(終値!AL21:BE21)/AVERAGE(終値!AL21:BE21),""))</f>
        <v>0.28173626117555955</v>
      </c>
      <c r="AJ21" s="503">
        <f>IF(終値!A21="","",IFERROR(4*STDEVP(終値!AM21:BF21)/AVERAGE(終値!AM21:BF21),""))</f>
        <v>0.26773974141042839</v>
      </c>
      <c r="AK21" s="503">
        <f>IF(終値!A21="","",IFERROR(4*STDEVP(終値!AN21:BG21)/AVERAGE(終値!AN21:BG21),""))</f>
        <v>0.25266775731205876</v>
      </c>
      <c r="AL21" s="503">
        <f>IF(終値!A21="","",IFERROR(4*STDEVP(終値!AO21:BH21)/AVERAGE(終値!AO21:BH21),""))</f>
        <v>0.25274345545372084</v>
      </c>
      <c r="AM21" s="503">
        <f>IF(終値!A21="","",IFERROR(4*STDEVP(終値!AP21:BI21)/AVERAGE(終値!AP21:BI21),""))</f>
        <v>0.25192582562954857</v>
      </c>
      <c r="AN21" s="503">
        <f>IF(終値!A21="","",IFERROR(4*STDEVP(終値!AQ21:BJ21)/AVERAGE(終値!AQ21:BJ21),""))</f>
        <v>0.25076193058313911</v>
      </c>
      <c r="AO21" s="503">
        <f>IF(終値!A21="","",IFERROR(4*STDEVP(終値!AR21:BK21)/AVERAGE(終値!AR21:BK21),""))</f>
        <v>0.25133806365510186</v>
      </c>
      <c r="AP21" s="503">
        <f>IF(終値!A21="","",IFERROR(4*STDEVP(終値!AS21:BL21)/AVERAGE(終値!AS21:BL21),""))</f>
        <v>0.24477938233326349</v>
      </c>
    </row>
    <row r="22" spans="1:42">
      <c r="A22" s="500" t="str">
        <f>IF(終値!A22="","",終値!A22)</f>
        <v>8725</v>
      </c>
      <c r="B22" s="503">
        <f>IF(終値!A22="","",IFERROR(4*STDEVP(終値!E22:X22)/AVERAGE(終値!E22:X22),""))</f>
        <v>0.1826778098485958</v>
      </c>
      <c r="C22" s="503">
        <f>IF(終値!A22="","",IFERROR(4*STDEVP(終値!F22:Y22)/AVERAGE(終値!F22:Y22),""))</f>
        <v>0.1897582565816891</v>
      </c>
      <c r="D22" s="503">
        <f>IF(終値!A22="","",IFERROR(4*STDEVP(終値!G22:Z22)/AVERAGE(終値!G22:Z22),""))</f>
        <v>0.19776709537898701</v>
      </c>
      <c r="E22" s="503">
        <f>IF(終値!A22="","",IFERROR(4*STDEVP(終値!H22:AA22)/AVERAGE(終値!H22:AA22),""))</f>
        <v>0.20708007747386756</v>
      </c>
      <c r="F22" s="503">
        <f>IF(終値!A22="","",IFERROR(4*STDEVP(終値!I22:AB22)/AVERAGE(終値!I22:AB22),""))</f>
        <v>0.21165544302076475</v>
      </c>
      <c r="G22" s="503">
        <f>IF(終値!A22="","",IFERROR(4*STDEVP(終値!J22:AC22)/AVERAGE(終値!J22:AC22),""))</f>
        <v>0.20516039701820749</v>
      </c>
      <c r="H22" s="503">
        <f>IF(終値!A22="","",IFERROR(4*STDEVP(終値!K22:AD22)/AVERAGE(終値!K22:AD22),""))</f>
        <v>0.1942200833066621</v>
      </c>
      <c r="I22" s="503">
        <f>IF(終値!A22="","",IFERROR(4*STDEVP(終値!L22:AE22)/AVERAGE(終値!L22:AE22),""))</f>
        <v>0.17567508537058857</v>
      </c>
      <c r="J22" s="503">
        <f>IF(終値!A22="","",IFERROR(4*STDEVP(終値!M22:AF22)/AVERAGE(終値!M22:AF22),""))</f>
        <v>0.15652982173152036</v>
      </c>
      <c r="K22" s="503">
        <f>IF(終値!A22="","",IFERROR(4*STDEVP(終値!N22:AG22)/AVERAGE(終値!N22:AG22),""))</f>
        <v>0.13775244368645026</v>
      </c>
      <c r="L22" s="503">
        <f>IF(終値!A22="","",IFERROR(4*STDEVP(終値!O22:AH22)/AVERAGE(終値!O22:AH22),""))</f>
        <v>0.12512847997092749</v>
      </c>
      <c r="M22" s="503">
        <f>IF(終値!A22="","",IFERROR(4*STDEVP(終値!P22:AI22)/AVERAGE(終値!P22:AI22),""))</f>
        <v>0.11288951062755163</v>
      </c>
      <c r="N22" s="503">
        <f>IF(終値!A22="","",IFERROR(4*STDEVP(終値!Q22:AJ22)/AVERAGE(終値!Q22:AJ22),""))</f>
        <v>0.11597677283938598</v>
      </c>
      <c r="O22" s="503">
        <f>IF(終値!A22="","",IFERROR(4*STDEVP(終値!R22:AK22)/AVERAGE(終値!R22:AK22),""))</f>
        <v>0.11531810426371414</v>
      </c>
      <c r="P22" s="503">
        <f>IF(終値!A22="","",IFERROR(4*STDEVP(終値!S22:AL22)/AVERAGE(終値!S22:AL22),""))</f>
        <v>0.1191358952244283</v>
      </c>
      <c r="Q22" s="503">
        <f>IF(終値!A22="","",IFERROR(4*STDEVP(終値!T22:AM22)/AVERAGE(終値!T22:AM22),""))</f>
        <v>0.12597715904028597</v>
      </c>
      <c r="R22" s="503">
        <f>IF(終値!A22="","",IFERROR(4*STDEVP(終値!U22:AN22)/AVERAGE(終値!U22:AN22),""))</f>
        <v>0.12790097313426158</v>
      </c>
      <c r="S22" s="503">
        <f>IF(終値!A22="","",IFERROR(4*STDEVP(終値!V22:AO22)/AVERAGE(終値!V22:AO22),""))</f>
        <v>0.12858288684808991</v>
      </c>
      <c r="T22" s="503">
        <f>IF(終値!A22="","",IFERROR(4*STDEVP(終値!W22:AP22)/AVERAGE(終値!W22:AP22),""))</f>
        <v>0.13032359122246848</v>
      </c>
      <c r="U22" s="503">
        <f>IF(終値!A22="","",IFERROR(4*STDEVP(終値!X22:AQ22)/AVERAGE(終値!X22:AQ22),""))</f>
        <v>0.13095931185111387</v>
      </c>
      <c r="V22" s="503">
        <f>IF(終値!A22="","",IFERROR(4*STDEVP(終値!Y22:AR22)/AVERAGE(終値!Y22:AR22),""))</f>
        <v>0.13346216560147911</v>
      </c>
      <c r="W22" s="503">
        <f>IF(終値!A22="","",IFERROR(4*STDEVP(終値!Z22:AS22)/AVERAGE(終値!Z22:AS22),""))</f>
        <v>0.14039006943359225</v>
      </c>
      <c r="X22" s="503">
        <f>IF(終値!A22="","",IFERROR(4*STDEVP(終値!AA22:AT22)/AVERAGE(終値!AA22:AT22),""))</f>
        <v>0.14362288102970125</v>
      </c>
      <c r="Y22" s="503">
        <f>IF(終値!A22="","",IFERROR(4*STDEVP(終値!AB22:AU22)/AVERAGE(終値!AB22:AU22),""))</f>
        <v>0.14438436738739624</v>
      </c>
      <c r="Z22" s="503">
        <f>IF(終値!A22="","",IFERROR(4*STDEVP(終値!AC22:AV22)/AVERAGE(終値!AC22:AV22),""))</f>
        <v>0.14184199005000797</v>
      </c>
      <c r="AA22" s="503">
        <f>IF(終値!A22="","",IFERROR(4*STDEVP(終値!AD22:AW22)/AVERAGE(終値!AD22:AW22),""))</f>
        <v>0.14270784877222861</v>
      </c>
      <c r="AB22" s="503">
        <f>IF(終値!A22="","",IFERROR(4*STDEVP(終値!AE22:AX22)/AVERAGE(終値!AE22:AX22),""))</f>
        <v>0.14003340150597754</v>
      </c>
      <c r="AC22" s="503">
        <f>IF(終値!A22="","",IFERROR(4*STDEVP(終値!AF22:AY22)/AVERAGE(終値!AF22:AY22),""))</f>
        <v>0.14232814945984548</v>
      </c>
      <c r="AD22" s="503">
        <f>IF(終値!A22="","",IFERROR(4*STDEVP(終値!AG22:AZ22)/AVERAGE(終値!AG22:AZ22),""))</f>
        <v>0.14825123052226552</v>
      </c>
      <c r="AE22" s="503">
        <f>IF(終値!A22="","",IFERROR(4*STDEVP(終値!AH22:BA22)/AVERAGE(終値!AH22:BA22),""))</f>
        <v>0.14504060272567326</v>
      </c>
      <c r="AF22" s="503">
        <f>IF(終値!A22="","",IFERROR(4*STDEVP(終値!AI22:BB22)/AVERAGE(終値!AI22:BB22),""))</f>
        <v>0.13849678794185763</v>
      </c>
      <c r="AG22" s="503">
        <f>IF(終値!A22="","",IFERROR(4*STDEVP(終値!AJ22:BC22)/AVERAGE(終値!AJ22:BC22),""))</f>
        <v>0.13696518023785628</v>
      </c>
      <c r="AH22" s="503">
        <f>IF(終値!A22="","",IFERROR(4*STDEVP(終値!AK22:BD22)/AVERAGE(終値!AK22:BD22),""))</f>
        <v>0.13236038944670303</v>
      </c>
      <c r="AI22" s="503">
        <f>IF(終値!A22="","",IFERROR(4*STDEVP(終値!AL22:BE22)/AVERAGE(終値!AL22:BE22),""))</f>
        <v>0.12877051609388429</v>
      </c>
      <c r="AJ22" s="503">
        <f>IF(終値!A22="","",IFERROR(4*STDEVP(終値!AM22:BF22)/AVERAGE(終値!AM22:BF22),""))</f>
        <v>0.1206981837312483</v>
      </c>
      <c r="AK22" s="503">
        <f>IF(終値!A22="","",IFERROR(4*STDEVP(終値!AN22:BG22)/AVERAGE(終値!AN22:BG22),""))</f>
        <v>0.10535665369691513</v>
      </c>
      <c r="AL22" s="503">
        <f>IF(終値!A22="","",IFERROR(4*STDEVP(終値!AO22:BH22)/AVERAGE(終値!AO22:BH22),""))</f>
        <v>9.5847429976825119E-2</v>
      </c>
      <c r="AM22" s="503">
        <f>IF(終値!A22="","",IFERROR(4*STDEVP(終値!AP22:BI22)/AVERAGE(終値!AP22:BI22),""))</f>
        <v>0.10876669880004271</v>
      </c>
      <c r="AN22" s="503">
        <f>IF(終値!A22="","",IFERROR(4*STDEVP(終値!AQ22:BJ22)/AVERAGE(終値!AQ22:BJ22),""))</f>
        <v>0.11619898498407455</v>
      </c>
      <c r="AO22" s="503">
        <f>IF(終値!A22="","",IFERROR(4*STDEVP(終値!AR22:BK22)/AVERAGE(終値!AR22:BK22),""))</f>
        <v>0.12915197243112067</v>
      </c>
      <c r="AP22" s="503">
        <f>IF(終値!A22="","",IFERROR(4*STDEVP(終値!AS22:BL22)/AVERAGE(終値!AS22:BL22),""))</f>
        <v>0.14154247278286275</v>
      </c>
    </row>
    <row r="23" spans="1:42">
      <c r="A23" s="500" t="str">
        <f>IF(終値!A23="","",終値!A23)</f>
        <v>8795</v>
      </c>
      <c r="B23" s="503">
        <f>IF(終値!A23="","",IFERROR(4*STDEVP(終値!E23:X23)/AVERAGE(終値!E23:X23),""))</f>
        <v>6.5564345009195932E-2</v>
      </c>
      <c r="C23" s="503">
        <f>IF(終値!A23="","",IFERROR(4*STDEVP(終値!F23:Y23)/AVERAGE(終値!F23:Y23),""))</f>
        <v>6.5857001776384635E-2</v>
      </c>
      <c r="D23" s="503">
        <f>IF(終値!A23="","",IFERROR(4*STDEVP(終値!G23:Z23)/AVERAGE(終値!G23:Z23),""))</f>
        <v>6.7856983542487911E-2</v>
      </c>
      <c r="E23" s="503">
        <f>IF(終値!A23="","",IFERROR(4*STDEVP(終値!H23:AA23)/AVERAGE(終値!H23:AA23),""))</f>
        <v>7.2751288285205301E-2</v>
      </c>
      <c r="F23" s="503">
        <f>IF(終値!A23="","",IFERROR(4*STDEVP(終値!I23:AB23)/AVERAGE(終値!I23:AB23),""))</f>
        <v>7.8749469782523868E-2</v>
      </c>
      <c r="G23" s="503">
        <f>IF(終値!A23="","",IFERROR(4*STDEVP(終値!J23:AC23)/AVERAGE(終値!J23:AC23),""))</f>
        <v>9.1695921245005169E-2</v>
      </c>
      <c r="H23" s="503">
        <f>IF(終値!A23="","",IFERROR(4*STDEVP(終値!K23:AD23)/AVERAGE(終値!K23:AD23),""))</f>
        <v>0.10222002010322415</v>
      </c>
      <c r="I23" s="503">
        <f>IF(終値!A23="","",IFERROR(4*STDEVP(終値!L23:AE23)/AVERAGE(終値!L23:AE23),""))</f>
        <v>9.9987373453490264E-2</v>
      </c>
      <c r="J23" s="503">
        <f>IF(終値!A23="","",IFERROR(4*STDEVP(終値!M23:AF23)/AVERAGE(終値!M23:AF23),""))</f>
        <v>0.10947866880578951</v>
      </c>
      <c r="K23" s="503">
        <f>IF(終値!A23="","",IFERROR(4*STDEVP(終値!N23:AG23)/AVERAGE(終値!N23:AG23),""))</f>
        <v>0.10559355974013809</v>
      </c>
      <c r="L23" s="503">
        <f>IF(終値!A23="","",IFERROR(4*STDEVP(終値!O23:AH23)/AVERAGE(終値!O23:AH23),""))</f>
        <v>0.10173156812543713</v>
      </c>
      <c r="M23" s="503">
        <f>IF(終値!A23="","",IFERROR(4*STDEVP(終値!P23:AI23)/AVERAGE(終値!P23:AI23),""))</f>
        <v>9.9488263728619242E-2</v>
      </c>
      <c r="N23" s="503">
        <f>IF(終値!A23="","",IFERROR(4*STDEVP(終値!Q23:AJ23)/AVERAGE(終値!Q23:AJ23),""))</f>
        <v>9.8626952497775533E-2</v>
      </c>
      <c r="O23" s="503">
        <f>IF(終値!A23="","",IFERROR(4*STDEVP(終値!R23:AK23)/AVERAGE(終値!R23:AK23),""))</f>
        <v>9.6287860451917132E-2</v>
      </c>
      <c r="P23" s="503">
        <f>IF(終値!A23="","",IFERROR(4*STDEVP(終値!S23:AL23)/AVERAGE(終値!S23:AL23),""))</f>
        <v>9.5224716987751465E-2</v>
      </c>
      <c r="Q23" s="503">
        <f>IF(終値!A23="","",IFERROR(4*STDEVP(終値!T23:AM23)/AVERAGE(終値!T23:AM23),""))</f>
        <v>9.5105889407434349E-2</v>
      </c>
      <c r="R23" s="503">
        <f>IF(終値!A23="","",IFERROR(4*STDEVP(終値!U23:AN23)/AVERAGE(終値!U23:AN23),""))</f>
        <v>9.7991423233871541E-2</v>
      </c>
      <c r="S23" s="503">
        <f>IF(終値!A23="","",IFERROR(4*STDEVP(終値!V23:AO23)/AVERAGE(終値!V23:AO23),""))</f>
        <v>0.10201784637645456</v>
      </c>
      <c r="T23" s="503">
        <f>IF(終値!A23="","",IFERROR(4*STDEVP(終値!W23:AP23)/AVERAGE(終値!W23:AP23),""))</f>
        <v>0.10356678034494014</v>
      </c>
      <c r="U23" s="503">
        <f>IF(終値!A23="","",IFERROR(4*STDEVP(終値!X23:AQ23)/AVERAGE(終値!X23:AQ23),""))</f>
        <v>0.1263307415679103</v>
      </c>
      <c r="V23" s="503">
        <f>IF(終値!A23="","",IFERROR(4*STDEVP(終値!Y23:AR23)/AVERAGE(終値!Y23:AR23),""))</f>
        <v>0.13667863940016112</v>
      </c>
      <c r="W23" s="503">
        <f>IF(終値!A23="","",IFERROR(4*STDEVP(終値!Z23:AS23)/AVERAGE(終値!Z23:AS23),""))</f>
        <v>0.17554696046947729</v>
      </c>
      <c r="X23" s="503">
        <f>IF(終値!A23="","",IFERROR(4*STDEVP(終値!AA23:AT23)/AVERAGE(終値!AA23:AT23),""))</f>
        <v>0.19433313607221273</v>
      </c>
      <c r="Y23" s="503">
        <f>IF(終値!A23="","",IFERROR(4*STDEVP(終値!AB23:AU23)/AVERAGE(終値!AB23:AU23),""))</f>
        <v>0.20957340733038723</v>
      </c>
      <c r="Z23" s="503">
        <f>IF(終値!A23="","",IFERROR(4*STDEVP(終値!AC23:AV23)/AVERAGE(終値!AC23:AV23),""))</f>
        <v>0.22557500959526181</v>
      </c>
      <c r="AA23" s="503">
        <f>IF(終値!A23="","",IFERROR(4*STDEVP(終値!AD23:AW23)/AVERAGE(終値!AD23:AW23),""))</f>
        <v>0.24775174209619821</v>
      </c>
      <c r="AB23" s="503">
        <f>IF(終値!A23="","",IFERROR(4*STDEVP(終値!AE23:AX23)/AVERAGE(終値!AE23:AX23),""))</f>
        <v>0.26234018776875229</v>
      </c>
      <c r="AC23" s="503">
        <f>IF(終値!A23="","",IFERROR(4*STDEVP(終値!AF23:AY23)/AVERAGE(終値!AF23:AY23),""))</f>
        <v>0.27805887532675611</v>
      </c>
      <c r="AD23" s="503">
        <f>IF(終値!A23="","",IFERROR(4*STDEVP(終値!AG23:AZ23)/AVERAGE(終値!AG23:AZ23),""))</f>
        <v>0.29037891179383035</v>
      </c>
      <c r="AE23" s="503">
        <f>IF(終値!A23="","",IFERROR(4*STDEVP(終値!AH23:BA23)/AVERAGE(終値!AH23:BA23),""))</f>
        <v>0.29310976954849388</v>
      </c>
      <c r="AF23" s="503">
        <f>IF(終値!A23="","",IFERROR(4*STDEVP(終値!AI23:BB23)/AVERAGE(終値!AI23:BB23),""))</f>
        <v>0.28260526252340734</v>
      </c>
      <c r="AG23" s="503">
        <f>IF(終値!A23="","",IFERROR(4*STDEVP(終値!AJ23:BC23)/AVERAGE(終値!AJ23:BC23),""))</f>
        <v>0.27262563491428926</v>
      </c>
      <c r="AH23" s="503">
        <f>IF(終値!A23="","",IFERROR(4*STDEVP(終値!AK23:BD23)/AVERAGE(終値!AK23:BD23),""))</f>
        <v>0.26135923017463392</v>
      </c>
      <c r="AI23" s="503">
        <f>IF(終値!A23="","",IFERROR(4*STDEVP(終値!AL23:BE23)/AVERAGE(終値!AL23:BE23),""))</f>
        <v>0.26091043206781117</v>
      </c>
      <c r="AJ23" s="503">
        <f>IF(終値!A23="","",IFERROR(4*STDEVP(終値!AM23:BF23)/AVERAGE(終値!AM23:BF23),""))</f>
        <v>0.23691777526135063</v>
      </c>
      <c r="AK23" s="503">
        <f>IF(終値!A23="","",IFERROR(4*STDEVP(終値!AN23:BG23)/AVERAGE(終値!AN23:BG23),""))</f>
        <v>0.21431226985007515</v>
      </c>
      <c r="AL23" s="503">
        <f>IF(終値!A23="","",IFERROR(4*STDEVP(終値!AO23:BH23)/AVERAGE(終値!AO23:BH23),""))</f>
        <v>0.19377219572889096</v>
      </c>
      <c r="AM23" s="503">
        <f>IF(終値!A23="","",IFERROR(4*STDEVP(終値!AP23:BI23)/AVERAGE(終値!AP23:BI23),""))</f>
        <v>0.16872565243119442</v>
      </c>
      <c r="AN23" s="503">
        <f>IF(終値!A23="","",IFERROR(4*STDEVP(終値!AQ23:BJ23)/AVERAGE(終値!AQ23:BJ23),""))</f>
        <v>0.13142864294740075</v>
      </c>
      <c r="AO23" s="503">
        <f>IF(終値!A23="","",IFERROR(4*STDEVP(終値!AR23:BK23)/AVERAGE(終値!AR23:BK23),""))</f>
        <v>0.12001106622630164</v>
      </c>
      <c r="AP23" s="503">
        <f>IF(終値!A23="","",IFERROR(4*STDEVP(終値!AS23:BL23)/AVERAGE(終値!AS23:BL23),""))</f>
        <v>0.11700690464090555</v>
      </c>
    </row>
    <row r="24" spans="1:42">
      <c r="A24" s="500" t="str">
        <f>IF(終値!A24="","",終値!A24)</f>
        <v>5019</v>
      </c>
      <c r="B24" s="503">
        <f>IF(終値!A24="","",IFERROR(4*STDEVP(終値!E24:X24)/AVERAGE(終値!E24:X24),""))</f>
        <v>0.10758041260487619</v>
      </c>
      <c r="C24" s="503">
        <f>IF(終値!A24="","",IFERROR(4*STDEVP(終値!F24:Y24)/AVERAGE(終値!F24:Y24),""))</f>
        <v>0.11484862487436981</v>
      </c>
      <c r="D24" s="503">
        <f>IF(終値!A24="","",IFERROR(4*STDEVP(終値!G24:Z24)/AVERAGE(終値!G24:Z24),""))</f>
        <v>0.12579312225708519</v>
      </c>
      <c r="E24" s="503">
        <f>IF(終値!A24="","",IFERROR(4*STDEVP(終値!H24:AA24)/AVERAGE(終値!H24:AA24),""))</f>
        <v>0.13687700614732584</v>
      </c>
      <c r="F24" s="503">
        <f>IF(終値!A24="","",IFERROR(4*STDEVP(終値!I24:AB24)/AVERAGE(終値!I24:AB24),""))</f>
        <v>0.14218229130300611</v>
      </c>
      <c r="G24" s="503">
        <f>IF(終値!A24="","",IFERROR(4*STDEVP(終値!J24:AC24)/AVERAGE(終値!J24:AC24),""))</f>
        <v>0.14108830637198999</v>
      </c>
      <c r="H24" s="503">
        <f>IF(終値!A24="","",IFERROR(4*STDEVP(終値!K24:AD24)/AVERAGE(終値!K24:AD24),""))</f>
        <v>0.13829844972341065</v>
      </c>
      <c r="I24" s="503">
        <f>IF(終値!A24="","",IFERROR(4*STDEVP(終値!L24:AE24)/AVERAGE(終値!L24:AE24),""))</f>
        <v>0.134188815965676</v>
      </c>
      <c r="J24" s="503">
        <f>IF(終値!A24="","",IFERROR(4*STDEVP(終値!M24:AF24)/AVERAGE(終値!M24:AF24),""))</f>
        <v>0.11889777853119017</v>
      </c>
      <c r="K24" s="503">
        <f>IF(終値!A24="","",IFERROR(4*STDEVP(終値!N24:AG24)/AVERAGE(終値!N24:AG24),""))</f>
        <v>0.10262304403265365</v>
      </c>
      <c r="L24" s="503">
        <f>IF(終値!A24="","",IFERROR(4*STDEVP(終値!O24:AH24)/AVERAGE(終値!O24:AH24),""))</f>
        <v>8.6358436555551046E-2</v>
      </c>
      <c r="M24" s="503">
        <f>IF(終値!A24="","",IFERROR(4*STDEVP(終値!P24:AI24)/AVERAGE(終値!P24:AI24),""))</f>
        <v>7.7710610986017045E-2</v>
      </c>
      <c r="N24" s="503">
        <f>IF(終値!A24="","",IFERROR(4*STDEVP(終値!Q24:AJ24)/AVERAGE(終値!Q24:AJ24),""))</f>
        <v>7.802131326613633E-2</v>
      </c>
      <c r="O24" s="503">
        <f>IF(終値!A24="","",IFERROR(4*STDEVP(終値!R24:AK24)/AVERAGE(終値!R24:AK24),""))</f>
        <v>7.9602501229400241E-2</v>
      </c>
      <c r="P24" s="503">
        <f>IF(終値!A24="","",IFERROR(4*STDEVP(終値!S24:AL24)/AVERAGE(終値!S24:AL24),""))</f>
        <v>8.4374959241146616E-2</v>
      </c>
      <c r="Q24" s="503">
        <f>IF(終値!A24="","",IFERROR(4*STDEVP(終値!T24:AM24)/AVERAGE(終値!T24:AM24),""))</f>
        <v>0.10797900781666947</v>
      </c>
      <c r="R24" s="503">
        <f>IF(終値!A24="","",IFERROR(4*STDEVP(終値!U24:AN24)/AVERAGE(終値!U24:AN24),""))</f>
        <v>0.11989043636982055</v>
      </c>
      <c r="S24" s="503">
        <f>IF(終値!A24="","",IFERROR(4*STDEVP(終値!V24:AO24)/AVERAGE(終値!V24:AO24),""))</f>
        <v>0.13867993268740914</v>
      </c>
      <c r="T24" s="503">
        <f>IF(終値!A24="","",IFERROR(4*STDEVP(終値!W24:AP24)/AVERAGE(終値!W24:AP24),""))</f>
        <v>0.14958253768368343</v>
      </c>
      <c r="U24" s="503">
        <f>IF(終値!A24="","",IFERROR(4*STDEVP(終値!X24:AQ24)/AVERAGE(終値!X24:AQ24),""))</f>
        <v>0.16223789775612449</v>
      </c>
      <c r="V24" s="503">
        <f>IF(終値!A24="","",IFERROR(4*STDEVP(終値!Y24:AR24)/AVERAGE(終値!Y24:AR24),""))</f>
        <v>0.18151802892318106</v>
      </c>
      <c r="W24" s="503">
        <f>IF(終値!A24="","",IFERROR(4*STDEVP(終値!Z24:AS24)/AVERAGE(終値!Z24:AS24),""))</f>
        <v>0.19727261260308041</v>
      </c>
      <c r="X24" s="503">
        <f>IF(終値!A24="","",IFERROR(4*STDEVP(終値!AA24:AT24)/AVERAGE(終値!AA24:AT24),""))</f>
        <v>0.20828317562408538</v>
      </c>
      <c r="Y24" s="503">
        <f>IF(終値!A24="","",IFERROR(4*STDEVP(終値!AB24:AU24)/AVERAGE(終値!AB24:AU24),""))</f>
        <v>0.19964544497384598</v>
      </c>
      <c r="Z24" s="503">
        <f>IF(終値!A24="","",IFERROR(4*STDEVP(終値!AC24:AV24)/AVERAGE(終値!AC24:AV24),""))</f>
        <v>0.19816322243845927</v>
      </c>
      <c r="AA24" s="503">
        <f>IF(終値!A24="","",IFERROR(4*STDEVP(終値!AD24:AW24)/AVERAGE(終値!AD24:AW24),""))</f>
        <v>0.18538785872397404</v>
      </c>
      <c r="AB24" s="503">
        <f>IF(終値!A24="","",IFERROR(4*STDEVP(終値!AE24:AX24)/AVERAGE(終値!AE24:AX24),""))</f>
        <v>0.17507166934796056</v>
      </c>
      <c r="AC24" s="503">
        <f>IF(終値!A24="","",IFERROR(4*STDEVP(終値!AF24:AY24)/AVERAGE(終値!AF24:AY24),""))</f>
        <v>0.1586514019924799</v>
      </c>
      <c r="AD24" s="503">
        <f>IF(終値!A24="","",IFERROR(4*STDEVP(終値!AG24:AZ24)/AVERAGE(終値!AG24:AZ24),""))</f>
        <v>0.14652968774768818</v>
      </c>
      <c r="AE24" s="503">
        <f>IF(終値!A24="","",IFERROR(4*STDEVP(終値!AH24:BA24)/AVERAGE(終値!AH24:BA24),""))</f>
        <v>0.13733221183551581</v>
      </c>
      <c r="AF24" s="503">
        <f>IF(終値!A24="","",IFERROR(4*STDEVP(終値!AI24:BB24)/AVERAGE(終値!AI24:BB24),""))</f>
        <v>0.12964676913413964</v>
      </c>
      <c r="AG24" s="503">
        <f>IF(終値!A24="","",IFERROR(4*STDEVP(終値!AJ24:BC24)/AVERAGE(終値!AJ24:BC24),""))</f>
        <v>0.12092408455323912</v>
      </c>
      <c r="AH24" s="503">
        <f>IF(終値!A24="","",IFERROR(4*STDEVP(終値!AK24:BD24)/AVERAGE(終値!AK24:BD24),""))</f>
        <v>0.10253446637373215</v>
      </c>
      <c r="AI24" s="503">
        <f>IF(終値!A24="","",IFERROR(4*STDEVP(終値!AL24:BE24)/AVERAGE(終値!AL24:BE24),""))</f>
        <v>0.10572354957050704</v>
      </c>
      <c r="AJ24" s="503">
        <f>IF(終値!A24="","",IFERROR(4*STDEVP(終値!AM24:BF24)/AVERAGE(終値!AM24:BF24),""))</f>
        <v>0.10284061442020005</v>
      </c>
      <c r="AK24" s="503">
        <f>IF(終値!A24="","",IFERROR(4*STDEVP(終値!AN24:BG24)/AVERAGE(終値!AN24:BG24),""))</f>
        <v>0.10230048786876224</v>
      </c>
      <c r="AL24" s="503">
        <f>IF(終値!A24="","",IFERROR(4*STDEVP(終値!AO24:BH24)/AVERAGE(終値!AO24:BH24),""))</f>
        <v>9.8346435629868736E-2</v>
      </c>
      <c r="AM24" s="503">
        <f>IF(終値!A24="","",IFERROR(4*STDEVP(終値!AP24:BI24)/AVERAGE(終値!AP24:BI24),""))</f>
        <v>9.7211038617077181E-2</v>
      </c>
      <c r="AN24" s="503">
        <f>IF(終値!A24="","",IFERROR(4*STDEVP(終値!AQ24:BJ24)/AVERAGE(終値!AQ24:BJ24),""))</f>
        <v>9.5986290098438592E-2</v>
      </c>
      <c r="AO24" s="503">
        <f>IF(終値!A24="","",IFERROR(4*STDEVP(終値!AR24:BK24)/AVERAGE(終値!AR24:BK24),""))</f>
        <v>9.4996752272753213E-2</v>
      </c>
      <c r="AP24" s="503">
        <f>IF(終値!A24="","",IFERROR(4*STDEVP(終値!AS24:BL24)/AVERAGE(終値!AS24:BL24),""))</f>
        <v>9.4714353622539632E-2</v>
      </c>
    </row>
    <row r="25" spans="1:42">
      <c r="A25" s="500" t="str">
        <f>IF(終値!A25="","",終値!A25)</f>
        <v>8053</v>
      </c>
      <c r="B25" s="503" t="str">
        <f>IF(終値!A25="","",IFERROR(4*STDEVP(終値!E25:X25)/AVERAGE(終値!E25:X25),""))</f>
        <v/>
      </c>
      <c r="C25" s="503" t="str">
        <f>IF(終値!A25="","",IFERROR(4*STDEVP(終値!F25:Y25)/AVERAGE(終値!F25:Y25),""))</f>
        <v/>
      </c>
      <c r="D25" s="503" t="str">
        <f>IF(終値!A25="","",IFERROR(4*STDEVP(終値!G25:Z25)/AVERAGE(終値!G25:Z25),""))</f>
        <v/>
      </c>
      <c r="E25" s="503" t="str">
        <f>IF(終値!A25="","",IFERROR(4*STDEVP(終値!H25:AA25)/AVERAGE(終値!H25:AA25),""))</f>
        <v/>
      </c>
      <c r="F25" s="503" t="str">
        <f>IF(終値!A25="","",IFERROR(4*STDEVP(終値!I25:AB25)/AVERAGE(終値!I25:AB25),""))</f>
        <v/>
      </c>
      <c r="G25" s="503" t="str">
        <f>IF(終値!A25="","",IFERROR(4*STDEVP(終値!J25:AC25)/AVERAGE(終値!J25:AC25),""))</f>
        <v/>
      </c>
      <c r="H25" s="503" t="str">
        <f>IF(終値!A25="","",IFERROR(4*STDEVP(終値!K25:AD25)/AVERAGE(終値!K25:AD25),""))</f>
        <v/>
      </c>
      <c r="I25" s="503" t="str">
        <f>IF(終値!A25="","",IFERROR(4*STDEVP(終値!L25:AE25)/AVERAGE(終値!L25:AE25),""))</f>
        <v/>
      </c>
      <c r="J25" s="503" t="str">
        <f>IF(終値!A25="","",IFERROR(4*STDEVP(終値!M25:AF25)/AVERAGE(終値!M25:AF25),""))</f>
        <v/>
      </c>
      <c r="K25" s="503" t="str">
        <f>IF(終値!A25="","",IFERROR(4*STDEVP(終値!N25:AG25)/AVERAGE(終値!N25:AG25),""))</f>
        <v/>
      </c>
      <c r="L25" s="503" t="str">
        <f>IF(終値!A25="","",IFERROR(4*STDEVP(終値!O25:AH25)/AVERAGE(終値!O25:AH25),""))</f>
        <v/>
      </c>
      <c r="M25" s="503" t="str">
        <f>IF(終値!A25="","",IFERROR(4*STDEVP(終値!P25:AI25)/AVERAGE(終値!P25:AI25),""))</f>
        <v/>
      </c>
      <c r="N25" s="503" t="str">
        <f>IF(終値!A25="","",IFERROR(4*STDEVP(終値!Q25:AJ25)/AVERAGE(終値!Q25:AJ25),""))</f>
        <v/>
      </c>
      <c r="O25" s="503" t="str">
        <f>IF(終値!A25="","",IFERROR(4*STDEVP(終値!R25:AK25)/AVERAGE(終値!R25:AK25),""))</f>
        <v/>
      </c>
      <c r="P25" s="503" t="str">
        <f>IF(終値!A25="","",IFERROR(4*STDEVP(終値!S25:AL25)/AVERAGE(終値!S25:AL25),""))</f>
        <v/>
      </c>
      <c r="Q25" s="503" t="str">
        <f>IF(終値!A25="","",IFERROR(4*STDEVP(終値!T25:AM25)/AVERAGE(終値!T25:AM25),""))</f>
        <v/>
      </c>
      <c r="R25" s="503" t="str">
        <f>IF(終値!A25="","",IFERROR(4*STDEVP(終値!U25:AN25)/AVERAGE(終値!U25:AN25),""))</f>
        <v/>
      </c>
      <c r="S25" s="503" t="str">
        <f>IF(終値!A25="","",IFERROR(4*STDEVP(終値!V25:AO25)/AVERAGE(終値!V25:AO25),""))</f>
        <v/>
      </c>
      <c r="T25" s="503" t="str">
        <f>IF(終値!A25="","",IFERROR(4*STDEVP(終値!W25:AP25)/AVERAGE(終値!W25:AP25),""))</f>
        <v/>
      </c>
      <c r="U25" s="503" t="str">
        <f>IF(終値!A25="","",IFERROR(4*STDEVP(終値!X25:AQ25)/AVERAGE(終値!X25:AQ25),""))</f>
        <v/>
      </c>
      <c r="V25" s="503" t="str">
        <f>IF(終値!A25="","",IFERROR(4*STDEVP(終値!Y25:AR25)/AVERAGE(終値!Y25:AR25),""))</f>
        <v/>
      </c>
      <c r="W25" s="503" t="str">
        <f>IF(終値!A25="","",IFERROR(4*STDEVP(終値!Z25:AS25)/AVERAGE(終値!Z25:AS25),""))</f>
        <v/>
      </c>
      <c r="X25" s="503" t="str">
        <f>IF(終値!A25="","",IFERROR(4*STDEVP(終値!AA25:AT25)/AVERAGE(終値!AA25:AT25),""))</f>
        <v/>
      </c>
      <c r="Y25" s="503" t="str">
        <f>IF(終値!A25="","",IFERROR(4*STDEVP(終値!AB25:AU25)/AVERAGE(終値!AB25:AU25),""))</f>
        <v/>
      </c>
      <c r="Z25" s="503" t="str">
        <f>IF(終値!A25="","",IFERROR(4*STDEVP(終値!AC25:AV25)/AVERAGE(終値!AC25:AV25),""))</f>
        <v/>
      </c>
      <c r="AA25" s="503" t="str">
        <f>IF(終値!A25="","",IFERROR(4*STDEVP(終値!AD25:AW25)/AVERAGE(終値!AD25:AW25),""))</f>
        <v/>
      </c>
      <c r="AB25" s="503" t="str">
        <f>IF(終値!A25="","",IFERROR(4*STDEVP(終値!AE25:AX25)/AVERAGE(終値!AE25:AX25),""))</f>
        <v/>
      </c>
      <c r="AC25" s="503" t="str">
        <f>IF(終値!A25="","",IFERROR(4*STDEVP(終値!AF25:AY25)/AVERAGE(終値!AF25:AY25),""))</f>
        <v/>
      </c>
      <c r="AD25" s="503" t="str">
        <f>IF(終値!A25="","",IFERROR(4*STDEVP(終値!AG25:AZ25)/AVERAGE(終値!AG25:AZ25),""))</f>
        <v/>
      </c>
      <c r="AE25" s="503" t="str">
        <f>IF(終値!A25="","",IFERROR(4*STDEVP(終値!AH25:BA25)/AVERAGE(終値!AH25:BA25),""))</f>
        <v/>
      </c>
      <c r="AF25" s="503" t="str">
        <f>IF(終値!A25="","",IFERROR(4*STDEVP(終値!AI25:BB25)/AVERAGE(終値!AI25:BB25),""))</f>
        <v/>
      </c>
      <c r="AG25" s="503" t="str">
        <f>IF(終値!A25="","",IFERROR(4*STDEVP(終値!AJ25:BC25)/AVERAGE(終値!AJ25:BC25),""))</f>
        <v/>
      </c>
      <c r="AH25" s="503" t="str">
        <f>IF(終値!A25="","",IFERROR(4*STDEVP(終値!AK25:BD25)/AVERAGE(終値!AK25:BD25),""))</f>
        <v/>
      </c>
      <c r="AI25" s="503" t="str">
        <f>IF(終値!A25="","",IFERROR(4*STDEVP(終値!AL25:BE25)/AVERAGE(終値!AL25:BE25),""))</f>
        <v/>
      </c>
      <c r="AJ25" s="503" t="str">
        <f>IF(終値!A25="","",IFERROR(4*STDEVP(終値!AM25:BF25)/AVERAGE(終値!AM25:BF25),""))</f>
        <v/>
      </c>
      <c r="AK25" s="503" t="str">
        <f>IF(終値!A25="","",IFERROR(4*STDEVP(終値!AN25:BG25)/AVERAGE(終値!AN25:BG25),""))</f>
        <v/>
      </c>
      <c r="AL25" s="503" t="str">
        <f>IF(終値!A25="","",IFERROR(4*STDEVP(終値!AO25:BH25)/AVERAGE(終値!AO25:BH25),""))</f>
        <v/>
      </c>
      <c r="AM25" s="503" t="str">
        <f>IF(終値!A25="","",IFERROR(4*STDEVP(終値!AP25:BI25)/AVERAGE(終値!AP25:BI25),""))</f>
        <v/>
      </c>
      <c r="AN25" s="503" t="str">
        <f>IF(終値!A25="","",IFERROR(4*STDEVP(終値!AQ25:BJ25)/AVERAGE(終値!AQ25:BJ25),""))</f>
        <v/>
      </c>
      <c r="AO25" s="503" t="str">
        <f>IF(終値!A25="","",IFERROR(4*STDEVP(終値!AR25:BK25)/AVERAGE(終値!AR25:BK25),""))</f>
        <v/>
      </c>
      <c r="AP25" s="503" t="str">
        <f>IF(終値!A25="","",IFERROR(4*STDEVP(終値!AS25:BL25)/AVERAGE(終値!AS25:BL25),""))</f>
        <v/>
      </c>
    </row>
    <row r="26" spans="1:42">
      <c r="A26" s="500" t="str">
        <f>IF(終値!A26="","",終値!A26)</f>
        <v>8591</v>
      </c>
      <c r="B26" s="503">
        <f>IF(終値!A26="","",IFERROR(4*STDEVP(終値!E26:X26)/AVERAGE(終値!E26:X26),""))</f>
        <v>6.9419203085362688E-2</v>
      </c>
      <c r="C26" s="503">
        <f>IF(終値!A26="","",IFERROR(4*STDEVP(終値!F26:Y26)/AVERAGE(終値!F26:Y26),""))</f>
        <v>6.932036498371659E-2</v>
      </c>
      <c r="D26" s="503">
        <f>IF(終値!A26="","",IFERROR(4*STDEVP(終値!G26:Z26)/AVERAGE(終値!G26:Z26),""))</f>
        <v>7.1872167468607251E-2</v>
      </c>
      <c r="E26" s="503">
        <f>IF(終値!A26="","",IFERROR(4*STDEVP(終値!H26:AA26)/AVERAGE(終値!H26:AA26),""))</f>
        <v>7.9173281060092901E-2</v>
      </c>
      <c r="F26" s="503">
        <f>IF(終値!A26="","",IFERROR(4*STDEVP(終値!I26:AB26)/AVERAGE(終値!I26:AB26),""))</f>
        <v>8.6873707540151529E-2</v>
      </c>
      <c r="G26" s="503">
        <f>IF(終値!A26="","",IFERROR(4*STDEVP(終値!J26:AC26)/AVERAGE(終値!J26:AC26),""))</f>
        <v>9.4645834351248126E-2</v>
      </c>
      <c r="H26" s="503">
        <f>IF(終値!A26="","",IFERROR(4*STDEVP(終値!K26:AD26)/AVERAGE(終値!K26:AD26),""))</f>
        <v>0.10155488288242988</v>
      </c>
      <c r="I26" s="503">
        <f>IF(終値!A26="","",IFERROR(4*STDEVP(終値!L26:AE26)/AVERAGE(終値!L26:AE26),""))</f>
        <v>9.7927424446477826E-2</v>
      </c>
      <c r="J26" s="503">
        <f>IF(終値!A26="","",IFERROR(4*STDEVP(終値!M26:AF26)/AVERAGE(終値!M26:AF26),""))</f>
        <v>9.7428776659771385E-2</v>
      </c>
      <c r="K26" s="503">
        <f>IF(終値!A26="","",IFERROR(4*STDEVP(終値!N26:AG26)/AVERAGE(終値!N26:AG26),""))</f>
        <v>8.9760899400256194E-2</v>
      </c>
      <c r="L26" s="503">
        <f>IF(終値!A26="","",IFERROR(4*STDEVP(終値!O26:AH26)/AVERAGE(終値!O26:AH26),""))</f>
        <v>8.5444873496691512E-2</v>
      </c>
      <c r="M26" s="503">
        <f>IF(終値!A26="","",IFERROR(4*STDEVP(終値!P26:AI26)/AVERAGE(終値!P26:AI26),""))</f>
        <v>8.1952996606685105E-2</v>
      </c>
      <c r="N26" s="503">
        <f>IF(終値!A26="","",IFERROR(4*STDEVP(終値!Q26:AJ26)/AVERAGE(終値!Q26:AJ26),""))</f>
        <v>8.1935226292553329E-2</v>
      </c>
      <c r="O26" s="503">
        <f>IF(終値!A26="","",IFERROR(4*STDEVP(終値!R26:AK26)/AVERAGE(終値!R26:AK26),""))</f>
        <v>7.3208467974357955E-2</v>
      </c>
      <c r="P26" s="503">
        <f>IF(終値!A26="","",IFERROR(4*STDEVP(終値!S26:AL26)/AVERAGE(終値!S26:AL26),""))</f>
        <v>7.1660244716487409E-2</v>
      </c>
      <c r="Q26" s="503">
        <f>IF(終値!A26="","",IFERROR(4*STDEVP(終値!T26:AM26)/AVERAGE(終値!T26:AM26),""))</f>
        <v>7.3709163847197515E-2</v>
      </c>
      <c r="R26" s="503">
        <f>IF(終値!A26="","",IFERROR(4*STDEVP(終値!U26:AN26)/AVERAGE(終値!U26:AN26),""))</f>
        <v>7.5616140511142863E-2</v>
      </c>
      <c r="S26" s="503">
        <f>IF(終値!A26="","",IFERROR(4*STDEVP(終値!V26:AO26)/AVERAGE(終値!V26:AO26),""))</f>
        <v>7.881193530820399E-2</v>
      </c>
      <c r="T26" s="503">
        <f>IF(終値!A26="","",IFERROR(4*STDEVP(終値!W26:AP26)/AVERAGE(終値!W26:AP26),""))</f>
        <v>7.8420648285617109E-2</v>
      </c>
      <c r="U26" s="503">
        <f>IF(終値!A26="","",IFERROR(4*STDEVP(終値!X26:AQ26)/AVERAGE(終値!X26:AQ26),""))</f>
        <v>7.7764303540466151E-2</v>
      </c>
      <c r="V26" s="503">
        <f>IF(終値!A26="","",IFERROR(4*STDEVP(終値!Y26:AR26)/AVERAGE(終値!Y26:AR26),""))</f>
        <v>7.6757043506244779E-2</v>
      </c>
      <c r="W26" s="503">
        <f>IF(終値!A26="","",IFERROR(4*STDEVP(終値!Z26:AS26)/AVERAGE(終値!Z26:AS26),""))</f>
        <v>7.5378399501470753E-2</v>
      </c>
      <c r="X26" s="503">
        <f>IF(終値!A26="","",IFERROR(4*STDEVP(終値!AA26:AT26)/AVERAGE(終値!AA26:AT26),""))</f>
        <v>7.5755537559362027E-2</v>
      </c>
      <c r="Y26" s="503">
        <f>IF(終値!A26="","",IFERROR(4*STDEVP(終値!AB26:AU26)/AVERAGE(終値!AB26:AU26),""))</f>
        <v>7.5653291280991936E-2</v>
      </c>
      <c r="Z26" s="503">
        <f>IF(終値!A26="","",IFERROR(4*STDEVP(終値!AC26:AV26)/AVERAGE(終値!AC26:AV26),""))</f>
        <v>7.4759059903484415E-2</v>
      </c>
      <c r="AA26" s="503">
        <f>IF(終値!A26="","",IFERROR(4*STDEVP(終値!AD26:AW26)/AVERAGE(終値!AD26:AW26),""))</f>
        <v>7.5147505404509027E-2</v>
      </c>
      <c r="AB26" s="503">
        <f>IF(終値!A26="","",IFERROR(4*STDEVP(終値!AE26:AX26)/AVERAGE(終値!AE26:AX26),""))</f>
        <v>7.4778203809121271E-2</v>
      </c>
      <c r="AC26" s="503">
        <f>IF(終値!A26="","",IFERROR(4*STDEVP(終値!AF26:AY26)/AVERAGE(終値!AF26:AY26),""))</f>
        <v>7.4528223467750163E-2</v>
      </c>
      <c r="AD26" s="503">
        <f>IF(終値!A26="","",IFERROR(4*STDEVP(終値!AG26:AZ26)/AVERAGE(終値!AG26:AZ26),""))</f>
        <v>7.4399661954711108E-2</v>
      </c>
      <c r="AE26" s="503">
        <f>IF(終値!A26="","",IFERROR(4*STDEVP(終値!AH26:BA26)/AVERAGE(終値!AH26:BA26),""))</f>
        <v>7.3087551782968815E-2</v>
      </c>
      <c r="AF26" s="503">
        <f>IF(終値!A26="","",IFERROR(4*STDEVP(終値!AI26:BB26)/AVERAGE(終値!AI26:BB26),""))</f>
        <v>6.7365572591759043E-2</v>
      </c>
      <c r="AG26" s="503">
        <f>IF(終値!A26="","",IFERROR(4*STDEVP(終値!AJ26:BC26)/AVERAGE(終値!AJ26:BC26),""))</f>
        <v>7.7198546307470195E-2</v>
      </c>
      <c r="AH26" s="503">
        <f>IF(終値!A26="","",IFERROR(4*STDEVP(終値!AK26:BD26)/AVERAGE(終値!AK26:BD26),""))</f>
        <v>8.6961586996479767E-2</v>
      </c>
      <c r="AI26" s="503">
        <f>IF(終値!A26="","",IFERROR(4*STDEVP(終値!AL26:BE26)/AVERAGE(終値!AL26:BE26),""))</f>
        <v>9.8726019243088395E-2</v>
      </c>
      <c r="AJ26" s="503">
        <f>IF(終値!A26="","",IFERROR(4*STDEVP(終値!AM26:BF26)/AVERAGE(終値!AM26:BF26),""))</f>
        <v>0.10660441089739692</v>
      </c>
      <c r="AK26" s="503">
        <f>IF(終値!A26="","",IFERROR(4*STDEVP(終値!AN26:BG26)/AVERAGE(終値!AN26:BG26),""))</f>
        <v>0.10686610020157182</v>
      </c>
      <c r="AL26" s="503">
        <f>IF(終値!A26="","",IFERROR(4*STDEVP(終値!AO26:BH26)/AVERAGE(終値!AO26:BH26),""))</f>
        <v>0.10808119315022864</v>
      </c>
      <c r="AM26" s="503">
        <f>IF(終値!A26="","",IFERROR(4*STDEVP(終値!AP26:BI26)/AVERAGE(終値!AP26:BI26),""))</f>
        <v>0.1365231784522512</v>
      </c>
      <c r="AN26" s="503">
        <f>IF(終値!A26="","",IFERROR(4*STDEVP(終値!AQ26:BJ26)/AVERAGE(終値!AQ26:BJ26),""))</f>
        <v>0.17726133833475022</v>
      </c>
      <c r="AO26" s="503">
        <f>IF(終値!A26="","",IFERROR(4*STDEVP(終値!AR26:BK26)/AVERAGE(終値!AR26:BK26),""))</f>
        <v>0.20987369009280502</v>
      </c>
      <c r="AP26" s="503">
        <f>IF(終値!A26="","",IFERROR(4*STDEVP(終値!AS26:BL26)/AVERAGE(終値!AS26:BL26),""))</f>
        <v>0.23816090019977676</v>
      </c>
    </row>
    <row r="27" spans="1:42">
      <c r="A27" s="500" t="str">
        <f>IF(終値!A27="","",終値!A27)</f>
        <v>3401</v>
      </c>
      <c r="B27" s="503" t="str">
        <f>IF(終値!A27="","",IFERROR(4*STDEVP(終値!E27:X27)/AVERAGE(終値!E27:X27),""))</f>
        <v/>
      </c>
      <c r="C27" s="503" t="str">
        <f>IF(終値!A27="","",IFERROR(4*STDEVP(終値!F27:Y27)/AVERAGE(終値!F27:Y27),""))</f>
        <v/>
      </c>
      <c r="D27" s="503" t="str">
        <f>IF(終値!A27="","",IFERROR(4*STDEVP(終値!G27:Z27)/AVERAGE(終値!G27:Z27),""))</f>
        <v/>
      </c>
      <c r="E27" s="503" t="str">
        <f>IF(終値!A27="","",IFERROR(4*STDEVP(終値!H27:AA27)/AVERAGE(終値!H27:AA27),""))</f>
        <v/>
      </c>
      <c r="F27" s="503" t="str">
        <f>IF(終値!A27="","",IFERROR(4*STDEVP(終値!I27:AB27)/AVERAGE(終値!I27:AB27),""))</f>
        <v/>
      </c>
      <c r="G27" s="503" t="str">
        <f>IF(終値!A27="","",IFERROR(4*STDEVP(終値!J27:AC27)/AVERAGE(終値!J27:AC27),""))</f>
        <v/>
      </c>
      <c r="H27" s="503" t="str">
        <f>IF(終値!A27="","",IFERROR(4*STDEVP(終値!K27:AD27)/AVERAGE(終値!K27:AD27),""))</f>
        <v/>
      </c>
      <c r="I27" s="503" t="str">
        <f>IF(終値!A27="","",IFERROR(4*STDEVP(終値!L27:AE27)/AVERAGE(終値!L27:AE27),""))</f>
        <v/>
      </c>
      <c r="J27" s="503" t="str">
        <f>IF(終値!A27="","",IFERROR(4*STDEVP(終値!M27:AF27)/AVERAGE(終値!M27:AF27),""))</f>
        <v/>
      </c>
      <c r="K27" s="503" t="str">
        <f>IF(終値!A27="","",IFERROR(4*STDEVP(終値!N27:AG27)/AVERAGE(終値!N27:AG27),""))</f>
        <v/>
      </c>
      <c r="L27" s="503" t="str">
        <f>IF(終値!A27="","",IFERROR(4*STDEVP(終値!O27:AH27)/AVERAGE(終値!O27:AH27),""))</f>
        <v/>
      </c>
      <c r="M27" s="503" t="str">
        <f>IF(終値!A27="","",IFERROR(4*STDEVP(終値!P27:AI27)/AVERAGE(終値!P27:AI27),""))</f>
        <v/>
      </c>
      <c r="N27" s="503" t="str">
        <f>IF(終値!A27="","",IFERROR(4*STDEVP(終値!Q27:AJ27)/AVERAGE(終値!Q27:AJ27),""))</f>
        <v/>
      </c>
      <c r="O27" s="503" t="str">
        <f>IF(終値!A27="","",IFERROR(4*STDEVP(終値!R27:AK27)/AVERAGE(終値!R27:AK27),""))</f>
        <v/>
      </c>
      <c r="P27" s="503" t="str">
        <f>IF(終値!A27="","",IFERROR(4*STDEVP(終値!S27:AL27)/AVERAGE(終値!S27:AL27),""))</f>
        <v/>
      </c>
      <c r="Q27" s="503" t="str">
        <f>IF(終値!A27="","",IFERROR(4*STDEVP(終値!T27:AM27)/AVERAGE(終値!T27:AM27),""))</f>
        <v/>
      </c>
      <c r="R27" s="503" t="str">
        <f>IF(終値!A27="","",IFERROR(4*STDEVP(終値!U27:AN27)/AVERAGE(終値!U27:AN27),""))</f>
        <v/>
      </c>
      <c r="S27" s="503" t="str">
        <f>IF(終値!A27="","",IFERROR(4*STDEVP(終値!V27:AO27)/AVERAGE(終値!V27:AO27),""))</f>
        <v/>
      </c>
      <c r="T27" s="503" t="str">
        <f>IF(終値!A27="","",IFERROR(4*STDEVP(終値!W27:AP27)/AVERAGE(終値!W27:AP27),""))</f>
        <v/>
      </c>
      <c r="U27" s="503" t="str">
        <f>IF(終値!A27="","",IFERROR(4*STDEVP(終値!X27:AQ27)/AVERAGE(終値!X27:AQ27),""))</f>
        <v/>
      </c>
      <c r="V27" s="503" t="str">
        <f>IF(終値!A27="","",IFERROR(4*STDEVP(終値!Y27:AR27)/AVERAGE(終値!Y27:AR27),""))</f>
        <v/>
      </c>
      <c r="W27" s="503" t="str">
        <f>IF(終値!A27="","",IFERROR(4*STDEVP(終値!Z27:AS27)/AVERAGE(終値!Z27:AS27),""))</f>
        <v/>
      </c>
      <c r="X27" s="503" t="str">
        <f>IF(終値!A27="","",IFERROR(4*STDEVP(終値!AA27:AT27)/AVERAGE(終値!AA27:AT27),""))</f>
        <v/>
      </c>
      <c r="Y27" s="503" t="str">
        <f>IF(終値!A27="","",IFERROR(4*STDEVP(終値!AB27:AU27)/AVERAGE(終値!AB27:AU27),""))</f>
        <v/>
      </c>
      <c r="Z27" s="503" t="str">
        <f>IF(終値!A27="","",IFERROR(4*STDEVP(終値!AC27:AV27)/AVERAGE(終値!AC27:AV27),""))</f>
        <v/>
      </c>
      <c r="AA27" s="503" t="str">
        <f>IF(終値!A27="","",IFERROR(4*STDEVP(終値!AD27:AW27)/AVERAGE(終値!AD27:AW27),""))</f>
        <v/>
      </c>
      <c r="AB27" s="503" t="str">
        <f>IF(終値!A27="","",IFERROR(4*STDEVP(終値!AE27:AX27)/AVERAGE(終値!AE27:AX27),""))</f>
        <v/>
      </c>
      <c r="AC27" s="503" t="str">
        <f>IF(終値!A27="","",IFERROR(4*STDEVP(終値!AF27:AY27)/AVERAGE(終値!AF27:AY27),""))</f>
        <v/>
      </c>
      <c r="AD27" s="503" t="str">
        <f>IF(終値!A27="","",IFERROR(4*STDEVP(終値!AG27:AZ27)/AVERAGE(終値!AG27:AZ27),""))</f>
        <v/>
      </c>
      <c r="AE27" s="503" t="str">
        <f>IF(終値!A27="","",IFERROR(4*STDEVP(終値!AH27:BA27)/AVERAGE(終値!AH27:BA27),""))</f>
        <v/>
      </c>
      <c r="AF27" s="503" t="str">
        <f>IF(終値!A27="","",IFERROR(4*STDEVP(終値!AI27:BB27)/AVERAGE(終値!AI27:BB27),""))</f>
        <v/>
      </c>
      <c r="AG27" s="503" t="str">
        <f>IF(終値!A27="","",IFERROR(4*STDEVP(終値!AJ27:BC27)/AVERAGE(終値!AJ27:BC27),""))</f>
        <v/>
      </c>
      <c r="AH27" s="503" t="str">
        <f>IF(終値!A27="","",IFERROR(4*STDEVP(終値!AK27:BD27)/AVERAGE(終値!AK27:BD27),""))</f>
        <v/>
      </c>
      <c r="AI27" s="503" t="str">
        <f>IF(終値!A27="","",IFERROR(4*STDEVP(終値!AL27:BE27)/AVERAGE(終値!AL27:BE27),""))</f>
        <v/>
      </c>
      <c r="AJ27" s="503" t="str">
        <f>IF(終値!A27="","",IFERROR(4*STDEVP(終値!AM27:BF27)/AVERAGE(終値!AM27:BF27),""))</f>
        <v/>
      </c>
      <c r="AK27" s="503" t="str">
        <f>IF(終値!A27="","",IFERROR(4*STDEVP(終値!AN27:BG27)/AVERAGE(終値!AN27:BG27),""))</f>
        <v/>
      </c>
      <c r="AL27" s="503" t="str">
        <f>IF(終値!A27="","",IFERROR(4*STDEVP(終値!AO27:BH27)/AVERAGE(終値!AO27:BH27),""))</f>
        <v/>
      </c>
      <c r="AM27" s="503" t="str">
        <f>IF(終値!A27="","",IFERROR(4*STDEVP(終値!AP27:BI27)/AVERAGE(終値!AP27:BI27),""))</f>
        <v/>
      </c>
      <c r="AN27" s="503" t="str">
        <f>IF(終値!A27="","",IFERROR(4*STDEVP(終値!AQ27:BJ27)/AVERAGE(終値!AQ27:BJ27),""))</f>
        <v/>
      </c>
      <c r="AO27" s="503" t="str">
        <f>IF(終値!A27="","",IFERROR(4*STDEVP(終値!AR27:BK27)/AVERAGE(終値!AR27:BK27),""))</f>
        <v/>
      </c>
      <c r="AP27" s="503" t="str">
        <f>IF(終値!A27="","",IFERROR(4*STDEVP(終値!AS27:BL27)/AVERAGE(終値!AS27:BL27),""))</f>
        <v/>
      </c>
    </row>
    <row r="28" spans="1:42">
      <c r="A28" s="500" t="str">
        <f>IF(終値!A28="","",終値!A28)</f>
        <v>3436</v>
      </c>
      <c r="B28" s="503">
        <f>IF(終値!A28="","",IFERROR(4*STDEVP(終値!E28:X28)/AVERAGE(終値!E28:X28),""))</f>
        <v>0.39618771399388863</v>
      </c>
      <c r="C28" s="503">
        <f>IF(終値!A28="","",IFERROR(4*STDEVP(終値!F28:Y28)/AVERAGE(終値!F28:Y28),""))</f>
        <v>0.39618268055961964</v>
      </c>
      <c r="D28" s="503">
        <f>IF(終値!A28="","",IFERROR(4*STDEVP(終値!G28:Z28)/AVERAGE(終値!G28:Z28),""))</f>
        <v>0.39635300066227547</v>
      </c>
      <c r="E28" s="503">
        <f>IF(終値!A28="","",IFERROR(4*STDEVP(終値!H28:AA28)/AVERAGE(終値!H28:AA28),""))</f>
        <v>0.39688337664333895</v>
      </c>
      <c r="F28" s="503">
        <f>IF(終値!A28="","",IFERROR(4*STDEVP(終値!I28:AB28)/AVERAGE(終値!I28:AB28),""))</f>
        <v>0.39783635616841939</v>
      </c>
      <c r="G28" s="503">
        <f>IF(終値!A28="","",IFERROR(4*STDEVP(終値!J28:AC28)/AVERAGE(終値!J28:AC28),""))</f>
        <v>0.39810201042368271</v>
      </c>
      <c r="H28" s="503">
        <f>IF(終値!A28="","",IFERROR(4*STDEVP(終値!K28:AD28)/AVERAGE(終値!K28:AD28),""))</f>
        <v>0.39871660264828857</v>
      </c>
      <c r="I28" s="503">
        <f>IF(終値!A28="","",IFERROR(4*STDEVP(終値!L28:AE28)/AVERAGE(終値!L28:AE28),""))</f>
        <v>0.39546063943136922</v>
      </c>
      <c r="J28" s="503">
        <f>IF(終値!A28="","",IFERROR(4*STDEVP(終値!M28:AF28)/AVERAGE(終値!M28:AF28),""))</f>
        <v>9.7428776659771385E-2</v>
      </c>
      <c r="K28" s="503">
        <f>IF(終値!A28="","",IFERROR(4*STDEVP(終値!N28:AG28)/AVERAGE(終値!N28:AG28),""))</f>
        <v>8.9760899400256194E-2</v>
      </c>
      <c r="L28" s="503">
        <f>IF(終値!A28="","",IFERROR(4*STDEVP(終値!O28:AH28)/AVERAGE(終値!O28:AH28),""))</f>
        <v>8.5444873496691512E-2</v>
      </c>
      <c r="M28" s="503">
        <f>IF(終値!A28="","",IFERROR(4*STDEVP(終値!P28:AI28)/AVERAGE(終値!P28:AI28),""))</f>
        <v>8.1952996606685105E-2</v>
      </c>
      <c r="N28" s="503">
        <f>IF(終値!A28="","",IFERROR(4*STDEVP(終値!Q28:AJ28)/AVERAGE(終値!Q28:AJ28),""))</f>
        <v>8.1935226292553329E-2</v>
      </c>
      <c r="O28" s="503">
        <f>IF(終値!A28="","",IFERROR(4*STDEVP(終値!R28:AK28)/AVERAGE(終値!R28:AK28),""))</f>
        <v>7.3208467974357955E-2</v>
      </c>
      <c r="P28" s="503">
        <f>IF(終値!A28="","",IFERROR(4*STDEVP(終値!S28:AL28)/AVERAGE(終値!S28:AL28),""))</f>
        <v>7.1660244716487409E-2</v>
      </c>
      <c r="Q28" s="503">
        <f>IF(終値!A28="","",IFERROR(4*STDEVP(終値!T28:AM28)/AVERAGE(終値!T28:AM28),""))</f>
        <v>7.3709163847197515E-2</v>
      </c>
      <c r="R28" s="503">
        <f>IF(終値!A28="","",IFERROR(4*STDEVP(終値!U28:AN28)/AVERAGE(終値!U28:AN28),""))</f>
        <v>7.5616140511142863E-2</v>
      </c>
      <c r="S28" s="503">
        <f>IF(終値!A28="","",IFERROR(4*STDEVP(終値!V28:AO28)/AVERAGE(終値!V28:AO28),""))</f>
        <v>7.881193530820399E-2</v>
      </c>
      <c r="T28" s="503">
        <f>IF(終値!A28="","",IFERROR(4*STDEVP(終値!W28:AP28)/AVERAGE(終値!W28:AP28),""))</f>
        <v>7.8420648285617109E-2</v>
      </c>
      <c r="U28" s="503">
        <f>IF(終値!A28="","",IFERROR(4*STDEVP(終値!X28:AQ28)/AVERAGE(終値!X28:AQ28),""))</f>
        <v>7.7764303540466151E-2</v>
      </c>
      <c r="V28" s="503">
        <f>IF(終値!A28="","",IFERROR(4*STDEVP(終値!Y28:AR28)/AVERAGE(終値!Y28:AR28),""))</f>
        <v>7.6757043506244779E-2</v>
      </c>
      <c r="W28" s="503">
        <f>IF(終値!A28="","",IFERROR(4*STDEVP(終値!Z28:AS28)/AVERAGE(終値!Z28:AS28),""))</f>
        <v>7.5378399501470753E-2</v>
      </c>
      <c r="X28" s="503">
        <f>IF(終値!A28="","",IFERROR(4*STDEVP(終値!AA28:AT28)/AVERAGE(終値!AA28:AT28),""))</f>
        <v>7.5755537559362027E-2</v>
      </c>
      <c r="Y28" s="503">
        <f>IF(終値!A28="","",IFERROR(4*STDEVP(終値!AB28:AU28)/AVERAGE(終値!AB28:AU28),""))</f>
        <v>7.5653291280991936E-2</v>
      </c>
      <c r="Z28" s="503">
        <f>IF(終値!A28="","",IFERROR(4*STDEVP(終値!AC28:AV28)/AVERAGE(終値!AC28:AV28),""))</f>
        <v>7.4759059903484415E-2</v>
      </c>
      <c r="AA28" s="503">
        <f>IF(終値!A28="","",IFERROR(4*STDEVP(終値!AD28:AW28)/AVERAGE(終値!AD28:AW28),""))</f>
        <v>7.5147505404509027E-2</v>
      </c>
      <c r="AB28" s="503">
        <f>IF(終値!A28="","",IFERROR(4*STDEVP(終値!AE28:AX28)/AVERAGE(終値!AE28:AX28),""))</f>
        <v>7.4778203809121271E-2</v>
      </c>
      <c r="AC28" s="503">
        <f>IF(終値!A28="","",IFERROR(4*STDEVP(終値!AF28:AY28)/AVERAGE(終値!AF28:AY28),""))</f>
        <v>7.4528223467750163E-2</v>
      </c>
      <c r="AD28" s="503">
        <f>IF(終値!A28="","",IFERROR(4*STDEVP(終値!AG28:AZ28)/AVERAGE(終値!AG28:AZ28),""))</f>
        <v>7.4399661954711108E-2</v>
      </c>
      <c r="AE28" s="503">
        <f>IF(終値!A28="","",IFERROR(4*STDEVP(終値!AH28:BA28)/AVERAGE(終値!AH28:BA28),""))</f>
        <v>7.3087551782968815E-2</v>
      </c>
      <c r="AF28" s="503">
        <f>IF(終値!A28="","",IFERROR(4*STDEVP(終値!AI28:BB28)/AVERAGE(終値!AI28:BB28),""))</f>
        <v>6.7365572591759043E-2</v>
      </c>
      <c r="AG28" s="503">
        <f>IF(終値!A28="","",IFERROR(4*STDEVP(終値!AJ28:BC28)/AVERAGE(終値!AJ28:BC28),""))</f>
        <v>7.7198546307470195E-2</v>
      </c>
      <c r="AH28" s="503">
        <f>IF(終値!A28="","",IFERROR(4*STDEVP(終値!AK28:BD28)/AVERAGE(終値!AK28:BD28),""))</f>
        <v>8.6961586996479767E-2</v>
      </c>
      <c r="AI28" s="503">
        <f>IF(終値!A28="","",IFERROR(4*STDEVP(終値!AL28:BE28)/AVERAGE(終値!AL28:BE28),""))</f>
        <v>9.8726019243088395E-2</v>
      </c>
      <c r="AJ28" s="503">
        <f>IF(終値!A28="","",IFERROR(4*STDEVP(終値!AM28:BF28)/AVERAGE(終値!AM28:BF28),""))</f>
        <v>0.10660441089739692</v>
      </c>
      <c r="AK28" s="503">
        <f>IF(終値!A28="","",IFERROR(4*STDEVP(終値!AN28:BG28)/AVERAGE(終値!AN28:BG28),""))</f>
        <v>0.10686610020157182</v>
      </c>
      <c r="AL28" s="503">
        <f>IF(終値!A28="","",IFERROR(4*STDEVP(終値!AO28:BH28)/AVERAGE(終値!AO28:BH28),""))</f>
        <v>0.10808119315022864</v>
      </c>
      <c r="AM28" s="503">
        <f>IF(終値!A28="","",IFERROR(4*STDEVP(終値!AP28:BI28)/AVERAGE(終値!AP28:BI28),""))</f>
        <v>0.1365231784522512</v>
      </c>
      <c r="AN28" s="503">
        <f>IF(終値!A28="","",IFERROR(4*STDEVP(終値!AQ28:BJ28)/AVERAGE(終値!AQ28:BJ28),""))</f>
        <v>0.17726133833475022</v>
      </c>
      <c r="AO28" s="503">
        <f>IF(終値!A28="","",IFERROR(4*STDEVP(終値!AR28:BK28)/AVERAGE(終値!AR28:BK28),""))</f>
        <v>0.20987369009280502</v>
      </c>
      <c r="AP28" s="503">
        <f>IF(終値!A28="","",IFERROR(4*STDEVP(終値!AS28:BL28)/AVERAGE(終値!AS28:BL28),""))</f>
        <v>0.23816090019977676</v>
      </c>
    </row>
    <row r="29" spans="1:42">
      <c r="A29" s="500" t="str">
        <f>IF(終値!A29="","",終値!A29)</f>
        <v>5020</v>
      </c>
      <c r="B29" s="503">
        <f>IF(終値!A29="","",IFERROR(4*STDEVP(終値!E29:X29)/AVERAGE(終値!E29:X29),""))</f>
        <v>9.4790014761093208E-2</v>
      </c>
      <c r="C29" s="503">
        <f>IF(終値!A29="","",IFERROR(4*STDEVP(終値!F29:Y29)/AVERAGE(終値!F29:Y29),""))</f>
        <v>0.10479603833545316</v>
      </c>
      <c r="D29" s="503">
        <f>IF(終値!A29="","",IFERROR(4*STDEVP(終値!G29:Z29)/AVERAGE(終値!G29:Z29),""))</f>
        <v>0.11322899855294165</v>
      </c>
      <c r="E29" s="503">
        <f>IF(終値!A29="","",IFERROR(4*STDEVP(終値!H29:AA29)/AVERAGE(終値!H29:AA29),""))</f>
        <v>0.11879431591589165</v>
      </c>
      <c r="F29" s="503">
        <f>IF(終値!A29="","",IFERROR(4*STDEVP(終値!I29:AB29)/AVERAGE(終値!I29:AB29),""))</f>
        <v>0.12790246167476463</v>
      </c>
      <c r="G29" s="503">
        <f>IF(終値!A29="","",IFERROR(4*STDEVP(終値!J29:AC29)/AVERAGE(終値!J29:AC29),""))</f>
        <v>0.13262202440877505</v>
      </c>
      <c r="H29" s="503">
        <f>IF(終値!A29="","",IFERROR(4*STDEVP(終値!K29:AD29)/AVERAGE(終値!K29:AD29),""))</f>
        <v>0.13458657138054422</v>
      </c>
      <c r="I29" s="503">
        <f>IF(終値!A29="","",IFERROR(4*STDEVP(終値!L29:AE29)/AVERAGE(終値!L29:AE29),""))</f>
        <v>0.13411218039923534</v>
      </c>
      <c r="J29" s="503">
        <f>IF(終値!A29="","",IFERROR(4*STDEVP(終値!M29:AF29)/AVERAGE(終値!M29:AF29),""))</f>
        <v>0.12818595106803779</v>
      </c>
      <c r="K29" s="503">
        <f>IF(終値!A29="","",IFERROR(4*STDEVP(終値!N29:AG29)/AVERAGE(終値!N29:AG29),""))</f>
        <v>0.1096535776330239</v>
      </c>
      <c r="L29" s="503">
        <f>IF(終値!A29="","",IFERROR(4*STDEVP(終値!O29:AH29)/AVERAGE(終値!O29:AH29),""))</f>
        <v>9.3707458507740954E-2</v>
      </c>
      <c r="M29" s="503">
        <f>IF(終値!A29="","",IFERROR(4*STDEVP(終値!P29:AI29)/AVERAGE(終値!P29:AI29),""))</f>
        <v>8.4094281048625139E-2</v>
      </c>
      <c r="N29" s="503">
        <f>IF(終値!A29="","",IFERROR(4*STDEVP(終値!Q29:AJ29)/AVERAGE(終値!Q29:AJ29),""))</f>
        <v>8.4207756359657909E-2</v>
      </c>
      <c r="O29" s="503">
        <f>IF(終値!A29="","",IFERROR(4*STDEVP(終値!R29:AK29)/AVERAGE(終値!R29:AK29),""))</f>
        <v>7.7061348499961976E-2</v>
      </c>
      <c r="P29" s="503">
        <f>IF(終値!A29="","",IFERROR(4*STDEVP(終値!S29:AL29)/AVERAGE(終値!S29:AL29),""))</f>
        <v>7.3843548174613402E-2</v>
      </c>
      <c r="Q29" s="503">
        <f>IF(終値!A29="","",IFERROR(4*STDEVP(終値!T29:AM29)/AVERAGE(終値!T29:AM29),""))</f>
        <v>7.2746236614129864E-2</v>
      </c>
      <c r="R29" s="503">
        <f>IF(終値!A29="","",IFERROR(4*STDEVP(終値!U29:AN29)/AVERAGE(終値!U29:AN29),""))</f>
        <v>7.1284684972737114E-2</v>
      </c>
      <c r="S29" s="503">
        <f>IF(終値!A29="","",IFERROR(4*STDEVP(終値!V29:AO29)/AVERAGE(終値!V29:AO29),""))</f>
        <v>6.904819562983415E-2</v>
      </c>
      <c r="T29" s="503">
        <f>IF(終値!A29="","",IFERROR(4*STDEVP(終値!W29:AP29)/AVERAGE(終値!W29:AP29),""))</f>
        <v>6.9762096121592579E-2</v>
      </c>
      <c r="U29" s="503">
        <f>IF(終値!A29="","",IFERROR(4*STDEVP(終値!X29:AQ29)/AVERAGE(終値!X29:AQ29),""))</f>
        <v>7.0006135783759124E-2</v>
      </c>
      <c r="V29" s="503">
        <f>IF(終値!A29="","",IFERROR(4*STDEVP(終値!Y29:AR29)/AVERAGE(終値!Y29:AR29),""))</f>
        <v>7.5003508392347429E-2</v>
      </c>
      <c r="W29" s="503">
        <f>IF(終値!A29="","",IFERROR(4*STDEVP(終値!Z29:AS29)/AVERAGE(終値!Z29:AS29),""))</f>
        <v>8.52415936476041E-2</v>
      </c>
      <c r="X29" s="503">
        <f>IF(終値!A29="","",IFERROR(4*STDEVP(終値!AA29:AT29)/AVERAGE(終値!AA29:AT29),""))</f>
        <v>0.10781295147472092</v>
      </c>
      <c r="Y29" s="503">
        <f>IF(終値!A29="","",IFERROR(4*STDEVP(終値!AB29:AU29)/AVERAGE(終値!AB29:AU29),""))</f>
        <v>0.11013877462753617</v>
      </c>
      <c r="Z29" s="503">
        <f>IF(終値!A29="","",IFERROR(4*STDEVP(終値!AC29:AV29)/AVERAGE(終値!AC29:AV29),""))</f>
        <v>0.11338493019048623</v>
      </c>
      <c r="AA29" s="503">
        <f>IF(終値!A29="","",IFERROR(4*STDEVP(終値!AD29:AW29)/AVERAGE(終値!AD29:AW29),""))</f>
        <v>0.11169534655447215</v>
      </c>
      <c r="AB29" s="503">
        <f>IF(終値!A29="","",IFERROR(4*STDEVP(終値!AE29:AX29)/AVERAGE(終値!AE29:AX29),""))</f>
        <v>0.11211523004843602</v>
      </c>
      <c r="AC29" s="503">
        <f>IF(終値!A29="","",IFERROR(4*STDEVP(終値!AF29:AY29)/AVERAGE(終値!AF29:AY29),""))</f>
        <v>0.10366286149439218</v>
      </c>
      <c r="AD29" s="503">
        <f>IF(終値!A29="","",IFERROR(4*STDEVP(終値!AG29:AZ29)/AVERAGE(終値!AG29:AZ29),""))</f>
        <v>9.9181046304766068E-2</v>
      </c>
      <c r="AE29" s="503">
        <f>IF(終値!A29="","",IFERROR(4*STDEVP(終値!AH29:BA29)/AVERAGE(終値!AH29:BA29),""))</f>
        <v>0.10170750123125243</v>
      </c>
      <c r="AF29" s="503">
        <f>IF(終値!A29="","",IFERROR(4*STDEVP(終値!AI29:BB29)/AVERAGE(終値!AI29:BB29),""))</f>
        <v>0.10530489635490707</v>
      </c>
      <c r="AG29" s="503">
        <f>IF(終値!A29="","",IFERROR(4*STDEVP(終値!AJ29:BC29)/AVERAGE(終値!AJ29:BC29),""))</f>
        <v>0.12098946899921434</v>
      </c>
      <c r="AH29" s="503">
        <f>IF(終値!A29="","",IFERROR(4*STDEVP(終値!AK29:BD29)/AVERAGE(終値!AK29:BD29),""))</f>
        <v>0.12712092986130943</v>
      </c>
      <c r="AI29" s="503">
        <f>IF(終値!A29="","",IFERROR(4*STDEVP(終値!AL29:BE29)/AVERAGE(終値!AL29:BE29),""))</f>
        <v>0.14160226978088869</v>
      </c>
      <c r="AJ29" s="503">
        <f>IF(終値!A29="","",IFERROR(4*STDEVP(終値!AM29:BF29)/AVERAGE(終値!AM29:BF29),""))</f>
        <v>0.13785779574440082</v>
      </c>
      <c r="AK29" s="503">
        <f>IF(終値!A29="","",IFERROR(4*STDEVP(終値!AN29:BG29)/AVERAGE(終値!AN29:BG29),""))</f>
        <v>0.1383646401165167</v>
      </c>
      <c r="AL29" s="503">
        <f>IF(終値!A29="","",IFERROR(4*STDEVP(終値!AO29:BH29)/AVERAGE(終値!AO29:BH29),""))</f>
        <v>0.1382978458333449</v>
      </c>
      <c r="AM29" s="503">
        <f>IF(終値!A29="","",IFERROR(4*STDEVP(終値!AP29:BI29)/AVERAGE(終値!AP29:BI29),""))</f>
        <v>0.12511516008299436</v>
      </c>
      <c r="AN29" s="503">
        <f>IF(終値!A29="","",IFERROR(4*STDEVP(終値!AQ29:BJ29)/AVERAGE(終値!AQ29:BJ29),""))</f>
        <v>0.10426506733431253</v>
      </c>
      <c r="AO29" s="503">
        <f>IF(終値!A29="","",IFERROR(4*STDEVP(終値!AR29:BK29)/AVERAGE(終値!AR29:BK29),""))</f>
        <v>9.424526131164894E-2</v>
      </c>
      <c r="AP29" s="503">
        <f>IF(終値!A29="","",IFERROR(4*STDEVP(終値!AS29:BL29)/AVERAGE(終値!AS29:BL29),""))</f>
        <v>9.0096265912710555E-2</v>
      </c>
    </row>
    <row r="30" spans="1:42">
      <c r="A30" s="500" t="str">
        <f>IF(終値!A30="","",終値!A30)</f>
        <v>6254</v>
      </c>
      <c r="B30" s="503">
        <f>IF(終値!A30="","",IFERROR(4*STDEVP(終値!E30:X30)/AVERAGE(終値!E30:X30),""))</f>
        <v>0.3071254360152515</v>
      </c>
      <c r="C30" s="503">
        <f>IF(終値!A30="","",IFERROR(4*STDEVP(終値!F30:Y30)/AVERAGE(終値!F30:Y30),""))</f>
        <v>0.34456743010436336</v>
      </c>
      <c r="D30" s="503">
        <f>IF(終値!A30="","",IFERROR(4*STDEVP(終値!G30:Z30)/AVERAGE(終値!G30:Z30),""))</f>
        <v>0.354687330927273</v>
      </c>
      <c r="E30" s="503">
        <f>IF(終値!A30="","",IFERROR(4*STDEVP(終値!H30:AA30)/AVERAGE(終値!H30:AA30),""))</f>
        <v>0.39894425321951338</v>
      </c>
      <c r="F30" s="503">
        <f>IF(終値!A30="","",IFERROR(4*STDEVP(終値!I30:AB30)/AVERAGE(終値!I30:AB30),""))</f>
        <v>0.38172747775984217</v>
      </c>
      <c r="G30" s="503">
        <f>IF(終値!A30="","",IFERROR(4*STDEVP(終値!J30:AC30)/AVERAGE(終値!J30:AC30),""))</f>
        <v>0.34520745198420433</v>
      </c>
      <c r="H30" s="503">
        <f>IF(終値!A30="","",IFERROR(4*STDEVP(終値!K30:AD30)/AVERAGE(終値!K30:AD30),""))</f>
        <v>0.3080522538837166</v>
      </c>
      <c r="I30" s="503">
        <f>IF(終値!A30="","",IFERROR(4*STDEVP(終値!L30:AE30)/AVERAGE(終値!L30:AE30),""))</f>
        <v>0.31071359514762509</v>
      </c>
      <c r="J30" s="503">
        <f>IF(終値!A30="","",IFERROR(4*STDEVP(終値!M30:AF30)/AVERAGE(終値!M30:AF30),""))</f>
        <v>0.30126594446466076</v>
      </c>
      <c r="K30" s="503">
        <f>IF(終値!A30="","",IFERROR(4*STDEVP(終値!N30:AG30)/AVERAGE(終値!N30:AG30),""))</f>
        <v>0.30882679167647975</v>
      </c>
      <c r="L30" s="503">
        <f>IF(終値!A30="","",IFERROR(4*STDEVP(終値!O30:AH30)/AVERAGE(終値!O30:AH30),""))</f>
        <v>0.33061890766461</v>
      </c>
      <c r="M30" s="503">
        <f>IF(終値!A30="","",IFERROR(4*STDEVP(終値!P30:AI30)/AVERAGE(終値!P30:AI30),""))</f>
        <v>0.31246155004158954</v>
      </c>
      <c r="N30" s="503">
        <f>IF(終値!A30="","",IFERROR(4*STDEVP(終値!Q30:AJ30)/AVERAGE(終値!Q30:AJ30),""))</f>
        <v>0.27135339075744858</v>
      </c>
      <c r="O30" s="503">
        <f>IF(終値!A30="","",IFERROR(4*STDEVP(終値!R30:AK30)/AVERAGE(終値!R30:AK30),""))</f>
        <v>0.26251149581509237</v>
      </c>
      <c r="P30" s="503">
        <f>IF(終値!A30="","",IFERROR(4*STDEVP(終値!S30:AL30)/AVERAGE(終値!S30:AL30),""))</f>
        <v>0.25326049659501926</v>
      </c>
      <c r="Q30" s="503">
        <f>IF(終値!A30="","",IFERROR(4*STDEVP(終値!T30:AM30)/AVERAGE(終値!T30:AM30),""))</f>
        <v>0.24191699329652197</v>
      </c>
      <c r="R30" s="503">
        <f>IF(終値!A30="","",IFERROR(4*STDEVP(終値!U30:AN30)/AVERAGE(終値!U30:AN30),""))</f>
        <v>0.25585449103192726</v>
      </c>
      <c r="S30" s="503">
        <f>IF(終値!A30="","",IFERROR(4*STDEVP(終値!V30:AO30)/AVERAGE(終値!V30:AO30),""))</f>
        <v>0.2891737786048596</v>
      </c>
      <c r="T30" s="503">
        <f>IF(終値!A30="","",IFERROR(4*STDEVP(終値!W30:AP30)/AVERAGE(終値!W30:AP30),""))</f>
        <v>0.30971456245344958</v>
      </c>
      <c r="U30" s="503">
        <f>IF(終値!A30="","",IFERROR(4*STDEVP(終値!X30:AQ30)/AVERAGE(終値!X30:AQ30),""))</f>
        <v>0.33296560966267724</v>
      </c>
      <c r="V30" s="503">
        <f>IF(終値!A30="","",IFERROR(4*STDEVP(終値!Y30:AR30)/AVERAGE(終値!Y30:AR30),""))</f>
        <v>0.34549835997714562</v>
      </c>
      <c r="W30" s="503">
        <f>IF(終値!A30="","",IFERROR(4*STDEVP(終値!Z30:AS30)/AVERAGE(終値!Z30:AS30),""))</f>
        <v>0.3472347925858611</v>
      </c>
      <c r="X30" s="503">
        <f>IF(終値!A30="","",IFERROR(4*STDEVP(終値!AA30:AT30)/AVERAGE(終値!AA30:AT30),""))</f>
        <v>0.35251318962240091</v>
      </c>
      <c r="Y30" s="503">
        <f>IF(終値!A30="","",IFERROR(4*STDEVP(終値!AB30:AU30)/AVERAGE(終値!AB30:AU30),""))</f>
        <v>0.34345164434806913</v>
      </c>
      <c r="Z30" s="503">
        <f>IF(終値!A30="","",IFERROR(4*STDEVP(終値!AC30:AV30)/AVERAGE(終値!AC30:AV30),""))</f>
        <v>0.33934958385794978</v>
      </c>
      <c r="AA30" s="503">
        <f>IF(終値!A30="","",IFERROR(4*STDEVP(終値!AD30:AW30)/AVERAGE(終値!AD30:AW30),""))</f>
        <v>0.33285217514724891</v>
      </c>
      <c r="AB30" s="503">
        <f>IF(終値!A30="","",IFERROR(4*STDEVP(終値!AE30:AX30)/AVERAGE(終値!AE30:AX30),""))</f>
        <v>0.33313280166991716</v>
      </c>
      <c r="AC30" s="503">
        <f>IF(終値!A30="","",IFERROR(4*STDEVP(終値!AF30:AY30)/AVERAGE(終値!AF30:AY30),""))</f>
        <v>0.34182096931344624</v>
      </c>
      <c r="AD30" s="503">
        <f>IF(終値!A30="","",IFERROR(4*STDEVP(終値!AG30:AZ30)/AVERAGE(終値!AG30:AZ30),""))</f>
        <v>0.34759864545947627</v>
      </c>
      <c r="AE30" s="503">
        <f>IF(終値!A30="","",IFERROR(4*STDEVP(終値!AH30:BA30)/AVERAGE(終値!AH30:BA30),""))</f>
        <v>0.33912576135296346</v>
      </c>
      <c r="AF30" s="503">
        <f>IF(終値!A30="","",IFERROR(4*STDEVP(終値!AI30:BB30)/AVERAGE(終値!AI30:BB30),""))</f>
        <v>0.29661156024624813</v>
      </c>
      <c r="AG30" s="503">
        <f>IF(終値!A30="","",IFERROR(4*STDEVP(終値!AJ30:BC30)/AVERAGE(終値!AJ30:BC30),""))</f>
        <v>0.29351184853744289</v>
      </c>
      <c r="AH30" s="503">
        <f>IF(終値!A30="","",IFERROR(4*STDEVP(終値!AK30:BD30)/AVERAGE(終値!AK30:BD30),""))</f>
        <v>0.28166011501708793</v>
      </c>
      <c r="AI30" s="503">
        <f>IF(終値!A30="","",IFERROR(4*STDEVP(終値!AL30:BE30)/AVERAGE(終値!AL30:BE30),""))</f>
        <v>0.28428950786812035</v>
      </c>
      <c r="AJ30" s="503">
        <f>IF(終値!A30="","",IFERROR(4*STDEVP(終値!AM30:BF30)/AVERAGE(終値!AM30:BF30),""))</f>
        <v>0.28639726867912413</v>
      </c>
      <c r="AK30" s="503">
        <f>IF(終値!A30="","",IFERROR(4*STDEVP(終値!AN30:BG30)/AVERAGE(終値!AN30:BG30),""))</f>
        <v>0.28913633118816634</v>
      </c>
      <c r="AL30" s="503">
        <f>IF(終値!A30="","",IFERROR(4*STDEVP(終値!AO30:BH30)/AVERAGE(終値!AO30:BH30),""))</f>
        <v>0.28630316727423732</v>
      </c>
      <c r="AM30" s="503">
        <f>IF(終値!A30="","",IFERROR(4*STDEVP(終値!AP30:BI30)/AVERAGE(終値!AP30:BI30),""))</f>
        <v>0.26057396136501876</v>
      </c>
      <c r="AN30" s="503">
        <f>IF(終値!A30="","",IFERROR(4*STDEVP(終値!AQ30:BJ30)/AVERAGE(終値!AQ30:BJ30),""))</f>
        <v>0.23239804084211516</v>
      </c>
      <c r="AO30" s="503">
        <f>IF(終値!A30="","",IFERROR(4*STDEVP(終値!AR30:BK30)/AVERAGE(終値!AR30:BK30),""))</f>
        <v>0.22743216617674397</v>
      </c>
      <c r="AP30" s="503">
        <f>IF(終値!A30="","",IFERROR(4*STDEVP(終値!AS30:BL30)/AVERAGE(終値!AS30:BL30),""))</f>
        <v>0.28103242102349424</v>
      </c>
    </row>
    <row r="31" spans="1:42">
      <c r="A31" s="500" t="str">
        <f>IF(終値!A31="","",終値!A31)</f>
        <v>8309</v>
      </c>
      <c r="B31" s="503" t="str">
        <f>IF(終値!A31="","",IFERROR(4*STDEVP(終値!E31:X31)/AVERAGE(終値!E31:X31),""))</f>
        <v/>
      </c>
      <c r="C31" s="503" t="str">
        <f>IF(終値!A31="","",IFERROR(4*STDEVP(終値!F31:Y31)/AVERAGE(終値!F31:Y31),""))</f>
        <v/>
      </c>
      <c r="D31" s="503" t="str">
        <f>IF(終値!A31="","",IFERROR(4*STDEVP(終値!G31:Z31)/AVERAGE(終値!G31:Z31),""))</f>
        <v/>
      </c>
      <c r="E31" s="503" t="str">
        <f>IF(終値!A31="","",IFERROR(4*STDEVP(終値!H31:AA31)/AVERAGE(終値!H31:AA31),""))</f>
        <v/>
      </c>
      <c r="F31" s="503" t="str">
        <f>IF(終値!A31="","",IFERROR(4*STDEVP(終値!I31:AB31)/AVERAGE(終値!I31:AB31),""))</f>
        <v/>
      </c>
      <c r="G31" s="503" t="str">
        <f>IF(終値!A31="","",IFERROR(4*STDEVP(終値!J31:AC31)/AVERAGE(終値!J31:AC31),""))</f>
        <v/>
      </c>
      <c r="H31" s="503" t="str">
        <f>IF(終値!A31="","",IFERROR(4*STDEVP(終値!K31:AD31)/AVERAGE(終値!K31:AD31),""))</f>
        <v/>
      </c>
      <c r="I31" s="503" t="str">
        <f>IF(終値!A31="","",IFERROR(4*STDEVP(終値!L31:AE31)/AVERAGE(終値!L31:AE31),""))</f>
        <v/>
      </c>
      <c r="J31" s="503" t="str">
        <f>IF(終値!A31="","",IFERROR(4*STDEVP(終値!M31:AF31)/AVERAGE(終値!M31:AF31),""))</f>
        <v/>
      </c>
      <c r="K31" s="503" t="str">
        <f>IF(終値!A31="","",IFERROR(4*STDEVP(終値!N31:AG31)/AVERAGE(終値!N31:AG31),""))</f>
        <v/>
      </c>
      <c r="L31" s="503" t="str">
        <f>IF(終値!A31="","",IFERROR(4*STDEVP(終値!O31:AH31)/AVERAGE(終値!O31:AH31),""))</f>
        <v/>
      </c>
      <c r="M31" s="503" t="str">
        <f>IF(終値!A31="","",IFERROR(4*STDEVP(終値!P31:AI31)/AVERAGE(終値!P31:AI31),""))</f>
        <v/>
      </c>
      <c r="N31" s="503" t="str">
        <f>IF(終値!A31="","",IFERROR(4*STDEVP(終値!Q31:AJ31)/AVERAGE(終値!Q31:AJ31),""))</f>
        <v/>
      </c>
      <c r="O31" s="503" t="str">
        <f>IF(終値!A31="","",IFERROR(4*STDEVP(終値!R31:AK31)/AVERAGE(終値!R31:AK31),""))</f>
        <v/>
      </c>
      <c r="P31" s="503" t="str">
        <f>IF(終値!A31="","",IFERROR(4*STDEVP(終値!S31:AL31)/AVERAGE(終値!S31:AL31),""))</f>
        <v/>
      </c>
      <c r="Q31" s="503" t="str">
        <f>IF(終値!A31="","",IFERROR(4*STDEVP(終値!T31:AM31)/AVERAGE(終値!T31:AM31),""))</f>
        <v/>
      </c>
      <c r="R31" s="503" t="str">
        <f>IF(終値!A31="","",IFERROR(4*STDEVP(終値!U31:AN31)/AVERAGE(終値!U31:AN31),""))</f>
        <v/>
      </c>
      <c r="S31" s="503" t="str">
        <f>IF(終値!A31="","",IFERROR(4*STDEVP(終値!V31:AO31)/AVERAGE(終値!V31:AO31),""))</f>
        <v/>
      </c>
      <c r="T31" s="503" t="str">
        <f>IF(終値!A31="","",IFERROR(4*STDEVP(終値!W31:AP31)/AVERAGE(終値!W31:AP31),""))</f>
        <v/>
      </c>
      <c r="U31" s="503" t="str">
        <f>IF(終値!A31="","",IFERROR(4*STDEVP(終値!X31:AQ31)/AVERAGE(終値!X31:AQ31),""))</f>
        <v/>
      </c>
      <c r="V31" s="503" t="str">
        <f>IF(終値!A31="","",IFERROR(4*STDEVP(終値!Y31:AR31)/AVERAGE(終値!Y31:AR31),""))</f>
        <v/>
      </c>
      <c r="W31" s="503" t="str">
        <f>IF(終値!A31="","",IFERROR(4*STDEVP(終値!Z31:AS31)/AVERAGE(終値!Z31:AS31),""))</f>
        <v/>
      </c>
      <c r="X31" s="503" t="str">
        <f>IF(終値!A31="","",IFERROR(4*STDEVP(終値!AA31:AT31)/AVERAGE(終値!AA31:AT31),""))</f>
        <v/>
      </c>
      <c r="Y31" s="503" t="str">
        <f>IF(終値!A31="","",IFERROR(4*STDEVP(終値!AB31:AU31)/AVERAGE(終値!AB31:AU31),""))</f>
        <v/>
      </c>
      <c r="Z31" s="503" t="str">
        <f>IF(終値!A31="","",IFERROR(4*STDEVP(終値!AC31:AV31)/AVERAGE(終値!AC31:AV31),""))</f>
        <v/>
      </c>
      <c r="AA31" s="503" t="str">
        <f>IF(終値!A31="","",IFERROR(4*STDEVP(終値!AD31:AW31)/AVERAGE(終値!AD31:AW31),""))</f>
        <v/>
      </c>
      <c r="AB31" s="503" t="str">
        <f>IF(終値!A31="","",IFERROR(4*STDEVP(終値!AE31:AX31)/AVERAGE(終値!AE31:AX31),""))</f>
        <v/>
      </c>
      <c r="AC31" s="503" t="str">
        <f>IF(終値!A31="","",IFERROR(4*STDEVP(終値!AF31:AY31)/AVERAGE(終値!AF31:AY31),""))</f>
        <v/>
      </c>
      <c r="AD31" s="503" t="str">
        <f>IF(終値!A31="","",IFERROR(4*STDEVP(終値!AG31:AZ31)/AVERAGE(終値!AG31:AZ31),""))</f>
        <v/>
      </c>
      <c r="AE31" s="503" t="str">
        <f>IF(終値!A31="","",IFERROR(4*STDEVP(終値!AH31:BA31)/AVERAGE(終値!AH31:BA31),""))</f>
        <v/>
      </c>
      <c r="AF31" s="503" t="str">
        <f>IF(終値!A31="","",IFERROR(4*STDEVP(終値!AI31:BB31)/AVERAGE(終値!AI31:BB31),""))</f>
        <v/>
      </c>
      <c r="AG31" s="503" t="str">
        <f>IF(終値!A31="","",IFERROR(4*STDEVP(終値!AJ31:BC31)/AVERAGE(終値!AJ31:BC31),""))</f>
        <v/>
      </c>
      <c r="AH31" s="503" t="str">
        <f>IF(終値!A31="","",IFERROR(4*STDEVP(終値!AK31:BD31)/AVERAGE(終値!AK31:BD31),""))</f>
        <v/>
      </c>
      <c r="AI31" s="503" t="str">
        <f>IF(終値!A31="","",IFERROR(4*STDEVP(終値!AL31:BE31)/AVERAGE(終値!AL31:BE31),""))</f>
        <v/>
      </c>
      <c r="AJ31" s="503" t="str">
        <f>IF(終値!A31="","",IFERROR(4*STDEVP(終値!AM31:BF31)/AVERAGE(終値!AM31:BF31),""))</f>
        <v/>
      </c>
      <c r="AK31" s="503" t="str">
        <f>IF(終値!A31="","",IFERROR(4*STDEVP(終値!AN31:BG31)/AVERAGE(終値!AN31:BG31),""))</f>
        <v/>
      </c>
      <c r="AL31" s="503" t="str">
        <f>IF(終値!A31="","",IFERROR(4*STDEVP(終値!AO31:BH31)/AVERAGE(終値!AO31:BH31),""))</f>
        <v/>
      </c>
      <c r="AM31" s="503" t="str">
        <f>IF(終値!A31="","",IFERROR(4*STDEVP(終値!AP31:BI31)/AVERAGE(終値!AP31:BI31),""))</f>
        <v/>
      </c>
      <c r="AN31" s="503" t="str">
        <f>IF(終値!A31="","",IFERROR(4*STDEVP(終値!AQ31:BJ31)/AVERAGE(終値!AQ31:BJ31),""))</f>
        <v/>
      </c>
      <c r="AO31" s="503" t="str">
        <f>IF(終値!A31="","",IFERROR(4*STDEVP(終値!AR31:BK31)/AVERAGE(終値!AR31:BK31),""))</f>
        <v/>
      </c>
      <c r="AP31" s="503" t="str">
        <f>IF(終値!A31="","",IFERROR(4*STDEVP(終値!AS31:BL31)/AVERAGE(終値!AS31:BL31),""))</f>
        <v/>
      </c>
    </row>
    <row r="32" spans="1:42">
      <c r="A32" s="500" t="str">
        <f>IF(終値!A32="","",終値!A32)</f>
        <v>3863</v>
      </c>
      <c r="B32" s="503">
        <f>IF(終値!A32="","",IFERROR(4*STDEVP(終値!E32:X32)/AVERAGE(終値!E32:X32),""))</f>
        <v>0.23386592809215873</v>
      </c>
      <c r="C32" s="503">
        <f>IF(終値!A32="","",IFERROR(4*STDEVP(終値!F32:Y32)/AVERAGE(終値!F32:Y32),""))</f>
        <v>0.23867490552215639</v>
      </c>
      <c r="D32" s="503">
        <f>IF(終値!A32="","",IFERROR(4*STDEVP(終値!G32:Z32)/AVERAGE(終値!G32:Z32),""))</f>
        <v>0.24184452254730698</v>
      </c>
      <c r="E32" s="503">
        <f>IF(終値!A32="","",IFERROR(4*STDEVP(終値!H32:AA32)/AVERAGE(終値!H32:AA32),""))</f>
        <v>0.25234420784730366</v>
      </c>
      <c r="F32" s="503">
        <f>IF(終値!A32="","",IFERROR(4*STDEVP(終値!I32:AB32)/AVERAGE(終値!I32:AB32),""))</f>
        <v>0.26606582238932769</v>
      </c>
      <c r="G32" s="503">
        <f>IF(終値!A32="","",IFERROR(4*STDEVP(終値!J32:AC32)/AVERAGE(終値!J32:AC32),""))</f>
        <v>0.27590757735499927</v>
      </c>
      <c r="H32" s="503">
        <f>IF(終値!A32="","",IFERROR(4*STDEVP(終値!K32:AD32)/AVERAGE(終値!K32:AD32),""))</f>
        <v>0.28192370933317679</v>
      </c>
      <c r="I32" s="503">
        <f>IF(終値!A32="","",IFERROR(4*STDEVP(終値!L32:AE32)/AVERAGE(終値!L32:AE32),""))</f>
        <v>0.28425554261845037</v>
      </c>
      <c r="J32" s="503">
        <f>IF(終値!A32="","",IFERROR(4*STDEVP(終値!M32:AF32)/AVERAGE(終値!M32:AF32),""))</f>
        <v>0.28893835890596553</v>
      </c>
      <c r="K32" s="503">
        <f>IF(終値!A32="","",IFERROR(4*STDEVP(終値!N32:AG32)/AVERAGE(終値!N32:AG32),""))</f>
        <v>0.26122819356610438</v>
      </c>
      <c r="L32" s="503">
        <f>IF(終値!A32="","",IFERROR(4*STDEVP(終値!O32:AH32)/AVERAGE(終値!O32:AH32),""))</f>
        <v>0.24417455471708827</v>
      </c>
      <c r="M32" s="503">
        <f>IF(終値!A32="","",IFERROR(4*STDEVP(終値!P32:AI32)/AVERAGE(終値!P32:AI32),""))</f>
        <v>0.21409358292472019</v>
      </c>
      <c r="N32" s="503">
        <f>IF(終値!A32="","",IFERROR(4*STDEVP(終値!Q32:AJ32)/AVERAGE(終値!Q32:AJ32),""))</f>
        <v>0.19601078113995446</v>
      </c>
      <c r="O32" s="503">
        <f>IF(終値!A32="","",IFERROR(4*STDEVP(終値!R32:AK32)/AVERAGE(終値!R32:AK32),""))</f>
        <v>0.18038517971971191</v>
      </c>
      <c r="P32" s="503">
        <f>IF(終値!A32="","",IFERROR(4*STDEVP(終値!S32:AL32)/AVERAGE(終値!S32:AL32),""))</f>
        <v>0.17388856547808601</v>
      </c>
      <c r="Q32" s="503">
        <f>IF(終値!A32="","",IFERROR(4*STDEVP(終値!T32:AM32)/AVERAGE(終値!T32:AM32),""))</f>
        <v>0.16854873905050938</v>
      </c>
      <c r="R32" s="503">
        <f>IF(終値!A32="","",IFERROR(4*STDEVP(終値!U32:AN32)/AVERAGE(終値!U32:AN32),""))</f>
        <v>0.16636014644009381</v>
      </c>
      <c r="S32" s="503">
        <f>IF(終値!A32="","",IFERROR(4*STDEVP(終値!V32:AO32)/AVERAGE(終値!V32:AO32),""))</f>
        <v>0.16495778287246671</v>
      </c>
      <c r="T32" s="503">
        <f>IF(終値!A32="","",IFERROR(4*STDEVP(終値!W32:AP32)/AVERAGE(終値!W32:AP32),""))</f>
        <v>0.15464307474446812</v>
      </c>
      <c r="U32" s="503">
        <f>IF(終値!A32="","",IFERROR(4*STDEVP(終値!X32:AQ32)/AVERAGE(終値!X32:AQ32),""))</f>
        <v>0.14037500590948218</v>
      </c>
      <c r="V32" s="503">
        <f>IF(終値!A32="","",IFERROR(4*STDEVP(終値!Y32:AR32)/AVERAGE(終値!Y32:AR32),""))</f>
        <v>0.12409378499290032</v>
      </c>
      <c r="W32" s="503">
        <f>IF(終値!A32="","",IFERROR(4*STDEVP(終値!Z32:AS32)/AVERAGE(終値!Z32:AS32),""))</f>
        <v>0.11799653015908348</v>
      </c>
      <c r="X32" s="503">
        <f>IF(終値!A32="","",IFERROR(4*STDEVP(終値!AA32:AT32)/AVERAGE(終値!AA32:AT32),""))</f>
        <v>9.9767590013035715E-2</v>
      </c>
      <c r="Y32" s="503">
        <f>IF(終値!A32="","",IFERROR(4*STDEVP(終値!AB32:AU32)/AVERAGE(終値!AB32:AU32),""))</f>
        <v>8.4919769200285614E-2</v>
      </c>
      <c r="Z32" s="503">
        <f>IF(終値!A32="","",IFERROR(4*STDEVP(終値!AC32:AV32)/AVERAGE(終値!AC32:AV32),""))</f>
        <v>7.9983958053641932E-2</v>
      </c>
      <c r="AA32" s="503">
        <f>IF(終値!A32="","",IFERROR(4*STDEVP(終値!AD32:AW32)/AVERAGE(終値!AD32:AW32),""))</f>
        <v>0.12674794416207125</v>
      </c>
      <c r="AB32" s="503">
        <f>IF(終値!A32="","",IFERROR(4*STDEVP(終値!AE32:AX32)/AVERAGE(終値!AE32:AX32),""))</f>
        <v>0.15343391311890286</v>
      </c>
      <c r="AC32" s="503">
        <f>IF(終値!A32="","",IFERROR(4*STDEVP(終値!AF32:AY32)/AVERAGE(終値!AF32:AY32),""))</f>
        <v>0.17738800246357858</v>
      </c>
      <c r="AD32" s="503">
        <f>IF(終値!A32="","",IFERROR(4*STDEVP(終値!AG32:AZ32)/AVERAGE(終値!AG32:AZ32),""))</f>
        <v>0.19501482915983034</v>
      </c>
      <c r="AE32" s="503">
        <f>IF(終値!A32="","",IFERROR(4*STDEVP(終値!AH32:BA32)/AVERAGE(終値!AH32:BA32),""))</f>
        <v>0.20788938959680464</v>
      </c>
      <c r="AF32" s="503">
        <f>IF(終値!A32="","",IFERROR(4*STDEVP(終値!AI32:BB32)/AVERAGE(終値!AI32:BB32),""))</f>
        <v>0.22401549678423521</v>
      </c>
      <c r="AG32" s="503">
        <f>IF(終値!A32="","",IFERROR(4*STDEVP(終値!AJ32:BC32)/AVERAGE(終値!AJ32:BC32),""))</f>
        <v>0.24558003049060645</v>
      </c>
      <c r="AH32" s="503">
        <f>IF(終値!A32="","",IFERROR(4*STDEVP(終値!AK32:BD32)/AVERAGE(終値!AK32:BD32),""))</f>
        <v>0.26876656084775868</v>
      </c>
      <c r="AI32" s="503">
        <f>IF(終値!A32="","",IFERROR(4*STDEVP(終値!AL32:BE32)/AVERAGE(終値!AL32:BE32),""))</f>
        <v>0.28454541829546343</v>
      </c>
      <c r="AJ32" s="503">
        <f>IF(終値!A32="","",IFERROR(4*STDEVP(終値!AM32:BF32)/AVERAGE(終値!AM32:BF32),""))</f>
        <v>0.30002597596034553</v>
      </c>
      <c r="AK32" s="503">
        <f>IF(終値!A32="","",IFERROR(4*STDEVP(終値!AN32:BG32)/AVERAGE(終値!AN32:BG32),""))</f>
        <v>0.30998702648371634</v>
      </c>
      <c r="AL32" s="503">
        <f>IF(終値!A32="","",IFERROR(4*STDEVP(終値!AO32:BH32)/AVERAGE(終値!AO32:BH32),""))</f>
        <v>0.31972041153940012</v>
      </c>
      <c r="AM32" s="503">
        <f>IF(終値!A32="","",IFERROR(4*STDEVP(終値!AP32:BI32)/AVERAGE(終値!AP32:BI32),""))</f>
        <v>0.31076118470272301</v>
      </c>
      <c r="AN32" s="503">
        <f>IF(終値!A32="","",IFERROR(4*STDEVP(終値!AQ32:BJ32)/AVERAGE(終値!AQ32:BJ32),""))</f>
        <v>0.29972585559236764</v>
      </c>
      <c r="AO32" s="503">
        <f>IF(終値!A32="","",IFERROR(4*STDEVP(終値!AR32:BK32)/AVERAGE(終値!AR32:BK32),""))</f>
        <v>0.2899972747445651</v>
      </c>
      <c r="AP32" s="503">
        <f>IF(終値!A32="","",IFERROR(4*STDEVP(終値!AS32:BL32)/AVERAGE(終値!AS32:BL32),""))</f>
        <v>0.2703314346692034</v>
      </c>
    </row>
    <row r="33" spans="1:42">
      <c r="A33" s="500" t="str">
        <f>IF(終値!A33="","",終値!A33)</f>
        <v>8601</v>
      </c>
      <c r="B33" s="503">
        <f>IF(終値!A33="","",IFERROR(4*STDEVP(終値!E33:X33)/AVERAGE(終値!E33:X33),""))</f>
        <v>0.10175663030991709</v>
      </c>
      <c r="C33" s="503">
        <f>IF(終値!A33="","",IFERROR(4*STDEVP(終値!F33:Y33)/AVERAGE(終値!F33:Y33),""))</f>
        <v>0.11674785959210862</v>
      </c>
      <c r="D33" s="503">
        <f>IF(終値!A33="","",IFERROR(4*STDEVP(終値!G33:Z33)/AVERAGE(終値!G33:Z33),""))</f>
        <v>0.13949390871165671</v>
      </c>
      <c r="E33" s="503">
        <f>IF(終値!A33="","",IFERROR(4*STDEVP(終値!H33:AA33)/AVERAGE(終値!H33:AA33),""))</f>
        <v>0.1610238839727624</v>
      </c>
      <c r="F33" s="503">
        <f>IF(終値!A33="","",IFERROR(4*STDEVP(終値!I33:AB33)/AVERAGE(終値!I33:AB33),""))</f>
        <v>0.18690929428313446</v>
      </c>
      <c r="G33" s="503">
        <f>IF(終値!A33="","",IFERROR(4*STDEVP(終値!J33:AC33)/AVERAGE(終値!J33:AC33),""))</f>
        <v>0.20666157165745475</v>
      </c>
      <c r="H33" s="503">
        <f>IF(終値!A33="","",IFERROR(4*STDEVP(終値!K33:AD33)/AVERAGE(終値!K33:AD33),""))</f>
        <v>0.22020573695995055</v>
      </c>
      <c r="I33" s="503">
        <f>IF(終値!A33="","",IFERROR(4*STDEVP(終値!L33:AE33)/AVERAGE(終値!L33:AE33),""))</f>
        <v>0.22676189384528489</v>
      </c>
      <c r="J33" s="503">
        <f>IF(終値!A33="","",IFERROR(4*STDEVP(終値!M33:AF33)/AVERAGE(終値!M33:AF33),""))</f>
        <v>0.2324045844664791</v>
      </c>
      <c r="K33" s="503">
        <f>IF(終値!A33="","",IFERROR(4*STDEVP(終値!N33:AG33)/AVERAGE(終値!N33:AG33),""))</f>
        <v>0.22980284024150949</v>
      </c>
      <c r="L33" s="503">
        <f>IF(終値!A33="","",IFERROR(4*STDEVP(終値!O33:AH33)/AVERAGE(終値!O33:AH33),""))</f>
        <v>0.22175077222847275</v>
      </c>
      <c r="M33" s="503">
        <f>IF(終値!A33="","",IFERROR(4*STDEVP(終値!P33:AI33)/AVERAGE(終値!P33:AI33),""))</f>
        <v>0.21292215596960157</v>
      </c>
      <c r="N33" s="503">
        <f>IF(終値!A33="","",IFERROR(4*STDEVP(終値!Q33:AJ33)/AVERAGE(終値!Q33:AJ33),""))</f>
        <v>0.20955630998140176</v>
      </c>
      <c r="O33" s="503">
        <f>IF(終値!A33="","",IFERROR(4*STDEVP(終値!R33:AK33)/AVERAGE(終値!R33:AK33),""))</f>
        <v>0.18326877459387003</v>
      </c>
      <c r="P33" s="503">
        <f>IF(終値!A33="","",IFERROR(4*STDEVP(終値!S33:AL33)/AVERAGE(終値!S33:AL33),""))</f>
        <v>0.17082538031305317</v>
      </c>
      <c r="Q33" s="503">
        <f>IF(終値!A33="","",IFERROR(4*STDEVP(終値!T33:AM33)/AVERAGE(終値!T33:AM33),""))</f>
        <v>0.16058299695494296</v>
      </c>
      <c r="R33" s="503">
        <f>IF(終値!A33="","",IFERROR(4*STDEVP(終値!U33:AN33)/AVERAGE(終値!U33:AN33),""))</f>
        <v>0.15124482889916829</v>
      </c>
      <c r="S33" s="503">
        <f>IF(終値!A33="","",IFERROR(4*STDEVP(終値!V33:AO33)/AVERAGE(終値!V33:AO33),""))</f>
        <v>0.14938914047566162</v>
      </c>
      <c r="T33" s="503">
        <f>IF(終値!A33="","",IFERROR(4*STDEVP(終値!W33:AP33)/AVERAGE(終値!W33:AP33),""))</f>
        <v>0.12727891351039475</v>
      </c>
      <c r="U33" s="503">
        <f>IF(終値!A33="","",IFERROR(4*STDEVP(終値!X33:AQ33)/AVERAGE(終値!X33:AQ33),""))</f>
        <v>0.10481278075679129</v>
      </c>
      <c r="V33" s="503">
        <f>IF(終値!A33="","",IFERROR(4*STDEVP(終値!Y33:AR33)/AVERAGE(終値!Y33:AR33),""))</f>
        <v>8.7263165779520049E-2</v>
      </c>
      <c r="W33" s="503">
        <f>IF(終値!A33="","",IFERROR(4*STDEVP(終値!Z33:AS33)/AVERAGE(終値!Z33:AS33),""))</f>
        <v>7.9085483364165085E-2</v>
      </c>
      <c r="X33" s="503">
        <f>IF(終値!A33="","",IFERROR(4*STDEVP(終値!AA33:AT33)/AVERAGE(終値!AA33:AT33),""))</f>
        <v>7.7937922492864797E-2</v>
      </c>
      <c r="Y33" s="503">
        <f>IF(終値!A33="","",IFERROR(4*STDEVP(終値!AB33:AU33)/AVERAGE(終値!AB33:AU33),""))</f>
        <v>8.6163222929695679E-2</v>
      </c>
      <c r="Z33" s="503">
        <f>IF(終値!A33="","",IFERROR(4*STDEVP(終値!AC33:AV33)/AVERAGE(終値!AC33:AV33),""))</f>
        <v>9.5480741362372848E-2</v>
      </c>
      <c r="AA33" s="503">
        <f>IF(終値!A33="","",IFERROR(4*STDEVP(終値!AD33:AW33)/AVERAGE(終値!AD33:AW33),""))</f>
        <v>0.11030182726204293</v>
      </c>
      <c r="AB33" s="503">
        <f>IF(終値!A33="","",IFERROR(4*STDEVP(終値!AE33:AX33)/AVERAGE(終値!AE33:AX33),""))</f>
        <v>0.12256134487433598</v>
      </c>
      <c r="AC33" s="503">
        <f>IF(終値!A33="","",IFERROR(4*STDEVP(終値!AF33:AY33)/AVERAGE(終値!AF33:AY33),""))</f>
        <v>0.12680350546905847</v>
      </c>
      <c r="AD33" s="503">
        <f>IF(終値!A33="","",IFERROR(4*STDEVP(終値!AG33:AZ33)/AVERAGE(終値!AG33:AZ33),""))</f>
        <v>0.13129214495390307</v>
      </c>
      <c r="AE33" s="503">
        <f>IF(終値!A33="","",IFERROR(4*STDEVP(終値!AH33:BA33)/AVERAGE(終値!AH33:BA33),""))</f>
        <v>0.1309826796117414</v>
      </c>
      <c r="AF33" s="503">
        <f>IF(終値!A33="","",IFERROR(4*STDEVP(終値!AI33:BB33)/AVERAGE(終値!AI33:BB33),""))</f>
        <v>0.12902481892897438</v>
      </c>
      <c r="AG33" s="503">
        <f>IF(終値!A33="","",IFERROR(4*STDEVP(終値!AJ33:BC33)/AVERAGE(終値!AJ33:BC33),""))</f>
        <v>0.12560745836866458</v>
      </c>
      <c r="AH33" s="503">
        <f>IF(終値!A33="","",IFERROR(4*STDEVP(終値!AK33:BD33)/AVERAGE(終値!AK33:BD33),""))</f>
        <v>0.11732472426460024</v>
      </c>
      <c r="AI33" s="503">
        <f>IF(終値!A33="","",IFERROR(4*STDEVP(終値!AL33:BE33)/AVERAGE(終値!AL33:BE33),""))</f>
        <v>0.10895536088720452</v>
      </c>
      <c r="AJ33" s="503">
        <f>IF(終値!A33="","",IFERROR(4*STDEVP(終値!AM33:BF33)/AVERAGE(終値!AM33:BF33),""))</f>
        <v>9.9115354824139981E-2</v>
      </c>
      <c r="AK33" s="503">
        <f>IF(終値!A33="","",IFERROR(4*STDEVP(終値!AN33:BG33)/AVERAGE(終値!AN33:BG33),""))</f>
        <v>8.6168107365429597E-2</v>
      </c>
      <c r="AL33" s="503">
        <f>IF(終値!A33="","",IFERROR(4*STDEVP(終値!AO33:BH33)/AVERAGE(終値!AO33:BH33),""))</f>
        <v>8.0442000995133614E-2</v>
      </c>
      <c r="AM33" s="503">
        <f>IF(終値!A33="","",IFERROR(4*STDEVP(終値!AP33:BI33)/AVERAGE(終値!AP33:BI33),""))</f>
        <v>8.0509755654519233E-2</v>
      </c>
      <c r="AN33" s="503">
        <f>IF(終値!A33="","",IFERROR(4*STDEVP(終値!AQ33:BJ33)/AVERAGE(終値!AQ33:BJ33),""))</f>
        <v>7.6409937947933854E-2</v>
      </c>
      <c r="AO33" s="503">
        <f>IF(終値!A33="","",IFERROR(4*STDEVP(終値!AR33:BK33)/AVERAGE(終値!AR33:BK33),""))</f>
        <v>7.3638748605851984E-2</v>
      </c>
      <c r="AP33" s="503">
        <f>IF(終値!A33="","",IFERROR(4*STDEVP(終値!AS33:BL33)/AVERAGE(終値!AS33:BL33),""))</f>
        <v>6.3860436620670355E-2</v>
      </c>
    </row>
    <row r="34" spans="1:42">
      <c r="A34" s="500" t="str">
        <f>IF(終値!A34="","",終値!A34)</f>
        <v>5233</v>
      </c>
      <c r="B34" s="503">
        <f>IF(終値!A34="","",IFERROR(4*STDEVP(終値!E34:X34)/AVERAGE(終値!E34:X34),""))</f>
        <v>0.11304811378594913</v>
      </c>
      <c r="C34" s="503">
        <f>IF(終値!A34="","",IFERROR(4*STDEVP(終値!F34:Y34)/AVERAGE(終値!F34:Y34),""))</f>
        <v>0.1120678333114138</v>
      </c>
      <c r="D34" s="503">
        <f>IF(終値!A34="","",IFERROR(4*STDEVP(終値!G34:Z34)/AVERAGE(終値!G34:Z34),""))</f>
        <v>0.1132343148665971</v>
      </c>
      <c r="E34" s="503">
        <f>IF(終値!A34="","",IFERROR(4*STDEVP(終値!H34:AA34)/AVERAGE(終値!H34:AA34),""))</f>
        <v>0.1196443453388765</v>
      </c>
      <c r="F34" s="503">
        <f>IF(終値!A34="","",IFERROR(4*STDEVP(終値!I34:AB34)/AVERAGE(終値!I34:AB34),""))</f>
        <v>0.11837064064565531</v>
      </c>
      <c r="G34" s="503">
        <f>IF(終値!A34="","",IFERROR(4*STDEVP(終値!J34:AC34)/AVERAGE(終値!J34:AC34),""))</f>
        <v>0.11175722880125849</v>
      </c>
      <c r="H34" s="503">
        <f>IF(終値!A34="","",IFERROR(4*STDEVP(終値!K34:AD34)/AVERAGE(終値!K34:AD34),""))</f>
        <v>0.10564077018140886</v>
      </c>
      <c r="I34" s="503">
        <f>IF(終値!A34="","",IFERROR(4*STDEVP(終値!L34:AE34)/AVERAGE(終値!L34:AE34),""))</f>
        <v>9.9138812800481993E-2</v>
      </c>
      <c r="J34" s="503">
        <f>IF(終値!A34="","",IFERROR(4*STDEVP(終値!M34:AF34)/AVERAGE(終値!M34:AF34),""))</f>
        <v>9.7701961710898996E-2</v>
      </c>
      <c r="K34" s="503">
        <f>IF(終値!A34="","",IFERROR(4*STDEVP(終値!N34:AG34)/AVERAGE(終値!N34:AG34),""))</f>
        <v>9.4815417186154743E-2</v>
      </c>
      <c r="L34" s="503">
        <f>IF(終値!A34="","",IFERROR(4*STDEVP(終値!O34:AH34)/AVERAGE(終値!O34:AH34),""))</f>
        <v>9.5094005021371691E-2</v>
      </c>
      <c r="M34" s="503">
        <f>IF(終値!A34="","",IFERROR(4*STDEVP(終値!P34:AI34)/AVERAGE(終値!P34:AI34),""))</f>
        <v>0.10914313388698316</v>
      </c>
      <c r="N34" s="503">
        <f>IF(終値!A34="","",IFERROR(4*STDEVP(終値!Q34:AJ34)/AVERAGE(終値!Q34:AJ34),""))</f>
        <v>0.12796746291368563</v>
      </c>
      <c r="O34" s="503">
        <f>IF(終値!A34="","",IFERROR(4*STDEVP(終値!R34:AK34)/AVERAGE(終値!R34:AK34),""))</f>
        <v>0.14843134973681224</v>
      </c>
      <c r="P34" s="503">
        <f>IF(終値!A34="","",IFERROR(4*STDEVP(終値!S34:AL34)/AVERAGE(終値!S34:AL34),""))</f>
        <v>0.15771834749893443</v>
      </c>
      <c r="Q34" s="503">
        <f>IF(終値!A34="","",IFERROR(4*STDEVP(終値!T34:AM34)/AVERAGE(終値!T34:AM34),""))</f>
        <v>0.16087121078306199</v>
      </c>
      <c r="R34" s="503">
        <f>IF(終値!A34="","",IFERROR(4*STDEVP(終値!U34:AN34)/AVERAGE(終値!U34:AN34),""))</f>
        <v>0.15320832426982808</v>
      </c>
      <c r="S34" s="503">
        <f>IF(終値!A34="","",IFERROR(4*STDEVP(終値!V34:AO34)/AVERAGE(終値!V34:AO34),""))</f>
        <v>0.1472720934438464</v>
      </c>
      <c r="T34" s="503">
        <f>IF(終値!A34="","",IFERROR(4*STDEVP(終値!W34:AP34)/AVERAGE(終値!W34:AP34),""))</f>
        <v>0.14351201560354013</v>
      </c>
      <c r="U34" s="503">
        <f>IF(終値!A34="","",IFERROR(4*STDEVP(終値!X34:AQ34)/AVERAGE(終値!X34:AQ34),""))</f>
        <v>0.14432476947638964</v>
      </c>
      <c r="V34" s="503">
        <f>IF(終値!A34="","",IFERROR(4*STDEVP(終値!Y34:AR34)/AVERAGE(終値!Y34:AR34),""))</f>
        <v>0.14918730453668988</v>
      </c>
      <c r="W34" s="503">
        <f>IF(終値!A34="","",IFERROR(4*STDEVP(終値!Z34:AS34)/AVERAGE(終値!Z34:AS34),""))</f>
        <v>0.1563831900587774</v>
      </c>
      <c r="X34" s="503">
        <f>IF(終値!A34="","",IFERROR(4*STDEVP(終値!AA34:AT34)/AVERAGE(終値!AA34:AT34),""))</f>
        <v>0.15508256313123867</v>
      </c>
      <c r="Y34" s="503">
        <f>IF(終値!A34="","",IFERROR(4*STDEVP(終値!AB34:AU34)/AVERAGE(終値!AB34:AU34),""))</f>
        <v>0.13998619647318533</v>
      </c>
      <c r="Z34" s="503">
        <f>IF(終値!A34="","",IFERROR(4*STDEVP(終値!AC34:AV34)/AVERAGE(終値!AC34:AV34),""))</f>
        <v>0.13895831424705374</v>
      </c>
      <c r="AA34" s="503">
        <f>IF(終値!A34="","",IFERROR(4*STDEVP(終値!AD34:AW34)/AVERAGE(終値!AD34:AW34),""))</f>
        <v>0.13083835425958043</v>
      </c>
      <c r="AB34" s="503">
        <f>IF(終値!A34="","",IFERROR(4*STDEVP(終値!AE34:AX34)/AVERAGE(終値!AE34:AX34),""))</f>
        <v>0.12476705284032574</v>
      </c>
      <c r="AC34" s="503">
        <f>IF(終値!A34="","",IFERROR(4*STDEVP(終値!AF34:AY34)/AVERAGE(終値!AF34:AY34),""))</f>
        <v>0.12183066928723971</v>
      </c>
      <c r="AD34" s="503">
        <f>IF(終値!A34="","",IFERROR(4*STDEVP(終値!AG34:AZ34)/AVERAGE(終値!AG34:AZ34),""))</f>
        <v>0.11812366213151648</v>
      </c>
      <c r="AE34" s="503">
        <f>IF(終値!A34="","",IFERROR(4*STDEVP(終値!AH34:BA34)/AVERAGE(終値!AH34:BA34),""))</f>
        <v>0.12183468965201852</v>
      </c>
      <c r="AF34" s="503">
        <f>IF(終値!A34="","",IFERROR(4*STDEVP(終値!AI34:BB34)/AVERAGE(終値!AI34:BB34),""))</f>
        <v>0.13748433311810118</v>
      </c>
      <c r="AG34" s="503">
        <f>IF(終値!A34="","",IFERROR(4*STDEVP(終値!AJ34:BC34)/AVERAGE(終値!AJ34:BC34),""))</f>
        <v>0.1564487812576959</v>
      </c>
      <c r="AH34" s="503">
        <f>IF(終値!A34="","",IFERROR(4*STDEVP(終値!AK34:BD34)/AVERAGE(終値!AK34:BD34),""))</f>
        <v>0.17904180394915845</v>
      </c>
      <c r="AI34" s="503">
        <f>IF(終値!A34="","",IFERROR(4*STDEVP(終値!AL34:BE34)/AVERAGE(終値!AL34:BE34),""))</f>
        <v>0.18240615568125274</v>
      </c>
      <c r="AJ34" s="503">
        <f>IF(終値!A34="","",IFERROR(4*STDEVP(終値!AM34:BF34)/AVERAGE(終値!AM34:BF34),""))</f>
        <v>0.18177603857121408</v>
      </c>
      <c r="AK34" s="503">
        <f>IF(終値!A34="","",IFERROR(4*STDEVP(終値!AN34:BG34)/AVERAGE(終値!AN34:BG34),""))</f>
        <v>0.17600144767284584</v>
      </c>
      <c r="AL34" s="503">
        <f>IF(終値!A34="","",IFERROR(4*STDEVP(終値!AO34:BH34)/AVERAGE(終値!AO34:BH34),""))</f>
        <v>0.19552988749811365</v>
      </c>
      <c r="AM34" s="503">
        <f>IF(終値!A34="","",IFERROR(4*STDEVP(終値!AP34:BI34)/AVERAGE(終値!AP34:BI34),""))</f>
        <v>0.22527134663832962</v>
      </c>
      <c r="AN34" s="503">
        <f>IF(終値!A34="","",IFERROR(4*STDEVP(終値!AQ34:BJ34)/AVERAGE(終値!AQ34:BJ34),""))</f>
        <v>0.25201769701248911</v>
      </c>
      <c r="AO34" s="503">
        <f>IF(終値!A34="","",IFERROR(4*STDEVP(終値!AR34:BK34)/AVERAGE(終値!AR34:BK34),""))</f>
        <v>0.26648749557984391</v>
      </c>
      <c r="AP34" s="503">
        <f>IF(終値!A34="","",IFERROR(4*STDEVP(終値!AS34:BL34)/AVERAGE(終値!AS34:BL34),""))</f>
        <v>0.28283457980906584</v>
      </c>
    </row>
    <row r="35" spans="1:42">
      <c r="A35" s="500" t="str">
        <f>IF(終値!A35="","",終値!A35)</f>
        <v>8308</v>
      </c>
      <c r="B35" s="503">
        <f>IF(終値!A35="","",IFERROR(4*STDEVP(終値!E35:X35)/AVERAGE(終値!E35:X35),""))</f>
        <v>0.11798336699463317</v>
      </c>
      <c r="C35" s="503">
        <f>IF(終値!A35="","",IFERROR(4*STDEVP(終値!F35:Y35)/AVERAGE(終値!F35:Y35),""))</f>
        <v>0.11184106812333296</v>
      </c>
      <c r="D35" s="503">
        <f>IF(終値!A35="","",IFERROR(4*STDEVP(終値!G35:Z35)/AVERAGE(終値!G35:Z35),""))</f>
        <v>0.11728299069129139</v>
      </c>
      <c r="E35" s="503">
        <f>IF(終値!A35="","",IFERROR(4*STDEVP(終値!H35:AA35)/AVERAGE(終値!H35:AA35),""))</f>
        <v>0.1312831035727921</v>
      </c>
      <c r="F35" s="503">
        <f>IF(終値!A35="","",IFERROR(4*STDEVP(終値!I35:AB35)/AVERAGE(終値!I35:AB35),""))</f>
        <v>0.14376881061786934</v>
      </c>
      <c r="G35" s="503">
        <f>IF(終値!A35="","",IFERROR(4*STDEVP(終値!J35:AC35)/AVERAGE(終値!J35:AC35),""))</f>
        <v>0.16063984494662278</v>
      </c>
      <c r="H35" s="503">
        <f>IF(終値!A35="","",IFERROR(4*STDEVP(終値!K35:AD35)/AVERAGE(終値!K35:AD35),""))</f>
        <v>0.17610482145714651</v>
      </c>
      <c r="I35" s="503">
        <f>IF(終値!A35="","",IFERROR(4*STDEVP(終値!L35:AE35)/AVERAGE(終値!L35:AE35),""))</f>
        <v>0.18270105580415044</v>
      </c>
      <c r="J35" s="503">
        <f>IF(終値!A35="","",IFERROR(4*STDEVP(終値!M35:AF35)/AVERAGE(終値!M35:AF35),""))</f>
        <v>0.18698023419703666</v>
      </c>
      <c r="K35" s="503">
        <f>IF(終値!A35="","",IFERROR(4*STDEVP(終値!N35:AG35)/AVERAGE(終値!N35:AG35),""))</f>
        <v>0.18652627091040702</v>
      </c>
      <c r="L35" s="503">
        <f>IF(終値!A35="","",IFERROR(4*STDEVP(終値!O35:AH35)/AVERAGE(終値!O35:AH35),""))</f>
        <v>0.18415958186986847</v>
      </c>
      <c r="M35" s="503">
        <f>IF(終値!A35="","",IFERROR(4*STDEVP(終値!P35:AI35)/AVERAGE(終値!P35:AI35),""))</f>
        <v>0.18419411723049123</v>
      </c>
      <c r="N35" s="503">
        <f>IF(終値!A35="","",IFERROR(4*STDEVP(終値!Q35:AJ35)/AVERAGE(終値!Q35:AJ35),""))</f>
        <v>0.18420158054018679</v>
      </c>
      <c r="O35" s="503">
        <f>IF(終値!A35="","",IFERROR(4*STDEVP(終値!R35:AK35)/AVERAGE(終値!R35:AK35),""))</f>
        <v>0.17734381275603575</v>
      </c>
      <c r="P35" s="503">
        <f>IF(終値!A35="","",IFERROR(4*STDEVP(終値!S35:AL35)/AVERAGE(終値!S35:AL35),""))</f>
        <v>0.17027062858852071</v>
      </c>
      <c r="Q35" s="503">
        <f>IF(終値!A35="","",IFERROR(4*STDEVP(終値!T35:AM35)/AVERAGE(終値!T35:AM35),""))</f>
        <v>0.15930908218529233</v>
      </c>
      <c r="R35" s="503">
        <f>IF(終値!A35="","",IFERROR(4*STDEVP(終値!U35:AN35)/AVERAGE(終値!U35:AN35),""))</f>
        <v>0.15195907940924483</v>
      </c>
      <c r="S35" s="503">
        <f>IF(終値!A35="","",IFERROR(4*STDEVP(終値!V35:AO35)/AVERAGE(終値!V35:AO35),""))</f>
        <v>0.13851447386308674</v>
      </c>
      <c r="T35" s="503">
        <f>IF(終値!A35="","",IFERROR(4*STDEVP(終値!W35:AP35)/AVERAGE(終値!W35:AP35),""))</f>
        <v>0.11912046396128483</v>
      </c>
      <c r="U35" s="503">
        <f>IF(終値!A35="","",IFERROR(4*STDEVP(終値!X35:AQ35)/AVERAGE(終値!X35:AQ35),""))</f>
        <v>0.10564255303840933</v>
      </c>
      <c r="V35" s="503">
        <f>IF(終値!A35="","",IFERROR(4*STDEVP(終値!Y35:AR35)/AVERAGE(終値!Y35:AR35),""))</f>
        <v>9.3615526549941097E-2</v>
      </c>
      <c r="W35" s="503">
        <f>IF(終値!A35="","",IFERROR(4*STDEVP(終値!Z35:AS35)/AVERAGE(終値!Z35:AS35),""))</f>
        <v>8.7638735079236363E-2</v>
      </c>
      <c r="X35" s="503">
        <f>IF(終値!A35="","",IFERROR(4*STDEVP(終値!AA35:AT35)/AVERAGE(終値!AA35:AT35),""))</f>
        <v>9.2697901528515952E-2</v>
      </c>
      <c r="Y35" s="503">
        <f>IF(終値!A35="","",IFERROR(4*STDEVP(終値!AB35:AU35)/AVERAGE(終値!AB35:AU35),""))</f>
        <v>0.10386614240735827</v>
      </c>
      <c r="Z35" s="503">
        <f>IF(終値!A35="","",IFERROR(4*STDEVP(終値!AC35:AV35)/AVERAGE(終値!AC35:AV35),""))</f>
        <v>0.11049452777597212</v>
      </c>
      <c r="AA35" s="503">
        <f>IF(終値!A35="","",IFERROR(4*STDEVP(終値!AD35:AW35)/AVERAGE(終値!AD35:AW35),""))</f>
        <v>0.11687891238693578</v>
      </c>
      <c r="AB35" s="503">
        <f>IF(終値!A35="","",IFERROR(4*STDEVP(終値!AE35:AX35)/AVERAGE(終値!AE35:AX35),""))</f>
        <v>0.12137655431657483</v>
      </c>
      <c r="AC35" s="503">
        <f>IF(終値!A35="","",IFERROR(4*STDEVP(終値!AF35:AY35)/AVERAGE(終値!AF35:AY35),""))</f>
        <v>0.12110621808338583</v>
      </c>
      <c r="AD35" s="503">
        <f>IF(終値!A35="","",IFERROR(4*STDEVP(終値!AG35:AZ35)/AVERAGE(終値!AG35:AZ35),""))</f>
        <v>0.12118703158048375</v>
      </c>
      <c r="AE35" s="503">
        <f>IF(終値!A35="","",IFERROR(4*STDEVP(終値!AH35:BA35)/AVERAGE(終値!AH35:BA35),""))</f>
        <v>0.1203031785842769</v>
      </c>
      <c r="AF35" s="503">
        <f>IF(終値!A35="","",IFERROR(4*STDEVP(終値!AI35:BB35)/AVERAGE(終値!AI35:BB35),""))</f>
        <v>0.11766592221859906</v>
      </c>
      <c r="AG35" s="503">
        <f>IF(終値!A35="","",IFERROR(4*STDEVP(終値!AJ35:BC35)/AVERAGE(終値!AJ35:BC35),""))</f>
        <v>0.11315046371051719</v>
      </c>
      <c r="AH35" s="503">
        <f>IF(終値!A35="","",IFERROR(4*STDEVP(終値!AK35:BD35)/AVERAGE(終値!AK35:BD35),""))</f>
        <v>9.9176025490838551E-2</v>
      </c>
      <c r="AI35" s="503">
        <f>IF(終値!A35="","",IFERROR(4*STDEVP(終値!AL35:BE35)/AVERAGE(終値!AL35:BE35),""))</f>
        <v>9.7495349914138718E-2</v>
      </c>
      <c r="AJ35" s="503">
        <f>IF(終値!A35="","",IFERROR(4*STDEVP(終値!AM35:BF35)/AVERAGE(終値!AM35:BF35),""))</f>
        <v>9.6194377832955619E-2</v>
      </c>
      <c r="AK35" s="503">
        <f>IF(終値!A35="","",IFERROR(4*STDEVP(終値!AN35:BG35)/AVERAGE(終値!AN35:BG35),""))</f>
        <v>8.1585610111813631E-2</v>
      </c>
      <c r="AL35" s="503">
        <f>IF(終値!A35="","",IFERROR(4*STDEVP(終値!AO35:BH35)/AVERAGE(終値!AO35:BH35),""))</f>
        <v>7.6327660063117156E-2</v>
      </c>
      <c r="AM35" s="503">
        <f>IF(終値!A35="","",IFERROR(4*STDEVP(終値!AP35:BI35)/AVERAGE(終値!AP35:BI35),""))</f>
        <v>8.0311924731857831E-2</v>
      </c>
      <c r="AN35" s="503">
        <f>IF(終値!A35="","",IFERROR(4*STDEVP(終値!AQ35:BJ35)/AVERAGE(終値!AQ35:BJ35),""))</f>
        <v>9.0767411534035877E-2</v>
      </c>
      <c r="AO35" s="503">
        <f>IF(終値!A35="","",IFERROR(4*STDEVP(終値!AR35:BK35)/AVERAGE(終値!AR35:BK35),""))</f>
        <v>9.2160268415322821E-2</v>
      </c>
      <c r="AP35" s="503">
        <f>IF(終値!A35="","",IFERROR(4*STDEVP(終値!AS35:BL35)/AVERAGE(終値!AS35:BL35),""))</f>
        <v>0.10249714826583647</v>
      </c>
    </row>
    <row r="36" spans="1:42">
      <c r="A36" s="500" t="str">
        <f>IF(終値!A36="","",終値!A36)</f>
        <v>5938</v>
      </c>
      <c r="B36" s="503">
        <f>IF(終値!A36="","",IFERROR(4*STDEVP(終値!E36:X36)/AVERAGE(終値!E36:X36),""))</f>
        <v>0.12749095030915986</v>
      </c>
      <c r="C36" s="503">
        <f>IF(終値!A36="","",IFERROR(4*STDEVP(終値!F36:Y36)/AVERAGE(終値!F36:Y36),""))</f>
        <v>0.10979738692427507</v>
      </c>
      <c r="D36" s="503">
        <f>IF(終値!A36="","",IFERROR(4*STDEVP(終値!G36:Z36)/AVERAGE(終値!G36:Z36),""))</f>
        <v>8.7198112645426748E-2</v>
      </c>
      <c r="E36" s="503">
        <f>IF(終値!A36="","",IFERROR(4*STDEVP(終値!H36:AA36)/AVERAGE(終値!H36:AA36),""))</f>
        <v>7.049268318829556E-2</v>
      </c>
      <c r="F36" s="503">
        <f>IF(終値!A36="","",IFERROR(4*STDEVP(終値!I36:AB36)/AVERAGE(終値!I36:AB36),""))</f>
        <v>7.5344394175709428E-2</v>
      </c>
      <c r="G36" s="503">
        <f>IF(終値!A36="","",IFERROR(4*STDEVP(終値!J36:AC36)/AVERAGE(終値!J36:AC36),""))</f>
        <v>7.2880955521167329E-2</v>
      </c>
      <c r="H36" s="503">
        <f>IF(終値!A36="","",IFERROR(4*STDEVP(終値!K36:AD36)/AVERAGE(終値!K36:AD36),""))</f>
        <v>7.9849089582338661E-2</v>
      </c>
      <c r="I36" s="503">
        <f>IF(終値!A36="","",IFERROR(4*STDEVP(終値!L36:AE36)/AVERAGE(終値!L36:AE36),""))</f>
        <v>8.6529723856994978E-2</v>
      </c>
      <c r="J36" s="503">
        <f>IF(終値!A36="","",IFERROR(4*STDEVP(終値!M36:AF36)/AVERAGE(終値!M36:AF36),""))</f>
        <v>0.10874204950337241</v>
      </c>
      <c r="K36" s="503">
        <f>IF(終値!A36="","",IFERROR(4*STDEVP(終値!N36:AG36)/AVERAGE(終値!N36:AG36),""))</f>
        <v>0.1249882661991287</v>
      </c>
      <c r="L36" s="503">
        <f>IF(終値!A36="","",IFERROR(4*STDEVP(終値!O36:AH36)/AVERAGE(終値!O36:AH36),""))</f>
        <v>0.13196966976302749</v>
      </c>
      <c r="M36" s="503">
        <f>IF(終値!A36="","",IFERROR(4*STDEVP(終値!P36:AI36)/AVERAGE(終値!P36:AI36),""))</f>
        <v>0.13791008762432197</v>
      </c>
      <c r="N36" s="503">
        <f>IF(終値!A36="","",IFERROR(4*STDEVP(終値!Q36:AJ36)/AVERAGE(終値!Q36:AJ36),""))</f>
        <v>0.14272460348897198</v>
      </c>
      <c r="O36" s="503">
        <f>IF(終値!A36="","",IFERROR(4*STDEVP(終値!R36:AK36)/AVERAGE(終値!R36:AK36),""))</f>
        <v>0.1434853155766756</v>
      </c>
      <c r="P36" s="503">
        <f>IF(終値!A36="","",IFERROR(4*STDEVP(終値!S36:AL36)/AVERAGE(終値!S36:AL36),""))</f>
        <v>0.14214472588355209</v>
      </c>
      <c r="Q36" s="503">
        <f>IF(終値!A36="","",IFERROR(4*STDEVP(終値!T36:AM36)/AVERAGE(終値!T36:AM36),""))</f>
        <v>0.14337819479872344</v>
      </c>
      <c r="R36" s="503">
        <f>IF(終値!A36="","",IFERROR(4*STDEVP(終値!U36:AN36)/AVERAGE(終値!U36:AN36),""))</f>
        <v>0.14520269931609397</v>
      </c>
      <c r="S36" s="503">
        <f>IF(終値!A36="","",IFERROR(4*STDEVP(終値!V36:AO36)/AVERAGE(終値!V36:AO36),""))</f>
        <v>0.14146495350770932</v>
      </c>
      <c r="T36" s="503">
        <f>IF(終値!A36="","",IFERROR(4*STDEVP(終値!W36:AP36)/AVERAGE(終値!W36:AP36),""))</f>
        <v>0.12938105484843604</v>
      </c>
      <c r="U36" s="503">
        <f>IF(終値!A36="","",IFERROR(4*STDEVP(終値!X36:AQ36)/AVERAGE(終値!X36:AQ36),""))</f>
        <v>0.11482141485357021</v>
      </c>
      <c r="V36" s="503">
        <f>IF(終値!A36="","",IFERROR(4*STDEVP(終値!Y36:AR36)/AVERAGE(終値!Y36:AR36),""))</f>
        <v>9.9308765509397004E-2</v>
      </c>
      <c r="W36" s="503">
        <f>IF(終値!A36="","",IFERROR(4*STDEVP(終値!Z36:AS36)/AVERAGE(終値!Z36:AS36),""))</f>
        <v>8.3077703217111554E-2</v>
      </c>
      <c r="X36" s="503">
        <f>IF(終値!A36="","",IFERROR(4*STDEVP(終値!AA36:AT36)/AVERAGE(終値!AA36:AT36),""))</f>
        <v>7.0945437117161808E-2</v>
      </c>
      <c r="Y36" s="503">
        <f>IF(終値!A36="","",IFERROR(4*STDEVP(終値!AB36:AU36)/AVERAGE(終値!AB36:AU36),""))</f>
        <v>7.1882048500336304E-2</v>
      </c>
      <c r="Z36" s="503">
        <f>IF(終値!A36="","",IFERROR(4*STDEVP(終値!AC36:AV36)/AVERAGE(終値!AC36:AV36),""))</f>
        <v>6.4360584046606412E-2</v>
      </c>
      <c r="AA36" s="503">
        <f>IF(終値!A36="","",IFERROR(4*STDEVP(終値!AD36:AW36)/AVERAGE(終値!AD36:AW36),""))</f>
        <v>5.369975190605538E-2</v>
      </c>
      <c r="AB36" s="503">
        <f>IF(終値!A36="","",IFERROR(4*STDEVP(終値!AE36:AX36)/AVERAGE(終値!AE36:AX36),""))</f>
        <v>5.0041615401308241E-2</v>
      </c>
      <c r="AC36" s="503">
        <f>IF(終値!A36="","",IFERROR(4*STDEVP(終値!AF36:AY36)/AVERAGE(終値!AF36:AY36),""))</f>
        <v>5.3166756970557491E-2</v>
      </c>
      <c r="AD36" s="503">
        <f>IF(終値!A36="","",IFERROR(4*STDEVP(終値!AG36:AZ36)/AVERAGE(終値!AG36:AZ36),""))</f>
        <v>6.292559451485856E-2</v>
      </c>
      <c r="AE36" s="503">
        <f>IF(終値!A36="","",IFERROR(4*STDEVP(終値!AH36:BA36)/AVERAGE(終値!AH36:BA36),""))</f>
        <v>7.2293405022931051E-2</v>
      </c>
      <c r="AF36" s="503">
        <f>IF(終値!A36="","",IFERROR(4*STDEVP(終値!AI36:BB36)/AVERAGE(終値!AI36:BB36),""))</f>
        <v>8.1163226651640899E-2</v>
      </c>
      <c r="AG36" s="503">
        <f>IF(終値!A36="","",IFERROR(4*STDEVP(終値!AJ36:BC36)/AVERAGE(終値!AJ36:BC36),""))</f>
        <v>8.1888157024776129E-2</v>
      </c>
      <c r="AH36" s="503">
        <f>IF(終値!A36="","",IFERROR(4*STDEVP(終値!AK36:BD36)/AVERAGE(終値!AK36:BD36),""))</f>
        <v>8.6517970071431055E-2</v>
      </c>
      <c r="AI36" s="503">
        <f>IF(終値!A36="","",IFERROR(4*STDEVP(終値!AL36:BE36)/AVERAGE(終値!AL36:BE36),""))</f>
        <v>8.5428508344196741E-2</v>
      </c>
      <c r="AJ36" s="503">
        <f>IF(終値!A36="","",IFERROR(4*STDEVP(終値!AM36:BF36)/AVERAGE(終値!AM36:BF36),""))</f>
        <v>8.2211615360120727E-2</v>
      </c>
      <c r="AK36" s="503">
        <f>IF(終値!A36="","",IFERROR(4*STDEVP(終値!AN36:BG36)/AVERAGE(終値!AN36:BG36),""))</f>
        <v>7.7558901233982638E-2</v>
      </c>
      <c r="AL36" s="503">
        <f>IF(終値!A36="","",IFERROR(4*STDEVP(終値!AO36:BH36)/AVERAGE(終値!AO36:BH36),""))</f>
        <v>7.4607015753256192E-2</v>
      </c>
      <c r="AM36" s="503">
        <f>IF(終値!A36="","",IFERROR(4*STDEVP(終値!AP36:BI36)/AVERAGE(終値!AP36:BI36),""))</f>
        <v>6.993792271254469E-2</v>
      </c>
      <c r="AN36" s="503">
        <f>IF(終値!A36="","",IFERROR(4*STDEVP(終値!AQ36:BJ36)/AVERAGE(終値!AQ36:BJ36),""))</f>
        <v>6.2823069765009593E-2</v>
      </c>
      <c r="AO36" s="503">
        <f>IF(終値!A36="","",IFERROR(4*STDEVP(終値!AR36:BK36)/AVERAGE(終値!AR36:BK36),""))</f>
        <v>5.7167142447759542E-2</v>
      </c>
      <c r="AP36" s="503">
        <f>IF(終値!A36="","",IFERROR(4*STDEVP(終値!AS36:BL36)/AVERAGE(終値!AS36:BL36),""))</f>
        <v>5.3591277339149493E-2</v>
      </c>
    </row>
    <row r="37" spans="1:42">
      <c r="A37" s="500" t="str">
        <f>IF(終値!A37="","",終値!A37)</f>
        <v>8570</v>
      </c>
      <c r="B37" s="503">
        <f>IF(終値!A37="","",IFERROR(4*STDEVP(終値!E37:X37)/AVERAGE(終値!E37:X37),""))</f>
        <v>5.5348906222269331E-2</v>
      </c>
      <c r="C37" s="503">
        <f>IF(終値!A37="","",IFERROR(4*STDEVP(終値!F37:Y37)/AVERAGE(終値!F37:Y37),""))</f>
        <v>5.9418230989355579E-2</v>
      </c>
      <c r="D37" s="503">
        <f>IF(終値!A37="","",IFERROR(4*STDEVP(終値!G37:Z37)/AVERAGE(終値!G37:Z37),""))</f>
        <v>7.098756051015713E-2</v>
      </c>
      <c r="E37" s="503">
        <f>IF(終値!A37="","",IFERROR(4*STDEVP(終値!H37:AA37)/AVERAGE(終値!H37:AA37),""))</f>
        <v>8.1753717290191916E-2</v>
      </c>
      <c r="F37" s="503">
        <f>IF(終値!A37="","",IFERROR(4*STDEVP(終値!I37:AB37)/AVERAGE(終値!I37:AB37),""))</f>
        <v>9.1342582763132771E-2</v>
      </c>
      <c r="G37" s="503">
        <f>IF(終値!A37="","",IFERROR(4*STDEVP(終値!J37:AC37)/AVERAGE(終値!J37:AC37),""))</f>
        <v>9.497422821259513E-2</v>
      </c>
      <c r="H37" s="503">
        <f>IF(終値!A37="","",IFERROR(4*STDEVP(終値!K37:AD37)/AVERAGE(終値!K37:AD37),""))</f>
        <v>9.8833874897664709E-2</v>
      </c>
      <c r="I37" s="503">
        <f>IF(終値!A37="","",IFERROR(4*STDEVP(終値!L37:AE37)/AVERAGE(終値!L37:AE37),""))</f>
        <v>9.9320888528179427E-2</v>
      </c>
      <c r="J37" s="503">
        <f>IF(終値!A37="","",IFERROR(4*STDEVP(終値!M37:AF37)/AVERAGE(終値!M37:AF37),""))</f>
        <v>0.10518298864314091</v>
      </c>
      <c r="K37" s="503">
        <f>IF(終値!A37="","",IFERROR(4*STDEVP(終値!N37:AG37)/AVERAGE(終値!N37:AG37),""))</f>
        <v>0.10786947020208232</v>
      </c>
      <c r="L37" s="503">
        <f>IF(終値!A37="","",IFERROR(4*STDEVP(終値!O37:AH37)/AVERAGE(終値!O37:AH37),""))</f>
        <v>0.10162054378506226</v>
      </c>
      <c r="M37" s="503">
        <f>IF(終値!A37="","",IFERROR(4*STDEVP(終値!P37:AI37)/AVERAGE(終値!P37:AI37),""))</f>
        <v>9.4109635877688558E-2</v>
      </c>
      <c r="N37" s="503">
        <f>IF(終値!A37="","",IFERROR(4*STDEVP(終値!Q37:AJ37)/AVERAGE(終値!Q37:AJ37),""))</f>
        <v>9.3412153016666666E-2</v>
      </c>
      <c r="O37" s="503">
        <f>IF(終値!A37="","",IFERROR(4*STDEVP(終値!R37:AK37)/AVERAGE(終値!R37:AK37),""))</f>
        <v>8.887760627986431E-2</v>
      </c>
      <c r="P37" s="503">
        <f>IF(終値!A37="","",IFERROR(4*STDEVP(終値!S37:AL37)/AVERAGE(終値!S37:AL37),""))</f>
        <v>8.0620724298227864E-2</v>
      </c>
      <c r="Q37" s="503">
        <f>IF(終値!A37="","",IFERROR(4*STDEVP(終値!T37:AM37)/AVERAGE(終値!T37:AM37),""))</f>
        <v>7.5171299964788815E-2</v>
      </c>
      <c r="R37" s="503">
        <f>IF(終値!A37="","",IFERROR(4*STDEVP(終値!U37:AN37)/AVERAGE(終値!U37:AN37),""))</f>
        <v>7.4130599755230953E-2</v>
      </c>
      <c r="S37" s="503">
        <f>IF(終値!A37="","",IFERROR(4*STDEVP(終値!V37:AO37)/AVERAGE(終値!V37:AO37),""))</f>
        <v>6.9910239710153255E-2</v>
      </c>
      <c r="T37" s="503">
        <f>IF(終値!A37="","",IFERROR(4*STDEVP(終値!W37:AP37)/AVERAGE(終値!W37:AP37),""))</f>
        <v>6.4941375780821195E-2</v>
      </c>
      <c r="U37" s="503">
        <f>IF(終値!A37="","",IFERROR(4*STDEVP(終値!X37:AQ37)/AVERAGE(終値!X37:AQ37),""))</f>
        <v>6.2134943677844591E-2</v>
      </c>
      <c r="V37" s="503">
        <f>IF(終値!A37="","",IFERROR(4*STDEVP(終値!Y37:AR37)/AVERAGE(終値!Y37:AR37),""))</f>
        <v>5.8159586340725211E-2</v>
      </c>
      <c r="W37" s="503">
        <f>IF(終値!A37="","",IFERROR(4*STDEVP(終値!Z37:AS37)/AVERAGE(終値!Z37:AS37),""))</f>
        <v>6.1189719350404806E-2</v>
      </c>
      <c r="X37" s="503">
        <f>IF(終値!A37="","",IFERROR(4*STDEVP(終値!AA37:AT37)/AVERAGE(終値!AA37:AT37),""))</f>
        <v>6.1813778448174601E-2</v>
      </c>
      <c r="Y37" s="503">
        <f>IF(終値!A37="","",IFERROR(4*STDEVP(終値!AB37:AU37)/AVERAGE(終値!AB37:AU37),""))</f>
        <v>6.236305670057498E-2</v>
      </c>
      <c r="Z37" s="503">
        <f>IF(終値!A37="","",IFERROR(4*STDEVP(終値!AC37:AV37)/AVERAGE(終値!AC37:AV37),""))</f>
        <v>6.5668879931621765E-2</v>
      </c>
      <c r="AA37" s="503">
        <f>IF(終値!A37="","",IFERROR(4*STDEVP(終値!AD37:AW37)/AVERAGE(終値!AD37:AW37),""))</f>
        <v>6.9986437011242603E-2</v>
      </c>
      <c r="AB37" s="503">
        <f>IF(終値!A37="","",IFERROR(4*STDEVP(終値!AE37:AX37)/AVERAGE(終値!AE37:AX37),""))</f>
        <v>7.827366274598771E-2</v>
      </c>
      <c r="AC37" s="503">
        <f>IF(終値!A37="","",IFERROR(4*STDEVP(終値!AF37:AY37)/AVERAGE(終値!AF37:AY37),""))</f>
        <v>8.7012893084506951E-2</v>
      </c>
      <c r="AD37" s="503">
        <f>IF(終値!A37="","",IFERROR(4*STDEVP(終値!AG37:AZ37)/AVERAGE(終値!AG37:AZ37),""))</f>
        <v>9.2904008844078192E-2</v>
      </c>
      <c r="AE37" s="503">
        <f>IF(終値!A37="","",IFERROR(4*STDEVP(終値!AH37:BA37)/AVERAGE(終値!AH37:BA37),""))</f>
        <v>0.10442005920174761</v>
      </c>
      <c r="AF37" s="503">
        <f>IF(終値!A37="","",IFERROR(4*STDEVP(終値!AI37:BB37)/AVERAGE(終値!AI37:BB37),""))</f>
        <v>0.10978697228268963</v>
      </c>
      <c r="AG37" s="503">
        <f>IF(終値!A37="","",IFERROR(4*STDEVP(終値!AJ37:BC37)/AVERAGE(終値!AJ37:BC37),""))</f>
        <v>0.11698791217953471</v>
      </c>
      <c r="AH37" s="503">
        <f>IF(終値!A37="","",IFERROR(4*STDEVP(終値!AK37:BD37)/AVERAGE(終値!AK37:BD37),""))</f>
        <v>0.12164413337872373</v>
      </c>
      <c r="AI37" s="503">
        <f>IF(終値!A37="","",IFERROR(4*STDEVP(終値!AL37:BE37)/AVERAGE(終値!AL37:BE37),""))</f>
        <v>0.12300492777423114</v>
      </c>
      <c r="AJ37" s="503">
        <f>IF(終値!A37="","",IFERROR(4*STDEVP(終値!AM37:BF37)/AVERAGE(終値!AM37:BF37),""))</f>
        <v>0.12431418428729976</v>
      </c>
      <c r="AK37" s="503">
        <f>IF(終値!A37="","",IFERROR(4*STDEVP(終値!AN37:BG37)/AVERAGE(終値!AN37:BG37),""))</f>
        <v>0.12591735393784287</v>
      </c>
      <c r="AL37" s="503">
        <f>IF(終値!A37="","",IFERROR(4*STDEVP(終値!AO37:BH37)/AVERAGE(終値!AO37:BH37),""))</f>
        <v>0.12630165396394225</v>
      </c>
      <c r="AM37" s="503">
        <f>IF(終値!A37="","",IFERROR(4*STDEVP(終値!AP37:BI37)/AVERAGE(終値!AP37:BI37),""))</f>
        <v>0.12563029532951986</v>
      </c>
      <c r="AN37" s="503">
        <f>IF(終値!A37="","",IFERROR(4*STDEVP(終値!AQ37:BJ37)/AVERAGE(終値!AQ37:BJ37),""))</f>
        <v>0.12572816209784882</v>
      </c>
      <c r="AO37" s="503">
        <f>IF(終値!A37="","",IFERROR(4*STDEVP(終値!AR37:BK37)/AVERAGE(終値!AR37:BK37),""))</f>
        <v>0.11887188704480604</v>
      </c>
      <c r="AP37" s="503">
        <f>IF(終値!A37="","",IFERROR(4*STDEVP(終値!AS37:BL37)/AVERAGE(終値!AS37:BL37),""))</f>
        <v>0.11153596406568103</v>
      </c>
    </row>
    <row r="38" spans="1:42">
      <c r="A38" s="500" t="str">
        <f>IF(終値!A38="","",終値!A38)</f>
        <v>5406</v>
      </c>
      <c r="B38" s="503">
        <f>IF(終値!A38="","",IFERROR(4*STDEVP(終値!E38:X38)/AVERAGE(終値!E38:X38),""))</f>
        <v>0.15079476125538113</v>
      </c>
      <c r="C38" s="503">
        <f>IF(終値!A38="","",IFERROR(4*STDEVP(終値!F38:Y38)/AVERAGE(終値!F38:Y38),""))</f>
        <v>0.1492096012941716</v>
      </c>
      <c r="D38" s="503">
        <f>IF(終値!A38="","",IFERROR(4*STDEVP(終値!G38:Z38)/AVERAGE(終値!G38:Z38),""))</f>
        <v>0.14792022012149264</v>
      </c>
      <c r="E38" s="503">
        <f>IF(終値!A38="","",IFERROR(4*STDEVP(終値!H38:AA38)/AVERAGE(終値!H38:AA38),""))</f>
        <v>0.14355832911541197</v>
      </c>
      <c r="F38" s="503">
        <f>IF(終値!A38="","",IFERROR(4*STDEVP(終値!I38:AB38)/AVERAGE(終値!I38:AB38),""))</f>
        <v>0.13361601601049905</v>
      </c>
      <c r="G38" s="503">
        <f>IF(終値!A38="","",IFERROR(4*STDEVP(終値!J38:AC38)/AVERAGE(終値!J38:AC38),""))</f>
        <v>0.11920292125776479</v>
      </c>
      <c r="H38" s="503">
        <f>IF(終値!A38="","",IFERROR(4*STDEVP(終値!K38:AD38)/AVERAGE(終値!K38:AD38),""))</f>
        <v>0.11370693466565152</v>
      </c>
      <c r="I38" s="503">
        <f>IF(終値!A38="","",IFERROR(4*STDEVP(終値!L38:AE38)/AVERAGE(終値!L38:AE38),""))</f>
        <v>9.6808098933421668E-2</v>
      </c>
      <c r="J38" s="503">
        <f>IF(終値!A38="","",IFERROR(4*STDEVP(終値!M38:AF38)/AVERAGE(終値!M38:AF38),""))</f>
        <v>8.9835572862033461E-2</v>
      </c>
      <c r="K38" s="503">
        <f>IF(終値!A38="","",IFERROR(4*STDEVP(終値!N38:AG38)/AVERAGE(終値!N38:AG38),""))</f>
        <v>7.8808679362446468E-2</v>
      </c>
      <c r="L38" s="503">
        <f>IF(終値!A38="","",IFERROR(4*STDEVP(終値!O38:AH38)/AVERAGE(終値!O38:AH38),""))</f>
        <v>7.4579521657602177E-2</v>
      </c>
      <c r="M38" s="503">
        <f>IF(終値!A38="","",IFERROR(4*STDEVP(終値!P38:AI38)/AVERAGE(終値!P38:AI38),""))</f>
        <v>7.3824596736557654E-2</v>
      </c>
      <c r="N38" s="503">
        <f>IF(終値!A38="","",IFERROR(4*STDEVP(終値!Q38:AJ38)/AVERAGE(終値!Q38:AJ38),""))</f>
        <v>8.771148922654208E-2</v>
      </c>
      <c r="O38" s="503">
        <f>IF(終値!A38="","",IFERROR(4*STDEVP(終値!R38:AK38)/AVERAGE(終値!R38:AK38),""))</f>
        <v>9.3455817424992718E-2</v>
      </c>
      <c r="P38" s="503">
        <f>IF(終値!A38="","",IFERROR(4*STDEVP(終値!S38:AL38)/AVERAGE(終値!S38:AL38),""))</f>
        <v>0.10159741935618143</v>
      </c>
      <c r="Q38" s="503">
        <f>IF(終値!A38="","",IFERROR(4*STDEVP(終値!T38:AM38)/AVERAGE(終値!T38:AM38),""))</f>
        <v>0.10567241142459469</v>
      </c>
      <c r="R38" s="503">
        <f>IF(終値!A38="","",IFERROR(4*STDEVP(終値!U38:AN38)/AVERAGE(終値!U38:AN38),""))</f>
        <v>0.10297921460811608</v>
      </c>
      <c r="S38" s="503">
        <f>IF(終値!A38="","",IFERROR(4*STDEVP(終値!V38:AO38)/AVERAGE(終値!V38:AO38),""))</f>
        <v>0.10193091642970842</v>
      </c>
      <c r="T38" s="503">
        <f>IF(終値!A38="","",IFERROR(4*STDEVP(終値!W38:AP38)/AVERAGE(終値!W38:AP38),""))</f>
        <v>0.10087835665441709</v>
      </c>
      <c r="U38" s="503">
        <f>IF(終値!A38="","",IFERROR(4*STDEVP(終値!X38:AQ38)/AVERAGE(終値!X38:AQ38),""))</f>
        <v>0.10086861644989649</v>
      </c>
      <c r="V38" s="503">
        <f>IF(終値!A38="","",IFERROR(4*STDEVP(終値!Y38:AR38)/AVERAGE(終値!Y38:AR38),""))</f>
        <v>0.10113272245175783</v>
      </c>
      <c r="W38" s="503">
        <f>IF(終値!A38="","",IFERROR(4*STDEVP(終値!Z38:AS38)/AVERAGE(終値!Z38:AS38),""))</f>
        <v>0.10133894120665335</v>
      </c>
      <c r="X38" s="503">
        <f>IF(終値!A38="","",IFERROR(4*STDEVP(終値!AA38:AT38)/AVERAGE(終値!AA38:AT38),""))</f>
        <v>9.9521974291573514E-2</v>
      </c>
      <c r="Y38" s="503">
        <f>IF(終値!A38="","",IFERROR(4*STDEVP(終値!AB38:AU38)/AVERAGE(終値!AB38:AU38),""))</f>
        <v>9.2743439273882428E-2</v>
      </c>
      <c r="Z38" s="503">
        <f>IF(終値!A38="","",IFERROR(4*STDEVP(終値!AC38:AV38)/AVERAGE(終値!AC38:AV38),""))</f>
        <v>9.0647868318710634E-2</v>
      </c>
      <c r="AA38" s="503">
        <f>IF(終値!A38="","",IFERROR(4*STDEVP(終値!AD38:AW38)/AVERAGE(終値!AD38:AW38),""))</f>
        <v>8.4496951655346625E-2</v>
      </c>
      <c r="AB38" s="503">
        <f>IF(終値!A38="","",IFERROR(4*STDEVP(終値!AE38:AX38)/AVERAGE(終値!AE38:AX38),""))</f>
        <v>7.925320447100033E-2</v>
      </c>
      <c r="AC38" s="503">
        <f>IF(終値!A38="","",IFERROR(4*STDEVP(終値!AF38:AY38)/AVERAGE(終値!AF38:AY38),""))</f>
        <v>7.2128298169304314E-2</v>
      </c>
      <c r="AD38" s="503">
        <f>IF(終値!A38="","",IFERROR(4*STDEVP(終値!AG38:AZ38)/AVERAGE(終値!AG38:AZ38),""))</f>
        <v>6.5136990845038351E-2</v>
      </c>
      <c r="AE38" s="503">
        <f>IF(終値!A38="","",IFERROR(4*STDEVP(終値!AH38:BA38)/AVERAGE(終値!AH38:BA38),""))</f>
        <v>5.9581100938607912E-2</v>
      </c>
      <c r="AF38" s="503">
        <f>IF(終値!A38="","",IFERROR(4*STDEVP(終値!AI38:BB38)/AVERAGE(終値!AI38:BB38),""))</f>
        <v>6.7610375901227981E-2</v>
      </c>
      <c r="AG38" s="503">
        <f>IF(終値!A38="","",IFERROR(4*STDEVP(終値!AJ38:BC38)/AVERAGE(終値!AJ38:BC38),""))</f>
        <v>6.8469855905688576E-2</v>
      </c>
      <c r="AH38" s="503">
        <f>IF(終値!A38="","",IFERROR(4*STDEVP(終値!AK38:BD38)/AVERAGE(終値!AK38:BD38),""))</f>
        <v>6.9282746822100172E-2</v>
      </c>
      <c r="AI38" s="503">
        <f>IF(終値!A38="","",IFERROR(4*STDEVP(終値!AL38:BE38)/AVERAGE(終値!AL38:BE38),""))</f>
        <v>6.791227587108474E-2</v>
      </c>
      <c r="AJ38" s="503">
        <f>IF(終値!A38="","",IFERROR(4*STDEVP(終値!AM38:BF38)/AVERAGE(終値!AM38:BF38),""))</f>
        <v>6.65382354853256E-2</v>
      </c>
      <c r="AK38" s="503">
        <f>IF(終値!A38="","",IFERROR(4*STDEVP(終値!AN38:BG38)/AVERAGE(終値!AN38:BG38),""))</f>
        <v>6.1828090102341068E-2</v>
      </c>
      <c r="AL38" s="503">
        <f>IF(終値!A38="","",IFERROR(4*STDEVP(終値!AO38:BH38)/AVERAGE(終値!AO38:BH38),""))</f>
        <v>6.4505167036463265E-2</v>
      </c>
      <c r="AM38" s="503">
        <f>IF(終値!A38="","",IFERROR(4*STDEVP(終値!AP38:BI38)/AVERAGE(終値!AP38:BI38),""))</f>
        <v>6.8806420285672645E-2</v>
      </c>
      <c r="AN38" s="503">
        <f>IF(終値!A38="","",IFERROR(4*STDEVP(終値!AQ38:BJ38)/AVERAGE(終値!AQ38:BJ38),""))</f>
        <v>6.5720794307152761E-2</v>
      </c>
      <c r="AO38" s="503">
        <f>IF(終値!A38="","",IFERROR(4*STDEVP(終値!AR38:BK38)/AVERAGE(終値!AR38:BK38),""))</f>
        <v>6.4592502024882301E-2</v>
      </c>
      <c r="AP38" s="503">
        <f>IF(終値!A38="","",IFERROR(4*STDEVP(終値!AS38:BL38)/AVERAGE(終値!AS38:BL38),""))</f>
        <v>6.4344414452983029E-2</v>
      </c>
    </row>
    <row r="39" spans="1:42">
      <c r="A39" s="500" t="str">
        <f>IF(終値!A39="","",終値!A39)</f>
        <v>8593</v>
      </c>
      <c r="B39" s="503">
        <f>IF(終値!A39="","",IFERROR(4*STDEVP(終値!E39:X39)/AVERAGE(終値!E39:X39),""))</f>
        <v>0.12084762792552448</v>
      </c>
      <c r="C39" s="503">
        <f>IF(終値!A39="","",IFERROR(4*STDEVP(終値!F39:Y39)/AVERAGE(終値!F39:Y39),""))</f>
        <v>0.12885503883725583</v>
      </c>
      <c r="D39" s="503">
        <f>IF(終値!A39="","",IFERROR(4*STDEVP(終値!G39:Z39)/AVERAGE(終値!G39:Z39),""))</f>
        <v>0.14056313657902669</v>
      </c>
      <c r="E39" s="503">
        <f>IF(終値!A39="","",IFERROR(4*STDEVP(終値!H39:AA39)/AVERAGE(終値!H39:AA39),""))</f>
        <v>0.15093993104362341</v>
      </c>
      <c r="F39" s="503">
        <f>IF(終値!A39="","",IFERROR(4*STDEVP(終値!I39:AB39)/AVERAGE(終値!I39:AB39),""))</f>
        <v>0.15220697696881424</v>
      </c>
      <c r="G39" s="503">
        <f>IF(終値!A39="","",IFERROR(4*STDEVP(終値!J39:AC39)/AVERAGE(終値!J39:AC39),""))</f>
        <v>0.13909121019220916</v>
      </c>
      <c r="H39" s="503">
        <f>IF(終値!A39="","",IFERROR(4*STDEVP(終値!K39:AD39)/AVERAGE(終値!K39:AD39),""))</f>
        <v>0.13827803346997145</v>
      </c>
      <c r="I39" s="503">
        <f>IF(終値!A39="","",IFERROR(4*STDEVP(終値!L39:AE39)/AVERAGE(終値!L39:AE39),""))</f>
        <v>0.13403583811772857</v>
      </c>
      <c r="J39" s="503">
        <f>IF(終値!A39="","",IFERROR(4*STDEVP(終値!M39:AF39)/AVERAGE(終値!M39:AF39),""))</f>
        <v>0.13563433983178072</v>
      </c>
      <c r="K39" s="503">
        <f>IF(終値!A39="","",IFERROR(4*STDEVP(終値!N39:AG39)/AVERAGE(終値!N39:AG39),""))</f>
        <v>0.13497174512307719</v>
      </c>
      <c r="L39" s="503">
        <f>IF(終値!A39="","",IFERROR(4*STDEVP(終値!O39:AH39)/AVERAGE(終値!O39:AH39),""))</f>
        <v>0.12789188000869983</v>
      </c>
      <c r="M39" s="503">
        <f>IF(終値!A39="","",IFERROR(4*STDEVP(終値!P39:AI39)/AVERAGE(終値!P39:AI39),""))</f>
        <v>0.11544186842448476</v>
      </c>
      <c r="N39" s="503">
        <f>IF(終値!A39="","",IFERROR(4*STDEVP(終値!Q39:AJ39)/AVERAGE(終値!Q39:AJ39),""))</f>
        <v>0.11272873682128172</v>
      </c>
      <c r="O39" s="503">
        <f>IF(終値!A39="","",IFERROR(4*STDEVP(終値!R39:AK39)/AVERAGE(終値!R39:AK39),""))</f>
        <v>0.10171219865648413</v>
      </c>
      <c r="P39" s="503">
        <f>IF(終値!A39="","",IFERROR(4*STDEVP(終値!S39:AL39)/AVERAGE(終値!S39:AL39),""))</f>
        <v>9.3346774719990228E-2</v>
      </c>
      <c r="Q39" s="503">
        <f>IF(終値!A39="","",IFERROR(4*STDEVP(終値!T39:AM39)/AVERAGE(終値!T39:AM39),""))</f>
        <v>8.8086478413465744E-2</v>
      </c>
      <c r="R39" s="503">
        <f>IF(終値!A39="","",IFERROR(4*STDEVP(終値!U39:AN39)/AVERAGE(終値!U39:AN39),""))</f>
        <v>8.5211451739093683E-2</v>
      </c>
      <c r="S39" s="503">
        <f>IF(終値!A39="","",IFERROR(4*STDEVP(終値!V39:AO39)/AVERAGE(終値!V39:AO39),""))</f>
        <v>8.0020066282953634E-2</v>
      </c>
      <c r="T39" s="503">
        <f>IF(終値!A39="","",IFERROR(4*STDEVP(終値!W39:AP39)/AVERAGE(終値!W39:AP39),""))</f>
        <v>6.8611944244686571E-2</v>
      </c>
      <c r="U39" s="503">
        <f>IF(終値!A39="","",IFERROR(4*STDEVP(終値!X39:AQ39)/AVERAGE(終値!X39:AQ39),""))</f>
        <v>5.6399065446525766E-2</v>
      </c>
      <c r="V39" s="503">
        <f>IF(終値!A39="","",IFERROR(4*STDEVP(終値!Y39:AR39)/AVERAGE(終値!Y39:AR39),""))</f>
        <v>5.0752904750439212E-2</v>
      </c>
      <c r="W39" s="503">
        <f>IF(終値!A39="","",IFERROR(4*STDEVP(終値!Z39:AS39)/AVERAGE(終値!Z39:AS39),""))</f>
        <v>5.5705943957952538E-2</v>
      </c>
      <c r="X39" s="503">
        <f>IF(終値!A39="","",IFERROR(4*STDEVP(終値!AA39:AT39)/AVERAGE(終値!AA39:AT39),""))</f>
        <v>6.0666185831857761E-2</v>
      </c>
      <c r="Y39" s="503">
        <f>IF(終値!A39="","",IFERROR(4*STDEVP(終値!AB39:AU39)/AVERAGE(終値!AB39:AU39),""))</f>
        <v>6.6345861110767221E-2</v>
      </c>
      <c r="Z39" s="503">
        <f>IF(終値!A39="","",IFERROR(4*STDEVP(終値!AC39:AV39)/AVERAGE(終値!AC39:AV39),""))</f>
        <v>6.5919762194595874E-2</v>
      </c>
      <c r="AA39" s="503">
        <f>IF(終値!A39="","",IFERROR(4*STDEVP(終値!AD39:AW39)/AVERAGE(終値!AD39:AW39),""))</f>
        <v>6.499779067075101E-2</v>
      </c>
      <c r="AB39" s="503">
        <f>IF(終値!A39="","",IFERROR(4*STDEVP(終値!AE39:AX39)/AVERAGE(終値!AE39:AX39),""))</f>
        <v>6.505137714247762E-2</v>
      </c>
      <c r="AC39" s="503">
        <f>IF(終値!A39="","",IFERROR(4*STDEVP(終値!AF39:AY39)/AVERAGE(終値!AF39:AY39),""))</f>
        <v>6.5710401675636562E-2</v>
      </c>
      <c r="AD39" s="503">
        <f>IF(終値!A39="","",IFERROR(4*STDEVP(終値!AG39:AZ39)/AVERAGE(終値!AG39:AZ39),""))</f>
        <v>6.5917316103639781E-2</v>
      </c>
      <c r="AE39" s="503">
        <f>IF(終値!A39="","",IFERROR(4*STDEVP(終値!AH39:BA39)/AVERAGE(終値!AH39:BA39),""))</f>
        <v>6.7784537768450323E-2</v>
      </c>
      <c r="AF39" s="503">
        <f>IF(終値!A39="","",IFERROR(4*STDEVP(終値!AI39:BB39)/AVERAGE(終値!AI39:BB39),""))</f>
        <v>7.1575105563007502E-2</v>
      </c>
      <c r="AG39" s="503">
        <f>IF(終値!A39="","",IFERROR(4*STDEVP(終値!AJ39:BC39)/AVERAGE(終値!AJ39:BC39),""))</f>
        <v>7.5522554498631697E-2</v>
      </c>
      <c r="AH39" s="503">
        <f>IF(終値!A39="","",IFERROR(4*STDEVP(終値!AK39:BD39)/AVERAGE(終値!AK39:BD39),""))</f>
        <v>7.7523926403827673E-2</v>
      </c>
      <c r="AI39" s="503">
        <f>IF(終値!A39="","",IFERROR(4*STDEVP(終値!AL39:BE39)/AVERAGE(終値!AL39:BE39),""))</f>
        <v>0.10888652988919117</v>
      </c>
      <c r="AJ39" s="503">
        <f>IF(終値!A39="","",IFERROR(4*STDEVP(終値!AM39:BF39)/AVERAGE(終値!AM39:BF39),""))</f>
        <v>0.13366364477695392</v>
      </c>
      <c r="AK39" s="503">
        <f>IF(終値!A39="","",IFERROR(4*STDEVP(終値!AN39:BG39)/AVERAGE(終値!AN39:BG39),""))</f>
        <v>0.15292909133934618</v>
      </c>
      <c r="AL39" s="503">
        <f>IF(終値!A39="","",IFERROR(4*STDEVP(終値!AO39:BH39)/AVERAGE(終値!AO39:BH39),""))</f>
        <v>0.16936823711819196</v>
      </c>
      <c r="AM39" s="503">
        <f>IF(終値!A39="","",IFERROR(4*STDEVP(終値!AP39:BI39)/AVERAGE(終値!AP39:BI39),""))</f>
        <v>0.17656825452005925</v>
      </c>
      <c r="AN39" s="503">
        <f>IF(終値!A39="","",IFERROR(4*STDEVP(終値!AQ39:BJ39)/AVERAGE(終値!AQ39:BJ39),""))</f>
        <v>0.18095287752374567</v>
      </c>
      <c r="AO39" s="503">
        <f>IF(終値!A39="","",IFERROR(4*STDEVP(終値!AR39:BK39)/AVERAGE(終値!AR39:BK39),""))</f>
        <v>0.18345121490082908</v>
      </c>
      <c r="AP39" s="503">
        <f>IF(終値!A39="","",IFERROR(4*STDEVP(終値!AS39:BL39)/AVERAGE(終値!AS39:BL39),""))</f>
        <v>0.17905471677234902</v>
      </c>
    </row>
    <row r="40" spans="1:42">
      <c r="A40" s="500" t="str">
        <f>IF(終値!A40="","",終値!A40)</f>
        <v>8604</v>
      </c>
      <c r="B40" s="503">
        <f>IF(終値!A40="","",IFERROR(4*STDEVP(終値!E40:X40)/AVERAGE(終値!E40:X40),""))</f>
        <v>0.11204682745202446</v>
      </c>
      <c r="C40" s="503">
        <f>IF(終値!A40="","",IFERROR(4*STDEVP(終値!F40:Y40)/AVERAGE(終値!F40:Y40),""))</f>
        <v>0.11948501690650888</v>
      </c>
      <c r="D40" s="503">
        <f>IF(終値!A40="","",IFERROR(4*STDEVP(終値!G40:Z40)/AVERAGE(終値!G40:Z40),""))</f>
        <v>0.12829953695968194</v>
      </c>
      <c r="E40" s="503">
        <f>IF(終値!A40="","",IFERROR(4*STDEVP(終値!H40:AA40)/AVERAGE(終値!H40:AA40),""))</f>
        <v>0.14187314185575223</v>
      </c>
      <c r="F40" s="503">
        <f>IF(終値!A40="","",IFERROR(4*STDEVP(終値!I40:AB40)/AVERAGE(終値!I40:AB40),""))</f>
        <v>0.1550500216615181</v>
      </c>
      <c r="G40" s="503">
        <f>IF(終値!A40="","",IFERROR(4*STDEVP(終値!J40:AC40)/AVERAGE(終値!J40:AC40),""))</f>
        <v>0.17015272369943879</v>
      </c>
      <c r="H40" s="503">
        <f>IF(終値!A40="","",IFERROR(4*STDEVP(終値!K40:AD40)/AVERAGE(終値!K40:AD40),""))</f>
        <v>0.18031918717207787</v>
      </c>
      <c r="I40" s="503">
        <f>IF(終値!A40="","",IFERROR(4*STDEVP(終値!L40:AE40)/AVERAGE(終値!L40:AE40),""))</f>
        <v>0.18570006415405696</v>
      </c>
      <c r="J40" s="503">
        <f>IF(終値!A40="","",IFERROR(4*STDEVP(終値!M40:AF40)/AVERAGE(終値!M40:AF40),""))</f>
        <v>0.18978743171516851</v>
      </c>
      <c r="K40" s="503">
        <f>IF(終値!A40="","",IFERROR(4*STDEVP(終値!N40:AG40)/AVERAGE(終値!N40:AG40),""))</f>
        <v>0.18627641096262659</v>
      </c>
      <c r="L40" s="503">
        <f>IF(終値!A40="","",IFERROR(4*STDEVP(終値!O40:AH40)/AVERAGE(終値!O40:AH40),""))</f>
        <v>0.17795863628374983</v>
      </c>
      <c r="M40" s="503">
        <f>IF(終値!A40="","",IFERROR(4*STDEVP(終値!P40:AI40)/AVERAGE(終値!P40:AI40),""))</f>
        <v>0.17357854909840817</v>
      </c>
      <c r="N40" s="503">
        <f>IF(終値!A40="","",IFERROR(4*STDEVP(終値!Q40:AJ40)/AVERAGE(終値!Q40:AJ40),""))</f>
        <v>0.17384064312602829</v>
      </c>
      <c r="O40" s="503">
        <f>IF(終値!A40="","",IFERROR(4*STDEVP(終値!R40:AK40)/AVERAGE(終値!R40:AK40),""))</f>
        <v>0.14699396060583864</v>
      </c>
      <c r="P40" s="503">
        <f>IF(終値!A40="","",IFERROR(4*STDEVP(終値!S40:AL40)/AVERAGE(終値!S40:AL40),""))</f>
        <v>0.13968800443240315</v>
      </c>
      <c r="Q40" s="503">
        <f>IF(終値!A40="","",IFERROR(4*STDEVP(終値!T40:AM40)/AVERAGE(終値!T40:AM40),""))</f>
        <v>0.13204808209740473</v>
      </c>
      <c r="R40" s="503">
        <f>IF(終値!A40="","",IFERROR(4*STDEVP(終値!U40:AN40)/AVERAGE(終値!U40:AN40),""))</f>
        <v>0.12960546329127948</v>
      </c>
      <c r="S40" s="503">
        <f>IF(終値!A40="","",IFERROR(4*STDEVP(終値!V40:AO40)/AVERAGE(終値!V40:AO40),""))</f>
        <v>0.13011091117982532</v>
      </c>
      <c r="T40" s="503">
        <f>IF(終値!A40="","",IFERROR(4*STDEVP(終値!W40:AP40)/AVERAGE(終値!W40:AP40),""))</f>
        <v>0.11349054867052612</v>
      </c>
      <c r="U40" s="503">
        <f>IF(終値!A40="","",IFERROR(4*STDEVP(終値!X40:AQ40)/AVERAGE(終値!X40:AQ40),""))</f>
        <v>9.7667992530369618E-2</v>
      </c>
      <c r="V40" s="503">
        <f>IF(終値!A40="","",IFERROR(4*STDEVP(終値!Y40:AR40)/AVERAGE(終値!Y40:AR40),""))</f>
        <v>9.2164986776620439E-2</v>
      </c>
      <c r="W40" s="503">
        <f>IF(終値!A40="","",IFERROR(4*STDEVP(終値!Z40:AS40)/AVERAGE(終値!Z40:AS40),""))</f>
        <v>9.1382836593891473E-2</v>
      </c>
      <c r="X40" s="503">
        <f>IF(終値!A40="","",IFERROR(4*STDEVP(終値!AA40:AT40)/AVERAGE(終値!AA40:AT40),""))</f>
        <v>9.0922829206896774E-2</v>
      </c>
      <c r="Y40" s="503">
        <f>IF(終値!A40="","",IFERROR(4*STDEVP(終値!AB40:AU40)/AVERAGE(終値!AB40:AU40),""))</f>
        <v>9.8916421784617278E-2</v>
      </c>
      <c r="Z40" s="503">
        <f>IF(終値!A40="","",IFERROR(4*STDEVP(終値!AC40:AV40)/AVERAGE(終値!AC40:AV40),""))</f>
        <v>0.11966992990742095</v>
      </c>
      <c r="AA40" s="503">
        <f>IF(終値!A40="","",IFERROR(4*STDEVP(終値!AD40:AW40)/AVERAGE(終値!AD40:AW40),""))</f>
        <v>0.1466982792209722</v>
      </c>
      <c r="AB40" s="503">
        <f>IF(終値!A40="","",IFERROR(4*STDEVP(終値!AE40:AX40)/AVERAGE(終値!AE40:AX40),""))</f>
        <v>0.16264655810810538</v>
      </c>
      <c r="AC40" s="503">
        <f>IF(終値!A40="","",IFERROR(4*STDEVP(終値!AF40:AY40)/AVERAGE(終値!AF40:AY40),""))</f>
        <v>0.17230135198776353</v>
      </c>
      <c r="AD40" s="503">
        <f>IF(終値!A40="","",IFERROR(4*STDEVP(終値!AG40:AZ40)/AVERAGE(終値!AG40:AZ40),""))</f>
        <v>0.17729544971379346</v>
      </c>
      <c r="AE40" s="503">
        <f>IF(終値!A40="","",IFERROR(4*STDEVP(終値!AH40:BA40)/AVERAGE(終値!AH40:BA40),""))</f>
        <v>0.18064274697017743</v>
      </c>
      <c r="AF40" s="503">
        <f>IF(終値!A40="","",IFERROR(4*STDEVP(終値!AI40:BB40)/AVERAGE(終値!AI40:BB40),""))</f>
        <v>0.18395529925215273</v>
      </c>
      <c r="AG40" s="503">
        <f>IF(終値!A40="","",IFERROR(4*STDEVP(終値!AJ40:BC40)/AVERAGE(終値!AJ40:BC40),""))</f>
        <v>0.18417984462735681</v>
      </c>
      <c r="AH40" s="503">
        <f>IF(終値!A40="","",IFERROR(4*STDEVP(終値!AK40:BD40)/AVERAGE(終値!AK40:BD40),""))</f>
        <v>0.18113513290886452</v>
      </c>
      <c r="AI40" s="503">
        <f>IF(終値!A40="","",IFERROR(4*STDEVP(終値!AL40:BE40)/AVERAGE(終値!AL40:BE40),""))</f>
        <v>0.16390750772331672</v>
      </c>
      <c r="AJ40" s="503">
        <f>IF(終値!A40="","",IFERROR(4*STDEVP(終値!AM40:BF40)/AVERAGE(終値!AM40:BF40),""))</f>
        <v>0.153802791765387</v>
      </c>
      <c r="AK40" s="503">
        <f>IF(終値!A40="","",IFERROR(4*STDEVP(終値!AN40:BG40)/AVERAGE(終値!AN40:BG40),""))</f>
        <v>0.13828824902773518</v>
      </c>
      <c r="AL40" s="503">
        <f>IF(終値!A40="","",IFERROR(4*STDEVP(終値!AO40:BH40)/AVERAGE(終値!AO40:BH40),""))</f>
        <v>0.13943693412454988</v>
      </c>
      <c r="AM40" s="503">
        <f>IF(終値!A40="","",IFERROR(4*STDEVP(終値!AP40:BI40)/AVERAGE(終値!AP40:BI40),""))</f>
        <v>0.14177359125635697</v>
      </c>
      <c r="AN40" s="503">
        <f>IF(終値!A40="","",IFERROR(4*STDEVP(終値!AQ40:BJ40)/AVERAGE(終値!AQ40:BJ40),""))</f>
        <v>0.13120111178491828</v>
      </c>
      <c r="AO40" s="503">
        <f>IF(終値!A40="","",IFERROR(4*STDEVP(終値!AR40:BK40)/AVERAGE(終値!AR40:BK40),""))</f>
        <v>0.12151558730568909</v>
      </c>
      <c r="AP40" s="503">
        <f>IF(終値!A40="","",IFERROR(4*STDEVP(終値!AS40:BL40)/AVERAGE(終値!AS40:BL40),""))</f>
        <v>0.11264380786078484</v>
      </c>
    </row>
    <row r="41" spans="1:42">
      <c r="A41" s="500" t="str">
        <f>IF(終値!A41="","",終値!A41)</f>
        <v>3861</v>
      </c>
      <c r="B41" s="503">
        <f>IF(終値!A41="","",IFERROR(4*STDEVP(終値!E41:X41)/AVERAGE(終値!E41:X41),""))</f>
        <v>0.12428382163032053</v>
      </c>
      <c r="C41" s="503">
        <f>IF(終値!A41="","",IFERROR(4*STDEVP(終値!F41:Y41)/AVERAGE(終値!F41:Y41),""))</f>
        <v>0.12890088773360897</v>
      </c>
      <c r="D41" s="503">
        <f>IF(終値!A41="","",IFERROR(4*STDEVP(終値!G41:Z41)/AVERAGE(終値!G41:Z41),""))</f>
        <v>0.13171690027126473</v>
      </c>
      <c r="E41" s="503">
        <f>IF(終値!A41="","",IFERROR(4*STDEVP(終値!H41:AA41)/AVERAGE(終値!H41:AA41),""))</f>
        <v>0.13780369249992036</v>
      </c>
      <c r="F41" s="503">
        <f>IF(終値!A41="","",IFERROR(4*STDEVP(終値!I41:AB41)/AVERAGE(終値!I41:AB41),""))</f>
        <v>0.13554394862369831</v>
      </c>
      <c r="G41" s="503">
        <f>IF(終値!A41="","",IFERROR(4*STDEVP(終値!J41:AC41)/AVERAGE(終値!J41:AC41),""))</f>
        <v>0.12389097909552656</v>
      </c>
      <c r="H41" s="503">
        <f>IF(終値!A41="","",IFERROR(4*STDEVP(終値!K41:AD41)/AVERAGE(終値!K41:AD41),""))</f>
        <v>0.11989331308224127</v>
      </c>
      <c r="I41" s="503">
        <f>IF(終値!A41="","",IFERROR(4*STDEVP(終値!L41:AE41)/AVERAGE(終値!L41:AE41),""))</f>
        <v>0.1146823398946121</v>
      </c>
      <c r="J41" s="503">
        <f>IF(終値!A41="","",IFERROR(4*STDEVP(終値!M41:AF41)/AVERAGE(終値!M41:AF41),""))</f>
        <v>0.11821966180856108</v>
      </c>
      <c r="K41" s="503">
        <f>IF(終値!A41="","",IFERROR(4*STDEVP(終値!N41:AG41)/AVERAGE(終値!N41:AG41),""))</f>
        <v>0.1098553846925697</v>
      </c>
      <c r="L41" s="503">
        <f>IF(終値!A41="","",IFERROR(4*STDEVP(終値!O41:AH41)/AVERAGE(終値!O41:AH41),""))</f>
        <v>0.10004707372856238</v>
      </c>
      <c r="M41" s="503">
        <f>IF(終値!A41="","",IFERROR(4*STDEVP(終値!P41:AI41)/AVERAGE(終値!P41:AI41),""))</f>
        <v>8.8753515522790927E-2</v>
      </c>
      <c r="N41" s="503">
        <f>IF(終値!A41="","",IFERROR(4*STDEVP(終値!Q41:AJ41)/AVERAGE(終値!Q41:AJ41),""))</f>
        <v>8.3700571516210867E-2</v>
      </c>
      <c r="O41" s="503">
        <f>IF(終値!A41="","",IFERROR(4*STDEVP(終値!R41:AK41)/AVERAGE(終値!R41:AK41),""))</f>
        <v>8.1193144604119555E-2</v>
      </c>
      <c r="P41" s="503">
        <f>IF(終値!A41="","",IFERROR(4*STDEVP(終値!S41:AL41)/AVERAGE(終値!S41:AL41),""))</f>
        <v>7.9558916888339687E-2</v>
      </c>
      <c r="Q41" s="503">
        <f>IF(終値!A41="","",IFERROR(4*STDEVP(終値!T41:AM41)/AVERAGE(終値!T41:AM41),""))</f>
        <v>7.9134512380456754E-2</v>
      </c>
      <c r="R41" s="503">
        <f>IF(終値!A41="","",IFERROR(4*STDEVP(終値!U41:AN41)/AVERAGE(終値!U41:AN41),""))</f>
        <v>7.9196283977891496E-2</v>
      </c>
      <c r="S41" s="503">
        <f>IF(終値!A41="","",IFERROR(4*STDEVP(終値!V41:AO41)/AVERAGE(終値!V41:AO41),""))</f>
        <v>7.7957757252226575E-2</v>
      </c>
      <c r="T41" s="503">
        <f>IF(終値!A41="","",IFERROR(4*STDEVP(終値!W41:AP41)/AVERAGE(終値!W41:AP41),""))</f>
        <v>7.2267870980898694E-2</v>
      </c>
      <c r="U41" s="503">
        <f>IF(終値!A41="","",IFERROR(4*STDEVP(終値!X41:AQ41)/AVERAGE(終値!X41:AQ41),""))</f>
        <v>6.4491357174585859E-2</v>
      </c>
      <c r="V41" s="503">
        <f>IF(終値!A41="","",IFERROR(4*STDEVP(終値!Y41:AR41)/AVERAGE(終値!Y41:AR41),""))</f>
        <v>5.4225293070575734E-2</v>
      </c>
      <c r="W41" s="503">
        <f>IF(終値!A41="","",IFERROR(4*STDEVP(終値!Z41:AS41)/AVERAGE(終値!Z41:AS41),""))</f>
        <v>5.2713275205407827E-2</v>
      </c>
      <c r="X41" s="503">
        <f>IF(終値!A41="","",IFERROR(4*STDEVP(終値!AA41:AT41)/AVERAGE(終値!AA41:AT41),""))</f>
        <v>4.7643539726420117E-2</v>
      </c>
      <c r="Y41" s="503">
        <f>IF(終値!A41="","",IFERROR(4*STDEVP(終値!AB41:AU41)/AVERAGE(終値!AB41:AU41),""))</f>
        <v>5.3153769188882073E-2</v>
      </c>
      <c r="Z41" s="503">
        <f>IF(終値!A41="","",IFERROR(4*STDEVP(終値!AC41:AV41)/AVERAGE(終値!AC41:AV41),""))</f>
        <v>5.3014111658172061E-2</v>
      </c>
      <c r="AA41" s="503">
        <f>IF(終値!A41="","",IFERROR(4*STDEVP(終値!AD41:AW41)/AVERAGE(終値!AD41:AW41),""))</f>
        <v>4.9186148632717822E-2</v>
      </c>
      <c r="AB41" s="503">
        <f>IF(終値!A41="","",IFERROR(4*STDEVP(終値!AE41:AX41)/AVERAGE(終値!AE41:AX41),""))</f>
        <v>4.9708663017221766E-2</v>
      </c>
      <c r="AC41" s="503">
        <f>IF(終値!A41="","",IFERROR(4*STDEVP(終値!AF41:AY41)/AVERAGE(終値!AF41:AY41),""))</f>
        <v>5.0885666321111321E-2</v>
      </c>
      <c r="AD41" s="503">
        <f>IF(終値!A41="","",IFERROR(4*STDEVP(終値!AG41:AZ41)/AVERAGE(終値!AG41:AZ41),""))</f>
        <v>5.0379027760428255E-2</v>
      </c>
      <c r="AE41" s="503">
        <f>IF(終値!A41="","",IFERROR(4*STDEVP(終値!AH41:BA41)/AVERAGE(終値!AH41:BA41),""))</f>
        <v>5.0874743543075085E-2</v>
      </c>
      <c r="AF41" s="503">
        <f>IF(終値!A41="","",IFERROR(4*STDEVP(終値!AI41:BB41)/AVERAGE(終値!AI41:BB41),""))</f>
        <v>5.35655377266685E-2</v>
      </c>
      <c r="AG41" s="503">
        <f>IF(終値!A41="","",IFERROR(4*STDEVP(終値!AJ41:BC41)/AVERAGE(終値!AJ41:BC41),""))</f>
        <v>5.8874958179808597E-2</v>
      </c>
      <c r="AH41" s="503">
        <f>IF(終値!A41="","",IFERROR(4*STDEVP(終値!AK41:BD41)/AVERAGE(終値!AK41:BD41),""))</f>
        <v>6.2373459891608383E-2</v>
      </c>
      <c r="AI41" s="503">
        <f>IF(終値!A41="","",IFERROR(4*STDEVP(終値!AL41:BE41)/AVERAGE(終値!AL41:BE41),""))</f>
        <v>9.7622896883328591E-2</v>
      </c>
      <c r="AJ41" s="503">
        <f>IF(終値!A41="","",IFERROR(4*STDEVP(終値!AM41:BF41)/AVERAGE(終値!AM41:BF41),""))</f>
        <v>0.11216853033741925</v>
      </c>
      <c r="AK41" s="503">
        <f>IF(終値!A41="","",IFERROR(4*STDEVP(終値!AN41:BG41)/AVERAGE(終値!AN41:BG41),""))</f>
        <v>0.12112344386117764</v>
      </c>
      <c r="AL41" s="503">
        <f>IF(終値!A41="","",IFERROR(4*STDEVP(終値!AO41:BH41)/AVERAGE(終値!AO41:BH41),""))</f>
        <v>0.12642202791948204</v>
      </c>
      <c r="AM41" s="503">
        <f>IF(終値!A41="","",IFERROR(4*STDEVP(終値!AP41:BI41)/AVERAGE(終値!AP41:BI41),""))</f>
        <v>0.12770849386374625</v>
      </c>
      <c r="AN41" s="503">
        <f>IF(終値!A41="","",IFERROR(4*STDEVP(終値!AQ41:BJ41)/AVERAGE(終値!AQ41:BJ41),""))</f>
        <v>0.13023790212152025</v>
      </c>
      <c r="AO41" s="503">
        <f>IF(終値!A41="","",IFERROR(4*STDEVP(終値!AR41:BK41)/AVERAGE(終値!AR41:BK41),""))</f>
        <v>0.13193535267358572</v>
      </c>
      <c r="AP41" s="503">
        <f>IF(終値!A41="","",IFERROR(4*STDEVP(終値!AS41:BL41)/AVERAGE(終値!AS41:BL41),""))</f>
        <v>0.13004253147271982</v>
      </c>
    </row>
    <row r="42" spans="1:42">
      <c r="A42" s="500" t="str">
        <f>IF(終値!A42="","",終値!A42)</f>
        <v>5947</v>
      </c>
      <c r="B42" s="503">
        <f>IF(終値!A42="","",IFERROR(4*STDEVP(終値!E42:X42)/AVERAGE(終値!E42:X42),""))</f>
        <v>7.4255929587475913E-2</v>
      </c>
      <c r="C42" s="503">
        <f>IF(終値!A42="","",IFERROR(4*STDEVP(終値!F42:Y42)/AVERAGE(終値!F42:Y42),""))</f>
        <v>6.6920717712441666E-2</v>
      </c>
      <c r="D42" s="503">
        <f>IF(終値!A42="","",IFERROR(4*STDEVP(終値!G42:Z42)/AVERAGE(終値!G42:Z42),""))</f>
        <v>6.5387699333620014E-2</v>
      </c>
      <c r="E42" s="503">
        <f>IF(終値!A42="","",IFERROR(4*STDEVP(終値!H42:AA42)/AVERAGE(終値!H42:AA42),""))</f>
        <v>6.6065474918054826E-2</v>
      </c>
      <c r="F42" s="503">
        <f>IF(終値!A42="","",IFERROR(4*STDEVP(終値!I42:AB42)/AVERAGE(終値!I42:AB42),""))</f>
        <v>5.9268965308076182E-2</v>
      </c>
      <c r="G42" s="503">
        <f>IF(終値!A42="","",IFERROR(4*STDEVP(終値!J42:AC42)/AVERAGE(終値!J42:AC42),""))</f>
        <v>4.0508046224680599E-2</v>
      </c>
      <c r="H42" s="503">
        <f>IF(終値!A42="","",IFERROR(4*STDEVP(終値!K42:AD42)/AVERAGE(終値!K42:AD42),""))</f>
        <v>3.4561278457422386E-2</v>
      </c>
      <c r="I42" s="503">
        <f>IF(終値!A42="","",IFERROR(4*STDEVP(終値!L42:AE42)/AVERAGE(終値!L42:AE42),""))</f>
        <v>3.3415068702091572E-2</v>
      </c>
      <c r="J42" s="503">
        <f>IF(終値!A42="","",IFERROR(4*STDEVP(終値!M42:AF42)/AVERAGE(終値!M42:AF42),""))</f>
        <v>3.7275284213262774E-2</v>
      </c>
      <c r="K42" s="503">
        <f>IF(終値!A42="","",IFERROR(4*STDEVP(終値!N42:AG42)/AVERAGE(終値!N42:AG42),""))</f>
        <v>4.6183332080283697E-2</v>
      </c>
      <c r="L42" s="503">
        <f>IF(終値!A42="","",IFERROR(4*STDEVP(終値!O42:AH42)/AVERAGE(終値!O42:AH42),""))</f>
        <v>5.2105476238874696E-2</v>
      </c>
      <c r="M42" s="503">
        <f>IF(終値!A42="","",IFERROR(4*STDEVP(終値!P42:AI42)/AVERAGE(終値!P42:AI42),""))</f>
        <v>6.1157807714744418E-2</v>
      </c>
      <c r="N42" s="503">
        <f>IF(終値!A42="","",IFERROR(4*STDEVP(終値!Q42:AJ42)/AVERAGE(終値!Q42:AJ42),""))</f>
        <v>6.781290955491176E-2</v>
      </c>
      <c r="O42" s="503">
        <f>IF(終値!A42="","",IFERROR(4*STDEVP(終値!R42:AK42)/AVERAGE(終値!R42:AK42),""))</f>
        <v>7.117068822667337E-2</v>
      </c>
      <c r="P42" s="503">
        <f>IF(終値!A42="","",IFERROR(4*STDEVP(終値!S42:AL42)/AVERAGE(終値!S42:AL42),""))</f>
        <v>7.6457383226116282E-2</v>
      </c>
      <c r="Q42" s="503">
        <f>IF(終値!A42="","",IFERROR(4*STDEVP(終値!T42:AM42)/AVERAGE(終値!T42:AM42),""))</f>
        <v>7.7971456323162325E-2</v>
      </c>
      <c r="R42" s="503">
        <f>IF(終値!A42="","",IFERROR(4*STDEVP(終値!U42:AN42)/AVERAGE(終値!U42:AN42),""))</f>
        <v>7.903938146109761E-2</v>
      </c>
      <c r="S42" s="503">
        <f>IF(終値!A42="","",IFERROR(4*STDEVP(終値!V42:AO42)/AVERAGE(終値!V42:AO42),""))</f>
        <v>7.8166674121955285E-2</v>
      </c>
      <c r="T42" s="503">
        <f>IF(終値!A42="","",IFERROR(4*STDEVP(終値!W42:AP42)/AVERAGE(終値!W42:AP42),""))</f>
        <v>7.4878859464913489E-2</v>
      </c>
      <c r="U42" s="503">
        <f>IF(終値!A42="","",IFERROR(4*STDEVP(終値!X42:AQ42)/AVERAGE(終値!X42:AQ42),""))</f>
        <v>6.6291499658094569E-2</v>
      </c>
      <c r="V42" s="503">
        <f>IF(終値!A42="","",IFERROR(4*STDEVP(終値!Y42:AR42)/AVERAGE(終値!Y42:AR42),""))</f>
        <v>6.1057563945105246E-2</v>
      </c>
      <c r="W42" s="503">
        <f>IF(終値!A42="","",IFERROR(4*STDEVP(終値!Z42:AS42)/AVERAGE(終値!Z42:AS42),""))</f>
        <v>6.1467540067257569E-2</v>
      </c>
      <c r="X42" s="503">
        <f>IF(終値!A42="","",IFERROR(4*STDEVP(終値!AA42:AT42)/AVERAGE(終値!AA42:AT42),""))</f>
        <v>6.5374095072043725E-2</v>
      </c>
      <c r="Y42" s="503">
        <f>IF(終値!A42="","",IFERROR(4*STDEVP(終値!AB42:AU42)/AVERAGE(終値!AB42:AU42),""))</f>
        <v>7.3585096347236284E-2</v>
      </c>
      <c r="Z42" s="503">
        <f>IF(終値!A42="","",IFERROR(4*STDEVP(終値!AC42:AV42)/AVERAGE(終値!AC42:AV42),""))</f>
        <v>7.4604494633606175E-2</v>
      </c>
      <c r="AA42" s="503">
        <f>IF(終値!A42="","",IFERROR(4*STDEVP(終値!AD42:AW42)/AVERAGE(終値!AD42:AW42),""))</f>
        <v>6.8358981953941675E-2</v>
      </c>
      <c r="AB42" s="503">
        <f>IF(終値!A42="","",IFERROR(4*STDEVP(終値!AE42:AX42)/AVERAGE(終値!AE42:AX42),""))</f>
        <v>6.0835673583778872E-2</v>
      </c>
      <c r="AC42" s="503">
        <f>IF(終値!A42="","",IFERROR(4*STDEVP(終値!AF42:AY42)/AVERAGE(終値!AF42:AY42),""))</f>
        <v>5.7330677722943972E-2</v>
      </c>
      <c r="AD42" s="503">
        <f>IF(終値!A42="","",IFERROR(4*STDEVP(終値!AG42:AZ42)/AVERAGE(終値!AG42:AZ42),""))</f>
        <v>5.6697030184603238E-2</v>
      </c>
      <c r="AE42" s="503">
        <f>IF(終値!A42="","",IFERROR(4*STDEVP(終値!AH42:BA42)/AVERAGE(終値!AH42:BA42),""))</f>
        <v>6.0044346266244455E-2</v>
      </c>
      <c r="AF42" s="503">
        <f>IF(終値!A42="","",IFERROR(4*STDEVP(終値!AI42:BB42)/AVERAGE(終値!AI42:BB42),""))</f>
        <v>6.3961756317600857E-2</v>
      </c>
      <c r="AG42" s="503">
        <f>IF(終値!A42="","",IFERROR(4*STDEVP(終値!AJ42:BC42)/AVERAGE(終値!AJ42:BC42),""))</f>
        <v>6.7636922214750053E-2</v>
      </c>
      <c r="AH42" s="503">
        <f>IF(終値!A42="","",IFERROR(4*STDEVP(終値!AK42:BD42)/AVERAGE(終値!AK42:BD42),""))</f>
        <v>6.6962502740156415E-2</v>
      </c>
      <c r="AI42" s="503">
        <f>IF(終値!A42="","",IFERROR(4*STDEVP(終値!AL42:BE42)/AVERAGE(終値!AL42:BE42),""))</f>
        <v>6.6984372049720298E-2</v>
      </c>
      <c r="AJ42" s="503">
        <f>IF(終値!A42="","",IFERROR(4*STDEVP(終値!AM42:BF42)/AVERAGE(終値!AM42:BF42),""))</f>
        <v>7.000488054779147E-2</v>
      </c>
      <c r="AK42" s="503">
        <f>IF(終値!A42="","",IFERROR(4*STDEVP(終値!AN42:BG42)/AVERAGE(終値!AN42:BG42),""))</f>
        <v>7.6415642154749594E-2</v>
      </c>
      <c r="AL42" s="503">
        <f>IF(終値!A42="","",IFERROR(4*STDEVP(終値!AO42:BH42)/AVERAGE(終値!AO42:BH42),""))</f>
        <v>7.6593526185849553E-2</v>
      </c>
      <c r="AM42" s="503">
        <f>IF(終値!A42="","",IFERROR(4*STDEVP(終値!AP42:BI42)/AVERAGE(終値!AP42:BI42),""))</f>
        <v>8.014205187320271E-2</v>
      </c>
      <c r="AN42" s="503">
        <f>IF(終値!A42="","",IFERROR(4*STDEVP(終値!AQ42:BJ42)/AVERAGE(終値!AQ42:BJ42),""))</f>
        <v>8.5844280480324928E-2</v>
      </c>
      <c r="AO42" s="503">
        <f>IF(終値!A42="","",IFERROR(4*STDEVP(終値!AR42:BK42)/AVERAGE(終値!AR42:BK42),""))</f>
        <v>0.10246972824372172</v>
      </c>
      <c r="AP42" s="503">
        <f>IF(終値!A42="","",IFERROR(4*STDEVP(終値!AS42:BL42)/AVERAGE(終値!AS42:BL42),""))</f>
        <v>0.10617328685381561</v>
      </c>
    </row>
    <row r="43" spans="1:42">
      <c r="A43" s="500" t="str">
        <f>IF(終値!A43="","",終値!A43)</f>
        <v>8750</v>
      </c>
      <c r="B43" s="503">
        <f>IF(終値!A43="","",IFERROR(4*STDEVP(終値!E43:X43)/AVERAGE(終値!E43:X43),""))</f>
        <v>7.4748456272046182E-2</v>
      </c>
      <c r="C43" s="503">
        <f>IF(終値!A43="","",IFERROR(4*STDEVP(終値!F43:Y43)/AVERAGE(終値!F43:Y43),""))</f>
        <v>7.7150087621085522E-2</v>
      </c>
      <c r="D43" s="503">
        <f>IF(終値!A43="","",IFERROR(4*STDEVP(終値!G43:Z43)/AVERAGE(終値!G43:Z43),""))</f>
        <v>8.1585345009258972E-2</v>
      </c>
      <c r="E43" s="503">
        <f>IF(終値!A43="","",IFERROR(4*STDEVP(終値!H43:AA43)/AVERAGE(終値!H43:AA43),""))</f>
        <v>8.8723461989216365E-2</v>
      </c>
      <c r="F43" s="503">
        <f>IF(終値!A43="","",IFERROR(4*STDEVP(終値!I43:AB43)/AVERAGE(終値!I43:AB43),""))</f>
        <v>9.8011211319909516E-2</v>
      </c>
      <c r="G43" s="503">
        <f>IF(終値!A43="","",IFERROR(4*STDEVP(終値!J43:AC43)/AVERAGE(終値!J43:AC43),""))</f>
        <v>0.10855739725279656</v>
      </c>
      <c r="H43" s="503">
        <f>IF(終値!A43="","",IFERROR(4*STDEVP(終値!K43:AD43)/AVERAGE(終値!K43:AD43),""))</f>
        <v>0.12215036116202847</v>
      </c>
      <c r="I43" s="503">
        <f>IF(終値!A43="","",IFERROR(4*STDEVP(終値!L43:AE43)/AVERAGE(終値!L43:AE43),""))</f>
        <v>0.12589394923864042</v>
      </c>
      <c r="J43" s="503">
        <f>IF(終値!A43="","",IFERROR(4*STDEVP(終値!M43:AF43)/AVERAGE(終値!M43:AF43),""))</f>
        <v>0.13254279265586233</v>
      </c>
      <c r="K43" s="503">
        <f>IF(終値!A43="","",IFERROR(4*STDEVP(終値!N43:AG43)/AVERAGE(終値!N43:AG43),""))</f>
        <v>0.12678927054252909</v>
      </c>
      <c r="L43" s="503">
        <f>IF(終値!A43="","",IFERROR(4*STDEVP(終値!O43:AH43)/AVERAGE(終値!O43:AH43),""))</f>
        <v>0.12140729633713924</v>
      </c>
      <c r="M43" s="503">
        <f>IF(終値!A43="","",IFERROR(4*STDEVP(終値!P43:AI43)/AVERAGE(終値!P43:AI43),""))</f>
        <v>0.11786492738744521</v>
      </c>
      <c r="N43" s="503">
        <f>IF(終値!A43="","",IFERROR(4*STDEVP(終値!Q43:AJ43)/AVERAGE(終値!Q43:AJ43),""))</f>
        <v>0.1175364506005315</v>
      </c>
      <c r="O43" s="503">
        <f>IF(終値!A43="","",IFERROR(4*STDEVP(終値!R43:AK43)/AVERAGE(終値!R43:AK43),""))</f>
        <v>0.1130958958762612</v>
      </c>
      <c r="P43" s="503">
        <f>IF(終値!A43="","",IFERROR(4*STDEVP(終値!S43:AL43)/AVERAGE(終値!S43:AL43),""))</f>
        <v>0.1114451644063718</v>
      </c>
      <c r="Q43" s="503">
        <f>IF(終値!A43="","",IFERROR(4*STDEVP(終値!T43:AM43)/AVERAGE(終値!T43:AM43),""))</f>
        <v>0.11217011677992922</v>
      </c>
      <c r="R43" s="503">
        <f>IF(終値!A43="","",IFERROR(4*STDEVP(終値!U43:AN43)/AVERAGE(終値!U43:AN43),""))</f>
        <v>0.11148919495590519</v>
      </c>
      <c r="S43" s="503">
        <f>IF(終値!A43="","",IFERROR(4*STDEVP(終値!V43:AO43)/AVERAGE(終値!V43:AO43),""))</f>
        <v>0.10959550577825841</v>
      </c>
      <c r="T43" s="503">
        <f>IF(終値!A43="","",IFERROR(4*STDEVP(終値!W43:AP43)/AVERAGE(終値!W43:AP43),""))</f>
        <v>0.10745905051635123</v>
      </c>
      <c r="U43" s="503">
        <f>IF(終値!A43="","",IFERROR(4*STDEVP(終値!X43:AQ43)/AVERAGE(終値!X43:AQ43),""))</f>
        <v>0.11588381932140192</v>
      </c>
      <c r="V43" s="503">
        <f>IF(終値!A43="","",IFERROR(4*STDEVP(終値!Y43:AR43)/AVERAGE(終値!Y43:AR43),""))</f>
        <v>0.1177135037947671</v>
      </c>
      <c r="W43" s="503">
        <f>IF(終値!A43="","",IFERROR(4*STDEVP(終値!Z43:AS43)/AVERAGE(終値!Z43:AS43),""))</f>
        <v>0.12501922124426817</v>
      </c>
      <c r="X43" s="503">
        <f>IF(終値!A43="","",IFERROR(4*STDEVP(終値!AA43:AT43)/AVERAGE(終値!AA43:AT43),""))</f>
        <v>0.13088638949329828</v>
      </c>
      <c r="Y43" s="503">
        <f>IF(終値!A43="","",IFERROR(4*STDEVP(終値!AB43:AU43)/AVERAGE(終値!AB43:AU43),""))</f>
        <v>0.14350857149110091</v>
      </c>
      <c r="Z43" s="503">
        <f>IF(終値!A43="","",IFERROR(4*STDEVP(終値!AC43:AV43)/AVERAGE(終値!AC43:AV43),""))</f>
        <v>0.15138762485081639</v>
      </c>
      <c r="AA43" s="503">
        <f>IF(終値!A43="","",IFERROR(4*STDEVP(終値!AD43:AW43)/AVERAGE(終値!AD43:AW43),""))</f>
        <v>0.1606827967778969</v>
      </c>
      <c r="AB43" s="503">
        <f>IF(終値!A43="","",IFERROR(4*STDEVP(終値!AE43:AX43)/AVERAGE(終値!AE43:AX43),""))</f>
        <v>0.16404459852678968</v>
      </c>
      <c r="AC43" s="503">
        <f>IF(終値!A43="","",IFERROR(4*STDEVP(終値!AF43:AY43)/AVERAGE(終値!AF43:AY43),""))</f>
        <v>0.1665917386611338</v>
      </c>
      <c r="AD43" s="503">
        <f>IF(終値!A43="","",IFERROR(4*STDEVP(終値!AG43:AZ43)/AVERAGE(終値!AG43:AZ43),""))</f>
        <v>0.17072243304158946</v>
      </c>
      <c r="AE43" s="503">
        <f>IF(終値!A43="","",IFERROR(4*STDEVP(終値!AH43:BA43)/AVERAGE(終値!AH43:BA43),""))</f>
        <v>0.1652567348358307</v>
      </c>
      <c r="AF43" s="503">
        <f>IF(終値!A43="","",IFERROR(4*STDEVP(終値!AI43:BB43)/AVERAGE(終値!AI43:BB43),""))</f>
        <v>0.15398392148293311</v>
      </c>
      <c r="AG43" s="503">
        <f>IF(終値!A43="","",IFERROR(4*STDEVP(終値!AJ43:BC43)/AVERAGE(終値!AJ43:BC43),""))</f>
        <v>0.14364923882557545</v>
      </c>
      <c r="AH43" s="503">
        <f>IF(終値!A43="","",IFERROR(4*STDEVP(終値!AK43:BD43)/AVERAGE(終値!AK43:BD43),""))</f>
        <v>0.13214524903137817</v>
      </c>
      <c r="AI43" s="503">
        <f>IF(終値!A43="","",IFERROR(4*STDEVP(終値!AL43:BE43)/AVERAGE(終値!AL43:BE43),""))</f>
        <v>0.12235665174615423</v>
      </c>
      <c r="AJ43" s="503">
        <f>IF(終値!A43="","",IFERROR(4*STDEVP(終値!AM43:BF43)/AVERAGE(終値!AM43:BF43),""))</f>
        <v>0.13781498948281581</v>
      </c>
      <c r="AK43" s="503">
        <f>IF(終値!A43="","",IFERROR(4*STDEVP(終値!AN43:BG43)/AVERAGE(終値!AN43:BG43),""))</f>
        <v>0.14689911410081505</v>
      </c>
      <c r="AL43" s="503">
        <f>IF(終値!A43="","",IFERROR(4*STDEVP(終値!AO43:BH43)/AVERAGE(終値!AO43:BH43),""))</f>
        <v>0.16045142065989074</v>
      </c>
      <c r="AM43" s="503">
        <f>IF(終値!A43="","",IFERROR(4*STDEVP(終値!AP43:BI43)/AVERAGE(終値!AP43:BI43),""))</f>
        <v>0.17484906858354143</v>
      </c>
      <c r="AN43" s="503">
        <f>IF(終値!A43="","",IFERROR(4*STDEVP(終値!AQ43:BJ43)/AVERAGE(終値!AQ43:BJ43),""))</f>
        <v>0.18972879518558067</v>
      </c>
      <c r="AO43" s="503">
        <f>IF(終値!A43="","",IFERROR(4*STDEVP(終値!AR43:BK43)/AVERAGE(終値!AR43:BK43),""))</f>
        <v>0.20193838287767726</v>
      </c>
      <c r="AP43" s="503">
        <f>IF(終値!A43="","",IFERROR(4*STDEVP(終値!AS43:BL43)/AVERAGE(終値!AS43:BL43),""))</f>
        <v>0.21996911734452024</v>
      </c>
    </row>
    <row r="44" spans="1:42">
      <c r="A44" s="500" t="str">
        <f>IF(終値!A44="","",終値!A44)</f>
        <v>3402</v>
      </c>
      <c r="B44" s="503">
        <f>IF(終値!A44="","",IFERROR(4*STDEVP(終値!E44:X44)/AVERAGE(終値!E44:X44),""))</f>
        <v>4.7050252958971278E-2</v>
      </c>
      <c r="C44" s="503">
        <f>IF(終値!A44="","",IFERROR(4*STDEVP(終値!F44:Y44)/AVERAGE(終値!F44:Y44),""))</f>
        <v>4.7412442700868238E-2</v>
      </c>
      <c r="D44" s="503">
        <f>IF(終値!A44="","",IFERROR(4*STDEVP(終値!G44:Z44)/AVERAGE(終値!G44:Z44),""))</f>
        <v>4.6146080115106236E-2</v>
      </c>
      <c r="E44" s="503">
        <f>IF(終値!A44="","",IFERROR(4*STDEVP(終値!H44:AA44)/AVERAGE(終値!H44:AA44),""))</f>
        <v>5.307301184730831E-2</v>
      </c>
      <c r="F44" s="503">
        <f>IF(終値!A44="","",IFERROR(4*STDEVP(終値!I44:AB44)/AVERAGE(終値!I44:AB44),""))</f>
        <v>5.7895519746441221E-2</v>
      </c>
      <c r="G44" s="503">
        <f>IF(終値!A44="","",IFERROR(4*STDEVP(終値!J44:AC44)/AVERAGE(終値!J44:AC44),""))</f>
        <v>5.9262788918501404E-2</v>
      </c>
      <c r="H44" s="503">
        <f>IF(終値!A44="","",IFERROR(4*STDEVP(終値!K44:AD44)/AVERAGE(終値!K44:AD44),""))</f>
        <v>6.0537342480428732E-2</v>
      </c>
      <c r="I44" s="503">
        <f>IF(終値!A44="","",IFERROR(4*STDEVP(終値!L44:AE44)/AVERAGE(終値!L44:AE44),""))</f>
        <v>5.7676898638537158E-2</v>
      </c>
      <c r="J44" s="503">
        <f>IF(終値!A44="","",IFERROR(4*STDEVP(終値!M44:AF44)/AVERAGE(終値!M44:AF44),""))</f>
        <v>5.7918323170524047E-2</v>
      </c>
      <c r="K44" s="503">
        <f>IF(終値!A44="","",IFERROR(4*STDEVP(終値!N44:AG44)/AVERAGE(終値!N44:AG44),""))</f>
        <v>5.4797765223960113E-2</v>
      </c>
      <c r="L44" s="503">
        <f>IF(終値!A44="","",IFERROR(4*STDEVP(終値!O44:AH44)/AVERAGE(終値!O44:AH44),""))</f>
        <v>5.520924854358919E-2</v>
      </c>
      <c r="M44" s="503">
        <f>IF(終値!A44="","",IFERROR(4*STDEVP(終値!P44:AI44)/AVERAGE(終値!P44:AI44),""))</f>
        <v>5.4525737873885524E-2</v>
      </c>
      <c r="N44" s="503">
        <f>IF(終値!A44="","",IFERROR(4*STDEVP(終値!Q44:AJ44)/AVERAGE(終値!Q44:AJ44),""))</f>
        <v>6.2615977685074306E-2</v>
      </c>
      <c r="O44" s="503">
        <f>IF(終値!A44="","",IFERROR(4*STDEVP(終値!R44:AK44)/AVERAGE(終値!R44:AK44),""))</f>
        <v>6.7080543749809735E-2</v>
      </c>
      <c r="P44" s="503">
        <f>IF(終値!A44="","",IFERROR(4*STDEVP(終値!S44:AL44)/AVERAGE(終値!S44:AL44),""))</f>
        <v>6.9156165571585174E-2</v>
      </c>
      <c r="Q44" s="503">
        <f>IF(終値!A44="","",IFERROR(4*STDEVP(終値!T44:AM44)/AVERAGE(終値!T44:AM44),""))</f>
        <v>7.4306705338219967E-2</v>
      </c>
      <c r="R44" s="503">
        <f>IF(終値!A44="","",IFERROR(4*STDEVP(終値!U44:AN44)/AVERAGE(終値!U44:AN44),""))</f>
        <v>7.4001558938408887E-2</v>
      </c>
      <c r="S44" s="503">
        <f>IF(終値!A44="","",IFERROR(4*STDEVP(終値!V44:AO44)/AVERAGE(終値!V44:AO44),""))</f>
        <v>7.9576527550017248E-2</v>
      </c>
      <c r="T44" s="503">
        <f>IF(終値!A44="","",IFERROR(4*STDEVP(終値!W44:AP44)/AVERAGE(終値!W44:AP44),""))</f>
        <v>8.6051104014130714E-2</v>
      </c>
      <c r="U44" s="503">
        <f>IF(終値!A44="","",IFERROR(4*STDEVP(終値!X44:AQ44)/AVERAGE(終値!X44:AQ44),""))</f>
        <v>9.6469221558866988E-2</v>
      </c>
      <c r="V44" s="503">
        <f>IF(終値!A44="","",IFERROR(4*STDEVP(終値!Y44:AR44)/AVERAGE(終値!Y44:AR44),""))</f>
        <v>9.7091936154788422E-2</v>
      </c>
      <c r="W44" s="503">
        <f>IF(終値!A44="","",IFERROR(4*STDEVP(終値!Z44:AS44)/AVERAGE(終値!Z44:AS44),""))</f>
        <v>0.10027884869230269</v>
      </c>
      <c r="X44" s="503">
        <f>IF(終値!A44="","",IFERROR(4*STDEVP(終値!AA44:AT44)/AVERAGE(終値!AA44:AT44),""))</f>
        <v>9.988603445796651E-2</v>
      </c>
      <c r="Y44" s="503">
        <f>IF(終値!A44="","",IFERROR(4*STDEVP(終値!AB44:AU44)/AVERAGE(終値!AB44:AU44),""))</f>
        <v>0.10037677387514411</v>
      </c>
      <c r="Z44" s="503">
        <f>IF(終値!A44="","",IFERROR(4*STDEVP(終値!AC44:AV44)/AVERAGE(終値!AC44:AV44),""))</f>
        <v>0.10492542796884977</v>
      </c>
      <c r="AA44" s="503">
        <f>IF(終値!A44="","",IFERROR(4*STDEVP(終値!AD44:AW44)/AVERAGE(終値!AD44:AW44),""))</f>
        <v>0.10535704926666067</v>
      </c>
      <c r="AB44" s="503">
        <f>IF(終値!A44="","",IFERROR(4*STDEVP(終値!AE44:AX44)/AVERAGE(終値!AE44:AX44),""))</f>
        <v>0.10511660265367689</v>
      </c>
      <c r="AC44" s="503">
        <f>IF(終値!A44="","",IFERROR(4*STDEVP(終値!AF44:AY44)/AVERAGE(終値!AF44:AY44),""))</f>
        <v>0.10539650326081713</v>
      </c>
      <c r="AD44" s="503">
        <f>IF(終値!A44="","",IFERROR(4*STDEVP(終値!AG44:AZ44)/AVERAGE(終値!AG44:AZ44),""))</f>
        <v>0.11577604790266732</v>
      </c>
      <c r="AE44" s="503">
        <f>IF(終値!A44="","",IFERROR(4*STDEVP(終値!AH44:BA44)/AVERAGE(終値!AH44:BA44),""))</f>
        <v>0.12450712110154237</v>
      </c>
      <c r="AF44" s="503">
        <f>IF(終値!A44="","",IFERROR(4*STDEVP(終値!AI44:BB44)/AVERAGE(終値!AI44:BB44),""))</f>
        <v>0.13203730930252694</v>
      </c>
      <c r="AG44" s="503">
        <f>IF(終値!A44="","",IFERROR(4*STDEVP(終値!AJ44:BC44)/AVERAGE(終値!AJ44:BC44),""))</f>
        <v>0.13764553011533276</v>
      </c>
      <c r="AH44" s="503">
        <f>IF(終値!A44="","",IFERROR(4*STDEVP(終値!AK44:BD44)/AVERAGE(終値!AK44:BD44),""))</f>
        <v>0.13606520863032737</v>
      </c>
      <c r="AI44" s="503">
        <f>IF(終値!A44="","",IFERROR(4*STDEVP(終値!AL44:BE44)/AVERAGE(終値!AL44:BE44),""))</f>
        <v>0.12794908901812319</v>
      </c>
      <c r="AJ44" s="503">
        <f>IF(終値!A44="","",IFERROR(4*STDEVP(終値!AM44:BF44)/AVERAGE(終値!AM44:BF44),""))</f>
        <v>0.1249688152954474</v>
      </c>
      <c r="AK44" s="503">
        <f>IF(終値!A44="","",IFERROR(4*STDEVP(終値!AN44:BG44)/AVERAGE(終値!AN44:BG44),""))</f>
        <v>0.11587972524600838</v>
      </c>
      <c r="AL44" s="503">
        <f>IF(終値!A44="","",IFERROR(4*STDEVP(終値!AO44:BH44)/AVERAGE(終値!AO44:BH44),""))</f>
        <v>0.11593763974274689</v>
      </c>
      <c r="AM44" s="503">
        <f>IF(終値!A44="","",IFERROR(4*STDEVP(終値!AP44:BI44)/AVERAGE(終値!AP44:BI44),""))</f>
        <v>0.11604006797812962</v>
      </c>
      <c r="AN44" s="503">
        <f>IF(終値!A44="","",IFERROR(4*STDEVP(終値!AQ44:BJ44)/AVERAGE(終値!AQ44:BJ44),""))</f>
        <v>0.11567136970212852</v>
      </c>
      <c r="AO44" s="503">
        <f>IF(終値!A44="","",IFERROR(4*STDEVP(終値!AR44:BK44)/AVERAGE(終値!AR44:BK44),""))</f>
        <v>0.11316741701284146</v>
      </c>
      <c r="AP44" s="503">
        <f>IF(終値!A44="","",IFERROR(4*STDEVP(終値!AS44:BL44)/AVERAGE(終値!AS44:BL44),""))</f>
        <v>0.11433776869204651</v>
      </c>
    </row>
    <row r="45" spans="1:42">
      <c r="A45" s="500" t="str">
        <f>IF(終値!A45="","",終値!A45)</f>
        <v>8306</v>
      </c>
      <c r="B45" s="503">
        <f>IF(終値!A45="","",IFERROR(4*STDEVP(終値!E45:X45)/AVERAGE(終値!E45:X45),""))</f>
        <v>0.13539114092367233</v>
      </c>
      <c r="C45" s="503">
        <f>IF(終値!A45="","",IFERROR(4*STDEVP(終値!F45:Y45)/AVERAGE(終値!F45:Y45),""))</f>
        <v>0.14657314944270342</v>
      </c>
      <c r="D45" s="503">
        <f>IF(終値!A45="","",IFERROR(4*STDEVP(終値!G45:Z45)/AVERAGE(終値!G45:Z45),""))</f>
        <v>0.16016562019946351</v>
      </c>
      <c r="E45" s="503">
        <f>IF(終値!A45="","",IFERROR(4*STDEVP(終値!H45:AA45)/AVERAGE(終値!H45:AA45),""))</f>
        <v>0.17733565672607346</v>
      </c>
      <c r="F45" s="503">
        <f>IF(終値!A45="","",IFERROR(4*STDEVP(終値!I45:AB45)/AVERAGE(終値!I45:AB45),""))</f>
        <v>0.19582077787385055</v>
      </c>
      <c r="G45" s="503">
        <f>IF(終値!A45="","",IFERROR(4*STDEVP(終値!J45:AC45)/AVERAGE(終値!J45:AC45),""))</f>
        <v>0.20817551981386673</v>
      </c>
      <c r="H45" s="503">
        <f>IF(終値!A45="","",IFERROR(4*STDEVP(終値!K45:AD45)/AVERAGE(終値!K45:AD45),""))</f>
        <v>0.21381936089510176</v>
      </c>
      <c r="I45" s="503">
        <f>IF(終値!A45="","",IFERROR(4*STDEVP(終値!L45:AE45)/AVERAGE(終値!L45:AE45),""))</f>
        <v>0.20585964861928902</v>
      </c>
      <c r="J45" s="503">
        <f>IF(終値!A45="","",IFERROR(4*STDEVP(終値!M45:AF45)/AVERAGE(終値!M45:AF45),""))</f>
        <v>0.19918201517470577</v>
      </c>
      <c r="K45" s="503">
        <f>IF(終値!A45="","",IFERROR(4*STDEVP(終値!N45:AG45)/AVERAGE(終値!N45:AG45),""))</f>
        <v>0.1831550618769022</v>
      </c>
      <c r="L45" s="503">
        <f>IF(終値!A45="","",IFERROR(4*STDEVP(終値!O45:AH45)/AVERAGE(終値!O45:AH45),""))</f>
        <v>0.16913312405561795</v>
      </c>
      <c r="M45" s="503">
        <f>IF(終値!A45="","",IFERROR(4*STDEVP(終値!P45:AI45)/AVERAGE(終値!P45:AI45),""))</f>
        <v>0.16260072932752323</v>
      </c>
      <c r="N45" s="503">
        <f>IF(終値!A45="","",IFERROR(4*STDEVP(終値!Q45:AJ45)/AVERAGE(終値!Q45:AJ45),""))</f>
        <v>0.16017609427979343</v>
      </c>
      <c r="O45" s="503">
        <f>IF(終値!A45="","",IFERROR(4*STDEVP(終値!R45:AK45)/AVERAGE(終値!R45:AK45),""))</f>
        <v>0.1331218010082392</v>
      </c>
      <c r="P45" s="503">
        <f>IF(終値!A45="","",IFERROR(4*STDEVP(終値!S45:AL45)/AVERAGE(終値!S45:AL45),""))</f>
        <v>0.11549157648777331</v>
      </c>
      <c r="Q45" s="503">
        <f>IF(終値!A45="","",IFERROR(4*STDEVP(終値!T45:AM45)/AVERAGE(終値!T45:AM45),""))</f>
        <v>9.9967858888746444E-2</v>
      </c>
      <c r="R45" s="503">
        <f>IF(終値!A45="","",IFERROR(4*STDEVP(終値!U45:AN45)/AVERAGE(終値!U45:AN45),""))</f>
        <v>9.727539506082665E-2</v>
      </c>
      <c r="S45" s="503">
        <f>IF(終値!A45="","",IFERROR(4*STDEVP(終値!V45:AO45)/AVERAGE(終値!V45:AO45),""))</f>
        <v>9.8845381811055372E-2</v>
      </c>
      <c r="T45" s="503">
        <f>IF(終値!A45="","",IFERROR(4*STDEVP(終値!W45:AP45)/AVERAGE(終値!W45:AP45),""))</f>
        <v>9.1762518371884594E-2</v>
      </c>
      <c r="U45" s="503">
        <f>IF(終値!A45="","",IFERROR(4*STDEVP(終値!X45:AQ45)/AVERAGE(終値!X45:AQ45),""))</f>
        <v>7.9878243015705813E-2</v>
      </c>
      <c r="V45" s="503">
        <f>IF(終値!A45="","",IFERROR(4*STDEVP(終値!Y45:AR45)/AVERAGE(終値!Y45:AR45),""))</f>
        <v>7.2791182654718553E-2</v>
      </c>
      <c r="W45" s="503">
        <f>IF(終値!A45="","",IFERROR(4*STDEVP(終値!Z45:AS45)/AVERAGE(終値!Z45:AS45),""))</f>
        <v>7.1459141389451572E-2</v>
      </c>
      <c r="X45" s="503">
        <f>IF(終値!A45="","",IFERROR(4*STDEVP(終値!AA45:AT45)/AVERAGE(終値!AA45:AT45),""))</f>
        <v>7.3220094147233197E-2</v>
      </c>
      <c r="Y45" s="503">
        <f>IF(終値!A45="","",IFERROR(4*STDEVP(終値!AB45:AU45)/AVERAGE(終値!AB45:AU45),""))</f>
        <v>8.7818344226215581E-2</v>
      </c>
      <c r="Z45" s="503">
        <f>IF(終値!A45="","",IFERROR(4*STDEVP(終値!AC45:AV45)/AVERAGE(終値!AC45:AV45),""))</f>
        <v>0.10608229564459151</v>
      </c>
      <c r="AA45" s="503">
        <f>IF(終値!A45="","",IFERROR(4*STDEVP(終値!AD45:AW45)/AVERAGE(終値!AD45:AW45),""))</f>
        <v>0.12266509700807206</v>
      </c>
      <c r="AB45" s="503">
        <f>IF(終値!A45="","",IFERROR(4*STDEVP(終値!AE45:AX45)/AVERAGE(終値!AE45:AX45),""))</f>
        <v>0.129862914337116</v>
      </c>
      <c r="AC45" s="503">
        <f>IF(終値!A45="","",IFERROR(4*STDEVP(終値!AF45:AY45)/AVERAGE(終値!AF45:AY45),""))</f>
        <v>0.13320048606442761</v>
      </c>
      <c r="AD45" s="503">
        <f>IF(終値!A45="","",IFERROR(4*STDEVP(終値!AG45:AZ45)/AVERAGE(終値!AG45:AZ45),""))</f>
        <v>0.13507989699578954</v>
      </c>
      <c r="AE45" s="503">
        <f>IF(終値!A45="","",IFERROR(4*STDEVP(終値!AH45:BA45)/AVERAGE(終値!AH45:BA45),""))</f>
        <v>0.13519954270106355</v>
      </c>
      <c r="AF45" s="503">
        <f>IF(終値!A45="","",IFERROR(4*STDEVP(終値!AI45:BB45)/AVERAGE(終値!AI45:BB45),""))</f>
        <v>0.13038519740028001</v>
      </c>
      <c r="AG45" s="503">
        <f>IF(終値!A45="","",IFERROR(4*STDEVP(終値!AJ45:BC45)/AVERAGE(終値!AJ45:BC45),""))</f>
        <v>0.12500597936719932</v>
      </c>
      <c r="AH45" s="503">
        <f>IF(終値!A45="","",IFERROR(4*STDEVP(終値!AK45:BD45)/AVERAGE(終値!AK45:BD45),""))</f>
        <v>0.11037453429633018</v>
      </c>
      <c r="AI45" s="503">
        <f>IF(終値!A45="","",IFERROR(4*STDEVP(終値!AL45:BE45)/AVERAGE(終値!AL45:BE45),""))</f>
        <v>0.11295562167036448</v>
      </c>
      <c r="AJ45" s="503">
        <f>IF(終値!A45="","",IFERROR(4*STDEVP(終値!AM45:BF45)/AVERAGE(終値!AM45:BF45),""))</f>
        <v>0.12318041891264421</v>
      </c>
      <c r="AK45" s="503">
        <f>IF(終値!A45="","",IFERROR(4*STDEVP(終値!AN45:BG45)/AVERAGE(終値!AN45:BG45),""))</f>
        <v>0.12161841518174338</v>
      </c>
      <c r="AL45" s="503">
        <f>IF(終値!A45="","",IFERROR(4*STDEVP(終値!AO45:BH45)/AVERAGE(終値!AO45:BH45),""))</f>
        <v>0.12885635569099982</v>
      </c>
      <c r="AM45" s="503">
        <f>IF(終値!A45="","",IFERROR(4*STDEVP(終値!AP45:BI45)/AVERAGE(終値!AP45:BI45),""))</f>
        <v>0.13806071022925656</v>
      </c>
      <c r="AN45" s="503">
        <f>IF(終値!A45="","",IFERROR(4*STDEVP(終値!AQ45:BJ45)/AVERAGE(終値!AQ45:BJ45),""))</f>
        <v>0.14681528263705962</v>
      </c>
      <c r="AO45" s="503">
        <f>IF(終値!A45="","",IFERROR(4*STDEVP(終値!AR45:BK45)/AVERAGE(終値!AR45:BK45),""))</f>
        <v>0.14689029693099473</v>
      </c>
      <c r="AP45" s="503">
        <f>IF(終値!A45="","",IFERROR(4*STDEVP(終値!AS45:BL45)/AVERAGE(終値!AS45:BL45),""))</f>
        <v>0.14409062248793533</v>
      </c>
    </row>
    <row r="46" spans="1:42">
      <c r="A46" s="500" t="str">
        <f>IF(終値!A46="","",終値!A46)</f>
        <v>5401</v>
      </c>
      <c r="B46" s="503">
        <f>IF(終値!A46="","",IFERROR(4*STDEVP(終値!E46:X46)/AVERAGE(終値!E46:X46),""))</f>
        <v>0.27712442415785221</v>
      </c>
      <c r="C46" s="503">
        <f>IF(終値!A46="","",IFERROR(4*STDEVP(終値!F46:Y46)/AVERAGE(終値!F46:Y46),""))</f>
        <v>0.28154713713479096</v>
      </c>
      <c r="D46" s="503">
        <f>IF(終値!A46="","",IFERROR(4*STDEVP(終値!G46:Z46)/AVERAGE(終値!G46:Z46),""))</f>
        <v>0.28393890276969719</v>
      </c>
      <c r="E46" s="503">
        <f>IF(終値!A46="","",IFERROR(4*STDEVP(終値!H46:AA46)/AVERAGE(終値!H46:AA46),""))</f>
        <v>0.28497630111456052</v>
      </c>
      <c r="F46" s="503">
        <f>IF(終値!A46="","",IFERROR(4*STDEVP(終値!I46:AB46)/AVERAGE(終値!I46:AB46),""))</f>
        <v>0.27024079099602993</v>
      </c>
      <c r="G46" s="503">
        <f>IF(終値!A46="","",IFERROR(4*STDEVP(終値!J46:AC46)/AVERAGE(終値!J46:AC46),""))</f>
        <v>0.22917078119198442</v>
      </c>
      <c r="H46" s="503">
        <f>IF(終値!A46="","",IFERROR(4*STDEVP(終値!K46:AD46)/AVERAGE(終値!K46:AD46),""))</f>
        <v>0.19087845587690269</v>
      </c>
      <c r="I46" s="503">
        <f>IF(終値!A46="","",IFERROR(4*STDEVP(終値!L46:AE46)/AVERAGE(終値!L46:AE46),""))</f>
        <v>0.15346990548725248</v>
      </c>
      <c r="J46" s="503">
        <f>IF(終値!A46="","",IFERROR(4*STDEVP(終値!M46:AF46)/AVERAGE(終値!M46:AF46),""))</f>
        <v>0.15141051022520938</v>
      </c>
      <c r="K46" s="503">
        <f>IF(終値!A46="","",IFERROR(4*STDEVP(終値!N46:AG46)/AVERAGE(終値!N46:AG46),""))</f>
        <v>0.13154451770067135</v>
      </c>
      <c r="L46" s="503">
        <f>IF(終値!A46="","",IFERROR(4*STDEVP(終値!O46:AH46)/AVERAGE(終値!O46:AH46),""))</f>
        <v>0.11370549069020253</v>
      </c>
      <c r="M46" s="503">
        <f>IF(終値!A46="","",IFERROR(4*STDEVP(終値!P46:AI46)/AVERAGE(終値!P46:AI46),""))</f>
        <v>9.0286149445698016E-2</v>
      </c>
      <c r="N46" s="503">
        <f>IF(終値!A46="","",IFERROR(4*STDEVP(終値!Q46:AJ46)/AVERAGE(終値!Q46:AJ46),""))</f>
        <v>7.6633979479865333E-2</v>
      </c>
      <c r="O46" s="503">
        <f>IF(終値!A46="","",IFERROR(4*STDEVP(終値!R46:AK46)/AVERAGE(終値!R46:AK46),""))</f>
        <v>6.876925318899757E-2</v>
      </c>
      <c r="P46" s="503">
        <f>IF(終値!A46="","",IFERROR(4*STDEVP(終値!S46:AL46)/AVERAGE(終値!S46:AL46),""))</f>
        <v>6.7886070940425786E-2</v>
      </c>
      <c r="Q46" s="503">
        <f>IF(終値!A46="","",IFERROR(4*STDEVP(終値!T46:AM46)/AVERAGE(終値!T46:AM46),""))</f>
        <v>7.5339865014360755E-2</v>
      </c>
      <c r="R46" s="503">
        <f>IF(終値!A46="","",IFERROR(4*STDEVP(終値!U46:AN46)/AVERAGE(終値!U46:AN46),""))</f>
        <v>7.5229864974383026E-2</v>
      </c>
      <c r="S46" s="503">
        <f>IF(終値!A46="","",IFERROR(4*STDEVP(終値!V46:AO46)/AVERAGE(終値!V46:AO46),""))</f>
        <v>8.0314164932659526E-2</v>
      </c>
      <c r="T46" s="503">
        <f>IF(終値!A46="","",IFERROR(4*STDEVP(終値!W46:AP46)/AVERAGE(終値!W46:AP46),""))</f>
        <v>8.1508689528097034E-2</v>
      </c>
      <c r="U46" s="503">
        <f>IF(終値!A46="","",IFERROR(4*STDEVP(終値!X46:AQ46)/AVERAGE(終値!X46:AQ46),""))</f>
        <v>8.248312084105365E-2</v>
      </c>
      <c r="V46" s="503">
        <f>IF(終値!A46="","",IFERROR(4*STDEVP(終値!Y46:AR46)/AVERAGE(終値!Y46:AR46),""))</f>
        <v>8.1367307080366671E-2</v>
      </c>
      <c r="W46" s="503">
        <f>IF(終値!A46="","",IFERROR(4*STDEVP(終値!Z46:AS46)/AVERAGE(終値!Z46:AS46),""))</f>
        <v>8.2680655012028717E-2</v>
      </c>
      <c r="X46" s="503">
        <f>IF(終値!A46="","",IFERROR(4*STDEVP(終値!AA46:AT46)/AVERAGE(終値!AA46:AT46),""))</f>
        <v>8.1892479919790151E-2</v>
      </c>
      <c r="Y46" s="503">
        <f>IF(終値!A46="","",IFERROR(4*STDEVP(終値!AB46:AU46)/AVERAGE(終値!AB46:AU46),""))</f>
        <v>7.8940933376114644E-2</v>
      </c>
      <c r="Z46" s="503">
        <f>IF(終値!A46="","",IFERROR(4*STDEVP(終値!AC46:AV46)/AVERAGE(終値!AC46:AV46),""))</f>
        <v>7.9602480674941717E-2</v>
      </c>
      <c r="AA46" s="503">
        <f>IF(終値!A46="","",IFERROR(4*STDEVP(終値!AD46:AW46)/AVERAGE(終値!AD46:AW46),""))</f>
        <v>8.1286095673473349E-2</v>
      </c>
      <c r="AB46" s="503">
        <f>IF(終値!A46="","",IFERROR(4*STDEVP(終値!AE46:AX46)/AVERAGE(終値!AE46:AX46),""))</f>
        <v>8.1544498798442319E-2</v>
      </c>
      <c r="AC46" s="503">
        <f>IF(終値!A46="","",IFERROR(4*STDEVP(終値!AF46:AY46)/AVERAGE(終値!AF46:AY46),""))</f>
        <v>8.0960721262397298E-2</v>
      </c>
      <c r="AD46" s="503">
        <f>IF(終値!A46="","",IFERROR(4*STDEVP(終値!AG46:AZ46)/AVERAGE(終値!AG46:AZ46),""))</f>
        <v>8.0224996634877796E-2</v>
      </c>
      <c r="AE46" s="503">
        <f>IF(終値!A46="","",IFERROR(4*STDEVP(終値!AH46:BA46)/AVERAGE(終値!AH46:BA46),""))</f>
        <v>8.1112752773903993E-2</v>
      </c>
      <c r="AF46" s="503">
        <f>IF(終値!A46="","",IFERROR(4*STDEVP(終値!AI46:BB46)/AVERAGE(終値!AI46:BB46),""))</f>
        <v>8.2377967559910989E-2</v>
      </c>
      <c r="AG46" s="503">
        <f>IF(終値!A46="","",IFERROR(4*STDEVP(終値!AJ46:BC46)/AVERAGE(終値!AJ46:BC46),""))</f>
        <v>8.164062348667335E-2</v>
      </c>
      <c r="AH46" s="503">
        <f>IF(終値!A46="","",IFERROR(4*STDEVP(終値!AK46:BD46)/AVERAGE(終値!AK46:BD46),""))</f>
        <v>7.878230610476139E-2</v>
      </c>
      <c r="AI46" s="503">
        <f>IF(終値!A46="","",IFERROR(4*STDEVP(終値!AL46:BE46)/AVERAGE(終値!AL46:BE46),""))</f>
        <v>7.9355498009155437E-2</v>
      </c>
      <c r="AJ46" s="503">
        <f>IF(終値!A46="","",IFERROR(4*STDEVP(終値!AM46:BF46)/AVERAGE(終値!AM46:BF46),""))</f>
        <v>7.6112430777837664E-2</v>
      </c>
      <c r="AK46" s="503">
        <f>IF(終値!A46="","",IFERROR(4*STDEVP(終値!AN46:BG46)/AVERAGE(終値!AN46:BG46),""))</f>
        <v>6.7336089379144218E-2</v>
      </c>
      <c r="AL46" s="503">
        <f>IF(終値!A46="","",IFERROR(4*STDEVP(終値!AO46:BH46)/AVERAGE(終値!AO46:BH46),""))</f>
        <v>6.8850601517341251E-2</v>
      </c>
      <c r="AM46" s="503">
        <f>IF(終値!A46="","",IFERROR(4*STDEVP(終値!AP46:BI46)/AVERAGE(終値!AP46:BI46),""))</f>
        <v>6.5486197888283124E-2</v>
      </c>
      <c r="AN46" s="503">
        <f>IF(終値!A46="","",IFERROR(4*STDEVP(終値!AQ46:BJ46)/AVERAGE(終値!AQ46:BJ46),""))</f>
        <v>6.9797903904856504E-2</v>
      </c>
      <c r="AO46" s="503">
        <f>IF(終値!A46="","",IFERROR(4*STDEVP(終値!AR46:BK46)/AVERAGE(終値!AR46:BK46),""))</f>
        <v>7.9293583602314185E-2</v>
      </c>
      <c r="AP46" s="503">
        <f>IF(終値!A46="","",IFERROR(4*STDEVP(終値!AS46:BL46)/AVERAGE(終値!AS46:BL46),""))</f>
        <v>8.1806300000367788E-2</v>
      </c>
    </row>
    <row r="47" spans="1:42">
      <c r="A47" s="500" t="str">
        <f>IF(終値!A47="","",終値!A47)</f>
        <v>8572</v>
      </c>
      <c r="B47" s="503">
        <f>IF(終値!A47="","",IFERROR(4*STDEVP(終値!E47:X47)/AVERAGE(終値!E47:X47),""))</f>
        <v>4.9909958474137449E-2</v>
      </c>
      <c r="C47" s="503">
        <f>IF(終値!A47="","",IFERROR(4*STDEVP(終値!F47:Y47)/AVERAGE(終値!F47:Y47),""))</f>
        <v>4.9395796721639657E-2</v>
      </c>
      <c r="D47" s="503">
        <f>IF(終値!A47="","",IFERROR(4*STDEVP(終値!G47:Z47)/AVERAGE(終値!G47:Z47),""))</f>
        <v>6.2130884365484133E-2</v>
      </c>
      <c r="E47" s="503">
        <f>IF(終値!A47="","",IFERROR(4*STDEVP(終値!H47:AA47)/AVERAGE(終値!H47:AA47),""))</f>
        <v>8.0073113493566758E-2</v>
      </c>
      <c r="F47" s="503">
        <f>IF(終値!A47="","",IFERROR(4*STDEVP(終値!I47:AB47)/AVERAGE(終値!I47:AB47),""))</f>
        <v>9.5409637853631574E-2</v>
      </c>
      <c r="G47" s="503">
        <f>IF(終値!A47="","",IFERROR(4*STDEVP(終値!J47:AC47)/AVERAGE(終値!J47:AC47),""))</f>
        <v>0.10449112645257462</v>
      </c>
      <c r="H47" s="503">
        <f>IF(終値!A47="","",IFERROR(4*STDEVP(終値!K47:AD47)/AVERAGE(終値!K47:AD47),""))</f>
        <v>0.1166752581020844</v>
      </c>
      <c r="I47" s="503">
        <f>IF(終値!A47="","",IFERROR(4*STDEVP(終値!L47:AE47)/AVERAGE(終値!L47:AE47),""))</f>
        <v>0.12678754351076235</v>
      </c>
      <c r="J47" s="503">
        <f>IF(終値!A47="","",IFERROR(4*STDEVP(終値!M47:AF47)/AVERAGE(終値!M47:AF47),""))</f>
        <v>0.13836084031331025</v>
      </c>
      <c r="K47" s="503">
        <f>IF(終値!A47="","",IFERROR(4*STDEVP(終値!N47:AG47)/AVERAGE(終値!N47:AG47),""))</f>
        <v>0.1429300548749752</v>
      </c>
      <c r="L47" s="503">
        <f>IF(終値!A47="","",IFERROR(4*STDEVP(終値!O47:AH47)/AVERAGE(終値!O47:AH47),""))</f>
        <v>0.14377771664054759</v>
      </c>
      <c r="M47" s="503">
        <f>IF(終値!A47="","",IFERROR(4*STDEVP(終値!P47:AI47)/AVERAGE(終値!P47:AI47),""))</f>
        <v>0.14299899405865729</v>
      </c>
      <c r="N47" s="503">
        <f>IF(終値!A47="","",IFERROR(4*STDEVP(終値!Q47:AJ47)/AVERAGE(終値!Q47:AJ47),""))</f>
        <v>0.14348272613020982</v>
      </c>
      <c r="O47" s="503">
        <f>IF(終値!A47="","",IFERROR(4*STDEVP(終値!R47:AK47)/AVERAGE(終値!R47:AK47),""))</f>
        <v>0.13841880938105966</v>
      </c>
      <c r="P47" s="503">
        <f>IF(終値!A47="","",IFERROR(4*STDEVP(終値!S47:AL47)/AVERAGE(終値!S47:AL47),""))</f>
        <v>0.13459094933867397</v>
      </c>
      <c r="Q47" s="503">
        <f>IF(終値!A47="","",IFERROR(4*STDEVP(終値!T47:AM47)/AVERAGE(終値!T47:AM47),""))</f>
        <v>0.12928491837567105</v>
      </c>
      <c r="R47" s="503">
        <f>IF(終値!A47="","",IFERROR(4*STDEVP(終値!U47:AN47)/AVERAGE(終値!U47:AN47),""))</f>
        <v>0.12407431998645821</v>
      </c>
      <c r="S47" s="503">
        <f>IF(終値!A47="","",IFERROR(4*STDEVP(終値!V47:AO47)/AVERAGE(終値!V47:AO47),""))</f>
        <v>0.11459618834402828</v>
      </c>
      <c r="T47" s="503">
        <f>IF(終値!A47="","",IFERROR(4*STDEVP(終値!W47:AP47)/AVERAGE(終値!W47:AP47),""))</f>
        <v>9.8419723291531466E-2</v>
      </c>
      <c r="U47" s="503">
        <f>IF(終値!A47="","",IFERROR(4*STDEVP(終値!X47:AQ47)/AVERAGE(終値!X47:AQ47),""))</f>
        <v>8.3584244157851748E-2</v>
      </c>
      <c r="V47" s="503">
        <f>IF(終値!A47="","",IFERROR(4*STDEVP(終値!Y47:AR47)/AVERAGE(終値!Y47:AR47),""))</f>
        <v>5.3961264297974022E-2</v>
      </c>
      <c r="W47" s="503">
        <f>IF(終値!A47="","",IFERROR(4*STDEVP(終値!Z47:AS47)/AVERAGE(終値!Z47:AS47),""))</f>
        <v>4.056080085137577E-2</v>
      </c>
      <c r="X47" s="503">
        <f>IF(終値!A47="","",IFERROR(4*STDEVP(終値!AA47:AT47)/AVERAGE(終値!AA47:AT47),""))</f>
        <v>3.1593007685148888E-2</v>
      </c>
      <c r="Y47" s="503">
        <f>IF(終値!A47="","",IFERROR(4*STDEVP(終値!AB47:AU47)/AVERAGE(終値!AB47:AU47),""))</f>
        <v>2.8642737931539663E-2</v>
      </c>
      <c r="Z47" s="503">
        <f>IF(終値!A47="","",IFERROR(4*STDEVP(終値!AC47:AV47)/AVERAGE(終値!AC47:AV47),""))</f>
        <v>4.5476653359924658E-2</v>
      </c>
      <c r="AA47" s="503">
        <f>IF(終値!A47="","",IFERROR(4*STDEVP(終値!AD47:AW47)/AVERAGE(終値!AD47:AW47),""))</f>
        <v>5.5178541936745859E-2</v>
      </c>
      <c r="AB47" s="503">
        <f>IF(終値!A47="","",IFERROR(4*STDEVP(終値!AE47:AX47)/AVERAGE(終値!AE47:AX47),""))</f>
        <v>6.0963917536200465E-2</v>
      </c>
      <c r="AC47" s="503">
        <f>IF(終値!A47="","",IFERROR(4*STDEVP(終値!AF47:AY47)/AVERAGE(終値!AF47:AY47),""))</f>
        <v>6.4122989722869339E-2</v>
      </c>
      <c r="AD47" s="503">
        <f>IF(終値!A47="","",IFERROR(4*STDEVP(終値!AG47:AZ47)/AVERAGE(終値!AG47:AZ47),""))</f>
        <v>6.5963502312754982E-2</v>
      </c>
      <c r="AE47" s="503">
        <f>IF(終値!A47="","",IFERROR(4*STDEVP(終値!AH47:BA47)/AVERAGE(終値!AH47:BA47),""))</f>
        <v>7.1691664019484347E-2</v>
      </c>
      <c r="AF47" s="503">
        <f>IF(終値!A47="","",IFERROR(4*STDEVP(終値!AI47:BB47)/AVERAGE(終値!AI47:BB47),""))</f>
        <v>7.1307368213716915E-2</v>
      </c>
      <c r="AG47" s="503">
        <f>IF(終値!A47="","",IFERROR(4*STDEVP(終値!AJ47:BC47)/AVERAGE(終値!AJ47:BC47),""))</f>
        <v>7.3100323987709798E-2</v>
      </c>
      <c r="AH47" s="503">
        <f>IF(終値!A47="","",IFERROR(4*STDEVP(終値!AK47:BD47)/AVERAGE(終値!AK47:BD47),""))</f>
        <v>7.1439631247393318E-2</v>
      </c>
      <c r="AI47" s="503">
        <f>IF(終値!A47="","",IFERROR(4*STDEVP(終値!AL47:BE47)/AVERAGE(終値!AL47:BE47),""))</f>
        <v>7.2377853331144104E-2</v>
      </c>
      <c r="AJ47" s="503">
        <f>IF(終値!A47="","",IFERROR(4*STDEVP(終値!AM47:BF47)/AVERAGE(終値!AM47:BF47),""))</f>
        <v>7.1015446473927532E-2</v>
      </c>
      <c r="AK47" s="503">
        <f>IF(終値!A47="","",IFERROR(4*STDEVP(終値!AN47:BG47)/AVERAGE(終値!AN47:BG47),""))</f>
        <v>7.0663719805762457E-2</v>
      </c>
      <c r="AL47" s="503">
        <f>IF(終値!A47="","",IFERROR(4*STDEVP(終値!AO47:BH47)/AVERAGE(終値!AO47:BH47),""))</f>
        <v>9.2275696809303767E-2</v>
      </c>
      <c r="AM47" s="503">
        <f>IF(終値!A47="","",IFERROR(4*STDEVP(終値!AP47:BI47)/AVERAGE(終値!AP47:BI47),""))</f>
        <v>0.10590643446521567</v>
      </c>
      <c r="AN47" s="503">
        <f>IF(終値!A47="","",IFERROR(4*STDEVP(終値!AQ47:BJ47)/AVERAGE(終値!AQ47:BJ47),""))</f>
        <v>0.12084877106865025</v>
      </c>
      <c r="AO47" s="503">
        <f>IF(終値!A47="","",IFERROR(4*STDEVP(終値!AR47:BK47)/AVERAGE(終値!AR47:BK47),""))</f>
        <v>0.12656232802457421</v>
      </c>
      <c r="AP47" s="503">
        <f>IF(終値!A47="","",IFERROR(4*STDEVP(終値!AS47:BL47)/AVERAGE(終値!AS47:BL47),""))</f>
        <v>0.13012415004697817</v>
      </c>
    </row>
    <row r="48" spans="1:42">
      <c r="A48" s="500" t="str">
        <f>IF(終値!A48="","",終値!A48)</f>
        <v>3941</v>
      </c>
      <c r="B48" s="503">
        <f>IF(終値!A48="","",IFERROR(4*STDEVP(終値!E48:X48)/AVERAGE(終値!E48:X48),""))</f>
        <v>0.11307288962741484</v>
      </c>
      <c r="C48" s="503">
        <f>IF(終値!A48="","",IFERROR(4*STDEVP(終値!F48:Y48)/AVERAGE(終値!F48:Y48),""))</f>
        <v>0.11569113769120294</v>
      </c>
      <c r="D48" s="503">
        <f>IF(終値!A48="","",IFERROR(4*STDEVP(終値!G48:Z48)/AVERAGE(終値!G48:Z48),""))</f>
        <v>0.11827048255177673</v>
      </c>
      <c r="E48" s="503">
        <f>IF(終値!A48="","",IFERROR(4*STDEVP(終値!H48:AA48)/AVERAGE(終値!H48:AA48),""))</f>
        <v>0.11829689179940826</v>
      </c>
      <c r="F48" s="503">
        <f>IF(終値!A48="","",IFERROR(4*STDEVP(終値!I48:AB48)/AVERAGE(終値!I48:AB48),""))</f>
        <v>0.11181157694516379</v>
      </c>
      <c r="G48" s="503">
        <f>IF(終値!A48="","",IFERROR(4*STDEVP(終値!J48:AC48)/AVERAGE(終値!J48:AC48),""))</f>
        <v>9.6861919092367466E-2</v>
      </c>
      <c r="H48" s="503">
        <f>IF(終値!A48="","",IFERROR(4*STDEVP(終値!K48:AD48)/AVERAGE(終値!K48:AD48),""))</f>
        <v>8.3098090368552716E-2</v>
      </c>
      <c r="I48" s="503">
        <f>IF(終値!A48="","",IFERROR(4*STDEVP(終値!L48:AE48)/AVERAGE(終値!L48:AE48),""))</f>
        <v>6.1137656910335771E-2</v>
      </c>
      <c r="J48" s="503">
        <f>IF(終値!A48="","",IFERROR(4*STDEVP(終値!M48:AF48)/AVERAGE(終値!M48:AF48),""))</f>
        <v>6.1955785736885448E-2</v>
      </c>
      <c r="K48" s="503">
        <f>IF(終値!A48="","",IFERROR(4*STDEVP(終値!N48:AG48)/AVERAGE(終値!N48:AG48),""))</f>
        <v>5.330524935360325E-2</v>
      </c>
      <c r="L48" s="503">
        <f>IF(終値!A48="","",IFERROR(4*STDEVP(終値!O48:AH48)/AVERAGE(終値!O48:AH48),""))</f>
        <v>4.7938736540795689E-2</v>
      </c>
      <c r="M48" s="503">
        <f>IF(終値!A48="","",IFERROR(4*STDEVP(終値!P48:AI48)/AVERAGE(終値!P48:AI48),""))</f>
        <v>3.9706161977133274E-2</v>
      </c>
      <c r="N48" s="503">
        <f>IF(終値!A48="","",IFERROR(4*STDEVP(終値!Q48:AJ48)/AVERAGE(終値!Q48:AJ48),""))</f>
        <v>3.9129076723118328E-2</v>
      </c>
      <c r="O48" s="503">
        <f>IF(終値!A48="","",IFERROR(4*STDEVP(終値!R48:AK48)/AVERAGE(終値!R48:AK48),""))</f>
        <v>3.7948303311847426E-2</v>
      </c>
      <c r="P48" s="503">
        <f>IF(終値!A48="","",IFERROR(4*STDEVP(終値!S48:AL48)/AVERAGE(終値!S48:AL48),""))</f>
        <v>3.7981754739269818E-2</v>
      </c>
      <c r="Q48" s="503">
        <f>IF(終値!A48="","",IFERROR(4*STDEVP(終値!T48:AM48)/AVERAGE(終値!T48:AM48),""))</f>
        <v>3.7290300719615074E-2</v>
      </c>
      <c r="R48" s="503">
        <f>IF(終値!A48="","",IFERROR(4*STDEVP(終値!U48:AN48)/AVERAGE(終値!U48:AN48),""))</f>
        <v>4.2681028055175117E-2</v>
      </c>
      <c r="S48" s="503">
        <f>IF(終値!A48="","",IFERROR(4*STDEVP(終値!V48:AO48)/AVERAGE(終値!V48:AO48),""))</f>
        <v>5.0524571556551719E-2</v>
      </c>
      <c r="T48" s="503">
        <f>IF(終値!A48="","",IFERROR(4*STDEVP(終値!W48:AP48)/AVERAGE(終値!W48:AP48),""))</f>
        <v>4.7583324938478729E-2</v>
      </c>
      <c r="U48" s="503">
        <f>IF(終値!A48="","",IFERROR(4*STDEVP(終値!X48:AQ48)/AVERAGE(終値!X48:AQ48),""))</f>
        <v>5.1536949163265545E-2</v>
      </c>
      <c r="V48" s="503">
        <f>IF(終値!A48="","",IFERROR(4*STDEVP(終値!Y48:AR48)/AVERAGE(終値!Y48:AR48),""))</f>
        <v>5.1326232200380989E-2</v>
      </c>
      <c r="W48" s="503">
        <f>IF(終値!A48="","",IFERROR(4*STDEVP(終値!Z48:AS48)/AVERAGE(終値!Z48:AS48),""))</f>
        <v>5.4100690901625989E-2</v>
      </c>
      <c r="X48" s="503">
        <f>IF(終値!A48="","",IFERROR(4*STDEVP(終値!AA48:AT48)/AVERAGE(終値!AA48:AT48),""))</f>
        <v>5.4167377127626086E-2</v>
      </c>
      <c r="Y48" s="503">
        <f>IF(終値!A48="","",IFERROR(4*STDEVP(終値!AB48:AU48)/AVERAGE(終値!AB48:AU48),""))</f>
        <v>5.3961869946797261E-2</v>
      </c>
      <c r="Z48" s="503">
        <f>IF(終値!A48="","",IFERROR(4*STDEVP(終値!AC48:AV48)/AVERAGE(終値!AC48:AV48),""))</f>
        <v>6.3046592417279779E-2</v>
      </c>
      <c r="AA48" s="503">
        <f>IF(終値!A48="","",IFERROR(4*STDEVP(終値!AD48:AW48)/AVERAGE(終値!AD48:AW48),""))</f>
        <v>6.0931567049357975E-2</v>
      </c>
      <c r="AB48" s="503">
        <f>IF(終値!A48="","",IFERROR(4*STDEVP(終値!AE48:AX48)/AVERAGE(終値!AE48:AX48),""))</f>
        <v>5.8525764205781802E-2</v>
      </c>
      <c r="AC48" s="503">
        <f>IF(終値!A48="","",IFERROR(4*STDEVP(終値!AF48:AY48)/AVERAGE(終値!AF48:AY48),""))</f>
        <v>5.9535897549476628E-2</v>
      </c>
      <c r="AD48" s="503">
        <f>IF(終値!A48="","",IFERROR(4*STDEVP(終値!AG48:AZ48)/AVERAGE(終値!AG48:AZ48),""))</f>
        <v>5.934152111236967E-2</v>
      </c>
      <c r="AE48" s="503">
        <f>IF(終値!A48="","",IFERROR(4*STDEVP(終値!AH48:BA48)/AVERAGE(終値!AH48:BA48),""))</f>
        <v>5.9498154101819939E-2</v>
      </c>
      <c r="AF48" s="503">
        <f>IF(終値!A48="","",IFERROR(4*STDEVP(終値!AI48:BB48)/AVERAGE(終値!AI48:BB48),""))</f>
        <v>5.9966840848775127E-2</v>
      </c>
      <c r="AG48" s="503">
        <f>IF(終値!A48="","",IFERROR(4*STDEVP(終値!AJ48:BC48)/AVERAGE(終値!AJ48:BC48),""))</f>
        <v>5.7533947247863516E-2</v>
      </c>
      <c r="AH48" s="503">
        <f>IF(終値!A48="","",IFERROR(4*STDEVP(終値!AK48:BD48)/AVERAGE(終値!AK48:BD48),""))</f>
        <v>5.6858686024172655E-2</v>
      </c>
      <c r="AI48" s="503">
        <f>IF(終値!A48="","",IFERROR(4*STDEVP(終値!AL48:BE48)/AVERAGE(終値!AL48:BE48),""))</f>
        <v>5.6708046414279706E-2</v>
      </c>
      <c r="AJ48" s="503">
        <f>IF(終値!A48="","",IFERROR(4*STDEVP(終値!AM48:BF48)/AVERAGE(終値!AM48:BF48),""))</f>
        <v>5.6900731577906052E-2</v>
      </c>
      <c r="AK48" s="503">
        <f>IF(終値!A48="","",IFERROR(4*STDEVP(終値!AN48:BG48)/AVERAGE(終値!AN48:BG48),""))</f>
        <v>0.11128655872752835</v>
      </c>
      <c r="AL48" s="503">
        <f>IF(終値!A48="","",IFERROR(4*STDEVP(終値!AO48:BH48)/AVERAGE(終値!AO48:BH48),""))</f>
        <v>0.155843925502991</v>
      </c>
      <c r="AM48" s="503">
        <f>IF(終値!A48="","",IFERROR(4*STDEVP(終値!AP48:BI48)/AVERAGE(終値!AP48:BI48),""))</f>
        <v>0.18445953263489076</v>
      </c>
      <c r="AN48" s="503">
        <f>IF(終値!A48="","",IFERROR(4*STDEVP(終値!AQ48:BJ48)/AVERAGE(終値!AQ48:BJ48),""))</f>
        <v>0.20394701245921409</v>
      </c>
      <c r="AO48" s="503">
        <f>IF(終値!A48="","",IFERROR(4*STDEVP(終値!AR48:BK48)/AVERAGE(終値!AR48:BK48),""))</f>
        <v>0.22123182188327986</v>
      </c>
      <c r="AP48" s="503">
        <f>IF(終値!A48="","",IFERROR(4*STDEVP(終値!AS48:BL48)/AVERAGE(終値!AS48:BL48),""))</f>
        <v>0.23739930552965258</v>
      </c>
    </row>
    <row r="49" spans="1:42">
      <c r="A49" s="500" t="str">
        <f>IF(終値!A49="","",終値!A49)</f>
        <v>5929</v>
      </c>
      <c r="B49" s="503">
        <f>IF(終値!A49="","",IFERROR(4*STDEVP(終値!E49:X49)/AVERAGE(終値!E49:X49),""))</f>
        <v>0.15553606682844687</v>
      </c>
      <c r="C49" s="503">
        <f>IF(終値!A49="","",IFERROR(4*STDEVP(終値!F49:Y49)/AVERAGE(終値!F49:Y49),""))</f>
        <v>0.14203512978891386</v>
      </c>
      <c r="D49" s="503">
        <f>IF(終値!A49="","",IFERROR(4*STDEVP(終値!G49:Z49)/AVERAGE(終値!G49:Z49),""))</f>
        <v>0.12894435200330909</v>
      </c>
      <c r="E49" s="503">
        <f>IF(終値!A49="","",IFERROR(4*STDEVP(終値!H49:AA49)/AVERAGE(終値!H49:AA49),""))</f>
        <v>9.8278380307686292E-2</v>
      </c>
      <c r="F49" s="503">
        <f>IF(終値!A49="","",IFERROR(4*STDEVP(終値!I49:AB49)/AVERAGE(終値!I49:AB49),""))</f>
        <v>9.1088557181050328E-2</v>
      </c>
      <c r="G49" s="503">
        <f>IF(終値!A49="","",IFERROR(4*STDEVP(終値!J49:AC49)/AVERAGE(終値!J49:AC49),""))</f>
        <v>8.2866867579651213E-2</v>
      </c>
      <c r="H49" s="503">
        <f>IF(終値!A49="","",IFERROR(4*STDEVP(終値!K49:AD49)/AVERAGE(終値!K49:AD49),""))</f>
        <v>7.1783618002551383E-2</v>
      </c>
      <c r="I49" s="503">
        <f>IF(終値!A49="","",IFERROR(4*STDEVP(終値!L49:AE49)/AVERAGE(終値!L49:AE49),""))</f>
        <v>6.4193720849205244E-2</v>
      </c>
      <c r="J49" s="503">
        <f>IF(終値!A49="","",IFERROR(4*STDEVP(終値!M49:AF49)/AVERAGE(終値!M49:AF49),""))</f>
        <v>6.689881901333232E-2</v>
      </c>
      <c r="K49" s="503">
        <f>IF(終値!A49="","",IFERROR(4*STDEVP(終値!N49:AG49)/AVERAGE(終値!N49:AG49),""))</f>
        <v>6.9978617011828961E-2</v>
      </c>
      <c r="L49" s="503">
        <f>IF(終値!A49="","",IFERROR(4*STDEVP(終値!O49:AH49)/AVERAGE(終値!O49:AH49),""))</f>
        <v>7.2042703837384606E-2</v>
      </c>
      <c r="M49" s="503">
        <f>IF(終値!A49="","",IFERROR(4*STDEVP(終値!P49:AI49)/AVERAGE(終値!P49:AI49),""))</f>
        <v>7.3644476498820749E-2</v>
      </c>
      <c r="N49" s="503">
        <f>IF(終値!A49="","",IFERROR(4*STDEVP(終値!Q49:AJ49)/AVERAGE(終値!Q49:AJ49),""))</f>
        <v>7.3426559715766324E-2</v>
      </c>
      <c r="O49" s="503">
        <f>IF(終値!A49="","",IFERROR(4*STDEVP(終値!R49:AK49)/AVERAGE(終値!R49:AK49),""))</f>
        <v>7.3315219726314509E-2</v>
      </c>
      <c r="P49" s="503">
        <f>IF(終値!A49="","",IFERROR(4*STDEVP(終値!S49:AL49)/AVERAGE(終値!S49:AL49),""))</f>
        <v>7.2867481195541775E-2</v>
      </c>
      <c r="Q49" s="503">
        <f>IF(終値!A49="","",IFERROR(4*STDEVP(終値!T49:AM49)/AVERAGE(終値!T49:AM49),""))</f>
        <v>7.0195854893866358E-2</v>
      </c>
      <c r="R49" s="503">
        <f>IF(終値!A49="","",IFERROR(4*STDEVP(終値!U49:AN49)/AVERAGE(終値!U49:AN49),""))</f>
        <v>7.4261395159036625E-2</v>
      </c>
      <c r="S49" s="503">
        <f>IF(終値!A49="","",IFERROR(4*STDEVP(終値!V49:AO49)/AVERAGE(終値!V49:AO49),""))</f>
        <v>8.1434331105459376E-2</v>
      </c>
      <c r="T49" s="503">
        <f>IF(終値!A49="","",IFERROR(4*STDEVP(終値!W49:AP49)/AVERAGE(終値!W49:AP49),""))</f>
        <v>8.3895400085149258E-2</v>
      </c>
      <c r="U49" s="503">
        <f>IF(終値!A49="","",IFERROR(4*STDEVP(終値!X49:AQ49)/AVERAGE(終値!X49:AQ49),""))</f>
        <v>9.3057373067003527E-2</v>
      </c>
      <c r="V49" s="503">
        <f>IF(終値!A49="","",IFERROR(4*STDEVP(終値!Y49:AR49)/AVERAGE(終値!Y49:AR49),""))</f>
        <v>9.3164086931250834E-2</v>
      </c>
      <c r="W49" s="503">
        <f>IF(終値!A49="","",IFERROR(4*STDEVP(終値!Z49:AS49)/AVERAGE(終値!Z49:AS49),""))</f>
        <v>0.1043120559856526</v>
      </c>
      <c r="X49" s="503">
        <f>IF(終値!A49="","",IFERROR(4*STDEVP(終値!AA49:AT49)/AVERAGE(終値!AA49:AT49),""))</f>
        <v>0.11638123195391803</v>
      </c>
      <c r="Y49" s="503">
        <f>IF(終値!A49="","",IFERROR(4*STDEVP(終値!AB49:AU49)/AVERAGE(終値!AB49:AU49),""))</f>
        <v>0.13819978307245898</v>
      </c>
      <c r="Z49" s="503">
        <f>IF(終値!A49="","",IFERROR(4*STDEVP(終値!AC49:AV49)/AVERAGE(終値!AC49:AV49),""))</f>
        <v>0.13328577929205773</v>
      </c>
      <c r="AA49" s="503">
        <f>IF(終値!A49="","",IFERROR(4*STDEVP(終値!AD49:AW49)/AVERAGE(終値!AD49:AW49),""))</f>
        <v>0.12740775290809833</v>
      </c>
      <c r="AB49" s="503">
        <f>IF(終値!A49="","",IFERROR(4*STDEVP(終値!AE49:AX49)/AVERAGE(終値!AE49:AX49),""))</f>
        <v>0.13439595430381016</v>
      </c>
      <c r="AC49" s="503">
        <f>IF(終値!A49="","",IFERROR(4*STDEVP(終値!AF49:AY49)/AVERAGE(終値!AF49:AY49),""))</f>
        <v>0.14765719303099209</v>
      </c>
      <c r="AD49" s="503">
        <f>IF(終値!A49="","",IFERROR(4*STDEVP(終値!AG49:AZ49)/AVERAGE(終値!AG49:AZ49),""))</f>
        <v>0.16045603724708724</v>
      </c>
      <c r="AE49" s="503">
        <f>IF(終値!A49="","",IFERROR(4*STDEVP(終値!AH49:BA49)/AVERAGE(終値!AH49:BA49),""))</f>
        <v>0.16739945893067398</v>
      </c>
      <c r="AF49" s="503">
        <f>IF(終値!A49="","",IFERROR(4*STDEVP(終値!AI49:BB49)/AVERAGE(終値!AI49:BB49),""))</f>
        <v>0.17604769439307821</v>
      </c>
      <c r="AG49" s="503">
        <f>IF(終値!A49="","",IFERROR(4*STDEVP(終値!AJ49:BC49)/AVERAGE(終値!AJ49:BC49),""))</f>
        <v>0.17510265375223405</v>
      </c>
      <c r="AH49" s="503">
        <f>IF(終値!A49="","",IFERROR(4*STDEVP(終値!AK49:BD49)/AVERAGE(終値!AK49:BD49),""))</f>
        <v>0.17262843737267441</v>
      </c>
      <c r="AI49" s="503">
        <f>IF(終値!A49="","",IFERROR(4*STDEVP(終値!AL49:BE49)/AVERAGE(終値!AL49:BE49),""))</f>
        <v>0.16275039248041126</v>
      </c>
      <c r="AJ49" s="503">
        <f>IF(終値!A49="","",IFERROR(4*STDEVP(終値!AM49:BF49)/AVERAGE(終値!AM49:BF49),""))</f>
        <v>0.15822279835013497</v>
      </c>
      <c r="AK49" s="503">
        <f>IF(終値!A49="","",IFERROR(4*STDEVP(終値!AN49:BG49)/AVERAGE(終値!AN49:BG49),""))</f>
        <v>0.14228196281199534</v>
      </c>
      <c r="AL49" s="503">
        <f>IF(終値!A49="","",IFERROR(4*STDEVP(終値!AO49:BH49)/AVERAGE(終値!AO49:BH49),""))</f>
        <v>0.13697561158280017</v>
      </c>
      <c r="AM49" s="503">
        <f>IF(終値!A49="","",IFERROR(4*STDEVP(終値!AP49:BI49)/AVERAGE(終値!AP49:BI49),""))</f>
        <v>0.13725021589254646</v>
      </c>
      <c r="AN49" s="503">
        <f>IF(終値!A49="","",IFERROR(4*STDEVP(終値!AQ49:BJ49)/AVERAGE(終値!AQ49:BJ49),""))</f>
        <v>0.13697907139627777</v>
      </c>
      <c r="AO49" s="503">
        <f>IF(終値!A49="","",IFERROR(4*STDEVP(終値!AR49:BK49)/AVERAGE(終値!AR49:BK49),""))</f>
        <v>0.1420758534559857</v>
      </c>
      <c r="AP49" s="503">
        <f>IF(終値!A49="","",IFERROR(4*STDEVP(終値!AS49:BL49)/AVERAGE(終値!AS49:BL49),""))</f>
        <v>0.14214511018252321</v>
      </c>
    </row>
    <row r="50" spans="1:42">
      <c r="A50" s="500" t="str">
        <f>IF(終値!A50="","",終値!A50)</f>
        <v>8316</v>
      </c>
      <c r="B50" s="503">
        <f>IF(終値!A50="","",IFERROR(4*STDEVP(終値!E50:X50)/AVERAGE(終値!E50:X50),""))</f>
        <v>0.10766659813303008</v>
      </c>
      <c r="C50" s="503">
        <f>IF(終値!A50="","",IFERROR(4*STDEVP(終値!F50:Y50)/AVERAGE(終値!F50:Y50),""))</f>
        <v>9.9933084724274715E-2</v>
      </c>
      <c r="D50" s="503">
        <f>IF(終値!A50="","",IFERROR(4*STDEVP(終値!G50:Z50)/AVERAGE(終値!G50:Z50),""))</f>
        <v>0.10202541494598673</v>
      </c>
      <c r="E50" s="503">
        <f>IF(終値!A50="","",IFERROR(4*STDEVP(終値!H50:AA50)/AVERAGE(終値!H50:AA50),""))</f>
        <v>0.1176309786316362</v>
      </c>
      <c r="F50" s="503">
        <f>IF(終値!A50="","",IFERROR(4*STDEVP(終値!I50:AB50)/AVERAGE(終値!I50:AB50),""))</f>
        <v>0.13354159084152892</v>
      </c>
      <c r="G50" s="503">
        <f>IF(終値!A50="","",IFERROR(4*STDEVP(終値!J50:AC50)/AVERAGE(終値!J50:AC50),""))</f>
        <v>0.14924930701665293</v>
      </c>
      <c r="H50" s="503">
        <f>IF(終値!A50="","",IFERROR(4*STDEVP(終値!K50:AD50)/AVERAGE(終値!K50:AD50),""))</f>
        <v>0.15934697447525398</v>
      </c>
      <c r="I50" s="503">
        <f>IF(終値!A50="","",IFERROR(4*STDEVP(終値!L50:AE50)/AVERAGE(終値!L50:AE50),""))</f>
        <v>0.16101438027228379</v>
      </c>
      <c r="J50" s="503">
        <f>IF(終値!A50="","",IFERROR(4*STDEVP(終値!M50:AF50)/AVERAGE(終値!M50:AF50),""))</f>
        <v>0.16049556988509686</v>
      </c>
      <c r="K50" s="503">
        <f>IF(終値!A50="","",IFERROR(4*STDEVP(終値!N50:AG50)/AVERAGE(終値!N50:AG50),""))</f>
        <v>0.15256568810440932</v>
      </c>
      <c r="L50" s="503">
        <f>IF(終値!A50="","",IFERROR(4*STDEVP(終値!O50:AH50)/AVERAGE(終値!O50:AH50),""))</f>
        <v>0.1435639854913775</v>
      </c>
      <c r="M50" s="503">
        <f>IF(終値!A50="","",IFERROR(4*STDEVP(終値!P50:AI50)/AVERAGE(終値!P50:AI50),""))</f>
        <v>0.14027606995369574</v>
      </c>
      <c r="N50" s="503">
        <f>IF(終値!A50="","",IFERROR(4*STDEVP(終値!Q50:AJ50)/AVERAGE(終値!Q50:AJ50),""))</f>
        <v>0.14034375355875531</v>
      </c>
      <c r="O50" s="503">
        <f>IF(終値!A50="","",IFERROR(4*STDEVP(終値!R50:AK50)/AVERAGE(終値!R50:AK50),""))</f>
        <v>0.12628945431562807</v>
      </c>
      <c r="P50" s="503">
        <f>IF(終値!A50="","",IFERROR(4*STDEVP(終値!S50:AL50)/AVERAGE(終値!S50:AL50),""))</f>
        <v>0.11895582910765599</v>
      </c>
      <c r="Q50" s="503">
        <f>IF(終値!A50="","",IFERROR(4*STDEVP(終値!T50:AM50)/AVERAGE(終値!T50:AM50),""))</f>
        <v>0.10929414514059305</v>
      </c>
      <c r="R50" s="503">
        <f>IF(終値!A50="","",IFERROR(4*STDEVP(終値!U50:AN50)/AVERAGE(終値!U50:AN50),""))</f>
        <v>0.10535730682160101</v>
      </c>
      <c r="S50" s="503">
        <f>IF(終値!A50="","",IFERROR(4*STDEVP(終値!V50:AO50)/AVERAGE(終値!V50:AO50),""))</f>
        <v>0.10745158495899083</v>
      </c>
      <c r="T50" s="503">
        <f>IF(終値!A50="","",IFERROR(4*STDEVP(終値!W50:AP50)/AVERAGE(終値!W50:AP50),""))</f>
        <v>0.1053586484574166</v>
      </c>
      <c r="U50" s="503">
        <f>IF(終値!A50="","",IFERROR(4*STDEVP(終値!X50:AQ50)/AVERAGE(終値!X50:AQ50),""))</f>
        <v>0.10638879357964891</v>
      </c>
      <c r="V50" s="503">
        <f>IF(終値!A50="","",IFERROR(4*STDEVP(終値!Y50:AR50)/AVERAGE(終値!Y50:AR50),""))</f>
        <v>9.7664388013525116E-2</v>
      </c>
      <c r="W50" s="503">
        <f>IF(終値!A50="","",IFERROR(4*STDEVP(終値!Z50:AS50)/AVERAGE(終値!Z50:AS50),""))</f>
        <v>9.8271855554385695E-2</v>
      </c>
      <c r="X50" s="503">
        <f>IF(終値!A50="","",IFERROR(4*STDEVP(終値!AA50:AT50)/AVERAGE(終値!AA50:AT50),""))</f>
        <v>0.10008340025242053</v>
      </c>
      <c r="Y50" s="503">
        <f>IF(終値!A50="","",IFERROR(4*STDEVP(終値!AB50:AU50)/AVERAGE(終値!AB50:AU50),""))</f>
        <v>0.11499849914450301</v>
      </c>
      <c r="Z50" s="503">
        <f>IF(終値!A50="","",IFERROR(4*STDEVP(終値!AC50:AV50)/AVERAGE(終値!AC50:AV50),""))</f>
        <v>0.13626700947978077</v>
      </c>
      <c r="AA50" s="503">
        <f>IF(終値!A50="","",IFERROR(4*STDEVP(終値!AD50:AW50)/AVERAGE(終値!AD50:AW50),""))</f>
        <v>0.15125594114055335</v>
      </c>
      <c r="AB50" s="503">
        <f>IF(終値!A50="","",IFERROR(4*STDEVP(終値!AE50:AX50)/AVERAGE(終値!AE50:AX50),""))</f>
        <v>0.15819845709470259</v>
      </c>
      <c r="AC50" s="503">
        <f>IF(終値!A50="","",IFERROR(4*STDEVP(終値!AF50:AY50)/AVERAGE(終値!AF50:AY50),""))</f>
        <v>0.16092335513401645</v>
      </c>
      <c r="AD50" s="503">
        <f>IF(終値!A50="","",IFERROR(4*STDEVP(終値!AG50:AZ50)/AVERAGE(終値!AG50:AZ50),""))</f>
        <v>0.16430180018958862</v>
      </c>
      <c r="AE50" s="503">
        <f>IF(終値!A50="","",IFERROR(4*STDEVP(終値!AH50:BA50)/AVERAGE(終値!AH50:BA50),""))</f>
        <v>0.16396972358454312</v>
      </c>
      <c r="AF50" s="503">
        <f>IF(終値!A50="","",IFERROR(4*STDEVP(終値!AI50:BB50)/AVERAGE(終値!AI50:BB50),""))</f>
        <v>0.15851542219128176</v>
      </c>
      <c r="AG50" s="503">
        <f>IF(終値!A50="","",IFERROR(4*STDEVP(終値!AJ50:BC50)/AVERAGE(終値!AJ50:BC50),""))</f>
        <v>0.1558417323810693</v>
      </c>
      <c r="AH50" s="503">
        <f>IF(終値!A50="","",IFERROR(4*STDEVP(終値!AK50:BD50)/AVERAGE(終値!AK50:BD50),""))</f>
        <v>0.14241112229861305</v>
      </c>
      <c r="AI50" s="503">
        <f>IF(終値!A50="","",IFERROR(4*STDEVP(終値!AL50:BE50)/AVERAGE(終値!AL50:BE50),""))</f>
        <v>0.14413836015246168</v>
      </c>
      <c r="AJ50" s="503">
        <f>IF(終値!A50="","",IFERROR(4*STDEVP(終値!AM50:BF50)/AVERAGE(終値!AM50:BF50),""))</f>
        <v>0.14551092370390817</v>
      </c>
      <c r="AK50" s="503">
        <f>IF(終値!A50="","",IFERROR(4*STDEVP(終値!AN50:BG50)/AVERAGE(終値!AN50:BG50),""))</f>
        <v>0.12743731458314841</v>
      </c>
      <c r="AL50" s="503">
        <f>IF(終値!A50="","",IFERROR(4*STDEVP(終値!AO50:BH50)/AVERAGE(終値!AO50:BH50),""))</f>
        <v>0.1145807458893222</v>
      </c>
      <c r="AM50" s="503">
        <f>IF(終値!A50="","",IFERROR(4*STDEVP(終値!AP50:BI50)/AVERAGE(終値!AP50:BI50),""))</f>
        <v>0.11704858911681899</v>
      </c>
      <c r="AN50" s="503">
        <f>IF(終値!A50="","",IFERROR(4*STDEVP(終値!AQ50:BJ50)/AVERAGE(終値!AQ50:BJ50),""))</f>
        <v>0.12206339091308333</v>
      </c>
      <c r="AO50" s="503">
        <f>IF(終値!A50="","",IFERROR(4*STDEVP(終値!AR50:BK50)/AVERAGE(終値!AR50:BK50),""))</f>
        <v>0.12212933753934564</v>
      </c>
      <c r="AP50" s="503">
        <f>IF(終値!A50="","",IFERROR(4*STDEVP(終値!AS50:BL50)/AVERAGE(終値!AS50:BL50),""))</f>
        <v>0.12009183360951328</v>
      </c>
    </row>
    <row r="51" spans="1:42">
      <c r="A51" s="500" t="str">
        <f>IF(終値!A51="","",終値!A51)</f>
        <v>5449</v>
      </c>
      <c r="B51" s="503">
        <f>IF(終値!A51="","",IFERROR(4*STDEVP(終値!E51:X51)/AVERAGE(終値!E51:X51),""))</f>
        <v>0.20323369974825187</v>
      </c>
      <c r="C51" s="503">
        <f>IF(終値!A51="","",IFERROR(4*STDEVP(終値!F51:Y51)/AVERAGE(終値!F51:Y51),""))</f>
        <v>0.20553446268744491</v>
      </c>
      <c r="D51" s="503">
        <f>IF(終値!A51="","",IFERROR(4*STDEVP(終値!G51:Z51)/AVERAGE(終値!G51:Z51),""))</f>
        <v>0.21086446203205741</v>
      </c>
      <c r="E51" s="503">
        <f>IF(終値!A51="","",IFERROR(4*STDEVP(終値!H51:AA51)/AVERAGE(終値!H51:AA51),""))</f>
        <v>0.235278848774926</v>
      </c>
      <c r="F51" s="503">
        <f>IF(終値!A51="","",IFERROR(4*STDEVP(終値!I51:AB51)/AVERAGE(終値!I51:AB51),""))</f>
        <v>0.23710799219228437</v>
      </c>
      <c r="G51" s="503">
        <f>IF(終値!A51="","",IFERROR(4*STDEVP(終値!J51:AC51)/AVERAGE(終値!J51:AC51),""))</f>
        <v>0.20802782445088266</v>
      </c>
      <c r="H51" s="503">
        <f>IF(終値!A51="","",IFERROR(4*STDEVP(終値!K51:AD51)/AVERAGE(終値!K51:AD51),""))</f>
        <v>0.19603062007480265</v>
      </c>
      <c r="I51" s="503">
        <f>IF(終値!A51="","",IFERROR(4*STDEVP(終値!L51:AE51)/AVERAGE(終値!L51:AE51),""))</f>
        <v>0.19019944157059698</v>
      </c>
      <c r="J51" s="503">
        <f>IF(終値!A51="","",IFERROR(4*STDEVP(終値!M51:AF51)/AVERAGE(終値!M51:AF51),""))</f>
        <v>0.18566579278071924</v>
      </c>
      <c r="K51" s="503">
        <f>IF(終値!A51="","",IFERROR(4*STDEVP(終値!N51:AG51)/AVERAGE(終値!N51:AG51),""))</f>
        <v>0.1781244374843976</v>
      </c>
      <c r="L51" s="503">
        <f>IF(終値!A51="","",IFERROR(4*STDEVP(終値!O51:AH51)/AVERAGE(終値!O51:AH51),""))</f>
        <v>0.17322652150206067</v>
      </c>
      <c r="M51" s="503">
        <f>IF(終値!A51="","",IFERROR(4*STDEVP(終値!P51:AI51)/AVERAGE(終値!P51:AI51),""))</f>
        <v>0.16337115431258933</v>
      </c>
      <c r="N51" s="503">
        <f>IF(終値!A51="","",IFERROR(4*STDEVP(終値!Q51:AJ51)/AVERAGE(終値!Q51:AJ51),""))</f>
        <v>0.1613634383212165</v>
      </c>
      <c r="O51" s="503">
        <f>IF(終値!A51="","",IFERROR(4*STDEVP(終値!R51:AK51)/AVERAGE(終値!R51:AK51),""))</f>
        <v>0.16184952167358432</v>
      </c>
      <c r="P51" s="503">
        <f>IF(終値!A51="","",IFERROR(4*STDEVP(終値!S51:AL51)/AVERAGE(終値!S51:AL51),""))</f>
        <v>0.15714261334277355</v>
      </c>
      <c r="Q51" s="503">
        <f>IF(終値!A51="","",IFERROR(4*STDEVP(終値!T51:AM51)/AVERAGE(終値!T51:AM51),""))</f>
        <v>0.14577033699945563</v>
      </c>
      <c r="R51" s="503">
        <f>IF(終値!A51="","",IFERROR(4*STDEVP(終値!U51:AN51)/AVERAGE(終値!U51:AN51),""))</f>
        <v>0.13298917426273973</v>
      </c>
      <c r="S51" s="503">
        <f>IF(終値!A51="","",IFERROR(4*STDEVP(終値!V51:AO51)/AVERAGE(終値!V51:AO51),""))</f>
        <v>0.12610989847094781</v>
      </c>
      <c r="T51" s="503">
        <f>IF(終値!A51="","",IFERROR(4*STDEVP(終値!W51:AP51)/AVERAGE(終値!W51:AP51),""))</f>
        <v>0.10940254647536146</v>
      </c>
      <c r="U51" s="503">
        <f>IF(終値!A51="","",IFERROR(4*STDEVP(終値!X51:AQ51)/AVERAGE(終値!X51:AQ51),""))</f>
        <v>8.8028521499012247E-2</v>
      </c>
      <c r="V51" s="503">
        <f>IF(終値!A51="","",IFERROR(4*STDEVP(終値!Y51:AR51)/AVERAGE(終値!Y51:AR51),""))</f>
        <v>8.3784072355120462E-2</v>
      </c>
      <c r="W51" s="503">
        <f>IF(終値!A51="","",IFERROR(4*STDEVP(終値!Z51:AS51)/AVERAGE(終値!Z51:AS51),""))</f>
        <v>7.6465682372082983E-2</v>
      </c>
      <c r="X51" s="503">
        <f>IF(終値!A51="","",IFERROR(4*STDEVP(終値!AA51:AT51)/AVERAGE(終値!AA51:AT51),""))</f>
        <v>8.2216615886629055E-2</v>
      </c>
      <c r="Y51" s="503">
        <f>IF(終値!A51="","",IFERROR(4*STDEVP(終値!AB51:AU51)/AVERAGE(終値!AB51:AU51),""))</f>
        <v>7.8433324077567645E-2</v>
      </c>
      <c r="Z51" s="503">
        <f>IF(終値!A51="","",IFERROR(4*STDEVP(終値!AC51:AV51)/AVERAGE(終値!AC51:AV51),""))</f>
        <v>0.12241948007334832</v>
      </c>
      <c r="AA51" s="503">
        <f>IF(終値!A51="","",IFERROR(4*STDEVP(終値!AD51:AW51)/AVERAGE(終値!AD51:AW51),""))</f>
        <v>0.15287122020907615</v>
      </c>
      <c r="AB51" s="503">
        <f>IF(終値!A51="","",IFERROR(4*STDEVP(終値!AE51:AX51)/AVERAGE(終値!AE51:AX51),""))</f>
        <v>0.19010293154006289</v>
      </c>
      <c r="AC51" s="503">
        <f>IF(終値!A51="","",IFERROR(4*STDEVP(終値!AF51:AY51)/AVERAGE(終値!AF51:AY51),""))</f>
        <v>0.19159755454880922</v>
      </c>
      <c r="AD51" s="503">
        <f>IF(終値!A51="","",IFERROR(4*STDEVP(終値!AG51:AZ51)/AVERAGE(終値!AG51:AZ51),""))</f>
        <v>0.18843824511020826</v>
      </c>
      <c r="AE51" s="503">
        <f>IF(終値!A51="","",IFERROR(4*STDEVP(終値!AH51:BA51)/AVERAGE(終値!AH51:BA51),""))</f>
        <v>0.18694568404445544</v>
      </c>
      <c r="AF51" s="503">
        <f>IF(終値!A51="","",IFERROR(4*STDEVP(終値!AI51:BB51)/AVERAGE(終値!AI51:BB51),""))</f>
        <v>0.19160362935616407</v>
      </c>
      <c r="AG51" s="503">
        <f>IF(終値!A51="","",IFERROR(4*STDEVP(終値!AJ51:BC51)/AVERAGE(終値!AJ51:BC51),""))</f>
        <v>0.1972753376194859</v>
      </c>
      <c r="AH51" s="503">
        <f>IF(終値!A51="","",IFERROR(4*STDEVP(終値!AK51:BD51)/AVERAGE(終値!AK51:BD51),""))</f>
        <v>0.20029103241947482</v>
      </c>
      <c r="AI51" s="503">
        <f>IF(終値!A51="","",IFERROR(4*STDEVP(終値!AL51:BE51)/AVERAGE(終値!AL51:BE51),""))</f>
        <v>0.19184188514407666</v>
      </c>
      <c r="AJ51" s="503">
        <f>IF(終値!A51="","",IFERROR(4*STDEVP(終値!AM51:BF51)/AVERAGE(終値!AM51:BF51),""))</f>
        <v>0.19274886893903365</v>
      </c>
      <c r="AK51" s="503">
        <f>IF(終値!A51="","",IFERROR(4*STDEVP(終値!AN51:BG51)/AVERAGE(終値!AN51:BG51),""))</f>
        <v>0.19478360289443694</v>
      </c>
      <c r="AL51" s="503">
        <f>IF(終値!A51="","",IFERROR(4*STDEVP(終値!AO51:BH51)/AVERAGE(終値!AO51:BH51),""))</f>
        <v>0.19580142398475975</v>
      </c>
      <c r="AM51" s="503">
        <f>IF(終値!A51="","",IFERROR(4*STDEVP(終値!AP51:BI51)/AVERAGE(終値!AP51:BI51),""))</f>
        <v>0.20085606485673721</v>
      </c>
      <c r="AN51" s="503">
        <f>IF(終値!A51="","",IFERROR(4*STDEVP(終値!AQ51:BJ51)/AVERAGE(終値!AQ51:BJ51),""))</f>
        <v>0.2038035513676259</v>
      </c>
      <c r="AO51" s="503">
        <f>IF(終値!A51="","",IFERROR(4*STDEVP(終値!AR51:BK51)/AVERAGE(終値!AR51:BK51),""))</f>
        <v>0.20877020449017017</v>
      </c>
      <c r="AP51" s="503">
        <f>IF(終値!A51="","",IFERROR(4*STDEVP(終値!AS51:BL51)/AVERAGE(終値!AS51:BL51),""))</f>
        <v>0.20863314974769775</v>
      </c>
    </row>
    <row r="52" spans="1:42">
      <c r="A52" s="500" t="str">
        <f>IF(終値!A52="","",終値!A52)</f>
        <v>8766</v>
      </c>
      <c r="B52" s="503">
        <f>IF(終値!A52="","",IFERROR(4*STDEVP(終値!E52:X52)/AVERAGE(終値!E52:X52),""))</f>
        <v>0.12086834067676885</v>
      </c>
      <c r="C52" s="503">
        <f>IF(終値!A52="","",IFERROR(4*STDEVP(終値!F52:Y52)/AVERAGE(終値!F52:Y52),""))</f>
        <v>0.12426253892047787</v>
      </c>
      <c r="D52" s="503">
        <f>IF(終値!A52="","",IFERROR(4*STDEVP(終値!G52:Z52)/AVERAGE(終値!G52:Z52),""))</f>
        <v>0.13164059393652744</v>
      </c>
      <c r="E52" s="503">
        <f>IF(終値!A52="","",IFERROR(4*STDEVP(終値!H52:AA52)/AVERAGE(終値!H52:AA52),""))</f>
        <v>0.15427339713718116</v>
      </c>
      <c r="F52" s="503">
        <f>IF(終値!A52="","",IFERROR(4*STDEVP(終値!I52:AB52)/AVERAGE(終値!I52:AB52),""))</f>
        <v>0.16353900200145166</v>
      </c>
      <c r="G52" s="503">
        <f>IF(終値!A52="","",IFERROR(4*STDEVP(終値!J52:AC52)/AVERAGE(終値!J52:AC52),""))</f>
        <v>0.15784986764228331</v>
      </c>
      <c r="H52" s="503">
        <f>IF(終値!A52="","",IFERROR(4*STDEVP(終値!K52:AD52)/AVERAGE(終値!K52:AD52),""))</f>
        <v>0.17213569414279131</v>
      </c>
      <c r="I52" s="503">
        <f>IF(終値!A52="","",IFERROR(4*STDEVP(終値!L52:AE52)/AVERAGE(終値!L52:AE52),""))</f>
        <v>0.18152573737338162</v>
      </c>
      <c r="J52" s="503">
        <f>IF(終値!A52="","",IFERROR(4*STDEVP(終値!M52:AF52)/AVERAGE(終値!M52:AF52),""))</f>
        <v>0.18393149168281714</v>
      </c>
      <c r="K52" s="503">
        <f>IF(終値!A52="","",IFERROR(4*STDEVP(終値!N52:AG52)/AVERAGE(終値!N52:AG52),""))</f>
        <v>0.17877597174844059</v>
      </c>
      <c r="L52" s="503">
        <f>IF(終値!A52="","",IFERROR(4*STDEVP(終値!O52:AH52)/AVERAGE(終値!O52:AH52),""))</f>
        <v>0.17080639483406762</v>
      </c>
      <c r="M52" s="503">
        <f>IF(終値!A52="","",IFERROR(4*STDEVP(終値!P52:AI52)/AVERAGE(終値!P52:AI52),""))</f>
        <v>0.16620160529799666</v>
      </c>
      <c r="N52" s="503">
        <f>IF(終値!A52="","",IFERROR(4*STDEVP(終値!Q52:AJ52)/AVERAGE(終値!Q52:AJ52),""))</f>
        <v>0.16633524953846046</v>
      </c>
      <c r="O52" s="503">
        <f>IF(終値!A52="","",IFERROR(4*STDEVP(終値!R52:AK52)/AVERAGE(終値!R52:AK52),""))</f>
        <v>0.1618069651546343</v>
      </c>
      <c r="P52" s="503">
        <f>IF(終値!A52="","",IFERROR(4*STDEVP(終値!S52:AL52)/AVERAGE(終値!S52:AL52),""))</f>
        <v>0.15725558286536639</v>
      </c>
      <c r="Q52" s="503">
        <f>IF(終値!A52="","",IFERROR(4*STDEVP(終値!T52:AM52)/AVERAGE(終値!T52:AM52),""))</f>
        <v>0.15469952824069402</v>
      </c>
      <c r="R52" s="503">
        <f>IF(終値!A52="","",IFERROR(4*STDEVP(終値!U52:AN52)/AVERAGE(終値!U52:AN52),""))</f>
        <v>0.15162409402770244</v>
      </c>
      <c r="S52" s="503">
        <f>IF(終値!A52="","",IFERROR(4*STDEVP(終値!V52:AO52)/AVERAGE(終値!V52:AO52),""))</f>
        <v>0.13710223889029952</v>
      </c>
      <c r="T52" s="503">
        <f>IF(終値!A52="","",IFERROR(4*STDEVP(終値!W52:AP52)/AVERAGE(終値!W52:AP52),""))</f>
        <v>0.1292200431227255</v>
      </c>
      <c r="U52" s="503">
        <f>IF(終値!A52="","",IFERROR(4*STDEVP(終値!X52:AQ52)/AVERAGE(終値!X52:AQ52),""))</f>
        <v>0.11864205379175209</v>
      </c>
      <c r="V52" s="503">
        <f>IF(終値!A52="","",IFERROR(4*STDEVP(終値!Y52:AR52)/AVERAGE(終値!Y52:AR52),""))</f>
        <v>0.10269151024968512</v>
      </c>
      <c r="W52" s="503">
        <f>IF(終値!A52="","",IFERROR(4*STDEVP(終値!Z52:AS52)/AVERAGE(終値!Z52:AS52),""))</f>
        <v>9.8853315273864317E-2</v>
      </c>
      <c r="X52" s="503">
        <f>IF(終値!A52="","",IFERROR(4*STDEVP(終値!AA52:AT52)/AVERAGE(終値!AA52:AT52),""))</f>
        <v>9.1571004223678254E-2</v>
      </c>
      <c r="Y52" s="503">
        <f>IF(終値!A52="","",IFERROR(4*STDEVP(終値!AB52:AU52)/AVERAGE(終値!AB52:AU52),""))</f>
        <v>9.2734809147419925E-2</v>
      </c>
      <c r="Z52" s="503">
        <f>IF(終値!A52="","",IFERROR(4*STDEVP(終値!AC52:AV52)/AVERAGE(終値!AC52:AV52),""))</f>
        <v>9.3090049743821693E-2</v>
      </c>
      <c r="AA52" s="503">
        <f>IF(終値!A52="","",IFERROR(4*STDEVP(終値!AD52:AW52)/AVERAGE(終値!AD52:AW52),""))</f>
        <v>9.2671105740132556E-2</v>
      </c>
      <c r="AB52" s="503">
        <f>IF(終値!A52="","",IFERROR(4*STDEVP(終値!AE52:AX52)/AVERAGE(終値!AE52:AX52),""))</f>
        <v>8.8619367876470109E-2</v>
      </c>
      <c r="AC52" s="503">
        <f>IF(終値!A52="","",IFERROR(4*STDEVP(終値!AF52:AY52)/AVERAGE(終値!AF52:AY52),""))</f>
        <v>7.9564751431795366E-2</v>
      </c>
      <c r="AD52" s="503">
        <f>IF(終値!A52="","",IFERROR(4*STDEVP(終値!AG52:AZ52)/AVERAGE(終値!AG52:AZ52),""))</f>
        <v>7.481790690226503E-2</v>
      </c>
      <c r="AE52" s="503">
        <f>IF(終値!A52="","",IFERROR(4*STDEVP(終値!AH52:BA52)/AVERAGE(終値!AH52:BA52),""))</f>
        <v>9.249863706209778E-2</v>
      </c>
      <c r="AF52" s="503">
        <f>IF(終値!A52="","",IFERROR(4*STDEVP(終値!AI52:BB52)/AVERAGE(終値!AI52:BB52),""))</f>
        <v>0.11364684560107451</v>
      </c>
      <c r="AG52" s="503">
        <f>IF(終値!A52="","",IFERROR(4*STDEVP(終値!AJ52:BC52)/AVERAGE(終値!AJ52:BC52),""))</f>
        <v>0.13691385052998445</v>
      </c>
      <c r="AH52" s="503">
        <f>IF(終値!A52="","",IFERROR(4*STDEVP(終値!AK52:BD52)/AVERAGE(終値!AK52:BD52),""))</f>
        <v>0.14124267207285079</v>
      </c>
      <c r="AI52" s="503">
        <f>IF(終値!A52="","",IFERROR(4*STDEVP(終値!AL52:BE52)/AVERAGE(終値!AL52:BE52),""))</f>
        <v>0.14296152202706688</v>
      </c>
      <c r="AJ52" s="503">
        <f>IF(終値!A52="","",IFERROR(4*STDEVP(終値!AM52:BF52)/AVERAGE(終値!AM52:BF52),""))</f>
        <v>0.14263474865032921</v>
      </c>
      <c r="AK52" s="503">
        <f>IF(終値!A52="","",IFERROR(4*STDEVP(終値!AN52:BG52)/AVERAGE(終値!AN52:BG52),""))</f>
        <v>0.14237981527464008</v>
      </c>
      <c r="AL52" s="503">
        <f>IF(終値!A52="","",IFERROR(4*STDEVP(終値!AO52:BH52)/AVERAGE(終値!AO52:BH52),""))</f>
        <v>0.14496529477456932</v>
      </c>
      <c r="AM52" s="503">
        <f>IF(終値!A52="","",IFERROR(4*STDEVP(終値!AP52:BI52)/AVERAGE(終値!AP52:BI52),""))</f>
        <v>0.14704648871254147</v>
      </c>
      <c r="AN52" s="503">
        <f>IF(終値!A52="","",IFERROR(4*STDEVP(終値!AQ52:BJ52)/AVERAGE(終値!AQ52:BJ52),""))</f>
        <v>0.15170710264548909</v>
      </c>
      <c r="AO52" s="503">
        <f>IF(終値!A52="","",IFERROR(4*STDEVP(終値!AR52:BK52)/AVERAGE(終値!AR52:BK52),""))</f>
        <v>0.15194882194509696</v>
      </c>
      <c r="AP52" s="503">
        <f>IF(終値!A52="","",IFERROR(4*STDEVP(終値!AS52:BL52)/AVERAGE(終値!AS52:BL52),""))</f>
        <v>0.14916235362539904</v>
      </c>
    </row>
    <row r="53" spans="1:42">
      <c r="A53" s="500" t="str">
        <f>IF(終値!A53="","",終値!A53)</f>
        <v>5201</v>
      </c>
      <c r="B53" s="503">
        <f>IF(終値!A53="","",IFERROR(4*STDEVP(終値!E53:X53)/AVERAGE(終値!E53:X53),""))</f>
        <v>0.15725160172659372</v>
      </c>
      <c r="C53" s="503">
        <f>IF(終値!A53="","",IFERROR(4*STDEVP(終値!F53:Y53)/AVERAGE(終値!F53:Y53),""))</f>
        <v>0.14446196827393912</v>
      </c>
      <c r="D53" s="503">
        <f>IF(終値!A53="","",IFERROR(4*STDEVP(終値!G53:Z53)/AVERAGE(終値!G53:Z53),""))</f>
        <v>0.15051763856338904</v>
      </c>
      <c r="E53" s="503">
        <f>IF(終値!A53="","",IFERROR(4*STDEVP(終値!H53:AA53)/AVERAGE(終値!H53:AA53),""))</f>
        <v>0.16346810392156993</v>
      </c>
      <c r="F53" s="503">
        <f>IF(終値!A53="","",IFERROR(4*STDEVP(終値!I53:AB53)/AVERAGE(終値!I53:AB53),""))</f>
        <v>0.16607009491008851</v>
      </c>
      <c r="G53" s="503">
        <f>IF(終値!A53="","",IFERROR(4*STDEVP(終値!J53:AC53)/AVERAGE(終値!J53:AC53),""))</f>
        <v>0.1653953431676648</v>
      </c>
      <c r="H53" s="503">
        <f>IF(終値!A53="","",IFERROR(4*STDEVP(終値!K53:AD53)/AVERAGE(終値!K53:AD53),""))</f>
        <v>0.17784710952308103</v>
      </c>
      <c r="I53" s="503">
        <f>IF(終値!A53="","",IFERROR(4*STDEVP(終値!L53:AE53)/AVERAGE(終値!L53:AE53),""))</f>
        <v>0.19474540059536508</v>
      </c>
      <c r="J53" s="503">
        <f>IF(終値!A53="","",IFERROR(4*STDEVP(終値!M53:AF53)/AVERAGE(終値!M53:AF53),""))</f>
        <v>0.1982834076929065</v>
      </c>
      <c r="K53" s="503">
        <f>IF(終値!A53="","",IFERROR(4*STDEVP(終値!N53:AG53)/AVERAGE(終値!N53:AG53),""))</f>
        <v>0.20570631493527769</v>
      </c>
      <c r="L53" s="503">
        <f>IF(終値!A53="","",IFERROR(4*STDEVP(終値!O53:AH53)/AVERAGE(終値!O53:AH53),""))</f>
        <v>0.22531909017847201</v>
      </c>
      <c r="M53" s="503">
        <f>IF(終値!A53="","",IFERROR(4*STDEVP(終値!P53:AI53)/AVERAGE(終値!P53:AI53),""))</f>
        <v>0.23752448812940005</v>
      </c>
      <c r="N53" s="503">
        <f>IF(終値!A53="","",IFERROR(4*STDEVP(終値!Q53:AJ53)/AVERAGE(終値!Q53:AJ53),""))</f>
        <v>0.23362728311087422</v>
      </c>
      <c r="O53" s="503">
        <f>IF(終値!A53="","",IFERROR(4*STDEVP(終値!R53:AK53)/AVERAGE(終値!R53:AK53),""))</f>
        <v>0.23510135871423765</v>
      </c>
      <c r="P53" s="503">
        <f>IF(終値!A53="","",IFERROR(4*STDEVP(終値!S53:AL53)/AVERAGE(終値!S53:AL53),""))</f>
        <v>0.22644410174548799</v>
      </c>
      <c r="Q53" s="503">
        <f>IF(終値!A53="","",IFERROR(4*STDEVP(終値!T53:AM53)/AVERAGE(終値!T53:AM53),""))</f>
        <v>0.21303650251236045</v>
      </c>
      <c r="R53" s="503">
        <f>IF(終値!A53="","",IFERROR(4*STDEVP(終値!U53:AN53)/AVERAGE(終値!U53:AN53),""))</f>
        <v>0.19673310972093339</v>
      </c>
      <c r="S53" s="503">
        <f>IF(終値!A53="","",IFERROR(4*STDEVP(終値!V53:AO53)/AVERAGE(終値!V53:AO53),""))</f>
        <v>0.18136865066336741</v>
      </c>
      <c r="T53" s="503">
        <f>IF(終値!A53="","",IFERROR(4*STDEVP(終値!W53:AP53)/AVERAGE(終値!W53:AP53),""))</f>
        <v>0.16002546734781917</v>
      </c>
      <c r="U53" s="503">
        <f>IF(終値!A53="","",IFERROR(4*STDEVP(終値!X53:AQ53)/AVERAGE(終値!X53:AQ53),""))</f>
        <v>0.14360035540116553</v>
      </c>
      <c r="V53" s="503">
        <f>IF(終値!A53="","",IFERROR(4*STDEVP(終値!Y53:AR53)/AVERAGE(終値!Y53:AR53),""))</f>
        <v>0.14893742419208242</v>
      </c>
      <c r="W53" s="503">
        <f>IF(終値!A53="","",IFERROR(4*STDEVP(終値!Z53:AS53)/AVERAGE(終値!Z53:AS53),""))</f>
        <v>0.17851667640087027</v>
      </c>
      <c r="X53" s="503">
        <f>IF(終値!A53="","",IFERROR(4*STDEVP(終値!AA53:AT53)/AVERAGE(終値!AA53:AT53),""))</f>
        <v>0.1997423486980284</v>
      </c>
      <c r="Y53" s="503">
        <f>IF(終値!A53="","",IFERROR(4*STDEVP(終値!AB53:AU53)/AVERAGE(終値!AB53:AU53),""))</f>
        <v>0.19616171220802125</v>
      </c>
      <c r="Z53" s="503">
        <f>IF(終値!A53="","",IFERROR(4*STDEVP(終値!AC53:AV53)/AVERAGE(終値!AC53:AV53),""))</f>
        <v>0.19704114007815141</v>
      </c>
      <c r="AA53" s="503">
        <f>IF(終値!A53="","",IFERROR(4*STDEVP(終値!AD53:AW53)/AVERAGE(終値!AD53:AW53),""))</f>
        <v>0.19816575496422317</v>
      </c>
      <c r="AB53" s="503">
        <f>IF(終値!A53="","",IFERROR(4*STDEVP(終値!AE53:AX53)/AVERAGE(終値!AE53:AX53),""))</f>
        <v>0.20094448128287967</v>
      </c>
      <c r="AC53" s="503">
        <f>IF(終値!A53="","",IFERROR(4*STDEVP(終値!AF53:AY53)/AVERAGE(終値!AF53:AY53),""))</f>
        <v>0.21830582301371837</v>
      </c>
      <c r="AD53" s="503">
        <f>IF(終値!A53="","",IFERROR(4*STDEVP(終値!AG53:AZ53)/AVERAGE(終値!AG53:AZ53),""))</f>
        <v>0.24057213198005298</v>
      </c>
      <c r="AE53" s="503">
        <f>IF(終値!A53="","",IFERROR(4*STDEVP(終値!AH53:BA53)/AVERAGE(終値!AH53:BA53),""))</f>
        <v>0.27498595081105576</v>
      </c>
      <c r="AF53" s="503">
        <f>IF(終値!A53="","",IFERROR(4*STDEVP(終値!AI53:BB53)/AVERAGE(終値!AI53:BB53),""))</f>
        <v>0.31015701280610841</v>
      </c>
      <c r="AG53" s="503">
        <f>IF(終値!A53="","",IFERROR(4*STDEVP(終値!AJ53:BC53)/AVERAGE(終値!AJ53:BC53),""))</f>
        <v>0.32783669089069023</v>
      </c>
      <c r="AH53" s="503">
        <f>IF(終値!A53="","",IFERROR(4*STDEVP(終値!AK53:BD53)/AVERAGE(終値!AK53:BD53),""))</f>
        <v>0.35428870047951022</v>
      </c>
      <c r="AI53" s="503">
        <f>IF(終値!A53="","",IFERROR(4*STDEVP(終値!AL53:BE53)/AVERAGE(終値!AL53:BE53),""))</f>
        <v>0.37546441953509802</v>
      </c>
      <c r="AJ53" s="503">
        <f>IF(終値!A53="","",IFERROR(4*STDEVP(終値!AM53:BF53)/AVERAGE(終値!AM53:BF53),""))</f>
        <v>0.39317034053298811</v>
      </c>
      <c r="AK53" s="503">
        <f>IF(終値!A53="","",IFERROR(4*STDEVP(終値!AN53:BG53)/AVERAGE(終値!AN53:BG53),""))</f>
        <v>0.40427379702982014</v>
      </c>
      <c r="AL53" s="503">
        <f>IF(終値!A53="","",IFERROR(4*STDEVP(終値!AO53:BH53)/AVERAGE(終値!AO53:BH53),""))</f>
        <v>0.41905692549229917</v>
      </c>
      <c r="AM53" s="503">
        <f>IF(終値!A53="","",IFERROR(4*STDEVP(終値!AP53:BI53)/AVERAGE(終値!AP53:BI53),""))</f>
        <v>0.4469132577486935</v>
      </c>
      <c r="AN53" s="503">
        <f>IF(終値!A53="","",IFERROR(4*STDEVP(終値!AQ53:BJ53)/AVERAGE(終値!AQ53:BJ53),""))</f>
        <v>0.47334213865530106</v>
      </c>
      <c r="AO53" s="503">
        <f>IF(終値!A53="","",IFERROR(4*STDEVP(終値!AR53:BK53)/AVERAGE(終値!AR53:BK53),""))</f>
        <v>0.48759574872085754</v>
      </c>
      <c r="AP53" s="503">
        <f>IF(終値!A53="","",IFERROR(4*STDEVP(終値!AS53:BL53)/AVERAGE(終値!AS53:BL53),""))</f>
        <v>0.48301298975556023</v>
      </c>
    </row>
    <row r="54" spans="1:42">
      <c r="A54" s="500" t="str">
        <f>IF(終値!A54="","",終値!A54)</f>
        <v>8630</v>
      </c>
      <c r="B54" s="503">
        <f>IF(終値!A54="","",IFERROR(4*STDEVP(終値!E54:X54)/AVERAGE(終値!E54:X54),""))</f>
        <v>0.15358193919932903</v>
      </c>
      <c r="C54" s="503">
        <f>IF(終値!A54="","",IFERROR(4*STDEVP(終値!F54:Y54)/AVERAGE(終値!F54:Y54),""))</f>
        <v>0.15649398118503993</v>
      </c>
      <c r="D54" s="503">
        <f>IF(終値!A54="","",IFERROR(4*STDEVP(終値!G54:Z54)/AVERAGE(終値!G54:Z54),""))</f>
        <v>0.16395756399196196</v>
      </c>
      <c r="E54" s="503">
        <f>IF(終値!A54="","",IFERROR(4*STDEVP(終値!H54:AA54)/AVERAGE(終値!H54:AA54),""))</f>
        <v>0.17697036628029778</v>
      </c>
      <c r="F54" s="503">
        <f>IF(終値!A54="","",IFERROR(4*STDEVP(終値!I54:AB54)/AVERAGE(終値!I54:AB54),""))</f>
        <v>0.18244972654436983</v>
      </c>
      <c r="G54" s="503">
        <f>IF(終値!A54="","",IFERROR(4*STDEVP(終値!J54:AC54)/AVERAGE(終値!J54:AC54),""))</f>
        <v>0.17623795095367362</v>
      </c>
      <c r="H54" s="503">
        <f>IF(終値!A54="","",IFERROR(4*STDEVP(終値!K54:AD54)/AVERAGE(終値!K54:AD54),""))</f>
        <v>0.1738722163194224</v>
      </c>
      <c r="I54" s="503">
        <f>IF(終値!A54="","",IFERROR(4*STDEVP(終値!L54:AE54)/AVERAGE(終値!L54:AE54),""))</f>
        <v>0.16557817512092238</v>
      </c>
      <c r="J54" s="503">
        <f>IF(終値!A54="","",IFERROR(4*STDEVP(終値!M54:AF54)/AVERAGE(終値!M54:AF54),""))</f>
        <v>0.1618171754421675</v>
      </c>
      <c r="K54" s="503">
        <f>IF(終値!A54="","",IFERROR(4*STDEVP(終値!N54:AG54)/AVERAGE(終値!N54:AG54),""))</f>
        <v>0.15307739653494834</v>
      </c>
      <c r="L54" s="503">
        <f>IF(終値!A54="","",IFERROR(4*STDEVP(終値!O54:AH54)/AVERAGE(終値!O54:AH54),""))</f>
        <v>0.14252490614937588</v>
      </c>
      <c r="M54" s="503">
        <f>IF(終値!A54="","",IFERROR(4*STDEVP(終値!P54:AI54)/AVERAGE(終値!P54:AI54),""))</f>
        <v>0.12772140221859732</v>
      </c>
      <c r="N54" s="503">
        <f>IF(終値!A54="","",IFERROR(4*STDEVP(終値!Q54:AJ54)/AVERAGE(終値!Q54:AJ54),""))</f>
        <v>0.12558152077717746</v>
      </c>
      <c r="O54" s="503">
        <f>IF(終値!A54="","",IFERROR(4*STDEVP(終値!R54:AK54)/AVERAGE(終値!R54:AK54),""))</f>
        <v>0.12666129965631887</v>
      </c>
      <c r="P54" s="503">
        <f>IF(終値!A54="","",IFERROR(4*STDEVP(終値!S54:AL54)/AVERAGE(終値!S54:AL54),""))</f>
        <v>0.12644968318623817</v>
      </c>
      <c r="Q54" s="503">
        <f>IF(終値!A54="","",IFERROR(4*STDEVP(終値!T54:AM54)/AVERAGE(終値!T54:AM54),""))</f>
        <v>0.12781871901027442</v>
      </c>
      <c r="R54" s="503">
        <f>IF(終値!A54="","",IFERROR(4*STDEVP(終値!U54:AN54)/AVERAGE(終値!U54:AN54),""))</f>
        <v>0.13069240693624529</v>
      </c>
      <c r="S54" s="503">
        <f>IF(終値!A54="","",IFERROR(4*STDEVP(終値!V54:AO54)/AVERAGE(終値!V54:AO54),""))</f>
        <v>0.12725174769635991</v>
      </c>
      <c r="T54" s="503">
        <f>IF(終値!A54="","",IFERROR(4*STDEVP(終値!W54:AP54)/AVERAGE(終値!W54:AP54),""))</f>
        <v>0.11851326541307221</v>
      </c>
      <c r="U54" s="503">
        <f>IF(終値!A54="","",IFERROR(4*STDEVP(終値!X54:AQ54)/AVERAGE(終値!X54:AQ54),""))</f>
        <v>0.11710757518342246</v>
      </c>
      <c r="V54" s="503">
        <f>IF(終値!A54="","",IFERROR(4*STDEVP(終値!Y54:AR54)/AVERAGE(終値!Y54:AR54),""))</f>
        <v>0.10622920337217814</v>
      </c>
      <c r="W54" s="503">
        <f>IF(終値!A54="","",IFERROR(4*STDEVP(終値!Z54:AS54)/AVERAGE(終値!Z54:AS54),""))</f>
        <v>0.1091301473090005</v>
      </c>
      <c r="X54" s="503">
        <f>IF(終値!A54="","",IFERROR(4*STDEVP(終値!AA54:AT54)/AVERAGE(終値!AA54:AT54),""))</f>
        <v>0.10833094356141593</v>
      </c>
      <c r="Y54" s="503">
        <f>IF(終値!A54="","",IFERROR(4*STDEVP(終値!AB54:AU54)/AVERAGE(終値!AB54:AU54),""))</f>
        <v>0.11415324097583839</v>
      </c>
      <c r="Z54" s="503">
        <f>IF(終値!A54="","",IFERROR(4*STDEVP(終値!AC54:AV54)/AVERAGE(終値!AC54:AV54),""))</f>
        <v>0.11669006172287112</v>
      </c>
      <c r="AA54" s="503">
        <f>IF(終値!A54="","",IFERROR(4*STDEVP(終値!AD54:AW54)/AVERAGE(終値!AD54:AW54),""))</f>
        <v>0.12087671336797574</v>
      </c>
      <c r="AB54" s="503">
        <f>IF(終値!A54="","",IFERROR(4*STDEVP(終値!AE54:AX54)/AVERAGE(終値!AE54:AX54),""))</f>
        <v>0.12394656401855268</v>
      </c>
      <c r="AC54" s="503">
        <f>IF(終値!A54="","",IFERROR(4*STDEVP(終値!AF54:AY54)/AVERAGE(終値!AF54:AY54),""))</f>
        <v>0.14621505352409322</v>
      </c>
      <c r="AD54" s="503">
        <f>IF(終値!A54="","",IFERROR(4*STDEVP(終値!AG54:AZ54)/AVERAGE(終値!AG54:AZ54),""))</f>
        <v>0.15753875713881163</v>
      </c>
      <c r="AE54" s="503">
        <f>IF(終値!A54="","",IFERROR(4*STDEVP(終値!AH54:BA54)/AVERAGE(終値!AH54:BA54),""))</f>
        <v>0.16707713088845727</v>
      </c>
      <c r="AF54" s="503">
        <f>IF(終値!A54="","",IFERROR(4*STDEVP(終値!AI54:BB54)/AVERAGE(終値!AI54:BB54),""))</f>
        <v>0.15732723230554035</v>
      </c>
      <c r="AG54" s="503">
        <f>IF(終値!A54="","",IFERROR(4*STDEVP(終値!AJ54:BC54)/AVERAGE(終値!AJ54:BC54),""))</f>
        <v>0.16205997221819463</v>
      </c>
      <c r="AH54" s="503">
        <f>IF(終値!A54="","",IFERROR(4*STDEVP(終値!AK54:BD54)/AVERAGE(終値!AK54:BD54),""))</f>
        <v>0.15378517176629508</v>
      </c>
      <c r="AI54" s="503">
        <f>IF(終値!A54="","",IFERROR(4*STDEVP(終値!AL54:BE54)/AVERAGE(終値!AL54:BE54),""))</f>
        <v>0.15188790454905687</v>
      </c>
      <c r="AJ54" s="503">
        <f>IF(終値!A54="","",IFERROR(4*STDEVP(終値!AM54:BF54)/AVERAGE(終値!AM54:BF54),""))</f>
        <v>0.14727697845937329</v>
      </c>
      <c r="AK54" s="503">
        <f>IF(終値!A54="","",IFERROR(4*STDEVP(終値!AN54:BG54)/AVERAGE(終値!AN54:BG54),""))</f>
        <v>0.14302930330966446</v>
      </c>
      <c r="AL54" s="503">
        <f>IF(終値!A54="","",IFERROR(4*STDEVP(終値!AO54:BH54)/AVERAGE(終値!AO54:BH54),""))</f>
        <v>0.14128492862107692</v>
      </c>
      <c r="AM54" s="503">
        <f>IF(終値!A54="","",IFERROR(4*STDEVP(終値!AP54:BI54)/AVERAGE(終値!AP54:BI54),""))</f>
        <v>0.13929256838310855</v>
      </c>
      <c r="AN54" s="503">
        <f>IF(終値!A54="","",IFERROR(4*STDEVP(終値!AQ54:BJ54)/AVERAGE(終値!AQ54:BJ54),""))</f>
        <v>0.13865383720477073</v>
      </c>
      <c r="AO54" s="503">
        <f>IF(終値!A54="","",IFERROR(4*STDEVP(終値!AR54:BK54)/AVERAGE(終値!AR54:BK54),""))</f>
        <v>0.13879360829633</v>
      </c>
      <c r="AP54" s="503">
        <f>IF(終値!A54="","",IFERROR(4*STDEVP(終値!AS54:BL54)/AVERAGE(終値!AS54:BL54),""))</f>
        <v>0.14259751783374444</v>
      </c>
    </row>
    <row r="55" spans="1:42">
      <c r="A55" s="500" t="str">
        <f>IF(終値!A55="","",終値!A55)</f>
        <v>5901</v>
      </c>
      <c r="B55" s="503">
        <f>IF(終値!A55="","",IFERROR(4*STDEVP(終値!E55:X55)/AVERAGE(終値!E55:X55),""))</f>
        <v>5.7689424896621405E-2</v>
      </c>
      <c r="C55" s="503">
        <f>IF(終値!A55="","",IFERROR(4*STDEVP(終値!F55:Y55)/AVERAGE(終値!F55:Y55),""))</f>
        <v>5.4485694345886015E-2</v>
      </c>
      <c r="D55" s="503">
        <f>IF(終値!A55="","",IFERROR(4*STDEVP(終値!G55:Z55)/AVERAGE(終値!G55:Z55),""))</f>
        <v>5.1503958785757337E-2</v>
      </c>
      <c r="E55" s="503">
        <f>IF(終値!A55="","",IFERROR(4*STDEVP(終値!H55:AA55)/AVERAGE(終値!H55:AA55),""))</f>
        <v>5.1399240579796619E-2</v>
      </c>
      <c r="F55" s="503">
        <f>IF(終値!A55="","",IFERROR(4*STDEVP(終値!I55:AB55)/AVERAGE(終値!I55:AB55),""))</f>
        <v>5.1328579103217871E-2</v>
      </c>
      <c r="G55" s="503">
        <f>IF(終値!A55="","",IFERROR(4*STDEVP(終値!J55:AC55)/AVERAGE(終値!J55:AC55),""))</f>
        <v>4.8122251805682553E-2</v>
      </c>
      <c r="H55" s="503">
        <f>IF(終値!A55="","",IFERROR(4*STDEVP(終値!K55:AD55)/AVERAGE(終値!K55:AD55),""))</f>
        <v>4.9287926819702642E-2</v>
      </c>
      <c r="I55" s="503">
        <f>IF(終値!A55="","",IFERROR(4*STDEVP(終値!L55:AE55)/AVERAGE(終値!L55:AE55),""))</f>
        <v>4.7900921877778793E-2</v>
      </c>
      <c r="J55" s="503">
        <f>IF(終値!A55="","",IFERROR(4*STDEVP(終値!M55:AF55)/AVERAGE(終値!M55:AF55),""))</f>
        <v>4.8021518079052056E-2</v>
      </c>
      <c r="K55" s="503">
        <f>IF(終値!A55="","",IFERROR(4*STDEVP(終値!N55:AG55)/AVERAGE(終値!N55:AG55),""))</f>
        <v>4.7730435001794108E-2</v>
      </c>
      <c r="L55" s="503">
        <f>IF(終値!A55="","",IFERROR(4*STDEVP(終値!O55:AH55)/AVERAGE(終値!O55:AH55),""))</f>
        <v>4.7795141984294888E-2</v>
      </c>
      <c r="M55" s="503">
        <f>IF(終値!A55="","",IFERROR(4*STDEVP(終値!P55:AI55)/AVERAGE(終値!P55:AI55),""))</f>
        <v>4.8043732796540776E-2</v>
      </c>
      <c r="N55" s="503">
        <f>IF(終値!A55="","",IFERROR(4*STDEVP(終値!Q55:AJ55)/AVERAGE(終値!Q55:AJ55),""))</f>
        <v>4.7515156885824375E-2</v>
      </c>
      <c r="O55" s="503">
        <f>IF(終値!A55="","",IFERROR(4*STDEVP(終値!R55:AK55)/AVERAGE(終値!R55:AK55),""))</f>
        <v>4.5476506426549518E-2</v>
      </c>
      <c r="P55" s="503">
        <f>IF(終値!A55="","",IFERROR(4*STDEVP(終値!S55:AL55)/AVERAGE(終値!S55:AL55),""))</f>
        <v>4.6850546470749231E-2</v>
      </c>
      <c r="Q55" s="503">
        <f>IF(終値!A55="","",IFERROR(4*STDEVP(終値!T55:AM55)/AVERAGE(終値!T55:AM55),""))</f>
        <v>4.8907438329698787E-2</v>
      </c>
      <c r="R55" s="503">
        <f>IF(終値!A55="","",IFERROR(4*STDEVP(終値!U55:AN55)/AVERAGE(終値!U55:AN55),""))</f>
        <v>5.8100287451119108E-2</v>
      </c>
      <c r="S55" s="503">
        <f>IF(終値!A55="","",IFERROR(4*STDEVP(終値!V55:AO55)/AVERAGE(終値!V55:AO55),""))</f>
        <v>7.8750191313008033E-2</v>
      </c>
      <c r="T55" s="503">
        <f>IF(終値!A55="","",IFERROR(4*STDEVP(終値!W55:AP55)/AVERAGE(終値!W55:AP55),""))</f>
        <v>9.2718149484767046E-2</v>
      </c>
      <c r="U55" s="503">
        <f>IF(終値!A55="","",IFERROR(4*STDEVP(終値!X55:AQ55)/AVERAGE(終値!X55:AQ55),""))</f>
        <v>0.10223139836866046</v>
      </c>
      <c r="V55" s="503">
        <f>IF(終値!A55="","",IFERROR(4*STDEVP(終値!Y55:AR55)/AVERAGE(終値!Y55:AR55),""))</f>
        <v>0.11521162069100904</v>
      </c>
      <c r="W55" s="503">
        <f>IF(終値!A55="","",IFERROR(4*STDEVP(終値!Z55:AS55)/AVERAGE(終値!Z55:AS55),""))</f>
        <v>0.12444256360646667</v>
      </c>
      <c r="X55" s="503">
        <f>IF(終値!A55="","",IFERROR(4*STDEVP(終値!AA55:AT55)/AVERAGE(終値!AA55:AT55),""))</f>
        <v>0.12748850746113316</v>
      </c>
      <c r="Y55" s="503">
        <f>IF(終値!A55="","",IFERROR(4*STDEVP(終値!AB55:AU55)/AVERAGE(終値!AB55:AU55),""))</f>
        <v>0.13556567693855462</v>
      </c>
      <c r="Z55" s="503">
        <f>IF(終値!A55="","",IFERROR(4*STDEVP(終値!AC55:AV55)/AVERAGE(終値!AC55:AV55),""))</f>
        <v>0.13558720850351821</v>
      </c>
      <c r="AA55" s="503">
        <f>IF(終値!A55="","",IFERROR(4*STDEVP(終値!AD55:AW55)/AVERAGE(終値!AD55:AW55),""))</f>
        <v>0.13269932680591032</v>
      </c>
      <c r="AB55" s="503">
        <f>IF(終値!A55="","",IFERROR(4*STDEVP(終値!AE55:AX55)/AVERAGE(終値!AE55:AX55),""))</f>
        <v>0.12440279131136647</v>
      </c>
      <c r="AC55" s="503">
        <f>IF(終値!A55="","",IFERROR(4*STDEVP(終値!AF55:AY55)/AVERAGE(終値!AF55:AY55),""))</f>
        <v>0.11922303151097934</v>
      </c>
      <c r="AD55" s="503">
        <f>IF(終値!A55="","",IFERROR(4*STDEVP(終値!AG55:AZ55)/AVERAGE(終値!AG55:AZ55),""))</f>
        <v>0.11656500796732652</v>
      </c>
      <c r="AE55" s="503">
        <f>IF(終値!A55="","",IFERROR(4*STDEVP(終値!AH55:BA55)/AVERAGE(終値!AH55:BA55),""))</f>
        <v>0.14281103086245445</v>
      </c>
      <c r="AF55" s="503">
        <f>IF(終値!A55="","",IFERROR(4*STDEVP(終値!AI55:BB55)/AVERAGE(終値!AI55:BB55),""))</f>
        <v>0.13858748408564164</v>
      </c>
      <c r="AG55" s="503">
        <f>IF(終値!A55="","",IFERROR(4*STDEVP(終値!AJ55:BC55)/AVERAGE(終値!AJ55:BC55),""))</f>
        <v>0.13323793406394097</v>
      </c>
      <c r="AH55" s="503">
        <f>IF(終値!A55="","",IFERROR(4*STDEVP(終値!AK55:BD55)/AVERAGE(終値!AK55:BD55),""))</f>
        <v>0.13061256621588405</v>
      </c>
      <c r="AI55" s="503">
        <f>IF(終値!A55="","",IFERROR(4*STDEVP(終値!AL55:BE55)/AVERAGE(終値!AL55:BE55),""))</f>
        <v>0.13540471592968689</v>
      </c>
      <c r="AJ55" s="503">
        <f>IF(終値!A55="","",IFERROR(4*STDEVP(終値!AM55:BF55)/AVERAGE(終値!AM55:BF55),""))</f>
        <v>0.17183990402195456</v>
      </c>
      <c r="AK55" s="503">
        <f>IF(終値!A55="","",IFERROR(4*STDEVP(終値!AN55:BG55)/AVERAGE(終値!AN55:BG55),""))</f>
        <v>0.19742293333296421</v>
      </c>
      <c r="AL55" s="503">
        <f>IF(終値!A55="","",IFERROR(4*STDEVP(終値!AO55:BH55)/AVERAGE(終値!AO55:BH55),""))</f>
        <v>0.22718817378128062</v>
      </c>
      <c r="AM55" s="503">
        <f>IF(終値!A55="","",IFERROR(4*STDEVP(終値!AP55:BI55)/AVERAGE(終値!AP55:BI55),""))</f>
        <v>0.24966369406960806</v>
      </c>
      <c r="AN55" s="503">
        <f>IF(終値!A55="","",IFERROR(4*STDEVP(終値!AQ55:BJ55)/AVERAGE(終値!AQ55:BJ55),""))</f>
        <v>0.25819070524783561</v>
      </c>
      <c r="AO55" s="503">
        <f>IF(終値!A55="","",IFERROR(4*STDEVP(終値!AR55:BK55)/AVERAGE(終値!AR55:BK55),""))</f>
        <v>0.26557466407092967</v>
      </c>
      <c r="AP55" s="503">
        <f>IF(終値!A55="","",IFERROR(4*STDEVP(終値!AS55:BL55)/AVERAGE(終値!AS55:BL55),""))</f>
        <v>0.27789834073071545</v>
      </c>
    </row>
    <row r="56" spans="1:42">
      <c r="A56" s="500" t="str">
        <f>IF(終値!A56="","",終値!A56)</f>
        <v>9412</v>
      </c>
      <c r="B56" s="503">
        <f>IF(終値!A56="","",IFERROR(4*STDEVP(終値!E56:X56)/AVERAGE(終値!E56:X56),""))</f>
        <v>0.33229318868831037</v>
      </c>
      <c r="C56" s="503">
        <f>IF(終値!A56="","",IFERROR(4*STDEVP(終値!F56:Y56)/AVERAGE(終値!F56:Y56),""))</f>
        <v>0.36116799449760129</v>
      </c>
      <c r="D56" s="503">
        <f>IF(終値!A56="","",IFERROR(4*STDEVP(終値!G56:Z56)/AVERAGE(終値!G56:Z56),""))</f>
        <v>0.35959097735490447</v>
      </c>
      <c r="E56" s="503">
        <f>IF(終値!A56="","",IFERROR(4*STDEVP(終値!H56:AA56)/AVERAGE(終値!H56:AA56),""))</f>
        <v>0.34412998181262305</v>
      </c>
      <c r="F56" s="503">
        <f>IF(終値!A56="","",IFERROR(4*STDEVP(終値!I56:AB56)/AVERAGE(終値!I56:AB56),""))</f>
        <v>0.32448848721984747</v>
      </c>
      <c r="G56" s="503">
        <f>IF(終値!A56="","",IFERROR(4*STDEVP(終値!J56:AC56)/AVERAGE(終値!J56:AC56),""))</f>
        <v>0.28856298370769934</v>
      </c>
      <c r="H56" s="503">
        <f>IF(終値!A56="","",IFERROR(4*STDEVP(終値!K56:AD56)/AVERAGE(終値!K56:AD56),""))</f>
        <v>0.26556164505770974</v>
      </c>
      <c r="I56" s="503">
        <f>IF(終値!A56="","",IFERROR(4*STDEVP(終値!L56:AE56)/AVERAGE(終値!L56:AE56),""))</f>
        <v>0.24726394290064527</v>
      </c>
      <c r="J56" s="503">
        <f>IF(終値!A56="","",IFERROR(4*STDEVP(終値!M56:AF56)/AVERAGE(終値!M56:AF56),""))</f>
        <v>0.24115339183402382</v>
      </c>
      <c r="K56" s="503">
        <f>IF(終値!A56="","",IFERROR(4*STDEVP(終値!N56:AG56)/AVERAGE(終値!N56:AG56),""))</f>
        <v>0.24365375069761111</v>
      </c>
      <c r="L56" s="503">
        <f>IF(終値!A56="","",IFERROR(4*STDEVP(終値!O56:AH56)/AVERAGE(終値!O56:AH56),""))</f>
        <v>0.31295828944771531</v>
      </c>
      <c r="M56" s="503">
        <f>IF(終値!A56="","",IFERROR(4*STDEVP(終値!P56:AI56)/AVERAGE(終値!P56:AI56),""))</f>
        <v>0.34390611832379137</v>
      </c>
      <c r="N56" s="503">
        <f>IF(終値!A56="","",IFERROR(4*STDEVP(終値!Q56:AJ56)/AVERAGE(終値!Q56:AJ56),""))</f>
        <v>0.36836149773869076</v>
      </c>
      <c r="O56" s="503">
        <f>IF(終値!A56="","",IFERROR(4*STDEVP(終値!R56:AK56)/AVERAGE(終値!R56:AK56),""))</f>
        <v>0.40548871398574732</v>
      </c>
      <c r="P56" s="503">
        <f>IF(終値!A56="","",IFERROR(4*STDEVP(終値!S56:AL56)/AVERAGE(終値!S56:AL56),""))</f>
        <v>0.42117533492660764</v>
      </c>
      <c r="Q56" s="503">
        <f>IF(終値!A56="","",IFERROR(4*STDEVP(終値!T56:AM56)/AVERAGE(終値!T56:AM56),""))</f>
        <v>0.4241462399292722</v>
      </c>
      <c r="R56" s="503">
        <f>IF(終値!A56="","",IFERROR(4*STDEVP(終値!U56:AN56)/AVERAGE(終値!U56:AN56),""))</f>
        <v>0.45123605891208124</v>
      </c>
      <c r="S56" s="503">
        <f>IF(終値!A56="","",IFERROR(4*STDEVP(終値!V56:AO56)/AVERAGE(終値!V56:AO56),""))</f>
        <v>0.4488924457237029</v>
      </c>
      <c r="T56" s="503">
        <f>IF(終値!A56="","",IFERROR(4*STDEVP(終値!W56:AP56)/AVERAGE(終値!W56:AP56),""))</f>
        <v>0.43661736604797313</v>
      </c>
      <c r="U56" s="503">
        <f>IF(終値!A56="","",IFERROR(4*STDEVP(終値!X56:AQ56)/AVERAGE(終値!X56:AQ56),""))</f>
        <v>0.45128084851442579</v>
      </c>
      <c r="V56" s="503">
        <f>IF(終値!A56="","",IFERROR(4*STDEVP(終値!Y56:AR56)/AVERAGE(終値!Y56:AR56),""))</f>
        <v>0.47261458824862973</v>
      </c>
      <c r="W56" s="503">
        <f>IF(終値!A56="","",IFERROR(4*STDEVP(終値!Z56:AS56)/AVERAGE(終値!Z56:AS56),""))</f>
        <v>0.47331371670875855</v>
      </c>
      <c r="X56" s="503">
        <f>IF(終値!A56="","",IFERROR(4*STDEVP(終値!AA56:AT56)/AVERAGE(終値!AA56:AT56),""))</f>
        <v>0.48017969057371562</v>
      </c>
      <c r="Y56" s="503">
        <f>IF(終値!A56="","",IFERROR(4*STDEVP(終値!AB56:AU56)/AVERAGE(終値!AB56:AU56),""))</f>
        <v>0.47302762529954095</v>
      </c>
      <c r="Z56" s="503">
        <f>IF(終値!A56="","",IFERROR(4*STDEVP(終値!AC56:AV56)/AVERAGE(終値!AC56:AV56),""))</f>
        <v>0.55423269029260247</v>
      </c>
      <c r="AA56" s="503">
        <f>IF(終値!A56="","",IFERROR(4*STDEVP(終値!AD56:AW56)/AVERAGE(終値!AD56:AW56),""))</f>
        <v>0.5991386044170306</v>
      </c>
      <c r="AB56" s="503">
        <f>IF(終値!A56="","",IFERROR(4*STDEVP(終値!AE56:AX56)/AVERAGE(終値!AE56:AX56),""))</f>
        <v>0.59551067421659665</v>
      </c>
      <c r="AC56" s="503">
        <f>IF(終値!A56="","",IFERROR(4*STDEVP(終値!AF56:AY56)/AVERAGE(終値!AF56:AY56),""))</f>
        <v>0.58349398701271626</v>
      </c>
      <c r="AD56" s="503">
        <f>IF(終値!A56="","",IFERROR(4*STDEVP(終値!AG56:AZ56)/AVERAGE(終値!AG56:AZ56),""))</f>
        <v>0.56193856525875896</v>
      </c>
      <c r="AE56" s="503">
        <f>IF(終値!A56="","",IFERROR(4*STDEVP(終値!AH56:BA56)/AVERAGE(終値!AH56:BA56),""))</f>
        <v>0.52954177063273811</v>
      </c>
      <c r="AF56" s="503">
        <f>IF(終値!A56="","",IFERROR(4*STDEVP(終値!AI56:BB56)/AVERAGE(終値!AI56:BB56),""))</f>
        <v>0.52281293394663952</v>
      </c>
      <c r="AG56" s="503">
        <f>IF(終値!A56="","",IFERROR(4*STDEVP(終値!AJ56:BC56)/AVERAGE(終値!AJ56:BC56),""))</f>
        <v>0.5044840581870057</v>
      </c>
      <c r="AH56" s="503">
        <f>IF(終値!A56="","",IFERROR(4*STDEVP(終値!AK56:BD56)/AVERAGE(終値!AK56:BD56),""))</f>
        <v>0.4875183747391979</v>
      </c>
      <c r="AI56" s="503">
        <f>IF(終値!A56="","",IFERROR(4*STDEVP(終値!AL56:BE56)/AVERAGE(終値!AL56:BE56),""))</f>
        <v>0.47586034744221606</v>
      </c>
      <c r="AJ56" s="503">
        <f>IF(終値!A56="","",IFERROR(4*STDEVP(終値!AM56:BF56)/AVERAGE(終値!AM56:BF56),""))</f>
        <v>0.45338948933902873</v>
      </c>
      <c r="AK56" s="503">
        <f>IF(終値!A56="","",IFERROR(4*STDEVP(終値!AN56:BG56)/AVERAGE(終値!AN56:BG56),""))</f>
        <v>0.42296448263368913</v>
      </c>
      <c r="AL56" s="503">
        <f>IF(終値!A56="","",IFERROR(4*STDEVP(終値!AO56:BH56)/AVERAGE(終値!AO56:BH56),""))</f>
        <v>0.40627162092198349</v>
      </c>
      <c r="AM56" s="503">
        <f>IF(終値!A56="","",IFERROR(4*STDEVP(終値!AP56:BI56)/AVERAGE(終値!AP56:BI56),""))</f>
        <v>0.37110865215108946</v>
      </c>
      <c r="AN56" s="503">
        <f>IF(終値!A56="","",IFERROR(4*STDEVP(終値!AQ56:BJ56)/AVERAGE(終値!AQ56:BJ56),""))</f>
        <v>0.32474474443313867</v>
      </c>
      <c r="AO56" s="503">
        <f>IF(終値!A56="","",IFERROR(4*STDEVP(終値!AR56:BK56)/AVERAGE(終値!AR56:BK56),""))</f>
        <v>0.32560254848056897</v>
      </c>
      <c r="AP56" s="503">
        <f>IF(終値!A56="","",IFERROR(4*STDEVP(終値!AS56:BL56)/AVERAGE(終値!AS56:BL56),""))</f>
        <v>0.33480219425358559</v>
      </c>
    </row>
    <row r="57" spans="1:42">
      <c r="A57" s="500" t="str">
        <f>IF(終値!A57="","",終値!A57)</f>
        <v>6203</v>
      </c>
      <c r="B57" s="503">
        <f>IF(終値!A57="","",IFERROR(4*STDEVP(終値!E57:X57)/AVERAGE(終値!E57:X57),""))</f>
        <v>0.3156576187640886</v>
      </c>
      <c r="C57" s="503">
        <f>IF(終値!A57="","",IFERROR(4*STDEVP(終値!F57:Y57)/AVERAGE(終値!F57:Y57),""))</f>
        <v>0.31610052382419646</v>
      </c>
      <c r="D57" s="503">
        <f>IF(終値!A57="","",IFERROR(4*STDEVP(終値!G57:Z57)/AVERAGE(終値!G57:Z57),""))</f>
        <v>0.3032655566348359</v>
      </c>
      <c r="E57" s="503">
        <f>IF(終値!A57="","",IFERROR(4*STDEVP(終値!H57:AA57)/AVERAGE(終値!H57:AA57),""))</f>
        <v>0.29100202320465468</v>
      </c>
      <c r="F57" s="503">
        <f>IF(終値!A57="","",IFERROR(4*STDEVP(終値!I57:AB57)/AVERAGE(終値!I57:AB57),""))</f>
        <v>0.27137391153464052</v>
      </c>
      <c r="G57" s="503">
        <f>IF(終値!A57="","",IFERROR(4*STDEVP(終値!J57:AC57)/AVERAGE(終値!J57:AC57),""))</f>
        <v>0.24009826913129573</v>
      </c>
      <c r="H57" s="503">
        <f>IF(終値!A57="","",IFERROR(4*STDEVP(終値!K57:AD57)/AVERAGE(終値!K57:AD57),""))</f>
        <v>0.21916204495211347</v>
      </c>
      <c r="I57" s="503">
        <f>IF(終値!A57="","",IFERROR(4*STDEVP(終値!L57:AE57)/AVERAGE(終値!L57:AE57),""))</f>
        <v>0.20734471643611019</v>
      </c>
      <c r="J57" s="503">
        <f>IF(終値!A57="","",IFERROR(4*STDEVP(終値!M57:AF57)/AVERAGE(終値!M57:AF57),""))</f>
        <v>0.19299606140845363</v>
      </c>
      <c r="K57" s="503">
        <f>IF(終値!A57="","",IFERROR(4*STDEVP(終値!N57:AG57)/AVERAGE(終値!N57:AG57),""))</f>
        <v>0.17814896017802007</v>
      </c>
      <c r="L57" s="503">
        <f>IF(終値!A57="","",IFERROR(4*STDEVP(終値!O57:AH57)/AVERAGE(終値!O57:AH57),""))</f>
        <v>0.17345784776343304</v>
      </c>
      <c r="M57" s="503">
        <f>IF(終値!A57="","",IFERROR(4*STDEVP(終値!P57:AI57)/AVERAGE(終値!P57:AI57),""))</f>
        <v>0.15810325141684564</v>
      </c>
      <c r="N57" s="503">
        <f>IF(終値!A57="","",IFERROR(4*STDEVP(終値!Q57:AJ57)/AVERAGE(終値!Q57:AJ57),""))</f>
        <v>0.13386191448040749</v>
      </c>
      <c r="O57" s="503">
        <f>IF(終値!A57="","",IFERROR(4*STDEVP(終値!R57:AK57)/AVERAGE(終値!R57:AK57),""))</f>
        <v>0.13248921184841336</v>
      </c>
      <c r="P57" s="503">
        <f>IF(終値!A57="","",IFERROR(4*STDEVP(終値!S57:AL57)/AVERAGE(終値!S57:AL57),""))</f>
        <v>0.13550707539678075</v>
      </c>
      <c r="Q57" s="503">
        <f>IF(終値!A57="","",IFERROR(4*STDEVP(終値!T57:AM57)/AVERAGE(終値!T57:AM57),""))</f>
        <v>0.13937226932649169</v>
      </c>
      <c r="R57" s="503">
        <f>IF(終値!A57="","",IFERROR(4*STDEVP(終値!U57:AN57)/AVERAGE(終値!U57:AN57),""))</f>
        <v>0.14204083419011287</v>
      </c>
      <c r="S57" s="503">
        <f>IF(終値!A57="","",IFERROR(4*STDEVP(終値!V57:AO57)/AVERAGE(終値!V57:AO57),""))</f>
        <v>0.14202285810259258</v>
      </c>
      <c r="T57" s="503">
        <f>IF(終値!A57="","",IFERROR(4*STDEVP(終値!W57:AP57)/AVERAGE(終値!W57:AP57),""))</f>
        <v>0.14749430444152453</v>
      </c>
      <c r="U57" s="503">
        <f>IF(終値!A57="","",IFERROR(4*STDEVP(終値!X57:AQ57)/AVERAGE(終値!X57:AQ57),""))</f>
        <v>0.17674318523648816</v>
      </c>
      <c r="V57" s="503">
        <f>IF(終値!A57="","",IFERROR(4*STDEVP(終値!Y57:AR57)/AVERAGE(終値!Y57:AR57),""))</f>
        <v>0.20594989664328678</v>
      </c>
      <c r="W57" s="503">
        <f>IF(終値!A57="","",IFERROR(4*STDEVP(終値!Z57:AS57)/AVERAGE(終値!Z57:AS57),""))</f>
        <v>0.21731978310423372</v>
      </c>
      <c r="X57" s="503">
        <f>IF(終値!A57="","",IFERROR(4*STDEVP(終値!AA57:AT57)/AVERAGE(終値!AA57:AT57),""))</f>
        <v>0.23983625788025636</v>
      </c>
      <c r="Y57" s="503">
        <f>IF(終値!A57="","",IFERROR(4*STDEVP(終値!AB57:AU57)/AVERAGE(終値!AB57:AU57),""))</f>
        <v>0.27212372140398317</v>
      </c>
      <c r="Z57" s="503">
        <f>IF(終値!A57="","",IFERROR(4*STDEVP(終値!AC57:AV57)/AVERAGE(終値!AC57:AV57),""))</f>
        <v>0.26475404754189774</v>
      </c>
      <c r="AA57" s="503">
        <f>IF(終値!A57="","",IFERROR(4*STDEVP(終値!AD57:AW57)/AVERAGE(終値!AD57:AW57),""))</f>
        <v>0.25524694001079024</v>
      </c>
      <c r="AB57" s="503">
        <f>IF(終値!A57="","",IFERROR(4*STDEVP(終値!AE57:AX57)/AVERAGE(終値!AE57:AX57),""))</f>
        <v>0.30154331365062043</v>
      </c>
      <c r="AC57" s="503">
        <f>IF(終値!A57="","",IFERROR(4*STDEVP(終値!AF57:AY57)/AVERAGE(終値!AF57:AY57),""))</f>
        <v>0.33895633605138958</v>
      </c>
      <c r="AD57" s="503">
        <f>IF(終値!A57="","",IFERROR(4*STDEVP(終値!AG57:AZ57)/AVERAGE(終値!AG57:AZ57),""))</f>
        <v>0.37530090977104436</v>
      </c>
      <c r="AE57" s="503">
        <f>IF(終値!A57="","",IFERROR(4*STDEVP(終値!AH57:BA57)/AVERAGE(終値!AH57:BA57),""))</f>
        <v>0.41604707485650988</v>
      </c>
      <c r="AF57" s="503">
        <f>IF(終値!A57="","",IFERROR(4*STDEVP(終値!AI57:BB57)/AVERAGE(終値!AI57:BB57),""))</f>
        <v>0.4597103011526576</v>
      </c>
      <c r="AG57" s="503">
        <f>IF(終値!A57="","",IFERROR(4*STDEVP(終値!AJ57:BC57)/AVERAGE(終値!AJ57:BC57),""))</f>
        <v>0.48913325095341054</v>
      </c>
      <c r="AH57" s="503">
        <f>IF(終値!A57="","",IFERROR(4*STDEVP(終値!AK57:BD57)/AVERAGE(終値!AK57:BD57),""))</f>
        <v>0.51612766620983841</v>
      </c>
      <c r="AI57" s="503">
        <f>IF(終値!A57="","",IFERROR(4*STDEVP(終値!AL57:BE57)/AVERAGE(終値!AL57:BE57),""))</f>
        <v>0.52875726113171684</v>
      </c>
      <c r="AJ57" s="503">
        <f>IF(終値!A57="","",IFERROR(4*STDEVP(終値!AM57:BF57)/AVERAGE(終値!AM57:BF57),""))</f>
        <v>0.54009538780143884</v>
      </c>
      <c r="AK57" s="503">
        <f>IF(終値!A57="","",IFERROR(4*STDEVP(終値!AN57:BG57)/AVERAGE(終値!AN57:BG57),""))</f>
        <v>0.54430174030386003</v>
      </c>
      <c r="AL57" s="503">
        <f>IF(終値!A57="","",IFERROR(4*STDEVP(終値!AO57:BH57)/AVERAGE(終値!AO57:BH57),""))</f>
        <v>0.54829218329077112</v>
      </c>
      <c r="AM57" s="503">
        <f>IF(終値!A57="","",IFERROR(4*STDEVP(終値!AP57:BI57)/AVERAGE(終値!AP57:BI57),""))</f>
        <v>0.54820902391393223</v>
      </c>
      <c r="AN57" s="503">
        <f>IF(終値!A57="","",IFERROR(4*STDEVP(終値!AQ57:BJ57)/AVERAGE(終値!AQ57:BJ57),""))</f>
        <v>0.54533634907442363</v>
      </c>
      <c r="AO57" s="503">
        <f>IF(終値!A57="","",IFERROR(4*STDEVP(終値!AR57:BK57)/AVERAGE(終値!AR57:BK57),""))</f>
        <v>0.52640265779046291</v>
      </c>
      <c r="AP57" s="503">
        <f>IF(終値!A57="","",IFERROR(4*STDEVP(終値!AS57:BL57)/AVERAGE(終値!AS57:BL57),""))</f>
        <v>0.49936010979965084</v>
      </c>
    </row>
    <row r="58" spans="1:42">
      <c r="A58" s="500" t="str">
        <f>IF(終値!A58="","",終値!A58)</f>
        <v>4676</v>
      </c>
      <c r="B58" s="503">
        <f>IF(終値!A58="","",IFERROR(4*STDEVP(終値!E58:X58)/AVERAGE(終値!E58:X58),""))</f>
        <v>9.1239837359721618E-2</v>
      </c>
      <c r="C58" s="503">
        <f>IF(終値!A58="","",IFERROR(4*STDEVP(終値!F58:Y58)/AVERAGE(終値!F58:Y58),""))</f>
        <v>8.2188195971337641E-2</v>
      </c>
      <c r="D58" s="503">
        <f>IF(終値!A58="","",IFERROR(4*STDEVP(終値!G58:Z58)/AVERAGE(終値!G58:Z58),""))</f>
        <v>7.5469152478513477E-2</v>
      </c>
      <c r="E58" s="503">
        <f>IF(終値!A58="","",IFERROR(4*STDEVP(終値!H58:AA58)/AVERAGE(終値!H58:AA58),""))</f>
        <v>7.9756321324367246E-2</v>
      </c>
      <c r="F58" s="503">
        <f>IF(終値!A58="","",IFERROR(4*STDEVP(終値!I58:AB58)/AVERAGE(終値!I58:AB58),""))</f>
        <v>9.7809858754882004E-2</v>
      </c>
      <c r="G58" s="503">
        <f>IF(終値!A58="","",IFERROR(4*STDEVP(終値!J58:AC58)/AVERAGE(終値!J58:AC58),""))</f>
        <v>0.10477566675513864</v>
      </c>
      <c r="H58" s="503">
        <f>IF(終値!A58="","",IFERROR(4*STDEVP(終値!K58:AD58)/AVERAGE(終値!K58:AD58),""))</f>
        <v>0.10997738199675416</v>
      </c>
      <c r="I58" s="503">
        <f>IF(終値!A58="","",IFERROR(4*STDEVP(終値!L58:AE58)/AVERAGE(終値!L58:AE58),""))</f>
        <v>0.10719271894973191</v>
      </c>
      <c r="J58" s="503">
        <f>IF(終値!A58="","",IFERROR(4*STDEVP(終値!M58:AF58)/AVERAGE(終値!M58:AF58),""))</f>
        <v>0.11826687260040174</v>
      </c>
      <c r="K58" s="503">
        <f>IF(終値!A58="","",IFERROR(4*STDEVP(終値!N58:AG58)/AVERAGE(終値!N58:AG58),""))</f>
        <v>0.12141037824825403</v>
      </c>
      <c r="L58" s="503">
        <f>IF(終値!A58="","",IFERROR(4*STDEVP(終値!O58:AH58)/AVERAGE(終値!O58:AH58),""))</f>
        <v>0.12150947616025475</v>
      </c>
      <c r="M58" s="503">
        <f>IF(終値!A58="","",IFERROR(4*STDEVP(終値!P58:AI58)/AVERAGE(終値!P58:AI58),""))</f>
        <v>0.11966116553807686</v>
      </c>
      <c r="N58" s="503">
        <f>IF(終値!A58="","",IFERROR(4*STDEVP(終値!Q58:AJ58)/AVERAGE(終値!Q58:AJ58),""))</f>
        <v>0.1196297871013869</v>
      </c>
      <c r="O58" s="503">
        <f>IF(終値!A58="","",IFERROR(4*STDEVP(終値!R58:AK58)/AVERAGE(終値!R58:AK58),""))</f>
        <v>0.11298465062715307</v>
      </c>
      <c r="P58" s="503">
        <f>IF(終値!A58="","",IFERROR(4*STDEVP(終値!S58:AL58)/AVERAGE(終値!S58:AL58),""))</f>
        <v>0.10600388276732306</v>
      </c>
      <c r="Q58" s="503">
        <f>IF(終値!A58="","",IFERROR(4*STDEVP(終値!T58:AM58)/AVERAGE(終値!T58:AM58),""))</f>
        <v>0.1007208232496066</v>
      </c>
      <c r="R58" s="503">
        <f>IF(終値!A58="","",IFERROR(4*STDEVP(終値!U58:AN58)/AVERAGE(終値!U58:AN58),""))</f>
        <v>9.76619826324681E-2</v>
      </c>
      <c r="S58" s="503">
        <f>IF(終値!A58="","",IFERROR(4*STDEVP(終値!V58:AO58)/AVERAGE(終値!V58:AO58),""))</f>
        <v>9.8592525253189636E-2</v>
      </c>
      <c r="T58" s="503">
        <f>IF(終値!A58="","",IFERROR(4*STDEVP(終値!W58:AP58)/AVERAGE(終値!W58:AP58),""))</f>
        <v>0.10152822281962157</v>
      </c>
      <c r="U58" s="503">
        <f>IF(終値!A58="","",IFERROR(4*STDEVP(終値!X58:AQ58)/AVERAGE(終値!X58:AQ58),""))</f>
        <v>0.1003738499695655</v>
      </c>
      <c r="V58" s="503">
        <f>IF(終値!A58="","",IFERROR(4*STDEVP(終値!Y58:AR58)/AVERAGE(終値!Y58:AR58),""))</f>
        <v>0.10648513472779512</v>
      </c>
      <c r="W58" s="503">
        <f>IF(終値!A58="","",IFERROR(4*STDEVP(終値!Z58:AS58)/AVERAGE(終値!Z58:AS58),""))</f>
        <v>0.11191870637024075</v>
      </c>
      <c r="X58" s="503">
        <f>IF(終値!A58="","",IFERROR(4*STDEVP(終値!AA58:AT58)/AVERAGE(終値!AA58:AT58),""))</f>
        <v>0.11645324350419529</v>
      </c>
      <c r="Y58" s="503">
        <f>IF(終値!A58="","",IFERROR(4*STDEVP(終値!AB58:AU58)/AVERAGE(終値!AB58:AU58),""))</f>
        <v>0.11880924351107564</v>
      </c>
      <c r="Z58" s="503">
        <f>IF(終値!A58="","",IFERROR(4*STDEVP(終値!AC58:AV58)/AVERAGE(終値!AC58:AV58),""))</f>
        <v>0.12288714865355502</v>
      </c>
      <c r="AA58" s="503">
        <f>IF(終値!A58="","",IFERROR(4*STDEVP(終値!AD58:AW58)/AVERAGE(終値!AD58:AW58),""))</f>
        <v>0.12975039019705462</v>
      </c>
      <c r="AB58" s="503">
        <f>IF(終値!A58="","",IFERROR(4*STDEVP(終値!AE58:AX58)/AVERAGE(終値!AE58:AX58),""))</f>
        <v>0.13646190767382024</v>
      </c>
      <c r="AC58" s="503">
        <f>IF(終値!A58="","",IFERROR(4*STDEVP(終値!AF58:AY58)/AVERAGE(終値!AF58:AY58),""))</f>
        <v>0.14853690075000359</v>
      </c>
      <c r="AD58" s="503">
        <f>IF(終値!A58="","",IFERROR(4*STDEVP(終値!AG58:AZ58)/AVERAGE(終値!AG58:AZ58),""))</f>
        <v>0.14874536751804543</v>
      </c>
      <c r="AE58" s="503">
        <f>IF(終値!A58="","",IFERROR(4*STDEVP(終値!AH58:BA58)/AVERAGE(終値!AH58:BA58),""))</f>
        <v>0.15184983645310038</v>
      </c>
      <c r="AF58" s="503">
        <f>IF(終値!A58="","",IFERROR(4*STDEVP(終値!AI58:BB58)/AVERAGE(終値!AI58:BB58),""))</f>
        <v>0.14957264616470919</v>
      </c>
      <c r="AG58" s="503">
        <f>IF(終値!A58="","",IFERROR(4*STDEVP(終値!AJ58:BC58)/AVERAGE(終値!AJ58:BC58),""))</f>
        <v>0.15141473015058129</v>
      </c>
      <c r="AH58" s="503">
        <f>IF(終値!A58="","",IFERROR(4*STDEVP(終値!AK58:BD58)/AVERAGE(終値!AK58:BD58),""))</f>
        <v>0.15771880616727346</v>
      </c>
      <c r="AI58" s="503">
        <f>IF(終値!A58="","",IFERROR(4*STDEVP(終値!AL58:BE58)/AVERAGE(終値!AL58:BE58),""))</f>
        <v>0.15749226309194775</v>
      </c>
      <c r="AJ58" s="503">
        <f>IF(終値!A58="","",IFERROR(4*STDEVP(終値!AM58:BF58)/AVERAGE(終値!AM58:BF58),""))</f>
        <v>0.15681374811594834</v>
      </c>
      <c r="AK58" s="503">
        <f>IF(終値!A58="","",IFERROR(4*STDEVP(終値!AN58:BG58)/AVERAGE(終値!AN58:BG58),""))</f>
        <v>0.151328598954589</v>
      </c>
      <c r="AL58" s="503">
        <f>IF(終値!A58="","",IFERROR(4*STDEVP(終値!AO58:BH58)/AVERAGE(終値!AO58:BH58),""))</f>
        <v>0.14618119546585842</v>
      </c>
      <c r="AM58" s="503">
        <f>IF(終値!A58="","",IFERROR(4*STDEVP(終値!AP58:BI58)/AVERAGE(終値!AP58:BI58),""))</f>
        <v>0.13826606924658674</v>
      </c>
      <c r="AN58" s="503">
        <f>IF(終値!A58="","",IFERROR(4*STDEVP(終値!AQ58:BJ58)/AVERAGE(終値!AQ58:BJ58),""))</f>
        <v>0.12501218569864872</v>
      </c>
      <c r="AO58" s="503">
        <f>IF(終値!A58="","",IFERROR(4*STDEVP(終値!AR58:BK58)/AVERAGE(終値!AR58:BK58),""))</f>
        <v>0.10942352964727803</v>
      </c>
      <c r="AP58" s="503">
        <f>IF(終値!A58="","",IFERROR(4*STDEVP(終値!AS58:BL58)/AVERAGE(終値!AS58:BL58),""))</f>
        <v>7.7287247282399621E-2</v>
      </c>
    </row>
    <row r="59" spans="1:42">
      <c r="A59" s="500" t="str">
        <f>IF(終値!A59="","",終値!A59)</f>
        <v>1961</v>
      </c>
      <c r="B59" s="503">
        <f>IF(終値!A59="","",IFERROR(4*STDEVP(終値!E59:X59)/AVERAGE(終値!E59:X59),""))</f>
        <v>0.29995606102292599</v>
      </c>
      <c r="C59" s="503">
        <f>IF(終値!A59="","",IFERROR(4*STDEVP(終値!F59:Y59)/AVERAGE(終値!F59:Y59),""))</f>
        <v>0.30757399483464071</v>
      </c>
      <c r="D59" s="503">
        <f>IF(終値!A59="","",IFERROR(4*STDEVP(終値!G59:Z59)/AVERAGE(終値!G59:Z59),""))</f>
        <v>0.30543746671726663</v>
      </c>
      <c r="E59" s="503">
        <f>IF(終値!A59="","",IFERROR(4*STDEVP(終値!H59:AA59)/AVERAGE(終値!H59:AA59),""))</f>
        <v>0.3083856418853026</v>
      </c>
      <c r="F59" s="503">
        <f>IF(終値!A59="","",IFERROR(4*STDEVP(終値!I59:AB59)/AVERAGE(終値!I59:AB59),""))</f>
        <v>0.30460606036468818</v>
      </c>
      <c r="G59" s="503">
        <f>IF(終値!A59="","",IFERROR(4*STDEVP(終値!J59:AC59)/AVERAGE(終値!J59:AC59),""))</f>
        <v>0.29810839925141658</v>
      </c>
      <c r="H59" s="503">
        <f>IF(終値!A59="","",IFERROR(4*STDEVP(終値!K59:AD59)/AVERAGE(終値!K59:AD59),""))</f>
        <v>0.30999394944132419</v>
      </c>
      <c r="I59" s="503">
        <f>IF(終値!A59="","",IFERROR(4*STDEVP(終値!L59:AE59)/AVERAGE(終値!L59:AE59),""))</f>
        <v>0.3263746512234485</v>
      </c>
      <c r="J59" s="503">
        <f>IF(終値!A59="","",IFERROR(4*STDEVP(終値!M59:AF59)/AVERAGE(終値!M59:AF59),""))</f>
        <v>0.32270013947519738</v>
      </c>
      <c r="K59" s="503">
        <f>IF(終値!A59="","",IFERROR(4*STDEVP(終値!N59:AG59)/AVERAGE(終値!N59:AG59),""))</f>
        <v>0.31276079467761891</v>
      </c>
      <c r="L59" s="503">
        <f>IF(終値!A59="","",IFERROR(4*STDEVP(終値!O59:AH59)/AVERAGE(終値!O59:AH59),""))</f>
        <v>0.3107707944927422</v>
      </c>
      <c r="M59" s="503">
        <f>IF(終値!A59="","",IFERROR(4*STDEVP(終値!P59:AI59)/AVERAGE(終値!P59:AI59),""))</f>
        <v>0.29399876521948565</v>
      </c>
      <c r="N59" s="503">
        <f>IF(終値!A59="","",IFERROR(4*STDEVP(終値!Q59:AJ59)/AVERAGE(終値!Q59:AJ59),""))</f>
        <v>0.26724962737364955</v>
      </c>
      <c r="O59" s="503">
        <f>IF(終値!A59="","",IFERROR(4*STDEVP(終値!R59:AK59)/AVERAGE(終値!R59:AK59),""))</f>
        <v>0.26148474550276074</v>
      </c>
      <c r="P59" s="503">
        <f>IF(終値!A59="","",IFERROR(4*STDEVP(終値!S59:AL59)/AVERAGE(終値!S59:AL59),""))</f>
        <v>0.25678178416698849</v>
      </c>
      <c r="Q59" s="503">
        <f>IF(終値!A59="","",IFERROR(4*STDEVP(終値!T59:AM59)/AVERAGE(終値!T59:AM59),""))</f>
        <v>0.24463026176114588</v>
      </c>
      <c r="R59" s="503">
        <f>IF(終値!A59="","",IFERROR(4*STDEVP(終値!U59:AN59)/AVERAGE(終値!U59:AN59),""))</f>
        <v>0.26685100257936462</v>
      </c>
      <c r="S59" s="503">
        <f>IF(終値!A59="","",IFERROR(4*STDEVP(終値!V59:AO59)/AVERAGE(終値!V59:AO59),""))</f>
        <v>0.29067883259333671</v>
      </c>
      <c r="T59" s="503">
        <f>IF(終値!A59="","",IFERROR(4*STDEVP(終値!W59:AP59)/AVERAGE(終値!W59:AP59),""))</f>
        <v>0.30917150919122177</v>
      </c>
      <c r="U59" s="503">
        <f>IF(終値!A59="","",IFERROR(4*STDEVP(終値!X59:AQ59)/AVERAGE(終値!X59:AQ59),""))</f>
        <v>0.35348539611959429</v>
      </c>
      <c r="V59" s="503">
        <f>IF(終値!A59="","",IFERROR(4*STDEVP(終値!Y59:AR59)/AVERAGE(終値!Y59:AR59),""))</f>
        <v>0.38932605441375284</v>
      </c>
      <c r="W59" s="503">
        <f>IF(終値!A59="","",IFERROR(4*STDEVP(終値!Z59:AS59)/AVERAGE(終値!Z59:AS59),""))</f>
        <v>0.42869780000477747</v>
      </c>
      <c r="X59" s="503">
        <f>IF(終値!A59="","",IFERROR(4*STDEVP(終値!AA59:AT59)/AVERAGE(終値!AA59:AT59),""))</f>
        <v>0.47416547821655824</v>
      </c>
      <c r="Y59" s="503">
        <f>IF(終値!A59="","",IFERROR(4*STDEVP(終値!AB59:AU59)/AVERAGE(終値!AB59:AU59),""))</f>
        <v>0.51214432943072463</v>
      </c>
      <c r="Z59" s="503">
        <f>IF(終値!A59="","",IFERROR(4*STDEVP(終値!AC59:AV59)/AVERAGE(終値!AC59:AV59),""))</f>
        <v>0.52443965056184649</v>
      </c>
      <c r="AA59" s="503">
        <f>IF(終値!A59="","",IFERROR(4*STDEVP(終値!AD59:AW59)/AVERAGE(終値!AD59:AW59),""))</f>
        <v>0.53118417443008192</v>
      </c>
      <c r="AB59" s="503">
        <f>IF(終値!A59="","",IFERROR(4*STDEVP(終値!AE59:AX59)/AVERAGE(終値!AE59:AX59),""))</f>
        <v>0.52652595161005988</v>
      </c>
      <c r="AC59" s="503">
        <f>IF(終値!A59="","",IFERROR(4*STDEVP(終値!AF59:AY59)/AVERAGE(終値!AF59:AY59),""))</f>
        <v>0.51064809460427918</v>
      </c>
      <c r="AD59" s="503">
        <f>IF(終値!A59="","",IFERROR(4*STDEVP(終値!AG59:AZ59)/AVERAGE(終値!AG59:AZ59),""))</f>
        <v>0.49825523893825668</v>
      </c>
      <c r="AE59" s="503">
        <f>IF(終値!A59="","",IFERROR(4*STDEVP(終値!AH59:BA59)/AVERAGE(終値!AH59:BA59),""))</f>
        <v>0.4773978898363444</v>
      </c>
      <c r="AF59" s="503">
        <f>IF(終値!A59="","",IFERROR(4*STDEVP(終値!AI59:BB59)/AVERAGE(終値!AI59:BB59),""))</f>
        <v>0.41659539962689679</v>
      </c>
      <c r="AG59" s="503">
        <f>IF(終値!A59="","",IFERROR(4*STDEVP(終値!AJ59:BC59)/AVERAGE(終値!AJ59:BC59),""))</f>
        <v>0.34657711007284825</v>
      </c>
      <c r="AH59" s="503">
        <f>IF(終値!A59="","",IFERROR(4*STDEVP(終値!AK59:BD59)/AVERAGE(終値!AK59:BD59),""))</f>
        <v>0.27107097531601126</v>
      </c>
      <c r="AI59" s="503">
        <f>IF(終値!A59="","",IFERROR(4*STDEVP(終値!AL59:BE59)/AVERAGE(終値!AL59:BE59),""))</f>
        <v>0.25168846667228389</v>
      </c>
      <c r="AJ59" s="503">
        <f>IF(終値!A59="","",IFERROR(4*STDEVP(終値!AM59:BF59)/AVERAGE(終値!AM59:BF59),""))</f>
        <v>0.26002100751601326</v>
      </c>
      <c r="AK59" s="503">
        <f>IF(終値!A59="","",IFERROR(4*STDEVP(終値!AN59:BG59)/AVERAGE(終値!AN59:BG59),""))</f>
        <v>0.24919209816882409</v>
      </c>
      <c r="AL59" s="503">
        <f>IF(終値!A59="","",IFERROR(4*STDEVP(終値!AO59:BH59)/AVERAGE(終値!AO59:BH59),""))</f>
        <v>0.26883922923643661</v>
      </c>
      <c r="AM59" s="503">
        <f>IF(終値!A59="","",IFERROR(4*STDEVP(終値!AP59:BI59)/AVERAGE(終値!AP59:BI59),""))</f>
        <v>0.28199169336758789</v>
      </c>
      <c r="AN59" s="503">
        <f>IF(終値!A59="","",IFERROR(4*STDEVP(終値!AQ59:BJ59)/AVERAGE(終値!AQ59:BJ59),""))</f>
        <v>0.28515516991243328</v>
      </c>
      <c r="AO59" s="503">
        <f>IF(終値!A59="","",IFERROR(4*STDEVP(終値!AR59:BK59)/AVERAGE(終値!AR59:BK59),""))</f>
        <v>0.29086390957478714</v>
      </c>
      <c r="AP59" s="503">
        <f>IF(終値!A59="","",IFERROR(4*STDEVP(終値!AS59:BL59)/AVERAGE(終値!AS59:BL59),""))</f>
        <v>0.28985014048758928</v>
      </c>
    </row>
    <row r="60" spans="1:42">
      <c r="A60" s="500" t="str">
        <f>IF(終値!A60="","",終値!A60)</f>
        <v>3107</v>
      </c>
      <c r="B60" s="503">
        <f>IF(終値!A60="","",IFERROR(4*STDEVP(終値!E60:X60)/AVERAGE(終値!E60:X60),""))</f>
        <v>0.10040403649433953</v>
      </c>
      <c r="C60" s="503">
        <f>IF(終値!A60="","",IFERROR(4*STDEVP(終値!F60:Y60)/AVERAGE(終値!F60:Y60),""))</f>
        <v>9.6155912418501133E-2</v>
      </c>
      <c r="D60" s="503">
        <f>IF(終値!A60="","",IFERROR(4*STDEVP(終値!G60:Z60)/AVERAGE(終値!G60:Z60),""))</f>
        <v>9.5585533772266806E-2</v>
      </c>
      <c r="E60" s="503">
        <f>IF(終値!A60="","",IFERROR(4*STDEVP(終値!H60:AA60)/AVERAGE(終値!H60:AA60),""))</f>
        <v>9.3940047037134475E-2</v>
      </c>
      <c r="F60" s="503">
        <f>IF(終値!A60="","",IFERROR(4*STDEVP(終値!I60:AB60)/AVERAGE(終値!I60:AB60),""))</f>
        <v>8.8112747910815165E-2</v>
      </c>
      <c r="G60" s="503">
        <f>IF(終値!A60="","",IFERROR(4*STDEVP(終値!J60:AC60)/AVERAGE(終値!J60:AC60),""))</f>
        <v>7.4303286868552212E-2</v>
      </c>
      <c r="H60" s="503">
        <f>IF(終値!A60="","",IFERROR(4*STDEVP(終値!K60:AD60)/AVERAGE(終値!K60:AD60),""))</f>
        <v>6.6044701330476477E-2</v>
      </c>
      <c r="I60" s="503">
        <f>IF(終値!A60="","",IFERROR(4*STDEVP(終値!L60:AE60)/AVERAGE(終値!L60:AE60),""))</f>
        <v>5.5438507533790239E-2</v>
      </c>
      <c r="J60" s="503">
        <f>IF(終値!A60="","",IFERROR(4*STDEVP(終値!M60:AF60)/AVERAGE(終値!M60:AF60),""))</f>
        <v>5.9802479854440968E-2</v>
      </c>
      <c r="K60" s="503">
        <f>IF(終値!A60="","",IFERROR(4*STDEVP(終値!N60:AG60)/AVERAGE(終値!N60:AG60),""))</f>
        <v>6.4397866233967385E-2</v>
      </c>
      <c r="L60" s="503">
        <f>IF(終値!A60="","",IFERROR(4*STDEVP(終値!O60:AH60)/AVERAGE(終値!O60:AH60),""))</f>
        <v>6.5811713746061984E-2</v>
      </c>
      <c r="M60" s="503">
        <f>IF(終値!A60="","",IFERROR(4*STDEVP(終値!P60:AI60)/AVERAGE(終値!P60:AI60),""))</f>
        <v>6.7280067107573879E-2</v>
      </c>
      <c r="N60" s="503">
        <f>IF(終値!A60="","",IFERROR(4*STDEVP(終値!Q60:AJ60)/AVERAGE(終値!Q60:AJ60),""))</f>
        <v>6.8569083408328457E-2</v>
      </c>
      <c r="O60" s="503">
        <f>IF(終値!A60="","",IFERROR(4*STDEVP(終値!R60:AK60)/AVERAGE(終値!R60:AK60),""))</f>
        <v>7.0406223162963397E-2</v>
      </c>
      <c r="P60" s="503">
        <f>IF(終値!A60="","",IFERROR(4*STDEVP(終値!S60:AL60)/AVERAGE(終値!S60:AL60),""))</f>
        <v>7.0368079415312923E-2</v>
      </c>
      <c r="Q60" s="503">
        <f>IF(終値!A60="","",IFERROR(4*STDEVP(終値!T60:AM60)/AVERAGE(終値!T60:AM60),""))</f>
        <v>6.9810307310799874E-2</v>
      </c>
      <c r="R60" s="503">
        <f>IF(終値!A60="","",IFERROR(4*STDEVP(終値!U60:AN60)/AVERAGE(終値!U60:AN60),""))</f>
        <v>6.9647860640499673E-2</v>
      </c>
      <c r="S60" s="503">
        <f>IF(終値!A60="","",IFERROR(4*STDEVP(終値!V60:AO60)/AVERAGE(終値!V60:AO60),""))</f>
        <v>7.0352108692520204E-2</v>
      </c>
      <c r="T60" s="503">
        <f>IF(終値!A60="","",IFERROR(4*STDEVP(終値!W60:AP60)/AVERAGE(終値!W60:AP60),""))</f>
        <v>7.0828054541578631E-2</v>
      </c>
      <c r="U60" s="503">
        <f>IF(終値!A60="","",IFERROR(4*STDEVP(終値!X60:AQ60)/AVERAGE(終値!X60:AQ60),""))</f>
        <v>7.3725842345687312E-2</v>
      </c>
      <c r="V60" s="503">
        <f>IF(終値!A60="","",IFERROR(4*STDEVP(終値!Y60:AR60)/AVERAGE(終値!Y60:AR60),""))</f>
        <v>7.4773094839652082E-2</v>
      </c>
      <c r="W60" s="503">
        <f>IF(終値!A60="","",IFERROR(4*STDEVP(終値!Z60:AS60)/AVERAGE(終値!Z60:AS60),""))</f>
        <v>7.4250839711866606E-2</v>
      </c>
      <c r="X60" s="503">
        <f>IF(終値!A60="","",IFERROR(4*STDEVP(終値!AA60:AT60)/AVERAGE(終値!AA60:AT60),""))</f>
        <v>8.5448819418484825E-2</v>
      </c>
      <c r="Y60" s="503">
        <f>IF(終値!A60="","",IFERROR(4*STDEVP(終値!AB60:AU60)/AVERAGE(終値!AB60:AU60),""))</f>
        <v>8.960345234794391E-2</v>
      </c>
      <c r="Z60" s="503">
        <f>IF(終値!A60="","",IFERROR(4*STDEVP(終値!AC60:AV60)/AVERAGE(終値!AC60:AV60),""))</f>
        <v>8.9515156459425163E-2</v>
      </c>
      <c r="AA60" s="503">
        <f>IF(終値!A60="","",IFERROR(4*STDEVP(終値!AD60:AW60)/AVERAGE(終値!AD60:AW60),""))</f>
        <v>8.7080561302591911E-2</v>
      </c>
      <c r="AB60" s="503">
        <f>IF(終値!A60="","",IFERROR(4*STDEVP(終値!AE60:AX60)/AVERAGE(終値!AE60:AX60),""))</f>
        <v>8.9360456607889494E-2</v>
      </c>
      <c r="AC60" s="503">
        <f>IF(終値!A60="","",IFERROR(4*STDEVP(終値!AF60:AY60)/AVERAGE(終値!AF60:AY60),""))</f>
        <v>9.0317802504225414E-2</v>
      </c>
      <c r="AD60" s="503">
        <f>IF(終値!A60="","",IFERROR(4*STDEVP(終値!AG60:AZ60)/AVERAGE(終値!AG60:AZ60),""))</f>
        <v>8.7870899577960446E-2</v>
      </c>
      <c r="AE60" s="503">
        <f>IF(終値!A60="","",IFERROR(4*STDEVP(終値!AH60:BA60)/AVERAGE(終値!AH60:BA60),""))</f>
        <v>8.774406125748542E-2</v>
      </c>
      <c r="AF60" s="503">
        <f>IF(終値!A60="","",IFERROR(4*STDEVP(終値!AI60:BB60)/AVERAGE(終値!AI60:BB60),""))</f>
        <v>8.6008537652277714E-2</v>
      </c>
      <c r="AG60" s="503">
        <f>IF(終値!A60="","",IFERROR(4*STDEVP(終値!AJ60:BC60)/AVERAGE(終値!AJ60:BC60),""))</f>
        <v>8.6864010744633707E-2</v>
      </c>
      <c r="AH60" s="503">
        <f>IF(終値!A60="","",IFERROR(4*STDEVP(終値!AK60:BD60)/AVERAGE(終値!AK60:BD60),""))</f>
        <v>8.3523137356962179E-2</v>
      </c>
      <c r="AI60" s="503">
        <f>IF(終値!A60="","",IFERROR(4*STDEVP(終値!AL60:BE60)/AVERAGE(終値!AL60:BE60),""))</f>
        <v>7.5557746690112185E-2</v>
      </c>
      <c r="AJ60" s="503">
        <f>IF(終値!A60="","",IFERROR(4*STDEVP(終値!AM60:BF60)/AVERAGE(終値!AM60:BF60),""))</f>
        <v>7.4729465305727022E-2</v>
      </c>
      <c r="AK60" s="503">
        <f>IF(終値!A60="","",IFERROR(4*STDEVP(終値!AN60:BG60)/AVERAGE(終値!AN60:BG60),""))</f>
        <v>7.611936541484135E-2</v>
      </c>
      <c r="AL60" s="503">
        <f>IF(終値!A60="","",IFERROR(4*STDEVP(終値!AO60:BH60)/AVERAGE(終値!AO60:BH60),""))</f>
        <v>7.7251767652247144E-2</v>
      </c>
      <c r="AM60" s="503">
        <f>IF(終値!A60="","",IFERROR(4*STDEVP(終値!AP60:BI60)/AVERAGE(終値!AP60:BI60),""))</f>
        <v>8.0055075964017078E-2</v>
      </c>
      <c r="AN60" s="503">
        <f>IF(終値!A60="","",IFERROR(4*STDEVP(終値!AQ60:BJ60)/AVERAGE(終値!AQ60:BJ60),""))</f>
        <v>8.1586620589432557E-2</v>
      </c>
      <c r="AO60" s="503">
        <f>IF(終値!A60="","",IFERROR(4*STDEVP(終値!AR60:BK60)/AVERAGE(終値!AR60:BK60),""))</f>
        <v>9.11138739872034E-2</v>
      </c>
      <c r="AP60" s="503">
        <f>IF(終値!A60="","",IFERROR(4*STDEVP(終値!AS60:BL60)/AVERAGE(終値!AS60:BL60),""))</f>
        <v>0.10978765342974718</v>
      </c>
    </row>
    <row r="61" spans="1:42">
      <c r="A61" s="500" t="str">
        <f>IF(終値!A61="","",終値!A61)</f>
        <v>4045</v>
      </c>
      <c r="B61" s="503">
        <f>IF(終値!A61="","",IFERROR(4*STDEVP(終値!E61:X61)/AVERAGE(終値!E61:X61),""))</f>
        <v>7.6959545260277498E-2</v>
      </c>
      <c r="C61" s="503">
        <f>IF(終値!A61="","",IFERROR(4*STDEVP(終値!F61:Y61)/AVERAGE(終値!F61:Y61),""))</f>
        <v>7.0817432632874378E-2</v>
      </c>
      <c r="D61" s="503">
        <f>IF(終値!A61="","",IFERROR(4*STDEVP(終値!G61:Z61)/AVERAGE(終値!G61:Z61),""))</f>
        <v>6.1352646534055297E-2</v>
      </c>
      <c r="E61" s="503">
        <f>IF(終値!A61="","",IFERROR(4*STDEVP(終値!H61:AA61)/AVERAGE(終値!H61:AA61),""))</f>
        <v>5.9660357620826554E-2</v>
      </c>
      <c r="F61" s="503">
        <f>IF(終値!A61="","",IFERROR(4*STDEVP(終値!I61:AB61)/AVERAGE(終値!I61:AB61),""))</f>
        <v>5.7637334626003511E-2</v>
      </c>
      <c r="G61" s="503">
        <f>IF(終値!A61="","",IFERROR(4*STDEVP(終値!J61:AC61)/AVERAGE(終値!J61:AC61),""))</f>
        <v>5.3545827725580225E-2</v>
      </c>
      <c r="H61" s="503">
        <f>IF(終値!A61="","",IFERROR(4*STDEVP(終値!K61:AD61)/AVERAGE(終値!K61:AD61),""))</f>
        <v>5.2389771529295026E-2</v>
      </c>
      <c r="I61" s="503">
        <f>IF(終値!A61="","",IFERROR(4*STDEVP(終値!L61:AE61)/AVERAGE(終値!L61:AE61),""))</f>
        <v>4.8431338913539713E-2</v>
      </c>
      <c r="J61" s="503">
        <f>IF(終値!A61="","",IFERROR(4*STDEVP(終値!M61:AF61)/AVERAGE(終値!M61:AF61),""))</f>
        <v>4.7647437581919284E-2</v>
      </c>
      <c r="K61" s="503">
        <f>IF(終値!A61="","",IFERROR(4*STDEVP(終値!N61:AG61)/AVERAGE(終値!N61:AG61),""))</f>
        <v>4.667688126010739E-2</v>
      </c>
      <c r="L61" s="503">
        <f>IF(終値!A61="","",IFERROR(4*STDEVP(終値!O61:AH61)/AVERAGE(終値!O61:AH61),""))</f>
        <v>4.5945770448289375E-2</v>
      </c>
      <c r="M61" s="503">
        <f>IF(終値!A61="","",IFERROR(4*STDEVP(終値!P61:AI61)/AVERAGE(終値!P61:AI61),""))</f>
        <v>4.6169807258278836E-2</v>
      </c>
      <c r="N61" s="503">
        <f>IF(終値!A61="","",IFERROR(4*STDEVP(終値!Q61:AJ61)/AVERAGE(終値!Q61:AJ61),""))</f>
        <v>4.5710822890545032E-2</v>
      </c>
      <c r="O61" s="503">
        <f>IF(終値!A61="","",IFERROR(4*STDEVP(終値!R61:AK61)/AVERAGE(終値!R61:AK61),""))</f>
        <v>4.565761213125747E-2</v>
      </c>
      <c r="P61" s="503">
        <f>IF(終値!A61="","",IFERROR(4*STDEVP(終値!S61:AL61)/AVERAGE(終値!S61:AL61),""))</f>
        <v>4.4721128720846111E-2</v>
      </c>
      <c r="Q61" s="503">
        <f>IF(終値!A61="","",IFERROR(4*STDEVP(終値!T61:AM61)/AVERAGE(終値!T61:AM61),""))</f>
        <v>3.7330866780215757E-2</v>
      </c>
      <c r="R61" s="503">
        <f>IF(終値!A61="","",IFERROR(4*STDEVP(終値!U61:AN61)/AVERAGE(終値!U61:AN61),""))</f>
        <v>3.6459089262730907E-2</v>
      </c>
      <c r="S61" s="503">
        <f>IF(終値!A61="","",IFERROR(4*STDEVP(終値!V61:AO61)/AVERAGE(終値!V61:AO61),""))</f>
        <v>4.3587108876463061E-2</v>
      </c>
      <c r="T61" s="503">
        <f>IF(終値!A61="","",IFERROR(4*STDEVP(終値!W61:AP61)/AVERAGE(終値!W61:AP61),""))</f>
        <v>5.2648637564166836E-2</v>
      </c>
      <c r="U61" s="503">
        <f>IF(終値!A61="","",IFERROR(4*STDEVP(終値!X61:AQ61)/AVERAGE(終値!X61:AQ61),""))</f>
        <v>5.5205157580550106E-2</v>
      </c>
      <c r="V61" s="503">
        <f>IF(終値!A61="","",IFERROR(4*STDEVP(終値!Y61:AR61)/AVERAGE(終値!Y61:AR61),""))</f>
        <v>5.335721213871257E-2</v>
      </c>
      <c r="W61" s="503">
        <f>IF(終値!A61="","",IFERROR(4*STDEVP(終値!Z61:AS61)/AVERAGE(終値!Z61:AS61),""))</f>
        <v>5.2141744859052437E-2</v>
      </c>
      <c r="X61" s="503">
        <f>IF(終値!A61="","",IFERROR(4*STDEVP(終値!AA61:AT61)/AVERAGE(終値!AA61:AT61),""))</f>
        <v>5.2289500400687562E-2</v>
      </c>
      <c r="Y61" s="503">
        <f>IF(終値!A61="","",IFERROR(4*STDEVP(終値!AB61:AU61)/AVERAGE(終値!AB61:AU61),""))</f>
        <v>5.2058138405651752E-2</v>
      </c>
      <c r="Z61" s="503">
        <f>IF(終値!A61="","",IFERROR(4*STDEVP(終値!AC61:AV61)/AVERAGE(終値!AC61:AV61),""))</f>
        <v>5.2166457617496047E-2</v>
      </c>
      <c r="AA61" s="503">
        <f>IF(終値!A61="","",IFERROR(4*STDEVP(終値!AD61:AW61)/AVERAGE(終値!AD61:AW61),""))</f>
        <v>5.2121926266895144E-2</v>
      </c>
      <c r="AB61" s="503">
        <f>IF(終値!A61="","",IFERROR(4*STDEVP(終値!AE61:AX61)/AVERAGE(終値!AE61:AX61),""))</f>
        <v>4.9858905563911128E-2</v>
      </c>
      <c r="AC61" s="503">
        <f>IF(終値!A61="","",IFERROR(4*STDEVP(終値!AF61:AY61)/AVERAGE(終値!AF61:AY61),""))</f>
        <v>4.6631367289030813E-2</v>
      </c>
      <c r="AD61" s="503">
        <f>IF(終値!A61="","",IFERROR(4*STDEVP(終値!AG61:AZ61)/AVERAGE(終値!AG61:AZ61),""))</f>
        <v>4.8548972978274596E-2</v>
      </c>
      <c r="AE61" s="503">
        <f>IF(終値!A61="","",IFERROR(4*STDEVP(終値!AH61:BA61)/AVERAGE(終値!AH61:BA61),""))</f>
        <v>5.2087720204392167E-2</v>
      </c>
      <c r="AF61" s="503">
        <f>IF(終値!A61="","",IFERROR(4*STDEVP(終値!AI61:BB61)/AVERAGE(終値!AI61:BB61),""))</f>
        <v>5.7093264130113064E-2</v>
      </c>
      <c r="AG61" s="503">
        <f>IF(終値!A61="","",IFERROR(4*STDEVP(終値!AJ61:BC61)/AVERAGE(終値!AJ61:BC61),""))</f>
        <v>5.5850051371142358E-2</v>
      </c>
      <c r="AH61" s="503">
        <f>IF(終値!A61="","",IFERROR(4*STDEVP(終値!AK61:BD61)/AVERAGE(終値!AK61:BD61),""))</f>
        <v>5.2045659137601952E-2</v>
      </c>
      <c r="AI61" s="503">
        <f>IF(終値!A61="","",IFERROR(4*STDEVP(終値!AL61:BE61)/AVERAGE(終値!AL61:BE61),""))</f>
        <v>5.0969900564365421E-2</v>
      </c>
      <c r="AJ61" s="503">
        <f>IF(終値!A61="","",IFERROR(4*STDEVP(終値!AM61:BF61)/AVERAGE(終値!AM61:BF61),""))</f>
        <v>5.1561497365767539E-2</v>
      </c>
      <c r="AK61" s="503">
        <f>IF(終値!A61="","",IFERROR(4*STDEVP(終値!AN61:BG61)/AVERAGE(終値!AN61:BG61),""))</f>
        <v>4.9031884589407916E-2</v>
      </c>
      <c r="AL61" s="503">
        <f>IF(終値!A61="","",IFERROR(4*STDEVP(終値!AO61:BH61)/AVERAGE(終値!AO61:BH61),""))</f>
        <v>4.900127014368881E-2</v>
      </c>
      <c r="AM61" s="503">
        <f>IF(終値!A61="","",IFERROR(4*STDEVP(終値!AP61:BI61)/AVERAGE(終値!AP61:BI61),""))</f>
        <v>4.7299213961611637E-2</v>
      </c>
      <c r="AN61" s="503">
        <f>IF(終値!A61="","",IFERROR(4*STDEVP(終値!AQ61:BJ61)/AVERAGE(終値!AQ61:BJ61),""))</f>
        <v>4.3344194191821991E-2</v>
      </c>
      <c r="AO61" s="503">
        <f>IF(終値!A61="","",IFERROR(4*STDEVP(終値!AR61:BK61)/AVERAGE(終値!AR61:BK61),""))</f>
        <v>4.270576644147199E-2</v>
      </c>
      <c r="AP61" s="503">
        <f>IF(終値!A61="","",IFERROR(4*STDEVP(終値!AS61:BL61)/AVERAGE(終値!AS61:BL61),""))</f>
        <v>4.3771653285892491E-2</v>
      </c>
    </row>
    <row r="62" spans="1:42">
      <c r="A62" s="500" t="str">
        <f>IF(終値!A62="","",終値!A62)</f>
        <v>5857</v>
      </c>
      <c r="B62" s="503">
        <f>IF(終値!A62="","",IFERROR(4*STDEVP(終値!E62:X62)/AVERAGE(終値!E62:X62),""))</f>
        <v>8.1413406052966444E-2</v>
      </c>
      <c r="C62" s="503">
        <f>IF(終値!A62="","",IFERROR(4*STDEVP(終値!F62:Y62)/AVERAGE(終値!F62:Y62),""))</f>
        <v>7.9855873929494253E-2</v>
      </c>
      <c r="D62" s="503">
        <f>IF(終値!A62="","",IFERROR(4*STDEVP(終値!G62:Z62)/AVERAGE(終値!G62:Z62),""))</f>
        <v>8.2519453549922656E-2</v>
      </c>
      <c r="E62" s="503">
        <f>IF(終値!A62="","",IFERROR(4*STDEVP(終値!H62:AA62)/AVERAGE(終値!H62:AA62),""))</f>
        <v>8.6531801006409767E-2</v>
      </c>
      <c r="F62" s="503">
        <f>IF(終値!A62="","",IFERROR(4*STDEVP(終値!I62:AB62)/AVERAGE(終値!I62:AB62),""))</f>
        <v>9.0287234656157359E-2</v>
      </c>
      <c r="G62" s="503">
        <f>IF(終値!A62="","",IFERROR(4*STDEVP(終値!J62:AC62)/AVERAGE(終値!J62:AC62),""))</f>
        <v>9.2132664514672918E-2</v>
      </c>
      <c r="H62" s="503">
        <f>IF(終値!A62="","",IFERROR(4*STDEVP(終値!K62:AD62)/AVERAGE(終値!K62:AD62),""))</f>
        <v>9.5827019629181387E-2</v>
      </c>
      <c r="I62" s="503">
        <f>IF(終値!A62="","",IFERROR(4*STDEVP(終値!L62:AE62)/AVERAGE(終値!L62:AE62),""))</f>
        <v>9.8394534203315523E-2</v>
      </c>
      <c r="J62" s="503">
        <f>IF(終値!A62="","",IFERROR(4*STDEVP(終値!M62:AF62)/AVERAGE(終値!M62:AF62),""))</f>
        <v>9.9191001119746519E-2</v>
      </c>
      <c r="K62" s="503">
        <f>IF(終値!A62="","",IFERROR(4*STDEVP(終値!N62:AG62)/AVERAGE(終値!N62:AG62),""))</f>
        <v>9.2163780163996234E-2</v>
      </c>
      <c r="L62" s="503">
        <f>IF(終値!A62="","",IFERROR(4*STDEVP(終値!O62:AH62)/AVERAGE(終値!O62:AH62),""))</f>
        <v>0.11435141431217066</v>
      </c>
      <c r="M62" s="503">
        <f>IF(終値!A62="","",IFERROR(4*STDEVP(終値!P62:AI62)/AVERAGE(終値!P62:AI62),""))</f>
        <v>0.12832674756178614</v>
      </c>
      <c r="N62" s="503">
        <f>IF(終値!A62="","",IFERROR(4*STDEVP(終値!Q62:AJ62)/AVERAGE(終値!Q62:AJ62),""))</f>
        <v>0.13565604378243493</v>
      </c>
      <c r="O62" s="503">
        <f>IF(終値!A62="","",IFERROR(4*STDEVP(終値!R62:AK62)/AVERAGE(終値!R62:AK62),""))</f>
        <v>0.15703361128503823</v>
      </c>
      <c r="P62" s="503">
        <f>IF(終値!A62="","",IFERROR(4*STDEVP(終値!S62:AL62)/AVERAGE(終値!S62:AL62),""))</f>
        <v>0.16223027751594679</v>
      </c>
      <c r="Q62" s="503">
        <f>IF(終値!A62="","",IFERROR(4*STDEVP(終値!T62:AM62)/AVERAGE(終値!T62:AM62),""))</f>
        <v>0.16743754978230577</v>
      </c>
      <c r="R62" s="503">
        <f>IF(終値!A62="","",IFERROR(4*STDEVP(終値!U62:AN62)/AVERAGE(終値!U62:AN62),""))</f>
        <v>0.16445535080433402</v>
      </c>
      <c r="S62" s="503">
        <f>IF(終値!A62="","",IFERROR(4*STDEVP(終値!V62:AO62)/AVERAGE(終値!V62:AO62),""))</f>
        <v>0.16596847516523058</v>
      </c>
      <c r="T62" s="503">
        <f>IF(終値!A62="","",IFERROR(4*STDEVP(終値!W62:AP62)/AVERAGE(終値!W62:AP62),""))</f>
        <v>0.16383906211264859</v>
      </c>
      <c r="U62" s="503">
        <f>IF(終値!A62="","",IFERROR(4*STDEVP(終値!X62:AQ62)/AVERAGE(終値!X62:AQ62),""))</f>
        <v>0.16302105978373918</v>
      </c>
      <c r="V62" s="503">
        <f>IF(終値!A62="","",IFERROR(4*STDEVP(終値!Y62:AR62)/AVERAGE(終値!Y62:AR62),""))</f>
        <v>0.16598709449197566</v>
      </c>
      <c r="W62" s="503">
        <f>IF(終値!A62="","",IFERROR(4*STDEVP(終値!Z62:AS62)/AVERAGE(終値!Z62:AS62),""))</f>
        <v>0.16724243767504168</v>
      </c>
      <c r="X62" s="503">
        <f>IF(終値!A62="","",IFERROR(4*STDEVP(終値!AA62:AT62)/AVERAGE(終値!AA62:AT62),""))</f>
        <v>0.17400299497778529</v>
      </c>
      <c r="Y62" s="503">
        <f>IF(終値!A62="","",IFERROR(4*STDEVP(終値!AB62:AU62)/AVERAGE(終値!AB62:AU62),""))</f>
        <v>0.17102556456190593</v>
      </c>
      <c r="Z62" s="503">
        <f>IF(終値!A62="","",IFERROR(4*STDEVP(終値!AC62:AV62)/AVERAGE(終値!AC62:AV62),""))</f>
        <v>0.17607521731173922</v>
      </c>
      <c r="AA62" s="503">
        <f>IF(終値!A62="","",IFERROR(4*STDEVP(終値!AD62:AW62)/AVERAGE(終値!AD62:AW62),""))</f>
        <v>0.17045293818524201</v>
      </c>
      <c r="AB62" s="503">
        <f>IF(終値!A62="","",IFERROR(4*STDEVP(終値!AE62:AX62)/AVERAGE(終値!AE62:AX62),""))</f>
        <v>0.16252901177496035</v>
      </c>
      <c r="AC62" s="503">
        <f>IF(終値!A62="","",IFERROR(4*STDEVP(終値!AF62:AY62)/AVERAGE(終値!AF62:AY62),""))</f>
        <v>0.15715936058152064</v>
      </c>
      <c r="AD62" s="503">
        <f>IF(終値!A62="","",IFERROR(4*STDEVP(終値!AG62:AZ62)/AVERAGE(終値!AG62:AZ62),""))</f>
        <v>0.17619366396530756</v>
      </c>
      <c r="AE62" s="503">
        <f>IF(終値!A62="","",IFERROR(4*STDEVP(終値!AH62:BA62)/AVERAGE(終値!AH62:BA62),""))</f>
        <v>0.18006924010696881</v>
      </c>
      <c r="AF62" s="503">
        <f>IF(終値!A62="","",IFERROR(4*STDEVP(終値!AI62:BB62)/AVERAGE(終値!AI62:BB62),""))</f>
        <v>0.18942564614199658</v>
      </c>
      <c r="AG62" s="503">
        <f>IF(終値!A62="","",IFERROR(4*STDEVP(終値!AJ62:BC62)/AVERAGE(終値!AJ62:BC62),""))</f>
        <v>0.22084973080624132</v>
      </c>
      <c r="AH62" s="503">
        <f>IF(終値!A62="","",IFERROR(4*STDEVP(終値!AK62:BD62)/AVERAGE(終値!AK62:BD62),""))</f>
        <v>0.24645310397488257</v>
      </c>
      <c r="AI62" s="503">
        <f>IF(終値!A62="","",IFERROR(4*STDEVP(終値!AL62:BE62)/AVERAGE(終値!AL62:BE62),""))</f>
        <v>0.29384244904697987</v>
      </c>
      <c r="AJ62" s="503">
        <f>IF(終値!A62="","",IFERROR(4*STDEVP(終値!AM62:BF62)/AVERAGE(終値!AM62:BF62),""))</f>
        <v>0.31794133982916711</v>
      </c>
      <c r="AK62" s="503">
        <f>IF(終値!A62="","",IFERROR(4*STDEVP(終値!AN62:BG62)/AVERAGE(終値!AN62:BG62),""))</f>
        <v>0.3575053471550263</v>
      </c>
      <c r="AL62" s="503">
        <f>IF(終値!A62="","",IFERROR(4*STDEVP(終値!AO62:BH62)/AVERAGE(終値!AO62:BH62),""))</f>
        <v>0.35973429452711786</v>
      </c>
      <c r="AM62" s="503">
        <f>IF(終値!A62="","",IFERROR(4*STDEVP(終値!AP62:BI62)/AVERAGE(終値!AP62:BI62),""))</f>
        <v>0.34050255652013833</v>
      </c>
      <c r="AN62" s="503">
        <f>IF(終値!A62="","",IFERROR(4*STDEVP(終値!AQ62:BJ62)/AVERAGE(終値!AQ62:BJ62),""))</f>
        <v>0.34184054606997843</v>
      </c>
      <c r="AO62" s="503">
        <f>IF(終値!A62="","",IFERROR(4*STDEVP(終値!AR62:BK62)/AVERAGE(終値!AR62:BK62),""))</f>
        <v>0.3346802251713839</v>
      </c>
      <c r="AP62" s="503">
        <f>IF(終値!A62="","",IFERROR(4*STDEVP(終値!AS62:BL62)/AVERAGE(終値!AS62:BL62),""))</f>
        <v>0.31735569478377362</v>
      </c>
    </row>
    <row r="63" spans="1:42">
      <c r="A63" s="500" t="str">
        <f>IF(終値!A63="","",終値!A63)</f>
        <v>8281</v>
      </c>
      <c r="B63" s="503">
        <f>IF(終値!A63="","",IFERROR(4*STDEVP(終値!E63:X63)/AVERAGE(終値!E63:X63),""))</f>
        <v>5.364478360632139E-2</v>
      </c>
      <c r="C63" s="503">
        <f>IF(終値!A63="","",IFERROR(4*STDEVP(終値!F63:Y63)/AVERAGE(終値!F63:Y63),""))</f>
        <v>5.2550978775354355E-2</v>
      </c>
      <c r="D63" s="503">
        <f>IF(終値!A63="","",IFERROR(4*STDEVP(終値!G63:Z63)/AVERAGE(終値!G63:Z63),""))</f>
        <v>5.8948992532922302E-2</v>
      </c>
      <c r="E63" s="503">
        <f>IF(終値!A63="","",IFERROR(4*STDEVP(終値!H63:AA63)/AVERAGE(終値!H63:AA63),""))</f>
        <v>7.1296939545233959E-2</v>
      </c>
      <c r="F63" s="503">
        <f>IF(終値!A63="","",IFERROR(4*STDEVP(終値!I63:AB63)/AVERAGE(終値!I63:AB63),""))</f>
        <v>7.9035454884143291E-2</v>
      </c>
      <c r="G63" s="503">
        <f>IF(終値!A63="","",IFERROR(4*STDEVP(終値!J63:AC63)/AVERAGE(終値!J63:AC63),""))</f>
        <v>7.3157981899549876E-2</v>
      </c>
      <c r="H63" s="503">
        <f>IF(終値!A63="","",IFERROR(4*STDEVP(終値!K63:AD63)/AVERAGE(終値!K63:AD63),""))</f>
        <v>7.4480539310946975E-2</v>
      </c>
      <c r="I63" s="503">
        <f>IF(終値!A63="","",IFERROR(4*STDEVP(終値!L63:AE63)/AVERAGE(終値!L63:AE63),""))</f>
        <v>8.0123220505335865E-2</v>
      </c>
      <c r="J63" s="503">
        <f>IF(終値!A63="","",IFERROR(4*STDEVP(終値!M63:AF63)/AVERAGE(終値!M63:AF63),""))</f>
        <v>8.9759056577124227E-2</v>
      </c>
      <c r="K63" s="503">
        <f>IF(終値!A63="","",IFERROR(4*STDEVP(終値!N63:AG63)/AVERAGE(終値!N63:AG63),""))</f>
        <v>0.10002568236143211</v>
      </c>
      <c r="L63" s="503">
        <f>IF(終値!A63="","",IFERROR(4*STDEVP(終値!O63:AH63)/AVERAGE(終値!O63:AH63),""))</f>
        <v>0.10713813258958779</v>
      </c>
      <c r="M63" s="503">
        <f>IF(終値!A63="","",IFERROR(4*STDEVP(終値!P63:AI63)/AVERAGE(終値!P63:AI63),""))</f>
        <v>0.1081646383769426</v>
      </c>
      <c r="N63" s="503">
        <f>IF(終値!A63="","",IFERROR(4*STDEVP(終値!Q63:AJ63)/AVERAGE(終値!Q63:AJ63),""))</f>
        <v>0.1037487529640012</v>
      </c>
      <c r="O63" s="503">
        <f>IF(終値!A63="","",IFERROR(4*STDEVP(終値!R63:AK63)/AVERAGE(終値!R63:AK63),""))</f>
        <v>0.10264380296703046</v>
      </c>
      <c r="P63" s="503">
        <f>IF(終値!A63="","",IFERROR(4*STDEVP(終値!S63:AL63)/AVERAGE(終値!S63:AL63),""))</f>
        <v>0.10109873951629521</v>
      </c>
      <c r="Q63" s="503">
        <f>IF(終値!A63="","",IFERROR(4*STDEVP(終値!T63:AM63)/AVERAGE(終値!T63:AM63),""))</f>
        <v>0.10017321154136093</v>
      </c>
      <c r="R63" s="503">
        <f>IF(終値!A63="","",IFERROR(4*STDEVP(終値!U63:AN63)/AVERAGE(終値!U63:AN63),""))</f>
        <v>9.7801163913053213E-2</v>
      </c>
      <c r="S63" s="503">
        <f>IF(終値!A63="","",IFERROR(4*STDEVP(終値!V63:AO63)/AVERAGE(終値!V63:AO63),""))</f>
        <v>9.4040828438990282E-2</v>
      </c>
      <c r="T63" s="503">
        <f>IF(終値!A63="","",IFERROR(4*STDEVP(終値!W63:AP63)/AVERAGE(終値!W63:AP63),""))</f>
        <v>8.5707738920172721E-2</v>
      </c>
      <c r="U63" s="503">
        <f>IF(終値!A63="","",IFERROR(4*STDEVP(終値!X63:AQ63)/AVERAGE(終値!X63:AQ63),""))</f>
        <v>7.4182944281450058E-2</v>
      </c>
      <c r="V63" s="503">
        <f>IF(終値!A63="","",IFERROR(4*STDEVP(終値!Y63:AR63)/AVERAGE(終値!Y63:AR63),""))</f>
        <v>6.2774247105067335E-2</v>
      </c>
      <c r="W63" s="503">
        <f>IF(終値!A63="","",IFERROR(4*STDEVP(終値!Z63:AS63)/AVERAGE(終値!Z63:AS63),""))</f>
        <v>6.5491045666210834E-2</v>
      </c>
      <c r="X63" s="503">
        <f>IF(終値!A63="","",IFERROR(4*STDEVP(終値!AA63:AT63)/AVERAGE(終値!AA63:AT63),""))</f>
        <v>6.8675182584620256E-2</v>
      </c>
      <c r="Y63" s="503">
        <f>IF(終値!A63="","",IFERROR(4*STDEVP(終値!AB63:AU63)/AVERAGE(終値!AB63:AU63),""))</f>
        <v>6.9413333228561705E-2</v>
      </c>
      <c r="Z63" s="503">
        <f>IF(終値!A63="","",IFERROR(4*STDEVP(終値!AC63:AV63)/AVERAGE(終値!AC63:AV63),""))</f>
        <v>7.0058974460344814E-2</v>
      </c>
      <c r="AA63" s="503">
        <f>IF(終値!A63="","",IFERROR(4*STDEVP(終値!AD63:AW63)/AVERAGE(終値!AD63:AW63),""))</f>
        <v>6.6773700636588898E-2</v>
      </c>
      <c r="AB63" s="503">
        <f>IF(終値!A63="","",IFERROR(4*STDEVP(終値!AE63:AX63)/AVERAGE(終値!AE63:AX63),""))</f>
        <v>6.3922342966158369E-2</v>
      </c>
      <c r="AC63" s="503">
        <f>IF(終値!A63="","",IFERROR(4*STDEVP(終値!AF63:AY63)/AVERAGE(終値!AF63:AY63),""))</f>
        <v>6.3922342966158355E-2</v>
      </c>
      <c r="AD63" s="503">
        <f>IF(終値!A63="","",IFERROR(4*STDEVP(終値!AG63:AZ63)/AVERAGE(終値!AG63:AZ63),""))</f>
        <v>6.4055506319803335E-2</v>
      </c>
      <c r="AE63" s="503">
        <f>IF(終値!A63="","",IFERROR(4*STDEVP(終値!AH63:BA63)/AVERAGE(終値!AH63:BA63),""))</f>
        <v>6.2613060095544931E-2</v>
      </c>
      <c r="AF63" s="503">
        <f>IF(終値!A63="","",IFERROR(4*STDEVP(終値!AI63:BB63)/AVERAGE(終値!AI63:BB63),""))</f>
        <v>5.9816287929248202E-2</v>
      </c>
      <c r="AG63" s="503">
        <f>IF(終値!A63="","",IFERROR(4*STDEVP(終値!AJ63:BC63)/AVERAGE(終値!AJ63:BC63),""))</f>
        <v>5.9417470385620404E-2</v>
      </c>
      <c r="AH63" s="503">
        <f>IF(終値!A63="","",IFERROR(4*STDEVP(終値!AK63:BD63)/AVERAGE(終値!AK63:BD63),""))</f>
        <v>6.3170158475657032E-2</v>
      </c>
      <c r="AI63" s="503">
        <f>IF(終値!A63="","",IFERROR(4*STDEVP(終値!AL63:BE63)/AVERAGE(終値!AL63:BE63),""))</f>
        <v>7.3511937210001294E-2</v>
      </c>
      <c r="AJ63" s="503">
        <f>IF(終値!A63="","",IFERROR(4*STDEVP(終値!AM63:BF63)/AVERAGE(終値!AM63:BF63),""))</f>
        <v>9.8358311618077551E-2</v>
      </c>
      <c r="AK63" s="503">
        <f>IF(終値!A63="","",IFERROR(4*STDEVP(終値!AN63:BG63)/AVERAGE(終値!AN63:BG63),""))</f>
        <v>0.11141139964000711</v>
      </c>
      <c r="AL63" s="503">
        <f>IF(終値!A63="","",IFERROR(4*STDEVP(終値!AO63:BH63)/AVERAGE(終値!AO63:BH63),""))</f>
        <v>0.12322474775194854</v>
      </c>
      <c r="AM63" s="503">
        <f>IF(終値!A63="","",IFERROR(4*STDEVP(終値!AP63:BI63)/AVERAGE(終値!AP63:BI63),""))</f>
        <v>0.13296835217983743</v>
      </c>
      <c r="AN63" s="503">
        <f>IF(終値!A63="","",IFERROR(4*STDEVP(終値!AQ63:BJ63)/AVERAGE(終値!AQ63:BJ63),""))</f>
        <v>0.13692970796057577</v>
      </c>
      <c r="AO63" s="503">
        <f>IF(終値!A63="","",IFERROR(4*STDEVP(終値!AR63:BK63)/AVERAGE(終値!AR63:BK63),""))</f>
        <v>0.14191958869856522</v>
      </c>
      <c r="AP63" s="503">
        <f>IF(終値!A63="","",IFERROR(4*STDEVP(終値!AS63:BL63)/AVERAGE(終値!AS63:BL63),""))</f>
        <v>0.14353928815451303</v>
      </c>
    </row>
    <row r="64" spans="1:42">
      <c r="A64" s="500" t="str">
        <f>IF(終値!A64="","",終値!A64)</f>
        <v>4540</v>
      </c>
      <c r="B64" s="503">
        <f>IF(終値!A64="","",IFERROR(4*STDEVP(終値!E64:X64)/AVERAGE(終値!E64:X64),""))</f>
        <v>7.1412411732950598E-2</v>
      </c>
      <c r="C64" s="503">
        <f>IF(終値!A64="","",IFERROR(4*STDEVP(終値!F64:Y64)/AVERAGE(終値!F64:Y64),""))</f>
        <v>7.221465062040984E-2</v>
      </c>
      <c r="D64" s="503">
        <f>IF(終値!A64="","",IFERROR(4*STDEVP(終値!G64:Z64)/AVERAGE(終値!G64:Z64),""))</f>
        <v>7.6323750260894316E-2</v>
      </c>
      <c r="E64" s="503">
        <f>IF(終値!A64="","",IFERROR(4*STDEVP(終値!H64:AA64)/AVERAGE(終値!H64:AA64),""))</f>
        <v>8.3293511757385905E-2</v>
      </c>
      <c r="F64" s="503">
        <f>IF(終値!A64="","",IFERROR(4*STDEVP(終値!I64:AB64)/AVERAGE(終値!I64:AB64),""))</f>
        <v>8.4421690523456286E-2</v>
      </c>
      <c r="G64" s="503">
        <f>IF(終値!A64="","",IFERROR(4*STDEVP(終値!J64:AC64)/AVERAGE(終値!J64:AC64),""))</f>
        <v>6.9174501883827538E-2</v>
      </c>
      <c r="H64" s="503">
        <f>IF(終値!A64="","",IFERROR(4*STDEVP(終値!K64:AD64)/AVERAGE(終値!K64:AD64),""))</f>
        <v>6.593865273665811E-2</v>
      </c>
      <c r="I64" s="503">
        <f>IF(終値!A64="","",IFERROR(4*STDEVP(終値!L64:AE64)/AVERAGE(終値!L64:AE64),""))</f>
        <v>6.1467754592342543E-2</v>
      </c>
      <c r="J64" s="503">
        <f>IF(終値!A64="","",IFERROR(4*STDEVP(終値!M64:AF64)/AVERAGE(終値!M64:AF64),""))</f>
        <v>6.1443863567061517E-2</v>
      </c>
      <c r="K64" s="503">
        <f>IF(終値!A64="","",IFERROR(4*STDEVP(終値!N64:AG64)/AVERAGE(終値!N64:AG64),""))</f>
        <v>6.3312503918705132E-2</v>
      </c>
      <c r="L64" s="503">
        <f>IF(終値!A64="","",IFERROR(4*STDEVP(終値!O64:AH64)/AVERAGE(終値!O64:AH64),""))</f>
        <v>6.1183976036783591E-2</v>
      </c>
      <c r="M64" s="503">
        <f>IF(終値!A64="","",IFERROR(4*STDEVP(終値!P64:AI64)/AVERAGE(終値!P64:AI64),""))</f>
        <v>5.7354071654219289E-2</v>
      </c>
      <c r="N64" s="503">
        <f>IF(終値!A64="","",IFERROR(4*STDEVP(終値!Q64:AJ64)/AVERAGE(終値!Q64:AJ64),""))</f>
        <v>5.520766553121554E-2</v>
      </c>
      <c r="O64" s="503">
        <f>IF(終値!A64="","",IFERROR(4*STDEVP(終値!R64:AK64)/AVERAGE(終値!R64:AK64),""))</f>
        <v>5.2465228129366839E-2</v>
      </c>
      <c r="P64" s="503">
        <f>IF(終値!A64="","",IFERROR(4*STDEVP(終値!S64:AL64)/AVERAGE(終値!S64:AL64),""))</f>
        <v>4.1674166690187406E-2</v>
      </c>
      <c r="Q64" s="503">
        <f>IF(終値!A64="","",IFERROR(4*STDEVP(終値!T64:AM64)/AVERAGE(終値!T64:AM64),""))</f>
        <v>3.828924214620702E-2</v>
      </c>
      <c r="R64" s="503">
        <f>IF(終値!A64="","",IFERROR(4*STDEVP(終値!U64:AN64)/AVERAGE(終値!U64:AN64),""))</f>
        <v>3.4089057556851599E-2</v>
      </c>
      <c r="S64" s="503">
        <f>IF(終値!A64="","",IFERROR(4*STDEVP(終値!V64:AO64)/AVERAGE(終値!V64:AO64),""))</f>
        <v>3.0978184539114738E-2</v>
      </c>
      <c r="T64" s="503">
        <f>IF(終値!A64="","",IFERROR(4*STDEVP(終値!W64:AP64)/AVERAGE(終値!W64:AP64),""))</f>
        <v>2.8943762429594771E-2</v>
      </c>
      <c r="U64" s="503">
        <f>IF(終値!A64="","",IFERROR(4*STDEVP(終値!X64:AQ64)/AVERAGE(終値!X64:AQ64),""))</f>
        <v>2.7855580694705184E-2</v>
      </c>
      <c r="V64" s="503">
        <f>IF(終値!A64="","",IFERROR(4*STDEVP(終値!Y64:AR64)/AVERAGE(終値!Y64:AR64),""))</f>
        <v>2.6474239536729789E-2</v>
      </c>
      <c r="W64" s="503">
        <f>IF(終値!A64="","",IFERROR(4*STDEVP(終値!Z64:AS64)/AVERAGE(終値!Z64:AS64),""))</f>
        <v>2.5891146615640497E-2</v>
      </c>
      <c r="X64" s="503">
        <f>IF(終値!A64="","",IFERROR(4*STDEVP(終値!AA64:AT64)/AVERAGE(終値!AA64:AT64),""))</f>
        <v>2.5891146615640494E-2</v>
      </c>
      <c r="Y64" s="503">
        <f>IF(終値!A64="","",IFERROR(4*STDEVP(終値!AB64:AU64)/AVERAGE(終値!AB64:AU64),""))</f>
        <v>2.5362764128122273E-2</v>
      </c>
      <c r="Z64" s="503">
        <f>IF(終値!A64="","",IFERROR(4*STDEVP(終値!AC64:AV64)/AVERAGE(終値!AC64:AV64),""))</f>
        <v>3.1847944367636577E-2</v>
      </c>
      <c r="AA64" s="503">
        <f>IF(終値!A64="","",IFERROR(4*STDEVP(終値!AD64:AW64)/AVERAGE(終値!AD64:AW64),""))</f>
        <v>3.2101675611422451E-2</v>
      </c>
      <c r="AB64" s="503">
        <f>IF(終値!A64="","",IFERROR(4*STDEVP(終値!AE64:AX64)/AVERAGE(終値!AE64:AX64),""))</f>
        <v>4.1812587050388463E-2</v>
      </c>
      <c r="AC64" s="503">
        <f>IF(終値!A64="","",IFERROR(4*STDEVP(終値!AF64:AY64)/AVERAGE(終値!AF64:AY64),""))</f>
        <v>4.0677675354329798E-2</v>
      </c>
      <c r="AD64" s="503">
        <f>IF(終値!A64="","",IFERROR(4*STDEVP(終値!AG64:AZ64)/AVERAGE(終値!AG64:AZ64),""))</f>
        <v>4.3271353990162242E-2</v>
      </c>
      <c r="AE64" s="503">
        <f>IF(終値!A64="","",IFERROR(4*STDEVP(終値!AH64:BA64)/AVERAGE(終値!AH64:BA64),""))</f>
        <v>5.539081299415255E-2</v>
      </c>
      <c r="AF64" s="503">
        <f>IF(終値!A64="","",IFERROR(4*STDEVP(終値!AI64:BB64)/AVERAGE(終値!AI64:BB64),""))</f>
        <v>6.9377970832529806E-2</v>
      </c>
      <c r="AG64" s="503">
        <f>IF(終値!A64="","",IFERROR(4*STDEVP(終値!AJ64:BC64)/AVERAGE(終値!AJ64:BC64),""))</f>
        <v>7.9355778375817601E-2</v>
      </c>
      <c r="AH64" s="503">
        <f>IF(終値!A64="","",IFERROR(4*STDEVP(終値!AK64:BD64)/AVERAGE(終値!AK64:BD64),""))</f>
        <v>7.905747262961331E-2</v>
      </c>
      <c r="AI64" s="503">
        <f>IF(終値!A64="","",IFERROR(4*STDEVP(終値!AL64:BE64)/AVERAGE(終値!AL64:BE64),""))</f>
        <v>7.7059312720174994E-2</v>
      </c>
      <c r="AJ64" s="503">
        <f>IF(終値!A64="","",IFERROR(4*STDEVP(終値!AM64:BF64)/AVERAGE(終値!AM64:BF64),""))</f>
        <v>7.779034400707667E-2</v>
      </c>
      <c r="AK64" s="503">
        <f>IF(終値!A64="","",IFERROR(4*STDEVP(終値!AN64:BG64)/AVERAGE(終値!AN64:BG64),""))</f>
        <v>7.8782009262709216E-2</v>
      </c>
      <c r="AL64" s="503">
        <f>IF(終値!A64="","",IFERROR(4*STDEVP(終値!AO64:BH64)/AVERAGE(終値!AO64:BH64),""))</f>
        <v>9.7382544074475594E-2</v>
      </c>
      <c r="AM64" s="503">
        <f>IF(終値!A64="","",IFERROR(4*STDEVP(終値!AP64:BI64)/AVERAGE(終値!AP64:BI64),""))</f>
        <v>0.10842549969361495</v>
      </c>
      <c r="AN64" s="503">
        <f>IF(終値!A64="","",IFERROR(4*STDEVP(終値!AQ64:BJ64)/AVERAGE(終値!AQ64:BJ64),""))</f>
        <v>0.11610104882842362</v>
      </c>
      <c r="AO64" s="503">
        <f>IF(終値!A64="","",IFERROR(4*STDEVP(終値!AR64:BK64)/AVERAGE(終値!AR64:BK64),""))</f>
        <v>0.11939704669721432</v>
      </c>
      <c r="AP64" s="503">
        <f>IF(終値!A64="","",IFERROR(4*STDEVP(終値!AS64:BL64)/AVERAGE(終値!AS64:BL64),""))</f>
        <v>0.12157521955140012</v>
      </c>
    </row>
    <row r="65" spans="1:42">
      <c r="A65" s="500" t="str">
        <f>IF(終値!A65="","",終値!A65)</f>
        <v>9984</v>
      </c>
      <c r="B65" s="503">
        <f>IF(終値!A65="","",IFERROR(4*STDEVP(終値!E65:X65)/AVERAGE(終値!E65:X65),""))</f>
        <v>0.36750654724338533</v>
      </c>
      <c r="C65" s="503">
        <f>IF(終値!A65="","",IFERROR(4*STDEVP(終値!F65:Y65)/AVERAGE(終値!F65:Y65),""))</f>
        <v>0.36636198930476022</v>
      </c>
      <c r="D65" s="503">
        <f>IF(終値!A65="","",IFERROR(4*STDEVP(終値!G65:Z65)/AVERAGE(終値!G65:Z65),""))</f>
        <v>0.36815793030832322</v>
      </c>
      <c r="E65" s="503">
        <f>IF(終値!A65="","",IFERROR(4*STDEVP(終値!H65:AA65)/AVERAGE(終値!H65:AA65),""))</f>
        <v>0.35987298976947529</v>
      </c>
      <c r="F65" s="503">
        <f>IF(終値!A65="","",IFERROR(4*STDEVP(終値!I65:AB65)/AVERAGE(終値!I65:AB65),""))</f>
        <v>0.3072498098557756</v>
      </c>
      <c r="G65" s="503">
        <f>IF(終値!A65="","",IFERROR(4*STDEVP(終値!J65:AC65)/AVERAGE(終値!J65:AC65),""))</f>
        <v>0.25194989971035636</v>
      </c>
      <c r="H65" s="503">
        <f>IF(終値!A65="","",IFERROR(4*STDEVP(終値!K65:AD65)/AVERAGE(終値!K65:AD65),""))</f>
        <v>0.22112774963231085</v>
      </c>
      <c r="I65" s="503">
        <f>IF(終値!A65="","",IFERROR(4*STDEVP(終値!L65:AE65)/AVERAGE(終値!L65:AE65),""))</f>
        <v>0.25578703334849151</v>
      </c>
      <c r="J65" s="503">
        <f>IF(終値!A65="","",IFERROR(4*STDEVP(終値!M65:AF65)/AVERAGE(終値!M65:AF65),""))</f>
        <v>0.25171974924868551</v>
      </c>
      <c r="K65" s="503">
        <f>IF(終値!A65="","",IFERROR(4*STDEVP(終値!N65:AG65)/AVERAGE(終値!N65:AG65),""))</f>
        <v>0.25580183161132225</v>
      </c>
      <c r="L65" s="503">
        <f>IF(終値!A65="","",IFERROR(4*STDEVP(終値!O65:AH65)/AVERAGE(終値!O65:AH65),""))</f>
        <v>0.28934337684610362</v>
      </c>
      <c r="M65" s="503">
        <f>IF(終値!A65="","",IFERROR(4*STDEVP(終値!P65:AI65)/AVERAGE(終値!P65:AI65),""))</f>
        <v>0.30451653332267642</v>
      </c>
      <c r="N65" s="503">
        <f>IF(終値!A65="","",IFERROR(4*STDEVP(終値!Q65:AJ65)/AVERAGE(終値!Q65:AJ65),""))</f>
        <v>0.29944806933635293</v>
      </c>
      <c r="O65" s="503">
        <f>IF(終値!A65="","",IFERROR(4*STDEVP(終値!R65:AK65)/AVERAGE(終値!R65:AK65),""))</f>
        <v>0.30663777748010268</v>
      </c>
      <c r="P65" s="503">
        <f>IF(終値!A65="","",IFERROR(4*STDEVP(終値!S65:AL65)/AVERAGE(終値!S65:AL65),""))</f>
        <v>0.31987399665531607</v>
      </c>
      <c r="Q65" s="503">
        <f>IF(終値!A65="","",IFERROR(4*STDEVP(終値!T65:AM65)/AVERAGE(終値!T65:AM65),""))</f>
        <v>0.33270138014863171</v>
      </c>
      <c r="R65" s="503">
        <f>IF(終値!A65="","",IFERROR(4*STDEVP(終値!U65:AN65)/AVERAGE(終値!U65:AN65),""))</f>
        <v>0.33225841313882948</v>
      </c>
      <c r="S65" s="503">
        <f>IF(終値!A65="","",IFERROR(4*STDEVP(終値!V65:AO65)/AVERAGE(終値!V65:AO65),""))</f>
        <v>0.31601206097940321</v>
      </c>
      <c r="T65" s="503">
        <f>IF(終値!A65="","",IFERROR(4*STDEVP(終値!W65:AP65)/AVERAGE(終値!W65:AP65),""))</f>
        <v>0.29755774530359963</v>
      </c>
      <c r="U65" s="503">
        <f>IF(終値!A65="","",IFERROR(4*STDEVP(終値!X65:AQ65)/AVERAGE(終値!X65:AQ65),""))</f>
        <v>0.2811909853452299</v>
      </c>
      <c r="V65" s="503">
        <f>IF(終値!A65="","",IFERROR(4*STDEVP(終値!Y65:AR65)/AVERAGE(終値!Y65:AR65),""))</f>
        <v>0.28612711671154667</v>
      </c>
      <c r="W65" s="503">
        <f>IF(終値!A65="","",IFERROR(4*STDEVP(終値!Z65:AS65)/AVERAGE(終値!Z65:AS65),""))</f>
        <v>0.29030563644140595</v>
      </c>
      <c r="X65" s="503">
        <f>IF(終値!A65="","",IFERROR(4*STDEVP(終値!AA65:AT65)/AVERAGE(終値!AA65:AT65),""))</f>
        <v>0.34258092946417829</v>
      </c>
      <c r="Y65" s="503">
        <f>IF(終値!A65="","",IFERROR(4*STDEVP(終値!AB65:AU65)/AVERAGE(終値!AB65:AU65),""))</f>
        <v>0.38802243655528884</v>
      </c>
      <c r="Z65" s="503">
        <f>IF(終値!A65="","",IFERROR(4*STDEVP(終値!AC65:AV65)/AVERAGE(終値!AC65:AV65),""))</f>
        <v>0.36653795061978867</v>
      </c>
      <c r="AA65" s="503">
        <f>IF(終値!A65="","",IFERROR(4*STDEVP(終値!AD65:AW65)/AVERAGE(終値!AD65:AW65),""))</f>
        <v>0.33247667985233342</v>
      </c>
      <c r="AB65" s="503">
        <f>IF(終値!A65="","",IFERROR(4*STDEVP(終値!AE65:AX65)/AVERAGE(終値!AE65:AX65),""))</f>
        <v>0.31133455191226439</v>
      </c>
      <c r="AC65" s="503">
        <f>IF(終値!A65="","",IFERROR(4*STDEVP(終値!AF65:AY65)/AVERAGE(終値!AF65:AY65),""))</f>
        <v>0.31154930572332956</v>
      </c>
      <c r="AD65" s="503">
        <f>IF(終値!A65="","",IFERROR(4*STDEVP(終値!AG65:AZ65)/AVERAGE(終値!AG65:AZ65),""))</f>
        <v>0.30743021153325067</v>
      </c>
      <c r="AE65" s="503">
        <f>IF(終値!A65="","",IFERROR(4*STDEVP(終値!AH65:BA65)/AVERAGE(終値!AH65:BA65),""))</f>
        <v>0.3285979196125659</v>
      </c>
      <c r="AF65" s="503">
        <f>IF(終値!A65="","",IFERROR(4*STDEVP(終値!AI65:BB65)/AVERAGE(終値!AI65:BB65),""))</f>
        <v>0.42170383736166223</v>
      </c>
      <c r="AG65" s="503">
        <f>IF(終値!A65="","",IFERROR(4*STDEVP(終値!AJ65:BC65)/AVERAGE(終値!AJ65:BC65),""))</f>
        <v>0.47448184076634192</v>
      </c>
      <c r="AH65" s="503">
        <f>IF(終値!A65="","",IFERROR(4*STDEVP(終値!AK65:BD65)/AVERAGE(終値!AK65:BD65),""))</f>
        <v>0.5072803086981249</v>
      </c>
      <c r="AI65" s="503">
        <f>IF(終値!A65="","",IFERROR(4*STDEVP(終値!AL65:BE65)/AVERAGE(終値!AL65:BE65),""))</f>
        <v>0.53058727213052426</v>
      </c>
      <c r="AJ65" s="503">
        <f>IF(終値!A65="","",IFERROR(4*STDEVP(終値!AM65:BF65)/AVERAGE(終値!AM65:BF65),""))</f>
        <v>0.54970582841769555</v>
      </c>
      <c r="AK65" s="503">
        <f>IF(終値!A65="","",IFERROR(4*STDEVP(終値!AN65:BG65)/AVERAGE(終値!AN65:BG65),""))</f>
        <v>0.55865714025453594</v>
      </c>
      <c r="AL65" s="503">
        <f>IF(終値!A65="","",IFERROR(4*STDEVP(終値!AO65:BH65)/AVERAGE(終値!AO65:BH65),""))</f>
        <v>0.56730637686024288</v>
      </c>
      <c r="AM65" s="503">
        <f>IF(終値!A65="","",IFERROR(4*STDEVP(終値!AP65:BI65)/AVERAGE(終値!AP65:BI65),""))</f>
        <v>0.5813913138313066</v>
      </c>
      <c r="AN65" s="503">
        <f>IF(終値!A65="","",IFERROR(4*STDEVP(終値!AQ65:BJ65)/AVERAGE(終値!AQ65:BJ65),""))</f>
        <v>0.586018984182888</v>
      </c>
      <c r="AO65" s="503">
        <f>IF(終値!A65="","",IFERROR(4*STDEVP(終値!AR65:BK65)/AVERAGE(終値!AR65:BK65),""))</f>
        <v>0.58637663593532852</v>
      </c>
      <c r="AP65" s="503">
        <f>IF(終値!A65="","",IFERROR(4*STDEVP(終値!AS65:BL65)/AVERAGE(終値!AS65:BL65),""))</f>
        <v>0.6012439635372655</v>
      </c>
    </row>
    <row r="66" spans="1:42">
      <c r="A66" s="500" t="str">
        <f>IF(終値!A66="","",終値!A66)</f>
        <v>4063</v>
      </c>
      <c r="B66" s="503">
        <f>IF(終値!A66="","",IFERROR(4*STDEVP(終値!E66:X66)/AVERAGE(終値!E66:X66),""))</f>
        <v>0.39558946668832407</v>
      </c>
      <c r="C66" s="503">
        <f>IF(終値!A66="","",IFERROR(4*STDEVP(終値!F66:Y66)/AVERAGE(終値!F66:Y66),""))</f>
        <v>0.38057735853423635</v>
      </c>
      <c r="D66" s="503">
        <f>IF(終値!A66="","",IFERROR(4*STDEVP(終値!G66:Z66)/AVERAGE(終値!G66:Z66),""))</f>
        <v>0.35694155165329039</v>
      </c>
      <c r="E66" s="503">
        <f>IF(終値!A66="","",IFERROR(4*STDEVP(終値!H66:AA66)/AVERAGE(終値!H66:AA66),""))</f>
        <v>0.32870564685296388</v>
      </c>
      <c r="F66" s="503">
        <f>IF(終値!A66="","",IFERROR(4*STDEVP(終値!I66:AB66)/AVERAGE(終値!I66:AB66),""))</f>
        <v>0.28840482281184288</v>
      </c>
      <c r="G66" s="503">
        <f>IF(終値!A66="","",IFERROR(4*STDEVP(終値!J66:AC66)/AVERAGE(終値!J66:AC66),""))</f>
        <v>0.23229787256733056</v>
      </c>
      <c r="H66" s="503">
        <f>IF(終値!A66="","",IFERROR(4*STDEVP(終値!K66:AD66)/AVERAGE(終値!K66:AD66),""))</f>
        <v>0.17785763756005937</v>
      </c>
      <c r="I66" s="503">
        <f>IF(終値!A66="","",IFERROR(4*STDEVP(終値!L66:AE66)/AVERAGE(終値!L66:AE66),""))</f>
        <v>0.12938111717346051</v>
      </c>
      <c r="J66" s="503">
        <f>IF(終値!A66="","",IFERROR(4*STDEVP(終値!M66:AF66)/AVERAGE(終値!M66:AF66),""))</f>
        <v>0.11689597560048136</v>
      </c>
      <c r="K66" s="503">
        <f>IF(終値!A66="","",IFERROR(4*STDEVP(終値!N66:AG66)/AVERAGE(終値!N66:AG66),""))</f>
        <v>0.11559930347591754</v>
      </c>
      <c r="L66" s="503">
        <f>IF(終値!A66="","",IFERROR(4*STDEVP(終値!O66:AH66)/AVERAGE(終値!O66:AH66),""))</f>
        <v>0.11598219189227352</v>
      </c>
      <c r="M66" s="503">
        <f>IF(終値!A66="","",IFERROR(4*STDEVP(終値!P66:AI66)/AVERAGE(終値!P66:AI66),""))</f>
        <v>0.1169651526916458</v>
      </c>
      <c r="N66" s="503">
        <f>IF(終値!A66="","",IFERROR(4*STDEVP(終値!Q66:AJ66)/AVERAGE(終値!Q66:AJ66),""))</f>
        <v>0.12129147224048205</v>
      </c>
      <c r="O66" s="503">
        <f>IF(終値!A66="","",IFERROR(4*STDEVP(終値!R66:AK66)/AVERAGE(終値!R66:AK66),""))</f>
        <v>0.11353554453640234</v>
      </c>
      <c r="P66" s="503">
        <f>IF(終値!A66="","",IFERROR(4*STDEVP(終値!S66:AL66)/AVERAGE(終値!S66:AL66),""))</f>
        <v>0.11291922862572669</v>
      </c>
      <c r="Q66" s="503">
        <f>IF(終値!A66="","",IFERROR(4*STDEVP(終値!T66:AM66)/AVERAGE(終値!T66:AM66),""))</f>
        <v>0.12031685530949868</v>
      </c>
      <c r="R66" s="503">
        <f>IF(終値!A66="","",IFERROR(4*STDEVP(終値!U66:AN66)/AVERAGE(終値!U66:AN66),""))</f>
        <v>0.11948954215894443</v>
      </c>
      <c r="S66" s="503">
        <f>IF(終値!A66="","",IFERROR(4*STDEVP(終値!V66:AO66)/AVERAGE(終値!V66:AO66),""))</f>
        <v>0.1245841653771728</v>
      </c>
      <c r="T66" s="503">
        <f>IF(終値!A66="","",IFERROR(4*STDEVP(終値!W66:AP66)/AVERAGE(終値!W66:AP66),""))</f>
        <v>0.13486954463914402</v>
      </c>
      <c r="U66" s="503">
        <f>IF(終値!A66="","",IFERROR(4*STDEVP(終値!X66:AQ66)/AVERAGE(終値!X66:AQ66),""))</f>
        <v>0.14045032228690624</v>
      </c>
      <c r="V66" s="503">
        <f>IF(終値!A66="","",IFERROR(4*STDEVP(終値!Y66:AR66)/AVERAGE(終値!Y66:AR66),""))</f>
        <v>0.13890042870395636</v>
      </c>
      <c r="W66" s="503">
        <f>IF(終値!A66="","",IFERROR(4*STDEVP(終値!Z66:AS66)/AVERAGE(終値!Z66:AS66),""))</f>
        <v>0.14739031432891928</v>
      </c>
      <c r="X66" s="503">
        <f>IF(終値!A66="","",IFERROR(4*STDEVP(終値!AA66:AT66)/AVERAGE(終値!AA66:AT66),""))</f>
        <v>0.16228505529977311</v>
      </c>
      <c r="Y66" s="503">
        <f>IF(終値!A66="","",IFERROR(4*STDEVP(終値!AB66:AU66)/AVERAGE(終値!AB66:AU66),""))</f>
        <v>0.164616990016728</v>
      </c>
      <c r="Z66" s="503">
        <f>IF(終値!A66="","",IFERROR(4*STDEVP(終値!AC66:AV66)/AVERAGE(終値!AC66:AV66),""))</f>
        <v>0.17196941195890567</v>
      </c>
      <c r="AA66" s="503">
        <f>IF(終値!A66="","",IFERROR(4*STDEVP(終値!AD66:AW66)/AVERAGE(終値!AD66:AW66),""))</f>
        <v>0.1662356696451435</v>
      </c>
      <c r="AB66" s="503">
        <f>IF(終値!A66="","",IFERROR(4*STDEVP(終値!AE66:AX66)/AVERAGE(終値!AE66:AX66),""))</f>
        <v>0.15530342655358556</v>
      </c>
      <c r="AC66" s="503">
        <f>IF(終値!A66="","",IFERROR(4*STDEVP(終値!AF66:AY66)/AVERAGE(終値!AF66:AY66),""))</f>
        <v>0.15781272271924138</v>
      </c>
      <c r="AD66" s="503">
        <f>IF(終値!A66="","",IFERROR(4*STDEVP(終値!AG66:AZ66)/AVERAGE(終値!AG66:AZ66),""))</f>
        <v>0.15946557791151775</v>
      </c>
      <c r="AE66" s="503">
        <f>IF(終値!A66="","",IFERROR(4*STDEVP(終値!AH66:BA66)/AVERAGE(終値!AH66:BA66),""))</f>
        <v>0.16926738680685063</v>
      </c>
      <c r="AF66" s="503">
        <f>IF(終値!A66="","",IFERROR(4*STDEVP(終値!AI66:BB66)/AVERAGE(終値!AI66:BB66),""))</f>
        <v>0.1782445183789205</v>
      </c>
      <c r="AG66" s="503">
        <f>IF(終値!A66="","",IFERROR(4*STDEVP(終値!AJ66:BC66)/AVERAGE(終値!AJ66:BC66),""))</f>
        <v>0.18085788197779445</v>
      </c>
      <c r="AH66" s="503">
        <f>IF(終値!A66="","",IFERROR(4*STDEVP(終値!AK66:BD66)/AVERAGE(終値!AK66:BD66),""))</f>
        <v>0.18192857268165211</v>
      </c>
      <c r="AI66" s="503">
        <f>IF(終値!A66="","",IFERROR(4*STDEVP(終値!AL66:BE66)/AVERAGE(終値!AL66:BE66),""))</f>
        <v>0.17872865394103571</v>
      </c>
      <c r="AJ66" s="503">
        <f>IF(終値!A66="","",IFERROR(4*STDEVP(終値!AM66:BF66)/AVERAGE(終値!AM66:BF66),""))</f>
        <v>0.17916987687433614</v>
      </c>
      <c r="AK66" s="503">
        <f>IF(終値!A66="","",IFERROR(4*STDEVP(終値!AN66:BG66)/AVERAGE(終値!AN66:BG66),""))</f>
        <v>0.17582756049535464</v>
      </c>
      <c r="AL66" s="503">
        <f>IF(終値!A66="","",IFERROR(4*STDEVP(終値!AO66:BH66)/AVERAGE(終値!AO66:BH66),""))</f>
        <v>0.17931173974626388</v>
      </c>
      <c r="AM66" s="503">
        <f>IF(終値!A66="","",IFERROR(4*STDEVP(終値!AP66:BI66)/AVERAGE(終値!AP66:BI66),""))</f>
        <v>0.17667851856903849</v>
      </c>
      <c r="AN66" s="503">
        <f>IF(終値!A66="","",IFERROR(4*STDEVP(終値!AQ66:BJ66)/AVERAGE(終値!AQ66:BJ66),""))</f>
        <v>0.16215937438238129</v>
      </c>
      <c r="AO66" s="503">
        <f>IF(終値!A66="","",IFERROR(4*STDEVP(終値!AR66:BK66)/AVERAGE(終値!AR66:BK66),""))</f>
        <v>0.15839373002426968</v>
      </c>
      <c r="AP66" s="503">
        <f>IF(終値!A66="","",IFERROR(4*STDEVP(終値!AS66:BL66)/AVERAGE(終値!AS66:BL66),""))</f>
        <v>0.16120037463185466</v>
      </c>
    </row>
    <row r="67" spans="1:42">
      <c r="A67" s="500" t="str">
        <f>IF(終値!A67="","",終値!A67)</f>
        <v>4536</v>
      </c>
      <c r="B67" s="503">
        <f>IF(終値!A67="","",IFERROR(4*STDEVP(終値!E67:X67)/AVERAGE(終値!E67:X67),""))</f>
        <v>0.22514267680350389</v>
      </c>
      <c r="C67" s="503">
        <f>IF(終値!A67="","",IFERROR(4*STDEVP(終値!F67:Y67)/AVERAGE(終値!F67:Y67),""))</f>
        <v>0.21911159098857999</v>
      </c>
      <c r="D67" s="503">
        <f>IF(終値!A67="","",IFERROR(4*STDEVP(終値!G67:Z67)/AVERAGE(終値!G67:Z67),""))</f>
        <v>0.20381361179384741</v>
      </c>
      <c r="E67" s="503">
        <f>IF(終値!A67="","",IFERROR(4*STDEVP(終値!H67:AA67)/AVERAGE(終値!H67:AA67),""))</f>
        <v>0.18365184485607611</v>
      </c>
      <c r="F67" s="503">
        <f>IF(終値!A67="","",IFERROR(4*STDEVP(終値!I67:AB67)/AVERAGE(終値!I67:AB67),""))</f>
        <v>0.16959877638612211</v>
      </c>
      <c r="G67" s="503">
        <f>IF(終値!A67="","",IFERROR(4*STDEVP(終値!J67:AC67)/AVERAGE(終値!J67:AC67),""))</f>
        <v>0.16603070258409086</v>
      </c>
      <c r="H67" s="503">
        <f>IF(終値!A67="","",IFERROR(4*STDEVP(終値!K67:AD67)/AVERAGE(終値!K67:AD67),""))</f>
        <v>0.1516283701622792</v>
      </c>
      <c r="I67" s="503">
        <f>IF(終値!A67="","",IFERROR(4*STDEVP(終値!L67:AE67)/AVERAGE(終値!L67:AE67),""))</f>
        <v>0.13660301570716551</v>
      </c>
      <c r="J67" s="503">
        <f>IF(終値!A67="","",IFERROR(4*STDEVP(終値!M67:AF67)/AVERAGE(終値!M67:AF67),""))</f>
        <v>0.13743976566273064</v>
      </c>
      <c r="K67" s="503">
        <f>IF(終値!A67="","",IFERROR(4*STDEVP(終値!N67:AG67)/AVERAGE(終値!N67:AG67),""))</f>
        <v>0.12962210271177665</v>
      </c>
      <c r="L67" s="503">
        <f>IF(終値!A67="","",IFERROR(4*STDEVP(終値!O67:AH67)/AVERAGE(終値!O67:AH67),""))</f>
        <v>0.13834916388184348</v>
      </c>
      <c r="M67" s="503">
        <f>IF(終値!A67="","",IFERROR(4*STDEVP(終値!P67:AI67)/AVERAGE(終値!P67:AI67),""))</f>
        <v>0.16819102076894585</v>
      </c>
      <c r="N67" s="503">
        <f>IF(終値!A67="","",IFERROR(4*STDEVP(終値!Q67:AJ67)/AVERAGE(終値!Q67:AJ67),""))</f>
        <v>0.1911354664747327</v>
      </c>
      <c r="O67" s="503">
        <f>IF(終値!A67="","",IFERROR(4*STDEVP(終値!R67:AK67)/AVERAGE(終値!R67:AK67),""))</f>
        <v>0.21364934252649467</v>
      </c>
      <c r="P67" s="503">
        <f>IF(終値!A67="","",IFERROR(4*STDEVP(終値!S67:AL67)/AVERAGE(終値!S67:AL67),""))</f>
        <v>0.22631186317762941</v>
      </c>
      <c r="Q67" s="503">
        <f>IF(終値!A67="","",IFERROR(4*STDEVP(終値!T67:AM67)/AVERAGE(終値!T67:AM67),""))</f>
        <v>0.23802098188832763</v>
      </c>
      <c r="R67" s="503">
        <f>IF(終値!A67="","",IFERROR(4*STDEVP(終値!U67:AN67)/AVERAGE(終値!U67:AN67),""))</f>
        <v>0.24549493771163663</v>
      </c>
      <c r="S67" s="503">
        <f>IF(終値!A67="","",IFERROR(4*STDEVP(終値!V67:AO67)/AVERAGE(終値!V67:AO67),""))</f>
        <v>0.24738944657038542</v>
      </c>
      <c r="T67" s="503">
        <f>IF(終値!A67="","",IFERROR(4*STDEVP(終値!W67:AP67)/AVERAGE(終値!W67:AP67),""))</f>
        <v>0.24635296806231757</v>
      </c>
      <c r="U67" s="503">
        <f>IF(終値!A67="","",IFERROR(4*STDEVP(終値!X67:AQ67)/AVERAGE(終値!X67:AQ67),""))</f>
        <v>0.23641559238317414</v>
      </c>
      <c r="V67" s="503">
        <f>IF(終値!A67="","",IFERROR(4*STDEVP(終値!Y67:AR67)/AVERAGE(終値!Y67:AR67),""))</f>
        <v>0.22124032363639035</v>
      </c>
      <c r="W67" s="503">
        <f>IF(終値!A67="","",IFERROR(4*STDEVP(終値!Z67:AS67)/AVERAGE(終値!Z67:AS67),""))</f>
        <v>0.21082986181850474</v>
      </c>
      <c r="X67" s="503">
        <f>IF(終値!A67="","",IFERROR(4*STDEVP(終値!AA67:AT67)/AVERAGE(終値!AA67:AT67),""))</f>
        <v>0.20301645677159166</v>
      </c>
      <c r="Y67" s="503">
        <f>IF(終値!A67="","",IFERROR(4*STDEVP(終値!AB67:AU67)/AVERAGE(終値!AB67:AU67),""))</f>
        <v>0.19636382847201714</v>
      </c>
      <c r="Z67" s="503">
        <f>IF(終値!A67="","",IFERROR(4*STDEVP(終値!AC67:AV67)/AVERAGE(終値!AC67:AV67),""))</f>
        <v>0.18152344027756892</v>
      </c>
      <c r="AA67" s="503">
        <f>IF(終値!A67="","",IFERROR(4*STDEVP(終値!AD67:AW67)/AVERAGE(終値!AD67:AW67),""))</f>
        <v>0.15962862923585272</v>
      </c>
      <c r="AB67" s="503">
        <f>IF(終値!A67="","",IFERROR(4*STDEVP(終値!AE67:AX67)/AVERAGE(終値!AE67:AX67),""))</f>
        <v>0.13297995492058939</v>
      </c>
      <c r="AC67" s="503">
        <f>IF(終値!A67="","",IFERROR(4*STDEVP(終値!AF67:AY67)/AVERAGE(終値!AF67:AY67),""))</f>
        <v>9.443399564861904E-2</v>
      </c>
      <c r="AD67" s="503">
        <f>IF(終値!A67="","",IFERROR(4*STDEVP(終値!AG67:AZ67)/AVERAGE(終値!AG67:AZ67),""))</f>
        <v>7.3423769909306769E-2</v>
      </c>
      <c r="AE67" s="503">
        <f>IF(終値!A67="","",IFERROR(4*STDEVP(終値!AH67:BA67)/AVERAGE(終値!AH67:BA67),""))</f>
        <v>6.0256486094041301E-2</v>
      </c>
      <c r="AF67" s="503">
        <f>IF(終値!A67="","",IFERROR(4*STDEVP(終値!AI67:BB67)/AVERAGE(終値!AI67:BB67),""))</f>
        <v>5.737571936705646E-2</v>
      </c>
      <c r="AG67" s="503">
        <f>IF(終値!A67="","",IFERROR(4*STDEVP(終値!AJ67:BC67)/AVERAGE(終値!AJ67:BC67),""))</f>
        <v>5.5723066103507864E-2</v>
      </c>
      <c r="AH67" s="503">
        <f>IF(終値!A67="","",IFERROR(4*STDEVP(終値!AK67:BD67)/AVERAGE(終値!AK67:BD67),""))</f>
        <v>6.2159549491685367E-2</v>
      </c>
      <c r="AI67" s="503">
        <f>IF(終値!A67="","",IFERROR(4*STDEVP(終値!AL67:BE67)/AVERAGE(終値!AL67:BE67),""))</f>
        <v>6.4491493571855241E-2</v>
      </c>
      <c r="AJ67" s="503">
        <f>IF(終値!A67="","",IFERROR(4*STDEVP(終値!AM67:BF67)/AVERAGE(終値!AM67:BF67),""))</f>
        <v>6.4637096567565694E-2</v>
      </c>
      <c r="AK67" s="503">
        <f>IF(終値!A67="","",IFERROR(4*STDEVP(終値!AN67:BG67)/AVERAGE(終値!AN67:BG67),""))</f>
        <v>7.5736043488670843E-2</v>
      </c>
      <c r="AL67" s="503">
        <f>IF(終値!A67="","",IFERROR(4*STDEVP(終値!AO67:BH67)/AVERAGE(終値!AO67:BH67),""))</f>
        <v>0.17199475078209792</v>
      </c>
      <c r="AM67" s="503">
        <f>IF(終値!A67="","",IFERROR(4*STDEVP(終値!AP67:BI67)/AVERAGE(終値!AP67:BI67),""))</f>
        <v>0.20808567254010932</v>
      </c>
      <c r="AN67" s="503">
        <f>IF(終値!A67="","",IFERROR(4*STDEVP(終値!AQ67:BJ67)/AVERAGE(終値!AQ67:BJ67),""))</f>
        <v>0.2353815845272838</v>
      </c>
      <c r="AO67" s="503">
        <f>IF(終値!A67="","",IFERROR(4*STDEVP(終値!AR67:BK67)/AVERAGE(終値!AR67:BK67),""))</f>
        <v>0.25220390690571237</v>
      </c>
      <c r="AP67" s="503">
        <f>IF(終値!A67="","",IFERROR(4*STDEVP(終値!AS67:BL67)/AVERAGE(終値!AS67:BL67),""))</f>
        <v>0.26420783787024149</v>
      </c>
    </row>
    <row r="68" spans="1:42">
      <c r="A68" s="500" t="str">
        <f>IF(終値!A68="","",終値!A68)</f>
        <v>6503</v>
      </c>
      <c r="B68" s="503">
        <f>IF(終値!A68="","",IFERROR(4*STDEVP(終値!E68:X68)/AVERAGE(終値!E68:X68),""))</f>
        <v>0.15295795178837129</v>
      </c>
      <c r="C68" s="503">
        <f>IF(終値!A68="","",IFERROR(4*STDEVP(終値!F68:Y68)/AVERAGE(終値!F68:Y68),""))</f>
        <v>0.15945733966458853</v>
      </c>
      <c r="D68" s="503">
        <f>IF(終値!A68="","",IFERROR(4*STDEVP(終値!G68:Z68)/AVERAGE(終値!G68:Z68),""))</f>
        <v>0.16225988256718055</v>
      </c>
      <c r="E68" s="503">
        <f>IF(終値!A68="","",IFERROR(4*STDEVP(終値!H68:AA68)/AVERAGE(終値!H68:AA68),""))</f>
        <v>0.16746334693703485</v>
      </c>
      <c r="F68" s="503">
        <f>IF(終値!A68="","",IFERROR(4*STDEVP(終値!I68:AB68)/AVERAGE(終値!I68:AB68),""))</f>
        <v>0.15823562003190775</v>
      </c>
      <c r="G68" s="503">
        <f>IF(終値!A68="","",IFERROR(4*STDEVP(終値!J68:AC68)/AVERAGE(終値!J68:AC68),""))</f>
        <v>0.13293183349055676</v>
      </c>
      <c r="H68" s="503">
        <f>IF(終値!A68="","",IFERROR(4*STDEVP(終値!K68:AD68)/AVERAGE(終値!K68:AD68),""))</f>
        <v>0.11446673352615543</v>
      </c>
      <c r="I68" s="503">
        <f>IF(終値!A68="","",IFERROR(4*STDEVP(終値!L68:AE68)/AVERAGE(終値!L68:AE68),""))</f>
        <v>0.11725931698435674</v>
      </c>
      <c r="J68" s="503">
        <f>IF(終値!A68="","",IFERROR(4*STDEVP(終値!M68:AF68)/AVERAGE(終値!M68:AF68),""))</f>
        <v>0.11824801989616171</v>
      </c>
      <c r="K68" s="503">
        <f>IF(終値!A68="","",IFERROR(4*STDEVP(終値!N68:AG68)/AVERAGE(終値!N68:AG68),""))</f>
        <v>0.12562121490543071</v>
      </c>
      <c r="L68" s="503">
        <f>IF(終値!A68="","",IFERROR(4*STDEVP(終値!O68:AH68)/AVERAGE(終値!O68:AH68),""))</f>
        <v>0.13204853680054796</v>
      </c>
      <c r="M68" s="503">
        <f>IF(終値!A68="","",IFERROR(4*STDEVP(終値!P68:AI68)/AVERAGE(終値!P68:AI68),""))</f>
        <v>0.128191888713308</v>
      </c>
      <c r="N68" s="503">
        <f>IF(終値!A68="","",IFERROR(4*STDEVP(終値!Q68:AJ68)/AVERAGE(終値!Q68:AJ68),""))</f>
        <v>0.10327875054567487</v>
      </c>
      <c r="O68" s="503">
        <f>IF(終値!A68="","",IFERROR(4*STDEVP(終値!R68:AK68)/AVERAGE(終値!R68:AK68),""))</f>
        <v>0.10105301542459488</v>
      </c>
      <c r="P68" s="503">
        <f>IF(終値!A68="","",IFERROR(4*STDEVP(終値!S68:AL68)/AVERAGE(終値!S68:AL68),""))</f>
        <v>8.8165466078541366E-2</v>
      </c>
      <c r="Q68" s="503">
        <f>IF(終値!A68="","",IFERROR(4*STDEVP(終値!T68:AM68)/AVERAGE(終値!T68:AM68),""))</f>
        <v>7.7649254195544665E-2</v>
      </c>
      <c r="R68" s="503">
        <f>IF(終値!A68="","",IFERROR(4*STDEVP(終値!U68:AN68)/AVERAGE(終値!U68:AN68),""))</f>
        <v>9.5891520035700464E-2</v>
      </c>
      <c r="S68" s="503">
        <f>IF(終値!A68="","",IFERROR(4*STDEVP(終値!V68:AO68)/AVERAGE(終値!V68:AO68),""))</f>
        <v>0.11783068741988231</v>
      </c>
      <c r="T68" s="503">
        <f>IF(終値!A68="","",IFERROR(4*STDEVP(終値!W68:AP68)/AVERAGE(終値!W68:AP68),""))</f>
        <v>0.12439712108433232</v>
      </c>
      <c r="U68" s="503">
        <f>IF(終値!A68="","",IFERROR(4*STDEVP(終値!X68:AQ68)/AVERAGE(終値!X68:AQ68),""))</f>
        <v>0.12901811894695531</v>
      </c>
      <c r="V68" s="503">
        <f>IF(終値!A68="","",IFERROR(4*STDEVP(終値!Y68:AR68)/AVERAGE(終値!Y68:AR68),""))</f>
        <v>0.12830254281575529</v>
      </c>
      <c r="W68" s="503">
        <f>IF(終値!A68="","",IFERROR(4*STDEVP(終値!Z68:AS68)/AVERAGE(終値!Z68:AS68),""))</f>
        <v>0.12838533693472434</v>
      </c>
      <c r="X68" s="503">
        <f>IF(終値!A68="","",IFERROR(4*STDEVP(終値!AA68:AT68)/AVERAGE(終値!AA68:AT68),""))</f>
        <v>0.13155511349445959</v>
      </c>
      <c r="Y68" s="503">
        <f>IF(終値!A68="","",IFERROR(4*STDEVP(終値!AB68:AU68)/AVERAGE(終値!AB68:AU68),""))</f>
        <v>0.13086705957278869</v>
      </c>
      <c r="Z68" s="503">
        <f>IF(終値!A68="","",IFERROR(4*STDEVP(終値!AC68:AV68)/AVERAGE(終値!AC68:AV68),""))</f>
        <v>0.16282484086368909</v>
      </c>
      <c r="AA68" s="503">
        <f>IF(終値!A68="","",IFERROR(4*STDEVP(終値!AD68:AW68)/AVERAGE(終値!AD68:AW68),""))</f>
        <v>0.18582982115033286</v>
      </c>
      <c r="AB68" s="503">
        <f>IF(終値!A68="","",IFERROR(4*STDEVP(終値!AE68:AX68)/AVERAGE(終値!AE68:AX68),""))</f>
        <v>0.19988266999015</v>
      </c>
      <c r="AC68" s="503">
        <f>IF(終値!A68="","",IFERROR(4*STDEVP(終値!AF68:AY68)/AVERAGE(終値!AF68:AY68),""))</f>
        <v>0.21520001294070584</v>
      </c>
      <c r="AD68" s="503">
        <f>IF(終値!A68="","",IFERROR(4*STDEVP(終値!AG68:AZ68)/AVERAGE(終値!AG68:AZ68),""))</f>
        <v>0.21826009907344626</v>
      </c>
      <c r="AE68" s="503">
        <f>IF(終値!A68="","",IFERROR(4*STDEVP(終値!AH68:BA68)/AVERAGE(終値!AH68:BA68),""))</f>
        <v>0.21814701502734282</v>
      </c>
      <c r="AF68" s="503">
        <f>IF(終値!A68="","",IFERROR(4*STDEVP(終値!AI68:BB68)/AVERAGE(終値!AI68:BB68),""))</f>
        <v>0.22154991909833716</v>
      </c>
      <c r="AG68" s="503">
        <f>IF(終値!A68="","",IFERROR(4*STDEVP(終値!AJ68:BC68)/AVERAGE(終値!AJ68:BC68),""))</f>
        <v>0.22153728825683727</v>
      </c>
      <c r="AH68" s="503">
        <f>IF(終値!A68="","",IFERROR(4*STDEVP(終値!AK68:BD68)/AVERAGE(終値!AK68:BD68),""))</f>
        <v>0.22630815124970935</v>
      </c>
      <c r="AI68" s="503">
        <f>IF(終値!A68="","",IFERROR(4*STDEVP(終値!AL68:BE68)/AVERAGE(終値!AL68:BE68),""))</f>
        <v>0.23050550308529974</v>
      </c>
      <c r="AJ68" s="503">
        <f>IF(終値!A68="","",IFERROR(4*STDEVP(終値!AM68:BF68)/AVERAGE(終値!AM68:BF68),""))</f>
        <v>0.2339292652284678</v>
      </c>
      <c r="AK68" s="503">
        <f>IF(終値!A68="","",IFERROR(4*STDEVP(終値!AN68:BG68)/AVERAGE(終値!AN68:BG68),""))</f>
        <v>0.23638053183081559</v>
      </c>
      <c r="AL68" s="503">
        <f>IF(終値!A68="","",IFERROR(4*STDEVP(終値!AO68:BH68)/AVERAGE(終値!AO68:BH68),""))</f>
        <v>0.22137727236443139</v>
      </c>
      <c r="AM68" s="503">
        <f>IF(終値!A68="","",IFERROR(4*STDEVP(終値!AP68:BI68)/AVERAGE(終値!AP68:BI68),""))</f>
        <v>0.19626496557286519</v>
      </c>
      <c r="AN68" s="503">
        <f>IF(終値!A68="","",IFERROR(4*STDEVP(終値!AQ68:BJ68)/AVERAGE(終値!AQ68:BJ68),""))</f>
        <v>0.17407281643942329</v>
      </c>
      <c r="AO68" s="503">
        <f>IF(終値!A68="","",IFERROR(4*STDEVP(終値!AR68:BK68)/AVERAGE(終値!AR68:BK68),""))</f>
        <v>0.15257625328238239</v>
      </c>
      <c r="AP68" s="503">
        <f>IF(終値!A68="","",IFERROR(4*STDEVP(終値!AS68:BL68)/AVERAGE(終値!AS68:BL68),""))</f>
        <v>0.15062926280238156</v>
      </c>
    </row>
    <row r="69" spans="1:42">
      <c r="A69" s="500" t="str">
        <f>IF(終値!A69="","",終値!A69)</f>
        <v>4980</v>
      </c>
      <c r="B69" s="503">
        <f>IF(終値!A69="","",IFERROR(4*STDEVP(終値!E69:X69)/AVERAGE(終値!E69:X69),""))</f>
        <v>0.35492151569335006</v>
      </c>
      <c r="C69" s="503">
        <f>IF(終値!A69="","",IFERROR(4*STDEVP(終値!F69:Y69)/AVERAGE(終値!F69:Y69),""))</f>
        <v>0.37495558958852732</v>
      </c>
      <c r="D69" s="503">
        <f>IF(終値!A69="","",IFERROR(4*STDEVP(終値!G69:Z69)/AVERAGE(終値!G69:Z69),""))</f>
        <v>0.36541614495320057</v>
      </c>
      <c r="E69" s="503">
        <f>IF(終値!A69="","",IFERROR(4*STDEVP(終値!H69:AA69)/AVERAGE(終値!H69:AA69),""))</f>
        <v>0.35690761740074756</v>
      </c>
      <c r="F69" s="503">
        <f>IF(終値!A69="","",IFERROR(4*STDEVP(終値!I69:AB69)/AVERAGE(終値!I69:AB69),""))</f>
        <v>0.32714440348843116</v>
      </c>
      <c r="G69" s="503">
        <f>IF(終値!A69="","",IFERROR(4*STDEVP(終値!J69:AC69)/AVERAGE(終値!J69:AC69),""))</f>
        <v>0.28627171725288258</v>
      </c>
      <c r="H69" s="503">
        <f>IF(終値!A69="","",IFERROR(4*STDEVP(終値!K69:AD69)/AVERAGE(終値!K69:AD69),""))</f>
        <v>0.2718824680449754</v>
      </c>
      <c r="I69" s="503">
        <f>IF(終値!A69="","",IFERROR(4*STDEVP(終値!L69:AE69)/AVERAGE(終値!L69:AE69),""))</f>
        <v>0.33950875685858889</v>
      </c>
      <c r="J69" s="503">
        <f>IF(終値!A69="","",IFERROR(4*STDEVP(終値!M69:AF69)/AVERAGE(終値!M69:AF69),""))</f>
        <v>0.36896498978211262</v>
      </c>
      <c r="K69" s="503">
        <f>IF(終値!A69="","",IFERROR(4*STDEVP(終値!N69:AG69)/AVERAGE(終値!N69:AG69),""))</f>
        <v>0.3815361315670418</v>
      </c>
      <c r="L69" s="503">
        <f>IF(終値!A69="","",IFERROR(4*STDEVP(終値!O69:AH69)/AVERAGE(終値!O69:AH69),""))</f>
        <v>0.39194309511282449</v>
      </c>
      <c r="M69" s="503">
        <f>IF(終値!A69="","",IFERROR(4*STDEVP(終値!P69:AI69)/AVERAGE(終値!P69:AI69),""))</f>
        <v>0.38250085656712379</v>
      </c>
      <c r="N69" s="503">
        <f>IF(終値!A69="","",IFERROR(4*STDEVP(終値!Q69:AJ69)/AVERAGE(終値!Q69:AJ69),""))</f>
        <v>0.34613550386840797</v>
      </c>
      <c r="O69" s="503">
        <f>IF(終値!A69="","",IFERROR(4*STDEVP(終値!R69:AK69)/AVERAGE(終値!R69:AK69),""))</f>
        <v>0.33577476114137966</v>
      </c>
      <c r="P69" s="503">
        <f>IF(終値!A69="","",IFERROR(4*STDEVP(終値!S69:AL69)/AVERAGE(終値!S69:AL69),""))</f>
        <v>0.32120852392987126</v>
      </c>
      <c r="Q69" s="503">
        <f>IF(終値!A69="","",IFERROR(4*STDEVP(終値!T69:AM69)/AVERAGE(終値!T69:AM69),""))</f>
        <v>0.30461690257869245</v>
      </c>
      <c r="R69" s="503">
        <f>IF(終値!A69="","",IFERROR(4*STDEVP(終値!U69:AN69)/AVERAGE(終値!U69:AN69),""))</f>
        <v>0.3106520623532894</v>
      </c>
      <c r="S69" s="503">
        <f>IF(終値!A69="","",IFERROR(4*STDEVP(終値!V69:AO69)/AVERAGE(終値!V69:AO69),""))</f>
        <v>0.32731163966352189</v>
      </c>
      <c r="T69" s="503">
        <f>IF(終値!A69="","",IFERROR(4*STDEVP(終値!W69:AP69)/AVERAGE(終値!W69:AP69),""))</f>
        <v>0.34769819754019493</v>
      </c>
      <c r="U69" s="503">
        <f>IF(終値!A69="","",IFERROR(4*STDEVP(終値!X69:AQ69)/AVERAGE(終値!X69:AQ69),""))</f>
        <v>0.35394409304142821</v>
      </c>
      <c r="V69" s="503">
        <f>IF(終値!A69="","",IFERROR(4*STDEVP(終値!Y69:AR69)/AVERAGE(終値!Y69:AR69),""))</f>
        <v>0.35248141397134269</v>
      </c>
      <c r="W69" s="503">
        <f>IF(終値!A69="","",IFERROR(4*STDEVP(終値!Z69:AS69)/AVERAGE(終値!Z69:AS69),""))</f>
        <v>0.35224791177738707</v>
      </c>
      <c r="X69" s="503">
        <f>IF(終値!A69="","",IFERROR(4*STDEVP(終値!AA69:AT69)/AVERAGE(終値!AA69:AT69),""))</f>
        <v>0.34489716458199393</v>
      </c>
      <c r="Y69" s="503">
        <f>IF(終値!A69="","",IFERROR(4*STDEVP(終値!AB69:AU69)/AVERAGE(終値!AB69:AU69),""))</f>
        <v>0.34084313842909908</v>
      </c>
      <c r="Z69" s="503">
        <f>IF(終値!A69="","",IFERROR(4*STDEVP(終値!AC69:AV69)/AVERAGE(終値!AC69:AV69),""))</f>
        <v>0.3490186950325197</v>
      </c>
      <c r="AA69" s="503">
        <f>IF(終値!A69="","",IFERROR(4*STDEVP(終値!AD69:AW69)/AVERAGE(終値!AD69:AW69),""))</f>
        <v>0.35773953427431399</v>
      </c>
      <c r="AB69" s="503">
        <f>IF(終値!A69="","",IFERROR(4*STDEVP(終値!AE69:AX69)/AVERAGE(終値!AE69:AX69),""))</f>
        <v>0.36637332522308413</v>
      </c>
      <c r="AC69" s="503">
        <f>IF(終値!A69="","",IFERROR(4*STDEVP(終値!AF69:AY69)/AVERAGE(終値!AF69:AY69),""))</f>
        <v>0.34513788550488961</v>
      </c>
      <c r="AD69" s="503">
        <f>IF(終値!A69="","",IFERROR(4*STDEVP(終値!AG69:AZ69)/AVERAGE(終値!AG69:AZ69),""))</f>
        <v>0.32776625378758073</v>
      </c>
      <c r="AE69" s="503">
        <f>IF(終値!A69="","",IFERROR(4*STDEVP(終値!AH69:BA69)/AVERAGE(終値!AH69:BA69),""))</f>
        <v>0.31383604358400191</v>
      </c>
      <c r="AF69" s="503">
        <f>IF(終値!A69="","",IFERROR(4*STDEVP(終値!AI69:BB69)/AVERAGE(終値!AI69:BB69),""))</f>
        <v>0.30342216921224252</v>
      </c>
      <c r="AG69" s="503">
        <f>IF(終値!A69="","",IFERROR(4*STDEVP(終値!AJ69:BC69)/AVERAGE(終値!AJ69:BC69),""))</f>
        <v>0.28151412976228968</v>
      </c>
      <c r="AH69" s="503">
        <f>IF(終値!A69="","",IFERROR(4*STDEVP(終値!AK69:BD69)/AVERAGE(終値!AK69:BD69),""))</f>
        <v>0.26029838710200259</v>
      </c>
      <c r="AI69" s="503">
        <f>IF(終値!A69="","",IFERROR(4*STDEVP(終値!AL69:BE69)/AVERAGE(終値!AL69:BE69),""))</f>
        <v>0.24909525539194965</v>
      </c>
      <c r="AJ69" s="503">
        <f>IF(終値!A69="","",IFERROR(4*STDEVP(終値!AM69:BF69)/AVERAGE(終値!AM69:BF69),""))</f>
        <v>0.30761448345988607</v>
      </c>
      <c r="AK69" s="503">
        <f>IF(終値!A69="","",IFERROR(4*STDEVP(終値!AN69:BG69)/AVERAGE(終値!AN69:BG69),""))</f>
        <v>0.43329085630511316</v>
      </c>
      <c r="AL69" s="503">
        <f>IF(終値!A69="","",IFERROR(4*STDEVP(終値!AO69:BH69)/AVERAGE(終値!AO69:BH69),""))</f>
        <v>0.52503697454771558</v>
      </c>
      <c r="AM69" s="503">
        <f>IF(終値!A69="","",IFERROR(4*STDEVP(終値!AP69:BI69)/AVERAGE(終値!AP69:BI69),""))</f>
        <v>0.59310468076213918</v>
      </c>
      <c r="AN69" s="503">
        <f>IF(終値!A69="","",IFERROR(4*STDEVP(終値!AQ69:BJ69)/AVERAGE(終値!AQ69:BJ69),""))</f>
        <v>0.65328727808712328</v>
      </c>
      <c r="AO69" s="503">
        <f>IF(終値!A69="","",IFERROR(4*STDEVP(終値!AR69:BK69)/AVERAGE(終値!AR69:BK69),""))</f>
        <v>0.71552635868240755</v>
      </c>
      <c r="AP69" s="503">
        <f>IF(終値!A69="","",IFERROR(4*STDEVP(終値!AS69:BL69)/AVERAGE(終値!AS69:BL69),""))</f>
        <v>0.77299882042216228</v>
      </c>
    </row>
    <row r="70" spans="1:42">
      <c r="A70" s="500" t="str">
        <f>IF(終値!A70="","",終値!A70)</f>
        <v>9424</v>
      </c>
      <c r="B70" s="503">
        <f>IF(終値!A70="","",IFERROR(4*STDEVP(終値!E70:X70)/AVERAGE(終値!E70:X70),""))</f>
        <v>6.56297968395161E-2</v>
      </c>
      <c r="C70" s="503">
        <f>IF(終値!A70="","",IFERROR(4*STDEVP(終値!F70:Y70)/AVERAGE(終値!F70:Y70),""))</f>
        <v>7.437320109378194E-2</v>
      </c>
      <c r="D70" s="503">
        <f>IF(終値!A70="","",IFERROR(4*STDEVP(終値!G70:Z70)/AVERAGE(終値!G70:Z70),""))</f>
        <v>8.2435580195697952E-2</v>
      </c>
      <c r="E70" s="503">
        <f>IF(終値!A70="","",IFERROR(4*STDEVP(終値!H70:AA70)/AVERAGE(終値!H70:AA70),""))</f>
        <v>0.10344035099408967</v>
      </c>
      <c r="F70" s="503">
        <f>IF(終値!A70="","",IFERROR(4*STDEVP(終値!I70:AB70)/AVERAGE(終値!I70:AB70),""))</f>
        <v>0.107289065593132</v>
      </c>
      <c r="G70" s="503">
        <f>IF(終値!A70="","",IFERROR(4*STDEVP(終値!J70:AC70)/AVERAGE(終値!J70:AC70),""))</f>
        <v>0.11109515031075426</v>
      </c>
      <c r="H70" s="503">
        <f>IF(終値!A70="","",IFERROR(4*STDEVP(終値!K70:AD70)/AVERAGE(終値!K70:AD70),""))</f>
        <v>0.11773452480991166</v>
      </c>
      <c r="I70" s="503">
        <f>IF(終値!A70="","",IFERROR(4*STDEVP(終値!L70:AE70)/AVERAGE(終値!L70:AE70),""))</f>
        <v>0.12147816447594376</v>
      </c>
      <c r="J70" s="503">
        <f>IF(終値!A70="","",IFERROR(4*STDEVP(終値!M70:AF70)/AVERAGE(終値!M70:AF70),""))</f>
        <v>0.12304077113353057</v>
      </c>
      <c r="K70" s="503">
        <f>IF(終値!A70="","",IFERROR(4*STDEVP(終値!N70:AG70)/AVERAGE(終値!N70:AG70),""))</f>
        <v>0.12677727040902501</v>
      </c>
      <c r="L70" s="503">
        <f>IF(終値!A70="","",IFERROR(4*STDEVP(終値!O70:AH70)/AVERAGE(終値!O70:AH70),""))</f>
        <v>0.12677727040902501</v>
      </c>
      <c r="M70" s="503">
        <f>IF(終値!A70="","",IFERROR(4*STDEVP(終値!P70:AI70)/AVERAGE(終値!P70:AI70),""))</f>
        <v>0.12339039500348629</v>
      </c>
      <c r="N70" s="503">
        <f>IF(終値!A70="","",IFERROR(4*STDEVP(終値!Q70:AJ70)/AVERAGE(終値!Q70:AJ70),""))</f>
        <v>0.12484848758665434</v>
      </c>
      <c r="O70" s="503">
        <f>IF(終値!A70="","",IFERROR(4*STDEVP(終値!R70:AK70)/AVERAGE(終値!R70:AK70),""))</f>
        <v>0.11532693083854474</v>
      </c>
      <c r="P70" s="503">
        <f>IF(終値!A70="","",IFERROR(4*STDEVP(終値!S70:AL70)/AVERAGE(終値!S70:AL70),""))</f>
        <v>0.11011073985742846</v>
      </c>
      <c r="Q70" s="503">
        <f>IF(終値!A70="","",IFERROR(4*STDEVP(終値!T70:AM70)/AVERAGE(終値!T70:AM70),""))</f>
        <v>0.10240824667634037</v>
      </c>
      <c r="R70" s="503">
        <f>IF(終値!A70="","",IFERROR(4*STDEVP(終値!U70:AN70)/AVERAGE(終値!U70:AN70),""))</f>
        <v>0.10240824667634035</v>
      </c>
      <c r="S70" s="503">
        <f>IF(終値!A70="","",IFERROR(4*STDEVP(終値!V70:AO70)/AVERAGE(終値!V70:AO70),""))</f>
        <v>0.10454060058313383</v>
      </c>
      <c r="T70" s="503">
        <f>IF(終値!A70="","",IFERROR(4*STDEVP(終値!W70:AP70)/AVERAGE(終値!W70:AP70),""))</f>
        <v>0.10832909740983993</v>
      </c>
      <c r="U70" s="503">
        <f>IF(終値!A70="","",IFERROR(4*STDEVP(終値!X70:AQ70)/AVERAGE(終値!X70:AQ70),""))</f>
        <v>0.10949852280365013</v>
      </c>
      <c r="V70" s="503">
        <f>IF(終値!A70="","",IFERROR(4*STDEVP(終値!Y70:AR70)/AVERAGE(終値!Y70:AR70),""))</f>
        <v>0.11714229504930319</v>
      </c>
      <c r="W70" s="503">
        <f>IF(終値!A70="","",IFERROR(4*STDEVP(終値!Z70:AS70)/AVERAGE(終値!Z70:AS70),""))</f>
        <v>0.12059964346437126</v>
      </c>
      <c r="X70" s="503">
        <f>IF(終値!A70="","",IFERROR(4*STDEVP(終値!AA70:AT70)/AVERAGE(終値!AA70:AT70),""))</f>
        <v>0.1214354215995357</v>
      </c>
      <c r="Y70" s="503">
        <f>IF(終値!A70="","",IFERROR(4*STDEVP(終値!AB70:AU70)/AVERAGE(終値!AB70:AU70),""))</f>
        <v>0.1096698967327322</v>
      </c>
      <c r="Z70" s="503">
        <f>IF(終値!A70="","",IFERROR(4*STDEVP(終値!AC70:AV70)/AVERAGE(終値!AC70:AV70),""))</f>
        <v>0.10534200859823303</v>
      </c>
      <c r="AA70" s="503">
        <f>IF(終値!A70="","",IFERROR(4*STDEVP(終値!AD70:AW70)/AVERAGE(終値!AD70:AW70),""))</f>
        <v>0.10212236410690501</v>
      </c>
      <c r="AB70" s="503">
        <f>IF(終値!A70="","",IFERROR(4*STDEVP(終値!AE70:AX70)/AVERAGE(終値!AE70:AX70),""))</f>
        <v>9.3778730911831865E-2</v>
      </c>
      <c r="AC70" s="503">
        <f>IF(終値!A70="","",IFERROR(4*STDEVP(終値!AF70:AY70)/AVERAGE(終値!AF70:AY70),""))</f>
        <v>9.6857356033481362E-2</v>
      </c>
      <c r="AD70" s="503">
        <f>IF(終値!A70="","",IFERROR(4*STDEVP(終値!AG70:AZ70)/AVERAGE(終値!AG70:AZ70),""))</f>
        <v>0.10773069351474396</v>
      </c>
      <c r="AE70" s="503">
        <f>IF(終値!A70="","",IFERROR(4*STDEVP(終値!AH70:BA70)/AVERAGE(終値!AH70:BA70),""))</f>
        <v>9.9290450432030886E-2</v>
      </c>
      <c r="AF70" s="503">
        <f>IF(終値!A70="","",IFERROR(4*STDEVP(終値!AI70:BB70)/AVERAGE(終値!AI70:BB70),""))</f>
        <v>0.10980920005942965</v>
      </c>
      <c r="AG70" s="503">
        <f>IF(終値!A70="","",IFERROR(4*STDEVP(終値!AJ70:BC70)/AVERAGE(終値!AJ70:BC70),""))</f>
        <v>0.12534267332068938</v>
      </c>
      <c r="AH70" s="503">
        <f>IF(終値!A70="","",IFERROR(4*STDEVP(終値!AK70:BD70)/AVERAGE(終値!AK70:BD70),""))</f>
        <v>0.12960446600704828</v>
      </c>
      <c r="AI70" s="503">
        <f>IF(終値!A70="","",IFERROR(4*STDEVP(終値!AL70:BE70)/AVERAGE(終値!AL70:BE70),""))</f>
        <v>0.14094865600652676</v>
      </c>
      <c r="AJ70" s="503">
        <f>IF(終値!A70="","",IFERROR(4*STDEVP(終値!AM70:BF70)/AVERAGE(終値!AM70:BF70),""))</f>
        <v>0.14790172032141558</v>
      </c>
      <c r="AK70" s="503">
        <f>IF(終値!A70="","",IFERROR(4*STDEVP(終値!AN70:BG70)/AVERAGE(終値!AN70:BG70),""))</f>
        <v>0.15334942593559167</v>
      </c>
      <c r="AL70" s="503">
        <f>IF(終値!A70="","",IFERROR(4*STDEVP(終値!AO70:BH70)/AVERAGE(終値!AO70:BH70),""))</f>
        <v>0.15833652066516701</v>
      </c>
      <c r="AM70" s="503">
        <f>IF(終値!A70="","",IFERROR(4*STDEVP(終値!AP70:BI70)/AVERAGE(終値!AP70:BI70),""))</f>
        <v>0.16530512129602634</v>
      </c>
      <c r="AN70" s="503">
        <f>IF(終値!A70="","",IFERROR(4*STDEVP(終値!AQ70:BJ70)/AVERAGE(終値!AQ70:BJ70),""))</f>
        <v>0.16799470891138871</v>
      </c>
      <c r="AO70" s="503">
        <f>IF(終値!A70="","",IFERROR(4*STDEVP(終値!AR70:BK70)/AVERAGE(終値!AR70:BK70),""))</f>
        <v>0.16352396375201608</v>
      </c>
      <c r="AP70" s="503">
        <f>IF(終値!A70="","",IFERROR(4*STDEVP(終値!AS70:BL70)/AVERAGE(終値!AS70:BL70),""))</f>
        <v>0.16318343991259737</v>
      </c>
    </row>
    <row r="71" spans="1:42">
      <c r="A71" s="500" t="str">
        <f>IF(終値!A71="","",終値!A71)</f>
        <v>3854</v>
      </c>
      <c r="B71" s="503">
        <f>IF(終値!A71="","",IFERROR(4*STDEVP(終値!E71:X71)/AVERAGE(終値!E71:X71),""))</f>
        <v>0.13396720922269159</v>
      </c>
      <c r="C71" s="503">
        <f>IF(終値!A71="","",IFERROR(4*STDEVP(終値!F71:Y71)/AVERAGE(終値!F71:Y71),""))</f>
        <v>0.12396097318427626</v>
      </c>
      <c r="D71" s="503">
        <f>IF(終値!A71="","",IFERROR(4*STDEVP(終値!G71:Z71)/AVERAGE(終値!G71:Z71),""))</f>
        <v>0.11997005423603728</v>
      </c>
      <c r="E71" s="503">
        <f>IF(終値!A71="","",IFERROR(4*STDEVP(終値!H71:AA71)/AVERAGE(終値!H71:AA71),""))</f>
        <v>0.12438145022710732</v>
      </c>
      <c r="F71" s="503">
        <f>IF(終値!A71="","",IFERROR(4*STDEVP(終値!I71:AB71)/AVERAGE(終値!I71:AB71),""))</f>
        <v>0.13386469384301186</v>
      </c>
      <c r="G71" s="503">
        <f>IF(終値!A71="","",IFERROR(4*STDEVP(終値!J71:AC71)/AVERAGE(終値!J71:AC71),""))</f>
        <v>0.14398407088318241</v>
      </c>
      <c r="H71" s="503">
        <f>IF(終値!A71="","",IFERROR(4*STDEVP(終値!K71:AD71)/AVERAGE(終値!K71:AD71),""))</f>
        <v>0.15945834988735488</v>
      </c>
      <c r="I71" s="503">
        <f>IF(終値!A71="","",IFERROR(4*STDEVP(終値!L71:AE71)/AVERAGE(終値!L71:AE71),""))</f>
        <v>0.1754862128270934</v>
      </c>
      <c r="J71" s="503">
        <f>IF(終値!A71="","",IFERROR(4*STDEVP(終値!M71:AF71)/AVERAGE(終値!M71:AF71),""))</f>
        <v>0.18306654661455821</v>
      </c>
      <c r="K71" s="503">
        <f>IF(終値!A71="","",IFERROR(4*STDEVP(終値!N71:AG71)/AVERAGE(終値!N71:AG71),""))</f>
        <v>0.19153359691901395</v>
      </c>
      <c r="L71" s="503">
        <f>IF(終値!A71="","",IFERROR(4*STDEVP(終値!O71:AH71)/AVERAGE(終値!O71:AH71),""))</f>
        <v>0.19849579677890825</v>
      </c>
      <c r="M71" s="503">
        <f>IF(終値!A71="","",IFERROR(4*STDEVP(終値!P71:AI71)/AVERAGE(終値!P71:AI71),""))</f>
        <v>0.20345171964862055</v>
      </c>
      <c r="N71" s="503">
        <f>IF(終値!A71="","",IFERROR(4*STDEVP(終値!Q71:AJ71)/AVERAGE(終値!Q71:AJ71),""))</f>
        <v>0.20616464404701579</v>
      </c>
      <c r="O71" s="503">
        <f>IF(終値!A71="","",IFERROR(4*STDEVP(終値!R71:AK71)/AVERAGE(終値!R71:AK71),""))</f>
        <v>0.20494340832392272</v>
      </c>
      <c r="P71" s="503">
        <f>IF(終値!A71="","",IFERROR(4*STDEVP(終値!S71:AL71)/AVERAGE(終値!S71:AL71),""))</f>
        <v>0.20457800175847407</v>
      </c>
      <c r="Q71" s="503">
        <f>IF(終値!A71="","",IFERROR(4*STDEVP(終値!T71:AM71)/AVERAGE(終値!T71:AM71),""))</f>
        <v>0.19645496235591717</v>
      </c>
      <c r="R71" s="503">
        <f>IF(終値!A71="","",IFERROR(4*STDEVP(終値!U71:AN71)/AVERAGE(終値!U71:AN71),""))</f>
        <v>0.18550534255866949</v>
      </c>
      <c r="S71" s="503">
        <f>IF(終値!A71="","",IFERROR(4*STDEVP(終値!V71:AO71)/AVERAGE(終値!V71:AO71),""))</f>
        <v>0.17107976916168338</v>
      </c>
      <c r="T71" s="503">
        <f>IF(終値!A71="","",IFERROR(4*STDEVP(終値!W71:AP71)/AVERAGE(終値!W71:AP71),""))</f>
        <v>0.15842709040459416</v>
      </c>
      <c r="U71" s="503">
        <f>IF(終値!A71="","",IFERROR(4*STDEVP(終値!X71:AQ71)/AVERAGE(終値!X71:AQ71),""))</f>
        <v>0.15435862939084216</v>
      </c>
      <c r="V71" s="503">
        <f>IF(終値!A71="","",IFERROR(4*STDEVP(終値!Y71:AR71)/AVERAGE(終値!Y71:AR71),""))</f>
        <v>0.17970138974938502</v>
      </c>
      <c r="W71" s="503">
        <f>IF(終値!A71="","",IFERROR(4*STDEVP(終値!Z71:AS71)/AVERAGE(終値!Z71:AS71),""))</f>
        <v>0.19855515369610779</v>
      </c>
      <c r="X71" s="503">
        <f>IF(終値!A71="","",IFERROR(4*STDEVP(終値!AA71:AT71)/AVERAGE(終値!AA71:AT71),""))</f>
        <v>0.23913377847707334</v>
      </c>
      <c r="Y71" s="503">
        <f>IF(終値!A71="","",IFERROR(4*STDEVP(終値!AB71:AU71)/AVERAGE(終値!AB71:AU71),""))</f>
        <v>0.27176517050735732</v>
      </c>
      <c r="Z71" s="503">
        <f>IF(終値!A71="","",IFERROR(4*STDEVP(終値!AC71:AV71)/AVERAGE(終値!AC71:AV71),""))</f>
        <v>0.28536606910641787</v>
      </c>
      <c r="AA71" s="503">
        <f>IF(終値!A71="","",IFERROR(4*STDEVP(終値!AD71:AW71)/AVERAGE(終値!AD71:AW71),""))</f>
        <v>0.29626665632109889</v>
      </c>
      <c r="AB71" s="503">
        <f>IF(終値!A71="","",IFERROR(4*STDEVP(終値!AE71:AX71)/AVERAGE(終値!AE71:AX71),""))</f>
        <v>0.29407222405496725</v>
      </c>
      <c r="AC71" s="503">
        <f>IF(終値!A71="","",IFERROR(4*STDEVP(終値!AF71:AY71)/AVERAGE(終値!AF71:AY71),""))</f>
        <v>0.28714671356556576</v>
      </c>
      <c r="AD71" s="503">
        <f>IF(終値!A71="","",IFERROR(4*STDEVP(終値!AG71:AZ71)/AVERAGE(終値!AG71:AZ71),""))</f>
        <v>0.28381023495329422</v>
      </c>
      <c r="AE71" s="503">
        <f>IF(終値!A71="","",IFERROR(4*STDEVP(終値!AH71:BA71)/AVERAGE(終値!AH71:BA71),""))</f>
        <v>0.27049776457923225</v>
      </c>
      <c r="AF71" s="503">
        <f>IF(終値!A71="","",IFERROR(4*STDEVP(終値!AI71:BB71)/AVERAGE(終値!AI71:BB71),""))</f>
        <v>0.25609372973475736</v>
      </c>
      <c r="AG71" s="503">
        <f>IF(終値!A71="","",IFERROR(4*STDEVP(終値!AJ71:BC71)/AVERAGE(終値!AJ71:BC71),""))</f>
        <v>0.24051322822573876</v>
      </c>
      <c r="AH71" s="503">
        <f>IF(終値!A71="","",IFERROR(4*STDEVP(終値!AK71:BD71)/AVERAGE(終値!AK71:BD71),""))</f>
        <v>0.2236786323030143</v>
      </c>
      <c r="AI71" s="503">
        <f>IF(終値!A71="","",IFERROR(4*STDEVP(終値!AL71:BE71)/AVERAGE(終値!AL71:BE71),""))</f>
        <v>0.20640478535709816</v>
      </c>
      <c r="AJ71" s="503">
        <f>IF(終値!A71="","",IFERROR(4*STDEVP(終値!AM71:BF71)/AVERAGE(終値!AM71:BF71),""))</f>
        <v>0.18831906825678435</v>
      </c>
      <c r="AK71" s="503">
        <f>IF(終値!A71="","",IFERROR(4*STDEVP(終値!AN71:BG71)/AVERAGE(終値!AN71:BG71),""))</f>
        <v>0.16554251540462936</v>
      </c>
      <c r="AL71" s="503">
        <f>IF(終値!A71="","",IFERROR(4*STDEVP(終値!AO71:BH71)/AVERAGE(終値!AO71:BH71),""))</f>
        <v>0.14303967460564432</v>
      </c>
      <c r="AM71" s="503">
        <f>IF(終値!A71="","",IFERROR(4*STDEVP(終値!AP71:BI71)/AVERAGE(終値!AP71:BI71),""))</f>
        <v>0.13841898678577197</v>
      </c>
      <c r="AN71" s="503">
        <f>IF(終値!A71="","",IFERROR(4*STDEVP(終値!AQ71:BJ71)/AVERAGE(終値!AQ71:BJ71),""))</f>
        <v>0.13813653565429992</v>
      </c>
      <c r="AO71" s="503">
        <f>IF(終値!A71="","",IFERROR(4*STDEVP(終値!AR71:BK71)/AVERAGE(終値!AR71:BK71),""))</f>
        <v>0.1421327505054604</v>
      </c>
      <c r="AP71" s="503">
        <f>IF(終値!A71="","",IFERROR(4*STDEVP(終値!AS71:BL71)/AVERAGE(終値!AS71:BL71),""))</f>
        <v>0.14848255186749076</v>
      </c>
    </row>
    <row r="72" spans="1:42">
      <c r="A72" s="500" t="str">
        <f>IF(終値!A72="","",終値!A72)</f>
        <v>6027</v>
      </c>
      <c r="B72" s="503">
        <f>IF(終値!A72="","",IFERROR(4*STDEVP(終値!E72:X72)/AVERAGE(終値!E72:X72),""))</f>
        <v>0.10850143311130261</v>
      </c>
      <c r="C72" s="503">
        <f>IF(終値!A72="","",IFERROR(4*STDEVP(終値!F72:Y72)/AVERAGE(終値!F72:Y72),""))</f>
        <v>0.10915928594533422</v>
      </c>
      <c r="D72" s="503">
        <f>IF(終値!A72="","",IFERROR(4*STDEVP(終値!G72:Z72)/AVERAGE(終値!G72:Z72),""))</f>
        <v>0.11415028950541538</v>
      </c>
      <c r="E72" s="503">
        <f>IF(終値!A72="","",IFERROR(4*STDEVP(終値!H72:AA72)/AVERAGE(終値!H72:AA72),""))</f>
        <v>0.11515290276590101</v>
      </c>
      <c r="F72" s="503">
        <f>IF(終値!A72="","",IFERROR(4*STDEVP(終値!I72:AB72)/AVERAGE(終値!I72:AB72),""))</f>
        <v>0.11937157312640452</v>
      </c>
      <c r="G72" s="503">
        <f>IF(終値!A72="","",IFERROR(4*STDEVP(終値!J72:AC72)/AVERAGE(終値!J72:AC72),""))</f>
        <v>0.11957121838275318</v>
      </c>
      <c r="H72" s="503">
        <f>IF(終値!A72="","",IFERROR(4*STDEVP(終値!K72:AD72)/AVERAGE(終値!K72:AD72),""))</f>
        <v>0.16212133384153071</v>
      </c>
      <c r="I72" s="503">
        <f>IF(終値!A72="","",IFERROR(4*STDEVP(終値!L72:AE72)/AVERAGE(終値!L72:AE72),""))</f>
        <v>0.20402948487662609</v>
      </c>
      <c r="J72" s="503">
        <f>IF(終値!A72="","",IFERROR(4*STDEVP(終値!M72:AF72)/AVERAGE(終値!M72:AF72),""))</f>
        <v>0.22188701813662781</v>
      </c>
      <c r="K72" s="503">
        <f>IF(終値!A72="","",IFERROR(4*STDEVP(終値!N72:AG72)/AVERAGE(終値!N72:AG72),""))</f>
        <v>0.23681627804801594</v>
      </c>
      <c r="L72" s="503">
        <f>IF(終値!A72="","",IFERROR(4*STDEVP(終値!O72:AH72)/AVERAGE(終値!O72:AH72),""))</f>
        <v>0.24080799404669578</v>
      </c>
      <c r="M72" s="503">
        <f>IF(終値!A72="","",IFERROR(4*STDEVP(終値!P72:AI72)/AVERAGE(終値!P72:AI72),""))</f>
        <v>0.24237214628930154</v>
      </c>
      <c r="N72" s="503">
        <f>IF(終値!A72="","",IFERROR(4*STDEVP(終値!Q72:AJ72)/AVERAGE(終値!Q72:AJ72),""))</f>
        <v>0.24862853463106127</v>
      </c>
      <c r="O72" s="503">
        <f>IF(終値!A72="","",IFERROR(4*STDEVP(終値!R72:AK72)/AVERAGE(終値!R72:AK72),""))</f>
        <v>0.25236489650075566</v>
      </c>
      <c r="P72" s="503">
        <f>IF(終値!A72="","",IFERROR(4*STDEVP(終値!S72:AL72)/AVERAGE(終値!S72:AL72),""))</f>
        <v>0.25513085871554037</v>
      </c>
      <c r="Q72" s="503">
        <f>IF(終値!A72="","",IFERROR(4*STDEVP(終値!T72:AM72)/AVERAGE(終値!T72:AM72),""))</f>
        <v>0.26165428610187647</v>
      </c>
      <c r="R72" s="503">
        <f>IF(終値!A72="","",IFERROR(4*STDEVP(終値!U72:AN72)/AVERAGE(終値!U72:AN72),""))</f>
        <v>0.2623980541033813</v>
      </c>
      <c r="S72" s="503">
        <f>IF(終値!A72="","",IFERROR(4*STDEVP(終値!V72:AO72)/AVERAGE(終値!V72:AO72),""))</f>
        <v>0.26347637488725573</v>
      </c>
      <c r="T72" s="503">
        <f>IF(終値!A72="","",IFERROR(4*STDEVP(終値!W72:AP72)/AVERAGE(終値!W72:AP72),""))</f>
        <v>0.24963639261683171</v>
      </c>
      <c r="U72" s="503">
        <f>IF(終値!A72="","",IFERROR(4*STDEVP(終値!X72:AQ72)/AVERAGE(終値!X72:AQ72),""))</f>
        <v>0.23539301890774569</v>
      </c>
      <c r="V72" s="503">
        <f>IF(終値!A72="","",IFERROR(4*STDEVP(終値!Y72:AR72)/AVERAGE(終値!Y72:AR72),""))</f>
        <v>0.22216407421573109</v>
      </c>
      <c r="W72" s="503">
        <f>IF(終値!A72="","",IFERROR(4*STDEVP(終値!Z72:AS72)/AVERAGE(終値!Z72:AS72),""))</f>
        <v>0.20699749193095332</v>
      </c>
      <c r="X72" s="503">
        <f>IF(終値!A72="","",IFERROR(4*STDEVP(終値!AA72:AT72)/AVERAGE(終値!AA72:AT72),""))</f>
        <v>0.17876268700826331</v>
      </c>
      <c r="Y72" s="503">
        <f>IF(終値!A72="","",IFERROR(4*STDEVP(終値!AB72:AU72)/AVERAGE(終値!AB72:AU72),""))</f>
        <v>0.161473499799211</v>
      </c>
      <c r="Z72" s="503">
        <f>IF(終値!A72="","",IFERROR(4*STDEVP(終値!AC72:AV72)/AVERAGE(終値!AC72:AV72),""))</f>
        <v>0.18404332422585948</v>
      </c>
      <c r="AA72" s="503">
        <f>IF(終値!A72="","",IFERROR(4*STDEVP(終値!AD72:AW72)/AVERAGE(終値!AD72:AW72),""))</f>
        <v>0.20873150546662123</v>
      </c>
      <c r="AB72" s="503">
        <f>IF(終値!A72="","",IFERROR(4*STDEVP(終値!AE72:AX72)/AVERAGE(終値!AE72:AX72),""))</f>
        <v>0.22690255930296202</v>
      </c>
      <c r="AC72" s="503">
        <f>IF(終値!A72="","",IFERROR(4*STDEVP(終値!AF72:AY72)/AVERAGE(終値!AF72:AY72),""))</f>
        <v>0.25103089849651333</v>
      </c>
      <c r="AD72" s="503">
        <f>IF(終値!A72="","",IFERROR(4*STDEVP(終値!AG72:AZ72)/AVERAGE(終値!AG72:AZ72),""))</f>
        <v>0.26735726654505415</v>
      </c>
      <c r="AE72" s="503">
        <f>IF(終値!A72="","",IFERROR(4*STDEVP(終値!AH72:BA72)/AVERAGE(終値!AH72:BA72),""))</f>
        <v>0.28090662569609604</v>
      </c>
      <c r="AF72" s="503">
        <f>IF(終値!A72="","",IFERROR(4*STDEVP(終値!AI72:BB72)/AVERAGE(終値!AI72:BB72),""))</f>
        <v>0.29811456603569109</v>
      </c>
      <c r="AG72" s="503">
        <f>IF(終値!A72="","",IFERROR(4*STDEVP(終値!AJ72:BC72)/AVERAGE(終値!AJ72:BC72),""))</f>
        <v>0.34178784916477239</v>
      </c>
      <c r="AH72" s="503">
        <f>IF(終値!A72="","",IFERROR(4*STDEVP(終値!AK72:BD72)/AVERAGE(終値!AK72:BD72),""))</f>
        <v>0.3659869712982175</v>
      </c>
      <c r="AI72" s="503">
        <f>IF(終値!A72="","",IFERROR(4*STDEVP(終値!AL72:BE72)/AVERAGE(終値!AL72:BE72),""))</f>
        <v>0.37307460196066466</v>
      </c>
      <c r="AJ72" s="503">
        <f>IF(終値!A72="","",IFERROR(4*STDEVP(終値!AM72:BF72)/AVERAGE(終値!AM72:BF72),""))</f>
        <v>0.37466499205119663</v>
      </c>
      <c r="AK72" s="503">
        <f>IF(終値!A72="","",IFERROR(4*STDEVP(終値!AN72:BG72)/AVERAGE(終値!AN72:BG72),""))</f>
        <v>0.3640339959909043</v>
      </c>
      <c r="AL72" s="503">
        <f>IF(終値!A72="","",IFERROR(4*STDEVP(終値!AO72:BH72)/AVERAGE(終値!AO72:BH72),""))</f>
        <v>0.34419139560737755</v>
      </c>
      <c r="AM72" s="503">
        <f>IF(終値!A72="","",IFERROR(4*STDEVP(終値!AP72:BI72)/AVERAGE(終値!AP72:BI72),""))</f>
        <v>0.32277767373687838</v>
      </c>
      <c r="AN72" s="503">
        <f>IF(終値!A72="","",IFERROR(4*STDEVP(終値!AQ72:BJ72)/AVERAGE(終値!AQ72:BJ72),""))</f>
        <v>0.30233284818743938</v>
      </c>
      <c r="AO72" s="503">
        <f>IF(終値!A72="","",IFERROR(4*STDEVP(終値!AR72:BK72)/AVERAGE(終値!AR72:BK72),""))</f>
        <v>0.27891643811413835</v>
      </c>
      <c r="AP72" s="503">
        <f>IF(終値!A72="","",IFERROR(4*STDEVP(終値!AS72:BL72)/AVERAGE(終値!AS72:BL72),""))</f>
        <v>0.26095572739972928</v>
      </c>
    </row>
    <row r="73" spans="1:42">
      <c r="A73" s="500" t="str">
        <f>IF(終値!A73="","",終値!A73)</f>
        <v>7806</v>
      </c>
      <c r="B73" s="503">
        <f>IF(終値!A73="","",IFERROR(4*STDEVP(終値!E73:X73)/AVERAGE(終値!E73:X73),""))</f>
        <v>0.14566153806646487</v>
      </c>
      <c r="C73" s="503">
        <f>IF(終値!A73="","",IFERROR(4*STDEVP(終値!F73:Y73)/AVERAGE(終値!F73:Y73),""))</f>
        <v>0.15139131980780252</v>
      </c>
      <c r="D73" s="503">
        <f>IF(終値!A73="","",IFERROR(4*STDEVP(終値!G73:Z73)/AVERAGE(終値!G73:Z73),""))</f>
        <v>0.15219478403795259</v>
      </c>
      <c r="E73" s="503">
        <f>IF(終値!A73="","",IFERROR(4*STDEVP(終値!H73:AA73)/AVERAGE(終値!H73:AA73),""))</f>
        <v>0.15311643037020842</v>
      </c>
      <c r="F73" s="503">
        <f>IF(終値!A73="","",IFERROR(4*STDEVP(終値!I73:AB73)/AVERAGE(終値!I73:AB73),""))</f>
        <v>0.14378662904354722</v>
      </c>
      <c r="G73" s="503">
        <f>IF(終値!A73="","",IFERROR(4*STDEVP(終値!J73:AC73)/AVERAGE(終値!J73:AC73),""))</f>
        <v>0.13970550251695826</v>
      </c>
      <c r="H73" s="503">
        <f>IF(終値!A73="","",IFERROR(4*STDEVP(終値!K73:AD73)/AVERAGE(終値!K73:AD73),""))</f>
        <v>0.14723836789850761</v>
      </c>
      <c r="I73" s="503">
        <f>IF(終値!A73="","",IFERROR(4*STDEVP(終値!L73:AE73)/AVERAGE(終値!L73:AE73),""))</f>
        <v>0.14904425777809899</v>
      </c>
      <c r="J73" s="503">
        <f>IF(終値!A73="","",IFERROR(4*STDEVP(終値!M73:AF73)/AVERAGE(終値!M73:AF73),""))</f>
        <v>0.15259830600257479</v>
      </c>
      <c r="K73" s="503">
        <f>IF(終値!A73="","",IFERROR(4*STDEVP(終値!N73:AG73)/AVERAGE(終値!N73:AG73),""))</f>
        <v>0.15544875970748742</v>
      </c>
      <c r="L73" s="503">
        <f>IF(終値!A73="","",IFERROR(4*STDEVP(終値!O73:AH73)/AVERAGE(終値!O73:AH73),""))</f>
        <v>0.15547767887780489</v>
      </c>
      <c r="M73" s="503">
        <f>IF(終値!A73="","",IFERROR(4*STDEVP(終値!P73:AI73)/AVERAGE(終値!P73:AI73),""))</f>
        <v>0.1521223961122127</v>
      </c>
      <c r="N73" s="503">
        <f>IF(終値!A73="","",IFERROR(4*STDEVP(終値!Q73:AJ73)/AVERAGE(終値!Q73:AJ73),""))</f>
        <v>0.15076339887294313</v>
      </c>
      <c r="O73" s="503">
        <f>IF(終値!A73="","",IFERROR(4*STDEVP(終値!R73:AK73)/AVERAGE(終値!R73:AK73),""))</f>
        <v>0.15511860729408428</v>
      </c>
      <c r="P73" s="503">
        <f>IF(終値!A73="","",IFERROR(4*STDEVP(終値!S73:AL73)/AVERAGE(終値!S73:AL73),""))</f>
        <v>0.15736742660226405</v>
      </c>
      <c r="Q73" s="503">
        <f>IF(終値!A73="","",IFERROR(4*STDEVP(終値!T73:AM73)/AVERAGE(終値!T73:AM73),""))</f>
        <v>0.1636318929183167</v>
      </c>
      <c r="R73" s="503">
        <f>IF(終値!A73="","",IFERROR(4*STDEVP(終値!U73:AN73)/AVERAGE(終値!U73:AN73),""))</f>
        <v>0.17537034579167998</v>
      </c>
      <c r="S73" s="503">
        <f>IF(終値!A73="","",IFERROR(4*STDEVP(終値!V73:AO73)/AVERAGE(終値!V73:AO73),""))</f>
        <v>0.18241129453583146</v>
      </c>
      <c r="T73" s="503">
        <f>IF(終値!A73="","",IFERROR(4*STDEVP(終値!W73:AP73)/AVERAGE(終値!W73:AP73),""))</f>
        <v>0.18098743079427596</v>
      </c>
      <c r="U73" s="503">
        <f>IF(終値!A73="","",IFERROR(4*STDEVP(終値!X73:AQ73)/AVERAGE(終値!X73:AQ73),""))</f>
        <v>0.18551158506165744</v>
      </c>
      <c r="V73" s="503">
        <f>IF(終値!A73="","",IFERROR(4*STDEVP(終値!Y73:AR73)/AVERAGE(終値!Y73:AR73),""))</f>
        <v>0.17921179678084481</v>
      </c>
      <c r="W73" s="503">
        <f>IF(終値!A73="","",IFERROR(4*STDEVP(終値!Z73:AS73)/AVERAGE(終値!Z73:AS73),""))</f>
        <v>0.17228654342900332</v>
      </c>
      <c r="X73" s="503">
        <f>IF(終値!A73="","",IFERROR(4*STDEVP(終値!AA73:AT73)/AVERAGE(終値!AA73:AT73),""))</f>
        <v>0.15768170688656935</v>
      </c>
      <c r="Y73" s="503">
        <f>IF(終値!A73="","",IFERROR(4*STDEVP(終値!AB73:AU73)/AVERAGE(終値!AB73:AU73),""))</f>
        <v>0.15944747912906407</v>
      </c>
      <c r="Z73" s="503">
        <f>IF(終値!A73="","",IFERROR(4*STDEVP(終値!AC73:AV73)/AVERAGE(終値!AC73:AV73),""))</f>
        <v>0.16035626549000662</v>
      </c>
      <c r="AA73" s="503">
        <f>IF(終値!A73="","",IFERROR(4*STDEVP(終値!AD73:AW73)/AVERAGE(終値!AD73:AW73),""))</f>
        <v>0.16053844609953438</v>
      </c>
      <c r="AB73" s="503">
        <f>IF(終値!A73="","",IFERROR(4*STDEVP(終値!AE73:AX73)/AVERAGE(終値!AE73:AX73),""))</f>
        <v>0.16341433638602457</v>
      </c>
      <c r="AC73" s="503">
        <f>IF(終値!A73="","",IFERROR(4*STDEVP(終値!AF73:AY73)/AVERAGE(終値!AF73:AY73),""))</f>
        <v>0.18954457637253272</v>
      </c>
      <c r="AD73" s="503">
        <f>IF(終値!A73="","",IFERROR(4*STDEVP(終値!AG73:AZ73)/AVERAGE(終値!AG73:AZ73),""))</f>
        <v>0.22086462599368048</v>
      </c>
      <c r="AE73" s="503">
        <f>IF(終値!A73="","",IFERROR(4*STDEVP(終値!AH73:BA73)/AVERAGE(終値!AH73:BA73),""))</f>
        <v>0.23552507468788556</v>
      </c>
      <c r="AF73" s="503">
        <f>IF(終値!A73="","",IFERROR(4*STDEVP(終値!AI73:BB73)/AVERAGE(終値!AI73:BB73),""))</f>
        <v>0.23653255964906969</v>
      </c>
      <c r="AG73" s="503">
        <f>IF(終値!A73="","",IFERROR(4*STDEVP(終値!AJ73:BC73)/AVERAGE(終値!AJ73:BC73),""))</f>
        <v>0.22608616549034422</v>
      </c>
      <c r="AH73" s="503">
        <f>IF(終値!A73="","",IFERROR(4*STDEVP(終値!AK73:BD73)/AVERAGE(終値!AK73:BD73),""))</f>
        <v>0.22213993869803622</v>
      </c>
      <c r="AI73" s="503">
        <f>IF(終値!A73="","",IFERROR(4*STDEVP(終値!AL73:BE73)/AVERAGE(終値!AL73:BE73),""))</f>
        <v>0.21614099588521624</v>
      </c>
      <c r="AJ73" s="503">
        <f>IF(終値!A73="","",IFERROR(4*STDEVP(終値!AM73:BF73)/AVERAGE(終値!AM73:BF73),""))</f>
        <v>0.21387371245025633</v>
      </c>
      <c r="AK73" s="503">
        <f>IF(終値!A73="","",IFERROR(4*STDEVP(終値!AN73:BG73)/AVERAGE(終値!AN73:BG73),""))</f>
        <v>0.21208074292464552</v>
      </c>
      <c r="AL73" s="503">
        <f>IF(終値!A73="","",IFERROR(4*STDEVP(終値!AO73:BH73)/AVERAGE(終値!AO73:BH73),""))</f>
        <v>0.21191171367921988</v>
      </c>
      <c r="AM73" s="503">
        <f>IF(終値!A73="","",IFERROR(4*STDEVP(終値!AP73:BI73)/AVERAGE(終値!AP73:BI73),""))</f>
        <v>0.21055580711684657</v>
      </c>
      <c r="AN73" s="503">
        <f>IF(終値!A73="","",IFERROR(4*STDEVP(終値!AQ73:BJ73)/AVERAGE(終値!AQ73:BJ73),""))</f>
        <v>0.2174467704385592</v>
      </c>
      <c r="AO73" s="503">
        <f>IF(終値!A73="","",IFERROR(4*STDEVP(終値!AR73:BK73)/AVERAGE(終値!AR73:BK73),""))</f>
        <v>0.22365094251959611</v>
      </c>
      <c r="AP73" s="503">
        <f>IF(終値!A73="","",IFERROR(4*STDEVP(終値!AS73:BL73)/AVERAGE(終値!AS73:BL73),""))</f>
        <v>0.23816516515915065</v>
      </c>
    </row>
    <row r="74" spans="1:42">
      <c r="A74" s="500" t="str">
        <f>IF(終値!A74="","",終値!A74)</f>
        <v>9202</v>
      </c>
      <c r="B74" s="503">
        <f>IF(終値!A74="","",IFERROR(4*STDEVP(終値!E74:X74)/AVERAGE(終値!E74:X74),""))</f>
        <v>9.2629395451910818E-2</v>
      </c>
      <c r="C74" s="503">
        <f>IF(終値!A74="","",IFERROR(4*STDEVP(終値!F74:Y74)/AVERAGE(終値!F74:Y74),""))</f>
        <v>9.4025679180948146E-2</v>
      </c>
      <c r="D74" s="503">
        <f>IF(終値!A74="","",IFERROR(4*STDEVP(終値!G74:Z74)/AVERAGE(終値!G74:Z74),""))</f>
        <v>9.299795123110155E-2</v>
      </c>
      <c r="E74" s="503">
        <f>IF(終値!A74="","",IFERROR(4*STDEVP(終値!H74:AA74)/AVERAGE(終値!H74:AA74),""))</f>
        <v>9.8623792443561537E-2</v>
      </c>
      <c r="F74" s="503">
        <f>IF(終値!A74="","",IFERROR(4*STDEVP(終値!I74:AB74)/AVERAGE(終値!I74:AB74),""))</f>
        <v>9.9764409510814292E-2</v>
      </c>
      <c r="G74" s="503">
        <f>IF(終値!A74="","",IFERROR(4*STDEVP(終値!J74:AC74)/AVERAGE(終値!J74:AC74),""))</f>
        <v>8.915939550974579E-2</v>
      </c>
      <c r="H74" s="503">
        <f>IF(終値!A74="","",IFERROR(4*STDEVP(終値!K74:AD74)/AVERAGE(終値!K74:AD74),""))</f>
        <v>8.6135813517478288E-2</v>
      </c>
      <c r="I74" s="503">
        <f>IF(終値!A74="","",IFERROR(4*STDEVP(終値!L74:AE74)/AVERAGE(終値!L74:AE74),""))</f>
        <v>8.6649947184513895E-2</v>
      </c>
      <c r="J74" s="503">
        <f>IF(終値!A74="","",IFERROR(4*STDEVP(終値!M74:AF74)/AVERAGE(終値!M74:AF74),""))</f>
        <v>8.6561335497352829E-2</v>
      </c>
      <c r="K74" s="503">
        <f>IF(終値!A74="","",IFERROR(4*STDEVP(終値!N74:AG74)/AVERAGE(終値!N74:AG74),""))</f>
        <v>9.2356557020846941E-2</v>
      </c>
      <c r="L74" s="503">
        <f>IF(終値!A74="","",IFERROR(4*STDEVP(終値!O74:AH74)/AVERAGE(終値!O74:AH74),""))</f>
        <v>9.6636567338139245E-2</v>
      </c>
      <c r="M74" s="503">
        <f>IF(終値!A74="","",IFERROR(4*STDEVP(終値!P74:AI74)/AVERAGE(終値!P74:AI74),""))</f>
        <v>9.8621906694331324E-2</v>
      </c>
      <c r="N74" s="503">
        <f>IF(終値!A74="","",IFERROR(4*STDEVP(終値!Q74:AJ74)/AVERAGE(終値!Q74:AJ74),""))</f>
        <v>9.9071873198637153E-2</v>
      </c>
      <c r="O74" s="503">
        <f>IF(終値!A74="","",IFERROR(4*STDEVP(終値!R74:AK74)/AVERAGE(終値!R74:AK74),""))</f>
        <v>9.8831782631471493E-2</v>
      </c>
      <c r="P74" s="503">
        <f>IF(終値!A74="","",IFERROR(4*STDEVP(終値!S74:AL74)/AVERAGE(終値!S74:AL74),""))</f>
        <v>9.8831782631471493E-2</v>
      </c>
      <c r="Q74" s="503">
        <f>IF(終値!A74="","",IFERROR(4*STDEVP(終値!T74:AM74)/AVERAGE(終値!T74:AM74),""))</f>
        <v>9.8902333994264541E-2</v>
      </c>
      <c r="R74" s="503">
        <f>IF(終値!A74="","",IFERROR(4*STDEVP(終値!U74:AN74)/AVERAGE(終値!U74:AN74),""))</f>
        <v>0.11305034101097008</v>
      </c>
      <c r="S74" s="503">
        <f>IF(終値!A74="","",IFERROR(4*STDEVP(終値!V74:AO74)/AVERAGE(終値!V74:AO74),""))</f>
        <v>0.12855557893773725</v>
      </c>
      <c r="T74" s="503">
        <f>IF(終値!A74="","",IFERROR(4*STDEVP(終値!W74:AP74)/AVERAGE(終値!W74:AP74),""))</f>
        <v>0.13370755940082676</v>
      </c>
      <c r="U74" s="503">
        <f>IF(終値!A74="","",IFERROR(4*STDEVP(終値!X74:AQ74)/AVERAGE(終値!X74:AQ74),""))</f>
        <v>0.13435653640016582</v>
      </c>
      <c r="V74" s="503">
        <f>IF(終値!A74="","",IFERROR(4*STDEVP(終値!Y74:AR74)/AVERAGE(終値!Y74:AR74),""))</f>
        <v>0.1238635898231681</v>
      </c>
      <c r="W74" s="503">
        <f>IF(終値!A74="","",IFERROR(4*STDEVP(終値!Z74:AS74)/AVERAGE(終値!Z74:AS74),""))</f>
        <v>0.11677649606022933</v>
      </c>
      <c r="X74" s="503">
        <f>IF(終値!A74="","",IFERROR(4*STDEVP(終値!AA74:AT74)/AVERAGE(終値!AA74:AT74),""))</f>
        <v>0.1122598726167785</v>
      </c>
      <c r="Y74" s="503">
        <f>IF(終値!A74="","",IFERROR(4*STDEVP(終値!AB74:AU74)/AVERAGE(終値!AB74:AU74),""))</f>
        <v>0.11446266422208543</v>
      </c>
      <c r="Z74" s="503">
        <f>IF(終値!A74="","",IFERROR(4*STDEVP(終値!AC74:AV74)/AVERAGE(終値!AC74:AV74),""))</f>
        <v>0.11538354946908908</v>
      </c>
      <c r="AA74" s="503">
        <f>IF(終値!A74="","",IFERROR(4*STDEVP(終値!AD74:AW74)/AVERAGE(終値!AD74:AW74),""))</f>
        <v>0.11337568685264347</v>
      </c>
      <c r="AB74" s="503">
        <f>IF(終値!A74="","",IFERROR(4*STDEVP(終値!AE74:AX74)/AVERAGE(終値!AE74:AX74),""))</f>
        <v>0.11076814202484668</v>
      </c>
      <c r="AC74" s="503">
        <f>IF(終値!A74="","",IFERROR(4*STDEVP(終値!AF74:AY74)/AVERAGE(終値!AF74:AY74),""))</f>
        <v>0.10830972079950595</v>
      </c>
      <c r="AD74" s="503">
        <f>IF(終値!A74="","",IFERROR(4*STDEVP(終値!AG74:AZ74)/AVERAGE(終値!AG74:AZ74),""))</f>
        <v>0.11320904453240738</v>
      </c>
      <c r="AE74" s="503">
        <f>IF(終値!A74="","",IFERROR(4*STDEVP(終値!AH74:BA74)/AVERAGE(終値!AH74:BA74),""))</f>
        <v>0.1179090336160229</v>
      </c>
      <c r="AF74" s="503">
        <f>IF(終値!A74="","",IFERROR(4*STDEVP(終値!AI74:BB74)/AVERAGE(終値!AI74:BB74),""))</f>
        <v>0.12816972379332298</v>
      </c>
      <c r="AG74" s="503">
        <f>IF(終値!A74="","",IFERROR(4*STDEVP(終値!AJ74:BC74)/AVERAGE(終値!AJ74:BC74),""))</f>
        <v>0.13170809091214086</v>
      </c>
      <c r="AH74" s="503">
        <f>IF(終値!A74="","",IFERROR(4*STDEVP(終値!AK74:BD74)/AVERAGE(終値!AK74:BD74),""))</f>
        <v>0.13311116837521114</v>
      </c>
      <c r="AI74" s="503">
        <f>IF(終値!A74="","",IFERROR(4*STDEVP(終値!AL74:BE74)/AVERAGE(終値!AL74:BE74),""))</f>
        <v>0.12425805258900409</v>
      </c>
      <c r="AJ74" s="503">
        <f>IF(終値!A74="","",IFERROR(4*STDEVP(終値!AM74:BF74)/AVERAGE(終値!AM74:BF74),""))</f>
        <v>0.10734371276284101</v>
      </c>
      <c r="AK74" s="503">
        <f>IF(終値!A74="","",IFERROR(4*STDEVP(終値!AN74:BG74)/AVERAGE(終値!AN74:BG74),""))</f>
        <v>9.0682283879903819E-2</v>
      </c>
      <c r="AL74" s="503">
        <f>IF(終値!A74="","",IFERROR(4*STDEVP(終値!AO74:BH74)/AVERAGE(終値!AO74:BH74),""))</f>
        <v>9.0617714338333225E-2</v>
      </c>
      <c r="AM74" s="503">
        <f>IF(終値!A74="","",IFERROR(4*STDEVP(終値!AP74:BI74)/AVERAGE(終値!AP74:BI74),""))</f>
        <v>9.0726397184837645E-2</v>
      </c>
      <c r="AN74" s="503">
        <f>IF(終値!A74="","",IFERROR(4*STDEVP(終値!AQ74:BJ74)/AVERAGE(終値!AQ74:BJ74),""))</f>
        <v>9.1011547068928333E-2</v>
      </c>
      <c r="AO74" s="503">
        <f>IF(終値!A74="","",IFERROR(4*STDEVP(終値!AR74:BK74)/AVERAGE(終値!AR74:BK74),""))</f>
        <v>9.1488389056130479E-2</v>
      </c>
      <c r="AP74" s="503">
        <f>IF(終値!A74="","",IFERROR(4*STDEVP(終値!AS74:BL74)/AVERAGE(終値!AS74:BL74),""))</f>
        <v>9.6869467892768665E-2</v>
      </c>
    </row>
    <row r="75" spans="1:42">
      <c r="A75" s="500" t="str">
        <f>IF(終値!A75="","",終値!A75)</f>
        <v>7846</v>
      </c>
      <c r="B75" s="503" t="str">
        <f>IF(終値!A75="","",IFERROR(4*STDEVP(終値!E75:X75)/AVERAGE(終値!E75:X75),""))</f>
        <v/>
      </c>
      <c r="C75" s="503" t="str">
        <f>IF(終値!A75="","",IFERROR(4*STDEVP(終値!F75:Y75)/AVERAGE(終値!F75:Y75),""))</f>
        <v/>
      </c>
      <c r="D75" s="503" t="str">
        <f>IF(終値!A75="","",IFERROR(4*STDEVP(終値!G75:Z75)/AVERAGE(終値!G75:Z75),""))</f>
        <v/>
      </c>
      <c r="E75" s="503" t="str">
        <f>IF(終値!A75="","",IFERROR(4*STDEVP(終値!H75:AA75)/AVERAGE(終値!H75:AA75),""))</f>
        <v/>
      </c>
      <c r="F75" s="503" t="str">
        <f>IF(終値!A75="","",IFERROR(4*STDEVP(終値!I75:AB75)/AVERAGE(終値!I75:AB75),""))</f>
        <v/>
      </c>
      <c r="G75" s="503" t="str">
        <f>IF(終値!A75="","",IFERROR(4*STDEVP(終値!J75:AC75)/AVERAGE(終値!J75:AC75),""))</f>
        <v/>
      </c>
      <c r="H75" s="503" t="str">
        <f>IF(終値!A75="","",IFERROR(4*STDEVP(終値!K75:AD75)/AVERAGE(終値!K75:AD75),""))</f>
        <v/>
      </c>
      <c r="I75" s="503" t="str">
        <f>IF(終値!A75="","",IFERROR(4*STDEVP(終値!L75:AE75)/AVERAGE(終値!L75:AE75),""))</f>
        <v/>
      </c>
      <c r="J75" s="503" t="str">
        <f>IF(終値!A75="","",IFERROR(4*STDEVP(終値!M75:AF75)/AVERAGE(終値!M75:AF75),""))</f>
        <v/>
      </c>
      <c r="K75" s="503" t="str">
        <f>IF(終値!A75="","",IFERROR(4*STDEVP(終値!N75:AG75)/AVERAGE(終値!N75:AG75),""))</f>
        <v/>
      </c>
      <c r="L75" s="503" t="str">
        <f>IF(終値!A75="","",IFERROR(4*STDEVP(終値!O75:AH75)/AVERAGE(終値!O75:AH75),""))</f>
        <v/>
      </c>
      <c r="M75" s="503" t="str">
        <f>IF(終値!A75="","",IFERROR(4*STDEVP(終値!P75:AI75)/AVERAGE(終値!P75:AI75),""))</f>
        <v/>
      </c>
      <c r="N75" s="503" t="str">
        <f>IF(終値!A75="","",IFERROR(4*STDEVP(終値!Q75:AJ75)/AVERAGE(終値!Q75:AJ75),""))</f>
        <v/>
      </c>
      <c r="O75" s="503" t="str">
        <f>IF(終値!A75="","",IFERROR(4*STDEVP(終値!R75:AK75)/AVERAGE(終値!R75:AK75),""))</f>
        <v/>
      </c>
      <c r="P75" s="503" t="str">
        <f>IF(終値!A75="","",IFERROR(4*STDEVP(終値!S75:AL75)/AVERAGE(終値!S75:AL75),""))</f>
        <v/>
      </c>
      <c r="Q75" s="503" t="str">
        <f>IF(終値!A75="","",IFERROR(4*STDEVP(終値!T75:AM75)/AVERAGE(終値!T75:AM75),""))</f>
        <v/>
      </c>
      <c r="R75" s="503" t="str">
        <f>IF(終値!A75="","",IFERROR(4*STDEVP(終値!U75:AN75)/AVERAGE(終値!U75:AN75),""))</f>
        <v/>
      </c>
      <c r="S75" s="503" t="str">
        <f>IF(終値!A75="","",IFERROR(4*STDEVP(終値!V75:AO75)/AVERAGE(終値!V75:AO75),""))</f>
        <v/>
      </c>
      <c r="T75" s="503" t="str">
        <f>IF(終値!A75="","",IFERROR(4*STDEVP(終値!W75:AP75)/AVERAGE(終値!W75:AP75),""))</f>
        <v/>
      </c>
      <c r="U75" s="503" t="str">
        <f>IF(終値!A75="","",IFERROR(4*STDEVP(終値!X75:AQ75)/AVERAGE(終値!X75:AQ75),""))</f>
        <v/>
      </c>
      <c r="V75" s="503" t="str">
        <f>IF(終値!A75="","",IFERROR(4*STDEVP(終値!Y75:AR75)/AVERAGE(終値!Y75:AR75),""))</f>
        <v/>
      </c>
      <c r="W75" s="503" t="str">
        <f>IF(終値!A75="","",IFERROR(4*STDEVP(終値!Z75:AS75)/AVERAGE(終値!Z75:AS75),""))</f>
        <v/>
      </c>
      <c r="X75" s="503" t="str">
        <f>IF(終値!A75="","",IFERROR(4*STDEVP(終値!AA75:AT75)/AVERAGE(終値!AA75:AT75),""))</f>
        <v/>
      </c>
      <c r="Y75" s="503" t="str">
        <f>IF(終値!A75="","",IFERROR(4*STDEVP(終値!AB75:AU75)/AVERAGE(終値!AB75:AU75),""))</f>
        <v/>
      </c>
      <c r="Z75" s="503" t="str">
        <f>IF(終値!A75="","",IFERROR(4*STDEVP(終値!AC75:AV75)/AVERAGE(終値!AC75:AV75),""))</f>
        <v/>
      </c>
      <c r="AA75" s="503" t="str">
        <f>IF(終値!A75="","",IFERROR(4*STDEVP(終値!AD75:AW75)/AVERAGE(終値!AD75:AW75),""))</f>
        <v/>
      </c>
      <c r="AB75" s="503" t="str">
        <f>IF(終値!A75="","",IFERROR(4*STDEVP(終値!AE75:AX75)/AVERAGE(終値!AE75:AX75),""))</f>
        <v/>
      </c>
      <c r="AC75" s="503" t="str">
        <f>IF(終値!A75="","",IFERROR(4*STDEVP(終値!AF75:AY75)/AVERAGE(終値!AF75:AY75),""))</f>
        <v/>
      </c>
      <c r="AD75" s="503" t="str">
        <f>IF(終値!A75="","",IFERROR(4*STDEVP(終値!AG75:AZ75)/AVERAGE(終値!AG75:AZ75),""))</f>
        <v/>
      </c>
      <c r="AE75" s="503" t="str">
        <f>IF(終値!A75="","",IFERROR(4*STDEVP(終値!AH75:BA75)/AVERAGE(終値!AH75:BA75),""))</f>
        <v/>
      </c>
      <c r="AF75" s="503" t="str">
        <f>IF(終値!A75="","",IFERROR(4*STDEVP(終値!AI75:BB75)/AVERAGE(終値!AI75:BB75),""))</f>
        <v/>
      </c>
      <c r="AG75" s="503" t="str">
        <f>IF(終値!A75="","",IFERROR(4*STDEVP(終値!AJ75:BC75)/AVERAGE(終値!AJ75:BC75),""))</f>
        <v/>
      </c>
      <c r="AH75" s="503" t="str">
        <f>IF(終値!A75="","",IFERROR(4*STDEVP(終値!AK75:BD75)/AVERAGE(終値!AK75:BD75),""))</f>
        <v/>
      </c>
      <c r="AI75" s="503" t="str">
        <f>IF(終値!A75="","",IFERROR(4*STDEVP(終値!AL75:BE75)/AVERAGE(終値!AL75:BE75),""))</f>
        <v/>
      </c>
      <c r="AJ75" s="503" t="str">
        <f>IF(終値!A75="","",IFERROR(4*STDEVP(終値!AM75:BF75)/AVERAGE(終値!AM75:BF75),""))</f>
        <v/>
      </c>
      <c r="AK75" s="503" t="str">
        <f>IF(終値!A75="","",IFERROR(4*STDEVP(終値!AN75:BG75)/AVERAGE(終値!AN75:BG75),""))</f>
        <v/>
      </c>
      <c r="AL75" s="503" t="str">
        <f>IF(終値!A75="","",IFERROR(4*STDEVP(終値!AO75:BH75)/AVERAGE(終値!AO75:BH75),""))</f>
        <v/>
      </c>
      <c r="AM75" s="503" t="str">
        <f>IF(終値!A75="","",IFERROR(4*STDEVP(終値!AP75:BI75)/AVERAGE(終値!AP75:BI75),""))</f>
        <v/>
      </c>
      <c r="AN75" s="503" t="str">
        <f>IF(終値!A75="","",IFERROR(4*STDEVP(終値!AQ75:BJ75)/AVERAGE(終値!AQ75:BJ75),""))</f>
        <v/>
      </c>
      <c r="AO75" s="503" t="str">
        <f>IF(終値!A75="","",IFERROR(4*STDEVP(終値!AR75:BK75)/AVERAGE(終値!AR75:BK75),""))</f>
        <v/>
      </c>
      <c r="AP75" s="503" t="str">
        <f>IF(終値!A75="","",IFERROR(4*STDEVP(終値!AS75:BL75)/AVERAGE(終値!AS75:BL75),""))</f>
        <v/>
      </c>
    </row>
    <row r="76" spans="1:42">
      <c r="A76" s="500" t="str">
        <f>IF(終値!A76="","",終値!A76)</f>
        <v>2802</v>
      </c>
      <c r="B76" s="503">
        <f>IF(終値!A76="","",IFERROR(4*STDEVP(終値!E76:X76)/AVERAGE(終値!E76:X76),""))</f>
        <v>0.28558705227917924</v>
      </c>
      <c r="C76" s="503">
        <f>IF(終値!A76="","",IFERROR(4*STDEVP(終値!F76:Y76)/AVERAGE(終値!F76:Y76),""))</f>
        <v>0.30680773093541036</v>
      </c>
      <c r="D76" s="503">
        <f>IF(終値!A76="","",IFERROR(4*STDEVP(終値!G76:Z76)/AVERAGE(終値!G76:Z76),""))</f>
        <v>0.3100802956307056</v>
      </c>
      <c r="E76" s="503">
        <f>IF(終値!A76="","",IFERROR(4*STDEVP(終値!H76:AA76)/AVERAGE(終値!H76:AA76),""))</f>
        <v>0.31759823825184624</v>
      </c>
      <c r="F76" s="503">
        <f>IF(終値!A76="","",IFERROR(4*STDEVP(終値!I76:AB76)/AVERAGE(終値!I76:AB76),""))</f>
        <v>0.30031686969491661</v>
      </c>
      <c r="G76" s="503">
        <f>IF(終値!A76="","",IFERROR(4*STDEVP(終値!J76:AC76)/AVERAGE(終値!J76:AC76),""))</f>
        <v>0.2771811558451856</v>
      </c>
      <c r="H76" s="503">
        <f>IF(終値!A76="","",IFERROR(4*STDEVP(終値!K76:AD76)/AVERAGE(終値!K76:AD76),""))</f>
        <v>0.25035075587113642</v>
      </c>
      <c r="I76" s="503">
        <f>IF(終値!A76="","",IFERROR(4*STDEVP(終値!L76:AE76)/AVERAGE(終値!L76:AE76),""))</f>
        <v>0.23164505397468399</v>
      </c>
      <c r="J76" s="503">
        <f>IF(終値!A76="","",IFERROR(4*STDEVP(終値!M76:AF76)/AVERAGE(終値!M76:AF76),""))</f>
        <v>0.21418638968815787</v>
      </c>
      <c r="K76" s="503">
        <f>IF(終値!A76="","",IFERROR(4*STDEVP(終値!N76:AG76)/AVERAGE(終値!N76:AG76),""))</f>
        <v>0.19150775067367243</v>
      </c>
      <c r="L76" s="503">
        <f>IF(終値!A76="","",IFERROR(4*STDEVP(終値!O76:AH76)/AVERAGE(終値!O76:AH76),""))</f>
        <v>0.18626173104453389</v>
      </c>
      <c r="M76" s="503">
        <f>IF(終値!A76="","",IFERROR(4*STDEVP(終値!P76:AI76)/AVERAGE(終値!P76:AI76),""))</f>
        <v>0.16688601046238546</v>
      </c>
      <c r="N76" s="503">
        <f>IF(終値!A76="","",IFERROR(4*STDEVP(終値!Q76:AJ76)/AVERAGE(終値!Q76:AJ76),""))</f>
        <v>0.13713470034158062</v>
      </c>
      <c r="O76" s="503">
        <f>IF(終値!A76="","",IFERROR(4*STDEVP(終値!R76:AK76)/AVERAGE(終値!R76:AK76),""))</f>
        <v>0.15219996649555714</v>
      </c>
      <c r="P76" s="503">
        <f>IF(終値!A76="","",IFERROR(4*STDEVP(終値!S76:AL76)/AVERAGE(終値!S76:AL76),""))</f>
        <v>0.1814364657933861</v>
      </c>
      <c r="Q76" s="503">
        <f>IF(終値!A76="","",IFERROR(4*STDEVP(終値!T76:AM76)/AVERAGE(終値!T76:AM76),""))</f>
        <v>0.21147142994726179</v>
      </c>
      <c r="R76" s="503">
        <f>IF(終値!A76="","",IFERROR(4*STDEVP(終値!U76:AN76)/AVERAGE(終値!U76:AN76),""))</f>
        <v>0.23099382775011626</v>
      </c>
      <c r="S76" s="503">
        <f>IF(終値!A76="","",IFERROR(4*STDEVP(終値!V76:AO76)/AVERAGE(終値!V76:AO76),""))</f>
        <v>0.25205713363840543</v>
      </c>
      <c r="T76" s="503">
        <f>IF(終値!A76="","",IFERROR(4*STDEVP(終値!W76:AP76)/AVERAGE(終値!W76:AP76),""))</f>
        <v>0.29443104870752496</v>
      </c>
      <c r="U76" s="503">
        <f>IF(終値!A76="","",IFERROR(4*STDEVP(終値!X76:AQ76)/AVERAGE(終値!X76:AQ76),""))</f>
        <v>0.32237375266405455</v>
      </c>
      <c r="V76" s="503">
        <f>IF(終値!A76="","",IFERROR(4*STDEVP(終値!Y76:AR76)/AVERAGE(終値!Y76:AR76),""))</f>
        <v>0.32990802481144688</v>
      </c>
      <c r="W76" s="503">
        <f>IF(終値!A76="","",IFERROR(4*STDEVP(終値!Z76:AS76)/AVERAGE(終値!Z76:AS76),""))</f>
        <v>0.32152367993303232</v>
      </c>
      <c r="X76" s="503">
        <f>IF(終値!A76="","",IFERROR(4*STDEVP(終値!AA76:AT76)/AVERAGE(終値!AA76:AT76),""))</f>
        <v>0.31188691215250697</v>
      </c>
      <c r="Y76" s="503">
        <f>IF(終値!A76="","",IFERROR(4*STDEVP(終値!AB76:AU76)/AVERAGE(終値!AB76:AU76),""))</f>
        <v>0.28951097339262072</v>
      </c>
      <c r="Z76" s="503">
        <f>IF(終値!A76="","",IFERROR(4*STDEVP(終値!AC76:AV76)/AVERAGE(終値!AC76:AV76),""))</f>
        <v>0.2819386701957573</v>
      </c>
      <c r="AA76" s="503">
        <f>IF(終値!A76="","",IFERROR(4*STDEVP(終値!AD76:AW76)/AVERAGE(終値!AD76:AW76),""))</f>
        <v>0.27436973265862286</v>
      </c>
      <c r="AB76" s="503">
        <f>IF(終値!A76="","",IFERROR(4*STDEVP(終値!AE76:AX76)/AVERAGE(終値!AE76:AX76),""))</f>
        <v>0.2668363732425319</v>
      </c>
      <c r="AC76" s="503">
        <f>IF(終値!A76="","",IFERROR(4*STDEVP(終値!AF76:AY76)/AVERAGE(終値!AF76:AY76),""))</f>
        <v>0.25845766598857722</v>
      </c>
      <c r="AD76" s="503">
        <f>IF(終値!A76="","",IFERROR(4*STDEVP(終値!AG76:AZ76)/AVERAGE(終値!AG76:AZ76),""))</f>
        <v>0.25680454288520238</v>
      </c>
      <c r="AE76" s="503">
        <f>IF(終値!A76="","",IFERROR(4*STDEVP(終値!AH76:BA76)/AVERAGE(終値!AH76:BA76),""))</f>
        <v>0.25010539981310786</v>
      </c>
      <c r="AF76" s="503">
        <f>IF(終値!A76="","",IFERROR(4*STDEVP(終値!AI76:BB76)/AVERAGE(終値!AI76:BB76),""))</f>
        <v>0.19767369710166907</v>
      </c>
      <c r="AG76" s="503">
        <f>IF(終値!A76="","",IFERROR(4*STDEVP(終値!AJ76:BC76)/AVERAGE(終値!AJ76:BC76),""))</f>
        <v>0.16933853941868246</v>
      </c>
      <c r="AH76" s="503">
        <f>IF(終値!A76="","",IFERROR(4*STDEVP(終値!AK76:BD76)/AVERAGE(終値!AK76:BD76),""))</f>
        <v>0.13054772127992778</v>
      </c>
      <c r="AI76" s="503">
        <f>IF(終値!A76="","",IFERROR(4*STDEVP(終値!AL76:BE76)/AVERAGE(終値!AL76:BE76),""))</f>
        <v>0.12790865992480874</v>
      </c>
      <c r="AJ76" s="503">
        <f>IF(終値!A76="","",IFERROR(4*STDEVP(終値!AM76:BF76)/AVERAGE(終値!AM76:BF76),""))</f>
        <v>0.1445262637177957</v>
      </c>
      <c r="AK76" s="503">
        <f>IF(終値!A76="","",IFERROR(4*STDEVP(終値!AN76:BG76)/AVERAGE(終値!AN76:BG76),""))</f>
        <v>0.15264811272418066</v>
      </c>
      <c r="AL76" s="503">
        <f>IF(終値!A76="","",IFERROR(4*STDEVP(終値!AO76:BH76)/AVERAGE(終値!AO76:BH76),""))</f>
        <v>0.15823842437886515</v>
      </c>
      <c r="AM76" s="503">
        <f>IF(終値!A76="","",IFERROR(4*STDEVP(終値!AP76:BI76)/AVERAGE(終値!AP76:BI76),""))</f>
        <v>0.16424207932975063</v>
      </c>
      <c r="AN76" s="503">
        <f>IF(終値!A76="","",IFERROR(4*STDEVP(終値!AQ76:BJ76)/AVERAGE(終値!AQ76:BJ76),""))</f>
        <v>0.14418508747517012</v>
      </c>
      <c r="AO76" s="503">
        <f>IF(終値!A76="","",IFERROR(4*STDEVP(終値!AR76:BK76)/AVERAGE(終値!AR76:BK76),""))</f>
        <v>0.1327178623876179</v>
      </c>
      <c r="AP76" s="503">
        <f>IF(終値!A76="","",IFERROR(4*STDEVP(終値!AS76:BL76)/AVERAGE(終値!AS76:BL76),""))</f>
        <v>0.13699701813979057</v>
      </c>
    </row>
    <row r="77" spans="1:42">
      <c r="A77" s="500" t="str">
        <f>IF(終値!A77="","",終値!A77)</f>
        <v>7203</v>
      </c>
      <c r="B77" s="503">
        <f>IF(終値!A77="","",IFERROR(4*STDEVP(終値!E77:X77)/AVERAGE(終値!E77:X77),""))</f>
        <v>0.13721798563365017</v>
      </c>
      <c r="C77" s="503">
        <f>IF(終値!A77="","",IFERROR(4*STDEVP(終値!F77:Y77)/AVERAGE(終値!F77:Y77),""))</f>
        <v>0.14139645418791535</v>
      </c>
      <c r="D77" s="503">
        <f>IF(終値!A77="","",IFERROR(4*STDEVP(終値!G77:Z77)/AVERAGE(終値!G77:Z77),""))</f>
        <v>0.14778004920940194</v>
      </c>
      <c r="E77" s="503">
        <f>IF(終値!A77="","",IFERROR(4*STDEVP(終値!H77:AA77)/AVERAGE(終値!H77:AA77),""))</f>
        <v>0.15378839487851623</v>
      </c>
      <c r="F77" s="503">
        <f>IF(終値!A77="","",IFERROR(4*STDEVP(終値!I77:AB77)/AVERAGE(終値!I77:AB77),""))</f>
        <v>0.14871064425903618</v>
      </c>
      <c r="G77" s="503">
        <f>IF(終値!A77="","",IFERROR(4*STDEVP(終値!J77:AC77)/AVERAGE(終値!J77:AC77),""))</f>
        <v>0.10992273088133604</v>
      </c>
      <c r="H77" s="503">
        <f>IF(終値!A77="","",IFERROR(4*STDEVP(終値!K77:AD77)/AVERAGE(終値!K77:AD77),""))</f>
        <v>0.10482494873942351</v>
      </c>
      <c r="I77" s="503">
        <f>IF(終値!A77="","",IFERROR(4*STDEVP(終値!L77:AE77)/AVERAGE(終値!L77:AE77),""))</f>
        <v>0.10945264121794938</v>
      </c>
      <c r="J77" s="503">
        <f>IF(終値!A77="","",IFERROR(4*STDEVP(終値!M77:AF77)/AVERAGE(終値!M77:AF77),""))</f>
        <v>0.11843843879275892</v>
      </c>
      <c r="K77" s="503">
        <f>IF(終値!A77="","",IFERROR(4*STDEVP(終値!N77:AG77)/AVERAGE(終値!N77:AG77),""))</f>
        <v>0.11867710428196021</v>
      </c>
      <c r="L77" s="503">
        <f>IF(終値!A77="","",IFERROR(4*STDEVP(終値!O77:AH77)/AVERAGE(終値!O77:AH77),""))</f>
        <v>0.11488646281424915</v>
      </c>
      <c r="M77" s="503">
        <f>IF(終値!A77="","",IFERROR(4*STDEVP(終値!P77:AI77)/AVERAGE(終値!P77:AI77),""))</f>
        <v>0.10691003530281455</v>
      </c>
      <c r="N77" s="503">
        <f>IF(終値!A77="","",IFERROR(4*STDEVP(終値!Q77:AJ77)/AVERAGE(終値!Q77:AJ77),""))</f>
        <v>0.10226166355222638</v>
      </c>
      <c r="O77" s="503">
        <f>IF(終値!A77="","",IFERROR(4*STDEVP(終値!R77:AK77)/AVERAGE(終値!R77:AK77),""))</f>
        <v>9.9225431167585532E-2</v>
      </c>
      <c r="P77" s="503">
        <f>IF(終値!A77="","",IFERROR(4*STDEVP(終値!S77:AL77)/AVERAGE(終値!S77:AL77),""))</f>
        <v>9.9642320077313981E-2</v>
      </c>
      <c r="Q77" s="503">
        <f>IF(終値!A77="","",IFERROR(4*STDEVP(終値!T77:AM77)/AVERAGE(終値!T77:AM77),""))</f>
        <v>0.10503006017104609</v>
      </c>
      <c r="R77" s="503">
        <f>IF(終値!A77="","",IFERROR(4*STDEVP(終値!U77:AN77)/AVERAGE(終値!U77:AN77),""))</f>
        <v>0.10505163631874055</v>
      </c>
      <c r="S77" s="503">
        <f>IF(終値!A77="","",IFERROR(4*STDEVP(終値!V77:AO77)/AVERAGE(終値!V77:AO77),""))</f>
        <v>0.10586006725383325</v>
      </c>
      <c r="T77" s="503">
        <f>IF(終値!A77="","",IFERROR(4*STDEVP(終値!W77:AP77)/AVERAGE(終値!W77:AP77),""))</f>
        <v>0.10149701425360892</v>
      </c>
      <c r="U77" s="503">
        <f>IF(終値!A77="","",IFERROR(4*STDEVP(終値!X77:AQ77)/AVERAGE(終値!X77:AQ77),""))</f>
        <v>8.8537567287238675E-2</v>
      </c>
      <c r="V77" s="503">
        <f>IF(終値!A77="","",IFERROR(4*STDEVP(終値!Y77:AR77)/AVERAGE(終値!Y77:AR77),""))</f>
        <v>7.9148806001700628E-2</v>
      </c>
      <c r="W77" s="503">
        <f>IF(終値!A77="","",IFERROR(4*STDEVP(終値!Z77:AS77)/AVERAGE(終値!Z77:AS77),""))</f>
        <v>7.9869354647029933E-2</v>
      </c>
      <c r="X77" s="503">
        <f>IF(終値!A77="","",IFERROR(4*STDEVP(終値!AA77:AT77)/AVERAGE(終値!AA77:AT77),""))</f>
        <v>8.5786832587921094E-2</v>
      </c>
      <c r="Y77" s="503">
        <f>IF(終値!A77="","",IFERROR(4*STDEVP(終値!AB77:AU77)/AVERAGE(終値!AB77:AU77),""))</f>
        <v>8.5191478026780149E-2</v>
      </c>
      <c r="Z77" s="503">
        <f>IF(終値!A77="","",IFERROR(4*STDEVP(終値!AC77:AV77)/AVERAGE(終値!AC77:AV77),""))</f>
        <v>0.1126148750875768</v>
      </c>
      <c r="AA77" s="503">
        <f>IF(終値!A77="","",IFERROR(4*STDEVP(終値!AD77:AW77)/AVERAGE(終値!AD77:AW77),""))</f>
        <v>0.13103121264235126</v>
      </c>
      <c r="AB77" s="503">
        <f>IF(終値!A77="","",IFERROR(4*STDEVP(終値!AE77:AX77)/AVERAGE(終値!AE77:AX77),""))</f>
        <v>0.14159781106413355</v>
      </c>
      <c r="AC77" s="503">
        <f>IF(終値!A77="","",IFERROR(4*STDEVP(終値!AF77:AY77)/AVERAGE(終値!AF77:AY77),""))</f>
        <v>0.14621964152879519</v>
      </c>
      <c r="AD77" s="503">
        <f>IF(終値!A77="","",IFERROR(4*STDEVP(終値!AG77:AZ77)/AVERAGE(終値!AG77:AZ77),""))</f>
        <v>0.14173536946091164</v>
      </c>
      <c r="AE77" s="503">
        <f>IF(終値!A77="","",IFERROR(4*STDEVP(終値!AH77:BA77)/AVERAGE(終値!AH77:BA77),""))</f>
        <v>0.13594057552544286</v>
      </c>
      <c r="AF77" s="503">
        <f>IF(終値!A77="","",IFERROR(4*STDEVP(終値!AI77:BB77)/AVERAGE(終値!AI77:BB77),""))</f>
        <v>0.12979942223843718</v>
      </c>
      <c r="AG77" s="503">
        <f>IF(終値!A77="","",IFERROR(4*STDEVP(終値!AJ77:BC77)/AVERAGE(終値!AJ77:BC77),""))</f>
        <v>0.12621794345885037</v>
      </c>
      <c r="AH77" s="503">
        <f>IF(終値!A77="","",IFERROR(4*STDEVP(終値!AK77:BD77)/AVERAGE(終値!AK77:BD77),""))</f>
        <v>0.12281319735359053</v>
      </c>
      <c r="AI77" s="503">
        <f>IF(終値!A77="","",IFERROR(4*STDEVP(終値!AL77:BE77)/AVERAGE(終値!AL77:BE77),""))</f>
        <v>0.12997607842107956</v>
      </c>
      <c r="AJ77" s="503">
        <f>IF(終値!A77="","",IFERROR(4*STDEVP(終値!AM77:BF77)/AVERAGE(終値!AM77:BF77),""))</f>
        <v>0.13044053459443189</v>
      </c>
      <c r="AK77" s="503">
        <f>IF(終値!A77="","",IFERROR(4*STDEVP(終値!AN77:BG77)/AVERAGE(終値!AN77:BG77),""))</f>
        <v>0.13023672317326829</v>
      </c>
      <c r="AL77" s="503">
        <f>IF(終値!A77="","",IFERROR(4*STDEVP(終値!AO77:BH77)/AVERAGE(終値!AO77:BH77),""))</f>
        <v>0.12420209733686184</v>
      </c>
      <c r="AM77" s="503">
        <f>IF(終値!A77="","",IFERROR(4*STDEVP(終値!AP77:BI77)/AVERAGE(終値!AP77:BI77),""))</f>
        <v>0.1119738515311005</v>
      </c>
      <c r="AN77" s="503">
        <f>IF(終値!A77="","",IFERROR(4*STDEVP(終値!AQ77:BJ77)/AVERAGE(終値!AQ77:BJ77),""))</f>
        <v>0.10546511572652924</v>
      </c>
      <c r="AO77" s="503">
        <f>IF(終値!A77="","",IFERROR(4*STDEVP(終値!AR77:BK77)/AVERAGE(終値!AR77:BK77),""))</f>
        <v>9.8936724644677149E-2</v>
      </c>
      <c r="AP77" s="503">
        <f>IF(終値!A77="","",IFERROR(4*STDEVP(終値!AS77:BL77)/AVERAGE(終値!AS77:BL77),""))</f>
        <v>9.4785788998787854E-2</v>
      </c>
    </row>
    <row r="78" spans="1:42">
      <c r="A78" s="500" t="str">
        <f>IF(終値!A78="","",終値!A78)</f>
        <v>6954</v>
      </c>
      <c r="B78" s="503">
        <f>IF(終値!A78="","",IFERROR(4*STDEVP(終値!E78:X78)/AVERAGE(終値!E78:X78),""))</f>
        <v>0.19122516805879675</v>
      </c>
      <c r="C78" s="503">
        <f>IF(終値!A78="","",IFERROR(4*STDEVP(終値!F78:Y78)/AVERAGE(終値!F78:Y78),""))</f>
        <v>0.1897294892715963</v>
      </c>
      <c r="D78" s="503">
        <f>IF(終値!A78="","",IFERROR(4*STDEVP(終値!G78:Z78)/AVERAGE(終値!G78:Z78),""))</f>
        <v>0.16664179879248539</v>
      </c>
      <c r="E78" s="503">
        <f>IF(終値!A78="","",IFERROR(4*STDEVP(終値!H78:AA78)/AVERAGE(終値!H78:AA78),""))</f>
        <v>0.17646273240229274</v>
      </c>
      <c r="F78" s="503">
        <f>IF(終値!A78="","",IFERROR(4*STDEVP(終値!I78:AB78)/AVERAGE(終値!I78:AB78),""))</f>
        <v>0.17965679433465553</v>
      </c>
      <c r="G78" s="503">
        <f>IF(終値!A78="","",IFERROR(4*STDEVP(終値!J78:AC78)/AVERAGE(終値!J78:AC78),""))</f>
        <v>0.16745705932892632</v>
      </c>
      <c r="H78" s="503">
        <f>IF(終値!A78="","",IFERROR(4*STDEVP(終値!K78:AD78)/AVERAGE(終値!K78:AD78),""))</f>
        <v>0.14675924334282126</v>
      </c>
      <c r="I78" s="503">
        <f>IF(終値!A78="","",IFERROR(4*STDEVP(終値!L78:AE78)/AVERAGE(終値!L78:AE78),""))</f>
        <v>0.14912248971587219</v>
      </c>
      <c r="J78" s="503">
        <f>IF(終値!A78="","",IFERROR(4*STDEVP(終値!M78:AF78)/AVERAGE(終値!M78:AF78),""))</f>
        <v>0.14321083954966982</v>
      </c>
      <c r="K78" s="503">
        <f>IF(終値!A78="","",IFERROR(4*STDEVP(終値!N78:AG78)/AVERAGE(終値!N78:AG78),""))</f>
        <v>0.14895356975054649</v>
      </c>
      <c r="L78" s="503">
        <f>IF(終値!A78="","",IFERROR(4*STDEVP(終値!O78:AH78)/AVERAGE(終値!O78:AH78),""))</f>
        <v>0.17789729898882131</v>
      </c>
      <c r="M78" s="503">
        <f>IF(終値!A78="","",IFERROR(4*STDEVP(終値!P78:AI78)/AVERAGE(終値!P78:AI78),""))</f>
        <v>0.17407219950914707</v>
      </c>
      <c r="N78" s="503">
        <f>IF(終値!A78="","",IFERROR(4*STDEVP(終値!Q78:AJ78)/AVERAGE(終値!Q78:AJ78),""))</f>
        <v>0.16444376403781522</v>
      </c>
      <c r="O78" s="503">
        <f>IF(終値!A78="","",IFERROR(4*STDEVP(終値!R78:AK78)/AVERAGE(終値!R78:AK78),""))</f>
        <v>0.16437223737488529</v>
      </c>
      <c r="P78" s="503">
        <f>IF(終値!A78="","",IFERROR(4*STDEVP(終値!S78:AL78)/AVERAGE(終値!S78:AL78),""))</f>
        <v>0.15538232950246139</v>
      </c>
      <c r="Q78" s="503">
        <f>IF(終値!A78="","",IFERROR(4*STDEVP(終値!T78:AM78)/AVERAGE(終値!T78:AM78),""))</f>
        <v>0.14923292661316373</v>
      </c>
      <c r="R78" s="503">
        <f>IF(終値!A78="","",IFERROR(4*STDEVP(終値!U78:AN78)/AVERAGE(終値!U78:AN78),""))</f>
        <v>0.1545835431748967</v>
      </c>
      <c r="S78" s="503">
        <f>IF(終値!A78="","",IFERROR(4*STDEVP(終値!V78:AO78)/AVERAGE(終値!V78:AO78),""))</f>
        <v>0.15805758778765064</v>
      </c>
      <c r="T78" s="503">
        <f>IF(終値!A78="","",IFERROR(4*STDEVP(終値!W78:AP78)/AVERAGE(終値!W78:AP78),""))</f>
        <v>0.15455810055378047</v>
      </c>
      <c r="U78" s="503">
        <f>IF(終値!A78="","",IFERROR(4*STDEVP(終値!X78:AQ78)/AVERAGE(終値!X78:AQ78),""))</f>
        <v>0.15339962524742967</v>
      </c>
      <c r="V78" s="503">
        <f>IF(終値!A78="","",IFERROR(4*STDEVP(終値!Y78:AR78)/AVERAGE(終値!Y78:AR78),""))</f>
        <v>0.15742774566841555</v>
      </c>
      <c r="W78" s="503">
        <f>IF(終値!A78="","",IFERROR(4*STDEVP(終値!Z78:AS78)/AVERAGE(終値!Z78:AS78),""))</f>
        <v>0.16696465768683033</v>
      </c>
      <c r="X78" s="503">
        <f>IF(終値!A78="","",IFERROR(4*STDEVP(終値!AA78:AT78)/AVERAGE(終値!AA78:AT78),""))</f>
        <v>0.18188876733802292</v>
      </c>
      <c r="Y78" s="503">
        <f>IF(終値!A78="","",IFERROR(4*STDEVP(終値!AB78:AU78)/AVERAGE(終値!AB78:AU78),""))</f>
        <v>0.18355806343844844</v>
      </c>
      <c r="Z78" s="503">
        <f>IF(終値!A78="","",IFERROR(4*STDEVP(終値!AC78:AV78)/AVERAGE(終値!AC78:AV78),""))</f>
        <v>0.19263607680953065</v>
      </c>
      <c r="AA78" s="503">
        <f>IF(終値!A78="","",IFERROR(4*STDEVP(終値!AD78:AW78)/AVERAGE(終値!AD78:AW78),""))</f>
        <v>0.19769698243387207</v>
      </c>
      <c r="AB78" s="503">
        <f>IF(終値!A78="","",IFERROR(4*STDEVP(終値!AE78:AX78)/AVERAGE(終値!AE78:AX78),""))</f>
        <v>0.20512208524079642</v>
      </c>
      <c r="AC78" s="503">
        <f>IF(終値!A78="","",IFERROR(4*STDEVP(終値!AF78:AY78)/AVERAGE(終値!AF78:AY78),""))</f>
        <v>0.22858205465050641</v>
      </c>
      <c r="AD78" s="503">
        <f>IF(終値!A78="","",IFERROR(4*STDEVP(終値!AG78:AZ78)/AVERAGE(終値!AG78:AZ78),""))</f>
        <v>0.23645712970792784</v>
      </c>
      <c r="AE78" s="503">
        <f>IF(終値!A78="","",IFERROR(4*STDEVP(終値!AH78:BA78)/AVERAGE(終値!AH78:BA78),""))</f>
        <v>0.23561158693434447</v>
      </c>
      <c r="AF78" s="503">
        <f>IF(終値!A78="","",IFERROR(4*STDEVP(終値!AI78:BB78)/AVERAGE(終値!AI78:BB78),""))</f>
        <v>0.23487513922485481</v>
      </c>
      <c r="AG78" s="503">
        <f>IF(終値!A78="","",IFERROR(4*STDEVP(終値!AJ78:BC78)/AVERAGE(終値!AJ78:BC78),""))</f>
        <v>0.23439874493183036</v>
      </c>
      <c r="AH78" s="503">
        <f>IF(終値!A78="","",IFERROR(4*STDEVP(終値!AK78:BD78)/AVERAGE(終値!AK78:BD78),""))</f>
        <v>0.23780030603272032</v>
      </c>
      <c r="AI78" s="503">
        <f>IF(終値!A78="","",IFERROR(4*STDEVP(終値!AL78:BE78)/AVERAGE(終値!AL78:BE78),""))</f>
        <v>0.24665223818656856</v>
      </c>
      <c r="AJ78" s="503">
        <f>IF(終値!A78="","",IFERROR(4*STDEVP(終値!AM78:BF78)/AVERAGE(終値!AM78:BF78),""))</f>
        <v>0.24770693806078201</v>
      </c>
      <c r="AK78" s="503">
        <f>IF(終値!A78="","",IFERROR(4*STDEVP(終値!AN78:BG78)/AVERAGE(終値!AN78:BG78),""))</f>
        <v>0.24400204179095883</v>
      </c>
      <c r="AL78" s="503">
        <f>IF(終値!A78="","",IFERROR(4*STDEVP(終値!AO78:BH78)/AVERAGE(終値!AO78:BH78),""))</f>
        <v>0.22623790527888729</v>
      </c>
      <c r="AM78" s="503">
        <f>IF(終値!A78="","",IFERROR(4*STDEVP(終値!AP78:BI78)/AVERAGE(終値!AP78:BI78),""))</f>
        <v>0.19643473264294461</v>
      </c>
      <c r="AN78" s="503">
        <f>IF(終値!A78="","",IFERROR(4*STDEVP(終値!AQ78:BJ78)/AVERAGE(終値!AQ78:BJ78),""))</f>
        <v>0.15930670322938062</v>
      </c>
      <c r="AO78" s="503">
        <f>IF(終値!A78="","",IFERROR(4*STDEVP(終値!AR78:BK78)/AVERAGE(終値!AR78:BK78),""))</f>
        <v>0.16122136390474276</v>
      </c>
      <c r="AP78" s="503">
        <f>IF(終値!A78="","",IFERROR(4*STDEVP(終値!AS78:BL78)/AVERAGE(終値!AS78:BL78),""))</f>
        <v>0.19595107466180522</v>
      </c>
    </row>
    <row r="79" spans="1:42">
      <c r="A79" s="500" t="str">
        <f>IF(終値!A79="","",終値!A79)</f>
        <v>6479</v>
      </c>
      <c r="B79" s="503">
        <f>IF(終値!A79="","",IFERROR(4*STDEVP(終値!E79:X79)/AVERAGE(終値!E79:X79),""))</f>
        <v>0.28756778272919498</v>
      </c>
      <c r="C79" s="503">
        <f>IF(終値!A79="","",IFERROR(4*STDEVP(終値!F79:Y79)/AVERAGE(終値!F79:Y79),""))</f>
        <v>0.33566406859389575</v>
      </c>
      <c r="D79" s="503">
        <f>IF(終値!A79="","",IFERROR(4*STDEVP(終値!G79:Z79)/AVERAGE(終値!G79:Z79),""))</f>
        <v>0.3527094573028815</v>
      </c>
      <c r="E79" s="503">
        <f>IF(終値!A79="","",IFERROR(4*STDEVP(終値!H79:AA79)/AVERAGE(終値!H79:AA79),""))</f>
        <v>0.38424256423480163</v>
      </c>
      <c r="F79" s="503">
        <f>IF(終値!A79="","",IFERROR(4*STDEVP(終値!I79:AB79)/AVERAGE(終値!I79:AB79),""))</f>
        <v>0.3705465937801683</v>
      </c>
      <c r="G79" s="503">
        <f>IF(終値!A79="","",IFERROR(4*STDEVP(終値!J79:AC79)/AVERAGE(終値!J79:AC79),""))</f>
        <v>0.35156430770639036</v>
      </c>
      <c r="H79" s="503">
        <f>IF(終値!A79="","",IFERROR(4*STDEVP(終値!K79:AD79)/AVERAGE(終値!K79:AD79),""))</f>
        <v>0.33675352626958577</v>
      </c>
      <c r="I79" s="503">
        <f>IF(終値!A79="","",IFERROR(4*STDEVP(終値!L79:AE79)/AVERAGE(終値!L79:AE79),""))</f>
        <v>0.36389984616483612</v>
      </c>
      <c r="J79" s="503">
        <f>IF(終値!A79="","",IFERROR(4*STDEVP(終値!M79:AF79)/AVERAGE(終値!M79:AF79),""))</f>
        <v>0.3561284952534351</v>
      </c>
      <c r="K79" s="503">
        <f>IF(終値!A79="","",IFERROR(4*STDEVP(終値!N79:AG79)/AVERAGE(終値!N79:AG79),""))</f>
        <v>0.34901769330260912</v>
      </c>
      <c r="L79" s="503">
        <f>IF(終値!A79="","",IFERROR(4*STDEVP(終値!O79:AH79)/AVERAGE(終値!O79:AH79),""))</f>
        <v>0.34108212554801276</v>
      </c>
      <c r="M79" s="503">
        <f>IF(終値!A79="","",IFERROR(4*STDEVP(終値!P79:AI79)/AVERAGE(終値!P79:AI79),""))</f>
        <v>0.31194472339422652</v>
      </c>
      <c r="N79" s="503">
        <f>IF(終値!A79="","",IFERROR(4*STDEVP(終値!Q79:AJ79)/AVERAGE(終値!Q79:AJ79),""))</f>
        <v>0.26854281588703127</v>
      </c>
      <c r="O79" s="503">
        <f>IF(終値!A79="","",IFERROR(4*STDEVP(終値!R79:AK79)/AVERAGE(終値!R79:AK79),""))</f>
        <v>0.25206149900700781</v>
      </c>
      <c r="P79" s="503">
        <f>IF(終値!A79="","",IFERROR(4*STDEVP(終値!S79:AL79)/AVERAGE(終値!S79:AL79),""))</f>
        <v>0.23031024532096869</v>
      </c>
      <c r="Q79" s="503">
        <f>IF(終値!A79="","",IFERROR(4*STDEVP(終値!T79:AM79)/AVERAGE(終値!T79:AM79),""))</f>
        <v>0.2105477179237136</v>
      </c>
      <c r="R79" s="503">
        <f>IF(終値!A79="","",IFERROR(4*STDEVP(終値!U79:AN79)/AVERAGE(終値!U79:AN79),""))</f>
        <v>0.22061188293264178</v>
      </c>
      <c r="S79" s="503">
        <f>IF(終値!A79="","",IFERROR(4*STDEVP(終値!V79:AO79)/AVERAGE(終値!V79:AO79),""))</f>
        <v>0.22363745498884147</v>
      </c>
      <c r="T79" s="503">
        <f>IF(終値!A79="","",IFERROR(4*STDEVP(終値!W79:AP79)/AVERAGE(終値!W79:AP79),""))</f>
        <v>0.21934224810227557</v>
      </c>
      <c r="U79" s="503">
        <f>IF(終値!A79="","",IFERROR(4*STDEVP(終値!X79:AQ79)/AVERAGE(終値!X79:AQ79),""))</f>
        <v>0.21191043940236964</v>
      </c>
      <c r="V79" s="503">
        <f>IF(終値!A79="","",IFERROR(4*STDEVP(終値!Y79:AR79)/AVERAGE(終値!Y79:AR79),""))</f>
        <v>0.21336197212823027</v>
      </c>
      <c r="W79" s="503">
        <f>IF(終値!A79="","",IFERROR(4*STDEVP(終値!Z79:AS79)/AVERAGE(終値!Z79:AS79),""))</f>
        <v>0.21660668557671831</v>
      </c>
      <c r="X79" s="503">
        <f>IF(終値!A79="","",IFERROR(4*STDEVP(終値!AA79:AT79)/AVERAGE(終値!AA79:AT79),""))</f>
        <v>0.21763604837456227</v>
      </c>
      <c r="Y79" s="503">
        <f>IF(終値!A79="","",IFERROR(4*STDEVP(終値!AB79:AU79)/AVERAGE(終値!AB79:AU79),""))</f>
        <v>0.21298605917666305</v>
      </c>
      <c r="Z79" s="503">
        <f>IF(終値!A79="","",IFERROR(4*STDEVP(終値!AC79:AV79)/AVERAGE(終値!AC79:AV79),""))</f>
        <v>0.21550289328034661</v>
      </c>
      <c r="AA79" s="503">
        <f>IF(終値!A79="","",IFERROR(4*STDEVP(終値!AD79:AW79)/AVERAGE(終値!AD79:AW79),""))</f>
        <v>0.23126716013916507</v>
      </c>
      <c r="AB79" s="503">
        <f>IF(終値!A79="","",IFERROR(4*STDEVP(終値!AE79:AX79)/AVERAGE(終値!AE79:AX79),""))</f>
        <v>0.24679339819704244</v>
      </c>
      <c r="AC79" s="503">
        <f>IF(終値!A79="","",IFERROR(4*STDEVP(終値!AF79:AY79)/AVERAGE(終値!AF79:AY79),""))</f>
        <v>0.23450358923530013</v>
      </c>
      <c r="AD79" s="503">
        <f>IF(終値!A79="","",IFERROR(4*STDEVP(終値!AG79:AZ79)/AVERAGE(終値!AG79:AZ79),""))</f>
        <v>0.25616467443350571</v>
      </c>
      <c r="AE79" s="503">
        <f>IF(終値!A79="","",IFERROR(4*STDEVP(終値!AH79:BA79)/AVERAGE(終値!AH79:BA79),""))</f>
        <v>0.28028232764799271</v>
      </c>
      <c r="AF79" s="503">
        <f>IF(終値!A79="","",IFERROR(4*STDEVP(終値!AI79:BB79)/AVERAGE(終値!AI79:BB79),""))</f>
        <v>0.30078992662447618</v>
      </c>
      <c r="AG79" s="503">
        <f>IF(終値!A79="","",IFERROR(4*STDEVP(終値!AJ79:BC79)/AVERAGE(終値!AJ79:BC79),""))</f>
        <v>0.32078582014807422</v>
      </c>
      <c r="AH79" s="503">
        <f>IF(終値!A79="","",IFERROR(4*STDEVP(終値!AK79:BD79)/AVERAGE(終値!AK79:BD79),""))</f>
        <v>0.34120855422890728</v>
      </c>
      <c r="AI79" s="503">
        <f>IF(終値!A79="","",IFERROR(4*STDEVP(終値!AL79:BE79)/AVERAGE(終値!AL79:BE79),""))</f>
        <v>0.34616421429154631</v>
      </c>
      <c r="AJ79" s="503">
        <f>IF(終値!A79="","",IFERROR(4*STDEVP(終値!AM79:BF79)/AVERAGE(終値!AM79:BF79),""))</f>
        <v>0.35013550237539803</v>
      </c>
      <c r="AK79" s="503">
        <f>IF(終値!A79="","",IFERROR(4*STDEVP(終値!AN79:BG79)/AVERAGE(終値!AN79:BG79),""))</f>
        <v>0.35871396849504111</v>
      </c>
      <c r="AL79" s="503">
        <f>IF(終値!A79="","",IFERROR(4*STDEVP(終値!AO79:BH79)/AVERAGE(終値!AO79:BH79),""))</f>
        <v>0.38964120609859798</v>
      </c>
      <c r="AM79" s="503">
        <f>IF(終値!A79="","",IFERROR(4*STDEVP(終値!AP79:BI79)/AVERAGE(終値!AP79:BI79),""))</f>
        <v>0.4250142405331126</v>
      </c>
      <c r="AN79" s="503">
        <f>IF(終値!A79="","",IFERROR(4*STDEVP(終値!AQ79:BJ79)/AVERAGE(終値!AQ79:BJ79),""))</f>
        <v>0.46016845511368559</v>
      </c>
      <c r="AO79" s="503">
        <f>IF(終値!A79="","",IFERROR(4*STDEVP(終値!AR79:BK79)/AVERAGE(終値!AR79:BK79),""))</f>
        <v>0.49176524699631208</v>
      </c>
      <c r="AP79" s="503">
        <f>IF(終値!A79="","",IFERROR(4*STDEVP(終値!AS79:BL79)/AVERAGE(終値!AS79:BL79),""))</f>
        <v>0.50024691716289693</v>
      </c>
    </row>
    <row r="80" spans="1:42">
      <c r="A80" s="500" t="str">
        <f>IF(終値!A80="","",終値!A80)</f>
        <v>1833</v>
      </c>
      <c r="B80" s="503">
        <f>IF(終値!A80="","",IFERROR(4*STDEVP(終値!E80:X80)/AVERAGE(終値!E80:X80),""))</f>
        <v>5.6898189399548042E-2</v>
      </c>
      <c r="C80" s="503">
        <f>IF(終値!A80="","",IFERROR(4*STDEVP(終値!F80:Y80)/AVERAGE(終値!F80:Y80),""))</f>
        <v>5.726851462238039E-2</v>
      </c>
      <c r="D80" s="503">
        <f>IF(終値!A80="","",IFERROR(4*STDEVP(終値!G80:Z80)/AVERAGE(終値!G80:Z80),""))</f>
        <v>5.7103963644094556E-2</v>
      </c>
      <c r="E80" s="503">
        <f>IF(終値!A80="","",IFERROR(4*STDEVP(終値!H80:AA80)/AVERAGE(終値!H80:AA80),""))</f>
        <v>5.67526764433239E-2</v>
      </c>
      <c r="F80" s="503">
        <f>IF(終値!A80="","",IFERROR(4*STDEVP(終値!I80:AB80)/AVERAGE(終値!I80:AB80),""))</f>
        <v>5.6472901141480042E-2</v>
      </c>
      <c r="G80" s="503">
        <f>IF(終値!A80="","",IFERROR(4*STDEVP(終値!J80:AC80)/AVERAGE(終値!J80:AC80),""))</f>
        <v>5.3294481783460072E-2</v>
      </c>
      <c r="H80" s="503">
        <f>IF(終値!A80="","",IFERROR(4*STDEVP(終値!K80:AD80)/AVERAGE(終値!K80:AD80),""))</f>
        <v>4.657596456156448E-2</v>
      </c>
      <c r="I80" s="503">
        <f>IF(終値!A80="","",IFERROR(4*STDEVP(終値!L80:AE80)/AVERAGE(終値!L80:AE80),""))</f>
        <v>3.9161912497925937E-2</v>
      </c>
      <c r="J80" s="503">
        <f>IF(終値!A80="","",IFERROR(4*STDEVP(終値!M80:AF80)/AVERAGE(終値!M80:AF80),""))</f>
        <v>3.8384755697709841E-2</v>
      </c>
      <c r="K80" s="503">
        <f>IF(終値!A80="","",IFERROR(4*STDEVP(終値!N80:AG80)/AVERAGE(終値!N80:AG80),""))</f>
        <v>3.8110518124972931E-2</v>
      </c>
      <c r="L80" s="503">
        <f>IF(終値!A80="","",IFERROR(4*STDEVP(終値!O80:AH80)/AVERAGE(終値!O80:AH80),""))</f>
        <v>3.8384658723832378E-2</v>
      </c>
      <c r="M80" s="503">
        <f>IF(終値!A80="","",IFERROR(4*STDEVP(終値!P80:AI80)/AVERAGE(終値!P80:AI80),""))</f>
        <v>3.8384658723832378E-2</v>
      </c>
      <c r="N80" s="503">
        <f>IF(終値!A80="","",IFERROR(4*STDEVP(終値!Q80:AJ80)/AVERAGE(終値!Q80:AJ80),""))</f>
        <v>4.2739298559626909E-2</v>
      </c>
      <c r="O80" s="503">
        <f>IF(終値!A80="","",IFERROR(4*STDEVP(終値!R80:AK80)/AVERAGE(終値!R80:AK80),""))</f>
        <v>4.2969854907488003E-2</v>
      </c>
      <c r="P80" s="503">
        <f>IF(終値!A80="","",IFERROR(4*STDEVP(終値!S80:AL80)/AVERAGE(終値!S80:AL80),""))</f>
        <v>4.2432135826741914E-2</v>
      </c>
      <c r="Q80" s="503">
        <f>IF(終値!A80="","",IFERROR(4*STDEVP(終値!T80:AM80)/AVERAGE(終値!T80:AM80),""))</f>
        <v>4.2131816540235657E-2</v>
      </c>
      <c r="R80" s="503">
        <f>IF(終値!A80="","",IFERROR(4*STDEVP(終値!U80:AN80)/AVERAGE(終値!U80:AN80),""))</f>
        <v>4.2382823689629902E-2</v>
      </c>
      <c r="S80" s="503">
        <f>IF(終値!A80="","",IFERROR(4*STDEVP(終値!V80:AO80)/AVERAGE(終値!V80:AO80),""))</f>
        <v>4.6951805668285183E-2</v>
      </c>
      <c r="T80" s="503">
        <f>IF(終値!A80="","",IFERROR(4*STDEVP(終値!W80:AP80)/AVERAGE(終値!W80:AP80),""))</f>
        <v>5.0401424616955431E-2</v>
      </c>
      <c r="U80" s="503">
        <f>IF(終値!A80="","",IFERROR(4*STDEVP(終値!X80:AQ80)/AVERAGE(終値!X80:AQ80),""))</f>
        <v>5.4697238978818521E-2</v>
      </c>
      <c r="V80" s="503">
        <f>IF(終値!A80="","",IFERROR(4*STDEVP(終値!Y80:AR80)/AVERAGE(終値!Y80:AR80),""))</f>
        <v>5.2442247933438914E-2</v>
      </c>
      <c r="W80" s="503">
        <f>IF(終値!A80="","",IFERROR(4*STDEVP(終値!Z80:AS80)/AVERAGE(終値!Z80:AS80),""))</f>
        <v>5.8512082952316961E-2</v>
      </c>
      <c r="X80" s="503">
        <f>IF(終値!A80="","",IFERROR(4*STDEVP(終値!AA80:AT80)/AVERAGE(終値!AA80:AT80),""))</f>
        <v>6.0121654521722682E-2</v>
      </c>
      <c r="Y80" s="503">
        <f>IF(終値!A80="","",IFERROR(4*STDEVP(終値!AB80:AU80)/AVERAGE(終値!AB80:AU80),""))</f>
        <v>6.1277722925089435E-2</v>
      </c>
      <c r="Z80" s="503">
        <f>IF(終値!A80="","",IFERROR(4*STDEVP(終値!AC80:AV80)/AVERAGE(終値!AC80:AV80),""))</f>
        <v>6.1350028323342652E-2</v>
      </c>
      <c r="AA80" s="503">
        <f>IF(終値!A80="","",IFERROR(4*STDEVP(終値!AD80:AW80)/AVERAGE(終値!AD80:AW80),""))</f>
        <v>6.0418920234811976E-2</v>
      </c>
      <c r="AB80" s="503">
        <f>IF(終値!A80="","",IFERROR(4*STDEVP(終値!AE80:AX80)/AVERAGE(終値!AE80:AX80),""))</f>
        <v>6.2536320673277718E-2</v>
      </c>
      <c r="AC80" s="503">
        <f>IF(終値!A80="","",IFERROR(4*STDEVP(終値!AF80:AY80)/AVERAGE(終値!AF80:AY80),""))</f>
        <v>6.2866664599851546E-2</v>
      </c>
      <c r="AD80" s="503">
        <f>IF(終値!A80="","",IFERROR(4*STDEVP(終値!AG80:AZ80)/AVERAGE(終値!AG80:AZ80),""))</f>
        <v>6.7491819272437692E-2</v>
      </c>
      <c r="AE80" s="503">
        <f>IF(終値!A80="","",IFERROR(4*STDEVP(終値!AH80:BA80)/AVERAGE(終値!AH80:BA80),""))</f>
        <v>6.795152846684481E-2</v>
      </c>
      <c r="AF80" s="503">
        <f>IF(終値!A80="","",IFERROR(4*STDEVP(終値!AI80:BB80)/AVERAGE(終値!AI80:BB80),""))</f>
        <v>6.666951991498353E-2</v>
      </c>
      <c r="AG80" s="503">
        <f>IF(終値!A80="","",IFERROR(4*STDEVP(終値!AJ80:BC80)/AVERAGE(終値!AJ80:BC80),""))</f>
        <v>6.9243328668008891E-2</v>
      </c>
      <c r="AH80" s="503">
        <f>IF(終値!A80="","",IFERROR(4*STDEVP(終値!AK80:BD80)/AVERAGE(終値!AK80:BD80),""))</f>
        <v>6.2474484587628221E-2</v>
      </c>
      <c r="AI80" s="503">
        <f>IF(終値!A80="","",IFERROR(4*STDEVP(終値!AL80:BE80)/AVERAGE(終値!AL80:BE80),""))</f>
        <v>8.1630012927966553E-2</v>
      </c>
      <c r="AJ80" s="503">
        <f>IF(終値!A80="","",IFERROR(4*STDEVP(終値!AM80:BF80)/AVERAGE(終値!AM80:BF80),""))</f>
        <v>9.8332424125522622E-2</v>
      </c>
      <c r="AK80" s="503">
        <f>IF(終値!A80="","",IFERROR(4*STDEVP(終値!AN80:BG80)/AVERAGE(終値!AN80:BG80),""))</f>
        <v>0.12592120750637029</v>
      </c>
      <c r="AL80" s="503">
        <f>IF(終値!A80="","",IFERROR(4*STDEVP(終値!AO80:BH80)/AVERAGE(終値!AO80:BH80),""))</f>
        <v>0.16263747194850633</v>
      </c>
      <c r="AM80" s="503">
        <f>IF(終値!A80="","",IFERROR(4*STDEVP(終値!AP80:BI80)/AVERAGE(終値!AP80:BI80),""))</f>
        <v>0.18071353210243329</v>
      </c>
      <c r="AN80" s="503">
        <f>IF(終値!A80="","",IFERROR(4*STDEVP(終値!AQ80:BJ80)/AVERAGE(終値!AQ80:BJ80),""))</f>
        <v>0.1878230543345828</v>
      </c>
      <c r="AO80" s="503">
        <f>IF(終値!A80="","",IFERROR(4*STDEVP(終値!AR80:BK80)/AVERAGE(終値!AR80:BK80),""))</f>
        <v>0.19260603386468547</v>
      </c>
      <c r="AP80" s="503">
        <f>IF(終値!A80="","",IFERROR(4*STDEVP(終値!AS80:BL80)/AVERAGE(終値!AS80:BL80),""))</f>
        <v>0.19697964503160775</v>
      </c>
    </row>
    <row r="81" spans="1:42">
      <c r="A81" s="500" t="str">
        <f>IF(終値!A81="","",終値!A81)</f>
        <v>6841</v>
      </c>
      <c r="B81" s="503">
        <f>IF(終値!A81="","",IFERROR(4*STDEVP(終値!E81:X81)/AVERAGE(終値!E81:X81),""))</f>
        <v>0.10961161219528232</v>
      </c>
      <c r="C81" s="503">
        <f>IF(終値!A81="","",IFERROR(4*STDEVP(終値!F81:Y81)/AVERAGE(終値!F81:Y81),""))</f>
        <v>0.10604688426351863</v>
      </c>
      <c r="D81" s="503">
        <f>IF(終値!A81="","",IFERROR(4*STDEVP(終値!G81:Z81)/AVERAGE(終値!G81:Z81),""))</f>
        <v>0.10649987780180604</v>
      </c>
      <c r="E81" s="503">
        <f>IF(終値!A81="","",IFERROR(4*STDEVP(終値!H81:AA81)/AVERAGE(終値!H81:AA81),""))</f>
        <v>0.10500681474880445</v>
      </c>
      <c r="F81" s="503">
        <f>IF(終値!A81="","",IFERROR(4*STDEVP(終値!I81:AB81)/AVERAGE(終値!I81:AB81),""))</f>
        <v>0.10476109137645137</v>
      </c>
      <c r="G81" s="503">
        <f>IF(終値!A81="","",IFERROR(4*STDEVP(終値!J81:AC81)/AVERAGE(終値!J81:AC81),""))</f>
        <v>0.10411822864761831</v>
      </c>
      <c r="H81" s="503">
        <f>IF(終値!A81="","",IFERROR(4*STDEVP(終値!K81:AD81)/AVERAGE(終値!K81:AD81),""))</f>
        <v>0.10467299896359163</v>
      </c>
      <c r="I81" s="503">
        <f>IF(終値!A81="","",IFERROR(4*STDEVP(終値!L81:AE81)/AVERAGE(終値!L81:AE81),""))</f>
        <v>8.6104420653426078E-2</v>
      </c>
      <c r="J81" s="503">
        <f>IF(終値!A81="","",IFERROR(4*STDEVP(終値!M81:AF81)/AVERAGE(終値!M81:AF81),""))</f>
        <v>8.3424733790759098E-2</v>
      </c>
      <c r="K81" s="503">
        <f>IF(終値!A81="","",IFERROR(4*STDEVP(終値!N81:AG81)/AVERAGE(終値!N81:AG81),""))</f>
        <v>8.0386983318327859E-2</v>
      </c>
      <c r="L81" s="503">
        <f>IF(終値!A81="","",IFERROR(4*STDEVP(終値!O81:AH81)/AVERAGE(終値!O81:AH81),""))</f>
        <v>7.937807214917296E-2</v>
      </c>
      <c r="M81" s="503">
        <f>IF(終値!A81="","",IFERROR(4*STDEVP(終値!P81:AI81)/AVERAGE(終値!P81:AI81),""))</f>
        <v>8.2891180634087167E-2</v>
      </c>
      <c r="N81" s="503">
        <f>IF(終値!A81="","",IFERROR(4*STDEVP(終値!Q81:AJ81)/AVERAGE(終値!Q81:AJ81),""))</f>
        <v>8.2533810400541266E-2</v>
      </c>
      <c r="O81" s="503">
        <f>IF(終値!A81="","",IFERROR(4*STDEVP(終値!R81:AK81)/AVERAGE(終値!R81:AK81),""))</f>
        <v>8.8686679921083228E-2</v>
      </c>
      <c r="P81" s="503">
        <f>IF(終値!A81="","",IFERROR(4*STDEVP(終値!S81:AL81)/AVERAGE(終値!S81:AL81),""))</f>
        <v>0.10304578136669069</v>
      </c>
      <c r="Q81" s="503">
        <f>IF(終値!A81="","",IFERROR(4*STDEVP(終値!T81:AM81)/AVERAGE(終値!T81:AM81),""))</f>
        <v>0.12107739276094809</v>
      </c>
      <c r="R81" s="503">
        <f>IF(終値!A81="","",IFERROR(4*STDEVP(終値!U81:AN81)/AVERAGE(終値!U81:AN81),""))</f>
        <v>0.16400005673948437</v>
      </c>
      <c r="S81" s="503">
        <f>IF(終値!A81="","",IFERROR(4*STDEVP(終値!V81:AO81)/AVERAGE(終値!V81:AO81),""))</f>
        <v>0.20287382513716556</v>
      </c>
      <c r="T81" s="503">
        <f>IF(終値!A81="","",IFERROR(4*STDEVP(終値!W81:AP81)/AVERAGE(終値!W81:AP81),""))</f>
        <v>0.23427273091040202</v>
      </c>
      <c r="U81" s="503">
        <f>IF(終値!A81="","",IFERROR(4*STDEVP(終値!X81:AQ81)/AVERAGE(終値!X81:AQ81),""))</f>
        <v>0.24616511592759638</v>
      </c>
      <c r="V81" s="503">
        <f>IF(終値!A81="","",IFERROR(4*STDEVP(終値!Y81:AR81)/AVERAGE(終値!Y81:AR81),""))</f>
        <v>0.23671162016954406</v>
      </c>
      <c r="W81" s="503">
        <f>IF(終値!A81="","",IFERROR(4*STDEVP(終値!Z81:AS81)/AVERAGE(終値!Z81:AS81),""))</f>
        <v>0.22563446372759297</v>
      </c>
      <c r="X81" s="503">
        <f>IF(終値!A81="","",IFERROR(4*STDEVP(終値!AA81:AT81)/AVERAGE(終値!AA81:AT81),""))</f>
        <v>0.22246381172914967</v>
      </c>
      <c r="Y81" s="503">
        <f>IF(終値!A81="","",IFERROR(4*STDEVP(終値!AB81:AU81)/AVERAGE(終値!AB81:AU81),""))</f>
        <v>0.21623412491432997</v>
      </c>
      <c r="Z81" s="503">
        <f>IF(終値!A81="","",IFERROR(4*STDEVP(終値!AC81:AV81)/AVERAGE(終値!AC81:AV81),""))</f>
        <v>0.21524231045822692</v>
      </c>
      <c r="AA81" s="503">
        <f>IF(終値!A81="","",IFERROR(4*STDEVP(終値!AD81:AW81)/AVERAGE(終値!AD81:AW81),""))</f>
        <v>0.21699947764187025</v>
      </c>
      <c r="AB81" s="503">
        <f>IF(終値!A81="","",IFERROR(4*STDEVP(終値!AE81:AX81)/AVERAGE(終値!AE81:AX81),""))</f>
        <v>0.2154532695634418</v>
      </c>
      <c r="AC81" s="503">
        <f>IF(終値!A81="","",IFERROR(4*STDEVP(終値!AF81:AY81)/AVERAGE(終値!AF81:AY81),""))</f>
        <v>0.20777942862166454</v>
      </c>
      <c r="AD81" s="503">
        <f>IF(終値!A81="","",IFERROR(4*STDEVP(終値!AG81:AZ81)/AVERAGE(終値!AG81:AZ81),""))</f>
        <v>0.2080684501973728</v>
      </c>
      <c r="AE81" s="503">
        <f>IF(終値!A81="","",IFERROR(4*STDEVP(終値!AH81:BA81)/AVERAGE(終値!AH81:BA81),""))</f>
        <v>0.2067670125961901</v>
      </c>
      <c r="AF81" s="503">
        <f>IF(終値!A81="","",IFERROR(4*STDEVP(終値!AI81:BB81)/AVERAGE(終値!AI81:BB81),""))</f>
        <v>0.19077748021336771</v>
      </c>
      <c r="AG81" s="503">
        <f>IF(終値!A81="","",IFERROR(4*STDEVP(終値!AJ81:BC81)/AVERAGE(終値!AJ81:BC81),""))</f>
        <v>0.18502446688914706</v>
      </c>
      <c r="AH81" s="503">
        <f>IF(終値!A81="","",IFERROR(4*STDEVP(終値!AK81:BD81)/AVERAGE(終値!AK81:BD81),""))</f>
        <v>0.16872596022785732</v>
      </c>
      <c r="AI81" s="503">
        <f>IF(終値!A81="","",IFERROR(4*STDEVP(終値!AL81:BE81)/AVERAGE(終値!AL81:BE81),""))</f>
        <v>0.15417039814275907</v>
      </c>
      <c r="AJ81" s="503">
        <f>IF(終値!A81="","",IFERROR(4*STDEVP(終値!AM81:BF81)/AVERAGE(終値!AM81:BF81),""))</f>
        <v>0.14897845777647725</v>
      </c>
      <c r="AK81" s="503">
        <f>IF(終値!A81="","",IFERROR(4*STDEVP(終値!AN81:BG81)/AVERAGE(終値!AN81:BG81),""))</f>
        <v>0.15422235932416289</v>
      </c>
      <c r="AL81" s="503">
        <f>IF(終値!A81="","",IFERROR(4*STDEVP(終値!AO81:BH81)/AVERAGE(終値!AO81:BH81),""))</f>
        <v>0.15909568052517103</v>
      </c>
      <c r="AM81" s="503">
        <f>IF(終値!A81="","",IFERROR(4*STDEVP(終値!AP81:BI81)/AVERAGE(終値!AP81:BI81),""))</f>
        <v>0.16458689334240145</v>
      </c>
      <c r="AN81" s="503">
        <f>IF(終値!A81="","",IFERROR(4*STDEVP(終値!AQ81:BJ81)/AVERAGE(終値!AQ81:BJ81),""))</f>
        <v>0.15780860551395082</v>
      </c>
      <c r="AO81" s="503">
        <f>IF(終値!A81="","",IFERROR(4*STDEVP(終値!AR81:BK81)/AVERAGE(終値!AR81:BK81),""))</f>
        <v>0.19398565589889463</v>
      </c>
      <c r="AP81" s="503">
        <f>IF(終値!A81="","",IFERROR(4*STDEVP(終値!AS81:BL81)/AVERAGE(終値!AS81:BL81),""))</f>
        <v>0.20002686041087728</v>
      </c>
    </row>
    <row r="82" spans="1:42">
      <c r="A82" s="500" t="str">
        <f>IF(終値!A82="","",終値!A82)</f>
        <v>7167</v>
      </c>
      <c r="B82" s="503">
        <f>IF(終値!A82="","",IFERROR(4*STDEVP(終値!E82:X82)/AVERAGE(終値!E82:X82),""))</f>
        <v>8.7846761132397991E-2</v>
      </c>
      <c r="C82" s="503">
        <f>IF(終値!A82="","",IFERROR(4*STDEVP(終値!F82:Y82)/AVERAGE(終値!F82:Y82),""))</f>
        <v>8.72432542219857E-2</v>
      </c>
      <c r="D82" s="503">
        <f>IF(終値!A82="","",IFERROR(4*STDEVP(終値!G82:Z82)/AVERAGE(終値!G82:Z82),""))</f>
        <v>8.7715515164231775E-2</v>
      </c>
      <c r="E82" s="503">
        <f>IF(終値!A82="","",IFERROR(4*STDEVP(終値!H82:AA82)/AVERAGE(終値!H82:AA82),""))</f>
        <v>9.9742103349020617E-2</v>
      </c>
      <c r="F82" s="503">
        <f>IF(終値!A82="","",IFERROR(4*STDEVP(終値!I82:AB82)/AVERAGE(終値!I82:AB82),""))</f>
        <v>0.11248081535697103</v>
      </c>
      <c r="G82" s="503">
        <f>IF(終値!A82="","",IFERROR(4*STDEVP(終値!J82:AC82)/AVERAGE(終値!J82:AC82),""))</f>
        <v>0.12572539020215215</v>
      </c>
      <c r="H82" s="503">
        <f>IF(終値!A82="","",IFERROR(4*STDEVP(終値!K82:AD82)/AVERAGE(終値!K82:AD82),""))</f>
        <v>0.13758335105680572</v>
      </c>
      <c r="I82" s="503">
        <f>IF(終値!A82="","",IFERROR(4*STDEVP(終値!L82:AE82)/AVERAGE(終値!L82:AE82),""))</f>
        <v>0.14993873882239078</v>
      </c>
      <c r="J82" s="503">
        <f>IF(終値!A82="","",IFERROR(4*STDEVP(終値!M82:AF82)/AVERAGE(終値!M82:AF82),""))</f>
        <v>0.15920614796681237</v>
      </c>
      <c r="K82" s="503">
        <f>IF(終値!A82="","",IFERROR(4*STDEVP(終値!N82:AG82)/AVERAGE(終値!N82:AG82),""))</f>
        <v>0.16356687989894353</v>
      </c>
      <c r="L82" s="503">
        <f>IF(終値!A82="","",IFERROR(4*STDEVP(終値!O82:AH82)/AVERAGE(終値!O82:AH82),""))</f>
        <v>0.16603826600371011</v>
      </c>
      <c r="M82" s="503">
        <f>IF(終値!A82="","",IFERROR(4*STDEVP(終値!P82:AI82)/AVERAGE(終値!P82:AI82),""))</f>
        <v>0.17039591695306094</v>
      </c>
      <c r="N82" s="503">
        <f>IF(終値!A82="","",IFERROR(4*STDEVP(終値!Q82:AJ82)/AVERAGE(終値!Q82:AJ82),""))</f>
        <v>0.1693195540198851</v>
      </c>
      <c r="O82" s="503">
        <f>IF(終値!A82="","",IFERROR(4*STDEVP(終値!R82:AK82)/AVERAGE(終値!R82:AK82),""))</f>
        <v>0.17228447398119601</v>
      </c>
      <c r="P82" s="503">
        <f>IF(終値!A82="","",IFERROR(4*STDEVP(終値!S82:AL82)/AVERAGE(終値!S82:AL82),""))</f>
        <v>0.17113521097030315</v>
      </c>
      <c r="Q82" s="503">
        <f>IF(終値!A82="","",IFERROR(4*STDEVP(終値!T82:AM82)/AVERAGE(終値!T82:AM82),""))</f>
        <v>0.16716068208426466</v>
      </c>
      <c r="R82" s="503">
        <f>IF(終値!A82="","",IFERROR(4*STDEVP(終値!U82:AN82)/AVERAGE(終値!U82:AN82),""))</f>
        <v>0.16080519607102281</v>
      </c>
      <c r="S82" s="503">
        <f>IF(終値!A82="","",IFERROR(4*STDEVP(終値!V82:AO82)/AVERAGE(終値!V82:AO82),""))</f>
        <v>0.15098027210079973</v>
      </c>
      <c r="T82" s="503">
        <f>IF(終値!A82="","",IFERROR(4*STDEVP(終値!W82:AP82)/AVERAGE(終値!W82:AP82),""))</f>
        <v>0.13118095861743886</v>
      </c>
      <c r="U82" s="503">
        <f>IF(終値!A82="","",IFERROR(4*STDEVP(終値!X82:AQ82)/AVERAGE(終値!X82:AQ82),""))</f>
        <v>0.12280331504251923</v>
      </c>
      <c r="V82" s="503">
        <f>IF(終値!A82="","",IFERROR(4*STDEVP(終値!Y82:AR82)/AVERAGE(終値!Y82:AR82),""))</f>
        <v>0.10508501047290136</v>
      </c>
      <c r="W82" s="503">
        <f>IF(終値!A82="","",IFERROR(4*STDEVP(終値!Z82:AS82)/AVERAGE(終値!Z82:AS82),""))</f>
        <v>9.1501739298266868E-2</v>
      </c>
      <c r="X82" s="503">
        <f>IF(終値!A82="","",IFERROR(4*STDEVP(終値!AA82:AT82)/AVERAGE(終値!AA82:AT82),""))</f>
        <v>8.4056938666141154E-2</v>
      </c>
      <c r="Y82" s="503">
        <f>IF(終値!A82="","",IFERROR(4*STDEVP(終値!AB82:AU82)/AVERAGE(終値!AB82:AU82),""))</f>
        <v>9.3875206197046632E-2</v>
      </c>
      <c r="Z82" s="503">
        <f>IF(終値!A82="","",IFERROR(4*STDEVP(終値!AC82:AV82)/AVERAGE(終値!AC82:AV82),""))</f>
        <v>9.9363991301099297E-2</v>
      </c>
      <c r="AA82" s="503">
        <f>IF(終値!A82="","",IFERROR(4*STDEVP(終値!AD82:AW82)/AVERAGE(終値!AD82:AW82),""))</f>
        <v>9.9342663361764103E-2</v>
      </c>
      <c r="AB82" s="503">
        <f>IF(終値!A82="","",IFERROR(4*STDEVP(終値!AE82:AX82)/AVERAGE(終値!AE82:AX82),""))</f>
        <v>9.7925358880169663E-2</v>
      </c>
      <c r="AC82" s="503">
        <f>IF(終値!A82="","",IFERROR(4*STDEVP(終値!AF82:AY82)/AVERAGE(終値!AF82:AY82),""))</f>
        <v>9.8077058575147175E-2</v>
      </c>
      <c r="AD82" s="503">
        <f>IF(終値!A82="","",IFERROR(4*STDEVP(終値!AG82:AZ82)/AVERAGE(終値!AG82:AZ82),""))</f>
        <v>9.8614157246000145E-2</v>
      </c>
      <c r="AE82" s="503">
        <f>IF(終値!A82="","",IFERROR(4*STDEVP(終値!AH82:BA82)/AVERAGE(終値!AH82:BA82),""))</f>
        <v>9.8422444299046605E-2</v>
      </c>
      <c r="AF82" s="503">
        <f>IF(終値!A82="","",IFERROR(4*STDEVP(終値!AI82:BB82)/AVERAGE(終値!AI82:BB82),""))</f>
        <v>9.3818071970991165E-2</v>
      </c>
      <c r="AG82" s="503">
        <f>IF(終値!A82="","",IFERROR(4*STDEVP(終値!AJ82:BC82)/AVERAGE(終値!AJ82:BC82),""))</f>
        <v>9.1490177768303413E-2</v>
      </c>
      <c r="AH82" s="503">
        <f>IF(終値!A82="","",IFERROR(4*STDEVP(終値!AK82:BD82)/AVERAGE(終値!AK82:BD82),""))</f>
        <v>8.1070454876232045E-2</v>
      </c>
      <c r="AI82" s="503">
        <f>IF(終値!A82="","",IFERROR(4*STDEVP(終値!AL82:BE82)/AVERAGE(終値!AL82:BE82),""))</f>
        <v>8.0420333500668517E-2</v>
      </c>
      <c r="AJ82" s="503">
        <f>IF(終値!A82="","",IFERROR(4*STDEVP(終値!AM82:BF82)/AVERAGE(終値!AM82:BF82),""))</f>
        <v>7.5459182743374958E-2</v>
      </c>
      <c r="AK82" s="503">
        <f>IF(終値!A82="","",IFERROR(4*STDEVP(終値!AN82:BG82)/AVERAGE(終値!AN82:BG82),""))</f>
        <v>6.938002173974718E-2</v>
      </c>
      <c r="AL82" s="503">
        <f>IF(終値!A82="","",IFERROR(4*STDEVP(終値!AO82:BH82)/AVERAGE(終値!AO82:BH82),""))</f>
        <v>6.5257463863920048E-2</v>
      </c>
      <c r="AM82" s="503">
        <f>IF(終値!A82="","",IFERROR(4*STDEVP(終値!AP82:BI82)/AVERAGE(終値!AP82:BI82),""))</f>
        <v>6.7220717820448153E-2</v>
      </c>
      <c r="AN82" s="503">
        <f>IF(終値!A82="","",IFERROR(4*STDEVP(終値!AQ82:BJ82)/AVERAGE(終値!AQ82:BJ82),""))</f>
        <v>7.3733963515957901E-2</v>
      </c>
      <c r="AO82" s="503">
        <f>IF(終値!A82="","",IFERROR(4*STDEVP(終値!AR82:BK82)/AVERAGE(終値!AR82:BK82),""))</f>
        <v>7.4051160044995207E-2</v>
      </c>
      <c r="AP82" s="503">
        <f>IF(終値!A82="","",IFERROR(4*STDEVP(終値!AS82:BL82)/AVERAGE(終値!AS82:BL82),""))</f>
        <v>8.471411282360472E-2</v>
      </c>
    </row>
    <row r="83" spans="1:42">
      <c r="A83" s="500" t="str">
        <f>IF(終値!A83="","",終値!A83)</f>
        <v>1925</v>
      </c>
      <c r="B83" s="503">
        <f>IF(終値!A83="","",IFERROR(4*STDEVP(終値!E83:X83)/AVERAGE(終値!E83:X83),""))</f>
        <v>9.1118833550679582E-2</v>
      </c>
      <c r="C83" s="503">
        <f>IF(終値!A83="","",IFERROR(4*STDEVP(終値!F83:Y83)/AVERAGE(終値!F83:Y83),""))</f>
        <v>9.2810101410854509E-2</v>
      </c>
      <c r="D83" s="503">
        <f>IF(終値!A83="","",IFERROR(4*STDEVP(終値!G83:Z83)/AVERAGE(終値!G83:Z83),""))</f>
        <v>9.7761353930722245E-2</v>
      </c>
      <c r="E83" s="503">
        <f>IF(終値!A83="","",IFERROR(4*STDEVP(終値!H83:AA83)/AVERAGE(終値!H83:AA83),""))</f>
        <v>0.10587183497768277</v>
      </c>
      <c r="F83" s="503">
        <f>IF(終値!A83="","",IFERROR(4*STDEVP(終値!I83:AB83)/AVERAGE(終値!I83:AB83),""))</f>
        <v>0.10113763487601024</v>
      </c>
      <c r="G83" s="503">
        <f>IF(終値!A83="","",IFERROR(4*STDEVP(終値!J83:AC83)/AVERAGE(終値!J83:AC83),""))</f>
        <v>7.9931718081350134E-2</v>
      </c>
      <c r="H83" s="503">
        <f>IF(終値!A83="","",IFERROR(4*STDEVP(終値!K83:AD83)/AVERAGE(終値!K83:AD83),""))</f>
        <v>7.2260121984502657E-2</v>
      </c>
      <c r="I83" s="503">
        <f>IF(終値!A83="","",IFERROR(4*STDEVP(終値!L83:AE83)/AVERAGE(終値!L83:AE83),""))</f>
        <v>6.931362590153245E-2</v>
      </c>
      <c r="J83" s="503">
        <f>IF(終値!A83="","",IFERROR(4*STDEVP(終値!M83:AF83)/AVERAGE(終値!M83:AF83),""))</f>
        <v>7.8422171856770653E-2</v>
      </c>
      <c r="K83" s="503">
        <f>IF(終値!A83="","",IFERROR(4*STDEVP(終値!N83:AG83)/AVERAGE(終値!N83:AG83),""))</f>
        <v>8.9622046366300806E-2</v>
      </c>
      <c r="L83" s="503">
        <f>IF(終値!A83="","",IFERROR(4*STDEVP(終値!O83:AH83)/AVERAGE(終値!O83:AH83),""))</f>
        <v>9.4905321141051283E-2</v>
      </c>
      <c r="M83" s="503">
        <f>IF(終値!A83="","",IFERROR(4*STDEVP(終値!P83:AI83)/AVERAGE(終値!P83:AI83),""))</f>
        <v>9.1585502040790912E-2</v>
      </c>
      <c r="N83" s="503">
        <f>IF(終値!A83="","",IFERROR(4*STDEVP(終値!Q83:AJ83)/AVERAGE(終値!Q83:AJ83),""))</f>
        <v>9.006861826239998E-2</v>
      </c>
      <c r="O83" s="503">
        <f>IF(終値!A83="","",IFERROR(4*STDEVP(終値!R83:AK83)/AVERAGE(終値!R83:AK83),""))</f>
        <v>8.6777656743807385E-2</v>
      </c>
      <c r="P83" s="503">
        <f>IF(終値!A83="","",IFERROR(4*STDEVP(終値!S83:AL83)/AVERAGE(終値!S83:AL83),""))</f>
        <v>8.2833878253440851E-2</v>
      </c>
      <c r="Q83" s="503">
        <f>IF(終値!A83="","",IFERROR(4*STDEVP(終値!T83:AM83)/AVERAGE(終値!T83:AM83),""))</f>
        <v>7.9926821359294367E-2</v>
      </c>
      <c r="R83" s="503">
        <f>IF(終値!A83="","",IFERROR(4*STDEVP(終値!U83:AN83)/AVERAGE(終値!U83:AN83),""))</f>
        <v>8.1460888469728876E-2</v>
      </c>
      <c r="S83" s="503">
        <f>IF(終値!A83="","",IFERROR(4*STDEVP(終値!V83:AO83)/AVERAGE(終値!V83:AO83),""))</f>
        <v>8.2072268964979128E-2</v>
      </c>
      <c r="T83" s="503">
        <f>IF(終値!A83="","",IFERROR(4*STDEVP(終値!W83:AP83)/AVERAGE(終値!W83:AP83),""))</f>
        <v>7.636789478849608E-2</v>
      </c>
      <c r="U83" s="503">
        <f>IF(終値!A83="","",IFERROR(4*STDEVP(終値!X83:AQ83)/AVERAGE(終値!X83:AQ83),""))</f>
        <v>7.1096781088346175E-2</v>
      </c>
      <c r="V83" s="503">
        <f>IF(終値!A83="","",IFERROR(4*STDEVP(終値!Y83:AR83)/AVERAGE(終値!Y83:AR83),""))</f>
        <v>6.8713510876266926E-2</v>
      </c>
      <c r="W83" s="503">
        <f>IF(終値!A83="","",IFERROR(4*STDEVP(終値!Z83:AS83)/AVERAGE(終値!Z83:AS83),""))</f>
        <v>6.6122094975173226E-2</v>
      </c>
      <c r="X83" s="503">
        <f>IF(終値!A83="","",IFERROR(4*STDEVP(終値!AA83:AT83)/AVERAGE(終値!AA83:AT83),""))</f>
        <v>6.3164558854573491E-2</v>
      </c>
      <c r="Y83" s="503">
        <f>IF(終値!A83="","",IFERROR(4*STDEVP(終値!AB83:AU83)/AVERAGE(終値!AB83:AU83),""))</f>
        <v>6.8375544080343215E-2</v>
      </c>
      <c r="Z83" s="503">
        <f>IF(終値!A83="","",IFERROR(4*STDEVP(終値!AC83:AV83)/AVERAGE(終値!AC83:AV83),""))</f>
        <v>6.5488248926993217E-2</v>
      </c>
      <c r="AA83" s="503">
        <f>IF(終値!A83="","",IFERROR(4*STDEVP(終値!AD83:AW83)/AVERAGE(終値!AD83:AW83),""))</f>
        <v>6.0379343176353725E-2</v>
      </c>
      <c r="AB83" s="503">
        <f>IF(終値!A83="","",IFERROR(4*STDEVP(終値!AE83:AX83)/AVERAGE(終値!AE83:AX83),""))</f>
        <v>5.881445801530364E-2</v>
      </c>
      <c r="AC83" s="503">
        <f>IF(終値!A83="","",IFERROR(4*STDEVP(終値!AF83:AY83)/AVERAGE(終値!AF83:AY83),""))</f>
        <v>6.3051017426660624E-2</v>
      </c>
      <c r="AD83" s="503">
        <f>IF(終値!A83="","",IFERROR(4*STDEVP(終値!AG83:AZ83)/AVERAGE(終値!AG83:AZ83),""))</f>
        <v>6.6084133162510175E-2</v>
      </c>
      <c r="AE83" s="503">
        <f>IF(終値!A83="","",IFERROR(4*STDEVP(終値!AH83:BA83)/AVERAGE(終値!AH83:BA83),""))</f>
        <v>7.0171017621894483E-2</v>
      </c>
      <c r="AF83" s="503">
        <f>IF(終値!A83="","",IFERROR(4*STDEVP(終値!AI83:BB83)/AVERAGE(終値!AI83:BB83),""))</f>
        <v>7.5974584917564744E-2</v>
      </c>
      <c r="AG83" s="503">
        <f>IF(終値!A83="","",IFERROR(4*STDEVP(終値!AJ83:BC83)/AVERAGE(終値!AJ83:BC83),""))</f>
        <v>8.6096818449891963E-2</v>
      </c>
      <c r="AH83" s="503">
        <f>IF(終値!A83="","",IFERROR(4*STDEVP(終値!AK83:BD83)/AVERAGE(終値!AK83:BD83),""))</f>
        <v>9.0000650318621603E-2</v>
      </c>
      <c r="AI83" s="503">
        <f>IF(終値!A83="","",IFERROR(4*STDEVP(終値!AL83:BE83)/AVERAGE(終値!AL83:BE83),""))</f>
        <v>9.6991959122159424E-2</v>
      </c>
      <c r="AJ83" s="503">
        <f>IF(終値!A83="","",IFERROR(4*STDEVP(終値!AM83:BF83)/AVERAGE(終値!AM83:BF83),""))</f>
        <v>0.10268525096110767</v>
      </c>
      <c r="AK83" s="503">
        <f>IF(終値!A83="","",IFERROR(4*STDEVP(終値!AN83:BG83)/AVERAGE(終値!AN83:BG83),""))</f>
        <v>0.12992258579501931</v>
      </c>
      <c r="AL83" s="503">
        <f>IF(終値!A83="","",IFERROR(4*STDEVP(終値!AO83:BH83)/AVERAGE(終値!AO83:BH83),""))</f>
        <v>0.14867255622770401</v>
      </c>
      <c r="AM83" s="503">
        <f>IF(終値!A83="","",IFERROR(4*STDEVP(終値!AP83:BI83)/AVERAGE(終値!AP83:BI83),""))</f>
        <v>0.16032559753857428</v>
      </c>
      <c r="AN83" s="503">
        <f>IF(終値!A83="","",IFERROR(4*STDEVP(終値!AQ83:BJ83)/AVERAGE(終値!AQ83:BJ83),""))</f>
        <v>0.1715917586862368</v>
      </c>
      <c r="AO83" s="503">
        <f>IF(終値!A83="","",IFERROR(4*STDEVP(終値!AR83:BK83)/AVERAGE(終値!AR83:BK83),""))</f>
        <v>0.17756178676179724</v>
      </c>
      <c r="AP83" s="503">
        <f>IF(終値!A83="","",IFERROR(4*STDEVP(終値!AS83:BL83)/AVERAGE(終値!AS83:BL83),""))</f>
        <v>0.17305041146687294</v>
      </c>
    </row>
    <row r="84" spans="1:42">
      <c r="A84" s="500" t="str">
        <f>IF(終値!A84="","",終値!A84)</f>
        <v>5411</v>
      </c>
      <c r="B84" s="503">
        <f>IF(終値!A84="","",IFERROR(4*STDEVP(終値!E84:X84)/AVERAGE(終値!E84:X84),""))</f>
        <v>0.18233592142938851</v>
      </c>
      <c r="C84" s="503">
        <f>IF(終値!A84="","",IFERROR(4*STDEVP(終値!F84:Y84)/AVERAGE(終値!F84:Y84),""))</f>
        <v>0.18955446456239392</v>
      </c>
      <c r="D84" s="503">
        <f>IF(終値!A84="","",IFERROR(4*STDEVP(終値!G84:Z84)/AVERAGE(終値!G84:Z84),""))</f>
        <v>0.19956085527786205</v>
      </c>
      <c r="E84" s="503">
        <f>IF(終値!A84="","",IFERROR(4*STDEVP(終値!H84:AA84)/AVERAGE(終値!H84:AA84),""))</f>
        <v>0.20592031206605627</v>
      </c>
      <c r="F84" s="503">
        <f>IF(終値!A84="","",IFERROR(4*STDEVP(終値!I84:AB84)/AVERAGE(終値!I84:AB84),""))</f>
        <v>0.19548831069630379</v>
      </c>
      <c r="G84" s="503">
        <f>IF(終値!A84="","",IFERROR(4*STDEVP(終値!J84:AC84)/AVERAGE(終値!J84:AC84),""))</f>
        <v>0.17512391352454457</v>
      </c>
      <c r="H84" s="503">
        <f>IF(終値!A84="","",IFERROR(4*STDEVP(終値!K84:AD84)/AVERAGE(終値!K84:AD84),""))</f>
        <v>0.16955958811013286</v>
      </c>
      <c r="I84" s="503">
        <f>IF(終値!A84="","",IFERROR(4*STDEVP(終値!L84:AE84)/AVERAGE(終値!L84:AE84),""))</f>
        <v>0.15542645865248289</v>
      </c>
      <c r="J84" s="503">
        <f>IF(終値!A84="","",IFERROR(4*STDEVP(終値!M84:AF84)/AVERAGE(終値!M84:AF84),""))</f>
        <v>0.15268055249202941</v>
      </c>
      <c r="K84" s="503">
        <f>IF(終値!A84="","",IFERROR(4*STDEVP(終値!N84:AG84)/AVERAGE(終値!N84:AG84),""))</f>
        <v>0.14597213196266212</v>
      </c>
      <c r="L84" s="503">
        <f>IF(終値!A84="","",IFERROR(4*STDEVP(終値!O84:AH84)/AVERAGE(終値!O84:AH84),""))</f>
        <v>0.13609399524777632</v>
      </c>
      <c r="M84" s="503">
        <f>IF(終値!A84="","",IFERROR(4*STDEVP(終値!P84:AI84)/AVERAGE(終値!P84:AI84),""))</f>
        <v>0.11646980576498779</v>
      </c>
      <c r="N84" s="503">
        <f>IF(終値!A84="","",IFERROR(4*STDEVP(終値!Q84:AJ84)/AVERAGE(終値!Q84:AJ84),""))</f>
        <v>0.10712046381123769</v>
      </c>
      <c r="O84" s="503">
        <f>IF(終値!A84="","",IFERROR(4*STDEVP(終値!R84:AK84)/AVERAGE(終値!R84:AK84),""))</f>
        <v>0.10043064002995408</v>
      </c>
      <c r="P84" s="503">
        <f>IF(終値!A84="","",IFERROR(4*STDEVP(終値!S84:AL84)/AVERAGE(終値!S84:AL84),""))</f>
        <v>9.723934113571446E-2</v>
      </c>
      <c r="Q84" s="503">
        <f>IF(終値!A84="","",IFERROR(4*STDEVP(終値!T84:AM84)/AVERAGE(終値!T84:AM84),""))</f>
        <v>9.948335816336705E-2</v>
      </c>
      <c r="R84" s="503">
        <f>IF(終値!A84="","",IFERROR(4*STDEVP(終値!U84:AN84)/AVERAGE(終値!U84:AN84),""))</f>
        <v>9.9030245114819698E-2</v>
      </c>
      <c r="S84" s="503">
        <f>IF(終値!A84="","",IFERROR(4*STDEVP(終値!V84:AO84)/AVERAGE(終値!V84:AO84),""))</f>
        <v>9.9861990288346636E-2</v>
      </c>
      <c r="T84" s="503">
        <f>IF(終値!A84="","",IFERROR(4*STDEVP(終値!W84:AP84)/AVERAGE(終値!W84:AP84),""))</f>
        <v>9.6611959123149765E-2</v>
      </c>
      <c r="U84" s="503">
        <f>IF(終値!A84="","",IFERROR(4*STDEVP(終値!X84:AQ84)/AVERAGE(終値!X84:AQ84),""))</f>
        <v>9.1351067317856291E-2</v>
      </c>
      <c r="V84" s="503">
        <f>IF(終値!A84="","",IFERROR(4*STDEVP(終値!Y84:AR84)/AVERAGE(終値!Y84:AR84),""))</f>
        <v>8.5467908822859623E-2</v>
      </c>
      <c r="W84" s="503">
        <f>IF(終値!A84="","",IFERROR(4*STDEVP(終値!Z84:AS84)/AVERAGE(終値!Z84:AS84),""))</f>
        <v>8.5500158094264186E-2</v>
      </c>
      <c r="X84" s="503">
        <f>IF(終値!A84="","",IFERROR(4*STDEVP(終値!AA84:AT84)/AVERAGE(終値!AA84:AT84),""))</f>
        <v>8.4659979043470446E-2</v>
      </c>
      <c r="Y84" s="503">
        <f>IF(終値!A84="","",IFERROR(4*STDEVP(終値!AB84:AU84)/AVERAGE(終値!AB84:AU84),""))</f>
        <v>8.1409712881682597E-2</v>
      </c>
      <c r="Z84" s="503">
        <f>IF(終値!A84="","",IFERROR(4*STDEVP(終値!AC84:AV84)/AVERAGE(終値!AC84:AV84),""))</f>
        <v>9.6916018673249713E-2</v>
      </c>
      <c r="AA84" s="503">
        <f>IF(終値!A84="","",IFERROR(4*STDEVP(終値!AD84:AW84)/AVERAGE(終値!AD84:AW84),""))</f>
        <v>0.10228886062920052</v>
      </c>
      <c r="AB84" s="503">
        <f>IF(終値!A84="","",IFERROR(4*STDEVP(終値!AE84:AX84)/AVERAGE(終値!AE84:AX84),""))</f>
        <v>0.10247151124011664</v>
      </c>
      <c r="AC84" s="503">
        <f>IF(終値!A84="","",IFERROR(4*STDEVP(終値!AF84:AY84)/AVERAGE(終値!AF84:AY84),""))</f>
        <v>9.4966207118595089E-2</v>
      </c>
      <c r="AD84" s="503">
        <f>IF(終値!A84="","",IFERROR(4*STDEVP(終値!AG84:AZ84)/AVERAGE(終値!AG84:AZ84),""))</f>
        <v>8.9006484881815284E-2</v>
      </c>
      <c r="AE84" s="503">
        <f>IF(終値!A84="","",IFERROR(4*STDEVP(終値!AH84:BA84)/AVERAGE(終値!AH84:BA84),""))</f>
        <v>8.3568977130043215E-2</v>
      </c>
      <c r="AF84" s="503">
        <f>IF(終値!A84="","",IFERROR(4*STDEVP(終値!AI84:BB84)/AVERAGE(終値!AI84:BB84),""))</f>
        <v>8.2919277997554205E-2</v>
      </c>
      <c r="AG84" s="503">
        <f>IF(終値!A84="","",IFERROR(4*STDEVP(終値!AJ84:BC84)/AVERAGE(終値!AJ84:BC84),""))</f>
        <v>8.5131895326590268E-2</v>
      </c>
      <c r="AH84" s="503">
        <f>IF(終値!A84="","",IFERROR(4*STDEVP(終値!AK84:BD84)/AVERAGE(終値!AK84:BD84),""))</f>
        <v>8.5610605792801983E-2</v>
      </c>
      <c r="AI84" s="503">
        <f>IF(終値!A84="","",IFERROR(4*STDEVP(終値!AL84:BE84)/AVERAGE(終値!AL84:BE84),""))</f>
        <v>8.9095800761571142E-2</v>
      </c>
      <c r="AJ84" s="503">
        <f>IF(終値!A84="","",IFERROR(4*STDEVP(終値!AM84:BF84)/AVERAGE(終値!AM84:BF84),""))</f>
        <v>9.3907182753292004E-2</v>
      </c>
      <c r="AK84" s="503">
        <f>IF(終値!A84="","",IFERROR(4*STDEVP(終値!AN84:BG84)/AVERAGE(終値!AN84:BG84),""))</f>
        <v>0.10402954914321567</v>
      </c>
      <c r="AL84" s="503">
        <f>IF(終値!A84="","",IFERROR(4*STDEVP(終値!AO84:BH84)/AVERAGE(終値!AO84:BH84),""))</f>
        <v>0.10527743794848091</v>
      </c>
      <c r="AM84" s="503">
        <f>IF(終値!A84="","",IFERROR(4*STDEVP(終値!AP84:BI84)/AVERAGE(終値!AP84:BI84),""))</f>
        <v>9.9765493879042072E-2</v>
      </c>
      <c r="AN84" s="503">
        <f>IF(終値!A84="","",IFERROR(4*STDEVP(終値!AQ84:BJ84)/AVERAGE(終値!AQ84:BJ84),""))</f>
        <v>0.10999781006487554</v>
      </c>
      <c r="AO84" s="503">
        <f>IF(終値!A84="","",IFERROR(4*STDEVP(終値!AR84:BK84)/AVERAGE(終値!AR84:BK84),""))</f>
        <v>0.10796470702302846</v>
      </c>
      <c r="AP84" s="503">
        <f>IF(終値!A84="","",IFERROR(4*STDEVP(終値!AS84:BL84)/AVERAGE(終値!AS84:BL84),""))</f>
        <v>0.10704783848040393</v>
      </c>
    </row>
    <row r="85" spans="1:42">
      <c r="A85" s="500" t="str">
        <f>IF(終値!A85="","",終値!A85)</f>
        <v>7182</v>
      </c>
      <c r="B85" s="503">
        <f>IF(終値!A85="","",IFERROR(4*STDEVP(終値!E85:X85)/AVERAGE(終値!E85:X85),""))</f>
        <v>0.13631534319698452</v>
      </c>
      <c r="C85" s="503">
        <f>IF(終値!A85="","",IFERROR(4*STDEVP(終値!F85:Y85)/AVERAGE(終値!F85:Y85),""))</f>
        <v>0.12730913898561613</v>
      </c>
      <c r="D85" s="503">
        <f>IF(終値!A85="","",IFERROR(4*STDEVP(終値!G85:Z85)/AVERAGE(終値!G85:Z85),""))</f>
        <v>0.12294713666234988</v>
      </c>
      <c r="E85" s="503">
        <f>IF(終値!A85="","",IFERROR(4*STDEVP(終値!H85:AA85)/AVERAGE(終値!H85:AA85),""))</f>
        <v>0.12561783251114775</v>
      </c>
      <c r="F85" s="503">
        <f>IF(終値!A85="","",IFERROR(4*STDEVP(終値!I85:AB85)/AVERAGE(終値!I85:AB85),""))</f>
        <v>0.13098730652040488</v>
      </c>
      <c r="G85" s="503">
        <f>IF(終値!A85="","",IFERROR(4*STDEVP(終値!J85:AC85)/AVERAGE(終値!J85:AC85),""))</f>
        <v>0.14100730941985873</v>
      </c>
      <c r="H85" s="503">
        <f>IF(終値!A85="","",IFERROR(4*STDEVP(終値!K85:AD85)/AVERAGE(終値!K85:AD85),""))</f>
        <v>0.15148859858851846</v>
      </c>
      <c r="I85" s="503">
        <f>IF(終値!A85="","",IFERROR(4*STDEVP(終値!L85:AE85)/AVERAGE(終値!L85:AE85),""))</f>
        <v>0.15607656616347304</v>
      </c>
      <c r="J85" s="503">
        <f>IF(終値!A85="","",IFERROR(4*STDEVP(終値!M85:AF85)/AVERAGE(終値!M85:AF85),""))</f>
        <v>0.15086374072365075</v>
      </c>
      <c r="K85" s="503">
        <f>IF(終値!A85="","",IFERROR(4*STDEVP(終値!N85:AG85)/AVERAGE(終値!N85:AG85),""))</f>
        <v>0.13786516263176873</v>
      </c>
      <c r="L85" s="503">
        <f>IF(終値!A85="","",IFERROR(4*STDEVP(終値!O85:AH85)/AVERAGE(終値!O85:AH85),""))</f>
        <v>0.12754738984570785</v>
      </c>
      <c r="M85" s="503">
        <f>IF(終値!A85="","",IFERROR(4*STDEVP(終値!P85:AI85)/AVERAGE(終値!P85:AI85),""))</f>
        <v>0.12148874456830991</v>
      </c>
      <c r="N85" s="503">
        <f>IF(終値!A85="","",IFERROR(4*STDEVP(終値!Q85:AJ85)/AVERAGE(終値!Q85:AJ85),""))</f>
        <v>0.12257644166884288</v>
      </c>
      <c r="O85" s="503">
        <f>IF(終値!A85="","",IFERROR(4*STDEVP(終値!R85:AK85)/AVERAGE(終値!R85:AK85),""))</f>
        <v>0.11793188897788752</v>
      </c>
      <c r="P85" s="503">
        <f>IF(終値!A85="","",IFERROR(4*STDEVP(終値!S85:AL85)/AVERAGE(終値!S85:AL85),""))</f>
        <v>0.11426496646634018</v>
      </c>
      <c r="Q85" s="503">
        <f>IF(終値!A85="","",IFERROR(4*STDEVP(終値!T85:AM85)/AVERAGE(終値!T85:AM85),""))</f>
        <v>0.11015072156641877</v>
      </c>
      <c r="R85" s="503">
        <f>IF(終値!A85="","",IFERROR(4*STDEVP(終値!U85:AN85)/AVERAGE(終値!U85:AN85),""))</f>
        <v>0.10836423093588103</v>
      </c>
      <c r="S85" s="503">
        <f>IF(終値!A85="","",IFERROR(4*STDEVP(終値!V85:AO85)/AVERAGE(終値!V85:AO85),""))</f>
        <v>0.10663942578060412</v>
      </c>
      <c r="T85" s="503">
        <f>IF(終値!A85="","",IFERROR(4*STDEVP(終値!W85:AP85)/AVERAGE(終値!W85:AP85),""))</f>
        <v>9.9845452860577055E-2</v>
      </c>
      <c r="U85" s="503">
        <f>IF(終値!A85="","",IFERROR(4*STDEVP(終値!X85:AQ85)/AVERAGE(終値!X85:AQ85),""))</f>
        <v>9.1940074045378545E-2</v>
      </c>
      <c r="V85" s="503">
        <f>IF(終値!A85="","",IFERROR(4*STDEVP(終値!Y85:AR85)/AVERAGE(終値!Y85:AR85),""))</f>
        <v>8.6982656767835884E-2</v>
      </c>
      <c r="W85" s="503">
        <f>IF(終値!A85="","",IFERROR(4*STDEVP(終値!Z85:AS85)/AVERAGE(終値!Z85:AS85),""))</f>
        <v>8.6642428869448271E-2</v>
      </c>
      <c r="X85" s="503">
        <f>IF(終値!A85="","",IFERROR(4*STDEVP(終値!AA85:AT85)/AVERAGE(終値!AA85:AT85),""))</f>
        <v>8.6658386756665082E-2</v>
      </c>
      <c r="Y85" s="503">
        <f>IF(終値!A85="","",IFERROR(4*STDEVP(終値!AB85:AU85)/AVERAGE(終値!AB85:AU85),""))</f>
        <v>8.8161420252730008E-2</v>
      </c>
      <c r="Z85" s="503">
        <f>IF(終値!A85="","",IFERROR(4*STDEVP(終値!AC85:AV85)/AVERAGE(終値!AC85:AV85),""))</f>
        <v>8.7678650711221995E-2</v>
      </c>
      <c r="AA85" s="503">
        <f>IF(終値!A85="","",IFERROR(4*STDEVP(終値!AD85:AW85)/AVERAGE(終値!AD85:AW85),""))</f>
        <v>0.10094844322169413</v>
      </c>
      <c r="AB85" s="503">
        <f>IF(終値!A85="","",IFERROR(4*STDEVP(終値!AE85:AX85)/AVERAGE(終値!AE85:AX85),""))</f>
        <v>0.10687924549339636</v>
      </c>
      <c r="AC85" s="503">
        <f>IF(終値!A85="","",IFERROR(4*STDEVP(終値!AF85:AY85)/AVERAGE(終値!AF85:AY85),""))</f>
        <v>0.10440929280400139</v>
      </c>
      <c r="AD85" s="503">
        <f>IF(終値!A85="","",IFERROR(4*STDEVP(終値!AG85:AZ85)/AVERAGE(終値!AG85:AZ85),""))</f>
        <v>0.10430448011194848</v>
      </c>
      <c r="AE85" s="503">
        <f>IF(終値!A85="","",IFERROR(4*STDEVP(終値!AH85:BA85)/AVERAGE(終値!AH85:BA85),""))</f>
        <v>0.10358656525543269</v>
      </c>
      <c r="AF85" s="503">
        <f>IF(終値!A85="","",IFERROR(4*STDEVP(終値!AI85:BB85)/AVERAGE(終値!AI85:BB85),""))</f>
        <v>9.8896394233187898E-2</v>
      </c>
      <c r="AG85" s="503">
        <f>IF(終値!A85="","",IFERROR(4*STDEVP(終値!AJ85:BC85)/AVERAGE(終値!AJ85:BC85),""))</f>
        <v>0.10262504437880224</v>
      </c>
      <c r="AH85" s="503">
        <f>IF(終値!A85="","",IFERROR(4*STDEVP(終値!AK85:BD85)/AVERAGE(終値!AK85:BD85),""))</f>
        <v>9.839780095890302E-2</v>
      </c>
      <c r="AI85" s="503">
        <f>IF(終値!A85="","",IFERROR(4*STDEVP(終値!AL85:BE85)/AVERAGE(終値!AL85:BE85),""))</f>
        <v>0.12653536115299149</v>
      </c>
      <c r="AJ85" s="503">
        <f>IF(終値!A85="","",IFERROR(4*STDEVP(終値!AM85:BF85)/AVERAGE(終値!AM85:BF85),""))</f>
        <v>0.14479760852687545</v>
      </c>
      <c r="AK85" s="503">
        <f>IF(終値!A85="","",IFERROR(4*STDEVP(終値!AN85:BG85)/AVERAGE(終値!AN85:BG85),""))</f>
        <v>0.15490955717472968</v>
      </c>
      <c r="AL85" s="503">
        <f>IF(終値!A85="","",IFERROR(4*STDEVP(終値!AO85:BH85)/AVERAGE(終値!AO85:BH85),""))</f>
        <v>0.1611143236526609</v>
      </c>
      <c r="AM85" s="503">
        <f>IF(終値!A85="","",IFERROR(4*STDEVP(終値!AP85:BI85)/AVERAGE(終値!AP85:BI85),""))</f>
        <v>0.17574906944544991</v>
      </c>
      <c r="AN85" s="503">
        <f>IF(終値!A85="","",IFERROR(4*STDEVP(終値!AQ85:BJ85)/AVERAGE(終値!AQ85:BJ85),""))</f>
        <v>0.19145045106672601</v>
      </c>
      <c r="AO85" s="503">
        <f>IF(終値!A85="","",IFERROR(4*STDEVP(終値!AR85:BK85)/AVERAGE(終値!AR85:BK85),""))</f>
        <v>0.19618548454982329</v>
      </c>
      <c r="AP85" s="503">
        <f>IF(終値!A85="","",IFERROR(4*STDEVP(終値!AS85:BL85)/AVERAGE(終値!AS85:BL85),""))</f>
        <v>0.21327736165181493</v>
      </c>
    </row>
    <row r="86" spans="1:42">
      <c r="A86" s="500" t="str">
        <f>IF(終値!A86="","",終値!A86)</f>
        <v>1963</v>
      </c>
      <c r="B86" s="503">
        <f>IF(終値!A86="","",IFERROR(4*STDEVP(終値!E86:X86)/AVERAGE(終値!E86:X86),""))</f>
        <v>0.14039313782105112</v>
      </c>
      <c r="C86" s="503">
        <f>IF(終値!A86="","",IFERROR(4*STDEVP(終値!F86:Y86)/AVERAGE(終値!F86:Y86),""))</f>
        <v>0.15541082976681589</v>
      </c>
      <c r="D86" s="503">
        <f>IF(終値!A86="","",IFERROR(4*STDEVP(終値!G86:Z86)/AVERAGE(終値!G86:Z86),""))</f>
        <v>0.16558966979068857</v>
      </c>
      <c r="E86" s="503">
        <f>IF(終値!A86="","",IFERROR(4*STDEVP(終値!H86:AA86)/AVERAGE(終値!H86:AA86),""))</f>
        <v>0.17045921739515091</v>
      </c>
      <c r="F86" s="503">
        <f>IF(終値!A86="","",IFERROR(4*STDEVP(終値!I86:AB86)/AVERAGE(終値!I86:AB86),""))</f>
        <v>0.17182958769615386</v>
      </c>
      <c r="G86" s="503">
        <f>IF(終値!A86="","",IFERROR(4*STDEVP(終値!J86:AC86)/AVERAGE(終値!J86:AC86),""))</f>
        <v>0.17501037390009286</v>
      </c>
      <c r="H86" s="503">
        <f>IF(終値!A86="","",IFERROR(4*STDEVP(終値!K86:AD86)/AVERAGE(終値!K86:AD86),""))</f>
        <v>0.18043175109125681</v>
      </c>
      <c r="I86" s="503">
        <f>IF(終値!A86="","",IFERROR(4*STDEVP(終値!L86:AE86)/AVERAGE(終値!L86:AE86),""))</f>
        <v>0.18754007674833223</v>
      </c>
      <c r="J86" s="503">
        <f>IF(終値!A86="","",IFERROR(4*STDEVP(終値!M86:AF86)/AVERAGE(終値!M86:AF86),""))</f>
        <v>0.19235774125959304</v>
      </c>
      <c r="K86" s="503">
        <f>IF(終値!A86="","",IFERROR(4*STDEVP(終値!N86:AG86)/AVERAGE(終値!N86:AG86),""))</f>
        <v>0.20022816511424724</v>
      </c>
      <c r="L86" s="503">
        <f>IF(終値!A86="","",IFERROR(4*STDEVP(終値!O86:AH86)/AVERAGE(終値!O86:AH86),""))</f>
        <v>0.20319317317920088</v>
      </c>
      <c r="M86" s="503">
        <f>IF(終値!A86="","",IFERROR(4*STDEVP(終値!P86:AI86)/AVERAGE(終値!P86:AI86),""))</f>
        <v>0.21371026718096353</v>
      </c>
      <c r="N86" s="503">
        <f>IF(終値!A86="","",IFERROR(4*STDEVP(終値!Q86:AJ86)/AVERAGE(終値!Q86:AJ86),""))</f>
        <v>0.21963172047895074</v>
      </c>
      <c r="O86" s="503">
        <f>IF(終値!A86="","",IFERROR(4*STDEVP(終値!R86:AK86)/AVERAGE(終値!R86:AK86),""))</f>
        <v>0.22700466284033854</v>
      </c>
      <c r="P86" s="503">
        <f>IF(終値!A86="","",IFERROR(4*STDEVP(終値!S86:AL86)/AVERAGE(終値!S86:AL86),""))</f>
        <v>0.2137904011677737</v>
      </c>
      <c r="Q86" s="503">
        <f>IF(終値!A86="","",IFERROR(4*STDEVP(終値!T86:AM86)/AVERAGE(終値!T86:AM86),""))</f>
        <v>0.20094642610314634</v>
      </c>
      <c r="R86" s="503">
        <f>IF(終値!A86="","",IFERROR(4*STDEVP(終値!U86:AN86)/AVERAGE(終値!U86:AN86),""))</f>
        <v>0.18443868921436246</v>
      </c>
      <c r="S86" s="503">
        <f>IF(終値!A86="","",IFERROR(4*STDEVP(終値!V86:AO86)/AVERAGE(終値!V86:AO86),""))</f>
        <v>0.16814263974403912</v>
      </c>
      <c r="T86" s="503">
        <f>IF(終値!A86="","",IFERROR(4*STDEVP(終値!W86:AP86)/AVERAGE(終値!W86:AP86),""))</f>
        <v>0.14818328060731059</v>
      </c>
      <c r="U86" s="503">
        <f>IF(終値!A86="","",IFERROR(4*STDEVP(終値!X86:AQ86)/AVERAGE(終値!X86:AQ86),""))</f>
        <v>0.14326244527218532</v>
      </c>
      <c r="V86" s="503">
        <f>IF(終値!A86="","",IFERROR(4*STDEVP(終値!Y86:AR86)/AVERAGE(終値!Y86:AR86),""))</f>
        <v>0.14389313181069041</v>
      </c>
      <c r="W86" s="503">
        <f>IF(終値!A86="","",IFERROR(4*STDEVP(終値!Z86:AS86)/AVERAGE(終値!Z86:AS86),""))</f>
        <v>0.13952447121062939</v>
      </c>
      <c r="X86" s="503">
        <f>IF(終値!A86="","",IFERROR(4*STDEVP(終値!AA86:AT86)/AVERAGE(終値!AA86:AT86),""))</f>
        <v>0.13626024114628754</v>
      </c>
      <c r="Y86" s="503">
        <f>IF(終値!A86="","",IFERROR(4*STDEVP(終値!AB86:AU86)/AVERAGE(終値!AB86:AU86),""))</f>
        <v>0.12946924165927073</v>
      </c>
      <c r="Z86" s="503">
        <f>IF(終値!A86="","",IFERROR(4*STDEVP(終値!AC86:AV86)/AVERAGE(終値!AC86:AV86),""))</f>
        <v>0.12896671990353745</v>
      </c>
      <c r="AA86" s="503">
        <f>IF(終値!A86="","",IFERROR(4*STDEVP(終値!AD86:AW86)/AVERAGE(終値!AD86:AW86),""))</f>
        <v>0.12678251820323924</v>
      </c>
      <c r="AB86" s="503">
        <f>IF(終値!A86="","",IFERROR(4*STDEVP(終値!AE86:AX86)/AVERAGE(終値!AE86:AX86),""))</f>
        <v>0.12628687462118329</v>
      </c>
      <c r="AC86" s="503">
        <f>IF(終値!A86="","",IFERROR(4*STDEVP(終値!AF86:AY86)/AVERAGE(終値!AF86:AY86),""))</f>
        <v>0.14127398136933964</v>
      </c>
      <c r="AD86" s="503">
        <f>IF(終値!A86="","",IFERROR(4*STDEVP(終値!AG86:AZ86)/AVERAGE(終値!AG86:AZ86),""))</f>
        <v>0.14035276014405998</v>
      </c>
      <c r="AE86" s="503">
        <f>IF(終値!A86="","",IFERROR(4*STDEVP(終値!AH86:BA86)/AVERAGE(終値!AH86:BA86),""))</f>
        <v>0.13914768062428934</v>
      </c>
      <c r="AF86" s="503">
        <f>IF(終値!A86="","",IFERROR(4*STDEVP(終値!AI86:BB86)/AVERAGE(終値!AI86:BB86),""))</f>
        <v>0.13829781334176505</v>
      </c>
      <c r="AG86" s="503">
        <f>IF(終値!A86="","",IFERROR(4*STDEVP(終値!AJ86:BC86)/AVERAGE(終値!AJ86:BC86),""))</f>
        <v>0.13742985948153016</v>
      </c>
      <c r="AH86" s="503">
        <f>IF(終値!A86="","",IFERROR(4*STDEVP(終値!AK86:BD86)/AVERAGE(終値!AK86:BD86),""))</f>
        <v>0.13050267922169828</v>
      </c>
      <c r="AI86" s="503">
        <f>IF(終値!A86="","",IFERROR(4*STDEVP(終値!AL86:BE86)/AVERAGE(終値!AL86:BE86),""))</f>
        <v>0.12689756008409714</v>
      </c>
      <c r="AJ86" s="503">
        <f>IF(終値!A86="","",IFERROR(4*STDEVP(終値!AM86:BF86)/AVERAGE(終値!AM86:BF86),""))</f>
        <v>0.15295620453936901</v>
      </c>
      <c r="AK86" s="503">
        <f>IF(終値!A86="","",IFERROR(4*STDEVP(終値!AN86:BG86)/AVERAGE(終値!AN86:BG86),""))</f>
        <v>0.16398486029141249</v>
      </c>
      <c r="AL86" s="503">
        <f>IF(終値!A86="","",IFERROR(4*STDEVP(終値!AO86:BH86)/AVERAGE(終値!AO86:BH86),""))</f>
        <v>0.17531950744466851</v>
      </c>
      <c r="AM86" s="503">
        <f>IF(終値!A86="","",IFERROR(4*STDEVP(終値!AP86:BI86)/AVERAGE(終値!AP86:BI86),""))</f>
        <v>0.18189887216380604</v>
      </c>
      <c r="AN86" s="503">
        <f>IF(終値!A86="","",IFERROR(4*STDEVP(終値!AQ86:BJ86)/AVERAGE(終値!AQ86:BJ86),""))</f>
        <v>0.18417040053560124</v>
      </c>
      <c r="AO86" s="503">
        <f>IF(終値!A86="","",IFERROR(4*STDEVP(終値!AR86:BK86)/AVERAGE(終値!AR86:BK86),""))</f>
        <v>0.18871127718421277</v>
      </c>
      <c r="AP86" s="503">
        <f>IF(終値!A86="","",IFERROR(4*STDEVP(終値!AS86:BL86)/AVERAGE(終値!AS86:BL86),""))</f>
        <v>0.20345624385701383</v>
      </c>
    </row>
    <row r="87" spans="1:42">
      <c r="A87" s="500" t="str">
        <f>IF(終値!A87="","",終値!A87)</f>
        <v>2914</v>
      </c>
      <c r="B87" s="503">
        <f>IF(終値!A87="","",IFERROR(4*STDEVP(終値!E87:X87)/AVERAGE(終値!E87:X87),""))</f>
        <v>0.18785246331715882</v>
      </c>
      <c r="C87" s="503">
        <f>IF(終値!A87="","",IFERROR(4*STDEVP(終値!F87:Y87)/AVERAGE(終値!F87:Y87),""))</f>
        <v>0.18790936515411014</v>
      </c>
      <c r="D87" s="503">
        <f>IF(終値!A87="","",IFERROR(4*STDEVP(終値!G87:Z87)/AVERAGE(終値!G87:Z87),""))</f>
        <v>0.17366853387162848</v>
      </c>
      <c r="E87" s="503">
        <f>IF(終値!A87="","",IFERROR(4*STDEVP(終値!H87:AA87)/AVERAGE(終値!H87:AA87),""))</f>
        <v>0.14235636773253579</v>
      </c>
      <c r="F87" s="503">
        <f>IF(終値!A87="","",IFERROR(4*STDEVP(終値!I87:AB87)/AVERAGE(終値!I87:AB87),""))</f>
        <v>0.13813350849163855</v>
      </c>
      <c r="G87" s="503">
        <f>IF(終値!A87="","",IFERROR(4*STDEVP(終値!J87:AC87)/AVERAGE(終値!J87:AC87),""))</f>
        <v>0.12067422138759398</v>
      </c>
      <c r="H87" s="503">
        <f>IF(終値!A87="","",IFERROR(4*STDEVP(終値!K87:AD87)/AVERAGE(終値!K87:AD87),""))</f>
        <v>0.10622982085521437</v>
      </c>
      <c r="I87" s="503">
        <f>IF(終値!A87="","",IFERROR(4*STDEVP(終値!L87:AE87)/AVERAGE(終値!L87:AE87),""))</f>
        <v>0.10071815988381294</v>
      </c>
      <c r="J87" s="503">
        <f>IF(終値!A87="","",IFERROR(4*STDEVP(終値!M87:AF87)/AVERAGE(終値!M87:AF87),""))</f>
        <v>9.6280684650903781E-2</v>
      </c>
      <c r="K87" s="503">
        <f>IF(終値!A87="","",IFERROR(4*STDEVP(終値!N87:AG87)/AVERAGE(終値!N87:AG87),""))</f>
        <v>9.5720508371061386E-2</v>
      </c>
      <c r="L87" s="503">
        <f>IF(終値!A87="","",IFERROR(4*STDEVP(終値!O87:AH87)/AVERAGE(終値!O87:AH87),""))</f>
        <v>8.4553382783699421E-2</v>
      </c>
      <c r="M87" s="503">
        <f>IF(終値!A87="","",IFERROR(4*STDEVP(終値!P87:AI87)/AVERAGE(終値!P87:AI87),""))</f>
        <v>6.9381666109324808E-2</v>
      </c>
      <c r="N87" s="503">
        <f>IF(終値!A87="","",IFERROR(4*STDEVP(終値!Q87:AJ87)/AVERAGE(終値!Q87:AJ87),""))</f>
        <v>5.7111363442676283E-2</v>
      </c>
      <c r="O87" s="503">
        <f>IF(終値!A87="","",IFERROR(4*STDEVP(終値!R87:AK87)/AVERAGE(終値!R87:AK87),""))</f>
        <v>5.6827571662661738E-2</v>
      </c>
      <c r="P87" s="503">
        <f>IF(終値!A87="","",IFERROR(4*STDEVP(終値!S87:AL87)/AVERAGE(終値!S87:AL87),""))</f>
        <v>5.6583338126194219E-2</v>
      </c>
      <c r="Q87" s="503">
        <f>IF(終値!A87="","",IFERROR(4*STDEVP(終値!T87:AM87)/AVERAGE(終値!T87:AM87),""))</f>
        <v>5.6383991908492567E-2</v>
      </c>
      <c r="R87" s="503">
        <f>IF(終値!A87="","",IFERROR(4*STDEVP(終値!U87:AN87)/AVERAGE(終値!U87:AN87),""))</f>
        <v>5.8147058371268219E-2</v>
      </c>
      <c r="S87" s="503">
        <f>IF(終値!A87="","",IFERROR(4*STDEVP(終値!V87:AO87)/AVERAGE(終値!V87:AO87),""))</f>
        <v>6.530963089132702E-2</v>
      </c>
      <c r="T87" s="503">
        <f>IF(終値!A87="","",IFERROR(4*STDEVP(終値!W87:AP87)/AVERAGE(終値!W87:AP87),""))</f>
        <v>6.3950729113206359E-2</v>
      </c>
      <c r="U87" s="503">
        <f>IF(終値!A87="","",IFERROR(4*STDEVP(終値!X87:AQ87)/AVERAGE(終値!X87:AQ87),""))</f>
        <v>6.0921182110174145E-2</v>
      </c>
      <c r="V87" s="503">
        <f>IF(終値!A87="","",IFERROR(4*STDEVP(終値!Y87:AR87)/AVERAGE(終値!Y87:AR87),""))</f>
        <v>5.9723881340947416E-2</v>
      </c>
      <c r="W87" s="503">
        <f>IF(終値!A87="","",IFERROR(4*STDEVP(終値!Z87:AS87)/AVERAGE(終値!Z87:AS87),""))</f>
        <v>5.993846277023343E-2</v>
      </c>
      <c r="X87" s="503">
        <f>IF(終値!A87="","",IFERROR(4*STDEVP(終値!AA87:AT87)/AVERAGE(終値!AA87:AT87),""))</f>
        <v>6.028301522838253E-2</v>
      </c>
      <c r="Y87" s="503">
        <f>IF(終値!A87="","",IFERROR(4*STDEVP(終値!AB87:AU87)/AVERAGE(終値!AB87:AU87),""))</f>
        <v>5.9702609372955552E-2</v>
      </c>
      <c r="Z87" s="503">
        <f>IF(終値!A87="","",IFERROR(4*STDEVP(終値!AC87:AV87)/AVERAGE(終値!AC87:AV87),""))</f>
        <v>6.0708741894928052E-2</v>
      </c>
      <c r="AA87" s="503">
        <f>IF(終値!A87="","",IFERROR(4*STDEVP(終値!AD87:AW87)/AVERAGE(終値!AD87:AW87),""))</f>
        <v>6.0317053404357814E-2</v>
      </c>
      <c r="AB87" s="503">
        <f>IF(終値!A87="","",IFERROR(4*STDEVP(終値!AE87:AX87)/AVERAGE(終値!AE87:AX87),""))</f>
        <v>6.0524111400154811E-2</v>
      </c>
      <c r="AC87" s="503">
        <f>IF(終値!A87="","",IFERROR(4*STDEVP(終値!AF87:AY87)/AVERAGE(終値!AF87:AY87),""))</f>
        <v>5.7113070573290244E-2</v>
      </c>
      <c r="AD87" s="503">
        <f>IF(終値!A87="","",IFERROR(4*STDEVP(終値!AG87:AZ87)/AVERAGE(終値!AG87:AZ87),""))</f>
        <v>5.3456426935949986E-2</v>
      </c>
      <c r="AE87" s="503">
        <f>IF(終値!A87="","",IFERROR(4*STDEVP(終値!AH87:BA87)/AVERAGE(終値!AH87:BA87),""))</f>
        <v>5.0040049575081798E-2</v>
      </c>
      <c r="AF87" s="503">
        <f>IF(終値!A87="","",IFERROR(4*STDEVP(終値!AI87:BB87)/AVERAGE(終値!AI87:BB87),""))</f>
        <v>5.5344758415251112E-2</v>
      </c>
      <c r="AG87" s="503">
        <f>IF(終値!A87="","",IFERROR(4*STDEVP(終値!AJ87:BC87)/AVERAGE(終値!AJ87:BC87),""))</f>
        <v>7.0880819947195639E-2</v>
      </c>
      <c r="AH87" s="503">
        <f>IF(終値!A87="","",IFERROR(4*STDEVP(終値!AK87:BD87)/AVERAGE(終値!AK87:BD87),""))</f>
        <v>7.509371018531355E-2</v>
      </c>
      <c r="AI87" s="503">
        <f>IF(終値!A87="","",IFERROR(4*STDEVP(終値!AL87:BE87)/AVERAGE(終値!AL87:BE87),""))</f>
        <v>7.6091552472471874E-2</v>
      </c>
      <c r="AJ87" s="503">
        <f>IF(終値!A87="","",IFERROR(4*STDEVP(終値!AM87:BF87)/AVERAGE(終値!AM87:BF87),""))</f>
        <v>7.5939559665562428E-2</v>
      </c>
      <c r="AK87" s="503">
        <f>IF(終値!A87="","",IFERROR(4*STDEVP(終値!AN87:BG87)/AVERAGE(終値!AN87:BG87),""))</f>
        <v>7.4048940838159855E-2</v>
      </c>
      <c r="AL87" s="503">
        <f>IF(終値!A87="","",IFERROR(4*STDEVP(終値!AO87:BH87)/AVERAGE(終値!AO87:BH87),""))</f>
        <v>7.6330305633447934E-2</v>
      </c>
      <c r="AM87" s="503">
        <f>IF(終値!A87="","",IFERROR(4*STDEVP(終値!AP87:BI87)/AVERAGE(終値!AP87:BI87),""))</f>
        <v>7.4186468552276022E-2</v>
      </c>
      <c r="AN87" s="503">
        <f>IF(終値!A87="","",IFERROR(4*STDEVP(終値!AQ87:BJ87)/AVERAGE(終値!AQ87:BJ87),""))</f>
        <v>9.4020295254596195E-2</v>
      </c>
      <c r="AO87" s="503">
        <f>IF(終値!A87="","",IFERROR(4*STDEVP(終値!AR87:BK87)/AVERAGE(終値!AR87:BK87),""))</f>
        <v>9.9099361238026984E-2</v>
      </c>
      <c r="AP87" s="503">
        <f>IF(終値!A87="","",IFERROR(4*STDEVP(終値!AS87:BL87)/AVERAGE(終値!AS87:BL87),""))</f>
        <v>0.10305610273258524</v>
      </c>
    </row>
    <row r="88" spans="1:42">
      <c r="A88" s="500" t="str">
        <f>IF(終値!A88="","",終値!A88)</f>
        <v>3003</v>
      </c>
      <c r="B88" s="503">
        <f>IF(終値!A88="","",IFERROR(4*STDEVP(終値!E88:X88)/AVERAGE(終値!E88:X88),""))</f>
        <v>9.6252563405400893E-2</v>
      </c>
      <c r="C88" s="503">
        <f>IF(終値!A88="","",IFERROR(4*STDEVP(終値!F88:Y88)/AVERAGE(終値!F88:Y88),""))</f>
        <v>9.3045052754651095E-2</v>
      </c>
      <c r="D88" s="503">
        <f>IF(終値!A88="","",IFERROR(4*STDEVP(終値!G88:Z88)/AVERAGE(終値!G88:Z88),""))</f>
        <v>9.2329421171215967E-2</v>
      </c>
      <c r="E88" s="503">
        <f>IF(終値!A88="","",IFERROR(4*STDEVP(終値!H88:AA88)/AVERAGE(終値!H88:AA88),""))</f>
        <v>0.10959154955711654</v>
      </c>
      <c r="F88" s="503">
        <f>IF(終値!A88="","",IFERROR(4*STDEVP(終値!I88:AB88)/AVERAGE(終値!I88:AB88),""))</f>
        <v>0.11455815625885044</v>
      </c>
      <c r="G88" s="503">
        <f>IF(終値!A88="","",IFERROR(4*STDEVP(終値!J88:AC88)/AVERAGE(終値!J88:AC88),""))</f>
        <v>9.6655044033098492E-2</v>
      </c>
      <c r="H88" s="503">
        <f>IF(終値!A88="","",IFERROR(4*STDEVP(終値!K88:AD88)/AVERAGE(終値!K88:AD88),""))</f>
        <v>9.7175516323861399E-2</v>
      </c>
      <c r="I88" s="503">
        <f>IF(終値!A88="","",IFERROR(4*STDEVP(終値!L88:AE88)/AVERAGE(終値!L88:AE88),""))</f>
        <v>9.3816220120072777E-2</v>
      </c>
      <c r="J88" s="503">
        <f>IF(終値!A88="","",IFERROR(4*STDEVP(終値!M88:AF88)/AVERAGE(終値!M88:AF88),""))</f>
        <v>9.8813606193850517E-2</v>
      </c>
      <c r="K88" s="503">
        <f>IF(終値!A88="","",IFERROR(4*STDEVP(終値!N88:AG88)/AVERAGE(終値!N88:AG88),""))</f>
        <v>0.10263596660454838</v>
      </c>
      <c r="L88" s="503">
        <f>IF(終値!A88="","",IFERROR(4*STDEVP(終値!O88:AH88)/AVERAGE(終値!O88:AH88),""))</f>
        <v>0.1016403429569943</v>
      </c>
      <c r="M88" s="503">
        <f>IF(終値!A88="","",IFERROR(4*STDEVP(終値!P88:AI88)/AVERAGE(終値!P88:AI88),""))</f>
        <v>9.234610533906884E-2</v>
      </c>
      <c r="N88" s="503">
        <f>IF(終値!A88="","",IFERROR(4*STDEVP(終値!Q88:AJ88)/AVERAGE(終値!Q88:AJ88),""))</f>
        <v>8.8050877867980923E-2</v>
      </c>
      <c r="O88" s="503">
        <f>IF(終値!A88="","",IFERROR(4*STDEVP(終値!R88:AK88)/AVERAGE(終値!R88:AK88),""))</f>
        <v>8.1872610635618293E-2</v>
      </c>
      <c r="P88" s="503">
        <f>IF(終値!A88="","",IFERROR(4*STDEVP(終値!S88:AL88)/AVERAGE(終値!S88:AL88),""))</f>
        <v>7.567526471416551E-2</v>
      </c>
      <c r="Q88" s="503">
        <f>IF(終値!A88="","",IFERROR(4*STDEVP(終値!T88:AM88)/AVERAGE(終値!T88:AM88),""))</f>
        <v>7.2763056768588824E-2</v>
      </c>
      <c r="R88" s="503">
        <f>IF(終値!A88="","",IFERROR(4*STDEVP(終値!U88:AN88)/AVERAGE(終値!U88:AN88),""))</f>
        <v>7.0540082472812043E-2</v>
      </c>
      <c r="S88" s="503">
        <f>IF(終値!A88="","",IFERROR(4*STDEVP(終値!V88:AO88)/AVERAGE(終値!V88:AO88),""))</f>
        <v>6.75088954567101E-2</v>
      </c>
      <c r="T88" s="503">
        <f>IF(終値!A88="","",IFERROR(4*STDEVP(終値!W88:AP88)/AVERAGE(終値!W88:AP88),""))</f>
        <v>5.5729768470604485E-2</v>
      </c>
      <c r="U88" s="503">
        <f>IF(終値!A88="","",IFERROR(4*STDEVP(終値!X88:AQ88)/AVERAGE(終値!X88:AQ88),""))</f>
        <v>4.9897722879686419E-2</v>
      </c>
      <c r="V88" s="503">
        <f>IF(終値!A88="","",IFERROR(4*STDEVP(終値!Y88:AR88)/AVERAGE(終値!Y88:AR88),""))</f>
        <v>5.1187530062569819E-2</v>
      </c>
      <c r="W88" s="503">
        <f>IF(終値!A88="","",IFERROR(4*STDEVP(終値!Z88:AS88)/AVERAGE(終値!Z88:AS88),""))</f>
        <v>6.094819828014629E-2</v>
      </c>
      <c r="X88" s="503">
        <f>IF(終値!A88="","",IFERROR(4*STDEVP(終値!AA88:AT88)/AVERAGE(終値!AA88:AT88),""))</f>
        <v>6.5522585112276252E-2</v>
      </c>
      <c r="Y88" s="503">
        <f>IF(終値!A88="","",IFERROR(4*STDEVP(終値!AB88:AU88)/AVERAGE(終値!AB88:AU88),""))</f>
        <v>6.7421738008519361E-2</v>
      </c>
      <c r="Z88" s="503">
        <f>IF(終値!A88="","",IFERROR(4*STDEVP(終値!AC88:AV88)/AVERAGE(終値!AC88:AV88),""))</f>
        <v>6.7437568939550149E-2</v>
      </c>
      <c r="AA88" s="503">
        <f>IF(終値!A88="","",IFERROR(4*STDEVP(終値!AD88:AW88)/AVERAGE(終値!AD88:AW88),""))</f>
        <v>6.8142934163414964E-2</v>
      </c>
      <c r="AB88" s="503">
        <f>IF(終値!A88="","",IFERROR(4*STDEVP(終値!AE88:AX88)/AVERAGE(終値!AE88:AX88),""))</f>
        <v>6.8937059715321145E-2</v>
      </c>
      <c r="AC88" s="503">
        <f>IF(終値!A88="","",IFERROR(4*STDEVP(終値!AF88:AY88)/AVERAGE(終値!AF88:AY88),""))</f>
        <v>6.9512768922221913E-2</v>
      </c>
      <c r="AD88" s="503">
        <f>IF(終値!A88="","",IFERROR(4*STDEVP(終値!AG88:AZ88)/AVERAGE(終値!AG88:AZ88),""))</f>
        <v>7.2524584802318312E-2</v>
      </c>
      <c r="AE88" s="503">
        <f>IF(終値!A88="","",IFERROR(4*STDEVP(終値!AH88:BA88)/AVERAGE(終値!AH88:BA88),""))</f>
        <v>7.678366976225405E-2</v>
      </c>
      <c r="AF88" s="503">
        <f>IF(終値!A88="","",IFERROR(4*STDEVP(終値!AI88:BB88)/AVERAGE(終値!AI88:BB88),""))</f>
        <v>7.8618823277278038E-2</v>
      </c>
      <c r="AG88" s="503">
        <f>IF(終値!A88="","",IFERROR(4*STDEVP(終値!AJ88:BC88)/AVERAGE(終値!AJ88:BC88),""))</f>
        <v>8.3604640829641919E-2</v>
      </c>
      <c r="AH88" s="503">
        <f>IF(終値!A88="","",IFERROR(4*STDEVP(終値!AK88:BD88)/AVERAGE(終値!AK88:BD88),""))</f>
        <v>8.4164116518531992E-2</v>
      </c>
      <c r="AI88" s="503">
        <f>IF(終値!A88="","",IFERROR(4*STDEVP(終値!AL88:BE88)/AVERAGE(終値!AL88:BE88),""))</f>
        <v>9.0126488359393755E-2</v>
      </c>
      <c r="AJ88" s="503">
        <f>IF(終値!A88="","",IFERROR(4*STDEVP(終値!AM88:BF88)/AVERAGE(終値!AM88:BF88),""))</f>
        <v>9.5654709557089226E-2</v>
      </c>
      <c r="AK88" s="503">
        <f>IF(終値!A88="","",IFERROR(4*STDEVP(終値!AN88:BG88)/AVERAGE(終値!AN88:BG88),""))</f>
        <v>0.1072276719626903</v>
      </c>
      <c r="AL88" s="503">
        <f>IF(終値!A88="","",IFERROR(4*STDEVP(終値!AO88:BH88)/AVERAGE(終値!AO88:BH88),""))</f>
        <v>0.11742625169274065</v>
      </c>
      <c r="AM88" s="503">
        <f>IF(終値!A88="","",IFERROR(4*STDEVP(終値!AP88:BI88)/AVERAGE(終値!AP88:BI88),""))</f>
        <v>0.12402321455074496</v>
      </c>
      <c r="AN88" s="503">
        <f>IF(終値!A88="","",IFERROR(4*STDEVP(終値!AQ88:BJ88)/AVERAGE(終値!AQ88:BJ88),""))</f>
        <v>0.132329785450187</v>
      </c>
      <c r="AO88" s="503">
        <f>IF(終値!A88="","",IFERROR(4*STDEVP(終値!AR88:BK88)/AVERAGE(終値!AR88:BK88),""))</f>
        <v>0.14079242123831232</v>
      </c>
      <c r="AP88" s="503">
        <f>IF(終値!A88="","",IFERROR(4*STDEVP(終値!AS88:BL88)/AVERAGE(終値!AS88:BL88),""))</f>
        <v>0.14119735873594788</v>
      </c>
    </row>
    <row r="89" spans="1:42">
      <c r="A89" s="500" t="str">
        <f>IF(終値!A89="","",終値!A89)</f>
        <v>5892</v>
      </c>
      <c r="B89" s="503">
        <f>IF(終値!A89="","",IFERROR(4*STDEVP(終値!E89:X89)/AVERAGE(終値!E89:X89),""))</f>
        <v>9.3434510887378502E-2</v>
      </c>
      <c r="C89" s="503">
        <f>IF(終値!A89="","",IFERROR(4*STDEVP(終値!F89:Y89)/AVERAGE(終値!F89:Y89),""))</f>
        <v>9.4251718586312414E-2</v>
      </c>
      <c r="D89" s="503">
        <f>IF(終値!A89="","",IFERROR(4*STDEVP(終値!G89:Z89)/AVERAGE(終値!G89:Z89),""))</f>
        <v>8.6619727171057093E-2</v>
      </c>
      <c r="E89" s="503">
        <f>IF(終値!A89="","",IFERROR(4*STDEVP(終値!H89:AA89)/AVERAGE(終値!H89:AA89),""))</f>
        <v>8.3169167343825734E-2</v>
      </c>
      <c r="F89" s="503">
        <f>IF(終値!A89="","",IFERROR(4*STDEVP(終値!I89:AB89)/AVERAGE(終値!I89:AB89),""))</f>
        <v>8.1637282519399459E-2</v>
      </c>
      <c r="G89" s="503">
        <f>IF(終値!A89="","",IFERROR(4*STDEVP(終値!J89:AC89)/AVERAGE(終値!J89:AC89),""))</f>
        <v>8.1866898197032398E-2</v>
      </c>
      <c r="H89" s="503">
        <f>IF(終値!A89="","",IFERROR(4*STDEVP(終値!K89:AD89)/AVERAGE(終値!K89:AD89),""))</f>
        <v>8.6297568475926262E-2</v>
      </c>
      <c r="I89" s="503">
        <f>IF(終値!A89="","",IFERROR(4*STDEVP(終値!L89:AE89)/AVERAGE(終値!L89:AE89),""))</f>
        <v>8.8336369610721943E-2</v>
      </c>
      <c r="J89" s="503">
        <f>IF(終値!A89="","",IFERROR(4*STDEVP(終値!M89:AF89)/AVERAGE(終値!M89:AF89),""))</f>
        <v>8.3030347087328038E-2</v>
      </c>
      <c r="K89" s="503">
        <f>IF(終値!A89="","",IFERROR(4*STDEVP(終値!N89:AG89)/AVERAGE(終値!N89:AG89),""))</f>
        <v>7.5571662062563244E-2</v>
      </c>
      <c r="L89" s="503">
        <f>IF(終値!A89="","",IFERROR(4*STDEVP(終値!O89:AH89)/AVERAGE(終値!O89:AH89),""))</f>
        <v>7.480551555947608E-2</v>
      </c>
      <c r="M89" s="503">
        <f>IF(終値!A89="","",IFERROR(4*STDEVP(終値!P89:AI89)/AVERAGE(終値!P89:AI89),""))</f>
        <v>7.4536618579184949E-2</v>
      </c>
      <c r="N89" s="503">
        <f>IF(終値!A89="","",IFERROR(4*STDEVP(終値!Q89:AJ89)/AVERAGE(終値!Q89:AJ89),""))</f>
        <v>7.3901216004219103E-2</v>
      </c>
      <c r="O89" s="503">
        <f>IF(終値!A89="","",IFERROR(4*STDEVP(終値!R89:AK89)/AVERAGE(終値!R89:AK89),""))</f>
        <v>9.2556276588922487E-2</v>
      </c>
      <c r="P89" s="503">
        <f>IF(終値!A89="","",IFERROR(4*STDEVP(終値!S89:AL89)/AVERAGE(終値!S89:AL89),""))</f>
        <v>9.2466769945246358E-2</v>
      </c>
      <c r="Q89" s="503">
        <f>IF(終値!A89="","",IFERROR(4*STDEVP(終値!T89:AM89)/AVERAGE(終値!T89:AM89),""))</f>
        <v>0.10452387632765434</v>
      </c>
      <c r="R89" s="503">
        <f>IF(終値!A89="","",IFERROR(4*STDEVP(終値!U89:AN89)/AVERAGE(終値!U89:AN89),""))</f>
        <v>0.10616641505960799</v>
      </c>
      <c r="S89" s="503">
        <f>IF(終値!A89="","",IFERROR(4*STDEVP(終値!V89:AO89)/AVERAGE(終値!V89:AO89),""))</f>
        <v>0.11027181891743192</v>
      </c>
      <c r="T89" s="503">
        <f>IF(終値!A89="","",IFERROR(4*STDEVP(終値!W89:AP89)/AVERAGE(終値!W89:AP89),""))</f>
        <v>0.12581253338595305</v>
      </c>
      <c r="U89" s="503">
        <f>IF(終値!A89="","",IFERROR(4*STDEVP(終値!X89:AQ89)/AVERAGE(終値!X89:AQ89),""))</f>
        <v>0.14313854389748892</v>
      </c>
      <c r="V89" s="503">
        <f>IF(終値!A89="","",IFERROR(4*STDEVP(終値!Y89:AR89)/AVERAGE(終値!Y89:AR89),""))</f>
        <v>0.19152617986050122</v>
      </c>
      <c r="W89" s="503">
        <f>IF(終値!A89="","",IFERROR(4*STDEVP(終値!Z89:AS89)/AVERAGE(終値!Z89:AS89),""))</f>
        <v>0.1964006735110253</v>
      </c>
      <c r="X89" s="503">
        <f>IF(終値!A89="","",IFERROR(4*STDEVP(終値!AA89:AT89)/AVERAGE(終値!AA89:AT89),""))</f>
        <v>0.19758982205215272</v>
      </c>
      <c r="Y89" s="503">
        <f>IF(終値!A89="","",IFERROR(4*STDEVP(終値!AB89:AU89)/AVERAGE(終値!AB89:AU89),""))</f>
        <v>0.19655773201074256</v>
      </c>
      <c r="Z89" s="503">
        <f>IF(終値!A89="","",IFERROR(4*STDEVP(終値!AC89:AV89)/AVERAGE(終値!AC89:AV89),""))</f>
        <v>0.21107443213458293</v>
      </c>
      <c r="AA89" s="503">
        <f>IF(終値!A89="","",IFERROR(4*STDEVP(終値!AD89:AW89)/AVERAGE(終値!AD89:AW89),""))</f>
        <v>0.22693819491754436</v>
      </c>
      <c r="AB89" s="503">
        <f>IF(終値!A89="","",IFERROR(4*STDEVP(終値!AE89:AX89)/AVERAGE(終値!AE89:AX89),""))</f>
        <v>0.24094722740197325</v>
      </c>
      <c r="AC89" s="503">
        <f>IF(終値!A89="","",IFERROR(4*STDEVP(終値!AF89:AY89)/AVERAGE(終値!AF89:AY89),""))</f>
        <v>0.25264520038587857</v>
      </c>
      <c r="AD89" s="503">
        <f>IF(終値!A89="","",IFERROR(4*STDEVP(終値!AG89:AZ89)/AVERAGE(終値!AG89:AZ89),""))</f>
        <v>0.25618543656126985</v>
      </c>
      <c r="AE89" s="503">
        <f>IF(終値!A89="","",IFERROR(4*STDEVP(終値!AH89:BA89)/AVERAGE(終値!AH89:BA89),""))</f>
        <v>0.27320234709441049</v>
      </c>
      <c r="AF89" s="503">
        <f>IF(終値!A89="","",IFERROR(4*STDEVP(終値!AI89:BB89)/AVERAGE(終値!AI89:BB89),""))</f>
        <v>0.296219888329329</v>
      </c>
      <c r="AG89" s="503">
        <f>IF(終値!A89="","",IFERROR(4*STDEVP(終値!AJ89:BC89)/AVERAGE(終値!AJ89:BC89),""))</f>
        <v>0.32414335000652783</v>
      </c>
      <c r="AH89" s="503">
        <f>IF(終値!A89="","",IFERROR(4*STDEVP(終値!AK89:BD89)/AVERAGE(終値!AK89:BD89),""))</f>
        <v>0.33512097663062812</v>
      </c>
      <c r="AI89" s="503">
        <f>IF(終値!A89="","",IFERROR(4*STDEVP(終値!AL89:BE89)/AVERAGE(終値!AL89:BE89),""))</f>
        <v>0.33404913790617813</v>
      </c>
      <c r="AJ89" s="503">
        <f>IF(終値!A89="","",IFERROR(4*STDEVP(終値!AM89:BF89)/AVERAGE(終値!AM89:BF89),""))</f>
        <v>0.3414481810168839</v>
      </c>
      <c r="AK89" s="503">
        <f>IF(終値!A89="","",IFERROR(4*STDEVP(終値!AN89:BG89)/AVERAGE(終値!AN89:BG89),""))</f>
        <v>0.32224126124331037</v>
      </c>
      <c r="AL89" s="503">
        <f>IF(終値!A89="","",IFERROR(4*STDEVP(終値!AO89:BH89)/AVERAGE(終値!AO89:BH89),""))</f>
        <v>0.3326535448265438</v>
      </c>
      <c r="AM89" s="503">
        <f>IF(終値!A89="","",IFERROR(4*STDEVP(終値!AP89:BI89)/AVERAGE(終値!AP89:BI89),""))</f>
        <v>0.35632845502126309</v>
      </c>
      <c r="AN89" s="503">
        <f>IF(終値!A89="","",IFERROR(4*STDEVP(終値!AQ89:BJ89)/AVERAGE(終値!AQ89:BJ89),""))</f>
        <v>0.37648611013106753</v>
      </c>
      <c r="AO89" s="503">
        <f>IF(終値!A89="","",IFERROR(4*STDEVP(終値!AR89:BK89)/AVERAGE(終値!AR89:BK89),""))</f>
        <v>0.39535623608637105</v>
      </c>
      <c r="AP89" s="503">
        <f>IF(終値!A89="","",IFERROR(4*STDEVP(終値!AS89:BL89)/AVERAGE(終値!AS89:BL89),""))</f>
        <v>0.40912304321337067</v>
      </c>
    </row>
    <row r="90" spans="1:42">
      <c r="A90" s="500" t="str">
        <f>IF(終値!A90="","",終値!A90)</f>
        <v>6323</v>
      </c>
      <c r="B90" s="503">
        <f>IF(終値!A90="","",IFERROR(4*STDEVP(終値!E90:X90)/AVERAGE(終値!E90:X90),""))</f>
        <v>0.36779676267987921</v>
      </c>
      <c r="C90" s="503">
        <f>IF(終値!A90="","",IFERROR(4*STDEVP(終値!F90:Y90)/AVERAGE(終値!F90:Y90),""))</f>
        <v>0.38473774401072791</v>
      </c>
      <c r="D90" s="503">
        <f>IF(終値!A90="","",IFERROR(4*STDEVP(終値!G90:Z90)/AVERAGE(終値!G90:Z90),""))</f>
        <v>0.37826603564395356</v>
      </c>
      <c r="E90" s="503">
        <f>IF(終値!A90="","",IFERROR(4*STDEVP(終値!H90:AA90)/AVERAGE(終値!H90:AA90),""))</f>
        <v>0.3863051022240741</v>
      </c>
      <c r="F90" s="503">
        <f>IF(終値!A90="","",IFERROR(4*STDEVP(終値!I90:AB90)/AVERAGE(終値!I90:AB90),""))</f>
        <v>0.32186097960253823</v>
      </c>
      <c r="G90" s="503">
        <f>IF(終値!A90="","",IFERROR(4*STDEVP(終値!J90:AC90)/AVERAGE(終値!J90:AC90),""))</f>
        <v>0.23448980363251734</v>
      </c>
      <c r="H90" s="503">
        <f>IF(終値!A90="","",IFERROR(4*STDEVP(終値!K90:AD90)/AVERAGE(終値!K90:AD90),""))</f>
        <v>0.17942770743172218</v>
      </c>
      <c r="I90" s="503">
        <f>IF(終値!A90="","",IFERROR(4*STDEVP(終値!L90:AE90)/AVERAGE(終値!L90:AE90),""))</f>
        <v>0.18238052085312106</v>
      </c>
      <c r="J90" s="503">
        <f>IF(終値!A90="","",IFERROR(4*STDEVP(終値!M90:AF90)/AVERAGE(終値!M90:AF90),""))</f>
        <v>0.17980380055438247</v>
      </c>
      <c r="K90" s="503">
        <f>IF(終値!A90="","",IFERROR(4*STDEVP(終値!N90:AG90)/AVERAGE(終値!N90:AG90),""))</f>
        <v>0.18015930274577802</v>
      </c>
      <c r="L90" s="503">
        <f>IF(終値!A90="","",IFERROR(4*STDEVP(終値!O90:AH90)/AVERAGE(終値!O90:AH90),""))</f>
        <v>0.19123518620032384</v>
      </c>
      <c r="M90" s="503">
        <f>IF(終値!A90="","",IFERROR(4*STDEVP(終値!P90:AI90)/AVERAGE(終値!P90:AI90),""))</f>
        <v>0.18356844988104346</v>
      </c>
      <c r="N90" s="503">
        <f>IF(終値!A90="","",IFERROR(4*STDEVP(終値!Q90:AJ90)/AVERAGE(終値!Q90:AJ90),""))</f>
        <v>0.17623124777529139</v>
      </c>
      <c r="O90" s="503">
        <f>IF(終値!A90="","",IFERROR(4*STDEVP(終値!R90:AK90)/AVERAGE(終値!R90:AK90),""))</f>
        <v>0.17208044690819879</v>
      </c>
      <c r="P90" s="503">
        <f>IF(終値!A90="","",IFERROR(4*STDEVP(終値!S90:AL90)/AVERAGE(終値!S90:AL90),""))</f>
        <v>0.17618577128017077</v>
      </c>
      <c r="Q90" s="503">
        <f>IF(終値!A90="","",IFERROR(4*STDEVP(終値!T90:AM90)/AVERAGE(終値!T90:AM90),""))</f>
        <v>0.17947007349913335</v>
      </c>
      <c r="R90" s="503">
        <f>IF(終値!A90="","",IFERROR(4*STDEVP(終値!U90:AN90)/AVERAGE(終値!U90:AN90),""))</f>
        <v>0.20356363311869871</v>
      </c>
      <c r="S90" s="503">
        <f>IF(終値!A90="","",IFERROR(4*STDEVP(終値!V90:AO90)/AVERAGE(終値!V90:AO90),""))</f>
        <v>0.25557053817977726</v>
      </c>
      <c r="T90" s="503">
        <f>IF(終値!A90="","",IFERROR(4*STDEVP(終値!W90:AP90)/AVERAGE(終値!W90:AP90),""))</f>
        <v>0.28952181690870621</v>
      </c>
      <c r="U90" s="503">
        <f>IF(終値!A90="","",IFERROR(4*STDEVP(終値!X90:AQ90)/AVERAGE(終値!X90:AQ90),""))</f>
        <v>0.31458861528895127</v>
      </c>
      <c r="V90" s="503">
        <f>IF(終値!A90="","",IFERROR(4*STDEVP(終値!Y90:AR90)/AVERAGE(終値!Y90:AR90),""))</f>
        <v>0.32023381006546231</v>
      </c>
      <c r="W90" s="503">
        <f>IF(終値!A90="","",IFERROR(4*STDEVP(終値!Z90:AS90)/AVERAGE(終値!Z90:AS90),""))</f>
        <v>0.31184090670929254</v>
      </c>
      <c r="X90" s="503">
        <f>IF(終値!A90="","",IFERROR(4*STDEVP(終値!AA90:AT90)/AVERAGE(終値!AA90:AT90),""))</f>
        <v>0.31590628645188085</v>
      </c>
      <c r="Y90" s="503">
        <f>IF(終値!A90="","",IFERROR(4*STDEVP(終値!AB90:AU90)/AVERAGE(終値!AB90:AU90),""))</f>
        <v>0.31980765145805951</v>
      </c>
      <c r="Z90" s="503">
        <f>IF(終値!A90="","",IFERROR(4*STDEVP(終値!AC90:AV90)/AVERAGE(終値!AC90:AV90),""))</f>
        <v>0.32473088528090915</v>
      </c>
      <c r="AA90" s="503">
        <f>IF(終値!A90="","",IFERROR(4*STDEVP(終値!AD90:AW90)/AVERAGE(終値!AD90:AW90),""))</f>
        <v>0.33948394442704538</v>
      </c>
      <c r="AB90" s="503">
        <f>IF(終値!A90="","",IFERROR(4*STDEVP(終値!AE90:AX90)/AVERAGE(終値!AE90:AX90),""))</f>
        <v>0.35287923061716181</v>
      </c>
      <c r="AC90" s="503">
        <f>IF(終値!A90="","",IFERROR(4*STDEVP(終値!AF90:AY90)/AVERAGE(終値!AF90:AY90),""))</f>
        <v>0.34318030770052904</v>
      </c>
      <c r="AD90" s="503">
        <f>IF(終値!A90="","",IFERROR(4*STDEVP(終値!AG90:AZ90)/AVERAGE(終値!AG90:AZ90),""))</f>
        <v>0.35177725021502987</v>
      </c>
      <c r="AE90" s="503">
        <f>IF(終値!A90="","",IFERROR(4*STDEVP(終値!AH90:BA90)/AVERAGE(終値!AH90:BA90),""))</f>
        <v>0.36117123910992932</v>
      </c>
      <c r="AF90" s="503">
        <f>IF(終値!A90="","",IFERROR(4*STDEVP(終値!AI90:BB90)/AVERAGE(終値!AI90:BB90),""))</f>
        <v>0.3498229522889808</v>
      </c>
      <c r="AG90" s="503">
        <f>IF(終値!A90="","",IFERROR(4*STDEVP(終値!AJ90:BC90)/AVERAGE(終値!AJ90:BC90),""))</f>
        <v>0.33075577195689815</v>
      </c>
      <c r="AH90" s="503">
        <f>IF(終値!A90="","",IFERROR(4*STDEVP(終値!AK90:BD90)/AVERAGE(終値!AK90:BD90),""))</f>
        <v>0.29561197495042735</v>
      </c>
      <c r="AI90" s="503">
        <f>IF(終値!A90="","",IFERROR(4*STDEVP(終値!AL90:BE90)/AVERAGE(終値!AL90:BE90),""))</f>
        <v>0.27508372497050904</v>
      </c>
      <c r="AJ90" s="503">
        <f>IF(終値!A90="","",IFERROR(4*STDEVP(終値!AM90:BF90)/AVERAGE(終値!AM90:BF90),""))</f>
        <v>0.25654148981245933</v>
      </c>
      <c r="AK90" s="503">
        <f>IF(終値!A90="","",IFERROR(4*STDEVP(終値!AN90:BG90)/AVERAGE(終値!AN90:BG90),""))</f>
        <v>0.22232822832722232</v>
      </c>
      <c r="AL90" s="503">
        <f>IF(終値!A90="","",IFERROR(4*STDEVP(終値!AO90:BH90)/AVERAGE(終値!AO90:BH90),""))</f>
        <v>0.21573928240127796</v>
      </c>
      <c r="AM90" s="503">
        <f>IF(終値!A90="","",IFERROR(4*STDEVP(終値!AP90:BI90)/AVERAGE(終値!AP90:BI90),""))</f>
        <v>0.21661083706113124</v>
      </c>
      <c r="AN90" s="503">
        <f>IF(終値!A90="","",IFERROR(4*STDEVP(終値!AQ90:BJ90)/AVERAGE(終値!AQ90:BJ90),""))</f>
        <v>0.21626955368812589</v>
      </c>
      <c r="AO90" s="503">
        <f>IF(終値!A90="","",IFERROR(4*STDEVP(終値!AR90:BK90)/AVERAGE(終値!AR90:BK90),""))</f>
        <v>0.21630203096620645</v>
      </c>
      <c r="AP90" s="503">
        <f>IF(終値!A90="","",IFERROR(4*STDEVP(終値!AS90:BL90)/AVERAGE(終値!AS90:BL90),""))</f>
        <v>0.20975306458074705</v>
      </c>
    </row>
    <row r="91" spans="1:42">
      <c r="A91" s="500" t="str">
        <f>IF(終値!A91="","",終値!A91)</f>
        <v>6501</v>
      </c>
      <c r="B91" s="503">
        <f>IF(終値!A91="","",IFERROR(4*STDEVP(終値!E91:X91)/AVERAGE(終値!E91:X91),""))</f>
        <v>0.17163573833719123</v>
      </c>
      <c r="C91" s="503">
        <f>IF(終値!A91="","",IFERROR(4*STDEVP(終値!F91:Y91)/AVERAGE(終値!F91:Y91),""))</f>
        <v>0.1546937365392668</v>
      </c>
      <c r="D91" s="503">
        <f>IF(終値!A91="","",IFERROR(4*STDEVP(終値!G91:Z91)/AVERAGE(終値!G91:Z91),""))</f>
        <v>0.13821356817155869</v>
      </c>
      <c r="E91" s="503">
        <f>IF(終値!A91="","",IFERROR(4*STDEVP(終値!H91:AA91)/AVERAGE(終値!H91:AA91),""))</f>
        <v>0.12917294362517617</v>
      </c>
      <c r="F91" s="503">
        <f>IF(終値!A91="","",IFERROR(4*STDEVP(終値!I91:AB91)/AVERAGE(終値!I91:AB91),""))</f>
        <v>0.11411465011615138</v>
      </c>
      <c r="G91" s="503">
        <f>IF(終値!A91="","",IFERROR(4*STDEVP(終値!J91:AC91)/AVERAGE(終値!J91:AC91),""))</f>
        <v>0.12017752132567687</v>
      </c>
      <c r="H91" s="503">
        <f>IF(終値!A91="","",IFERROR(4*STDEVP(終値!K91:AD91)/AVERAGE(終値!K91:AD91),""))</f>
        <v>0.12713311299944563</v>
      </c>
      <c r="I91" s="503">
        <f>IF(終値!A91="","",IFERROR(4*STDEVP(終値!L91:AE91)/AVERAGE(終値!L91:AE91),""))</f>
        <v>0.11775772218719747</v>
      </c>
      <c r="J91" s="503">
        <f>IF(終値!A91="","",IFERROR(4*STDEVP(終値!M91:AF91)/AVERAGE(終値!M91:AF91),""))</f>
        <v>0.11447462584160072</v>
      </c>
      <c r="K91" s="503">
        <f>IF(終値!A91="","",IFERROR(4*STDEVP(終値!N91:AG91)/AVERAGE(終値!N91:AG91),""))</f>
        <v>0.1109729717923132</v>
      </c>
      <c r="L91" s="503">
        <f>IF(終値!A91="","",IFERROR(4*STDEVP(終値!O91:AH91)/AVERAGE(終値!O91:AH91),""))</f>
        <v>0.11354133747721119</v>
      </c>
      <c r="M91" s="503">
        <f>IF(終値!A91="","",IFERROR(4*STDEVP(終値!P91:AI91)/AVERAGE(終値!P91:AI91),""))</f>
        <v>0.11281404711865228</v>
      </c>
      <c r="N91" s="503">
        <f>IF(終値!A91="","",IFERROR(4*STDEVP(終値!Q91:AJ91)/AVERAGE(終値!Q91:AJ91),""))</f>
        <v>0.1144061216829261</v>
      </c>
      <c r="O91" s="503">
        <f>IF(終値!A91="","",IFERROR(4*STDEVP(終値!R91:AK91)/AVERAGE(終値!R91:AK91),""))</f>
        <v>0.11287857701102133</v>
      </c>
      <c r="P91" s="503">
        <f>IF(終値!A91="","",IFERROR(4*STDEVP(終値!S91:AL91)/AVERAGE(終値!S91:AL91),""))</f>
        <v>0.11144889066400297</v>
      </c>
      <c r="Q91" s="503">
        <f>IF(終値!A91="","",IFERROR(4*STDEVP(終値!T91:AM91)/AVERAGE(終値!T91:AM91),""))</f>
        <v>0.11167536205922635</v>
      </c>
      <c r="R91" s="503">
        <f>IF(終値!A91="","",IFERROR(4*STDEVP(終値!U91:AN91)/AVERAGE(終値!U91:AN91),""))</f>
        <v>0.11187671953371475</v>
      </c>
      <c r="S91" s="503">
        <f>IF(終値!A91="","",IFERROR(4*STDEVP(終値!V91:AO91)/AVERAGE(終値!V91:AO91),""))</f>
        <v>0.11129555491030303</v>
      </c>
      <c r="T91" s="503">
        <f>IF(終値!A91="","",IFERROR(4*STDEVP(終値!W91:AP91)/AVERAGE(終値!W91:AP91),""))</f>
        <v>0.11148067861675094</v>
      </c>
      <c r="U91" s="503">
        <f>IF(終値!A91="","",IFERROR(4*STDEVP(終値!X91:AQ91)/AVERAGE(終値!X91:AQ91),""))</f>
        <v>0.11981111397047252</v>
      </c>
      <c r="V91" s="503">
        <f>IF(終値!A91="","",IFERROR(4*STDEVP(終値!Y91:AR91)/AVERAGE(終値!Y91:AR91),""))</f>
        <v>0.16361906882999117</v>
      </c>
      <c r="W91" s="503">
        <f>IF(終値!A91="","",IFERROR(4*STDEVP(終値!Z91:AS91)/AVERAGE(終値!Z91:AS91),""))</f>
        <v>0.18280644754780428</v>
      </c>
      <c r="X91" s="503">
        <f>IF(終値!A91="","",IFERROR(4*STDEVP(終値!AA91:AT91)/AVERAGE(終値!AA91:AT91),""))</f>
        <v>0.20499078748376887</v>
      </c>
      <c r="Y91" s="503">
        <f>IF(終値!A91="","",IFERROR(4*STDEVP(終値!AB91:AU91)/AVERAGE(終値!AB91:AU91),""))</f>
        <v>0.20412467208742102</v>
      </c>
      <c r="Z91" s="503">
        <f>IF(終値!A91="","",IFERROR(4*STDEVP(終値!AC91:AV91)/AVERAGE(終値!AC91:AV91),""))</f>
        <v>0.20275440376235221</v>
      </c>
      <c r="AA91" s="503">
        <f>IF(終値!A91="","",IFERROR(4*STDEVP(終値!AD91:AW91)/AVERAGE(終値!AD91:AW91),""))</f>
        <v>0.19874008501747312</v>
      </c>
      <c r="AB91" s="503">
        <f>IF(終値!A91="","",IFERROR(4*STDEVP(終値!AE91:AX91)/AVERAGE(終値!AE91:AX91),""))</f>
        <v>0.18405509902983244</v>
      </c>
      <c r="AC91" s="503">
        <f>IF(終値!A91="","",IFERROR(4*STDEVP(終値!AF91:AY91)/AVERAGE(終値!AF91:AY91),""))</f>
        <v>0.1736609669350159</v>
      </c>
      <c r="AD91" s="503">
        <f>IF(終値!A91="","",IFERROR(4*STDEVP(終値!AG91:AZ91)/AVERAGE(終値!AG91:AZ91),""))</f>
        <v>0.16833532216612876</v>
      </c>
      <c r="AE91" s="503">
        <f>IF(終値!A91="","",IFERROR(4*STDEVP(終値!AH91:BA91)/AVERAGE(終値!AH91:BA91),""))</f>
        <v>0.16719835679028563</v>
      </c>
      <c r="AF91" s="503">
        <f>IF(終値!A91="","",IFERROR(4*STDEVP(終値!AI91:BB91)/AVERAGE(終値!AI91:BB91),""))</f>
        <v>0.16654103398838369</v>
      </c>
      <c r="AG91" s="503">
        <f>IF(終値!A91="","",IFERROR(4*STDEVP(終値!AJ91:BC91)/AVERAGE(終値!AJ91:BC91),""))</f>
        <v>0.16248981588254097</v>
      </c>
      <c r="AH91" s="503">
        <f>IF(終値!A91="","",IFERROR(4*STDEVP(終値!AK91:BD91)/AVERAGE(終値!AK91:BD91),""))</f>
        <v>0.16222055027038942</v>
      </c>
      <c r="AI91" s="503">
        <f>IF(終値!A91="","",IFERROR(4*STDEVP(終値!AL91:BE91)/AVERAGE(終値!AL91:BE91),""))</f>
        <v>0.15729687313082732</v>
      </c>
      <c r="AJ91" s="503">
        <f>IF(終値!A91="","",IFERROR(4*STDEVP(終値!AM91:BF91)/AVERAGE(終値!AM91:BF91),""))</f>
        <v>0.16142248818024979</v>
      </c>
      <c r="AK91" s="503">
        <f>IF(終値!A91="","",IFERROR(4*STDEVP(終値!AN91:BG91)/AVERAGE(終値!AN91:BG91),""))</f>
        <v>0.16081801727332259</v>
      </c>
      <c r="AL91" s="503">
        <f>IF(終値!A91="","",IFERROR(4*STDEVP(終値!AO91:BH91)/AVERAGE(終値!AO91:BH91),""))</f>
        <v>0.15131959833620762</v>
      </c>
      <c r="AM91" s="503">
        <f>IF(終値!A91="","",IFERROR(4*STDEVP(終値!AP91:BI91)/AVERAGE(終値!AP91:BI91),""))</f>
        <v>0.14009986818662676</v>
      </c>
      <c r="AN91" s="503">
        <f>IF(終値!A91="","",IFERROR(4*STDEVP(終値!AQ91:BJ91)/AVERAGE(終値!AQ91:BJ91),""))</f>
        <v>0.135156311669518</v>
      </c>
      <c r="AO91" s="503">
        <f>IF(終値!A91="","",IFERROR(4*STDEVP(終値!AR91:BK91)/AVERAGE(終値!AR91:BK91),""))</f>
        <v>0.13760091710786901</v>
      </c>
      <c r="AP91" s="503">
        <f>IF(終値!A91="","",IFERROR(4*STDEVP(終値!AS91:BL91)/AVERAGE(終値!AS91:BL91),""))</f>
        <v>0.12940552102320996</v>
      </c>
    </row>
    <row r="92" spans="1:42">
      <c r="A92" s="500" t="str">
        <f>IF(終値!A92="","",終値!A92)</f>
        <v>6134</v>
      </c>
      <c r="B92" s="503">
        <f>IF(終値!A92="","",IFERROR(4*STDEVP(終値!E92:X92)/AVERAGE(終値!E92:X92),""))</f>
        <v>0.27344318756659863</v>
      </c>
      <c r="C92" s="503">
        <f>IF(終値!A92="","",IFERROR(4*STDEVP(終値!F92:Y92)/AVERAGE(終値!F92:Y92),""))</f>
        <v>0.29823094229018904</v>
      </c>
      <c r="D92" s="503">
        <f>IF(終値!A92="","",IFERROR(4*STDEVP(終値!G92:Z92)/AVERAGE(終値!G92:Z92),""))</f>
        <v>0.31165432982957458</v>
      </c>
      <c r="E92" s="503">
        <f>IF(終値!A92="","",IFERROR(4*STDEVP(終値!H92:AA92)/AVERAGE(終値!H92:AA92),""))</f>
        <v>0.33885262542850059</v>
      </c>
      <c r="F92" s="503">
        <f>IF(終値!A92="","",IFERROR(4*STDEVP(終値!I92:AB92)/AVERAGE(終値!I92:AB92),""))</f>
        <v>0.31046983726074873</v>
      </c>
      <c r="G92" s="503">
        <f>IF(終値!A92="","",IFERROR(4*STDEVP(終値!J92:AC92)/AVERAGE(終値!J92:AC92),""))</f>
        <v>0.26995710104995263</v>
      </c>
      <c r="H92" s="503">
        <f>IF(終値!A92="","",IFERROR(4*STDEVP(終値!K92:AD92)/AVERAGE(終値!K92:AD92),""))</f>
        <v>0.23741595899233903</v>
      </c>
      <c r="I92" s="503">
        <f>IF(終値!A92="","",IFERROR(4*STDEVP(終値!L92:AE92)/AVERAGE(終値!L92:AE92),""))</f>
        <v>0.23798467633159179</v>
      </c>
      <c r="J92" s="503">
        <f>IF(終値!A92="","",IFERROR(4*STDEVP(終値!M92:AF92)/AVERAGE(終値!M92:AF92),""))</f>
        <v>0.22857900596140202</v>
      </c>
      <c r="K92" s="503">
        <f>IF(終値!A92="","",IFERROR(4*STDEVP(終値!N92:AG92)/AVERAGE(終値!N92:AG92),""))</f>
        <v>0.22317291151175381</v>
      </c>
      <c r="L92" s="503">
        <f>IF(終値!A92="","",IFERROR(4*STDEVP(終値!O92:AH92)/AVERAGE(終値!O92:AH92),""))</f>
        <v>0.21616617459546744</v>
      </c>
      <c r="M92" s="503">
        <f>IF(終値!A92="","",IFERROR(4*STDEVP(終値!P92:AI92)/AVERAGE(終値!P92:AI92),""))</f>
        <v>0.20276179313061074</v>
      </c>
      <c r="N92" s="503">
        <f>IF(終値!A92="","",IFERROR(4*STDEVP(終値!Q92:AJ92)/AVERAGE(終値!Q92:AJ92),""))</f>
        <v>0.17637912150985233</v>
      </c>
      <c r="O92" s="503">
        <f>IF(終値!A92="","",IFERROR(4*STDEVP(終値!R92:AK92)/AVERAGE(終値!R92:AK92),""))</f>
        <v>0.17530113417286694</v>
      </c>
      <c r="P92" s="503">
        <f>IF(終値!A92="","",IFERROR(4*STDEVP(終値!S92:AL92)/AVERAGE(終値!S92:AL92),""))</f>
        <v>0.16353424659120527</v>
      </c>
      <c r="Q92" s="503">
        <f>IF(終値!A92="","",IFERROR(4*STDEVP(終値!T92:AM92)/AVERAGE(終値!T92:AM92),""))</f>
        <v>0.15673309419356379</v>
      </c>
      <c r="R92" s="503">
        <f>IF(終値!A92="","",IFERROR(4*STDEVP(終値!U92:AN92)/AVERAGE(終値!U92:AN92),""))</f>
        <v>0.16947882646159487</v>
      </c>
      <c r="S92" s="503">
        <f>IF(終値!A92="","",IFERROR(4*STDEVP(終値!V92:AO92)/AVERAGE(終値!V92:AO92),""))</f>
        <v>0.18435293254749474</v>
      </c>
      <c r="T92" s="503">
        <f>IF(終値!A92="","",IFERROR(4*STDEVP(終値!W92:AP92)/AVERAGE(終値!W92:AP92),""))</f>
        <v>0.19589904666028993</v>
      </c>
      <c r="U92" s="503">
        <f>IF(終値!A92="","",IFERROR(4*STDEVP(終値!X92:AQ92)/AVERAGE(終値!X92:AQ92),""))</f>
        <v>0.22197558066636508</v>
      </c>
      <c r="V92" s="503">
        <f>IF(終値!A92="","",IFERROR(4*STDEVP(終値!Y92:AR92)/AVERAGE(終値!Y92:AR92),""))</f>
        <v>0.22134284126554615</v>
      </c>
      <c r="W92" s="503">
        <f>IF(終値!A92="","",IFERROR(4*STDEVP(終値!Z92:AS92)/AVERAGE(終値!Z92:AS92),""))</f>
        <v>0.2140656369798396</v>
      </c>
      <c r="X92" s="503">
        <f>IF(終値!A92="","",IFERROR(4*STDEVP(終値!AA92:AT92)/AVERAGE(終値!AA92:AT92),""))</f>
        <v>0.21227162652747303</v>
      </c>
      <c r="Y92" s="503">
        <f>IF(終値!A92="","",IFERROR(4*STDEVP(終値!AB92:AU92)/AVERAGE(終値!AB92:AU92),""))</f>
        <v>0.18854193047681678</v>
      </c>
      <c r="Z92" s="503">
        <f>IF(終値!A92="","",IFERROR(4*STDEVP(終値!AC92:AV92)/AVERAGE(終値!AC92:AV92),""))</f>
        <v>0.18363157789605769</v>
      </c>
      <c r="AA92" s="503">
        <f>IF(終値!A92="","",IFERROR(4*STDEVP(終値!AD92:AW92)/AVERAGE(終値!AD92:AW92),""))</f>
        <v>0.18407014422323539</v>
      </c>
      <c r="AB92" s="503">
        <f>IF(終値!A92="","",IFERROR(4*STDEVP(終値!AE92:AX92)/AVERAGE(終値!AE92:AX92),""))</f>
        <v>0.18457345587285168</v>
      </c>
      <c r="AC92" s="503">
        <f>IF(終値!A92="","",IFERROR(4*STDEVP(終値!AF92:AY92)/AVERAGE(終値!AF92:AY92),""))</f>
        <v>0.18059451674630786</v>
      </c>
      <c r="AD92" s="503">
        <f>IF(終値!A92="","",IFERROR(4*STDEVP(終値!AG92:AZ92)/AVERAGE(終値!AG92:AZ92),""))</f>
        <v>0.17958047489658163</v>
      </c>
      <c r="AE92" s="503">
        <f>IF(終値!A92="","",IFERROR(4*STDEVP(終値!AH92:BA92)/AVERAGE(終値!AH92:BA92),""))</f>
        <v>0.18304117295002797</v>
      </c>
      <c r="AF92" s="503">
        <f>IF(終値!A92="","",IFERROR(4*STDEVP(終値!AI92:BB92)/AVERAGE(終値!AI92:BB92),""))</f>
        <v>0.18672343790863222</v>
      </c>
      <c r="AG92" s="503">
        <f>IF(終値!A92="","",IFERROR(4*STDEVP(終値!AJ92:BC92)/AVERAGE(終値!AJ92:BC92),""))</f>
        <v>0.17965963771382745</v>
      </c>
      <c r="AH92" s="503">
        <f>IF(終値!A92="","",IFERROR(4*STDEVP(終値!AK92:BD92)/AVERAGE(終値!AK92:BD92),""))</f>
        <v>0.17171416259491659</v>
      </c>
      <c r="AI92" s="503">
        <f>IF(終値!A92="","",IFERROR(4*STDEVP(終値!AL92:BE92)/AVERAGE(終値!AL92:BE92),""))</f>
        <v>0.16223477886646295</v>
      </c>
      <c r="AJ92" s="503">
        <f>IF(終値!A92="","",IFERROR(4*STDEVP(終値!AM92:BF92)/AVERAGE(終値!AM92:BF92),""))</f>
        <v>0.16562870840999508</v>
      </c>
      <c r="AK92" s="503">
        <f>IF(終値!A92="","",IFERROR(4*STDEVP(終値!AN92:BG92)/AVERAGE(終値!AN92:BG92),""))</f>
        <v>0.17258437876669322</v>
      </c>
      <c r="AL92" s="503">
        <f>IF(終値!A92="","",IFERROR(4*STDEVP(終値!AO92:BH92)/AVERAGE(終値!AO92:BH92),""))</f>
        <v>0.19313896039138506</v>
      </c>
      <c r="AM92" s="503">
        <f>IF(終値!A92="","",IFERROR(4*STDEVP(終値!AP92:BI92)/AVERAGE(終値!AP92:BI92),""))</f>
        <v>0.21908136259024663</v>
      </c>
      <c r="AN92" s="503">
        <f>IF(終値!A92="","",IFERROR(4*STDEVP(終値!AQ92:BJ92)/AVERAGE(終値!AQ92:BJ92),""))</f>
        <v>0.24601663449789976</v>
      </c>
      <c r="AO92" s="503">
        <f>IF(終値!A92="","",IFERROR(4*STDEVP(終値!AR92:BK92)/AVERAGE(終値!AR92:BK92),""))</f>
        <v>0.28577345234179269</v>
      </c>
      <c r="AP92" s="503">
        <f>IF(終値!A92="","",IFERROR(4*STDEVP(終値!AS92:BL92)/AVERAGE(終値!AS92:BL92),""))</f>
        <v>0.33526253264181094</v>
      </c>
    </row>
    <row r="93" spans="1:42">
      <c r="A93" s="500" t="str">
        <f>IF(終値!A93="","",終値!A93)</f>
        <v>7746</v>
      </c>
      <c r="B93" s="503">
        <f>IF(終値!A93="","",IFERROR(4*STDEVP(終値!E93:X93)/AVERAGE(終値!E93:X93),""))</f>
        <v>0.18286980483495752</v>
      </c>
      <c r="C93" s="503">
        <f>IF(終値!A93="","",IFERROR(4*STDEVP(終値!F93:Y93)/AVERAGE(終値!F93:Y93),""))</f>
        <v>0.20344555476206358</v>
      </c>
      <c r="D93" s="503">
        <f>IF(終値!A93="","",IFERROR(4*STDEVP(終値!G93:Z93)/AVERAGE(終値!G93:Z93),""))</f>
        <v>0.22554936225521172</v>
      </c>
      <c r="E93" s="503">
        <f>IF(終値!A93="","",IFERROR(4*STDEVP(終値!H93:AA93)/AVERAGE(終値!H93:AA93),""))</f>
        <v>0.23591419842172584</v>
      </c>
      <c r="F93" s="503">
        <f>IF(終値!A93="","",IFERROR(4*STDEVP(終値!I93:AB93)/AVERAGE(終値!I93:AB93),""))</f>
        <v>0.27111162434984604</v>
      </c>
      <c r="G93" s="503">
        <f>IF(終値!A93="","",IFERROR(4*STDEVP(終値!J93:AC93)/AVERAGE(終値!J93:AC93),""))</f>
        <v>0.29828930656320429</v>
      </c>
      <c r="H93" s="503">
        <f>IF(終値!A93="","",IFERROR(4*STDEVP(終値!K93:AD93)/AVERAGE(終値!K93:AD93),""))</f>
        <v>0.28737042443780236</v>
      </c>
      <c r="I93" s="503">
        <f>IF(終値!A93="","",IFERROR(4*STDEVP(終値!L93:AE93)/AVERAGE(終値!L93:AE93),""))</f>
        <v>0.28866865430810235</v>
      </c>
      <c r="J93" s="503">
        <f>IF(終値!A93="","",IFERROR(4*STDEVP(終値!M93:AF93)/AVERAGE(終値!M93:AF93),""))</f>
        <v>0.28817022660936598</v>
      </c>
      <c r="K93" s="503">
        <f>IF(終値!A93="","",IFERROR(4*STDEVP(終値!N93:AG93)/AVERAGE(終値!N93:AG93),""))</f>
        <v>0.28795606786678613</v>
      </c>
      <c r="L93" s="503">
        <f>IF(終値!A93="","",IFERROR(4*STDEVP(終値!O93:AH93)/AVERAGE(終値!O93:AH93),""))</f>
        <v>0.28233210631805866</v>
      </c>
      <c r="M93" s="503">
        <f>IF(終値!A93="","",IFERROR(4*STDEVP(終値!P93:AI93)/AVERAGE(終値!P93:AI93),""))</f>
        <v>0.27832987366887552</v>
      </c>
      <c r="N93" s="503">
        <f>IF(終値!A93="","",IFERROR(4*STDEVP(終値!Q93:AJ93)/AVERAGE(終値!Q93:AJ93),""))</f>
        <v>0.26148783451508067</v>
      </c>
      <c r="O93" s="503">
        <f>IF(終値!A93="","",IFERROR(4*STDEVP(終値!R93:AK93)/AVERAGE(終値!R93:AK93),""))</f>
        <v>0.26014541861970686</v>
      </c>
      <c r="P93" s="503">
        <f>IF(終値!A93="","",IFERROR(4*STDEVP(終値!S93:AL93)/AVERAGE(終値!S93:AL93),""))</f>
        <v>0.26769511561056264</v>
      </c>
      <c r="Q93" s="503">
        <f>IF(終値!A93="","",IFERROR(4*STDEVP(終値!T93:AM93)/AVERAGE(終値!T93:AM93),""))</f>
        <v>0.27973744736874168</v>
      </c>
      <c r="R93" s="503">
        <f>IF(終値!A93="","",IFERROR(4*STDEVP(終値!U93:AN93)/AVERAGE(終値!U93:AN93),""))</f>
        <v>0.29759503810089361</v>
      </c>
      <c r="S93" s="503">
        <f>IF(終値!A93="","",IFERROR(4*STDEVP(終値!V93:AO93)/AVERAGE(終値!V93:AO93),""))</f>
        <v>0.32014258129541112</v>
      </c>
      <c r="T93" s="503">
        <f>IF(終値!A93="","",IFERROR(4*STDEVP(終値!W93:AP93)/AVERAGE(終値!W93:AP93),""))</f>
        <v>0.3531553358929489</v>
      </c>
      <c r="U93" s="503">
        <f>IF(終値!A93="","",IFERROR(4*STDEVP(終値!X93:AQ93)/AVERAGE(終値!X93:AQ93),""))</f>
        <v>0.36786371288853126</v>
      </c>
      <c r="V93" s="503">
        <f>IF(終値!A93="","",IFERROR(4*STDEVP(終値!Y93:AR93)/AVERAGE(終値!Y93:AR93),""))</f>
        <v>0.36838865966503931</v>
      </c>
      <c r="W93" s="503">
        <f>IF(終値!A93="","",IFERROR(4*STDEVP(終値!Z93:AS93)/AVERAGE(終値!Z93:AS93),""))</f>
        <v>0.37070346204855026</v>
      </c>
      <c r="X93" s="503">
        <f>IF(終値!A93="","",IFERROR(4*STDEVP(終値!AA93:AT93)/AVERAGE(終値!AA93:AT93),""))</f>
        <v>0.36285909816088102</v>
      </c>
      <c r="Y93" s="503">
        <f>IF(終値!A93="","",IFERROR(4*STDEVP(終値!AB93:AU93)/AVERAGE(終値!AB93:AU93),""))</f>
        <v>0.35441012911503789</v>
      </c>
      <c r="Z93" s="503">
        <f>IF(終値!A93="","",IFERROR(4*STDEVP(終値!AC93:AV93)/AVERAGE(終値!AC93:AV93),""))</f>
        <v>0.32226529811936105</v>
      </c>
      <c r="AA93" s="503">
        <f>IF(終値!A93="","",IFERROR(4*STDEVP(終値!AD93:AW93)/AVERAGE(終値!AD93:AW93),""))</f>
        <v>0.2730616930242814</v>
      </c>
      <c r="AB93" s="503">
        <f>IF(終値!A93="","",IFERROR(4*STDEVP(終値!AE93:AX93)/AVERAGE(終値!AE93:AX93),""))</f>
        <v>0.2730616930242814</v>
      </c>
      <c r="AC93" s="503">
        <f>IF(終値!A93="","",IFERROR(4*STDEVP(終値!AF93:AY93)/AVERAGE(終値!AF93:AY93),""))</f>
        <v>0.29585904577599892</v>
      </c>
      <c r="AD93" s="503">
        <f>IF(終値!A93="","",IFERROR(4*STDEVP(終値!AG93:AZ93)/AVERAGE(終値!AG93:AZ93),""))</f>
        <v>0.31964165684270707</v>
      </c>
      <c r="AE93" s="503">
        <f>IF(終値!A93="","",IFERROR(4*STDEVP(終値!AH93:BA93)/AVERAGE(終値!AH93:BA93),""))</f>
        <v>0.34529495413084593</v>
      </c>
      <c r="AF93" s="503">
        <f>IF(終値!A93="","",IFERROR(4*STDEVP(終値!AI93:BB93)/AVERAGE(終値!AI93:BB93),""))</f>
        <v>0.39430019024419372</v>
      </c>
      <c r="AG93" s="503">
        <f>IF(終値!A93="","",IFERROR(4*STDEVP(終値!AJ93:BC93)/AVERAGE(終値!AJ93:BC93),""))</f>
        <v>0.46244278564057995</v>
      </c>
      <c r="AH93" s="503">
        <f>IF(終値!A93="","",IFERROR(4*STDEVP(終値!AK93:BD93)/AVERAGE(終値!AK93:BD93),""))</f>
        <v>0.46747758203150747</v>
      </c>
      <c r="AI93" s="503">
        <f>IF(終値!A93="","",IFERROR(4*STDEVP(終値!AL93:BE93)/AVERAGE(終値!AL93:BE93),""))</f>
        <v>0.47646260844459304</v>
      </c>
      <c r="AJ93" s="503">
        <f>IF(終値!A93="","",IFERROR(4*STDEVP(終値!AM93:BF93)/AVERAGE(終値!AM93:BF93),""))</f>
        <v>0.47573856566086448</v>
      </c>
      <c r="AK93" s="503">
        <f>IF(終値!A93="","",IFERROR(4*STDEVP(終値!AN93:BG93)/AVERAGE(終値!AN93:BG93),""))</f>
        <v>0.46820908083433882</v>
      </c>
      <c r="AL93" s="503">
        <f>IF(終値!A93="","",IFERROR(4*STDEVP(終値!AO93:BH93)/AVERAGE(終値!AO93:BH93),""))</f>
        <v>0.45816266925949611</v>
      </c>
      <c r="AM93" s="503">
        <f>IF(終値!A93="","",IFERROR(4*STDEVP(終値!AP93:BI93)/AVERAGE(終値!AP93:BI93),""))</f>
        <v>0.43345528038815334</v>
      </c>
      <c r="AN93" s="503">
        <f>IF(終値!A93="","",IFERROR(4*STDEVP(終値!AQ93:BJ93)/AVERAGE(終値!AQ93:BJ93),""))</f>
        <v>0.39819777736604173</v>
      </c>
      <c r="AO93" s="503">
        <f>IF(終値!A93="","",IFERROR(4*STDEVP(終値!AR93:BK93)/AVERAGE(終値!AR93:BK93),""))</f>
        <v>0.37536382430166138</v>
      </c>
      <c r="AP93" s="503">
        <f>IF(終値!A93="","",IFERROR(4*STDEVP(終値!AS93:BL93)/AVERAGE(終値!AS93:BL93),""))</f>
        <v>0.36886721315930299</v>
      </c>
    </row>
    <row r="94" spans="1:42">
      <c r="A94" s="500" t="str">
        <f>IF(終値!A94="","",終値!A94)</f>
        <v>3407</v>
      </c>
      <c r="B94" s="503">
        <f>IF(終値!A94="","",IFERROR(4*STDEVP(終値!E94:X94)/AVERAGE(終値!E94:X94),""))</f>
        <v>0.17471772481552653</v>
      </c>
      <c r="C94" s="503">
        <f>IF(終値!A94="","",IFERROR(4*STDEVP(終値!F94:Y94)/AVERAGE(終値!F94:Y94),""))</f>
        <v>0.12392115035980049</v>
      </c>
      <c r="D94" s="503">
        <f>IF(終値!A94="","",IFERROR(4*STDEVP(終値!G94:Z94)/AVERAGE(終値!G94:Z94),""))</f>
        <v>8.5432098874319962E-2</v>
      </c>
      <c r="E94" s="503">
        <f>IF(終値!A94="","",IFERROR(4*STDEVP(終値!H94:AA94)/AVERAGE(終値!H94:AA94),""))</f>
        <v>6.8452248226740883E-2</v>
      </c>
      <c r="F94" s="503">
        <f>IF(終値!A94="","",IFERROR(4*STDEVP(終値!I94:AB94)/AVERAGE(終値!I94:AB94),""))</f>
        <v>7.1356612825184101E-2</v>
      </c>
      <c r="G94" s="503">
        <f>IF(終値!A94="","",IFERROR(4*STDEVP(終値!J94:AC94)/AVERAGE(終値!J94:AC94),""))</f>
        <v>7.3796307679576623E-2</v>
      </c>
      <c r="H94" s="503">
        <f>IF(終値!A94="","",IFERROR(4*STDEVP(終値!K94:AD94)/AVERAGE(終値!K94:AD94),""))</f>
        <v>7.6547317800990666E-2</v>
      </c>
      <c r="I94" s="503">
        <f>IF(終値!A94="","",IFERROR(4*STDEVP(終値!L94:AE94)/AVERAGE(終値!L94:AE94),""))</f>
        <v>7.844403691693852E-2</v>
      </c>
      <c r="J94" s="503">
        <f>IF(終値!A94="","",IFERROR(4*STDEVP(終値!M94:AF94)/AVERAGE(終値!M94:AF94),""))</f>
        <v>8.0985178920088316E-2</v>
      </c>
      <c r="K94" s="503">
        <f>IF(終値!A94="","",IFERROR(4*STDEVP(終値!N94:AG94)/AVERAGE(終値!N94:AG94),""))</f>
        <v>8.2105009512877136E-2</v>
      </c>
      <c r="L94" s="503">
        <f>IF(終値!A94="","",IFERROR(4*STDEVP(終値!O94:AH94)/AVERAGE(終値!O94:AH94),""))</f>
        <v>8.1327946304157864E-2</v>
      </c>
      <c r="M94" s="503">
        <f>IF(終値!A94="","",IFERROR(4*STDEVP(終値!P94:AI94)/AVERAGE(終値!P94:AI94),""))</f>
        <v>8.1831857195939703E-2</v>
      </c>
      <c r="N94" s="503">
        <f>IF(終値!A94="","",IFERROR(4*STDEVP(終値!Q94:AJ94)/AVERAGE(終値!Q94:AJ94),""))</f>
        <v>8.447399935042256E-2</v>
      </c>
      <c r="O94" s="503">
        <f>IF(終値!A94="","",IFERROR(4*STDEVP(終値!R94:AK94)/AVERAGE(終値!R94:AK94),""))</f>
        <v>8.0059225480873186E-2</v>
      </c>
      <c r="P94" s="503">
        <f>IF(終値!A94="","",IFERROR(4*STDEVP(終値!S94:AL94)/AVERAGE(終値!S94:AL94),""))</f>
        <v>8.1302898666895995E-2</v>
      </c>
      <c r="Q94" s="503">
        <f>IF(終値!A94="","",IFERROR(4*STDEVP(終値!T94:AM94)/AVERAGE(終値!T94:AM94),""))</f>
        <v>8.4931003433341992E-2</v>
      </c>
      <c r="R94" s="503">
        <f>IF(終値!A94="","",IFERROR(4*STDEVP(終値!U94:AN94)/AVERAGE(終値!U94:AN94),""))</f>
        <v>8.4387386224131417E-2</v>
      </c>
      <c r="S94" s="503">
        <f>IF(終値!A94="","",IFERROR(4*STDEVP(終値!V94:AO94)/AVERAGE(終値!V94:AO94),""))</f>
        <v>8.507418468594416E-2</v>
      </c>
      <c r="T94" s="503">
        <f>IF(終値!A94="","",IFERROR(4*STDEVP(終値!W94:AP94)/AVERAGE(終値!W94:AP94),""))</f>
        <v>8.2310374813884576E-2</v>
      </c>
      <c r="U94" s="503">
        <f>IF(終値!A94="","",IFERROR(4*STDEVP(終値!X94:AQ94)/AVERAGE(終値!X94:AQ94),""))</f>
        <v>7.5065284726086881E-2</v>
      </c>
      <c r="V94" s="503">
        <f>IF(終値!A94="","",IFERROR(4*STDEVP(終値!Y94:AR94)/AVERAGE(終値!Y94:AR94),""))</f>
        <v>5.0773747159369657E-2</v>
      </c>
      <c r="W94" s="503">
        <f>IF(終値!A94="","",IFERROR(4*STDEVP(終値!Z94:AS94)/AVERAGE(終値!Z94:AS94),""))</f>
        <v>3.9626082033928291E-2</v>
      </c>
      <c r="X94" s="503">
        <f>IF(終値!A94="","",IFERROR(4*STDEVP(終値!AA94:AT94)/AVERAGE(終値!AA94:AT94),""))</f>
        <v>4.1694901305787159E-2</v>
      </c>
      <c r="Y94" s="503">
        <f>IF(終値!A94="","",IFERROR(4*STDEVP(終値!AB94:AU94)/AVERAGE(終値!AB94:AU94),""))</f>
        <v>4.6113347531982152E-2</v>
      </c>
      <c r="Z94" s="503">
        <f>IF(終値!A94="","",IFERROR(4*STDEVP(終値!AC94:AV94)/AVERAGE(終値!AC94:AV94),""))</f>
        <v>4.5930424449650495E-2</v>
      </c>
      <c r="AA94" s="503">
        <f>IF(終値!A94="","",IFERROR(4*STDEVP(終値!AD94:AW94)/AVERAGE(終値!AD94:AW94),""))</f>
        <v>4.5893269682600948E-2</v>
      </c>
      <c r="AB94" s="503">
        <f>IF(終値!A94="","",IFERROR(4*STDEVP(終値!AE94:AX94)/AVERAGE(終値!AE94:AX94),""))</f>
        <v>4.710774667578204E-2</v>
      </c>
      <c r="AC94" s="503">
        <f>IF(終値!A94="","",IFERROR(4*STDEVP(終値!AF94:AY94)/AVERAGE(終値!AF94:AY94),""))</f>
        <v>4.6241803368288259E-2</v>
      </c>
      <c r="AD94" s="503">
        <f>IF(終値!A94="","",IFERROR(4*STDEVP(終値!AG94:AZ94)/AVERAGE(終値!AG94:AZ94),""))</f>
        <v>5.0667831220648926E-2</v>
      </c>
      <c r="AE94" s="503">
        <f>IF(終値!A94="","",IFERROR(4*STDEVP(終値!AH94:BA94)/AVERAGE(終値!AH94:BA94),""))</f>
        <v>5.7889460223706099E-2</v>
      </c>
      <c r="AF94" s="503">
        <f>IF(終値!A94="","",IFERROR(4*STDEVP(終値!AI94:BB94)/AVERAGE(終値!AI94:BB94),""))</f>
        <v>6.7156167228524757E-2</v>
      </c>
      <c r="AG94" s="503">
        <f>IF(終値!A94="","",IFERROR(4*STDEVP(終値!AJ94:BC94)/AVERAGE(終値!AJ94:BC94),""))</f>
        <v>7.1071009086230305E-2</v>
      </c>
      <c r="AH94" s="503">
        <f>IF(終値!A94="","",IFERROR(4*STDEVP(終値!AK94:BD94)/AVERAGE(終値!AK94:BD94),""))</f>
        <v>7.6368173732148881E-2</v>
      </c>
      <c r="AI94" s="503">
        <f>IF(終値!A94="","",IFERROR(4*STDEVP(終値!AL94:BE94)/AVERAGE(終値!AL94:BE94),""))</f>
        <v>7.4228481495977758E-2</v>
      </c>
      <c r="AJ94" s="503">
        <f>IF(終値!A94="","",IFERROR(4*STDEVP(終値!AM94:BF94)/AVERAGE(終値!AM94:BF94),""))</f>
        <v>7.4393750182108642E-2</v>
      </c>
      <c r="AK94" s="503">
        <f>IF(終値!A94="","",IFERROR(4*STDEVP(終値!AN94:BG94)/AVERAGE(終値!AN94:BG94),""))</f>
        <v>7.3790130033316054E-2</v>
      </c>
      <c r="AL94" s="503">
        <f>IF(終値!A94="","",IFERROR(4*STDEVP(終値!AO94:BH94)/AVERAGE(終値!AO94:BH94),""))</f>
        <v>8.2979283449946831E-2</v>
      </c>
      <c r="AM94" s="503">
        <f>IF(終値!A94="","",IFERROR(4*STDEVP(終値!AP94:BI94)/AVERAGE(終値!AP94:BI94),""))</f>
        <v>0.13216687153132589</v>
      </c>
      <c r="AN94" s="503">
        <f>IF(終値!A94="","",IFERROR(4*STDEVP(終値!AQ94:BJ94)/AVERAGE(終値!AQ94:BJ94),""))</f>
        <v>0.16312942609087119</v>
      </c>
      <c r="AO94" s="503">
        <f>IF(終値!A94="","",IFERROR(4*STDEVP(終値!AR94:BK94)/AVERAGE(終値!AR94:BK94),""))</f>
        <v>0.18456705996371892</v>
      </c>
      <c r="AP94" s="503">
        <f>IF(終値!A94="","",IFERROR(4*STDEVP(終値!AS94:BL94)/AVERAGE(終値!AS94:BL94),""))</f>
        <v>0.20236149296910094</v>
      </c>
    </row>
    <row r="95" spans="1:42">
      <c r="A95" s="500" t="str">
        <f>IF(終値!A95="","",終値!A95)</f>
        <v>4008</v>
      </c>
      <c r="B95" s="503">
        <f>IF(終値!A95="","",IFERROR(4*STDEVP(終値!E95:X95)/AVERAGE(終値!E95:X95),""))</f>
        <v>0.11211343740596229</v>
      </c>
      <c r="C95" s="503">
        <f>IF(終値!A95="","",IFERROR(4*STDEVP(終値!F95:Y95)/AVERAGE(終値!F95:Y95),""))</f>
        <v>0.13086490234575435</v>
      </c>
      <c r="D95" s="503">
        <f>IF(終値!A95="","",IFERROR(4*STDEVP(終値!G95:Z95)/AVERAGE(終値!G95:Z95),""))</f>
        <v>0.12394256212293163</v>
      </c>
      <c r="E95" s="503">
        <f>IF(終値!A95="","",IFERROR(4*STDEVP(終値!H95:AA95)/AVERAGE(終値!H95:AA95),""))</f>
        <v>0.11574536224586876</v>
      </c>
      <c r="F95" s="503">
        <f>IF(終値!A95="","",IFERROR(4*STDEVP(終値!I95:AB95)/AVERAGE(終値!I95:AB95),""))</f>
        <v>0.10733042599753753</v>
      </c>
      <c r="G95" s="503">
        <f>IF(終値!A95="","",IFERROR(4*STDEVP(終値!J95:AC95)/AVERAGE(終値!J95:AC95),""))</f>
        <v>9.6672213017357539E-2</v>
      </c>
      <c r="H95" s="503">
        <f>IF(終値!A95="","",IFERROR(4*STDEVP(終値!K95:AD95)/AVERAGE(終値!K95:AD95),""))</f>
        <v>8.5446427121836019E-2</v>
      </c>
      <c r="I95" s="503">
        <f>IF(終値!A95="","",IFERROR(4*STDEVP(終値!L95:AE95)/AVERAGE(終値!L95:AE95),""))</f>
        <v>8.5041709833449206E-2</v>
      </c>
      <c r="J95" s="503">
        <f>IF(終値!A95="","",IFERROR(4*STDEVP(終値!M95:AF95)/AVERAGE(終値!M95:AF95),""))</f>
        <v>8.5128166249500814E-2</v>
      </c>
      <c r="K95" s="503">
        <f>IF(終値!A95="","",IFERROR(4*STDEVP(終値!N95:AG95)/AVERAGE(終値!N95:AG95),""))</f>
        <v>8.5104111530623958E-2</v>
      </c>
      <c r="L95" s="503">
        <f>IF(終値!A95="","",IFERROR(4*STDEVP(終値!O95:AH95)/AVERAGE(終値!O95:AH95),""))</f>
        <v>8.8520852250668969E-2</v>
      </c>
      <c r="M95" s="503">
        <f>IF(終値!A95="","",IFERROR(4*STDEVP(終値!P95:AI95)/AVERAGE(終値!P95:AI95),""))</f>
        <v>9.0684108416203765E-2</v>
      </c>
      <c r="N95" s="503">
        <f>IF(終値!A95="","",IFERROR(4*STDEVP(終値!Q95:AJ95)/AVERAGE(終値!Q95:AJ95),""))</f>
        <v>9.0629919781607379E-2</v>
      </c>
      <c r="O95" s="503">
        <f>IF(終値!A95="","",IFERROR(4*STDEVP(終値!R95:AK95)/AVERAGE(終値!R95:AK95),""))</f>
        <v>9.094644749249596E-2</v>
      </c>
      <c r="P95" s="503">
        <f>IF(終値!A95="","",IFERROR(4*STDEVP(終値!S95:AL95)/AVERAGE(終値!S95:AL95),""))</f>
        <v>9.0971547335687006E-2</v>
      </c>
      <c r="Q95" s="503">
        <f>IF(終値!A95="","",IFERROR(4*STDEVP(終値!T95:AM95)/AVERAGE(終値!T95:AM95),""))</f>
        <v>8.7566294915078197E-2</v>
      </c>
      <c r="R95" s="503">
        <f>IF(終値!A95="","",IFERROR(4*STDEVP(終値!U95:AN95)/AVERAGE(終値!U95:AN95),""))</f>
        <v>8.4870555073948778E-2</v>
      </c>
      <c r="S95" s="503">
        <f>IF(終値!A95="","",IFERROR(4*STDEVP(終値!V95:AO95)/AVERAGE(終値!V95:AO95),""))</f>
        <v>8.9067043983158387E-2</v>
      </c>
      <c r="T95" s="503">
        <f>IF(終値!A95="","",IFERROR(4*STDEVP(終値!W95:AP95)/AVERAGE(終値!W95:AP95),""))</f>
        <v>9.4673167544216633E-2</v>
      </c>
      <c r="U95" s="503">
        <f>IF(終値!A95="","",IFERROR(4*STDEVP(終値!X95:AQ95)/AVERAGE(終値!X95:AQ95),""))</f>
        <v>0.10048800441227509</v>
      </c>
      <c r="V95" s="503">
        <f>IF(終値!A95="","",IFERROR(4*STDEVP(終値!Y95:AR95)/AVERAGE(終値!Y95:AR95),""))</f>
        <v>9.4562408204675097E-2</v>
      </c>
      <c r="W95" s="503">
        <f>IF(終値!A95="","",IFERROR(4*STDEVP(終値!Z95:AS95)/AVERAGE(終値!Z95:AS95),""))</f>
        <v>7.8401159625763092E-2</v>
      </c>
      <c r="X95" s="503">
        <f>IF(終値!A95="","",IFERROR(4*STDEVP(終値!AA95:AT95)/AVERAGE(終値!AA95:AT95),""))</f>
        <v>7.9038298811924229E-2</v>
      </c>
      <c r="Y95" s="503">
        <f>IF(終値!A95="","",IFERROR(4*STDEVP(終値!AB95:AU95)/AVERAGE(終値!AB95:AU95),""))</f>
        <v>7.9038298811924215E-2</v>
      </c>
      <c r="Z95" s="503">
        <f>IF(終値!A95="","",IFERROR(4*STDEVP(終値!AC95:AV95)/AVERAGE(終値!AC95:AV95),""))</f>
        <v>8.1457219100232098E-2</v>
      </c>
      <c r="AA95" s="503">
        <f>IF(終値!A95="","",IFERROR(4*STDEVP(終値!AD95:AW95)/AVERAGE(終値!AD95:AW95),""))</f>
        <v>8.3324147067899895E-2</v>
      </c>
      <c r="AB95" s="503">
        <f>IF(終値!A95="","",IFERROR(4*STDEVP(終値!AE95:AX95)/AVERAGE(終値!AE95:AX95),""))</f>
        <v>8.4187797991212343E-2</v>
      </c>
      <c r="AC95" s="503">
        <f>IF(終値!A95="","",IFERROR(4*STDEVP(終値!AF95:AY95)/AVERAGE(終値!AF95:AY95),""))</f>
        <v>8.3973989070298891E-2</v>
      </c>
      <c r="AD95" s="503">
        <f>IF(終値!A95="","",IFERROR(4*STDEVP(終値!AG95:AZ95)/AVERAGE(終値!AG95:AZ95),""))</f>
        <v>8.2636554510498797E-2</v>
      </c>
      <c r="AE95" s="503">
        <f>IF(終値!A95="","",IFERROR(4*STDEVP(終値!AH95:BA95)/AVERAGE(終値!AH95:BA95),""))</f>
        <v>9.480646760352987E-2</v>
      </c>
      <c r="AF95" s="503">
        <f>IF(終値!A95="","",IFERROR(4*STDEVP(終値!AI95:BB95)/AVERAGE(終値!AI95:BB95),""))</f>
        <v>0.10607794000521788</v>
      </c>
      <c r="AG95" s="503">
        <f>IF(終値!A95="","",IFERROR(4*STDEVP(終値!AJ95:BC95)/AVERAGE(終値!AJ95:BC95),""))</f>
        <v>0.11008145731799573</v>
      </c>
      <c r="AH95" s="503">
        <f>IF(終値!A95="","",IFERROR(4*STDEVP(終値!AK95:BD95)/AVERAGE(終値!AK95:BD95),""))</f>
        <v>0.10977276681232578</v>
      </c>
      <c r="AI95" s="503">
        <f>IF(終値!A95="","",IFERROR(4*STDEVP(終値!AL95:BE95)/AVERAGE(終値!AL95:BE95),""))</f>
        <v>0.10796774170172892</v>
      </c>
      <c r="AJ95" s="503">
        <f>IF(終値!A95="","",IFERROR(4*STDEVP(終値!AM95:BF95)/AVERAGE(終値!AM95:BF95),""))</f>
        <v>0.10578307138212859</v>
      </c>
      <c r="AK95" s="503">
        <f>IF(終値!A95="","",IFERROR(4*STDEVP(終値!AN95:BG95)/AVERAGE(終値!AN95:BG95),""))</f>
        <v>0.10065349542942907</v>
      </c>
      <c r="AL95" s="503">
        <f>IF(終値!A95="","",IFERROR(4*STDEVP(終値!AO95:BH95)/AVERAGE(終値!AO95:BH95),""))</f>
        <v>0.1160357815616035</v>
      </c>
      <c r="AM95" s="503">
        <f>IF(終値!A95="","",IFERROR(4*STDEVP(終値!AP95:BI95)/AVERAGE(終値!AP95:BI95),""))</f>
        <v>0.12218688222405667</v>
      </c>
      <c r="AN95" s="503">
        <f>IF(終値!A95="","",IFERROR(4*STDEVP(終値!AQ95:BJ95)/AVERAGE(終値!AQ95:BJ95),""))</f>
        <v>0.12829993944730361</v>
      </c>
      <c r="AO95" s="503">
        <f>IF(終値!A95="","",IFERROR(4*STDEVP(終値!AR95:BK95)/AVERAGE(終値!AR95:BK95),""))</f>
        <v>0.13226113712538864</v>
      </c>
      <c r="AP95" s="503">
        <f>IF(終値!A95="","",IFERROR(4*STDEVP(終値!AS95:BL95)/AVERAGE(終値!AS95:BL95),""))</f>
        <v>0.1407951053607388</v>
      </c>
    </row>
    <row r="96" spans="1:42">
      <c r="A96" s="500" t="str">
        <f>IF(終値!A96="","",終値!A96)</f>
        <v>4062</v>
      </c>
      <c r="B96" s="503">
        <f>IF(終値!A96="","",IFERROR(4*STDEVP(終値!E96:X96)/AVERAGE(終値!E96:X96),""))</f>
        <v>0.48255171087383869</v>
      </c>
      <c r="C96" s="503">
        <f>IF(終値!A96="","",IFERROR(4*STDEVP(終値!F96:Y96)/AVERAGE(終値!F96:Y96),""))</f>
        <v>0.54728528344641336</v>
      </c>
      <c r="D96" s="503">
        <f>IF(終値!A96="","",IFERROR(4*STDEVP(終値!G96:Z96)/AVERAGE(終値!G96:Z96),""))</f>
        <v>0.58349608259156294</v>
      </c>
      <c r="E96" s="503">
        <f>IF(終値!A96="","",IFERROR(4*STDEVP(終値!H96:AA96)/AVERAGE(終値!H96:AA96),""))</f>
        <v>0.661954568151495</v>
      </c>
      <c r="F96" s="503">
        <f>IF(終値!A96="","",IFERROR(4*STDEVP(終値!I96:AB96)/AVERAGE(終値!I96:AB96),""))</f>
        <v>0.63642825588989083</v>
      </c>
      <c r="G96" s="503">
        <f>IF(終値!A96="","",IFERROR(4*STDEVP(終値!J96:AC96)/AVERAGE(終値!J96:AC96),""))</f>
        <v>0.588952564159551</v>
      </c>
      <c r="H96" s="503">
        <f>IF(終値!A96="","",IFERROR(4*STDEVP(終値!K96:AD96)/AVERAGE(終値!K96:AD96),""))</f>
        <v>0.55875765244184605</v>
      </c>
      <c r="I96" s="503">
        <f>IF(終値!A96="","",IFERROR(4*STDEVP(終値!L96:AE96)/AVERAGE(終値!L96:AE96),""))</f>
        <v>0.58117560407131474</v>
      </c>
      <c r="J96" s="503">
        <f>IF(終値!A96="","",IFERROR(4*STDEVP(終値!M96:AF96)/AVERAGE(終値!M96:AF96),""))</f>
        <v>0.57607205594206057</v>
      </c>
      <c r="K96" s="503">
        <f>IF(終値!A96="","",IFERROR(4*STDEVP(終値!N96:AG96)/AVERAGE(終値!N96:AG96),""))</f>
        <v>0.56813252511036705</v>
      </c>
      <c r="L96" s="503">
        <f>IF(終値!A96="","",IFERROR(4*STDEVP(終値!O96:AH96)/AVERAGE(終値!O96:AH96),""))</f>
        <v>0.57632480620666582</v>
      </c>
      <c r="M96" s="503">
        <f>IF(終値!A96="","",IFERROR(4*STDEVP(終値!P96:AI96)/AVERAGE(終値!P96:AI96),""))</f>
        <v>0.54692562654362953</v>
      </c>
      <c r="N96" s="503">
        <f>IF(終値!A96="","",IFERROR(4*STDEVP(終値!Q96:AJ96)/AVERAGE(終値!Q96:AJ96),""))</f>
        <v>0.48321756249351944</v>
      </c>
      <c r="O96" s="503">
        <f>IF(終値!A96="","",IFERROR(4*STDEVP(終値!R96:AK96)/AVERAGE(終値!R96:AK96),""))</f>
        <v>0.46201727791988745</v>
      </c>
      <c r="P96" s="503">
        <f>IF(終値!A96="","",IFERROR(4*STDEVP(終値!S96:AL96)/AVERAGE(終値!S96:AL96),""))</f>
        <v>0.4151723135160531</v>
      </c>
      <c r="Q96" s="503">
        <f>IF(終値!A96="","",IFERROR(4*STDEVP(終値!T96:AM96)/AVERAGE(終値!T96:AM96),""))</f>
        <v>0.37397615783920823</v>
      </c>
      <c r="R96" s="503">
        <f>IF(終値!A96="","",IFERROR(4*STDEVP(終値!U96:AN96)/AVERAGE(終値!U96:AN96),""))</f>
        <v>0.39137186534983798</v>
      </c>
      <c r="S96" s="503">
        <f>IF(終値!A96="","",IFERROR(4*STDEVP(終値!V96:AO96)/AVERAGE(終値!V96:AO96),""))</f>
        <v>0.41346199757349811</v>
      </c>
      <c r="T96" s="503">
        <f>IF(終値!A96="","",IFERROR(4*STDEVP(終値!W96:AP96)/AVERAGE(終値!W96:AP96),""))</f>
        <v>0.44393440560482206</v>
      </c>
      <c r="U96" s="503">
        <f>IF(終値!A96="","",IFERROR(4*STDEVP(終値!X96:AQ96)/AVERAGE(終値!X96:AQ96),""))</f>
        <v>0.488428236304906</v>
      </c>
      <c r="V96" s="503">
        <f>IF(終値!A96="","",IFERROR(4*STDEVP(終値!Y96:AR96)/AVERAGE(終値!Y96:AR96),""))</f>
        <v>0.5137343237600086</v>
      </c>
      <c r="W96" s="503">
        <f>IF(終値!A96="","",IFERROR(4*STDEVP(終値!Z96:AS96)/AVERAGE(終値!Z96:AS96),""))</f>
        <v>0.52662255807747693</v>
      </c>
      <c r="X96" s="503">
        <f>IF(終値!A96="","",IFERROR(4*STDEVP(終値!AA96:AT96)/AVERAGE(終値!AA96:AT96),""))</f>
        <v>0.52802033443067908</v>
      </c>
      <c r="Y96" s="503">
        <f>IF(終値!A96="","",IFERROR(4*STDEVP(終値!AB96:AU96)/AVERAGE(終値!AB96:AU96),""))</f>
        <v>0.51923741595699446</v>
      </c>
      <c r="Z96" s="503">
        <f>IF(終値!A96="","",IFERROR(4*STDEVP(終値!AC96:AV96)/AVERAGE(終値!AC96:AV96),""))</f>
        <v>0.51742524508237697</v>
      </c>
      <c r="AA96" s="503">
        <f>IF(終値!A96="","",IFERROR(4*STDEVP(終値!AD96:AW96)/AVERAGE(終値!AD96:AW96),""))</f>
        <v>0.52794415526802208</v>
      </c>
      <c r="AB96" s="503">
        <f>IF(終値!A96="","",IFERROR(4*STDEVP(終値!AE96:AX96)/AVERAGE(終値!AE96:AX96),""))</f>
        <v>0.52995320420096925</v>
      </c>
      <c r="AC96" s="503">
        <f>IF(終値!A96="","",IFERROR(4*STDEVP(終値!AF96:AY96)/AVERAGE(終値!AF96:AY96),""))</f>
        <v>0.50324692669484938</v>
      </c>
      <c r="AD96" s="503">
        <f>IF(終値!A96="","",IFERROR(4*STDEVP(終値!AG96:AZ96)/AVERAGE(終値!AG96:AZ96),""))</f>
        <v>0.49997642245490992</v>
      </c>
      <c r="AE96" s="503">
        <f>IF(終値!A96="","",IFERROR(4*STDEVP(終値!AH96:BA96)/AVERAGE(終値!AH96:BA96),""))</f>
        <v>0.50948452856107462</v>
      </c>
      <c r="AF96" s="503">
        <f>IF(終値!A96="","",IFERROR(4*STDEVP(終値!AI96:BB96)/AVERAGE(終値!AI96:BB96),""))</f>
        <v>0.51265287383675695</v>
      </c>
      <c r="AG96" s="503">
        <f>IF(終値!A96="","",IFERROR(4*STDEVP(終値!AJ96:BC96)/AVERAGE(終値!AJ96:BC96),""))</f>
        <v>0.53605177634795342</v>
      </c>
      <c r="AH96" s="503">
        <f>IF(終値!A96="","",IFERROR(4*STDEVP(終値!AK96:BD96)/AVERAGE(終値!AK96:BD96),""))</f>
        <v>0.51479215659857402</v>
      </c>
      <c r="AI96" s="503">
        <f>IF(終値!A96="","",IFERROR(4*STDEVP(終値!AL96:BE96)/AVERAGE(終値!AL96:BE96),""))</f>
        <v>0.50838691016159332</v>
      </c>
      <c r="AJ96" s="503">
        <f>IF(終値!A96="","",IFERROR(4*STDEVP(終値!AM96:BF96)/AVERAGE(終値!AM96:BF96),""))</f>
        <v>0.49829541652506243</v>
      </c>
      <c r="AK96" s="503">
        <f>IF(終値!A96="","",IFERROR(4*STDEVP(終値!AN96:BG96)/AVERAGE(終値!AN96:BG96),""))</f>
        <v>0.47357149035414925</v>
      </c>
      <c r="AL96" s="503">
        <f>IF(終値!A96="","",IFERROR(4*STDEVP(終値!AO96:BH96)/AVERAGE(終値!AO96:BH96),""))</f>
        <v>0.48525006043902119</v>
      </c>
      <c r="AM96" s="503">
        <f>IF(終値!A96="","",IFERROR(4*STDEVP(終値!AP96:BI96)/AVERAGE(終値!AP96:BI96),""))</f>
        <v>0.50627584283283289</v>
      </c>
      <c r="AN96" s="503">
        <f>IF(終値!A96="","",IFERROR(4*STDEVP(終値!AQ96:BJ96)/AVERAGE(終値!AQ96:BJ96),""))</f>
        <v>0.52475373434657135</v>
      </c>
      <c r="AO96" s="503">
        <f>IF(終値!A96="","",IFERROR(4*STDEVP(終値!AR96:BK96)/AVERAGE(終値!AR96:BK96),""))</f>
        <v>0.53038553578948</v>
      </c>
      <c r="AP96" s="503">
        <f>IF(終値!A96="","",IFERROR(4*STDEVP(終値!AS96:BL96)/AVERAGE(終値!AS96:BL96),""))</f>
        <v>0.58560397202449876</v>
      </c>
    </row>
    <row r="97" spans="1:42">
      <c r="A97" s="500" t="str">
        <f>IF(終値!A97="","",終値!A97)</f>
        <v>4182</v>
      </c>
      <c r="B97" s="503">
        <f>IF(終値!A97="","",IFERROR(4*STDEVP(終値!E97:X97)/AVERAGE(終値!E97:X97),""))</f>
        <v>0.25415722038433347</v>
      </c>
      <c r="C97" s="503">
        <f>IF(終値!A97="","",IFERROR(4*STDEVP(終値!F97:Y97)/AVERAGE(終値!F97:Y97),""))</f>
        <v>0.27303725730709827</v>
      </c>
      <c r="D97" s="503">
        <f>IF(終値!A97="","",IFERROR(4*STDEVP(終値!G97:Z97)/AVERAGE(終値!G97:Z97),""))</f>
        <v>0.27623871897807439</v>
      </c>
      <c r="E97" s="503">
        <f>IF(終値!A97="","",IFERROR(4*STDEVP(終値!H97:AA97)/AVERAGE(終値!H97:AA97),""))</f>
        <v>0.29523896442824649</v>
      </c>
      <c r="F97" s="503">
        <f>IF(終値!A97="","",IFERROR(4*STDEVP(終値!I97:AB97)/AVERAGE(終値!I97:AB97),""))</f>
        <v>0.27546967859687538</v>
      </c>
      <c r="G97" s="503">
        <f>IF(終値!A97="","",IFERROR(4*STDEVP(終値!J97:AC97)/AVERAGE(終値!J97:AC97),""))</f>
        <v>0.24385839148680188</v>
      </c>
      <c r="H97" s="503">
        <f>IF(終値!A97="","",IFERROR(4*STDEVP(終値!K97:AD97)/AVERAGE(終値!K97:AD97),""))</f>
        <v>0.21715187968054095</v>
      </c>
      <c r="I97" s="503">
        <f>IF(終値!A97="","",IFERROR(4*STDEVP(終値!L97:AE97)/AVERAGE(終値!L97:AE97),""))</f>
        <v>0.2264247070987522</v>
      </c>
      <c r="J97" s="503">
        <f>IF(終値!A97="","",IFERROR(4*STDEVP(終値!M97:AF97)/AVERAGE(終値!M97:AF97),""))</f>
        <v>0.22743089303381608</v>
      </c>
      <c r="K97" s="503">
        <f>IF(終値!A97="","",IFERROR(4*STDEVP(終値!N97:AG97)/AVERAGE(終値!N97:AG97),""))</f>
        <v>0.24066100911234442</v>
      </c>
      <c r="L97" s="503">
        <f>IF(終値!A97="","",IFERROR(4*STDEVP(終値!O97:AH97)/AVERAGE(終値!O97:AH97),""))</f>
        <v>0.27148684524471145</v>
      </c>
      <c r="M97" s="503">
        <f>IF(終値!A97="","",IFERROR(4*STDEVP(終値!P97:AI97)/AVERAGE(終値!P97:AI97),""))</f>
        <v>0.27045556790993036</v>
      </c>
      <c r="N97" s="503">
        <f>IF(終値!A97="","",IFERROR(4*STDEVP(終値!Q97:AJ97)/AVERAGE(終値!Q97:AJ97),""))</f>
        <v>0.25120283747539013</v>
      </c>
      <c r="O97" s="503">
        <f>IF(終値!A97="","",IFERROR(4*STDEVP(終値!R97:AK97)/AVERAGE(終値!R97:AK97),""))</f>
        <v>0.24714699476212668</v>
      </c>
      <c r="P97" s="503">
        <f>IF(終値!A97="","",IFERROR(4*STDEVP(終値!S97:AL97)/AVERAGE(終値!S97:AL97),""))</f>
        <v>0.23600482580449159</v>
      </c>
      <c r="Q97" s="503">
        <f>IF(終値!A97="","",IFERROR(4*STDEVP(終値!T97:AM97)/AVERAGE(終値!T97:AM97),""))</f>
        <v>0.21846080580800548</v>
      </c>
      <c r="R97" s="503">
        <f>IF(終値!A97="","",IFERROR(4*STDEVP(終値!U97:AN97)/AVERAGE(終値!U97:AN97),""))</f>
        <v>0.20923870423328689</v>
      </c>
      <c r="S97" s="503">
        <f>IF(終値!A97="","",IFERROR(4*STDEVP(終値!V97:AO97)/AVERAGE(終値!V97:AO97),""))</f>
        <v>0.22392184119967065</v>
      </c>
      <c r="T97" s="503">
        <f>IF(終値!A97="","",IFERROR(4*STDEVP(終値!W97:AP97)/AVERAGE(終値!W97:AP97),""))</f>
        <v>0.23767905597327182</v>
      </c>
      <c r="U97" s="503">
        <f>IF(終値!A97="","",IFERROR(4*STDEVP(終値!X97:AQ97)/AVERAGE(終値!X97:AQ97),""))</f>
        <v>0.23670802365487403</v>
      </c>
      <c r="V97" s="503">
        <f>IF(終値!A97="","",IFERROR(4*STDEVP(終値!Y97:AR97)/AVERAGE(終値!Y97:AR97),""))</f>
        <v>0.23374353566297576</v>
      </c>
      <c r="W97" s="503">
        <f>IF(終値!A97="","",IFERROR(4*STDEVP(終値!Z97:AS97)/AVERAGE(終値!Z97:AS97),""))</f>
        <v>0.23477948401118984</v>
      </c>
      <c r="X97" s="503">
        <f>IF(終値!A97="","",IFERROR(4*STDEVP(終値!AA97:AT97)/AVERAGE(終値!AA97:AT97),""))</f>
        <v>0.2344087040573036</v>
      </c>
      <c r="Y97" s="503">
        <f>IF(終値!A97="","",IFERROR(4*STDEVP(終値!AB97:AU97)/AVERAGE(終値!AB97:AU97),""))</f>
        <v>0.23522180458298023</v>
      </c>
      <c r="Z97" s="503">
        <f>IF(終値!A97="","",IFERROR(4*STDEVP(終値!AC97:AV97)/AVERAGE(終値!AC97:AV97),""))</f>
        <v>0.24460464929897188</v>
      </c>
      <c r="AA97" s="503">
        <f>IF(終値!A97="","",IFERROR(4*STDEVP(終値!AD97:AW97)/AVERAGE(終値!AD97:AW97),""))</f>
        <v>0.24755679135578337</v>
      </c>
      <c r="AB97" s="503">
        <f>IF(終値!A97="","",IFERROR(4*STDEVP(終値!AE97:AX97)/AVERAGE(終値!AE97:AX97),""))</f>
        <v>0.24994851447730818</v>
      </c>
      <c r="AC97" s="503">
        <f>IF(終値!A97="","",IFERROR(4*STDEVP(終値!AF97:AY97)/AVERAGE(終値!AF97:AY97),""))</f>
        <v>0.24970897550595728</v>
      </c>
      <c r="AD97" s="503">
        <f>IF(終値!A97="","",IFERROR(4*STDEVP(終値!AG97:AZ97)/AVERAGE(終値!AG97:AZ97),""))</f>
        <v>0.25054559787338093</v>
      </c>
      <c r="AE97" s="503">
        <f>IF(終値!A97="","",IFERROR(4*STDEVP(終値!AH97:BA97)/AVERAGE(終値!AH97:BA97),""))</f>
        <v>0.25116182252128405</v>
      </c>
      <c r="AF97" s="503">
        <f>IF(終値!A97="","",IFERROR(4*STDEVP(終値!AI97:BB97)/AVERAGE(終値!AI97:BB97),""))</f>
        <v>0.2509321755736017</v>
      </c>
      <c r="AG97" s="503">
        <f>IF(終値!A97="","",IFERROR(4*STDEVP(終値!AJ97:BC97)/AVERAGE(終値!AJ97:BC97),""))</f>
        <v>0.26227422693034697</v>
      </c>
      <c r="AH97" s="503">
        <f>IF(終値!A97="","",IFERROR(4*STDEVP(終値!AK97:BD97)/AVERAGE(終値!AK97:BD97),""))</f>
        <v>0.26767785400446781</v>
      </c>
      <c r="AI97" s="503">
        <f>IF(終値!A97="","",IFERROR(4*STDEVP(終値!AL97:BE97)/AVERAGE(終値!AL97:BE97),""))</f>
        <v>0.27565651755546511</v>
      </c>
      <c r="AJ97" s="503">
        <f>IF(終値!A97="","",IFERROR(4*STDEVP(終値!AM97:BF97)/AVERAGE(終値!AM97:BF97),""))</f>
        <v>0.27526022526372723</v>
      </c>
      <c r="AK97" s="503">
        <f>IF(終値!A97="","",IFERROR(4*STDEVP(終値!AN97:BG97)/AVERAGE(終値!AN97:BG97),""))</f>
        <v>0.275558273350126</v>
      </c>
      <c r="AL97" s="503">
        <f>IF(終値!A97="","",IFERROR(4*STDEVP(終値!AO97:BH97)/AVERAGE(終値!AO97:BH97),""))</f>
        <v>0.27622745406718313</v>
      </c>
      <c r="AM97" s="503">
        <f>IF(終値!A97="","",IFERROR(4*STDEVP(終値!AP97:BI97)/AVERAGE(終値!AP97:BI97),""))</f>
        <v>0.26309670321425505</v>
      </c>
      <c r="AN97" s="503">
        <f>IF(終値!A97="","",IFERROR(4*STDEVP(終値!AQ97:BJ97)/AVERAGE(終値!AQ97:BJ97),""))</f>
        <v>0.25324794067116824</v>
      </c>
      <c r="AO97" s="503">
        <f>IF(終値!A97="","",IFERROR(4*STDEVP(終値!AR97:BK97)/AVERAGE(終値!AR97:BK97),""))</f>
        <v>0.25204933948093566</v>
      </c>
      <c r="AP97" s="503">
        <f>IF(終値!A97="","",IFERROR(4*STDEVP(終値!AS97:BL97)/AVERAGE(終値!AS97:BL97),""))</f>
        <v>0.27430932203683861</v>
      </c>
    </row>
    <row r="98" spans="1:42">
      <c r="A98" s="500" t="str">
        <f>IF(終値!A98="","",終値!A98)</f>
        <v>4188</v>
      </c>
      <c r="B98" s="503">
        <f>IF(終値!A98="","",IFERROR(4*STDEVP(終値!E98:X98)/AVERAGE(終値!E98:X98),""))</f>
        <v>0.10001474942500321</v>
      </c>
      <c r="C98" s="503">
        <f>IF(終値!A98="","",IFERROR(4*STDEVP(終値!F98:Y98)/AVERAGE(終値!F98:Y98),""))</f>
        <v>8.8325786261202119E-2</v>
      </c>
      <c r="D98" s="503">
        <f>IF(終値!A98="","",IFERROR(4*STDEVP(終値!G98:Z98)/AVERAGE(終値!G98:Z98),""))</f>
        <v>9.0302135795699276E-2</v>
      </c>
      <c r="E98" s="503">
        <f>IF(終値!A98="","",IFERROR(4*STDEVP(終値!H98:AA98)/AVERAGE(終値!H98:AA98),""))</f>
        <v>0.10299515544705773</v>
      </c>
      <c r="F98" s="503">
        <f>IF(終値!A98="","",IFERROR(4*STDEVP(終値!I98:AB98)/AVERAGE(終値!I98:AB98),""))</f>
        <v>0.10531749612367849</v>
      </c>
      <c r="G98" s="503">
        <f>IF(終値!A98="","",IFERROR(4*STDEVP(終値!J98:AC98)/AVERAGE(終値!J98:AC98),""))</f>
        <v>0.11015911138290675</v>
      </c>
      <c r="H98" s="503">
        <f>IF(終値!A98="","",IFERROR(4*STDEVP(終値!K98:AD98)/AVERAGE(終値!K98:AD98),""))</f>
        <v>0.1262968777425823</v>
      </c>
      <c r="I98" s="503">
        <f>IF(終値!A98="","",IFERROR(4*STDEVP(終値!L98:AE98)/AVERAGE(終値!L98:AE98),""))</f>
        <v>0.13181777847678899</v>
      </c>
      <c r="J98" s="503">
        <f>IF(終値!A98="","",IFERROR(4*STDEVP(終値!M98:AF98)/AVERAGE(終値!M98:AF98),""))</f>
        <v>0.14168221388104477</v>
      </c>
      <c r="K98" s="503">
        <f>IF(終値!A98="","",IFERROR(4*STDEVP(終値!N98:AG98)/AVERAGE(終値!N98:AG98),""))</f>
        <v>0.14548889255919137</v>
      </c>
      <c r="L98" s="503">
        <f>IF(終値!A98="","",IFERROR(4*STDEVP(終値!O98:AH98)/AVERAGE(終値!O98:AH98),""))</f>
        <v>0.14767072391807515</v>
      </c>
      <c r="M98" s="503">
        <f>IF(終値!A98="","",IFERROR(4*STDEVP(終値!P98:AI98)/AVERAGE(終値!P98:AI98),""))</f>
        <v>0.14989000553038773</v>
      </c>
      <c r="N98" s="503">
        <f>IF(終値!A98="","",IFERROR(4*STDEVP(終値!Q98:AJ98)/AVERAGE(終値!Q98:AJ98),""))</f>
        <v>0.14975346754241159</v>
      </c>
      <c r="O98" s="503">
        <f>IF(終値!A98="","",IFERROR(4*STDEVP(終値!R98:AK98)/AVERAGE(終値!R98:AK98),""))</f>
        <v>0.13566171813773581</v>
      </c>
      <c r="P98" s="503">
        <f>IF(終値!A98="","",IFERROR(4*STDEVP(終値!S98:AL98)/AVERAGE(終値!S98:AL98),""))</f>
        <v>0.12762292150458512</v>
      </c>
      <c r="Q98" s="503">
        <f>IF(終値!A98="","",IFERROR(4*STDEVP(終値!T98:AM98)/AVERAGE(終値!T98:AM98),""))</f>
        <v>0.12568039625138672</v>
      </c>
      <c r="R98" s="503">
        <f>IF(終値!A98="","",IFERROR(4*STDEVP(終値!U98:AN98)/AVERAGE(終値!U98:AN98),""))</f>
        <v>0.12935672326058048</v>
      </c>
      <c r="S98" s="503">
        <f>IF(終値!A98="","",IFERROR(4*STDEVP(終値!V98:AO98)/AVERAGE(終値!V98:AO98),""))</f>
        <v>0.14359365550972497</v>
      </c>
      <c r="T98" s="503">
        <f>IF(終値!A98="","",IFERROR(4*STDEVP(終値!W98:AP98)/AVERAGE(終値!W98:AP98),""))</f>
        <v>0.15721086391277281</v>
      </c>
      <c r="U98" s="503">
        <f>IF(終値!A98="","",IFERROR(4*STDEVP(終値!X98:AQ98)/AVERAGE(終値!X98:AQ98),""))</f>
        <v>0.1551033148747985</v>
      </c>
      <c r="V98" s="503">
        <f>IF(終値!A98="","",IFERROR(4*STDEVP(終値!Y98:AR98)/AVERAGE(終値!Y98:AR98),""))</f>
        <v>0.13344286726463137</v>
      </c>
      <c r="W98" s="503">
        <f>IF(終値!A98="","",IFERROR(4*STDEVP(終値!Z98:AS98)/AVERAGE(終値!Z98:AS98),""))</f>
        <v>0.12203721101590563</v>
      </c>
      <c r="X98" s="503">
        <f>IF(終値!A98="","",IFERROR(4*STDEVP(終値!AA98:AT98)/AVERAGE(終値!AA98:AT98),""))</f>
        <v>0.11864479907185034</v>
      </c>
      <c r="Y98" s="503">
        <f>IF(終値!A98="","",IFERROR(4*STDEVP(終値!AB98:AU98)/AVERAGE(終値!AB98:AU98),""))</f>
        <v>0.11744188270670695</v>
      </c>
      <c r="Z98" s="503">
        <f>IF(終値!A98="","",IFERROR(4*STDEVP(終値!AC98:AV98)/AVERAGE(終値!AC98:AV98),""))</f>
        <v>0.12214628463494107</v>
      </c>
      <c r="AA98" s="503">
        <f>IF(終値!A98="","",IFERROR(4*STDEVP(終値!AD98:AW98)/AVERAGE(終値!AD98:AW98),""))</f>
        <v>0.11984533267214675</v>
      </c>
      <c r="AB98" s="503">
        <f>IF(終値!A98="","",IFERROR(4*STDEVP(終値!AE98:AX98)/AVERAGE(終値!AE98:AX98),""))</f>
        <v>0.12128140916320206</v>
      </c>
      <c r="AC98" s="503">
        <f>IF(終値!A98="","",IFERROR(4*STDEVP(終値!AF98:AY98)/AVERAGE(終値!AF98:AY98),""))</f>
        <v>0.12130776986181589</v>
      </c>
      <c r="AD98" s="503">
        <f>IF(終値!A98="","",IFERROR(4*STDEVP(終値!AG98:AZ98)/AVERAGE(終値!AG98:AZ98),""))</f>
        <v>0.1321333513320205</v>
      </c>
      <c r="AE98" s="503">
        <f>IF(終値!A98="","",IFERROR(4*STDEVP(終値!AH98:BA98)/AVERAGE(終値!AH98:BA98),""))</f>
        <v>0.14942820031611945</v>
      </c>
      <c r="AF98" s="503">
        <f>IF(終値!A98="","",IFERROR(4*STDEVP(終値!AI98:BB98)/AVERAGE(終値!AI98:BB98),""))</f>
        <v>0.16394815538697546</v>
      </c>
      <c r="AG98" s="503">
        <f>IF(終値!A98="","",IFERROR(4*STDEVP(終値!AJ98:BC98)/AVERAGE(終値!AJ98:BC98),""))</f>
        <v>0.16875932467924498</v>
      </c>
      <c r="AH98" s="503">
        <f>IF(終値!A98="","",IFERROR(4*STDEVP(終値!AK98:BD98)/AVERAGE(終値!AK98:BD98),""))</f>
        <v>0.17385552051211348</v>
      </c>
      <c r="AI98" s="503">
        <f>IF(終値!A98="","",IFERROR(4*STDEVP(終値!AL98:BE98)/AVERAGE(終値!AL98:BE98),""))</f>
        <v>0.16968648095349254</v>
      </c>
      <c r="AJ98" s="503">
        <f>IF(終値!A98="","",IFERROR(4*STDEVP(終値!AM98:BF98)/AVERAGE(終値!AM98:BF98),""))</f>
        <v>0.16677729474869427</v>
      </c>
      <c r="AK98" s="503">
        <f>IF(終値!A98="","",IFERROR(4*STDEVP(終値!AN98:BG98)/AVERAGE(終値!AN98:BG98),""))</f>
        <v>0.16332248297950219</v>
      </c>
      <c r="AL98" s="503">
        <f>IF(終値!A98="","",IFERROR(4*STDEVP(終値!AO98:BH98)/AVERAGE(終値!AO98:BH98),""))</f>
        <v>0.19421009489648278</v>
      </c>
      <c r="AM98" s="503">
        <f>IF(終値!A98="","",IFERROR(4*STDEVP(終値!AP98:BI98)/AVERAGE(終値!AP98:BI98),""))</f>
        <v>0.21998547642023877</v>
      </c>
      <c r="AN98" s="503">
        <f>IF(終値!A98="","",IFERROR(4*STDEVP(終値!AQ98:BJ98)/AVERAGE(終値!AQ98:BJ98),""))</f>
        <v>0.24273110993768443</v>
      </c>
      <c r="AO98" s="503">
        <f>IF(終値!A98="","",IFERROR(4*STDEVP(終値!AR98:BK98)/AVERAGE(終値!AR98:BK98),""))</f>
        <v>0.25947727654232594</v>
      </c>
      <c r="AP98" s="503">
        <f>IF(終値!A98="","",IFERROR(4*STDEVP(終値!AS98:BL98)/AVERAGE(終値!AS98:BL98),""))</f>
        <v>0.2840348858932274</v>
      </c>
    </row>
    <row r="99" spans="1:42">
      <c r="A99" s="500" t="str">
        <f>IF(終値!A99="","",終値!A99)</f>
        <v>4523</v>
      </c>
      <c r="B99" s="503">
        <f>IF(終値!A99="","",IFERROR(4*STDEVP(終値!E99:X99)/AVERAGE(終値!E99:X99),""))</f>
        <v>0.22151157798390123</v>
      </c>
      <c r="C99" s="503">
        <f>IF(終値!A99="","",IFERROR(4*STDEVP(終値!F99:Y99)/AVERAGE(終値!F99:Y99),""))</f>
        <v>0.2286756637195545</v>
      </c>
      <c r="D99" s="503">
        <f>IF(終値!A99="","",IFERROR(4*STDEVP(終値!G99:Z99)/AVERAGE(終値!G99:Z99),""))</f>
        <v>0.23732718024294117</v>
      </c>
      <c r="E99" s="503">
        <f>IF(終値!A99="","",IFERROR(4*STDEVP(終値!H99:AA99)/AVERAGE(終値!H99:AA99),""))</f>
        <v>0.24143249274653344</v>
      </c>
      <c r="F99" s="503">
        <f>IF(終値!A99="","",IFERROR(4*STDEVP(終値!I99:AB99)/AVERAGE(終値!I99:AB99),""))</f>
        <v>0.22333915386318146</v>
      </c>
      <c r="G99" s="503">
        <f>IF(終値!A99="","",IFERROR(4*STDEVP(終値!J99:AC99)/AVERAGE(終値!J99:AC99),""))</f>
        <v>0.18045646973546764</v>
      </c>
      <c r="H99" s="503">
        <f>IF(終値!A99="","",IFERROR(4*STDEVP(終値!K99:AD99)/AVERAGE(終値!K99:AD99),""))</f>
        <v>0.17526035623578892</v>
      </c>
      <c r="I99" s="503">
        <f>IF(終値!A99="","",IFERROR(4*STDEVP(終値!L99:AE99)/AVERAGE(終値!L99:AE99),""))</f>
        <v>0.16963560591269233</v>
      </c>
      <c r="J99" s="503">
        <f>IF(終値!A99="","",IFERROR(4*STDEVP(終値!M99:AF99)/AVERAGE(終値!M99:AF99),""))</f>
        <v>0.17168485216550339</v>
      </c>
      <c r="K99" s="503">
        <f>IF(終値!A99="","",IFERROR(4*STDEVP(終値!N99:AG99)/AVERAGE(終値!N99:AG99),""))</f>
        <v>0.17331542146804788</v>
      </c>
      <c r="L99" s="503">
        <f>IF(終値!A99="","",IFERROR(4*STDEVP(終値!O99:AH99)/AVERAGE(終値!O99:AH99),""))</f>
        <v>0.17130201961141459</v>
      </c>
      <c r="M99" s="503">
        <f>IF(終値!A99="","",IFERROR(4*STDEVP(終値!P99:AI99)/AVERAGE(終値!P99:AI99),""))</f>
        <v>0.16985754479419593</v>
      </c>
      <c r="N99" s="503">
        <f>IF(終値!A99="","",IFERROR(4*STDEVP(終値!Q99:AJ99)/AVERAGE(終値!Q99:AJ99),""))</f>
        <v>0.16263501506495578</v>
      </c>
      <c r="O99" s="503">
        <f>IF(終値!A99="","",IFERROR(4*STDEVP(終値!R99:AK99)/AVERAGE(終値!R99:AK99),""))</f>
        <v>0.17346706773314025</v>
      </c>
      <c r="P99" s="503">
        <f>IF(終値!A99="","",IFERROR(4*STDEVP(終値!S99:AL99)/AVERAGE(終値!S99:AL99),""))</f>
        <v>0.18097448933962282</v>
      </c>
      <c r="Q99" s="503">
        <f>IF(終値!A99="","",IFERROR(4*STDEVP(終値!T99:AM99)/AVERAGE(終値!T99:AM99),""))</f>
        <v>0.18651080533248937</v>
      </c>
      <c r="R99" s="503">
        <f>IF(終値!A99="","",IFERROR(4*STDEVP(終値!U99:AN99)/AVERAGE(終値!U99:AN99),""))</f>
        <v>0.18930842513387439</v>
      </c>
      <c r="S99" s="503">
        <f>IF(終値!A99="","",IFERROR(4*STDEVP(終値!V99:AO99)/AVERAGE(終値!V99:AO99),""))</f>
        <v>0.19333461057289258</v>
      </c>
      <c r="T99" s="503">
        <f>IF(終値!A99="","",IFERROR(4*STDEVP(終値!W99:AP99)/AVERAGE(終値!W99:AP99),""))</f>
        <v>0.18948868560063767</v>
      </c>
      <c r="U99" s="503">
        <f>IF(終値!A99="","",IFERROR(4*STDEVP(終値!X99:AQ99)/AVERAGE(終値!X99:AQ99),""))</f>
        <v>0.17852199717148659</v>
      </c>
      <c r="V99" s="503">
        <f>IF(終値!A99="","",IFERROR(4*STDEVP(終値!Y99:AR99)/AVERAGE(終値!Y99:AR99),""))</f>
        <v>0.15967458881430943</v>
      </c>
      <c r="W99" s="503">
        <f>IF(終値!A99="","",IFERROR(4*STDEVP(終値!Z99:AS99)/AVERAGE(終値!Z99:AS99),""))</f>
        <v>0.14240934087416313</v>
      </c>
      <c r="X99" s="503">
        <f>IF(終値!A99="","",IFERROR(4*STDEVP(終値!AA99:AT99)/AVERAGE(終値!AA99:AT99),""))</f>
        <v>0.12996142103134128</v>
      </c>
      <c r="Y99" s="503">
        <f>IF(終値!A99="","",IFERROR(4*STDEVP(終値!AB99:AU99)/AVERAGE(終値!AB99:AU99),""))</f>
        <v>0.11957302191941367</v>
      </c>
      <c r="Z99" s="503">
        <f>IF(終値!A99="","",IFERROR(4*STDEVP(終値!AC99:AV99)/AVERAGE(終値!AC99:AV99),""))</f>
        <v>0.10794932659361337</v>
      </c>
      <c r="AA99" s="503">
        <f>IF(終値!A99="","",IFERROR(4*STDEVP(終値!AD99:AW99)/AVERAGE(終値!AD99:AW99),""))</f>
        <v>8.559712668659511E-2</v>
      </c>
      <c r="AB99" s="503">
        <f>IF(終値!A99="","",IFERROR(4*STDEVP(終値!AE99:AX99)/AVERAGE(終値!AE99:AX99),""))</f>
        <v>9.0811500851770061E-2</v>
      </c>
      <c r="AC99" s="503">
        <f>IF(終値!A99="","",IFERROR(4*STDEVP(終値!AF99:AY99)/AVERAGE(終値!AF99:AY99),""))</f>
        <v>0.11014592753495815</v>
      </c>
      <c r="AD99" s="503">
        <f>IF(終値!A99="","",IFERROR(4*STDEVP(終値!AG99:AZ99)/AVERAGE(終値!AG99:AZ99),""))</f>
        <v>0.12825018719490422</v>
      </c>
      <c r="AE99" s="503">
        <f>IF(終値!A99="","",IFERROR(4*STDEVP(終値!AH99:BA99)/AVERAGE(終値!AH99:BA99),""))</f>
        <v>0.15195637895000691</v>
      </c>
      <c r="AF99" s="503">
        <f>IF(終値!A99="","",IFERROR(4*STDEVP(終値!AI99:BB99)/AVERAGE(終値!AI99:BB99),""))</f>
        <v>0.17047020074333077</v>
      </c>
      <c r="AG99" s="503">
        <f>IF(終値!A99="","",IFERROR(4*STDEVP(終値!AJ99:BC99)/AVERAGE(終値!AJ99:BC99),""))</f>
        <v>0.20918307743964371</v>
      </c>
      <c r="AH99" s="503">
        <f>IF(終値!A99="","",IFERROR(4*STDEVP(終値!AK99:BD99)/AVERAGE(終値!AK99:BD99),""))</f>
        <v>0.23438546709146393</v>
      </c>
      <c r="AI99" s="503">
        <f>IF(終値!A99="","",IFERROR(4*STDEVP(終値!AL99:BE99)/AVERAGE(終値!AL99:BE99),""))</f>
        <v>0.28243611716360201</v>
      </c>
      <c r="AJ99" s="503">
        <f>IF(終値!A99="","",IFERROR(4*STDEVP(終値!AM99:BF99)/AVERAGE(終値!AM99:BF99),""))</f>
        <v>0.31186663548780097</v>
      </c>
      <c r="AK99" s="503">
        <f>IF(終値!A99="","",IFERROR(4*STDEVP(終値!AN99:BG99)/AVERAGE(終値!AN99:BG99),""))</f>
        <v>0.33395455650094358</v>
      </c>
      <c r="AL99" s="503">
        <f>IF(終値!A99="","",IFERROR(4*STDEVP(終値!AO99:BH99)/AVERAGE(終値!AO99:BH99),""))</f>
        <v>0.34170589493768327</v>
      </c>
      <c r="AM99" s="503">
        <f>IF(終値!A99="","",IFERROR(4*STDEVP(終値!AP99:BI99)/AVERAGE(終値!AP99:BI99),""))</f>
        <v>0.34024638587038802</v>
      </c>
      <c r="AN99" s="503">
        <f>IF(終値!A99="","",IFERROR(4*STDEVP(終値!AQ99:BJ99)/AVERAGE(終値!AQ99:BJ99),""))</f>
        <v>0.33599545518103902</v>
      </c>
      <c r="AO99" s="503">
        <f>IF(終値!A99="","",IFERROR(4*STDEVP(終値!AR99:BK99)/AVERAGE(終値!AR99:BK99),""))</f>
        <v>0.33187577307789246</v>
      </c>
      <c r="AP99" s="503">
        <f>IF(終値!A99="","",IFERROR(4*STDEVP(終値!AS99:BL99)/AVERAGE(終値!AS99:BL99),""))</f>
        <v>0.31971778918349353</v>
      </c>
    </row>
    <row r="100" spans="1:42">
      <c r="A100" s="500" t="str">
        <f>IF(終値!A100="","",終値!A100)</f>
        <v>4528</v>
      </c>
      <c r="B100" s="503">
        <f>IF(終値!A100="","",IFERROR(4*STDEVP(終値!E100:X100)/AVERAGE(終値!E100:X100),""))</f>
        <v>7.4426783127138657E-2</v>
      </c>
      <c r="C100" s="503">
        <f>IF(終値!A100="","",IFERROR(4*STDEVP(終値!F100:Y100)/AVERAGE(終値!F100:Y100),""))</f>
        <v>6.0265088986083938E-2</v>
      </c>
      <c r="D100" s="503">
        <f>IF(終値!A100="","",IFERROR(4*STDEVP(終値!G100:Z100)/AVERAGE(終値!G100:Z100),""))</f>
        <v>5.0799128626487791E-2</v>
      </c>
      <c r="E100" s="503">
        <f>IF(終値!A100="","",IFERROR(4*STDEVP(終値!H100:AA100)/AVERAGE(終値!H100:AA100),""))</f>
        <v>5.3085281960754217E-2</v>
      </c>
      <c r="F100" s="503">
        <f>IF(終値!A100="","",IFERROR(4*STDEVP(終値!I100:AB100)/AVERAGE(終値!I100:AB100),""))</f>
        <v>5.3636842003645005E-2</v>
      </c>
      <c r="G100" s="503">
        <f>IF(終値!A100="","",IFERROR(4*STDEVP(終値!J100:AC100)/AVERAGE(終値!J100:AC100),""))</f>
        <v>4.6866297151367142E-2</v>
      </c>
      <c r="H100" s="503">
        <f>IF(終値!A100="","",IFERROR(4*STDEVP(終値!K100:AD100)/AVERAGE(終値!K100:AD100),""))</f>
        <v>4.9374688523935985E-2</v>
      </c>
      <c r="I100" s="503">
        <f>IF(終値!A100="","",IFERROR(4*STDEVP(終値!L100:AE100)/AVERAGE(終値!L100:AE100),""))</f>
        <v>5.6123953715201118E-2</v>
      </c>
      <c r="J100" s="503">
        <f>IF(終値!A100="","",IFERROR(4*STDEVP(終値!M100:AF100)/AVERAGE(終値!M100:AF100),""))</f>
        <v>5.9173178452072678E-2</v>
      </c>
      <c r="K100" s="503">
        <f>IF(終値!A100="","",IFERROR(4*STDEVP(終値!N100:AG100)/AVERAGE(終値!N100:AG100),""))</f>
        <v>6.5905994712291388E-2</v>
      </c>
      <c r="L100" s="503">
        <f>IF(終値!A100="","",IFERROR(4*STDEVP(終値!O100:AH100)/AVERAGE(終値!O100:AH100),""))</f>
        <v>6.9466007677379302E-2</v>
      </c>
      <c r="M100" s="503">
        <f>IF(終値!A100="","",IFERROR(4*STDEVP(終値!P100:AI100)/AVERAGE(終値!P100:AI100),""))</f>
        <v>8.9317472875562534E-2</v>
      </c>
      <c r="N100" s="503">
        <f>IF(終値!A100="","",IFERROR(4*STDEVP(終値!Q100:AJ100)/AVERAGE(終値!Q100:AJ100),""))</f>
        <v>9.8453377921952259E-2</v>
      </c>
      <c r="O100" s="503">
        <f>IF(終値!A100="","",IFERROR(4*STDEVP(終値!R100:AK100)/AVERAGE(終値!R100:AK100),""))</f>
        <v>0.11091271155035549</v>
      </c>
      <c r="P100" s="503">
        <f>IF(終値!A100="","",IFERROR(4*STDEVP(終値!S100:AL100)/AVERAGE(終値!S100:AL100),""))</f>
        <v>0.11787674081865171</v>
      </c>
      <c r="Q100" s="503">
        <f>IF(終値!A100="","",IFERROR(4*STDEVP(終値!T100:AM100)/AVERAGE(終値!T100:AM100),""))</f>
        <v>0.12393448516438123</v>
      </c>
      <c r="R100" s="503">
        <f>IF(終値!A100="","",IFERROR(4*STDEVP(終値!U100:AN100)/AVERAGE(終値!U100:AN100),""))</f>
        <v>0.133998090527575</v>
      </c>
      <c r="S100" s="503">
        <f>IF(終値!A100="","",IFERROR(4*STDEVP(終値!V100:AO100)/AVERAGE(終値!V100:AO100),""))</f>
        <v>0.13592062520293069</v>
      </c>
      <c r="T100" s="503">
        <f>IF(終値!A100="","",IFERROR(4*STDEVP(終値!W100:AP100)/AVERAGE(終値!W100:AP100),""))</f>
        <v>0.13104402525013406</v>
      </c>
      <c r="U100" s="503">
        <f>IF(終値!A100="","",IFERROR(4*STDEVP(終値!X100:AQ100)/AVERAGE(終値!X100:AQ100),""))</f>
        <v>0.12480305292059264</v>
      </c>
      <c r="V100" s="503">
        <f>IF(終値!A100="","",IFERROR(4*STDEVP(終値!Y100:AR100)/AVERAGE(終値!Y100:AR100),""))</f>
        <v>0.11927598142086911</v>
      </c>
      <c r="W100" s="503">
        <f>IF(終値!A100="","",IFERROR(4*STDEVP(終値!Z100:AS100)/AVERAGE(終値!Z100:AS100),""))</f>
        <v>0.11870968662037538</v>
      </c>
      <c r="X100" s="503">
        <f>IF(終値!A100="","",IFERROR(4*STDEVP(終値!AA100:AT100)/AVERAGE(終値!AA100:AT100),""))</f>
        <v>0.12289941397364854</v>
      </c>
      <c r="Y100" s="503">
        <f>IF(終値!A100="","",IFERROR(4*STDEVP(終値!AB100:AU100)/AVERAGE(終値!AB100:AU100),""))</f>
        <v>0.12128107418758026</v>
      </c>
      <c r="Z100" s="503">
        <f>IF(終値!A100="","",IFERROR(4*STDEVP(終値!AC100:AV100)/AVERAGE(終値!AC100:AV100),""))</f>
        <v>0.12190971797307606</v>
      </c>
      <c r="AA100" s="503">
        <f>IF(終値!A100="","",IFERROR(4*STDEVP(終値!AD100:AW100)/AVERAGE(終値!AD100:AW100),""))</f>
        <v>0.12024024602698308</v>
      </c>
      <c r="AB100" s="503">
        <f>IF(終値!A100="","",IFERROR(4*STDEVP(終値!AE100:AX100)/AVERAGE(終値!AE100:AX100),""))</f>
        <v>0.11898187078932067</v>
      </c>
      <c r="AC100" s="503">
        <f>IF(終値!A100="","",IFERROR(4*STDEVP(終値!AF100:AY100)/AVERAGE(終値!AF100:AY100),""))</f>
        <v>0.1318537700048282</v>
      </c>
      <c r="AD100" s="503">
        <f>IF(終値!A100="","",IFERROR(4*STDEVP(終値!AG100:AZ100)/AVERAGE(終値!AG100:AZ100),""))</f>
        <v>0.15029673336222452</v>
      </c>
      <c r="AE100" s="503">
        <f>IF(終値!A100="","",IFERROR(4*STDEVP(終値!AH100:BA100)/AVERAGE(終値!AH100:BA100),""))</f>
        <v>0.16090283285861395</v>
      </c>
      <c r="AF100" s="503">
        <f>IF(終値!A100="","",IFERROR(4*STDEVP(終値!AI100:BB100)/AVERAGE(終値!AI100:BB100),""))</f>
        <v>0.1673221068442311</v>
      </c>
      <c r="AG100" s="503">
        <f>IF(終値!A100="","",IFERROR(4*STDEVP(終値!AJ100:BC100)/AVERAGE(終値!AJ100:BC100),""))</f>
        <v>0.17202143882619483</v>
      </c>
      <c r="AH100" s="503">
        <f>IF(終値!A100="","",IFERROR(4*STDEVP(終値!AK100:BD100)/AVERAGE(終値!AK100:BD100),""))</f>
        <v>0.17813944629911985</v>
      </c>
      <c r="AI100" s="503">
        <f>IF(終値!A100="","",IFERROR(4*STDEVP(終値!AL100:BE100)/AVERAGE(終値!AL100:BE100),""))</f>
        <v>0.19266771770625907</v>
      </c>
      <c r="AJ100" s="503">
        <f>IF(終値!A100="","",IFERROR(4*STDEVP(終値!AM100:BF100)/AVERAGE(終値!AM100:BF100),""))</f>
        <v>0.20935016079704111</v>
      </c>
      <c r="AK100" s="503">
        <f>IF(終値!A100="","",IFERROR(4*STDEVP(終値!AN100:BG100)/AVERAGE(終値!AN100:BG100),""))</f>
        <v>0.21900554992755558</v>
      </c>
      <c r="AL100" s="503">
        <f>IF(終値!A100="","",IFERROR(4*STDEVP(終値!AO100:BH100)/AVERAGE(終値!AO100:BH100),""))</f>
        <v>0.21414935548153302</v>
      </c>
      <c r="AM100" s="503">
        <f>IF(終値!A100="","",IFERROR(4*STDEVP(終値!AP100:BI100)/AVERAGE(終値!AP100:BI100),""))</f>
        <v>0.20880421840855515</v>
      </c>
      <c r="AN100" s="503">
        <f>IF(終値!A100="","",IFERROR(4*STDEVP(終値!AQ100:BJ100)/AVERAGE(終値!AQ100:BJ100),""))</f>
        <v>0.2009606188538782</v>
      </c>
      <c r="AO100" s="503">
        <f>IF(終値!A100="","",IFERROR(4*STDEVP(終値!AR100:BK100)/AVERAGE(終値!AR100:BK100),""))</f>
        <v>0.19290462391305807</v>
      </c>
      <c r="AP100" s="503">
        <f>IF(終値!A100="","",IFERROR(4*STDEVP(終値!AS100:BL100)/AVERAGE(終値!AS100:BL100),""))</f>
        <v>0.18358796557775839</v>
      </c>
    </row>
    <row r="101" spans="1:42">
      <c r="A101" s="500" t="str">
        <f>IF(終値!A101="","",終値!A101)</f>
        <v>4661</v>
      </c>
      <c r="B101" s="503">
        <f>IF(終値!A101="","",IFERROR(4*STDEVP(終値!E101:X101)/AVERAGE(終値!E101:X101),""))</f>
        <v>0.26235603829345899</v>
      </c>
      <c r="C101" s="503">
        <f>IF(終値!A101="","",IFERROR(4*STDEVP(終値!F101:Y101)/AVERAGE(終値!F101:Y101),""))</f>
        <v>0.26697817792577128</v>
      </c>
      <c r="D101" s="503">
        <f>IF(終値!A101="","",IFERROR(4*STDEVP(終値!G101:Z101)/AVERAGE(終値!G101:Z101),""))</f>
        <v>0.2542606173068121</v>
      </c>
      <c r="E101" s="503">
        <f>IF(終値!A101="","",IFERROR(4*STDEVP(終値!H101:AA101)/AVERAGE(終値!H101:AA101),""))</f>
        <v>0.22468500271015743</v>
      </c>
      <c r="F101" s="503">
        <f>IF(終値!A101="","",IFERROR(4*STDEVP(終値!I101:AB101)/AVERAGE(終値!I101:AB101),""))</f>
        <v>0.21793401419568695</v>
      </c>
      <c r="G101" s="503">
        <f>IF(終値!A101="","",IFERROR(4*STDEVP(終値!J101:AC101)/AVERAGE(終値!J101:AC101),""))</f>
        <v>0.18080612379980454</v>
      </c>
      <c r="H101" s="503">
        <f>IF(終値!A101="","",IFERROR(4*STDEVP(終値!K101:AD101)/AVERAGE(終値!K101:AD101),""))</f>
        <v>0.16967070600876011</v>
      </c>
      <c r="I101" s="503">
        <f>IF(終値!A101="","",IFERROR(4*STDEVP(終値!L101:AE101)/AVERAGE(終値!L101:AE101),""))</f>
        <v>0.16382512526412812</v>
      </c>
      <c r="J101" s="503">
        <f>IF(終値!A101="","",IFERROR(4*STDEVP(終値!M101:AF101)/AVERAGE(終値!M101:AF101),""))</f>
        <v>0.17469607881430865</v>
      </c>
      <c r="K101" s="503">
        <f>IF(終値!A101="","",IFERROR(4*STDEVP(終値!N101:AG101)/AVERAGE(終値!N101:AG101),""))</f>
        <v>0.18734711250356378</v>
      </c>
      <c r="L101" s="503">
        <f>IF(終値!A101="","",IFERROR(4*STDEVP(終値!O101:AH101)/AVERAGE(終値!O101:AH101),""))</f>
        <v>0.19946477486737049</v>
      </c>
      <c r="M101" s="503">
        <f>IF(終値!A101="","",IFERROR(4*STDEVP(終値!P101:AI101)/AVERAGE(終値!P101:AI101),""))</f>
        <v>0.19894641733838789</v>
      </c>
      <c r="N101" s="503">
        <f>IF(終値!A101="","",IFERROR(4*STDEVP(終値!Q101:AJ101)/AVERAGE(終値!Q101:AJ101),""))</f>
        <v>0.19843661598166307</v>
      </c>
      <c r="O101" s="503">
        <f>IF(終値!A101="","",IFERROR(4*STDEVP(終値!R101:AK101)/AVERAGE(終値!R101:AK101),""))</f>
        <v>0.20637913345082687</v>
      </c>
      <c r="P101" s="503">
        <f>IF(終値!A101="","",IFERROR(4*STDEVP(終値!S101:AL101)/AVERAGE(終値!S101:AL101),""))</f>
        <v>0.1951536938723302</v>
      </c>
      <c r="Q101" s="503">
        <f>IF(終値!A101="","",IFERROR(4*STDEVP(終値!T101:AM101)/AVERAGE(終値!T101:AM101),""))</f>
        <v>0.19398059324410805</v>
      </c>
      <c r="R101" s="503">
        <f>IF(終値!A101="","",IFERROR(4*STDEVP(終値!U101:AN101)/AVERAGE(終値!U101:AN101),""))</f>
        <v>0.19244859785268639</v>
      </c>
      <c r="S101" s="503">
        <f>IF(終値!A101="","",IFERROR(4*STDEVP(終値!V101:AO101)/AVERAGE(終値!V101:AO101),""))</f>
        <v>0.18436145589757624</v>
      </c>
      <c r="T101" s="503">
        <f>IF(終値!A101="","",IFERROR(4*STDEVP(終値!W101:AP101)/AVERAGE(終値!W101:AP101),""))</f>
        <v>0.17327892855575142</v>
      </c>
      <c r="U101" s="503">
        <f>IF(終値!A101="","",IFERROR(4*STDEVP(終値!X101:AQ101)/AVERAGE(終値!X101:AQ101),""))</f>
        <v>0.16775649147259691</v>
      </c>
      <c r="V101" s="503">
        <f>IF(終値!A101="","",IFERROR(4*STDEVP(終値!Y101:AR101)/AVERAGE(終値!Y101:AR101),""))</f>
        <v>0.16582400693941257</v>
      </c>
      <c r="W101" s="503">
        <f>IF(終値!A101="","",IFERROR(4*STDEVP(終値!Z101:AS101)/AVERAGE(終値!Z101:AS101),""))</f>
        <v>0.16023988750479776</v>
      </c>
      <c r="X101" s="503">
        <f>IF(終値!A101="","",IFERROR(4*STDEVP(終値!AA101:AT101)/AVERAGE(終値!AA101:AT101),""))</f>
        <v>0.1519438433485957</v>
      </c>
      <c r="Y101" s="503">
        <f>IF(終値!A101="","",IFERROR(4*STDEVP(終値!AB101:AU101)/AVERAGE(終値!AB101:AU101),""))</f>
        <v>0.15548761065885347</v>
      </c>
      <c r="Z101" s="503">
        <f>IF(終値!A101="","",IFERROR(4*STDEVP(終値!AC101:AV101)/AVERAGE(終値!AC101:AV101),""))</f>
        <v>0.13817481173375409</v>
      </c>
      <c r="AA101" s="503">
        <f>IF(終値!A101="","",IFERROR(4*STDEVP(終値!AD101:AW101)/AVERAGE(終値!AD101:AW101),""))</f>
        <v>0.11416739268245664</v>
      </c>
      <c r="AB101" s="503">
        <f>IF(終値!A101="","",IFERROR(4*STDEVP(終値!AE101:AX101)/AVERAGE(終値!AE101:AX101),""))</f>
        <v>0.10971315572176969</v>
      </c>
      <c r="AC101" s="503">
        <f>IF(終値!A101="","",IFERROR(4*STDEVP(終値!AF101:AY101)/AVERAGE(終値!AF101:AY101),""))</f>
        <v>0.11400955875896933</v>
      </c>
      <c r="AD101" s="503">
        <f>IF(終値!A101="","",IFERROR(4*STDEVP(終値!AG101:AZ101)/AVERAGE(終値!AG101:AZ101),""))</f>
        <v>0.11444088587458595</v>
      </c>
      <c r="AE101" s="503">
        <f>IF(終値!A101="","",IFERROR(4*STDEVP(終値!AH101:BA101)/AVERAGE(終値!AH101:BA101),""))</f>
        <v>0.1127929247446158</v>
      </c>
      <c r="AF101" s="503">
        <f>IF(終値!A101="","",IFERROR(4*STDEVP(終値!AI101:BB101)/AVERAGE(終値!AI101:BB101),""))</f>
        <v>0.10779032232703577</v>
      </c>
      <c r="AG101" s="503">
        <f>IF(終値!A101="","",IFERROR(4*STDEVP(終値!AJ101:BC101)/AVERAGE(終値!AJ101:BC101),""))</f>
        <v>9.9761786864026009E-2</v>
      </c>
      <c r="AH101" s="503">
        <f>IF(終値!A101="","",IFERROR(4*STDEVP(終値!AK101:BD101)/AVERAGE(終値!AK101:BD101),""))</f>
        <v>0.10189776679794754</v>
      </c>
      <c r="AI101" s="503">
        <f>IF(終値!A101="","",IFERROR(4*STDEVP(終値!AL101:BE101)/AVERAGE(終値!AL101:BE101),""))</f>
        <v>0.10044903805333406</v>
      </c>
      <c r="AJ101" s="503">
        <f>IF(終値!A101="","",IFERROR(4*STDEVP(終値!AM101:BF101)/AVERAGE(終値!AM101:BF101),""))</f>
        <v>0.1004738168976221</v>
      </c>
      <c r="AK101" s="503">
        <f>IF(終値!A101="","",IFERROR(4*STDEVP(終値!AN101:BG101)/AVERAGE(終値!AN101:BG101),""))</f>
        <v>9.9032309557196913E-2</v>
      </c>
      <c r="AL101" s="503">
        <f>IF(終値!A101="","",IFERROR(4*STDEVP(終値!AO101:BH101)/AVERAGE(終値!AO101:BH101),""))</f>
        <v>9.6141494045805451E-2</v>
      </c>
      <c r="AM101" s="503">
        <f>IF(終値!A101="","",IFERROR(4*STDEVP(終値!AP101:BI101)/AVERAGE(終値!AP101:BI101),""))</f>
        <v>8.5592201952179439E-2</v>
      </c>
      <c r="AN101" s="503">
        <f>IF(終値!A101="","",IFERROR(4*STDEVP(終値!AQ101:BJ101)/AVERAGE(終値!AQ101:BJ101),""))</f>
        <v>7.7998552410969244E-2</v>
      </c>
      <c r="AO101" s="503">
        <f>IF(終値!A101="","",IFERROR(4*STDEVP(終値!AR101:BK101)/AVERAGE(終値!AR101:BK101),""))</f>
        <v>7.7884784063958226E-2</v>
      </c>
      <c r="AP101" s="503">
        <f>IF(終値!A101="","",IFERROR(4*STDEVP(終値!AS101:BL101)/AVERAGE(終値!AS101:BL101),""))</f>
        <v>7.8639205637178328E-2</v>
      </c>
    </row>
    <row r="102" spans="1:42">
      <c r="A102" s="500" t="str">
        <f>IF(終値!A102="","",終値!A102)</f>
        <v>5802</v>
      </c>
      <c r="B102" s="503" t="str">
        <f>IF(終値!A102="","",IFERROR(4*STDEVP(終値!E102:X102)/AVERAGE(終値!E102:X102),""))</f>
        <v/>
      </c>
      <c r="C102" s="503" t="str">
        <f>IF(終値!A102="","",IFERROR(4*STDEVP(終値!F102:Y102)/AVERAGE(終値!F102:Y102),""))</f>
        <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0.38318336012940379</v>
      </c>
      <c r="C103" s="503">
        <f>IF(終値!A103="","",IFERROR(4*STDEVP(終値!F103:Y103)/AVERAGE(終値!F103:Y103),""))</f>
        <v>0.40425434551761991</v>
      </c>
      <c r="D103" s="503">
        <f>IF(終値!A103="","",IFERROR(4*STDEVP(終値!G103:Z103)/AVERAGE(終値!G103:Z103),""))</f>
        <v>0.41318220570104319</v>
      </c>
      <c r="E103" s="503">
        <f>IF(終値!A103="","",IFERROR(4*STDEVP(終値!H103:AA103)/AVERAGE(終値!H103:AA103),""))</f>
        <v>0.43920573705847094</v>
      </c>
      <c r="F103" s="503">
        <f>IF(終値!A103="","",IFERROR(4*STDEVP(終値!I103:AB103)/AVERAGE(終値!I103:AB103),""))</f>
        <v>0.45054971691191359</v>
      </c>
      <c r="G103" s="503">
        <f>IF(終値!A103="","",IFERROR(4*STDEVP(終値!J103:AC103)/AVERAGE(終値!J103:AC103),""))</f>
        <v>0.41701492905716081</v>
      </c>
      <c r="H103" s="503">
        <f>IF(終値!A103="","",IFERROR(4*STDEVP(終値!K103:AD103)/AVERAGE(終値!K103:AD103),""))</f>
        <v>0.41195192903267397</v>
      </c>
      <c r="I103" s="503">
        <f>IF(終値!A103="","",IFERROR(4*STDEVP(終値!L103:AE103)/AVERAGE(終値!L103:AE103),""))</f>
        <v>0.43250262835122399</v>
      </c>
      <c r="J103" s="503">
        <f>IF(終値!A103="","",IFERROR(4*STDEVP(終値!M103:AF103)/AVERAGE(終値!M103:AF103),""))</f>
        <v>0.44478083599891255</v>
      </c>
      <c r="K103" s="503">
        <f>IF(終値!A103="","",IFERROR(4*STDEVP(終値!N103:AG103)/AVERAGE(終値!N103:AG103),""))</f>
        <v>0.46313520156992249</v>
      </c>
      <c r="L103" s="503">
        <f>IF(終値!A103="","",IFERROR(4*STDEVP(終値!O103:AH103)/AVERAGE(終値!O103:AH103),""))</f>
        <v>0.4579501296208614</v>
      </c>
      <c r="M103" s="503">
        <f>IF(終値!A103="","",IFERROR(4*STDEVP(終値!P103:AI103)/AVERAGE(終値!P103:AI103),""))</f>
        <v>0.43926700347799774</v>
      </c>
      <c r="N103" s="503">
        <f>IF(終値!A103="","",IFERROR(4*STDEVP(終値!Q103:AJ103)/AVERAGE(終値!Q103:AJ103),""))</f>
        <v>0.43999727837866609</v>
      </c>
      <c r="O103" s="503">
        <f>IF(終値!A103="","",IFERROR(4*STDEVP(終値!R103:AK103)/AVERAGE(終値!R103:AK103),""))</f>
        <v>0.45543579899650066</v>
      </c>
      <c r="P103" s="503">
        <f>IF(終値!A103="","",IFERROR(4*STDEVP(終値!S103:AL103)/AVERAGE(終値!S103:AL103),""))</f>
        <v>0.45827363786682618</v>
      </c>
      <c r="Q103" s="503">
        <f>IF(終値!A103="","",IFERROR(4*STDEVP(終値!T103:AM103)/AVERAGE(終値!T103:AM103),""))</f>
        <v>0.49058106479495417</v>
      </c>
      <c r="R103" s="503">
        <f>IF(終値!A103="","",IFERROR(4*STDEVP(終値!U103:AN103)/AVERAGE(終値!U103:AN103),""))</f>
        <v>0.52924622984677827</v>
      </c>
      <c r="S103" s="503">
        <f>IF(終値!A103="","",IFERROR(4*STDEVP(終値!V103:AO103)/AVERAGE(終値!V103:AO103),""))</f>
        <v>0.56713074395855245</v>
      </c>
      <c r="T103" s="503">
        <f>IF(終値!A103="","",IFERROR(4*STDEVP(終値!W103:AP103)/AVERAGE(終値!W103:AP103),""))</f>
        <v>0.59599138214697489</v>
      </c>
      <c r="U103" s="503">
        <f>IF(終値!A103="","",IFERROR(4*STDEVP(終値!X103:AQ103)/AVERAGE(終値!X103:AQ103),""))</f>
        <v>0.61795902765300992</v>
      </c>
      <c r="V103" s="503">
        <f>IF(終値!A103="","",IFERROR(4*STDEVP(終値!Y103:AR103)/AVERAGE(終値!Y103:AR103),""))</f>
        <v>0.62805791994001625</v>
      </c>
      <c r="W103" s="503">
        <f>IF(終値!A103="","",IFERROR(4*STDEVP(終値!Z103:AS103)/AVERAGE(終値!Z103:AS103),""))</f>
        <v>0.63578318837622794</v>
      </c>
      <c r="X103" s="503">
        <f>IF(終値!A103="","",IFERROR(4*STDEVP(終値!AA103:AT103)/AVERAGE(終値!AA103:AT103),""))</f>
        <v>0.63881899139418696</v>
      </c>
      <c r="Y103" s="503">
        <f>IF(終値!A103="","",IFERROR(4*STDEVP(終値!AB103:AU103)/AVERAGE(終値!AB103:AU103),""))</f>
        <v>0.64607970676031479</v>
      </c>
      <c r="Z103" s="503">
        <f>IF(終値!A103="","",IFERROR(4*STDEVP(終値!AC103:AV103)/AVERAGE(終値!AC103:AV103),""))</f>
        <v>0.62848701842152055</v>
      </c>
      <c r="AA103" s="503">
        <f>IF(終値!A103="","",IFERROR(4*STDEVP(終値!AD103:AW103)/AVERAGE(終値!AD103:AW103),""))</f>
        <v>0.61705947148278073</v>
      </c>
      <c r="AB103" s="503">
        <f>IF(終値!A103="","",IFERROR(4*STDEVP(終値!AE103:AX103)/AVERAGE(終値!AE103:AX103),""))</f>
        <v>0.59088614866721467</v>
      </c>
      <c r="AC103" s="503">
        <f>IF(終値!A103="","",IFERROR(4*STDEVP(終値!AF103:AY103)/AVERAGE(終値!AF103:AY103),""))</f>
        <v>0.54436939035110243</v>
      </c>
      <c r="AD103" s="503">
        <f>IF(終値!A103="","",IFERROR(4*STDEVP(終値!AG103:AZ103)/AVERAGE(終値!AG103:AZ103),""))</f>
        <v>0.48939266310541413</v>
      </c>
      <c r="AE103" s="503">
        <f>IF(終値!A103="","",IFERROR(4*STDEVP(終値!AH103:BA103)/AVERAGE(終値!AH103:BA103),""))</f>
        <v>0.39583178900512783</v>
      </c>
      <c r="AF103" s="503">
        <f>IF(終値!A103="","",IFERROR(4*STDEVP(終値!AI103:BB103)/AVERAGE(終値!AI103:BB103),""))</f>
        <v>0.30870493745600408</v>
      </c>
      <c r="AG103" s="503">
        <f>IF(終値!A103="","",IFERROR(4*STDEVP(終値!AJ103:BC103)/AVERAGE(終値!AJ103:BC103),""))</f>
        <v>0.29576515045474383</v>
      </c>
      <c r="AH103" s="503">
        <f>IF(終値!A103="","",IFERROR(4*STDEVP(終値!AK103:BD103)/AVERAGE(終値!AK103:BD103),""))</f>
        <v>0.34155242352452259</v>
      </c>
      <c r="AI103" s="503">
        <f>IF(終値!A103="","",IFERROR(4*STDEVP(終値!AL103:BE103)/AVERAGE(終値!AL103:BE103),""))</f>
        <v>0.39279241645192797</v>
      </c>
      <c r="AJ103" s="503">
        <f>IF(終値!A103="","",IFERROR(4*STDEVP(終値!AM103:BF103)/AVERAGE(終値!AM103:BF103),""))</f>
        <v>0.47900150031530897</v>
      </c>
      <c r="AK103" s="503">
        <f>IF(終値!A103="","",IFERROR(4*STDEVP(終値!AN103:BG103)/AVERAGE(終値!AN103:BG103),""))</f>
        <v>0.68585312009227295</v>
      </c>
      <c r="AL103" s="503">
        <f>IF(終値!A103="","",IFERROR(4*STDEVP(終値!AO103:BH103)/AVERAGE(終値!AO103:BH103),""))</f>
        <v>0.77769967205826251</v>
      </c>
      <c r="AM103" s="503">
        <f>IF(終値!A103="","",IFERROR(4*STDEVP(終値!AP103:BI103)/AVERAGE(終値!AP103:BI103),""))</f>
        <v>0.7797601314566156</v>
      </c>
      <c r="AN103" s="503">
        <f>IF(終値!A103="","",IFERROR(4*STDEVP(終値!AQ103:BJ103)/AVERAGE(終値!AQ103:BJ103),""))</f>
        <v>0.76221140970309198</v>
      </c>
      <c r="AO103" s="503">
        <f>IF(終値!A103="","",IFERROR(4*STDEVP(終値!AR103:BK103)/AVERAGE(終値!AR103:BK103),""))</f>
        <v>0.7437355058034516</v>
      </c>
      <c r="AP103" s="503">
        <f>IF(終値!A103="","",IFERROR(4*STDEVP(終値!AS103:BL103)/AVERAGE(終値!AS103:BL103),""))</f>
        <v>0.72537479676498451</v>
      </c>
    </row>
    <row r="104" spans="1:42">
      <c r="A104" s="500" t="str">
        <f>IF(終値!A104="","",終値!A104)</f>
        <v>6178</v>
      </c>
      <c r="B104" s="503">
        <f>IF(終値!A104="","",IFERROR(4*STDEVP(終値!E104:X104)/AVERAGE(終値!E104:X104),""))</f>
        <v>0.10401524840147693</v>
      </c>
      <c r="C104" s="503">
        <f>IF(終値!A104="","",IFERROR(4*STDEVP(終値!F104:Y104)/AVERAGE(終値!F104:Y104),""))</f>
        <v>0.11099718418517333</v>
      </c>
      <c r="D104" s="503">
        <f>IF(終値!A104="","",IFERROR(4*STDEVP(終値!G104:Z104)/AVERAGE(終値!G104:Z104),""))</f>
        <v>0.12335345655964898</v>
      </c>
      <c r="E104" s="503">
        <f>IF(終値!A104="","",IFERROR(4*STDEVP(終値!H104:AA104)/AVERAGE(終値!H104:AA104),""))</f>
        <v>0.14770389410029347</v>
      </c>
      <c r="F104" s="503">
        <f>IF(終値!A104="","",IFERROR(4*STDEVP(終値!I104:AB104)/AVERAGE(終値!I104:AB104),""))</f>
        <v>0.16590798239654445</v>
      </c>
      <c r="G104" s="503">
        <f>IF(終値!A104="","",IFERROR(4*STDEVP(終値!J104:AC104)/AVERAGE(終値!J104:AC104),""))</f>
        <v>0.1777531787925371</v>
      </c>
      <c r="H104" s="503">
        <f>IF(終値!A104="","",IFERROR(4*STDEVP(終値!K104:AD104)/AVERAGE(終値!K104:AD104),""))</f>
        <v>0.18569464456826279</v>
      </c>
      <c r="I104" s="503">
        <f>IF(終値!A104="","",IFERROR(4*STDEVP(終値!L104:AE104)/AVERAGE(終値!L104:AE104),""))</f>
        <v>0.17927320341883204</v>
      </c>
      <c r="J104" s="503">
        <f>IF(終値!A104="","",IFERROR(4*STDEVP(終値!M104:AF104)/AVERAGE(終値!M104:AF104),""))</f>
        <v>0.16993670495364366</v>
      </c>
      <c r="K104" s="503">
        <f>IF(終値!A104="","",IFERROR(4*STDEVP(終値!N104:AG104)/AVERAGE(終値!N104:AG104),""))</f>
        <v>0.16159411799887743</v>
      </c>
      <c r="L104" s="503">
        <f>IF(終値!A104="","",IFERROR(4*STDEVP(終値!O104:AH104)/AVERAGE(終値!O104:AH104),""))</f>
        <v>0.15000108535338702</v>
      </c>
      <c r="M104" s="503">
        <f>IF(終値!A104="","",IFERROR(4*STDEVP(終値!P104:AI104)/AVERAGE(終値!P104:AI104),""))</f>
        <v>0.14019024168155117</v>
      </c>
      <c r="N104" s="503">
        <f>IF(終値!A104="","",IFERROR(4*STDEVP(終値!Q104:AJ104)/AVERAGE(終値!Q104:AJ104),""))</f>
        <v>0.1390486975518414</v>
      </c>
      <c r="O104" s="503">
        <f>IF(終値!A104="","",IFERROR(4*STDEVP(終値!R104:AK104)/AVERAGE(終値!R104:AK104),""))</f>
        <v>0.12941186302364549</v>
      </c>
      <c r="P104" s="503">
        <f>IF(終値!A104="","",IFERROR(4*STDEVP(終値!S104:AL104)/AVERAGE(終値!S104:AL104),""))</f>
        <v>0.12348923928621169</v>
      </c>
      <c r="Q104" s="503">
        <f>IF(終値!A104="","",IFERROR(4*STDEVP(終値!T104:AM104)/AVERAGE(終値!T104:AM104),""))</f>
        <v>0.11992542684914746</v>
      </c>
      <c r="R104" s="503">
        <f>IF(終値!A104="","",IFERROR(4*STDEVP(終値!U104:AN104)/AVERAGE(終値!U104:AN104),""))</f>
        <v>0.11978965183885773</v>
      </c>
      <c r="S104" s="503">
        <f>IF(終値!A104="","",IFERROR(4*STDEVP(終値!V104:AO104)/AVERAGE(終値!V104:AO104),""))</f>
        <v>0.11176476255763199</v>
      </c>
      <c r="T104" s="503">
        <f>IF(終値!A104="","",IFERROR(4*STDEVP(終値!W104:AP104)/AVERAGE(終値!W104:AP104),""))</f>
        <v>9.9402005777770877E-2</v>
      </c>
      <c r="U104" s="503">
        <f>IF(終値!A104="","",IFERROR(4*STDEVP(終値!X104:AQ104)/AVERAGE(終値!X104:AQ104),""))</f>
        <v>9.4174731213250193E-2</v>
      </c>
      <c r="V104" s="503">
        <f>IF(終値!A104="","",IFERROR(4*STDEVP(終値!Y104:AR104)/AVERAGE(終値!Y104:AR104),""))</f>
        <v>9.1616696337256706E-2</v>
      </c>
      <c r="W104" s="503">
        <f>IF(終値!A104="","",IFERROR(4*STDEVP(終値!Z104:AS104)/AVERAGE(終値!Z104:AS104),""))</f>
        <v>9.1686430025131008E-2</v>
      </c>
      <c r="X104" s="503">
        <f>IF(終値!A104="","",IFERROR(4*STDEVP(終値!AA104:AT104)/AVERAGE(終値!AA104:AT104),""))</f>
        <v>9.59703912321727E-2</v>
      </c>
      <c r="Y104" s="503">
        <f>IF(終値!A104="","",IFERROR(4*STDEVP(終値!AB104:AU104)/AVERAGE(終値!AB104:AU104),""))</f>
        <v>0.1077671393783077</v>
      </c>
      <c r="Z104" s="503">
        <f>IF(終値!A104="","",IFERROR(4*STDEVP(終値!AC104:AV104)/AVERAGE(終値!AC104:AV104),""))</f>
        <v>0.11888357568650729</v>
      </c>
      <c r="AA104" s="503">
        <f>IF(終値!A104="","",IFERROR(4*STDEVP(終値!AD104:AW104)/AVERAGE(終値!AD104:AW104),""))</f>
        <v>0.13469578556598821</v>
      </c>
      <c r="AB104" s="503">
        <f>IF(終値!A104="","",IFERROR(4*STDEVP(終値!AE104:AX104)/AVERAGE(終値!AE104:AX104),""))</f>
        <v>0.14362833026967586</v>
      </c>
      <c r="AC104" s="503">
        <f>IF(終値!A104="","",IFERROR(4*STDEVP(終値!AF104:AY104)/AVERAGE(終値!AF104:AY104),""))</f>
        <v>0.1479946116236035</v>
      </c>
      <c r="AD104" s="503">
        <f>IF(終値!A104="","",IFERROR(4*STDEVP(終値!AG104:AZ104)/AVERAGE(終値!AG104:AZ104),""))</f>
        <v>0.14833854848032585</v>
      </c>
      <c r="AE104" s="503">
        <f>IF(終値!A104="","",IFERROR(4*STDEVP(終値!AH104:BA104)/AVERAGE(終値!AH104:BA104),""))</f>
        <v>0.14779904200257049</v>
      </c>
      <c r="AF104" s="503">
        <f>IF(終値!A104="","",IFERROR(4*STDEVP(終値!AI104:BB104)/AVERAGE(終値!AI104:BB104),""))</f>
        <v>0.14711281204281962</v>
      </c>
      <c r="AG104" s="503">
        <f>IF(終値!A104="","",IFERROR(4*STDEVP(終値!AJ104:BC104)/AVERAGE(終値!AJ104:BC104),""))</f>
        <v>0.14542527433545432</v>
      </c>
      <c r="AH104" s="503">
        <f>IF(終値!A104="","",IFERROR(4*STDEVP(終値!AK104:BD104)/AVERAGE(終値!AK104:BD104),""))</f>
        <v>0.14646049996728477</v>
      </c>
      <c r="AI104" s="503">
        <f>IF(終値!A104="","",IFERROR(4*STDEVP(終値!AL104:BE104)/AVERAGE(終値!AL104:BE104),""))</f>
        <v>0.16326689902214439</v>
      </c>
      <c r="AJ104" s="503">
        <f>IF(終値!A104="","",IFERROR(4*STDEVP(終値!AM104:BF104)/AVERAGE(終値!AM104:BF104),""))</f>
        <v>0.16915873583892374</v>
      </c>
      <c r="AK104" s="503">
        <f>IF(終値!A104="","",IFERROR(4*STDEVP(終値!AN104:BG104)/AVERAGE(終値!AN104:BG104),""))</f>
        <v>0.16748130098164651</v>
      </c>
      <c r="AL104" s="503">
        <f>IF(終値!A104="","",IFERROR(4*STDEVP(終値!AO104:BH104)/AVERAGE(終値!AO104:BH104),""))</f>
        <v>0.15609401774986123</v>
      </c>
      <c r="AM104" s="503">
        <f>IF(終値!A104="","",IFERROR(4*STDEVP(終値!AP104:BI104)/AVERAGE(終値!AP104:BI104),""))</f>
        <v>0.1694951958880801</v>
      </c>
      <c r="AN104" s="503">
        <f>IF(終値!A104="","",IFERROR(4*STDEVP(終値!AQ104:BJ104)/AVERAGE(終値!AQ104:BJ104),""))</f>
        <v>0.17864546932419095</v>
      </c>
      <c r="AO104" s="503">
        <f>IF(終値!A104="","",IFERROR(4*STDEVP(終値!AR104:BK104)/AVERAGE(終値!AR104:BK104),""))</f>
        <v>0.19113131432883271</v>
      </c>
      <c r="AP104" s="503">
        <f>IF(終値!A104="","",IFERROR(4*STDEVP(終値!AS104:BL104)/AVERAGE(終値!AS104:BL104),""))</f>
        <v>0.20895822178573825</v>
      </c>
    </row>
    <row r="105" spans="1:42">
      <c r="A105" s="500" t="str">
        <f>IF(終値!A105="","",終値!A105)</f>
        <v>6925</v>
      </c>
      <c r="B105" s="503">
        <f>IF(終値!A105="","",IFERROR(4*STDEVP(終値!E105:X105)/AVERAGE(終値!E105:X105),""))</f>
        <v>0.24290871975763298</v>
      </c>
      <c r="C105" s="503">
        <f>IF(終値!A105="","",IFERROR(4*STDEVP(終値!F105:Y105)/AVERAGE(終値!F105:Y105),""))</f>
        <v>0.27574917926640735</v>
      </c>
      <c r="D105" s="503">
        <f>IF(終値!A105="","",IFERROR(4*STDEVP(終値!G105:Z105)/AVERAGE(終値!G105:Z105),""))</f>
        <v>0.29047161867480231</v>
      </c>
      <c r="E105" s="503">
        <f>IF(終値!A105="","",IFERROR(4*STDEVP(終値!H105:AA105)/AVERAGE(終値!H105:AA105),""))</f>
        <v>0.30886032156233773</v>
      </c>
      <c r="F105" s="503">
        <f>IF(終値!A105="","",IFERROR(4*STDEVP(終値!I105:AB105)/AVERAGE(終値!I105:AB105),""))</f>
        <v>0.28278487777730243</v>
      </c>
      <c r="G105" s="503">
        <f>IF(終値!A105="","",IFERROR(4*STDEVP(終値!J105:AC105)/AVERAGE(終値!J105:AC105),""))</f>
        <v>0.24242193005878213</v>
      </c>
      <c r="H105" s="503">
        <f>IF(終値!A105="","",IFERROR(4*STDEVP(終値!K105:AD105)/AVERAGE(終値!K105:AD105),""))</f>
        <v>0.22116245255365444</v>
      </c>
      <c r="I105" s="503">
        <f>IF(終値!A105="","",IFERROR(4*STDEVP(終値!L105:AE105)/AVERAGE(終値!L105:AE105),""))</f>
        <v>0.2212420362394088</v>
      </c>
      <c r="J105" s="503">
        <f>IF(終値!A105="","",IFERROR(4*STDEVP(終値!M105:AF105)/AVERAGE(終値!M105:AF105),""))</f>
        <v>0.21862430781162942</v>
      </c>
      <c r="K105" s="503">
        <f>IF(終値!A105="","",IFERROR(4*STDEVP(終値!N105:AG105)/AVERAGE(終値!N105:AG105),""))</f>
        <v>0.22067614374408534</v>
      </c>
      <c r="L105" s="503">
        <f>IF(終値!A105="","",IFERROR(4*STDEVP(終値!O105:AH105)/AVERAGE(終値!O105:AH105),""))</f>
        <v>0.22778087943924252</v>
      </c>
      <c r="M105" s="503">
        <f>IF(終値!A105="","",IFERROR(4*STDEVP(終値!P105:AI105)/AVERAGE(終値!P105:AI105),""))</f>
        <v>0.22036351536959783</v>
      </c>
      <c r="N105" s="503">
        <f>IF(終値!A105="","",IFERROR(4*STDEVP(終値!Q105:AJ105)/AVERAGE(終値!Q105:AJ105),""))</f>
        <v>0.1865923919033948</v>
      </c>
      <c r="O105" s="503">
        <f>IF(終値!A105="","",IFERROR(4*STDEVP(終値!R105:AK105)/AVERAGE(終値!R105:AK105),""))</f>
        <v>0.18238406400597285</v>
      </c>
      <c r="P105" s="503">
        <f>IF(終値!A105="","",IFERROR(4*STDEVP(終値!S105:AL105)/AVERAGE(終値!S105:AL105),""))</f>
        <v>0.1681740831038093</v>
      </c>
      <c r="Q105" s="503">
        <f>IF(終値!A105="","",IFERROR(4*STDEVP(終値!T105:AM105)/AVERAGE(終値!T105:AM105),""))</f>
        <v>0.16556506742078383</v>
      </c>
      <c r="R105" s="503">
        <f>IF(終値!A105="","",IFERROR(4*STDEVP(終値!U105:AN105)/AVERAGE(終値!U105:AN105),""))</f>
        <v>0.18184714246094838</v>
      </c>
      <c r="S105" s="503">
        <f>IF(終値!A105="","",IFERROR(4*STDEVP(終値!V105:AO105)/AVERAGE(終値!V105:AO105),""))</f>
        <v>0.20898157837982281</v>
      </c>
      <c r="T105" s="503">
        <f>IF(終値!A105="","",IFERROR(4*STDEVP(終値!W105:AP105)/AVERAGE(終値!W105:AP105),""))</f>
        <v>0.22179497907948473</v>
      </c>
      <c r="U105" s="503">
        <f>IF(終値!A105="","",IFERROR(4*STDEVP(終値!X105:AQ105)/AVERAGE(終値!X105:AQ105),""))</f>
        <v>0.24074372981741299</v>
      </c>
      <c r="V105" s="503">
        <f>IF(終値!A105="","",IFERROR(4*STDEVP(終値!Y105:AR105)/AVERAGE(終値!Y105:AR105),""))</f>
        <v>0.24295314486926689</v>
      </c>
      <c r="W105" s="503">
        <f>IF(終値!A105="","",IFERROR(4*STDEVP(終値!Z105:AS105)/AVERAGE(終値!Z105:AS105),""))</f>
        <v>0.23699705979532606</v>
      </c>
      <c r="X105" s="503">
        <f>IF(終値!A105="","",IFERROR(4*STDEVP(終値!AA105:AT105)/AVERAGE(終値!AA105:AT105),""))</f>
        <v>0.23617585796679189</v>
      </c>
      <c r="Y105" s="503">
        <f>IF(終値!A105="","",IFERROR(4*STDEVP(終値!AB105:AU105)/AVERAGE(終値!AB105:AU105),""))</f>
        <v>0.22376698699900524</v>
      </c>
      <c r="Z105" s="503">
        <f>IF(終値!A105="","",IFERROR(4*STDEVP(終値!AC105:AV105)/AVERAGE(終値!AC105:AV105),""))</f>
        <v>0.22423069226328421</v>
      </c>
      <c r="AA105" s="503">
        <f>IF(終値!A105="","",IFERROR(4*STDEVP(終値!AD105:AW105)/AVERAGE(終値!AD105:AW105),""))</f>
        <v>0.22811299215079939</v>
      </c>
      <c r="AB105" s="503">
        <f>IF(終値!A105="","",IFERROR(4*STDEVP(終値!AE105:AX105)/AVERAGE(終値!AE105:AX105),""))</f>
        <v>0.22898380769002255</v>
      </c>
      <c r="AC105" s="503">
        <f>IF(終値!A105="","",IFERROR(4*STDEVP(終値!AF105:AY105)/AVERAGE(終値!AF105:AY105),""))</f>
        <v>0.22535536154940353</v>
      </c>
      <c r="AD105" s="503">
        <f>IF(終値!A105="","",IFERROR(4*STDEVP(終値!AG105:AZ105)/AVERAGE(終値!AG105:AZ105),""))</f>
        <v>0.22790089774619221</v>
      </c>
      <c r="AE105" s="503">
        <f>IF(終値!A105="","",IFERROR(4*STDEVP(終値!AH105:BA105)/AVERAGE(終値!AH105:BA105),""))</f>
        <v>0.22503833186382272</v>
      </c>
      <c r="AF105" s="503">
        <f>IF(終値!A105="","",IFERROR(4*STDEVP(終値!AI105:BB105)/AVERAGE(終値!AI105:BB105),""))</f>
        <v>0.21507809762756547</v>
      </c>
      <c r="AG105" s="503">
        <f>IF(終値!A105="","",IFERROR(4*STDEVP(終値!AJ105:BC105)/AVERAGE(終値!AJ105:BC105),""))</f>
        <v>0.19937259325054979</v>
      </c>
      <c r="AH105" s="503">
        <f>IF(終値!A105="","",IFERROR(4*STDEVP(終値!AK105:BD105)/AVERAGE(終値!AK105:BD105),""))</f>
        <v>0.16714854915728874</v>
      </c>
      <c r="AI105" s="503">
        <f>IF(終値!A105="","",IFERROR(4*STDEVP(終値!AL105:BE105)/AVERAGE(終値!AL105:BE105),""))</f>
        <v>0.13430293395078552</v>
      </c>
      <c r="AJ105" s="503">
        <f>IF(終値!A105="","",IFERROR(4*STDEVP(終値!AM105:BF105)/AVERAGE(終値!AM105:BF105),""))</f>
        <v>0.17561645722221084</v>
      </c>
      <c r="AK105" s="503">
        <f>IF(終値!A105="","",IFERROR(4*STDEVP(終値!AN105:BG105)/AVERAGE(終値!AN105:BG105),""))</f>
        <v>0.21955579885028725</v>
      </c>
      <c r="AL105" s="503">
        <f>IF(終値!A105="","",IFERROR(4*STDEVP(終値!AO105:BH105)/AVERAGE(終値!AO105:BH105),""))</f>
        <v>0.24976469906423998</v>
      </c>
      <c r="AM105" s="503">
        <f>IF(終値!A105="","",IFERROR(4*STDEVP(終値!AP105:BI105)/AVERAGE(終値!AP105:BI105),""))</f>
        <v>0.28301449814307733</v>
      </c>
      <c r="AN105" s="503">
        <f>IF(終値!A105="","",IFERROR(4*STDEVP(終値!AQ105:BJ105)/AVERAGE(終値!AQ105:BJ105),""))</f>
        <v>0.31539384712414509</v>
      </c>
      <c r="AO105" s="503">
        <f>IF(終値!A105="","",IFERROR(4*STDEVP(終値!AR105:BK105)/AVERAGE(終値!AR105:BK105),""))</f>
        <v>0.34113449183008515</v>
      </c>
      <c r="AP105" s="503">
        <f>IF(終値!A105="","",IFERROR(4*STDEVP(終値!AS105:BL105)/AVERAGE(終値!AS105:BL105),""))</f>
        <v>0.37354482394396993</v>
      </c>
    </row>
    <row r="106" spans="1:42">
      <c r="A106" s="500" t="str">
        <f>IF(終値!A106="","",終値!A106)</f>
        <v>7021</v>
      </c>
      <c r="B106" s="503">
        <f>IF(終値!A106="","",IFERROR(4*STDEVP(終値!E106:X106)/AVERAGE(終値!E106:X106),""))</f>
        <v>0.15862604362754015</v>
      </c>
      <c r="C106" s="503">
        <f>IF(終値!A106="","",IFERROR(4*STDEVP(終値!F106:Y106)/AVERAGE(終値!F106:Y106),""))</f>
        <v>0.14884872280438088</v>
      </c>
      <c r="D106" s="503">
        <f>IF(終値!A106="","",IFERROR(4*STDEVP(終値!G106:Z106)/AVERAGE(終値!G106:Z106),""))</f>
        <v>0.1429513696439437</v>
      </c>
      <c r="E106" s="503">
        <f>IF(終値!A106="","",IFERROR(4*STDEVP(終値!H106:AA106)/AVERAGE(終値!H106:AA106),""))</f>
        <v>0.13577140133145146</v>
      </c>
      <c r="F106" s="503">
        <f>IF(終値!A106="","",IFERROR(4*STDEVP(終値!I106:AB106)/AVERAGE(終値!I106:AB106),""))</f>
        <v>0.13263102331522866</v>
      </c>
      <c r="G106" s="503">
        <f>IF(終値!A106="","",IFERROR(4*STDEVP(終値!J106:AC106)/AVERAGE(終値!J106:AC106),""))</f>
        <v>0.12081943926214549</v>
      </c>
      <c r="H106" s="503">
        <f>IF(終値!A106="","",IFERROR(4*STDEVP(終値!K106:AD106)/AVERAGE(終値!K106:AD106),""))</f>
        <v>0.11164269028811168</v>
      </c>
      <c r="I106" s="503">
        <f>IF(終値!A106="","",IFERROR(4*STDEVP(終値!L106:AE106)/AVERAGE(終値!L106:AE106),""))</f>
        <v>9.792286253766079E-2</v>
      </c>
      <c r="J106" s="503">
        <f>IF(終値!A106="","",IFERROR(4*STDEVP(終値!M106:AF106)/AVERAGE(終値!M106:AF106),""))</f>
        <v>8.8243522786252526E-2</v>
      </c>
      <c r="K106" s="503">
        <f>IF(終値!A106="","",IFERROR(4*STDEVP(終値!N106:AG106)/AVERAGE(終値!N106:AG106),""))</f>
        <v>6.9929397424802878E-2</v>
      </c>
      <c r="L106" s="503">
        <f>IF(終値!A106="","",IFERROR(4*STDEVP(終値!O106:AH106)/AVERAGE(終値!O106:AH106),""))</f>
        <v>7.0230340837164576E-2</v>
      </c>
      <c r="M106" s="503">
        <f>IF(終値!A106="","",IFERROR(4*STDEVP(終値!P106:AI106)/AVERAGE(終値!P106:AI106),""))</f>
        <v>6.4464691179617326E-2</v>
      </c>
      <c r="N106" s="503">
        <f>IF(終値!A106="","",IFERROR(4*STDEVP(終値!Q106:AJ106)/AVERAGE(終値!Q106:AJ106),""))</f>
        <v>6.2405042984234355E-2</v>
      </c>
      <c r="O106" s="503">
        <f>IF(終値!A106="","",IFERROR(4*STDEVP(終値!R106:AK106)/AVERAGE(終値!R106:AK106),""))</f>
        <v>5.92732195819042E-2</v>
      </c>
      <c r="P106" s="503">
        <f>IF(終値!A106="","",IFERROR(4*STDEVP(終値!S106:AL106)/AVERAGE(終値!S106:AL106),""))</f>
        <v>5.4952893439395481E-2</v>
      </c>
      <c r="Q106" s="503">
        <f>IF(終値!A106="","",IFERROR(4*STDEVP(終値!T106:AM106)/AVERAGE(終値!T106:AM106),""))</f>
        <v>5.4192818067692626E-2</v>
      </c>
      <c r="R106" s="503">
        <f>IF(終値!A106="","",IFERROR(4*STDEVP(終値!U106:AN106)/AVERAGE(終値!U106:AN106),""))</f>
        <v>4.5987655024321013E-2</v>
      </c>
      <c r="S106" s="503">
        <f>IF(終値!A106="","",IFERROR(4*STDEVP(終値!V106:AO106)/AVERAGE(終値!V106:AO106),""))</f>
        <v>4.5066744220547433E-2</v>
      </c>
      <c r="T106" s="503">
        <f>IF(終値!A106="","",IFERROR(4*STDEVP(終値!W106:AP106)/AVERAGE(終値!W106:AP106),""))</f>
        <v>4.2589970391097458E-2</v>
      </c>
      <c r="U106" s="503">
        <f>IF(終値!A106="","",IFERROR(4*STDEVP(終値!X106:AQ106)/AVERAGE(終値!X106:AQ106),""))</f>
        <v>3.7907759474750037E-2</v>
      </c>
      <c r="V106" s="503">
        <f>IF(終値!A106="","",IFERROR(4*STDEVP(終値!Y106:AR106)/AVERAGE(終値!Y106:AR106),""))</f>
        <v>3.6405900447063724E-2</v>
      </c>
      <c r="W106" s="503">
        <f>IF(終値!A106="","",IFERROR(4*STDEVP(終値!Z106:AS106)/AVERAGE(終値!Z106:AS106),""))</f>
        <v>3.627449169668371E-2</v>
      </c>
      <c r="X106" s="503">
        <f>IF(終値!A106="","",IFERROR(4*STDEVP(終値!AA106:AT106)/AVERAGE(終値!AA106:AT106),""))</f>
        <v>3.9724830094973095E-2</v>
      </c>
      <c r="Y106" s="503">
        <f>IF(終値!A106="","",IFERROR(4*STDEVP(終値!AB106:AU106)/AVERAGE(終値!AB106:AU106),""))</f>
        <v>3.9811576866528781E-2</v>
      </c>
      <c r="Z106" s="503">
        <f>IF(終値!A106="","",IFERROR(4*STDEVP(終値!AC106:AV106)/AVERAGE(終値!AC106:AV106),""))</f>
        <v>5.1808791378628351E-2</v>
      </c>
      <c r="AA106" s="503">
        <f>IF(終値!A106="","",IFERROR(4*STDEVP(終値!AD106:AW106)/AVERAGE(終値!AD106:AW106),""))</f>
        <v>6.0622500931330196E-2</v>
      </c>
      <c r="AB106" s="503">
        <f>IF(終値!A106="","",IFERROR(4*STDEVP(終値!AE106:AX106)/AVERAGE(終値!AE106:AX106),""))</f>
        <v>7.7620563887704122E-2</v>
      </c>
      <c r="AC106" s="503">
        <f>IF(終値!A106="","",IFERROR(4*STDEVP(終値!AF106:AY106)/AVERAGE(終値!AF106:AY106),""))</f>
        <v>7.7965720314473505E-2</v>
      </c>
      <c r="AD106" s="503">
        <f>IF(終値!A106="","",IFERROR(4*STDEVP(終値!AG106:AZ106)/AVERAGE(終値!AG106:AZ106),""))</f>
        <v>7.6919941691616145E-2</v>
      </c>
      <c r="AE106" s="503">
        <f>IF(終値!A106="","",IFERROR(4*STDEVP(終値!AH106:BA106)/AVERAGE(終値!AH106:BA106),""))</f>
        <v>7.7617594582678112E-2</v>
      </c>
      <c r="AF106" s="503">
        <f>IF(終値!A106="","",IFERROR(4*STDEVP(終値!AI106:BB106)/AVERAGE(終値!AI106:BB106),""))</f>
        <v>7.7665183047004538E-2</v>
      </c>
      <c r="AG106" s="503">
        <f>IF(終値!A106="","",IFERROR(4*STDEVP(終値!AJ106:BC106)/AVERAGE(終値!AJ106:BC106),""))</f>
        <v>8.4304418924614932E-2</v>
      </c>
      <c r="AH106" s="503">
        <f>IF(終値!A106="","",IFERROR(4*STDEVP(終値!AK106:BD106)/AVERAGE(終値!AK106:BD106),""))</f>
        <v>9.4500709687138029E-2</v>
      </c>
      <c r="AI106" s="503">
        <f>IF(終値!A106="","",IFERROR(4*STDEVP(終値!AL106:BE106)/AVERAGE(終値!AL106:BE106),""))</f>
        <v>0.12682951083635627</v>
      </c>
      <c r="AJ106" s="503">
        <f>IF(終値!A106="","",IFERROR(4*STDEVP(終値!AM106:BF106)/AVERAGE(終値!AM106:BF106),""))</f>
        <v>0.20094834632671638</v>
      </c>
      <c r="AK106" s="503">
        <f>IF(終値!A106="","",IFERROR(4*STDEVP(終値!AN106:BG106)/AVERAGE(終値!AN106:BG106),""))</f>
        <v>0.25285213038792659</v>
      </c>
      <c r="AL106" s="503">
        <f>IF(終値!A106="","",IFERROR(4*STDEVP(終値!AO106:BH106)/AVERAGE(終値!AO106:BH106),""))</f>
        <v>0.2820540639933326</v>
      </c>
      <c r="AM106" s="503">
        <f>IF(終値!A106="","",IFERROR(4*STDEVP(終値!AP106:BI106)/AVERAGE(終値!AP106:BI106),""))</f>
        <v>0.29801182411437599</v>
      </c>
      <c r="AN106" s="503">
        <f>IF(終値!A106="","",IFERROR(4*STDEVP(終値!AQ106:BJ106)/AVERAGE(終値!AQ106:BJ106),""))</f>
        <v>0.31057612892349268</v>
      </c>
      <c r="AO106" s="503">
        <f>IF(終値!A106="","",IFERROR(4*STDEVP(終値!AR106:BK106)/AVERAGE(終値!AR106:BK106),""))</f>
        <v>0.3173976622304639</v>
      </c>
      <c r="AP106" s="503">
        <f>IF(終値!A106="","",IFERROR(4*STDEVP(終値!AS106:BL106)/AVERAGE(終値!AS106:BL106),""))</f>
        <v>0.32056972135978268</v>
      </c>
    </row>
    <row r="107" spans="1:42">
      <c r="A107" s="500" t="str">
        <f>IF(終値!A107="","",終値!A107)</f>
        <v>7729</v>
      </c>
      <c r="B107" s="503">
        <f>IF(終値!A107="","",IFERROR(4*STDEVP(終値!E107:X107)/AVERAGE(終値!E107:X107),""))</f>
        <v>0.25494112609041175</v>
      </c>
      <c r="C107" s="503">
        <f>IF(終値!A107="","",IFERROR(4*STDEVP(終値!F107:Y107)/AVERAGE(終値!F107:Y107),""))</f>
        <v>0.26697171653433804</v>
      </c>
      <c r="D107" s="503">
        <f>IF(終値!A107="","",IFERROR(4*STDEVP(終値!G107:Z107)/AVERAGE(終値!G107:Z107),""))</f>
        <v>0.27244316609207281</v>
      </c>
      <c r="E107" s="503">
        <f>IF(終値!A107="","",IFERROR(4*STDEVP(終値!H107:AA107)/AVERAGE(終値!H107:AA107),""))</f>
        <v>0.30564143765035617</v>
      </c>
      <c r="F107" s="503">
        <f>IF(終値!A107="","",IFERROR(4*STDEVP(終値!I107:AB107)/AVERAGE(終値!I107:AB107),""))</f>
        <v>0.28855888516814859</v>
      </c>
      <c r="G107" s="503">
        <f>IF(終値!A107="","",IFERROR(4*STDEVP(終値!J107:AC107)/AVERAGE(終値!J107:AC107),""))</f>
        <v>0.22973116779283825</v>
      </c>
      <c r="H107" s="503">
        <f>IF(終値!A107="","",IFERROR(4*STDEVP(終値!K107:AD107)/AVERAGE(終値!K107:AD107),""))</f>
        <v>0.19888744355181454</v>
      </c>
      <c r="I107" s="503">
        <f>IF(終値!A107="","",IFERROR(4*STDEVP(終値!L107:AE107)/AVERAGE(終値!L107:AE107),""))</f>
        <v>0.20448521789005397</v>
      </c>
      <c r="J107" s="503">
        <f>IF(終値!A107="","",IFERROR(4*STDEVP(終値!M107:AF107)/AVERAGE(終値!M107:AF107),""))</f>
        <v>0.19489638598837866</v>
      </c>
      <c r="K107" s="503">
        <f>IF(終値!A107="","",IFERROR(4*STDEVP(終値!N107:AG107)/AVERAGE(終値!N107:AG107),""))</f>
        <v>0.19389655502272898</v>
      </c>
      <c r="L107" s="503">
        <f>IF(終値!A107="","",IFERROR(4*STDEVP(終値!O107:AH107)/AVERAGE(終値!O107:AH107),""))</f>
        <v>0.2000970311589261</v>
      </c>
      <c r="M107" s="503">
        <f>IF(終値!A107="","",IFERROR(4*STDEVP(終値!P107:AI107)/AVERAGE(終値!P107:AI107),""))</f>
        <v>0.20241357916015712</v>
      </c>
      <c r="N107" s="503">
        <f>IF(終値!A107="","",IFERROR(4*STDEVP(終値!Q107:AJ107)/AVERAGE(終値!Q107:AJ107),""))</f>
        <v>0.18343750487884658</v>
      </c>
      <c r="O107" s="503">
        <f>IF(終値!A107="","",IFERROR(4*STDEVP(終値!R107:AK107)/AVERAGE(終値!R107:AK107),""))</f>
        <v>0.18344727277901254</v>
      </c>
      <c r="P107" s="503">
        <f>IF(終値!A107="","",IFERROR(4*STDEVP(終値!S107:AL107)/AVERAGE(終値!S107:AL107),""))</f>
        <v>0.17848279450939275</v>
      </c>
      <c r="Q107" s="503">
        <f>IF(終値!A107="","",IFERROR(4*STDEVP(終値!T107:AM107)/AVERAGE(終値!T107:AM107),""))</f>
        <v>0.17856624635501558</v>
      </c>
      <c r="R107" s="503">
        <f>IF(終値!A107="","",IFERROR(4*STDEVP(終値!U107:AN107)/AVERAGE(終値!U107:AN107),""))</f>
        <v>0.18012351879982044</v>
      </c>
      <c r="S107" s="503">
        <f>IF(終値!A107="","",IFERROR(4*STDEVP(終値!V107:AO107)/AVERAGE(終値!V107:AO107),""))</f>
        <v>0.19094677560403803</v>
      </c>
      <c r="T107" s="503">
        <f>IF(終値!A107="","",IFERROR(4*STDEVP(終値!W107:AP107)/AVERAGE(終値!W107:AP107),""))</f>
        <v>0.20050073193511794</v>
      </c>
      <c r="U107" s="503">
        <f>IF(終値!A107="","",IFERROR(4*STDEVP(終値!X107:AQ107)/AVERAGE(終値!X107:AQ107),""))</f>
        <v>0.22351077376841777</v>
      </c>
      <c r="V107" s="503">
        <f>IF(終値!A107="","",IFERROR(4*STDEVP(終値!Y107:AR107)/AVERAGE(終値!Y107:AR107),""))</f>
        <v>0.23073399492447372</v>
      </c>
      <c r="W107" s="503">
        <f>IF(終値!A107="","",IFERROR(4*STDEVP(終値!Z107:AS107)/AVERAGE(終値!Z107:AS107),""))</f>
        <v>0.23361532075410199</v>
      </c>
      <c r="X107" s="503">
        <f>IF(終値!A107="","",IFERROR(4*STDEVP(終値!AA107:AT107)/AVERAGE(終値!AA107:AT107),""))</f>
        <v>0.24228400737879832</v>
      </c>
      <c r="Y107" s="503">
        <f>IF(終値!A107="","",IFERROR(4*STDEVP(終値!AB107:AU107)/AVERAGE(終値!AB107:AU107),""))</f>
        <v>0.24350175288835635</v>
      </c>
      <c r="Z107" s="503">
        <f>IF(終値!A107="","",IFERROR(4*STDEVP(終値!AC107:AV107)/AVERAGE(終値!AC107:AV107),""))</f>
        <v>0.2440515779853894</v>
      </c>
      <c r="AA107" s="503">
        <f>IF(終値!A107="","",IFERROR(4*STDEVP(終値!AD107:AW107)/AVERAGE(終値!AD107:AW107),""))</f>
        <v>0.2479944024797</v>
      </c>
      <c r="AB107" s="503">
        <f>IF(終値!A107="","",IFERROR(4*STDEVP(終値!AE107:AX107)/AVERAGE(終値!AE107:AX107),""))</f>
        <v>0.24911823395825214</v>
      </c>
      <c r="AC107" s="503">
        <f>IF(終値!A107="","",IFERROR(4*STDEVP(終値!AF107:AY107)/AVERAGE(終値!AF107:AY107),""))</f>
        <v>0.23745354527859852</v>
      </c>
      <c r="AD107" s="503">
        <f>IF(終値!A107="","",IFERROR(4*STDEVP(終値!AG107:AZ107)/AVERAGE(終値!AG107:AZ107),""))</f>
        <v>0.247924758194697</v>
      </c>
      <c r="AE107" s="503">
        <f>IF(終値!A107="","",IFERROR(4*STDEVP(終値!AH107:BA107)/AVERAGE(終値!AH107:BA107),""))</f>
        <v>0.26354727513173504</v>
      </c>
      <c r="AF107" s="503">
        <f>IF(終値!A107="","",IFERROR(4*STDEVP(終値!AI107:BB107)/AVERAGE(終値!AI107:BB107),""))</f>
        <v>0.27374160957514543</v>
      </c>
      <c r="AG107" s="503">
        <f>IF(終値!A107="","",IFERROR(4*STDEVP(終値!AJ107:BC107)/AVERAGE(終値!AJ107:BC107),""))</f>
        <v>0.27107487286143261</v>
      </c>
      <c r="AH107" s="503">
        <f>IF(終値!A107="","",IFERROR(4*STDEVP(終値!AK107:BD107)/AVERAGE(終値!AK107:BD107),""))</f>
        <v>0.25077178622984381</v>
      </c>
      <c r="AI107" s="503">
        <f>IF(終値!A107="","",IFERROR(4*STDEVP(終値!AL107:BE107)/AVERAGE(終値!AL107:BE107),""))</f>
        <v>0.24096629208894005</v>
      </c>
      <c r="AJ107" s="503">
        <f>IF(終値!A107="","",IFERROR(4*STDEVP(終値!AM107:BF107)/AVERAGE(終値!AM107:BF107),""))</f>
        <v>0.22408262959127223</v>
      </c>
      <c r="AK107" s="503">
        <f>IF(終値!A107="","",IFERROR(4*STDEVP(終値!AN107:BG107)/AVERAGE(終値!AN107:BG107),""))</f>
        <v>0.19897877879790074</v>
      </c>
      <c r="AL107" s="503">
        <f>IF(終値!A107="","",IFERROR(4*STDEVP(終値!AO107:BH107)/AVERAGE(終値!AO107:BH107),""))</f>
        <v>0.2054282042963462</v>
      </c>
      <c r="AM107" s="503">
        <f>IF(終値!A107="","",IFERROR(4*STDEVP(終値!AP107:BI107)/AVERAGE(終値!AP107:BI107),""))</f>
        <v>0.21893634114519175</v>
      </c>
      <c r="AN107" s="503">
        <f>IF(終値!A107="","",IFERROR(4*STDEVP(終値!AQ107:BJ107)/AVERAGE(終値!AQ107:BJ107),""))</f>
        <v>0.22698209224592752</v>
      </c>
      <c r="AO107" s="503">
        <f>IF(終値!A107="","",IFERROR(4*STDEVP(終値!AR107:BK107)/AVERAGE(終値!AR107:BK107),""))</f>
        <v>0.22521279345756479</v>
      </c>
      <c r="AP107" s="503">
        <f>IF(終値!A107="","",IFERROR(4*STDEVP(終値!AS107:BL107)/AVERAGE(終値!AS107:BL107),""))</f>
        <v>0.22495237822474826</v>
      </c>
    </row>
    <row r="108" spans="1:42">
      <c r="A108" s="500" t="str">
        <f>IF(終値!A108="","",終値!A108)</f>
        <v>8424</v>
      </c>
      <c r="B108" s="503">
        <f>IF(終値!A108="","",IFERROR(4*STDEVP(終値!E108:X108)/AVERAGE(終値!E108:X108),""))</f>
        <v>9.4980112144814846E-2</v>
      </c>
      <c r="C108" s="503">
        <f>IF(終値!A108="","",IFERROR(4*STDEVP(終値!F108:Y108)/AVERAGE(終値!F108:Y108),""))</f>
        <v>0.10337258260981394</v>
      </c>
      <c r="D108" s="503">
        <f>IF(終値!A108="","",IFERROR(4*STDEVP(終値!G108:Z108)/AVERAGE(終値!G108:Z108),""))</f>
        <v>0.10957388932745732</v>
      </c>
      <c r="E108" s="503">
        <f>IF(終値!A108="","",IFERROR(4*STDEVP(終値!H108:AA108)/AVERAGE(終値!H108:AA108),""))</f>
        <v>0.11087462355401619</v>
      </c>
      <c r="F108" s="503">
        <f>IF(終値!A108="","",IFERROR(4*STDEVP(終値!I108:AB108)/AVERAGE(終値!I108:AB108),""))</f>
        <v>0.10816784952051568</v>
      </c>
      <c r="G108" s="503">
        <f>IF(終値!A108="","",IFERROR(4*STDEVP(終値!J108:AC108)/AVERAGE(終値!J108:AC108),""))</f>
        <v>9.5849814340277978E-2</v>
      </c>
      <c r="H108" s="503">
        <f>IF(終値!A108="","",IFERROR(4*STDEVP(終値!K108:AD108)/AVERAGE(終値!K108:AD108),""))</f>
        <v>9.0567540753852926E-2</v>
      </c>
      <c r="I108" s="503">
        <f>IF(終値!A108="","",IFERROR(4*STDEVP(終値!L108:AE108)/AVERAGE(終値!L108:AE108),""))</f>
        <v>8.0754369638098206E-2</v>
      </c>
      <c r="J108" s="503">
        <f>IF(終値!A108="","",IFERROR(4*STDEVP(終値!M108:AF108)/AVERAGE(終値!M108:AF108),""))</f>
        <v>7.7526565239777231E-2</v>
      </c>
      <c r="K108" s="503">
        <f>IF(終値!A108="","",IFERROR(4*STDEVP(終値!N108:AG108)/AVERAGE(終値!N108:AG108),""))</f>
        <v>7.3400422706370788E-2</v>
      </c>
      <c r="L108" s="503">
        <f>IF(終値!A108="","",IFERROR(4*STDEVP(終値!O108:AH108)/AVERAGE(終値!O108:AH108),""))</f>
        <v>6.4311862411434648E-2</v>
      </c>
      <c r="M108" s="503">
        <f>IF(終値!A108="","",IFERROR(4*STDEVP(終値!P108:AI108)/AVERAGE(終値!P108:AI108),""))</f>
        <v>5.2492514122899334E-2</v>
      </c>
      <c r="N108" s="503">
        <f>IF(終値!A108="","",IFERROR(4*STDEVP(終値!Q108:AJ108)/AVERAGE(終値!Q108:AJ108),""))</f>
        <v>4.7718629178008808E-2</v>
      </c>
      <c r="O108" s="503">
        <f>IF(終値!A108="","",IFERROR(4*STDEVP(終値!R108:AK108)/AVERAGE(終値!R108:AK108),""))</f>
        <v>3.9663721651343097E-2</v>
      </c>
      <c r="P108" s="503">
        <f>IF(終値!A108="","",IFERROR(4*STDEVP(終値!S108:AL108)/AVERAGE(終値!S108:AL108),""))</f>
        <v>3.4914949028345015E-2</v>
      </c>
      <c r="Q108" s="503">
        <f>IF(終値!A108="","",IFERROR(4*STDEVP(終値!T108:AM108)/AVERAGE(終値!T108:AM108),""))</f>
        <v>3.7887118686459616E-2</v>
      </c>
      <c r="R108" s="503">
        <f>IF(終値!A108="","",IFERROR(4*STDEVP(終値!U108:AN108)/AVERAGE(終値!U108:AN108),""))</f>
        <v>3.875005756432761E-2</v>
      </c>
      <c r="S108" s="503">
        <f>IF(終値!A108="","",IFERROR(4*STDEVP(終値!V108:AO108)/AVERAGE(終値!V108:AO108),""))</f>
        <v>3.875005756432761E-2</v>
      </c>
      <c r="T108" s="503">
        <f>IF(終値!A108="","",IFERROR(4*STDEVP(終値!W108:AP108)/AVERAGE(終値!W108:AP108),""))</f>
        <v>4.1930173939969562E-2</v>
      </c>
      <c r="U108" s="503">
        <f>IF(終値!A108="","",IFERROR(4*STDEVP(終値!X108:AQ108)/AVERAGE(終値!X108:AQ108),""))</f>
        <v>4.1696720876956021E-2</v>
      </c>
      <c r="V108" s="503">
        <f>IF(終値!A108="","",IFERROR(4*STDEVP(終値!Y108:AR108)/AVERAGE(終値!Y108:AR108),""))</f>
        <v>4.5870392223505412E-2</v>
      </c>
      <c r="W108" s="503">
        <f>IF(終値!A108="","",IFERROR(4*STDEVP(終値!Z108:AS108)/AVERAGE(終値!Z108:AS108),""))</f>
        <v>5.5688866393513316E-2</v>
      </c>
      <c r="X108" s="503">
        <f>IF(終値!A108="","",IFERROR(4*STDEVP(終値!AA108:AT108)/AVERAGE(終値!AA108:AT108),""))</f>
        <v>6.1536371298215306E-2</v>
      </c>
      <c r="Y108" s="503">
        <f>IF(終値!A108="","",IFERROR(4*STDEVP(終値!AB108:AU108)/AVERAGE(終値!AB108:AU108),""))</f>
        <v>6.6814870557849709E-2</v>
      </c>
      <c r="Z108" s="503">
        <f>IF(終値!A108="","",IFERROR(4*STDEVP(終値!AC108:AV108)/AVERAGE(終値!AC108:AV108),""))</f>
        <v>6.6885548681098014E-2</v>
      </c>
      <c r="AA108" s="503">
        <f>IF(終値!A108="","",IFERROR(4*STDEVP(終値!AD108:AW108)/AVERAGE(終値!AD108:AW108),""))</f>
        <v>6.7042263994881432E-2</v>
      </c>
      <c r="AB108" s="503">
        <f>IF(終値!A108="","",IFERROR(4*STDEVP(終値!AE108:AX108)/AVERAGE(終値!AE108:AX108),""))</f>
        <v>6.6952917832728415E-2</v>
      </c>
      <c r="AC108" s="503">
        <f>IF(終値!A108="","",IFERROR(4*STDEVP(終値!AF108:AY108)/AVERAGE(終値!AF108:AY108),""))</f>
        <v>6.7151745208525696E-2</v>
      </c>
      <c r="AD108" s="503">
        <f>IF(終値!A108="","",IFERROR(4*STDEVP(終値!AG108:AZ108)/AVERAGE(終値!AG108:AZ108),""))</f>
        <v>6.8797886316691995E-2</v>
      </c>
      <c r="AE108" s="503">
        <f>IF(終値!A108="","",IFERROR(4*STDEVP(終値!AH108:BA108)/AVERAGE(終値!AH108:BA108),""))</f>
        <v>7.5894339732109392E-2</v>
      </c>
      <c r="AF108" s="503">
        <f>IF(終値!A108="","",IFERROR(4*STDEVP(終値!AI108:BB108)/AVERAGE(終値!AI108:BB108),""))</f>
        <v>7.9157404353681612E-2</v>
      </c>
      <c r="AG108" s="503">
        <f>IF(終値!A108="","",IFERROR(4*STDEVP(終値!AJ108:BC108)/AVERAGE(終値!AJ108:BC108),""))</f>
        <v>8.5475364595764575E-2</v>
      </c>
      <c r="AH108" s="503">
        <f>IF(終値!A108="","",IFERROR(4*STDEVP(終値!AK108:BD108)/AVERAGE(終値!AK108:BD108),""))</f>
        <v>8.7007084812419325E-2</v>
      </c>
      <c r="AI108" s="503">
        <f>IF(終値!A108="","",IFERROR(4*STDEVP(終値!AL108:BE108)/AVERAGE(終値!AL108:BE108),""))</f>
        <v>9.1495343766297588E-2</v>
      </c>
      <c r="AJ108" s="503">
        <f>IF(終値!A108="","",IFERROR(4*STDEVP(終値!AM108:BF108)/AVERAGE(終値!AM108:BF108),""))</f>
        <v>9.6158735308175813E-2</v>
      </c>
      <c r="AK108" s="503">
        <f>IF(終値!A108="","",IFERROR(4*STDEVP(終値!AN108:BG108)/AVERAGE(終値!AN108:BG108),""))</f>
        <v>9.7434894254507978E-2</v>
      </c>
      <c r="AL108" s="503">
        <f>IF(終値!A108="","",IFERROR(4*STDEVP(終値!AO108:BH108)/AVERAGE(終値!AO108:BH108),""))</f>
        <v>0.10193751150752141</v>
      </c>
      <c r="AM108" s="503">
        <f>IF(終値!A108="","",IFERROR(4*STDEVP(終値!AP108:BI108)/AVERAGE(終値!AP108:BI108),""))</f>
        <v>0.10212590382068054</v>
      </c>
      <c r="AN108" s="503">
        <f>IF(終値!A108="","",IFERROR(4*STDEVP(終値!AQ108:BJ108)/AVERAGE(終値!AQ108:BJ108),""))</f>
        <v>0.1015475157844928</v>
      </c>
      <c r="AO108" s="503">
        <f>IF(終値!A108="","",IFERROR(4*STDEVP(終値!AR108:BK108)/AVERAGE(終値!AR108:BK108),""))</f>
        <v>0.10133835616617747</v>
      </c>
      <c r="AP108" s="503">
        <f>IF(終値!A108="","",IFERROR(4*STDEVP(終値!AS108:BL108)/AVERAGE(終値!AS108:BL108),""))</f>
        <v>9.7514949305836873E-2</v>
      </c>
    </row>
    <row r="109" spans="1:42">
      <c r="A109" s="500" t="str">
        <f>IF(終値!A109="","",終値!A109)</f>
        <v>9020</v>
      </c>
      <c r="B109" s="503">
        <f>IF(終値!A109="","",IFERROR(4*STDEVP(終値!E109:X109)/AVERAGE(終値!E109:X109),""))</f>
        <v>0.1483775935740663</v>
      </c>
      <c r="C109" s="503">
        <f>IF(終値!A109="","",IFERROR(4*STDEVP(終値!F109:Y109)/AVERAGE(終値!F109:Y109),""))</f>
        <v>0.14447393204026501</v>
      </c>
      <c r="D109" s="503">
        <f>IF(終値!A109="","",IFERROR(4*STDEVP(終値!G109:Z109)/AVERAGE(終値!G109:Z109),""))</f>
        <v>0.14549434098893457</v>
      </c>
      <c r="E109" s="503">
        <f>IF(終値!A109="","",IFERROR(4*STDEVP(終値!H109:AA109)/AVERAGE(終値!H109:AA109),""))</f>
        <v>0.16407208009527444</v>
      </c>
      <c r="F109" s="503">
        <f>IF(終値!A109="","",IFERROR(4*STDEVP(終値!I109:AB109)/AVERAGE(終値!I109:AB109),""))</f>
        <v>0.16004455243521085</v>
      </c>
      <c r="G109" s="503">
        <f>IF(終値!A109="","",IFERROR(4*STDEVP(終値!J109:AC109)/AVERAGE(終値!J109:AC109),""))</f>
        <v>0.13337770315775252</v>
      </c>
      <c r="H109" s="503">
        <f>IF(終値!A109="","",IFERROR(4*STDEVP(終値!K109:AD109)/AVERAGE(終値!K109:AD109),""))</f>
        <v>0.11834161353169741</v>
      </c>
      <c r="I109" s="503">
        <f>IF(終値!A109="","",IFERROR(4*STDEVP(終値!L109:AE109)/AVERAGE(終値!L109:AE109),""))</f>
        <v>0.11116047847958194</v>
      </c>
      <c r="J109" s="503">
        <f>IF(終値!A109="","",IFERROR(4*STDEVP(終値!M109:AF109)/AVERAGE(終値!M109:AF109),""))</f>
        <v>0.11178219889049663</v>
      </c>
      <c r="K109" s="503">
        <f>IF(終値!A109="","",IFERROR(4*STDEVP(終値!N109:AG109)/AVERAGE(終値!N109:AG109),""))</f>
        <v>0.11563250257385609</v>
      </c>
      <c r="L109" s="503">
        <f>IF(終値!A109="","",IFERROR(4*STDEVP(終値!O109:AH109)/AVERAGE(終値!O109:AH109),""))</f>
        <v>0.11669505890063191</v>
      </c>
      <c r="M109" s="503">
        <f>IF(終値!A109="","",IFERROR(4*STDEVP(終値!P109:AI109)/AVERAGE(終値!P109:AI109),""))</f>
        <v>0.10700239100104511</v>
      </c>
      <c r="N109" s="503">
        <f>IF(終値!A109="","",IFERROR(4*STDEVP(終値!Q109:AJ109)/AVERAGE(終値!Q109:AJ109),""))</f>
        <v>9.8356395726553594E-2</v>
      </c>
      <c r="O109" s="503">
        <f>IF(終値!A109="","",IFERROR(4*STDEVP(終値!R109:AK109)/AVERAGE(終値!R109:AK109),""))</f>
        <v>9.4549899729960404E-2</v>
      </c>
      <c r="P109" s="503">
        <f>IF(終値!A109="","",IFERROR(4*STDEVP(終値!S109:AL109)/AVERAGE(終値!S109:AL109),""))</f>
        <v>8.8137710497948274E-2</v>
      </c>
      <c r="Q109" s="503">
        <f>IF(終値!A109="","",IFERROR(4*STDEVP(終値!T109:AM109)/AVERAGE(終値!T109:AM109),""))</f>
        <v>8.4098311713807161E-2</v>
      </c>
      <c r="R109" s="503">
        <f>IF(終値!A109="","",IFERROR(4*STDEVP(終値!U109:AN109)/AVERAGE(終値!U109:AN109),""))</f>
        <v>8.2523938929381868E-2</v>
      </c>
      <c r="S109" s="503">
        <f>IF(終値!A109="","",IFERROR(4*STDEVP(終値!V109:AO109)/AVERAGE(終値!V109:AO109),""))</f>
        <v>7.8796479831959365E-2</v>
      </c>
      <c r="T109" s="503">
        <f>IF(終値!A109="","",IFERROR(4*STDEVP(終値!W109:AP109)/AVERAGE(終値!W109:AP109),""))</f>
        <v>7.1959676734226652E-2</v>
      </c>
      <c r="U109" s="503">
        <f>IF(終値!A109="","",IFERROR(4*STDEVP(終値!X109:AQ109)/AVERAGE(終値!X109:AQ109),""))</f>
        <v>6.0017589099954867E-2</v>
      </c>
      <c r="V109" s="503">
        <f>IF(終値!A109="","",IFERROR(4*STDEVP(終値!Y109:AR109)/AVERAGE(終値!Y109:AR109),""))</f>
        <v>5.3265008081435437E-2</v>
      </c>
      <c r="W109" s="503">
        <f>IF(終値!A109="","",IFERROR(4*STDEVP(終値!Z109:AS109)/AVERAGE(終値!Z109:AS109),""))</f>
        <v>5.6921299190194424E-2</v>
      </c>
      <c r="X109" s="503">
        <f>IF(終値!A109="","",IFERROR(4*STDEVP(終値!AA109:AT109)/AVERAGE(終値!AA109:AT109),""))</f>
        <v>5.8950001567198929E-2</v>
      </c>
      <c r="Y109" s="503">
        <f>IF(終値!A109="","",IFERROR(4*STDEVP(終値!AB109:AU109)/AVERAGE(終値!AB109:AU109),""))</f>
        <v>5.5417317954807116E-2</v>
      </c>
      <c r="Z109" s="503">
        <f>IF(終値!A109="","",IFERROR(4*STDEVP(終値!AC109:AV109)/AVERAGE(終値!AC109:AV109),""))</f>
        <v>5.5574449089017999E-2</v>
      </c>
      <c r="AA109" s="503">
        <f>IF(終値!A109="","",IFERROR(4*STDEVP(終値!AD109:AW109)/AVERAGE(終値!AD109:AW109),""))</f>
        <v>5.4871625691241398E-2</v>
      </c>
      <c r="AB109" s="503">
        <f>IF(終値!A109="","",IFERROR(4*STDEVP(終値!AE109:AX109)/AVERAGE(終値!AE109:AX109),""))</f>
        <v>6.7046920009285763E-2</v>
      </c>
      <c r="AC109" s="503">
        <f>IF(終値!A109="","",IFERROR(4*STDEVP(終値!AF109:AY109)/AVERAGE(終値!AF109:AY109),""))</f>
        <v>8.0847031060080607E-2</v>
      </c>
      <c r="AD109" s="503">
        <f>IF(終値!A109="","",IFERROR(4*STDEVP(終値!AG109:AZ109)/AVERAGE(終値!AG109:AZ109),""))</f>
        <v>9.6097188598131877E-2</v>
      </c>
      <c r="AE109" s="503">
        <f>IF(終値!A109="","",IFERROR(4*STDEVP(終値!AH109:BA109)/AVERAGE(終値!AH109:BA109),""))</f>
        <v>0.1183137972533469</v>
      </c>
      <c r="AF109" s="503">
        <f>IF(終値!A109="","",IFERROR(4*STDEVP(終値!AI109:BB109)/AVERAGE(終値!AI109:BB109),""))</f>
        <v>0.14370451467709022</v>
      </c>
      <c r="AG109" s="503">
        <f>IF(終値!A109="","",IFERROR(4*STDEVP(終値!AJ109:BC109)/AVERAGE(終値!AJ109:BC109),""))</f>
        <v>0.16607556807938809</v>
      </c>
      <c r="AH109" s="503">
        <f>IF(終値!A109="","",IFERROR(4*STDEVP(終値!AK109:BD109)/AVERAGE(終値!AK109:BD109),""))</f>
        <v>0.17255279731986414</v>
      </c>
      <c r="AI109" s="503">
        <f>IF(終値!A109="","",IFERROR(4*STDEVP(終値!AL109:BE109)/AVERAGE(終値!AL109:BE109),""))</f>
        <v>0.18143078066255044</v>
      </c>
      <c r="AJ109" s="503">
        <f>IF(終値!A109="","",IFERROR(4*STDEVP(終値!AM109:BF109)/AVERAGE(終値!AM109:BF109),""))</f>
        <v>0.18367253900500824</v>
      </c>
      <c r="AK109" s="503">
        <f>IF(終値!A109="","",IFERROR(4*STDEVP(終値!AN109:BG109)/AVERAGE(終値!AN109:BG109),""))</f>
        <v>0.18859409328661092</v>
      </c>
      <c r="AL109" s="503">
        <f>IF(終値!A109="","",IFERROR(4*STDEVP(終値!AO109:BH109)/AVERAGE(終値!AO109:BH109),""))</f>
        <v>0.18836528830716714</v>
      </c>
      <c r="AM109" s="503">
        <f>IF(終値!A109="","",IFERROR(4*STDEVP(終値!AP109:BI109)/AVERAGE(終値!AP109:BI109),""))</f>
        <v>0.18758000477460329</v>
      </c>
      <c r="AN109" s="503">
        <f>IF(終値!A109="","",IFERROR(4*STDEVP(終値!AQ109:BJ109)/AVERAGE(終値!AQ109:BJ109),""))</f>
        <v>0.18639200258771405</v>
      </c>
      <c r="AO109" s="503">
        <f>IF(終値!A109="","",IFERROR(4*STDEVP(終値!AR109:BK109)/AVERAGE(終値!AR109:BK109),""))</f>
        <v>0.17957268895440512</v>
      </c>
      <c r="AP109" s="503">
        <f>IF(終値!A109="","",IFERROR(4*STDEVP(終値!AS109:BL109)/AVERAGE(終値!AS109:BL109),""))</f>
        <v>0.17223550530494949</v>
      </c>
    </row>
    <row r="110" spans="1:42">
      <c r="A110" s="500" t="str">
        <f>IF(終値!A110="","",終値!A110)</f>
        <v>9069</v>
      </c>
      <c r="B110" s="503">
        <f>IF(終値!A110="","",IFERROR(4*STDEVP(終値!E110:X110)/AVERAGE(終値!E110:X110),""))</f>
        <v>0.15186547030990249</v>
      </c>
      <c r="C110" s="503">
        <f>IF(終値!A110="","",IFERROR(4*STDEVP(終値!F110:Y110)/AVERAGE(終値!F110:Y110),""))</f>
        <v>0.16698658173783404</v>
      </c>
      <c r="D110" s="503">
        <f>IF(終値!A110="","",IFERROR(4*STDEVP(終値!G110:Z110)/AVERAGE(終値!G110:Z110),""))</f>
        <v>0.18918042273472685</v>
      </c>
      <c r="E110" s="503">
        <f>IF(終値!A110="","",IFERROR(4*STDEVP(終値!H110:AA110)/AVERAGE(終値!H110:AA110),""))</f>
        <v>0.20773802038797778</v>
      </c>
      <c r="F110" s="503">
        <f>IF(終値!A110="","",IFERROR(4*STDEVP(終値!I110:AB110)/AVERAGE(終値!I110:AB110),""))</f>
        <v>0.20980931331409158</v>
      </c>
      <c r="G110" s="503">
        <f>IF(終値!A110="","",IFERROR(4*STDEVP(終値!J110:AC110)/AVERAGE(終値!J110:AC110),""))</f>
        <v>0.20768452874813376</v>
      </c>
      <c r="H110" s="503">
        <f>IF(終値!A110="","",IFERROR(4*STDEVP(終値!K110:AD110)/AVERAGE(終値!K110:AD110),""))</f>
        <v>0.21186314760665481</v>
      </c>
      <c r="I110" s="503">
        <f>IF(終値!A110="","",IFERROR(4*STDEVP(終値!L110:AE110)/AVERAGE(終値!L110:AE110),""))</f>
        <v>0.21423691935967426</v>
      </c>
      <c r="J110" s="503">
        <f>IF(終値!A110="","",IFERROR(4*STDEVP(終値!M110:AF110)/AVERAGE(終値!M110:AF110),""))</f>
        <v>0.2161609937147147</v>
      </c>
      <c r="K110" s="503">
        <f>IF(終値!A110="","",IFERROR(4*STDEVP(終値!N110:AG110)/AVERAGE(終値!N110:AG110),""))</f>
        <v>0.21325964944162326</v>
      </c>
      <c r="L110" s="503">
        <f>IF(終値!A110="","",IFERROR(4*STDEVP(終値!O110:AH110)/AVERAGE(終値!O110:AH110),""))</f>
        <v>0.20362113907960147</v>
      </c>
      <c r="M110" s="503">
        <f>IF(終値!A110="","",IFERROR(4*STDEVP(終値!P110:AI110)/AVERAGE(終値!P110:AI110),""))</f>
        <v>0.18432330942921862</v>
      </c>
      <c r="N110" s="503">
        <f>IF(終値!A110="","",IFERROR(4*STDEVP(終値!Q110:AJ110)/AVERAGE(終値!Q110:AJ110),""))</f>
        <v>0.16211887778779258</v>
      </c>
      <c r="O110" s="503">
        <f>IF(終値!A110="","",IFERROR(4*STDEVP(終値!R110:AK110)/AVERAGE(終値!R110:AK110),""))</f>
        <v>0.14693992946631135</v>
      </c>
      <c r="P110" s="503">
        <f>IF(終値!A110="","",IFERROR(4*STDEVP(終値!S110:AL110)/AVERAGE(終値!S110:AL110),""))</f>
        <v>0.12914182084180548</v>
      </c>
      <c r="Q110" s="503">
        <f>IF(終値!A110="","",IFERROR(4*STDEVP(終値!T110:AM110)/AVERAGE(終値!T110:AM110),""))</f>
        <v>0.10837191209693388</v>
      </c>
      <c r="R110" s="503">
        <f>IF(終値!A110="","",IFERROR(4*STDEVP(終値!U110:AN110)/AVERAGE(終値!U110:AN110),""))</f>
        <v>9.6409524101021646E-2</v>
      </c>
      <c r="S110" s="503">
        <f>IF(終値!A110="","",IFERROR(4*STDEVP(終値!V110:AO110)/AVERAGE(終値!V110:AO110),""))</f>
        <v>8.3328105913870243E-2</v>
      </c>
      <c r="T110" s="503">
        <f>IF(終値!A110="","",IFERROR(4*STDEVP(終値!W110:AP110)/AVERAGE(終値!W110:AP110),""))</f>
        <v>7.3991575470649648E-2</v>
      </c>
      <c r="U110" s="503">
        <f>IF(終値!A110="","",IFERROR(4*STDEVP(終値!X110:AQ110)/AVERAGE(終値!X110:AQ110),""))</f>
        <v>6.3295530998357372E-2</v>
      </c>
      <c r="V110" s="503">
        <f>IF(終値!A110="","",IFERROR(4*STDEVP(終値!Y110:AR110)/AVERAGE(終値!Y110:AR110),""))</f>
        <v>5.5265092408423831E-2</v>
      </c>
      <c r="W110" s="503">
        <f>IF(終値!A110="","",IFERROR(4*STDEVP(終値!Z110:AS110)/AVERAGE(終値!Z110:AS110),""))</f>
        <v>5.02623565633874E-2</v>
      </c>
      <c r="X110" s="503">
        <f>IF(終値!A110="","",IFERROR(4*STDEVP(終値!AA110:AT110)/AVERAGE(終値!AA110:AT110),""))</f>
        <v>4.990207305425659E-2</v>
      </c>
      <c r="Y110" s="503">
        <f>IF(終値!A110="","",IFERROR(4*STDEVP(終値!AB110:AU110)/AVERAGE(終値!AB110:AU110),""))</f>
        <v>5.0548819246606431E-2</v>
      </c>
      <c r="Z110" s="503">
        <f>IF(終値!A110="","",IFERROR(4*STDEVP(終値!AC110:AV110)/AVERAGE(終値!AC110:AV110),""))</f>
        <v>4.7357386012414383E-2</v>
      </c>
      <c r="AA110" s="503">
        <f>IF(終値!A110="","",IFERROR(4*STDEVP(終値!AD110:AW110)/AVERAGE(終値!AD110:AW110),""))</f>
        <v>4.6591983803320233E-2</v>
      </c>
      <c r="AB110" s="503">
        <f>IF(終値!A110="","",IFERROR(4*STDEVP(終値!AE110:AX110)/AVERAGE(終値!AE110:AX110),""))</f>
        <v>4.6532547747415581E-2</v>
      </c>
      <c r="AC110" s="503">
        <f>IF(終値!A110="","",IFERROR(4*STDEVP(終値!AF110:AY110)/AVERAGE(終値!AF110:AY110),""))</f>
        <v>4.6629103227305888E-2</v>
      </c>
      <c r="AD110" s="503">
        <f>IF(終値!A110="","",IFERROR(4*STDEVP(終値!AG110:AZ110)/AVERAGE(終値!AG110:AZ110),""))</f>
        <v>4.9712222700837812E-2</v>
      </c>
      <c r="AE110" s="503">
        <f>IF(終値!A110="","",IFERROR(4*STDEVP(終値!AH110:BA110)/AVERAGE(終値!AH110:BA110),""))</f>
        <v>6.9287109379975689E-2</v>
      </c>
      <c r="AF110" s="503">
        <f>IF(終値!A110="","",IFERROR(4*STDEVP(終値!AI110:BB110)/AVERAGE(終値!AI110:BB110),""))</f>
        <v>7.7452477548824741E-2</v>
      </c>
      <c r="AG110" s="503">
        <f>IF(終値!A110="","",IFERROR(4*STDEVP(終値!AJ110:BC110)/AVERAGE(終値!AJ110:BC110),""))</f>
        <v>8.4044053264675123E-2</v>
      </c>
      <c r="AH110" s="503">
        <f>IF(終値!A110="","",IFERROR(4*STDEVP(終値!AK110:BD110)/AVERAGE(終値!AK110:BD110),""))</f>
        <v>8.598951230946858E-2</v>
      </c>
      <c r="AI110" s="503">
        <f>IF(終値!A110="","",IFERROR(4*STDEVP(終値!AL110:BE110)/AVERAGE(終値!AL110:BE110),""))</f>
        <v>9.1702241610970722E-2</v>
      </c>
      <c r="AJ110" s="503">
        <f>IF(終値!A110="","",IFERROR(4*STDEVP(終値!AM110:BF110)/AVERAGE(終値!AM110:BF110),""))</f>
        <v>9.4049904670862661E-2</v>
      </c>
      <c r="AK110" s="503">
        <f>IF(終値!A110="","",IFERROR(4*STDEVP(終値!AN110:BG110)/AVERAGE(終値!AN110:BG110),""))</f>
        <v>0.10547950196229276</v>
      </c>
      <c r="AL110" s="503">
        <f>IF(終値!A110="","",IFERROR(4*STDEVP(終値!AO110:BH110)/AVERAGE(終値!AO110:BH110),""))</f>
        <v>0.11854457774163363</v>
      </c>
      <c r="AM110" s="503">
        <f>IF(終値!A110="","",IFERROR(4*STDEVP(終値!AP110:BI110)/AVERAGE(終値!AP110:BI110),""))</f>
        <v>0.12513674904968969</v>
      </c>
      <c r="AN110" s="503">
        <f>IF(終値!A110="","",IFERROR(4*STDEVP(終値!AQ110:BJ110)/AVERAGE(終値!AQ110:BJ110),""))</f>
        <v>0.12932154066472032</v>
      </c>
      <c r="AO110" s="503">
        <f>IF(終値!A110="","",IFERROR(4*STDEVP(終値!AR110:BK110)/AVERAGE(終値!AR110:BK110),""))</f>
        <v>0.13336514661094659</v>
      </c>
      <c r="AP110" s="503">
        <f>IF(終値!A110="","",IFERROR(4*STDEVP(終値!AS110:BL110)/AVERAGE(終値!AS110:BL110),""))</f>
        <v>0.14143758645335261</v>
      </c>
    </row>
    <row r="111" spans="1:42">
      <c r="A111" s="500" t="str">
        <f>IF(終値!A111="","",終値!A111)</f>
        <v>9227</v>
      </c>
      <c r="B111" s="503">
        <f>IF(終値!A111="","",IFERROR(4*STDEVP(終値!E111:X111)/AVERAGE(終値!E111:X111),""))</f>
        <v>0.23286103169467706</v>
      </c>
      <c r="C111" s="503">
        <f>IF(終値!A111="","",IFERROR(4*STDEVP(終値!F111:Y111)/AVERAGE(終値!F111:Y111),""))</f>
        <v>0.24552362951908493</v>
      </c>
      <c r="D111" s="503">
        <f>IF(終値!A111="","",IFERROR(4*STDEVP(終値!G111:Z111)/AVERAGE(終値!G111:Z111),""))</f>
        <v>0.25893756922543609</v>
      </c>
      <c r="E111" s="503">
        <f>IF(終値!A111="","",IFERROR(4*STDEVP(終値!H111:AA111)/AVERAGE(終値!H111:AA111),""))</f>
        <v>0.26802459390732142</v>
      </c>
      <c r="F111" s="503">
        <f>IF(終値!A111="","",IFERROR(4*STDEVP(終値!I111:AB111)/AVERAGE(終値!I111:AB111),""))</f>
        <v>0.26979571268266733</v>
      </c>
      <c r="G111" s="503">
        <f>IF(終値!A111="","",IFERROR(4*STDEVP(終値!J111:AC111)/AVERAGE(終値!J111:AC111),""))</f>
        <v>0.26517298380406912</v>
      </c>
      <c r="H111" s="503">
        <f>IF(終値!A111="","",IFERROR(4*STDEVP(終値!K111:AD111)/AVERAGE(終値!K111:AD111),""))</f>
        <v>0.25805122643861522</v>
      </c>
      <c r="I111" s="503">
        <f>IF(終値!A111="","",IFERROR(4*STDEVP(終値!L111:AE111)/AVERAGE(終値!L111:AE111),""))</f>
        <v>0.25221095977101654</v>
      </c>
      <c r="J111" s="503">
        <f>IF(終値!A111="","",IFERROR(4*STDEVP(終値!M111:AF111)/AVERAGE(終値!M111:AF111),""))</f>
        <v>0.24630276322789169</v>
      </c>
      <c r="K111" s="503">
        <f>IF(終値!A111="","",IFERROR(4*STDEVP(終値!N111:AG111)/AVERAGE(終値!N111:AG111),""))</f>
        <v>0.23440773067158027</v>
      </c>
      <c r="L111" s="503">
        <f>IF(終値!A111="","",IFERROR(4*STDEVP(終値!O111:AH111)/AVERAGE(終値!O111:AH111),""))</f>
        <v>0.22863887181597983</v>
      </c>
      <c r="M111" s="503">
        <f>IF(終値!A111="","",IFERROR(4*STDEVP(終値!P111:AI111)/AVERAGE(終値!P111:AI111),""))</f>
        <v>0.21329508038424405</v>
      </c>
      <c r="N111" s="503">
        <f>IF(終値!A111="","",IFERROR(4*STDEVP(終値!Q111:AJ111)/AVERAGE(終値!Q111:AJ111),""))</f>
        <v>0.17070821304674078</v>
      </c>
      <c r="O111" s="503">
        <f>IF(終値!A111="","",IFERROR(4*STDEVP(終値!R111:AK111)/AVERAGE(終値!R111:AK111),""))</f>
        <v>0.16229118789498106</v>
      </c>
      <c r="P111" s="503">
        <f>IF(終値!A111="","",IFERROR(4*STDEVP(終値!S111:AL111)/AVERAGE(終値!S111:AL111),""))</f>
        <v>0.15374552112312614</v>
      </c>
      <c r="Q111" s="503">
        <f>IF(終値!A111="","",IFERROR(4*STDEVP(終値!T111:AM111)/AVERAGE(終値!T111:AM111),""))</f>
        <v>0.13945826786841836</v>
      </c>
      <c r="R111" s="503">
        <f>IF(終値!A111="","",IFERROR(4*STDEVP(終値!U111:AN111)/AVERAGE(終値!U111:AN111),""))</f>
        <v>0.14187647483475285</v>
      </c>
      <c r="S111" s="503">
        <f>IF(終値!A111="","",IFERROR(4*STDEVP(終値!V111:AO111)/AVERAGE(終値!V111:AO111),""))</f>
        <v>0.14130141557157105</v>
      </c>
      <c r="T111" s="503">
        <f>IF(終値!A111="","",IFERROR(4*STDEVP(終値!W111:AP111)/AVERAGE(終値!W111:AP111),""))</f>
        <v>0.14639909725362443</v>
      </c>
      <c r="U111" s="503">
        <f>IF(終値!A111="","",IFERROR(4*STDEVP(終値!X111:AQ111)/AVERAGE(終値!X111:AQ111),""))</f>
        <v>0.13224085941821828</v>
      </c>
      <c r="V111" s="503">
        <f>IF(終値!A111="","",IFERROR(4*STDEVP(終値!Y111:AR111)/AVERAGE(終値!Y111:AR111),""))</f>
        <v>0.1247541608735707</v>
      </c>
      <c r="W111" s="503">
        <f>IF(終値!A111="","",IFERROR(4*STDEVP(終値!Z111:AS111)/AVERAGE(終値!Z111:AS111),""))</f>
        <v>0.11843112944812746</v>
      </c>
      <c r="X111" s="503">
        <f>IF(終値!A111="","",IFERROR(4*STDEVP(終値!AA111:AT111)/AVERAGE(終値!AA111:AT111),""))</f>
        <v>0.10673135243600511</v>
      </c>
      <c r="Y111" s="503">
        <f>IF(終値!A111="","",IFERROR(4*STDEVP(終値!AB111:AU111)/AVERAGE(終値!AB111:AU111),""))</f>
        <v>9.7643499496260638E-2</v>
      </c>
      <c r="Z111" s="503">
        <f>IF(終値!A111="","",IFERROR(4*STDEVP(終値!AC111:AV111)/AVERAGE(終値!AC111:AV111),""))</f>
        <v>0.16632068728932575</v>
      </c>
      <c r="AA111" s="503">
        <f>IF(終値!A111="","",IFERROR(4*STDEVP(終値!AD111:AW111)/AVERAGE(終値!AD111:AW111),""))</f>
        <v>0.26689245871312084</v>
      </c>
      <c r="AB111" s="503">
        <f>IF(終値!A111="","",IFERROR(4*STDEVP(終値!AE111:AX111)/AVERAGE(終値!AE111:AX111),""))</f>
        <v>0.38166137477813639</v>
      </c>
      <c r="AC111" s="503">
        <f>IF(終値!A111="","",IFERROR(4*STDEVP(終値!AF111:AY111)/AVERAGE(終値!AF111:AY111),""))</f>
        <v>0.40654950220443914</v>
      </c>
      <c r="AD111" s="503">
        <f>IF(終値!A111="","",IFERROR(4*STDEVP(終値!AG111:AZ111)/AVERAGE(終値!AG111:AZ111),""))</f>
        <v>0.4036105203272829</v>
      </c>
      <c r="AE111" s="503">
        <f>IF(終値!A111="","",IFERROR(4*STDEVP(終値!AH111:BA111)/AVERAGE(終値!AH111:BA111),""))</f>
        <v>0.42625024945796863</v>
      </c>
      <c r="AF111" s="503">
        <f>IF(終値!A111="","",IFERROR(4*STDEVP(終値!AI111:BB111)/AVERAGE(終値!AI111:BB111),""))</f>
        <v>0.45683999917161217</v>
      </c>
      <c r="AG111" s="503">
        <f>IF(終値!A111="","",IFERROR(4*STDEVP(終値!AJ111:BC111)/AVERAGE(終値!AJ111:BC111),""))</f>
        <v>0.47326563915216763</v>
      </c>
      <c r="AH111" s="503">
        <f>IF(終値!A111="","",IFERROR(4*STDEVP(終値!AK111:BD111)/AVERAGE(終値!AK111:BD111),""))</f>
        <v>0.48527485181929614</v>
      </c>
      <c r="AI111" s="503">
        <f>IF(終値!A111="","",IFERROR(4*STDEVP(終値!AL111:BE111)/AVERAGE(終値!AL111:BE111),""))</f>
        <v>0.49421959762489726</v>
      </c>
      <c r="AJ111" s="503">
        <f>IF(終値!A111="","",IFERROR(4*STDEVP(終値!AM111:BF111)/AVERAGE(終値!AM111:BF111),""))</f>
        <v>0.50458591414086484</v>
      </c>
      <c r="AK111" s="503">
        <f>IF(終値!A111="","",IFERROR(4*STDEVP(終値!AN111:BG111)/AVERAGE(終値!AN111:BG111),""))</f>
        <v>0.50763073739893538</v>
      </c>
      <c r="AL111" s="503">
        <f>IF(終値!A111="","",IFERROR(4*STDEVP(終値!AO111:BH111)/AVERAGE(終値!AO111:BH111),""))</f>
        <v>0.5051822129652882</v>
      </c>
      <c r="AM111" s="503">
        <f>IF(終値!A111="","",IFERROR(4*STDEVP(終値!AP111:BI111)/AVERAGE(終値!AP111:BI111),""))</f>
        <v>0.50297977861054055</v>
      </c>
      <c r="AN111" s="503">
        <f>IF(終値!A111="","",IFERROR(4*STDEVP(終値!AQ111:BJ111)/AVERAGE(終値!AQ111:BJ111),""))</f>
        <v>0.50332257582144202</v>
      </c>
      <c r="AO111" s="503">
        <f>IF(終値!A111="","",IFERROR(4*STDEVP(終値!AR111:BK111)/AVERAGE(終値!AR111:BK111),""))</f>
        <v>0.50591058464909855</v>
      </c>
      <c r="AP111" s="503">
        <f>IF(終値!A111="","",IFERROR(4*STDEVP(終値!AS111:BL111)/AVERAGE(終値!AS111:BL111),""))</f>
        <v>0.51089172099557612</v>
      </c>
    </row>
    <row r="112" spans="1:42">
      <c r="A112" s="500" t="str">
        <f>IF(終値!A112="","",終値!A112)</f>
        <v>9348</v>
      </c>
      <c r="B112" s="503">
        <f>IF(終値!A112="","",IFERROR(4*STDEVP(終値!E112:X112)/AVERAGE(終値!E112:X112),""))</f>
        <v>0.23519943661092654</v>
      </c>
      <c r="C112" s="503">
        <f>IF(終値!A112="","",IFERROR(4*STDEVP(終値!F112:Y112)/AVERAGE(終値!F112:Y112),""))</f>
        <v>0.23678289460791221</v>
      </c>
      <c r="D112" s="503">
        <f>IF(終値!A112="","",IFERROR(4*STDEVP(終値!G112:Z112)/AVERAGE(終値!G112:Z112),""))</f>
        <v>0.22991397706769981</v>
      </c>
      <c r="E112" s="503">
        <f>IF(終値!A112="","",IFERROR(4*STDEVP(終値!H112:AA112)/AVERAGE(終値!H112:AA112),""))</f>
        <v>0.22250950818082185</v>
      </c>
      <c r="F112" s="503">
        <f>IF(終値!A112="","",IFERROR(4*STDEVP(終値!I112:AB112)/AVERAGE(終値!I112:AB112),""))</f>
        <v>0.21586639372144059</v>
      </c>
      <c r="G112" s="503">
        <f>IF(終値!A112="","",IFERROR(4*STDEVP(終値!J112:AC112)/AVERAGE(終値!J112:AC112),""))</f>
        <v>0.20127618805322459</v>
      </c>
      <c r="H112" s="503">
        <f>IF(終値!A112="","",IFERROR(4*STDEVP(終値!K112:AD112)/AVERAGE(終値!K112:AD112),""))</f>
        <v>0.19162933275152633</v>
      </c>
      <c r="I112" s="503">
        <f>IF(終値!A112="","",IFERROR(4*STDEVP(終値!L112:AE112)/AVERAGE(終値!L112:AE112),""))</f>
        <v>0.18679123033328726</v>
      </c>
      <c r="J112" s="503">
        <f>IF(終値!A112="","",IFERROR(4*STDEVP(終値!M112:AF112)/AVERAGE(終値!M112:AF112),""))</f>
        <v>0.18205654763680226</v>
      </c>
      <c r="K112" s="503">
        <f>IF(終値!A112="","",IFERROR(4*STDEVP(終値!N112:AG112)/AVERAGE(終値!N112:AG112),""))</f>
        <v>0.17533047792208761</v>
      </c>
      <c r="L112" s="503">
        <f>IF(終値!A112="","",IFERROR(4*STDEVP(終値!O112:AH112)/AVERAGE(終値!O112:AH112),""))</f>
        <v>0.16843589182198943</v>
      </c>
      <c r="M112" s="503">
        <f>IF(終値!A112="","",IFERROR(4*STDEVP(終値!P112:AI112)/AVERAGE(終値!P112:AI112),""))</f>
        <v>0.15785255222715344</v>
      </c>
      <c r="N112" s="503">
        <f>IF(終値!A112="","",IFERROR(4*STDEVP(終値!Q112:AJ112)/AVERAGE(終値!Q112:AJ112),""))</f>
        <v>0.14879234555936419</v>
      </c>
      <c r="O112" s="503">
        <f>IF(終値!A112="","",IFERROR(4*STDEVP(終値!R112:AK112)/AVERAGE(終値!R112:AK112),""))</f>
        <v>0.15723969588652087</v>
      </c>
      <c r="P112" s="503">
        <f>IF(終値!A112="","",IFERROR(4*STDEVP(終値!S112:AL112)/AVERAGE(終値!S112:AL112),""))</f>
        <v>0.16080983192197765</v>
      </c>
      <c r="Q112" s="503">
        <f>IF(終値!A112="","",IFERROR(4*STDEVP(終値!T112:AM112)/AVERAGE(終値!T112:AM112),""))</f>
        <v>0.18989454758850793</v>
      </c>
      <c r="R112" s="503">
        <f>IF(終値!A112="","",IFERROR(4*STDEVP(終値!U112:AN112)/AVERAGE(終値!U112:AN112),""))</f>
        <v>0.26539432566045607</v>
      </c>
      <c r="S112" s="503">
        <f>IF(終値!A112="","",IFERROR(4*STDEVP(終値!V112:AO112)/AVERAGE(終値!V112:AO112),""))</f>
        <v>0.33463455561266969</v>
      </c>
      <c r="T112" s="503">
        <f>IF(終値!A112="","",IFERROR(4*STDEVP(終値!W112:AP112)/AVERAGE(終値!W112:AP112),""))</f>
        <v>0.38720050975210074</v>
      </c>
      <c r="U112" s="503">
        <f>IF(終値!A112="","",IFERROR(4*STDEVP(終値!X112:AQ112)/AVERAGE(終値!X112:AQ112),""))</f>
        <v>0.44459543738598017</v>
      </c>
      <c r="V112" s="503">
        <f>IF(終値!A112="","",IFERROR(4*STDEVP(終値!Y112:AR112)/AVERAGE(終値!Y112:AR112),""))</f>
        <v>0.49943492058161432</v>
      </c>
      <c r="W112" s="503">
        <f>IF(終値!A112="","",IFERROR(4*STDEVP(終値!Z112:AS112)/AVERAGE(終値!Z112:AS112),""))</f>
        <v>0.50500690696542738</v>
      </c>
      <c r="X112" s="503">
        <f>IF(終値!A112="","",IFERROR(4*STDEVP(終値!AA112:AT112)/AVERAGE(終値!AA112:AT112),""))</f>
        <v>0.51698706434658204</v>
      </c>
      <c r="Y112" s="503">
        <f>IF(終値!A112="","",IFERROR(4*STDEVP(終値!AB112:AU112)/AVERAGE(終値!AB112:AU112),""))</f>
        <v>0.51934727527988434</v>
      </c>
      <c r="Z112" s="503">
        <f>IF(終値!A112="","",IFERROR(4*STDEVP(終値!AC112:AV112)/AVERAGE(終値!AC112:AV112),""))</f>
        <v>0.57075450636044733</v>
      </c>
      <c r="AA112" s="503">
        <f>IF(終値!A112="","",IFERROR(4*STDEVP(終値!AD112:AW112)/AVERAGE(終値!AD112:AW112),""))</f>
        <v>0.61694662923870802</v>
      </c>
      <c r="AB112" s="503">
        <f>IF(終値!A112="","",IFERROR(4*STDEVP(終値!AE112:AX112)/AVERAGE(終値!AE112:AX112),""))</f>
        <v>0.59352387868143419</v>
      </c>
      <c r="AC112" s="503">
        <f>IF(終値!A112="","",IFERROR(4*STDEVP(終値!AF112:AY112)/AVERAGE(終値!AF112:AY112),""))</f>
        <v>0.56769251208955562</v>
      </c>
      <c r="AD112" s="503">
        <f>IF(終値!A112="","",IFERROR(4*STDEVP(終値!AG112:AZ112)/AVERAGE(終値!AG112:AZ112),""))</f>
        <v>0.5353092590621179</v>
      </c>
      <c r="AE112" s="503">
        <f>IF(終値!A112="","",IFERROR(4*STDEVP(終値!AH112:BA112)/AVERAGE(終値!AH112:BA112),""))</f>
        <v>0.50251496821417152</v>
      </c>
      <c r="AF112" s="503">
        <f>IF(終値!A112="","",IFERROR(4*STDEVP(終値!AI112:BB112)/AVERAGE(終値!AI112:BB112),""))</f>
        <v>0.48434521397083008</v>
      </c>
      <c r="AG112" s="503">
        <f>IF(終値!A112="","",IFERROR(4*STDEVP(終値!AJ112:BC112)/AVERAGE(終値!AJ112:BC112),""))</f>
        <v>0.43907966396546089</v>
      </c>
      <c r="AH112" s="503">
        <f>IF(終値!A112="","",IFERROR(4*STDEVP(終値!AK112:BD112)/AVERAGE(終値!AK112:BD112),""))</f>
        <v>0.42498069452096826</v>
      </c>
      <c r="AI112" s="503">
        <f>IF(終値!A112="","",IFERROR(4*STDEVP(終値!AL112:BE112)/AVERAGE(終値!AL112:BE112),""))</f>
        <v>0.40914162268610588</v>
      </c>
      <c r="AJ112" s="503">
        <f>IF(終値!A112="","",IFERROR(4*STDEVP(終値!AM112:BF112)/AVERAGE(終値!AM112:BF112),""))</f>
        <v>0.39235492026906615</v>
      </c>
      <c r="AK112" s="503">
        <f>IF(終値!A112="","",IFERROR(4*STDEVP(終値!AN112:BG112)/AVERAGE(終値!AN112:BG112),""))</f>
        <v>0.39457883951109707</v>
      </c>
      <c r="AL112" s="503">
        <f>IF(終値!A112="","",IFERROR(4*STDEVP(終値!AO112:BH112)/AVERAGE(終値!AO112:BH112),""))</f>
        <v>0.40982475873620733</v>
      </c>
      <c r="AM112" s="503">
        <f>IF(終値!A112="","",IFERROR(4*STDEVP(終値!AP112:BI112)/AVERAGE(終値!AP112:BI112),""))</f>
        <v>0.4193040073799546</v>
      </c>
      <c r="AN112" s="503">
        <f>IF(終値!A112="","",IFERROR(4*STDEVP(終値!AQ112:BJ112)/AVERAGE(終値!AQ112:BJ112),""))</f>
        <v>0.42970309850054494</v>
      </c>
      <c r="AO112" s="503">
        <f>IF(終値!A112="","",IFERROR(4*STDEVP(終値!AR112:BK112)/AVERAGE(終値!AR112:BK112),""))</f>
        <v>0.44185632770193406</v>
      </c>
      <c r="AP112" s="503">
        <f>IF(終値!A112="","",IFERROR(4*STDEVP(終値!AS112:BL112)/AVERAGE(終値!AS112:BL112),""))</f>
        <v>0.45055696892335628</v>
      </c>
    </row>
    <row r="113" spans="1:42">
      <c r="A113" s="500" t="str">
        <f>IF(終値!A113="","",終値!A113)</f>
        <v>9449</v>
      </c>
      <c r="B113" s="503">
        <f>IF(終値!A113="","",IFERROR(4*STDEVP(終値!E113:X113)/AVERAGE(終値!E113:X113),""))</f>
        <v>0.16951033388668874</v>
      </c>
      <c r="C113" s="503">
        <f>IF(終値!A113="","",IFERROR(4*STDEVP(終値!F113:Y113)/AVERAGE(終値!F113:Y113),""))</f>
        <v>0.18716797710971633</v>
      </c>
      <c r="D113" s="503">
        <f>IF(終値!A113="","",IFERROR(4*STDEVP(終値!G113:Z113)/AVERAGE(終値!G113:Z113),""))</f>
        <v>0.20712625413105046</v>
      </c>
      <c r="E113" s="503">
        <f>IF(終値!A113="","",IFERROR(4*STDEVP(終値!H113:AA113)/AVERAGE(終値!H113:AA113),""))</f>
        <v>0.23227395491052849</v>
      </c>
      <c r="F113" s="503">
        <f>IF(終値!A113="","",IFERROR(4*STDEVP(終値!I113:AB113)/AVERAGE(終値!I113:AB113),""))</f>
        <v>0.25393619992833949</v>
      </c>
      <c r="G113" s="503">
        <f>IF(終値!A113="","",IFERROR(4*STDEVP(終値!J113:AC113)/AVERAGE(終値!J113:AC113),""))</f>
        <v>0.2586658764151144</v>
      </c>
      <c r="H113" s="503">
        <f>IF(終値!A113="","",IFERROR(4*STDEVP(終値!K113:AD113)/AVERAGE(終値!K113:AD113),""))</f>
        <v>0.27836299197877934</v>
      </c>
      <c r="I113" s="503">
        <f>IF(終値!A113="","",IFERROR(4*STDEVP(終値!L113:AE113)/AVERAGE(終値!L113:AE113),""))</f>
        <v>0.29498404467593858</v>
      </c>
      <c r="J113" s="503">
        <f>IF(終値!A113="","",IFERROR(4*STDEVP(終値!M113:AF113)/AVERAGE(終値!M113:AF113),""))</f>
        <v>0.31162184350701738</v>
      </c>
      <c r="K113" s="503">
        <f>IF(終値!A113="","",IFERROR(4*STDEVP(終値!N113:AG113)/AVERAGE(終値!N113:AG113),""))</f>
        <v>0.32454467709932217</v>
      </c>
      <c r="L113" s="503">
        <f>IF(終値!A113="","",IFERROR(4*STDEVP(終値!O113:AH113)/AVERAGE(終値!O113:AH113),""))</f>
        <v>0.31881572597316438</v>
      </c>
      <c r="M113" s="503">
        <f>IF(終値!A113="","",IFERROR(4*STDEVP(終値!P113:AI113)/AVERAGE(終値!P113:AI113),""))</f>
        <v>0.33974269774882565</v>
      </c>
      <c r="N113" s="503">
        <f>IF(終値!A113="","",IFERROR(4*STDEVP(終値!Q113:AJ113)/AVERAGE(終値!Q113:AJ113),""))</f>
        <v>0.33914393235720919</v>
      </c>
      <c r="O113" s="503">
        <f>IF(終値!A113="","",IFERROR(4*STDEVP(終値!R113:AK113)/AVERAGE(終値!R113:AK113),""))</f>
        <v>0.33389153897604906</v>
      </c>
      <c r="P113" s="503">
        <f>IF(終値!A113="","",IFERROR(4*STDEVP(終値!S113:AL113)/AVERAGE(終値!S113:AL113),""))</f>
        <v>0.3254424704309577</v>
      </c>
      <c r="Q113" s="503">
        <f>IF(終値!A113="","",IFERROR(4*STDEVP(終値!T113:AM113)/AVERAGE(終値!T113:AM113),""))</f>
        <v>0.31513989083238775</v>
      </c>
      <c r="R113" s="503">
        <f>IF(終値!A113="","",IFERROR(4*STDEVP(終値!U113:AN113)/AVERAGE(終値!U113:AN113),""))</f>
        <v>0.29791008012037912</v>
      </c>
      <c r="S113" s="503">
        <f>IF(終値!A113="","",IFERROR(4*STDEVP(終値!V113:AO113)/AVERAGE(終値!V113:AO113),""))</f>
        <v>0.27956251562743656</v>
      </c>
      <c r="T113" s="503">
        <f>IF(終値!A113="","",IFERROR(4*STDEVP(終値!W113:AP113)/AVERAGE(終値!W113:AP113),""))</f>
        <v>0.24699051955416013</v>
      </c>
      <c r="U113" s="503">
        <f>IF(終値!A113="","",IFERROR(4*STDEVP(終値!X113:AQ113)/AVERAGE(終値!X113:AQ113),""))</f>
        <v>0.22728426106168756</v>
      </c>
      <c r="V113" s="503">
        <f>IF(終値!A113="","",IFERROR(4*STDEVP(終値!Y113:AR113)/AVERAGE(終値!Y113:AR113),""))</f>
        <v>0.20289105810703609</v>
      </c>
      <c r="W113" s="503">
        <f>IF(終値!A113="","",IFERROR(4*STDEVP(終値!Z113:AS113)/AVERAGE(終値!Z113:AS113),""))</f>
        <v>0.17687162708282408</v>
      </c>
      <c r="X113" s="503">
        <f>IF(終値!A113="","",IFERROR(4*STDEVP(終値!AA113:AT113)/AVERAGE(終値!AA113:AT113),""))</f>
        <v>0.15721671063950737</v>
      </c>
      <c r="Y113" s="503">
        <f>IF(終値!A113="","",IFERROR(4*STDEVP(終値!AB113:AU113)/AVERAGE(終値!AB113:AU113),""))</f>
        <v>0.15458328198696761</v>
      </c>
      <c r="Z113" s="503">
        <f>IF(終値!A113="","",IFERROR(4*STDEVP(終値!AC113:AV113)/AVERAGE(終値!AC113:AV113),""))</f>
        <v>0.15195631338079488</v>
      </c>
      <c r="AA113" s="503">
        <f>IF(終値!A113="","",IFERROR(4*STDEVP(終値!AD113:AW113)/AVERAGE(終値!AD113:AW113),""))</f>
        <v>0.14551701263334541</v>
      </c>
      <c r="AB113" s="503">
        <f>IF(終値!A113="","",IFERROR(4*STDEVP(終値!AE113:AX113)/AVERAGE(終値!AE113:AX113),""))</f>
        <v>0.14776165458439208</v>
      </c>
      <c r="AC113" s="503">
        <f>IF(終値!A113="","",IFERROR(4*STDEVP(終値!AF113:AY113)/AVERAGE(終値!AF113:AY113),""))</f>
        <v>0.1593741601030072</v>
      </c>
      <c r="AD113" s="503">
        <f>IF(終値!A113="","",IFERROR(4*STDEVP(終値!AG113:AZ113)/AVERAGE(終値!AG113:AZ113),""))</f>
        <v>0.16530531194991266</v>
      </c>
      <c r="AE113" s="503">
        <f>IF(終値!A113="","",IFERROR(4*STDEVP(終値!AH113:BA113)/AVERAGE(終値!AH113:BA113),""))</f>
        <v>0.16677275468227276</v>
      </c>
      <c r="AF113" s="503">
        <f>IF(終値!A113="","",IFERROR(4*STDEVP(終値!AI113:BB113)/AVERAGE(終値!AI113:BB113),""))</f>
        <v>0.14450124202440268</v>
      </c>
      <c r="AG113" s="503">
        <f>IF(終値!A113="","",IFERROR(4*STDEVP(終値!AJ113:BC113)/AVERAGE(終値!AJ113:BC113),""))</f>
        <v>0.1329145435134538</v>
      </c>
      <c r="AH113" s="503">
        <f>IF(終値!A113="","",IFERROR(4*STDEVP(終値!AK113:BD113)/AVERAGE(終値!AK113:BD113),""))</f>
        <v>0.12966195659831045</v>
      </c>
      <c r="AI113" s="503">
        <f>IF(終値!A113="","",IFERROR(4*STDEVP(終値!AL113:BE113)/AVERAGE(終値!AL113:BE113),""))</f>
        <v>0.13145909631823788</v>
      </c>
      <c r="AJ113" s="503">
        <f>IF(終値!A113="","",IFERROR(4*STDEVP(終値!AM113:BF113)/AVERAGE(終値!AM113:BF113),""))</f>
        <v>0.13069947640816987</v>
      </c>
      <c r="AK113" s="503">
        <f>IF(終値!A113="","",IFERROR(4*STDEVP(終値!AN113:BG113)/AVERAGE(終値!AN113:BG113),""))</f>
        <v>0.12581715042566446</v>
      </c>
      <c r="AL113" s="503">
        <f>IF(終値!A113="","",IFERROR(4*STDEVP(終値!AO113:BH113)/AVERAGE(終値!AO113:BH113),""))</f>
        <v>0.12286072429282854</v>
      </c>
      <c r="AM113" s="503">
        <f>IF(終値!A113="","",IFERROR(4*STDEVP(終値!AP113:BI113)/AVERAGE(終値!AP113:BI113),""))</f>
        <v>0.12190816236662722</v>
      </c>
      <c r="AN113" s="503">
        <f>IF(終値!A113="","",IFERROR(4*STDEVP(終値!AQ113:BJ113)/AVERAGE(終値!AQ113:BJ113),""))</f>
        <v>0.1213120336158167</v>
      </c>
      <c r="AO113" s="503">
        <f>IF(終値!A113="","",IFERROR(4*STDEVP(終値!AR113:BK113)/AVERAGE(終値!AR113:BK113),""))</f>
        <v>0.13082690386625112</v>
      </c>
      <c r="AP113" s="503">
        <f>IF(終値!A113="","",IFERROR(4*STDEVP(終値!AS113:BL113)/AVERAGE(終値!AS113:BL113),""))</f>
        <v>0.14220976895893406</v>
      </c>
    </row>
    <row r="114" spans="1:42">
      <c r="A114" s="500" t="str">
        <f>IF(終値!A114="","",終値!A114)</f>
        <v>9501</v>
      </c>
      <c r="B114" s="503">
        <f>IF(終値!A114="","",IFERROR(4*STDEVP(終値!E114:X114)/AVERAGE(終値!E114:X114),""))</f>
        <v>0.17040428353481971</v>
      </c>
      <c r="C114" s="503">
        <f>IF(終値!A114="","",IFERROR(4*STDEVP(終値!F114:Y114)/AVERAGE(終値!F114:Y114),""))</f>
        <v>0.18158820268638479</v>
      </c>
      <c r="D114" s="503">
        <f>IF(終値!A114="","",IFERROR(4*STDEVP(終値!G114:Z114)/AVERAGE(終値!G114:Z114),""))</f>
        <v>0.19319057338286985</v>
      </c>
      <c r="E114" s="503">
        <f>IF(終値!A114="","",IFERROR(4*STDEVP(終値!H114:AA114)/AVERAGE(終値!H114:AA114),""))</f>
        <v>0.20470019363756314</v>
      </c>
      <c r="F114" s="503">
        <f>IF(終値!A114="","",IFERROR(4*STDEVP(終値!I114:AB114)/AVERAGE(終値!I114:AB114),""))</f>
        <v>0.20738668321772219</v>
      </c>
      <c r="G114" s="503">
        <f>IF(終値!A114="","",IFERROR(4*STDEVP(終値!J114:AC114)/AVERAGE(終値!J114:AC114),""))</f>
        <v>0.20049235112461727</v>
      </c>
      <c r="H114" s="503">
        <f>IF(終値!A114="","",IFERROR(4*STDEVP(終値!K114:AD114)/AVERAGE(終値!K114:AD114),""))</f>
        <v>0.19858832000773421</v>
      </c>
      <c r="I114" s="503">
        <f>IF(終値!A114="","",IFERROR(4*STDEVP(終値!L114:AE114)/AVERAGE(終値!L114:AE114),""))</f>
        <v>0.17415528392475987</v>
      </c>
      <c r="J114" s="503">
        <f>IF(終値!A114="","",IFERROR(4*STDEVP(終値!M114:AF114)/AVERAGE(終値!M114:AF114),""))</f>
        <v>0.16358412260092106</v>
      </c>
      <c r="K114" s="503">
        <f>IF(終値!A114="","",IFERROR(4*STDEVP(終値!N114:AG114)/AVERAGE(終値!N114:AG114),""))</f>
        <v>0.14970285747363127</v>
      </c>
      <c r="L114" s="503">
        <f>IF(終値!A114="","",IFERROR(4*STDEVP(終値!O114:AH114)/AVERAGE(終値!O114:AH114),""))</f>
        <v>0.14075109570409325</v>
      </c>
      <c r="M114" s="503">
        <f>IF(終値!A114="","",IFERROR(4*STDEVP(終値!P114:AI114)/AVERAGE(終値!P114:AI114),""))</f>
        <v>0.14874785711143357</v>
      </c>
      <c r="N114" s="503">
        <f>IF(終値!A114="","",IFERROR(4*STDEVP(終値!Q114:AJ114)/AVERAGE(終値!Q114:AJ114),""))</f>
        <v>0.15137966544127521</v>
      </c>
      <c r="O114" s="503">
        <f>IF(終値!A114="","",IFERROR(4*STDEVP(終値!R114:AK114)/AVERAGE(終値!R114:AK114),""))</f>
        <v>0.1509580582877951</v>
      </c>
      <c r="P114" s="503">
        <f>IF(終値!A114="","",IFERROR(4*STDEVP(終値!S114:AL114)/AVERAGE(終値!S114:AL114),""))</f>
        <v>0.158012950834304</v>
      </c>
      <c r="Q114" s="503">
        <f>IF(終値!A114="","",IFERROR(4*STDEVP(終値!T114:AM114)/AVERAGE(終値!T114:AM114),""))</f>
        <v>0.18451502422737043</v>
      </c>
      <c r="R114" s="503">
        <f>IF(終値!A114="","",IFERROR(4*STDEVP(終値!U114:AN114)/AVERAGE(終値!U114:AN114),""))</f>
        <v>0.19132787803842488</v>
      </c>
      <c r="S114" s="503">
        <f>IF(終値!A114="","",IFERROR(4*STDEVP(終値!V114:AO114)/AVERAGE(終値!V114:AO114),""))</f>
        <v>0.19238372678086693</v>
      </c>
      <c r="T114" s="503">
        <f>IF(終値!A114="","",IFERROR(4*STDEVP(終値!W114:AP114)/AVERAGE(終値!W114:AP114),""))</f>
        <v>0.19894289423236661</v>
      </c>
      <c r="U114" s="503">
        <f>IF(終値!A114="","",IFERROR(4*STDEVP(終値!X114:AQ114)/AVERAGE(終値!X114:AQ114),""))</f>
        <v>0.21293275907797959</v>
      </c>
      <c r="V114" s="503">
        <f>IF(終値!A114="","",IFERROR(4*STDEVP(終値!Y114:AR114)/AVERAGE(終値!Y114:AR114),""))</f>
        <v>0.22021751684206772</v>
      </c>
      <c r="W114" s="503">
        <f>IF(終値!A114="","",IFERROR(4*STDEVP(終値!Z114:AS114)/AVERAGE(終値!Z114:AS114),""))</f>
        <v>0.23001503043444302</v>
      </c>
      <c r="X114" s="503">
        <f>IF(終値!A114="","",IFERROR(4*STDEVP(終値!AA114:AT114)/AVERAGE(終値!AA114:AT114),""))</f>
        <v>0.25452014629952613</v>
      </c>
      <c r="Y114" s="503">
        <f>IF(終値!A114="","",IFERROR(4*STDEVP(終値!AB114:AU114)/AVERAGE(終値!AB114:AU114),""))</f>
        <v>0.25782856710430613</v>
      </c>
      <c r="Z114" s="503">
        <f>IF(終値!A114="","",IFERROR(4*STDEVP(終値!AC114:AV114)/AVERAGE(終値!AC114:AV114),""))</f>
        <v>0.26118773284587998</v>
      </c>
      <c r="AA114" s="503">
        <f>IF(終値!A114="","",IFERROR(4*STDEVP(終値!AD114:AW114)/AVERAGE(終値!AD114:AW114),""))</f>
        <v>0.25491118027037191</v>
      </c>
      <c r="AB114" s="503">
        <f>IF(終値!A114="","",IFERROR(4*STDEVP(終値!AE114:AX114)/AVERAGE(終値!AE114:AX114),""))</f>
        <v>0.24671107502797412</v>
      </c>
      <c r="AC114" s="503">
        <f>IF(終値!A114="","",IFERROR(4*STDEVP(終値!AF114:AY114)/AVERAGE(終値!AF114:AY114),""))</f>
        <v>0.24548019696974485</v>
      </c>
      <c r="AD114" s="503">
        <f>IF(終値!A114="","",IFERROR(4*STDEVP(終値!AG114:AZ114)/AVERAGE(終値!AG114:AZ114),""))</f>
        <v>0.22687263784908918</v>
      </c>
      <c r="AE114" s="503">
        <f>IF(終値!A114="","",IFERROR(4*STDEVP(終値!AH114:BA114)/AVERAGE(終値!AH114:BA114),""))</f>
        <v>0.20501517875659689</v>
      </c>
      <c r="AF114" s="503">
        <f>IF(終値!A114="","",IFERROR(4*STDEVP(終値!AI114:BB114)/AVERAGE(終値!AI114:BB114),""))</f>
        <v>0.1804243006084395</v>
      </c>
      <c r="AG114" s="503">
        <f>IF(終値!A114="","",IFERROR(4*STDEVP(終値!AJ114:BC114)/AVERAGE(終値!AJ114:BC114),""))</f>
        <v>0.18760170601162754</v>
      </c>
      <c r="AH114" s="503">
        <f>IF(終値!A114="","",IFERROR(4*STDEVP(終値!AK114:BD114)/AVERAGE(終値!AK114:BD114),""))</f>
        <v>0.18145070839263883</v>
      </c>
      <c r="AI114" s="503">
        <f>IF(終値!A114="","",IFERROR(4*STDEVP(終値!AL114:BE114)/AVERAGE(終値!AL114:BE114),""))</f>
        <v>0.18644716569478634</v>
      </c>
      <c r="AJ114" s="503">
        <f>IF(終値!A114="","",IFERROR(4*STDEVP(終値!AM114:BF114)/AVERAGE(終値!AM114:BF114),""))</f>
        <v>0.19986859493191775</v>
      </c>
      <c r="AK114" s="503">
        <f>IF(終値!A114="","",IFERROR(4*STDEVP(終値!AN114:BG114)/AVERAGE(終値!AN114:BG114),""))</f>
        <v>0.21646833410449601</v>
      </c>
      <c r="AL114" s="503">
        <f>IF(終値!A114="","",IFERROR(4*STDEVP(終値!AO114:BH114)/AVERAGE(終値!AO114:BH114),""))</f>
        <v>0.24056079790554455</v>
      </c>
      <c r="AM114" s="503">
        <f>IF(終値!A114="","",IFERROR(4*STDEVP(終値!AP114:BI114)/AVERAGE(終値!AP114:BI114),""))</f>
        <v>0.24691038244455329</v>
      </c>
      <c r="AN114" s="503">
        <f>IF(終値!A114="","",IFERROR(4*STDEVP(終値!AQ114:BJ114)/AVERAGE(終値!AQ114:BJ114),""))</f>
        <v>0.24279325416937636</v>
      </c>
      <c r="AO114" s="503">
        <f>IF(終値!A114="","",IFERROR(4*STDEVP(終値!AR114:BK114)/AVERAGE(終値!AR114:BK114),""))</f>
        <v>0.2415341580149758</v>
      </c>
      <c r="AP114" s="503">
        <f>IF(終値!A114="","",IFERROR(4*STDEVP(終値!AS114:BL114)/AVERAGE(終値!AS114:BL114),""))</f>
        <v>0.22905812711721488</v>
      </c>
    </row>
    <row r="115" spans="1:42">
      <c r="A115" s="500" t="str">
        <f>IF(終値!A115="","",終値!A115)</f>
        <v>9531</v>
      </c>
      <c r="B115" s="503">
        <f>IF(終値!A115="","",IFERROR(4*STDEVP(終値!E115:X115)/AVERAGE(終値!E115:X115),""))</f>
        <v>6.4990132125912842E-2</v>
      </c>
      <c r="C115" s="503">
        <f>IF(終値!A115="","",IFERROR(4*STDEVP(終値!F115:Y115)/AVERAGE(終値!F115:Y115),""))</f>
        <v>6.5023023583973216E-2</v>
      </c>
      <c r="D115" s="503">
        <f>IF(終値!A115="","",IFERROR(4*STDEVP(終値!G115:Z115)/AVERAGE(終値!G115:Z115),""))</f>
        <v>6.7291143335022952E-2</v>
      </c>
      <c r="E115" s="503">
        <f>IF(終値!A115="","",IFERROR(4*STDEVP(終値!H115:AA115)/AVERAGE(終値!H115:AA115),""))</f>
        <v>6.8799237127048635E-2</v>
      </c>
      <c r="F115" s="503">
        <f>IF(終値!A115="","",IFERROR(4*STDEVP(終値!I115:AB115)/AVERAGE(終値!I115:AB115),""))</f>
        <v>6.5276118945946787E-2</v>
      </c>
      <c r="G115" s="503">
        <f>IF(終値!A115="","",IFERROR(4*STDEVP(終値!J115:AC115)/AVERAGE(終値!J115:AC115),""))</f>
        <v>6.0097467213034036E-2</v>
      </c>
      <c r="H115" s="503">
        <f>IF(終値!A115="","",IFERROR(4*STDEVP(終値!K115:AD115)/AVERAGE(終値!K115:AD115),""))</f>
        <v>5.6808840785040976E-2</v>
      </c>
      <c r="I115" s="503">
        <f>IF(終値!A115="","",IFERROR(4*STDEVP(終値!L115:AE115)/AVERAGE(終値!L115:AE115),""))</f>
        <v>5.037355352241029E-2</v>
      </c>
      <c r="J115" s="503">
        <f>IF(終値!A115="","",IFERROR(4*STDEVP(終値!M115:AF115)/AVERAGE(終値!M115:AF115),""))</f>
        <v>4.6015131936438629E-2</v>
      </c>
      <c r="K115" s="503">
        <f>IF(終値!A115="","",IFERROR(4*STDEVP(終値!N115:AG115)/AVERAGE(終値!N115:AG115),""))</f>
        <v>4.5302830805037893E-2</v>
      </c>
      <c r="L115" s="503">
        <f>IF(終値!A115="","",IFERROR(4*STDEVP(終値!O115:AH115)/AVERAGE(終値!O115:AH115),""))</f>
        <v>4.8007298961601386E-2</v>
      </c>
      <c r="M115" s="503">
        <f>IF(終値!A115="","",IFERROR(4*STDEVP(終値!P115:AI115)/AVERAGE(終値!P115:AI115),""))</f>
        <v>4.9544654301257866E-2</v>
      </c>
      <c r="N115" s="503">
        <f>IF(終値!A115="","",IFERROR(4*STDEVP(終値!Q115:AJ115)/AVERAGE(終値!Q115:AJ115),""))</f>
        <v>5.1131020327584542E-2</v>
      </c>
      <c r="O115" s="503">
        <f>IF(終値!A115="","",IFERROR(4*STDEVP(終値!R115:AK115)/AVERAGE(終値!R115:AK115),""))</f>
        <v>5.1770558711027426E-2</v>
      </c>
      <c r="P115" s="503">
        <f>IF(終値!A115="","",IFERROR(4*STDEVP(終値!S115:AL115)/AVERAGE(終値!S115:AL115),""))</f>
        <v>5.3927996055251351E-2</v>
      </c>
      <c r="Q115" s="503">
        <f>IF(終値!A115="","",IFERROR(4*STDEVP(終値!T115:AM115)/AVERAGE(終値!T115:AM115),""))</f>
        <v>4.9547541081567115E-2</v>
      </c>
      <c r="R115" s="503">
        <f>IF(終値!A115="","",IFERROR(4*STDEVP(終値!U115:AN115)/AVERAGE(終値!U115:AN115),""))</f>
        <v>5.0198296106927817E-2</v>
      </c>
      <c r="S115" s="503">
        <f>IF(終値!A115="","",IFERROR(4*STDEVP(終値!V115:AO115)/AVERAGE(終値!V115:AO115),""))</f>
        <v>6.1323488995677571E-2</v>
      </c>
      <c r="T115" s="503">
        <f>IF(終値!A115="","",IFERROR(4*STDEVP(終値!W115:AP115)/AVERAGE(終値!W115:AP115),""))</f>
        <v>6.4881380831176824E-2</v>
      </c>
      <c r="U115" s="503">
        <f>IF(終値!A115="","",IFERROR(4*STDEVP(終値!X115:AQ115)/AVERAGE(終値!X115:AQ115),""))</f>
        <v>6.78004081070257E-2</v>
      </c>
      <c r="V115" s="503">
        <f>IF(終値!A115="","",IFERROR(4*STDEVP(終値!Y115:AR115)/AVERAGE(終値!Y115:AR115),""))</f>
        <v>6.7800165504420792E-2</v>
      </c>
      <c r="W115" s="503">
        <f>IF(終値!A115="","",IFERROR(4*STDEVP(終値!Z115:AS115)/AVERAGE(終値!Z115:AS115),""))</f>
        <v>6.4904135670244806E-2</v>
      </c>
      <c r="X115" s="503">
        <f>IF(終値!A115="","",IFERROR(4*STDEVP(終値!AA115:AT115)/AVERAGE(終値!AA115:AT115),""))</f>
        <v>6.1024662863194107E-2</v>
      </c>
      <c r="Y115" s="503">
        <f>IF(終値!A115="","",IFERROR(4*STDEVP(終値!AB115:AU115)/AVERAGE(終値!AB115:AU115),""))</f>
        <v>5.2568989143298141E-2</v>
      </c>
      <c r="Z115" s="503">
        <f>IF(終値!A115="","",IFERROR(4*STDEVP(終値!AC115:AV115)/AVERAGE(終値!AC115:AV115),""))</f>
        <v>5.6097835808935612E-2</v>
      </c>
      <c r="AA115" s="503">
        <f>IF(終値!A115="","",IFERROR(4*STDEVP(終値!AD115:AW115)/AVERAGE(終値!AD115:AW115),""))</f>
        <v>5.6285486939063788E-2</v>
      </c>
      <c r="AB115" s="503">
        <f>IF(終値!A115="","",IFERROR(4*STDEVP(終値!AE115:AX115)/AVERAGE(終値!AE115:AX115),""))</f>
        <v>6.2987195231184137E-2</v>
      </c>
      <c r="AC115" s="503">
        <f>IF(終値!A115="","",IFERROR(4*STDEVP(終値!AF115:AY115)/AVERAGE(終値!AF115:AY115),""))</f>
        <v>6.25806697389832E-2</v>
      </c>
      <c r="AD115" s="503">
        <f>IF(終値!A115="","",IFERROR(4*STDEVP(終値!AG115:AZ115)/AVERAGE(終値!AG115:AZ115),""))</f>
        <v>6.7843621327984716E-2</v>
      </c>
      <c r="AE115" s="503">
        <f>IF(終値!A115="","",IFERROR(4*STDEVP(終値!AH115:BA115)/AVERAGE(終値!AH115:BA115),""))</f>
        <v>8.1579662392931449E-2</v>
      </c>
      <c r="AF115" s="503">
        <f>IF(終値!A115="","",IFERROR(4*STDEVP(終値!AI115:BB115)/AVERAGE(終値!AI115:BB115),""))</f>
        <v>9.1624681268103192E-2</v>
      </c>
      <c r="AG115" s="503">
        <f>IF(終値!A115="","",IFERROR(4*STDEVP(終値!AJ115:BC115)/AVERAGE(終値!AJ115:BC115),""))</f>
        <v>0.10136667427846849</v>
      </c>
      <c r="AH115" s="503">
        <f>IF(終値!A115="","",IFERROR(4*STDEVP(終値!AK115:BD115)/AVERAGE(終値!AK115:BD115),""))</f>
        <v>0.10125932383323381</v>
      </c>
      <c r="AI115" s="503">
        <f>IF(終値!A115="","",IFERROR(4*STDEVP(終値!AL115:BE115)/AVERAGE(終値!AL115:BE115),""))</f>
        <v>0.10572730719269335</v>
      </c>
      <c r="AJ115" s="503">
        <f>IF(終値!A115="","",IFERROR(4*STDEVP(終値!AM115:BF115)/AVERAGE(終値!AM115:BF115),""))</f>
        <v>0.10604498512288418</v>
      </c>
      <c r="AK115" s="503">
        <f>IF(終値!A115="","",IFERROR(4*STDEVP(終値!AN115:BG115)/AVERAGE(終値!AN115:BG115),""))</f>
        <v>0.10576653091595319</v>
      </c>
      <c r="AL115" s="503">
        <f>IF(終値!A115="","",IFERROR(4*STDEVP(終値!AO115:BH115)/AVERAGE(終値!AO115:BH115),""))</f>
        <v>0.10776030942338533</v>
      </c>
      <c r="AM115" s="503">
        <f>IF(終値!A115="","",IFERROR(4*STDEVP(終値!AP115:BI115)/AVERAGE(終値!AP115:BI115),""))</f>
        <v>0.11352796965753226</v>
      </c>
      <c r="AN115" s="503">
        <f>IF(終値!A115="","",IFERROR(4*STDEVP(終値!AQ115:BJ115)/AVERAGE(終値!AQ115:BJ115),""))</f>
        <v>0.11161357724283959</v>
      </c>
      <c r="AO115" s="503">
        <f>IF(終値!A115="","",IFERROR(4*STDEVP(終値!AR115:BK115)/AVERAGE(終値!AR115:BK115),""))</f>
        <v>0.11582431736714857</v>
      </c>
      <c r="AP115" s="503">
        <f>IF(終値!A115="","",IFERROR(4*STDEVP(終値!AS115:BL115)/AVERAGE(終値!AS115:BL115),""))</f>
        <v>0.10638086778565806</v>
      </c>
    </row>
    <row r="116" spans="1:42">
      <c r="A116" s="500" t="str">
        <f>IF(終値!A116="","",終値!A116)</f>
        <v>9882</v>
      </c>
      <c r="B116" s="503">
        <f>IF(終値!A116="","",IFERROR(4*STDEVP(終値!E116:X116)/AVERAGE(終値!E116:X116),""))</f>
        <v>7.8823573669375507E-2</v>
      </c>
      <c r="C116" s="503">
        <f>IF(終値!A116="","",IFERROR(4*STDEVP(終値!F116:Y116)/AVERAGE(終値!F116:Y116),""))</f>
        <v>6.5349391751451616E-2</v>
      </c>
      <c r="D116" s="503">
        <f>IF(終値!A116="","",IFERROR(4*STDEVP(終値!G116:Z116)/AVERAGE(終値!G116:Z116),""))</f>
        <v>6.0455525796246239E-2</v>
      </c>
      <c r="E116" s="503">
        <f>IF(終値!A116="","",IFERROR(4*STDEVP(終値!H116:AA116)/AVERAGE(終値!H116:AA116),""))</f>
        <v>7.1089355960731349E-2</v>
      </c>
      <c r="F116" s="503">
        <f>IF(終値!A116="","",IFERROR(4*STDEVP(終値!I116:AB116)/AVERAGE(終値!I116:AB116),""))</f>
        <v>7.0357070571898717E-2</v>
      </c>
      <c r="G116" s="503">
        <f>IF(終値!A116="","",IFERROR(4*STDEVP(終値!J116:AC116)/AVERAGE(終値!J116:AC116),""))</f>
        <v>6.274371238027325E-2</v>
      </c>
      <c r="H116" s="503">
        <f>IF(終値!A116="","",IFERROR(4*STDEVP(終値!K116:AD116)/AVERAGE(終値!K116:AD116),""))</f>
        <v>6.2320763866295391E-2</v>
      </c>
      <c r="I116" s="503">
        <f>IF(終値!A116="","",IFERROR(4*STDEVP(終値!L116:AE116)/AVERAGE(終値!L116:AE116),""))</f>
        <v>6.3099558515904902E-2</v>
      </c>
      <c r="J116" s="503">
        <f>IF(終値!A116="","",IFERROR(4*STDEVP(終値!M116:AF116)/AVERAGE(終値!M116:AF116),""))</f>
        <v>6.7211662164970959E-2</v>
      </c>
      <c r="K116" s="503">
        <f>IF(終値!A116="","",IFERROR(4*STDEVP(終値!N116:AG116)/AVERAGE(終値!N116:AG116),""))</f>
        <v>7.1521052133848378E-2</v>
      </c>
      <c r="L116" s="503">
        <f>IF(終値!A116="","",IFERROR(4*STDEVP(終値!O116:AH116)/AVERAGE(終値!O116:AH116),""))</f>
        <v>7.4082225606626917E-2</v>
      </c>
      <c r="M116" s="503">
        <f>IF(終値!A116="","",IFERROR(4*STDEVP(終値!P116:AI116)/AVERAGE(終値!P116:AI116),""))</f>
        <v>7.241419533286389E-2</v>
      </c>
      <c r="N116" s="503">
        <f>IF(終値!A116="","",IFERROR(4*STDEVP(終値!Q116:AJ116)/AVERAGE(終値!Q116:AJ116),""))</f>
        <v>7.3301921409809345E-2</v>
      </c>
      <c r="O116" s="503">
        <f>IF(終値!A116="","",IFERROR(4*STDEVP(終値!R116:AK116)/AVERAGE(終値!R116:AK116),""))</f>
        <v>7.5519096633526808E-2</v>
      </c>
      <c r="P116" s="503">
        <f>IF(終値!A116="","",IFERROR(4*STDEVP(終値!S116:AL116)/AVERAGE(終値!S116:AL116),""))</f>
        <v>7.5241313753924011E-2</v>
      </c>
      <c r="Q116" s="503">
        <f>IF(終値!A116="","",IFERROR(4*STDEVP(終値!T116:AM116)/AVERAGE(終値!T116:AM116),""))</f>
        <v>7.5924411832595323E-2</v>
      </c>
      <c r="R116" s="503">
        <f>IF(終値!A116="","",IFERROR(4*STDEVP(終値!U116:AN116)/AVERAGE(終値!U116:AN116),""))</f>
        <v>7.4237798953032008E-2</v>
      </c>
      <c r="S116" s="503">
        <f>IF(終値!A116="","",IFERROR(4*STDEVP(終値!V116:AO116)/AVERAGE(終値!V116:AO116),""))</f>
        <v>7.0360268332022774E-2</v>
      </c>
      <c r="T116" s="503">
        <f>IF(終値!A116="","",IFERROR(4*STDEVP(終値!W116:AP116)/AVERAGE(終値!W116:AP116),""))</f>
        <v>5.9779258154321224E-2</v>
      </c>
      <c r="U116" s="503">
        <f>IF(終値!A116="","",IFERROR(4*STDEVP(終値!X116:AQ116)/AVERAGE(終値!X116:AQ116),""))</f>
        <v>6.4734953210417903E-2</v>
      </c>
      <c r="V116" s="503">
        <f>IF(終値!A116="","",IFERROR(4*STDEVP(終値!Y116:AR116)/AVERAGE(終値!Y116:AR116),""))</f>
        <v>6.813387231991197E-2</v>
      </c>
      <c r="W116" s="503">
        <f>IF(終値!A116="","",IFERROR(4*STDEVP(終値!Z116:AS116)/AVERAGE(終値!Z116:AS116),""))</f>
        <v>7.8593671294301476E-2</v>
      </c>
      <c r="X116" s="503">
        <f>IF(終値!A116="","",IFERROR(4*STDEVP(終値!AA116:AT116)/AVERAGE(終値!AA116:AT116),""))</f>
        <v>8.0574414958976326E-2</v>
      </c>
      <c r="Y116" s="503">
        <f>IF(終値!A116="","",IFERROR(4*STDEVP(終値!AB116:AU116)/AVERAGE(終値!AB116:AU116),""))</f>
        <v>9.4217188063643653E-2</v>
      </c>
      <c r="Z116" s="503">
        <f>IF(終値!A116="","",IFERROR(4*STDEVP(終値!AC116:AV116)/AVERAGE(終値!AC116:AV116),""))</f>
        <v>9.9043266868606539E-2</v>
      </c>
      <c r="AA116" s="503">
        <f>IF(終値!A116="","",IFERROR(4*STDEVP(終値!AD116:AW116)/AVERAGE(終値!AD116:AW116),""))</f>
        <v>0.10608711292705911</v>
      </c>
      <c r="AB116" s="503">
        <f>IF(終値!A116="","",IFERROR(4*STDEVP(終値!AE116:AX116)/AVERAGE(終値!AE116:AX116),""))</f>
        <v>0.11194952061433605</v>
      </c>
      <c r="AC116" s="503">
        <f>IF(終値!A116="","",IFERROR(4*STDEVP(終値!AF116:AY116)/AVERAGE(終値!AF116:AY116),""))</f>
        <v>0.11705911908339493</v>
      </c>
      <c r="AD116" s="503">
        <f>IF(終値!A116="","",IFERROR(4*STDEVP(終値!AG116:AZ116)/AVERAGE(終値!AG116:AZ116),""))</f>
        <v>0.11925962902769241</v>
      </c>
      <c r="AE116" s="503">
        <f>IF(終値!A116="","",IFERROR(4*STDEVP(終値!AH116:BA116)/AVERAGE(終値!AH116:BA116),""))</f>
        <v>0.12021013489005355</v>
      </c>
      <c r="AF116" s="503">
        <f>IF(終値!A116="","",IFERROR(4*STDEVP(終値!AI116:BB116)/AVERAGE(終値!AI116:BB116),""))</f>
        <v>0.12002986147529576</v>
      </c>
      <c r="AG116" s="503">
        <f>IF(終値!A116="","",IFERROR(4*STDEVP(終値!AJ116:BC116)/AVERAGE(終値!AJ116:BC116),""))</f>
        <v>0.11150321903401969</v>
      </c>
      <c r="AH116" s="503">
        <f>IF(終値!A116="","",IFERROR(4*STDEVP(終値!AK116:BD116)/AVERAGE(終値!AK116:BD116),""))</f>
        <v>0.10787587338013792</v>
      </c>
      <c r="AI116" s="503">
        <f>IF(終値!A116="","",IFERROR(4*STDEVP(終値!AL116:BE116)/AVERAGE(終値!AL116:BE116),""))</f>
        <v>0.10233769374739406</v>
      </c>
      <c r="AJ116" s="503">
        <f>IF(終値!A116="","",IFERROR(4*STDEVP(終値!AM116:BF116)/AVERAGE(終値!AM116:BF116),""))</f>
        <v>9.8413096889280016E-2</v>
      </c>
      <c r="AK116" s="503">
        <f>IF(終値!A116="","",IFERROR(4*STDEVP(終値!AN116:BG116)/AVERAGE(終値!AN116:BG116),""))</f>
        <v>9.1261933644212534E-2</v>
      </c>
      <c r="AL116" s="503">
        <f>IF(終値!A116="","",IFERROR(4*STDEVP(終値!AO116:BH116)/AVERAGE(終値!AO116:BH116),""))</f>
        <v>7.8917510819840844E-2</v>
      </c>
      <c r="AM116" s="503">
        <f>IF(終値!A116="","",IFERROR(4*STDEVP(終値!AP116:BI116)/AVERAGE(終値!AP116:BI116),""))</f>
        <v>6.4329954620014368E-2</v>
      </c>
      <c r="AN116" s="503">
        <f>IF(終値!A116="","",IFERROR(4*STDEVP(終値!AQ116:BJ116)/AVERAGE(終値!AQ116:BJ116),""))</f>
        <v>9.0990212455935512E-2</v>
      </c>
      <c r="AO116" s="503">
        <f>IF(終値!A116="","",IFERROR(4*STDEVP(終値!AR116:BK116)/AVERAGE(終値!AR116:BK116),""))</f>
        <v>0.11050266580362619</v>
      </c>
      <c r="AP116" s="503">
        <f>IF(終値!A116="","",IFERROR(4*STDEVP(終値!AS116:BL116)/AVERAGE(終値!AS116:BL116),""))</f>
        <v>0.12445229241418872</v>
      </c>
    </row>
    <row r="117" spans="1:42">
      <c r="A117" s="500" t="str">
        <f>IF(終値!A117="","",終値!A117)</f>
        <v>5838</v>
      </c>
      <c r="B117" s="503">
        <f>IF(終値!A117="","",IFERROR(4*STDEVP(終値!E117:X117)/AVERAGE(終値!E117:X117),""))</f>
        <v>0.12840692635916087</v>
      </c>
      <c r="C117" s="503">
        <f>IF(終値!A117="","",IFERROR(4*STDEVP(終値!F117:Y117)/AVERAGE(終値!F117:Y117),""))</f>
        <v>0.12875964476313159</v>
      </c>
      <c r="D117" s="503">
        <f>IF(終値!A117="","",IFERROR(4*STDEVP(終値!G117:Z117)/AVERAGE(終値!G117:Z117),""))</f>
        <v>0.1275759174529815</v>
      </c>
      <c r="E117" s="503">
        <f>IF(終値!A117="","",IFERROR(4*STDEVP(終値!H117:AA117)/AVERAGE(終値!H117:AA117),""))</f>
        <v>0.14459081548233699</v>
      </c>
      <c r="F117" s="503">
        <f>IF(終値!A117="","",IFERROR(4*STDEVP(終値!I117:AB117)/AVERAGE(終値!I117:AB117),""))</f>
        <v>0.15209880550952126</v>
      </c>
      <c r="G117" s="503">
        <f>IF(終値!A117="","",IFERROR(4*STDEVP(終値!J117:AC117)/AVERAGE(終値!J117:AC117),""))</f>
        <v>0.16695901241663852</v>
      </c>
      <c r="H117" s="503">
        <f>IF(終値!A117="","",IFERROR(4*STDEVP(終値!K117:AD117)/AVERAGE(終値!K117:AD117),""))</f>
        <v>0.18352973417714563</v>
      </c>
      <c r="I117" s="503">
        <f>IF(終値!A117="","",IFERROR(4*STDEVP(終値!L117:AE117)/AVERAGE(終値!L117:AE117),""))</f>
        <v>0.19795272500676545</v>
      </c>
      <c r="J117" s="503">
        <f>IF(終値!A117="","",IFERROR(4*STDEVP(終値!M117:AF117)/AVERAGE(終値!M117:AF117),""))</f>
        <v>0.21060328535761624</v>
      </c>
      <c r="K117" s="503">
        <f>IF(終値!A117="","",IFERROR(4*STDEVP(終値!N117:AG117)/AVERAGE(終値!N117:AG117),""))</f>
        <v>0.21562300609858859</v>
      </c>
      <c r="L117" s="503">
        <f>IF(終値!A117="","",IFERROR(4*STDEVP(終値!O117:AH117)/AVERAGE(終値!O117:AH117),""))</f>
        <v>0.22321009601659492</v>
      </c>
      <c r="M117" s="503">
        <f>IF(終値!A117="","",IFERROR(4*STDEVP(終値!P117:AI117)/AVERAGE(終値!P117:AI117),""))</f>
        <v>0.22715369004555205</v>
      </c>
      <c r="N117" s="503">
        <f>IF(終値!A117="","",IFERROR(4*STDEVP(終値!Q117:AJ117)/AVERAGE(終値!Q117:AJ117),""))</f>
        <v>0.22603626757017334</v>
      </c>
      <c r="O117" s="503">
        <f>IF(終値!A117="","",IFERROR(4*STDEVP(終値!R117:AK117)/AVERAGE(終値!R117:AK117),""))</f>
        <v>0.22245256012277007</v>
      </c>
      <c r="P117" s="503">
        <f>IF(終値!A117="","",IFERROR(4*STDEVP(終値!S117:AL117)/AVERAGE(終値!S117:AL117),""))</f>
        <v>0.20897750977175306</v>
      </c>
      <c r="Q117" s="503">
        <f>IF(終値!A117="","",IFERROR(4*STDEVP(終値!T117:AM117)/AVERAGE(終値!T117:AM117),""))</f>
        <v>0.19325674542718649</v>
      </c>
      <c r="R117" s="503">
        <f>IF(終値!A117="","",IFERROR(4*STDEVP(終値!U117:AN117)/AVERAGE(終値!U117:AN117),""))</f>
        <v>0.17654687612761094</v>
      </c>
      <c r="S117" s="503">
        <f>IF(終値!A117="","",IFERROR(4*STDEVP(終値!V117:AO117)/AVERAGE(終値!V117:AO117),""))</f>
        <v>0.15912862737419917</v>
      </c>
      <c r="T117" s="503">
        <f>IF(終値!A117="","",IFERROR(4*STDEVP(終値!W117:AP117)/AVERAGE(終値!W117:AP117),""))</f>
        <v>0.14435521721839681</v>
      </c>
      <c r="U117" s="503">
        <f>IF(終値!A117="","",IFERROR(4*STDEVP(終値!X117:AQ117)/AVERAGE(終値!X117:AQ117),""))</f>
        <v>0.12645472464022361</v>
      </c>
      <c r="V117" s="503">
        <f>IF(終値!A117="","",IFERROR(4*STDEVP(終値!Y117:AR117)/AVERAGE(終値!Y117:AR117),""))</f>
        <v>0.11866692672064688</v>
      </c>
      <c r="W117" s="503">
        <f>IF(終値!A117="","",IFERROR(4*STDEVP(終値!Z117:AS117)/AVERAGE(終値!Z117:AS117),""))</f>
        <v>0.10953687830889143</v>
      </c>
      <c r="X117" s="503">
        <f>IF(終値!A117="","",IFERROR(4*STDEVP(終値!AA117:AT117)/AVERAGE(終値!AA117:AT117),""))</f>
        <v>0.10486698374373114</v>
      </c>
      <c r="Y117" s="503">
        <f>IF(終値!A117="","",IFERROR(4*STDEVP(終値!AB117:AU117)/AVERAGE(終値!AB117:AU117),""))</f>
        <v>0.13559195234719243</v>
      </c>
      <c r="Z117" s="503">
        <f>IF(終値!A117="","",IFERROR(4*STDEVP(終値!AC117:AV117)/AVERAGE(終値!AC117:AV117),""))</f>
        <v>0.14891309703737507</v>
      </c>
      <c r="AA117" s="503">
        <f>IF(終値!A117="","",IFERROR(4*STDEVP(終値!AD117:AW117)/AVERAGE(終値!AD117:AW117),""))</f>
        <v>0.15292348465456287</v>
      </c>
      <c r="AB117" s="503">
        <f>IF(終値!A117="","",IFERROR(4*STDEVP(終値!AE117:AX117)/AVERAGE(終値!AE117:AX117),""))</f>
        <v>0.1567022133091017</v>
      </c>
      <c r="AC117" s="503">
        <f>IF(終値!A117="","",IFERROR(4*STDEVP(終値!AF117:AY117)/AVERAGE(終値!AF117:AY117),""))</f>
        <v>0.15783210686867516</v>
      </c>
      <c r="AD117" s="503">
        <f>IF(終値!A117="","",IFERROR(4*STDEVP(終値!AG117:AZ117)/AVERAGE(終値!AG117:AZ117),""))</f>
        <v>0.15987470562531342</v>
      </c>
      <c r="AE117" s="503">
        <f>IF(終値!A117="","",IFERROR(4*STDEVP(終値!AH117:BA117)/AVERAGE(終値!AH117:BA117),""))</f>
        <v>0.18167110962021396</v>
      </c>
      <c r="AF117" s="503">
        <f>IF(終値!A117="","",IFERROR(4*STDEVP(終値!AI117:BB117)/AVERAGE(終値!AI117:BB117),""))</f>
        <v>0.31118462644599965</v>
      </c>
      <c r="AG117" s="503">
        <f>IF(終値!A117="","",IFERROR(4*STDEVP(終値!AJ117:BC117)/AVERAGE(終値!AJ117:BC117),""))</f>
        <v>0.41958263515309135</v>
      </c>
      <c r="AH117" s="503">
        <f>IF(終値!A117="","",IFERROR(4*STDEVP(終値!AK117:BD117)/AVERAGE(終値!AK117:BD117),""))</f>
        <v>0.47956695967596408</v>
      </c>
      <c r="AI117" s="503">
        <f>IF(終値!A117="","",IFERROR(4*STDEVP(終値!AL117:BE117)/AVERAGE(終値!AL117:BE117),""))</f>
        <v>0.49274051566119559</v>
      </c>
      <c r="AJ117" s="503">
        <f>IF(終値!A117="","",IFERROR(4*STDEVP(終値!AM117:BF117)/AVERAGE(終値!AM117:BF117),""))</f>
        <v>0.5054135535811044</v>
      </c>
      <c r="AK117" s="503">
        <f>IF(終値!A117="","",IFERROR(4*STDEVP(終値!AN117:BG117)/AVERAGE(終値!AN117:BG117),""))</f>
        <v>0.51812927679848586</v>
      </c>
      <c r="AL117" s="503">
        <f>IF(終値!A117="","",IFERROR(4*STDEVP(終値!AO117:BH117)/AVERAGE(終値!AO117:BH117),""))</f>
        <v>0.5402089761750648</v>
      </c>
      <c r="AM117" s="503">
        <f>IF(終値!A117="","",IFERROR(4*STDEVP(終値!AP117:BI117)/AVERAGE(終値!AP117:BI117),""))</f>
        <v>0.5485231898352857</v>
      </c>
      <c r="AN117" s="503">
        <f>IF(終値!A117="","",IFERROR(4*STDEVP(終値!AQ117:BJ117)/AVERAGE(終値!AQ117:BJ117),""))</f>
        <v>0.54231864821178033</v>
      </c>
      <c r="AO117" s="503">
        <f>IF(終値!A117="","",IFERROR(4*STDEVP(終値!AR117:BK117)/AVERAGE(終値!AR117:BK117),""))</f>
        <v>0.53541480560216692</v>
      </c>
      <c r="AP117" s="503">
        <f>IF(終値!A117="","",IFERROR(4*STDEVP(終値!AS117:BL117)/AVERAGE(終値!AS117:BL117),""))</f>
        <v>0.52597715341890572</v>
      </c>
    </row>
    <row r="118" spans="1:42">
      <c r="A118" s="500" t="str">
        <f>IF(終値!A118="","",終値!A118)</f>
        <v>5844</v>
      </c>
      <c r="B118" s="503">
        <f>IF(終値!A118="","",IFERROR(4*STDEVP(終値!E118:X118)/AVERAGE(終値!E118:X118),""))</f>
        <v>0.10232725538282635</v>
      </c>
      <c r="C118" s="503">
        <f>IF(終値!A118="","",IFERROR(4*STDEVP(終値!F118:Y118)/AVERAGE(終値!F118:Y118),""))</f>
        <v>0.10298372761042088</v>
      </c>
      <c r="D118" s="503">
        <f>IF(終値!A118="","",IFERROR(4*STDEVP(終値!G118:Z118)/AVERAGE(終値!G118:Z118),""))</f>
        <v>9.9067370163413659E-2</v>
      </c>
      <c r="E118" s="503">
        <f>IF(終値!A118="","",IFERROR(4*STDEVP(終値!H118:AA118)/AVERAGE(終値!H118:AA118),""))</f>
        <v>9.1770067630149679E-2</v>
      </c>
      <c r="F118" s="503">
        <f>IF(終値!A118="","",IFERROR(4*STDEVP(終値!I118:AB118)/AVERAGE(終値!I118:AB118),""))</f>
        <v>9.0376069786241436E-2</v>
      </c>
      <c r="G118" s="503">
        <f>IF(終値!A118="","",IFERROR(4*STDEVP(終値!J118:AC118)/AVERAGE(終値!J118:AC118),""))</f>
        <v>9.149289688243048E-2</v>
      </c>
      <c r="H118" s="503">
        <f>IF(終値!A118="","",IFERROR(4*STDEVP(終値!K118:AD118)/AVERAGE(終値!K118:AD118),""))</f>
        <v>9.6615260298470437E-2</v>
      </c>
      <c r="I118" s="503">
        <f>IF(終値!A118="","",IFERROR(4*STDEVP(終値!L118:AE118)/AVERAGE(終値!L118:AE118),""))</f>
        <v>9.8191042690056116E-2</v>
      </c>
      <c r="J118" s="503">
        <f>IF(終値!A118="","",IFERROR(4*STDEVP(終値!M118:AF118)/AVERAGE(終値!M118:AF118),""))</f>
        <v>9.9714922851488322E-2</v>
      </c>
      <c r="K118" s="503">
        <f>IF(終値!A118="","",IFERROR(4*STDEVP(終値!N118:AG118)/AVERAGE(終値!N118:AG118),""))</f>
        <v>9.9439498572199039E-2</v>
      </c>
      <c r="L118" s="503">
        <f>IF(終値!A118="","",IFERROR(4*STDEVP(終値!O118:AH118)/AVERAGE(終値!O118:AH118),""))</f>
        <v>0.10597096888210195</v>
      </c>
      <c r="M118" s="503">
        <f>IF(終値!A118="","",IFERROR(4*STDEVP(終値!P118:AI118)/AVERAGE(終値!P118:AI118),""))</f>
        <v>0.10365534804359533</v>
      </c>
      <c r="N118" s="503">
        <f>IF(終値!A118="","",IFERROR(4*STDEVP(終値!Q118:AJ118)/AVERAGE(終値!Q118:AJ118),""))</f>
        <v>8.9725195321881862E-2</v>
      </c>
      <c r="O118" s="503">
        <f>IF(終値!A118="","",IFERROR(4*STDEVP(終値!R118:AK118)/AVERAGE(終値!R118:AK118),""))</f>
        <v>8.9920631214915461E-2</v>
      </c>
      <c r="P118" s="503">
        <f>IF(終値!A118="","",IFERROR(4*STDEVP(終値!S118:AL118)/AVERAGE(終値!S118:AL118),""))</f>
        <v>8.9366204339376532E-2</v>
      </c>
      <c r="Q118" s="503">
        <f>IF(終値!A118="","",IFERROR(4*STDEVP(終値!T118:AM118)/AVERAGE(終値!T118:AM118),""))</f>
        <v>9.3433038730742213E-2</v>
      </c>
      <c r="R118" s="503">
        <f>IF(終値!A118="","",IFERROR(4*STDEVP(終値!U118:AN118)/AVERAGE(終値!U118:AN118),""))</f>
        <v>9.9085867808901357E-2</v>
      </c>
      <c r="S118" s="503">
        <f>IF(終値!A118="","",IFERROR(4*STDEVP(終値!V118:AO118)/AVERAGE(終値!V118:AO118),""))</f>
        <v>0.10022065265116518</v>
      </c>
      <c r="T118" s="503">
        <f>IF(終値!A118="","",IFERROR(4*STDEVP(終値!W118:AP118)/AVERAGE(終値!W118:AP118),""))</f>
        <v>9.8183929208762025E-2</v>
      </c>
      <c r="U118" s="503">
        <f>IF(終値!A118="","",IFERROR(4*STDEVP(終値!X118:AQ118)/AVERAGE(終値!X118:AQ118),""))</f>
        <v>9.5269623634773121E-2</v>
      </c>
      <c r="V118" s="503">
        <f>IF(終値!A118="","",IFERROR(4*STDEVP(終値!Y118:AR118)/AVERAGE(終値!Y118:AR118),""))</f>
        <v>8.5511758688450012E-2</v>
      </c>
      <c r="W118" s="503">
        <f>IF(終値!A118="","",IFERROR(4*STDEVP(終値!Z118:AS118)/AVERAGE(終値!Z118:AS118),""))</f>
        <v>8.3478423824349918E-2</v>
      </c>
      <c r="X118" s="503">
        <f>IF(終値!A118="","",IFERROR(4*STDEVP(終値!AA118:AT118)/AVERAGE(終値!AA118:AT118),""))</f>
        <v>9.2329869433407319E-2</v>
      </c>
      <c r="Y118" s="503">
        <f>IF(終値!A118="","",IFERROR(4*STDEVP(終値!AB118:AU118)/AVERAGE(終値!AB118:AU118),""))</f>
        <v>9.8673530899043918E-2</v>
      </c>
      <c r="Z118" s="503">
        <f>IF(終値!A118="","",IFERROR(4*STDEVP(終値!AC118:AV118)/AVERAGE(終値!AC118:AV118),""))</f>
        <v>0.10124034283529304</v>
      </c>
      <c r="AA118" s="503">
        <f>IF(終値!A118="","",IFERROR(4*STDEVP(終値!AD118:AW118)/AVERAGE(終値!AD118:AW118),""))</f>
        <v>0.1038335335486561</v>
      </c>
      <c r="AB118" s="503">
        <f>IF(終値!A118="","",IFERROR(4*STDEVP(終値!AE118:AX118)/AVERAGE(終値!AE118:AX118),""))</f>
        <v>0.10336800644131935</v>
      </c>
      <c r="AC118" s="503">
        <f>IF(終値!A118="","",IFERROR(4*STDEVP(終値!AF118:AY118)/AVERAGE(終値!AF118:AY118),""))</f>
        <v>0.10357287279167401</v>
      </c>
      <c r="AD118" s="503">
        <f>IF(終値!A118="","",IFERROR(4*STDEVP(終値!AG118:AZ118)/AVERAGE(終値!AG118:AZ118),""))</f>
        <v>0.10427738275452367</v>
      </c>
      <c r="AE118" s="503">
        <f>IF(終値!A118="","",IFERROR(4*STDEVP(終値!AH118:BA118)/AVERAGE(終値!AH118:BA118),""))</f>
        <v>0.10297877163694312</v>
      </c>
      <c r="AF118" s="503">
        <f>IF(終値!A118="","",IFERROR(4*STDEVP(終値!AI118:BB118)/AVERAGE(終値!AI118:BB118),""))</f>
        <v>8.8302796071067544E-2</v>
      </c>
      <c r="AG118" s="503">
        <f>IF(終値!A118="","",IFERROR(4*STDEVP(終値!AJ118:BC118)/AVERAGE(終値!AJ118:BC118),""))</f>
        <v>7.8450595540797016E-2</v>
      </c>
      <c r="AH118" s="503">
        <f>IF(終値!A118="","",IFERROR(4*STDEVP(終値!AK118:BD118)/AVERAGE(終値!AK118:BD118),""))</f>
        <v>7.3993254354505461E-2</v>
      </c>
      <c r="AI118" s="503">
        <f>IF(終値!A118="","",IFERROR(4*STDEVP(終値!AL118:BE118)/AVERAGE(終値!AL118:BE118),""))</f>
        <v>7.4104087881360164E-2</v>
      </c>
      <c r="AJ118" s="503">
        <f>IF(終値!A118="","",IFERROR(4*STDEVP(終値!AM118:BF118)/AVERAGE(終値!AM118:BF118),""))</f>
        <v>6.4950369042370226E-2</v>
      </c>
      <c r="AK118" s="503">
        <f>IF(終値!A118="","",IFERROR(4*STDEVP(終値!AN118:BG118)/AVERAGE(終値!AN118:BG118),""))</f>
        <v>6.4622981226230461E-2</v>
      </c>
      <c r="AL118" s="503">
        <f>IF(終値!A118="","",IFERROR(4*STDEVP(終値!AO118:BH118)/AVERAGE(終値!AO118:BH118),""))</f>
        <v>6.5079618630426758E-2</v>
      </c>
      <c r="AM118" s="503">
        <f>IF(終値!A118="","",IFERROR(4*STDEVP(終値!AP118:BI118)/AVERAGE(終値!AP118:BI118),""))</f>
        <v>6.5938120336640149E-2</v>
      </c>
      <c r="AN118" s="503">
        <f>IF(終値!A118="","",IFERROR(4*STDEVP(終値!AQ118:BJ118)/AVERAGE(終値!AQ118:BJ118),""))</f>
        <v>6.6393889402145079E-2</v>
      </c>
      <c r="AO118" s="503">
        <f>IF(終値!A118="","",IFERROR(4*STDEVP(終値!AR118:BK118)/AVERAGE(終値!AR118:BK118),""))</f>
        <v>6.211513667407479E-2</v>
      </c>
      <c r="AP118" s="503">
        <f>IF(終値!A118="","",IFERROR(4*STDEVP(終値!AS118:BL118)/AVERAGE(終値!AS118:BL118),""))</f>
        <v>5.176715880281027E-2</v>
      </c>
    </row>
    <row r="119" spans="1:42">
      <c r="A119" s="500" t="str">
        <f>IF(終値!A119="","",終値!A119)</f>
        <v>9404</v>
      </c>
      <c r="B119" s="503">
        <f>IF(終値!A119="","",IFERROR(4*STDEVP(終値!E119:X119)/AVERAGE(終値!E119:X119),""))</f>
        <v>8.1445337671826115E-2</v>
      </c>
      <c r="C119" s="503">
        <f>IF(終値!A119="","",IFERROR(4*STDEVP(終値!F119:Y119)/AVERAGE(終値!F119:Y119),""))</f>
        <v>7.3485981256741342E-2</v>
      </c>
      <c r="D119" s="503">
        <f>IF(終値!A119="","",IFERROR(4*STDEVP(終値!G119:Z119)/AVERAGE(終値!G119:Z119),""))</f>
        <v>7.4351051737192531E-2</v>
      </c>
      <c r="E119" s="503">
        <f>IF(終値!A119="","",IFERROR(4*STDEVP(終値!H119:AA119)/AVERAGE(終値!H119:AA119),""))</f>
        <v>7.855865499959741E-2</v>
      </c>
      <c r="F119" s="503">
        <f>IF(終値!A119="","",IFERROR(4*STDEVP(終値!I119:AB119)/AVERAGE(終値!I119:AB119),""))</f>
        <v>7.8002543259705612E-2</v>
      </c>
      <c r="G119" s="503">
        <f>IF(終値!A119="","",IFERROR(4*STDEVP(終値!J119:AC119)/AVERAGE(終値!J119:AC119),""))</f>
        <v>7.2511642150069472E-2</v>
      </c>
      <c r="H119" s="503">
        <f>IF(終値!A119="","",IFERROR(4*STDEVP(終値!K119:AD119)/AVERAGE(終値!K119:AD119),""))</f>
        <v>8.035964673379356E-2</v>
      </c>
      <c r="I119" s="503">
        <f>IF(終値!A119="","",IFERROR(4*STDEVP(終値!L119:AE119)/AVERAGE(終値!L119:AE119),""))</f>
        <v>9.1778480001822912E-2</v>
      </c>
      <c r="J119" s="503">
        <f>IF(終値!A119="","",IFERROR(4*STDEVP(終値!M119:AF119)/AVERAGE(終値!M119:AF119),""))</f>
        <v>0.10226058805193312</v>
      </c>
      <c r="K119" s="503">
        <f>IF(終値!A119="","",IFERROR(4*STDEVP(終値!N119:AG119)/AVERAGE(終値!N119:AG119),""))</f>
        <v>0.10667898770934961</v>
      </c>
      <c r="L119" s="503">
        <f>IF(終値!A119="","",IFERROR(4*STDEVP(終値!O119:AH119)/AVERAGE(終値!O119:AH119),""))</f>
        <v>0.10800044459457489</v>
      </c>
      <c r="M119" s="503">
        <f>IF(終値!A119="","",IFERROR(4*STDEVP(終値!P119:AI119)/AVERAGE(終値!P119:AI119),""))</f>
        <v>0.1079859486686882</v>
      </c>
      <c r="N119" s="503">
        <f>IF(終値!A119="","",IFERROR(4*STDEVP(終値!Q119:AJ119)/AVERAGE(終値!Q119:AJ119),""))</f>
        <v>0.1036367958680751</v>
      </c>
      <c r="O119" s="503">
        <f>IF(終値!A119="","",IFERROR(4*STDEVP(終値!R119:AK119)/AVERAGE(終値!R119:AK119),""))</f>
        <v>0.10290372843170854</v>
      </c>
      <c r="P119" s="503">
        <f>IF(終値!A119="","",IFERROR(4*STDEVP(終値!S119:AL119)/AVERAGE(終値!S119:AL119),""))</f>
        <v>0.10311154502881484</v>
      </c>
      <c r="Q119" s="503">
        <f>IF(終値!A119="","",IFERROR(4*STDEVP(終値!T119:AM119)/AVERAGE(終値!T119:AM119),""))</f>
        <v>0.10198444260063197</v>
      </c>
      <c r="R119" s="503">
        <f>IF(終値!A119="","",IFERROR(4*STDEVP(終値!U119:AN119)/AVERAGE(終値!U119:AN119),""))</f>
        <v>0.10021244562321406</v>
      </c>
      <c r="S119" s="503">
        <f>IF(終値!A119="","",IFERROR(4*STDEVP(終値!V119:AO119)/AVERAGE(終値!V119:AO119),""))</f>
        <v>9.7377007621459524E-2</v>
      </c>
      <c r="T119" s="503">
        <f>IF(終値!A119="","",IFERROR(4*STDEVP(終値!W119:AP119)/AVERAGE(終値!W119:AP119),""))</f>
        <v>9.4289115683914196E-2</v>
      </c>
      <c r="U119" s="503">
        <f>IF(終値!A119="","",IFERROR(4*STDEVP(終値!X119:AQ119)/AVERAGE(終値!X119:AQ119),""))</f>
        <v>8.8359493339281323E-2</v>
      </c>
      <c r="V119" s="503">
        <f>IF(終値!A119="","",IFERROR(4*STDEVP(終値!Y119:AR119)/AVERAGE(終値!Y119:AR119),""))</f>
        <v>8.6914032485938708E-2</v>
      </c>
      <c r="W119" s="503">
        <f>IF(終値!A119="","",IFERROR(4*STDEVP(終値!Z119:AS119)/AVERAGE(終値!Z119:AS119),""))</f>
        <v>8.5883325583754944E-2</v>
      </c>
      <c r="X119" s="503">
        <f>IF(終値!A119="","",IFERROR(4*STDEVP(終値!AA119:AT119)/AVERAGE(終値!AA119:AT119),""))</f>
        <v>8.3916381200574278E-2</v>
      </c>
      <c r="Y119" s="503">
        <f>IF(終値!A119="","",IFERROR(4*STDEVP(終値!AB119:AU119)/AVERAGE(終値!AB119:AU119),""))</f>
        <v>8.384368884264673E-2</v>
      </c>
      <c r="Z119" s="503">
        <f>IF(終値!A119="","",IFERROR(4*STDEVP(終値!AC119:AV119)/AVERAGE(終値!AC119:AV119),""))</f>
        <v>8.4346944453820683E-2</v>
      </c>
      <c r="AA119" s="503">
        <f>IF(終値!A119="","",IFERROR(4*STDEVP(終値!AD119:AW119)/AVERAGE(終値!AD119:AW119),""))</f>
        <v>8.2239364723263375E-2</v>
      </c>
      <c r="AB119" s="503">
        <f>IF(終値!A119="","",IFERROR(4*STDEVP(終値!AE119:AX119)/AVERAGE(終値!AE119:AX119),""))</f>
        <v>7.8192911337300844E-2</v>
      </c>
      <c r="AC119" s="503">
        <f>IF(終値!A119="","",IFERROR(4*STDEVP(終値!AF119:AY119)/AVERAGE(終値!AF119:AY119),""))</f>
        <v>6.7348906272286166E-2</v>
      </c>
      <c r="AD119" s="503">
        <f>IF(終値!A119="","",IFERROR(4*STDEVP(終値!AG119:AZ119)/AVERAGE(終値!AG119:AZ119),""))</f>
        <v>6.0349030567045055E-2</v>
      </c>
      <c r="AE119" s="503">
        <f>IF(終値!A119="","",IFERROR(4*STDEVP(終値!AH119:BA119)/AVERAGE(終値!AH119:BA119),""))</f>
        <v>6.1999084634531555E-2</v>
      </c>
      <c r="AF119" s="503">
        <f>IF(終値!A119="","",IFERROR(4*STDEVP(終値!AI119:BB119)/AVERAGE(終値!AI119:BB119),""))</f>
        <v>6.343217019550372E-2</v>
      </c>
      <c r="AG119" s="503">
        <f>IF(終値!A119="","",IFERROR(4*STDEVP(終値!AJ119:BC119)/AVERAGE(終値!AJ119:BC119),""))</f>
        <v>6.4573068287761853E-2</v>
      </c>
      <c r="AH119" s="503">
        <f>IF(終値!A119="","",IFERROR(4*STDEVP(終値!AK119:BD119)/AVERAGE(終値!AK119:BD119),""))</f>
        <v>6.4597778610480147E-2</v>
      </c>
      <c r="AI119" s="503">
        <f>IF(終値!A119="","",IFERROR(4*STDEVP(終値!AL119:BE119)/AVERAGE(終値!AL119:BE119),""))</f>
        <v>6.5769377781566912E-2</v>
      </c>
      <c r="AJ119" s="503">
        <f>IF(終値!A119="","",IFERROR(4*STDEVP(終値!AM119:BF119)/AVERAGE(終値!AM119:BF119),""))</f>
        <v>6.7486210329508925E-2</v>
      </c>
      <c r="AK119" s="503">
        <f>IF(終値!A119="","",IFERROR(4*STDEVP(終値!AN119:BG119)/AVERAGE(終値!AN119:BG119),""))</f>
        <v>7.1090808163105174E-2</v>
      </c>
      <c r="AL119" s="503">
        <f>IF(終値!A119="","",IFERROR(4*STDEVP(終値!AO119:BH119)/AVERAGE(終値!AO119:BH119),""))</f>
        <v>7.15253466369285E-2</v>
      </c>
      <c r="AM119" s="503">
        <f>IF(終値!A119="","",IFERROR(4*STDEVP(終値!AP119:BI119)/AVERAGE(終値!AP119:BI119),""))</f>
        <v>7.3041631152592254E-2</v>
      </c>
      <c r="AN119" s="503">
        <f>IF(終値!A119="","",IFERROR(4*STDEVP(終値!AQ119:BJ119)/AVERAGE(終値!AQ119:BJ119),""))</f>
        <v>7.9091903362687691E-2</v>
      </c>
      <c r="AO119" s="503">
        <f>IF(終値!A119="","",IFERROR(4*STDEVP(終値!AR119:BK119)/AVERAGE(終値!AR119:BK119),""))</f>
        <v>8.3086573971429364E-2</v>
      </c>
      <c r="AP119" s="503">
        <f>IF(終値!A119="","",IFERROR(4*STDEVP(終値!AS119:BL119)/AVERAGE(終値!AS119:BL119),""))</f>
        <v>8.6884800560287259E-2</v>
      </c>
    </row>
    <row r="120" spans="1:42">
      <c r="A120" s="500" t="str">
        <f>IF(終値!A120="","",終値!A120)</f>
        <v>6744</v>
      </c>
      <c r="B120" s="503">
        <f>IF(終値!A120="","",IFERROR(4*STDEVP(終値!E120:X120)/AVERAGE(終値!E120:X120),""))</f>
        <v>7.7930608652394567E-2</v>
      </c>
      <c r="C120" s="503">
        <f>IF(終値!A120="","",IFERROR(4*STDEVP(終値!F120:Y120)/AVERAGE(終値!F120:Y120),""))</f>
        <v>7.1847000152929941E-2</v>
      </c>
      <c r="D120" s="503">
        <f>IF(終値!A120="","",IFERROR(4*STDEVP(終値!G120:Z120)/AVERAGE(終値!G120:Z120),""))</f>
        <v>7.3924053429030204E-2</v>
      </c>
      <c r="E120" s="503">
        <f>IF(終値!A120="","",IFERROR(4*STDEVP(終値!H120:AA120)/AVERAGE(終値!H120:AA120),""))</f>
        <v>8.0244271510335058E-2</v>
      </c>
      <c r="F120" s="503">
        <f>IF(終値!A120="","",IFERROR(4*STDEVP(終値!I120:AB120)/AVERAGE(終値!I120:AB120),""))</f>
        <v>9.0561406035069583E-2</v>
      </c>
      <c r="G120" s="503">
        <f>IF(終値!A120="","",IFERROR(4*STDEVP(終値!J120:AC120)/AVERAGE(終値!J120:AC120),""))</f>
        <v>9.185915992384619E-2</v>
      </c>
      <c r="H120" s="503">
        <f>IF(終値!A120="","",IFERROR(4*STDEVP(終値!K120:AD120)/AVERAGE(終値!K120:AD120),""))</f>
        <v>9.2714771594525264E-2</v>
      </c>
      <c r="I120" s="503">
        <f>IF(終値!A120="","",IFERROR(4*STDEVP(終値!L120:AE120)/AVERAGE(終値!L120:AE120),""))</f>
        <v>9.0865320884938997E-2</v>
      </c>
      <c r="J120" s="503">
        <f>IF(終値!A120="","",IFERROR(4*STDEVP(終値!M120:AF120)/AVERAGE(終値!M120:AF120),""))</f>
        <v>8.9960862245052564E-2</v>
      </c>
      <c r="K120" s="503">
        <f>IF(終値!A120="","",IFERROR(4*STDEVP(終値!N120:AG120)/AVERAGE(終値!N120:AG120),""))</f>
        <v>9.1463544804720825E-2</v>
      </c>
      <c r="L120" s="503">
        <f>IF(終値!A120="","",IFERROR(4*STDEVP(終値!O120:AH120)/AVERAGE(終値!O120:AH120),""))</f>
        <v>9.1421203800759993E-2</v>
      </c>
      <c r="M120" s="503">
        <f>IF(終値!A120="","",IFERROR(4*STDEVP(終値!P120:AI120)/AVERAGE(終値!P120:AI120),""))</f>
        <v>9.1183378178667021E-2</v>
      </c>
      <c r="N120" s="503">
        <f>IF(終値!A120="","",IFERROR(4*STDEVP(終値!Q120:AJ120)/AVERAGE(終値!Q120:AJ120),""))</f>
        <v>9.0809130166587926E-2</v>
      </c>
      <c r="O120" s="503">
        <f>IF(終値!A120="","",IFERROR(4*STDEVP(終値!R120:AK120)/AVERAGE(終値!R120:AK120),""))</f>
        <v>8.834383519327807E-2</v>
      </c>
      <c r="P120" s="503">
        <f>IF(終値!A120="","",IFERROR(4*STDEVP(終値!S120:AL120)/AVERAGE(終値!S120:AL120),""))</f>
        <v>8.8695595280094533E-2</v>
      </c>
      <c r="Q120" s="503">
        <f>IF(終値!A120="","",IFERROR(4*STDEVP(終値!T120:AM120)/AVERAGE(終値!T120:AM120),""))</f>
        <v>8.8840677096003018E-2</v>
      </c>
      <c r="R120" s="503">
        <f>IF(終値!A120="","",IFERROR(4*STDEVP(終値!U120:AN120)/AVERAGE(終値!U120:AN120),""))</f>
        <v>8.7531206289894165E-2</v>
      </c>
      <c r="S120" s="503">
        <f>IF(終値!A120="","",IFERROR(4*STDEVP(終値!V120:AO120)/AVERAGE(終値!V120:AO120),""))</f>
        <v>8.5184890495891188E-2</v>
      </c>
      <c r="T120" s="503">
        <f>IF(終値!A120="","",IFERROR(4*STDEVP(終値!W120:AP120)/AVERAGE(終値!W120:AP120),""))</f>
        <v>8.4984518147247695E-2</v>
      </c>
      <c r="U120" s="503">
        <f>IF(終値!A120="","",IFERROR(4*STDEVP(終値!X120:AQ120)/AVERAGE(終値!X120:AQ120),""))</f>
        <v>8.0774979921555232E-2</v>
      </c>
      <c r="V120" s="503">
        <f>IF(終値!A120="","",IFERROR(4*STDEVP(終値!Y120:AR120)/AVERAGE(終値!Y120:AR120),""))</f>
        <v>9.1482845381401362E-2</v>
      </c>
      <c r="W120" s="503">
        <f>IF(終値!A120="","",IFERROR(4*STDEVP(終値!Z120:AS120)/AVERAGE(終値!Z120:AS120),""))</f>
        <v>0.10657801318655019</v>
      </c>
      <c r="X120" s="503">
        <f>IF(終値!A120="","",IFERROR(4*STDEVP(終値!AA120:AT120)/AVERAGE(終値!AA120:AT120),""))</f>
        <v>0.123647853689221</v>
      </c>
      <c r="Y120" s="503">
        <f>IF(終値!A120="","",IFERROR(4*STDEVP(終値!AB120:AU120)/AVERAGE(終値!AB120:AU120),""))</f>
        <v>0.14474102570524841</v>
      </c>
      <c r="Z120" s="503">
        <f>IF(終値!A120="","",IFERROR(4*STDEVP(終値!AC120:AV120)/AVERAGE(終値!AC120:AV120),""))</f>
        <v>0.19098033659462088</v>
      </c>
      <c r="AA120" s="503">
        <f>IF(終値!A120="","",IFERROR(4*STDEVP(終値!AD120:AW120)/AVERAGE(終値!AD120:AW120),""))</f>
        <v>0.21042534692342574</v>
      </c>
      <c r="AB120" s="503">
        <f>IF(終値!A120="","",IFERROR(4*STDEVP(終値!AE120:AX120)/AVERAGE(終値!AE120:AX120),""))</f>
        <v>0.22089947255397213</v>
      </c>
      <c r="AC120" s="503">
        <f>IF(終値!A120="","",IFERROR(4*STDEVP(終値!AF120:AY120)/AVERAGE(終値!AF120:AY120),""))</f>
        <v>0.22429939238707911</v>
      </c>
      <c r="AD120" s="503">
        <f>IF(終値!A120="","",IFERROR(4*STDEVP(終値!AG120:AZ120)/AVERAGE(終値!AG120:AZ120),""))</f>
        <v>0.22244273698385111</v>
      </c>
      <c r="AE120" s="503">
        <f>IF(終値!A120="","",IFERROR(4*STDEVP(終値!AH120:BA120)/AVERAGE(終値!AH120:BA120),""))</f>
        <v>0.21890364495115694</v>
      </c>
      <c r="AF120" s="503">
        <f>IF(終値!A120="","",IFERROR(4*STDEVP(終値!AI120:BB120)/AVERAGE(終値!AI120:BB120),""))</f>
        <v>0.21318842456854051</v>
      </c>
      <c r="AG120" s="503">
        <f>IF(終値!A120="","",IFERROR(4*STDEVP(終値!AJ120:BC120)/AVERAGE(終値!AJ120:BC120),""))</f>
        <v>0.20921596572376658</v>
      </c>
      <c r="AH120" s="503">
        <f>IF(終値!A120="","",IFERROR(4*STDEVP(終値!AK120:BD120)/AVERAGE(終値!AK120:BD120),""))</f>
        <v>0.20351642211338408</v>
      </c>
      <c r="AI120" s="503">
        <f>IF(終値!A120="","",IFERROR(4*STDEVP(終値!AL120:BE120)/AVERAGE(終値!AL120:BE120),""))</f>
        <v>0.19158123280352371</v>
      </c>
      <c r="AJ120" s="503">
        <f>IF(終値!A120="","",IFERROR(4*STDEVP(終値!AM120:BF120)/AVERAGE(終値!AM120:BF120),""))</f>
        <v>0.17682242177778959</v>
      </c>
      <c r="AK120" s="503">
        <f>IF(終値!A120="","",IFERROR(4*STDEVP(終値!AN120:BG120)/AVERAGE(終値!AN120:BG120),""))</f>
        <v>0.16967169213089908</v>
      </c>
      <c r="AL120" s="503">
        <f>IF(終値!A120="","",IFERROR(4*STDEVP(終値!AO120:BH120)/AVERAGE(終値!AO120:BH120),""))</f>
        <v>0.1596794756603114</v>
      </c>
      <c r="AM120" s="503">
        <f>IF(終値!A120="","",IFERROR(4*STDEVP(終値!AP120:BI120)/AVERAGE(終値!AP120:BI120),""))</f>
        <v>0.14909814955921574</v>
      </c>
      <c r="AN120" s="503">
        <f>IF(終値!A120="","",IFERROR(4*STDEVP(終値!AQ120:BJ120)/AVERAGE(終値!AQ120:BJ120),""))</f>
        <v>0.14458522018242992</v>
      </c>
      <c r="AO120" s="503">
        <f>IF(終値!A120="","",IFERROR(4*STDEVP(終値!AR120:BK120)/AVERAGE(終値!AR120:BK120),""))</f>
        <v>0.14820362131448958</v>
      </c>
      <c r="AP120" s="503">
        <f>IF(終値!A120="","",IFERROR(4*STDEVP(終値!AS120:BL120)/AVERAGE(終値!AS120:BL120),""))</f>
        <v>0.16350702231951819</v>
      </c>
    </row>
    <row r="121" spans="1:42">
      <c r="A121" s="500" t="str">
        <f>IF(終値!A121="","",終値!A121)</f>
        <v>7685</v>
      </c>
      <c r="B121" s="503">
        <f>IF(終値!A121="","",IFERROR(4*STDEVP(終値!E121:X121)/AVERAGE(終値!E121:X121),""))</f>
        <v>0.30591718945617474</v>
      </c>
      <c r="C121" s="503">
        <f>IF(終値!A121="","",IFERROR(4*STDEVP(終値!F121:Y121)/AVERAGE(終値!F121:Y121),""))</f>
        <v>0.29823130854585245</v>
      </c>
      <c r="D121" s="503">
        <f>IF(終値!A121="","",IFERROR(4*STDEVP(終値!G121:Z121)/AVERAGE(終値!G121:Z121),""))</f>
        <v>0.2780998720165575</v>
      </c>
      <c r="E121" s="503">
        <f>IF(終値!A121="","",IFERROR(4*STDEVP(終値!H121:AA121)/AVERAGE(終値!H121:AA121),""))</f>
        <v>0.25706370494072739</v>
      </c>
      <c r="F121" s="503">
        <f>IF(終値!A121="","",IFERROR(4*STDEVP(終値!I121:AB121)/AVERAGE(終値!I121:AB121),""))</f>
        <v>0.22835288889964853</v>
      </c>
      <c r="G121" s="503">
        <f>IF(終値!A121="","",IFERROR(4*STDEVP(終値!J121:AC121)/AVERAGE(終値!J121:AC121),""))</f>
        <v>0.20570097836498349</v>
      </c>
      <c r="H121" s="503">
        <f>IF(終値!A121="","",IFERROR(4*STDEVP(終値!K121:AD121)/AVERAGE(終値!K121:AD121),""))</f>
        <v>0.18536923119170787</v>
      </c>
      <c r="I121" s="503">
        <f>IF(終値!A121="","",IFERROR(4*STDEVP(終値!L121:AE121)/AVERAGE(終値!L121:AE121),""))</f>
        <v>0.15978462878683086</v>
      </c>
      <c r="J121" s="503">
        <f>IF(終値!A121="","",IFERROR(4*STDEVP(終値!M121:AF121)/AVERAGE(終値!M121:AF121),""))</f>
        <v>0.1595049619729606</v>
      </c>
      <c r="K121" s="503">
        <f>IF(終値!A121="","",IFERROR(4*STDEVP(終値!N121:AG121)/AVERAGE(終値!N121:AG121),""))</f>
        <v>0.14136911128867324</v>
      </c>
      <c r="L121" s="503">
        <f>IF(終値!A121="","",IFERROR(4*STDEVP(終値!O121:AH121)/AVERAGE(終値!O121:AH121),""))</f>
        <v>0.1244088509848179</v>
      </c>
      <c r="M121" s="503">
        <f>IF(終値!A121="","",IFERROR(4*STDEVP(終値!P121:AI121)/AVERAGE(終値!P121:AI121),""))</f>
        <v>0.11986783597687657</v>
      </c>
      <c r="N121" s="503">
        <f>IF(終値!A121="","",IFERROR(4*STDEVP(終値!Q121:AJ121)/AVERAGE(終値!Q121:AJ121),""))</f>
        <v>0.11914236765660549</v>
      </c>
      <c r="O121" s="503">
        <f>IF(終値!A121="","",IFERROR(4*STDEVP(終値!R121:AK121)/AVERAGE(終値!R121:AK121),""))</f>
        <v>0.11966517566661655</v>
      </c>
      <c r="P121" s="503">
        <f>IF(終値!A121="","",IFERROR(4*STDEVP(終値!S121:AL121)/AVERAGE(終値!S121:AL121),""))</f>
        <v>0.12421505963270306</v>
      </c>
      <c r="Q121" s="503">
        <f>IF(終値!A121="","",IFERROR(4*STDEVP(終値!T121:AM121)/AVERAGE(終値!T121:AM121),""))</f>
        <v>0.1240259998438443</v>
      </c>
      <c r="R121" s="503">
        <f>IF(終値!A121="","",IFERROR(4*STDEVP(終値!U121:AN121)/AVERAGE(終値!U121:AN121),""))</f>
        <v>0.13921483035356483</v>
      </c>
      <c r="S121" s="503">
        <f>IF(終値!A121="","",IFERROR(4*STDEVP(終値!V121:AO121)/AVERAGE(終値!V121:AO121),""))</f>
        <v>0.16005808283699113</v>
      </c>
      <c r="T121" s="503">
        <f>IF(終値!A121="","",IFERROR(4*STDEVP(終値!W121:AP121)/AVERAGE(終値!W121:AP121),""))</f>
        <v>0.17283038574018356</v>
      </c>
      <c r="U121" s="503">
        <f>IF(終値!A121="","",IFERROR(4*STDEVP(終値!X121:AQ121)/AVERAGE(終値!X121:AQ121),""))</f>
        <v>0.172983020855633</v>
      </c>
      <c r="V121" s="503">
        <f>IF(終値!A121="","",IFERROR(4*STDEVP(終値!Y121:AR121)/AVERAGE(終値!Y121:AR121),""))</f>
        <v>0.17863325767175592</v>
      </c>
      <c r="W121" s="503">
        <f>IF(終値!A121="","",IFERROR(4*STDEVP(終値!Z121:AS121)/AVERAGE(終値!Z121:AS121),""))</f>
        <v>0.1816552813577485</v>
      </c>
      <c r="X121" s="503">
        <f>IF(終値!A121="","",IFERROR(4*STDEVP(終値!AA121:AT121)/AVERAGE(終値!AA121:AT121),""))</f>
        <v>0.19133924940900163</v>
      </c>
      <c r="Y121" s="503">
        <f>IF(終値!A121="","",IFERROR(4*STDEVP(終値!AB121:AU121)/AVERAGE(終値!AB121:AU121),""))</f>
        <v>0.19177838505086781</v>
      </c>
      <c r="Z121" s="503">
        <f>IF(終値!A121="","",IFERROR(4*STDEVP(終値!AC121:AV121)/AVERAGE(終値!AC121:AV121),""))</f>
        <v>0.20469703624173086</v>
      </c>
      <c r="AA121" s="503">
        <f>IF(終値!A121="","",IFERROR(4*STDEVP(終値!AD121:AW121)/AVERAGE(終値!AD121:AW121),""))</f>
        <v>0.20383048092604661</v>
      </c>
      <c r="AB121" s="503">
        <f>IF(終値!A121="","",IFERROR(4*STDEVP(終値!AE121:AX121)/AVERAGE(終値!AE121:AX121),""))</f>
        <v>0.19577311018594812</v>
      </c>
      <c r="AC121" s="503">
        <f>IF(終値!A121="","",IFERROR(4*STDEVP(終値!AF121:AY121)/AVERAGE(終値!AF121:AY121),""))</f>
        <v>0.1880555254428819</v>
      </c>
      <c r="AD121" s="503">
        <f>IF(終値!A121="","",IFERROR(4*STDEVP(終値!AG121:AZ121)/AVERAGE(終値!AG121:AZ121),""))</f>
        <v>0.18422721054289776</v>
      </c>
      <c r="AE121" s="503">
        <f>IF(終値!A121="","",IFERROR(4*STDEVP(終値!AH121:BA121)/AVERAGE(終値!AH121:BA121),""))</f>
        <v>0.18315003752257714</v>
      </c>
      <c r="AF121" s="503">
        <f>IF(終値!A121="","",IFERROR(4*STDEVP(終値!AI121:BB121)/AVERAGE(終値!AI121:BB121),""))</f>
        <v>0.17013756521643941</v>
      </c>
      <c r="AG121" s="503">
        <f>IF(終値!A121="","",IFERROR(4*STDEVP(終値!AJ121:BC121)/AVERAGE(終値!AJ121:BC121),""))</f>
        <v>0.15212233820369225</v>
      </c>
      <c r="AH121" s="503">
        <f>IF(終値!A121="","",IFERROR(4*STDEVP(終値!AK121:BD121)/AVERAGE(終値!AK121:BD121),""))</f>
        <v>0.17617825329013104</v>
      </c>
      <c r="AI121" s="503">
        <f>IF(終値!A121="","",IFERROR(4*STDEVP(終値!AL121:BE121)/AVERAGE(終値!AL121:BE121),""))</f>
        <v>0.18717144806506827</v>
      </c>
      <c r="AJ121" s="503">
        <f>IF(終値!A121="","",IFERROR(4*STDEVP(終値!AM121:BF121)/AVERAGE(終値!AM121:BF121),""))</f>
        <v>0.19920680641755367</v>
      </c>
      <c r="AK121" s="503">
        <f>IF(終値!A121="","",IFERROR(4*STDEVP(終値!AN121:BG121)/AVERAGE(終値!AN121:BG121),""))</f>
        <v>0.21941222662574963</v>
      </c>
      <c r="AL121" s="503">
        <f>IF(終値!A121="","",IFERROR(4*STDEVP(終値!AO121:BH121)/AVERAGE(終値!AO121:BH121),""))</f>
        <v>0.25696459818341649</v>
      </c>
      <c r="AM121" s="503">
        <f>IF(終値!A121="","",IFERROR(4*STDEVP(終値!AP121:BI121)/AVERAGE(終値!AP121:BI121),""))</f>
        <v>0.27018594302996962</v>
      </c>
      <c r="AN121" s="503">
        <f>IF(終値!A121="","",IFERROR(4*STDEVP(終値!AQ121:BJ121)/AVERAGE(終値!AQ121:BJ121),""))</f>
        <v>0.28559785205347749</v>
      </c>
      <c r="AO121" s="503">
        <f>IF(終値!A121="","",IFERROR(4*STDEVP(終値!AR121:BK121)/AVERAGE(終値!AR121:BK121),""))</f>
        <v>0.30630483448438489</v>
      </c>
      <c r="AP121" s="503">
        <f>IF(終値!A121="","",IFERROR(4*STDEVP(終値!AS121:BL121)/AVERAGE(終値!AS121:BL121),""))</f>
        <v>0.32768475795282859</v>
      </c>
    </row>
    <row r="122" spans="1:42">
      <c r="A122" s="500" t="str">
        <f>IF(終値!A122="","",終値!A122)</f>
        <v>8334</v>
      </c>
      <c r="B122" s="503">
        <f>IF(終値!A122="","",IFERROR(4*STDEVP(終値!E122:X122)/AVERAGE(終値!E122:X122),""))</f>
        <v>9.2403647229941002E-2</v>
      </c>
      <c r="C122" s="503">
        <f>IF(終値!A122="","",IFERROR(4*STDEVP(終値!F122:Y122)/AVERAGE(終値!F122:Y122),""))</f>
        <v>9.9827019485447241E-2</v>
      </c>
      <c r="D122" s="503">
        <f>IF(終値!A122="","",IFERROR(4*STDEVP(終値!G122:Z122)/AVERAGE(終値!G122:Z122),""))</f>
        <v>0.10873359095726488</v>
      </c>
      <c r="E122" s="503">
        <f>IF(終値!A122="","",IFERROR(4*STDEVP(終値!H122:AA122)/AVERAGE(終値!H122:AA122),""))</f>
        <v>0.12277148154262414</v>
      </c>
      <c r="F122" s="503">
        <f>IF(終値!A122="","",IFERROR(4*STDEVP(終値!I122:AB122)/AVERAGE(終値!I122:AB122),""))</f>
        <v>0.13627985702420442</v>
      </c>
      <c r="G122" s="503">
        <f>IF(終値!A122="","",IFERROR(4*STDEVP(終値!J122:AC122)/AVERAGE(終値!J122:AC122),""))</f>
        <v>0.14837939235402717</v>
      </c>
      <c r="H122" s="503">
        <f>IF(終値!A122="","",IFERROR(4*STDEVP(終値!K122:AD122)/AVERAGE(終値!K122:AD122),""))</f>
        <v>0.15708908083946449</v>
      </c>
      <c r="I122" s="503">
        <f>IF(終値!A122="","",IFERROR(4*STDEVP(終値!L122:AE122)/AVERAGE(終値!L122:AE122),""))</f>
        <v>0.15518863263562996</v>
      </c>
      <c r="J122" s="503">
        <f>IF(終値!A122="","",IFERROR(4*STDEVP(終値!M122:AF122)/AVERAGE(終値!M122:AF122),""))</f>
        <v>0.15936457881469612</v>
      </c>
      <c r="K122" s="503">
        <f>IF(終値!A122="","",IFERROR(4*STDEVP(終値!N122:AG122)/AVERAGE(終値!N122:AG122),""))</f>
        <v>0.15919030818746971</v>
      </c>
      <c r="L122" s="503">
        <f>IF(終値!A122="","",IFERROR(4*STDEVP(終値!O122:AH122)/AVERAGE(終値!O122:AH122),""))</f>
        <v>0.15402518716167191</v>
      </c>
      <c r="M122" s="503">
        <f>IF(終値!A122="","",IFERROR(4*STDEVP(終値!P122:AI122)/AVERAGE(終値!P122:AI122),""))</f>
        <v>0.15414070683955586</v>
      </c>
      <c r="N122" s="503">
        <f>IF(終値!A122="","",IFERROR(4*STDEVP(終値!Q122:AJ122)/AVERAGE(終値!Q122:AJ122),""))</f>
        <v>0.15718963193448449</v>
      </c>
      <c r="O122" s="503">
        <f>IF(終値!A122="","",IFERROR(4*STDEVP(終値!R122:AK122)/AVERAGE(終値!R122:AK122),""))</f>
        <v>0.14025249001561094</v>
      </c>
      <c r="P122" s="503">
        <f>IF(終値!A122="","",IFERROR(4*STDEVP(終値!S122:AL122)/AVERAGE(終値!S122:AL122),""))</f>
        <v>0.12639275733370162</v>
      </c>
      <c r="Q122" s="503">
        <f>IF(終値!A122="","",IFERROR(4*STDEVP(終値!T122:AM122)/AVERAGE(終値!T122:AM122),""))</f>
        <v>0.11661179016690287</v>
      </c>
      <c r="R122" s="503">
        <f>IF(終値!A122="","",IFERROR(4*STDEVP(終値!U122:AN122)/AVERAGE(終値!U122:AN122),""))</f>
        <v>0.10826883302107006</v>
      </c>
      <c r="S122" s="503">
        <f>IF(終値!A122="","",IFERROR(4*STDEVP(終値!V122:AO122)/AVERAGE(終値!V122:AO122),""))</f>
        <v>0.10029830881492369</v>
      </c>
      <c r="T122" s="503">
        <f>IF(終値!A122="","",IFERROR(4*STDEVP(終値!W122:AP122)/AVERAGE(終値!W122:AP122),""))</f>
        <v>8.3655444912580562E-2</v>
      </c>
      <c r="U122" s="503">
        <f>IF(終値!A122="","",IFERROR(4*STDEVP(終値!X122:AQ122)/AVERAGE(終値!X122:AQ122),""))</f>
        <v>8.2278697952414548E-2</v>
      </c>
      <c r="V122" s="503">
        <f>IF(終値!A122="","",IFERROR(4*STDEVP(終値!Y122:AR122)/AVERAGE(終値!Y122:AR122),""))</f>
        <v>6.6240843150951342E-2</v>
      </c>
      <c r="W122" s="503">
        <f>IF(終値!A122="","",IFERROR(4*STDEVP(終値!Z122:AS122)/AVERAGE(終値!Z122:AS122),""))</f>
        <v>6.7200680385927442E-2</v>
      </c>
      <c r="X122" s="503">
        <f>IF(終値!A122="","",IFERROR(4*STDEVP(終値!AA122:AT122)/AVERAGE(終値!AA122:AT122),""))</f>
        <v>7.2627211479297973E-2</v>
      </c>
      <c r="Y122" s="503">
        <f>IF(終値!A122="","",IFERROR(4*STDEVP(終値!AB122:AU122)/AVERAGE(終値!AB122:AU122),""))</f>
        <v>8.7883501385916912E-2</v>
      </c>
      <c r="Z122" s="503">
        <f>IF(終値!A122="","",IFERROR(4*STDEVP(終値!AC122:AV122)/AVERAGE(終値!AC122:AV122),""))</f>
        <v>8.7436242635019645E-2</v>
      </c>
      <c r="AA122" s="503">
        <f>IF(終値!A122="","",IFERROR(4*STDEVP(終値!AD122:AW122)/AVERAGE(終値!AD122:AW122),""))</f>
        <v>8.8482163460656738E-2</v>
      </c>
      <c r="AB122" s="503">
        <f>IF(終値!A122="","",IFERROR(4*STDEVP(終値!AE122:AX122)/AVERAGE(終値!AE122:AX122),""))</f>
        <v>8.7106611118916544E-2</v>
      </c>
      <c r="AC122" s="503">
        <f>IF(終値!A122="","",IFERROR(4*STDEVP(終値!AF122:AY122)/AVERAGE(終値!AF122:AY122),""))</f>
        <v>8.6517713577989264E-2</v>
      </c>
      <c r="AD122" s="503">
        <f>IF(終値!A122="","",IFERROR(4*STDEVP(終値!AG122:AZ122)/AVERAGE(終値!AG122:AZ122),""))</f>
        <v>8.7233552522611488E-2</v>
      </c>
      <c r="AE122" s="503">
        <f>IF(終値!A122="","",IFERROR(4*STDEVP(終値!AH122:BA122)/AVERAGE(終値!AH122:BA122),""))</f>
        <v>8.976137157617306E-2</v>
      </c>
      <c r="AF122" s="503">
        <f>IF(終値!A122="","",IFERROR(4*STDEVP(終値!AI122:BB122)/AVERAGE(終値!AI122:BB122),""))</f>
        <v>8.8302654453568219E-2</v>
      </c>
      <c r="AG122" s="503">
        <f>IF(終値!A122="","",IFERROR(4*STDEVP(終値!AJ122:BC122)/AVERAGE(終値!AJ122:BC122),""))</f>
        <v>8.7634058355198344E-2</v>
      </c>
      <c r="AH122" s="503">
        <f>IF(終値!A122="","",IFERROR(4*STDEVP(終値!AK122:BD122)/AVERAGE(終値!AK122:BD122),""))</f>
        <v>8.7586221499471914E-2</v>
      </c>
      <c r="AI122" s="503">
        <f>IF(終値!A122="","",IFERROR(4*STDEVP(終値!AL122:BE122)/AVERAGE(終値!AL122:BE122),""))</f>
        <v>8.8993967031945675E-2</v>
      </c>
      <c r="AJ122" s="503">
        <f>IF(終値!A122="","",IFERROR(4*STDEVP(終値!AM122:BF122)/AVERAGE(終値!AM122:BF122),""))</f>
        <v>9.3847181016006198E-2</v>
      </c>
      <c r="AK122" s="503">
        <f>IF(終値!A122="","",IFERROR(4*STDEVP(終値!AN122:BG122)/AVERAGE(終値!AN122:BG122),""))</f>
        <v>9.1634682967913661E-2</v>
      </c>
      <c r="AL122" s="503">
        <f>IF(終値!A122="","",IFERROR(4*STDEVP(終値!AO122:BH122)/AVERAGE(終値!AO122:BH122),""))</f>
        <v>9.1814857094582453E-2</v>
      </c>
      <c r="AM122" s="503">
        <f>IF(終値!A122="","",IFERROR(4*STDEVP(終値!AP122:BI122)/AVERAGE(終値!AP122:BI122),""))</f>
        <v>9.0802256609009049E-2</v>
      </c>
      <c r="AN122" s="503">
        <f>IF(終値!A122="","",IFERROR(4*STDEVP(終値!AQ122:BJ122)/AVERAGE(終値!AQ122:BJ122),""))</f>
        <v>9.2743521934433873E-2</v>
      </c>
      <c r="AO122" s="503">
        <f>IF(終値!A122="","",IFERROR(4*STDEVP(終値!AR122:BK122)/AVERAGE(終値!AR122:BK122),""))</f>
        <v>9.2829994307265781E-2</v>
      </c>
      <c r="AP122" s="503">
        <f>IF(終値!A122="","",IFERROR(4*STDEVP(終値!AS122:BL122)/AVERAGE(終値!AS122:BL122),""))</f>
        <v>9.7839166499479602E-2</v>
      </c>
    </row>
    <row r="123" spans="1:42">
      <c r="A123" s="500" t="str">
        <f>IF(終値!A123="","",終値!A123)</f>
        <v>8359</v>
      </c>
      <c r="B123" s="503">
        <f>IF(終値!A123="","",IFERROR(4*STDEVP(終値!E123:X123)/AVERAGE(終値!E123:X123),""))</f>
        <v>9.9241687827332642E-2</v>
      </c>
      <c r="C123" s="503">
        <f>IF(終値!A123="","",IFERROR(4*STDEVP(終値!F123:Y123)/AVERAGE(終値!F123:Y123),""))</f>
        <v>9.5975689541328152E-2</v>
      </c>
      <c r="D123" s="503">
        <f>IF(終値!A123="","",IFERROR(4*STDEVP(終値!G123:Z123)/AVERAGE(終値!G123:Z123),""))</f>
        <v>9.8817777574416496E-2</v>
      </c>
      <c r="E123" s="503">
        <f>IF(終値!A123="","",IFERROR(4*STDEVP(終値!H123:AA123)/AVERAGE(終値!H123:AA123),""))</f>
        <v>0.11102825274537781</v>
      </c>
      <c r="F123" s="503">
        <f>IF(終値!A123="","",IFERROR(4*STDEVP(終値!I123:AB123)/AVERAGE(終値!I123:AB123),""))</f>
        <v>0.1246578698168765</v>
      </c>
      <c r="G123" s="503">
        <f>IF(終値!A123="","",IFERROR(4*STDEVP(終値!J123:AC123)/AVERAGE(終値!J123:AC123),""))</f>
        <v>0.13807155072827895</v>
      </c>
      <c r="H123" s="503">
        <f>IF(終値!A123="","",IFERROR(4*STDEVP(終値!K123:AD123)/AVERAGE(終値!K123:AD123),""))</f>
        <v>0.14836164854610615</v>
      </c>
      <c r="I123" s="503">
        <f>IF(終値!A123="","",IFERROR(4*STDEVP(終値!L123:AE123)/AVERAGE(終値!L123:AE123),""))</f>
        <v>0.15140807400851966</v>
      </c>
      <c r="J123" s="503">
        <f>IF(終値!A123="","",IFERROR(4*STDEVP(終値!M123:AF123)/AVERAGE(終値!M123:AF123),""))</f>
        <v>0.15337022624395499</v>
      </c>
      <c r="K123" s="503">
        <f>IF(終値!A123="","",IFERROR(4*STDEVP(終値!N123:AG123)/AVERAGE(終値!N123:AG123),""))</f>
        <v>0.15000667084501679</v>
      </c>
      <c r="L123" s="503">
        <f>IF(終値!A123="","",IFERROR(4*STDEVP(終値!O123:AH123)/AVERAGE(終値!O123:AH123),""))</f>
        <v>0.14670027730439048</v>
      </c>
      <c r="M123" s="503">
        <f>IF(終値!A123="","",IFERROR(4*STDEVP(終値!P123:AI123)/AVERAGE(終値!P123:AI123),""))</f>
        <v>0.15100170651342737</v>
      </c>
      <c r="N123" s="503">
        <f>IF(終値!A123="","",IFERROR(4*STDEVP(終値!Q123:AJ123)/AVERAGE(終値!Q123:AJ123),""))</f>
        <v>0.15715416437954088</v>
      </c>
      <c r="O123" s="503">
        <f>IF(終値!A123="","",IFERROR(4*STDEVP(終値!R123:AK123)/AVERAGE(終値!R123:AK123),""))</f>
        <v>0.15780614711346075</v>
      </c>
      <c r="P123" s="503">
        <f>IF(終値!A123="","",IFERROR(4*STDEVP(終値!S123:AL123)/AVERAGE(終値!S123:AL123),""))</f>
        <v>0.153984953597155</v>
      </c>
      <c r="Q123" s="503">
        <f>IF(終値!A123="","",IFERROR(4*STDEVP(終値!T123:AM123)/AVERAGE(終値!T123:AM123),""))</f>
        <v>0.14841986719483111</v>
      </c>
      <c r="R123" s="503">
        <f>IF(終値!A123="","",IFERROR(4*STDEVP(終値!U123:AN123)/AVERAGE(終値!U123:AN123),""))</f>
        <v>0.14493543560652131</v>
      </c>
      <c r="S123" s="503">
        <f>IF(終値!A123="","",IFERROR(4*STDEVP(終値!V123:AO123)/AVERAGE(終値!V123:AO123),""))</f>
        <v>0.13810205456928351</v>
      </c>
      <c r="T123" s="503">
        <f>IF(終値!A123="","",IFERROR(4*STDEVP(終値!W123:AP123)/AVERAGE(終値!W123:AP123),""))</f>
        <v>0.1238111231718193</v>
      </c>
      <c r="U123" s="503">
        <f>IF(終値!A123="","",IFERROR(4*STDEVP(終値!X123:AQ123)/AVERAGE(終値!X123:AQ123),""))</f>
        <v>0.10862711551424545</v>
      </c>
      <c r="V123" s="503">
        <f>IF(終値!A123="","",IFERROR(4*STDEVP(終値!Y123:AR123)/AVERAGE(終値!Y123:AR123),""))</f>
        <v>8.8158553637325776E-2</v>
      </c>
      <c r="W123" s="503">
        <f>IF(終値!A123="","",IFERROR(4*STDEVP(終値!Z123:AS123)/AVERAGE(終値!Z123:AS123),""))</f>
        <v>6.5884953075377756E-2</v>
      </c>
      <c r="X123" s="503">
        <f>IF(終値!A123="","",IFERROR(4*STDEVP(終値!AA123:AT123)/AVERAGE(終値!AA123:AT123),""))</f>
        <v>5.5955399264699376E-2</v>
      </c>
      <c r="Y123" s="503">
        <f>IF(終値!A123="","",IFERROR(4*STDEVP(終値!AB123:AU123)/AVERAGE(終値!AB123:AU123),""))</f>
        <v>5.4112769066767756E-2</v>
      </c>
      <c r="Z123" s="503">
        <f>IF(終値!A123="","",IFERROR(4*STDEVP(終値!AC123:AV123)/AVERAGE(終値!AC123:AV123),""))</f>
        <v>5.3452906303875142E-2</v>
      </c>
      <c r="AA123" s="503">
        <f>IF(終値!A123="","",IFERROR(4*STDEVP(終値!AD123:AW123)/AVERAGE(終値!AD123:AW123),""))</f>
        <v>5.5496415774929087E-2</v>
      </c>
      <c r="AB123" s="503">
        <f>IF(終値!A123="","",IFERROR(4*STDEVP(終値!AE123:AX123)/AVERAGE(終値!AE123:AX123),""))</f>
        <v>5.6038659084897281E-2</v>
      </c>
      <c r="AC123" s="503">
        <f>IF(終値!A123="","",IFERROR(4*STDEVP(終値!AF123:AY123)/AVERAGE(終値!AF123:AY123),""))</f>
        <v>5.5796631276892945E-2</v>
      </c>
      <c r="AD123" s="503">
        <f>IF(終値!A123="","",IFERROR(4*STDEVP(終値!AG123:AZ123)/AVERAGE(終値!AG123:AZ123),""))</f>
        <v>5.5567162935640665E-2</v>
      </c>
      <c r="AE123" s="503">
        <f>IF(終値!A123="","",IFERROR(4*STDEVP(終値!AH123:BA123)/AVERAGE(終値!AH123:BA123),""))</f>
        <v>5.1794612335672396E-2</v>
      </c>
      <c r="AF123" s="503">
        <f>IF(終値!A123="","",IFERROR(4*STDEVP(終値!AI123:BB123)/AVERAGE(終値!AI123:BB123),""))</f>
        <v>4.5867772026017967E-2</v>
      </c>
      <c r="AG123" s="503">
        <f>IF(終値!A123="","",IFERROR(4*STDEVP(終値!AJ123:BC123)/AVERAGE(終値!AJ123:BC123),""))</f>
        <v>5.0980128039051997E-2</v>
      </c>
      <c r="AH123" s="503">
        <f>IF(終値!A123="","",IFERROR(4*STDEVP(終値!AK123:BD123)/AVERAGE(終値!AK123:BD123),""))</f>
        <v>6.5215593552372345E-2</v>
      </c>
      <c r="AI123" s="503">
        <f>IF(終値!A123="","",IFERROR(4*STDEVP(終値!AL123:BE123)/AVERAGE(終値!AL123:BE123),""))</f>
        <v>6.8178089615049425E-2</v>
      </c>
      <c r="AJ123" s="503">
        <f>IF(終値!A123="","",IFERROR(4*STDEVP(終値!AM123:BF123)/AVERAGE(終値!AM123:BF123),""))</f>
        <v>6.7758634261146977E-2</v>
      </c>
      <c r="AK123" s="503">
        <f>IF(終値!A123="","",IFERROR(4*STDEVP(終値!AN123:BG123)/AVERAGE(終値!AN123:BG123),""))</f>
        <v>6.5546274333297322E-2</v>
      </c>
      <c r="AL123" s="503">
        <f>IF(終値!A123="","",IFERROR(4*STDEVP(終値!AO123:BH123)/AVERAGE(終値!AO123:BH123),""))</f>
        <v>6.5401450236593245E-2</v>
      </c>
      <c r="AM123" s="503">
        <f>IF(終値!A123="","",IFERROR(4*STDEVP(終値!AP123:BI123)/AVERAGE(終値!AP123:BI123),""))</f>
        <v>6.5892578766786197E-2</v>
      </c>
      <c r="AN123" s="503">
        <f>IF(終値!A123="","",IFERROR(4*STDEVP(終値!AQ123:BJ123)/AVERAGE(終値!AQ123:BJ123),""))</f>
        <v>8.0276357641020826E-2</v>
      </c>
      <c r="AO123" s="503">
        <f>IF(終値!A123="","",IFERROR(4*STDEVP(終値!AR123:BK123)/AVERAGE(終値!AR123:BK123),""))</f>
        <v>7.9080814453087678E-2</v>
      </c>
      <c r="AP123" s="503">
        <f>IF(終値!A123="","",IFERROR(4*STDEVP(終値!AS123:BL123)/AVERAGE(終値!AS123:BL123),""))</f>
        <v>0.11125199657831852</v>
      </c>
    </row>
    <row r="124" spans="1:42">
      <c r="A124" s="500" t="str">
        <f>IF(終値!A124="","",終値!A124)</f>
        <v>8801</v>
      </c>
      <c r="B124" s="503">
        <f>IF(終値!A124="","",IFERROR(4*STDEVP(終値!E124:X124)/AVERAGE(終値!E124:X124),""))</f>
        <v>9.572660291660276E-2</v>
      </c>
      <c r="C124" s="503">
        <f>IF(終値!A124="","",IFERROR(4*STDEVP(終値!F124:Y124)/AVERAGE(終値!F124:Y124),""))</f>
        <v>8.4301188742852196E-2</v>
      </c>
      <c r="D124" s="503">
        <f>IF(終値!A124="","",IFERROR(4*STDEVP(終値!G124:Z124)/AVERAGE(終値!G124:Z124),""))</f>
        <v>7.8986914858279869E-2</v>
      </c>
      <c r="E124" s="503">
        <f>IF(終値!A124="","",IFERROR(4*STDEVP(終値!H124:AA124)/AVERAGE(終値!H124:AA124),""))</f>
        <v>9.0154672140602771E-2</v>
      </c>
      <c r="F124" s="503">
        <f>IF(終値!A124="","",IFERROR(4*STDEVP(終値!I124:AB124)/AVERAGE(終値!I124:AB124),""))</f>
        <v>8.8035898387531328E-2</v>
      </c>
      <c r="G124" s="503">
        <f>IF(終値!A124="","",IFERROR(4*STDEVP(終値!J124:AC124)/AVERAGE(終値!J124:AC124),""))</f>
        <v>7.5157915039339468E-2</v>
      </c>
      <c r="H124" s="503">
        <f>IF(終値!A124="","",IFERROR(4*STDEVP(終値!K124:AD124)/AVERAGE(終値!K124:AD124),""))</f>
        <v>7.5654668413233983E-2</v>
      </c>
      <c r="I124" s="503">
        <f>IF(終値!A124="","",IFERROR(4*STDEVP(終値!L124:AE124)/AVERAGE(終値!L124:AE124),""))</f>
        <v>7.6415962528334408E-2</v>
      </c>
      <c r="J124" s="503">
        <f>IF(終値!A124="","",IFERROR(4*STDEVP(終値!M124:AF124)/AVERAGE(終値!M124:AF124),""))</f>
        <v>8.4162313422050952E-2</v>
      </c>
      <c r="K124" s="503">
        <f>IF(終値!A124="","",IFERROR(4*STDEVP(終値!N124:AG124)/AVERAGE(終値!N124:AG124),""))</f>
        <v>9.3860538827103962E-2</v>
      </c>
      <c r="L124" s="503">
        <f>IF(終値!A124="","",IFERROR(4*STDEVP(終値!O124:AH124)/AVERAGE(終値!O124:AH124),""))</f>
        <v>9.4252140015914587E-2</v>
      </c>
      <c r="M124" s="503">
        <f>IF(終値!A124="","",IFERROR(4*STDEVP(終値!P124:AI124)/AVERAGE(終値!P124:AI124),""))</f>
        <v>8.7637553286408251E-2</v>
      </c>
      <c r="N124" s="503">
        <f>IF(終値!A124="","",IFERROR(4*STDEVP(終値!Q124:AJ124)/AVERAGE(終値!Q124:AJ124),""))</f>
        <v>8.6527652267411881E-2</v>
      </c>
      <c r="O124" s="503">
        <f>IF(終値!A124="","",IFERROR(4*STDEVP(終値!R124:AK124)/AVERAGE(終値!R124:AK124),""))</f>
        <v>8.2819536071955066E-2</v>
      </c>
      <c r="P124" s="503">
        <f>IF(終値!A124="","",IFERROR(4*STDEVP(終値!S124:AL124)/AVERAGE(終値!S124:AL124),""))</f>
        <v>8.1349257274035927E-2</v>
      </c>
      <c r="Q124" s="503">
        <f>IF(終値!A124="","",IFERROR(4*STDEVP(終値!T124:AM124)/AVERAGE(終値!T124:AM124),""))</f>
        <v>8.8555028213516948E-2</v>
      </c>
      <c r="R124" s="503">
        <f>IF(終値!A124="","",IFERROR(4*STDEVP(終値!U124:AN124)/AVERAGE(終値!U124:AN124),""))</f>
        <v>9.2328451643701667E-2</v>
      </c>
      <c r="S124" s="503">
        <f>IF(終値!A124="","",IFERROR(4*STDEVP(終値!V124:AO124)/AVERAGE(終値!V124:AO124),""))</f>
        <v>9.32103052347594E-2</v>
      </c>
      <c r="T124" s="503">
        <f>IF(終値!A124="","",IFERROR(4*STDEVP(終値!W124:AP124)/AVERAGE(終値!W124:AP124),""))</f>
        <v>9.3432171233622893E-2</v>
      </c>
      <c r="U124" s="503">
        <f>IF(終値!A124="","",IFERROR(4*STDEVP(終値!X124:AQ124)/AVERAGE(終値!X124:AQ124),""))</f>
        <v>9.1831484103627209E-2</v>
      </c>
      <c r="V124" s="503">
        <f>IF(終値!A124="","",IFERROR(4*STDEVP(終値!Y124:AR124)/AVERAGE(終値!Y124:AR124),""))</f>
        <v>8.7942549976925799E-2</v>
      </c>
      <c r="W124" s="503">
        <f>IF(終値!A124="","",IFERROR(4*STDEVP(終値!Z124:AS124)/AVERAGE(終値!Z124:AS124),""))</f>
        <v>8.8441833734474201E-2</v>
      </c>
      <c r="X124" s="503">
        <f>IF(終値!A124="","",IFERROR(4*STDEVP(終値!AA124:AT124)/AVERAGE(終値!AA124:AT124),""))</f>
        <v>8.9454097139168035E-2</v>
      </c>
      <c r="Y124" s="503">
        <f>IF(終値!A124="","",IFERROR(4*STDEVP(終値!AB124:AU124)/AVERAGE(終値!AB124:AU124),""))</f>
        <v>8.8445716324301288E-2</v>
      </c>
      <c r="Z124" s="503">
        <f>IF(終値!A124="","",IFERROR(4*STDEVP(終値!AC124:AV124)/AVERAGE(終値!AC124:AV124),""))</f>
        <v>8.9745733055303964E-2</v>
      </c>
      <c r="AA124" s="503">
        <f>IF(終値!A124="","",IFERROR(4*STDEVP(終値!AD124:AW124)/AVERAGE(終値!AD124:AW124),""))</f>
        <v>8.9256700494748029E-2</v>
      </c>
      <c r="AB124" s="503">
        <f>IF(終値!A124="","",IFERROR(4*STDEVP(終値!AE124:AX124)/AVERAGE(終値!AE124:AX124),""))</f>
        <v>8.9323577995238365E-2</v>
      </c>
      <c r="AC124" s="503">
        <f>IF(終値!A124="","",IFERROR(4*STDEVP(終値!AF124:AY124)/AVERAGE(終値!AF124:AY124),""))</f>
        <v>8.7573062956707429E-2</v>
      </c>
      <c r="AD124" s="503">
        <f>IF(終値!A124="","",IFERROR(4*STDEVP(終値!AG124:AZ124)/AVERAGE(終値!AG124:AZ124),""))</f>
        <v>8.5116957403194846E-2</v>
      </c>
      <c r="AE124" s="503">
        <f>IF(終値!A124="","",IFERROR(4*STDEVP(終値!AH124:BA124)/AVERAGE(終値!AH124:BA124),""))</f>
        <v>7.6422754249794264E-2</v>
      </c>
      <c r="AF124" s="503">
        <f>IF(終値!A124="","",IFERROR(4*STDEVP(終値!AI124:BB124)/AVERAGE(終値!AI124:BB124),""))</f>
        <v>7.3532035100444704E-2</v>
      </c>
      <c r="AG124" s="503">
        <f>IF(終値!A124="","",IFERROR(4*STDEVP(終値!AJ124:BC124)/AVERAGE(終値!AJ124:BC124),""))</f>
        <v>7.4239322372545602E-2</v>
      </c>
      <c r="AH124" s="503">
        <f>IF(終値!A124="","",IFERROR(4*STDEVP(終値!AK124:BD124)/AVERAGE(終値!AK124:BD124),""))</f>
        <v>7.4864299314218313E-2</v>
      </c>
      <c r="AI124" s="503">
        <f>IF(終値!A124="","",IFERROR(4*STDEVP(終値!AL124:BE124)/AVERAGE(終値!AL124:BE124),""))</f>
        <v>7.6104030481043319E-2</v>
      </c>
      <c r="AJ124" s="503">
        <f>IF(終値!A124="","",IFERROR(4*STDEVP(終値!AM124:BF124)/AVERAGE(終値!AM124:BF124),""))</f>
        <v>7.5992830613295814E-2</v>
      </c>
      <c r="AK124" s="503">
        <f>IF(終値!A124="","",IFERROR(4*STDEVP(終値!AN124:BG124)/AVERAGE(終値!AN124:BG124),""))</f>
        <v>0.12557604888924478</v>
      </c>
      <c r="AL124" s="503">
        <f>IF(終値!A124="","",IFERROR(4*STDEVP(終値!AO124:BH124)/AVERAGE(終値!AO124:BH124),""))</f>
        <v>0.15129267570871122</v>
      </c>
      <c r="AM124" s="503">
        <f>IF(終値!A124="","",IFERROR(4*STDEVP(終値!AP124:BI124)/AVERAGE(終値!AP124:BI124),""))</f>
        <v>0.17092738855624542</v>
      </c>
      <c r="AN124" s="503">
        <f>IF(終値!A124="","",IFERROR(4*STDEVP(終値!AQ124:BJ124)/AVERAGE(終値!AQ124:BJ124),""))</f>
        <v>0.18366227162993434</v>
      </c>
      <c r="AO124" s="503">
        <f>IF(終値!A124="","",IFERROR(4*STDEVP(終値!AR124:BK124)/AVERAGE(終値!AR124:BK124),""))</f>
        <v>0.19647837323208095</v>
      </c>
      <c r="AP124" s="503">
        <f>IF(終値!A124="","",IFERROR(4*STDEVP(終値!AS124:BL124)/AVERAGE(終値!AS124:BL124),""))</f>
        <v>0.20706619709887292</v>
      </c>
    </row>
    <row r="125" spans="1:42">
      <c r="A125" s="500" t="str">
        <f>IF(終値!A125="","",終値!A125)</f>
        <v>8934</v>
      </c>
      <c r="B125" s="503">
        <f>IF(終値!A125="","",IFERROR(4*STDEVP(終値!E125:X125)/AVERAGE(終値!E125:X125),""))</f>
        <v>6.3622397367876574E-2</v>
      </c>
      <c r="C125" s="503">
        <f>IF(終値!A125="","",IFERROR(4*STDEVP(終値!F125:Y125)/AVERAGE(終値!F125:Y125),""))</f>
        <v>5.6412159072397529E-2</v>
      </c>
      <c r="D125" s="503">
        <f>IF(終値!A125="","",IFERROR(4*STDEVP(終値!G125:Z125)/AVERAGE(終値!G125:Z125),""))</f>
        <v>5.8076227515293052E-2</v>
      </c>
      <c r="E125" s="503">
        <f>IF(終値!A125="","",IFERROR(4*STDEVP(終値!H125:AA125)/AVERAGE(終値!H125:AA125),""))</f>
        <v>7.2965037174610101E-2</v>
      </c>
      <c r="F125" s="503">
        <f>IF(終値!A125="","",IFERROR(4*STDEVP(終値!I125:AB125)/AVERAGE(終値!I125:AB125),""))</f>
        <v>7.6435522448948384E-2</v>
      </c>
      <c r="G125" s="503">
        <f>IF(終値!A125="","",IFERROR(4*STDEVP(終値!J125:AC125)/AVERAGE(終値!J125:AC125),""))</f>
        <v>7.2486798569694408E-2</v>
      </c>
      <c r="H125" s="503">
        <f>IF(終値!A125="","",IFERROR(4*STDEVP(終値!K125:AD125)/AVERAGE(終値!K125:AD125),""))</f>
        <v>7.8956039602699563E-2</v>
      </c>
      <c r="I125" s="503">
        <f>IF(終値!A125="","",IFERROR(4*STDEVP(終値!L125:AE125)/AVERAGE(終値!L125:AE125),""))</f>
        <v>8.5031060225876767E-2</v>
      </c>
      <c r="J125" s="503">
        <f>IF(終値!A125="","",IFERROR(4*STDEVP(終値!M125:AF125)/AVERAGE(終値!M125:AF125),""))</f>
        <v>9.805567514412164E-2</v>
      </c>
      <c r="K125" s="503">
        <f>IF(終値!A125="","",IFERROR(4*STDEVP(終値!N125:AG125)/AVERAGE(終値!N125:AG125),""))</f>
        <v>0.10730055191031419</v>
      </c>
      <c r="L125" s="503">
        <f>IF(終値!A125="","",IFERROR(4*STDEVP(終値!O125:AH125)/AVERAGE(終値!O125:AH125),""))</f>
        <v>0.11133257554033796</v>
      </c>
      <c r="M125" s="503">
        <f>IF(終値!A125="","",IFERROR(4*STDEVP(終値!P125:AI125)/AVERAGE(終値!P125:AI125),""))</f>
        <v>0.11001565462252508</v>
      </c>
      <c r="N125" s="503">
        <f>IF(終値!A125="","",IFERROR(4*STDEVP(終値!Q125:AJ125)/AVERAGE(終値!Q125:AJ125),""))</f>
        <v>0.11331459914728724</v>
      </c>
      <c r="O125" s="503">
        <f>IF(終値!A125="","",IFERROR(4*STDEVP(終値!R125:AK125)/AVERAGE(終値!R125:AK125),""))</f>
        <v>0.11056970825860574</v>
      </c>
      <c r="P125" s="503">
        <f>IF(終値!A125="","",IFERROR(4*STDEVP(終値!S125:AL125)/AVERAGE(終値!S125:AL125),""))</f>
        <v>0.10982690361426373</v>
      </c>
      <c r="Q125" s="503">
        <f>IF(終値!A125="","",IFERROR(4*STDEVP(終値!T125:AM125)/AVERAGE(終値!T125:AM125),""))</f>
        <v>0.10904532421609182</v>
      </c>
      <c r="R125" s="503">
        <f>IF(終値!A125="","",IFERROR(4*STDEVP(終値!U125:AN125)/AVERAGE(終値!U125:AN125),""))</f>
        <v>0.10521447606872823</v>
      </c>
      <c r="S125" s="503">
        <f>IF(終値!A125="","",IFERROR(4*STDEVP(終値!V125:AO125)/AVERAGE(終値!V125:AO125),""))</f>
        <v>0.10051214734235281</v>
      </c>
      <c r="T125" s="503">
        <f>IF(終値!A125="","",IFERROR(4*STDEVP(終値!W125:AP125)/AVERAGE(終値!W125:AP125),""))</f>
        <v>8.6660082803258903E-2</v>
      </c>
      <c r="U125" s="503">
        <f>IF(終値!A125="","",IFERROR(4*STDEVP(終値!X125:AQ125)/AVERAGE(終値!X125:AQ125),""))</f>
        <v>7.5344609485117051E-2</v>
      </c>
      <c r="V125" s="503">
        <f>IF(終値!A125="","",IFERROR(4*STDEVP(終値!Y125:AR125)/AVERAGE(終値!Y125:AR125),""))</f>
        <v>6.462149719786664E-2</v>
      </c>
      <c r="W125" s="503">
        <f>IF(終値!A125="","",IFERROR(4*STDEVP(終値!Z125:AS125)/AVERAGE(終値!Z125:AS125),""))</f>
        <v>6.7804318249217052E-2</v>
      </c>
      <c r="X125" s="503">
        <f>IF(終値!A125="","",IFERROR(4*STDEVP(終値!AA125:AT125)/AVERAGE(終値!AA125:AT125),""))</f>
        <v>7.2376075177117513E-2</v>
      </c>
      <c r="Y125" s="503">
        <f>IF(終値!A125="","",IFERROR(4*STDEVP(終値!AB125:AU125)/AVERAGE(終値!AB125:AU125),""))</f>
        <v>7.9604194060297881E-2</v>
      </c>
      <c r="Z125" s="503">
        <f>IF(終値!A125="","",IFERROR(4*STDEVP(終値!AC125:AV125)/AVERAGE(終値!AC125:AV125),""))</f>
        <v>7.4632388034694117E-2</v>
      </c>
      <c r="AA125" s="503">
        <f>IF(終値!A125="","",IFERROR(4*STDEVP(終値!AD125:AW125)/AVERAGE(終値!AD125:AW125),""))</f>
        <v>6.4030578846453759E-2</v>
      </c>
      <c r="AB125" s="503">
        <f>IF(終値!A125="","",IFERROR(4*STDEVP(終値!AE125:AX125)/AVERAGE(終値!AE125:AX125),""))</f>
        <v>6.2039250451957205E-2</v>
      </c>
      <c r="AC125" s="503">
        <f>IF(終値!A125="","",IFERROR(4*STDEVP(終値!AF125:AY125)/AVERAGE(終値!AF125:AY125),""))</f>
        <v>6.179822013238908E-2</v>
      </c>
      <c r="AD125" s="503">
        <f>IF(終値!A125="","",IFERROR(4*STDEVP(終値!AG125:AZ125)/AVERAGE(終値!AG125:AZ125),""))</f>
        <v>6.179822013238908E-2</v>
      </c>
      <c r="AE125" s="503">
        <f>IF(終値!A125="","",IFERROR(4*STDEVP(終値!AH125:BA125)/AVERAGE(終値!AH125:BA125),""))</f>
        <v>6.5521115285843701E-2</v>
      </c>
      <c r="AF125" s="503">
        <f>IF(終値!A125="","",IFERROR(4*STDEVP(終値!AI125:BB125)/AVERAGE(終値!AI125:BB125),""))</f>
        <v>6.5457460632034212E-2</v>
      </c>
      <c r="AG125" s="503">
        <f>IF(終値!A125="","",IFERROR(4*STDEVP(終値!AJ125:BC125)/AVERAGE(終値!AJ125:BC125),""))</f>
        <v>7.2153515284210754E-2</v>
      </c>
      <c r="AH125" s="503">
        <f>IF(終値!A125="","",IFERROR(4*STDEVP(終値!AK125:BD125)/AVERAGE(終値!AK125:BD125),""))</f>
        <v>7.451814331422249E-2</v>
      </c>
      <c r="AI125" s="503">
        <f>IF(終値!A125="","",IFERROR(4*STDEVP(終値!AL125:BE125)/AVERAGE(終値!AL125:BE125),""))</f>
        <v>8.5447173761048517E-2</v>
      </c>
      <c r="AJ125" s="503">
        <f>IF(終値!A125="","",IFERROR(4*STDEVP(終値!AM125:BF125)/AVERAGE(終値!AM125:BF125),""))</f>
        <v>9.106925579036057E-2</v>
      </c>
      <c r="AK125" s="503">
        <f>IF(終値!A125="","",IFERROR(4*STDEVP(終値!AN125:BG125)/AVERAGE(終値!AN125:BG125),""))</f>
        <v>9.5384627206087702E-2</v>
      </c>
      <c r="AL125" s="503">
        <f>IF(終値!A125="","",IFERROR(4*STDEVP(終値!AO125:BH125)/AVERAGE(終値!AO125:BH125),""))</f>
        <v>9.9340182861906587E-2</v>
      </c>
      <c r="AM125" s="503">
        <f>IF(終値!A125="","",IFERROR(4*STDEVP(終値!AP125:BI125)/AVERAGE(終値!AP125:BI125),""))</f>
        <v>0.11684591250018855</v>
      </c>
      <c r="AN125" s="503">
        <f>IF(終値!A125="","",IFERROR(4*STDEVP(終値!AQ125:BJ125)/AVERAGE(終値!AQ125:BJ125),""))</f>
        <v>0.14286644166231238</v>
      </c>
      <c r="AO125" s="503">
        <f>IF(終値!A125="","",IFERROR(4*STDEVP(終値!AR125:BK125)/AVERAGE(終値!AR125:BK125),""))</f>
        <v>0.16350081251549545</v>
      </c>
      <c r="AP125" s="503">
        <f>IF(終値!A125="","",IFERROR(4*STDEVP(終値!AS125:BL125)/AVERAGE(終値!AS125:BL125),""))</f>
        <v>0.18162224625589629</v>
      </c>
    </row>
    <row r="126" spans="1:42">
      <c r="A126" s="500" t="str">
        <f>IF(終値!A126="","",終値!A126)</f>
        <v>9416</v>
      </c>
      <c r="B126" s="503">
        <f>IF(終値!A126="","",IFERROR(4*STDEVP(終値!E126:X126)/AVERAGE(終値!E126:X126),""))</f>
        <v>5.9088650163593007E-2</v>
      </c>
      <c r="C126" s="503">
        <f>IF(終値!A126="","",IFERROR(4*STDEVP(終値!F126:Y126)/AVERAGE(終値!F126:Y126),""))</f>
        <v>6.0027080136797008E-2</v>
      </c>
      <c r="D126" s="503">
        <f>IF(終値!A126="","",IFERROR(4*STDEVP(終値!G126:Z126)/AVERAGE(終値!G126:Z126),""))</f>
        <v>6.4278439222576644E-2</v>
      </c>
      <c r="E126" s="503">
        <f>IF(終値!A126="","",IFERROR(4*STDEVP(終値!H126:AA126)/AVERAGE(終値!H126:AA126),""))</f>
        <v>7.3273962319276978E-2</v>
      </c>
      <c r="F126" s="503">
        <f>IF(終値!A126="","",IFERROR(4*STDEVP(終値!I126:AB126)/AVERAGE(終値!I126:AB126),""))</f>
        <v>7.5134895262020315E-2</v>
      </c>
      <c r="G126" s="503">
        <f>IF(終値!A126="","",IFERROR(4*STDEVP(終値!J126:AC126)/AVERAGE(終値!J126:AC126),""))</f>
        <v>6.760000071510501E-2</v>
      </c>
      <c r="H126" s="503">
        <f>IF(終値!A126="","",IFERROR(4*STDEVP(終値!K126:AD126)/AVERAGE(終値!K126:AD126),""))</f>
        <v>6.5622700982973237E-2</v>
      </c>
      <c r="I126" s="503">
        <f>IF(終値!A126="","",IFERROR(4*STDEVP(終値!L126:AE126)/AVERAGE(終値!L126:AE126),""))</f>
        <v>6.5604926764938037E-2</v>
      </c>
      <c r="J126" s="503">
        <f>IF(終値!A126="","",IFERROR(4*STDEVP(終値!M126:AF126)/AVERAGE(終値!M126:AF126),""))</f>
        <v>6.725191230293659E-2</v>
      </c>
      <c r="K126" s="503">
        <f>IF(終値!A126="","",IFERROR(4*STDEVP(終値!N126:AG126)/AVERAGE(終値!N126:AG126),""))</f>
        <v>6.777212323802656E-2</v>
      </c>
      <c r="L126" s="503">
        <f>IF(終値!A126="","",IFERROR(4*STDEVP(終値!O126:AH126)/AVERAGE(終値!O126:AH126),""))</f>
        <v>7.0415744533094918E-2</v>
      </c>
      <c r="M126" s="503">
        <f>IF(終値!A126="","",IFERROR(4*STDEVP(終値!P126:AI126)/AVERAGE(終値!P126:AI126),""))</f>
        <v>7.5780478079127259E-2</v>
      </c>
      <c r="N126" s="503">
        <f>IF(終値!A126="","",IFERROR(4*STDEVP(終値!Q126:AJ126)/AVERAGE(終値!Q126:AJ126),""))</f>
        <v>7.8778713910101619E-2</v>
      </c>
      <c r="O126" s="503">
        <f>IF(終値!A126="","",IFERROR(4*STDEVP(終値!R126:AK126)/AVERAGE(終値!R126:AK126),""))</f>
        <v>7.8929977877670865E-2</v>
      </c>
      <c r="P126" s="503">
        <f>IF(終値!A126="","",IFERROR(4*STDEVP(終値!S126:AL126)/AVERAGE(終値!S126:AL126),""))</f>
        <v>7.9280567450686526E-2</v>
      </c>
      <c r="Q126" s="503">
        <f>IF(終値!A126="","",IFERROR(4*STDEVP(終値!T126:AM126)/AVERAGE(終値!T126:AM126),""))</f>
        <v>8.0725819423959483E-2</v>
      </c>
      <c r="R126" s="503">
        <f>IF(終値!A126="","",IFERROR(4*STDEVP(終値!U126:AN126)/AVERAGE(終値!U126:AN126),""))</f>
        <v>8.126721852086248E-2</v>
      </c>
      <c r="S126" s="503">
        <f>IF(終値!A126="","",IFERROR(4*STDEVP(終値!V126:AO126)/AVERAGE(終値!V126:AO126),""))</f>
        <v>8.1052355496759113E-2</v>
      </c>
      <c r="T126" s="503">
        <f>IF(終値!A126="","",IFERROR(4*STDEVP(終値!W126:AP126)/AVERAGE(終値!W126:AP126),""))</f>
        <v>8.1358466062235957E-2</v>
      </c>
      <c r="U126" s="503">
        <f>IF(終値!A126="","",IFERROR(4*STDEVP(終値!X126:AQ126)/AVERAGE(終値!X126:AQ126),""))</f>
        <v>8.5010739672841049E-2</v>
      </c>
      <c r="V126" s="503">
        <f>IF(終値!A126="","",IFERROR(4*STDEVP(終値!Y126:AR126)/AVERAGE(終値!Y126:AR126),""))</f>
        <v>8.6996561652318782E-2</v>
      </c>
      <c r="W126" s="503">
        <f>IF(終値!A126="","",IFERROR(4*STDEVP(終値!Z126:AS126)/AVERAGE(終値!Z126:AS126),""))</f>
        <v>8.7026836369099997E-2</v>
      </c>
      <c r="X126" s="503">
        <f>IF(終値!A126="","",IFERROR(4*STDEVP(終値!AA126:AT126)/AVERAGE(終値!AA126:AT126),""))</f>
        <v>8.5935535021301468E-2</v>
      </c>
      <c r="Y126" s="503">
        <f>IF(終値!A126="","",IFERROR(4*STDEVP(終値!AB126:AU126)/AVERAGE(終値!AB126:AU126),""))</f>
        <v>7.9226506655864407E-2</v>
      </c>
      <c r="Z126" s="503">
        <f>IF(終値!A126="","",IFERROR(4*STDEVP(終値!AC126:AV126)/AVERAGE(終値!AC126:AV126),""))</f>
        <v>8.7286870606854708E-2</v>
      </c>
      <c r="AA126" s="503">
        <f>IF(終値!A126="","",IFERROR(4*STDEVP(終値!AD126:AW126)/AVERAGE(終値!AD126:AW126),""))</f>
        <v>8.8852729803590047E-2</v>
      </c>
      <c r="AB126" s="503">
        <f>IF(終値!A126="","",IFERROR(4*STDEVP(終値!AE126:AX126)/AVERAGE(終値!AE126:AX126),""))</f>
        <v>9.1496748273737064E-2</v>
      </c>
      <c r="AC126" s="503">
        <f>IF(終値!A126="","",IFERROR(4*STDEVP(終値!AF126:AY126)/AVERAGE(終値!AF126:AY126),""))</f>
        <v>0.10527735847651395</v>
      </c>
      <c r="AD126" s="503">
        <f>IF(終値!A126="","",IFERROR(4*STDEVP(終値!AG126:AZ126)/AVERAGE(終値!AG126:AZ126),""))</f>
        <v>9.6590479311909658E-2</v>
      </c>
      <c r="AE126" s="503">
        <f>IF(終値!A126="","",IFERROR(4*STDEVP(終値!AH126:BA126)/AVERAGE(終値!AH126:BA126),""))</f>
        <v>8.9312612337054176E-2</v>
      </c>
      <c r="AF126" s="503">
        <f>IF(終値!A126="","",IFERROR(4*STDEVP(終値!AI126:BB126)/AVERAGE(終値!AI126:BB126),""))</f>
        <v>8.8991857894315074E-2</v>
      </c>
      <c r="AG126" s="503">
        <f>IF(終値!A126="","",IFERROR(4*STDEVP(終値!AJ126:BC126)/AVERAGE(終値!AJ126:BC126),""))</f>
        <v>8.9041416566038006E-2</v>
      </c>
      <c r="AH126" s="503">
        <f>IF(終値!A126="","",IFERROR(4*STDEVP(終値!AK126:BD126)/AVERAGE(終値!AK126:BD126),""))</f>
        <v>9.1493283605207629E-2</v>
      </c>
      <c r="AI126" s="503">
        <f>IF(終値!A126="","",IFERROR(4*STDEVP(終値!AL126:BE126)/AVERAGE(終値!AL126:BE126),""))</f>
        <v>9.1088536306206364E-2</v>
      </c>
      <c r="AJ126" s="503">
        <f>IF(終値!A126="","",IFERROR(4*STDEVP(終値!AM126:BF126)/AVERAGE(終値!AM126:BF126),""))</f>
        <v>0.11030316589153236</v>
      </c>
      <c r="AK126" s="503">
        <f>IF(終値!A126="","",IFERROR(4*STDEVP(終値!AN126:BG126)/AVERAGE(終値!AN126:BG126),""))</f>
        <v>0.1188284130926444</v>
      </c>
      <c r="AL126" s="503">
        <f>IF(終値!A126="","",IFERROR(4*STDEVP(終値!AO126:BH126)/AVERAGE(終値!AO126:BH126),""))</f>
        <v>0.12785912616628117</v>
      </c>
      <c r="AM126" s="503">
        <f>IF(終値!A126="","",IFERROR(4*STDEVP(終値!AP126:BI126)/AVERAGE(終値!AP126:BI126),""))</f>
        <v>0.13539050899259245</v>
      </c>
      <c r="AN126" s="503">
        <f>IF(終値!A126="","",IFERROR(4*STDEVP(終値!AQ126:BJ126)/AVERAGE(終値!AQ126:BJ126),""))</f>
        <v>0.14219141971921934</v>
      </c>
      <c r="AO126" s="503">
        <f>IF(終値!A126="","",IFERROR(4*STDEVP(終値!AR126:BK126)/AVERAGE(終値!AR126:BK126),""))</f>
        <v>0.14794991008622374</v>
      </c>
      <c r="AP126" s="503">
        <f>IF(終値!A126="","",IFERROR(4*STDEVP(終値!AS126:BL126)/AVERAGE(終値!AS126:BL126),""))</f>
        <v>0.14838755898509234</v>
      </c>
    </row>
    <row r="127" spans="1:42">
      <c r="A127" s="500" t="str">
        <f>IF(終値!A127="","",終値!A127)</f>
        <v>9532</v>
      </c>
      <c r="B127" s="503">
        <f>IF(終値!A127="","",IFERROR(4*STDEVP(終値!E127:X127)/AVERAGE(終値!E127:X127),""))</f>
        <v>5.8930781844743339E-2</v>
      </c>
      <c r="C127" s="503">
        <f>IF(終値!A127="","",IFERROR(4*STDEVP(終値!F127:Y127)/AVERAGE(終値!F127:Y127),""))</f>
        <v>5.9411456750531062E-2</v>
      </c>
      <c r="D127" s="503">
        <f>IF(終値!A127="","",IFERROR(4*STDEVP(終値!G127:Z127)/AVERAGE(終値!G127:Z127),""))</f>
        <v>6.23816431553538E-2</v>
      </c>
      <c r="E127" s="503">
        <f>IF(終値!A127="","",IFERROR(4*STDEVP(終値!H127:AA127)/AVERAGE(終値!H127:AA127),""))</f>
        <v>6.6101936430265462E-2</v>
      </c>
      <c r="F127" s="503">
        <f>IF(終値!A127="","",IFERROR(4*STDEVP(終値!I127:AB127)/AVERAGE(終値!I127:AB127),""))</f>
        <v>6.4876155135779226E-2</v>
      </c>
      <c r="G127" s="503">
        <f>IF(終値!A127="","",IFERROR(4*STDEVP(終値!J127:AC127)/AVERAGE(終値!J127:AC127),""))</f>
        <v>5.7799856470248635E-2</v>
      </c>
      <c r="H127" s="503">
        <f>IF(終値!A127="","",IFERROR(4*STDEVP(終値!K127:AD127)/AVERAGE(終値!K127:AD127),""))</f>
        <v>5.5514154749707743E-2</v>
      </c>
      <c r="I127" s="503">
        <f>IF(終値!A127="","",IFERROR(4*STDEVP(終値!L127:AE127)/AVERAGE(終値!L127:AE127),""))</f>
        <v>5.0575347942638925E-2</v>
      </c>
      <c r="J127" s="503">
        <f>IF(終値!A127="","",IFERROR(4*STDEVP(終値!M127:AF127)/AVERAGE(終値!M127:AF127),""))</f>
        <v>4.6957487511865931E-2</v>
      </c>
      <c r="K127" s="503">
        <f>IF(終値!A127="","",IFERROR(4*STDEVP(終値!N127:AG127)/AVERAGE(終値!N127:AG127),""))</f>
        <v>4.6639605064987412E-2</v>
      </c>
      <c r="L127" s="503">
        <f>IF(終値!A127="","",IFERROR(4*STDEVP(終値!O127:AH127)/AVERAGE(終値!O127:AH127),""))</f>
        <v>4.7205721750110279E-2</v>
      </c>
      <c r="M127" s="503">
        <f>IF(終値!A127="","",IFERROR(4*STDEVP(終値!P127:AI127)/AVERAGE(終値!P127:AI127),""))</f>
        <v>4.6968451976166829E-2</v>
      </c>
      <c r="N127" s="503">
        <f>IF(終値!A127="","",IFERROR(4*STDEVP(終値!Q127:AJ127)/AVERAGE(終値!Q127:AJ127),""))</f>
        <v>4.6533462802004356E-2</v>
      </c>
      <c r="O127" s="503">
        <f>IF(終値!A127="","",IFERROR(4*STDEVP(終値!R127:AK127)/AVERAGE(終値!R127:AK127),""))</f>
        <v>4.6794847989067002E-2</v>
      </c>
      <c r="P127" s="503">
        <f>IF(終値!A127="","",IFERROR(4*STDEVP(終値!S127:AL127)/AVERAGE(終値!S127:AL127),""))</f>
        <v>4.7761830810299971E-2</v>
      </c>
      <c r="Q127" s="503">
        <f>IF(終値!A127="","",IFERROR(4*STDEVP(終値!T127:AM127)/AVERAGE(終値!T127:AM127),""))</f>
        <v>4.5104087813050857E-2</v>
      </c>
      <c r="R127" s="503">
        <f>IF(終値!A127="","",IFERROR(4*STDEVP(終値!U127:AN127)/AVERAGE(終値!U127:AN127),""))</f>
        <v>5.2848885614537856E-2</v>
      </c>
      <c r="S127" s="503">
        <f>IF(終値!A127="","",IFERROR(4*STDEVP(終値!V127:AO127)/AVERAGE(終値!V127:AO127),""))</f>
        <v>6.4353677235091292E-2</v>
      </c>
      <c r="T127" s="503">
        <f>IF(終値!A127="","",IFERROR(4*STDEVP(終値!W127:AP127)/AVERAGE(終値!W127:AP127),""))</f>
        <v>6.4866265498737682E-2</v>
      </c>
      <c r="U127" s="503">
        <f>IF(終値!A127="","",IFERROR(4*STDEVP(終値!X127:AQ127)/AVERAGE(終値!X127:AQ127),""))</f>
        <v>6.4527013575952974E-2</v>
      </c>
      <c r="V127" s="503">
        <f>IF(終値!A127="","",IFERROR(4*STDEVP(終値!Y127:AR127)/AVERAGE(終値!Y127:AR127),""))</f>
        <v>6.3993981153167998E-2</v>
      </c>
      <c r="W127" s="503">
        <f>IF(終値!A127="","",IFERROR(4*STDEVP(終値!Z127:AS127)/AVERAGE(終値!Z127:AS127),""))</f>
        <v>6.2268969699869142E-2</v>
      </c>
      <c r="X127" s="503">
        <f>IF(終値!A127="","",IFERROR(4*STDEVP(終値!AA127:AT127)/AVERAGE(終値!AA127:AT127),""))</f>
        <v>6.1199109779923384E-2</v>
      </c>
      <c r="Y127" s="503">
        <f>IF(終値!A127="","",IFERROR(4*STDEVP(終値!AB127:AU127)/AVERAGE(終値!AB127:AU127),""))</f>
        <v>5.5566061318977546E-2</v>
      </c>
      <c r="Z127" s="503">
        <f>IF(終値!A127="","",IFERROR(4*STDEVP(終値!AC127:AV127)/AVERAGE(終値!AC127:AV127),""))</f>
        <v>5.8324928273737274E-2</v>
      </c>
      <c r="AA127" s="503">
        <f>IF(終値!A127="","",IFERROR(4*STDEVP(終値!AD127:AW127)/AVERAGE(終値!AD127:AW127),""))</f>
        <v>5.9813798304550664E-2</v>
      </c>
      <c r="AB127" s="503">
        <f>IF(終値!A127="","",IFERROR(4*STDEVP(終値!AE127:AX127)/AVERAGE(終値!AE127:AX127),""))</f>
        <v>5.8253827395045372E-2</v>
      </c>
      <c r="AC127" s="503">
        <f>IF(終値!A127="","",IFERROR(4*STDEVP(終値!AF127:AY127)/AVERAGE(終値!AF127:AY127),""))</f>
        <v>5.7060846249461394E-2</v>
      </c>
      <c r="AD127" s="503">
        <f>IF(終値!A127="","",IFERROR(4*STDEVP(終値!AG127:AZ127)/AVERAGE(終値!AG127:AZ127),""))</f>
        <v>6.1787427427953304E-2</v>
      </c>
      <c r="AE127" s="503">
        <f>IF(終値!A127="","",IFERROR(4*STDEVP(終値!AH127:BA127)/AVERAGE(終値!AH127:BA127),""))</f>
        <v>6.6940882193082932E-2</v>
      </c>
      <c r="AF127" s="503">
        <f>IF(終値!A127="","",IFERROR(4*STDEVP(終値!AI127:BB127)/AVERAGE(終値!AI127:BB127),""))</f>
        <v>7.7441509313844151E-2</v>
      </c>
      <c r="AG127" s="503">
        <f>IF(終値!A127="","",IFERROR(4*STDEVP(終値!AJ127:BC127)/AVERAGE(終値!AJ127:BC127),""))</f>
        <v>8.7194666606055654E-2</v>
      </c>
      <c r="AH127" s="503">
        <f>IF(終値!A127="","",IFERROR(4*STDEVP(終値!AK127:BD127)/AVERAGE(終値!AK127:BD127),""))</f>
        <v>8.6483015754655321E-2</v>
      </c>
      <c r="AI127" s="503">
        <f>IF(終値!A127="","",IFERROR(4*STDEVP(終値!AL127:BE127)/AVERAGE(終値!AL127:BE127),""))</f>
        <v>8.8989457047545142E-2</v>
      </c>
      <c r="AJ127" s="503">
        <f>IF(終値!A127="","",IFERROR(4*STDEVP(終値!AM127:BF127)/AVERAGE(終値!AM127:BF127),""))</f>
        <v>9.1842071623723029E-2</v>
      </c>
      <c r="AK127" s="503">
        <f>IF(終値!A127="","",IFERROR(4*STDEVP(終値!AN127:BG127)/AVERAGE(終値!AN127:BG127),""))</f>
        <v>9.5371766711311479E-2</v>
      </c>
      <c r="AL127" s="503">
        <f>IF(終値!A127="","",IFERROR(4*STDEVP(終値!AO127:BH127)/AVERAGE(終値!AO127:BH127),""))</f>
        <v>9.6744631425519048E-2</v>
      </c>
      <c r="AM127" s="503">
        <f>IF(終値!A127="","",IFERROR(4*STDEVP(終値!AP127:BI127)/AVERAGE(終値!AP127:BI127),""))</f>
        <v>9.5976154829920515E-2</v>
      </c>
      <c r="AN127" s="503">
        <f>IF(終値!A127="","",IFERROR(4*STDEVP(終値!AQ127:BJ127)/AVERAGE(終値!AQ127:BJ127),""))</f>
        <v>9.8733035239316175E-2</v>
      </c>
      <c r="AO127" s="503">
        <f>IF(終値!A127="","",IFERROR(4*STDEVP(終値!AR127:BK127)/AVERAGE(終値!AR127:BK127),""))</f>
        <v>0.10039633040371569</v>
      </c>
      <c r="AP127" s="503">
        <f>IF(終値!A127="","",IFERROR(4*STDEVP(終値!AS127:BL127)/AVERAGE(終値!AS127:BL127),""))</f>
        <v>9.889025878048395E-2</v>
      </c>
    </row>
    <row r="128" spans="1:42">
      <c r="A128" s="500" t="str">
        <f>IF(終値!A128="","",終値!A128)</f>
        <v>6330</v>
      </c>
      <c r="B128" s="503">
        <f>IF(終値!A128="","",IFERROR(4*STDEVP(終値!E128:X128)/AVERAGE(終値!E128:X128),""))</f>
        <v>0.17800722982294237</v>
      </c>
      <c r="C128" s="503">
        <f>IF(終値!A128="","",IFERROR(4*STDEVP(終値!F128:Y128)/AVERAGE(終値!F128:Y128),""))</f>
        <v>0.18418389296625648</v>
      </c>
      <c r="D128" s="503">
        <f>IF(終値!A128="","",IFERROR(4*STDEVP(終値!G128:Z128)/AVERAGE(終値!G128:Z128),""))</f>
        <v>0.18475006156443285</v>
      </c>
      <c r="E128" s="503">
        <f>IF(終値!A128="","",IFERROR(4*STDEVP(終値!H128:AA128)/AVERAGE(終値!H128:AA128),""))</f>
        <v>0.18488375664628801</v>
      </c>
      <c r="F128" s="503">
        <f>IF(終値!A128="","",IFERROR(4*STDEVP(終値!I128:AB128)/AVERAGE(終値!I128:AB128),""))</f>
        <v>0.18227638617212388</v>
      </c>
      <c r="G128" s="503">
        <f>IF(終値!A128="","",IFERROR(4*STDEVP(終値!J128:AC128)/AVERAGE(終値!J128:AC128),""))</f>
        <v>0.19465100011637759</v>
      </c>
      <c r="H128" s="503">
        <f>IF(終値!A128="","",IFERROR(4*STDEVP(終値!K128:AD128)/AVERAGE(終値!K128:AD128),""))</f>
        <v>0.19600839561545844</v>
      </c>
      <c r="I128" s="503">
        <f>IF(終値!A128="","",IFERROR(4*STDEVP(終値!L128:AE128)/AVERAGE(終値!L128:AE128),""))</f>
        <v>0.18922920506944399</v>
      </c>
      <c r="J128" s="503">
        <f>IF(終値!A128="","",IFERROR(4*STDEVP(終値!M128:AF128)/AVERAGE(終値!M128:AF128),""))</f>
        <v>0.18681188752447664</v>
      </c>
      <c r="K128" s="503">
        <f>IF(終値!A128="","",IFERROR(4*STDEVP(終値!N128:AG128)/AVERAGE(終値!N128:AG128),""))</f>
        <v>0.18896251056296534</v>
      </c>
      <c r="L128" s="503">
        <f>IF(終値!A128="","",IFERROR(4*STDEVP(終値!O128:AH128)/AVERAGE(終値!O128:AH128),""))</f>
        <v>0.18685030614814799</v>
      </c>
      <c r="M128" s="503">
        <f>IF(終値!A128="","",IFERROR(4*STDEVP(終値!P128:AI128)/AVERAGE(終値!P128:AI128),""))</f>
        <v>0.18415959039583943</v>
      </c>
      <c r="N128" s="503">
        <f>IF(終値!A128="","",IFERROR(4*STDEVP(終値!Q128:AJ128)/AVERAGE(終値!Q128:AJ128),""))</f>
        <v>0.15732303958675439</v>
      </c>
      <c r="O128" s="503">
        <f>IF(終値!A128="","",IFERROR(4*STDEVP(終値!R128:AK128)/AVERAGE(終値!R128:AK128),""))</f>
        <v>0.17561933741898986</v>
      </c>
      <c r="P128" s="503">
        <f>IF(終値!A128="","",IFERROR(4*STDEVP(終値!S128:AL128)/AVERAGE(終値!S128:AL128),""))</f>
        <v>0.17589389266632988</v>
      </c>
      <c r="Q128" s="503">
        <f>IF(終値!A128="","",IFERROR(4*STDEVP(終値!T128:AM128)/AVERAGE(終値!T128:AM128),""))</f>
        <v>0.17222749052764941</v>
      </c>
      <c r="R128" s="503">
        <f>IF(終値!A128="","",IFERROR(4*STDEVP(終値!U128:AN128)/AVERAGE(終値!U128:AN128),""))</f>
        <v>0.17447097630911601</v>
      </c>
      <c r="S128" s="503">
        <f>IF(終値!A128="","",IFERROR(4*STDEVP(終値!V128:AO128)/AVERAGE(終値!V128:AO128),""))</f>
        <v>0.19413233106552544</v>
      </c>
      <c r="T128" s="503">
        <f>IF(終値!A128="","",IFERROR(4*STDEVP(終値!W128:AP128)/AVERAGE(終値!W128:AP128),""))</f>
        <v>0.20158004948000674</v>
      </c>
      <c r="U128" s="503">
        <f>IF(終値!A128="","",IFERROR(4*STDEVP(終値!X128:AQ128)/AVERAGE(終値!X128:AQ128),""))</f>
        <v>0.20192974864231561</v>
      </c>
      <c r="V128" s="503">
        <f>IF(終値!A128="","",IFERROR(4*STDEVP(終値!Y128:AR128)/AVERAGE(終値!Y128:AR128),""))</f>
        <v>0.19121956261957646</v>
      </c>
      <c r="W128" s="503">
        <f>IF(終値!A128="","",IFERROR(4*STDEVP(終値!Z128:AS128)/AVERAGE(終値!Z128:AS128),""))</f>
        <v>0.19018422355745662</v>
      </c>
      <c r="X128" s="503">
        <f>IF(終値!A128="","",IFERROR(4*STDEVP(終値!AA128:AT128)/AVERAGE(終値!AA128:AT128),""))</f>
        <v>0.18974325324299135</v>
      </c>
      <c r="Y128" s="503">
        <f>IF(終値!A128="","",IFERROR(4*STDEVP(終値!AB128:AU128)/AVERAGE(終値!AB128:AU128),""))</f>
        <v>0.19129534651007973</v>
      </c>
      <c r="Z128" s="503">
        <f>IF(終値!A128="","",IFERROR(4*STDEVP(終値!AC128:AV128)/AVERAGE(終値!AC128:AV128),""))</f>
        <v>0.19134908205108428</v>
      </c>
      <c r="AA128" s="503">
        <f>IF(終値!A128="","",IFERROR(4*STDEVP(終値!AD128:AW128)/AVERAGE(終値!AD128:AW128),""))</f>
        <v>0.18514207196328167</v>
      </c>
      <c r="AB128" s="503">
        <f>IF(終値!A128="","",IFERROR(4*STDEVP(終値!AE128:AX128)/AVERAGE(終値!AE128:AX128),""))</f>
        <v>0.18675191511798775</v>
      </c>
      <c r="AC128" s="503">
        <f>IF(終値!A128="","",IFERROR(4*STDEVP(終値!AF128:AY128)/AVERAGE(終値!AF128:AY128),""))</f>
        <v>0.19642335120737164</v>
      </c>
      <c r="AD128" s="503">
        <f>IF(終値!A128="","",IFERROR(4*STDEVP(終値!AG128:AZ128)/AVERAGE(終値!AG128:AZ128),""))</f>
        <v>0.19992825589800481</v>
      </c>
      <c r="AE128" s="503">
        <f>IF(終値!A128="","",IFERROR(4*STDEVP(終値!AH128:BA128)/AVERAGE(終値!AH128:BA128),""))</f>
        <v>0.1885170663743834</v>
      </c>
      <c r="AF128" s="503">
        <f>IF(終値!A128="","",IFERROR(4*STDEVP(終値!AI128:BB128)/AVERAGE(終値!AI128:BB128),""))</f>
        <v>0.18831558444519353</v>
      </c>
      <c r="AG128" s="503">
        <f>IF(終値!A128="","",IFERROR(4*STDEVP(終値!AJ128:BC128)/AVERAGE(終値!AJ128:BC128),""))</f>
        <v>0.19026176347071158</v>
      </c>
      <c r="AH128" s="503">
        <f>IF(終値!A128="","",IFERROR(4*STDEVP(終値!AK128:BD128)/AVERAGE(終値!AK128:BD128),""))</f>
        <v>0.18760967965455153</v>
      </c>
      <c r="AI128" s="503">
        <f>IF(終値!A128="","",IFERROR(4*STDEVP(終値!AL128:BE128)/AVERAGE(終値!AL128:BE128),""))</f>
        <v>0.17614399184387478</v>
      </c>
      <c r="AJ128" s="503">
        <f>IF(終値!A128="","",IFERROR(4*STDEVP(終値!AM128:BF128)/AVERAGE(終値!AM128:BF128),""))</f>
        <v>0.18166493734165712</v>
      </c>
      <c r="AK128" s="503">
        <f>IF(終値!A128="","",IFERROR(4*STDEVP(終値!AN128:BG128)/AVERAGE(終値!AN128:BG128),""))</f>
        <v>0.18532157314346584</v>
      </c>
      <c r="AL128" s="503">
        <f>IF(終値!A128="","",IFERROR(4*STDEVP(終値!AO128:BH128)/AVERAGE(終値!AO128:BH128),""))</f>
        <v>0.18270195490821978</v>
      </c>
      <c r="AM128" s="503">
        <f>IF(終値!A128="","",IFERROR(4*STDEVP(終値!AP128:BI128)/AVERAGE(終値!AP128:BI128),""))</f>
        <v>0.16851837374274872</v>
      </c>
      <c r="AN128" s="503">
        <f>IF(終値!A128="","",IFERROR(4*STDEVP(終値!AQ128:BJ128)/AVERAGE(終値!AQ128:BJ128),""))</f>
        <v>0.18309961837845665</v>
      </c>
      <c r="AO128" s="503">
        <f>IF(終値!A128="","",IFERROR(4*STDEVP(終値!AR128:BK128)/AVERAGE(終値!AR128:BK128),""))</f>
        <v>0.19278826718259709</v>
      </c>
      <c r="AP128" s="503">
        <f>IF(終値!A128="","",IFERROR(4*STDEVP(終値!AS128:BL128)/AVERAGE(終値!AS128:BL128),""))</f>
        <v>0.20075025939991076</v>
      </c>
    </row>
    <row r="129" spans="1:42">
      <c r="A129" s="500" t="str">
        <f>IF(終値!A129="","",終値!A129)</f>
        <v>4082</v>
      </c>
      <c r="B129" s="503">
        <f>IF(終値!A129="","",IFERROR(4*STDEVP(終値!E129:X129)/AVERAGE(終値!E129:X129),""))</f>
        <v>0.22746460183721312</v>
      </c>
      <c r="C129" s="503">
        <f>IF(終値!A129="","",IFERROR(4*STDEVP(終値!F129:Y129)/AVERAGE(終値!F129:Y129),""))</f>
        <v>0.24279412323193372</v>
      </c>
      <c r="D129" s="503">
        <f>IF(終値!A129="","",IFERROR(4*STDEVP(終値!G129:Z129)/AVERAGE(終値!G129:Z129),""))</f>
        <v>0.25147841047598196</v>
      </c>
      <c r="E129" s="503">
        <f>IF(終値!A129="","",IFERROR(4*STDEVP(終値!H129:AA129)/AVERAGE(終値!H129:AA129),""))</f>
        <v>0.24956935773184571</v>
      </c>
      <c r="F129" s="503">
        <f>IF(終値!A129="","",IFERROR(4*STDEVP(終値!I129:AB129)/AVERAGE(終値!I129:AB129),""))</f>
        <v>0.23922777199888098</v>
      </c>
      <c r="G129" s="503">
        <f>IF(終値!A129="","",IFERROR(4*STDEVP(終値!J129:AC129)/AVERAGE(終値!J129:AC129),""))</f>
        <v>0.22133585661032465</v>
      </c>
      <c r="H129" s="503">
        <f>IF(終値!A129="","",IFERROR(4*STDEVP(終値!K129:AD129)/AVERAGE(終値!K129:AD129),""))</f>
        <v>0.20772680537772878</v>
      </c>
      <c r="I129" s="503">
        <f>IF(終値!A129="","",IFERROR(4*STDEVP(終値!L129:AE129)/AVERAGE(終値!L129:AE129),""))</f>
        <v>0.21923003487460474</v>
      </c>
      <c r="J129" s="503">
        <f>IF(終値!A129="","",IFERROR(4*STDEVP(終値!M129:AF129)/AVERAGE(終値!M129:AF129),""))</f>
        <v>0.20859177073224774</v>
      </c>
      <c r="K129" s="503">
        <f>IF(終値!A129="","",IFERROR(4*STDEVP(終値!N129:AG129)/AVERAGE(終値!N129:AG129),""))</f>
        <v>0.19794896193862122</v>
      </c>
      <c r="L129" s="503">
        <f>IF(終値!A129="","",IFERROR(4*STDEVP(終値!O129:AH129)/AVERAGE(終値!O129:AH129),""))</f>
        <v>0.19777261668244941</v>
      </c>
      <c r="M129" s="503">
        <f>IF(終値!A129="","",IFERROR(4*STDEVP(終値!P129:AI129)/AVERAGE(終値!P129:AI129),""))</f>
        <v>0.17657761861119556</v>
      </c>
      <c r="N129" s="503">
        <f>IF(終値!A129="","",IFERROR(4*STDEVP(終値!Q129:AJ129)/AVERAGE(終値!Q129:AJ129),""))</f>
        <v>0.12183512195831436</v>
      </c>
      <c r="O129" s="503">
        <f>IF(終値!A129="","",IFERROR(4*STDEVP(終値!R129:AK129)/AVERAGE(終値!R129:AK129),""))</f>
        <v>0.11790527833213171</v>
      </c>
      <c r="P129" s="503">
        <f>IF(終値!A129="","",IFERROR(4*STDEVP(終値!S129:AL129)/AVERAGE(終値!S129:AL129),""))</f>
        <v>0.11209319678390604</v>
      </c>
      <c r="Q129" s="503">
        <f>IF(終値!A129="","",IFERROR(4*STDEVP(終値!T129:AM129)/AVERAGE(終値!T129:AM129),""))</f>
        <v>0.10205391466364411</v>
      </c>
      <c r="R129" s="503">
        <f>IF(終値!A129="","",IFERROR(4*STDEVP(終値!U129:AN129)/AVERAGE(終値!U129:AN129),""))</f>
        <v>0.11805868892169655</v>
      </c>
      <c r="S129" s="503">
        <f>IF(終値!A129="","",IFERROR(4*STDEVP(終値!V129:AO129)/AVERAGE(終値!V129:AO129),""))</f>
        <v>0.13522593293394641</v>
      </c>
      <c r="T129" s="503">
        <f>IF(終値!A129="","",IFERROR(4*STDEVP(終値!W129:AP129)/AVERAGE(終値!W129:AP129),""))</f>
        <v>0.15791248321769827</v>
      </c>
      <c r="U129" s="503">
        <f>IF(終値!A129="","",IFERROR(4*STDEVP(終値!X129:AQ129)/AVERAGE(終値!X129:AQ129),""))</f>
        <v>0.15888989406311954</v>
      </c>
      <c r="V129" s="503">
        <f>IF(終値!A129="","",IFERROR(4*STDEVP(終値!Y129:AR129)/AVERAGE(終値!Y129:AR129),""))</f>
        <v>0.16102770950078818</v>
      </c>
      <c r="W129" s="503">
        <f>IF(終値!A129="","",IFERROR(4*STDEVP(終値!Z129:AS129)/AVERAGE(終値!Z129:AS129),""))</f>
        <v>0.16468838404881236</v>
      </c>
      <c r="X129" s="503">
        <f>IF(終値!A129="","",IFERROR(4*STDEVP(終値!AA129:AT129)/AVERAGE(終値!AA129:AT129),""))</f>
        <v>0.18136375580613398</v>
      </c>
      <c r="Y129" s="503">
        <f>IF(終値!A129="","",IFERROR(4*STDEVP(終値!AB129:AU129)/AVERAGE(終値!AB129:AU129),""))</f>
        <v>0.18936989122611544</v>
      </c>
      <c r="Z129" s="503">
        <f>IF(終値!A129="","",IFERROR(4*STDEVP(終値!AC129:AV129)/AVERAGE(終値!AC129:AV129),""))</f>
        <v>0.2180479671339382</v>
      </c>
      <c r="AA129" s="503">
        <f>IF(終値!A129="","",IFERROR(4*STDEVP(終値!AD129:AW129)/AVERAGE(終値!AD129:AW129),""))</f>
        <v>0.23240126970775271</v>
      </c>
      <c r="AB129" s="503">
        <f>IF(終値!A129="","",IFERROR(4*STDEVP(終値!AE129:AX129)/AVERAGE(終値!AE129:AX129),""))</f>
        <v>0.23701085382130746</v>
      </c>
      <c r="AC129" s="503">
        <f>IF(終値!A129="","",IFERROR(4*STDEVP(終値!AF129:AY129)/AVERAGE(終値!AF129:AY129),""))</f>
        <v>0.23504932919815347</v>
      </c>
      <c r="AD129" s="503">
        <f>IF(終値!A129="","",IFERROR(4*STDEVP(終値!AG129:AZ129)/AVERAGE(終値!AG129:AZ129),""))</f>
        <v>0.23548713192462312</v>
      </c>
      <c r="AE129" s="503">
        <f>IF(終値!A129="","",IFERROR(4*STDEVP(終値!AH129:BA129)/AVERAGE(終値!AH129:BA129),""))</f>
        <v>0.23827856522451274</v>
      </c>
      <c r="AF129" s="503">
        <f>IF(終値!A129="","",IFERROR(4*STDEVP(終値!AI129:BB129)/AVERAGE(終値!AI129:BB129),""))</f>
        <v>0.24016828052626613</v>
      </c>
      <c r="AG129" s="503">
        <f>IF(終値!A129="","",IFERROR(4*STDEVP(終値!AJ129:BC129)/AVERAGE(終値!AJ129:BC129),""))</f>
        <v>0.24264149963379905</v>
      </c>
      <c r="AH129" s="503">
        <f>IF(終値!A129="","",IFERROR(4*STDEVP(終値!AK129:BD129)/AVERAGE(終値!AK129:BD129),""))</f>
        <v>0.24574225160801141</v>
      </c>
      <c r="AI129" s="503">
        <f>IF(終値!A129="","",IFERROR(4*STDEVP(終値!AL129:BE129)/AVERAGE(終値!AL129:BE129),""))</f>
        <v>0.25128188969397774</v>
      </c>
      <c r="AJ129" s="503">
        <f>IF(終値!A129="","",IFERROR(4*STDEVP(終値!AM129:BF129)/AVERAGE(終値!AM129:BF129),""))</f>
        <v>0.31446438636009877</v>
      </c>
      <c r="AK129" s="503">
        <f>IF(終値!A129="","",IFERROR(4*STDEVP(終値!AN129:BG129)/AVERAGE(終値!AN129:BG129),""))</f>
        <v>0.37298423232999861</v>
      </c>
      <c r="AL129" s="503">
        <f>IF(終値!A129="","",IFERROR(4*STDEVP(終値!AO129:BH129)/AVERAGE(終値!AO129:BH129),""))</f>
        <v>0.39661808623085859</v>
      </c>
      <c r="AM129" s="503">
        <f>IF(終値!A129="","",IFERROR(4*STDEVP(終値!AP129:BI129)/AVERAGE(終値!AP129:BI129),""))</f>
        <v>0.42597093678974107</v>
      </c>
      <c r="AN129" s="503">
        <f>IF(終値!A129="","",IFERROR(4*STDEVP(終値!AQ129:BJ129)/AVERAGE(終値!AQ129:BJ129),""))</f>
        <v>0.4070567897158246</v>
      </c>
      <c r="AO129" s="503">
        <f>IF(終値!A129="","",IFERROR(4*STDEVP(終値!AR129:BK129)/AVERAGE(終値!AR129:BK129),""))</f>
        <v>0.39266906054825479</v>
      </c>
      <c r="AP129" s="503">
        <f>IF(終値!A129="","",IFERROR(4*STDEVP(終値!AS129:BL129)/AVERAGE(終値!AS129:BL129),""))</f>
        <v>0.38644879199567961</v>
      </c>
    </row>
    <row r="130" spans="1:42">
      <c r="A130" s="500" t="str">
        <f>IF(終値!A130="","",終値!A130)</f>
        <v>4519</v>
      </c>
      <c r="B130" s="503">
        <f>IF(終値!A130="","",IFERROR(4*STDEVP(終値!E130:X130)/AVERAGE(終値!E130:X130),""))</f>
        <v>0.14250504529736477</v>
      </c>
      <c r="C130" s="503">
        <f>IF(終値!A130="","",IFERROR(4*STDEVP(終値!F130:Y130)/AVERAGE(終値!F130:Y130),""))</f>
        <v>0.13680990413131089</v>
      </c>
      <c r="D130" s="503">
        <f>IF(終値!A130="","",IFERROR(4*STDEVP(終値!G130:Z130)/AVERAGE(終値!G130:Z130),""))</f>
        <v>0.11822653281278121</v>
      </c>
      <c r="E130" s="503">
        <f>IF(終値!A130="","",IFERROR(4*STDEVP(終値!H130:AA130)/AVERAGE(終値!H130:AA130),""))</f>
        <v>0.10966959379672217</v>
      </c>
      <c r="F130" s="503">
        <f>IF(終値!A130="","",IFERROR(4*STDEVP(終値!I130:AB130)/AVERAGE(終値!I130:AB130),""))</f>
        <v>0.10963026622554344</v>
      </c>
      <c r="G130" s="503">
        <f>IF(終値!A130="","",IFERROR(4*STDEVP(終値!J130:AC130)/AVERAGE(終値!J130:AC130),""))</f>
        <v>0.10911881542588323</v>
      </c>
      <c r="H130" s="503">
        <f>IF(終値!A130="","",IFERROR(4*STDEVP(終値!K130:AD130)/AVERAGE(終値!K130:AD130),""))</f>
        <v>0.10028247141072567</v>
      </c>
      <c r="I130" s="503">
        <f>IF(終値!A130="","",IFERROR(4*STDEVP(終値!L130:AE130)/AVERAGE(終値!L130:AE130),""))</f>
        <v>7.7605797661908851E-2</v>
      </c>
      <c r="J130" s="503">
        <f>IF(終値!A130="","",IFERROR(4*STDEVP(終値!M130:AF130)/AVERAGE(終値!M130:AF130),""))</f>
        <v>7.6585619254890477E-2</v>
      </c>
      <c r="K130" s="503">
        <f>IF(終値!A130="","",IFERROR(4*STDEVP(終値!N130:AG130)/AVERAGE(終値!N130:AG130),""))</f>
        <v>7.2870790214586881E-2</v>
      </c>
      <c r="L130" s="503">
        <f>IF(終値!A130="","",IFERROR(4*STDEVP(終値!O130:AH130)/AVERAGE(終値!O130:AH130),""))</f>
        <v>7.2631013890121943E-2</v>
      </c>
      <c r="M130" s="503">
        <f>IF(終値!A130="","",IFERROR(4*STDEVP(終値!P130:AI130)/AVERAGE(終値!P130:AI130),""))</f>
        <v>7.3983720625024105E-2</v>
      </c>
      <c r="N130" s="503">
        <f>IF(終値!A130="","",IFERROR(4*STDEVP(終値!Q130:AJ130)/AVERAGE(終値!Q130:AJ130),""))</f>
        <v>7.4302092120956745E-2</v>
      </c>
      <c r="O130" s="503">
        <f>IF(終値!A130="","",IFERROR(4*STDEVP(終値!R130:AK130)/AVERAGE(終値!R130:AK130),""))</f>
        <v>6.7009193817414589E-2</v>
      </c>
      <c r="P130" s="503">
        <f>IF(終値!A130="","",IFERROR(4*STDEVP(終値!S130:AL130)/AVERAGE(終値!S130:AL130),""))</f>
        <v>6.1000055836669252E-2</v>
      </c>
      <c r="Q130" s="503">
        <f>IF(終値!A130="","",IFERROR(4*STDEVP(終値!T130:AM130)/AVERAGE(終値!T130:AM130),""))</f>
        <v>5.3080302492237039E-2</v>
      </c>
      <c r="R130" s="503">
        <f>IF(終値!A130="","",IFERROR(4*STDEVP(終値!U130:AN130)/AVERAGE(終値!U130:AN130),""))</f>
        <v>5.1827635298111831E-2</v>
      </c>
      <c r="S130" s="503">
        <f>IF(終値!A130="","",IFERROR(4*STDEVP(終値!V130:AO130)/AVERAGE(終値!V130:AO130),""))</f>
        <v>4.9802454477467221E-2</v>
      </c>
      <c r="T130" s="503">
        <f>IF(終値!A130="","",IFERROR(4*STDEVP(終値!W130:AP130)/AVERAGE(終値!W130:AP130),""))</f>
        <v>4.6453959798804789E-2</v>
      </c>
      <c r="U130" s="503">
        <f>IF(終値!A130="","",IFERROR(4*STDEVP(終値!X130:AQ130)/AVERAGE(終値!X130:AQ130),""))</f>
        <v>4.472305881325659E-2</v>
      </c>
      <c r="V130" s="503">
        <f>IF(終値!A130="","",IFERROR(4*STDEVP(終値!Y130:AR130)/AVERAGE(終値!Y130:AR130),""))</f>
        <v>4.4906270551066836E-2</v>
      </c>
      <c r="W130" s="503">
        <f>IF(終値!A130="","",IFERROR(4*STDEVP(終値!Z130:AS130)/AVERAGE(終値!Z130:AS130),""))</f>
        <v>4.2388760501964419E-2</v>
      </c>
      <c r="X130" s="503">
        <f>IF(終値!A130="","",IFERROR(4*STDEVP(終値!AA130:AT130)/AVERAGE(終値!AA130:AT130),""))</f>
        <v>4.2310034014517606E-2</v>
      </c>
      <c r="Y130" s="503">
        <f>IF(終値!A130="","",IFERROR(4*STDEVP(終値!AB130:AU130)/AVERAGE(終値!AB130:AU130),""))</f>
        <v>3.5080110738205696E-2</v>
      </c>
      <c r="Z130" s="503">
        <f>IF(終値!A130="","",IFERROR(4*STDEVP(終値!AC130:AV130)/AVERAGE(終値!AC130:AV130),""))</f>
        <v>5.5907886553580213E-2</v>
      </c>
      <c r="AA130" s="503">
        <f>IF(終値!A130="","",IFERROR(4*STDEVP(終値!AD130:AW130)/AVERAGE(終値!AD130:AW130),""))</f>
        <v>6.0764622478617379E-2</v>
      </c>
      <c r="AB130" s="503">
        <f>IF(終値!A130="","",IFERROR(4*STDEVP(終値!AE130:AX130)/AVERAGE(終値!AE130:AX130),""))</f>
        <v>7.0339554265515983E-2</v>
      </c>
      <c r="AC130" s="503">
        <f>IF(終値!A130="","",IFERROR(4*STDEVP(終値!AF130:AY130)/AVERAGE(終値!AF130:AY130),""))</f>
        <v>9.4341750807866706E-2</v>
      </c>
      <c r="AD130" s="503">
        <f>IF(終値!A130="","",IFERROR(4*STDEVP(終値!AG130:AZ130)/AVERAGE(終値!AG130:AZ130),""))</f>
        <v>0.1089360951198676</v>
      </c>
      <c r="AE130" s="503">
        <f>IF(終値!A130="","",IFERROR(4*STDEVP(終値!AH130:BA130)/AVERAGE(終値!AH130:BA130),""))</f>
        <v>0.10875343482956862</v>
      </c>
      <c r="AF130" s="503">
        <f>IF(終値!A130="","",IFERROR(4*STDEVP(終値!AI130:BB130)/AVERAGE(終値!AI130:BB130),""))</f>
        <v>0.11120216952854503</v>
      </c>
      <c r="AG130" s="503">
        <f>IF(終値!A130="","",IFERROR(4*STDEVP(終値!AJ130:BC130)/AVERAGE(終値!AJ130:BC130),""))</f>
        <v>0.11424668428900142</v>
      </c>
      <c r="AH130" s="503">
        <f>IF(終値!A130="","",IFERROR(4*STDEVP(終値!AK130:BD130)/AVERAGE(終値!AK130:BD130),""))</f>
        <v>0.11537607268508705</v>
      </c>
      <c r="AI130" s="503">
        <f>IF(終値!A130="","",IFERROR(4*STDEVP(終値!AL130:BE130)/AVERAGE(終値!AL130:BE130),""))</f>
        <v>0.11813990714052715</v>
      </c>
      <c r="AJ130" s="503">
        <f>IF(終値!A130="","",IFERROR(4*STDEVP(終値!AM130:BF130)/AVERAGE(終値!AM130:BF130),""))</f>
        <v>0.12302187573171927</v>
      </c>
      <c r="AK130" s="503">
        <f>IF(終値!A130="","",IFERROR(4*STDEVP(終値!AN130:BG130)/AVERAGE(終値!AN130:BG130),""))</f>
        <v>0.11716474990264368</v>
      </c>
      <c r="AL130" s="503">
        <f>IF(終値!A130="","",IFERROR(4*STDEVP(終値!AO130:BH130)/AVERAGE(終値!AO130:BH130),""))</f>
        <v>0.11109296352077604</v>
      </c>
      <c r="AM130" s="503">
        <f>IF(終値!A130="","",IFERROR(4*STDEVP(終値!AP130:BI130)/AVERAGE(終値!AP130:BI130),""))</f>
        <v>0.10437984748973848</v>
      </c>
      <c r="AN130" s="503">
        <f>IF(終値!A130="","",IFERROR(4*STDEVP(終値!AQ130:BJ130)/AVERAGE(終値!AQ130:BJ130),""))</f>
        <v>0.10063604496870804</v>
      </c>
      <c r="AO130" s="503">
        <f>IF(終値!A130="","",IFERROR(4*STDEVP(終値!AR130:BK130)/AVERAGE(終値!AR130:BK130),""))</f>
        <v>9.5623130412432089E-2</v>
      </c>
      <c r="AP130" s="503">
        <f>IF(終値!A130="","",IFERROR(4*STDEVP(終値!AS130:BL130)/AVERAGE(終値!AS130:BL130),""))</f>
        <v>9.8081149364248596E-2</v>
      </c>
    </row>
    <row r="131" spans="1:42">
      <c r="A131" s="500" t="str">
        <f>IF(終値!A131="","",終値!A131)</f>
        <v>2160</v>
      </c>
      <c r="B131" s="503">
        <f>IF(終値!A131="","",IFERROR(4*STDEVP(終値!E131:X131)/AVERAGE(終値!E131:X131),""))</f>
        <v>0.20726847074860941</v>
      </c>
      <c r="C131" s="503">
        <f>IF(終値!A131="","",IFERROR(4*STDEVP(終値!F131:Y131)/AVERAGE(終値!F131:Y131),""))</f>
        <v>0.2300980780296813</v>
      </c>
      <c r="D131" s="503">
        <f>IF(終値!A131="","",IFERROR(4*STDEVP(終値!G131:Z131)/AVERAGE(終値!G131:Z131),""))</f>
        <v>0.24569228025502238</v>
      </c>
      <c r="E131" s="503">
        <f>IF(終値!A131="","",IFERROR(4*STDEVP(終値!H131:AA131)/AVERAGE(終値!H131:AA131),""))</f>
        <v>0.24976378572554681</v>
      </c>
      <c r="F131" s="503">
        <f>IF(終値!A131="","",IFERROR(4*STDEVP(終値!I131:AB131)/AVERAGE(終値!I131:AB131),""))</f>
        <v>0.24174116707645799</v>
      </c>
      <c r="G131" s="503">
        <f>IF(終値!A131="","",IFERROR(4*STDEVP(終値!J131:AC131)/AVERAGE(終値!J131:AC131),""))</f>
        <v>0.21572723397682961</v>
      </c>
      <c r="H131" s="503">
        <f>IF(終値!A131="","",IFERROR(4*STDEVP(終値!K131:AD131)/AVERAGE(終値!K131:AD131),""))</f>
        <v>0.20999040645662354</v>
      </c>
      <c r="I131" s="503">
        <f>IF(終値!A131="","",IFERROR(4*STDEVP(終値!L131:AE131)/AVERAGE(終値!L131:AE131),""))</f>
        <v>0.20966555906673962</v>
      </c>
      <c r="J131" s="503">
        <f>IF(終値!A131="","",IFERROR(4*STDEVP(終値!M131:AF131)/AVERAGE(終値!M131:AF131),""))</f>
        <v>0.21514348792822943</v>
      </c>
      <c r="K131" s="503">
        <f>IF(終値!A131="","",IFERROR(4*STDEVP(終値!N131:AG131)/AVERAGE(終値!N131:AG131),""))</f>
        <v>0.21852241057636365</v>
      </c>
      <c r="L131" s="503">
        <f>IF(終値!A131="","",IFERROR(4*STDEVP(終値!O131:AH131)/AVERAGE(終値!O131:AH131),""))</f>
        <v>0.22110936278348628</v>
      </c>
      <c r="M131" s="503">
        <f>IF(終値!A131="","",IFERROR(4*STDEVP(終値!P131:AI131)/AVERAGE(終値!P131:AI131),""))</f>
        <v>0.21927232455976772</v>
      </c>
      <c r="N131" s="503">
        <f>IF(終値!A131="","",IFERROR(4*STDEVP(終値!Q131:AJ131)/AVERAGE(終値!Q131:AJ131),""))</f>
        <v>0.20647395406501001</v>
      </c>
      <c r="O131" s="503">
        <f>IF(終値!A131="","",IFERROR(4*STDEVP(終値!R131:AK131)/AVERAGE(終値!R131:AK131),""))</f>
        <v>0.20948605688913313</v>
      </c>
      <c r="P131" s="503">
        <f>IF(終値!A131="","",IFERROR(4*STDEVP(終値!S131:AL131)/AVERAGE(終値!S131:AL131),""))</f>
        <v>0.21527037283749309</v>
      </c>
      <c r="Q131" s="503">
        <f>IF(終値!A131="","",IFERROR(4*STDEVP(終値!T131:AM131)/AVERAGE(終値!T131:AM131),""))</f>
        <v>0.22024535854018706</v>
      </c>
      <c r="R131" s="503">
        <f>IF(終値!A131="","",IFERROR(4*STDEVP(終値!U131:AN131)/AVERAGE(終値!U131:AN131),""))</f>
        <v>0.22421794402198211</v>
      </c>
      <c r="S131" s="503">
        <f>IF(終値!A131="","",IFERROR(4*STDEVP(終値!V131:AO131)/AVERAGE(終値!V131:AO131),""))</f>
        <v>0.22336298422466747</v>
      </c>
      <c r="T131" s="503">
        <f>IF(終値!A131="","",IFERROR(4*STDEVP(終値!W131:AP131)/AVERAGE(終値!W131:AP131),""))</f>
        <v>0.22406126267109158</v>
      </c>
      <c r="U131" s="503">
        <f>IF(終値!A131="","",IFERROR(4*STDEVP(終値!X131:AQ131)/AVERAGE(終値!X131:AQ131),""))</f>
        <v>0.22245528631201514</v>
      </c>
      <c r="V131" s="503">
        <f>IF(終値!A131="","",IFERROR(4*STDEVP(終値!Y131:AR131)/AVERAGE(終値!Y131:AR131),""))</f>
        <v>0.21710292989181801</v>
      </c>
      <c r="W131" s="503">
        <f>IF(終値!A131="","",IFERROR(4*STDEVP(終値!Z131:AS131)/AVERAGE(終値!Z131:AS131),""))</f>
        <v>0.20610038317165894</v>
      </c>
      <c r="X131" s="503">
        <f>IF(終値!A131="","",IFERROR(4*STDEVP(終値!AA131:AT131)/AVERAGE(終値!AA131:AT131),""))</f>
        <v>0.19309843065284465</v>
      </c>
      <c r="Y131" s="503">
        <f>IF(終値!A131="","",IFERROR(4*STDEVP(終値!AB131:AU131)/AVERAGE(終値!AB131:AU131),""))</f>
        <v>0.18608050461688155</v>
      </c>
      <c r="Z131" s="503">
        <f>IF(終値!A131="","",IFERROR(4*STDEVP(終値!AC131:AV131)/AVERAGE(終値!AC131:AV131),""))</f>
        <v>0.1703164594634915</v>
      </c>
      <c r="AA131" s="503">
        <f>IF(終値!A131="","",IFERROR(4*STDEVP(終値!AD131:AW131)/AVERAGE(終値!AD131:AW131),""))</f>
        <v>0.1582934393537761</v>
      </c>
      <c r="AB131" s="503">
        <f>IF(終値!A131="","",IFERROR(4*STDEVP(終値!AE131:AX131)/AVERAGE(終値!AE131:AX131),""))</f>
        <v>0.15615726386664716</v>
      </c>
      <c r="AC131" s="503">
        <f>IF(終値!A131="","",IFERROR(4*STDEVP(終値!AF131:AY131)/AVERAGE(終値!AF131:AY131),""))</f>
        <v>0.17302240734834945</v>
      </c>
      <c r="AD131" s="503">
        <f>IF(終値!A131="","",IFERROR(4*STDEVP(終値!AG131:AZ131)/AVERAGE(終値!AG131:AZ131),""))</f>
        <v>0.1819955521868156</v>
      </c>
      <c r="AE131" s="503">
        <f>IF(終値!A131="","",IFERROR(4*STDEVP(終値!AH131:BA131)/AVERAGE(終値!AH131:BA131),""))</f>
        <v>0.18760192882286605</v>
      </c>
      <c r="AF131" s="503">
        <f>IF(終値!A131="","",IFERROR(4*STDEVP(終値!AI131:BB131)/AVERAGE(終値!AI131:BB131),""))</f>
        <v>0.17845620880063567</v>
      </c>
      <c r="AG131" s="503">
        <f>IF(終値!A131="","",IFERROR(4*STDEVP(終値!AJ131:BC131)/AVERAGE(終値!AJ131:BC131),""))</f>
        <v>0.17962330161304185</v>
      </c>
      <c r="AH131" s="503">
        <f>IF(終値!A131="","",IFERROR(4*STDEVP(終値!AK131:BD131)/AVERAGE(終値!AK131:BD131),""))</f>
        <v>0.17881267093766468</v>
      </c>
      <c r="AI131" s="503">
        <f>IF(終値!A131="","",IFERROR(4*STDEVP(終値!AL131:BE131)/AVERAGE(終値!AL131:BE131),""))</f>
        <v>0.19233782359696455</v>
      </c>
      <c r="AJ131" s="503">
        <f>IF(終値!A131="","",IFERROR(4*STDEVP(終値!AM131:BF131)/AVERAGE(終値!AM131:BF131),""))</f>
        <v>0.2027436399826163</v>
      </c>
      <c r="AK131" s="503">
        <f>IF(終値!A131="","",IFERROR(4*STDEVP(終値!AN131:BG131)/AVERAGE(終値!AN131:BG131),""))</f>
        <v>0.24377337538028271</v>
      </c>
      <c r="AL131" s="503">
        <f>IF(終値!A131="","",IFERROR(4*STDEVP(終値!AO131:BH131)/AVERAGE(終値!AO131:BH131),""))</f>
        <v>0.23751769310150964</v>
      </c>
      <c r="AM131" s="503">
        <f>IF(終値!A131="","",IFERROR(4*STDEVP(終値!AP131:BI131)/AVERAGE(終値!AP131:BI131),""))</f>
        <v>0.24287237916335755</v>
      </c>
      <c r="AN131" s="503">
        <f>IF(終値!A131="","",IFERROR(4*STDEVP(終値!AQ131:BJ131)/AVERAGE(終値!AQ131:BJ131),""))</f>
        <v>0.24690786810646195</v>
      </c>
      <c r="AO131" s="503">
        <f>IF(終値!A131="","",IFERROR(4*STDEVP(終値!AR131:BK131)/AVERAGE(終値!AR131:BK131),""))</f>
        <v>0.25694302443287326</v>
      </c>
      <c r="AP131" s="503">
        <f>IF(終値!A131="","",IFERROR(4*STDEVP(終値!AS131:BL131)/AVERAGE(終値!AS131:BL131),""))</f>
        <v>0.26304558643287973</v>
      </c>
    </row>
    <row r="132" spans="1:42">
      <c r="A132" s="500" t="str">
        <f>IF(終値!A132="","",終値!A132)</f>
        <v>6227</v>
      </c>
      <c r="B132" s="503">
        <f>IF(終値!A132="","",IFERROR(4*STDEVP(終値!E132:X132)/AVERAGE(終値!E132:X132),""))</f>
        <v>0.43139226548011567</v>
      </c>
      <c r="C132" s="503">
        <f>IF(終値!A132="","",IFERROR(4*STDEVP(終値!F132:Y132)/AVERAGE(終値!F132:Y132),""))</f>
        <v>0.43237642066001292</v>
      </c>
      <c r="D132" s="503">
        <f>IF(終値!A132="","",IFERROR(4*STDEVP(終値!G132:Z132)/AVERAGE(終値!G132:Z132),""))</f>
        <v>0.43428371612032185</v>
      </c>
      <c r="E132" s="503">
        <f>IF(終値!A132="","",IFERROR(4*STDEVP(終値!H132:AA132)/AVERAGE(終値!H132:AA132),""))</f>
        <v>0.44478751102186803</v>
      </c>
      <c r="F132" s="503">
        <f>IF(終値!A132="","",IFERROR(4*STDEVP(終値!I132:AB132)/AVERAGE(終値!I132:AB132),""))</f>
        <v>0.41787715637102868</v>
      </c>
      <c r="G132" s="503">
        <f>IF(終値!A132="","",IFERROR(4*STDEVP(終値!J132:AC132)/AVERAGE(終値!J132:AC132),""))</f>
        <v>0.37268758183590484</v>
      </c>
      <c r="H132" s="503">
        <f>IF(終値!A132="","",IFERROR(4*STDEVP(終値!K132:AD132)/AVERAGE(終値!K132:AD132),""))</f>
        <v>0.35383039930714</v>
      </c>
      <c r="I132" s="503">
        <f>IF(終値!A132="","",IFERROR(4*STDEVP(終値!L132:AE132)/AVERAGE(終値!L132:AE132),""))</f>
        <v>0.35897356288265825</v>
      </c>
      <c r="J132" s="503">
        <f>IF(終値!A132="","",IFERROR(4*STDEVP(終値!M132:AF132)/AVERAGE(終値!M132:AF132),""))</f>
        <v>0.3504044392972287</v>
      </c>
      <c r="K132" s="503">
        <f>IF(終値!A132="","",IFERROR(4*STDEVP(終値!N132:AG132)/AVERAGE(終値!N132:AG132),""))</f>
        <v>0.35054720264553252</v>
      </c>
      <c r="L132" s="503">
        <f>IF(終値!A132="","",IFERROR(4*STDEVP(終値!O132:AH132)/AVERAGE(終値!O132:AH132),""))</f>
        <v>0.36801523982079554</v>
      </c>
      <c r="M132" s="503">
        <f>IF(終値!A132="","",IFERROR(4*STDEVP(終値!P132:AI132)/AVERAGE(終値!P132:AI132),""))</f>
        <v>0.36784775516664525</v>
      </c>
      <c r="N132" s="503">
        <f>IF(終値!A132="","",IFERROR(4*STDEVP(終値!Q132:AJ132)/AVERAGE(終値!Q132:AJ132),""))</f>
        <v>0.36973859843922963</v>
      </c>
      <c r="O132" s="503">
        <f>IF(終値!A132="","",IFERROR(4*STDEVP(終値!R132:AK132)/AVERAGE(終値!R132:AK132),""))</f>
        <v>0.39306166824678984</v>
      </c>
      <c r="P132" s="503">
        <f>IF(終値!A132="","",IFERROR(4*STDEVP(終値!S132:AL132)/AVERAGE(終値!S132:AL132),""))</f>
        <v>0.39223069223409779</v>
      </c>
      <c r="Q132" s="503">
        <f>IF(終値!A132="","",IFERROR(4*STDEVP(終値!T132:AM132)/AVERAGE(終値!T132:AM132),""))</f>
        <v>0.41349134354127109</v>
      </c>
      <c r="R132" s="503">
        <f>IF(終値!A132="","",IFERROR(4*STDEVP(終値!U132:AN132)/AVERAGE(終値!U132:AN132),""))</f>
        <v>0.42047187093664706</v>
      </c>
      <c r="S132" s="503">
        <f>IF(終値!A132="","",IFERROR(4*STDEVP(終値!V132:AO132)/AVERAGE(終値!V132:AO132),""))</f>
        <v>0.3840620189732436</v>
      </c>
      <c r="T132" s="503">
        <f>IF(終値!A132="","",IFERROR(4*STDEVP(終値!W132:AP132)/AVERAGE(終値!W132:AP132),""))</f>
        <v>0.33255784938051774</v>
      </c>
      <c r="U132" s="503">
        <f>IF(終値!A132="","",IFERROR(4*STDEVP(終値!X132:AQ132)/AVERAGE(終値!X132:AQ132),""))</f>
        <v>0.29065918307755878</v>
      </c>
      <c r="V132" s="503">
        <f>IF(終値!A132="","",IFERROR(4*STDEVP(終値!Y132:AR132)/AVERAGE(終値!Y132:AR132),""))</f>
        <v>0.26697285287496708</v>
      </c>
      <c r="W132" s="503">
        <f>IF(終値!A132="","",IFERROR(4*STDEVP(終値!Z132:AS132)/AVERAGE(終値!Z132:AS132),""))</f>
        <v>0.2824764399811121</v>
      </c>
      <c r="X132" s="503">
        <f>IF(終値!A132="","",IFERROR(4*STDEVP(終値!AA132:AT132)/AVERAGE(終値!AA132:AT132),""))</f>
        <v>0.3201157625843587</v>
      </c>
      <c r="Y132" s="503">
        <f>IF(終値!A132="","",IFERROR(4*STDEVP(終値!AB132:AU132)/AVERAGE(終値!AB132:AU132),""))</f>
        <v>0.34864112264486002</v>
      </c>
      <c r="Z132" s="503">
        <f>IF(終値!A132="","",IFERROR(4*STDEVP(終値!AC132:AV132)/AVERAGE(終値!AC132:AV132),""))</f>
        <v>0.39736298378239499</v>
      </c>
      <c r="AA132" s="503">
        <f>IF(終値!A132="","",IFERROR(4*STDEVP(終値!AD132:AW132)/AVERAGE(終値!AD132:AW132),""))</f>
        <v>0.43828446187432635</v>
      </c>
      <c r="AB132" s="503">
        <f>IF(終値!A132="","",IFERROR(4*STDEVP(終値!AE132:AX132)/AVERAGE(終値!AE132:AX132),""))</f>
        <v>0.48051656292155454</v>
      </c>
      <c r="AC132" s="503">
        <f>IF(終値!A132="","",IFERROR(4*STDEVP(終値!AF132:AY132)/AVERAGE(終値!AF132:AY132),""))</f>
        <v>0.49160907759215611</v>
      </c>
      <c r="AD132" s="503">
        <f>IF(終値!A132="","",IFERROR(4*STDEVP(終値!AG132:AZ132)/AVERAGE(終値!AG132:AZ132),""))</f>
        <v>0.50773695006822439</v>
      </c>
      <c r="AE132" s="503">
        <f>IF(終値!A132="","",IFERROR(4*STDEVP(終値!AH132:BA132)/AVERAGE(終値!AH132:BA132),""))</f>
        <v>0.52066985692454937</v>
      </c>
      <c r="AF132" s="503">
        <f>IF(終値!A132="","",IFERROR(4*STDEVP(終値!AI132:BB132)/AVERAGE(終値!AI132:BB132),""))</f>
        <v>0.50560139676336213</v>
      </c>
      <c r="AG132" s="503">
        <f>IF(終値!A132="","",IFERROR(4*STDEVP(終値!AJ132:BC132)/AVERAGE(終値!AJ132:BC132),""))</f>
        <v>0.50546749416599979</v>
      </c>
      <c r="AH132" s="503">
        <f>IF(終値!A132="","",IFERROR(4*STDEVP(終値!AK132:BD132)/AVERAGE(終値!AK132:BD132),""))</f>
        <v>0.50432293438719378</v>
      </c>
      <c r="AI132" s="503">
        <f>IF(終値!A132="","",IFERROR(4*STDEVP(終値!AL132:BE132)/AVERAGE(終値!AL132:BE132),""))</f>
        <v>0.47779155846910437</v>
      </c>
      <c r="AJ132" s="503">
        <f>IF(終値!A132="","",IFERROR(4*STDEVP(終値!AM132:BF132)/AVERAGE(終値!AM132:BF132),""))</f>
        <v>0.4414815720859101</v>
      </c>
      <c r="AK132" s="503">
        <f>IF(終値!A132="","",IFERROR(4*STDEVP(終値!AN132:BG132)/AVERAGE(終値!AN132:BG132),""))</f>
        <v>0.37459209268968413</v>
      </c>
      <c r="AL132" s="503">
        <f>IF(終値!A132="","",IFERROR(4*STDEVP(終値!AO132:BH132)/AVERAGE(終値!AO132:BH132),""))</f>
        <v>0.33117807419551948</v>
      </c>
      <c r="AM132" s="503">
        <f>IF(終値!A132="","",IFERROR(4*STDEVP(終値!AP132:BI132)/AVERAGE(終値!AP132:BI132),""))</f>
        <v>0.32755125637660559</v>
      </c>
      <c r="AN132" s="503">
        <f>IF(終値!A132="","",IFERROR(4*STDEVP(終値!AQ132:BJ132)/AVERAGE(終値!AQ132:BJ132),""))</f>
        <v>0.32079376070858806</v>
      </c>
      <c r="AO132" s="503">
        <f>IF(終値!A132="","",IFERROR(4*STDEVP(終値!AR132:BK132)/AVERAGE(終値!AR132:BK132),""))</f>
        <v>0.31315385800573786</v>
      </c>
      <c r="AP132" s="503">
        <f>IF(終値!A132="","",IFERROR(4*STDEVP(終値!AS132:BL132)/AVERAGE(終値!AS132:BL132),""))</f>
        <v>0.28177414856537009</v>
      </c>
    </row>
    <row r="133" spans="1:42">
      <c r="A133" s="500" t="str">
        <f>IF(終値!A133="","",終値!A133)</f>
        <v>6327</v>
      </c>
      <c r="B133" s="503">
        <f>IF(終値!A133="","",IFERROR(4*STDEVP(終値!E133:X133)/AVERAGE(終値!E133:X133),""))</f>
        <v>1.1370076224843471</v>
      </c>
      <c r="C133" s="503">
        <f>IF(終値!A133="","",IFERROR(4*STDEVP(終値!F133:Y133)/AVERAGE(終値!F133:Y133),""))</f>
        <v>1.2869922585805078</v>
      </c>
      <c r="D133" s="503">
        <f>IF(終値!A133="","",IFERROR(4*STDEVP(終値!G133:Z133)/AVERAGE(終値!G133:Z133),""))</f>
        <v>1.3105030062815184</v>
      </c>
      <c r="E133" s="503">
        <f>IF(終値!A133="","",IFERROR(4*STDEVP(終値!H133:AA133)/AVERAGE(終値!H133:AA133),""))</f>
        <v>1.3206667009433262</v>
      </c>
      <c r="F133" s="503">
        <f>IF(終値!A133="","",IFERROR(4*STDEVP(終値!I133:AB133)/AVERAGE(終値!I133:AB133),""))</f>
        <v>1.2687729105873056</v>
      </c>
      <c r="G133" s="503">
        <f>IF(終値!A133="","",IFERROR(4*STDEVP(終値!J133:AC133)/AVERAGE(終値!J133:AC133),""))</f>
        <v>1.1519937133204965</v>
      </c>
      <c r="H133" s="503">
        <f>IF(終値!A133="","",IFERROR(4*STDEVP(終値!K133:AD133)/AVERAGE(終値!K133:AD133),""))</f>
        <v>1.0328263411494711</v>
      </c>
      <c r="I133" s="503">
        <f>IF(終値!A133="","",IFERROR(4*STDEVP(終値!L133:AE133)/AVERAGE(終値!L133:AE133),""))</f>
        <v>0.9526806867464781</v>
      </c>
      <c r="J133" s="503">
        <f>IF(終値!A133="","",IFERROR(4*STDEVP(終値!M133:AF133)/AVERAGE(終値!M133:AF133),""))</f>
        <v>0.93120013127719381</v>
      </c>
      <c r="K133" s="503">
        <f>IF(終値!A133="","",IFERROR(4*STDEVP(終値!N133:AG133)/AVERAGE(終値!N133:AG133),""))</f>
        <v>0.87142374178393034</v>
      </c>
      <c r="L133" s="503">
        <f>IF(終値!A133="","",IFERROR(4*STDEVP(終値!O133:AH133)/AVERAGE(終値!O133:AH133),""))</f>
        <v>0.80359697927480145</v>
      </c>
      <c r="M133" s="503">
        <f>IF(終値!A133="","",IFERROR(4*STDEVP(終値!P133:AI133)/AVERAGE(終値!P133:AI133),""))</f>
        <v>0.7503648065240407</v>
      </c>
      <c r="N133" s="503">
        <f>IF(終値!A133="","",IFERROR(4*STDEVP(終値!Q133:AJ133)/AVERAGE(終値!Q133:AJ133),""))</f>
        <v>0.65941168005679107</v>
      </c>
      <c r="O133" s="503">
        <f>IF(終値!A133="","",IFERROR(4*STDEVP(終値!R133:AK133)/AVERAGE(終値!R133:AK133),""))</f>
        <v>0.66212595262993301</v>
      </c>
      <c r="P133" s="503">
        <f>IF(終値!A133="","",IFERROR(4*STDEVP(終値!S133:AL133)/AVERAGE(終値!S133:AL133),""))</f>
        <v>0.69872584269760574</v>
      </c>
      <c r="Q133" s="503">
        <f>IF(終値!A133="","",IFERROR(4*STDEVP(終値!T133:AM133)/AVERAGE(終値!T133:AM133),""))</f>
        <v>0.78102679017690413</v>
      </c>
      <c r="R133" s="503">
        <f>IF(終値!A133="","",IFERROR(4*STDEVP(終値!U133:AN133)/AVERAGE(終値!U133:AN133),""))</f>
        <v>0.91992001044801919</v>
      </c>
      <c r="S133" s="503">
        <f>IF(終値!A133="","",IFERROR(4*STDEVP(終値!V133:AO133)/AVERAGE(終値!V133:AO133),""))</f>
        <v>1.0268194632070167</v>
      </c>
      <c r="T133" s="503">
        <f>IF(終値!A133="","",IFERROR(4*STDEVP(終値!W133:AP133)/AVERAGE(終値!W133:AP133),""))</f>
        <v>1.1216223600408335</v>
      </c>
      <c r="U133" s="503">
        <f>IF(終値!A133="","",IFERROR(4*STDEVP(終値!X133:AQ133)/AVERAGE(終値!X133:AQ133),""))</f>
        <v>1.1924035160212691</v>
      </c>
      <c r="V133" s="503">
        <f>IF(終値!A133="","",IFERROR(4*STDEVP(終値!Y133:AR133)/AVERAGE(終値!Y133:AR133),""))</f>
        <v>1.236989673209089</v>
      </c>
      <c r="W133" s="503">
        <f>IF(終値!A133="","",IFERROR(4*STDEVP(終値!Z133:AS133)/AVERAGE(終値!Z133:AS133),""))</f>
        <v>1.2307846472631532</v>
      </c>
      <c r="X133" s="503">
        <f>IF(終値!A133="","",IFERROR(4*STDEVP(終値!AA133:AT133)/AVERAGE(終値!AA133:AT133),""))</f>
        <v>1.1996140656054617</v>
      </c>
      <c r="Y133" s="503">
        <f>IF(終値!A133="","",IFERROR(4*STDEVP(終値!AB133:AU133)/AVERAGE(終値!AB133:AU133),""))</f>
        <v>1.1005110523084429</v>
      </c>
      <c r="Z133" s="503">
        <f>IF(終値!A133="","",IFERROR(4*STDEVP(終値!AC133:AV133)/AVERAGE(終値!AC133:AV133),""))</f>
        <v>1.0009885414243824</v>
      </c>
      <c r="AA133" s="503">
        <f>IF(終値!A133="","",IFERROR(4*STDEVP(終値!AD133:AW133)/AVERAGE(終値!AD133:AW133),""))</f>
        <v>0.9475488426795079</v>
      </c>
      <c r="AB133" s="503">
        <f>IF(終値!A133="","",IFERROR(4*STDEVP(終値!AE133:AX133)/AVERAGE(終値!AE133:AX133),""))</f>
        <v>0.92627065287451915</v>
      </c>
      <c r="AC133" s="503">
        <f>IF(終値!A133="","",IFERROR(4*STDEVP(終値!AF133:AY133)/AVERAGE(終値!AF133:AY133),""))</f>
        <v>0.90776932057007542</v>
      </c>
      <c r="AD133" s="503">
        <f>IF(終値!A133="","",IFERROR(4*STDEVP(終値!AG133:AZ133)/AVERAGE(終値!AG133:AZ133),""))</f>
        <v>0.95801040440226304</v>
      </c>
      <c r="AE133" s="503">
        <f>IF(終値!A133="","",IFERROR(4*STDEVP(終値!AH133:BA133)/AVERAGE(終値!AH133:BA133),""))</f>
        <v>1.031316738378953</v>
      </c>
      <c r="AF133" s="503">
        <f>IF(終値!A133="","",IFERROR(4*STDEVP(終値!AI133:BB133)/AVERAGE(終値!AI133:BB133),""))</f>
        <v>1.0597090357469412</v>
      </c>
      <c r="AG133" s="503">
        <f>IF(終値!A133="","",IFERROR(4*STDEVP(終値!AJ133:BC133)/AVERAGE(終値!AJ133:BC133),""))</f>
        <v>1.1243863702790107</v>
      </c>
      <c r="AH133" s="503">
        <f>IF(終値!A133="","",IFERROR(4*STDEVP(終値!AK133:BD133)/AVERAGE(終値!AK133:BD133),""))</f>
        <v>1.0794575263201771</v>
      </c>
      <c r="AI133" s="503">
        <f>IF(終値!A133="","",IFERROR(4*STDEVP(終値!AL133:BE133)/AVERAGE(終値!AL133:BE133),""))</f>
        <v>1.0911431121998705</v>
      </c>
      <c r="AJ133" s="503">
        <f>IF(終値!A133="","",IFERROR(4*STDEVP(終値!AM133:BF133)/AVERAGE(終値!AM133:BF133),""))</f>
        <v>1.1183908101953988</v>
      </c>
      <c r="AK133" s="503">
        <f>IF(終値!A133="","",IFERROR(4*STDEVP(終値!AN133:BG133)/AVERAGE(終値!AN133:BG133),""))</f>
        <v>1.1477910534349933</v>
      </c>
      <c r="AL133" s="503">
        <f>IF(終値!A133="","",IFERROR(4*STDEVP(終値!AO133:BH133)/AVERAGE(終値!AO133:BH133),""))</f>
        <v>1.1501210655328606</v>
      </c>
      <c r="AM133" s="503">
        <f>IF(終値!A133="","",IFERROR(4*STDEVP(終値!AP133:BI133)/AVERAGE(終値!AP133:BI133),""))</f>
        <v>1.1379132694955436</v>
      </c>
      <c r="AN133" s="503">
        <f>IF(終値!A133="","",IFERROR(4*STDEVP(終値!AQ133:BJ133)/AVERAGE(終値!AQ133:BJ133),""))</f>
        <v>1.1255612064481499</v>
      </c>
      <c r="AO133" s="503">
        <f>IF(終値!A133="","",IFERROR(4*STDEVP(終値!AR133:BK133)/AVERAGE(終値!AR133:BK133),""))</f>
        <v>1.1290826319708591</v>
      </c>
      <c r="AP133" s="503">
        <f>IF(終値!A133="","",IFERROR(4*STDEVP(終値!AS133:BL133)/AVERAGE(終値!AS133:BL133),""))</f>
        <v>1.1487849051742209</v>
      </c>
    </row>
    <row r="134" spans="1:42">
      <c r="A134" s="500" t="str">
        <f>IF(終値!A134="","",終値!A134)</f>
        <v>3110</v>
      </c>
      <c r="B134" s="503" t="str">
        <f>IF(終値!A134="","",IFERROR(4*STDEVP(終値!E134:X134)/AVERAGE(終値!E134:X134),""))</f>
        <v/>
      </c>
      <c r="C134" s="503" t="str">
        <f>IF(終値!A134="","",IFERROR(4*STDEVP(終値!F134:Y134)/AVERAGE(終値!F134:Y134),""))</f>
        <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1.260262582234341</v>
      </c>
      <c r="C135" s="503">
        <f>IF(終値!A135="","",IFERROR(4*STDEVP(終値!F135:Y135)/AVERAGE(終値!F135:Y135),""))</f>
        <v>1.4082648971343183</v>
      </c>
      <c r="D135" s="503">
        <f>IF(終値!A135="","",IFERROR(4*STDEVP(終値!G135:Z135)/AVERAGE(終値!G135:Z135),""))</f>
        <v>1.4386672799846649</v>
      </c>
      <c r="E135" s="503">
        <f>IF(終値!A135="","",IFERROR(4*STDEVP(終値!H135:AA135)/AVERAGE(終値!H135:AA135),""))</f>
        <v>1.4569568875547758</v>
      </c>
      <c r="F135" s="503">
        <f>IF(終値!A135="","",IFERROR(4*STDEVP(終値!I135:AB135)/AVERAGE(終値!I135:AB135),""))</f>
        <v>1.4171362809303183</v>
      </c>
      <c r="G135" s="503">
        <f>IF(終値!A135="","",IFERROR(4*STDEVP(終値!J135:AC135)/AVERAGE(終値!J135:AC135),""))</f>
        <v>1.3180651706126882</v>
      </c>
      <c r="H135" s="503">
        <f>IF(終値!A135="","",IFERROR(4*STDEVP(終値!K135:AD135)/AVERAGE(終値!K135:AD135),""))</f>
        <v>1.218322730579064</v>
      </c>
      <c r="I135" s="503">
        <f>IF(終値!A135="","",IFERROR(4*STDEVP(終値!L135:AE135)/AVERAGE(終値!L135:AE135),""))</f>
        <v>1.1542457650330415</v>
      </c>
      <c r="J135" s="503">
        <f>IF(終値!A135="","",IFERROR(4*STDEVP(終値!M135:AF135)/AVERAGE(終値!M135:AF135),""))</f>
        <v>0.93120013127719381</v>
      </c>
      <c r="K135" s="503">
        <f>IF(終値!A135="","",IFERROR(4*STDEVP(終値!N135:AG135)/AVERAGE(終値!N135:AG135),""))</f>
        <v>0.87142374178393034</v>
      </c>
      <c r="L135" s="503">
        <f>IF(終値!A135="","",IFERROR(4*STDEVP(終値!O135:AH135)/AVERAGE(終値!O135:AH135),""))</f>
        <v>0.80359697927480145</v>
      </c>
      <c r="M135" s="503">
        <f>IF(終値!A135="","",IFERROR(4*STDEVP(終値!P135:AI135)/AVERAGE(終値!P135:AI135),""))</f>
        <v>0.7503648065240407</v>
      </c>
      <c r="N135" s="503">
        <f>IF(終値!A135="","",IFERROR(4*STDEVP(終値!Q135:AJ135)/AVERAGE(終値!Q135:AJ135),""))</f>
        <v>0.65941168005679107</v>
      </c>
      <c r="O135" s="503">
        <f>IF(終値!A135="","",IFERROR(4*STDEVP(終値!R135:AK135)/AVERAGE(終値!R135:AK135),""))</f>
        <v>0.66212595262993301</v>
      </c>
      <c r="P135" s="503">
        <f>IF(終値!A135="","",IFERROR(4*STDEVP(終値!S135:AL135)/AVERAGE(終値!S135:AL135),""))</f>
        <v>0.69872584269760574</v>
      </c>
      <c r="Q135" s="503">
        <f>IF(終値!A135="","",IFERROR(4*STDEVP(終値!T135:AM135)/AVERAGE(終値!T135:AM135),""))</f>
        <v>0.78102679017690413</v>
      </c>
      <c r="R135" s="503">
        <f>IF(終値!A135="","",IFERROR(4*STDEVP(終値!U135:AN135)/AVERAGE(終値!U135:AN135),""))</f>
        <v>0.91992001044801919</v>
      </c>
      <c r="S135" s="503">
        <f>IF(終値!A135="","",IFERROR(4*STDEVP(終値!V135:AO135)/AVERAGE(終値!V135:AO135),""))</f>
        <v>1.0268194632070167</v>
      </c>
      <c r="T135" s="503">
        <f>IF(終値!A135="","",IFERROR(4*STDEVP(終値!W135:AP135)/AVERAGE(終値!W135:AP135),""))</f>
        <v>1.1216223600408335</v>
      </c>
      <c r="U135" s="503">
        <f>IF(終値!A135="","",IFERROR(4*STDEVP(終値!X135:AQ135)/AVERAGE(終値!X135:AQ135),""))</f>
        <v>1.1924035160212691</v>
      </c>
      <c r="V135" s="503">
        <f>IF(終値!A135="","",IFERROR(4*STDEVP(終値!Y135:AR135)/AVERAGE(終値!Y135:AR135),""))</f>
        <v>1.236989673209089</v>
      </c>
      <c r="W135" s="503">
        <f>IF(終値!A135="","",IFERROR(4*STDEVP(終値!Z135:AS135)/AVERAGE(終値!Z135:AS135),""))</f>
        <v>1.2307846472631532</v>
      </c>
      <c r="X135" s="503">
        <f>IF(終値!A135="","",IFERROR(4*STDEVP(終値!AA135:AT135)/AVERAGE(終値!AA135:AT135),""))</f>
        <v>1.1996140656054617</v>
      </c>
      <c r="Y135" s="503">
        <f>IF(終値!A135="","",IFERROR(4*STDEVP(終値!AB135:AU135)/AVERAGE(終値!AB135:AU135),""))</f>
        <v>1.1005110523084429</v>
      </c>
      <c r="Z135" s="503">
        <f>IF(終値!A135="","",IFERROR(4*STDEVP(終値!AC135:AV135)/AVERAGE(終値!AC135:AV135),""))</f>
        <v>1.0009885414243824</v>
      </c>
      <c r="AA135" s="503">
        <f>IF(終値!A135="","",IFERROR(4*STDEVP(終値!AD135:AW135)/AVERAGE(終値!AD135:AW135),""))</f>
        <v>0.9475488426795079</v>
      </c>
      <c r="AB135" s="503">
        <f>IF(終値!A135="","",IFERROR(4*STDEVP(終値!AE135:AX135)/AVERAGE(終値!AE135:AX135),""))</f>
        <v>0.92627065287451915</v>
      </c>
      <c r="AC135" s="503">
        <f>IF(終値!A135="","",IFERROR(4*STDEVP(終値!AF135:AY135)/AVERAGE(終値!AF135:AY135),""))</f>
        <v>0.90776932057007542</v>
      </c>
      <c r="AD135" s="503">
        <f>IF(終値!A135="","",IFERROR(4*STDEVP(終値!AG135:AZ135)/AVERAGE(終値!AG135:AZ135),""))</f>
        <v>0.95801040440226304</v>
      </c>
      <c r="AE135" s="503">
        <f>IF(終値!A135="","",IFERROR(4*STDEVP(終値!AH135:BA135)/AVERAGE(終値!AH135:BA135),""))</f>
        <v>1.031316738378953</v>
      </c>
      <c r="AF135" s="503">
        <f>IF(終値!A135="","",IFERROR(4*STDEVP(終値!AI135:BB135)/AVERAGE(終値!AI135:BB135),""))</f>
        <v>1.0597090357469412</v>
      </c>
      <c r="AG135" s="503">
        <f>IF(終値!A135="","",IFERROR(4*STDEVP(終値!AJ135:BC135)/AVERAGE(終値!AJ135:BC135),""))</f>
        <v>1.1243863702790107</v>
      </c>
      <c r="AH135" s="503">
        <f>IF(終値!A135="","",IFERROR(4*STDEVP(終値!AK135:BD135)/AVERAGE(終値!AK135:BD135),""))</f>
        <v>1.0794575263201771</v>
      </c>
      <c r="AI135" s="503">
        <f>IF(終値!A135="","",IFERROR(4*STDEVP(終値!AL135:BE135)/AVERAGE(終値!AL135:BE135),""))</f>
        <v>1.0911431121998705</v>
      </c>
      <c r="AJ135" s="503">
        <f>IF(終値!A135="","",IFERROR(4*STDEVP(終値!AM135:BF135)/AVERAGE(終値!AM135:BF135),""))</f>
        <v>1.1183908101953988</v>
      </c>
      <c r="AK135" s="503">
        <f>IF(終値!A135="","",IFERROR(4*STDEVP(終値!AN135:BG135)/AVERAGE(終値!AN135:BG135),""))</f>
        <v>1.1477910534349933</v>
      </c>
      <c r="AL135" s="503">
        <f>IF(終値!A135="","",IFERROR(4*STDEVP(終値!AO135:BH135)/AVERAGE(終値!AO135:BH135),""))</f>
        <v>1.1501210655328606</v>
      </c>
      <c r="AM135" s="503">
        <f>IF(終値!A135="","",IFERROR(4*STDEVP(終値!AP135:BI135)/AVERAGE(終値!AP135:BI135),""))</f>
        <v>1.1379132694955436</v>
      </c>
      <c r="AN135" s="503">
        <f>IF(終値!A135="","",IFERROR(4*STDEVP(終値!AQ135:BJ135)/AVERAGE(終値!AQ135:BJ135),""))</f>
        <v>1.1255612064481499</v>
      </c>
      <c r="AO135" s="503">
        <f>IF(終値!A135="","",IFERROR(4*STDEVP(終値!AR135:BK135)/AVERAGE(終値!AR135:BK135),""))</f>
        <v>1.1290826319708591</v>
      </c>
      <c r="AP135" s="503">
        <f>IF(終値!A135="","",IFERROR(4*STDEVP(終値!AS135:BL135)/AVERAGE(終値!AS135:BL135),""))</f>
        <v>1.1487849051742209</v>
      </c>
    </row>
    <row r="136" spans="1:42">
      <c r="A136" s="500" t="str">
        <f>IF(終値!A136="","",終値!A136)</f>
        <v>7794</v>
      </c>
      <c r="B136" s="503">
        <f>IF(終値!A136="","",IFERROR(4*STDEVP(終値!E136:X136)/AVERAGE(終値!E136:X136),""))</f>
        <v>0.41309546156783061</v>
      </c>
      <c r="C136" s="503">
        <f>IF(終値!A136="","",IFERROR(4*STDEVP(終値!F136:Y136)/AVERAGE(終値!F136:Y136),""))</f>
        <v>0.45896609787336523</v>
      </c>
      <c r="D136" s="503">
        <f>IF(終値!A136="","",IFERROR(4*STDEVP(終値!G136:Z136)/AVERAGE(終値!G136:Z136),""))</f>
        <v>0.47782577157057465</v>
      </c>
      <c r="E136" s="503">
        <f>IF(終値!A136="","",IFERROR(4*STDEVP(終値!H136:AA136)/AVERAGE(終値!H136:AA136),""))</f>
        <v>0.48267052441895886</v>
      </c>
      <c r="F136" s="503">
        <f>IF(終値!A136="","",IFERROR(4*STDEVP(終値!I136:AB136)/AVERAGE(終値!I136:AB136),""))</f>
        <v>0.46557622247737296</v>
      </c>
      <c r="G136" s="503">
        <f>IF(終値!A136="","",IFERROR(4*STDEVP(終値!J136:AC136)/AVERAGE(終値!J136:AC136),""))</f>
        <v>0.43055762066300129</v>
      </c>
      <c r="H136" s="503">
        <f>IF(終値!A136="","",IFERROR(4*STDEVP(終値!K136:AD136)/AVERAGE(終値!K136:AD136),""))</f>
        <v>0.40064795959293792</v>
      </c>
      <c r="I136" s="503">
        <f>IF(終値!A136="","",IFERROR(4*STDEVP(終値!L136:AE136)/AVERAGE(終値!L136:AE136),""))</f>
        <v>0.38093993508194757</v>
      </c>
      <c r="J136" s="503">
        <f>IF(終値!A136="","",IFERROR(4*STDEVP(終値!M136:AF136)/AVERAGE(終値!M136:AF136),""))</f>
        <v>0.37221692492415703</v>
      </c>
      <c r="K136" s="503">
        <f>IF(終値!A136="","",IFERROR(4*STDEVP(終値!N136:AG136)/AVERAGE(終値!N136:AG136),""))</f>
        <v>0.35480518399556532</v>
      </c>
      <c r="L136" s="503">
        <f>IF(終値!A136="","",IFERROR(4*STDEVP(終値!O136:AH136)/AVERAGE(終値!O136:AH136),""))</f>
        <v>0.3419139578640914</v>
      </c>
      <c r="M136" s="503">
        <f>IF(終値!A136="","",IFERROR(4*STDEVP(終値!P136:AI136)/AVERAGE(終値!P136:AI136),""))</f>
        <v>0.30841239425517092</v>
      </c>
      <c r="N136" s="503">
        <f>IF(終値!A136="","",IFERROR(4*STDEVP(終値!Q136:AJ136)/AVERAGE(終値!Q136:AJ136),""))</f>
        <v>0.26186060353836671</v>
      </c>
      <c r="O136" s="503">
        <f>IF(終値!A136="","",IFERROR(4*STDEVP(終値!R136:AK136)/AVERAGE(終値!R136:AK136),""))</f>
        <v>0.2505381080675303</v>
      </c>
      <c r="P136" s="503">
        <f>IF(終値!A136="","",IFERROR(4*STDEVP(終値!S136:AL136)/AVERAGE(終値!S136:AL136),""))</f>
        <v>0.24167119079057811</v>
      </c>
      <c r="Q136" s="503">
        <f>IF(終値!A136="","",IFERROR(4*STDEVP(終値!T136:AM136)/AVERAGE(終値!T136:AM136),""))</f>
        <v>0.23587396860254115</v>
      </c>
      <c r="R136" s="503">
        <f>IF(終値!A136="","",IFERROR(4*STDEVP(終値!U136:AN136)/AVERAGE(終値!U136:AN136),""))</f>
        <v>0.2344302564779841</v>
      </c>
      <c r="S136" s="503">
        <f>IF(終値!A136="","",IFERROR(4*STDEVP(終値!V136:AO136)/AVERAGE(終値!V136:AO136),""))</f>
        <v>0.23459851555480676</v>
      </c>
      <c r="T136" s="503">
        <f>IF(終値!A136="","",IFERROR(4*STDEVP(終値!W136:AP136)/AVERAGE(終値!W136:AP136),""))</f>
        <v>0.23406679353394913</v>
      </c>
      <c r="U136" s="503">
        <f>IF(終値!A136="","",IFERROR(4*STDEVP(終値!X136:AQ136)/AVERAGE(終値!X136:AQ136),""))</f>
        <v>0.23401958492771963</v>
      </c>
      <c r="V136" s="503">
        <f>IF(終値!A136="","",IFERROR(4*STDEVP(終値!Y136:AR136)/AVERAGE(終値!Y136:AR136),""))</f>
        <v>0.23285245817176201</v>
      </c>
      <c r="W136" s="503">
        <f>IF(終値!A136="","",IFERROR(4*STDEVP(終値!Z136:AS136)/AVERAGE(終値!Z136:AS136),""))</f>
        <v>0.23274065397245053</v>
      </c>
      <c r="X136" s="503">
        <f>IF(終値!A136="","",IFERROR(4*STDEVP(終値!AA136:AT136)/AVERAGE(終値!AA136:AT136),""))</f>
        <v>0.21541839480737399</v>
      </c>
      <c r="Y136" s="503">
        <f>IF(終値!A136="","",IFERROR(4*STDEVP(終値!AB136:AU136)/AVERAGE(終値!AB136:AU136),""))</f>
        <v>0.19337649589941686</v>
      </c>
      <c r="Z136" s="503">
        <f>IF(終値!A136="","",IFERROR(4*STDEVP(終値!AC136:AV136)/AVERAGE(終値!AC136:AV136),""))</f>
        <v>0.16349191139545352</v>
      </c>
      <c r="AA136" s="503">
        <f>IF(終値!A136="","",IFERROR(4*STDEVP(終値!AD136:AW136)/AVERAGE(終値!AD136:AW136),""))</f>
        <v>0.21831554201301498</v>
      </c>
      <c r="AB136" s="503">
        <f>IF(終値!A136="","",IFERROR(4*STDEVP(終値!AE136:AX136)/AVERAGE(終値!AE136:AX136),""))</f>
        <v>0.20988874634016144</v>
      </c>
      <c r="AC136" s="503">
        <f>IF(終値!A136="","",IFERROR(4*STDEVP(終値!AF136:AY136)/AVERAGE(終値!AF136:AY136),""))</f>
        <v>0.21156644496944219</v>
      </c>
      <c r="AD136" s="503">
        <f>IF(終値!A136="","",IFERROR(4*STDEVP(終値!AG136:AZ136)/AVERAGE(終値!AG136:AZ136),""))</f>
        <v>0.20679047641500553</v>
      </c>
      <c r="AE136" s="503">
        <f>IF(終値!A136="","",IFERROR(4*STDEVP(終値!AH136:BA136)/AVERAGE(終値!AH136:BA136),""))</f>
        <v>0.20760537733597534</v>
      </c>
      <c r="AF136" s="503">
        <f>IF(終値!A136="","",IFERROR(4*STDEVP(終値!AI136:BB136)/AVERAGE(終値!AI136:BB136),""))</f>
        <v>0.19112775652138594</v>
      </c>
      <c r="AG136" s="503">
        <f>IF(終値!A136="","",IFERROR(4*STDEVP(終値!AJ136:BC136)/AVERAGE(終値!AJ136:BC136),""))</f>
        <v>0.19274940318871903</v>
      </c>
      <c r="AH136" s="503">
        <f>IF(終値!A136="","",IFERROR(4*STDEVP(終値!AK136:BD136)/AVERAGE(終値!AK136:BD136),""))</f>
        <v>0.19275993164590283</v>
      </c>
      <c r="AI136" s="503">
        <f>IF(終値!A136="","",IFERROR(4*STDEVP(終値!AL136:BE136)/AVERAGE(終値!AL136:BE136),""))</f>
        <v>0.1957259021970493</v>
      </c>
      <c r="AJ136" s="503">
        <f>IF(終値!A136="","",IFERROR(4*STDEVP(終値!AM136:BF136)/AVERAGE(終値!AM136:BF136),""))</f>
        <v>0.19341496845437806</v>
      </c>
      <c r="AK136" s="503">
        <f>IF(終値!A136="","",IFERROR(4*STDEVP(終値!AN136:BG136)/AVERAGE(終値!AN136:BG136),""))</f>
        <v>0.25573844849775224</v>
      </c>
      <c r="AL136" s="503">
        <f>IF(終値!A136="","",IFERROR(4*STDEVP(終値!AO136:BH136)/AVERAGE(終値!AO136:BH136),""))</f>
        <v>0.30071254568649525</v>
      </c>
      <c r="AM136" s="503">
        <f>IF(終値!A136="","",IFERROR(4*STDEVP(終値!AP136:BI136)/AVERAGE(終値!AP136:BI136),""))</f>
        <v>0.35561830138509287</v>
      </c>
      <c r="AN136" s="503">
        <f>IF(終値!A136="","",IFERROR(4*STDEVP(終値!AQ136:BJ136)/AVERAGE(終値!AQ136:BJ136),""))</f>
        <v>0.38087766532158018</v>
      </c>
      <c r="AO136" s="503">
        <f>IF(終値!A136="","",IFERROR(4*STDEVP(終値!AR136:BK136)/AVERAGE(終値!AR136:BK136),""))</f>
        <v>0.38585709747448993</v>
      </c>
      <c r="AP136" s="503">
        <f>IF(終値!A136="","",IFERROR(4*STDEVP(終値!AS136:BL136)/AVERAGE(終値!AS136:BL136),""))</f>
        <v>0.386163601625375</v>
      </c>
    </row>
    <row r="137" spans="1:42">
      <c r="A137" s="500" t="str">
        <f>IF(終値!A137="","",終値!A137)</f>
        <v>6085</v>
      </c>
      <c r="B137" s="503">
        <f>IF(終値!A137="","",IFERROR(4*STDEVP(終値!E137:X137)/AVERAGE(終値!E137:X137),""))</f>
        <v>1.6160596799054128</v>
      </c>
      <c r="C137" s="503">
        <f>IF(終値!A137="","",IFERROR(4*STDEVP(終値!F137:Y137)/AVERAGE(終値!F137:Y137),""))</f>
        <v>1.5023536944126958</v>
      </c>
      <c r="D137" s="503">
        <f>IF(終値!A137="","",IFERROR(4*STDEVP(終値!G137:Z137)/AVERAGE(終値!G137:Z137),""))</f>
        <v>1.3759016278142624</v>
      </c>
      <c r="E137" s="503">
        <f>IF(終値!A137="","",IFERROR(4*STDEVP(終値!H137:AA137)/AVERAGE(終値!H137:AA137),""))</f>
        <v>1.284292047350452</v>
      </c>
      <c r="F137" s="503">
        <f>IF(終値!A137="","",IFERROR(4*STDEVP(終値!I137:AB137)/AVERAGE(終値!I137:AB137),""))</f>
        <v>1.1959483221645699</v>
      </c>
      <c r="G137" s="503">
        <f>IF(終値!A137="","",IFERROR(4*STDEVP(終値!J137:AC137)/AVERAGE(終値!J137:AC137),""))</f>
        <v>1.0786482815208487</v>
      </c>
      <c r="H137" s="503">
        <f>IF(終値!A137="","",IFERROR(4*STDEVP(終値!K137:AD137)/AVERAGE(終値!K137:AD137),""))</f>
        <v>0.99756550119951226</v>
      </c>
      <c r="I137" s="503">
        <f>IF(終値!A137="","",IFERROR(4*STDEVP(終値!L137:AE137)/AVERAGE(終値!L137:AE137),""))</f>
        <v>0.91416375834207941</v>
      </c>
      <c r="J137" s="503">
        <f>IF(終値!A137="","",IFERROR(4*STDEVP(終値!M137:AF137)/AVERAGE(終値!M137:AF137),""))</f>
        <v>0.92548239884229</v>
      </c>
      <c r="K137" s="503">
        <f>IF(終値!A137="","",IFERROR(4*STDEVP(終値!N137:AG137)/AVERAGE(終値!N137:AG137),""))</f>
        <v>0.83113239723535504</v>
      </c>
      <c r="L137" s="503">
        <f>IF(終値!A137="","",IFERROR(4*STDEVP(終値!O137:AH137)/AVERAGE(終値!O137:AH137),""))</f>
        <v>0.81075487794598622</v>
      </c>
      <c r="M137" s="503">
        <f>IF(終値!A137="","",IFERROR(4*STDEVP(終値!P137:AI137)/AVERAGE(終値!P137:AI137),""))</f>
        <v>0.77261805774675529</v>
      </c>
      <c r="N137" s="503">
        <f>IF(終値!A137="","",IFERROR(4*STDEVP(終値!Q137:AJ137)/AVERAGE(終値!Q137:AJ137),""))</f>
        <v>0.69550354265652004</v>
      </c>
      <c r="O137" s="503">
        <f>IF(終値!A137="","",IFERROR(4*STDEVP(終値!R137:AK137)/AVERAGE(終値!R137:AK137),""))</f>
        <v>0.66995075190196585</v>
      </c>
      <c r="P137" s="503">
        <f>IF(終値!A137="","",IFERROR(4*STDEVP(終値!S137:AL137)/AVERAGE(終値!S137:AL137),""))</f>
        <v>0.64105808569485945</v>
      </c>
      <c r="Q137" s="503">
        <f>IF(終値!A137="","",IFERROR(4*STDEVP(終値!T137:AM137)/AVERAGE(終値!T137:AM137),""))</f>
        <v>0.58784220081528005</v>
      </c>
      <c r="R137" s="503">
        <f>IF(終値!A137="","",IFERROR(4*STDEVP(終値!U137:AN137)/AVERAGE(終値!U137:AN137),""))</f>
        <v>0.58170630699069537</v>
      </c>
      <c r="S137" s="503">
        <f>IF(終値!A137="","",IFERROR(4*STDEVP(終値!V137:AO137)/AVERAGE(終値!V137:AO137),""))</f>
        <v>0.60936616918137765</v>
      </c>
      <c r="T137" s="503">
        <f>IF(終値!A137="","",IFERROR(4*STDEVP(終値!W137:AP137)/AVERAGE(終値!W137:AP137),""))</f>
        <v>0.6540956788284995</v>
      </c>
      <c r="U137" s="503">
        <f>IF(終値!A137="","",IFERROR(4*STDEVP(終値!X137:AQ137)/AVERAGE(終値!X137:AQ137),""))</f>
        <v>0.64012259067687816</v>
      </c>
      <c r="V137" s="503">
        <f>IF(終値!A137="","",IFERROR(4*STDEVP(終値!Y137:AR137)/AVERAGE(終値!Y137:AR137),""))</f>
        <v>0.60676074459268481</v>
      </c>
      <c r="W137" s="503">
        <f>IF(終値!A137="","",IFERROR(4*STDEVP(終値!Z137:AS137)/AVERAGE(終値!Z137:AS137),""))</f>
        <v>0.55218782608147166</v>
      </c>
      <c r="X137" s="503">
        <f>IF(終値!A137="","",IFERROR(4*STDEVP(終値!AA137:AT137)/AVERAGE(終値!AA137:AT137),""))</f>
        <v>0.54210759860692781</v>
      </c>
      <c r="Y137" s="503">
        <f>IF(終値!A137="","",IFERROR(4*STDEVP(終値!AB137:AU137)/AVERAGE(終値!AB137:AU137),""))</f>
        <v>0.51711902806151266</v>
      </c>
      <c r="Z137" s="503">
        <f>IF(終値!A137="","",IFERROR(4*STDEVP(終値!AC137:AV137)/AVERAGE(終値!AC137:AV137),""))</f>
        <v>0.49610931399490488</v>
      </c>
      <c r="AA137" s="503">
        <f>IF(終値!A137="","",IFERROR(4*STDEVP(終値!AD137:AW137)/AVERAGE(終値!AD137:AW137),""))</f>
        <v>0.48106097795816072</v>
      </c>
      <c r="AB137" s="503">
        <f>IF(終値!A137="","",IFERROR(4*STDEVP(終値!AE137:AX137)/AVERAGE(終値!AE137:AX137),""))</f>
        <v>0.54223475223214745</v>
      </c>
      <c r="AC137" s="503">
        <f>IF(終値!A137="","",IFERROR(4*STDEVP(終値!AF137:AY137)/AVERAGE(終値!AF137:AY137),""))</f>
        <v>0.72384084846030705</v>
      </c>
      <c r="AD137" s="503">
        <f>IF(終値!A137="","",IFERROR(4*STDEVP(終値!AG137:AZ137)/AVERAGE(終値!AG137:AZ137),""))</f>
        <v>0.78754338773310983</v>
      </c>
      <c r="AE137" s="503">
        <f>IF(終値!A137="","",IFERROR(4*STDEVP(終値!AH137:BA137)/AVERAGE(終値!AH137:BA137),""))</f>
        <v>0.81420745361456581</v>
      </c>
      <c r="AF137" s="503">
        <f>IF(終値!A137="","",IFERROR(4*STDEVP(終値!AI137:BB137)/AVERAGE(終値!AI137:BB137),""))</f>
        <v>0.82810715896265152</v>
      </c>
      <c r="AG137" s="503">
        <f>IF(終値!A137="","",IFERROR(4*STDEVP(終値!AJ137:BC137)/AVERAGE(終値!AJ137:BC137),""))</f>
        <v>0.84366874532562297</v>
      </c>
      <c r="AH137" s="503">
        <f>IF(終値!A137="","",IFERROR(4*STDEVP(終値!AK137:BD137)/AVERAGE(終値!AK137:BD137),""))</f>
        <v>0.92799318174148548</v>
      </c>
      <c r="AI137" s="503">
        <f>IF(終値!A137="","",IFERROR(4*STDEVP(終値!AL137:BE137)/AVERAGE(終値!AL137:BE137),""))</f>
        <v>0.93824766692976325</v>
      </c>
      <c r="AJ137" s="503">
        <f>IF(終値!A137="","",IFERROR(4*STDEVP(終値!AM137:BF137)/AVERAGE(終値!AM137:BF137),""))</f>
        <v>0.94778057382117176</v>
      </c>
      <c r="AK137" s="503">
        <f>IF(終値!A137="","",IFERROR(4*STDEVP(終値!AN137:BG137)/AVERAGE(終値!AN137:BG137),""))</f>
        <v>0.92113748211784929</v>
      </c>
      <c r="AL137" s="503">
        <f>IF(終値!A137="","",IFERROR(4*STDEVP(終値!AO137:BH137)/AVERAGE(終値!AO137:BH137),""))</f>
        <v>0.93343033760867622</v>
      </c>
      <c r="AM137" s="503">
        <f>IF(終値!A137="","",IFERROR(4*STDEVP(終値!AP137:BI137)/AVERAGE(終値!AP137:BI137),""))</f>
        <v>0.9712551139495299</v>
      </c>
      <c r="AN137" s="503">
        <f>IF(終値!A137="","",IFERROR(4*STDEVP(終値!AQ137:BJ137)/AVERAGE(終値!AQ137:BJ137),""))</f>
        <v>0.99709830927345977</v>
      </c>
      <c r="AO137" s="503">
        <f>IF(終値!A137="","",IFERROR(4*STDEVP(終値!AR137:BK137)/AVERAGE(終値!AR137:BK137),""))</f>
        <v>0.99097229630789152</v>
      </c>
      <c r="AP137" s="503">
        <f>IF(終値!A137="","",IFERROR(4*STDEVP(終値!AS137:BL137)/AVERAGE(終値!AS137:BL137),""))</f>
        <v>0.94216339336887389</v>
      </c>
    </row>
    <row r="138" spans="1:42">
      <c r="A138" s="500" t="str">
        <f>IF(終値!A138="","",終値!A138)</f>
        <v>3103</v>
      </c>
      <c r="B138" s="503">
        <f>IF(終値!A138="","",IFERROR(4*STDEVP(終値!E138:X138)/AVERAGE(終値!E138:X138),""))</f>
        <v>0.28645669313597444</v>
      </c>
      <c r="C138" s="503">
        <f>IF(終値!A138="","",IFERROR(4*STDEVP(終値!F138:Y138)/AVERAGE(終値!F138:Y138),""))</f>
        <v>0.31788366428999348</v>
      </c>
      <c r="D138" s="503">
        <f>IF(終値!A138="","",IFERROR(4*STDEVP(終値!G138:Z138)/AVERAGE(終値!G138:Z138),""))</f>
        <v>0.32680561587768064</v>
      </c>
      <c r="E138" s="503">
        <f>IF(終値!A138="","",IFERROR(4*STDEVP(終値!H138:AA138)/AVERAGE(終値!H138:AA138),""))</f>
        <v>0.33070093917147408</v>
      </c>
      <c r="F138" s="503">
        <f>IF(終値!A138="","",IFERROR(4*STDEVP(終値!I138:AB138)/AVERAGE(終値!I138:AB138),""))</f>
        <v>0.31740240015824045</v>
      </c>
      <c r="G138" s="503">
        <f>IF(終値!A138="","",IFERROR(4*STDEVP(終値!J138:AC138)/AVERAGE(終値!J138:AC138),""))</f>
        <v>0.28768938980207309</v>
      </c>
      <c r="H138" s="503">
        <f>IF(終値!A138="","",IFERROR(4*STDEVP(終値!K138:AD138)/AVERAGE(終値!K138:AD138),""))</f>
        <v>0.27691116230377066</v>
      </c>
      <c r="I138" s="503">
        <f>IF(終値!A138="","",IFERROR(4*STDEVP(終値!L138:AE138)/AVERAGE(終値!L138:AE138),""))</f>
        <v>0.2827592298003786</v>
      </c>
      <c r="J138" s="503">
        <f>IF(終値!A138="","",IFERROR(4*STDEVP(終値!M138:AF138)/AVERAGE(終値!M138:AF138),""))</f>
        <v>0.26612264584890677</v>
      </c>
      <c r="K138" s="503">
        <f>IF(終値!A138="","",IFERROR(4*STDEVP(終値!N138:AG138)/AVERAGE(終値!N138:AG138),""))</f>
        <v>0.2821867576758833</v>
      </c>
      <c r="L138" s="503">
        <f>IF(終値!A138="","",IFERROR(4*STDEVP(終値!O138:AH138)/AVERAGE(終値!O138:AH138),""))</f>
        <v>0.34124003779441492</v>
      </c>
      <c r="M138" s="503">
        <f>IF(終値!A138="","",IFERROR(4*STDEVP(終値!P138:AI138)/AVERAGE(終値!P138:AI138),""))</f>
        <v>0.33552315866971516</v>
      </c>
      <c r="N138" s="503">
        <f>IF(終値!A138="","",IFERROR(4*STDEVP(終値!Q138:AJ138)/AVERAGE(終値!Q138:AJ138),""))</f>
        <v>0.32754919589615317</v>
      </c>
      <c r="O138" s="503">
        <f>IF(終値!A138="","",IFERROR(4*STDEVP(終値!R138:AK138)/AVERAGE(終値!R138:AK138),""))</f>
        <v>0.36713881983700969</v>
      </c>
      <c r="P138" s="503">
        <f>IF(終値!A138="","",IFERROR(4*STDEVP(終値!S138:AL138)/AVERAGE(終値!S138:AL138),""))</f>
        <v>0.35498966335656557</v>
      </c>
      <c r="Q138" s="503">
        <f>IF(終値!A138="","",IFERROR(4*STDEVP(終値!T138:AM138)/AVERAGE(終値!T138:AM138),""))</f>
        <v>0.32846662580547925</v>
      </c>
      <c r="R138" s="503">
        <f>IF(終値!A138="","",IFERROR(4*STDEVP(終値!U138:AN138)/AVERAGE(終値!U138:AN138),""))</f>
        <v>0.31501139144867624</v>
      </c>
      <c r="S138" s="503">
        <f>IF(終値!A138="","",IFERROR(4*STDEVP(終値!V138:AO138)/AVERAGE(終値!V138:AO138),""))</f>
        <v>0.29246932060573827</v>
      </c>
      <c r="T138" s="503">
        <f>IF(終値!A138="","",IFERROR(4*STDEVP(終値!W138:AP138)/AVERAGE(終値!W138:AP138),""))</f>
        <v>0.28367283804049614</v>
      </c>
      <c r="U138" s="503">
        <f>IF(終値!A138="","",IFERROR(4*STDEVP(終値!X138:AQ138)/AVERAGE(終値!X138:AQ138),""))</f>
        <v>0.27630503615869278</v>
      </c>
      <c r="V138" s="503">
        <f>IF(終値!A138="","",IFERROR(4*STDEVP(終値!Y138:AR138)/AVERAGE(終値!Y138:AR138),""))</f>
        <v>0.27689320633391618</v>
      </c>
      <c r="W138" s="503">
        <f>IF(終値!A138="","",IFERROR(4*STDEVP(終値!Z138:AS138)/AVERAGE(終値!Z138:AS138),""))</f>
        <v>0.27150692603177745</v>
      </c>
      <c r="X138" s="503">
        <f>IF(終値!A138="","",IFERROR(4*STDEVP(終値!AA138:AT138)/AVERAGE(終値!AA138:AT138),""))</f>
        <v>0.27075084255607146</v>
      </c>
      <c r="Y138" s="503">
        <f>IF(終値!A138="","",IFERROR(4*STDEVP(終値!AB138:AU138)/AVERAGE(終値!AB138:AU138),""))</f>
        <v>0.25476583299096706</v>
      </c>
      <c r="Z138" s="503">
        <f>IF(終値!A138="","",IFERROR(4*STDEVP(終値!AC138:AV138)/AVERAGE(終値!AC138:AV138),""))</f>
        <v>0.30396288669134214</v>
      </c>
      <c r="AA138" s="503">
        <f>IF(終値!A138="","",IFERROR(4*STDEVP(終値!AD138:AW138)/AVERAGE(終値!AD138:AW138),""))</f>
        <v>0.32256575564350609</v>
      </c>
      <c r="AB138" s="503">
        <f>IF(終値!A138="","",IFERROR(4*STDEVP(終値!AE138:AX138)/AVERAGE(終値!AE138:AX138),""))</f>
        <v>0.3462890449161376</v>
      </c>
      <c r="AC138" s="503">
        <f>IF(終値!A138="","",IFERROR(4*STDEVP(終値!AF138:AY138)/AVERAGE(終値!AF138:AY138),""))</f>
        <v>0.41487602009377689</v>
      </c>
      <c r="AD138" s="503">
        <f>IF(終値!A138="","",IFERROR(4*STDEVP(終値!AG138:AZ138)/AVERAGE(終値!AG138:AZ138),""))</f>
        <v>0.44899478467760062</v>
      </c>
      <c r="AE138" s="503">
        <f>IF(終値!A138="","",IFERROR(4*STDEVP(終値!AH138:BA138)/AVERAGE(終値!AH138:BA138),""))</f>
        <v>0.43374609612369963</v>
      </c>
      <c r="AF138" s="503">
        <f>IF(終値!A138="","",IFERROR(4*STDEVP(終値!AI138:BB138)/AVERAGE(終値!AI138:BB138),""))</f>
        <v>0.43171529462810249</v>
      </c>
      <c r="AG138" s="503">
        <f>IF(終値!A138="","",IFERROR(4*STDEVP(終値!AJ138:BC138)/AVERAGE(終値!AJ138:BC138),""))</f>
        <v>0.42154127679876691</v>
      </c>
      <c r="AH138" s="503">
        <f>IF(終値!A138="","",IFERROR(4*STDEVP(終値!AK138:BD138)/AVERAGE(終値!AK138:BD138),""))</f>
        <v>0.41169425229030004</v>
      </c>
      <c r="AI138" s="503">
        <f>IF(終値!A138="","",IFERROR(4*STDEVP(終値!AL138:BE138)/AVERAGE(終値!AL138:BE138),""))</f>
        <v>0.41549200083523913</v>
      </c>
      <c r="AJ138" s="503">
        <f>IF(終値!A138="","",IFERROR(4*STDEVP(終値!AM138:BF138)/AVERAGE(終値!AM138:BF138),""))</f>
        <v>0.510881724996195</v>
      </c>
      <c r="AK138" s="503">
        <f>IF(終値!A138="","",IFERROR(4*STDEVP(終値!AN138:BG138)/AVERAGE(終値!AN138:BG138),""))</f>
        <v>0.77225451408687029</v>
      </c>
      <c r="AL138" s="503">
        <f>IF(終値!A138="","",IFERROR(4*STDEVP(終値!AO138:BH138)/AVERAGE(終値!AO138:BH138),""))</f>
        <v>0.89190261374633661</v>
      </c>
      <c r="AM138" s="503">
        <f>IF(終値!A138="","",IFERROR(4*STDEVP(終値!AP138:BI138)/AVERAGE(終値!AP138:BI138),""))</f>
        <v>0.96847899804199966</v>
      </c>
      <c r="AN138" s="503">
        <f>IF(終値!A138="","",IFERROR(4*STDEVP(終値!AQ138:BJ138)/AVERAGE(終値!AQ138:BJ138),""))</f>
        <v>1.0810567249805667</v>
      </c>
      <c r="AO138" s="503">
        <f>IF(終値!A138="","",IFERROR(4*STDEVP(終値!AR138:BK138)/AVERAGE(終値!AR138:BK138),""))</f>
        <v>1.1322523774208724</v>
      </c>
      <c r="AP138" s="503">
        <f>IF(終値!A138="","",IFERROR(4*STDEVP(終値!AS138:BL138)/AVERAGE(終値!AS138:BL138),""))</f>
        <v>1.1329453649145389</v>
      </c>
    </row>
    <row r="139" spans="1:42">
      <c r="A139" s="500" t="str">
        <f>IF(終値!A139="","",終値!A139)</f>
        <v>4422</v>
      </c>
      <c r="B139" s="503">
        <f>IF(終値!A139="","",IFERROR(4*STDEVP(終値!E139:X139)/AVERAGE(終値!E139:X139),""))</f>
        <v>0.19960407616032314</v>
      </c>
      <c r="C139" s="503">
        <f>IF(終値!A139="","",IFERROR(4*STDEVP(終値!F139:Y139)/AVERAGE(終値!F139:Y139),""))</f>
        <v>0.21086462843403528</v>
      </c>
      <c r="D139" s="503">
        <f>IF(終値!A139="","",IFERROR(4*STDEVP(終値!G139:Z139)/AVERAGE(終値!G139:Z139),""))</f>
        <v>0.21030118237887852</v>
      </c>
      <c r="E139" s="503">
        <f>IF(終値!A139="","",IFERROR(4*STDEVP(終値!H139:AA139)/AVERAGE(終値!H139:AA139),""))</f>
        <v>0.20641255427117539</v>
      </c>
      <c r="F139" s="503">
        <f>IF(終値!A139="","",IFERROR(4*STDEVP(終値!I139:AB139)/AVERAGE(終値!I139:AB139),""))</f>
        <v>0.18494469017337889</v>
      </c>
      <c r="G139" s="503">
        <f>IF(終値!A139="","",IFERROR(4*STDEVP(終値!J139:AC139)/AVERAGE(終値!J139:AC139),""))</f>
        <v>0.15285721319454265</v>
      </c>
      <c r="H139" s="503">
        <f>IF(終値!A139="","",IFERROR(4*STDEVP(終値!K139:AD139)/AVERAGE(終値!K139:AD139),""))</f>
        <v>0.13948781730196591</v>
      </c>
      <c r="I139" s="503">
        <f>IF(終値!A139="","",IFERROR(4*STDEVP(終値!L139:AE139)/AVERAGE(終値!L139:AE139),""))</f>
        <v>0.13746600280381172</v>
      </c>
      <c r="J139" s="503">
        <f>IF(終値!A139="","",IFERROR(4*STDEVP(終値!M139:AF139)/AVERAGE(終値!M139:AF139),""))</f>
        <v>0.1300185479869605</v>
      </c>
      <c r="K139" s="503">
        <f>IF(終値!A139="","",IFERROR(4*STDEVP(終値!N139:AG139)/AVERAGE(終値!N139:AG139),""))</f>
        <v>0.12727521200861044</v>
      </c>
      <c r="L139" s="503">
        <f>IF(終値!A139="","",IFERROR(4*STDEVP(終値!O139:AH139)/AVERAGE(終値!O139:AH139),""))</f>
        <v>0.14161423575374568</v>
      </c>
      <c r="M139" s="503">
        <f>IF(終値!A139="","",IFERROR(4*STDEVP(終値!P139:AI139)/AVERAGE(終値!P139:AI139),""))</f>
        <v>0.13809070679792182</v>
      </c>
      <c r="N139" s="503">
        <f>IF(終値!A139="","",IFERROR(4*STDEVP(終値!Q139:AJ139)/AVERAGE(終値!Q139:AJ139),""))</f>
        <v>0.14244982235578385</v>
      </c>
      <c r="O139" s="503">
        <f>IF(終値!A139="","",IFERROR(4*STDEVP(終値!R139:AK139)/AVERAGE(終値!R139:AK139),""))</f>
        <v>0.16782726499103895</v>
      </c>
      <c r="P139" s="503">
        <f>IF(終値!A139="","",IFERROR(4*STDEVP(終値!S139:AL139)/AVERAGE(終値!S139:AL139),""))</f>
        <v>0.17443517583311788</v>
      </c>
      <c r="Q139" s="503">
        <f>IF(終値!A139="","",IFERROR(4*STDEVP(終値!T139:AM139)/AVERAGE(終値!T139:AM139),""))</f>
        <v>0.18032618646059595</v>
      </c>
      <c r="R139" s="503">
        <f>IF(終値!A139="","",IFERROR(4*STDEVP(終値!U139:AN139)/AVERAGE(終値!U139:AN139),""))</f>
        <v>0.19917892419946187</v>
      </c>
      <c r="S139" s="503">
        <f>IF(終値!A139="","",IFERROR(4*STDEVP(終値!V139:AO139)/AVERAGE(終値!V139:AO139),""))</f>
        <v>0.33545207702511737</v>
      </c>
      <c r="T139" s="503">
        <f>IF(終値!A139="","",IFERROR(4*STDEVP(終値!W139:AP139)/AVERAGE(終値!W139:AP139),""))</f>
        <v>0.38752707604149322</v>
      </c>
      <c r="U139" s="503">
        <f>IF(終値!A139="","",IFERROR(4*STDEVP(終値!X139:AQ139)/AVERAGE(終値!X139:AQ139),""))</f>
        <v>0.56738528686894052</v>
      </c>
      <c r="V139" s="503">
        <f>IF(終値!A139="","",IFERROR(4*STDEVP(終値!Y139:AR139)/AVERAGE(終値!Y139:AR139),""))</f>
        <v>0.59026295105315219</v>
      </c>
      <c r="W139" s="503">
        <f>IF(終値!A139="","",IFERROR(4*STDEVP(終値!Z139:AS139)/AVERAGE(終値!Z139:AS139),""))</f>
        <v>0.58389962736905376</v>
      </c>
      <c r="X139" s="503">
        <f>IF(終値!A139="","",IFERROR(4*STDEVP(終値!AA139:AT139)/AVERAGE(終値!AA139:AT139),""))</f>
        <v>0.56899824740586069</v>
      </c>
      <c r="Y139" s="503">
        <f>IF(終値!A139="","",IFERROR(4*STDEVP(終値!AB139:AU139)/AVERAGE(終値!AB139:AU139),""))</f>
        <v>0.55129338374506265</v>
      </c>
      <c r="Z139" s="503">
        <f>IF(終値!A139="","",IFERROR(4*STDEVP(終値!AC139:AV139)/AVERAGE(終値!AC139:AV139),""))</f>
        <v>0.5395299104170227</v>
      </c>
      <c r="AA139" s="503">
        <f>IF(終値!A139="","",IFERROR(4*STDEVP(終値!AD139:AW139)/AVERAGE(終値!AD139:AW139),""))</f>
        <v>0.52291221261674647</v>
      </c>
      <c r="AB139" s="503">
        <f>IF(終値!A139="","",IFERROR(4*STDEVP(終値!AE139:AX139)/AVERAGE(終値!AE139:AX139),""))</f>
        <v>0.51316485171163906</v>
      </c>
      <c r="AC139" s="503">
        <f>IF(終値!A139="","",IFERROR(4*STDEVP(終値!AF139:AY139)/AVERAGE(終値!AF139:AY139),""))</f>
        <v>0.5222938779490065</v>
      </c>
      <c r="AD139" s="503">
        <f>IF(終値!A139="","",IFERROR(4*STDEVP(終値!AG139:AZ139)/AVERAGE(終値!AG139:AZ139),""))</f>
        <v>0.50163877046319005</v>
      </c>
      <c r="AE139" s="503">
        <f>IF(終値!A139="","",IFERROR(4*STDEVP(終値!AH139:BA139)/AVERAGE(終値!AH139:BA139),""))</f>
        <v>0.47597972749529105</v>
      </c>
      <c r="AF139" s="503">
        <f>IF(終値!A139="","",IFERROR(4*STDEVP(終値!AI139:BB139)/AVERAGE(終値!AI139:BB139),""))</f>
        <v>0.45777804176851011</v>
      </c>
      <c r="AG139" s="503">
        <f>IF(終値!A139="","",IFERROR(4*STDEVP(終値!AJ139:BC139)/AVERAGE(終値!AJ139:BC139),""))</f>
        <v>0.43464883028582529</v>
      </c>
      <c r="AH139" s="503">
        <f>IF(終値!A139="","",IFERROR(4*STDEVP(終値!AK139:BD139)/AVERAGE(終値!AK139:BD139),""))</f>
        <v>0.43170308156380688</v>
      </c>
      <c r="AI139" s="503">
        <f>IF(終値!A139="","",IFERROR(4*STDEVP(終値!AL139:BE139)/AVERAGE(終値!AL139:BE139),""))</f>
        <v>0.42254112866463855</v>
      </c>
      <c r="AJ139" s="503">
        <f>IF(終値!A139="","",IFERROR(4*STDEVP(終値!AM139:BF139)/AVERAGE(終値!AM139:BF139),""))</f>
        <v>0.40789415111118144</v>
      </c>
      <c r="AK139" s="503">
        <f>IF(終値!A139="","",IFERROR(4*STDEVP(終値!AN139:BG139)/AVERAGE(終値!AN139:BG139),""))</f>
        <v>0.4137212956499971</v>
      </c>
      <c r="AL139" s="503">
        <f>IF(終値!A139="","",IFERROR(4*STDEVP(終値!AO139:BH139)/AVERAGE(終値!AO139:BH139),""))</f>
        <v>0.49565807422069141</v>
      </c>
      <c r="AM139" s="503">
        <f>IF(終値!A139="","",IFERROR(4*STDEVP(終値!AP139:BI139)/AVERAGE(終値!AP139:BI139),""))</f>
        <v>0.51111778481290371</v>
      </c>
      <c r="AN139" s="503">
        <f>IF(終値!A139="","",IFERROR(4*STDEVP(終値!AQ139:BJ139)/AVERAGE(終値!AQ139:BJ139),""))</f>
        <v>0.54671933819787411</v>
      </c>
      <c r="AO139" s="503">
        <f>IF(終値!A139="","",IFERROR(4*STDEVP(終値!AR139:BK139)/AVERAGE(終値!AR139:BK139),""))</f>
        <v>0.57726944571062455</v>
      </c>
      <c r="AP139" s="503">
        <f>IF(終値!A139="","",IFERROR(4*STDEVP(終値!AS139:BL139)/AVERAGE(終値!AS139:BL139),""))</f>
        <v>0.59724402998927828</v>
      </c>
    </row>
    <row r="140" spans="1:42">
      <c r="A140" s="500" t="str">
        <f>IF(終値!A140="","",終値!A140)</f>
        <v>6740</v>
      </c>
      <c r="B140" s="503">
        <f>IF(終値!A140="","",IFERROR(4*STDEVP(終値!E140:X140)/AVERAGE(終値!E140:X140),""))</f>
        <v>0.24129101752264612</v>
      </c>
      <c r="C140" s="503">
        <f>IF(終値!A140="","",IFERROR(4*STDEVP(終値!F140:Y140)/AVERAGE(終値!F140:Y140),""))</f>
        <v>0.24265853715064889</v>
      </c>
      <c r="D140" s="503">
        <f>IF(終値!A140="","",IFERROR(4*STDEVP(終値!G140:Z140)/AVERAGE(終値!G140:Z140),""))</f>
        <v>0.24137190651888515</v>
      </c>
      <c r="E140" s="503">
        <f>IF(終値!A140="","",IFERROR(4*STDEVP(終値!H140:AA140)/AVERAGE(終値!H140:AA140),""))</f>
        <v>0.24985880438826436</v>
      </c>
      <c r="F140" s="503">
        <f>IF(終値!A140="","",IFERROR(4*STDEVP(終値!I140:AB140)/AVERAGE(終値!I140:AB140),""))</f>
        <v>0.266783254290206</v>
      </c>
      <c r="G140" s="503">
        <f>IF(終値!A140="","",IFERROR(4*STDEVP(終値!J140:AC140)/AVERAGE(終値!J140:AC140),""))</f>
        <v>0.28511475246700435</v>
      </c>
      <c r="H140" s="503">
        <f>IF(終値!A140="","",IFERROR(4*STDEVP(終値!K140:AD140)/AVERAGE(終値!K140:AD140),""))</f>
        <v>0.30235310968339596</v>
      </c>
      <c r="I140" s="503">
        <f>IF(終値!A140="","",IFERROR(4*STDEVP(終値!L140:AE140)/AVERAGE(終値!L140:AE140),""))</f>
        <v>0.29565828067157973</v>
      </c>
      <c r="J140" s="503">
        <f>IF(終値!A140="","",IFERROR(4*STDEVP(終値!M140:AF140)/AVERAGE(終値!M140:AF140),""))</f>
        <v>0.31304122394385242</v>
      </c>
      <c r="K140" s="503">
        <f>IF(終値!A140="","",IFERROR(4*STDEVP(終値!N140:AG140)/AVERAGE(終値!N140:AG140),""))</f>
        <v>0.30359795317445271</v>
      </c>
      <c r="L140" s="503">
        <f>IF(終値!A140="","",IFERROR(4*STDEVP(終値!O140:AH140)/AVERAGE(終値!O140:AH140),""))</f>
        <v>0.28476170503104786</v>
      </c>
      <c r="M140" s="503">
        <f>IF(終値!A140="","",IFERROR(4*STDEVP(終値!P140:AI140)/AVERAGE(終値!P140:AI140),""))</f>
        <v>0.27031860312302353</v>
      </c>
      <c r="N140" s="503">
        <f>IF(終値!A140="","",IFERROR(4*STDEVP(終値!Q140:AJ140)/AVERAGE(終値!Q140:AJ140),""))</f>
        <v>0.24533209146352872</v>
      </c>
      <c r="O140" s="503">
        <f>IF(終値!A140="","",IFERROR(4*STDEVP(終値!R140:AK140)/AVERAGE(終値!R140:AK140),""))</f>
        <v>0.24148327862118926</v>
      </c>
      <c r="P140" s="503">
        <f>IF(終値!A140="","",IFERROR(4*STDEVP(終値!S140:AL140)/AVERAGE(終値!S140:AL140),""))</f>
        <v>0.27866779382379436</v>
      </c>
      <c r="Q140" s="503">
        <f>IF(終値!A140="","",IFERROR(4*STDEVP(終値!T140:AM140)/AVERAGE(終値!T140:AM140),""))</f>
        <v>0.28788187261513409</v>
      </c>
      <c r="R140" s="503">
        <f>IF(終値!A140="","",IFERROR(4*STDEVP(終値!U140:AN140)/AVERAGE(終値!U140:AN140),""))</f>
        <v>0.28788187261513409</v>
      </c>
      <c r="S140" s="503">
        <f>IF(終値!A140="","",IFERROR(4*STDEVP(終値!V140:AO140)/AVERAGE(終値!V140:AO140),""))</f>
        <v>0.28148297541411066</v>
      </c>
      <c r="T140" s="503">
        <f>IF(終値!A140="","",IFERROR(4*STDEVP(終値!W140:AP140)/AVERAGE(終値!W140:AP140),""))</f>
        <v>0.27996261186793892</v>
      </c>
      <c r="U140" s="503">
        <f>IF(終値!A140="","",IFERROR(4*STDEVP(終値!X140:AQ140)/AVERAGE(終値!X140:AQ140),""))</f>
        <v>0.27962677604768954</v>
      </c>
      <c r="V140" s="503">
        <f>IF(終値!A140="","",IFERROR(4*STDEVP(終値!Y140:AR140)/AVERAGE(終値!Y140:AR140),""))</f>
        <v>0.27962677604768954</v>
      </c>
      <c r="W140" s="503">
        <f>IF(終値!A140="","",IFERROR(4*STDEVP(終値!Z140:AS140)/AVERAGE(終値!Z140:AS140),""))</f>
        <v>0.27924178385912402</v>
      </c>
      <c r="X140" s="503">
        <f>IF(終値!A140="","",IFERROR(4*STDEVP(終値!AA140:AT140)/AVERAGE(終値!AA140:AT140),""))</f>
        <v>0.27779244152073468</v>
      </c>
      <c r="Y140" s="503">
        <f>IF(終値!A140="","",IFERROR(4*STDEVP(終値!AB140:AU140)/AVERAGE(終値!AB140:AU140),""))</f>
        <v>0.27955188425732636</v>
      </c>
      <c r="Z140" s="503">
        <f>IF(終値!A140="","",IFERROR(4*STDEVP(終値!AC140:AV140)/AVERAGE(終値!AC140:AV140),""))</f>
        <v>0.28181551169597074</v>
      </c>
      <c r="AA140" s="503">
        <f>IF(終値!A140="","",IFERROR(4*STDEVP(終値!AD140:AW140)/AVERAGE(終値!AD140:AW140),""))</f>
        <v>0.26611805835815772</v>
      </c>
      <c r="AB140" s="503">
        <f>IF(終値!A140="","",IFERROR(4*STDEVP(終値!AE140:AX140)/AVERAGE(終値!AE140:AX140),""))</f>
        <v>0.24627542567477537</v>
      </c>
      <c r="AC140" s="503">
        <f>IF(終値!A140="","",IFERROR(4*STDEVP(終値!AF140:AY140)/AVERAGE(終値!AF140:AY140),""))</f>
        <v>0.30631219449089386</v>
      </c>
      <c r="AD140" s="503">
        <f>IF(終値!A140="","",IFERROR(4*STDEVP(終値!AG140:AZ140)/AVERAGE(終値!AG140:AZ140),""))</f>
        <v>0.35774150426882745</v>
      </c>
      <c r="AE140" s="503">
        <f>IF(終値!A140="","",IFERROR(4*STDEVP(終値!AH140:BA140)/AVERAGE(終値!AH140:BA140),""))</f>
        <v>0.3665432527694874</v>
      </c>
      <c r="AF140" s="503">
        <f>IF(終値!A140="","",IFERROR(4*STDEVP(終値!AI140:BB140)/AVERAGE(終値!AI140:BB140),""))</f>
        <v>0.37760538803401039</v>
      </c>
      <c r="AG140" s="503">
        <f>IF(終値!A140="","",IFERROR(4*STDEVP(終値!AJ140:BC140)/AVERAGE(終値!AJ140:BC140),""))</f>
        <v>0.40776443078838703</v>
      </c>
      <c r="AH140" s="503">
        <f>IF(終値!A140="","",IFERROR(4*STDEVP(終値!AK140:BD140)/AVERAGE(終値!AK140:BD140),""))</f>
        <v>0.44092412316983887</v>
      </c>
      <c r="AI140" s="503">
        <f>IF(終値!A140="","",IFERROR(4*STDEVP(終値!AL140:BE140)/AVERAGE(終値!AL140:BE140),""))</f>
        <v>0.45296552588008304</v>
      </c>
      <c r="AJ140" s="503">
        <f>IF(終値!A140="","",IFERROR(4*STDEVP(終値!AM140:BF140)/AVERAGE(終値!AM140:BF140),""))</f>
        <v>0.42997547531615088</v>
      </c>
      <c r="AK140" s="503">
        <f>IF(終値!A140="","",IFERROR(4*STDEVP(終値!AN140:BG140)/AVERAGE(終値!AN140:BG140),""))</f>
        <v>0.42555705878553129</v>
      </c>
      <c r="AL140" s="503">
        <f>IF(終値!A140="","",IFERROR(4*STDEVP(終値!AO140:BH140)/AVERAGE(終値!AO140:BH140),""))</f>
        <v>0.44776131016129211</v>
      </c>
      <c r="AM140" s="503">
        <f>IF(終値!A140="","",IFERROR(4*STDEVP(終値!AP140:BI140)/AVERAGE(終値!AP140:BI140),""))</f>
        <v>0.50147320307945797</v>
      </c>
      <c r="AN140" s="503">
        <f>IF(終値!A140="","",IFERROR(4*STDEVP(終値!AQ140:BJ140)/AVERAGE(終値!AQ140:BJ140),""))</f>
        <v>0.53865758192633939</v>
      </c>
      <c r="AO140" s="503">
        <f>IF(終値!A140="","",IFERROR(4*STDEVP(終値!AR140:BK140)/AVERAGE(終値!AR140:BK140),""))</f>
        <v>0.59869920082938732</v>
      </c>
      <c r="AP140" s="503">
        <f>IF(終値!A140="","",IFERROR(4*STDEVP(終値!AS140:BL140)/AVERAGE(終値!AS140:BL140),""))</f>
        <v>0.63872389832764342</v>
      </c>
    </row>
    <row r="141" spans="1:42">
      <c r="A141" s="500" t="str">
        <f>IF(終値!A141="","",終値!A141)</f>
        <v>6613</v>
      </c>
      <c r="B141" s="503">
        <f>IF(終値!A141="","",IFERROR(4*STDEVP(終値!E141:X141)/AVERAGE(終値!E141:X141),""))</f>
        <v>1.0358662433140577</v>
      </c>
      <c r="C141" s="503">
        <f>IF(終値!A141="","",IFERROR(4*STDEVP(終値!F141:Y141)/AVERAGE(終値!F141:Y141),""))</f>
        <v>1.037034363060565</v>
      </c>
      <c r="D141" s="503">
        <f>IF(終値!A141="","",IFERROR(4*STDEVP(終値!G141:Z141)/AVERAGE(終値!G141:Z141),""))</f>
        <v>1.0135001354243549</v>
      </c>
      <c r="E141" s="503">
        <f>IF(終値!A141="","",IFERROR(4*STDEVP(終値!H141:AA141)/AVERAGE(終値!H141:AA141),""))</f>
        <v>0.99789773480424482</v>
      </c>
      <c r="F141" s="503">
        <f>IF(終値!A141="","",IFERROR(4*STDEVP(終値!I141:AB141)/AVERAGE(終値!I141:AB141),""))</f>
        <v>0.93748544218200902</v>
      </c>
      <c r="G141" s="503">
        <f>IF(終値!A141="","",IFERROR(4*STDEVP(終値!J141:AC141)/AVERAGE(終値!J141:AC141),""))</f>
        <v>0.84569380160531904</v>
      </c>
      <c r="H141" s="503">
        <f>IF(終値!A141="","",IFERROR(4*STDEVP(終値!K141:AD141)/AVERAGE(終値!K141:AD141),""))</f>
        <v>0.7700286149602219</v>
      </c>
      <c r="I141" s="503">
        <f>IF(終値!A141="","",IFERROR(4*STDEVP(終値!L141:AE141)/AVERAGE(終値!L141:AE141),""))</f>
        <v>0.75009734865075817</v>
      </c>
      <c r="J141" s="503">
        <f>IF(終値!A141="","",IFERROR(4*STDEVP(終値!M141:AF141)/AVERAGE(終値!M141:AF141),""))</f>
        <v>0.6817642738432802</v>
      </c>
      <c r="K141" s="503">
        <f>IF(終値!A141="","",IFERROR(4*STDEVP(終値!N141:AG141)/AVERAGE(終値!N141:AG141),""))</f>
        <v>0.6253042097229794</v>
      </c>
      <c r="L141" s="503">
        <f>IF(終値!A141="","",IFERROR(4*STDEVP(終値!O141:AH141)/AVERAGE(終値!O141:AH141),""))</f>
        <v>0.54447028653312979</v>
      </c>
      <c r="M141" s="503">
        <f>IF(終値!A141="","",IFERROR(4*STDEVP(終値!P141:AI141)/AVERAGE(終値!P141:AI141),""))</f>
        <v>0.43086298992352051</v>
      </c>
      <c r="N141" s="503">
        <f>IF(終値!A141="","",IFERROR(4*STDEVP(終値!Q141:AJ141)/AVERAGE(終値!Q141:AJ141),""))</f>
        <v>0.30923741751584244</v>
      </c>
      <c r="O141" s="503">
        <f>IF(終値!A141="","",IFERROR(4*STDEVP(終値!R141:AK141)/AVERAGE(終値!R141:AK141),""))</f>
        <v>0.31003022469516317</v>
      </c>
      <c r="P141" s="503">
        <f>IF(終値!A141="","",IFERROR(4*STDEVP(終値!S141:AL141)/AVERAGE(終値!S141:AL141),""))</f>
        <v>0.29742592329328943</v>
      </c>
      <c r="Q141" s="503">
        <f>IF(終値!A141="","",IFERROR(4*STDEVP(終値!T141:AM141)/AVERAGE(終値!T141:AM141),""))</f>
        <v>0.29308397922531254</v>
      </c>
      <c r="R141" s="503">
        <f>IF(終値!A141="","",IFERROR(4*STDEVP(終値!U141:AN141)/AVERAGE(終値!U141:AN141),""))</f>
        <v>0.28637187459166896</v>
      </c>
      <c r="S141" s="503">
        <f>IF(終値!A141="","",IFERROR(4*STDEVP(終値!V141:AO141)/AVERAGE(終値!V141:AO141),""))</f>
        <v>0.29826555234201091</v>
      </c>
      <c r="T141" s="503">
        <f>IF(終値!A141="","",IFERROR(4*STDEVP(終値!W141:AP141)/AVERAGE(終値!W141:AP141),""))</f>
        <v>0.31721486364589124</v>
      </c>
      <c r="U141" s="503">
        <f>IF(終値!A141="","",IFERROR(4*STDEVP(終値!X141:AQ141)/AVERAGE(終値!X141:AQ141),""))</f>
        <v>0.31943413634234097</v>
      </c>
      <c r="V141" s="503">
        <f>IF(終値!A141="","",IFERROR(4*STDEVP(終値!Y141:AR141)/AVERAGE(終値!Y141:AR141),""))</f>
        <v>0.32224436186088135</v>
      </c>
      <c r="W141" s="503">
        <f>IF(終値!A141="","",IFERROR(4*STDEVP(終値!Z141:AS141)/AVERAGE(終値!Z141:AS141),""))</f>
        <v>0.3306357204513331</v>
      </c>
      <c r="X141" s="503">
        <f>IF(終値!A141="","",IFERROR(4*STDEVP(終値!AA141:AT141)/AVERAGE(終値!AA141:AT141),""))</f>
        <v>0.33091690071768975</v>
      </c>
      <c r="Y141" s="503">
        <f>IF(終値!A141="","",IFERROR(4*STDEVP(終値!AB141:AU141)/AVERAGE(終値!AB141:AU141),""))</f>
        <v>0.33067778757901595</v>
      </c>
      <c r="Z141" s="503">
        <f>IF(終値!A141="","",IFERROR(4*STDEVP(終値!AC141:AV141)/AVERAGE(終値!AC141:AV141),""))</f>
        <v>0.33897073362393282</v>
      </c>
      <c r="AA141" s="503">
        <f>IF(終値!A141="","",IFERROR(4*STDEVP(終値!AD141:AW141)/AVERAGE(終値!AD141:AW141),""))</f>
        <v>0.33807609471093786</v>
      </c>
      <c r="AB141" s="503">
        <f>IF(終値!A141="","",IFERROR(4*STDEVP(終値!AE141:AX141)/AVERAGE(終値!AE141:AX141),""))</f>
        <v>0.332915078073036</v>
      </c>
      <c r="AC141" s="503">
        <f>IF(終値!A141="","",IFERROR(4*STDEVP(終値!AF141:AY141)/AVERAGE(終値!AF141:AY141),""))</f>
        <v>0.31985588089433697</v>
      </c>
      <c r="AD141" s="503">
        <f>IF(終値!A141="","",IFERROR(4*STDEVP(終値!AG141:AZ141)/AVERAGE(終値!AG141:AZ141),""))</f>
        <v>0.3513015005758392</v>
      </c>
      <c r="AE141" s="503">
        <f>IF(終値!A141="","",IFERROR(4*STDEVP(終値!AH141:BA141)/AVERAGE(終値!AH141:BA141),""))</f>
        <v>0.34455573702259856</v>
      </c>
      <c r="AF141" s="503">
        <f>IF(終値!A141="","",IFERROR(4*STDEVP(終値!AI141:BB141)/AVERAGE(終値!AI141:BB141),""))</f>
        <v>0.32022461799582858</v>
      </c>
      <c r="AG141" s="503">
        <f>IF(終値!A141="","",IFERROR(4*STDEVP(終値!AJ141:BC141)/AVERAGE(終値!AJ141:BC141),""))</f>
        <v>0.31770718193444242</v>
      </c>
      <c r="AH141" s="503">
        <f>IF(終値!A141="","",IFERROR(4*STDEVP(終値!AK141:BD141)/AVERAGE(終値!AK141:BD141),""))</f>
        <v>0.3574281317163448</v>
      </c>
      <c r="AI141" s="503">
        <f>IF(終値!A141="","",IFERROR(4*STDEVP(終値!AL141:BE141)/AVERAGE(終値!AL141:BE141),""))</f>
        <v>0.46426274573594301</v>
      </c>
      <c r="AJ141" s="503">
        <f>IF(終値!A141="","",IFERROR(4*STDEVP(終値!AM141:BF141)/AVERAGE(終値!AM141:BF141),""))</f>
        <v>0.58486310653513529</v>
      </c>
      <c r="AK141" s="503">
        <f>IF(終値!A141="","",IFERROR(4*STDEVP(終値!AN141:BG141)/AVERAGE(終値!AN141:BG141),""))</f>
        <v>0.66614039714647533</v>
      </c>
      <c r="AL141" s="503">
        <f>IF(終値!A141="","",IFERROR(4*STDEVP(終値!AO141:BH141)/AVERAGE(終値!AO141:BH141),""))</f>
        <v>0.73236102216523691</v>
      </c>
      <c r="AM141" s="503">
        <f>IF(終値!A141="","",IFERROR(4*STDEVP(終値!AP141:BI141)/AVERAGE(終値!AP141:BI141),""))</f>
        <v>0.79014173166427226</v>
      </c>
      <c r="AN141" s="503">
        <f>IF(終値!A141="","",IFERROR(4*STDEVP(終値!AQ141:BJ141)/AVERAGE(終値!AQ141:BJ141),""))</f>
        <v>0.82258378139384014</v>
      </c>
      <c r="AO141" s="503">
        <f>IF(終値!A141="","",IFERROR(4*STDEVP(終値!AR141:BK141)/AVERAGE(終値!AR141:BK141),""))</f>
        <v>0.89605256628554852</v>
      </c>
      <c r="AP141" s="503">
        <f>IF(終値!A141="","",IFERROR(4*STDEVP(終値!AS141:BL141)/AVERAGE(終値!AS141:BL141),""))</f>
        <v>0.97326653422037679</v>
      </c>
    </row>
    <row r="142" spans="1:42">
      <c r="A142" s="500" t="str">
        <f>IF(終値!A142="","",終値!A142)</f>
        <v>4568</v>
      </c>
      <c r="B142" s="503">
        <f>IF(終値!A142="","",IFERROR(4*STDEVP(終値!E142:X142)/AVERAGE(終値!E142:X142),""))</f>
        <v>0.15072626049468268</v>
      </c>
      <c r="C142" s="503">
        <f>IF(終値!A142="","",IFERROR(4*STDEVP(終値!F142:Y142)/AVERAGE(終値!F142:Y142),""))</f>
        <v>0.1315526725558053</v>
      </c>
      <c r="D142" s="503">
        <f>IF(終値!A142="","",IFERROR(4*STDEVP(終値!G142:Z142)/AVERAGE(終値!G142:Z142),""))</f>
        <v>0.12302715945732992</v>
      </c>
      <c r="E142" s="503">
        <f>IF(終値!A142="","",IFERROR(4*STDEVP(終値!H142:AA142)/AVERAGE(終値!H142:AA142),""))</f>
        <v>0.1213258536572967</v>
      </c>
      <c r="F142" s="503">
        <f>IF(終値!A142="","",IFERROR(4*STDEVP(終値!I142:AB142)/AVERAGE(終値!I142:AB142),""))</f>
        <v>0.12032297967265118</v>
      </c>
      <c r="G142" s="503">
        <f>IF(終値!A142="","",IFERROR(4*STDEVP(終値!J142:AC142)/AVERAGE(終値!J142:AC142),""))</f>
        <v>0.11547529650316202</v>
      </c>
      <c r="H142" s="503">
        <f>IF(終値!A142="","",IFERROR(4*STDEVP(終値!K142:AD142)/AVERAGE(終値!K142:AD142),""))</f>
        <v>0.11629785961324102</v>
      </c>
      <c r="I142" s="503">
        <f>IF(終値!A142="","",IFERROR(4*STDEVP(終値!L142:AE142)/AVERAGE(終値!L142:AE142),""))</f>
        <v>0.11756282662740528</v>
      </c>
      <c r="J142" s="503">
        <f>IF(終値!A142="","",IFERROR(4*STDEVP(終値!M142:AF142)/AVERAGE(終値!M142:AF142),""))</f>
        <v>0.12351362834748199</v>
      </c>
      <c r="K142" s="503">
        <f>IF(終値!A142="","",IFERROR(4*STDEVP(終値!N142:AG142)/AVERAGE(終値!N142:AG142),""))</f>
        <v>0.13111387664308333</v>
      </c>
      <c r="L142" s="503">
        <f>IF(終値!A142="","",IFERROR(4*STDEVP(終値!O142:AH142)/AVERAGE(終値!O142:AH142),""))</f>
        <v>0.13399819967562859</v>
      </c>
      <c r="M142" s="503">
        <f>IF(終値!A142="","",IFERROR(4*STDEVP(終値!P142:AI142)/AVERAGE(終値!P142:AI142),""))</f>
        <v>0.12731784194291115</v>
      </c>
      <c r="N142" s="503">
        <f>IF(終値!A142="","",IFERROR(4*STDEVP(終値!Q142:AJ142)/AVERAGE(終値!Q142:AJ142),""))</f>
        <v>0.11878453627070287</v>
      </c>
      <c r="O142" s="503">
        <f>IF(終値!A142="","",IFERROR(4*STDEVP(終値!R142:AK142)/AVERAGE(終値!R142:AK142),""))</f>
        <v>0.11881705962356873</v>
      </c>
      <c r="P142" s="503">
        <f>IF(終値!A142="","",IFERROR(4*STDEVP(終値!S142:AL142)/AVERAGE(終値!S142:AL142),""))</f>
        <v>0.12358901116413708</v>
      </c>
      <c r="Q142" s="503">
        <f>IF(終値!A142="","",IFERROR(4*STDEVP(終値!T142:AM142)/AVERAGE(終値!T142:AM142),""))</f>
        <v>0.12419456889950521</v>
      </c>
      <c r="R142" s="503">
        <f>IF(終値!A142="","",IFERROR(4*STDEVP(終値!U142:AN142)/AVERAGE(終値!U142:AN142),""))</f>
        <v>0.12382133149042993</v>
      </c>
      <c r="S142" s="503">
        <f>IF(終値!A142="","",IFERROR(4*STDEVP(終値!V142:AO142)/AVERAGE(終値!V142:AO142),""))</f>
        <v>0.12106260660497183</v>
      </c>
      <c r="T142" s="503">
        <f>IF(終値!A142="","",IFERROR(4*STDEVP(終値!W142:AP142)/AVERAGE(終値!W142:AP142),""))</f>
        <v>0.11830350555641686</v>
      </c>
      <c r="U142" s="503">
        <f>IF(終値!A142="","",IFERROR(4*STDEVP(終値!X142:AQ142)/AVERAGE(終値!X142:AQ142),""))</f>
        <v>0.10938188067204124</v>
      </c>
      <c r="V142" s="503">
        <f>IF(終値!A142="","",IFERROR(4*STDEVP(終値!Y142:AR142)/AVERAGE(終値!Y142:AR142),""))</f>
        <v>9.103781192710253E-2</v>
      </c>
      <c r="W142" s="503">
        <f>IF(終値!A142="","",IFERROR(4*STDEVP(終値!Z142:AS142)/AVERAGE(終値!Z142:AS142),""))</f>
        <v>0.10201781169115076</v>
      </c>
      <c r="X142" s="503">
        <f>IF(終値!A142="","",IFERROR(4*STDEVP(終値!AA142:AT142)/AVERAGE(終値!AA142:AT142),""))</f>
        <v>9.6743193380044279E-2</v>
      </c>
      <c r="Y142" s="503">
        <f>IF(終値!A142="","",IFERROR(4*STDEVP(終値!AB142:AU142)/AVERAGE(終値!AB142:AU142),""))</f>
        <v>9.6941677867948439E-2</v>
      </c>
      <c r="Z142" s="503">
        <f>IF(終値!A142="","",IFERROR(4*STDEVP(終値!AC142:AV142)/AVERAGE(終値!AC142:AV142),""))</f>
        <v>0.10911372038361197</v>
      </c>
      <c r="AA142" s="503">
        <f>IF(終値!A142="","",IFERROR(4*STDEVP(終値!AD142:AW142)/AVERAGE(終値!AD142:AW142),""))</f>
        <v>0.11394899526763816</v>
      </c>
      <c r="AB142" s="503">
        <f>IF(終値!A142="","",IFERROR(4*STDEVP(終値!AE142:AX142)/AVERAGE(終値!AE142:AX142),""))</f>
        <v>0.12240414459203112</v>
      </c>
      <c r="AC142" s="503">
        <f>IF(終値!A142="","",IFERROR(4*STDEVP(終値!AF142:AY142)/AVERAGE(終値!AF142:AY142),""))</f>
        <v>0.13179579646341377</v>
      </c>
      <c r="AD142" s="503">
        <f>IF(終値!A142="","",IFERROR(4*STDEVP(終値!AG142:AZ142)/AVERAGE(終値!AG142:AZ142),""))</f>
        <v>0.13412423220058087</v>
      </c>
      <c r="AE142" s="503">
        <f>IF(終値!A142="","",IFERROR(4*STDEVP(終値!AH142:BA142)/AVERAGE(終値!AH142:BA142),""))</f>
        <v>0.13646945059479729</v>
      </c>
      <c r="AF142" s="503">
        <f>IF(終値!A142="","",IFERROR(4*STDEVP(終値!AI142:BB142)/AVERAGE(終値!AI142:BB142),""))</f>
        <v>0.1358702751644785</v>
      </c>
      <c r="AG142" s="503">
        <f>IF(終値!A142="","",IFERROR(4*STDEVP(終値!AJ142:BC142)/AVERAGE(終値!AJ142:BC142),""))</f>
        <v>0.13629366378121438</v>
      </c>
      <c r="AH142" s="503">
        <f>IF(終値!A142="","",IFERROR(4*STDEVP(終値!AK142:BD142)/AVERAGE(終値!AK142:BD142),""))</f>
        <v>0.13016844264411484</v>
      </c>
      <c r="AI142" s="503">
        <f>IF(終値!A142="","",IFERROR(4*STDEVP(終値!AL142:BE142)/AVERAGE(終値!AL142:BE142),""))</f>
        <v>0.1300932067417977</v>
      </c>
      <c r="AJ142" s="503">
        <f>IF(終値!A142="","",IFERROR(4*STDEVP(終値!AM142:BF142)/AVERAGE(終値!AM142:BF142),""))</f>
        <v>0.12827785610778286</v>
      </c>
      <c r="AK142" s="503">
        <f>IF(終値!A142="","",IFERROR(4*STDEVP(終値!AN142:BG142)/AVERAGE(終値!AN142:BG142),""))</f>
        <v>0.1360188021390972</v>
      </c>
      <c r="AL142" s="503">
        <f>IF(終値!A142="","",IFERROR(4*STDEVP(終値!AO142:BH142)/AVERAGE(終値!AO142:BH142),""))</f>
        <v>0.14018778645309507</v>
      </c>
      <c r="AM142" s="503">
        <f>IF(終値!A142="","",IFERROR(4*STDEVP(終値!AP142:BI142)/AVERAGE(終値!AP142:BI142),""))</f>
        <v>0.13536465354561428</v>
      </c>
      <c r="AN142" s="503">
        <f>IF(終値!A142="","",IFERROR(4*STDEVP(終値!AQ142:BJ142)/AVERAGE(終値!AQ142:BJ142),""))</f>
        <v>0.12830325340535581</v>
      </c>
      <c r="AO142" s="503">
        <f>IF(終値!A142="","",IFERROR(4*STDEVP(終値!AR142:BK142)/AVERAGE(終値!AR142:BK142),""))</f>
        <v>0.12467349215607641</v>
      </c>
      <c r="AP142" s="503">
        <f>IF(終値!A142="","",IFERROR(4*STDEVP(終値!AS142:BL142)/AVERAGE(終値!AS142:BL142),""))</f>
        <v>0.11602746537024103</v>
      </c>
    </row>
    <row r="143" spans="1:42">
      <c r="A143" s="500" t="str">
        <f>IF(終値!A143="","",終値!A143)</f>
        <v>6522</v>
      </c>
      <c r="B143" s="503">
        <f>IF(終値!A143="","",IFERROR(4*STDEVP(終値!E143:X143)/AVERAGE(終値!E143:X143),""))</f>
        <v>0.62943329866899445</v>
      </c>
      <c r="C143" s="503">
        <f>IF(終値!A143="","",IFERROR(4*STDEVP(終値!F143:Y143)/AVERAGE(終値!F143:Y143),""))</f>
        <v>0.63660753966599148</v>
      </c>
      <c r="D143" s="503">
        <f>IF(終値!A143="","",IFERROR(4*STDEVP(終値!G143:Z143)/AVERAGE(終値!G143:Z143),""))</f>
        <v>0.62674246705182624</v>
      </c>
      <c r="E143" s="503">
        <f>IF(終値!A143="","",IFERROR(4*STDEVP(終値!H143:AA143)/AVERAGE(終値!H143:AA143),""))</f>
        <v>0.62953369356362976</v>
      </c>
      <c r="F143" s="503">
        <f>IF(終値!A143="","",IFERROR(4*STDEVP(終値!I143:AB143)/AVERAGE(終値!I143:AB143),""))</f>
        <v>0.6553092289205491</v>
      </c>
      <c r="G143" s="503">
        <f>IF(終値!A143="","",IFERROR(4*STDEVP(終値!J143:AC143)/AVERAGE(終値!J143:AC143),""))</f>
        <v>0.75786204381919497</v>
      </c>
      <c r="H143" s="503">
        <f>IF(終値!A143="","",IFERROR(4*STDEVP(終値!K143:AD143)/AVERAGE(終値!K143:AD143),""))</f>
        <v>0.83820247428311767</v>
      </c>
      <c r="I143" s="503">
        <f>IF(終値!A143="","",IFERROR(4*STDEVP(終値!L143:AE143)/AVERAGE(終値!L143:AE143),""))</f>
        <v>0.92366228765121594</v>
      </c>
      <c r="J143" s="503">
        <f>IF(終値!A143="","",IFERROR(4*STDEVP(終値!M143:AF143)/AVERAGE(終値!M143:AF143),""))</f>
        <v>0.97939396473293161</v>
      </c>
      <c r="K143" s="503">
        <f>IF(終値!A143="","",IFERROR(4*STDEVP(終値!N143:AG143)/AVERAGE(終値!N143:AG143),""))</f>
        <v>1.0408307237655692</v>
      </c>
      <c r="L143" s="503">
        <f>IF(終値!A143="","",IFERROR(4*STDEVP(終値!O143:AH143)/AVERAGE(終値!O143:AH143),""))</f>
        <v>1.077721336058981</v>
      </c>
      <c r="M143" s="503">
        <f>IF(終値!A143="","",IFERROR(4*STDEVP(終値!P143:AI143)/AVERAGE(終値!P143:AI143),""))</f>
        <v>1.1248515229654261</v>
      </c>
      <c r="N143" s="503">
        <f>IF(終値!A143="","",IFERROR(4*STDEVP(終値!Q143:AJ143)/AVERAGE(終値!Q143:AJ143),""))</f>
        <v>1.1970151363376631</v>
      </c>
      <c r="O143" s="503">
        <f>IF(終値!A143="","",IFERROR(4*STDEVP(終値!R143:AK143)/AVERAGE(終値!R143:AK143),""))</f>
        <v>1.3112845660549028</v>
      </c>
      <c r="P143" s="503">
        <f>IF(終値!A143="","",IFERROR(4*STDEVP(終値!S143:AL143)/AVERAGE(終値!S143:AL143),""))</f>
        <v>1.4204710529623432</v>
      </c>
      <c r="Q143" s="503">
        <f>IF(終値!A143="","",IFERROR(4*STDEVP(終値!T143:AM143)/AVERAGE(終値!T143:AM143),""))</f>
        <v>1.5073012736442581</v>
      </c>
      <c r="R143" s="503">
        <f>IF(終値!A143="","",IFERROR(4*STDEVP(終値!U143:AN143)/AVERAGE(終値!U143:AN143),""))</f>
        <v>1.5679878515978878</v>
      </c>
      <c r="S143" s="503">
        <f>IF(終値!A143="","",IFERROR(4*STDEVP(終値!V143:AO143)/AVERAGE(終値!V143:AO143),""))</f>
        <v>1.6240437623562956</v>
      </c>
      <c r="T143" s="503">
        <f>IF(終値!A143="","",IFERROR(4*STDEVP(終値!W143:AP143)/AVERAGE(終値!W143:AP143),""))</f>
        <v>1.518689391073422</v>
      </c>
      <c r="U143" s="503">
        <f>IF(終値!A143="","",IFERROR(4*STDEVP(終値!X143:AQ143)/AVERAGE(終値!X143:AQ143),""))</f>
        <v>1.4410473926976761</v>
      </c>
      <c r="V143" s="503">
        <f>IF(終値!A143="","",IFERROR(4*STDEVP(終値!Y143:AR143)/AVERAGE(終値!Y143:AR143),""))</f>
        <v>1.4353150100694194</v>
      </c>
      <c r="W143" s="503">
        <f>IF(終値!A143="","",IFERROR(4*STDEVP(終値!Z143:AS143)/AVERAGE(終値!Z143:AS143),""))</f>
        <v>1.284775191051267</v>
      </c>
      <c r="X143" s="503">
        <f>IF(終値!A143="","",IFERROR(4*STDEVP(終値!AA143:AT143)/AVERAGE(終値!AA143:AT143),""))</f>
        <v>0.98411466553066662</v>
      </c>
      <c r="Y143" s="503">
        <f>IF(終値!A143="","",IFERROR(4*STDEVP(終値!AB143:AU143)/AVERAGE(終値!AB143:AU143),""))</f>
        <v>0.80749987690889879</v>
      </c>
      <c r="Z143" s="503">
        <f>IF(終値!A143="","",IFERROR(4*STDEVP(終値!AC143:AV143)/AVERAGE(終値!AC143:AV143),""))</f>
        <v>0.69908360603727759</v>
      </c>
      <c r="AA143" s="503">
        <f>IF(終値!A143="","",IFERROR(4*STDEVP(終値!AD143:AW143)/AVERAGE(終値!AD143:AW143),""))</f>
        <v>0.69163764282023177</v>
      </c>
      <c r="AB143" s="503">
        <f>IF(終値!A143="","",IFERROR(4*STDEVP(終値!AE143:AX143)/AVERAGE(終値!AE143:AX143),""))</f>
        <v>0.6786891399287498</v>
      </c>
      <c r="AC143" s="503">
        <f>IF(終値!A143="","",IFERROR(4*STDEVP(終値!AF143:AY143)/AVERAGE(終値!AF143:AY143),""))</f>
        <v>0.66490621445666165</v>
      </c>
      <c r="AD143" s="503">
        <f>IF(終値!A143="","",IFERROR(4*STDEVP(終値!AG143:AZ143)/AVERAGE(終値!AG143:AZ143),""))</f>
        <v>0.6103415766649759</v>
      </c>
      <c r="AE143" s="503">
        <f>IF(終値!A143="","",IFERROR(4*STDEVP(終値!AH143:BA143)/AVERAGE(終値!AH143:BA143),""))</f>
        <v>0.56455258200827219</v>
      </c>
      <c r="AF143" s="503">
        <f>IF(終値!A143="","",IFERROR(4*STDEVP(終値!AI143:BB143)/AVERAGE(終値!AI143:BB143),""))</f>
        <v>0.45960094394679141</v>
      </c>
      <c r="AG143" s="503">
        <f>IF(終値!A143="","",IFERROR(4*STDEVP(終値!AJ143:BC143)/AVERAGE(終値!AJ143:BC143),""))</f>
        <v>0.45634198856144731</v>
      </c>
      <c r="AH143" s="503">
        <f>IF(終値!A143="","",IFERROR(4*STDEVP(終値!AK143:BD143)/AVERAGE(終値!AK143:BD143),""))</f>
        <v>0.4899042778733112</v>
      </c>
      <c r="AI143" s="503">
        <f>IF(終値!A143="","",IFERROR(4*STDEVP(終値!AL143:BE143)/AVERAGE(終値!AL143:BE143),""))</f>
        <v>0.5086943668532381</v>
      </c>
      <c r="AJ143" s="503">
        <f>IF(終値!A143="","",IFERROR(4*STDEVP(終値!AM143:BF143)/AVERAGE(終値!AM143:BF143),""))</f>
        <v>0.5226273891429658</v>
      </c>
      <c r="AK143" s="503">
        <f>IF(終値!A143="","",IFERROR(4*STDEVP(終値!AN143:BG143)/AVERAGE(終値!AN143:BG143),""))</f>
        <v>0.51589206204974769</v>
      </c>
      <c r="AL143" s="503">
        <f>IF(終値!A143="","",IFERROR(4*STDEVP(終値!AO143:BH143)/AVERAGE(終値!AO143:BH143),""))</f>
        <v>0.51361990134888669</v>
      </c>
      <c r="AM143" s="503">
        <f>IF(終値!A143="","",IFERROR(4*STDEVP(終値!AP143:BI143)/AVERAGE(終値!AP143:BI143),""))</f>
        <v>0.55316720931631091</v>
      </c>
      <c r="AN143" s="503">
        <f>IF(終値!A143="","",IFERROR(4*STDEVP(終値!AQ143:BJ143)/AVERAGE(終値!AQ143:BJ143),""))</f>
        <v>0.60781305691173448</v>
      </c>
      <c r="AO143" s="503">
        <f>IF(終値!A143="","",IFERROR(4*STDEVP(終値!AR143:BK143)/AVERAGE(終値!AR143:BK143),""))</f>
        <v>0.61737191076990705</v>
      </c>
      <c r="AP143" s="503">
        <f>IF(終値!A143="","",IFERROR(4*STDEVP(終値!AS143:BL143)/AVERAGE(終値!AS143:BL143),""))</f>
        <v>0.60364606659763553</v>
      </c>
    </row>
    <row r="144" spans="1:42">
      <c r="A144" s="500" t="str">
        <f>IF(終値!A144="","",終値!A144)</f>
        <v>6777</v>
      </c>
      <c r="B144" s="503">
        <f>IF(終値!A144="","",IFERROR(4*STDEVP(終値!E144:X144)/AVERAGE(終値!E144:X144),""))</f>
        <v>0.43394104780885401</v>
      </c>
      <c r="C144" s="503">
        <f>IF(終値!A144="","",IFERROR(4*STDEVP(終値!F144:Y144)/AVERAGE(終値!F144:Y144),""))</f>
        <v>0.46932367288955051</v>
      </c>
      <c r="D144" s="503">
        <f>IF(終値!A144="","",IFERROR(4*STDEVP(終値!G144:Z144)/AVERAGE(終値!G144:Z144),""))</f>
        <v>0.49427001263171666</v>
      </c>
      <c r="E144" s="503">
        <f>IF(終値!A144="","",IFERROR(4*STDEVP(終値!H144:AA144)/AVERAGE(終値!H144:AA144),""))</f>
        <v>0.53765306698490878</v>
      </c>
      <c r="F144" s="503">
        <f>IF(終値!A144="","",IFERROR(4*STDEVP(終値!I144:AB144)/AVERAGE(終値!I144:AB144),""))</f>
        <v>0.54110989455262015</v>
      </c>
      <c r="G144" s="503">
        <f>IF(終値!A144="","",IFERROR(4*STDEVP(終値!J144:AC144)/AVERAGE(終値!J144:AC144),""))</f>
        <v>0.51660462711777733</v>
      </c>
      <c r="H144" s="503">
        <f>IF(終値!A144="","",IFERROR(4*STDEVP(終値!K144:AD144)/AVERAGE(終値!K144:AD144),""))</f>
        <v>0.52510500219606182</v>
      </c>
      <c r="I144" s="503">
        <f>IF(終値!A144="","",IFERROR(4*STDEVP(終値!L144:AE144)/AVERAGE(終値!L144:AE144),""))</f>
        <v>0.54322994540116298</v>
      </c>
      <c r="J144" s="503">
        <f>IF(終値!A144="","",IFERROR(4*STDEVP(終値!M144:AF144)/AVERAGE(終値!M144:AF144),""))</f>
        <v>0.5537602929882588</v>
      </c>
      <c r="K144" s="503">
        <f>IF(終値!A144="","",IFERROR(4*STDEVP(終値!N144:AG144)/AVERAGE(終値!N144:AG144),""))</f>
        <v>0.54976355212996453</v>
      </c>
      <c r="L144" s="503">
        <f>IF(終値!A144="","",IFERROR(4*STDEVP(終値!O144:AH144)/AVERAGE(終値!O144:AH144),""))</f>
        <v>0.57128899869728245</v>
      </c>
      <c r="M144" s="503">
        <f>IF(終値!A144="","",IFERROR(4*STDEVP(終値!P144:AI144)/AVERAGE(終値!P144:AI144),""))</f>
        <v>0.5587709816473293</v>
      </c>
      <c r="N144" s="503">
        <f>IF(終値!A144="","",IFERROR(4*STDEVP(終値!Q144:AJ144)/AVERAGE(終値!Q144:AJ144),""))</f>
        <v>0.51508245238687356</v>
      </c>
      <c r="O144" s="503">
        <f>IF(終値!A144="","",IFERROR(4*STDEVP(終値!R144:AK144)/AVERAGE(終値!R144:AK144),""))</f>
        <v>0.50615983414214993</v>
      </c>
      <c r="P144" s="503">
        <f>IF(終値!A144="","",IFERROR(4*STDEVP(終値!S144:AL144)/AVERAGE(終値!S144:AL144),""))</f>
        <v>0.48492285461357776</v>
      </c>
      <c r="Q144" s="503">
        <f>IF(終値!A144="","",IFERROR(4*STDEVP(終値!T144:AM144)/AVERAGE(終値!T144:AM144),""))</f>
        <v>0.45470582085940858</v>
      </c>
      <c r="R144" s="503">
        <f>IF(終値!A144="","",IFERROR(4*STDEVP(終値!U144:AN144)/AVERAGE(終値!U144:AN144),""))</f>
        <v>0.42929739913866921</v>
      </c>
      <c r="S144" s="503">
        <f>IF(終値!A144="","",IFERROR(4*STDEVP(終値!V144:AO144)/AVERAGE(終値!V144:AO144),""))</f>
        <v>0.40095366577993513</v>
      </c>
      <c r="T144" s="503">
        <f>IF(終値!A144="","",IFERROR(4*STDEVP(終値!W144:AP144)/AVERAGE(終値!W144:AP144),""))</f>
        <v>0.35729643420617269</v>
      </c>
      <c r="U144" s="503">
        <f>IF(終値!A144="","",IFERROR(4*STDEVP(終値!X144:AQ144)/AVERAGE(終値!X144:AQ144),""))</f>
        <v>0.33358623977792307</v>
      </c>
      <c r="V144" s="503">
        <f>IF(終値!A144="","",IFERROR(4*STDEVP(終値!Y144:AR144)/AVERAGE(終値!Y144:AR144),""))</f>
        <v>0.31913023493429765</v>
      </c>
      <c r="W144" s="503">
        <f>IF(終値!A144="","",IFERROR(4*STDEVP(終値!Z144:AS144)/AVERAGE(終値!Z144:AS144),""))</f>
        <v>0.30427171063658254</v>
      </c>
      <c r="X144" s="503">
        <f>IF(終値!A144="","",IFERROR(4*STDEVP(終値!AA144:AT144)/AVERAGE(終値!AA144:AT144),""))</f>
        <v>0.29109166636903527</v>
      </c>
      <c r="Y144" s="503">
        <f>IF(終値!A144="","",IFERROR(4*STDEVP(終値!AB144:AU144)/AVERAGE(終値!AB144:AU144),""))</f>
        <v>0.29209377789686231</v>
      </c>
      <c r="Z144" s="503">
        <f>IF(終値!A144="","",IFERROR(4*STDEVP(終値!AC144:AV144)/AVERAGE(終値!AC144:AV144),""))</f>
        <v>0.29535871980180112</v>
      </c>
      <c r="AA144" s="503">
        <f>IF(終値!A144="","",IFERROR(4*STDEVP(終値!AD144:AW144)/AVERAGE(終値!AD144:AW144),""))</f>
        <v>0.3000370734284537</v>
      </c>
      <c r="AB144" s="503">
        <f>IF(終値!A144="","",IFERROR(4*STDEVP(終値!AE144:AX144)/AVERAGE(終値!AE144:AX144),""))</f>
        <v>0.2949743165679139</v>
      </c>
      <c r="AC144" s="503">
        <f>IF(終値!A144="","",IFERROR(4*STDEVP(終値!AF144:AY144)/AVERAGE(終値!AF144:AY144),""))</f>
        <v>0.2980368517381613</v>
      </c>
      <c r="AD144" s="503">
        <f>IF(終値!A144="","",IFERROR(4*STDEVP(終値!AG144:AZ144)/AVERAGE(終値!AG144:AZ144),""))</f>
        <v>0.29849862287008144</v>
      </c>
      <c r="AE144" s="503">
        <f>IF(終値!A144="","",IFERROR(4*STDEVP(終値!AH144:BA144)/AVERAGE(終値!AH144:BA144),""))</f>
        <v>0.29483964794486817</v>
      </c>
      <c r="AF144" s="503">
        <f>IF(終値!A144="","",IFERROR(4*STDEVP(終値!AI144:BB144)/AVERAGE(終値!AI144:BB144),""))</f>
        <v>0.25705477730817616</v>
      </c>
      <c r="AG144" s="503">
        <f>IF(終値!A144="","",IFERROR(4*STDEVP(終値!AJ144:BC144)/AVERAGE(終値!AJ144:BC144),""))</f>
        <v>0.24143077277110225</v>
      </c>
      <c r="AH144" s="503">
        <f>IF(終値!A144="","",IFERROR(4*STDEVP(終値!AK144:BD144)/AVERAGE(終値!AK144:BD144),""))</f>
        <v>0.32733545209667803</v>
      </c>
      <c r="AI144" s="503">
        <f>IF(終値!A144="","",IFERROR(4*STDEVP(終値!AL144:BE144)/AVERAGE(終値!AL144:BE144),""))</f>
        <v>0.34870337499290271</v>
      </c>
      <c r="AJ144" s="503">
        <f>IF(終値!A144="","",IFERROR(4*STDEVP(終値!AM144:BF144)/AVERAGE(終値!AM144:BF144),""))</f>
        <v>0.39678741455303257</v>
      </c>
      <c r="AK144" s="503">
        <f>IF(終値!A144="","",IFERROR(4*STDEVP(終値!AN144:BG144)/AVERAGE(終値!AN144:BG144),""))</f>
        <v>0.4456325266488475</v>
      </c>
      <c r="AL144" s="503">
        <f>IF(終値!A144="","",IFERROR(4*STDEVP(終値!AO144:BH144)/AVERAGE(終値!AO144:BH144),""))</f>
        <v>0.44407719632215653</v>
      </c>
      <c r="AM144" s="503">
        <f>IF(終値!A144="","",IFERROR(4*STDEVP(終値!AP144:BI144)/AVERAGE(終値!AP144:BI144),""))</f>
        <v>0.4165870645803863</v>
      </c>
      <c r="AN144" s="503">
        <f>IF(終値!A144="","",IFERROR(4*STDEVP(終値!AQ144:BJ144)/AVERAGE(終値!AQ144:BJ144),""))</f>
        <v>0.39536575032623578</v>
      </c>
      <c r="AO144" s="503">
        <f>IF(終値!A144="","",IFERROR(4*STDEVP(終値!AR144:BK144)/AVERAGE(終値!AR144:BK144),""))</f>
        <v>0.36568122730174502</v>
      </c>
      <c r="AP144" s="503">
        <f>IF(終値!A144="","",IFERROR(4*STDEVP(終値!AS144:BL144)/AVERAGE(終値!AS144:BL144),""))</f>
        <v>0.35403973321755194</v>
      </c>
    </row>
    <row r="145" spans="1:42">
      <c r="A145" s="500" t="str">
        <f>IF(終値!A145="","",終値!A145)</f>
        <v>6787</v>
      </c>
      <c r="B145" s="503">
        <f>IF(終値!A145="","",IFERROR(4*STDEVP(終値!E145:X145)/AVERAGE(終値!E145:X145),""))</f>
        <v>0.43963187710602158</v>
      </c>
      <c r="C145" s="503">
        <f>IF(終値!A145="","",IFERROR(4*STDEVP(終値!F145:Y145)/AVERAGE(終値!F145:Y145),""))</f>
        <v>0.47450778113778669</v>
      </c>
      <c r="D145" s="503">
        <f>IF(終値!A145="","",IFERROR(4*STDEVP(終値!G145:Z145)/AVERAGE(終値!G145:Z145),""))</f>
        <v>0.48180351816885936</v>
      </c>
      <c r="E145" s="503">
        <f>IF(終値!A145="","",IFERROR(4*STDEVP(終値!H145:AA145)/AVERAGE(終値!H145:AA145),""))</f>
        <v>0.48530999988830015</v>
      </c>
      <c r="F145" s="503">
        <f>IF(終値!A145="","",IFERROR(4*STDEVP(終値!I145:AB145)/AVERAGE(終値!I145:AB145),""))</f>
        <v>0.47000721086289488</v>
      </c>
      <c r="G145" s="503">
        <f>IF(終値!A145="","",IFERROR(4*STDEVP(終値!J145:AC145)/AVERAGE(終値!J145:AC145),""))</f>
        <v>0.43384150531480137</v>
      </c>
      <c r="H145" s="503">
        <f>IF(終値!A145="","",IFERROR(4*STDEVP(終値!K145:AD145)/AVERAGE(終値!K145:AD145),""))</f>
        <v>0.40663364002742847</v>
      </c>
      <c r="I145" s="503">
        <f>IF(終値!A145="","",IFERROR(4*STDEVP(終値!L145:AE145)/AVERAGE(終値!L145:AE145),""))</f>
        <v>0.42245541406266518</v>
      </c>
      <c r="J145" s="503">
        <f>IF(終値!A145="","",IFERROR(4*STDEVP(終値!M145:AF145)/AVERAGE(終値!M145:AF145),""))</f>
        <v>0.42700221633417895</v>
      </c>
      <c r="K145" s="503">
        <f>IF(終値!A145="","",IFERROR(4*STDEVP(終値!N145:AG145)/AVERAGE(終値!N145:AG145),""))</f>
        <v>0.43052507668959822</v>
      </c>
      <c r="L145" s="503">
        <f>IF(終値!A145="","",IFERROR(4*STDEVP(終値!O145:AH145)/AVERAGE(終値!O145:AH145),""))</f>
        <v>0.48883303245962439</v>
      </c>
      <c r="M145" s="503">
        <f>IF(終値!A145="","",IFERROR(4*STDEVP(終値!P145:AI145)/AVERAGE(終値!P145:AI145),""))</f>
        <v>0.55627069138109919</v>
      </c>
      <c r="N145" s="503">
        <f>IF(終値!A145="","",IFERROR(4*STDEVP(終値!Q145:AJ145)/AVERAGE(終値!Q145:AJ145),""))</f>
        <v>0.53399777434911666</v>
      </c>
      <c r="O145" s="503">
        <f>IF(終値!A145="","",IFERROR(4*STDEVP(終値!R145:AK145)/AVERAGE(終値!R145:AK145),""))</f>
        <v>0.54175152196755216</v>
      </c>
      <c r="P145" s="503">
        <f>IF(終値!A145="","",IFERROR(4*STDEVP(終値!S145:AL145)/AVERAGE(終値!S145:AL145),""))</f>
        <v>0.52777468533781979</v>
      </c>
      <c r="Q145" s="503">
        <f>IF(終値!A145="","",IFERROR(4*STDEVP(終値!T145:AM145)/AVERAGE(終値!T145:AM145),""))</f>
        <v>0.50288903157886755</v>
      </c>
      <c r="R145" s="503">
        <f>IF(終値!A145="","",IFERROR(4*STDEVP(終値!U145:AN145)/AVERAGE(終値!U145:AN145),""))</f>
        <v>0.47755380989989371</v>
      </c>
      <c r="S145" s="503">
        <f>IF(終値!A145="","",IFERROR(4*STDEVP(終値!V145:AO145)/AVERAGE(終値!V145:AO145),""))</f>
        <v>0.4516506352608089</v>
      </c>
      <c r="T145" s="503">
        <f>IF(終値!A145="","",IFERROR(4*STDEVP(終値!W145:AP145)/AVERAGE(終値!W145:AP145),""))</f>
        <v>0.41283234586981921</v>
      </c>
      <c r="U145" s="503">
        <f>IF(終値!A145="","",IFERROR(4*STDEVP(終値!X145:AQ145)/AVERAGE(終値!X145:AQ145),""))</f>
        <v>0.38269289640820792</v>
      </c>
      <c r="V145" s="503">
        <f>IF(終値!A145="","",IFERROR(4*STDEVP(終値!Y145:AR145)/AVERAGE(終値!Y145:AR145),""))</f>
        <v>0.36530085631531511</v>
      </c>
      <c r="W145" s="503">
        <f>IF(終値!A145="","",IFERROR(4*STDEVP(終値!Z145:AS145)/AVERAGE(終値!Z145:AS145),""))</f>
        <v>0.36923563830915673</v>
      </c>
      <c r="X145" s="503">
        <f>IF(終値!A145="","",IFERROR(4*STDEVP(終値!AA145:AT145)/AVERAGE(終値!AA145:AT145),""))</f>
        <v>0.35833238354483071</v>
      </c>
      <c r="Y145" s="503">
        <f>IF(終値!A145="","",IFERROR(4*STDEVP(終値!AB145:AU145)/AVERAGE(終値!AB145:AU145),""))</f>
        <v>0.36628815895698624</v>
      </c>
      <c r="Z145" s="503">
        <f>IF(終値!A145="","",IFERROR(4*STDEVP(終値!AC145:AV145)/AVERAGE(終値!AC145:AV145),""))</f>
        <v>0.37217364507315237</v>
      </c>
      <c r="AA145" s="503">
        <f>IF(終値!A145="","",IFERROR(4*STDEVP(終値!AD145:AW145)/AVERAGE(終値!AD145:AW145),""))</f>
        <v>0.37104001093544492</v>
      </c>
      <c r="AB145" s="503">
        <f>IF(終値!A145="","",IFERROR(4*STDEVP(終値!AE145:AX145)/AVERAGE(終値!AE145:AX145),""))</f>
        <v>0.35733571286734866</v>
      </c>
      <c r="AC145" s="503">
        <f>IF(終値!A145="","",IFERROR(4*STDEVP(終値!AF145:AY145)/AVERAGE(終値!AF145:AY145),""))</f>
        <v>0.39361487287488206</v>
      </c>
      <c r="AD145" s="503">
        <f>IF(終値!A145="","",IFERROR(4*STDEVP(終値!AG145:AZ145)/AVERAGE(終値!AG145:AZ145),""))</f>
        <v>0.42394316908385626</v>
      </c>
      <c r="AE145" s="503">
        <f>IF(終値!A145="","",IFERROR(4*STDEVP(終値!AH145:BA145)/AVERAGE(終値!AH145:BA145),""))</f>
        <v>0.42042267130036476</v>
      </c>
      <c r="AF145" s="503">
        <f>IF(終値!A145="","",IFERROR(4*STDEVP(終値!AI145:BB145)/AVERAGE(終値!AI145:BB145),""))</f>
        <v>0.42171621300863665</v>
      </c>
      <c r="AG145" s="503">
        <f>IF(終値!A145="","",IFERROR(4*STDEVP(終値!AJ145:BC145)/AVERAGE(終値!AJ145:BC145),""))</f>
        <v>0.41403308606284378</v>
      </c>
      <c r="AH145" s="503">
        <f>IF(終値!A145="","",IFERROR(4*STDEVP(終値!AK145:BD145)/AVERAGE(終値!AK145:BD145),""))</f>
        <v>0.42069292607657494</v>
      </c>
      <c r="AI145" s="503">
        <f>IF(終値!A145="","",IFERROR(4*STDEVP(終値!AL145:BE145)/AVERAGE(終値!AL145:BE145),""))</f>
        <v>0.42016915994045384</v>
      </c>
      <c r="AJ145" s="503">
        <f>IF(終値!A145="","",IFERROR(4*STDEVP(終値!AM145:BF145)/AVERAGE(終値!AM145:BF145),""))</f>
        <v>0.41940290455740281</v>
      </c>
      <c r="AK145" s="503">
        <f>IF(終値!A145="","",IFERROR(4*STDEVP(終値!AN145:BG145)/AVERAGE(終値!AN145:BG145),""))</f>
        <v>0.40862463629810636</v>
      </c>
      <c r="AL145" s="503">
        <f>IF(終値!A145="","",IFERROR(4*STDEVP(終値!AO145:BH145)/AVERAGE(終値!AO145:BH145),""))</f>
        <v>0.40953156918238454</v>
      </c>
      <c r="AM145" s="503">
        <f>IF(終値!A145="","",IFERROR(4*STDEVP(終値!AP145:BI145)/AVERAGE(終値!AP145:BI145),""))</f>
        <v>0.38624779437222961</v>
      </c>
      <c r="AN145" s="503">
        <f>IF(終値!A145="","",IFERROR(4*STDEVP(終値!AQ145:BJ145)/AVERAGE(終値!AQ145:BJ145),""))</f>
        <v>0.36606748649140902</v>
      </c>
      <c r="AO145" s="503">
        <f>IF(終値!A145="","",IFERROR(4*STDEVP(終値!AR145:BK145)/AVERAGE(終値!AR145:BK145),""))</f>
        <v>0.38554912297556043</v>
      </c>
      <c r="AP145" s="503">
        <f>IF(終値!A145="","",IFERROR(4*STDEVP(終値!AS145:BL145)/AVERAGE(終値!AS145:BL145),""))</f>
        <v>0.42285804441363856</v>
      </c>
    </row>
    <row r="146" spans="1:42">
      <c r="A146" s="500" t="str">
        <f>IF(終値!A146="","",終値!A146)</f>
        <v>4888</v>
      </c>
      <c r="B146" s="503">
        <f>IF(終値!A146="","",IFERROR(4*STDEVP(終値!E146:X146)/AVERAGE(終値!E146:X146),""))</f>
        <v>0.13129612795401444</v>
      </c>
      <c r="C146" s="503">
        <f>IF(終値!A146="","",IFERROR(4*STDEVP(終値!F146:Y146)/AVERAGE(終値!F146:Y146),""))</f>
        <v>0.13067398003447533</v>
      </c>
      <c r="D146" s="503">
        <f>IF(終値!A146="","",IFERROR(4*STDEVP(終値!G146:Z146)/AVERAGE(終値!G146:Z146),""))</f>
        <v>0.13233071726437387</v>
      </c>
      <c r="E146" s="503">
        <f>IF(終値!A146="","",IFERROR(4*STDEVP(終値!H146:AA146)/AVERAGE(終値!H146:AA146),""))</f>
        <v>0.13233071726437387</v>
      </c>
      <c r="F146" s="503">
        <f>IF(終値!A146="","",IFERROR(4*STDEVP(終値!I146:AB146)/AVERAGE(終値!I146:AB146),""))</f>
        <v>0.12567108878502539</v>
      </c>
      <c r="G146" s="503">
        <f>IF(終値!A146="","",IFERROR(4*STDEVP(終値!J146:AC146)/AVERAGE(終値!J146:AC146),""))</f>
        <v>0.12013032589869209</v>
      </c>
      <c r="H146" s="503">
        <f>IF(終値!A146="","",IFERROR(4*STDEVP(終値!K146:AD146)/AVERAGE(終値!K146:AD146),""))</f>
        <v>0.12486269573067338</v>
      </c>
      <c r="I146" s="503">
        <f>IF(終値!A146="","",IFERROR(4*STDEVP(終値!L146:AE146)/AVERAGE(終値!L146:AE146),""))</f>
        <v>0.12120096709339931</v>
      </c>
      <c r="J146" s="503">
        <f>IF(終値!A146="","",IFERROR(4*STDEVP(終値!M146:AF146)/AVERAGE(終値!M146:AF146),""))</f>
        <v>0.12058038214118663</v>
      </c>
      <c r="K146" s="503">
        <f>IF(終値!A146="","",IFERROR(4*STDEVP(終値!N146:AG146)/AVERAGE(終値!N146:AG146),""))</f>
        <v>0.12199301082554918</v>
      </c>
      <c r="L146" s="503">
        <f>IF(終値!A146="","",IFERROR(4*STDEVP(終値!O146:AH146)/AVERAGE(終値!O146:AH146),""))</f>
        <v>0.13745952795001118</v>
      </c>
      <c r="M146" s="503">
        <f>IF(終値!A146="","",IFERROR(4*STDEVP(終値!P146:AI146)/AVERAGE(終値!P146:AI146),""))</f>
        <v>0.17016005194679518</v>
      </c>
      <c r="N146" s="503">
        <f>IF(終値!A146="","",IFERROR(4*STDEVP(終値!Q146:AJ146)/AVERAGE(終値!Q146:AJ146),""))</f>
        <v>0.30679938303633614</v>
      </c>
      <c r="O146" s="503">
        <f>IF(終値!A146="","",IFERROR(4*STDEVP(終値!R146:AK146)/AVERAGE(終値!R146:AK146),""))</f>
        <v>0.31326645492441096</v>
      </c>
      <c r="P146" s="503">
        <f>IF(終値!A146="","",IFERROR(4*STDEVP(終値!S146:AL146)/AVERAGE(終値!S146:AL146),""))</f>
        <v>0.31402260540318977</v>
      </c>
      <c r="Q146" s="503">
        <f>IF(終値!A146="","",IFERROR(4*STDEVP(終値!T146:AM146)/AVERAGE(終値!T146:AM146),""))</f>
        <v>0.31509960816040178</v>
      </c>
      <c r="R146" s="503">
        <f>IF(終値!A146="","",IFERROR(4*STDEVP(終値!U146:AN146)/AVERAGE(終値!U146:AN146),""))</f>
        <v>0.31588004912785622</v>
      </c>
      <c r="S146" s="503">
        <f>IF(終値!A146="","",IFERROR(4*STDEVP(終値!V146:AO146)/AVERAGE(終値!V146:AO146),""))</f>
        <v>0.30981059004279077</v>
      </c>
      <c r="T146" s="503">
        <f>IF(終値!A146="","",IFERROR(4*STDEVP(終値!W146:AP146)/AVERAGE(終値!W146:AP146),""))</f>
        <v>0.30754193622504689</v>
      </c>
      <c r="U146" s="503">
        <f>IF(終値!A146="","",IFERROR(4*STDEVP(終値!X146:AQ146)/AVERAGE(終値!X146:AQ146),""))</f>
        <v>0.31185287792232042</v>
      </c>
      <c r="V146" s="503">
        <f>IF(終値!A146="","",IFERROR(4*STDEVP(終値!Y146:AR146)/AVERAGE(終値!Y146:AR146),""))</f>
        <v>0.3126131941367829</v>
      </c>
      <c r="W146" s="503">
        <f>IF(終値!A146="","",IFERROR(4*STDEVP(終値!Z146:AS146)/AVERAGE(終値!Z146:AS146),""))</f>
        <v>0.31211760815036671</v>
      </c>
      <c r="X146" s="503">
        <f>IF(終値!A146="","",IFERROR(4*STDEVP(終値!AA146:AT146)/AVERAGE(終値!AA146:AT146),""))</f>
        <v>0.30829193168676661</v>
      </c>
      <c r="Y146" s="503">
        <f>IF(終値!A146="","",IFERROR(4*STDEVP(終値!AB146:AU146)/AVERAGE(終値!AB146:AU146),""))</f>
        <v>0.30090543001395564</v>
      </c>
      <c r="Z146" s="503">
        <f>IF(終値!A146="","",IFERROR(4*STDEVP(終値!AC146:AV146)/AVERAGE(終値!AC146:AV146),""))</f>
        <v>0.3014830738141086</v>
      </c>
      <c r="AA146" s="503">
        <f>IF(終値!A146="","",IFERROR(4*STDEVP(終値!AD146:AW146)/AVERAGE(終値!AD146:AW146),""))</f>
        <v>0.32333444150375817</v>
      </c>
      <c r="AB146" s="503">
        <f>IF(終値!A146="","",IFERROR(4*STDEVP(終値!AE146:AX146)/AVERAGE(終値!AE146:AX146),""))</f>
        <v>0.33265172028536899</v>
      </c>
      <c r="AC146" s="503">
        <f>IF(終値!A146="","",IFERROR(4*STDEVP(終値!AF146:AY146)/AVERAGE(終値!AF146:AY146),""))</f>
        <v>0.40605848053678878</v>
      </c>
      <c r="AD146" s="503">
        <f>IF(終値!A146="","",IFERROR(4*STDEVP(終値!AG146:AZ146)/AVERAGE(終値!AG146:AZ146),""))</f>
        <v>0.45471258080339233</v>
      </c>
      <c r="AE146" s="503">
        <f>IF(終値!A146="","",IFERROR(4*STDEVP(終値!AH146:BA146)/AVERAGE(終値!AH146:BA146),""))</f>
        <v>0.48466941216264536</v>
      </c>
      <c r="AF146" s="503">
        <f>IF(終値!A146="","",IFERROR(4*STDEVP(終値!AI146:BB146)/AVERAGE(終値!AI146:BB146),""))</f>
        <v>0.49071608962726704</v>
      </c>
      <c r="AG146" s="503">
        <f>IF(終値!A146="","",IFERROR(4*STDEVP(終値!AJ146:BC146)/AVERAGE(終値!AJ146:BC146),""))</f>
        <v>0.50991273236103207</v>
      </c>
      <c r="AH146" s="503">
        <f>IF(終値!A146="","",IFERROR(4*STDEVP(終値!AK146:BD146)/AVERAGE(終値!AK146:BD146),""))</f>
        <v>0.52134632720397944</v>
      </c>
      <c r="AI146" s="503">
        <f>IF(終値!A146="","",IFERROR(4*STDEVP(終値!AL146:BE146)/AVERAGE(終値!AL146:BE146),""))</f>
        <v>0.52442365405842672</v>
      </c>
      <c r="AJ146" s="503">
        <f>IF(終値!A146="","",IFERROR(4*STDEVP(終値!AM146:BF146)/AVERAGE(終値!AM146:BF146),""))</f>
        <v>0.51648330888987615</v>
      </c>
      <c r="AK146" s="503">
        <f>IF(終値!A146="","",IFERROR(4*STDEVP(終値!AN146:BG146)/AVERAGE(終値!AN146:BG146),""))</f>
        <v>0.54651229189037698</v>
      </c>
      <c r="AL146" s="503">
        <f>IF(終値!A146="","",IFERROR(4*STDEVP(終値!AO146:BH146)/AVERAGE(終値!AO146:BH146),""))</f>
        <v>0.55536000528603957</v>
      </c>
      <c r="AM146" s="503">
        <f>IF(終値!A146="","",IFERROR(4*STDEVP(終値!AP146:BI146)/AVERAGE(終値!AP146:BI146),""))</f>
        <v>0.55584802007865353</v>
      </c>
      <c r="AN146" s="503">
        <f>IF(終値!A146="","",IFERROR(4*STDEVP(終値!AQ146:BJ146)/AVERAGE(終値!AQ146:BJ146),""))</f>
        <v>0.56589796577261398</v>
      </c>
      <c r="AO146" s="503">
        <f>IF(終値!A146="","",IFERROR(4*STDEVP(終値!AR146:BK146)/AVERAGE(終値!AR146:BK146),""))</f>
        <v>0.55061403021124367</v>
      </c>
      <c r="AP146" s="503">
        <f>IF(終値!A146="","",IFERROR(4*STDEVP(終値!AS146:BL146)/AVERAGE(終値!AS146:BL146),""))</f>
        <v>0.55096780384385713</v>
      </c>
    </row>
    <row r="147" spans="1:42">
      <c r="A147" s="500" t="str">
        <f>IF(終値!A147="","",終値!A147)</f>
        <v>6387</v>
      </c>
      <c r="B147" s="503">
        <f>IF(終値!A147="","",IFERROR(4*STDEVP(終値!E147:X147)/AVERAGE(終値!E147:X147),""))</f>
        <v>0.67393144148381945</v>
      </c>
      <c r="C147" s="503">
        <f>IF(終値!A147="","",IFERROR(4*STDEVP(終値!F147:Y147)/AVERAGE(終値!F147:Y147),""))</f>
        <v>0.70032659837687183</v>
      </c>
      <c r="D147" s="503">
        <f>IF(終値!A147="","",IFERROR(4*STDEVP(終値!G147:Z147)/AVERAGE(終値!G147:Z147),""))</f>
        <v>0.69167305122733991</v>
      </c>
      <c r="E147" s="503">
        <f>IF(終値!A147="","",IFERROR(4*STDEVP(終値!H147:AA147)/AVERAGE(終値!H147:AA147),""))</f>
        <v>0.69067462783968958</v>
      </c>
      <c r="F147" s="503">
        <f>IF(終値!A147="","",IFERROR(4*STDEVP(終値!I147:AB147)/AVERAGE(終値!I147:AB147),""))</f>
        <v>0.62640410381807543</v>
      </c>
      <c r="G147" s="503">
        <f>IF(終値!A147="","",IFERROR(4*STDEVP(終値!J147:AC147)/AVERAGE(終値!J147:AC147),""))</f>
        <v>0.55334258620056331</v>
      </c>
      <c r="H147" s="503">
        <f>IF(終値!A147="","",IFERROR(4*STDEVP(終値!K147:AD147)/AVERAGE(終値!K147:AD147),""))</f>
        <v>0.48874037381239288</v>
      </c>
      <c r="I147" s="503">
        <f>IF(終値!A147="","",IFERROR(4*STDEVP(終値!L147:AE147)/AVERAGE(終値!L147:AE147),""))</f>
        <v>0.45578961685708819</v>
      </c>
      <c r="J147" s="503">
        <f>IF(終値!A147="","",IFERROR(4*STDEVP(終値!M147:AF147)/AVERAGE(終値!M147:AF147),""))</f>
        <v>0.45837900107771012</v>
      </c>
      <c r="K147" s="503">
        <f>IF(終値!A147="","",IFERROR(4*STDEVP(終値!N147:AG147)/AVERAGE(終値!N147:AG147),""))</f>
        <v>0.44248153143249991</v>
      </c>
      <c r="L147" s="503">
        <f>IF(終値!A147="","",IFERROR(4*STDEVP(終値!O147:AH147)/AVERAGE(終値!O147:AH147),""))</f>
        <v>0.44364795393773732</v>
      </c>
      <c r="M147" s="503">
        <f>IF(終値!A147="","",IFERROR(4*STDEVP(終値!P147:AI147)/AVERAGE(終値!P147:AI147),""))</f>
        <v>0.40642771856021004</v>
      </c>
      <c r="N147" s="503">
        <f>IF(終値!A147="","",IFERROR(4*STDEVP(終値!Q147:AJ147)/AVERAGE(終値!Q147:AJ147),""))</f>
        <v>0.35651259893602988</v>
      </c>
      <c r="O147" s="503">
        <f>IF(終値!A147="","",IFERROR(4*STDEVP(終値!R147:AK147)/AVERAGE(終値!R147:AK147),""))</f>
        <v>0.38758116866210018</v>
      </c>
      <c r="P147" s="503">
        <f>IF(終値!A147="","",IFERROR(4*STDEVP(終値!S147:AL147)/AVERAGE(終値!S147:AL147),""))</f>
        <v>0.40343598532469394</v>
      </c>
      <c r="Q147" s="503">
        <f>IF(終値!A147="","",IFERROR(4*STDEVP(終値!T147:AM147)/AVERAGE(終値!T147:AM147),""))</f>
        <v>0.40498897304488535</v>
      </c>
      <c r="R147" s="503">
        <f>IF(終値!A147="","",IFERROR(4*STDEVP(終値!U147:AN147)/AVERAGE(終値!U147:AN147),""))</f>
        <v>0.41460683890284761</v>
      </c>
      <c r="S147" s="503">
        <f>IF(終値!A147="","",IFERROR(4*STDEVP(終値!V147:AO147)/AVERAGE(終値!V147:AO147),""))</f>
        <v>0.43040504042464822</v>
      </c>
      <c r="T147" s="503">
        <f>IF(終値!A147="","",IFERROR(4*STDEVP(終値!W147:AP147)/AVERAGE(終値!W147:AP147),""))</f>
        <v>0.41559934897084722</v>
      </c>
      <c r="U147" s="503">
        <f>IF(終値!A147="","",IFERROR(4*STDEVP(終値!X147:AQ147)/AVERAGE(終値!X147:AQ147),""))</f>
        <v>0.41375216476543836</v>
      </c>
      <c r="V147" s="503">
        <f>IF(終値!A147="","",IFERROR(4*STDEVP(終値!Y147:AR147)/AVERAGE(終値!Y147:AR147),""))</f>
        <v>0.40366815017368357</v>
      </c>
      <c r="W147" s="503">
        <f>IF(終値!A147="","",IFERROR(4*STDEVP(終値!Z147:AS147)/AVERAGE(終値!Z147:AS147),""))</f>
        <v>0.40842959850961424</v>
      </c>
      <c r="X147" s="503">
        <f>IF(終値!A147="","",IFERROR(4*STDEVP(終値!AA147:AT147)/AVERAGE(終値!AA147:AT147),""))</f>
        <v>0.41849371665344304</v>
      </c>
      <c r="Y147" s="503">
        <f>IF(終値!A147="","",IFERROR(4*STDEVP(終値!AB147:AU147)/AVERAGE(終値!AB147:AU147),""))</f>
        <v>0.43614893356796547</v>
      </c>
      <c r="Z147" s="503">
        <f>IF(終値!A147="","",IFERROR(4*STDEVP(終値!AC147:AV147)/AVERAGE(終値!AC147:AV147),""))</f>
        <v>0.50074047318051451</v>
      </c>
      <c r="AA147" s="503">
        <f>IF(終値!A147="","",IFERROR(4*STDEVP(終値!AD147:AW147)/AVERAGE(終値!AD147:AW147),""))</f>
        <v>0.54897624647241294</v>
      </c>
      <c r="AB147" s="503">
        <f>IF(終値!A147="","",IFERROR(4*STDEVP(終値!AE147:AX147)/AVERAGE(終値!AE147:AX147),""))</f>
        <v>0.58599593775923375</v>
      </c>
      <c r="AC147" s="503">
        <f>IF(終値!A147="","",IFERROR(4*STDEVP(終値!AF147:AY147)/AVERAGE(終値!AF147:AY147),""))</f>
        <v>0.5947093526151096</v>
      </c>
      <c r="AD147" s="503">
        <f>IF(終値!A147="","",IFERROR(4*STDEVP(終値!AG147:AZ147)/AVERAGE(終値!AG147:AZ147),""))</f>
        <v>0.59967534203437145</v>
      </c>
      <c r="AE147" s="503">
        <f>IF(終値!A147="","",IFERROR(4*STDEVP(終値!AH147:BA147)/AVERAGE(終値!AH147:BA147),""))</f>
        <v>0.61303169783123335</v>
      </c>
      <c r="AF147" s="503">
        <f>IF(終値!A147="","",IFERROR(4*STDEVP(終値!AI147:BB147)/AVERAGE(終値!AI147:BB147),""))</f>
        <v>0.60096100273911179</v>
      </c>
      <c r="AG147" s="503">
        <f>IF(終値!A147="","",IFERROR(4*STDEVP(終値!AJ147:BC147)/AVERAGE(終値!AJ147:BC147),""))</f>
        <v>0.59807043298128126</v>
      </c>
      <c r="AH147" s="503">
        <f>IF(終値!A147="","",IFERROR(4*STDEVP(終値!AK147:BD147)/AVERAGE(終値!AK147:BD147),""))</f>
        <v>0.56658836364299681</v>
      </c>
      <c r="AI147" s="503">
        <f>IF(終値!A147="","",IFERROR(4*STDEVP(終値!AL147:BE147)/AVERAGE(終値!AL147:BE147),""))</f>
        <v>0.48854241528237258</v>
      </c>
      <c r="AJ147" s="503">
        <f>IF(終値!A147="","",IFERROR(4*STDEVP(終値!AM147:BF147)/AVERAGE(終値!AM147:BF147),""))</f>
        <v>0.38500199879732055</v>
      </c>
      <c r="AK147" s="503">
        <f>IF(終値!A147="","",IFERROR(4*STDEVP(終値!AN147:BG147)/AVERAGE(終値!AN147:BG147),""))</f>
        <v>0.3068616885718925</v>
      </c>
      <c r="AL147" s="503">
        <f>IF(終値!A147="","",IFERROR(4*STDEVP(終値!AO147:BH147)/AVERAGE(終値!AO147:BH147),""))</f>
        <v>0.31184585056225023</v>
      </c>
      <c r="AM147" s="503">
        <f>IF(終値!A147="","",IFERROR(4*STDEVP(終値!AP147:BI147)/AVERAGE(終値!AP147:BI147),""))</f>
        <v>0.31682933068232838</v>
      </c>
      <c r="AN147" s="503">
        <f>IF(終値!A147="","",IFERROR(4*STDEVP(終値!AQ147:BJ147)/AVERAGE(終値!AQ147:BJ147),""))</f>
        <v>0.33485633477736154</v>
      </c>
      <c r="AO147" s="503">
        <f>IF(終値!A147="","",IFERROR(4*STDEVP(終値!AR147:BK147)/AVERAGE(終値!AR147:BK147),""))</f>
        <v>0.37520800518949343</v>
      </c>
      <c r="AP147" s="503">
        <f>IF(終値!A147="","",IFERROR(4*STDEVP(終値!AS147:BL147)/AVERAGE(終値!AS147:BL147),""))</f>
        <v>0.37611342716987139</v>
      </c>
    </row>
    <row r="148" spans="1:42">
      <c r="A148" s="500" t="str">
        <f>IF(終値!A148="","",終値!A148)</f>
        <v>6838</v>
      </c>
      <c r="B148" s="503">
        <f>IF(終値!A148="","",IFERROR(4*STDEVP(終値!E148:X148)/AVERAGE(終値!E148:X148),""))</f>
        <v>0.37217165877735425</v>
      </c>
      <c r="C148" s="503">
        <f>IF(終値!A148="","",IFERROR(4*STDEVP(終値!F148:Y148)/AVERAGE(終値!F148:Y148),""))</f>
        <v>0.418395034730555</v>
      </c>
      <c r="D148" s="503">
        <f>IF(終値!A148="","",IFERROR(4*STDEVP(終値!G148:Z148)/AVERAGE(終値!G148:Z148),""))</f>
        <v>0.44737046411403858</v>
      </c>
      <c r="E148" s="503">
        <f>IF(終値!A148="","",IFERROR(4*STDEVP(終値!H148:AA148)/AVERAGE(終値!H148:AA148),""))</f>
        <v>0.45936120378102258</v>
      </c>
      <c r="F148" s="503">
        <f>IF(終値!A148="","",IFERROR(4*STDEVP(終値!I148:AB148)/AVERAGE(終値!I148:AB148),""))</f>
        <v>0.45317422737392693</v>
      </c>
      <c r="G148" s="503">
        <f>IF(終値!A148="","",IFERROR(4*STDEVP(終値!J148:AC148)/AVERAGE(終値!J148:AC148),""))</f>
        <v>0.44287900173427963</v>
      </c>
      <c r="H148" s="503">
        <f>IF(終値!A148="","",IFERROR(4*STDEVP(終値!K148:AD148)/AVERAGE(終値!K148:AD148),""))</f>
        <v>0.45633072484042853</v>
      </c>
      <c r="I148" s="503">
        <f>IF(終値!A148="","",IFERROR(4*STDEVP(終値!L148:AE148)/AVERAGE(終値!L148:AE148),""))</f>
        <v>0.52328683122924657</v>
      </c>
      <c r="J148" s="503">
        <f>IF(終値!A148="","",IFERROR(4*STDEVP(終値!M148:AF148)/AVERAGE(終値!M148:AF148),""))</f>
        <v>0.51641978576895153</v>
      </c>
      <c r="K148" s="503">
        <f>IF(終値!A148="","",IFERROR(4*STDEVP(終値!N148:AG148)/AVERAGE(終値!N148:AG148),""))</f>
        <v>0.52263456029998889</v>
      </c>
      <c r="L148" s="503">
        <f>IF(終値!A148="","",IFERROR(4*STDEVP(終値!O148:AH148)/AVERAGE(終値!O148:AH148),""))</f>
        <v>0.52535033624126715</v>
      </c>
      <c r="M148" s="503">
        <f>IF(終値!A148="","",IFERROR(4*STDEVP(終値!P148:AI148)/AVERAGE(終値!P148:AI148),""))</f>
        <v>0.51216806764410439</v>
      </c>
      <c r="N148" s="503">
        <f>IF(終値!A148="","",IFERROR(4*STDEVP(終値!Q148:AJ148)/AVERAGE(終値!Q148:AJ148),""))</f>
        <v>0.50470648350838698</v>
      </c>
      <c r="O148" s="503">
        <f>IF(終値!A148="","",IFERROR(4*STDEVP(終値!R148:AK148)/AVERAGE(終値!R148:AK148),""))</f>
        <v>0.50861927224120385</v>
      </c>
      <c r="P148" s="503">
        <f>IF(終値!A148="","",IFERROR(4*STDEVP(終値!S148:AL148)/AVERAGE(終値!S148:AL148),""))</f>
        <v>0.51339289347580763</v>
      </c>
      <c r="Q148" s="503">
        <f>IF(終値!A148="","",IFERROR(4*STDEVP(終値!T148:AM148)/AVERAGE(終値!T148:AM148),""))</f>
        <v>0.47067402288822563</v>
      </c>
      <c r="R148" s="503">
        <f>IF(終値!A148="","",IFERROR(4*STDEVP(終値!U148:AN148)/AVERAGE(終値!U148:AN148),""))</f>
        <v>0.44207528815284758</v>
      </c>
      <c r="S148" s="503">
        <f>IF(終値!A148="","",IFERROR(4*STDEVP(終値!V148:AO148)/AVERAGE(終値!V148:AO148),""))</f>
        <v>0.4104189194687014</v>
      </c>
      <c r="T148" s="503">
        <f>IF(終値!A148="","",IFERROR(4*STDEVP(終値!W148:AP148)/AVERAGE(終値!W148:AP148),""))</f>
        <v>0.36815038863145166</v>
      </c>
      <c r="U148" s="503">
        <f>IF(終値!A148="","",IFERROR(4*STDEVP(終値!X148:AQ148)/AVERAGE(終値!X148:AQ148),""))</f>
        <v>0.35483130364847226</v>
      </c>
      <c r="V148" s="503">
        <f>IF(終値!A148="","",IFERROR(4*STDEVP(終値!Y148:AR148)/AVERAGE(終値!Y148:AR148),""))</f>
        <v>0.3935103699246163</v>
      </c>
      <c r="W148" s="503">
        <f>IF(終値!A148="","",IFERROR(4*STDEVP(終値!Z148:AS148)/AVERAGE(終値!Z148:AS148),""))</f>
        <v>0.42772829825420211</v>
      </c>
      <c r="X148" s="503">
        <f>IF(終値!A148="","",IFERROR(4*STDEVP(終値!AA148:AT148)/AVERAGE(終値!AA148:AT148),""))</f>
        <v>0.43740282138500464</v>
      </c>
      <c r="Y148" s="503">
        <f>IF(終値!A148="","",IFERROR(4*STDEVP(終値!AB148:AU148)/AVERAGE(終値!AB148:AU148),""))</f>
        <v>0.42388482788873261</v>
      </c>
      <c r="Z148" s="503">
        <f>IF(終値!A148="","",IFERROR(4*STDEVP(終値!AC148:AV148)/AVERAGE(終値!AC148:AV148),""))</f>
        <v>0.40024273916698827</v>
      </c>
      <c r="AA148" s="503">
        <f>IF(終値!A148="","",IFERROR(4*STDEVP(終値!AD148:AW148)/AVERAGE(終値!AD148:AW148),""))</f>
        <v>0.38454094965201513</v>
      </c>
      <c r="AB148" s="503">
        <f>IF(終値!A148="","",IFERROR(4*STDEVP(終値!AE148:AX148)/AVERAGE(終値!AE148:AX148),""))</f>
        <v>0.37977549968479174</v>
      </c>
      <c r="AC148" s="503">
        <f>IF(終値!A148="","",IFERROR(4*STDEVP(終値!AF148:AY148)/AVERAGE(終値!AF148:AY148),""))</f>
        <v>0.38084965880010641</v>
      </c>
      <c r="AD148" s="503">
        <f>IF(終値!A148="","",IFERROR(4*STDEVP(終値!AG148:AZ148)/AVERAGE(終値!AG148:AZ148),""))</f>
        <v>0.36759489821394958</v>
      </c>
      <c r="AE148" s="503">
        <f>IF(終値!A148="","",IFERROR(4*STDEVP(終値!AH148:BA148)/AVERAGE(終値!AH148:BA148),""))</f>
        <v>0.3694615342863824</v>
      </c>
      <c r="AF148" s="503">
        <f>IF(終値!A148="","",IFERROR(4*STDEVP(終値!AI148:BB148)/AVERAGE(終値!AI148:BB148),""))</f>
        <v>0.37780793830241582</v>
      </c>
      <c r="AG148" s="503">
        <f>IF(終値!A148="","",IFERROR(4*STDEVP(終値!AJ148:BC148)/AVERAGE(終値!AJ148:BC148),""))</f>
        <v>0.3788844148786083</v>
      </c>
      <c r="AH148" s="503">
        <f>IF(終値!A148="","",IFERROR(4*STDEVP(終値!AK148:BD148)/AVERAGE(終値!AK148:BD148),""))</f>
        <v>0.3791248859550681</v>
      </c>
      <c r="AI148" s="503">
        <f>IF(終値!A148="","",IFERROR(4*STDEVP(終値!AL148:BE148)/AVERAGE(終値!AL148:BE148),""))</f>
        <v>0.38277285343055273</v>
      </c>
      <c r="AJ148" s="503">
        <f>IF(終値!A148="","",IFERROR(4*STDEVP(終値!AM148:BF148)/AVERAGE(終値!AM148:BF148),""))</f>
        <v>0.38612428354153711</v>
      </c>
      <c r="AK148" s="503">
        <f>IF(終値!A148="","",IFERROR(4*STDEVP(終値!AN148:BG148)/AVERAGE(終値!AN148:BG148),""))</f>
        <v>0.38089340536757871</v>
      </c>
      <c r="AL148" s="503">
        <f>IF(終値!A148="","",IFERROR(4*STDEVP(終値!AO148:BH148)/AVERAGE(終値!AO148:BH148),""))</f>
        <v>0.36102132398726444</v>
      </c>
      <c r="AM148" s="503">
        <f>IF(終値!A148="","",IFERROR(4*STDEVP(終値!AP148:BI148)/AVERAGE(終値!AP148:BI148),""))</f>
        <v>0.32508056977705141</v>
      </c>
      <c r="AN148" s="503">
        <f>IF(終値!A148="","",IFERROR(4*STDEVP(終値!AQ148:BJ148)/AVERAGE(終値!AQ148:BJ148),""))</f>
        <v>0.31189909193088355</v>
      </c>
      <c r="AO148" s="503">
        <f>IF(終値!A148="","",IFERROR(4*STDEVP(終値!AR148:BK148)/AVERAGE(終値!AR148:BK148),""))</f>
        <v>0.35030473877460899</v>
      </c>
      <c r="AP148" s="503">
        <f>IF(終値!A148="","",IFERROR(4*STDEVP(終値!AS148:BL148)/AVERAGE(終値!AS148:BL148),""))</f>
        <v>0.38145806818197736</v>
      </c>
    </row>
    <row r="149" spans="1:42">
      <c r="A149" s="500" t="str">
        <f>IF(終値!A149="","",終値!A149)</f>
        <v>7375</v>
      </c>
      <c r="B149" s="503" t="str">
        <f>IF(終値!A149="","",IFERROR(4*STDEVP(終値!E149:X149)/AVERAGE(終値!E149:X149),""))</f>
        <v/>
      </c>
      <c r="C149" s="503" t="str">
        <f>IF(終値!A149="","",IFERROR(4*STDEVP(終値!F149:Y149)/AVERAGE(終値!F149:Y149),""))</f>
        <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0.18723269455235739</v>
      </c>
      <c r="C150" s="503">
        <f>IF(終値!A150="","",IFERROR(4*STDEVP(終値!F150:Y150)/AVERAGE(終値!F150:Y150),""))</f>
        <v>0.17279140316067443</v>
      </c>
      <c r="D150" s="503">
        <f>IF(終値!A150="","",IFERROR(4*STDEVP(終値!G150:Z150)/AVERAGE(終値!G150:Z150),""))</f>
        <v>0.16432082436780704</v>
      </c>
      <c r="E150" s="503">
        <f>IF(終値!A150="","",IFERROR(4*STDEVP(終値!H150:AA150)/AVERAGE(終値!H150:AA150),""))</f>
        <v>0.17555408510221293</v>
      </c>
      <c r="F150" s="503">
        <f>IF(終値!A150="","",IFERROR(4*STDEVP(終値!I150:AB150)/AVERAGE(終値!I150:AB150),""))</f>
        <v>0.16826452932175567</v>
      </c>
      <c r="G150" s="503">
        <f>IF(終値!A150="","",IFERROR(4*STDEVP(終値!J150:AC150)/AVERAGE(終値!J150:AC150),""))</f>
        <v>0.15717034370623581</v>
      </c>
      <c r="H150" s="503">
        <f>IF(終値!A150="","",IFERROR(4*STDEVP(終値!K150:AD150)/AVERAGE(終値!K150:AD150),""))</f>
        <v>0.17999813007462453</v>
      </c>
      <c r="I150" s="503">
        <f>IF(終値!A150="","",IFERROR(4*STDEVP(終値!L150:AE150)/AVERAGE(終値!L150:AE150),""))</f>
        <v>0.20721897264442155</v>
      </c>
      <c r="J150" s="503">
        <f>IF(終値!A150="","",IFERROR(4*STDEVP(終値!M150:AF150)/AVERAGE(終値!M150:AF150),""))</f>
        <v>0.22631965509920629</v>
      </c>
      <c r="K150" s="503">
        <f>IF(終値!A150="","",IFERROR(4*STDEVP(終値!N150:AG150)/AVERAGE(終値!N150:AG150),""))</f>
        <v>0.2469005769660336</v>
      </c>
      <c r="L150" s="503">
        <f>IF(終値!A150="","",IFERROR(4*STDEVP(終値!O150:AH150)/AVERAGE(終値!O150:AH150),""))</f>
        <v>0.26574486469543607</v>
      </c>
      <c r="M150" s="503">
        <f>IF(終値!A150="","",IFERROR(4*STDEVP(終値!P150:AI150)/AVERAGE(終値!P150:AI150),""))</f>
        <v>0.26998040462466066</v>
      </c>
      <c r="N150" s="503">
        <f>IF(終値!A150="","",IFERROR(4*STDEVP(終値!Q150:AJ150)/AVERAGE(終値!Q150:AJ150),""))</f>
        <v>0.26314962099552347</v>
      </c>
      <c r="O150" s="503">
        <f>IF(終値!A150="","",IFERROR(4*STDEVP(終値!R150:AK150)/AVERAGE(終値!R150:AK150),""))</f>
        <v>0.26123113678717708</v>
      </c>
      <c r="P150" s="503">
        <f>IF(終値!A150="","",IFERROR(4*STDEVP(終値!S150:AL150)/AVERAGE(終値!S150:AL150),""))</f>
        <v>0.2547504750685658</v>
      </c>
      <c r="Q150" s="503">
        <f>IF(終値!A150="","",IFERROR(4*STDEVP(終値!T150:AM150)/AVERAGE(終値!T150:AM150),""))</f>
        <v>0.24597991751617404</v>
      </c>
      <c r="R150" s="503">
        <f>IF(終値!A150="","",IFERROR(4*STDEVP(終値!U150:AN150)/AVERAGE(終値!U150:AN150),""))</f>
        <v>0.23947795998629326</v>
      </c>
      <c r="S150" s="503">
        <f>IF(終値!A150="","",IFERROR(4*STDEVP(終値!V150:AO150)/AVERAGE(終値!V150:AO150),""))</f>
        <v>0.22713351865388448</v>
      </c>
      <c r="T150" s="503">
        <f>IF(終値!A150="","",IFERROR(4*STDEVP(終値!W150:AP150)/AVERAGE(終値!W150:AP150),""))</f>
        <v>0.21388084626619147</v>
      </c>
      <c r="U150" s="503">
        <f>IF(終値!A150="","",IFERROR(4*STDEVP(終値!X150:AQ150)/AVERAGE(終値!X150:AQ150),""))</f>
        <v>0.18781881037563924</v>
      </c>
      <c r="V150" s="503">
        <f>IF(終値!A150="","",IFERROR(4*STDEVP(終値!Y150:AR150)/AVERAGE(終値!Y150:AR150),""))</f>
        <v>0.16926886385072704</v>
      </c>
      <c r="W150" s="503">
        <f>IF(終値!A150="","",IFERROR(4*STDEVP(終値!Z150:AS150)/AVERAGE(終値!Z150:AS150),""))</f>
        <v>0.15854571759368979</v>
      </c>
      <c r="X150" s="503">
        <f>IF(終値!A150="","",IFERROR(4*STDEVP(終値!AA150:AT150)/AVERAGE(終値!AA150:AT150),""))</f>
        <v>0.16292849138332352</v>
      </c>
      <c r="Y150" s="503">
        <f>IF(終値!A150="","",IFERROR(4*STDEVP(終値!AB150:AU150)/AVERAGE(終値!AB150:AU150),""))</f>
        <v>0.18818736434730879</v>
      </c>
      <c r="Z150" s="503">
        <f>IF(終値!A150="","",IFERROR(4*STDEVP(終値!AC150:AV150)/AVERAGE(終値!AC150:AV150),""))</f>
        <v>0.20604097859503093</v>
      </c>
      <c r="AA150" s="503">
        <f>IF(終値!A150="","",IFERROR(4*STDEVP(終値!AD150:AW150)/AVERAGE(終値!AD150:AW150),""))</f>
        <v>0.21050525157103073</v>
      </c>
      <c r="AB150" s="503">
        <f>IF(終値!A150="","",IFERROR(4*STDEVP(終値!AE150:AX150)/AVERAGE(終値!AE150:AX150),""))</f>
        <v>0.20226499937028281</v>
      </c>
      <c r="AC150" s="503">
        <f>IF(終値!A150="","",IFERROR(4*STDEVP(終値!AF150:AY150)/AVERAGE(終値!AF150:AY150),""))</f>
        <v>0.18881650636829139</v>
      </c>
      <c r="AD150" s="503">
        <f>IF(終値!A150="","",IFERROR(4*STDEVP(終値!AG150:AZ150)/AVERAGE(終値!AG150:AZ150),""))</f>
        <v>0.18043016151642646</v>
      </c>
      <c r="AE150" s="503">
        <f>IF(終値!A150="","",IFERROR(4*STDEVP(終値!AH150:BA150)/AVERAGE(終値!AH150:BA150),""))</f>
        <v>0.1657382188062452</v>
      </c>
      <c r="AF150" s="503">
        <f>IF(終値!A150="","",IFERROR(4*STDEVP(終値!AI150:BB150)/AVERAGE(終値!AI150:BB150),""))</f>
        <v>0.1431256369205586</v>
      </c>
      <c r="AG150" s="503">
        <f>IF(終値!A150="","",IFERROR(4*STDEVP(終値!AJ150:BC150)/AVERAGE(終値!AJ150:BC150),""))</f>
        <v>0.12681366168675712</v>
      </c>
      <c r="AH150" s="503">
        <f>IF(終値!A150="","",IFERROR(4*STDEVP(終値!AK150:BD150)/AVERAGE(終値!AK150:BD150),""))</f>
        <v>0.12990056784069098</v>
      </c>
      <c r="AI150" s="503">
        <f>IF(終値!A150="","",IFERROR(4*STDEVP(終値!AL150:BE150)/AVERAGE(終値!AL150:BE150),""))</f>
        <v>0.14728701924169352</v>
      </c>
      <c r="AJ150" s="503">
        <f>IF(終値!A150="","",IFERROR(4*STDEVP(終値!AM150:BF150)/AVERAGE(終値!AM150:BF150),""))</f>
        <v>0.17450926240100534</v>
      </c>
      <c r="AK150" s="503">
        <f>IF(終値!A150="","",IFERROR(4*STDEVP(終値!AN150:BG150)/AVERAGE(終値!AN150:BG150),""))</f>
        <v>0.18544659879461831</v>
      </c>
      <c r="AL150" s="503">
        <f>IF(終値!A150="","",IFERROR(4*STDEVP(終値!AO150:BH150)/AVERAGE(終値!AO150:BH150),""))</f>
        <v>0.20166833496613645</v>
      </c>
      <c r="AM150" s="503">
        <f>IF(終値!A150="","",IFERROR(4*STDEVP(終値!AP150:BI150)/AVERAGE(終値!AP150:BI150),""))</f>
        <v>0.2132797882929873</v>
      </c>
      <c r="AN150" s="503">
        <f>IF(終値!A150="","",IFERROR(4*STDEVP(終値!AQ150:BJ150)/AVERAGE(終値!AQ150:BJ150),""))</f>
        <v>0.22118051905648445</v>
      </c>
      <c r="AO150" s="503">
        <f>IF(終値!A150="","",IFERROR(4*STDEVP(終値!AR150:BK150)/AVERAGE(終値!AR150:BK150),""))</f>
        <v>0.23330759412272309</v>
      </c>
      <c r="AP150" s="503">
        <f>IF(終値!A150="","",IFERROR(4*STDEVP(終値!AS150:BL150)/AVERAGE(終値!AS150:BL150),""))</f>
        <v>0.24196504740004715</v>
      </c>
    </row>
    <row r="151" spans="1:42">
      <c r="A151" s="500" t="str">
        <f>IF(終値!A151="","",終値!A151)</f>
        <v>6516</v>
      </c>
      <c r="B151" s="503">
        <f>IF(終値!A151="","",IFERROR(4*STDEVP(終値!E151:X151)/AVERAGE(終値!E151:X151),""))</f>
        <v>0.21339192477570365</v>
      </c>
      <c r="C151" s="503">
        <f>IF(終値!A151="","",IFERROR(4*STDEVP(終値!F151:Y151)/AVERAGE(終値!F151:Y151),""))</f>
        <v>0.24378593235131479</v>
      </c>
      <c r="D151" s="503">
        <f>IF(終値!A151="","",IFERROR(4*STDEVP(終値!G151:Z151)/AVERAGE(終値!G151:Z151),""))</f>
        <v>0.26169598013201034</v>
      </c>
      <c r="E151" s="503">
        <f>IF(終値!A151="","",IFERROR(4*STDEVP(終値!H151:AA151)/AVERAGE(終値!H151:AA151),""))</f>
        <v>0.27636665127984361</v>
      </c>
      <c r="F151" s="503">
        <f>IF(終値!A151="","",IFERROR(4*STDEVP(終値!I151:AB151)/AVERAGE(終値!I151:AB151),""))</f>
        <v>0.26998336166758297</v>
      </c>
      <c r="G151" s="503">
        <f>IF(終値!A151="","",IFERROR(4*STDEVP(終値!J151:AC151)/AVERAGE(終値!J151:AC151),""))</f>
        <v>0.24996763759354382</v>
      </c>
      <c r="H151" s="503">
        <f>IF(終値!A151="","",IFERROR(4*STDEVP(終値!K151:AD151)/AVERAGE(終値!K151:AD151),""))</f>
        <v>0.25815223245957508</v>
      </c>
      <c r="I151" s="503">
        <f>IF(終値!A151="","",IFERROR(4*STDEVP(終値!L151:AE151)/AVERAGE(終値!L151:AE151),""))</f>
        <v>0.28639963401787955</v>
      </c>
      <c r="J151" s="503">
        <f>IF(終値!A151="","",IFERROR(4*STDEVP(終値!M151:AF151)/AVERAGE(終値!M151:AF151),""))</f>
        <v>0.3001973100104785</v>
      </c>
      <c r="K151" s="503">
        <f>IF(終値!A151="","",IFERROR(4*STDEVP(終値!N151:AG151)/AVERAGE(終値!N151:AG151),""))</f>
        <v>0.31207387239363404</v>
      </c>
      <c r="L151" s="503">
        <f>IF(終値!A151="","",IFERROR(4*STDEVP(終値!O151:AH151)/AVERAGE(終値!O151:AH151),""))</f>
        <v>0.31364285583269708</v>
      </c>
      <c r="M151" s="503">
        <f>IF(終値!A151="","",IFERROR(4*STDEVP(終値!P151:AI151)/AVERAGE(終値!P151:AI151),""))</f>
        <v>0.29933125796530169</v>
      </c>
      <c r="N151" s="503">
        <f>IF(終値!A151="","",IFERROR(4*STDEVP(終値!Q151:AJ151)/AVERAGE(終値!Q151:AJ151),""))</f>
        <v>0.26562773710393445</v>
      </c>
      <c r="O151" s="503">
        <f>IF(終値!A151="","",IFERROR(4*STDEVP(終値!R151:AK151)/AVERAGE(終値!R151:AK151),""))</f>
        <v>0.25467637916694702</v>
      </c>
      <c r="P151" s="503">
        <f>IF(終値!A151="","",IFERROR(4*STDEVP(終値!S151:AL151)/AVERAGE(終値!S151:AL151),""))</f>
        <v>0.23438426886229158</v>
      </c>
      <c r="Q151" s="503">
        <f>IF(終値!A151="","",IFERROR(4*STDEVP(終値!T151:AM151)/AVERAGE(終値!T151:AM151),""))</f>
        <v>0.2166735592288874</v>
      </c>
      <c r="R151" s="503">
        <f>IF(終値!A151="","",IFERROR(4*STDEVP(終値!U151:AN151)/AVERAGE(終値!U151:AN151),""))</f>
        <v>0.20912729936693886</v>
      </c>
      <c r="S151" s="503">
        <f>IF(終値!A151="","",IFERROR(4*STDEVP(終値!V151:AO151)/AVERAGE(終値!V151:AO151),""))</f>
        <v>0.19211221585308794</v>
      </c>
      <c r="T151" s="503">
        <f>IF(終値!A151="","",IFERROR(4*STDEVP(終値!W151:AP151)/AVERAGE(終値!W151:AP151),""))</f>
        <v>0.17488728680902157</v>
      </c>
      <c r="U151" s="503">
        <f>IF(終値!A151="","",IFERROR(4*STDEVP(終値!X151:AQ151)/AVERAGE(終値!X151:AQ151),""))</f>
        <v>0.16183966873171579</v>
      </c>
      <c r="V151" s="503">
        <f>IF(終値!A151="","",IFERROR(4*STDEVP(終値!Y151:AR151)/AVERAGE(終値!Y151:AR151),""))</f>
        <v>0.15857269901795337</v>
      </c>
      <c r="W151" s="503">
        <f>IF(終値!A151="","",IFERROR(4*STDEVP(終値!Z151:AS151)/AVERAGE(終値!Z151:AS151),""))</f>
        <v>0.15822041184799049</v>
      </c>
      <c r="X151" s="503">
        <f>IF(終値!A151="","",IFERROR(4*STDEVP(終値!AA151:AT151)/AVERAGE(終値!AA151:AT151),""))</f>
        <v>0.15643254281405075</v>
      </c>
      <c r="Y151" s="503">
        <f>IF(終値!A151="","",IFERROR(4*STDEVP(終値!AB151:AU151)/AVERAGE(終値!AB151:AU151),""))</f>
        <v>0.15617603485218767</v>
      </c>
      <c r="Z151" s="503">
        <f>IF(終値!A151="","",IFERROR(4*STDEVP(終値!AC151:AV151)/AVERAGE(終値!AC151:AV151),""))</f>
        <v>0.15449197222847658</v>
      </c>
      <c r="AA151" s="503">
        <f>IF(終値!A151="","",IFERROR(4*STDEVP(終値!AD151:AW151)/AVERAGE(終値!AD151:AW151),""))</f>
        <v>0.15375484524128757</v>
      </c>
      <c r="AB151" s="503">
        <f>IF(終値!A151="","",IFERROR(4*STDEVP(終値!AE151:AX151)/AVERAGE(終値!AE151:AX151),""))</f>
        <v>0.15204328132794478</v>
      </c>
      <c r="AC151" s="503">
        <f>IF(終値!A151="","",IFERROR(4*STDEVP(終値!AF151:AY151)/AVERAGE(終値!AF151:AY151),""))</f>
        <v>0.14932773582594619</v>
      </c>
      <c r="AD151" s="503">
        <f>IF(終値!A151="","",IFERROR(4*STDEVP(終値!AG151:AZ151)/AVERAGE(終値!AG151:AZ151),""))</f>
        <v>0.15246651694890789</v>
      </c>
      <c r="AE151" s="503">
        <f>IF(終値!A151="","",IFERROR(4*STDEVP(終値!AH151:BA151)/AVERAGE(終値!AH151:BA151),""))</f>
        <v>0.15572447495740577</v>
      </c>
      <c r="AF151" s="503">
        <f>IF(終値!A151="","",IFERROR(4*STDEVP(終値!AI151:BB151)/AVERAGE(終値!AI151:BB151),""))</f>
        <v>0.15126817797858202</v>
      </c>
      <c r="AG151" s="503">
        <f>IF(終値!A151="","",IFERROR(4*STDEVP(終値!AJ151:BC151)/AVERAGE(終値!AJ151:BC151),""))</f>
        <v>0.15696323294558706</v>
      </c>
      <c r="AH151" s="503">
        <f>IF(終値!A151="","",IFERROR(4*STDEVP(終値!AK151:BD151)/AVERAGE(終値!AK151:BD151),""))</f>
        <v>0.17047213030565039</v>
      </c>
      <c r="AI151" s="503">
        <f>IF(終値!A151="","",IFERROR(4*STDEVP(終値!AL151:BE151)/AVERAGE(終値!AL151:BE151),""))</f>
        <v>0.19039118083610379</v>
      </c>
      <c r="AJ151" s="503">
        <f>IF(終値!A151="","",IFERROR(4*STDEVP(終値!AM151:BF151)/AVERAGE(終値!AM151:BF151),""))</f>
        <v>0.20810929699589872</v>
      </c>
      <c r="AK151" s="503">
        <f>IF(終値!A151="","",IFERROR(4*STDEVP(終値!AN151:BG151)/AVERAGE(終値!AN151:BG151),""))</f>
        <v>0.22778666731127681</v>
      </c>
      <c r="AL151" s="503">
        <f>IF(終値!A151="","",IFERROR(4*STDEVP(終値!AO151:BH151)/AVERAGE(終値!AO151:BH151),""))</f>
        <v>0.22723576595913225</v>
      </c>
      <c r="AM151" s="503">
        <f>IF(終値!A151="","",IFERROR(4*STDEVP(終値!AP151:BI151)/AVERAGE(終値!AP151:BI151),""))</f>
        <v>0.22426862930844324</v>
      </c>
      <c r="AN151" s="503">
        <f>IF(終値!A151="","",IFERROR(4*STDEVP(終値!AQ151:BJ151)/AVERAGE(終値!AQ151:BJ151),""))</f>
        <v>0.20593116584544174</v>
      </c>
      <c r="AO151" s="503">
        <f>IF(終値!A151="","",IFERROR(4*STDEVP(終値!AR151:BK151)/AVERAGE(終値!AR151:BK151),""))</f>
        <v>0.18767369526343886</v>
      </c>
      <c r="AP151" s="503">
        <f>IF(終値!A151="","",IFERROR(4*STDEVP(終値!AS151:BL151)/AVERAGE(終値!AS151:BL151),""))</f>
        <v>0.186740185445055</v>
      </c>
    </row>
    <row r="152" spans="1:42">
      <c r="A152" s="500" t="str">
        <f>IF(終値!A152="","",終値!A152)</f>
        <v>7381</v>
      </c>
      <c r="B152" s="503">
        <f>IF(終値!A152="","",IFERROR(4*STDEVP(終値!E152:X152)/AVERAGE(終値!E152:X152),""))</f>
        <v>0.16875691891908526</v>
      </c>
      <c r="C152" s="503">
        <f>IF(終値!A152="","",IFERROR(4*STDEVP(終値!F152:Y152)/AVERAGE(終値!F152:Y152),""))</f>
        <v>0.17487317098273736</v>
      </c>
      <c r="D152" s="503">
        <f>IF(終値!A152="","",IFERROR(4*STDEVP(終値!G152:Z152)/AVERAGE(終値!G152:Z152),""))</f>
        <v>0.18231656787296671</v>
      </c>
      <c r="E152" s="503">
        <f>IF(終値!A152="","",IFERROR(4*STDEVP(終値!H152:AA152)/AVERAGE(終値!H152:AA152),""))</f>
        <v>0.19057217839629448</v>
      </c>
      <c r="F152" s="503">
        <f>IF(終値!A152="","",IFERROR(4*STDEVP(終値!I152:AB152)/AVERAGE(終値!I152:AB152),""))</f>
        <v>0.19819047336506276</v>
      </c>
      <c r="G152" s="503">
        <f>IF(終値!A152="","",IFERROR(4*STDEVP(終値!J152:AC152)/AVERAGE(終値!J152:AC152),""))</f>
        <v>0.20947457129105912</v>
      </c>
      <c r="H152" s="503">
        <f>IF(終値!A152="","",IFERROR(4*STDEVP(終値!K152:AD152)/AVERAGE(終値!K152:AD152),""))</f>
        <v>0.21921391838720647</v>
      </c>
      <c r="I152" s="503">
        <f>IF(終値!A152="","",IFERROR(4*STDEVP(終値!L152:AE152)/AVERAGE(終値!L152:AE152),""))</f>
        <v>0.21297559008242647</v>
      </c>
      <c r="J152" s="503">
        <f>IF(終値!A152="","",IFERROR(4*STDEVP(終値!M152:AF152)/AVERAGE(終値!M152:AF152),""))</f>
        <v>0.21899101354019104</v>
      </c>
      <c r="K152" s="503">
        <f>IF(終値!A152="","",IFERROR(4*STDEVP(終値!N152:AG152)/AVERAGE(終値!N152:AG152),""))</f>
        <v>0.20665356994983392</v>
      </c>
      <c r="L152" s="503">
        <f>IF(終値!A152="","",IFERROR(4*STDEVP(終値!O152:AH152)/AVERAGE(終値!O152:AH152),""))</f>
        <v>0.18890197902670558</v>
      </c>
      <c r="M152" s="503">
        <f>IF(終値!A152="","",IFERROR(4*STDEVP(終値!P152:AI152)/AVERAGE(終値!P152:AI152),""))</f>
        <v>0.17619847118876028</v>
      </c>
      <c r="N152" s="503">
        <f>IF(終値!A152="","",IFERROR(4*STDEVP(終値!Q152:AJ152)/AVERAGE(終値!Q152:AJ152),""))</f>
        <v>0.17513200824565045</v>
      </c>
      <c r="O152" s="503">
        <f>IF(終値!A152="","",IFERROR(4*STDEVP(終値!R152:AK152)/AVERAGE(終値!R152:AK152),""))</f>
        <v>0.15396143218187183</v>
      </c>
      <c r="P152" s="503">
        <f>IF(終値!A152="","",IFERROR(4*STDEVP(終値!S152:AL152)/AVERAGE(終値!S152:AL152),""))</f>
        <v>0.14611990050753065</v>
      </c>
      <c r="Q152" s="503">
        <f>IF(終値!A152="","",IFERROR(4*STDEVP(終値!T152:AM152)/AVERAGE(終値!T152:AM152),""))</f>
        <v>0.14381172430034678</v>
      </c>
      <c r="R152" s="503">
        <f>IF(終値!A152="","",IFERROR(4*STDEVP(終値!U152:AN152)/AVERAGE(終値!U152:AN152),""))</f>
        <v>0.14297433656427469</v>
      </c>
      <c r="S152" s="503">
        <f>IF(終値!A152="","",IFERROR(4*STDEVP(終値!V152:AO152)/AVERAGE(終値!V152:AO152),""))</f>
        <v>0.14270241054680019</v>
      </c>
      <c r="T152" s="503">
        <f>IF(終値!A152="","",IFERROR(4*STDEVP(終値!W152:AP152)/AVERAGE(終値!W152:AP152),""))</f>
        <v>0.12594995080136809</v>
      </c>
      <c r="U152" s="503">
        <f>IF(終値!A152="","",IFERROR(4*STDEVP(終値!X152:AQ152)/AVERAGE(終値!X152:AQ152),""))</f>
        <v>0.11240848680573837</v>
      </c>
      <c r="V152" s="503">
        <f>IF(終値!A152="","",IFERROR(4*STDEVP(終値!Y152:AR152)/AVERAGE(終値!Y152:AR152),""))</f>
        <v>0.1039771827995772</v>
      </c>
      <c r="W152" s="503">
        <f>IF(終値!A152="","",IFERROR(4*STDEVP(終値!Z152:AS152)/AVERAGE(終値!Z152:AS152),""))</f>
        <v>9.7738976374329628E-2</v>
      </c>
      <c r="X152" s="503">
        <f>IF(終値!A152="","",IFERROR(4*STDEVP(終値!AA152:AT152)/AVERAGE(終値!AA152:AT152),""))</f>
        <v>9.3251974090961337E-2</v>
      </c>
      <c r="Y152" s="503">
        <f>IF(終値!A152="","",IFERROR(4*STDEVP(終値!AB152:AU152)/AVERAGE(終値!AB152:AU152),""))</f>
        <v>8.9946860551752786E-2</v>
      </c>
      <c r="Z152" s="503">
        <f>IF(終値!A152="","",IFERROR(4*STDEVP(終値!AC152:AV152)/AVERAGE(終値!AC152:AV152),""))</f>
        <v>9.5542854621024756E-2</v>
      </c>
      <c r="AA152" s="503">
        <f>IF(終値!A152="","",IFERROR(4*STDEVP(終値!AD152:AW152)/AVERAGE(終値!AD152:AW152),""))</f>
        <v>0.10157994376815785</v>
      </c>
      <c r="AB152" s="503">
        <f>IF(終値!A152="","",IFERROR(4*STDEVP(終値!AE152:AX152)/AVERAGE(終値!AE152:AX152),""))</f>
        <v>0.11161660996910545</v>
      </c>
      <c r="AC152" s="503">
        <f>IF(終値!A152="","",IFERROR(4*STDEVP(終値!AF152:AY152)/AVERAGE(終値!AF152:AY152),""))</f>
        <v>0.12179822171532118</v>
      </c>
      <c r="AD152" s="503">
        <f>IF(終値!A152="","",IFERROR(4*STDEVP(終値!AG152:AZ152)/AVERAGE(終値!AG152:AZ152),""))</f>
        <v>0.12146734604524907</v>
      </c>
      <c r="AE152" s="503">
        <f>IF(終値!A152="","",IFERROR(4*STDEVP(終値!AH152:BA152)/AVERAGE(終値!AH152:BA152),""))</f>
        <v>0.1259499507941774</v>
      </c>
      <c r="AF152" s="503">
        <f>IF(終値!A152="","",IFERROR(4*STDEVP(終値!AI152:BB152)/AVERAGE(終値!AI152:BB152),""))</f>
        <v>0.11998801852553138</v>
      </c>
      <c r="AG152" s="503">
        <f>IF(終値!A152="","",IFERROR(4*STDEVP(終値!AJ152:BC152)/AVERAGE(終値!AJ152:BC152),""))</f>
        <v>0.11055005880128586</v>
      </c>
      <c r="AH152" s="503">
        <f>IF(終値!A152="","",IFERROR(4*STDEVP(終値!AK152:BD152)/AVERAGE(終値!AK152:BD152),""))</f>
        <v>0.10679456240288254</v>
      </c>
      <c r="AI152" s="503">
        <f>IF(終値!A152="","",IFERROR(4*STDEVP(終値!AL152:BE152)/AVERAGE(終値!AL152:BE152),""))</f>
        <v>0.10114692532478992</v>
      </c>
      <c r="AJ152" s="503">
        <f>IF(終値!A152="","",IFERROR(4*STDEVP(終値!AM152:BF152)/AVERAGE(終値!AM152:BF152),""))</f>
        <v>0.10102934517578042</v>
      </c>
      <c r="AK152" s="503">
        <f>IF(終値!A152="","",IFERROR(4*STDEVP(終値!AN152:BG152)/AVERAGE(終値!AN152:BG152),""))</f>
        <v>9.9363695859242762E-2</v>
      </c>
      <c r="AL152" s="503">
        <f>IF(終値!A152="","",IFERROR(4*STDEVP(終値!AO152:BH152)/AVERAGE(終値!AO152:BH152),""))</f>
        <v>9.4629707011967643E-2</v>
      </c>
      <c r="AM152" s="503">
        <f>IF(終値!A152="","",IFERROR(4*STDEVP(終値!AP152:BI152)/AVERAGE(終値!AP152:BI152),""))</f>
        <v>8.3089361154923741E-2</v>
      </c>
      <c r="AN152" s="503">
        <f>IF(終値!A152="","",IFERROR(4*STDEVP(終値!AQ152:BJ152)/AVERAGE(終値!AQ152:BJ152),""))</f>
        <v>7.7356952477879271E-2</v>
      </c>
      <c r="AO152" s="503">
        <f>IF(終値!A152="","",IFERROR(4*STDEVP(終値!AR152:BK152)/AVERAGE(終値!AR152:BK152),""))</f>
        <v>6.3359659388509307E-2</v>
      </c>
      <c r="AP152" s="503">
        <f>IF(終値!A152="","",IFERROR(4*STDEVP(終値!AS152:BL152)/AVERAGE(終値!AS152:BL152),""))</f>
        <v>8.5723890950175199E-2</v>
      </c>
    </row>
    <row r="153" spans="1:42">
      <c r="A153" s="500" t="str">
        <f>IF(終値!A153="","",終値!A153)</f>
        <v>4417</v>
      </c>
      <c r="B153" s="503">
        <f>IF(終値!A153="","",IFERROR(4*STDEVP(終値!E153:X153)/AVERAGE(終値!E153:X153),""))</f>
        <v>0.18833908999002741</v>
      </c>
      <c r="C153" s="503">
        <f>IF(終値!A153="","",IFERROR(4*STDEVP(終値!F153:Y153)/AVERAGE(終値!F153:Y153),""))</f>
        <v>0.18804572385090776</v>
      </c>
      <c r="D153" s="503">
        <f>IF(終値!A153="","",IFERROR(4*STDEVP(終値!G153:Z153)/AVERAGE(終値!G153:Z153),""))</f>
        <v>0.19372495889390864</v>
      </c>
      <c r="E153" s="503">
        <f>IF(終値!A153="","",IFERROR(4*STDEVP(終値!H153:AA153)/AVERAGE(終値!H153:AA153),""))</f>
        <v>0.20089914287846145</v>
      </c>
      <c r="F153" s="503">
        <f>IF(終値!A153="","",IFERROR(4*STDEVP(終値!I153:AB153)/AVERAGE(終値!I153:AB153),""))</f>
        <v>0.21071780323636183</v>
      </c>
      <c r="G153" s="503">
        <f>IF(終値!A153="","",IFERROR(4*STDEVP(終値!J153:AC153)/AVERAGE(終値!J153:AC153),""))</f>
        <v>0.2112584593065194</v>
      </c>
      <c r="H153" s="503">
        <f>IF(終値!A153="","",IFERROR(4*STDEVP(終値!K153:AD153)/AVERAGE(終値!K153:AD153),""))</f>
        <v>0.27027899472734435</v>
      </c>
      <c r="I153" s="503">
        <f>IF(終値!A153="","",IFERROR(4*STDEVP(終値!L153:AE153)/AVERAGE(終値!L153:AE153),""))</f>
        <v>0.31019955126047849</v>
      </c>
      <c r="J153" s="503">
        <f>IF(終値!A153="","",IFERROR(4*STDEVP(終値!M153:AF153)/AVERAGE(終値!M153:AF153),""))</f>
        <v>0.35925927486029546</v>
      </c>
      <c r="K153" s="503">
        <f>IF(終値!A153="","",IFERROR(4*STDEVP(終値!N153:AG153)/AVERAGE(終値!N153:AG153),""))</f>
        <v>0.40224453439076352</v>
      </c>
      <c r="L153" s="503">
        <f>IF(終値!A153="","",IFERROR(4*STDEVP(終値!O153:AH153)/AVERAGE(終値!O153:AH153),""))</f>
        <v>0.42136510359694723</v>
      </c>
      <c r="M153" s="503">
        <f>IF(終値!A153="","",IFERROR(4*STDEVP(終値!P153:AI153)/AVERAGE(終値!P153:AI153),""))</f>
        <v>0.42709769068545356</v>
      </c>
      <c r="N153" s="503">
        <f>IF(終値!A153="","",IFERROR(4*STDEVP(終値!Q153:AJ153)/AVERAGE(終値!Q153:AJ153),""))</f>
        <v>0.43111259979323974</v>
      </c>
      <c r="O153" s="503">
        <f>IF(終値!A153="","",IFERROR(4*STDEVP(終値!R153:AK153)/AVERAGE(終値!R153:AK153),""))</f>
        <v>0.4271779227395367</v>
      </c>
      <c r="P153" s="503">
        <f>IF(終値!A153="","",IFERROR(4*STDEVP(終値!S153:AL153)/AVERAGE(終値!S153:AL153),""))</f>
        <v>0.43996990586813439</v>
      </c>
      <c r="Q153" s="503">
        <f>IF(終値!A153="","",IFERROR(4*STDEVP(終値!T153:AM153)/AVERAGE(終値!T153:AM153),""))</f>
        <v>0.45627080012217874</v>
      </c>
      <c r="R153" s="503">
        <f>IF(終値!A153="","",IFERROR(4*STDEVP(終値!U153:AN153)/AVERAGE(終値!U153:AN153),""))</f>
        <v>0.4773653568325994</v>
      </c>
      <c r="S153" s="503">
        <f>IF(終値!A153="","",IFERROR(4*STDEVP(終値!V153:AO153)/AVERAGE(終値!V153:AO153),""))</f>
        <v>0.490133687871181</v>
      </c>
      <c r="T153" s="503">
        <f>IF(終値!A153="","",IFERROR(4*STDEVP(終値!W153:AP153)/AVERAGE(終値!W153:AP153),""))</f>
        <v>0.49325291652489406</v>
      </c>
      <c r="U153" s="503">
        <f>IF(終値!A153="","",IFERROR(4*STDEVP(終値!X153:AQ153)/AVERAGE(終値!X153:AQ153),""))</f>
        <v>0.48542828538250715</v>
      </c>
      <c r="V153" s="503">
        <f>IF(終値!A153="","",IFERROR(4*STDEVP(終値!Y153:AR153)/AVERAGE(終値!Y153:AR153),""))</f>
        <v>0.42581384139229383</v>
      </c>
      <c r="W153" s="503">
        <f>IF(終値!A153="","",IFERROR(4*STDEVP(終値!Z153:AS153)/AVERAGE(終値!Z153:AS153),""))</f>
        <v>0.36844789873801392</v>
      </c>
      <c r="X153" s="503">
        <f>IF(終値!A153="","",IFERROR(4*STDEVP(終値!AA153:AT153)/AVERAGE(終値!AA153:AT153),""))</f>
        <v>0.31333327662692861</v>
      </c>
      <c r="Y153" s="503">
        <f>IF(終値!A153="","",IFERROR(4*STDEVP(終値!AB153:AU153)/AVERAGE(終値!AB153:AU153),""))</f>
        <v>0.27666572785398674</v>
      </c>
      <c r="Z153" s="503">
        <f>IF(終値!A153="","",IFERROR(4*STDEVP(終値!AC153:AV153)/AVERAGE(終値!AC153:AV153),""))</f>
        <v>0.22577058040568443</v>
      </c>
      <c r="AA153" s="503">
        <f>IF(終値!A153="","",IFERROR(4*STDEVP(終値!AD153:AW153)/AVERAGE(終値!AD153:AW153),""))</f>
        <v>0.14725977664627657</v>
      </c>
      <c r="AB153" s="503">
        <f>IF(終値!A153="","",IFERROR(4*STDEVP(終値!AE153:AX153)/AVERAGE(終値!AE153:AX153),""))</f>
        <v>0.15322006732326093</v>
      </c>
      <c r="AC153" s="503">
        <f>IF(終値!A153="","",IFERROR(4*STDEVP(終値!AF153:AY153)/AVERAGE(終値!AF153:AY153),""))</f>
        <v>0.15348813571866826</v>
      </c>
      <c r="AD153" s="503">
        <f>IF(終値!A153="","",IFERROR(4*STDEVP(終値!AG153:AZ153)/AVERAGE(終値!AG153:AZ153),""))</f>
        <v>0.15442347004680229</v>
      </c>
      <c r="AE153" s="503">
        <f>IF(終値!A153="","",IFERROR(4*STDEVP(終値!AH153:BA153)/AVERAGE(終値!AH153:BA153),""))</f>
        <v>0.15595360871576452</v>
      </c>
      <c r="AF153" s="503">
        <f>IF(終値!A153="","",IFERROR(4*STDEVP(終値!AI153:BB153)/AVERAGE(終値!AI153:BB153),""))</f>
        <v>0.17858972168773674</v>
      </c>
      <c r="AG153" s="503">
        <f>IF(終値!A153="","",IFERROR(4*STDEVP(終値!AJ153:BC153)/AVERAGE(終値!AJ153:BC153),""))</f>
        <v>0.19183117320661583</v>
      </c>
      <c r="AH153" s="503">
        <f>IF(終値!A153="","",IFERROR(4*STDEVP(終値!AK153:BD153)/AVERAGE(終値!AK153:BD153),""))</f>
        <v>0.21989456433310794</v>
      </c>
      <c r="AI153" s="503">
        <f>IF(終値!A153="","",IFERROR(4*STDEVP(終値!AL153:BE153)/AVERAGE(終値!AL153:BE153),""))</f>
        <v>0.23630536892097784</v>
      </c>
      <c r="AJ153" s="503">
        <f>IF(終値!A153="","",IFERROR(4*STDEVP(終値!AM153:BF153)/AVERAGE(終値!AM153:BF153),""))</f>
        <v>0.25725877434299166</v>
      </c>
      <c r="AK153" s="503">
        <f>IF(終値!A153="","",IFERROR(4*STDEVP(終値!AN153:BG153)/AVERAGE(終値!AN153:BG153),""))</f>
        <v>0.26011858705278218</v>
      </c>
      <c r="AL153" s="503">
        <f>IF(終値!A153="","",IFERROR(4*STDEVP(終値!AO153:BH153)/AVERAGE(終値!AO153:BH153),""))</f>
        <v>0.25925664519178104</v>
      </c>
      <c r="AM153" s="503">
        <f>IF(終値!A153="","",IFERROR(4*STDEVP(終値!AP153:BI153)/AVERAGE(終値!AP153:BI153),""))</f>
        <v>0.26424820417861011</v>
      </c>
      <c r="AN153" s="503">
        <f>IF(終値!A153="","",IFERROR(4*STDEVP(終値!AQ153:BJ153)/AVERAGE(終値!AQ153:BJ153),""))</f>
        <v>0.26945684244705076</v>
      </c>
      <c r="AO153" s="503">
        <f>IF(終値!A153="","",IFERROR(4*STDEVP(終値!AR153:BK153)/AVERAGE(終値!AR153:BK153),""))</f>
        <v>0.28261572047950106</v>
      </c>
      <c r="AP153" s="503">
        <f>IF(終値!A153="","",IFERROR(4*STDEVP(終値!AS153:BL153)/AVERAGE(終値!AS153:BL153),""))</f>
        <v>0.3037306272620624</v>
      </c>
    </row>
    <row r="154" spans="1:42">
      <c r="A154" s="500" t="str">
        <f>IF(終値!A154="","",終値!A154)</f>
        <v>6981</v>
      </c>
      <c r="B154" s="503">
        <f>IF(終値!A154="","",IFERROR(4*STDEVP(終値!E154:X154)/AVERAGE(終値!E154:X154),""))</f>
        <v>0.53017850992238813</v>
      </c>
      <c r="C154" s="503">
        <f>IF(終値!A154="","",IFERROR(4*STDEVP(終値!F154:Y154)/AVERAGE(終値!F154:Y154),""))</f>
        <v>0.576628063956377</v>
      </c>
      <c r="D154" s="503">
        <f>IF(終値!A154="","",IFERROR(4*STDEVP(終値!G154:Z154)/AVERAGE(終値!G154:Z154),""))</f>
        <v>0.59521426551122436</v>
      </c>
      <c r="E154" s="503">
        <f>IF(終値!A154="","",IFERROR(4*STDEVP(終値!H154:AA154)/AVERAGE(終値!H154:AA154),""))</f>
        <v>0.64559235710958818</v>
      </c>
      <c r="F154" s="503">
        <f>IF(終値!A154="","",IFERROR(4*STDEVP(終値!I154:AB154)/AVERAGE(終値!I154:AB154),""))</f>
        <v>0.62027600543686889</v>
      </c>
      <c r="G154" s="503">
        <f>IF(終値!A154="","",IFERROR(4*STDEVP(終値!J154:AC154)/AVERAGE(終値!J154:AC154),""))</f>
        <v>0.55132221328371966</v>
      </c>
      <c r="H154" s="503">
        <f>IF(終値!A154="","",IFERROR(4*STDEVP(終値!K154:AD154)/AVERAGE(終値!K154:AD154),""))</f>
        <v>0.51153762068670161</v>
      </c>
      <c r="I154" s="503">
        <f>IF(終値!A154="","",IFERROR(4*STDEVP(終値!L154:AE154)/AVERAGE(終値!L154:AE154),""))</f>
        <v>0.52225716699892943</v>
      </c>
      <c r="J154" s="503">
        <f>IF(終値!A154="","",IFERROR(4*STDEVP(終値!M154:AF154)/AVERAGE(終値!M154:AF154),""))</f>
        <v>0.50978564353468414</v>
      </c>
      <c r="K154" s="503">
        <f>IF(終値!A154="","",IFERROR(4*STDEVP(終値!N154:AG154)/AVERAGE(終値!N154:AG154),""))</f>
        <v>0.49757786207358584</v>
      </c>
      <c r="L154" s="503">
        <f>IF(終値!A154="","",IFERROR(4*STDEVP(終値!O154:AH154)/AVERAGE(終値!O154:AH154),""))</f>
        <v>0.50041881720602599</v>
      </c>
      <c r="M154" s="503">
        <f>IF(終値!A154="","",IFERROR(4*STDEVP(終値!P154:AI154)/AVERAGE(終値!P154:AI154),""))</f>
        <v>0.46825695294725422</v>
      </c>
      <c r="N154" s="503">
        <f>IF(終値!A154="","",IFERROR(4*STDEVP(終値!Q154:AJ154)/AVERAGE(終値!Q154:AJ154),""))</f>
        <v>0.40600369464564695</v>
      </c>
      <c r="O154" s="503">
        <f>IF(終値!A154="","",IFERROR(4*STDEVP(終値!R154:AK154)/AVERAGE(終値!R154:AK154),""))</f>
        <v>0.38258327926142366</v>
      </c>
      <c r="P154" s="503">
        <f>IF(終値!A154="","",IFERROR(4*STDEVP(終値!S154:AL154)/AVERAGE(終値!S154:AL154),""))</f>
        <v>0.35625813361184439</v>
      </c>
      <c r="Q154" s="503">
        <f>IF(終値!A154="","",IFERROR(4*STDEVP(終値!T154:AM154)/AVERAGE(終値!T154:AM154),""))</f>
        <v>0.33078520137285838</v>
      </c>
      <c r="R154" s="503">
        <f>IF(終値!A154="","",IFERROR(4*STDEVP(終値!U154:AN154)/AVERAGE(終値!U154:AN154),""))</f>
        <v>0.3724943374941227</v>
      </c>
      <c r="S154" s="503">
        <f>IF(終値!A154="","",IFERROR(4*STDEVP(終値!V154:AO154)/AVERAGE(終値!V154:AO154),""))</f>
        <v>0.38724217445835168</v>
      </c>
      <c r="T154" s="503">
        <f>IF(終値!A154="","",IFERROR(4*STDEVP(終値!W154:AP154)/AVERAGE(終値!W154:AP154),""))</f>
        <v>0.40031010536817546</v>
      </c>
      <c r="U154" s="503">
        <f>IF(終値!A154="","",IFERROR(4*STDEVP(終値!X154:AQ154)/AVERAGE(終値!X154:AQ154),""))</f>
        <v>0.41594642138955196</v>
      </c>
      <c r="V154" s="503">
        <f>IF(終値!A154="","",IFERROR(4*STDEVP(終値!Y154:AR154)/AVERAGE(終値!Y154:AR154),""))</f>
        <v>0.42322607117597799</v>
      </c>
      <c r="W154" s="503">
        <f>IF(終値!A154="","",IFERROR(4*STDEVP(終値!Z154:AS154)/AVERAGE(終値!Z154:AS154),""))</f>
        <v>0.4275215872720079</v>
      </c>
      <c r="X154" s="503">
        <f>IF(終値!A154="","",IFERROR(4*STDEVP(終値!AA154:AT154)/AVERAGE(終値!AA154:AT154),""))</f>
        <v>0.4276924067962351</v>
      </c>
      <c r="Y154" s="503">
        <f>IF(終値!A154="","",IFERROR(4*STDEVP(終値!AB154:AU154)/AVERAGE(終値!AB154:AU154),""))</f>
        <v>0.41489971771709966</v>
      </c>
      <c r="Z154" s="503">
        <f>IF(終値!A154="","",IFERROR(4*STDEVP(終値!AC154:AV154)/AVERAGE(終値!AC154:AV154),""))</f>
        <v>0.41530148603844219</v>
      </c>
      <c r="AA154" s="503">
        <f>IF(終値!A154="","",IFERROR(4*STDEVP(終値!AD154:AW154)/AVERAGE(終値!AD154:AW154),""))</f>
        <v>0.44577719931624082</v>
      </c>
      <c r="AB154" s="503">
        <f>IF(終値!A154="","",IFERROR(4*STDEVP(終値!AE154:AX154)/AVERAGE(終値!AE154:AX154),""))</f>
        <v>0.4955341888879416</v>
      </c>
      <c r="AC154" s="503">
        <f>IF(終値!A154="","",IFERROR(4*STDEVP(終値!AF154:AY154)/AVERAGE(終値!AF154:AY154),""))</f>
        <v>0.51367074659242296</v>
      </c>
      <c r="AD154" s="503">
        <f>IF(終値!A154="","",IFERROR(4*STDEVP(終値!AG154:AZ154)/AVERAGE(終値!AG154:AZ154),""))</f>
        <v>0.56850909064426303</v>
      </c>
      <c r="AE154" s="503">
        <f>IF(終値!A154="","",IFERROR(4*STDEVP(終値!AH154:BA154)/AVERAGE(終値!AH154:BA154),""))</f>
        <v>0.62803771620229976</v>
      </c>
      <c r="AF154" s="503">
        <f>IF(終値!A154="","",IFERROR(4*STDEVP(終値!AI154:BB154)/AVERAGE(終値!AI154:BB154),""))</f>
        <v>0.66161608650719217</v>
      </c>
      <c r="AG154" s="503">
        <f>IF(終値!A154="","",IFERROR(4*STDEVP(終値!AJ154:BC154)/AVERAGE(終値!AJ154:BC154),""))</f>
        <v>0.69013957545183113</v>
      </c>
      <c r="AH154" s="503">
        <f>IF(終値!A154="","",IFERROR(4*STDEVP(終値!AK154:BD154)/AVERAGE(終値!AK154:BD154),""))</f>
        <v>0.69756765847888136</v>
      </c>
      <c r="AI154" s="503">
        <f>IF(終値!A154="","",IFERROR(4*STDEVP(終値!AL154:BE154)/AVERAGE(終値!AL154:BE154),""))</f>
        <v>0.71843830121452767</v>
      </c>
      <c r="AJ154" s="503">
        <f>IF(終値!A154="","",IFERROR(4*STDEVP(終値!AM154:BF154)/AVERAGE(終値!AM154:BF154),""))</f>
        <v>0.7278494280253861</v>
      </c>
      <c r="AK154" s="503">
        <f>IF(終値!A154="","",IFERROR(4*STDEVP(終値!AN154:BG154)/AVERAGE(終値!AN154:BG154),""))</f>
        <v>0.74754466272470799</v>
      </c>
      <c r="AL154" s="503">
        <f>IF(終値!A154="","",IFERROR(4*STDEVP(終値!AO154:BH154)/AVERAGE(終値!AO154:BH154),""))</f>
        <v>0.78499956222410183</v>
      </c>
      <c r="AM154" s="503">
        <f>IF(終値!A154="","",IFERROR(4*STDEVP(終値!AP154:BI154)/AVERAGE(終値!AP154:BI154),""))</f>
        <v>0.81708226012826657</v>
      </c>
      <c r="AN154" s="503">
        <f>IF(終値!A154="","",IFERROR(4*STDEVP(終値!AQ154:BJ154)/AVERAGE(終値!AQ154:BJ154),""))</f>
        <v>0.85092090406649845</v>
      </c>
      <c r="AO154" s="503">
        <f>IF(終値!A154="","",IFERROR(4*STDEVP(終値!AR154:BK154)/AVERAGE(終値!AR154:BK154),""))</f>
        <v>0.88512144780089053</v>
      </c>
      <c r="AP154" s="503">
        <f>IF(終値!A154="","",IFERROR(4*STDEVP(終値!AS154:BL154)/AVERAGE(終値!AS154:BL154),""))</f>
        <v>0.90553906054779665</v>
      </c>
    </row>
    <row r="155" spans="1:42">
      <c r="A155" s="500" t="str">
        <f>IF(終値!A155="","",終値!A155)</f>
        <v>6754</v>
      </c>
      <c r="B155" s="503">
        <f>IF(終値!A155="","",IFERROR(4*STDEVP(終値!E155:X155)/AVERAGE(終値!E155:X155),""))</f>
        <v>0.25911917963850795</v>
      </c>
      <c r="C155" s="503">
        <f>IF(終値!A155="","",IFERROR(4*STDEVP(終値!F155:Y155)/AVERAGE(終値!F155:Y155),""))</f>
        <v>0.28608573567073275</v>
      </c>
      <c r="D155" s="503">
        <f>IF(終値!A155="","",IFERROR(4*STDEVP(終値!G155:Z155)/AVERAGE(終値!G155:Z155),""))</f>
        <v>0.28666002626915588</v>
      </c>
      <c r="E155" s="503">
        <f>IF(終値!A155="","",IFERROR(4*STDEVP(終値!H155:AA155)/AVERAGE(終値!H155:AA155),""))</f>
        <v>0.30920755389281523</v>
      </c>
      <c r="F155" s="503">
        <f>IF(終値!A155="","",IFERROR(4*STDEVP(終値!I155:AB155)/AVERAGE(終値!I155:AB155),""))</f>
        <v>0.29611739449337537</v>
      </c>
      <c r="G155" s="503">
        <f>IF(終値!A155="","",IFERROR(4*STDEVP(終値!J155:AC155)/AVERAGE(終値!J155:AC155),""))</f>
        <v>0.2613088822222317</v>
      </c>
      <c r="H155" s="503">
        <f>IF(終値!A155="","",IFERROR(4*STDEVP(終値!K155:AD155)/AVERAGE(終値!K155:AD155),""))</f>
        <v>0.24202993900376737</v>
      </c>
      <c r="I155" s="503">
        <f>IF(終値!A155="","",IFERROR(4*STDEVP(終値!L155:AE155)/AVERAGE(終値!L155:AE155),""))</f>
        <v>0.24835001833484086</v>
      </c>
      <c r="J155" s="503">
        <f>IF(終値!A155="","",IFERROR(4*STDEVP(終値!M155:AF155)/AVERAGE(終値!M155:AF155),""))</f>
        <v>0.24771548669732504</v>
      </c>
      <c r="K155" s="503">
        <f>IF(終値!A155="","",IFERROR(4*STDEVP(終値!N155:AG155)/AVERAGE(終値!N155:AG155),""))</f>
        <v>0.24853659839052278</v>
      </c>
      <c r="L155" s="503">
        <f>IF(終値!A155="","",IFERROR(4*STDEVP(終値!O155:AH155)/AVERAGE(終値!O155:AH155),""))</f>
        <v>0.23994619622217248</v>
      </c>
      <c r="M155" s="503">
        <f>IF(終値!A155="","",IFERROR(4*STDEVP(終値!P155:AI155)/AVERAGE(終値!P155:AI155),""))</f>
        <v>0.22146339772534834</v>
      </c>
      <c r="N155" s="503">
        <f>IF(終値!A155="","",IFERROR(4*STDEVP(終値!Q155:AJ155)/AVERAGE(終値!Q155:AJ155),""))</f>
        <v>0.18585164461265649</v>
      </c>
      <c r="O155" s="503">
        <f>IF(終値!A155="","",IFERROR(4*STDEVP(終値!R155:AK155)/AVERAGE(終値!R155:AK155),""))</f>
        <v>0.18451397109397175</v>
      </c>
      <c r="P155" s="503">
        <f>IF(終値!A155="","",IFERROR(4*STDEVP(終値!S155:AL155)/AVERAGE(終値!S155:AL155),""))</f>
        <v>0.18100245865118064</v>
      </c>
      <c r="Q155" s="503">
        <f>IF(終値!A155="","",IFERROR(4*STDEVP(終値!T155:AM155)/AVERAGE(終値!T155:AM155),""))</f>
        <v>0.18939018228637319</v>
      </c>
      <c r="R155" s="503">
        <f>IF(終値!A155="","",IFERROR(4*STDEVP(終値!U155:AN155)/AVERAGE(終値!U155:AN155),""))</f>
        <v>0.20737802836928843</v>
      </c>
      <c r="S155" s="503">
        <f>IF(終値!A155="","",IFERROR(4*STDEVP(終値!V155:AO155)/AVERAGE(終値!V155:AO155),""))</f>
        <v>0.21998685745181129</v>
      </c>
      <c r="T155" s="503">
        <f>IF(終値!A155="","",IFERROR(4*STDEVP(終値!W155:AP155)/AVERAGE(終値!W155:AP155),""))</f>
        <v>0.23186756768408562</v>
      </c>
      <c r="U155" s="503">
        <f>IF(終値!A155="","",IFERROR(4*STDEVP(終値!X155:AQ155)/AVERAGE(終値!X155:AQ155),""))</f>
        <v>0.22760170397498641</v>
      </c>
      <c r="V155" s="503">
        <f>IF(終値!A155="","",IFERROR(4*STDEVP(終値!Y155:AR155)/AVERAGE(終値!Y155:AR155),""))</f>
        <v>0.24257371823021592</v>
      </c>
      <c r="W155" s="503">
        <f>IF(終値!A155="","",IFERROR(4*STDEVP(終値!Z155:AS155)/AVERAGE(終値!Z155:AS155),""))</f>
        <v>0.24879172078335648</v>
      </c>
      <c r="X155" s="503">
        <f>IF(終値!A155="","",IFERROR(4*STDEVP(終値!AA155:AT155)/AVERAGE(終値!AA155:AT155),""))</f>
        <v>0.26580302078800522</v>
      </c>
      <c r="Y155" s="503">
        <f>IF(終値!A155="","",IFERROR(4*STDEVP(終値!AB155:AU155)/AVERAGE(終値!AB155:AU155),""))</f>
        <v>0.26043017832716409</v>
      </c>
      <c r="Z155" s="503">
        <f>IF(終値!A155="","",IFERROR(4*STDEVP(終値!AC155:AV155)/AVERAGE(終値!AC155:AV155),""))</f>
        <v>0.26413527287627114</v>
      </c>
      <c r="AA155" s="503">
        <f>IF(終値!A155="","",IFERROR(4*STDEVP(終値!AD155:AW155)/AVERAGE(終値!AD155:AW155),""))</f>
        <v>0.26900291219670519</v>
      </c>
      <c r="AB155" s="503">
        <f>IF(終値!A155="","",IFERROR(4*STDEVP(終値!AE155:AX155)/AVERAGE(終値!AE155:AX155),""))</f>
        <v>0.27464474440959546</v>
      </c>
      <c r="AC155" s="503">
        <f>IF(終値!A155="","",IFERROR(4*STDEVP(終値!AF155:AY155)/AVERAGE(終値!AF155:AY155),""))</f>
        <v>0.28230592881200445</v>
      </c>
      <c r="AD155" s="503">
        <f>IF(終値!A155="","",IFERROR(4*STDEVP(終値!AG155:AZ155)/AVERAGE(終値!AG155:AZ155),""))</f>
        <v>0.28585283884499896</v>
      </c>
      <c r="AE155" s="503">
        <f>IF(終値!A155="","",IFERROR(4*STDEVP(終値!AH155:BA155)/AVERAGE(終値!AH155:BA155),""))</f>
        <v>0.28566480950308976</v>
      </c>
      <c r="AF155" s="503">
        <f>IF(終値!A155="","",IFERROR(4*STDEVP(終値!AI155:BB155)/AVERAGE(終値!AI155:BB155),""))</f>
        <v>0.28550796309451082</v>
      </c>
      <c r="AG155" s="503">
        <f>IF(終値!A155="","",IFERROR(4*STDEVP(終値!AJ155:BC155)/AVERAGE(終値!AJ155:BC155),""))</f>
        <v>0.28907601772494701</v>
      </c>
      <c r="AH155" s="503">
        <f>IF(終値!A155="","",IFERROR(4*STDEVP(終値!AK155:BD155)/AVERAGE(終値!AK155:BD155),""))</f>
        <v>0.28221686253535594</v>
      </c>
      <c r="AI155" s="503">
        <f>IF(終値!A155="","",IFERROR(4*STDEVP(終値!AL155:BE155)/AVERAGE(終値!AL155:BE155),""))</f>
        <v>0.27882855835849907</v>
      </c>
      <c r="AJ155" s="503">
        <f>IF(終値!A155="","",IFERROR(4*STDEVP(終値!AM155:BF155)/AVERAGE(終値!AM155:BF155),""))</f>
        <v>0.27696002517219193</v>
      </c>
      <c r="AK155" s="503">
        <f>IF(終値!A155="","",IFERROR(4*STDEVP(終値!AN155:BG155)/AVERAGE(終値!AN155:BG155),""))</f>
        <v>0.26422558656296158</v>
      </c>
      <c r="AL155" s="503">
        <f>IF(終値!A155="","",IFERROR(4*STDEVP(終値!AO155:BH155)/AVERAGE(終値!AO155:BH155),""))</f>
        <v>0.25467023320538307</v>
      </c>
      <c r="AM155" s="503">
        <f>IF(終値!A155="","",IFERROR(4*STDEVP(終値!AP155:BI155)/AVERAGE(終値!AP155:BI155),""))</f>
        <v>0.23735815468202087</v>
      </c>
      <c r="AN155" s="503">
        <f>IF(終値!A155="","",IFERROR(4*STDEVP(終値!AQ155:BJ155)/AVERAGE(終値!AQ155:BJ155),""))</f>
        <v>0.20933053977657212</v>
      </c>
      <c r="AO155" s="503">
        <f>IF(終値!A155="","",IFERROR(4*STDEVP(終値!AR155:BK155)/AVERAGE(終値!AR155:BK155),""))</f>
        <v>0.21755421156063282</v>
      </c>
      <c r="AP155" s="503">
        <f>IF(終値!A155="","",IFERROR(4*STDEVP(終値!AS155:BL155)/AVERAGE(終値!AS155:BL155),""))</f>
        <v>0.23591631728868973</v>
      </c>
    </row>
    <row r="156" spans="1:42">
      <c r="A156" s="500" t="str">
        <f>IF(終値!A156="","",終値!A156)</f>
        <v>4088</v>
      </c>
      <c r="B156" s="503">
        <f>IF(終値!A156="","",IFERROR(4*STDEVP(終値!E156:X156)/AVERAGE(終値!E156:X156),""))</f>
        <v>0.10038776539562404</v>
      </c>
      <c r="C156" s="503">
        <f>IF(終値!A156="","",IFERROR(4*STDEVP(終値!F156:Y156)/AVERAGE(終値!F156:Y156),""))</f>
        <v>0.11615536807968356</v>
      </c>
      <c r="D156" s="503">
        <f>IF(終値!A156="","",IFERROR(4*STDEVP(終値!G156:Z156)/AVERAGE(終値!G156:Z156),""))</f>
        <v>0.12396671981147329</v>
      </c>
      <c r="E156" s="503">
        <f>IF(終値!A156="","",IFERROR(4*STDEVP(終値!H156:AA156)/AVERAGE(終値!H156:AA156),""))</f>
        <v>0.12713866478530533</v>
      </c>
      <c r="F156" s="503">
        <f>IF(終値!A156="","",IFERROR(4*STDEVP(終値!I156:AB156)/AVERAGE(終値!I156:AB156),""))</f>
        <v>0.13222775803485223</v>
      </c>
      <c r="G156" s="503">
        <f>IF(終値!A156="","",IFERROR(4*STDEVP(終値!J156:AC156)/AVERAGE(終値!J156:AC156),""))</f>
        <v>0.13971972528712176</v>
      </c>
      <c r="H156" s="503">
        <f>IF(終値!A156="","",IFERROR(4*STDEVP(終値!K156:AD156)/AVERAGE(終値!K156:AD156),""))</f>
        <v>0.14563910274111752</v>
      </c>
      <c r="I156" s="503">
        <f>IF(終値!A156="","",IFERROR(4*STDEVP(終値!L156:AE156)/AVERAGE(終値!L156:AE156),""))</f>
        <v>0.16012927360464105</v>
      </c>
      <c r="J156" s="503">
        <f>IF(終値!A156="","",IFERROR(4*STDEVP(終値!M156:AF156)/AVERAGE(終値!M156:AF156),""))</f>
        <v>0.15812585061740564</v>
      </c>
      <c r="K156" s="503">
        <f>IF(終値!A156="","",IFERROR(4*STDEVP(終値!N156:AG156)/AVERAGE(終値!N156:AG156),""))</f>
        <v>0.15353890389997624</v>
      </c>
      <c r="L156" s="503">
        <f>IF(終値!A156="","",IFERROR(4*STDEVP(終値!O156:AH156)/AVERAGE(終値!O156:AH156),""))</f>
        <v>0.16025930891644888</v>
      </c>
      <c r="M156" s="503">
        <f>IF(終値!A156="","",IFERROR(4*STDEVP(終値!P156:AI156)/AVERAGE(終値!P156:AI156),""))</f>
        <v>0.16924384169534196</v>
      </c>
      <c r="N156" s="503">
        <f>IF(終値!A156="","",IFERROR(4*STDEVP(終値!Q156:AJ156)/AVERAGE(終値!Q156:AJ156),""))</f>
        <v>0.17461372101195263</v>
      </c>
      <c r="O156" s="503">
        <f>IF(終値!A156="","",IFERROR(4*STDEVP(終値!R156:AK156)/AVERAGE(終値!R156:AK156),""))</f>
        <v>0.18178910106054974</v>
      </c>
      <c r="P156" s="503">
        <f>IF(終値!A156="","",IFERROR(4*STDEVP(終値!S156:AL156)/AVERAGE(終値!S156:AL156),""))</f>
        <v>0.18550656029728654</v>
      </c>
      <c r="Q156" s="503">
        <f>IF(終値!A156="","",IFERROR(4*STDEVP(終値!T156:AM156)/AVERAGE(終値!T156:AM156),""))</f>
        <v>0.18317944205840919</v>
      </c>
      <c r="R156" s="503">
        <f>IF(終値!A156="","",IFERROR(4*STDEVP(終値!U156:AN156)/AVERAGE(終値!U156:AN156),""))</f>
        <v>0.19437527792267334</v>
      </c>
      <c r="S156" s="503">
        <f>IF(終値!A156="","",IFERROR(4*STDEVP(終値!V156:AO156)/AVERAGE(終値!V156:AO156),""))</f>
        <v>0.20980275292699008</v>
      </c>
      <c r="T156" s="503">
        <f>IF(終値!A156="","",IFERROR(4*STDEVP(終値!W156:AP156)/AVERAGE(終値!W156:AP156),""))</f>
        <v>0.2208327005300427</v>
      </c>
      <c r="U156" s="503">
        <f>IF(終値!A156="","",IFERROR(4*STDEVP(終値!X156:AQ156)/AVERAGE(終値!X156:AQ156),""))</f>
        <v>0.22599158238634984</v>
      </c>
      <c r="V156" s="503">
        <f>IF(終値!A156="","",IFERROR(4*STDEVP(終値!Y156:AR156)/AVERAGE(終値!Y156:AR156),""))</f>
        <v>0.22661729467508501</v>
      </c>
      <c r="W156" s="503">
        <f>IF(終値!A156="","",IFERROR(4*STDEVP(終値!Z156:AS156)/AVERAGE(終値!Z156:AS156),""))</f>
        <v>0.22233960939342498</v>
      </c>
      <c r="X156" s="503">
        <f>IF(終値!A156="","",IFERROR(4*STDEVP(終値!AA156:AT156)/AVERAGE(終値!AA156:AT156),""))</f>
        <v>0.21739782169287916</v>
      </c>
      <c r="Y156" s="503">
        <f>IF(終値!A156="","",IFERROR(4*STDEVP(終値!AB156:AU156)/AVERAGE(終値!AB156:AU156),""))</f>
        <v>0.21187368781441759</v>
      </c>
      <c r="Z156" s="503">
        <f>IF(終値!A156="","",IFERROR(4*STDEVP(終値!AC156:AV156)/AVERAGE(終値!AC156:AV156),""))</f>
        <v>0.19995041012514506</v>
      </c>
      <c r="AA156" s="503">
        <f>IF(終値!A156="","",IFERROR(4*STDEVP(終値!AD156:AW156)/AVERAGE(終値!AD156:AW156),""))</f>
        <v>0.18389742424696323</v>
      </c>
      <c r="AB156" s="503">
        <f>IF(終値!A156="","",IFERROR(4*STDEVP(終値!AE156:AX156)/AVERAGE(終値!AE156:AX156),""))</f>
        <v>0.16688764024113134</v>
      </c>
      <c r="AC156" s="503">
        <f>IF(終値!A156="","",IFERROR(4*STDEVP(終値!AF156:AY156)/AVERAGE(終値!AF156:AY156),""))</f>
        <v>0.11942084809399661</v>
      </c>
      <c r="AD156" s="503">
        <f>IF(終値!A156="","",IFERROR(4*STDEVP(終値!AG156:AZ156)/AVERAGE(終値!AG156:AZ156),""))</f>
        <v>0.10392762972506682</v>
      </c>
      <c r="AE156" s="503">
        <f>IF(終値!A156="","",IFERROR(4*STDEVP(終値!AH156:BA156)/AVERAGE(終値!AH156:BA156),""))</f>
        <v>9.0250956465678572E-2</v>
      </c>
      <c r="AF156" s="503">
        <f>IF(終値!A156="","",IFERROR(4*STDEVP(終値!AI156:BB156)/AVERAGE(終値!AI156:BB156),""))</f>
        <v>9.0642793805850441E-2</v>
      </c>
      <c r="AG156" s="503">
        <f>IF(終値!A156="","",IFERROR(4*STDEVP(終値!AJ156:BC156)/AVERAGE(終値!AJ156:BC156),""))</f>
        <v>8.9932672255682966E-2</v>
      </c>
      <c r="AH156" s="503">
        <f>IF(終値!A156="","",IFERROR(4*STDEVP(終値!AK156:BD156)/AVERAGE(終値!AK156:BD156),""))</f>
        <v>0.11502929423027758</v>
      </c>
      <c r="AI156" s="503">
        <f>IF(終値!A156="","",IFERROR(4*STDEVP(終値!AL156:BE156)/AVERAGE(終値!AL156:BE156),""))</f>
        <v>0.1380204246388087</v>
      </c>
      <c r="AJ156" s="503">
        <f>IF(終値!A156="","",IFERROR(4*STDEVP(終値!AM156:BF156)/AVERAGE(終値!AM156:BF156),""))</f>
        <v>0.17586384043751793</v>
      </c>
      <c r="AK156" s="503">
        <f>IF(終値!A156="","",IFERROR(4*STDEVP(終値!AN156:BG156)/AVERAGE(終値!AN156:BG156),""))</f>
        <v>0.2180164882412147</v>
      </c>
      <c r="AL156" s="503">
        <f>IF(終値!A156="","",IFERROR(4*STDEVP(終値!AO156:BH156)/AVERAGE(終値!AO156:BH156),""))</f>
        <v>0.25908368550581135</v>
      </c>
      <c r="AM156" s="503">
        <f>IF(終値!A156="","",IFERROR(4*STDEVP(終値!AP156:BI156)/AVERAGE(終値!AP156:BI156),""))</f>
        <v>0.31108005507087244</v>
      </c>
      <c r="AN156" s="503">
        <f>IF(終値!A156="","",IFERROR(4*STDEVP(終値!AQ156:BJ156)/AVERAGE(終値!AQ156:BJ156),""))</f>
        <v>0.35754148910218153</v>
      </c>
      <c r="AO156" s="503">
        <f>IF(終値!A156="","",IFERROR(4*STDEVP(終値!AR156:BK156)/AVERAGE(終値!AR156:BK156),""))</f>
        <v>0.39898512806309344</v>
      </c>
      <c r="AP156" s="503">
        <f>IF(終値!A156="","",IFERROR(4*STDEVP(終値!AS156:BL156)/AVERAGE(終値!AS156:BL156),""))</f>
        <v>0.43592156589546921</v>
      </c>
    </row>
    <row r="157" spans="1:42">
      <c r="A157" s="500" t="str">
        <f>IF(終値!A157="","",終値!A157)</f>
        <v>4091</v>
      </c>
      <c r="B157" s="503">
        <f>IF(終値!A157="","",IFERROR(4*STDEVP(終値!E157:X157)/AVERAGE(終値!E157:X157),""))</f>
        <v>0.11101372388753539</v>
      </c>
      <c r="C157" s="503">
        <f>IF(終値!A157="","",IFERROR(4*STDEVP(終値!F157:Y157)/AVERAGE(終値!F157:Y157),""))</f>
        <v>0.11283365561117245</v>
      </c>
      <c r="D157" s="503">
        <f>IF(終値!A157="","",IFERROR(4*STDEVP(終値!G157:Z157)/AVERAGE(終値!G157:Z157),""))</f>
        <v>0.10322100003132799</v>
      </c>
      <c r="E157" s="503">
        <f>IF(終値!A157="","",IFERROR(4*STDEVP(終値!H157:AA157)/AVERAGE(終値!H157:AA157),""))</f>
        <v>9.5212441307316015E-2</v>
      </c>
      <c r="F157" s="503">
        <f>IF(終値!A157="","",IFERROR(4*STDEVP(終値!I157:AB157)/AVERAGE(終値!I157:AB157),""))</f>
        <v>8.942242424769295E-2</v>
      </c>
      <c r="G157" s="503">
        <f>IF(終値!A157="","",IFERROR(4*STDEVP(終値!J157:AC157)/AVERAGE(終値!J157:AC157),""))</f>
        <v>8.5278589670845603E-2</v>
      </c>
      <c r="H157" s="503">
        <f>IF(終値!A157="","",IFERROR(4*STDEVP(終値!K157:AD157)/AVERAGE(終値!K157:AD157),""))</f>
        <v>7.9583468572319183E-2</v>
      </c>
      <c r="I157" s="503">
        <f>IF(終値!A157="","",IFERROR(4*STDEVP(終値!L157:AE157)/AVERAGE(終値!L157:AE157),""))</f>
        <v>9.839488136742755E-2</v>
      </c>
      <c r="J157" s="503">
        <f>IF(終値!A157="","",IFERROR(4*STDEVP(終値!M157:AF157)/AVERAGE(終値!M157:AF157),""))</f>
        <v>0.12103375591205362</v>
      </c>
      <c r="K157" s="503">
        <f>IF(終値!A157="","",IFERROR(4*STDEVP(終値!N157:AG157)/AVERAGE(終値!N157:AG157),""))</f>
        <v>0.13244740229822452</v>
      </c>
      <c r="L157" s="503">
        <f>IF(終値!A157="","",IFERROR(4*STDEVP(終値!O157:AH157)/AVERAGE(終値!O157:AH157),""))</f>
        <v>0.15382930891456231</v>
      </c>
      <c r="M157" s="503">
        <f>IF(終値!A157="","",IFERROR(4*STDEVP(終値!P157:AI157)/AVERAGE(終値!P157:AI157),""))</f>
        <v>0.16678902821807778</v>
      </c>
      <c r="N157" s="503">
        <f>IF(終値!A157="","",IFERROR(4*STDEVP(終値!Q157:AJ157)/AVERAGE(終値!Q157:AJ157),""))</f>
        <v>0.17759374023168636</v>
      </c>
      <c r="O157" s="503">
        <f>IF(終値!A157="","",IFERROR(4*STDEVP(終値!R157:AK157)/AVERAGE(終値!R157:AK157),""))</f>
        <v>0.18325514251279273</v>
      </c>
      <c r="P157" s="503">
        <f>IF(終値!A157="","",IFERROR(4*STDEVP(終値!S157:AL157)/AVERAGE(終値!S157:AL157),""))</f>
        <v>0.19128549664089195</v>
      </c>
      <c r="Q157" s="503">
        <f>IF(終値!A157="","",IFERROR(4*STDEVP(終値!T157:AM157)/AVERAGE(終値!T157:AM157),""))</f>
        <v>0.19439530421003146</v>
      </c>
      <c r="R157" s="503">
        <f>IF(終値!A157="","",IFERROR(4*STDEVP(終値!U157:AN157)/AVERAGE(終値!U157:AN157),""))</f>
        <v>0.20511461304811512</v>
      </c>
      <c r="S157" s="503">
        <f>IF(終値!A157="","",IFERROR(4*STDEVP(終値!V157:AO157)/AVERAGE(終値!V157:AO157),""))</f>
        <v>0.21636136120032004</v>
      </c>
      <c r="T157" s="503">
        <f>IF(終値!A157="","",IFERROR(4*STDEVP(終値!W157:AP157)/AVERAGE(終値!W157:AP157),""))</f>
        <v>0.22393446378993875</v>
      </c>
      <c r="U157" s="503">
        <f>IF(終値!A157="","",IFERROR(4*STDEVP(終値!X157:AQ157)/AVERAGE(終値!X157:AQ157),""))</f>
        <v>0.21866044989679431</v>
      </c>
      <c r="V157" s="503">
        <f>IF(終値!A157="","",IFERROR(4*STDEVP(終値!Y157:AR157)/AVERAGE(終値!Y157:AR157),""))</f>
        <v>0.19866031245395047</v>
      </c>
      <c r="W157" s="503">
        <f>IF(終値!A157="","",IFERROR(4*STDEVP(終値!Z157:AS157)/AVERAGE(終値!Z157:AS157),""))</f>
        <v>0.17510897086442945</v>
      </c>
      <c r="X157" s="503">
        <f>IF(終値!A157="","",IFERROR(4*STDEVP(終値!AA157:AT157)/AVERAGE(終値!AA157:AT157),""))</f>
        <v>0.14642830872144361</v>
      </c>
      <c r="Y157" s="503">
        <f>IF(終値!A157="","",IFERROR(4*STDEVP(終値!AB157:AU157)/AVERAGE(終値!AB157:AU157),""))</f>
        <v>0.13260226860918317</v>
      </c>
      <c r="Z157" s="503">
        <f>IF(終値!A157="","",IFERROR(4*STDEVP(終値!AC157:AV157)/AVERAGE(終値!AC157:AV157),""))</f>
        <v>0.14868346694823259</v>
      </c>
      <c r="AA157" s="503">
        <f>IF(終値!A157="","",IFERROR(4*STDEVP(終値!AD157:AW157)/AVERAGE(終値!AD157:AW157),""))</f>
        <v>0.17267736990623581</v>
      </c>
      <c r="AB157" s="503">
        <f>IF(終値!A157="","",IFERROR(4*STDEVP(終値!AE157:AX157)/AVERAGE(終値!AE157:AX157),""))</f>
        <v>0.20192121270937829</v>
      </c>
      <c r="AC157" s="503">
        <f>IF(終値!A157="","",IFERROR(4*STDEVP(終値!AF157:AY157)/AVERAGE(終値!AF157:AY157),""))</f>
        <v>0.22332012349326782</v>
      </c>
      <c r="AD157" s="503">
        <f>IF(終値!A157="","",IFERROR(4*STDEVP(終値!AG157:AZ157)/AVERAGE(終値!AG157:AZ157),""))</f>
        <v>0.23383618389235283</v>
      </c>
      <c r="AE157" s="503">
        <f>IF(終値!A157="","",IFERROR(4*STDEVP(終値!AH157:BA157)/AVERAGE(終値!AH157:BA157),""))</f>
        <v>0.23405737346504385</v>
      </c>
      <c r="AF157" s="503">
        <f>IF(終値!A157="","",IFERROR(4*STDEVP(終値!AI157:BB157)/AVERAGE(終値!AI157:BB157),""))</f>
        <v>0.23063235699526735</v>
      </c>
      <c r="AG157" s="503">
        <f>IF(終値!A157="","",IFERROR(4*STDEVP(終値!AJ157:BC157)/AVERAGE(終値!AJ157:BC157),""))</f>
        <v>0.23049564924797325</v>
      </c>
      <c r="AH157" s="503">
        <f>IF(終値!A157="","",IFERROR(4*STDEVP(終値!AK157:BD157)/AVERAGE(終値!AK157:BD157),""))</f>
        <v>0.22995699024422389</v>
      </c>
      <c r="AI157" s="503">
        <f>IF(終値!A157="","",IFERROR(4*STDEVP(終値!AL157:BE157)/AVERAGE(終値!AL157:BE157),""))</f>
        <v>0.23192904086999119</v>
      </c>
      <c r="AJ157" s="503">
        <f>IF(終値!A157="","",IFERROR(4*STDEVP(終値!AM157:BF157)/AVERAGE(終値!AM157:BF157),""))</f>
        <v>0.23019693504913358</v>
      </c>
      <c r="AK157" s="503">
        <f>IF(終値!A157="","",IFERROR(4*STDEVP(終値!AN157:BG157)/AVERAGE(終値!AN157:BG157),""))</f>
        <v>0.22742760862995642</v>
      </c>
      <c r="AL157" s="503">
        <f>IF(終値!A157="","",IFERROR(4*STDEVP(終値!AO157:BH157)/AVERAGE(終値!AO157:BH157),""))</f>
        <v>0.21593548609838348</v>
      </c>
      <c r="AM157" s="503">
        <f>IF(終値!A157="","",IFERROR(4*STDEVP(終値!AP157:BI157)/AVERAGE(終値!AP157:BI157),""))</f>
        <v>0.19945040800894076</v>
      </c>
      <c r="AN157" s="503">
        <f>IF(終値!A157="","",IFERROR(4*STDEVP(終値!AQ157:BJ157)/AVERAGE(終値!AQ157:BJ157),""))</f>
        <v>0.17839698486678629</v>
      </c>
      <c r="AO157" s="503">
        <f>IF(終値!A157="","",IFERROR(4*STDEVP(終値!AR157:BK157)/AVERAGE(終値!AR157:BK157),""))</f>
        <v>0.16492816103565791</v>
      </c>
      <c r="AP157" s="503">
        <f>IF(終値!A157="","",IFERROR(4*STDEVP(終値!AS157:BL157)/AVERAGE(終値!AS157:BL157),""))</f>
        <v>0.1683112218367615</v>
      </c>
    </row>
    <row r="158" spans="1:42">
      <c r="A158" s="500" t="str">
        <f>IF(終値!A158="","",終値!A158)</f>
        <v>6857</v>
      </c>
      <c r="B158" s="503">
        <f>IF(終値!A158="","",IFERROR(4*STDEVP(終値!E158:X158)/AVERAGE(終値!E158:X158),""))</f>
        <v>0.24901920734668118</v>
      </c>
      <c r="C158" s="503">
        <f>IF(終値!A158="","",IFERROR(4*STDEVP(終値!F158:Y158)/AVERAGE(終値!F158:Y158),""))</f>
        <v>0.24314128338447971</v>
      </c>
      <c r="D158" s="503">
        <f>IF(終値!A158="","",IFERROR(4*STDEVP(終値!G158:Z158)/AVERAGE(終値!G158:Z158),""))</f>
        <v>0.23279624251480802</v>
      </c>
      <c r="E158" s="503">
        <f>IF(終値!A158="","",IFERROR(4*STDEVP(終値!H158:AA158)/AVERAGE(終値!H158:AA158),""))</f>
        <v>0.22613130858635666</v>
      </c>
      <c r="F158" s="503">
        <f>IF(終値!A158="","",IFERROR(4*STDEVP(終値!I158:AB158)/AVERAGE(終値!I158:AB158),""))</f>
        <v>0.24371842912096739</v>
      </c>
      <c r="G158" s="503">
        <f>IF(終値!A158="","",IFERROR(4*STDEVP(終値!J158:AC158)/AVERAGE(終値!J158:AC158),""))</f>
        <v>0.22071448789283699</v>
      </c>
      <c r="H158" s="503">
        <f>IF(終値!A158="","",IFERROR(4*STDEVP(終値!K158:AD158)/AVERAGE(終値!K158:AD158),""))</f>
        <v>0.19736371581335718</v>
      </c>
      <c r="I158" s="503">
        <f>IF(終値!A158="","",IFERROR(4*STDEVP(終値!L158:AE158)/AVERAGE(終値!L158:AE158),""))</f>
        <v>0.25649936310986815</v>
      </c>
      <c r="J158" s="503">
        <f>IF(終値!A158="","",IFERROR(4*STDEVP(終値!M158:AF158)/AVERAGE(終値!M158:AF158),""))</f>
        <v>0.25399202536082777</v>
      </c>
      <c r="K158" s="503">
        <f>IF(終値!A158="","",IFERROR(4*STDEVP(終値!N158:AG158)/AVERAGE(終値!N158:AG158),""))</f>
        <v>0.25537905898873647</v>
      </c>
      <c r="L158" s="503">
        <f>IF(終値!A158="","",IFERROR(4*STDEVP(終値!O158:AH158)/AVERAGE(終値!O158:AH158),""))</f>
        <v>0.25820801076932592</v>
      </c>
      <c r="M158" s="503">
        <f>IF(終値!A158="","",IFERROR(4*STDEVP(終値!P158:AI158)/AVERAGE(終値!P158:AI158),""))</f>
        <v>0.25830207833658719</v>
      </c>
      <c r="N158" s="503">
        <f>IF(終値!A158="","",IFERROR(4*STDEVP(終値!Q158:AJ158)/AVERAGE(終値!Q158:AJ158),""))</f>
        <v>0.24033913158236175</v>
      </c>
      <c r="O158" s="503">
        <f>IF(終値!A158="","",IFERROR(4*STDEVP(終値!R158:AK158)/AVERAGE(終値!R158:AK158),""))</f>
        <v>0.2404742671268375</v>
      </c>
      <c r="P158" s="503">
        <f>IF(終値!A158="","",IFERROR(4*STDEVP(終値!S158:AL158)/AVERAGE(終値!S158:AL158),""))</f>
        <v>0.23900974844361178</v>
      </c>
      <c r="Q158" s="503">
        <f>IF(終値!A158="","",IFERROR(4*STDEVP(終値!T158:AM158)/AVERAGE(終値!T158:AM158),""))</f>
        <v>0.23537103505945961</v>
      </c>
      <c r="R158" s="503">
        <f>IF(終値!A158="","",IFERROR(4*STDEVP(終値!U158:AN158)/AVERAGE(終値!U158:AN158),""))</f>
        <v>0.25449758258120631</v>
      </c>
      <c r="S158" s="503">
        <f>IF(終値!A158="","",IFERROR(4*STDEVP(終値!V158:AO158)/AVERAGE(終値!V158:AO158),""))</f>
        <v>0.29765623682232517</v>
      </c>
      <c r="T158" s="503">
        <f>IF(終値!A158="","",IFERROR(4*STDEVP(終値!W158:AP158)/AVERAGE(終値!W158:AP158),""))</f>
        <v>0.32434160212984292</v>
      </c>
      <c r="U158" s="503">
        <f>IF(終値!A158="","",IFERROR(4*STDEVP(終値!X158:AQ158)/AVERAGE(終値!X158:AQ158),""))</f>
        <v>0.35594779795725023</v>
      </c>
      <c r="V158" s="503">
        <f>IF(終値!A158="","",IFERROR(4*STDEVP(終値!Y158:AR158)/AVERAGE(終値!Y158:AR158),""))</f>
        <v>0.37039278660497277</v>
      </c>
      <c r="W158" s="503">
        <f>IF(終値!A158="","",IFERROR(4*STDEVP(終値!Z158:AS158)/AVERAGE(終値!Z158:AS158),""))</f>
        <v>0.37442723171614761</v>
      </c>
      <c r="X158" s="503">
        <f>IF(終値!A158="","",IFERROR(4*STDEVP(終値!AA158:AT158)/AVERAGE(終値!AA158:AT158),""))</f>
        <v>0.37964421801799719</v>
      </c>
      <c r="Y158" s="503">
        <f>IF(終値!A158="","",IFERROR(4*STDEVP(終値!AB158:AU158)/AVERAGE(終値!AB158:AU158),""))</f>
        <v>0.39056016649306902</v>
      </c>
      <c r="Z158" s="503">
        <f>IF(終値!A158="","",IFERROR(4*STDEVP(終値!AC158:AV158)/AVERAGE(終値!AC158:AV158),""))</f>
        <v>0.39685866450196616</v>
      </c>
      <c r="AA158" s="503">
        <f>IF(終値!A158="","",IFERROR(4*STDEVP(終値!AD158:AW158)/AVERAGE(終値!AD158:AW158),""))</f>
        <v>0.40023388047946468</v>
      </c>
      <c r="AB158" s="503">
        <f>IF(終値!A158="","",IFERROR(4*STDEVP(終値!AE158:AX158)/AVERAGE(終値!AE158:AX158),""))</f>
        <v>0.3916488972199525</v>
      </c>
      <c r="AC158" s="503">
        <f>IF(終値!A158="","",IFERROR(4*STDEVP(終値!AF158:AY158)/AVERAGE(終値!AF158:AY158),""))</f>
        <v>0.32200888522075766</v>
      </c>
      <c r="AD158" s="503">
        <f>IF(終値!A158="","",IFERROR(4*STDEVP(終値!AG158:AZ158)/AVERAGE(終値!AG158:AZ158),""))</f>
        <v>0.31293806352222281</v>
      </c>
      <c r="AE158" s="503">
        <f>IF(終値!A158="","",IFERROR(4*STDEVP(終値!AH158:BA158)/AVERAGE(終値!AH158:BA158),""))</f>
        <v>0.29783347444736374</v>
      </c>
      <c r="AF158" s="503">
        <f>IF(終値!A158="","",IFERROR(4*STDEVP(終値!AI158:BB158)/AVERAGE(終値!AI158:BB158),""))</f>
        <v>0.27204565623977173</v>
      </c>
      <c r="AG158" s="503">
        <f>IF(終値!A158="","",IFERROR(4*STDEVP(終値!AJ158:BC158)/AVERAGE(終値!AJ158:BC158),""))</f>
        <v>0.24414959434764572</v>
      </c>
      <c r="AH158" s="503">
        <f>IF(終値!A158="","",IFERROR(4*STDEVP(終値!AK158:BD158)/AVERAGE(終値!AK158:BD158),""))</f>
        <v>0.22404344990993044</v>
      </c>
      <c r="AI158" s="503">
        <f>IF(終値!A158="","",IFERROR(4*STDEVP(終値!AL158:BE158)/AVERAGE(終値!AL158:BE158),""))</f>
        <v>0.20014083087014264</v>
      </c>
      <c r="AJ158" s="503">
        <f>IF(終値!A158="","",IFERROR(4*STDEVP(終値!AM158:BF158)/AVERAGE(終値!AM158:BF158),""))</f>
        <v>0.17264403912228274</v>
      </c>
      <c r="AK158" s="503">
        <f>IF(終値!A158="","",IFERROR(4*STDEVP(終値!AN158:BG158)/AVERAGE(終値!AN158:BG158),""))</f>
        <v>0.15627128680997648</v>
      </c>
      <c r="AL158" s="503">
        <f>IF(終値!A158="","",IFERROR(4*STDEVP(終値!AO158:BH158)/AVERAGE(終値!AO158:BH158),""))</f>
        <v>0.16845131826158788</v>
      </c>
      <c r="AM158" s="503">
        <f>IF(終値!A158="","",IFERROR(4*STDEVP(終値!AP158:BI158)/AVERAGE(終値!AP158:BI158),""))</f>
        <v>0.17105126212731656</v>
      </c>
      <c r="AN158" s="503">
        <f>IF(終値!A158="","",IFERROR(4*STDEVP(終値!AQ158:BJ158)/AVERAGE(終値!AQ158:BJ158),""))</f>
        <v>0.18481765596156874</v>
      </c>
      <c r="AO158" s="503">
        <f>IF(終値!A158="","",IFERROR(4*STDEVP(終値!AR158:BK158)/AVERAGE(終値!AR158:BK158),""))</f>
        <v>0.18899306144473019</v>
      </c>
      <c r="AP158" s="503">
        <f>IF(終値!A158="","",IFERROR(4*STDEVP(終値!AS158:BL158)/AVERAGE(終値!AS158:BL158),""))</f>
        <v>0.18802600189477681</v>
      </c>
    </row>
    <row r="159" spans="1:42">
      <c r="A159" s="500" t="str">
        <f>IF(終値!A159="","",終値!A159)</f>
        <v>3891</v>
      </c>
      <c r="B159" s="503">
        <f>IF(終値!A159="","",IFERROR(4*STDEVP(終値!E159:X159)/AVERAGE(終値!E159:X159),""))</f>
        <v>0.44033339453542913</v>
      </c>
      <c r="C159" s="503">
        <f>IF(終値!A159="","",IFERROR(4*STDEVP(終値!F159:Y159)/AVERAGE(終値!F159:Y159),""))</f>
        <v>0.49625048281029399</v>
      </c>
      <c r="D159" s="503">
        <f>IF(終値!A159="","",IFERROR(4*STDEVP(終値!G159:Z159)/AVERAGE(終値!G159:Z159),""))</f>
        <v>0.53975978194742469</v>
      </c>
      <c r="E159" s="503">
        <f>IF(終値!A159="","",IFERROR(4*STDEVP(終値!H159:AA159)/AVERAGE(終値!H159:AA159),""))</f>
        <v>0.61106234564697637</v>
      </c>
      <c r="F159" s="503">
        <f>IF(終値!A159="","",IFERROR(4*STDEVP(終値!I159:AB159)/AVERAGE(終値!I159:AB159),""))</f>
        <v>0.59465835311451343</v>
      </c>
      <c r="G159" s="503">
        <f>IF(終値!A159="","",IFERROR(4*STDEVP(終値!J159:AC159)/AVERAGE(終値!J159:AC159),""))</f>
        <v>0.55488403725954272</v>
      </c>
      <c r="H159" s="503">
        <f>IF(終値!A159="","",IFERROR(4*STDEVP(終値!K159:AD159)/AVERAGE(終値!K159:AD159),""))</f>
        <v>0.53584974074463187</v>
      </c>
      <c r="I159" s="503">
        <f>IF(終値!A159="","",IFERROR(4*STDEVP(終値!L159:AE159)/AVERAGE(終値!L159:AE159),""))</f>
        <v>0.54582769206709869</v>
      </c>
      <c r="J159" s="503">
        <f>IF(終値!A159="","",IFERROR(4*STDEVP(終値!M159:AF159)/AVERAGE(終値!M159:AF159),""))</f>
        <v>0.53030206108122924</v>
      </c>
      <c r="K159" s="503">
        <f>IF(終値!A159="","",IFERROR(4*STDEVP(終値!N159:AG159)/AVERAGE(終値!N159:AG159),""))</f>
        <v>0.51755164666982667</v>
      </c>
      <c r="L159" s="503">
        <f>IF(終値!A159="","",IFERROR(4*STDEVP(終値!O159:AH159)/AVERAGE(終値!O159:AH159),""))</f>
        <v>0.51347650277717816</v>
      </c>
      <c r="M159" s="503">
        <f>IF(終値!A159="","",IFERROR(4*STDEVP(終値!P159:AI159)/AVERAGE(終値!P159:AI159),""))</f>
        <v>0.50777247914832613</v>
      </c>
      <c r="N159" s="503">
        <f>IF(終値!A159="","",IFERROR(4*STDEVP(終値!Q159:AJ159)/AVERAGE(終値!Q159:AJ159),""))</f>
        <v>0.47688429537629884</v>
      </c>
      <c r="O159" s="503">
        <f>IF(終値!A159="","",IFERROR(4*STDEVP(終値!R159:AK159)/AVERAGE(終値!R159:AK159),""))</f>
        <v>0.46024774750104192</v>
      </c>
      <c r="P159" s="503">
        <f>IF(終値!A159="","",IFERROR(4*STDEVP(終値!S159:AL159)/AVERAGE(終値!S159:AL159),""))</f>
        <v>0.42504058042407206</v>
      </c>
      <c r="Q159" s="503">
        <f>IF(終値!A159="","",IFERROR(4*STDEVP(終値!T159:AM159)/AVERAGE(終値!T159:AM159),""))</f>
        <v>0.39228196461997861</v>
      </c>
      <c r="R159" s="503">
        <f>IF(終値!A159="","",IFERROR(4*STDEVP(終値!U159:AN159)/AVERAGE(終値!U159:AN159),""))</f>
        <v>0.37892236347766112</v>
      </c>
      <c r="S159" s="503">
        <f>IF(終値!A159="","",IFERROR(4*STDEVP(終値!V159:AO159)/AVERAGE(終値!V159:AO159),""))</f>
        <v>0.34217244160077581</v>
      </c>
      <c r="T159" s="503">
        <f>IF(終値!A159="","",IFERROR(4*STDEVP(終値!W159:AP159)/AVERAGE(終値!W159:AP159),""))</f>
        <v>0.30848825542691394</v>
      </c>
      <c r="U159" s="503">
        <f>IF(終値!A159="","",IFERROR(4*STDEVP(終値!X159:AQ159)/AVERAGE(終値!X159:AQ159),""))</f>
        <v>0.27994390647343109</v>
      </c>
      <c r="V159" s="503">
        <f>IF(終値!A159="","",IFERROR(4*STDEVP(終値!Y159:AR159)/AVERAGE(終値!Y159:AR159),""))</f>
        <v>0.26668655631433302</v>
      </c>
      <c r="W159" s="503">
        <f>IF(終値!A159="","",IFERROR(4*STDEVP(終値!Z159:AS159)/AVERAGE(終値!Z159:AS159),""))</f>
        <v>0.29024578206293389</v>
      </c>
      <c r="X159" s="503">
        <f>IF(終値!A159="","",IFERROR(4*STDEVP(終値!AA159:AT159)/AVERAGE(終値!AA159:AT159),""))</f>
        <v>0.30889334795263756</v>
      </c>
      <c r="Y159" s="503">
        <f>IF(終値!A159="","",IFERROR(4*STDEVP(終値!AB159:AU159)/AVERAGE(終値!AB159:AU159),""))</f>
        <v>0.32917096535723284</v>
      </c>
      <c r="Z159" s="503">
        <f>IF(終値!A159="","",IFERROR(4*STDEVP(終値!AC159:AV159)/AVERAGE(終値!AC159:AV159),""))</f>
        <v>0.38999173453758307</v>
      </c>
      <c r="AA159" s="503">
        <f>IF(終値!A159="","",IFERROR(4*STDEVP(終値!AD159:AW159)/AVERAGE(終値!AD159:AW159),""))</f>
        <v>0.44115409521467464</v>
      </c>
      <c r="AB159" s="503">
        <f>IF(終値!A159="","",IFERROR(4*STDEVP(終値!AE159:AX159)/AVERAGE(終値!AE159:AX159),""))</f>
        <v>0.48810591961350475</v>
      </c>
      <c r="AC159" s="503">
        <f>IF(終値!A159="","",IFERROR(4*STDEVP(終値!AF159:AY159)/AVERAGE(終値!AF159:AY159),""))</f>
        <v>0.48513940647856901</v>
      </c>
      <c r="AD159" s="503">
        <f>IF(終値!A159="","",IFERROR(4*STDEVP(終値!AG159:AZ159)/AVERAGE(終値!AG159:AZ159),""))</f>
        <v>0.50308285175561507</v>
      </c>
      <c r="AE159" s="503">
        <f>IF(終値!A159="","",IFERROR(4*STDEVP(終値!AH159:BA159)/AVERAGE(終値!AH159:BA159),""))</f>
        <v>0.5400372559078499</v>
      </c>
      <c r="AF159" s="503">
        <f>IF(終値!A159="","",IFERROR(4*STDEVP(終値!AI159:BB159)/AVERAGE(終値!AI159:BB159),""))</f>
        <v>0.55178953924456187</v>
      </c>
      <c r="AG159" s="503">
        <f>IF(終値!A159="","",IFERROR(4*STDEVP(終値!AJ159:BC159)/AVERAGE(終値!AJ159:BC159),""))</f>
        <v>0.53803302683488718</v>
      </c>
      <c r="AH159" s="503">
        <f>IF(終値!A159="","",IFERROR(4*STDEVP(終値!AK159:BD159)/AVERAGE(終値!AK159:BD159),""))</f>
        <v>0.51232174962344723</v>
      </c>
      <c r="AI159" s="503">
        <f>IF(終値!A159="","",IFERROR(4*STDEVP(終値!AL159:BE159)/AVERAGE(終値!AL159:BE159),""))</f>
        <v>0.51405268562700179</v>
      </c>
      <c r="AJ159" s="503">
        <f>IF(終値!A159="","",IFERROR(4*STDEVP(終値!AM159:BF159)/AVERAGE(終値!AM159:BF159),""))</f>
        <v>0.53676721339557798</v>
      </c>
      <c r="AK159" s="503">
        <f>IF(終値!A159="","",IFERROR(4*STDEVP(終値!AN159:BG159)/AVERAGE(終値!AN159:BG159),""))</f>
        <v>0.54406548266858989</v>
      </c>
      <c r="AL159" s="503">
        <f>IF(終値!A159="","",IFERROR(4*STDEVP(終値!AO159:BH159)/AVERAGE(終値!AO159:BH159),""))</f>
        <v>0.55920997640750747</v>
      </c>
      <c r="AM159" s="503">
        <f>IF(終値!A159="","",IFERROR(4*STDEVP(終値!AP159:BI159)/AVERAGE(終値!AP159:BI159),""))</f>
        <v>0.55061869166568778</v>
      </c>
      <c r="AN159" s="503">
        <f>IF(終値!A159="","",IFERROR(4*STDEVP(終値!AQ159:BJ159)/AVERAGE(終値!AQ159:BJ159),""))</f>
        <v>0.51433948990308442</v>
      </c>
      <c r="AO159" s="503">
        <f>IF(終値!A159="","",IFERROR(4*STDEVP(終値!AR159:BK159)/AVERAGE(終値!AR159:BK159),""))</f>
        <v>0.47184016471297069</v>
      </c>
      <c r="AP159" s="503">
        <f>IF(終値!A159="","",IFERROR(4*STDEVP(終値!AS159:BL159)/AVERAGE(終値!AS159:BL159),""))</f>
        <v>0.41224439725939466</v>
      </c>
    </row>
    <row r="160" spans="1:42">
      <c r="A160" s="500" t="str">
        <f>IF(終値!A160="","",終値!A160)</f>
        <v>4373</v>
      </c>
      <c r="B160" s="503">
        <f>IF(終値!A160="","",IFERROR(4*STDEVP(終値!E160:X160)/AVERAGE(終値!E160:X160),""))</f>
        <v>0.17603637876861419</v>
      </c>
      <c r="C160" s="503">
        <f>IF(終値!A160="","",IFERROR(4*STDEVP(終値!F160:Y160)/AVERAGE(終値!F160:Y160),""))</f>
        <v>0.18315363506934731</v>
      </c>
      <c r="D160" s="503">
        <f>IF(終値!A160="","",IFERROR(4*STDEVP(終値!G160:Z160)/AVERAGE(終値!G160:Z160),""))</f>
        <v>0.19559304557659982</v>
      </c>
      <c r="E160" s="503">
        <f>IF(終値!A160="","",IFERROR(4*STDEVP(終値!H160:AA160)/AVERAGE(終値!H160:AA160),""))</f>
        <v>0.21480188141164802</v>
      </c>
      <c r="F160" s="503">
        <f>IF(終値!A160="","",IFERROR(4*STDEVP(終値!I160:AB160)/AVERAGE(終値!I160:AB160),""))</f>
        <v>0.22118871022427156</v>
      </c>
      <c r="G160" s="503">
        <f>IF(終値!A160="","",IFERROR(4*STDEVP(終値!J160:AC160)/AVERAGE(終値!J160:AC160),""))</f>
        <v>0.201121010317374</v>
      </c>
      <c r="H160" s="503">
        <f>IF(終値!A160="","",IFERROR(4*STDEVP(終値!K160:AD160)/AVERAGE(終値!K160:AD160),""))</f>
        <v>0.20772575519571887</v>
      </c>
      <c r="I160" s="503">
        <f>IF(終値!A160="","",IFERROR(4*STDEVP(終値!L160:AE160)/AVERAGE(終値!L160:AE160),""))</f>
        <v>0.20135698558482903</v>
      </c>
      <c r="J160" s="503">
        <f>IF(終値!A160="","",IFERROR(4*STDEVP(終値!M160:AF160)/AVERAGE(終値!M160:AF160),""))</f>
        <v>0.21655656442041724</v>
      </c>
      <c r="K160" s="503">
        <f>IF(終値!A160="","",IFERROR(4*STDEVP(終値!N160:AG160)/AVERAGE(終値!N160:AG160),""))</f>
        <v>0.2324255779299815</v>
      </c>
      <c r="L160" s="503">
        <f>IF(終値!A160="","",IFERROR(4*STDEVP(終値!O160:AH160)/AVERAGE(終値!O160:AH160),""))</f>
        <v>0.23493722168218747</v>
      </c>
      <c r="M160" s="503">
        <f>IF(終値!A160="","",IFERROR(4*STDEVP(終値!P160:AI160)/AVERAGE(終値!P160:AI160),""))</f>
        <v>0.23317084405202826</v>
      </c>
      <c r="N160" s="503">
        <f>IF(終値!A160="","",IFERROR(4*STDEVP(終値!Q160:AJ160)/AVERAGE(終値!Q160:AJ160),""))</f>
        <v>0.22274335720423044</v>
      </c>
      <c r="O160" s="503">
        <f>IF(終値!A160="","",IFERROR(4*STDEVP(終値!R160:AK160)/AVERAGE(終値!R160:AK160),""))</f>
        <v>0.22018667579277787</v>
      </c>
      <c r="P160" s="503">
        <f>IF(終値!A160="","",IFERROR(4*STDEVP(終値!S160:AL160)/AVERAGE(終値!S160:AL160),""))</f>
        <v>0.21386130689006438</v>
      </c>
      <c r="Q160" s="503">
        <f>IF(終値!A160="","",IFERROR(4*STDEVP(終値!T160:AM160)/AVERAGE(終値!T160:AM160),""))</f>
        <v>0.20796412736049635</v>
      </c>
      <c r="R160" s="503">
        <f>IF(終値!A160="","",IFERROR(4*STDEVP(終値!U160:AN160)/AVERAGE(終値!U160:AN160),""))</f>
        <v>0.19775821537615584</v>
      </c>
      <c r="S160" s="503">
        <f>IF(終値!A160="","",IFERROR(4*STDEVP(終値!V160:AO160)/AVERAGE(終値!V160:AO160),""))</f>
        <v>0.18895190788498809</v>
      </c>
      <c r="T160" s="503">
        <f>IF(終値!A160="","",IFERROR(4*STDEVP(終値!W160:AP160)/AVERAGE(終値!W160:AP160),""))</f>
        <v>0.18222851886601366</v>
      </c>
      <c r="U160" s="503">
        <f>IF(終値!A160="","",IFERROR(4*STDEVP(終値!X160:AQ160)/AVERAGE(終値!X160:AQ160),""))</f>
        <v>0.18405427205042665</v>
      </c>
      <c r="V160" s="503">
        <f>IF(終値!A160="","",IFERROR(4*STDEVP(終値!Y160:AR160)/AVERAGE(終値!Y160:AR160),""))</f>
        <v>0.21005509907007278</v>
      </c>
      <c r="W160" s="503">
        <f>IF(終値!A160="","",IFERROR(4*STDEVP(終値!Z160:AS160)/AVERAGE(終値!Z160:AS160),""))</f>
        <v>0.22861996291328557</v>
      </c>
      <c r="X160" s="503">
        <f>IF(終値!A160="","",IFERROR(4*STDEVP(終値!AA160:AT160)/AVERAGE(終値!AA160:AT160),""))</f>
        <v>0.2552952795086787</v>
      </c>
      <c r="Y160" s="503">
        <f>IF(終値!A160="","",IFERROR(4*STDEVP(終値!AB160:AU160)/AVERAGE(終値!AB160:AU160),""))</f>
        <v>0.27812936986393694</v>
      </c>
      <c r="Z160" s="503">
        <f>IF(終値!A160="","",IFERROR(4*STDEVP(終値!AC160:AV160)/AVERAGE(終値!AC160:AV160),""))</f>
        <v>0.27924164625867948</v>
      </c>
      <c r="AA160" s="503">
        <f>IF(終値!A160="","",IFERROR(4*STDEVP(終値!AD160:AW160)/AVERAGE(終値!AD160:AW160),""))</f>
        <v>0.27803416920821705</v>
      </c>
      <c r="AB160" s="503">
        <f>IF(終値!A160="","",IFERROR(4*STDEVP(終値!AE160:AX160)/AVERAGE(終値!AE160:AX160),""))</f>
        <v>0.26565337836293262</v>
      </c>
      <c r="AC160" s="503">
        <f>IF(終値!A160="","",IFERROR(4*STDEVP(終値!AF160:AY160)/AVERAGE(終値!AF160:AY160),""))</f>
        <v>0.25163981524283247</v>
      </c>
      <c r="AD160" s="503">
        <f>IF(終値!A160="","",IFERROR(4*STDEVP(終値!AG160:AZ160)/AVERAGE(終値!AG160:AZ160),""))</f>
        <v>0.23694880445220057</v>
      </c>
      <c r="AE160" s="503">
        <f>IF(終値!A160="","",IFERROR(4*STDEVP(終値!AH160:BA160)/AVERAGE(終値!AH160:BA160),""))</f>
        <v>0.21654399328504711</v>
      </c>
      <c r="AF160" s="503">
        <f>IF(終値!A160="","",IFERROR(4*STDEVP(終値!AI160:BB160)/AVERAGE(終値!AI160:BB160),""))</f>
        <v>0.2069074697540316</v>
      </c>
      <c r="AG160" s="503">
        <f>IF(終値!A160="","",IFERROR(4*STDEVP(終値!AJ160:BC160)/AVERAGE(終値!AJ160:BC160),""))</f>
        <v>0.18881763341093843</v>
      </c>
      <c r="AH160" s="503">
        <f>IF(終値!A160="","",IFERROR(4*STDEVP(終値!AK160:BD160)/AVERAGE(終値!AK160:BD160),""))</f>
        <v>0.1916120194901966</v>
      </c>
      <c r="AI160" s="503">
        <f>IF(終値!A160="","",IFERROR(4*STDEVP(終値!AL160:BE160)/AVERAGE(終値!AL160:BE160),""))</f>
        <v>0.19369517615446416</v>
      </c>
      <c r="AJ160" s="503">
        <f>IF(終値!A160="","",IFERROR(4*STDEVP(終値!AM160:BF160)/AVERAGE(終値!AM160:BF160),""))</f>
        <v>0.20221451068621243</v>
      </c>
      <c r="AK160" s="503">
        <f>IF(終値!A160="","",IFERROR(4*STDEVP(終値!AN160:BG160)/AVERAGE(終値!AN160:BG160),""))</f>
        <v>0.20579582627721205</v>
      </c>
      <c r="AL160" s="503">
        <f>IF(終値!A160="","",IFERROR(4*STDEVP(終値!AO160:BH160)/AVERAGE(終値!AO160:BH160),""))</f>
        <v>0.21230387893705274</v>
      </c>
      <c r="AM160" s="503">
        <f>IF(終値!A160="","",IFERROR(4*STDEVP(終値!AP160:BI160)/AVERAGE(終値!AP160:BI160),""))</f>
        <v>0.2235564293747781</v>
      </c>
      <c r="AN160" s="503">
        <f>IF(終値!A160="","",IFERROR(4*STDEVP(終値!AQ160:BJ160)/AVERAGE(終値!AQ160:BJ160),""))</f>
        <v>0.23496334405706878</v>
      </c>
      <c r="AO160" s="503">
        <f>IF(終値!A160="","",IFERROR(4*STDEVP(終値!AR160:BK160)/AVERAGE(終値!AR160:BK160),""))</f>
        <v>0.2529596121742605</v>
      </c>
      <c r="AP160" s="503">
        <f>IF(終値!A160="","",IFERROR(4*STDEVP(終値!AS160:BL160)/AVERAGE(終値!AS160:BL160),""))</f>
        <v>0.25276008708708048</v>
      </c>
    </row>
    <row r="161" spans="1:42">
      <c r="A161" s="500" t="str">
        <f>IF(終値!A161="","",終値!A161)</f>
        <v>8892</v>
      </c>
      <c r="B161" s="503">
        <f>IF(終値!A161="","",IFERROR(4*STDEVP(終値!E161:X161)/AVERAGE(終値!E161:X161),""))</f>
        <v>6.120089955397557E-2</v>
      </c>
      <c r="C161" s="503">
        <f>IF(終値!A161="","",IFERROR(4*STDEVP(終値!F161:Y161)/AVERAGE(終値!F161:Y161),""))</f>
        <v>5.5456311002143342E-2</v>
      </c>
      <c r="D161" s="503">
        <f>IF(終値!A161="","",IFERROR(4*STDEVP(終値!G161:Z161)/AVERAGE(終値!G161:Z161),""))</f>
        <v>4.8820207425569549E-2</v>
      </c>
      <c r="E161" s="503">
        <f>IF(終値!A161="","",IFERROR(4*STDEVP(終値!H161:AA161)/AVERAGE(終値!H161:AA161),""))</f>
        <v>4.835284277222731E-2</v>
      </c>
      <c r="F161" s="503">
        <f>IF(終値!A161="","",IFERROR(4*STDEVP(終値!I161:AB161)/AVERAGE(終値!I161:AB161),""))</f>
        <v>5.0768693109491655E-2</v>
      </c>
      <c r="G161" s="503">
        <f>IF(終値!A161="","",IFERROR(4*STDEVP(終値!J161:AC161)/AVERAGE(終値!J161:AC161),""))</f>
        <v>5.3738584722770565E-2</v>
      </c>
      <c r="H161" s="503">
        <f>IF(終値!A161="","",IFERROR(4*STDEVP(終値!K161:AD161)/AVERAGE(終値!K161:AD161),""))</f>
        <v>6.1996207978925723E-2</v>
      </c>
      <c r="I161" s="503">
        <f>IF(終値!A161="","",IFERROR(4*STDEVP(終値!L161:AE161)/AVERAGE(終値!L161:AE161),""))</f>
        <v>7.1105334941068674E-2</v>
      </c>
      <c r="J161" s="503">
        <f>IF(終値!A161="","",IFERROR(4*STDEVP(終値!M161:AF161)/AVERAGE(終値!M161:AF161),""))</f>
        <v>7.8919996738869347E-2</v>
      </c>
      <c r="K161" s="503">
        <f>IF(終値!A161="","",IFERROR(4*STDEVP(終値!N161:AG161)/AVERAGE(終値!N161:AG161),""))</f>
        <v>8.4940509223365657E-2</v>
      </c>
      <c r="L161" s="503">
        <f>IF(終値!A161="","",IFERROR(4*STDEVP(終値!O161:AH161)/AVERAGE(終値!O161:AH161),""))</f>
        <v>8.6931281956169795E-2</v>
      </c>
      <c r="M161" s="503">
        <f>IF(終値!A161="","",IFERROR(4*STDEVP(終値!P161:AI161)/AVERAGE(終値!P161:AI161),""))</f>
        <v>8.6918063699103848E-2</v>
      </c>
      <c r="N161" s="503">
        <f>IF(終値!A161="","",IFERROR(4*STDEVP(終値!Q161:AJ161)/AVERAGE(終値!Q161:AJ161),""))</f>
        <v>8.7583885309876805E-2</v>
      </c>
      <c r="O161" s="503">
        <f>IF(終値!A161="","",IFERROR(4*STDEVP(終値!R161:AK161)/AVERAGE(終値!R161:AK161),""))</f>
        <v>8.4712136681454983E-2</v>
      </c>
      <c r="P161" s="503">
        <f>IF(終値!A161="","",IFERROR(4*STDEVP(終値!S161:AL161)/AVERAGE(終値!S161:AL161),""))</f>
        <v>8.0147571856588537E-2</v>
      </c>
      <c r="Q161" s="503">
        <f>IF(終値!A161="","",IFERROR(4*STDEVP(終値!T161:AM161)/AVERAGE(終値!T161:AM161),""))</f>
        <v>7.7145100097080158E-2</v>
      </c>
      <c r="R161" s="503">
        <f>IF(終値!A161="","",IFERROR(4*STDEVP(終値!U161:AN161)/AVERAGE(終値!U161:AN161),""))</f>
        <v>7.4635048459418318E-2</v>
      </c>
      <c r="S161" s="503">
        <f>IF(終値!A161="","",IFERROR(4*STDEVP(終値!V161:AO161)/AVERAGE(終値!V161:AO161),""))</f>
        <v>7.0774620447965536E-2</v>
      </c>
      <c r="T161" s="503">
        <f>IF(終値!A161="","",IFERROR(4*STDEVP(終値!W161:AP161)/AVERAGE(終値!W161:AP161),""))</f>
        <v>6.9625484915113278E-2</v>
      </c>
      <c r="U161" s="503">
        <f>IF(終値!A161="","",IFERROR(4*STDEVP(終値!X161:AQ161)/AVERAGE(終値!X161:AQ161),""))</f>
        <v>6.7890534153462481E-2</v>
      </c>
      <c r="V161" s="503">
        <f>IF(終値!A161="","",IFERROR(4*STDEVP(終値!Y161:AR161)/AVERAGE(終値!Y161:AR161),""))</f>
        <v>6.4801679385748573E-2</v>
      </c>
      <c r="W161" s="503">
        <f>IF(終値!A161="","",IFERROR(4*STDEVP(終値!Z161:AS161)/AVERAGE(終値!Z161:AS161),""))</f>
        <v>6.4573284966223096E-2</v>
      </c>
      <c r="X161" s="503">
        <f>IF(終値!A161="","",IFERROR(4*STDEVP(終値!AA161:AT161)/AVERAGE(終値!AA161:AT161),""))</f>
        <v>6.4378165933443157E-2</v>
      </c>
      <c r="Y161" s="503">
        <f>IF(終値!A161="","",IFERROR(4*STDEVP(終値!AB161:AU161)/AVERAGE(終値!AB161:AU161),""))</f>
        <v>6.4735758738103208E-2</v>
      </c>
      <c r="Z161" s="503">
        <f>IF(終値!A161="","",IFERROR(4*STDEVP(終値!AC161:AV161)/AVERAGE(終値!AC161:AV161),""))</f>
        <v>6.6905136778738356E-2</v>
      </c>
      <c r="AA161" s="503">
        <f>IF(終値!A161="","",IFERROR(4*STDEVP(終値!AD161:AW161)/AVERAGE(終値!AD161:AW161),""))</f>
        <v>7.0576963013919247E-2</v>
      </c>
      <c r="AB161" s="503">
        <f>IF(終値!A161="","",IFERROR(4*STDEVP(終値!AE161:AX161)/AVERAGE(終値!AE161:AX161),""))</f>
        <v>7.1381345916040562E-2</v>
      </c>
      <c r="AC161" s="503">
        <f>IF(終値!A161="","",IFERROR(4*STDEVP(終値!AF161:AY161)/AVERAGE(終値!AF161:AY161),""))</f>
        <v>6.9774692301246208E-2</v>
      </c>
      <c r="AD161" s="503">
        <f>IF(終値!A161="","",IFERROR(4*STDEVP(終値!AG161:AZ161)/AVERAGE(終値!AG161:AZ161),""))</f>
        <v>6.6481151216968723E-2</v>
      </c>
      <c r="AE161" s="503">
        <f>IF(終値!A161="","",IFERROR(4*STDEVP(終値!AH161:BA161)/AVERAGE(終値!AH161:BA161),""))</f>
        <v>7.2434442852034014E-2</v>
      </c>
      <c r="AF161" s="503">
        <f>IF(終値!A161="","",IFERROR(4*STDEVP(終値!AI161:BB161)/AVERAGE(終値!AI161:BB161),""))</f>
        <v>7.0841387108872944E-2</v>
      </c>
      <c r="AG161" s="503">
        <f>IF(終値!A161="","",IFERROR(4*STDEVP(終値!AJ161:BC161)/AVERAGE(終値!AJ161:BC161),""))</f>
        <v>7.8729721102386629E-2</v>
      </c>
      <c r="AH161" s="503">
        <f>IF(終値!A161="","",IFERROR(4*STDEVP(終値!AK161:BD161)/AVERAGE(終値!AK161:BD161),""))</f>
        <v>7.6682660203429884E-2</v>
      </c>
      <c r="AI161" s="503">
        <f>IF(終値!A161="","",IFERROR(4*STDEVP(終値!AL161:BE161)/AVERAGE(終値!AL161:BE161),""))</f>
        <v>7.5750455517999957E-2</v>
      </c>
      <c r="AJ161" s="503">
        <f>IF(終値!A161="","",IFERROR(4*STDEVP(終値!AM161:BF161)/AVERAGE(終値!AM161:BF161),""))</f>
        <v>8.5353470067863257E-2</v>
      </c>
      <c r="AK161" s="503">
        <f>IF(終値!A161="","",IFERROR(4*STDEVP(終値!AN161:BG161)/AVERAGE(終値!AN161:BG161),""))</f>
        <v>9.3226476839469163E-2</v>
      </c>
      <c r="AL161" s="503">
        <f>IF(終値!A161="","",IFERROR(4*STDEVP(終値!AO161:BH161)/AVERAGE(終値!AO161:BH161),""))</f>
        <v>0.10488545651984593</v>
      </c>
      <c r="AM161" s="503">
        <f>IF(終値!A161="","",IFERROR(4*STDEVP(終値!AP161:BI161)/AVERAGE(終値!AP161:BI161),""))</f>
        <v>0.11013323865903656</v>
      </c>
      <c r="AN161" s="503">
        <f>IF(終値!A161="","",IFERROR(4*STDEVP(終値!AQ161:BJ161)/AVERAGE(終値!AQ161:BJ161),""))</f>
        <v>0.11589454312435679</v>
      </c>
      <c r="AO161" s="503">
        <f>IF(終値!A161="","",IFERROR(4*STDEVP(終値!AR161:BK161)/AVERAGE(終値!AR161:BK161),""))</f>
        <v>0.11796105211947888</v>
      </c>
      <c r="AP161" s="503">
        <f>IF(終値!A161="","",IFERROR(4*STDEVP(終値!AS161:BL161)/AVERAGE(終値!AS161:BL161),""))</f>
        <v>0.11708191387140832</v>
      </c>
    </row>
    <row r="162" spans="1:42">
      <c r="A162" s="500" t="str">
        <f>IF(終値!A162="","",終値!A162)</f>
        <v>9687</v>
      </c>
      <c r="B162" s="503">
        <f>IF(終値!A162="","",IFERROR(4*STDEVP(終値!E162:X162)/AVERAGE(終値!E162:X162),""))</f>
        <v>6.9197059434029692E-2</v>
      </c>
      <c r="C162" s="503">
        <f>IF(終値!A162="","",IFERROR(4*STDEVP(終値!F162:Y162)/AVERAGE(終値!F162:Y162),""))</f>
        <v>6.9763529836573135E-2</v>
      </c>
      <c r="D162" s="503">
        <f>IF(終値!A162="","",IFERROR(4*STDEVP(終値!G162:Z162)/AVERAGE(終値!G162:Z162),""))</f>
        <v>7.0915535241454844E-2</v>
      </c>
      <c r="E162" s="503">
        <f>IF(終値!A162="","",IFERROR(4*STDEVP(終値!H162:AA162)/AVERAGE(終値!H162:AA162),""))</f>
        <v>7.0744170208704216E-2</v>
      </c>
      <c r="F162" s="503">
        <f>IF(終値!A162="","",IFERROR(4*STDEVP(終値!I162:AB162)/AVERAGE(終値!I162:AB162),""))</f>
        <v>7.3427353224952377E-2</v>
      </c>
      <c r="G162" s="503">
        <f>IF(終値!A162="","",IFERROR(4*STDEVP(終値!J162:AC162)/AVERAGE(終値!J162:AC162),""))</f>
        <v>7.0685108275389125E-2</v>
      </c>
      <c r="H162" s="503">
        <f>IF(終値!A162="","",IFERROR(4*STDEVP(終値!K162:AD162)/AVERAGE(終値!K162:AD162),""))</f>
        <v>6.3655993128715088E-2</v>
      </c>
      <c r="I162" s="503">
        <f>IF(終値!A162="","",IFERROR(4*STDEVP(終値!L162:AE162)/AVERAGE(終値!L162:AE162),""))</f>
        <v>3.7054570534560932E-2</v>
      </c>
      <c r="J162" s="503">
        <f>IF(終値!A162="","",IFERROR(4*STDEVP(終値!M162:AF162)/AVERAGE(終値!M162:AF162),""))</f>
        <v>3.625530961132753E-2</v>
      </c>
      <c r="K162" s="503">
        <f>IF(終値!A162="","",IFERROR(4*STDEVP(終値!N162:AG162)/AVERAGE(終値!N162:AG162),""))</f>
        <v>2.8538451800547239E-2</v>
      </c>
      <c r="L162" s="503">
        <f>IF(終値!A162="","",IFERROR(4*STDEVP(終値!O162:AH162)/AVERAGE(終値!O162:AH162),""))</f>
        <v>2.6538471399359269E-2</v>
      </c>
      <c r="M162" s="503">
        <f>IF(終値!A162="","",IFERROR(4*STDEVP(終値!P162:AI162)/AVERAGE(終値!P162:AI162),""))</f>
        <v>2.5013843489669101E-2</v>
      </c>
      <c r="N162" s="503">
        <f>IF(終値!A162="","",IFERROR(4*STDEVP(終値!Q162:AJ162)/AVERAGE(終値!Q162:AJ162),""))</f>
        <v>2.6148402947971303E-2</v>
      </c>
      <c r="O162" s="503">
        <f>IF(終値!A162="","",IFERROR(4*STDEVP(終値!R162:AK162)/AVERAGE(終値!R162:AK162),""))</f>
        <v>2.4471492412414447E-2</v>
      </c>
      <c r="P162" s="503">
        <f>IF(終値!A162="","",IFERROR(4*STDEVP(終値!S162:AL162)/AVERAGE(終値!S162:AL162),""))</f>
        <v>2.5058939596158163E-2</v>
      </c>
      <c r="Q162" s="503">
        <f>IF(終値!A162="","",IFERROR(4*STDEVP(終値!T162:AM162)/AVERAGE(終値!T162:AM162),""))</f>
        <v>2.4531236963821177E-2</v>
      </c>
      <c r="R162" s="503">
        <f>IF(終値!A162="","",IFERROR(4*STDEVP(終値!U162:AN162)/AVERAGE(終値!U162:AN162),""))</f>
        <v>2.3395536599607348E-2</v>
      </c>
      <c r="S162" s="503">
        <f>IF(終値!A162="","",IFERROR(4*STDEVP(終値!V162:AO162)/AVERAGE(終値!V162:AO162),""))</f>
        <v>2.2147655551269515E-2</v>
      </c>
      <c r="T162" s="503">
        <f>IF(終値!A162="","",IFERROR(4*STDEVP(終値!W162:AP162)/AVERAGE(終値!W162:AP162),""))</f>
        <v>2.1949989892214892E-2</v>
      </c>
      <c r="U162" s="503">
        <f>IF(終値!A162="","",IFERROR(4*STDEVP(終値!X162:AQ162)/AVERAGE(終値!X162:AQ162),""))</f>
        <v>2.2870666807942447E-2</v>
      </c>
      <c r="V162" s="503">
        <f>IF(終値!A162="","",IFERROR(4*STDEVP(終値!Y162:AR162)/AVERAGE(終値!Y162:AR162),""))</f>
        <v>2.2112876106234303E-2</v>
      </c>
      <c r="W162" s="503">
        <f>IF(終値!A162="","",IFERROR(4*STDEVP(終値!Z162:AS162)/AVERAGE(終値!Z162:AS162),""))</f>
        <v>2.1264625081850383E-2</v>
      </c>
      <c r="X162" s="503">
        <f>IF(終値!A162="","",IFERROR(4*STDEVP(終値!AA162:AT162)/AVERAGE(終値!AA162:AT162),""))</f>
        <v>1.995104726887514E-2</v>
      </c>
      <c r="Y162" s="503">
        <f>IF(終値!A162="","",IFERROR(4*STDEVP(終値!AB162:AU162)/AVERAGE(終値!AB162:AU162),""))</f>
        <v>1.8511656477467796E-2</v>
      </c>
      <c r="Z162" s="503">
        <f>IF(終値!A162="","",IFERROR(4*STDEVP(終値!AC162:AV162)/AVERAGE(終値!AC162:AV162),""))</f>
        <v>1.761217937679101E-2</v>
      </c>
      <c r="AA162" s="503">
        <f>IF(終値!A162="","",IFERROR(4*STDEVP(終値!AD162:AW162)/AVERAGE(終値!AD162:AW162),""))</f>
        <v>1.7402852062742551E-2</v>
      </c>
      <c r="AB162" s="503">
        <f>IF(終値!A162="","",IFERROR(4*STDEVP(終値!AE162:AX162)/AVERAGE(終値!AE162:AX162),""))</f>
        <v>1.7419319251900753E-2</v>
      </c>
      <c r="AC162" s="503">
        <f>IF(終値!A162="","",IFERROR(4*STDEVP(終値!AF162:AY162)/AVERAGE(終値!AF162:AY162),""))</f>
        <v>1.5899392601878368E-2</v>
      </c>
      <c r="AD162" s="503">
        <f>IF(終値!A162="","",IFERROR(4*STDEVP(終値!AG162:AZ162)/AVERAGE(終値!AG162:AZ162),""))</f>
        <v>1.6264957839869754E-2</v>
      </c>
      <c r="AE162" s="503">
        <f>IF(終値!A162="","",IFERROR(4*STDEVP(終値!AH162:BA162)/AVERAGE(終値!AH162:BA162),""))</f>
        <v>1.673238678242089E-2</v>
      </c>
      <c r="AF162" s="503">
        <f>IF(終値!A162="","",IFERROR(4*STDEVP(終値!AI162:BB162)/AVERAGE(終値!AI162:BB162),""))</f>
        <v>1.7728650875939684E-2</v>
      </c>
      <c r="AG162" s="503">
        <f>IF(終値!A162="","",IFERROR(4*STDEVP(終値!AJ162:BC162)/AVERAGE(終値!AJ162:BC162),""))</f>
        <v>1.8482879519191919E-2</v>
      </c>
      <c r="AH162" s="503">
        <f>IF(終値!A162="","",IFERROR(4*STDEVP(終値!AK162:BD162)/AVERAGE(終値!AK162:BD162),""))</f>
        <v>1.9041075816545232E-2</v>
      </c>
      <c r="AI162" s="503">
        <f>IF(終値!A162="","",IFERROR(4*STDEVP(終値!AL162:BE162)/AVERAGE(終値!AL162:BE162),""))</f>
        <v>1.9041075816545232E-2</v>
      </c>
      <c r="AJ162" s="503">
        <f>IF(終値!A162="","",IFERROR(4*STDEVP(終値!AM162:BF162)/AVERAGE(終値!AM162:BF162),""))</f>
        <v>1.7600354269685342E-2</v>
      </c>
      <c r="AK162" s="503">
        <f>IF(終値!A162="","",IFERROR(4*STDEVP(終値!AN162:BG162)/AVERAGE(終値!AN162:BG162),""))</f>
        <v>1.5671813781977413E-2</v>
      </c>
      <c r="AL162" s="503">
        <f>IF(終値!A162="","",IFERROR(4*STDEVP(終値!AO162:BH162)/AVERAGE(終値!AO162:BH162),""))</f>
        <v>1.5784035329762303E-2</v>
      </c>
      <c r="AM162" s="503">
        <f>IF(終値!A162="","",IFERROR(4*STDEVP(終値!AP162:BI162)/AVERAGE(終値!AP162:BI162),""))</f>
        <v>1.6279945623112808E-2</v>
      </c>
      <c r="AN162" s="503">
        <f>IF(終値!A162="","",IFERROR(4*STDEVP(終値!AQ162:BJ162)/AVERAGE(終値!AQ162:BJ162),""))</f>
        <v>1.9878129322098075E-2</v>
      </c>
      <c r="AO162" s="503">
        <f>IF(終値!A162="","",IFERROR(4*STDEVP(終値!AR162:BK162)/AVERAGE(終値!AR162:BK162),""))</f>
        <v>1.8345333494473159E-2</v>
      </c>
      <c r="AP162" s="503">
        <f>IF(終値!A162="","",IFERROR(4*STDEVP(終値!AS162:BL162)/AVERAGE(終値!AS162:BL162),""))</f>
        <v>1.8246161198702888E-2</v>
      </c>
    </row>
    <row r="163" spans="1:42">
      <c r="A163" s="500" t="str">
        <f>IF(終値!A163="","",終値!A163)</f>
        <v>1930</v>
      </c>
      <c r="B163" s="503">
        <f>IF(終値!A163="","",IFERROR(4*STDEVP(終値!E163:X163)/AVERAGE(終値!E163:X163),""))</f>
        <v>0.17379594394519335</v>
      </c>
      <c r="C163" s="503">
        <f>IF(終値!A163="","",IFERROR(4*STDEVP(終値!F163:Y163)/AVERAGE(終値!F163:Y163),""))</f>
        <v>0.16958457338103824</v>
      </c>
      <c r="D163" s="503">
        <f>IF(終値!A163="","",IFERROR(4*STDEVP(終値!G163:Z163)/AVERAGE(終値!G163:Z163),""))</f>
        <v>0.16025775102458392</v>
      </c>
      <c r="E163" s="503">
        <f>IF(終値!A163="","",IFERROR(4*STDEVP(終値!H163:AA163)/AVERAGE(終値!H163:AA163),""))</f>
        <v>0.15458359845259756</v>
      </c>
      <c r="F163" s="503">
        <f>IF(終値!A163="","",IFERROR(4*STDEVP(終値!I163:AB163)/AVERAGE(終値!I163:AB163),""))</f>
        <v>0.13731532169009486</v>
      </c>
      <c r="G163" s="503">
        <f>IF(終値!A163="","",IFERROR(4*STDEVP(終値!J163:AC163)/AVERAGE(終値!J163:AC163),""))</f>
        <v>0.11787504140999146</v>
      </c>
      <c r="H163" s="503">
        <f>IF(終値!A163="","",IFERROR(4*STDEVP(終値!K163:AD163)/AVERAGE(終値!K163:AD163),""))</f>
        <v>9.6136883898542941E-2</v>
      </c>
      <c r="I163" s="503">
        <f>IF(終値!A163="","",IFERROR(4*STDEVP(終値!L163:AE163)/AVERAGE(終値!L163:AE163),""))</f>
        <v>0.10438341731182571</v>
      </c>
      <c r="J163" s="503">
        <f>IF(終値!A163="","",IFERROR(4*STDEVP(終値!M163:AF163)/AVERAGE(終値!M163:AF163),""))</f>
        <v>0.10879501847891332</v>
      </c>
      <c r="K163" s="503">
        <f>IF(終値!A163="","",IFERROR(4*STDEVP(終値!N163:AG163)/AVERAGE(終値!N163:AG163),""))</f>
        <v>0.11302798389637679</v>
      </c>
      <c r="L163" s="503">
        <f>IF(終値!A163="","",IFERROR(4*STDEVP(終値!O163:AH163)/AVERAGE(終値!O163:AH163),""))</f>
        <v>0.11448717467534933</v>
      </c>
      <c r="M163" s="503">
        <f>IF(終値!A163="","",IFERROR(4*STDEVP(終値!P163:AI163)/AVERAGE(終値!P163:AI163),""))</f>
        <v>0.1105686448871559</v>
      </c>
      <c r="N163" s="503">
        <f>IF(終値!A163="","",IFERROR(4*STDEVP(終値!Q163:AJ163)/AVERAGE(終値!Q163:AJ163),""))</f>
        <v>0.10796877004543903</v>
      </c>
      <c r="O163" s="503">
        <f>IF(終値!A163="","",IFERROR(4*STDEVP(終値!R163:AK163)/AVERAGE(終値!R163:AK163),""))</f>
        <v>0.10486986621867912</v>
      </c>
      <c r="P163" s="503">
        <f>IF(終値!A163="","",IFERROR(4*STDEVP(終値!S163:AL163)/AVERAGE(終値!S163:AL163),""))</f>
        <v>9.5127384910225765E-2</v>
      </c>
      <c r="Q163" s="503">
        <f>IF(終値!A163="","",IFERROR(4*STDEVP(終値!T163:AM163)/AVERAGE(終値!T163:AM163),""))</f>
        <v>8.368389466382245E-2</v>
      </c>
      <c r="R163" s="503">
        <f>IF(終値!A163="","",IFERROR(4*STDEVP(終値!U163:AN163)/AVERAGE(終値!U163:AN163),""))</f>
        <v>8.5658410693973397E-2</v>
      </c>
      <c r="S163" s="503">
        <f>IF(終値!A163="","",IFERROR(4*STDEVP(終値!V163:AO163)/AVERAGE(終値!V163:AO163),""))</f>
        <v>9.6688295184930606E-2</v>
      </c>
      <c r="T163" s="503">
        <f>IF(終値!A163="","",IFERROR(4*STDEVP(終値!W163:AP163)/AVERAGE(終値!W163:AP163),""))</f>
        <v>0.10142292144194467</v>
      </c>
      <c r="U163" s="503">
        <f>IF(終値!A163="","",IFERROR(4*STDEVP(終値!X163:AQ163)/AVERAGE(終値!X163:AQ163),""))</f>
        <v>0.11114366895019107</v>
      </c>
      <c r="V163" s="503">
        <f>IF(終値!A163="","",IFERROR(4*STDEVP(終値!Y163:AR163)/AVERAGE(終値!Y163:AR163),""))</f>
        <v>0.11479777510564609</v>
      </c>
      <c r="W163" s="503">
        <f>IF(終値!A163="","",IFERROR(4*STDEVP(終値!Z163:AS163)/AVERAGE(終値!Z163:AS163),""))</f>
        <v>0.13061780557827857</v>
      </c>
      <c r="X163" s="503">
        <f>IF(終値!A163="","",IFERROR(4*STDEVP(終値!AA163:AT163)/AVERAGE(終値!AA163:AT163),""))</f>
        <v>0.13789688987709267</v>
      </c>
      <c r="Y163" s="503">
        <f>IF(終値!A163="","",IFERROR(4*STDEVP(終値!AB163:AU163)/AVERAGE(終値!AB163:AU163),""))</f>
        <v>0.1460042405840247</v>
      </c>
      <c r="Z163" s="503">
        <f>IF(終値!A163="","",IFERROR(4*STDEVP(終値!AC163:AV163)/AVERAGE(終値!AC163:AV163),""))</f>
        <v>0.14798647384889843</v>
      </c>
      <c r="AA163" s="503">
        <f>IF(終値!A163="","",IFERROR(4*STDEVP(終値!AD163:AW163)/AVERAGE(終値!AD163:AW163),""))</f>
        <v>0.14720780974932332</v>
      </c>
      <c r="AB163" s="503">
        <f>IF(終値!A163="","",IFERROR(4*STDEVP(終値!AE163:AX163)/AVERAGE(終値!AE163:AX163),""))</f>
        <v>0.14452665120582936</v>
      </c>
      <c r="AC163" s="503">
        <f>IF(終値!A163="","",IFERROR(4*STDEVP(終値!AF163:AY163)/AVERAGE(終値!AF163:AY163),""))</f>
        <v>0.14194273697276799</v>
      </c>
      <c r="AD163" s="503">
        <f>IF(終値!A163="","",IFERROR(4*STDEVP(終値!AG163:AZ163)/AVERAGE(終値!AG163:AZ163),""))</f>
        <v>0.14199830376629238</v>
      </c>
      <c r="AE163" s="503">
        <f>IF(終値!A163="","",IFERROR(4*STDEVP(終値!AH163:BA163)/AVERAGE(終値!AH163:BA163),""))</f>
        <v>0.1417330686668318</v>
      </c>
      <c r="AF163" s="503">
        <f>IF(終値!A163="","",IFERROR(4*STDEVP(終値!AI163:BB163)/AVERAGE(終値!AI163:BB163),""))</f>
        <v>0.13712765020359241</v>
      </c>
      <c r="AG163" s="503">
        <f>IF(終値!A163="","",IFERROR(4*STDEVP(終値!AJ163:BC163)/AVERAGE(終値!AJ163:BC163),""))</f>
        <v>0.1324889142969482</v>
      </c>
      <c r="AH163" s="503">
        <f>IF(終値!A163="","",IFERROR(4*STDEVP(終値!AK163:BD163)/AVERAGE(終値!AK163:BD163),""))</f>
        <v>0.11620781349250471</v>
      </c>
      <c r="AI163" s="503">
        <f>IF(終値!A163="","",IFERROR(4*STDEVP(終値!AL163:BE163)/AVERAGE(終値!AL163:BE163),""))</f>
        <v>0.11137390087142948</v>
      </c>
      <c r="AJ163" s="503">
        <f>IF(終値!A163="","",IFERROR(4*STDEVP(終値!AM163:BF163)/AVERAGE(終値!AM163:BF163),""))</f>
        <v>0.11486649859097367</v>
      </c>
      <c r="AK163" s="503">
        <f>IF(終値!A163="","",IFERROR(4*STDEVP(終値!AN163:BG163)/AVERAGE(終値!AN163:BG163),""))</f>
        <v>0.12388621802158617</v>
      </c>
      <c r="AL163" s="503">
        <f>IF(終値!A163="","",IFERROR(4*STDEVP(終値!AO163:BH163)/AVERAGE(終値!AO163:BH163),""))</f>
        <v>0.14355579080280284</v>
      </c>
      <c r="AM163" s="503">
        <f>IF(終値!A163="","",IFERROR(4*STDEVP(終値!AP163:BI163)/AVERAGE(終値!AP163:BI163),""))</f>
        <v>0.14654574163798198</v>
      </c>
      <c r="AN163" s="503">
        <f>IF(終値!A163="","",IFERROR(4*STDEVP(終値!AQ163:BJ163)/AVERAGE(終値!AQ163:BJ163),""))</f>
        <v>0.14519708554001209</v>
      </c>
      <c r="AO163" s="503">
        <f>IF(終値!A163="","",IFERROR(4*STDEVP(終値!AR163:BK163)/AVERAGE(終値!AR163:BK163),""))</f>
        <v>0.14064423644521973</v>
      </c>
      <c r="AP163" s="503">
        <f>IF(終値!A163="","",IFERROR(4*STDEVP(終値!AS163:BL163)/AVERAGE(終値!AS163:BL163),""))</f>
        <v>0.14085274096430397</v>
      </c>
    </row>
    <row r="164" spans="1:42">
      <c r="A164" s="500" t="str">
        <f>IF(終値!A164="","",終値!A164)</f>
        <v>8704</v>
      </c>
      <c r="B164" s="503">
        <f>IF(終値!A164="","",IFERROR(4*STDEVP(終値!E164:X164)/AVERAGE(終値!E164:X164),""))</f>
        <v>0.10537967563382535</v>
      </c>
      <c r="C164" s="503">
        <f>IF(終値!A164="","",IFERROR(4*STDEVP(終値!F164:Y164)/AVERAGE(終値!F164:Y164),""))</f>
        <v>0.10052172188053821</v>
      </c>
      <c r="D164" s="503">
        <f>IF(終値!A164="","",IFERROR(4*STDEVP(終値!G164:Z164)/AVERAGE(終値!G164:Z164),""))</f>
        <v>8.9696962475760533E-2</v>
      </c>
      <c r="E164" s="503">
        <f>IF(終値!A164="","",IFERROR(4*STDEVP(終値!H164:AA164)/AVERAGE(終値!H164:AA164),""))</f>
        <v>9.4830311944542001E-2</v>
      </c>
      <c r="F164" s="503">
        <f>IF(終値!A164="","",IFERROR(4*STDEVP(終値!I164:AB164)/AVERAGE(終値!I164:AB164),""))</f>
        <v>0.10182120605595617</v>
      </c>
      <c r="G164" s="503">
        <f>IF(終値!A164="","",IFERROR(4*STDEVP(終値!J164:AC164)/AVERAGE(終値!J164:AC164),""))</f>
        <v>0.12261154187302745</v>
      </c>
      <c r="H164" s="503">
        <f>IF(終値!A164="","",IFERROR(4*STDEVP(終値!K164:AD164)/AVERAGE(終値!K164:AD164),""))</f>
        <v>0.14046913071840736</v>
      </c>
      <c r="I164" s="503">
        <f>IF(終値!A164="","",IFERROR(4*STDEVP(終値!L164:AE164)/AVERAGE(終値!L164:AE164),""))</f>
        <v>0.14227308455471624</v>
      </c>
      <c r="J164" s="503">
        <f>IF(終値!A164="","",IFERROR(4*STDEVP(終値!M164:AF164)/AVERAGE(終値!M164:AF164),""))</f>
        <v>0.14964043961361584</v>
      </c>
      <c r="K164" s="503">
        <f>IF(終値!A164="","",IFERROR(4*STDEVP(終値!N164:AG164)/AVERAGE(終値!N164:AG164),""))</f>
        <v>0.14248694350009161</v>
      </c>
      <c r="L164" s="503">
        <f>IF(終値!A164="","",IFERROR(4*STDEVP(終値!O164:AH164)/AVERAGE(終値!O164:AH164),""))</f>
        <v>0.14142437686710871</v>
      </c>
      <c r="M164" s="503">
        <f>IF(終値!A164="","",IFERROR(4*STDEVP(終値!P164:AI164)/AVERAGE(終値!P164:AI164),""))</f>
        <v>0.14460845451469467</v>
      </c>
      <c r="N164" s="503">
        <f>IF(終値!A164="","",IFERROR(4*STDEVP(終値!Q164:AJ164)/AVERAGE(終値!Q164:AJ164),""))</f>
        <v>0.14808646267592124</v>
      </c>
      <c r="O164" s="503">
        <f>IF(終値!A164="","",IFERROR(4*STDEVP(終値!R164:AK164)/AVERAGE(終値!R164:AK164),""))</f>
        <v>0.13500276305272979</v>
      </c>
      <c r="P164" s="503">
        <f>IF(終値!A164="","",IFERROR(4*STDEVP(終値!S164:AL164)/AVERAGE(終値!S164:AL164),""))</f>
        <v>0.13099051017868671</v>
      </c>
      <c r="Q164" s="503">
        <f>IF(終値!A164="","",IFERROR(4*STDEVP(終値!T164:AM164)/AVERAGE(終値!T164:AM164),""))</f>
        <v>0.13097430367258053</v>
      </c>
      <c r="R164" s="503">
        <f>IF(終値!A164="","",IFERROR(4*STDEVP(終値!U164:AN164)/AVERAGE(終値!U164:AN164),""))</f>
        <v>0.12983809208972191</v>
      </c>
      <c r="S164" s="503">
        <f>IF(終値!A164="","",IFERROR(4*STDEVP(終値!V164:AO164)/AVERAGE(終値!V164:AO164),""))</f>
        <v>0.1431480511344842</v>
      </c>
      <c r="T164" s="503">
        <f>IF(終値!A164="","",IFERROR(4*STDEVP(終値!W164:AP164)/AVERAGE(終値!W164:AP164),""))</f>
        <v>0.15526136557975481</v>
      </c>
      <c r="U164" s="503">
        <f>IF(終値!A164="","",IFERROR(4*STDEVP(終値!X164:AQ164)/AVERAGE(終値!X164:AQ164),""))</f>
        <v>0.15295973547106184</v>
      </c>
      <c r="V164" s="503">
        <f>IF(終値!A164="","",IFERROR(4*STDEVP(終値!Y164:AR164)/AVERAGE(終値!Y164:AR164),""))</f>
        <v>0.13697600616765165</v>
      </c>
      <c r="W164" s="503">
        <f>IF(終値!A164="","",IFERROR(4*STDEVP(終値!Z164:AS164)/AVERAGE(終値!Z164:AS164),""))</f>
        <v>0.12052923060212449</v>
      </c>
      <c r="X164" s="503">
        <f>IF(終値!A164="","",IFERROR(4*STDEVP(終値!AA164:AT164)/AVERAGE(終値!AA164:AT164),""))</f>
        <v>0.11067434678550211</v>
      </c>
      <c r="Y164" s="503">
        <f>IF(終値!A164="","",IFERROR(4*STDEVP(終値!AB164:AU164)/AVERAGE(終値!AB164:AU164),""))</f>
        <v>0.10655072735637044</v>
      </c>
      <c r="Z164" s="503">
        <f>IF(終値!A164="","",IFERROR(4*STDEVP(終値!AC164:AV164)/AVERAGE(終値!AC164:AV164),""))</f>
        <v>0.10854744491683212</v>
      </c>
      <c r="AA164" s="503">
        <f>IF(終値!A164="","",IFERROR(4*STDEVP(終値!AD164:AW164)/AVERAGE(終値!AD164:AW164),""))</f>
        <v>0.10833754192726661</v>
      </c>
      <c r="AB164" s="503">
        <f>IF(終値!A164="","",IFERROR(4*STDEVP(終値!AE164:AX164)/AVERAGE(終値!AE164:AX164),""))</f>
        <v>0.10916320899293663</v>
      </c>
      <c r="AC164" s="503">
        <f>IF(終値!A164="","",IFERROR(4*STDEVP(終値!AF164:AY164)/AVERAGE(終値!AF164:AY164),""))</f>
        <v>0.1079288685394509</v>
      </c>
      <c r="AD164" s="503">
        <f>IF(終値!A164="","",IFERROR(4*STDEVP(終値!AG164:AZ164)/AVERAGE(終値!AG164:AZ164),""))</f>
        <v>0.10859900656160587</v>
      </c>
      <c r="AE164" s="503">
        <f>IF(終値!A164="","",IFERROR(4*STDEVP(終値!AH164:BA164)/AVERAGE(終値!AH164:BA164),""))</f>
        <v>0.10212355120538182</v>
      </c>
      <c r="AF164" s="503">
        <f>IF(終値!A164="","",IFERROR(4*STDEVP(終値!AI164:BB164)/AVERAGE(終値!AI164:BB164),""))</f>
        <v>9.0468080009832696E-2</v>
      </c>
      <c r="AG164" s="503">
        <f>IF(終値!A164="","",IFERROR(4*STDEVP(終値!AJ164:BC164)/AVERAGE(終値!AJ164:BC164),""))</f>
        <v>9.0178032075936748E-2</v>
      </c>
      <c r="AH164" s="503">
        <f>IF(終値!A164="","",IFERROR(4*STDEVP(終値!AK164:BD164)/AVERAGE(終値!AK164:BD164),""))</f>
        <v>8.8151109442649103E-2</v>
      </c>
      <c r="AI164" s="503">
        <f>IF(終値!A164="","",IFERROR(4*STDEVP(終値!AL164:BE164)/AVERAGE(終値!AL164:BE164),""))</f>
        <v>8.9688890479586128E-2</v>
      </c>
      <c r="AJ164" s="503">
        <f>IF(終値!A164="","",IFERROR(4*STDEVP(終値!AM164:BF164)/AVERAGE(終値!AM164:BF164),""))</f>
        <v>9.1732164230573857E-2</v>
      </c>
      <c r="AK164" s="503">
        <f>IF(終値!A164="","",IFERROR(4*STDEVP(終値!AN164:BG164)/AVERAGE(終値!AN164:BG164),""))</f>
        <v>0.10515032294326333</v>
      </c>
      <c r="AL164" s="503">
        <f>IF(終値!A164="","",IFERROR(4*STDEVP(終値!AO164:BH164)/AVERAGE(終値!AO164:BH164),""))</f>
        <v>0.11514563937501092</v>
      </c>
      <c r="AM164" s="503">
        <f>IF(終値!A164="","",IFERROR(4*STDEVP(終値!AP164:BI164)/AVERAGE(終値!AP164:BI164),""))</f>
        <v>0.1259137684982449</v>
      </c>
      <c r="AN164" s="503">
        <f>IF(終値!A164="","",IFERROR(4*STDEVP(終値!AQ164:BJ164)/AVERAGE(終値!AQ164:BJ164),""))</f>
        <v>0.12959499695537033</v>
      </c>
      <c r="AO164" s="503">
        <f>IF(終値!A164="","",IFERROR(4*STDEVP(終値!AR164:BK164)/AVERAGE(終値!AR164:BK164),""))</f>
        <v>0.1262650067559164</v>
      </c>
      <c r="AP164" s="503">
        <f>IF(終値!A164="","",IFERROR(4*STDEVP(終値!AS164:BL164)/AVERAGE(終値!AS164:BL164),""))</f>
        <v>0.12783694518155839</v>
      </c>
    </row>
    <row r="165" spans="1:42">
      <c r="A165" s="500" t="str">
        <f>IF(終値!A165="","",終値!A165)</f>
        <v>4733</v>
      </c>
      <c r="B165" s="503">
        <f>IF(終値!A165="","",IFERROR(4*STDEVP(終値!E165:X165)/AVERAGE(終値!E165:X165),""))</f>
        <v>0.39262117402989577</v>
      </c>
      <c r="C165" s="503">
        <f>IF(終値!A165="","",IFERROR(4*STDEVP(終値!F165:Y165)/AVERAGE(終値!F165:Y165),""))</f>
        <v>0.39895752482524127</v>
      </c>
      <c r="D165" s="503">
        <f>IF(終値!A165="","",IFERROR(4*STDEVP(終値!G165:Z165)/AVERAGE(終値!G165:Z165),""))</f>
        <v>0.39985705256883125</v>
      </c>
      <c r="E165" s="503">
        <f>IF(終値!A165="","",IFERROR(4*STDEVP(終値!H165:AA165)/AVERAGE(終値!H165:AA165),""))</f>
        <v>0.40173889314712291</v>
      </c>
      <c r="F165" s="503">
        <f>IF(終値!A165="","",IFERROR(4*STDEVP(終値!I165:AB165)/AVERAGE(終値!I165:AB165),""))</f>
        <v>0.37557588983422363</v>
      </c>
      <c r="G165" s="503">
        <f>IF(終値!A165="","",IFERROR(4*STDEVP(終値!J165:AC165)/AVERAGE(終値!J165:AC165),""))</f>
        <v>0.32330477479004721</v>
      </c>
      <c r="H165" s="503">
        <f>IF(終値!A165="","",IFERROR(4*STDEVP(終値!K165:AD165)/AVERAGE(終値!K165:AD165),""))</f>
        <v>0.29511385506500826</v>
      </c>
      <c r="I165" s="503">
        <f>IF(終値!A165="","",IFERROR(4*STDEVP(終値!L165:AE165)/AVERAGE(終値!L165:AE165),""))</f>
        <v>0.25128852343627095</v>
      </c>
      <c r="J165" s="503">
        <f>IF(終値!A165="","",IFERROR(4*STDEVP(終値!M165:AF165)/AVERAGE(終値!M165:AF165),""))</f>
        <v>0.21215177536355784</v>
      </c>
      <c r="K165" s="503">
        <f>IF(終値!A165="","",IFERROR(4*STDEVP(終値!N165:AG165)/AVERAGE(終値!N165:AG165),""))</f>
        <v>0.21854437454728981</v>
      </c>
      <c r="L165" s="503">
        <f>IF(終値!A165="","",IFERROR(4*STDEVP(終値!O165:AH165)/AVERAGE(終値!O165:AH165),""))</f>
        <v>0.22592841056760635</v>
      </c>
      <c r="M165" s="503">
        <f>IF(終値!A165="","",IFERROR(4*STDEVP(終値!P165:AI165)/AVERAGE(終値!P165:AI165),""))</f>
        <v>0.23556593125942346</v>
      </c>
      <c r="N165" s="503">
        <f>IF(終値!A165="","",IFERROR(4*STDEVP(終値!Q165:AJ165)/AVERAGE(終値!Q165:AJ165),""))</f>
        <v>0.2321048025141513</v>
      </c>
      <c r="O165" s="503">
        <f>IF(終値!A165="","",IFERROR(4*STDEVP(終値!R165:AK165)/AVERAGE(終値!R165:AK165),""))</f>
        <v>0.23229131036894335</v>
      </c>
      <c r="P165" s="503">
        <f>IF(終値!A165="","",IFERROR(4*STDEVP(終値!S165:AL165)/AVERAGE(終値!S165:AL165),""))</f>
        <v>0.22706351187062659</v>
      </c>
      <c r="Q165" s="503">
        <f>IF(終値!A165="","",IFERROR(4*STDEVP(終値!T165:AM165)/AVERAGE(終値!T165:AM165),""))</f>
        <v>0.21885869836553734</v>
      </c>
      <c r="R165" s="503">
        <f>IF(終値!A165="","",IFERROR(4*STDEVP(終値!U165:AN165)/AVERAGE(終値!U165:AN165),""))</f>
        <v>0.21083441610840481</v>
      </c>
      <c r="S165" s="503">
        <f>IF(終値!A165="","",IFERROR(4*STDEVP(終値!V165:AO165)/AVERAGE(終値!V165:AO165),""))</f>
        <v>0.19916701543817344</v>
      </c>
      <c r="T165" s="503">
        <f>IF(終値!A165="","",IFERROR(4*STDEVP(終値!W165:AP165)/AVERAGE(終値!W165:AP165),""))</f>
        <v>0.18478232191205313</v>
      </c>
      <c r="U165" s="503">
        <f>IF(終値!A165="","",IFERROR(4*STDEVP(終値!X165:AQ165)/AVERAGE(終値!X165:AQ165),""))</f>
        <v>0.16545976958809491</v>
      </c>
      <c r="V165" s="503">
        <f>IF(終値!A165="","",IFERROR(4*STDEVP(終値!Y165:AR165)/AVERAGE(終値!Y165:AR165),""))</f>
        <v>0.14075906443892733</v>
      </c>
      <c r="W165" s="503">
        <f>IF(終値!A165="","",IFERROR(4*STDEVP(終値!Z165:AS165)/AVERAGE(終値!Z165:AS165),""))</f>
        <v>0.11729143502467902</v>
      </c>
      <c r="X165" s="503">
        <f>IF(終値!A165="","",IFERROR(4*STDEVP(終値!AA165:AT165)/AVERAGE(終値!AA165:AT165),""))</f>
        <v>0.10454714247013397</v>
      </c>
      <c r="Y165" s="503">
        <f>IF(終値!A165="","",IFERROR(4*STDEVP(終値!AB165:AU165)/AVERAGE(終値!AB165:AU165),""))</f>
        <v>0.12757889232395719</v>
      </c>
      <c r="Z165" s="503">
        <f>IF(終値!A165="","",IFERROR(4*STDEVP(終値!AC165:AV165)/AVERAGE(終値!AC165:AV165),""))</f>
        <v>0.12861818210897205</v>
      </c>
      <c r="AA165" s="503">
        <f>IF(終値!A165="","",IFERROR(4*STDEVP(終値!AD165:AW165)/AVERAGE(終値!AD165:AW165),""))</f>
        <v>0.12800081487189988</v>
      </c>
      <c r="AB165" s="503">
        <f>IF(終値!A165="","",IFERROR(4*STDEVP(終値!AE165:AX165)/AVERAGE(終値!AE165:AX165),""))</f>
        <v>0.13141196427240595</v>
      </c>
      <c r="AC165" s="503">
        <f>IF(終値!A165="","",IFERROR(4*STDEVP(終値!AF165:AY165)/AVERAGE(終値!AF165:AY165),""))</f>
        <v>0.12670753784761898</v>
      </c>
      <c r="AD165" s="503">
        <f>IF(終値!A165="","",IFERROR(4*STDEVP(終値!AG165:AZ165)/AVERAGE(終値!AG165:AZ165),""))</f>
        <v>0.12589787646757838</v>
      </c>
      <c r="AE165" s="503">
        <f>IF(終値!A165="","",IFERROR(4*STDEVP(終値!AH165:BA165)/AVERAGE(終値!AH165:BA165),""))</f>
        <v>0.11553718811551626</v>
      </c>
      <c r="AF165" s="503">
        <f>IF(終値!A165="","",IFERROR(4*STDEVP(終値!AI165:BB165)/AVERAGE(終値!AI165:BB165),""))</f>
        <v>0.1034676815222289</v>
      </c>
      <c r="AG165" s="503">
        <f>IF(終値!A165="","",IFERROR(4*STDEVP(終値!AJ165:BC165)/AVERAGE(終値!AJ165:BC165),""))</f>
        <v>9.5439021944492997E-2</v>
      </c>
      <c r="AH165" s="503">
        <f>IF(終値!A165="","",IFERROR(4*STDEVP(終値!AK165:BD165)/AVERAGE(終値!AK165:BD165),""))</f>
        <v>9.4416765020539389E-2</v>
      </c>
      <c r="AI165" s="503">
        <f>IF(終値!A165="","",IFERROR(4*STDEVP(終値!AL165:BE165)/AVERAGE(終値!AL165:BE165),""))</f>
        <v>9.1053578222693027E-2</v>
      </c>
      <c r="AJ165" s="503">
        <f>IF(終値!A165="","",IFERROR(4*STDEVP(終値!AM165:BF165)/AVERAGE(終値!AM165:BF165),""))</f>
        <v>8.5191842307445212E-2</v>
      </c>
      <c r="AK165" s="503">
        <f>IF(終値!A165="","",IFERROR(4*STDEVP(終値!AN165:BG165)/AVERAGE(終値!AN165:BG165),""))</f>
        <v>8.0646540968148953E-2</v>
      </c>
      <c r="AL165" s="503">
        <f>IF(終値!A165="","",IFERROR(4*STDEVP(終値!AO165:BH165)/AVERAGE(終値!AO165:BH165),""))</f>
        <v>7.27539588368422E-2</v>
      </c>
      <c r="AM165" s="503">
        <f>IF(終値!A165="","",IFERROR(4*STDEVP(終値!AP165:BI165)/AVERAGE(終値!AP165:BI165),""))</f>
        <v>6.9074018293766123E-2</v>
      </c>
      <c r="AN165" s="503">
        <f>IF(終値!A165="","",IFERROR(4*STDEVP(終値!AQ165:BJ165)/AVERAGE(終値!AQ165:BJ165),""))</f>
        <v>6.7904327425903133E-2</v>
      </c>
      <c r="AO165" s="503">
        <f>IF(終値!A165="","",IFERROR(4*STDEVP(終値!AR165:BK165)/AVERAGE(終値!AR165:BK165),""))</f>
        <v>6.6705861769179475E-2</v>
      </c>
      <c r="AP165" s="503">
        <f>IF(終値!A165="","",IFERROR(4*STDEVP(終値!AS165:BL165)/AVERAGE(終値!AS165:BL165),""))</f>
        <v>6.5298788247896561E-2</v>
      </c>
    </row>
    <row r="166" spans="1:42">
      <c r="A166" s="500" t="str">
        <f>IF(終値!A166="","",終値!A166)</f>
        <v>9733</v>
      </c>
      <c r="B166" s="503">
        <f>IF(終値!A166="","",IFERROR(4*STDEVP(終値!E166:X166)/AVERAGE(終値!E166:X166),""))</f>
        <v>5.5928662238401192E-2</v>
      </c>
      <c r="C166" s="503">
        <f>IF(終値!A166="","",IFERROR(4*STDEVP(終値!F166:Y166)/AVERAGE(終値!F166:Y166),""))</f>
        <v>5.1830961944965628E-2</v>
      </c>
      <c r="D166" s="503">
        <f>IF(終値!A166="","",IFERROR(4*STDEVP(終値!G166:Z166)/AVERAGE(終値!G166:Z166),""))</f>
        <v>5.1035814407232698E-2</v>
      </c>
      <c r="E166" s="503">
        <f>IF(終値!A166="","",IFERROR(4*STDEVP(終値!H166:AA166)/AVERAGE(終値!H166:AA166),""))</f>
        <v>5.3080343969896075E-2</v>
      </c>
      <c r="F166" s="503">
        <f>IF(終値!A166="","",IFERROR(4*STDEVP(終値!I166:AB166)/AVERAGE(終値!I166:AB166),""))</f>
        <v>5.5977530167384784E-2</v>
      </c>
      <c r="G166" s="503">
        <f>IF(終値!A166="","",IFERROR(4*STDEVP(終値!J166:AC166)/AVERAGE(終値!J166:AC166),""))</f>
        <v>5.6348616469228341E-2</v>
      </c>
      <c r="H166" s="503">
        <f>IF(終値!A166="","",IFERROR(4*STDEVP(終値!K166:AD166)/AVERAGE(終値!K166:AD166),""))</f>
        <v>6.1921153322134069E-2</v>
      </c>
      <c r="I166" s="503">
        <f>IF(終値!A166="","",IFERROR(4*STDEVP(終値!L166:AE166)/AVERAGE(終値!L166:AE166),""))</f>
        <v>7.5943899766253792E-2</v>
      </c>
      <c r="J166" s="503">
        <f>IF(終値!A166="","",IFERROR(4*STDEVP(終値!M166:AF166)/AVERAGE(終値!M166:AF166),""))</f>
        <v>8.3551939217496471E-2</v>
      </c>
      <c r="K166" s="503">
        <f>IF(終値!A166="","",IFERROR(4*STDEVP(終値!N166:AG166)/AVERAGE(終値!N166:AG166),""))</f>
        <v>9.4354819892836575E-2</v>
      </c>
      <c r="L166" s="503">
        <f>IF(終値!A166="","",IFERROR(4*STDEVP(終値!O166:AH166)/AVERAGE(終値!O166:AH166),""))</f>
        <v>0.1021728248466091</v>
      </c>
      <c r="M166" s="503">
        <f>IF(終値!A166="","",IFERROR(4*STDEVP(終値!P166:AI166)/AVERAGE(終値!P166:AI166),""))</f>
        <v>0.11004946697549013</v>
      </c>
      <c r="N166" s="503">
        <f>IF(終値!A166="","",IFERROR(4*STDEVP(終値!Q166:AJ166)/AVERAGE(終値!Q166:AJ166),""))</f>
        <v>0.11868231235760882</v>
      </c>
      <c r="O166" s="503">
        <f>IF(終値!A166="","",IFERROR(4*STDEVP(終値!R166:AK166)/AVERAGE(終値!R166:AK166),""))</f>
        <v>0.12479277038037631</v>
      </c>
      <c r="P166" s="503">
        <f>IF(終値!A166="","",IFERROR(4*STDEVP(終値!S166:AL166)/AVERAGE(終値!S166:AL166),""))</f>
        <v>0.12927391833461202</v>
      </c>
      <c r="Q166" s="503">
        <f>IF(終値!A166="","",IFERROR(4*STDEVP(終値!T166:AM166)/AVERAGE(終値!T166:AM166),""))</f>
        <v>0.12948411524546719</v>
      </c>
      <c r="R166" s="503">
        <f>IF(終値!A166="","",IFERROR(4*STDEVP(終値!U166:AN166)/AVERAGE(終値!U166:AN166),""))</f>
        <v>0.12694350896741288</v>
      </c>
      <c r="S166" s="503">
        <f>IF(終値!A166="","",IFERROR(4*STDEVP(終値!V166:AO166)/AVERAGE(終値!V166:AO166),""))</f>
        <v>0.12193404288091308</v>
      </c>
      <c r="T166" s="503">
        <f>IF(終値!A166="","",IFERROR(4*STDEVP(終値!W166:AP166)/AVERAGE(終値!W166:AP166),""))</f>
        <v>0.11394520570168036</v>
      </c>
      <c r="U166" s="503">
        <f>IF(終値!A166="","",IFERROR(4*STDEVP(終値!X166:AQ166)/AVERAGE(終値!X166:AQ166),""))</f>
        <v>0.10244676787162388</v>
      </c>
      <c r="V166" s="503">
        <f>IF(終値!A166="","",IFERROR(4*STDEVP(終値!Y166:AR166)/AVERAGE(終値!Y166:AR166),""))</f>
        <v>8.9140989486130681E-2</v>
      </c>
      <c r="W166" s="503">
        <f>IF(終値!A166="","",IFERROR(4*STDEVP(終値!Z166:AS166)/AVERAGE(終値!Z166:AS166),""))</f>
        <v>7.8880279042445087E-2</v>
      </c>
      <c r="X166" s="503">
        <f>IF(終値!A166="","",IFERROR(4*STDEVP(終値!AA166:AT166)/AVERAGE(終値!AA166:AT166),""))</f>
        <v>6.9304204077873147E-2</v>
      </c>
      <c r="Y166" s="503">
        <f>IF(終値!A166="","",IFERROR(4*STDEVP(終値!AB166:AU166)/AVERAGE(終値!AB166:AU166),""))</f>
        <v>6.2666936406811174E-2</v>
      </c>
      <c r="Z166" s="503">
        <f>IF(終値!A166="","",IFERROR(4*STDEVP(終値!AC166:AV166)/AVERAGE(終値!AC166:AV166),""))</f>
        <v>5.9625013559881604E-2</v>
      </c>
      <c r="AA166" s="503">
        <f>IF(終値!A166="","",IFERROR(4*STDEVP(終値!AD166:AW166)/AVERAGE(終値!AD166:AW166),""))</f>
        <v>4.5014052360055352E-2</v>
      </c>
      <c r="AB166" s="503">
        <f>IF(終値!A166="","",IFERROR(4*STDEVP(終値!AE166:AX166)/AVERAGE(終値!AE166:AX166),""))</f>
        <v>4.4857319023621202E-2</v>
      </c>
      <c r="AC166" s="503">
        <f>IF(終値!A166="","",IFERROR(4*STDEVP(終値!AF166:AY166)/AVERAGE(終値!AF166:AY166),""))</f>
        <v>4.8910593819816391E-2</v>
      </c>
      <c r="AD166" s="503">
        <f>IF(終値!A166="","",IFERROR(4*STDEVP(終値!AG166:AZ166)/AVERAGE(終値!AG166:AZ166),""))</f>
        <v>5.8984596150969626E-2</v>
      </c>
      <c r="AE166" s="503">
        <f>IF(終値!A166="","",IFERROR(4*STDEVP(終値!AH166:BA166)/AVERAGE(終値!AH166:BA166),""))</f>
        <v>6.4255573386585621E-2</v>
      </c>
      <c r="AF166" s="503">
        <f>IF(終値!A166="","",IFERROR(4*STDEVP(終値!AI166:BB166)/AVERAGE(終値!AI166:BB166),""))</f>
        <v>7.2220066011372153E-2</v>
      </c>
      <c r="AG166" s="503">
        <f>IF(終値!A166="","",IFERROR(4*STDEVP(終値!AJ166:BC166)/AVERAGE(終値!AJ166:BC166),""))</f>
        <v>7.7257799716813694E-2</v>
      </c>
      <c r="AH166" s="503">
        <f>IF(終値!A166="","",IFERROR(4*STDEVP(終値!AK166:BD166)/AVERAGE(終値!AK166:BD166),""))</f>
        <v>7.6790414868616874E-2</v>
      </c>
      <c r="AI166" s="503">
        <f>IF(終値!A166="","",IFERROR(4*STDEVP(終値!AL166:BE166)/AVERAGE(終値!AL166:BE166),""))</f>
        <v>7.4597078585622562E-2</v>
      </c>
      <c r="AJ166" s="503">
        <f>IF(終値!A166="","",IFERROR(4*STDEVP(終値!AM166:BF166)/AVERAGE(終値!AM166:BF166),""))</f>
        <v>7.2525624820516915E-2</v>
      </c>
      <c r="AK166" s="503">
        <f>IF(終値!A166="","",IFERROR(4*STDEVP(終値!AN166:BG166)/AVERAGE(終値!AN166:BG166),""))</f>
        <v>7.2257792439204896E-2</v>
      </c>
      <c r="AL166" s="503">
        <f>IF(終値!A166="","",IFERROR(4*STDEVP(終値!AO166:BH166)/AVERAGE(終値!AO166:BH166),""))</f>
        <v>7.174428797339584E-2</v>
      </c>
      <c r="AM166" s="503">
        <f>IF(終値!A166="","",IFERROR(4*STDEVP(終値!AP166:BI166)/AVERAGE(終値!AP166:BI166),""))</f>
        <v>7.1020937468122658E-2</v>
      </c>
      <c r="AN166" s="503">
        <f>IF(終値!A166="","",IFERROR(4*STDEVP(終値!AQ166:BJ166)/AVERAGE(終値!AQ166:BJ166),""))</f>
        <v>7.0967605492198535E-2</v>
      </c>
      <c r="AO166" s="503">
        <f>IF(終値!A166="","",IFERROR(4*STDEVP(終値!AR166:BK166)/AVERAGE(終値!AR166:BK166),""))</f>
        <v>6.6527674950982926E-2</v>
      </c>
      <c r="AP166" s="503">
        <f>IF(終値!A166="","",IFERROR(4*STDEVP(終値!AS166:BL166)/AVERAGE(終値!AS166:BL166),""))</f>
        <v>6.2047554088720154E-2</v>
      </c>
    </row>
    <row r="167" spans="1:42">
      <c r="A167" s="500" t="str">
        <f>IF(終値!A167="","",終値!A167)</f>
        <v>9551</v>
      </c>
      <c r="B167" s="503">
        <f>IF(終値!A167="","",IFERROR(4*STDEVP(終値!E167:X167)/AVERAGE(終値!E167:X167),""))</f>
        <v>9.4339284656612954E-2</v>
      </c>
      <c r="C167" s="503">
        <f>IF(終値!A167="","",IFERROR(4*STDEVP(終値!F167:Y167)/AVERAGE(終値!F167:Y167),""))</f>
        <v>0.10148499749454808</v>
      </c>
      <c r="D167" s="503">
        <f>IF(終値!A167="","",IFERROR(4*STDEVP(終値!G167:Z167)/AVERAGE(終値!G167:Z167),""))</f>
        <v>0.10301997185671982</v>
      </c>
      <c r="E167" s="503">
        <f>IF(終値!A167="","",IFERROR(4*STDEVP(終値!H167:AA167)/AVERAGE(終値!H167:AA167),""))</f>
        <v>0.10574736218447214</v>
      </c>
      <c r="F167" s="503">
        <f>IF(終値!A167="","",IFERROR(4*STDEVP(終値!I167:AB167)/AVERAGE(終値!I167:AB167),""))</f>
        <v>9.9661512404722569E-2</v>
      </c>
      <c r="G167" s="503">
        <f>IF(終値!A167="","",IFERROR(4*STDEVP(終値!J167:AC167)/AVERAGE(終値!J167:AC167),""))</f>
        <v>9.8563850935813796E-2</v>
      </c>
      <c r="H167" s="503">
        <f>IF(終値!A167="","",IFERROR(4*STDEVP(終値!K167:AD167)/AVERAGE(終値!K167:AD167),""))</f>
        <v>0.12087240750588833</v>
      </c>
      <c r="I167" s="503">
        <f>IF(終値!A167="","",IFERROR(4*STDEVP(終値!L167:AE167)/AVERAGE(終値!L167:AE167),""))</f>
        <v>0.14330109340565991</v>
      </c>
      <c r="J167" s="503">
        <f>IF(終値!A167="","",IFERROR(4*STDEVP(終値!M167:AF167)/AVERAGE(終値!M167:AF167),""))</f>
        <v>0.15087885076654772</v>
      </c>
      <c r="K167" s="503">
        <f>IF(終値!A167="","",IFERROR(4*STDEVP(終値!N167:AG167)/AVERAGE(終値!N167:AG167),""))</f>
        <v>0.15954890413314754</v>
      </c>
      <c r="L167" s="503">
        <f>IF(終値!A167="","",IFERROR(4*STDEVP(終値!O167:AH167)/AVERAGE(終値!O167:AH167),""))</f>
        <v>0.16658698445973619</v>
      </c>
      <c r="M167" s="503">
        <f>IF(終値!A167="","",IFERROR(4*STDEVP(終値!P167:AI167)/AVERAGE(終値!P167:AI167),""))</f>
        <v>0.16325396562319985</v>
      </c>
      <c r="N167" s="503">
        <f>IF(終値!A167="","",IFERROR(4*STDEVP(終値!Q167:AJ167)/AVERAGE(終値!Q167:AJ167),""))</f>
        <v>0.15315498217887707</v>
      </c>
      <c r="O167" s="503">
        <f>IF(終値!A167="","",IFERROR(4*STDEVP(終値!R167:AK167)/AVERAGE(終値!R167:AK167),""))</f>
        <v>0.14921093835818394</v>
      </c>
      <c r="P167" s="503">
        <f>IF(終値!A167="","",IFERROR(4*STDEVP(終値!S167:AL167)/AVERAGE(終値!S167:AL167),""))</f>
        <v>0.13976015843765599</v>
      </c>
      <c r="Q167" s="503">
        <f>IF(終値!A167="","",IFERROR(4*STDEVP(終値!T167:AM167)/AVERAGE(終値!T167:AM167),""))</f>
        <v>0.13239950153008254</v>
      </c>
      <c r="R167" s="503">
        <f>IF(終値!A167="","",IFERROR(4*STDEVP(終値!U167:AN167)/AVERAGE(終値!U167:AN167),""))</f>
        <v>0.14128141158603669</v>
      </c>
      <c r="S167" s="503">
        <f>IF(終値!A167="","",IFERROR(4*STDEVP(終値!V167:AO167)/AVERAGE(終値!V167:AO167),""))</f>
        <v>0.15558667660292108</v>
      </c>
      <c r="T167" s="503">
        <f>IF(終値!A167="","",IFERROR(4*STDEVP(終値!W167:AP167)/AVERAGE(終値!W167:AP167),""))</f>
        <v>0.15839245051365369</v>
      </c>
      <c r="U167" s="503">
        <f>IF(終値!A167="","",IFERROR(4*STDEVP(終値!X167:AQ167)/AVERAGE(終値!X167:AQ167),""))</f>
        <v>0.15971762439844508</v>
      </c>
      <c r="V167" s="503">
        <f>IF(終値!A167="","",IFERROR(4*STDEVP(終値!Y167:AR167)/AVERAGE(終値!Y167:AR167),""))</f>
        <v>0.16087072081129858</v>
      </c>
      <c r="W167" s="503">
        <f>IF(終値!A167="","",IFERROR(4*STDEVP(終値!Z167:AS167)/AVERAGE(終値!Z167:AS167),""))</f>
        <v>0.16349395439852771</v>
      </c>
      <c r="X167" s="503">
        <f>IF(終値!A167="","",IFERROR(4*STDEVP(終値!AA167:AT167)/AVERAGE(終値!AA167:AT167),""))</f>
        <v>0.16367424161918243</v>
      </c>
      <c r="Y167" s="503">
        <f>IF(終値!A167="","",IFERROR(4*STDEVP(終値!AB167:AU167)/AVERAGE(終値!AB167:AU167),""))</f>
        <v>0.16552543960884361</v>
      </c>
      <c r="Z167" s="503">
        <f>IF(終値!A167="","",IFERROR(4*STDEVP(終値!AC167:AV167)/AVERAGE(終値!AC167:AV167),""))</f>
        <v>0.17248528973813698</v>
      </c>
      <c r="AA167" s="503">
        <f>IF(終値!A167="","",IFERROR(4*STDEVP(終値!AD167:AW167)/AVERAGE(終値!AD167:AW167),""))</f>
        <v>0.17529922890722432</v>
      </c>
      <c r="AB167" s="503">
        <f>IF(終値!A167="","",IFERROR(4*STDEVP(終値!AE167:AX167)/AVERAGE(終値!AE167:AX167),""))</f>
        <v>0.16787253043645853</v>
      </c>
      <c r="AC167" s="503">
        <f>IF(終値!A167="","",IFERROR(4*STDEVP(終値!AF167:AY167)/AVERAGE(終値!AF167:AY167),""))</f>
        <v>0.15858738073429909</v>
      </c>
      <c r="AD167" s="503">
        <f>IF(終値!A167="","",IFERROR(4*STDEVP(終値!AG167:AZ167)/AVERAGE(終値!AG167:AZ167),""))</f>
        <v>0.15241909877913157</v>
      </c>
      <c r="AE167" s="503">
        <f>IF(終値!A167="","",IFERROR(4*STDEVP(終値!AH167:BA167)/AVERAGE(終値!AH167:BA167),""))</f>
        <v>0.14331826457369254</v>
      </c>
      <c r="AF167" s="503">
        <f>IF(終値!A167="","",IFERROR(4*STDEVP(終値!AI167:BB167)/AVERAGE(終値!AI167:BB167),""))</f>
        <v>0.13006738766244536</v>
      </c>
      <c r="AG167" s="503">
        <f>IF(終値!A167="","",IFERROR(4*STDEVP(終値!AJ167:BC167)/AVERAGE(終値!AJ167:BC167),""))</f>
        <v>0.12213488477565852</v>
      </c>
      <c r="AH167" s="503">
        <f>IF(終値!A167="","",IFERROR(4*STDEVP(終値!AK167:BD167)/AVERAGE(終値!AK167:BD167),""))</f>
        <v>0.11474197954575224</v>
      </c>
      <c r="AI167" s="503">
        <f>IF(終値!A167="","",IFERROR(4*STDEVP(終値!AL167:BE167)/AVERAGE(終値!AL167:BE167),""))</f>
        <v>0.12630840550228081</v>
      </c>
      <c r="AJ167" s="503">
        <f>IF(終値!A167="","",IFERROR(4*STDEVP(終値!AM167:BF167)/AVERAGE(終値!AM167:BF167),""))</f>
        <v>0.13127135140499596</v>
      </c>
      <c r="AK167" s="503">
        <f>IF(終値!A167="","",IFERROR(4*STDEVP(終値!AN167:BG167)/AVERAGE(終値!AN167:BG167),""))</f>
        <v>0.13676224824248312</v>
      </c>
      <c r="AL167" s="503">
        <f>IF(終値!A167="","",IFERROR(4*STDEVP(終値!AO167:BH167)/AVERAGE(終値!AO167:BH167),""))</f>
        <v>0.13174169037923536</v>
      </c>
      <c r="AM167" s="503">
        <f>IF(終値!A167="","",IFERROR(4*STDEVP(終値!AP167:BI167)/AVERAGE(終値!AP167:BI167),""))</f>
        <v>0.12317482009357651</v>
      </c>
      <c r="AN167" s="503">
        <f>IF(終値!A167="","",IFERROR(4*STDEVP(終値!AQ167:BJ167)/AVERAGE(終値!AQ167:BJ167),""))</f>
        <v>0.11663057143723669</v>
      </c>
      <c r="AO167" s="503">
        <f>IF(終値!A167="","",IFERROR(4*STDEVP(終値!AR167:BK167)/AVERAGE(終値!AR167:BK167),""))</f>
        <v>0.1157956073124073</v>
      </c>
      <c r="AP167" s="503">
        <f>IF(終値!A167="","",IFERROR(4*STDEVP(終値!AS167:BL167)/AVERAGE(終値!AS167:BL167),""))</f>
        <v>0.11449311330114414</v>
      </c>
    </row>
    <row r="168" spans="1:42">
      <c r="A168" s="500" t="str">
        <f>IF(終値!A168="","",終値!A168)</f>
        <v>2359</v>
      </c>
      <c r="B168" s="503">
        <f>IF(終値!A168="","",IFERROR(4*STDEVP(終値!E168:X168)/AVERAGE(終値!E168:X168),""))</f>
        <v>6.3262904106172718E-2</v>
      </c>
      <c r="C168" s="503">
        <f>IF(終値!A168="","",IFERROR(4*STDEVP(終値!F168:Y168)/AVERAGE(終値!F168:Y168),""))</f>
        <v>6.806497685994034E-2</v>
      </c>
      <c r="D168" s="503">
        <f>IF(終値!A168="","",IFERROR(4*STDEVP(終値!G168:Z168)/AVERAGE(終値!G168:Z168),""))</f>
        <v>6.7847105474324182E-2</v>
      </c>
      <c r="E168" s="503">
        <f>IF(終値!A168="","",IFERROR(4*STDEVP(終値!H168:AA168)/AVERAGE(終値!H168:AA168),""))</f>
        <v>7.2058180912860606E-2</v>
      </c>
      <c r="F168" s="503">
        <f>IF(終値!A168="","",IFERROR(4*STDEVP(終値!I168:AB168)/AVERAGE(終値!I168:AB168),""))</f>
        <v>6.2558042785607726E-2</v>
      </c>
      <c r="G168" s="503">
        <f>IF(終値!A168="","",IFERROR(4*STDEVP(終値!J168:AC168)/AVERAGE(終値!J168:AC168),""))</f>
        <v>5.4594673381246406E-2</v>
      </c>
      <c r="H168" s="503">
        <f>IF(終値!A168="","",IFERROR(4*STDEVP(終値!K168:AD168)/AVERAGE(終値!K168:AD168),""))</f>
        <v>5.5031974758513208E-2</v>
      </c>
      <c r="I168" s="503">
        <f>IF(終値!A168="","",IFERROR(4*STDEVP(終値!L168:AE168)/AVERAGE(終値!L168:AE168),""))</f>
        <v>5.4142561176971818E-2</v>
      </c>
      <c r="J168" s="503">
        <f>IF(終値!A168="","",IFERROR(4*STDEVP(終値!M168:AF168)/AVERAGE(終値!M168:AF168),""))</f>
        <v>5.7860095223397842E-2</v>
      </c>
      <c r="K168" s="503">
        <f>IF(終値!A168="","",IFERROR(4*STDEVP(終値!N168:AG168)/AVERAGE(終値!N168:AG168),""))</f>
        <v>5.9327918827759812E-2</v>
      </c>
      <c r="L168" s="503">
        <f>IF(終値!A168="","",IFERROR(4*STDEVP(終値!O168:AH168)/AVERAGE(終値!O168:AH168),""))</f>
        <v>6.2577482045629018E-2</v>
      </c>
      <c r="M168" s="503">
        <f>IF(終値!A168="","",IFERROR(4*STDEVP(終値!P168:AI168)/AVERAGE(終値!P168:AI168),""))</f>
        <v>6.6284502091923297E-2</v>
      </c>
      <c r="N168" s="503">
        <f>IF(終値!A168="","",IFERROR(4*STDEVP(終値!Q168:AJ168)/AVERAGE(終値!Q168:AJ168),""))</f>
        <v>6.87800966406098E-2</v>
      </c>
      <c r="O168" s="503">
        <f>IF(終値!A168="","",IFERROR(4*STDEVP(終値!R168:AK168)/AVERAGE(終値!R168:AK168),""))</f>
        <v>6.9618723026116436E-2</v>
      </c>
      <c r="P168" s="503">
        <f>IF(終値!A168="","",IFERROR(4*STDEVP(終値!S168:AL168)/AVERAGE(終値!S168:AL168),""))</f>
        <v>6.937997713716143E-2</v>
      </c>
      <c r="Q168" s="503">
        <f>IF(終値!A168="","",IFERROR(4*STDEVP(終値!T168:AM168)/AVERAGE(終値!T168:AM168),""))</f>
        <v>6.9937175082386754E-2</v>
      </c>
      <c r="R168" s="503">
        <f>IF(終値!A168="","",IFERROR(4*STDEVP(終値!U168:AN168)/AVERAGE(終値!U168:AN168),""))</f>
        <v>6.9974706647824153E-2</v>
      </c>
      <c r="S168" s="503">
        <f>IF(終値!A168="","",IFERROR(4*STDEVP(終値!V168:AO168)/AVERAGE(終値!V168:AO168),""))</f>
        <v>6.9075905684834862E-2</v>
      </c>
      <c r="T168" s="503">
        <f>IF(終値!A168="","",IFERROR(4*STDEVP(終値!W168:AP168)/AVERAGE(終値!W168:AP168),""))</f>
        <v>6.8275560076387465E-2</v>
      </c>
      <c r="U168" s="503">
        <f>IF(終値!A168="","",IFERROR(4*STDEVP(終値!X168:AQ168)/AVERAGE(終値!X168:AQ168),""))</f>
        <v>6.80703288326861E-2</v>
      </c>
      <c r="V168" s="503">
        <f>IF(終値!A168="","",IFERROR(4*STDEVP(終値!Y168:AR168)/AVERAGE(終値!Y168:AR168),""))</f>
        <v>7.3619876855170782E-2</v>
      </c>
      <c r="W168" s="503">
        <f>IF(終値!A168="","",IFERROR(4*STDEVP(終値!Z168:AS168)/AVERAGE(終値!Z168:AS168),""))</f>
        <v>6.8925948064108608E-2</v>
      </c>
      <c r="X168" s="503">
        <f>IF(終値!A168="","",IFERROR(4*STDEVP(終値!AA168:AT168)/AVERAGE(終値!AA168:AT168),""))</f>
        <v>6.4424126044425725E-2</v>
      </c>
      <c r="Y168" s="503">
        <f>IF(終値!A168="","",IFERROR(4*STDEVP(終値!AB168:AU168)/AVERAGE(終値!AB168:AU168),""))</f>
        <v>5.1411002771690792E-2</v>
      </c>
      <c r="Z168" s="503">
        <f>IF(終値!A168="","",IFERROR(4*STDEVP(終値!AC168:AV168)/AVERAGE(終値!AC168:AV168),""))</f>
        <v>4.1132900127630607E-2</v>
      </c>
      <c r="AA168" s="503">
        <f>IF(終値!A168="","",IFERROR(4*STDEVP(終値!AD168:AW168)/AVERAGE(終値!AD168:AW168),""))</f>
        <v>3.9508006786452186E-2</v>
      </c>
      <c r="AB168" s="503">
        <f>IF(終値!A168="","",IFERROR(4*STDEVP(終値!AE168:AX168)/AVERAGE(終値!AE168:AX168),""))</f>
        <v>3.912777625775786E-2</v>
      </c>
      <c r="AC168" s="503">
        <f>IF(終値!A168="","",IFERROR(4*STDEVP(終値!AF168:AY168)/AVERAGE(終値!AF168:AY168),""))</f>
        <v>4.7372200825163809E-2</v>
      </c>
      <c r="AD168" s="503">
        <f>IF(終値!A168="","",IFERROR(4*STDEVP(終値!AG168:AZ168)/AVERAGE(終値!AG168:AZ168),""))</f>
        <v>5.519947254487842E-2</v>
      </c>
      <c r="AE168" s="503">
        <f>IF(終値!A168="","",IFERROR(4*STDEVP(終値!AH168:BA168)/AVERAGE(終値!AH168:BA168),""))</f>
        <v>6.0548753424478276E-2</v>
      </c>
      <c r="AF168" s="503">
        <f>IF(終値!A168="","",IFERROR(4*STDEVP(終値!AI168:BB168)/AVERAGE(終値!AI168:BB168),""))</f>
        <v>6.5357089970667193E-2</v>
      </c>
      <c r="AG168" s="503">
        <f>IF(終値!A168="","",IFERROR(4*STDEVP(終値!AJ168:BC168)/AVERAGE(終値!AJ168:BC168),""))</f>
        <v>6.7371948121819666E-2</v>
      </c>
      <c r="AH168" s="503">
        <f>IF(終値!A168="","",IFERROR(4*STDEVP(終値!AK168:BD168)/AVERAGE(終値!AK168:BD168),""))</f>
        <v>6.672487362221878E-2</v>
      </c>
      <c r="AI168" s="503">
        <f>IF(終値!A168="","",IFERROR(4*STDEVP(終値!AL168:BE168)/AVERAGE(終値!AL168:BE168),""))</f>
        <v>6.5546546166601882E-2</v>
      </c>
      <c r="AJ168" s="503">
        <f>IF(終値!A168="","",IFERROR(4*STDEVP(終値!AM168:BF168)/AVERAGE(終値!AM168:BF168),""))</f>
        <v>6.2630137556467139E-2</v>
      </c>
      <c r="AK168" s="503">
        <f>IF(終値!A168="","",IFERROR(4*STDEVP(終値!AN168:BG168)/AVERAGE(終値!AN168:BG168),""))</f>
        <v>5.9399843807023699E-2</v>
      </c>
      <c r="AL168" s="503">
        <f>IF(終値!A168="","",IFERROR(4*STDEVP(終値!AO168:BH168)/AVERAGE(終値!AO168:BH168),""))</f>
        <v>5.5689127525514207E-2</v>
      </c>
      <c r="AM168" s="503">
        <f>IF(終値!A168="","",IFERROR(4*STDEVP(終値!AP168:BI168)/AVERAGE(終値!AP168:BI168),""))</f>
        <v>5.7238468296303212E-2</v>
      </c>
      <c r="AN168" s="503">
        <f>IF(終値!A168="","",IFERROR(4*STDEVP(終値!AQ168:BJ168)/AVERAGE(終値!AQ168:BJ168),""))</f>
        <v>5.9837374861332199E-2</v>
      </c>
      <c r="AO168" s="503">
        <f>IF(終値!A168="","",IFERROR(4*STDEVP(終値!AR168:BK168)/AVERAGE(終値!AR168:BK168),""))</f>
        <v>6.569681752607566E-2</v>
      </c>
      <c r="AP168" s="503">
        <f>IF(終値!A168="","",IFERROR(4*STDEVP(終値!AS168:BL168)/AVERAGE(終値!AS168:BL168),""))</f>
        <v>6.5857653661197821E-2</v>
      </c>
    </row>
    <row r="169" spans="1:42">
      <c r="A169" s="500" t="str">
        <f>IF(終値!A169="","",終値!A169)</f>
        <v>8103</v>
      </c>
      <c r="B169" s="503">
        <f>IF(終値!A169="","",IFERROR(4*STDEVP(終値!E169:X169)/AVERAGE(終値!E169:X169),""))</f>
        <v>3.8201063037294855E-2</v>
      </c>
      <c r="C169" s="503">
        <f>IF(終値!A169="","",IFERROR(4*STDEVP(終値!F169:Y169)/AVERAGE(終値!F169:Y169),""))</f>
        <v>3.5429541461586264E-2</v>
      </c>
      <c r="D169" s="503">
        <f>IF(終値!A169="","",IFERROR(4*STDEVP(終値!G169:Z169)/AVERAGE(終値!G169:Z169),""))</f>
        <v>3.6953014105456351E-2</v>
      </c>
      <c r="E169" s="503">
        <f>IF(終値!A169="","",IFERROR(4*STDEVP(終値!H169:AA169)/AVERAGE(終値!H169:AA169),""))</f>
        <v>4.770285144205437E-2</v>
      </c>
      <c r="F169" s="503">
        <f>IF(終値!A169="","",IFERROR(4*STDEVP(終値!I169:AB169)/AVERAGE(終値!I169:AB169),""))</f>
        <v>5.5597563428683085E-2</v>
      </c>
      <c r="G169" s="503">
        <f>IF(終値!A169="","",IFERROR(4*STDEVP(終値!J169:AC169)/AVERAGE(終値!J169:AC169),""))</f>
        <v>5.8261895402818488E-2</v>
      </c>
      <c r="H169" s="503">
        <f>IF(終値!A169="","",IFERROR(4*STDEVP(終値!K169:AD169)/AVERAGE(終値!K169:AD169),""))</f>
        <v>6.8987165374705658E-2</v>
      </c>
      <c r="I169" s="503">
        <f>IF(終値!A169="","",IFERROR(4*STDEVP(終値!L169:AE169)/AVERAGE(終値!L169:AE169),""))</f>
        <v>7.3318692402195365E-2</v>
      </c>
      <c r="J169" s="503">
        <f>IF(終値!A169="","",IFERROR(4*STDEVP(終値!M169:AF169)/AVERAGE(終値!M169:AF169),""))</f>
        <v>8.5359765551476896E-2</v>
      </c>
      <c r="K169" s="503">
        <f>IF(終値!A169="","",IFERROR(4*STDEVP(終値!N169:AG169)/AVERAGE(終値!N169:AG169),""))</f>
        <v>8.7878075340238365E-2</v>
      </c>
      <c r="L169" s="503">
        <f>IF(終値!A169="","",IFERROR(4*STDEVP(終値!O169:AH169)/AVERAGE(終値!O169:AH169),""))</f>
        <v>8.7168416073845581E-2</v>
      </c>
      <c r="M169" s="503">
        <f>IF(終値!A169="","",IFERROR(4*STDEVP(終値!P169:AI169)/AVERAGE(終値!P169:AI169),""))</f>
        <v>8.857815131129218E-2</v>
      </c>
      <c r="N169" s="503">
        <f>IF(終値!A169="","",IFERROR(4*STDEVP(終値!Q169:AJ169)/AVERAGE(終値!Q169:AJ169),""))</f>
        <v>9.1401717673810695E-2</v>
      </c>
      <c r="O169" s="503">
        <f>IF(終値!A169="","",IFERROR(4*STDEVP(終値!R169:AK169)/AVERAGE(終値!R169:AK169),""))</f>
        <v>8.8451780741632333E-2</v>
      </c>
      <c r="P169" s="503">
        <f>IF(終値!A169="","",IFERROR(4*STDEVP(終値!S169:AL169)/AVERAGE(終値!S169:AL169),""))</f>
        <v>8.7920964841073479E-2</v>
      </c>
      <c r="Q169" s="503">
        <f>IF(終値!A169="","",IFERROR(4*STDEVP(終値!T169:AM169)/AVERAGE(終値!T169:AM169),""))</f>
        <v>8.676348404861163E-2</v>
      </c>
      <c r="R169" s="503">
        <f>IF(終値!A169="","",IFERROR(4*STDEVP(終値!U169:AN169)/AVERAGE(終値!U169:AN169),""))</f>
        <v>8.3995283659016373E-2</v>
      </c>
      <c r="S169" s="503">
        <f>IF(終値!A169="","",IFERROR(4*STDEVP(終値!V169:AO169)/AVERAGE(終値!V169:AO169),""))</f>
        <v>8.2895223943822968E-2</v>
      </c>
      <c r="T169" s="503">
        <f>IF(終値!A169="","",IFERROR(4*STDEVP(終値!W169:AP169)/AVERAGE(終値!W169:AP169),""))</f>
        <v>7.8391216559037788E-2</v>
      </c>
      <c r="U169" s="503">
        <f>IF(終値!A169="","",IFERROR(4*STDEVP(終値!X169:AQ169)/AVERAGE(終値!X169:AQ169),""))</f>
        <v>6.9307216789101095E-2</v>
      </c>
      <c r="V169" s="503">
        <f>IF(終値!A169="","",IFERROR(4*STDEVP(終値!Y169:AR169)/AVERAGE(終値!Y169:AR169),""))</f>
        <v>5.2882788458348269E-2</v>
      </c>
      <c r="W169" s="503">
        <f>IF(終値!A169="","",IFERROR(4*STDEVP(終値!Z169:AS169)/AVERAGE(終値!Z169:AS169),""))</f>
        <v>4.2520830645582056E-2</v>
      </c>
      <c r="X169" s="503">
        <f>IF(終値!A169="","",IFERROR(4*STDEVP(終値!AA169:AT169)/AVERAGE(終値!AA169:AT169),""))</f>
        <v>3.8798414640802747E-2</v>
      </c>
      <c r="Y169" s="503">
        <f>IF(終値!A169="","",IFERROR(4*STDEVP(終値!AB169:AU169)/AVERAGE(終値!AB169:AU169),""))</f>
        <v>3.8798414640802747E-2</v>
      </c>
      <c r="Z169" s="503">
        <f>IF(終値!A169="","",IFERROR(4*STDEVP(終値!AC169:AV169)/AVERAGE(終値!AC169:AV169),""))</f>
        <v>3.9217340681262487E-2</v>
      </c>
      <c r="AA169" s="503">
        <f>IF(終値!A169="","",IFERROR(4*STDEVP(終値!AD169:AW169)/AVERAGE(終値!AD169:AW169),""))</f>
        <v>4.11811771103993E-2</v>
      </c>
      <c r="AB169" s="503">
        <f>IF(終値!A169="","",IFERROR(4*STDEVP(終値!AE169:AX169)/AVERAGE(終値!AE169:AX169),""))</f>
        <v>4.1546654564611048E-2</v>
      </c>
      <c r="AC169" s="503">
        <f>IF(終値!A169="","",IFERROR(4*STDEVP(終値!AF169:AY169)/AVERAGE(終値!AF169:AY169),""))</f>
        <v>5.1674512448665957E-2</v>
      </c>
      <c r="AD169" s="503">
        <f>IF(終値!A169="","",IFERROR(4*STDEVP(終値!AG169:AZ169)/AVERAGE(終値!AG169:AZ169),""))</f>
        <v>5.1581627512331175E-2</v>
      </c>
      <c r="AE169" s="503">
        <f>IF(終値!A169="","",IFERROR(4*STDEVP(終値!AH169:BA169)/AVERAGE(終値!AH169:BA169),""))</f>
        <v>5.1446386541549295E-2</v>
      </c>
      <c r="AF169" s="503">
        <f>IF(終値!A169="","",IFERROR(4*STDEVP(終値!AI169:BB169)/AVERAGE(終値!AI169:BB169),""))</f>
        <v>5.2910019334439916E-2</v>
      </c>
      <c r="AG169" s="503">
        <f>IF(終値!A169="","",IFERROR(4*STDEVP(終値!AJ169:BC169)/AVERAGE(終値!AJ169:BC169),""))</f>
        <v>5.8192948252275112E-2</v>
      </c>
      <c r="AH169" s="503">
        <f>IF(終値!A169="","",IFERROR(4*STDEVP(終値!AK169:BD169)/AVERAGE(終値!AK169:BD169),""))</f>
        <v>5.6348051262400223E-2</v>
      </c>
      <c r="AI169" s="503">
        <f>IF(終値!A169="","",IFERROR(4*STDEVP(終値!AL169:BE169)/AVERAGE(終値!AL169:BE169),""))</f>
        <v>5.6554130023102327E-2</v>
      </c>
      <c r="AJ169" s="503">
        <f>IF(終値!A169="","",IFERROR(4*STDEVP(終値!AM169:BF169)/AVERAGE(終値!AM169:BF169),""))</f>
        <v>5.7157368289818961E-2</v>
      </c>
      <c r="AK169" s="503">
        <f>IF(終値!A169="","",IFERROR(4*STDEVP(終値!AN169:BG169)/AVERAGE(終値!AN169:BG169),""))</f>
        <v>5.8049385362005948E-2</v>
      </c>
      <c r="AL169" s="503">
        <f>IF(終値!A169="","",IFERROR(4*STDEVP(終値!AO169:BH169)/AVERAGE(終値!AO169:BH169),""))</f>
        <v>5.6288455458603684E-2</v>
      </c>
      <c r="AM169" s="503">
        <f>IF(終値!A169="","",IFERROR(4*STDEVP(終値!AP169:BI169)/AVERAGE(終値!AP169:BI169),""))</f>
        <v>4.745788288936853E-2</v>
      </c>
      <c r="AN169" s="503">
        <f>IF(終値!A169="","",IFERROR(4*STDEVP(終値!AQ169:BJ169)/AVERAGE(終値!AQ169:BJ169),""))</f>
        <v>4.2582894258327321E-2</v>
      </c>
      <c r="AO169" s="503">
        <f>IF(終値!A169="","",IFERROR(4*STDEVP(終値!AR169:BK169)/AVERAGE(終値!AR169:BK169),""))</f>
        <v>4.2974963258806301E-2</v>
      </c>
      <c r="AP169" s="503">
        <f>IF(終値!A169="","",IFERROR(4*STDEVP(終値!AS169:BL169)/AVERAGE(終値!AS169:BL169),""))</f>
        <v>5.5410462948035741E-2</v>
      </c>
    </row>
    <row r="170" spans="1:42">
      <c r="A170" s="500" t="str">
        <f>IF(終値!A170="","",終値!A170)</f>
        <v>4709</v>
      </c>
      <c r="B170" s="503">
        <f>IF(終値!A170="","",IFERROR(4*STDEVP(終値!E170:X170)/AVERAGE(終値!E170:X170),""))</f>
        <v>0.13774864454912755</v>
      </c>
      <c r="C170" s="503">
        <f>IF(終値!A170="","",IFERROR(4*STDEVP(終値!F170:Y170)/AVERAGE(終値!F170:Y170),""))</f>
        <v>0.11657750554150588</v>
      </c>
      <c r="D170" s="503">
        <f>IF(終値!A170="","",IFERROR(4*STDEVP(終値!G170:Z170)/AVERAGE(終値!G170:Z170),""))</f>
        <v>0.10772151707718343</v>
      </c>
      <c r="E170" s="503">
        <f>IF(終値!A170="","",IFERROR(4*STDEVP(終値!H170:AA170)/AVERAGE(終値!H170:AA170),""))</f>
        <v>9.3461581632526561E-2</v>
      </c>
      <c r="F170" s="503">
        <f>IF(終値!A170="","",IFERROR(4*STDEVP(終値!I170:AB170)/AVERAGE(終値!I170:AB170),""))</f>
        <v>9.0155559854931663E-2</v>
      </c>
      <c r="G170" s="503">
        <f>IF(終値!A170="","",IFERROR(4*STDEVP(終値!J170:AC170)/AVERAGE(終値!J170:AC170),""))</f>
        <v>8.1074442236318517E-2</v>
      </c>
      <c r="H170" s="503">
        <f>IF(終値!A170="","",IFERROR(4*STDEVP(終値!K170:AD170)/AVERAGE(終値!K170:AD170),""))</f>
        <v>8.1282166071878922E-2</v>
      </c>
      <c r="I170" s="503">
        <f>IF(終値!A170="","",IFERROR(4*STDEVP(終値!L170:AE170)/AVERAGE(終値!L170:AE170),""))</f>
        <v>8.2947931557172963E-2</v>
      </c>
      <c r="J170" s="503">
        <f>IF(終値!A170="","",IFERROR(4*STDEVP(終値!M170:AF170)/AVERAGE(終値!M170:AF170),""))</f>
        <v>9.1288852760217684E-2</v>
      </c>
      <c r="K170" s="503">
        <f>IF(終値!A170="","",IFERROR(4*STDEVP(終値!N170:AG170)/AVERAGE(終値!N170:AG170),""))</f>
        <v>9.564302026349375E-2</v>
      </c>
      <c r="L170" s="503">
        <f>IF(終値!A170="","",IFERROR(4*STDEVP(終値!O170:AH170)/AVERAGE(終値!O170:AH170),""))</f>
        <v>9.6128084184718354E-2</v>
      </c>
      <c r="M170" s="503">
        <f>IF(終値!A170="","",IFERROR(4*STDEVP(終値!P170:AI170)/AVERAGE(終値!P170:AI170),""))</f>
        <v>9.5393567999047968E-2</v>
      </c>
      <c r="N170" s="503">
        <f>IF(終値!A170="","",IFERROR(4*STDEVP(終値!Q170:AJ170)/AVERAGE(終値!Q170:AJ170),""))</f>
        <v>9.0328474085773797E-2</v>
      </c>
      <c r="O170" s="503">
        <f>IF(終値!A170="","",IFERROR(4*STDEVP(終値!R170:AK170)/AVERAGE(終値!R170:AK170),""))</f>
        <v>8.0492159228220325E-2</v>
      </c>
      <c r="P170" s="503">
        <f>IF(終値!A170="","",IFERROR(4*STDEVP(終値!S170:AL170)/AVERAGE(終値!S170:AL170),""))</f>
        <v>8.0798065480891773E-2</v>
      </c>
      <c r="Q170" s="503">
        <f>IF(終値!A170="","",IFERROR(4*STDEVP(終値!T170:AM170)/AVERAGE(終値!T170:AM170),""))</f>
        <v>7.6127686190061827E-2</v>
      </c>
      <c r="R170" s="503">
        <f>IF(終値!A170="","",IFERROR(4*STDEVP(終値!U170:AN170)/AVERAGE(終値!U170:AN170),""))</f>
        <v>7.0433812228867479E-2</v>
      </c>
      <c r="S170" s="503">
        <f>IF(終値!A170="","",IFERROR(4*STDEVP(終値!V170:AO170)/AVERAGE(終値!V170:AO170),""))</f>
        <v>6.8422180611760031E-2</v>
      </c>
      <c r="T170" s="503">
        <f>IF(終値!A170="","",IFERROR(4*STDEVP(終値!W170:AP170)/AVERAGE(終値!W170:AP170),""))</f>
        <v>6.313960886772127E-2</v>
      </c>
      <c r="U170" s="503">
        <f>IF(終値!A170="","",IFERROR(4*STDEVP(終値!X170:AQ170)/AVERAGE(終値!X170:AQ170),""))</f>
        <v>6.9844324056175092E-2</v>
      </c>
      <c r="V170" s="503">
        <f>IF(終値!A170="","",IFERROR(4*STDEVP(終値!Y170:AR170)/AVERAGE(終値!Y170:AR170),""))</f>
        <v>8.5477812612506268E-2</v>
      </c>
      <c r="W170" s="503">
        <f>IF(終値!A170="","",IFERROR(4*STDEVP(終値!Z170:AS170)/AVERAGE(終値!Z170:AS170),""))</f>
        <v>0.10284832556769945</v>
      </c>
      <c r="X170" s="503">
        <f>IF(終値!A170="","",IFERROR(4*STDEVP(終値!AA170:AT170)/AVERAGE(終値!AA170:AT170),""))</f>
        <v>0.11147482007708522</v>
      </c>
      <c r="Y170" s="503">
        <f>IF(終値!A170="","",IFERROR(4*STDEVP(終値!AB170:AU170)/AVERAGE(終値!AB170:AU170),""))</f>
        <v>0.11413868529439029</v>
      </c>
      <c r="Z170" s="503">
        <f>IF(終値!A170="","",IFERROR(4*STDEVP(終値!AC170:AV170)/AVERAGE(終値!AC170:AV170),""))</f>
        <v>0.11355428394185181</v>
      </c>
      <c r="AA170" s="503">
        <f>IF(終値!A170="","",IFERROR(4*STDEVP(終値!AD170:AW170)/AVERAGE(終値!AD170:AW170),""))</f>
        <v>0.11489409878877146</v>
      </c>
      <c r="AB170" s="503">
        <f>IF(終値!A170="","",IFERROR(4*STDEVP(終値!AE170:AX170)/AVERAGE(終値!AE170:AX170),""))</f>
        <v>0.12085549304247306</v>
      </c>
      <c r="AC170" s="503">
        <f>IF(終値!A170="","",IFERROR(4*STDEVP(終値!AF170:AY170)/AVERAGE(終値!AF170:AY170),""))</f>
        <v>0.12118870923246711</v>
      </c>
      <c r="AD170" s="503">
        <f>IF(終値!A170="","",IFERROR(4*STDEVP(終値!AG170:AZ170)/AVERAGE(終値!AG170:AZ170),""))</f>
        <v>0.12101854183627159</v>
      </c>
      <c r="AE170" s="503">
        <f>IF(終値!A170="","",IFERROR(4*STDEVP(終値!AH170:BA170)/AVERAGE(終値!AH170:BA170),""))</f>
        <v>0.12106915945842882</v>
      </c>
      <c r="AF170" s="503">
        <f>IF(終値!A170="","",IFERROR(4*STDEVP(終値!AI170:BB170)/AVERAGE(終値!AI170:BB170),""))</f>
        <v>0.12075970465069062</v>
      </c>
      <c r="AG170" s="503">
        <f>IF(終値!A170="","",IFERROR(4*STDEVP(終値!AJ170:BC170)/AVERAGE(終値!AJ170:BC170),""))</f>
        <v>0.12051212520452344</v>
      </c>
      <c r="AH170" s="503">
        <f>IF(終値!A170="","",IFERROR(4*STDEVP(終値!AK170:BD170)/AVERAGE(終値!AK170:BD170),""))</f>
        <v>0.12065412635343593</v>
      </c>
      <c r="AI170" s="503">
        <f>IF(終値!A170="","",IFERROR(4*STDEVP(終値!AL170:BE170)/AVERAGE(終値!AL170:BE170),""))</f>
        <v>0.11212571590651431</v>
      </c>
      <c r="AJ170" s="503">
        <f>IF(終値!A170="","",IFERROR(4*STDEVP(終値!AM170:BF170)/AVERAGE(終値!AM170:BF170),""))</f>
        <v>9.3457418942262824E-2</v>
      </c>
      <c r="AK170" s="503">
        <f>IF(終値!A170="","",IFERROR(4*STDEVP(終値!AN170:BG170)/AVERAGE(終値!AN170:BG170),""))</f>
        <v>9.3187464502944323E-2</v>
      </c>
      <c r="AL170" s="503">
        <f>IF(終値!A170="","",IFERROR(4*STDEVP(終値!AO170:BH170)/AVERAGE(終値!AO170:BH170),""))</f>
        <v>9.6301291274628331E-2</v>
      </c>
      <c r="AM170" s="503">
        <f>IF(終値!A170="","",IFERROR(4*STDEVP(終値!AP170:BI170)/AVERAGE(終値!AP170:BI170),""))</f>
        <v>9.9165721493494147E-2</v>
      </c>
      <c r="AN170" s="503">
        <f>IF(終値!A170="","",IFERROR(4*STDEVP(終値!AQ170:BJ170)/AVERAGE(終値!AQ170:BJ170),""))</f>
        <v>8.9535709348188358E-2</v>
      </c>
      <c r="AO170" s="503">
        <f>IF(終値!A170="","",IFERROR(4*STDEVP(終値!AR170:BK170)/AVERAGE(終値!AR170:BK170),""))</f>
        <v>8.925749264059317E-2</v>
      </c>
      <c r="AP170" s="503">
        <f>IF(終値!A170="","",IFERROR(4*STDEVP(終値!AS170:BL170)/AVERAGE(終値!AS170:BL170),""))</f>
        <v>8.5636196442192891E-2</v>
      </c>
    </row>
    <row r="171" spans="1:42">
      <c r="A171" s="500" t="str">
        <f>IF(終値!A171="","",終値!A171)</f>
        <v>7981</v>
      </c>
      <c r="B171" s="503">
        <f>IF(終値!A171="","",IFERROR(4*STDEVP(終値!E171:X171)/AVERAGE(終値!E171:X171),""))</f>
        <v>0.10279148872143057</v>
      </c>
      <c r="C171" s="503">
        <f>IF(終値!A171="","",IFERROR(4*STDEVP(終値!F171:Y171)/AVERAGE(終値!F171:Y171),""))</f>
        <v>9.7444392099603733E-2</v>
      </c>
      <c r="D171" s="503">
        <f>IF(終値!A171="","",IFERROR(4*STDEVP(終値!G171:Z171)/AVERAGE(終値!G171:Z171),""))</f>
        <v>9.2324686847807785E-2</v>
      </c>
      <c r="E171" s="503">
        <f>IF(終値!A171="","",IFERROR(4*STDEVP(終値!H171:AA171)/AVERAGE(終値!H171:AA171),""))</f>
        <v>9.026153599754469E-2</v>
      </c>
      <c r="F171" s="503">
        <f>IF(終値!A171="","",IFERROR(4*STDEVP(終値!I171:AB171)/AVERAGE(終値!I171:AB171),""))</f>
        <v>8.7502436304330619E-2</v>
      </c>
      <c r="G171" s="503">
        <f>IF(終値!A171="","",IFERROR(4*STDEVP(終値!J171:AC171)/AVERAGE(終値!J171:AC171),""))</f>
        <v>7.295153051580866E-2</v>
      </c>
      <c r="H171" s="503">
        <f>IF(終値!A171="","",IFERROR(4*STDEVP(終値!K171:AD171)/AVERAGE(終値!K171:AD171),""))</f>
        <v>5.3933324330862585E-2</v>
      </c>
      <c r="I171" s="503">
        <f>IF(終値!A171="","",IFERROR(4*STDEVP(終値!L171:AE171)/AVERAGE(終値!L171:AE171),""))</f>
        <v>3.5213912332634136E-2</v>
      </c>
      <c r="J171" s="503">
        <f>IF(終値!A171="","",IFERROR(4*STDEVP(終値!M171:AF171)/AVERAGE(終値!M171:AF171),""))</f>
        <v>3.290815340984328E-2</v>
      </c>
      <c r="K171" s="503">
        <f>IF(終値!A171="","",IFERROR(4*STDEVP(終値!N171:AG171)/AVERAGE(終値!N171:AG171),""))</f>
        <v>3.3235310305089659E-2</v>
      </c>
      <c r="L171" s="503">
        <f>IF(終値!A171="","",IFERROR(4*STDEVP(終値!O171:AH171)/AVERAGE(終値!O171:AH171),""))</f>
        <v>3.4412681699318444E-2</v>
      </c>
      <c r="M171" s="503">
        <f>IF(終値!A171="","",IFERROR(4*STDEVP(終値!P171:AI171)/AVERAGE(終値!P171:AI171),""))</f>
        <v>3.7551376439403032E-2</v>
      </c>
      <c r="N171" s="503">
        <f>IF(終値!A171="","",IFERROR(4*STDEVP(終値!Q171:AJ171)/AVERAGE(終値!Q171:AJ171),""))</f>
        <v>4.1361950901244629E-2</v>
      </c>
      <c r="O171" s="503">
        <f>IF(終値!A171="","",IFERROR(4*STDEVP(終値!R171:AK171)/AVERAGE(終値!R171:AK171),""))</f>
        <v>4.4557131854866337E-2</v>
      </c>
      <c r="P171" s="503">
        <f>IF(終値!A171="","",IFERROR(4*STDEVP(終値!S171:AL171)/AVERAGE(終値!S171:AL171),""))</f>
        <v>4.8681938135511256E-2</v>
      </c>
      <c r="Q171" s="503">
        <f>IF(終値!A171="","",IFERROR(4*STDEVP(終値!T171:AM171)/AVERAGE(終値!T171:AM171),""))</f>
        <v>4.9334872338755741E-2</v>
      </c>
      <c r="R171" s="503">
        <f>IF(終値!A171="","",IFERROR(4*STDEVP(終値!U171:AN171)/AVERAGE(終値!U171:AN171),""))</f>
        <v>5.6964218684490822E-2</v>
      </c>
      <c r="S171" s="503">
        <f>IF(終値!A171="","",IFERROR(4*STDEVP(終値!V171:AO171)/AVERAGE(終値!V171:AO171),""))</f>
        <v>6.3964242098695931E-2</v>
      </c>
      <c r="T171" s="503">
        <f>IF(終値!A171="","",IFERROR(4*STDEVP(終値!W171:AP171)/AVERAGE(終値!W171:AP171),""))</f>
        <v>7.1396261006916872E-2</v>
      </c>
      <c r="U171" s="503">
        <f>IF(終値!A171="","",IFERROR(4*STDEVP(終値!X171:AQ171)/AVERAGE(終値!X171:AQ171),""))</f>
        <v>7.4497935675555349E-2</v>
      </c>
      <c r="V171" s="503">
        <f>IF(終値!A171="","",IFERROR(4*STDEVP(終値!Y171:AR171)/AVERAGE(終値!Y171:AR171),""))</f>
        <v>7.4152536316233239E-2</v>
      </c>
      <c r="W171" s="503">
        <f>IF(終値!A171="","",IFERROR(4*STDEVP(終値!Z171:AS171)/AVERAGE(終値!Z171:AS171),""))</f>
        <v>7.6259476525529016E-2</v>
      </c>
      <c r="X171" s="503">
        <f>IF(終値!A171="","",IFERROR(4*STDEVP(終値!AA171:AT171)/AVERAGE(終値!AA171:AT171),""))</f>
        <v>7.8665135187346455E-2</v>
      </c>
      <c r="Y171" s="503">
        <f>IF(終値!A171="","",IFERROR(4*STDEVP(終値!AB171:AU171)/AVERAGE(終値!AB171:AU171),""))</f>
        <v>8.3029438236204831E-2</v>
      </c>
      <c r="Z171" s="503">
        <f>IF(終値!A171="","",IFERROR(4*STDEVP(終値!AC171:AV171)/AVERAGE(終値!AC171:AV171),""))</f>
        <v>7.9786810342377598E-2</v>
      </c>
      <c r="AA171" s="503">
        <f>IF(終値!A171="","",IFERROR(4*STDEVP(終値!AD171:AW171)/AVERAGE(終値!AD171:AW171),""))</f>
        <v>7.7804500416982128E-2</v>
      </c>
      <c r="AB171" s="503">
        <f>IF(終値!A171="","",IFERROR(4*STDEVP(終値!AE171:AX171)/AVERAGE(終値!AE171:AX171),""))</f>
        <v>7.3001245153849287E-2</v>
      </c>
      <c r="AC171" s="503">
        <f>IF(終値!A171="","",IFERROR(4*STDEVP(終値!AF171:AY171)/AVERAGE(終値!AF171:AY171),""))</f>
        <v>5.8928054912693699E-2</v>
      </c>
      <c r="AD171" s="503">
        <f>IF(終値!A171="","",IFERROR(4*STDEVP(終値!AG171:AZ171)/AVERAGE(終値!AG171:AZ171),""))</f>
        <v>5.7010403970387598E-2</v>
      </c>
      <c r="AE171" s="503">
        <f>IF(終値!A171="","",IFERROR(4*STDEVP(終値!AH171:BA171)/AVERAGE(終値!AH171:BA171),""))</f>
        <v>5.470900559817142E-2</v>
      </c>
      <c r="AF171" s="503">
        <f>IF(終値!A171="","",IFERROR(4*STDEVP(終値!AI171:BB171)/AVERAGE(終値!AI171:BB171),""))</f>
        <v>5.2486549217741596E-2</v>
      </c>
      <c r="AG171" s="503">
        <f>IF(終値!A171="","",IFERROR(4*STDEVP(終値!AJ171:BC171)/AVERAGE(終値!AJ171:BC171),""))</f>
        <v>4.8330014898290474E-2</v>
      </c>
      <c r="AH171" s="503">
        <f>IF(終値!A171="","",IFERROR(4*STDEVP(終値!AK171:BD171)/AVERAGE(終値!AK171:BD171),""))</f>
        <v>4.7211402795200148E-2</v>
      </c>
      <c r="AI171" s="503">
        <f>IF(終値!A171="","",IFERROR(4*STDEVP(終値!AL171:BE171)/AVERAGE(終値!AL171:BE171),""))</f>
        <v>4.6389975404517697E-2</v>
      </c>
      <c r="AJ171" s="503">
        <f>IF(終値!A171="","",IFERROR(4*STDEVP(終値!AM171:BF171)/AVERAGE(終値!AM171:BF171),""))</f>
        <v>4.6877247980728134E-2</v>
      </c>
      <c r="AK171" s="503">
        <f>IF(終値!A171="","",IFERROR(4*STDEVP(終値!AN171:BG171)/AVERAGE(終値!AN171:BG171),""))</f>
        <v>4.1655200813839249E-2</v>
      </c>
      <c r="AL171" s="503">
        <f>IF(終値!A171="","",IFERROR(4*STDEVP(終値!AO171:BH171)/AVERAGE(終値!AO171:BH171),""))</f>
        <v>4.6885071035832969E-2</v>
      </c>
      <c r="AM171" s="503">
        <f>IF(終値!A171="","",IFERROR(4*STDEVP(終値!AP171:BI171)/AVERAGE(終値!AP171:BI171),""))</f>
        <v>6.2662121825686951E-2</v>
      </c>
      <c r="AN171" s="503">
        <f>IF(終値!A171="","",IFERROR(4*STDEVP(終値!AQ171:BJ171)/AVERAGE(終値!AQ171:BJ171),""))</f>
        <v>6.7595450680976776E-2</v>
      </c>
      <c r="AO171" s="503">
        <f>IF(終値!A171="","",IFERROR(4*STDEVP(終値!AR171:BK171)/AVERAGE(終値!AR171:BK171),""))</f>
        <v>9.7630316636162381E-2</v>
      </c>
      <c r="AP171" s="503">
        <f>IF(終値!A171="","",IFERROR(4*STDEVP(終値!AS171:BL171)/AVERAGE(終値!AS171:BL171),""))</f>
        <v>0.10090193043197553</v>
      </c>
    </row>
    <row r="172" spans="1:42">
      <c r="A172" s="500" t="str">
        <f>IF(終値!A172="","",終値!A172)</f>
        <v>8303</v>
      </c>
      <c r="B172" s="503">
        <f>IF(終値!A172="","",IFERROR(4*STDEVP(終値!E172:X172)/AVERAGE(終値!E172:X172),""))</f>
        <v>6.0614215291893231E-2</v>
      </c>
      <c r="C172" s="503">
        <f>IF(終値!A172="","",IFERROR(4*STDEVP(終値!F172:Y172)/AVERAGE(終値!F172:Y172),""))</f>
        <v>6.0210280263401431E-2</v>
      </c>
      <c r="D172" s="503">
        <f>IF(終値!A172="","",IFERROR(4*STDEVP(終値!G172:Z172)/AVERAGE(終値!G172:Z172),""))</f>
        <v>6.4285964368506865E-2</v>
      </c>
      <c r="E172" s="503">
        <f>IF(終値!A172="","",IFERROR(4*STDEVP(終値!H172:AA172)/AVERAGE(終値!H172:AA172),""))</f>
        <v>7.5000650195837182E-2</v>
      </c>
      <c r="F172" s="503">
        <f>IF(終値!A172="","",IFERROR(4*STDEVP(終値!I172:AB172)/AVERAGE(終値!I172:AB172),""))</f>
        <v>8.276015411881138E-2</v>
      </c>
      <c r="G172" s="503">
        <f>IF(終値!A172="","",IFERROR(4*STDEVP(終値!J172:AC172)/AVERAGE(終値!J172:AC172),""))</f>
        <v>8.2794222541236681E-2</v>
      </c>
      <c r="H172" s="503">
        <f>IF(終値!A172="","",IFERROR(4*STDEVP(終値!K172:AD172)/AVERAGE(終値!K172:AD172),""))</f>
        <v>8.8225385769612669E-2</v>
      </c>
      <c r="I172" s="503">
        <f>IF(終値!A172="","",IFERROR(4*STDEVP(終値!L172:AE172)/AVERAGE(終値!L172:AE172),""))</f>
        <v>9.0546665065064924E-2</v>
      </c>
      <c r="J172" s="503">
        <f>IF(終値!A172="","",IFERROR(4*STDEVP(終値!M172:AF172)/AVERAGE(終値!M172:AF172),""))</f>
        <v>9.1080787037453634E-2</v>
      </c>
      <c r="K172" s="503">
        <f>IF(終値!A172="","",IFERROR(4*STDEVP(終値!N172:AG172)/AVERAGE(終値!N172:AG172),""))</f>
        <v>9.3260993586170932E-2</v>
      </c>
      <c r="L172" s="503">
        <f>IF(終値!A172="","",IFERROR(4*STDEVP(終値!O172:AH172)/AVERAGE(終値!O172:AH172),""))</f>
        <v>9.3070527175530687E-2</v>
      </c>
      <c r="M172" s="503">
        <f>IF(終値!A172="","",IFERROR(4*STDEVP(終値!P172:AI172)/AVERAGE(終値!P172:AI172),""))</f>
        <v>9.4674111099272165E-2</v>
      </c>
      <c r="N172" s="503">
        <f>IF(終値!A172="","",IFERROR(4*STDEVP(終値!Q172:AJ172)/AVERAGE(終値!Q172:AJ172),""))</f>
        <v>9.9839314003346044E-2</v>
      </c>
      <c r="O172" s="503">
        <f>IF(終値!A172="","",IFERROR(4*STDEVP(終値!R172:AK172)/AVERAGE(終値!R172:AK172),""))</f>
        <v>9.7276894920813053E-2</v>
      </c>
      <c r="P172" s="503">
        <f>IF(終値!A172="","",IFERROR(4*STDEVP(終値!S172:AL172)/AVERAGE(終値!S172:AL172),""))</f>
        <v>9.718061992918163E-2</v>
      </c>
      <c r="Q172" s="503">
        <f>IF(終値!A172="","",IFERROR(4*STDEVP(終値!T172:AM172)/AVERAGE(終値!T172:AM172),""))</f>
        <v>0.10323121102880131</v>
      </c>
      <c r="R172" s="503">
        <f>IF(終値!A172="","",IFERROR(4*STDEVP(終値!U172:AN172)/AVERAGE(終値!U172:AN172),""))</f>
        <v>0.1039746889656387</v>
      </c>
      <c r="S172" s="503">
        <f>IF(終値!A172="","",IFERROR(4*STDEVP(終値!V172:AO172)/AVERAGE(終値!V172:AO172),""))</f>
        <v>0.10395445234238339</v>
      </c>
      <c r="T172" s="503">
        <f>IF(終値!A172="","",IFERROR(4*STDEVP(終値!W172:AP172)/AVERAGE(終値!W172:AP172),""))</f>
        <v>0.10241315186326935</v>
      </c>
      <c r="U172" s="503">
        <f>IF(終値!A172="","",IFERROR(4*STDEVP(終値!X172:AQ172)/AVERAGE(終値!X172:AQ172),""))</f>
        <v>9.7271923643990524E-2</v>
      </c>
      <c r="V172" s="503">
        <f>IF(終値!A172="","",IFERROR(4*STDEVP(終値!Y172:AR172)/AVERAGE(終値!Y172:AR172),""))</f>
        <v>9.6353800089841193E-2</v>
      </c>
      <c r="W172" s="503">
        <f>IF(終値!A172="","",IFERROR(4*STDEVP(終値!Z172:AS172)/AVERAGE(終値!Z172:AS172),""))</f>
        <v>9.5509604454606586E-2</v>
      </c>
      <c r="X172" s="503">
        <f>IF(終値!A172="","",IFERROR(4*STDEVP(終値!AA172:AT172)/AVERAGE(終値!AA172:AT172),""))</f>
        <v>9.7355637100844133E-2</v>
      </c>
      <c r="Y172" s="503">
        <f>IF(終値!A172="","",IFERROR(4*STDEVP(終値!AB172:AU172)/AVERAGE(終値!AB172:AU172),""))</f>
        <v>9.9312506450170035E-2</v>
      </c>
      <c r="Z172" s="503">
        <f>IF(終値!A172="","",IFERROR(4*STDEVP(終値!AC172:AV172)/AVERAGE(終値!AC172:AV172),""))</f>
        <v>9.676528728578028E-2</v>
      </c>
      <c r="AA172" s="503">
        <f>IF(終値!A172="","",IFERROR(4*STDEVP(終値!AD172:AW172)/AVERAGE(終値!AD172:AW172),""))</f>
        <v>0.10467346409604468</v>
      </c>
      <c r="AB172" s="503">
        <f>IF(終値!A172="","",IFERROR(4*STDEVP(終値!AE172:AX172)/AVERAGE(終値!AE172:AX172),""))</f>
        <v>0.1059773460763557</v>
      </c>
      <c r="AC172" s="503">
        <f>IF(終値!A172="","",IFERROR(4*STDEVP(終値!AF172:AY172)/AVERAGE(終値!AF172:AY172),""))</f>
        <v>0.10696432487107269</v>
      </c>
      <c r="AD172" s="503">
        <f>IF(終値!A172="","",IFERROR(4*STDEVP(終値!AG172:AZ172)/AVERAGE(終値!AG172:AZ172),""))</f>
        <v>0.11221641781932837</v>
      </c>
      <c r="AE172" s="503">
        <f>IF(終値!A172="","",IFERROR(4*STDEVP(終値!AH172:BA172)/AVERAGE(終値!AH172:BA172),""))</f>
        <v>0.11848916981758444</v>
      </c>
      <c r="AF172" s="503">
        <f>IF(終値!A172="","",IFERROR(4*STDEVP(終値!AI172:BB172)/AVERAGE(終値!AI172:BB172),""))</f>
        <v>0.14098450734256149</v>
      </c>
      <c r="AG172" s="503">
        <f>IF(終値!A172="","",IFERROR(4*STDEVP(終値!AJ172:BC172)/AVERAGE(終値!AJ172:BC172),""))</f>
        <v>0.16664803781241189</v>
      </c>
      <c r="AH172" s="503">
        <f>IF(終値!A172="","",IFERROR(4*STDEVP(終値!AK172:BD172)/AVERAGE(終値!AK172:BD172),""))</f>
        <v>0.19809350561905675</v>
      </c>
      <c r="AI172" s="503">
        <f>IF(終値!A172="","",IFERROR(4*STDEVP(終値!AL172:BE172)/AVERAGE(終値!AL172:BE172),""))</f>
        <v>0.22884276156058769</v>
      </c>
      <c r="AJ172" s="503">
        <f>IF(終値!A172="","",IFERROR(4*STDEVP(終値!AM172:BF172)/AVERAGE(終値!AM172:BF172),""))</f>
        <v>0.24497971794702009</v>
      </c>
      <c r="AK172" s="503">
        <f>IF(終値!A172="","",IFERROR(4*STDEVP(終値!AN172:BG172)/AVERAGE(終値!AN172:BG172),""))</f>
        <v>0.26711725045152845</v>
      </c>
      <c r="AL172" s="503">
        <f>IF(終値!A172="","",IFERROR(4*STDEVP(終値!AO172:BH172)/AVERAGE(終値!AO172:BH172),""))</f>
        <v>0.28502041959306829</v>
      </c>
      <c r="AM172" s="503">
        <f>IF(終値!A172="","",IFERROR(4*STDEVP(終値!AP172:BI172)/AVERAGE(終値!AP172:BI172),""))</f>
        <v>0.29422375562172537</v>
      </c>
      <c r="AN172" s="503">
        <f>IF(終値!A172="","",IFERROR(4*STDEVP(終値!AQ172:BJ172)/AVERAGE(終値!AQ172:BJ172),""))</f>
        <v>0.30718158620024011</v>
      </c>
      <c r="AO172" s="503">
        <f>IF(終値!A172="","",IFERROR(4*STDEVP(終値!AR172:BK172)/AVERAGE(終値!AR172:BK172),""))</f>
        <v>0.31247860725404625</v>
      </c>
      <c r="AP172" s="503">
        <f>IF(終値!A172="","",IFERROR(4*STDEVP(終値!AS172:BL172)/AVERAGE(終値!AS172:BL172),""))</f>
        <v>0.31717873602337543</v>
      </c>
    </row>
    <row r="173" spans="1:42">
      <c r="A173" s="500" t="str">
        <f>IF(終値!A173="","",終値!A173)</f>
        <v>4382</v>
      </c>
      <c r="B173" s="503">
        <f>IF(終値!A173="","",IFERROR(4*STDEVP(終値!E173:X173)/AVERAGE(終値!E173:X173),""))</f>
        <v>5.2489253076779797E-2</v>
      </c>
      <c r="C173" s="503">
        <f>IF(終値!A173="","",IFERROR(4*STDEVP(終値!F173:Y173)/AVERAGE(終値!F173:Y173),""))</f>
        <v>5.4736860143054782E-2</v>
      </c>
      <c r="D173" s="503">
        <f>IF(終値!A173="","",IFERROR(4*STDEVP(終値!G173:Z173)/AVERAGE(終値!G173:Z173),""))</f>
        <v>5.5569398338305737E-2</v>
      </c>
      <c r="E173" s="503">
        <f>IF(終値!A173="","",IFERROR(4*STDEVP(終値!H173:AA173)/AVERAGE(終値!H173:AA173),""))</f>
        <v>5.7212910898525225E-2</v>
      </c>
      <c r="F173" s="503">
        <f>IF(終値!A173="","",IFERROR(4*STDEVP(終値!I173:AB173)/AVERAGE(終値!I173:AB173),""))</f>
        <v>5.8159171458531563E-2</v>
      </c>
      <c r="G173" s="503">
        <f>IF(終値!A173="","",IFERROR(4*STDEVP(終値!J173:AC173)/AVERAGE(終値!J173:AC173),""))</f>
        <v>7.9921190778167728E-2</v>
      </c>
      <c r="H173" s="503">
        <f>IF(終値!A173="","",IFERROR(4*STDEVP(終値!K173:AD173)/AVERAGE(終値!K173:AD173),""))</f>
        <v>7.778221167482964E-2</v>
      </c>
      <c r="I173" s="503">
        <f>IF(終値!A173="","",IFERROR(4*STDEVP(終値!L173:AE173)/AVERAGE(終値!L173:AE173),""))</f>
        <v>7.7882177947560555E-2</v>
      </c>
      <c r="J173" s="503">
        <f>IF(終値!A173="","",IFERROR(4*STDEVP(終値!M173:AF173)/AVERAGE(終値!M173:AF173),""))</f>
        <v>7.5957988994411058E-2</v>
      </c>
      <c r="K173" s="503">
        <f>IF(終値!A173="","",IFERROR(4*STDEVP(終値!N173:AG173)/AVERAGE(終値!N173:AG173),""))</f>
        <v>7.5048276446707515E-2</v>
      </c>
      <c r="L173" s="503">
        <f>IF(終値!A173="","",IFERROR(4*STDEVP(終値!O173:AH173)/AVERAGE(終値!O173:AH173),""))</f>
        <v>7.6949930596903873E-2</v>
      </c>
      <c r="M173" s="503">
        <f>IF(終値!A173="","",IFERROR(4*STDEVP(終値!P173:AI173)/AVERAGE(終値!P173:AI173),""))</f>
        <v>7.7599064098012649E-2</v>
      </c>
      <c r="N173" s="503">
        <f>IF(終値!A173="","",IFERROR(4*STDEVP(終値!Q173:AJ173)/AVERAGE(終値!Q173:AJ173),""))</f>
        <v>0.10166659926310488</v>
      </c>
      <c r="O173" s="503">
        <f>IF(終値!A173="","",IFERROR(4*STDEVP(終値!R173:AK173)/AVERAGE(終値!R173:AK173),""))</f>
        <v>0.13094007029511179</v>
      </c>
      <c r="P173" s="503">
        <f>IF(終値!A173="","",IFERROR(4*STDEVP(終値!S173:AL173)/AVERAGE(終値!S173:AL173),""))</f>
        <v>0.15375291794296278</v>
      </c>
      <c r="Q173" s="503">
        <f>IF(終値!A173="","",IFERROR(4*STDEVP(終値!T173:AM173)/AVERAGE(終値!T173:AM173),""))</f>
        <v>0.16357140536543044</v>
      </c>
      <c r="R173" s="503">
        <f>IF(終値!A173="","",IFERROR(4*STDEVP(終値!U173:AN173)/AVERAGE(終値!U173:AN173),""))</f>
        <v>0.17611587405708148</v>
      </c>
      <c r="S173" s="503">
        <f>IF(終値!A173="","",IFERROR(4*STDEVP(終値!V173:AO173)/AVERAGE(終値!V173:AO173),""))</f>
        <v>0.16909518479229746</v>
      </c>
      <c r="T173" s="503">
        <f>IF(終値!A173="","",IFERROR(4*STDEVP(終値!W173:AP173)/AVERAGE(終値!W173:AP173),""))</f>
        <v>0.16786368562141696</v>
      </c>
      <c r="U173" s="503">
        <f>IF(終値!A173="","",IFERROR(4*STDEVP(終値!X173:AQ173)/AVERAGE(終値!X173:AQ173),""))</f>
        <v>0.17094297915637091</v>
      </c>
      <c r="V173" s="503">
        <f>IF(終値!A173="","",IFERROR(4*STDEVP(終値!Y173:AR173)/AVERAGE(終値!Y173:AR173),""))</f>
        <v>0.17113095554470661</v>
      </c>
      <c r="W173" s="503">
        <f>IF(終値!A173="","",IFERROR(4*STDEVP(終値!Z173:AS173)/AVERAGE(終値!Z173:AS173),""))</f>
        <v>0.17664727410301054</v>
      </c>
      <c r="X173" s="503">
        <f>IF(終値!A173="","",IFERROR(4*STDEVP(終値!AA173:AT173)/AVERAGE(終値!AA173:AT173),""))</f>
        <v>0.18036107677394947</v>
      </c>
      <c r="Y173" s="503">
        <f>IF(終値!A173="","",IFERROR(4*STDEVP(終値!AB173:AU173)/AVERAGE(終値!AB173:AU173),""))</f>
        <v>0.1846185441926306</v>
      </c>
      <c r="Z173" s="503">
        <f>IF(終値!A173="","",IFERROR(4*STDEVP(終値!AC173:AV173)/AVERAGE(終値!AC173:AV173),""))</f>
        <v>0.18518359895325864</v>
      </c>
      <c r="AA173" s="503">
        <f>IF(終値!A173="","",IFERROR(4*STDEVP(終値!AD173:AW173)/AVERAGE(終値!AD173:AW173),""))</f>
        <v>0.18612119293998802</v>
      </c>
      <c r="AB173" s="503">
        <f>IF(終値!A173="","",IFERROR(4*STDEVP(終値!AE173:AX173)/AVERAGE(終値!AE173:AX173),""))</f>
        <v>0.18375265525284143</v>
      </c>
      <c r="AC173" s="503">
        <f>IF(終値!A173="","",IFERROR(4*STDEVP(終値!AF173:AY173)/AVERAGE(終値!AF173:AY173),""))</f>
        <v>0.18231174467336944</v>
      </c>
      <c r="AD173" s="503">
        <f>IF(終値!A173="","",IFERROR(4*STDEVP(終値!AG173:AZ173)/AVERAGE(終値!AG173:AZ173),""))</f>
        <v>0.18079675914115539</v>
      </c>
      <c r="AE173" s="503">
        <f>IF(終値!A173="","",IFERROR(4*STDEVP(終値!AH173:BA173)/AVERAGE(終値!AH173:BA173),""))</f>
        <v>0.17731708915937797</v>
      </c>
      <c r="AF173" s="503">
        <f>IF(終値!A173="","",IFERROR(4*STDEVP(終値!AI173:BB173)/AVERAGE(終値!AI173:BB173),""))</f>
        <v>0.17709252914363341</v>
      </c>
      <c r="AG173" s="503">
        <f>IF(終値!A173="","",IFERROR(4*STDEVP(終値!AJ173:BC173)/AVERAGE(終値!AJ173:BC173),""))</f>
        <v>0.17734436055939931</v>
      </c>
      <c r="AH173" s="503">
        <f>IF(終値!A173="","",IFERROR(4*STDEVP(終値!AK173:BD173)/AVERAGE(終値!AK173:BD173),""))</f>
        <v>0.17615379574439519</v>
      </c>
      <c r="AI173" s="503">
        <f>IF(終値!A173="","",IFERROR(4*STDEVP(終値!AL173:BE173)/AVERAGE(終値!AL173:BE173),""))</f>
        <v>0.17140400026320368</v>
      </c>
      <c r="AJ173" s="503">
        <f>IF(終値!A173="","",IFERROR(4*STDEVP(終値!AM173:BF173)/AVERAGE(終値!AM173:BF173),""))</f>
        <v>0.16544784514659866</v>
      </c>
      <c r="AK173" s="503">
        <f>IF(終値!A173="","",IFERROR(4*STDEVP(終値!AN173:BG173)/AVERAGE(終値!AN173:BG173),""))</f>
        <v>0.16353244906792452</v>
      </c>
      <c r="AL173" s="503">
        <f>IF(終値!A173="","",IFERROR(4*STDEVP(終値!AO173:BH173)/AVERAGE(終値!AO173:BH173),""))</f>
        <v>0.15503436310810131</v>
      </c>
      <c r="AM173" s="503">
        <f>IF(終値!A173="","",IFERROR(4*STDEVP(終値!AP173:BI173)/AVERAGE(終値!AP173:BI173),""))</f>
        <v>0.1599270096178643</v>
      </c>
      <c r="AN173" s="503">
        <f>IF(終値!A173="","",IFERROR(4*STDEVP(終値!AQ173:BJ173)/AVERAGE(終値!AQ173:BJ173),""))</f>
        <v>0.17200150509819559</v>
      </c>
      <c r="AO173" s="503">
        <f>IF(終値!A173="","",IFERROR(4*STDEVP(終値!AR173:BK173)/AVERAGE(終値!AR173:BK173),""))</f>
        <v>0.17613122617970911</v>
      </c>
      <c r="AP173" s="503">
        <f>IF(終値!A173="","",IFERROR(4*STDEVP(終値!AS173:BL173)/AVERAGE(終値!AS173:BL173),""))</f>
        <v>0.1811269168062043</v>
      </c>
    </row>
    <row r="174" spans="1:42">
      <c r="A174" s="500" t="str">
        <f>IF(終値!A174="","",終値!A174)</f>
        <v>2327</v>
      </c>
      <c r="B174" s="503">
        <f>IF(終値!A174="","",IFERROR(4*STDEVP(終値!E174:X174)/AVERAGE(終値!E174:X174),""))</f>
        <v>8.8554759646836637E-2</v>
      </c>
      <c r="C174" s="503">
        <f>IF(終値!A174="","",IFERROR(4*STDEVP(終値!F174:Y174)/AVERAGE(終値!F174:Y174),""))</f>
        <v>9.8647792196131429E-2</v>
      </c>
      <c r="D174" s="503">
        <f>IF(終値!A174="","",IFERROR(4*STDEVP(終値!G174:Z174)/AVERAGE(終値!G174:Z174),""))</f>
        <v>0.1225016864588763</v>
      </c>
      <c r="E174" s="503">
        <f>IF(終値!A174="","",IFERROR(4*STDEVP(終値!H174:AA174)/AVERAGE(終値!H174:AA174),""))</f>
        <v>0.16174309647567603</v>
      </c>
      <c r="F174" s="503">
        <f>IF(終値!A174="","",IFERROR(4*STDEVP(終値!I174:AB174)/AVERAGE(終値!I174:AB174),""))</f>
        <v>0.1783650323955053</v>
      </c>
      <c r="G174" s="503">
        <f>IF(終値!A174="","",IFERROR(4*STDEVP(終値!J174:AC174)/AVERAGE(終値!J174:AC174),""))</f>
        <v>0.18770331968290041</v>
      </c>
      <c r="H174" s="503">
        <f>IF(終値!A174="","",IFERROR(4*STDEVP(終値!K174:AD174)/AVERAGE(終値!K174:AD174),""))</f>
        <v>0.20935346962572021</v>
      </c>
      <c r="I174" s="503">
        <f>IF(終値!A174="","",IFERROR(4*STDEVP(終値!L174:AE174)/AVERAGE(終値!L174:AE174),""))</f>
        <v>0.22973762219952765</v>
      </c>
      <c r="J174" s="503">
        <f>IF(終値!A174="","",IFERROR(4*STDEVP(終値!M174:AF174)/AVERAGE(終値!M174:AF174),""))</f>
        <v>0.24758987631880414</v>
      </c>
      <c r="K174" s="503">
        <f>IF(終値!A174="","",IFERROR(4*STDEVP(終値!N174:AG174)/AVERAGE(終値!N174:AG174),""))</f>
        <v>0.26836584208639819</v>
      </c>
      <c r="L174" s="503">
        <f>IF(終値!A174="","",IFERROR(4*STDEVP(終値!O174:AH174)/AVERAGE(終値!O174:AH174),""))</f>
        <v>0.27896748595398901</v>
      </c>
      <c r="M174" s="503">
        <f>IF(終値!A174="","",IFERROR(4*STDEVP(終値!P174:AI174)/AVERAGE(終値!P174:AI174),""))</f>
        <v>0.28380699500360262</v>
      </c>
      <c r="N174" s="503">
        <f>IF(終値!A174="","",IFERROR(4*STDEVP(終値!Q174:AJ174)/AVERAGE(終値!Q174:AJ174),""))</f>
        <v>0.28674271047930533</v>
      </c>
      <c r="O174" s="503">
        <f>IF(終値!A174="","",IFERROR(4*STDEVP(終値!R174:AK174)/AVERAGE(終値!R174:AK174),""))</f>
        <v>0.29184147627614615</v>
      </c>
      <c r="P174" s="503">
        <f>IF(終値!A174="","",IFERROR(4*STDEVP(終値!S174:AL174)/AVERAGE(終値!S174:AL174),""))</f>
        <v>0.28714642286630121</v>
      </c>
      <c r="Q174" s="503">
        <f>IF(終値!A174="","",IFERROR(4*STDEVP(終値!T174:AM174)/AVERAGE(終値!T174:AM174),""))</f>
        <v>0.27537749376526321</v>
      </c>
      <c r="R174" s="503">
        <f>IF(終値!A174="","",IFERROR(4*STDEVP(終値!U174:AN174)/AVERAGE(終値!U174:AN174),""))</f>
        <v>0.26089552048080128</v>
      </c>
      <c r="S174" s="503">
        <f>IF(終値!A174="","",IFERROR(4*STDEVP(終値!V174:AO174)/AVERAGE(終値!V174:AO174),""))</f>
        <v>0.24409472122225123</v>
      </c>
      <c r="T174" s="503">
        <f>IF(終値!A174="","",IFERROR(4*STDEVP(終値!W174:AP174)/AVERAGE(終値!W174:AP174),""))</f>
        <v>0.2140830760684507</v>
      </c>
      <c r="U174" s="503">
        <f>IF(終値!A174="","",IFERROR(4*STDEVP(終値!X174:AQ174)/AVERAGE(終値!X174:AQ174),""))</f>
        <v>0.17425364550895139</v>
      </c>
      <c r="V174" s="503">
        <f>IF(終値!A174="","",IFERROR(4*STDEVP(終値!Y174:AR174)/AVERAGE(終値!Y174:AR174),""))</f>
        <v>0.14437987088053436</v>
      </c>
      <c r="W174" s="503">
        <f>IF(終値!A174="","",IFERROR(4*STDEVP(終値!Z174:AS174)/AVERAGE(終値!Z174:AS174),""))</f>
        <v>0.12364747004996994</v>
      </c>
      <c r="X174" s="503">
        <f>IF(終値!A174="","",IFERROR(4*STDEVP(終値!AA174:AT174)/AVERAGE(終値!AA174:AT174),""))</f>
        <v>0.11669117082327815</v>
      </c>
      <c r="Y174" s="503">
        <f>IF(終値!A174="","",IFERROR(4*STDEVP(終値!AB174:AU174)/AVERAGE(終値!AB174:AU174),""))</f>
        <v>0.13712597163607254</v>
      </c>
      <c r="Z174" s="503">
        <f>IF(終値!A174="","",IFERROR(4*STDEVP(終値!AC174:AV174)/AVERAGE(終値!AC174:AV174),""))</f>
        <v>0.14423138695525697</v>
      </c>
      <c r="AA174" s="503">
        <f>IF(終値!A174="","",IFERROR(4*STDEVP(終値!AD174:AW174)/AVERAGE(終値!AD174:AW174),""))</f>
        <v>0.15423761907356964</v>
      </c>
      <c r="AB174" s="503">
        <f>IF(終値!A174="","",IFERROR(4*STDEVP(終値!AE174:AX174)/AVERAGE(終値!AE174:AX174),""))</f>
        <v>0.16916880845550827</v>
      </c>
      <c r="AC174" s="503">
        <f>IF(終値!A174="","",IFERROR(4*STDEVP(終値!AF174:AY174)/AVERAGE(終値!AF174:AY174),""))</f>
        <v>0.18808432223462873</v>
      </c>
      <c r="AD174" s="503">
        <f>IF(終値!A174="","",IFERROR(4*STDEVP(終値!AG174:AZ174)/AVERAGE(終値!AG174:AZ174),""))</f>
        <v>0.19557449822116296</v>
      </c>
      <c r="AE174" s="503">
        <f>IF(終値!A174="","",IFERROR(4*STDEVP(終値!AH174:BA174)/AVERAGE(終値!AH174:BA174),""))</f>
        <v>0.19579642011293794</v>
      </c>
      <c r="AF174" s="503">
        <f>IF(終値!A174="","",IFERROR(4*STDEVP(終値!AI174:BB174)/AVERAGE(終値!AI174:BB174),""))</f>
        <v>0.196649198999717</v>
      </c>
      <c r="AG174" s="503">
        <f>IF(終値!A174="","",IFERROR(4*STDEVP(終値!AJ174:BC174)/AVERAGE(終値!AJ174:BC174),""))</f>
        <v>0.19573520942737521</v>
      </c>
      <c r="AH174" s="503">
        <f>IF(終値!A174="","",IFERROR(4*STDEVP(終値!AK174:BD174)/AVERAGE(終値!AK174:BD174),""))</f>
        <v>0.18703797096352343</v>
      </c>
      <c r="AI174" s="503">
        <f>IF(終値!A174="","",IFERROR(4*STDEVP(終値!AL174:BE174)/AVERAGE(終値!AL174:BE174),""))</f>
        <v>0.17045109995767319</v>
      </c>
      <c r="AJ174" s="503">
        <f>IF(終値!A174="","",IFERROR(4*STDEVP(終値!AM174:BF174)/AVERAGE(終値!AM174:BF174),""))</f>
        <v>0.1486838335532058</v>
      </c>
      <c r="AK174" s="503">
        <f>IF(終値!A174="","",IFERROR(4*STDEVP(終値!AN174:BG174)/AVERAGE(終値!AN174:BG174),""))</f>
        <v>0.13952724896202162</v>
      </c>
      <c r="AL174" s="503">
        <f>IF(終値!A174="","",IFERROR(4*STDEVP(終値!AO174:BH174)/AVERAGE(終値!AO174:BH174),""))</f>
        <v>0.13332455357237291</v>
      </c>
      <c r="AM174" s="503">
        <f>IF(終値!A174="","",IFERROR(4*STDEVP(終値!AP174:BI174)/AVERAGE(終値!AP174:BI174),""))</f>
        <v>0.11602708809211225</v>
      </c>
      <c r="AN174" s="503">
        <f>IF(終値!A174="","",IFERROR(4*STDEVP(終値!AQ174:BJ174)/AVERAGE(終値!AQ174:BJ174),""))</f>
        <v>9.8364068161967744E-2</v>
      </c>
      <c r="AO174" s="503">
        <f>IF(終値!A174="","",IFERROR(4*STDEVP(終値!AR174:BK174)/AVERAGE(終値!AR174:BK174),""))</f>
        <v>8.4735474529344074E-2</v>
      </c>
      <c r="AP174" s="503">
        <f>IF(終値!A174="","",IFERROR(4*STDEVP(終値!AS174:BL174)/AVERAGE(終値!AS174:BL174),""))</f>
        <v>7.7464580251261045E-2</v>
      </c>
    </row>
    <row r="175" spans="1:42">
      <c r="A175" s="500" t="str">
        <f>IF(終値!A175="","",終値!A175)</f>
        <v>1942</v>
      </c>
      <c r="B175" s="503">
        <f>IF(終値!A175="","",IFERROR(4*STDEVP(終値!E175:X175)/AVERAGE(終値!E175:X175),""))</f>
        <v>0.28088176842718532</v>
      </c>
      <c r="C175" s="503">
        <f>IF(終値!A175="","",IFERROR(4*STDEVP(終値!F175:Y175)/AVERAGE(終値!F175:Y175),""))</f>
        <v>0.28655392979226663</v>
      </c>
      <c r="D175" s="503">
        <f>IF(終値!A175="","",IFERROR(4*STDEVP(終値!G175:Z175)/AVERAGE(終値!G175:Z175),""))</f>
        <v>0.26978155634160711</v>
      </c>
      <c r="E175" s="503">
        <f>IF(終値!A175="","",IFERROR(4*STDEVP(終値!H175:AA175)/AVERAGE(終値!H175:AA175),""))</f>
        <v>0.25181041293255252</v>
      </c>
      <c r="F175" s="503">
        <f>IF(終値!A175="","",IFERROR(4*STDEVP(終値!I175:AB175)/AVERAGE(終値!I175:AB175),""))</f>
        <v>0.23427658507389459</v>
      </c>
      <c r="G175" s="503">
        <f>IF(終値!A175="","",IFERROR(4*STDEVP(終値!J175:AC175)/AVERAGE(終値!J175:AC175),""))</f>
        <v>0.21990759617803235</v>
      </c>
      <c r="H175" s="503">
        <f>IF(終値!A175="","",IFERROR(4*STDEVP(終値!K175:AD175)/AVERAGE(終値!K175:AD175),""))</f>
        <v>0.21485972090346392</v>
      </c>
      <c r="I175" s="503">
        <f>IF(終値!A175="","",IFERROR(4*STDEVP(終値!L175:AE175)/AVERAGE(終値!L175:AE175),""))</f>
        <v>0.21291464307603636</v>
      </c>
      <c r="J175" s="503">
        <f>IF(終値!A175="","",IFERROR(4*STDEVP(終値!M175:AF175)/AVERAGE(終値!M175:AF175),""))</f>
        <v>0.20625306662396833</v>
      </c>
      <c r="K175" s="503">
        <f>IF(終値!A175="","",IFERROR(4*STDEVP(終値!N175:AG175)/AVERAGE(終値!N175:AG175),""))</f>
        <v>0.19574987983128497</v>
      </c>
      <c r="L175" s="503">
        <f>IF(終値!A175="","",IFERROR(4*STDEVP(終値!O175:AH175)/AVERAGE(終値!O175:AH175),""))</f>
        <v>0.18266542604415353</v>
      </c>
      <c r="M175" s="503">
        <f>IF(終値!A175="","",IFERROR(4*STDEVP(終値!P175:AI175)/AVERAGE(終値!P175:AI175),""))</f>
        <v>0.16632638865486427</v>
      </c>
      <c r="N175" s="503">
        <f>IF(終値!A175="","",IFERROR(4*STDEVP(終値!Q175:AJ175)/AVERAGE(終値!Q175:AJ175),""))</f>
        <v>0.13163923704431688</v>
      </c>
      <c r="O175" s="503">
        <f>IF(終値!A175="","",IFERROR(4*STDEVP(終値!R175:AK175)/AVERAGE(終値!R175:AK175),""))</f>
        <v>0.12746549009499303</v>
      </c>
      <c r="P175" s="503">
        <f>IF(終値!A175="","",IFERROR(4*STDEVP(終値!S175:AL175)/AVERAGE(終値!S175:AL175),""))</f>
        <v>0.1218953990833908</v>
      </c>
      <c r="Q175" s="503">
        <f>IF(終値!A175="","",IFERROR(4*STDEVP(終値!T175:AM175)/AVERAGE(終値!T175:AM175),""))</f>
        <v>0.10882508775490909</v>
      </c>
      <c r="R175" s="503">
        <f>IF(終値!A175="","",IFERROR(4*STDEVP(終値!U175:AN175)/AVERAGE(終値!U175:AN175),""))</f>
        <v>0.15366763964124983</v>
      </c>
      <c r="S175" s="503">
        <f>IF(終値!A175="","",IFERROR(4*STDEVP(終値!V175:AO175)/AVERAGE(終値!V175:AO175),""))</f>
        <v>0.18545670719736179</v>
      </c>
      <c r="T175" s="503">
        <f>IF(終値!A175="","",IFERROR(4*STDEVP(終値!W175:AP175)/AVERAGE(終値!W175:AP175),""))</f>
        <v>0.2042158548726688</v>
      </c>
      <c r="U175" s="503">
        <f>IF(終値!A175="","",IFERROR(4*STDEVP(終値!X175:AQ175)/AVERAGE(終値!X175:AQ175),""))</f>
        <v>0.22802734928625609</v>
      </c>
      <c r="V175" s="503">
        <f>IF(終値!A175="","",IFERROR(4*STDEVP(終値!Y175:AR175)/AVERAGE(終値!Y175:AR175),""))</f>
        <v>0.23865496983554169</v>
      </c>
      <c r="W175" s="503">
        <f>IF(終値!A175="","",IFERROR(4*STDEVP(終値!Z175:AS175)/AVERAGE(終値!Z175:AS175),""))</f>
        <v>0.25102403940072343</v>
      </c>
      <c r="X175" s="503">
        <f>IF(終値!A175="","",IFERROR(4*STDEVP(終値!AA175:AT175)/AVERAGE(終値!AA175:AT175),""))</f>
        <v>0.26207764814615914</v>
      </c>
      <c r="Y175" s="503">
        <f>IF(終値!A175="","",IFERROR(4*STDEVP(終値!AB175:AU175)/AVERAGE(終値!AB175:AU175),""))</f>
        <v>0.26006860004584487</v>
      </c>
      <c r="Z175" s="503">
        <f>IF(終値!A175="","",IFERROR(4*STDEVP(終値!AC175:AV175)/AVERAGE(終値!AC175:AV175),""))</f>
        <v>0.25583643038182735</v>
      </c>
      <c r="AA175" s="503">
        <f>IF(終値!A175="","",IFERROR(4*STDEVP(終値!AD175:AW175)/AVERAGE(終値!AD175:AW175),""))</f>
        <v>0.24926952751365053</v>
      </c>
      <c r="AB175" s="503">
        <f>IF(終値!A175="","",IFERROR(4*STDEVP(終値!AE175:AX175)/AVERAGE(終値!AE175:AX175),""))</f>
        <v>0.24348773777871094</v>
      </c>
      <c r="AC175" s="503">
        <f>IF(終値!A175="","",IFERROR(4*STDEVP(終値!AF175:AY175)/AVERAGE(終値!AF175:AY175),""))</f>
        <v>0.2384187440271873</v>
      </c>
      <c r="AD175" s="503">
        <f>IF(終値!A175="","",IFERROR(4*STDEVP(終値!AG175:AZ175)/AVERAGE(終値!AG175:AZ175),""))</f>
        <v>0.23325134962679009</v>
      </c>
      <c r="AE175" s="503">
        <f>IF(終値!A175="","",IFERROR(4*STDEVP(終値!AH175:BA175)/AVERAGE(終値!AH175:BA175),""))</f>
        <v>0.22713347609985596</v>
      </c>
      <c r="AF175" s="503">
        <f>IF(終値!A175="","",IFERROR(4*STDEVP(終値!AI175:BB175)/AVERAGE(終値!AI175:BB175),""))</f>
        <v>0.21448794881372832</v>
      </c>
      <c r="AG175" s="503">
        <f>IF(終値!A175="","",IFERROR(4*STDEVP(終値!AJ175:BC175)/AVERAGE(終値!AJ175:BC175),""))</f>
        <v>0.19572001614761811</v>
      </c>
      <c r="AH175" s="503">
        <f>IF(終値!A175="","",IFERROR(4*STDEVP(終値!AK175:BD175)/AVERAGE(終値!AK175:BD175),""))</f>
        <v>0.18984560129735137</v>
      </c>
      <c r="AI175" s="503">
        <f>IF(終値!A175="","",IFERROR(4*STDEVP(終値!AL175:BE175)/AVERAGE(終値!AL175:BE175),""))</f>
        <v>0.20936824128906492</v>
      </c>
      <c r="AJ175" s="503">
        <f>IF(終値!A175="","",IFERROR(4*STDEVP(終値!AM175:BF175)/AVERAGE(終値!AM175:BF175),""))</f>
        <v>0.23447695636767321</v>
      </c>
      <c r="AK175" s="503">
        <f>IF(終値!A175="","",IFERROR(4*STDEVP(終値!AN175:BG175)/AVERAGE(終値!AN175:BG175),""))</f>
        <v>0.27633915586054936</v>
      </c>
      <c r="AL175" s="503">
        <f>IF(終値!A175="","",IFERROR(4*STDEVP(終値!AO175:BH175)/AVERAGE(終値!AO175:BH175),""))</f>
        <v>0.3031898491459184</v>
      </c>
      <c r="AM175" s="503">
        <f>IF(終値!A175="","",IFERROR(4*STDEVP(終値!AP175:BI175)/AVERAGE(終値!AP175:BI175),""))</f>
        <v>0.31107616532090837</v>
      </c>
      <c r="AN175" s="503">
        <f>IF(終値!A175="","",IFERROR(4*STDEVP(終値!AQ175:BJ175)/AVERAGE(終値!AQ175:BJ175),""))</f>
        <v>0.31340305725796885</v>
      </c>
      <c r="AO175" s="503">
        <f>IF(終値!A175="","",IFERROR(4*STDEVP(終値!AR175:BK175)/AVERAGE(終値!AR175:BK175),""))</f>
        <v>0.30303279827779944</v>
      </c>
      <c r="AP175" s="503">
        <f>IF(終値!A175="","",IFERROR(4*STDEVP(終値!AS175:BL175)/AVERAGE(終値!AS175:BL175),""))</f>
        <v>0.28777395525315097</v>
      </c>
    </row>
    <row r="176" spans="1:42">
      <c r="A176" s="500" t="str">
        <f>IF(終値!A176="","",終値!A176)</f>
        <v>1938</v>
      </c>
      <c r="B176" s="503">
        <f>IF(終値!A176="","",IFERROR(4*STDEVP(終値!E176:X176)/AVERAGE(終値!E176:X176),""))</f>
        <v>0.14345875712565032</v>
      </c>
      <c r="C176" s="503">
        <f>IF(終値!A176="","",IFERROR(4*STDEVP(終値!F176:Y176)/AVERAGE(終値!F176:Y176),""))</f>
        <v>0.15005566175221369</v>
      </c>
      <c r="D176" s="503">
        <f>IF(終値!A176="","",IFERROR(4*STDEVP(終値!G176:Z176)/AVERAGE(終値!G176:Z176),""))</f>
        <v>0.14541713016952942</v>
      </c>
      <c r="E176" s="503">
        <f>IF(終値!A176="","",IFERROR(4*STDEVP(終値!H176:AA176)/AVERAGE(終値!H176:AA176),""))</f>
        <v>0.1432350891416837</v>
      </c>
      <c r="F176" s="503">
        <f>IF(終値!A176="","",IFERROR(4*STDEVP(終値!I176:AB176)/AVERAGE(終値!I176:AB176),""))</f>
        <v>0.13904873690736483</v>
      </c>
      <c r="G176" s="503">
        <f>IF(終値!A176="","",IFERROR(4*STDEVP(終値!J176:AC176)/AVERAGE(終値!J176:AC176),""))</f>
        <v>0.13362256469884862</v>
      </c>
      <c r="H176" s="503">
        <f>IF(終値!A176="","",IFERROR(4*STDEVP(終値!K176:AD176)/AVERAGE(終値!K176:AD176),""))</f>
        <v>0.13159918853417804</v>
      </c>
      <c r="I176" s="503">
        <f>IF(終値!A176="","",IFERROR(4*STDEVP(終値!L176:AE176)/AVERAGE(終値!L176:AE176),""))</f>
        <v>0.13239169661259081</v>
      </c>
      <c r="J176" s="503">
        <f>IF(終値!A176="","",IFERROR(4*STDEVP(終値!M176:AF176)/AVERAGE(終値!M176:AF176),""))</f>
        <v>0.13068362070043385</v>
      </c>
      <c r="K176" s="503">
        <f>IF(終値!A176="","",IFERROR(4*STDEVP(終値!N176:AG176)/AVERAGE(終値!N176:AG176),""))</f>
        <v>0.1277710279039122</v>
      </c>
      <c r="L176" s="503">
        <f>IF(終値!A176="","",IFERROR(4*STDEVP(終値!O176:AH176)/AVERAGE(終値!O176:AH176),""))</f>
        <v>0.12915674258018217</v>
      </c>
      <c r="M176" s="503">
        <f>IF(終値!A176="","",IFERROR(4*STDEVP(終値!P176:AI176)/AVERAGE(終値!P176:AI176),""))</f>
        <v>0.12787581126898181</v>
      </c>
      <c r="N176" s="503">
        <f>IF(終値!A176="","",IFERROR(4*STDEVP(終値!Q176:AJ176)/AVERAGE(終値!Q176:AJ176),""))</f>
        <v>0.11921793287202653</v>
      </c>
      <c r="O176" s="503">
        <f>IF(終値!A176="","",IFERROR(4*STDEVP(終値!R176:AK176)/AVERAGE(終値!R176:AK176),""))</f>
        <v>0.11769461402807545</v>
      </c>
      <c r="P176" s="503">
        <f>IF(終値!A176="","",IFERROR(4*STDEVP(終値!S176:AL176)/AVERAGE(終値!S176:AL176),""))</f>
        <v>0.11420739617361063</v>
      </c>
      <c r="Q176" s="503">
        <f>IF(終値!A176="","",IFERROR(4*STDEVP(終値!T176:AM176)/AVERAGE(終値!T176:AM176),""))</f>
        <v>0.10776926021622472</v>
      </c>
      <c r="R176" s="503">
        <f>IF(終値!A176="","",IFERROR(4*STDEVP(終値!U176:AN176)/AVERAGE(終値!U176:AN176),""))</f>
        <v>9.8292977159824199E-2</v>
      </c>
      <c r="S176" s="503">
        <f>IF(終値!A176="","",IFERROR(4*STDEVP(終値!V176:AO176)/AVERAGE(終値!V176:AO176),""))</f>
        <v>8.5481167909573622E-2</v>
      </c>
      <c r="T176" s="503">
        <f>IF(終値!A176="","",IFERROR(4*STDEVP(終値!W176:AP176)/AVERAGE(終値!W176:AP176),""))</f>
        <v>7.2805365574127437E-2</v>
      </c>
      <c r="U176" s="503">
        <f>IF(終値!A176="","",IFERROR(4*STDEVP(終値!X176:AQ176)/AVERAGE(終値!X176:AQ176),""))</f>
        <v>7.1550879032356407E-2</v>
      </c>
      <c r="V176" s="503">
        <f>IF(終値!A176="","",IFERROR(4*STDEVP(終値!Y176:AR176)/AVERAGE(終値!Y176:AR176),""))</f>
        <v>7.2745491686195068E-2</v>
      </c>
      <c r="W176" s="503">
        <f>IF(終値!A176="","",IFERROR(4*STDEVP(終値!Z176:AS176)/AVERAGE(終値!Z176:AS176),""))</f>
        <v>7.1594937800070979E-2</v>
      </c>
      <c r="X176" s="503">
        <f>IF(終値!A176="","",IFERROR(4*STDEVP(終値!AA176:AT176)/AVERAGE(終値!AA176:AT176),""))</f>
        <v>6.7201110416856377E-2</v>
      </c>
      <c r="Y176" s="503">
        <f>IF(終値!A176="","",IFERROR(4*STDEVP(終値!AB176:AU176)/AVERAGE(終値!AB176:AU176),""))</f>
        <v>6.4092325208285061E-2</v>
      </c>
      <c r="Z176" s="503">
        <f>IF(終値!A176="","",IFERROR(4*STDEVP(終値!AC176:AV176)/AVERAGE(終値!AC176:AV176),""))</f>
        <v>6.8556041102929538E-2</v>
      </c>
      <c r="AA176" s="503">
        <f>IF(終値!A176="","",IFERROR(4*STDEVP(終値!AD176:AW176)/AVERAGE(終値!AD176:AW176),""))</f>
        <v>6.9146556139242255E-2</v>
      </c>
      <c r="AB176" s="503">
        <f>IF(終値!A176="","",IFERROR(4*STDEVP(終値!AE176:AX176)/AVERAGE(終値!AE176:AX176),""))</f>
        <v>6.9110331523436486E-2</v>
      </c>
      <c r="AC176" s="503">
        <f>IF(終値!A176="","",IFERROR(4*STDEVP(終値!AF176:AY176)/AVERAGE(終値!AF176:AY176),""))</f>
        <v>7.1708169073918526E-2</v>
      </c>
      <c r="AD176" s="503">
        <f>IF(終値!A176="","",IFERROR(4*STDEVP(終値!AG176:AZ176)/AVERAGE(終値!AG176:AZ176),""))</f>
        <v>8.0365694459923032E-2</v>
      </c>
      <c r="AE176" s="503">
        <f>IF(終値!A176="","",IFERROR(4*STDEVP(終値!AH176:BA176)/AVERAGE(終値!AH176:BA176),""))</f>
        <v>8.5297688752593359E-2</v>
      </c>
      <c r="AF176" s="503">
        <f>IF(終値!A176="","",IFERROR(4*STDEVP(終値!AI176:BB176)/AVERAGE(終値!AI176:BB176),""))</f>
        <v>8.5820805715311213E-2</v>
      </c>
      <c r="AG176" s="503">
        <f>IF(終値!A176="","",IFERROR(4*STDEVP(終値!AJ176:BC176)/AVERAGE(終値!AJ176:BC176),""))</f>
        <v>8.6211706592707771E-2</v>
      </c>
      <c r="AH176" s="503">
        <f>IF(終値!A176="","",IFERROR(4*STDEVP(終値!AK176:BD176)/AVERAGE(終値!AK176:BD176),""))</f>
        <v>8.7838057234723946E-2</v>
      </c>
      <c r="AI176" s="503">
        <f>IF(終値!A176="","",IFERROR(4*STDEVP(終値!AL176:BE176)/AVERAGE(終値!AL176:BE176),""))</f>
        <v>0.10362778155620343</v>
      </c>
      <c r="AJ176" s="503">
        <f>IF(終値!A176="","",IFERROR(4*STDEVP(終値!AM176:BF176)/AVERAGE(終値!AM176:BF176),""))</f>
        <v>0.11580765522172179</v>
      </c>
      <c r="AK176" s="503">
        <f>IF(終値!A176="","",IFERROR(4*STDEVP(終値!AN176:BG176)/AVERAGE(終値!AN176:BG176),""))</f>
        <v>0.14727826532712626</v>
      </c>
      <c r="AL176" s="503">
        <f>IF(終値!A176="","",IFERROR(4*STDEVP(終値!AO176:BH176)/AVERAGE(終値!AO176:BH176),""))</f>
        <v>0.16599567018977179</v>
      </c>
      <c r="AM176" s="503">
        <f>IF(終値!A176="","",IFERROR(4*STDEVP(終値!AP176:BI176)/AVERAGE(終値!AP176:BI176),""))</f>
        <v>0.17260121246333812</v>
      </c>
      <c r="AN176" s="503">
        <f>IF(終値!A176="","",IFERROR(4*STDEVP(終値!AQ176:BJ176)/AVERAGE(終値!AQ176:BJ176),""))</f>
        <v>0.17386250970990175</v>
      </c>
      <c r="AO176" s="503">
        <f>IF(終値!A176="","",IFERROR(4*STDEVP(終値!AR176:BK176)/AVERAGE(終値!AR176:BK176),""))</f>
        <v>0.17131495652748785</v>
      </c>
      <c r="AP176" s="503">
        <f>IF(終値!A176="","",IFERROR(4*STDEVP(終値!AS176:BL176)/AVERAGE(終値!AS176:BL176),""))</f>
        <v>0.1707766991831183</v>
      </c>
    </row>
    <row r="177" spans="1:42">
      <c r="A177" s="500" t="str">
        <f>IF(終値!A177="","",終値!A177)</f>
        <v>7236</v>
      </c>
      <c r="B177" s="503" t="str">
        <f>IF(終値!A177="","",IFERROR(4*STDEVP(終値!E177:X177)/AVERAGE(終値!E177:X177),""))</f>
        <v/>
      </c>
      <c r="C177" s="503" t="str">
        <f>IF(終値!A177="","",IFERROR(4*STDEVP(終値!F177:Y177)/AVERAGE(終値!F177:Y177),""))</f>
        <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8.8914273955824782E-2</v>
      </c>
      <c r="C178" s="503">
        <f>IF(終値!A178="","",IFERROR(4*STDEVP(終値!F178:Y178)/AVERAGE(終値!F178:Y178),""))</f>
        <v>9.3340568116115838E-2</v>
      </c>
      <c r="D178" s="503">
        <f>IF(終値!A178="","",IFERROR(4*STDEVP(終値!G178:Z178)/AVERAGE(終値!G178:Z178),""))</f>
        <v>9.104179995554379E-2</v>
      </c>
      <c r="E178" s="503">
        <f>IF(終値!A178="","",IFERROR(4*STDEVP(終値!H178:AA178)/AVERAGE(終値!H178:AA178),""))</f>
        <v>9.4946964268207965E-2</v>
      </c>
      <c r="F178" s="503">
        <f>IF(終値!A178="","",IFERROR(4*STDEVP(終値!I178:AB178)/AVERAGE(終値!I178:AB178),""))</f>
        <v>9.5839242697465951E-2</v>
      </c>
      <c r="G178" s="503">
        <f>IF(終値!A178="","",IFERROR(4*STDEVP(終値!J178:AC178)/AVERAGE(終値!J178:AC178),""))</f>
        <v>9.5107389354283201E-2</v>
      </c>
      <c r="H178" s="503">
        <f>IF(終値!A178="","",IFERROR(4*STDEVP(終値!K178:AD178)/AVERAGE(終値!K178:AD178),""))</f>
        <v>9.9362899903768259E-2</v>
      </c>
      <c r="I178" s="503">
        <f>IF(終値!A178="","",IFERROR(4*STDEVP(終値!L178:AE178)/AVERAGE(終値!L178:AE178),""))</f>
        <v>7.5468209586060334E-2</v>
      </c>
      <c r="J178" s="503">
        <f>IF(終値!A178="","",IFERROR(4*STDEVP(終値!M178:AF178)/AVERAGE(終値!M178:AF178),""))</f>
        <v>8.1126454918269933E-2</v>
      </c>
      <c r="K178" s="503">
        <f>IF(終値!A178="","",IFERROR(4*STDEVP(終値!N178:AG178)/AVERAGE(終値!N178:AG178),""))</f>
        <v>8.1225637067291731E-2</v>
      </c>
      <c r="L178" s="503">
        <f>IF(終値!A178="","",IFERROR(4*STDEVP(終値!O178:AH178)/AVERAGE(終値!O178:AH178),""))</f>
        <v>7.9618896449111798E-2</v>
      </c>
      <c r="M178" s="503">
        <f>IF(終値!A178="","",IFERROR(4*STDEVP(終値!P178:AI178)/AVERAGE(終値!P178:AI178),""))</f>
        <v>7.3594646745625436E-2</v>
      </c>
      <c r="N178" s="503">
        <f>IF(終値!A178="","",IFERROR(4*STDEVP(終値!Q178:AJ178)/AVERAGE(終値!Q178:AJ178),""))</f>
        <v>7.3308692002188605E-2</v>
      </c>
      <c r="O178" s="503">
        <f>IF(終値!A178="","",IFERROR(4*STDEVP(終値!R178:AK178)/AVERAGE(終値!R178:AK178),""))</f>
        <v>7.290770484791774E-2</v>
      </c>
      <c r="P178" s="503">
        <f>IF(終値!A178="","",IFERROR(4*STDEVP(終値!S178:AL178)/AVERAGE(終値!S178:AL178),""))</f>
        <v>7.332181859672661E-2</v>
      </c>
      <c r="Q178" s="503">
        <f>IF(終値!A178="","",IFERROR(4*STDEVP(終値!T178:AM178)/AVERAGE(終値!T178:AM178),""))</f>
        <v>7.3372880422453809E-2</v>
      </c>
      <c r="R178" s="503">
        <f>IF(終値!A178="","",IFERROR(4*STDEVP(終値!U178:AN178)/AVERAGE(終値!U178:AN178),""))</f>
        <v>7.0062150361038217E-2</v>
      </c>
      <c r="S178" s="503">
        <f>IF(終値!A178="","",IFERROR(4*STDEVP(終値!V178:AO178)/AVERAGE(終値!V178:AO178),""))</f>
        <v>6.5178279527974586E-2</v>
      </c>
      <c r="T178" s="503">
        <f>IF(終値!A178="","",IFERROR(4*STDEVP(終値!W178:AP178)/AVERAGE(終値!W178:AP178),""))</f>
        <v>6.1187326564174326E-2</v>
      </c>
      <c r="U178" s="503">
        <f>IF(終値!A178="","",IFERROR(4*STDEVP(終値!X178:AQ178)/AVERAGE(終値!X178:AQ178),""))</f>
        <v>5.581878896714132E-2</v>
      </c>
      <c r="V178" s="503">
        <f>IF(終値!A178="","",IFERROR(4*STDEVP(終値!Y178:AR178)/AVERAGE(終値!Y178:AR178),""))</f>
        <v>4.9455933067375585E-2</v>
      </c>
      <c r="W178" s="503">
        <f>IF(終値!A178="","",IFERROR(4*STDEVP(終値!Z178:AS178)/AVERAGE(終値!Z178:AS178),""))</f>
        <v>5.0487215971572512E-2</v>
      </c>
      <c r="X178" s="503">
        <f>IF(終値!A178="","",IFERROR(4*STDEVP(終値!AA178:AT178)/AVERAGE(終値!AA178:AT178),""))</f>
        <v>4.3846410232691875E-2</v>
      </c>
      <c r="Y178" s="503">
        <f>IF(終値!A178="","",IFERROR(4*STDEVP(終値!AB178:AU178)/AVERAGE(終値!AB178:AU178),""))</f>
        <v>4.230076094168822E-2</v>
      </c>
      <c r="Z178" s="503">
        <f>IF(終値!A178="","",IFERROR(4*STDEVP(終値!AC178:AV178)/AVERAGE(終値!AC178:AV178),""))</f>
        <v>3.9702158183903137E-2</v>
      </c>
      <c r="AA178" s="503">
        <f>IF(終値!A178="","",IFERROR(4*STDEVP(終値!AD178:AW178)/AVERAGE(終値!AD178:AW178),""))</f>
        <v>3.5382127666219627E-2</v>
      </c>
      <c r="AB178" s="503">
        <f>IF(終値!A178="","",IFERROR(4*STDEVP(終値!AE178:AX178)/AVERAGE(終値!AE178:AX178),""))</f>
        <v>3.1566794362064408E-2</v>
      </c>
      <c r="AC178" s="503">
        <f>IF(終値!A178="","",IFERROR(4*STDEVP(終値!AF178:AY178)/AVERAGE(終値!AF178:AY178),""))</f>
        <v>3.0706587877359443E-2</v>
      </c>
      <c r="AD178" s="503">
        <f>IF(終値!A178="","",IFERROR(4*STDEVP(終値!AG178:AZ178)/AVERAGE(終値!AG178:AZ178),""))</f>
        <v>3.3065213201238786E-2</v>
      </c>
      <c r="AE178" s="503">
        <f>IF(終値!A178="","",IFERROR(4*STDEVP(終値!AH178:BA178)/AVERAGE(終値!AH178:BA178),""))</f>
        <v>3.625295346914878E-2</v>
      </c>
      <c r="AF178" s="503">
        <f>IF(終値!A178="","",IFERROR(4*STDEVP(終値!AI178:BB178)/AVERAGE(終値!AI178:BB178),""))</f>
        <v>3.9209029043568239E-2</v>
      </c>
      <c r="AG178" s="503">
        <f>IF(終値!A178="","",IFERROR(4*STDEVP(終値!AJ178:BC178)/AVERAGE(終値!AJ178:BC178),""))</f>
        <v>4.8654422836991694E-2</v>
      </c>
      <c r="AH178" s="503">
        <f>IF(終値!A178="","",IFERROR(4*STDEVP(終値!AK178:BD178)/AVERAGE(終値!AK178:BD178),""))</f>
        <v>4.9974240755230256E-2</v>
      </c>
      <c r="AI178" s="503">
        <f>IF(終値!A178="","",IFERROR(4*STDEVP(終値!AL178:BE178)/AVERAGE(終値!AL178:BE178),""))</f>
        <v>5.374671864128068E-2</v>
      </c>
      <c r="AJ178" s="503">
        <f>IF(終値!A178="","",IFERROR(4*STDEVP(終値!AM178:BF178)/AVERAGE(終値!AM178:BF178),""))</f>
        <v>5.6651656474621087E-2</v>
      </c>
      <c r="AK178" s="503">
        <f>IF(終値!A178="","",IFERROR(4*STDEVP(終値!AN178:BG178)/AVERAGE(終値!AN178:BG178),""))</f>
        <v>5.7689657678782265E-2</v>
      </c>
      <c r="AL178" s="503">
        <f>IF(終値!A178="","",IFERROR(4*STDEVP(終値!AO178:BH178)/AVERAGE(終値!AO178:BH178),""))</f>
        <v>6.0568128737792402E-2</v>
      </c>
      <c r="AM178" s="503">
        <f>IF(終値!A178="","",IFERROR(4*STDEVP(終値!AP178:BI178)/AVERAGE(終値!AP178:BI178),""))</f>
        <v>6.3769740161300187E-2</v>
      </c>
      <c r="AN178" s="503">
        <f>IF(終値!A178="","",IFERROR(4*STDEVP(終値!AQ178:BJ178)/AVERAGE(終値!AQ178:BJ178),""))</f>
        <v>6.5591259713707065E-2</v>
      </c>
      <c r="AO178" s="503">
        <f>IF(終値!A178="","",IFERROR(4*STDEVP(終値!AR178:BK178)/AVERAGE(終値!AR178:BK178),""))</f>
        <v>6.4395680145307208E-2</v>
      </c>
      <c r="AP178" s="503">
        <f>IF(終値!A178="","",IFERROR(4*STDEVP(終値!AS178:BL178)/AVERAGE(終値!AS178:BL178),""))</f>
        <v>6.1724575361129588E-2</v>
      </c>
    </row>
    <row r="179" spans="1:42">
      <c r="A179" s="500" t="str">
        <f>IF(終値!A179="","",終値!A179)</f>
        <v>5410</v>
      </c>
      <c r="B179" s="503">
        <f>IF(終値!A179="","",IFERROR(4*STDEVP(終値!E179:X179)/AVERAGE(終値!E179:X179),""))</f>
        <v>0.12360407396675549</v>
      </c>
      <c r="C179" s="503">
        <f>IF(終値!A179="","",IFERROR(4*STDEVP(終値!F179:Y179)/AVERAGE(終値!F179:Y179),""))</f>
        <v>0.12563365402275106</v>
      </c>
      <c r="D179" s="503">
        <f>IF(終値!A179="","",IFERROR(4*STDEVP(終値!G179:Z179)/AVERAGE(終値!G179:Z179),""))</f>
        <v>0.12739717516895407</v>
      </c>
      <c r="E179" s="503">
        <f>IF(終値!A179="","",IFERROR(4*STDEVP(終値!H179:AA179)/AVERAGE(終値!H179:AA179),""))</f>
        <v>0.13712002259741196</v>
      </c>
      <c r="F179" s="503">
        <f>IF(終値!A179="","",IFERROR(4*STDEVP(終値!I179:AB179)/AVERAGE(終値!I179:AB179),""))</f>
        <v>0.132934356647437</v>
      </c>
      <c r="G179" s="503">
        <f>IF(終値!A179="","",IFERROR(4*STDEVP(終値!J179:AC179)/AVERAGE(終値!J179:AC179),""))</f>
        <v>0.1078101456708956</v>
      </c>
      <c r="H179" s="503">
        <f>IF(終値!A179="","",IFERROR(4*STDEVP(終値!K179:AD179)/AVERAGE(終値!K179:AD179),""))</f>
        <v>9.9748600280428354E-2</v>
      </c>
      <c r="I179" s="503">
        <f>IF(終値!A179="","",IFERROR(4*STDEVP(終値!L179:AE179)/AVERAGE(終値!L179:AE179),""))</f>
        <v>9.3316588137379211E-2</v>
      </c>
      <c r="J179" s="503">
        <f>IF(終値!A179="","",IFERROR(4*STDEVP(終値!M179:AF179)/AVERAGE(終値!M179:AF179),""))</f>
        <v>8.9857912200769108E-2</v>
      </c>
      <c r="K179" s="503">
        <f>IF(終値!A179="","",IFERROR(4*STDEVP(終値!N179:AG179)/AVERAGE(終値!N179:AG179),""))</f>
        <v>8.2426997705590394E-2</v>
      </c>
      <c r="L179" s="503">
        <f>IF(終値!A179="","",IFERROR(4*STDEVP(終値!O179:AH179)/AVERAGE(終値!O179:AH179),""))</f>
        <v>7.9403021346463626E-2</v>
      </c>
      <c r="M179" s="503">
        <f>IF(終値!A179="","",IFERROR(4*STDEVP(終値!P179:AI179)/AVERAGE(終値!P179:AI179),""))</f>
        <v>7.5292806882314836E-2</v>
      </c>
      <c r="N179" s="503">
        <f>IF(終値!A179="","",IFERROR(4*STDEVP(終値!Q179:AJ179)/AVERAGE(終値!Q179:AJ179),""))</f>
        <v>7.4672353731672469E-2</v>
      </c>
      <c r="O179" s="503">
        <f>IF(終値!A179="","",IFERROR(4*STDEVP(終値!R179:AK179)/AVERAGE(終値!R179:AK179),""))</f>
        <v>7.159556121958445E-2</v>
      </c>
      <c r="P179" s="503">
        <f>IF(終値!A179="","",IFERROR(4*STDEVP(終値!S179:AL179)/AVERAGE(終値!S179:AL179),""))</f>
        <v>6.9851842663699412E-2</v>
      </c>
      <c r="Q179" s="503">
        <f>IF(終値!A179="","",IFERROR(4*STDEVP(終値!T179:AM179)/AVERAGE(終値!T179:AM179),""))</f>
        <v>6.5808180258123128E-2</v>
      </c>
      <c r="R179" s="503">
        <f>IF(終値!A179="","",IFERROR(4*STDEVP(終値!U179:AN179)/AVERAGE(終値!U179:AN179),""))</f>
        <v>6.0846095139339904E-2</v>
      </c>
      <c r="S179" s="503">
        <f>IF(終値!A179="","",IFERROR(4*STDEVP(終値!V179:AO179)/AVERAGE(終値!V179:AO179),""))</f>
        <v>6.3496905821922717E-2</v>
      </c>
      <c r="T179" s="503">
        <f>IF(終値!A179="","",IFERROR(4*STDEVP(終値!W179:AP179)/AVERAGE(終値!W179:AP179),""))</f>
        <v>6.1585247005593931E-2</v>
      </c>
      <c r="U179" s="503">
        <f>IF(終値!A179="","",IFERROR(4*STDEVP(終値!X179:AQ179)/AVERAGE(終値!X179:AQ179),""))</f>
        <v>5.6081774086182437E-2</v>
      </c>
      <c r="V179" s="503">
        <f>IF(終値!A179="","",IFERROR(4*STDEVP(終値!Y179:AR179)/AVERAGE(終値!Y179:AR179),""))</f>
        <v>5.0428544208466014E-2</v>
      </c>
      <c r="W179" s="503">
        <f>IF(終値!A179="","",IFERROR(4*STDEVP(終値!Z179:AS179)/AVERAGE(終値!Z179:AS179),""))</f>
        <v>4.5348050963370072E-2</v>
      </c>
      <c r="X179" s="503">
        <f>IF(終値!A179="","",IFERROR(4*STDEVP(終値!AA179:AT179)/AVERAGE(終値!AA179:AT179),""))</f>
        <v>4.4634967712748788E-2</v>
      </c>
      <c r="Y179" s="503">
        <f>IF(終値!A179="","",IFERROR(4*STDEVP(終値!AB179:AU179)/AVERAGE(終値!AB179:AU179),""))</f>
        <v>4.3026683760295933E-2</v>
      </c>
      <c r="Z179" s="503">
        <f>IF(終値!A179="","",IFERROR(4*STDEVP(終値!AC179:AV179)/AVERAGE(終値!AC179:AV179),""))</f>
        <v>6.9776555348495625E-2</v>
      </c>
      <c r="AA179" s="503">
        <f>IF(終値!A179="","",IFERROR(4*STDEVP(終値!AD179:AW179)/AVERAGE(終値!AD179:AW179),""))</f>
        <v>7.878390115140442E-2</v>
      </c>
      <c r="AB179" s="503">
        <f>IF(終値!A179="","",IFERROR(4*STDEVP(終値!AE179:AX179)/AVERAGE(終値!AE179:AX179),""))</f>
        <v>8.6714204803545067E-2</v>
      </c>
      <c r="AC179" s="503">
        <f>IF(終値!A179="","",IFERROR(4*STDEVP(終値!AF179:AY179)/AVERAGE(終値!AF179:AY179),""))</f>
        <v>8.7673509453564669E-2</v>
      </c>
      <c r="AD179" s="503">
        <f>IF(終値!A179="","",IFERROR(4*STDEVP(終値!AG179:AZ179)/AVERAGE(終値!AG179:AZ179),""))</f>
        <v>9.0423169733912526E-2</v>
      </c>
      <c r="AE179" s="503">
        <f>IF(終値!A179="","",IFERROR(4*STDEVP(終値!AH179:BA179)/AVERAGE(終値!AH179:BA179),""))</f>
        <v>9.5985769208526805E-2</v>
      </c>
      <c r="AF179" s="503">
        <f>IF(終値!A179="","",IFERROR(4*STDEVP(終値!AI179:BB179)/AVERAGE(終値!AI179:BB179),""))</f>
        <v>9.7225027091080538E-2</v>
      </c>
      <c r="AG179" s="503">
        <f>IF(終値!A179="","",IFERROR(4*STDEVP(終値!AJ179:BC179)/AVERAGE(終値!AJ179:BC179),""))</f>
        <v>0.11002201895912897</v>
      </c>
      <c r="AH179" s="503">
        <f>IF(終値!A179="","",IFERROR(4*STDEVP(終値!AK179:BD179)/AVERAGE(終値!AK179:BD179),""))</f>
        <v>0.11756961335068257</v>
      </c>
      <c r="AI179" s="503">
        <f>IF(終値!A179="","",IFERROR(4*STDEVP(終値!AL179:BE179)/AVERAGE(終値!AL179:BE179),""))</f>
        <v>0.13412493536841896</v>
      </c>
      <c r="AJ179" s="503">
        <f>IF(終値!A179="","",IFERROR(4*STDEVP(終値!AM179:BF179)/AVERAGE(終値!AM179:BF179),""))</f>
        <v>0.14749221014574149</v>
      </c>
      <c r="AK179" s="503">
        <f>IF(終値!A179="","",IFERROR(4*STDEVP(終値!AN179:BG179)/AVERAGE(終値!AN179:BG179),""))</f>
        <v>0.1558350004223876</v>
      </c>
      <c r="AL179" s="503">
        <f>IF(終値!A179="","",IFERROR(4*STDEVP(終値!AO179:BH179)/AVERAGE(終値!AO179:BH179),""))</f>
        <v>0.1637399493606129</v>
      </c>
      <c r="AM179" s="503">
        <f>IF(終値!A179="","",IFERROR(4*STDEVP(終値!AP179:BI179)/AVERAGE(終値!AP179:BI179),""))</f>
        <v>0.16265367332114691</v>
      </c>
      <c r="AN179" s="503">
        <f>IF(終値!A179="","",IFERROR(4*STDEVP(終値!AQ179:BJ179)/AVERAGE(終値!AQ179:BJ179),""))</f>
        <v>0.16424379854333329</v>
      </c>
      <c r="AO179" s="503">
        <f>IF(終値!A179="","",IFERROR(4*STDEVP(終値!AR179:BK179)/AVERAGE(終値!AR179:BK179),""))</f>
        <v>0.15865369618174879</v>
      </c>
      <c r="AP179" s="503">
        <f>IF(終値!A179="","",IFERROR(4*STDEVP(終値!AS179:BL179)/AVERAGE(終値!AS179:BL179),""))</f>
        <v>0.15405427558131821</v>
      </c>
    </row>
    <row r="180" spans="1:42">
      <c r="A180" s="500" t="str">
        <f>IF(終値!A180="","",終値!A180)</f>
        <v>5440</v>
      </c>
      <c r="B180" s="503">
        <f>IF(終値!A180="","",IFERROR(4*STDEVP(終値!E180:X180)/AVERAGE(終値!E180:X180),""))</f>
        <v>0.14067277366423286</v>
      </c>
      <c r="C180" s="503">
        <f>IF(終値!A180="","",IFERROR(4*STDEVP(終値!F180:Y180)/AVERAGE(終値!F180:Y180),""))</f>
        <v>0.14738962472627221</v>
      </c>
      <c r="D180" s="503">
        <f>IF(終値!A180="","",IFERROR(4*STDEVP(終値!G180:Z180)/AVERAGE(終値!G180:Z180),""))</f>
        <v>0.15656242583088359</v>
      </c>
      <c r="E180" s="503">
        <f>IF(終値!A180="","",IFERROR(4*STDEVP(終値!H180:AA180)/AVERAGE(終値!H180:AA180),""))</f>
        <v>0.16556265721184865</v>
      </c>
      <c r="F180" s="503">
        <f>IF(終値!A180="","",IFERROR(4*STDEVP(終値!I180:AB180)/AVERAGE(終値!I180:AB180),""))</f>
        <v>0.15011947176741841</v>
      </c>
      <c r="G180" s="503">
        <f>IF(終値!A180="","",IFERROR(4*STDEVP(終値!J180:AC180)/AVERAGE(終値!J180:AC180),""))</f>
        <v>0.13257227834628066</v>
      </c>
      <c r="H180" s="503">
        <f>IF(終値!A180="","",IFERROR(4*STDEVP(終値!K180:AD180)/AVERAGE(終値!K180:AD180),""))</f>
        <v>0.12478260453449748</v>
      </c>
      <c r="I180" s="503">
        <f>IF(終値!A180="","",IFERROR(4*STDEVP(終値!L180:AE180)/AVERAGE(終値!L180:AE180),""))</f>
        <v>0.11895053611301565</v>
      </c>
      <c r="J180" s="503">
        <f>IF(終値!A180="","",IFERROR(4*STDEVP(終値!M180:AF180)/AVERAGE(終値!M180:AF180),""))</f>
        <v>0.12447131890483444</v>
      </c>
      <c r="K180" s="503">
        <f>IF(終値!A180="","",IFERROR(4*STDEVP(終値!N180:AG180)/AVERAGE(終値!N180:AG180),""))</f>
        <v>0.11923743534204825</v>
      </c>
      <c r="L180" s="503">
        <f>IF(終値!A180="","",IFERROR(4*STDEVP(終値!O180:AH180)/AVERAGE(終値!O180:AH180),""))</f>
        <v>0.10905205406313506</v>
      </c>
      <c r="M180" s="503">
        <f>IF(終値!A180="","",IFERROR(4*STDEVP(終値!P180:AI180)/AVERAGE(終値!P180:AI180),""))</f>
        <v>9.6021778584218009E-2</v>
      </c>
      <c r="N180" s="503">
        <f>IF(終値!A180="","",IFERROR(4*STDEVP(終値!Q180:AJ180)/AVERAGE(終値!Q180:AJ180),""))</f>
        <v>9.0648682736111957E-2</v>
      </c>
      <c r="O180" s="503">
        <f>IF(終値!A180="","",IFERROR(4*STDEVP(終値!R180:AK180)/AVERAGE(終値!R180:AK180),""))</f>
        <v>8.2087207904946238E-2</v>
      </c>
      <c r="P180" s="503">
        <f>IF(終値!A180="","",IFERROR(4*STDEVP(終値!S180:AL180)/AVERAGE(終値!S180:AL180),""))</f>
        <v>7.4345227142593812E-2</v>
      </c>
      <c r="Q180" s="503">
        <f>IF(終値!A180="","",IFERROR(4*STDEVP(終値!T180:AM180)/AVERAGE(終値!T180:AM180),""))</f>
        <v>7.253723350371212E-2</v>
      </c>
      <c r="R180" s="503">
        <f>IF(終値!A180="","",IFERROR(4*STDEVP(終値!U180:AN180)/AVERAGE(終値!U180:AN180),""))</f>
        <v>6.8237205190105468E-2</v>
      </c>
      <c r="S180" s="503">
        <f>IF(終値!A180="","",IFERROR(4*STDEVP(終値!V180:AO180)/AVERAGE(終値!V180:AO180),""))</f>
        <v>6.8374168989113734E-2</v>
      </c>
      <c r="T180" s="503">
        <f>IF(終値!A180="","",IFERROR(4*STDEVP(終値!W180:AP180)/AVERAGE(終値!W180:AP180),""))</f>
        <v>6.5469994405615434E-2</v>
      </c>
      <c r="U180" s="503">
        <f>IF(終値!A180="","",IFERROR(4*STDEVP(終値!X180:AQ180)/AVERAGE(終値!X180:AQ180),""))</f>
        <v>5.8186404706518612E-2</v>
      </c>
      <c r="V180" s="503">
        <f>IF(終値!A180="","",IFERROR(4*STDEVP(終値!Y180:AR180)/AVERAGE(終値!Y180:AR180),""))</f>
        <v>5.1192007600482259E-2</v>
      </c>
      <c r="W180" s="503">
        <f>IF(終値!A180="","",IFERROR(4*STDEVP(終値!Z180:AS180)/AVERAGE(終値!Z180:AS180),""))</f>
        <v>4.7043028343805644E-2</v>
      </c>
      <c r="X180" s="503">
        <f>IF(終値!A180="","",IFERROR(4*STDEVP(終値!AA180:AT180)/AVERAGE(終値!AA180:AT180),""))</f>
        <v>4.6614609444203654E-2</v>
      </c>
      <c r="Y180" s="503">
        <f>IF(終値!A180="","",IFERROR(4*STDEVP(終値!AB180:AU180)/AVERAGE(終値!AB180:AU180),""))</f>
        <v>4.5404252334918745E-2</v>
      </c>
      <c r="Z180" s="503">
        <f>IF(終値!A180="","",IFERROR(4*STDEVP(終値!AC180:AV180)/AVERAGE(終値!AC180:AV180),""))</f>
        <v>5.8565380121735379E-2</v>
      </c>
      <c r="AA180" s="503">
        <f>IF(終値!A180="","",IFERROR(4*STDEVP(終値!AD180:AW180)/AVERAGE(終値!AD180:AW180),""))</f>
        <v>6.9558603426367507E-2</v>
      </c>
      <c r="AB180" s="503">
        <f>IF(終値!A180="","",IFERROR(4*STDEVP(終値!AE180:AX180)/AVERAGE(終値!AE180:AX180),""))</f>
        <v>7.9989414626066666E-2</v>
      </c>
      <c r="AC180" s="503">
        <f>IF(終値!A180="","",IFERROR(4*STDEVP(終値!AF180:AY180)/AVERAGE(終値!AF180:AY180),""))</f>
        <v>8.8928302624977432E-2</v>
      </c>
      <c r="AD180" s="503">
        <f>IF(終値!A180="","",IFERROR(4*STDEVP(終値!AG180:AZ180)/AVERAGE(終値!AG180:AZ180),""))</f>
        <v>9.5374822312143795E-2</v>
      </c>
      <c r="AE180" s="503">
        <f>IF(終値!A180="","",IFERROR(4*STDEVP(終値!AH180:BA180)/AVERAGE(終値!AH180:BA180),""))</f>
        <v>9.7833817014293098E-2</v>
      </c>
      <c r="AF180" s="503">
        <f>IF(終値!A180="","",IFERROR(4*STDEVP(終値!AI180:BB180)/AVERAGE(終値!AI180:BB180),""))</f>
        <v>9.9053642813818218E-2</v>
      </c>
      <c r="AG180" s="503">
        <f>IF(終値!A180="","",IFERROR(4*STDEVP(終値!AJ180:BC180)/AVERAGE(終値!AJ180:BC180),""))</f>
        <v>0.10253742015977578</v>
      </c>
      <c r="AH180" s="503">
        <f>IF(終値!A180="","",IFERROR(4*STDEVP(終値!AK180:BD180)/AVERAGE(終値!AK180:BD180),""))</f>
        <v>0.10289319797660541</v>
      </c>
      <c r="AI180" s="503">
        <f>IF(終値!A180="","",IFERROR(4*STDEVP(終値!AL180:BE180)/AVERAGE(終値!AL180:BE180),""))</f>
        <v>0.10889948826542224</v>
      </c>
      <c r="AJ180" s="503">
        <f>IF(終値!A180="","",IFERROR(4*STDEVP(終値!AM180:BF180)/AVERAGE(終値!AM180:BF180),""))</f>
        <v>0.11516176336986023</v>
      </c>
      <c r="AK180" s="503">
        <f>IF(終値!A180="","",IFERROR(4*STDEVP(終値!AN180:BG180)/AVERAGE(終値!AN180:BG180),""))</f>
        <v>0.11568126896261345</v>
      </c>
      <c r="AL180" s="503">
        <f>IF(終値!A180="","",IFERROR(4*STDEVP(終値!AO180:BH180)/AVERAGE(終値!AO180:BH180),""))</f>
        <v>0.1145489299591672</v>
      </c>
      <c r="AM180" s="503">
        <f>IF(終値!A180="","",IFERROR(4*STDEVP(終値!AP180:BI180)/AVERAGE(終値!AP180:BI180),""))</f>
        <v>0.10669184875105199</v>
      </c>
      <c r="AN180" s="503">
        <f>IF(終値!A180="","",IFERROR(4*STDEVP(終値!AQ180:BJ180)/AVERAGE(終値!AQ180:BJ180),""))</f>
        <v>9.6669953960617769E-2</v>
      </c>
      <c r="AO180" s="503">
        <f>IF(終値!A180="","",IFERROR(4*STDEVP(終値!AR180:BK180)/AVERAGE(終値!AR180:BK180),""))</f>
        <v>8.7658255994562534E-2</v>
      </c>
      <c r="AP180" s="503">
        <f>IF(終値!A180="","",IFERROR(4*STDEVP(終値!AS180:BL180)/AVERAGE(終値!AS180:BL180),""))</f>
        <v>8.0580415454142129E-2</v>
      </c>
    </row>
    <row r="181" spans="1:42">
      <c r="A181" s="500" t="str">
        <f>IF(終値!A181="","",終値!A181)</f>
        <v>9505</v>
      </c>
      <c r="B181" s="503">
        <f>IF(終値!A181="","",IFERROR(4*STDEVP(終値!E181:X181)/AVERAGE(終値!E181:X181),""))</f>
        <v>0.12064599870229906</v>
      </c>
      <c r="C181" s="503">
        <f>IF(終値!A181="","",IFERROR(4*STDEVP(終値!F181:Y181)/AVERAGE(終値!F181:Y181),""))</f>
        <v>0.12864263225001338</v>
      </c>
      <c r="D181" s="503">
        <f>IF(終値!A181="","",IFERROR(4*STDEVP(終値!G181:Z181)/AVERAGE(終値!G181:Z181),""))</f>
        <v>0.13561574563179812</v>
      </c>
      <c r="E181" s="503">
        <f>IF(終値!A181="","",IFERROR(4*STDEVP(終値!H181:AA181)/AVERAGE(終値!H181:AA181),""))</f>
        <v>0.14051071848356134</v>
      </c>
      <c r="F181" s="503">
        <f>IF(終値!A181="","",IFERROR(4*STDEVP(終値!I181:AB181)/AVERAGE(終値!I181:AB181),""))</f>
        <v>0.13675726475577007</v>
      </c>
      <c r="G181" s="503">
        <f>IF(終値!A181="","",IFERROR(4*STDEVP(終値!J181:AC181)/AVERAGE(終値!J181:AC181),""))</f>
        <v>0.12116684108530225</v>
      </c>
      <c r="H181" s="503">
        <f>IF(終値!A181="","",IFERROR(4*STDEVP(終値!K181:AD181)/AVERAGE(終値!K181:AD181),""))</f>
        <v>0.12029604196228758</v>
      </c>
      <c r="I181" s="503">
        <f>IF(終値!A181="","",IFERROR(4*STDEVP(終値!L181:AE181)/AVERAGE(終値!L181:AE181),""))</f>
        <v>0.11133661832427177</v>
      </c>
      <c r="J181" s="503">
        <f>IF(終値!A181="","",IFERROR(4*STDEVP(終値!M181:AF181)/AVERAGE(終値!M181:AF181),""))</f>
        <v>0.11672074191856982</v>
      </c>
      <c r="K181" s="503">
        <f>IF(終値!A181="","",IFERROR(4*STDEVP(終値!N181:AG181)/AVERAGE(終値!N181:AG181),""))</f>
        <v>0.11416016039197113</v>
      </c>
      <c r="L181" s="503">
        <f>IF(終値!A181="","",IFERROR(4*STDEVP(終値!O181:AH181)/AVERAGE(終値!O181:AH181),""))</f>
        <v>0.11330559147745559</v>
      </c>
      <c r="M181" s="503">
        <f>IF(終値!A181="","",IFERROR(4*STDEVP(終値!P181:AI181)/AVERAGE(終値!P181:AI181),""))</f>
        <v>0.10987958997518324</v>
      </c>
      <c r="N181" s="503">
        <f>IF(終値!A181="","",IFERROR(4*STDEVP(終値!Q181:AJ181)/AVERAGE(終値!Q181:AJ181),""))</f>
        <v>0.1139045549408549</v>
      </c>
      <c r="O181" s="503">
        <f>IF(終値!A181="","",IFERROR(4*STDEVP(終値!R181:AK181)/AVERAGE(終値!R181:AK181),""))</f>
        <v>0.11374083969498851</v>
      </c>
      <c r="P181" s="503">
        <f>IF(終値!A181="","",IFERROR(4*STDEVP(終値!S181:AL181)/AVERAGE(終値!S181:AL181),""))</f>
        <v>0.11382249606808752</v>
      </c>
      <c r="Q181" s="503">
        <f>IF(終値!A181="","",IFERROR(4*STDEVP(終値!T181:AM181)/AVERAGE(終値!T181:AM181),""))</f>
        <v>0.11423424073705349</v>
      </c>
      <c r="R181" s="503">
        <f>IF(終値!A181="","",IFERROR(4*STDEVP(終値!U181:AN181)/AVERAGE(終値!U181:AN181),""))</f>
        <v>0.11185016722218094</v>
      </c>
      <c r="S181" s="503">
        <f>IF(終値!A181="","",IFERROR(4*STDEVP(終値!V181:AO181)/AVERAGE(終値!V181:AO181),""))</f>
        <v>0.10567944669683384</v>
      </c>
      <c r="T181" s="503">
        <f>IF(終値!A181="","",IFERROR(4*STDEVP(終値!W181:AP181)/AVERAGE(終値!W181:AP181),""))</f>
        <v>9.5322411883510344E-2</v>
      </c>
      <c r="U181" s="503">
        <f>IF(終値!A181="","",IFERROR(4*STDEVP(終値!X181:AQ181)/AVERAGE(終値!X181:AQ181),""))</f>
        <v>9.0941448779135153E-2</v>
      </c>
      <c r="V181" s="503">
        <f>IF(終値!A181="","",IFERROR(4*STDEVP(終値!Y181:AR181)/AVERAGE(終値!Y181:AR181),""))</f>
        <v>8.1990548586117026E-2</v>
      </c>
      <c r="W181" s="503">
        <f>IF(終値!A181="","",IFERROR(4*STDEVP(終値!Z181:AS181)/AVERAGE(終値!Z181:AS181),""))</f>
        <v>9.71690500878446E-2</v>
      </c>
      <c r="X181" s="503">
        <f>IF(終値!A181="","",IFERROR(4*STDEVP(終値!AA181:AT181)/AVERAGE(終値!AA181:AT181),""))</f>
        <v>0.10081405574235634</v>
      </c>
      <c r="Y181" s="503">
        <f>IF(終値!A181="","",IFERROR(4*STDEVP(終値!AB181:AU181)/AVERAGE(終値!AB181:AU181),""))</f>
        <v>0.1071061926778679</v>
      </c>
      <c r="Z181" s="503">
        <f>IF(終値!A181="","",IFERROR(4*STDEVP(終値!AC181:AV181)/AVERAGE(終値!AC181:AV181),""))</f>
        <v>0.10555598540505361</v>
      </c>
      <c r="AA181" s="503">
        <f>IF(終値!A181="","",IFERROR(4*STDEVP(終値!AD181:AW181)/AVERAGE(終値!AD181:AW181),""))</f>
        <v>0.10002274997015233</v>
      </c>
      <c r="AB181" s="503">
        <f>IF(終値!A181="","",IFERROR(4*STDEVP(終値!AE181:AX181)/AVERAGE(終値!AE181:AX181),""))</f>
        <v>9.7641883937089363E-2</v>
      </c>
      <c r="AC181" s="503">
        <f>IF(終値!A181="","",IFERROR(4*STDEVP(終値!AF181:AY181)/AVERAGE(終値!AF181:AY181),""))</f>
        <v>9.4731028750512689E-2</v>
      </c>
      <c r="AD181" s="503">
        <f>IF(終値!A181="","",IFERROR(4*STDEVP(終値!AG181:AZ181)/AVERAGE(終値!AG181:AZ181),""))</f>
        <v>9.5997400439150268E-2</v>
      </c>
      <c r="AE181" s="503">
        <f>IF(終値!A181="","",IFERROR(4*STDEVP(終値!AH181:BA181)/AVERAGE(終値!AH181:BA181),""))</f>
        <v>0.10032725949830373</v>
      </c>
      <c r="AF181" s="503">
        <f>IF(終値!A181="","",IFERROR(4*STDEVP(終値!AI181:BB181)/AVERAGE(終値!AI181:BB181),""))</f>
        <v>0.10217252578739874</v>
      </c>
      <c r="AG181" s="503">
        <f>IF(終値!A181="","",IFERROR(4*STDEVP(終値!AJ181:BC181)/AVERAGE(終値!AJ181:BC181),""))</f>
        <v>0.10767460994070614</v>
      </c>
      <c r="AH181" s="503">
        <f>IF(終値!A181="","",IFERROR(4*STDEVP(終値!AK181:BD181)/AVERAGE(終値!AK181:BD181),""))</f>
        <v>0.10926667433092374</v>
      </c>
      <c r="AI181" s="503">
        <f>IF(終値!A181="","",IFERROR(4*STDEVP(終値!AL181:BE181)/AVERAGE(終値!AL181:BE181),""))</f>
        <v>0.1246265180259556</v>
      </c>
      <c r="AJ181" s="503">
        <f>IF(終値!A181="","",IFERROR(4*STDEVP(終値!AM181:BF181)/AVERAGE(終値!AM181:BF181),""))</f>
        <v>0.14037626831370181</v>
      </c>
      <c r="AK181" s="503">
        <f>IF(終値!A181="","",IFERROR(4*STDEVP(終値!AN181:BG181)/AVERAGE(終値!AN181:BG181),""))</f>
        <v>0.14688468596962628</v>
      </c>
      <c r="AL181" s="503">
        <f>IF(終値!A181="","",IFERROR(4*STDEVP(終値!AO181:BH181)/AVERAGE(終値!AO181:BH181),""))</f>
        <v>0.15976965504593657</v>
      </c>
      <c r="AM181" s="503">
        <f>IF(終値!A181="","",IFERROR(4*STDEVP(終値!AP181:BI181)/AVERAGE(終値!AP181:BI181),""))</f>
        <v>0.16589049889296584</v>
      </c>
      <c r="AN181" s="503">
        <f>IF(終値!A181="","",IFERROR(4*STDEVP(終値!AQ181:BJ181)/AVERAGE(終値!AQ181:BJ181),""))</f>
        <v>0.16780098987810582</v>
      </c>
      <c r="AO181" s="503">
        <f>IF(終値!A181="","",IFERROR(4*STDEVP(終値!AR181:BK181)/AVERAGE(終値!AR181:BK181),""))</f>
        <v>0.16737108881882687</v>
      </c>
      <c r="AP181" s="503">
        <f>IF(終値!A181="","",IFERROR(4*STDEVP(終値!AS181:BL181)/AVERAGE(終値!AS181:BL181),""))</f>
        <v>0.16023978722478113</v>
      </c>
    </row>
    <row r="182" spans="1:42">
      <c r="A182" s="500" t="str">
        <f>IF(終値!A182="","",終値!A182)</f>
        <v>8091</v>
      </c>
      <c r="B182" s="503">
        <f>IF(終値!A182="","",IFERROR(4*STDEVP(終値!E182:X182)/AVERAGE(終値!E182:X182),""))</f>
        <v>6.4335299163059426E-2</v>
      </c>
      <c r="C182" s="503">
        <f>IF(終値!A182="","",IFERROR(4*STDEVP(終値!F182:Y182)/AVERAGE(終値!F182:Y182),""))</f>
        <v>6.4221182082777176E-2</v>
      </c>
      <c r="D182" s="503">
        <f>IF(終値!A182="","",IFERROR(4*STDEVP(終値!G182:Z182)/AVERAGE(終値!G182:Z182),""))</f>
        <v>6.1876241574981929E-2</v>
      </c>
      <c r="E182" s="503">
        <f>IF(終値!A182="","",IFERROR(4*STDEVP(終値!H182:AA182)/AVERAGE(終値!H182:AA182),""))</f>
        <v>5.899251473956553E-2</v>
      </c>
      <c r="F182" s="503">
        <f>IF(終値!A182="","",IFERROR(4*STDEVP(終値!I182:AB182)/AVERAGE(終値!I182:AB182),""))</f>
        <v>5.1503725525816502E-2</v>
      </c>
      <c r="G182" s="503">
        <f>IF(終値!A182="","",IFERROR(4*STDEVP(終値!J182:AC182)/AVERAGE(終値!J182:AC182),""))</f>
        <v>4.3362204517146632E-2</v>
      </c>
      <c r="H182" s="503">
        <f>IF(終値!A182="","",IFERROR(4*STDEVP(終値!K182:AD182)/AVERAGE(終値!K182:AD182),""))</f>
        <v>4.411045977928648E-2</v>
      </c>
      <c r="I182" s="503">
        <f>IF(終値!A182="","",IFERROR(4*STDEVP(終値!L182:AE182)/AVERAGE(終値!L182:AE182),""))</f>
        <v>4.2164246818783412E-2</v>
      </c>
      <c r="J182" s="503">
        <f>IF(終値!A182="","",IFERROR(4*STDEVP(終値!M182:AF182)/AVERAGE(終値!M182:AF182),""))</f>
        <v>4.2080218931627528E-2</v>
      </c>
      <c r="K182" s="503">
        <f>IF(終値!A182="","",IFERROR(4*STDEVP(終値!N182:AG182)/AVERAGE(終値!N182:AG182),""))</f>
        <v>4.1907642395394788E-2</v>
      </c>
      <c r="L182" s="503">
        <f>IF(終値!A182="","",IFERROR(4*STDEVP(終値!O182:AH182)/AVERAGE(終値!O182:AH182),""))</f>
        <v>3.9162081056947698E-2</v>
      </c>
      <c r="M182" s="503">
        <f>IF(終値!A182="","",IFERROR(4*STDEVP(終値!P182:AI182)/AVERAGE(終値!P182:AI182),""))</f>
        <v>3.7657407068732281E-2</v>
      </c>
      <c r="N182" s="503">
        <f>IF(終値!A182="","",IFERROR(4*STDEVP(終値!Q182:AJ182)/AVERAGE(終値!Q182:AJ182),""))</f>
        <v>3.7551715015837268E-2</v>
      </c>
      <c r="O182" s="503">
        <f>IF(終値!A182="","",IFERROR(4*STDEVP(終値!R182:AK182)/AVERAGE(終値!R182:AK182),""))</f>
        <v>4.4616114632457689E-2</v>
      </c>
      <c r="P182" s="503">
        <f>IF(終値!A182="","",IFERROR(4*STDEVP(終値!S182:AL182)/AVERAGE(終値!S182:AL182),""))</f>
        <v>5.146369233318273E-2</v>
      </c>
      <c r="Q182" s="503">
        <f>IF(終値!A182="","",IFERROR(4*STDEVP(終値!T182:AM182)/AVERAGE(終値!T182:AM182),""))</f>
        <v>5.7446878486040749E-2</v>
      </c>
      <c r="R182" s="503">
        <f>IF(終値!A182="","",IFERROR(4*STDEVP(終値!U182:AN182)/AVERAGE(終値!U182:AN182),""))</f>
        <v>6.6605417909545384E-2</v>
      </c>
      <c r="S182" s="503">
        <f>IF(終値!A182="","",IFERROR(4*STDEVP(終値!V182:AO182)/AVERAGE(終値!V182:AO182),""))</f>
        <v>7.5661287661436039E-2</v>
      </c>
      <c r="T182" s="503">
        <f>IF(終値!A182="","",IFERROR(4*STDEVP(終値!W182:AP182)/AVERAGE(終値!W182:AP182),""))</f>
        <v>7.8655069645326509E-2</v>
      </c>
      <c r="U182" s="503">
        <f>IF(終値!A182="","",IFERROR(4*STDEVP(終値!X182:AQ182)/AVERAGE(終値!X182:AQ182),""))</f>
        <v>7.9419138876657761E-2</v>
      </c>
      <c r="V182" s="503">
        <f>IF(終値!A182="","",IFERROR(4*STDEVP(終値!Y182:AR182)/AVERAGE(終値!Y182:AR182),""))</f>
        <v>7.4614498309071686E-2</v>
      </c>
      <c r="W182" s="503">
        <f>IF(終値!A182="","",IFERROR(4*STDEVP(終値!Z182:AS182)/AVERAGE(終値!Z182:AS182),""))</f>
        <v>7.8368826429232319E-2</v>
      </c>
      <c r="X182" s="503">
        <f>IF(終値!A182="","",IFERROR(4*STDEVP(終値!AA182:AT182)/AVERAGE(終値!AA182:AT182),""))</f>
        <v>8.4789142671383433E-2</v>
      </c>
      <c r="Y182" s="503">
        <f>IF(終値!A182="","",IFERROR(4*STDEVP(終値!AB182:AU182)/AVERAGE(終値!AB182:AU182),""))</f>
        <v>9.2657957566020147E-2</v>
      </c>
      <c r="Z182" s="503">
        <f>IF(終値!A182="","",IFERROR(4*STDEVP(終値!AC182:AV182)/AVERAGE(終値!AC182:AV182),""))</f>
        <v>9.1588082691953052E-2</v>
      </c>
      <c r="AA182" s="503">
        <f>IF(終値!A182="","",IFERROR(4*STDEVP(終値!AD182:AW182)/AVERAGE(終値!AD182:AW182),""))</f>
        <v>8.7963477922542124E-2</v>
      </c>
      <c r="AB182" s="503">
        <f>IF(終値!A182="","",IFERROR(4*STDEVP(終値!AE182:AX182)/AVERAGE(終値!AE182:AX182),""))</f>
        <v>8.9463068105722604E-2</v>
      </c>
      <c r="AC182" s="503">
        <f>IF(終値!A182="","",IFERROR(4*STDEVP(終値!AF182:AY182)/AVERAGE(終値!AF182:AY182),""))</f>
        <v>8.872591548111218E-2</v>
      </c>
      <c r="AD182" s="503">
        <f>IF(終値!A182="","",IFERROR(4*STDEVP(終値!AG182:AZ182)/AVERAGE(終値!AG182:AZ182),""))</f>
        <v>8.4533159776583364E-2</v>
      </c>
      <c r="AE182" s="503">
        <f>IF(終値!A182="","",IFERROR(4*STDEVP(終値!AH182:BA182)/AVERAGE(終値!AH182:BA182),""))</f>
        <v>7.935889090237537E-2</v>
      </c>
      <c r="AF182" s="503">
        <f>IF(終値!A182="","",IFERROR(4*STDEVP(終値!AI182:BB182)/AVERAGE(終値!AI182:BB182),""))</f>
        <v>7.2766899479497937E-2</v>
      </c>
      <c r="AG182" s="503">
        <f>IF(終値!A182="","",IFERROR(4*STDEVP(終値!AJ182:BC182)/AVERAGE(終値!AJ182:BC182),""))</f>
        <v>6.213602056932277E-2</v>
      </c>
      <c r="AH182" s="503">
        <f>IF(終値!A182="","",IFERROR(4*STDEVP(終値!AK182:BD182)/AVERAGE(終値!AK182:BD182),""))</f>
        <v>5.1321790391637923E-2</v>
      </c>
      <c r="AI182" s="503">
        <f>IF(終値!A182="","",IFERROR(4*STDEVP(終値!AL182:BE182)/AVERAGE(終値!AL182:BE182),""))</f>
        <v>7.4011790803244271E-2</v>
      </c>
      <c r="AJ182" s="503">
        <f>IF(終値!A182="","",IFERROR(4*STDEVP(終値!AM182:BF182)/AVERAGE(終値!AM182:BF182),""))</f>
        <v>8.3456820178547525E-2</v>
      </c>
      <c r="AK182" s="503">
        <f>IF(終値!A182="","",IFERROR(4*STDEVP(終値!AN182:BG182)/AVERAGE(終値!AN182:BG182),""))</f>
        <v>9.0973790740842844E-2</v>
      </c>
      <c r="AL182" s="503">
        <f>IF(終値!A182="","",IFERROR(4*STDEVP(終値!AO182:BH182)/AVERAGE(終値!AO182:BH182),""))</f>
        <v>9.5235564735943995E-2</v>
      </c>
      <c r="AM182" s="503">
        <f>IF(終値!A182="","",IFERROR(4*STDEVP(終値!AP182:BI182)/AVERAGE(終値!AP182:BI182),""))</f>
        <v>0.1000951946803742</v>
      </c>
      <c r="AN182" s="503">
        <f>IF(終値!A182="","",IFERROR(4*STDEVP(終値!AQ182:BJ182)/AVERAGE(終値!AQ182:BJ182),""))</f>
        <v>0.10161185239908045</v>
      </c>
      <c r="AO182" s="503">
        <f>IF(終値!A182="","",IFERROR(4*STDEVP(終値!AR182:BK182)/AVERAGE(終値!AR182:BK182),""))</f>
        <v>0.10442093584359446</v>
      </c>
      <c r="AP182" s="503">
        <f>IF(終値!A182="","",IFERROR(4*STDEVP(終値!AS182:BL182)/AVERAGE(終値!AS182:BL182),""))</f>
        <v>0.10476880580931493</v>
      </c>
    </row>
    <row r="183" spans="1:42">
      <c r="A183" s="500" t="str">
        <f>IF(終値!A183="","",終値!A183)</f>
        <v>6507</v>
      </c>
      <c r="B183" s="503">
        <f>IF(終値!A183="","",IFERROR(4*STDEVP(終値!E183:X183)/AVERAGE(終値!E183:X183),""))</f>
        <v>0.30137513633646101</v>
      </c>
      <c r="C183" s="503">
        <f>IF(終値!A183="","",IFERROR(4*STDEVP(終値!F183:Y183)/AVERAGE(終値!F183:Y183),""))</f>
        <v>0.31626798812903462</v>
      </c>
      <c r="D183" s="503">
        <f>IF(終値!A183="","",IFERROR(4*STDEVP(終値!G183:Z183)/AVERAGE(終値!G183:Z183),""))</f>
        <v>0.31906448770152757</v>
      </c>
      <c r="E183" s="503">
        <f>IF(終値!A183="","",IFERROR(4*STDEVP(終値!H183:AA183)/AVERAGE(終値!H183:AA183),""))</f>
        <v>0.33806291547741124</v>
      </c>
      <c r="F183" s="503">
        <f>IF(終値!A183="","",IFERROR(4*STDEVP(終値!I183:AB183)/AVERAGE(終値!I183:AB183),""))</f>
        <v>0.31749008491821595</v>
      </c>
      <c r="G183" s="503">
        <f>IF(終値!A183="","",IFERROR(4*STDEVP(終値!J183:AC183)/AVERAGE(終値!J183:AC183),""))</f>
        <v>0.26954146671509832</v>
      </c>
      <c r="H183" s="503">
        <f>IF(終値!A183="","",IFERROR(4*STDEVP(終値!K183:AD183)/AVERAGE(終値!K183:AD183),""))</f>
        <v>0.23267374724243928</v>
      </c>
      <c r="I183" s="503">
        <f>IF(終値!A183="","",IFERROR(4*STDEVP(終値!L183:AE183)/AVERAGE(終値!L183:AE183),""))</f>
        <v>0.22946477818316835</v>
      </c>
      <c r="J183" s="503">
        <f>IF(終値!A183="","",IFERROR(4*STDEVP(終値!M183:AF183)/AVERAGE(終値!M183:AF183),""))</f>
        <v>0.22702887058135277</v>
      </c>
      <c r="K183" s="503">
        <f>IF(終値!A183="","",IFERROR(4*STDEVP(終値!N183:AG183)/AVERAGE(終値!N183:AG183),""))</f>
        <v>0.222147462669811</v>
      </c>
      <c r="L183" s="503">
        <f>IF(終値!A183="","",IFERROR(4*STDEVP(終値!O183:AH183)/AVERAGE(終値!O183:AH183),""))</f>
        <v>0.22460784039914927</v>
      </c>
      <c r="M183" s="503">
        <f>IF(終値!A183="","",IFERROR(4*STDEVP(終値!P183:AI183)/AVERAGE(終値!P183:AI183),""))</f>
        <v>0.2132547648102382</v>
      </c>
      <c r="N183" s="503">
        <f>IF(終値!A183="","",IFERROR(4*STDEVP(終値!Q183:AJ183)/AVERAGE(終値!Q183:AJ183),""))</f>
        <v>0.18780300480621948</v>
      </c>
      <c r="O183" s="503">
        <f>IF(終値!A183="","",IFERROR(4*STDEVP(終値!R183:AK183)/AVERAGE(終値!R183:AK183),""))</f>
        <v>0.18420472389005491</v>
      </c>
      <c r="P183" s="503">
        <f>IF(終値!A183="","",IFERROR(4*STDEVP(終値!S183:AL183)/AVERAGE(終値!S183:AL183),""))</f>
        <v>0.17441701283020902</v>
      </c>
      <c r="Q183" s="503">
        <f>IF(終値!A183="","",IFERROR(4*STDEVP(終値!T183:AM183)/AVERAGE(終値!T183:AM183),""))</f>
        <v>0.19008781352649215</v>
      </c>
      <c r="R183" s="503">
        <f>IF(終値!A183="","",IFERROR(4*STDEVP(終値!U183:AN183)/AVERAGE(終値!U183:AN183),""))</f>
        <v>0.22366811456097038</v>
      </c>
      <c r="S183" s="503">
        <f>IF(終値!A183="","",IFERROR(4*STDEVP(終値!V183:AO183)/AVERAGE(終値!V183:AO183),""))</f>
        <v>0.25516821470995316</v>
      </c>
      <c r="T183" s="503">
        <f>IF(終値!A183="","",IFERROR(4*STDEVP(終値!W183:AP183)/AVERAGE(終値!W183:AP183),""))</f>
        <v>0.27899955385130998</v>
      </c>
      <c r="U183" s="503">
        <f>IF(終値!A183="","",IFERROR(4*STDEVP(終値!X183:AQ183)/AVERAGE(終値!X183:AQ183),""))</f>
        <v>0.28662576132735679</v>
      </c>
      <c r="V183" s="503">
        <f>IF(終値!A183="","",IFERROR(4*STDEVP(終値!Y183:AR183)/AVERAGE(終値!Y183:AR183),""))</f>
        <v>0.27636721563388855</v>
      </c>
      <c r="W183" s="503">
        <f>IF(終値!A183="","",IFERROR(4*STDEVP(終値!Z183:AS183)/AVERAGE(終値!Z183:AS183),""))</f>
        <v>0.2755440196569694</v>
      </c>
      <c r="X183" s="503">
        <f>IF(終値!A183="","",IFERROR(4*STDEVP(終値!AA183:AT183)/AVERAGE(終値!AA183:AT183),""))</f>
        <v>0.28438682585113439</v>
      </c>
      <c r="Y183" s="503">
        <f>IF(終値!A183="","",IFERROR(4*STDEVP(終値!AB183:AU183)/AVERAGE(終値!AB183:AU183),""))</f>
        <v>0.27901148628740097</v>
      </c>
      <c r="Z183" s="503">
        <f>IF(終値!A183="","",IFERROR(4*STDEVP(終値!AC183:AV183)/AVERAGE(終値!AC183:AV183),""))</f>
        <v>0.28345913253234339</v>
      </c>
      <c r="AA183" s="503">
        <f>IF(終値!A183="","",IFERROR(4*STDEVP(終値!AD183:AW183)/AVERAGE(終値!AD183:AW183),""))</f>
        <v>0.28662807289213083</v>
      </c>
      <c r="AB183" s="503">
        <f>IF(終値!A183="","",IFERROR(4*STDEVP(終値!AE183:AX183)/AVERAGE(終値!AE183:AX183),""))</f>
        <v>0.28461954298995612</v>
      </c>
      <c r="AC183" s="503">
        <f>IF(終値!A183="","",IFERROR(4*STDEVP(終値!AF183:AY183)/AVERAGE(終値!AF183:AY183),""))</f>
        <v>0.27742469265516911</v>
      </c>
      <c r="AD183" s="503">
        <f>IF(終値!A183="","",IFERROR(4*STDEVP(終値!AG183:AZ183)/AVERAGE(終値!AG183:AZ183),""))</f>
        <v>0.27845634571638367</v>
      </c>
      <c r="AE183" s="503">
        <f>IF(終値!A183="","",IFERROR(4*STDEVP(終値!AH183:BA183)/AVERAGE(終値!AH183:BA183),""))</f>
        <v>0.28002948014116752</v>
      </c>
      <c r="AF183" s="503">
        <f>IF(終値!A183="","",IFERROR(4*STDEVP(終値!AI183:BB183)/AVERAGE(終値!AI183:BB183),""))</f>
        <v>0.25953934313565502</v>
      </c>
      <c r="AG183" s="503">
        <f>IF(終値!A183="","",IFERROR(4*STDEVP(終値!AJ183:BC183)/AVERAGE(終値!AJ183:BC183),""))</f>
        <v>0.23516549488133426</v>
      </c>
      <c r="AH183" s="503">
        <f>IF(終値!A183="","",IFERROR(4*STDEVP(終値!AK183:BD183)/AVERAGE(終値!AK183:BD183),""))</f>
        <v>0.20134744525808537</v>
      </c>
      <c r="AI183" s="503">
        <f>IF(終値!A183="","",IFERROR(4*STDEVP(終値!AL183:BE183)/AVERAGE(終値!AL183:BE183),""))</f>
        <v>0.18903947371123253</v>
      </c>
      <c r="AJ183" s="503">
        <f>IF(終値!A183="","",IFERROR(4*STDEVP(終値!AM183:BF183)/AVERAGE(終値!AM183:BF183),""))</f>
        <v>0.208682467933614</v>
      </c>
      <c r="AK183" s="503">
        <f>IF(終値!A183="","",IFERROR(4*STDEVP(終値!AN183:BG183)/AVERAGE(終値!AN183:BG183),""))</f>
        <v>0.20860559218698249</v>
      </c>
      <c r="AL183" s="503">
        <f>IF(終値!A183="","",IFERROR(4*STDEVP(終値!AO183:BH183)/AVERAGE(終値!AO183:BH183),""))</f>
        <v>0.20344593343068404</v>
      </c>
      <c r="AM183" s="503">
        <f>IF(終値!A183="","",IFERROR(4*STDEVP(終値!AP183:BI183)/AVERAGE(終値!AP183:BI183),""))</f>
        <v>0.19222381883573897</v>
      </c>
      <c r="AN183" s="503">
        <f>IF(終値!A183="","",IFERROR(4*STDEVP(終値!AQ183:BJ183)/AVERAGE(終値!AQ183:BJ183),""))</f>
        <v>0.18024682283024188</v>
      </c>
      <c r="AO183" s="503">
        <f>IF(終値!A183="","",IFERROR(4*STDEVP(終値!AR183:BK183)/AVERAGE(終値!AR183:BK183),""))</f>
        <v>0.18259294485141517</v>
      </c>
      <c r="AP183" s="503">
        <f>IF(終値!A183="","",IFERROR(4*STDEVP(終値!AS183:BL183)/AVERAGE(終値!AS183:BL183),""))</f>
        <v>0.17526769145559373</v>
      </c>
    </row>
    <row r="184" spans="1:42">
      <c r="A184" s="500" t="str">
        <f>IF(終値!A184="","",終値!A184)</f>
        <v>9022</v>
      </c>
      <c r="B184" s="503">
        <f>IF(終値!A184="","",IFERROR(4*STDEVP(終値!E184:X184)/AVERAGE(終値!E184:X184),""))</f>
        <v>0.19350306497209382</v>
      </c>
      <c r="C184" s="503">
        <f>IF(終値!A184="","",IFERROR(4*STDEVP(終値!F184:Y184)/AVERAGE(終値!F184:Y184),""))</f>
        <v>0.20738768747498887</v>
      </c>
      <c r="D184" s="503">
        <f>IF(終値!A184="","",IFERROR(4*STDEVP(終値!G184:Z184)/AVERAGE(終値!G184:Z184),""))</f>
        <v>0.22331919804369471</v>
      </c>
      <c r="E184" s="503">
        <f>IF(終値!A184="","",IFERROR(4*STDEVP(終値!H184:AA184)/AVERAGE(終値!H184:AA184),""))</f>
        <v>0.23870523441494818</v>
      </c>
      <c r="F184" s="503">
        <f>IF(終値!A184="","",IFERROR(4*STDEVP(終値!I184:AB184)/AVERAGE(終値!I184:AB184),""))</f>
        <v>0.22783504957503187</v>
      </c>
      <c r="G184" s="503">
        <f>IF(終値!A184="","",IFERROR(4*STDEVP(終値!J184:AC184)/AVERAGE(終値!J184:AC184),""))</f>
        <v>0.19795093535246572</v>
      </c>
      <c r="H184" s="503">
        <f>IF(終値!A184="","",IFERROR(4*STDEVP(終値!K184:AD184)/AVERAGE(終値!K184:AD184),""))</f>
        <v>0.18265737663513504</v>
      </c>
      <c r="I184" s="503">
        <f>IF(終値!A184="","",IFERROR(4*STDEVP(終値!L184:AE184)/AVERAGE(終値!L184:AE184),""))</f>
        <v>0.17455408328110161</v>
      </c>
      <c r="J184" s="503">
        <f>IF(終値!A184="","",IFERROR(4*STDEVP(終値!M184:AF184)/AVERAGE(終値!M184:AF184),""))</f>
        <v>0.17174372045733075</v>
      </c>
      <c r="K184" s="503">
        <f>IF(終値!A184="","",IFERROR(4*STDEVP(終値!N184:AG184)/AVERAGE(終値!N184:AG184),""))</f>
        <v>0.17227428741160017</v>
      </c>
      <c r="L184" s="503">
        <f>IF(終値!A184="","",IFERROR(4*STDEVP(終値!O184:AH184)/AVERAGE(終値!O184:AH184),""))</f>
        <v>0.17965019452447642</v>
      </c>
      <c r="M184" s="503">
        <f>IF(終値!A184="","",IFERROR(4*STDEVP(終値!P184:AI184)/AVERAGE(終値!P184:AI184),""))</f>
        <v>0.17775846802060977</v>
      </c>
      <c r="N184" s="503">
        <f>IF(終値!A184="","",IFERROR(4*STDEVP(終値!Q184:AJ184)/AVERAGE(終値!Q184:AJ184),""))</f>
        <v>0.17187361540756144</v>
      </c>
      <c r="O184" s="503">
        <f>IF(終値!A184="","",IFERROR(4*STDEVP(終値!R184:AK184)/AVERAGE(終値!R184:AK184),""))</f>
        <v>0.17120022179428784</v>
      </c>
      <c r="P184" s="503">
        <f>IF(終値!A184="","",IFERROR(4*STDEVP(終値!S184:AL184)/AVERAGE(終値!S184:AL184),""))</f>
        <v>0.16290023923489963</v>
      </c>
      <c r="Q184" s="503">
        <f>IF(終値!A184="","",IFERROR(4*STDEVP(終値!T184:AM184)/AVERAGE(終値!T184:AM184),""))</f>
        <v>0.15659095868643275</v>
      </c>
      <c r="R184" s="503">
        <f>IF(終値!A184="","",IFERROR(4*STDEVP(終値!U184:AN184)/AVERAGE(終値!U184:AN184),""))</f>
        <v>0.15062141046588701</v>
      </c>
      <c r="S184" s="503">
        <f>IF(終値!A184="","",IFERROR(4*STDEVP(終値!V184:AO184)/AVERAGE(終値!V184:AO184),""))</f>
        <v>0.13797469153775585</v>
      </c>
      <c r="T184" s="503">
        <f>IF(終値!A184="","",IFERROR(4*STDEVP(終値!W184:AP184)/AVERAGE(終値!W184:AP184),""))</f>
        <v>0.12399302939890534</v>
      </c>
      <c r="U184" s="503">
        <f>IF(終値!A184="","",IFERROR(4*STDEVP(終値!X184:AQ184)/AVERAGE(終値!X184:AQ184),""))</f>
        <v>9.6345001546070078E-2</v>
      </c>
      <c r="V184" s="503">
        <f>IF(終値!A184="","",IFERROR(4*STDEVP(終値!Y184:AR184)/AVERAGE(終値!Y184:AR184),""))</f>
        <v>8.6084355154546988E-2</v>
      </c>
      <c r="W184" s="503">
        <f>IF(終値!A184="","",IFERROR(4*STDEVP(終値!Z184:AS184)/AVERAGE(終値!Z184:AS184),""))</f>
        <v>8.1112693873012856E-2</v>
      </c>
      <c r="X184" s="503">
        <f>IF(終値!A184="","",IFERROR(4*STDEVP(終値!AA184:AT184)/AVERAGE(終値!AA184:AT184),""))</f>
        <v>7.8906814509904485E-2</v>
      </c>
      <c r="Y184" s="503">
        <f>IF(終値!A184="","",IFERROR(4*STDEVP(終値!AB184:AU184)/AVERAGE(終値!AB184:AU184),""))</f>
        <v>7.875811022221807E-2</v>
      </c>
      <c r="Z184" s="503">
        <f>IF(終値!A184="","",IFERROR(4*STDEVP(終値!AC184:AV184)/AVERAGE(終値!AC184:AV184),""))</f>
        <v>7.97262350699037E-2</v>
      </c>
      <c r="AA184" s="503">
        <f>IF(終値!A184="","",IFERROR(4*STDEVP(終値!AD184:AW184)/AVERAGE(終値!AD184:AW184),""))</f>
        <v>7.8315542616647277E-2</v>
      </c>
      <c r="AB184" s="503">
        <f>IF(終値!A184="","",IFERROR(4*STDEVP(終値!AE184:AX184)/AVERAGE(終値!AE184:AX184),""))</f>
        <v>8.4752820449596922E-2</v>
      </c>
      <c r="AC184" s="503">
        <f>IF(終値!A184="","",IFERROR(4*STDEVP(終値!AF184:AY184)/AVERAGE(終値!AF184:AY184),""))</f>
        <v>9.6505024097438011E-2</v>
      </c>
      <c r="AD184" s="503">
        <f>IF(終値!A184="","",IFERROR(4*STDEVP(終値!AG184:AZ184)/AVERAGE(終値!AG184:AZ184),""))</f>
        <v>0.1061755584627356</v>
      </c>
      <c r="AE184" s="503">
        <f>IF(終値!A184="","",IFERROR(4*STDEVP(終値!AH184:BA184)/AVERAGE(終値!AH184:BA184),""))</f>
        <v>0.11171283305556554</v>
      </c>
      <c r="AF184" s="503">
        <f>IF(終値!A184="","",IFERROR(4*STDEVP(終値!AI184:BB184)/AVERAGE(終値!AI184:BB184),""))</f>
        <v>0.11131276372290561</v>
      </c>
      <c r="AG184" s="503">
        <f>IF(終値!A184="","",IFERROR(4*STDEVP(終値!AJ184:BC184)/AVERAGE(終値!AJ184:BC184),""))</f>
        <v>0.11338138622466896</v>
      </c>
      <c r="AH184" s="503">
        <f>IF(終値!A184="","",IFERROR(4*STDEVP(終値!AK184:BD184)/AVERAGE(終値!AK184:BD184),""))</f>
        <v>0.11426586050356954</v>
      </c>
      <c r="AI184" s="503">
        <f>IF(終値!A184="","",IFERROR(4*STDEVP(終値!AL184:BE184)/AVERAGE(終値!AL184:BE184),""))</f>
        <v>0.1169893695991937</v>
      </c>
      <c r="AJ184" s="503">
        <f>IF(終値!A184="","",IFERROR(4*STDEVP(終値!AM184:BF184)/AVERAGE(終値!AM184:BF184),""))</f>
        <v>0.11964421267270127</v>
      </c>
      <c r="AK184" s="503">
        <f>IF(終値!A184="","",IFERROR(4*STDEVP(終値!AN184:BG184)/AVERAGE(終値!AN184:BG184),""))</f>
        <v>0.1207772418546209</v>
      </c>
      <c r="AL184" s="503">
        <f>IF(終値!A184="","",IFERROR(4*STDEVP(終値!AO184:BH184)/AVERAGE(終値!AO184:BH184),""))</f>
        <v>0.11847184034164793</v>
      </c>
      <c r="AM184" s="503">
        <f>IF(終値!A184="","",IFERROR(4*STDEVP(終値!AP184:BI184)/AVERAGE(終値!AP184:BI184),""))</f>
        <v>0.11749617239141007</v>
      </c>
      <c r="AN184" s="503">
        <f>IF(終値!A184="","",IFERROR(4*STDEVP(終値!AQ184:BJ184)/AVERAGE(終値!AQ184:BJ184),""))</f>
        <v>0.1188541121341412</v>
      </c>
      <c r="AO184" s="503">
        <f>IF(終値!A184="","",IFERROR(4*STDEVP(終値!AR184:BK184)/AVERAGE(終値!AR184:BK184),""))</f>
        <v>0.12188701824461903</v>
      </c>
      <c r="AP184" s="503">
        <f>IF(終値!A184="","",IFERROR(4*STDEVP(終値!AS184:BL184)/AVERAGE(終値!AS184:BL184),""))</f>
        <v>0.11412743623303506</v>
      </c>
    </row>
    <row r="185" spans="1:42">
      <c r="A185" s="500" t="str">
        <f>IF(終値!A185="","",終値!A185)</f>
        <v>9536</v>
      </c>
      <c r="B185" s="503">
        <f>IF(終値!A185="","",IFERROR(4*STDEVP(終値!E185:X185)/AVERAGE(終値!E185:X185),""))</f>
        <v>5.3191759574259527E-2</v>
      </c>
      <c r="C185" s="503">
        <f>IF(終値!A185="","",IFERROR(4*STDEVP(終値!F185:Y185)/AVERAGE(終値!F185:Y185),""))</f>
        <v>6.1950671884625545E-2</v>
      </c>
      <c r="D185" s="503">
        <f>IF(終値!A185="","",IFERROR(4*STDEVP(終値!G185:Z185)/AVERAGE(終値!G185:Z185),""))</f>
        <v>6.9376599042974746E-2</v>
      </c>
      <c r="E185" s="503">
        <f>IF(終値!A185="","",IFERROR(4*STDEVP(終値!H185:AA185)/AVERAGE(終値!H185:AA185),""))</f>
        <v>7.962613574124533E-2</v>
      </c>
      <c r="F185" s="503">
        <f>IF(終値!A185="","",IFERROR(4*STDEVP(終値!I185:AB185)/AVERAGE(終値!I185:AB185),""))</f>
        <v>8.196041734140723E-2</v>
      </c>
      <c r="G185" s="503">
        <f>IF(終値!A185="","",IFERROR(4*STDEVP(終値!J185:AC185)/AVERAGE(終値!J185:AC185),""))</f>
        <v>8.1815727603067698E-2</v>
      </c>
      <c r="H185" s="503">
        <f>IF(終値!A185="","",IFERROR(4*STDEVP(終値!K185:AD185)/AVERAGE(終値!K185:AD185),""))</f>
        <v>8.4669835780276634E-2</v>
      </c>
      <c r="I185" s="503">
        <f>IF(終値!A185="","",IFERROR(4*STDEVP(終値!L185:AE185)/AVERAGE(終値!L185:AE185),""))</f>
        <v>8.6113669064231846E-2</v>
      </c>
      <c r="J185" s="503">
        <f>IF(終値!A185="","",IFERROR(4*STDEVP(終値!M185:AF185)/AVERAGE(終値!M185:AF185),""))</f>
        <v>8.8068073301144273E-2</v>
      </c>
      <c r="K185" s="503">
        <f>IF(終値!A185="","",IFERROR(4*STDEVP(終値!N185:AG185)/AVERAGE(終値!N185:AG185),""))</f>
        <v>8.9990630206534777E-2</v>
      </c>
      <c r="L185" s="503">
        <f>IF(終値!A185="","",IFERROR(4*STDEVP(終値!O185:AH185)/AVERAGE(終値!O185:AH185),""))</f>
        <v>8.8573519029345973E-2</v>
      </c>
      <c r="M185" s="503">
        <f>IF(終値!A185="","",IFERROR(4*STDEVP(終値!P185:AI185)/AVERAGE(終値!P185:AI185),""))</f>
        <v>8.5412256225747094E-2</v>
      </c>
      <c r="N185" s="503">
        <f>IF(終値!A185="","",IFERROR(4*STDEVP(終値!Q185:AJ185)/AVERAGE(終値!Q185:AJ185),""))</f>
        <v>8.4689050818468628E-2</v>
      </c>
      <c r="O185" s="503">
        <f>IF(終値!A185="","",IFERROR(4*STDEVP(終値!R185:AK185)/AVERAGE(終値!R185:AK185),""))</f>
        <v>8.1502166879558122E-2</v>
      </c>
      <c r="P185" s="503">
        <f>IF(終値!A185="","",IFERROR(4*STDEVP(終値!S185:AL185)/AVERAGE(終値!S185:AL185),""))</f>
        <v>8.0791644441121996E-2</v>
      </c>
      <c r="Q185" s="503">
        <f>IF(終値!A185="","",IFERROR(4*STDEVP(終値!T185:AM185)/AVERAGE(終値!T185:AM185),""))</f>
        <v>7.971895311675907E-2</v>
      </c>
      <c r="R185" s="503">
        <f>IF(終値!A185="","",IFERROR(4*STDEVP(終値!U185:AN185)/AVERAGE(終値!U185:AN185),""))</f>
        <v>7.5123052880506538E-2</v>
      </c>
      <c r="S185" s="503">
        <f>IF(終値!A185="","",IFERROR(4*STDEVP(終値!V185:AO185)/AVERAGE(終値!V185:AO185),""))</f>
        <v>6.5916197797635509E-2</v>
      </c>
      <c r="T185" s="503">
        <f>IF(終値!A185="","",IFERROR(4*STDEVP(終値!W185:AP185)/AVERAGE(終値!W185:AP185),""))</f>
        <v>5.0299761728099211E-2</v>
      </c>
      <c r="U185" s="503">
        <f>IF(終値!A185="","",IFERROR(4*STDEVP(終値!X185:AQ185)/AVERAGE(終値!X185:AQ185),""))</f>
        <v>3.9906485137524463E-2</v>
      </c>
      <c r="V185" s="503">
        <f>IF(終値!A185="","",IFERROR(4*STDEVP(終値!Y185:AR185)/AVERAGE(終値!Y185:AR185),""))</f>
        <v>3.2553730376534071E-2</v>
      </c>
      <c r="W185" s="503">
        <f>IF(終値!A185="","",IFERROR(4*STDEVP(終値!Z185:AS185)/AVERAGE(終値!Z185:AS185),""))</f>
        <v>3.6644620330416322E-2</v>
      </c>
      <c r="X185" s="503">
        <f>IF(終値!A185="","",IFERROR(4*STDEVP(終値!AA185:AT185)/AVERAGE(終値!AA185:AT185),""))</f>
        <v>3.9903494701570334E-2</v>
      </c>
      <c r="Y185" s="503">
        <f>IF(終値!A185="","",IFERROR(4*STDEVP(終値!AB185:AU185)/AVERAGE(終値!AB185:AU185),""))</f>
        <v>4.9266418370043502E-2</v>
      </c>
      <c r="Z185" s="503">
        <f>IF(終値!A185="","",IFERROR(4*STDEVP(終値!AC185:AV185)/AVERAGE(終値!AC185:AV185),""))</f>
        <v>4.9503458732567479E-2</v>
      </c>
      <c r="AA185" s="503">
        <f>IF(終値!A185="","",IFERROR(4*STDEVP(終値!AD185:AW185)/AVERAGE(終値!AD185:AW185),""))</f>
        <v>4.7537023645711926E-2</v>
      </c>
      <c r="AB185" s="503">
        <f>IF(終値!A185="","",IFERROR(4*STDEVP(終値!AE185:AX185)/AVERAGE(終値!AE185:AX185),""))</f>
        <v>4.6075760245411254E-2</v>
      </c>
      <c r="AC185" s="503">
        <f>IF(終値!A185="","",IFERROR(4*STDEVP(終値!AF185:AY185)/AVERAGE(終値!AF185:AY185),""))</f>
        <v>4.6582235756974913E-2</v>
      </c>
      <c r="AD185" s="503">
        <f>IF(終値!A185="","",IFERROR(4*STDEVP(終値!AG185:AZ185)/AVERAGE(終値!AG185:AZ185),""))</f>
        <v>4.6600520573813427E-2</v>
      </c>
      <c r="AE185" s="503">
        <f>IF(終値!A185="","",IFERROR(4*STDEVP(終値!AH185:BA185)/AVERAGE(終値!AH185:BA185),""))</f>
        <v>4.6935434022939579E-2</v>
      </c>
      <c r="AF185" s="503">
        <f>IF(終値!A185="","",IFERROR(4*STDEVP(終値!AI185:BB185)/AVERAGE(終値!AI185:BB185),""))</f>
        <v>4.7006304202656293E-2</v>
      </c>
      <c r="AG185" s="503">
        <f>IF(終値!A185="","",IFERROR(4*STDEVP(終値!AJ185:BC185)/AVERAGE(終値!AJ185:BC185),""))</f>
        <v>4.7006304202656293E-2</v>
      </c>
      <c r="AH185" s="503">
        <f>IF(終値!A185="","",IFERROR(4*STDEVP(終値!AK185:BD185)/AVERAGE(終値!AK185:BD185),""))</f>
        <v>4.631977673578893E-2</v>
      </c>
      <c r="AI185" s="503">
        <f>IF(終値!A185="","",IFERROR(4*STDEVP(終値!AL185:BE185)/AVERAGE(終値!AL185:BE185),""))</f>
        <v>4.9005427383970138E-2</v>
      </c>
      <c r="AJ185" s="503">
        <f>IF(終値!A185="","",IFERROR(4*STDEVP(終値!AM185:BF185)/AVERAGE(終値!AM185:BF185),""))</f>
        <v>4.9544480081685369E-2</v>
      </c>
      <c r="AK185" s="503">
        <f>IF(終値!A185="","",IFERROR(4*STDEVP(終値!AN185:BG185)/AVERAGE(終値!AN185:BG185),""))</f>
        <v>4.5502637879580615E-2</v>
      </c>
      <c r="AL185" s="503">
        <f>IF(終値!A185="","",IFERROR(4*STDEVP(終値!AO185:BH185)/AVERAGE(終値!AO185:BH185),""))</f>
        <v>4.4551990072685482E-2</v>
      </c>
      <c r="AM185" s="503">
        <f>IF(終値!A185="","",IFERROR(4*STDEVP(終値!AP185:BI185)/AVERAGE(終値!AP185:BI185),""))</f>
        <v>4.5360672361783913E-2</v>
      </c>
      <c r="AN185" s="503">
        <f>IF(終値!A185="","",IFERROR(4*STDEVP(終値!AQ185:BJ185)/AVERAGE(終値!AQ185:BJ185),""))</f>
        <v>4.5014999634859929E-2</v>
      </c>
      <c r="AO185" s="503">
        <f>IF(終値!A185="","",IFERROR(4*STDEVP(終値!AR185:BK185)/AVERAGE(終値!AR185:BK185),""))</f>
        <v>5.1433479409717063E-2</v>
      </c>
      <c r="AP185" s="503">
        <f>IF(終値!A185="","",IFERROR(4*STDEVP(終値!AS185:BL185)/AVERAGE(終値!AS185:BL185),""))</f>
        <v>5.1195671642123484E-2</v>
      </c>
    </row>
    <row r="186" spans="1:42">
      <c r="A186" s="500" t="str">
        <f>IF(終値!A186="","",終値!A186)</f>
        <v>9506</v>
      </c>
      <c r="B186" s="503">
        <f>IF(終値!A186="","",IFERROR(4*STDEVP(終値!E186:X186)/AVERAGE(終値!E186:X186),""))</f>
        <v>0.13239386821490789</v>
      </c>
      <c r="C186" s="503">
        <f>IF(終値!A186="","",IFERROR(4*STDEVP(終値!F186:Y186)/AVERAGE(終値!F186:Y186),""))</f>
        <v>0.13685339291543769</v>
      </c>
      <c r="D186" s="503">
        <f>IF(終値!A186="","",IFERROR(4*STDEVP(終値!G186:Z186)/AVERAGE(終値!G186:Z186),""))</f>
        <v>0.13854057739336215</v>
      </c>
      <c r="E186" s="503">
        <f>IF(終値!A186="","",IFERROR(4*STDEVP(終値!H186:AA186)/AVERAGE(終値!H186:AA186),""))</f>
        <v>0.13991731507835606</v>
      </c>
      <c r="F186" s="503">
        <f>IF(終値!A186="","",IFERROR(4*STDEVP(終値!I186:AB186)/AVERAGE(終値!I186:AB186),""))</f>
        <v>0.13791257482224747</v>
      </c>
      <c r="G186" s="503">
        <f>IF(終値!A186="","",IFERROR(4*STDEVP(終値!J186:AC186)/AVERAGE(終値!J186:AC186),""))</f>
        <v>0.13117151057855628</v>
      </c>
      <c r="H186" s="503">
        <f>IF(終値!A186="","",IFERROR(4*STDEVP(終値!K186:AD186)/AVERAGE(終値!K186:AD186),""))</f>
        <v>0.13240415948923004</v>
      </c>
      <c r="I186" s="503">
        <f>IF(終値!A186="","",IFERROR(4*STDEVP(終値!L186:AE186)/AVERAGE(終値!L186:AE186),""))</f>
        <v>0.12380980961244413</v>
      </c>
      <c r="J186" s="503">
        <f>IF(終値!A186="","",IFERROR(4*STDEVP(終値!M186:AF186)/AVERAGE(終値!M186:AF186),""))</f>
        <v>0.12765261787427964</v>
      </c>
      <c r="K186" s="503">
        <f>IF(終値!A186="","",IFERROR(4*STDEVP(終値!N186:AG186)/AVERAGE(終値!N186:AG186),""))</f>
        <v>0.12637767527119542</v>
      </c>
      <c r="L186" s="503">
        <f>IF(終値!A186="","",IFERROR(4*STDEVP(終値!O186:AH186)/AVERAGE(終値!O186:AH186),""))</f>
        <v>0.12099532388435527</v>
      </c>
      <c r="M186" s="503">
        <f>IF(終値!A186="","",IFERROR(4*STDEVP(終値!P186:AI186)/AVERAGE(終値!P186:AI186),""))</f>
        <v>0.10837050565051926</v>
      </c>
      <c r="N186" s="503">
        <f>IF(終値!A186="","",IFERROR(4*STDEVP(終値!Q186:AJ186)/AVERAGE(終値!Q186:AJ186),""))</f>
        <v>9.9544564644976366E-2</v>
      </c>
      <c r="O186" s="503">
        <f>IF(終値!A186="","",IFERROR(4*STDEVP(終値!R186:AK186)/AVERAGE(終値!R186:AK186),""))</f>
        <v>8.7652814792396228E-2</v>
      </c>
      <c r="P186" s="503">
        <f>IF(終値!A186="","",IFERROR(4*STDEVP(終値!S186:AL186)/AVERAGE(終値!S186:AL186),""))</f>
        <v>8.2936360574310072E-2</v>
      </c>
      <c r="Q186" s="503">
        <f>IF(終値!A186="","",IFERROR(4*STDEVP(終値!T186:AM186)/AVERAGE(終値!T186:AM186),""))</f>
        <v>7.9984594717383728E-2</v>
      </c>
      <c r="R186" s="503">
        <f>IF(終値!A186="","",IFERROR(4*STDEVP(終値!U186:AN186)/AVERAGE(終値!U186:AN186),""))</f>
        <v>8.2936372221653107E-2</v>
      </c>
      <c r="S186" s="503">
        <f>IF(終値!A186="","",IFERROR(4*STDEVP(終値!V186:AO186)/AVERAGE(終値!V186:AO186),""))</f>
        <v>8.2212310011833961E-2</v>
      </c>
      <c r="T186" s="503">
        <f>IF(終値!A186="","",IFERROR(4*STDEVP(終値!W186:AP186)/AVERAGE(終値!W186:AP186),""))</f>
        <v>8.0521750908863057E-2</v>
      </c>
      <c r="U186" s="503">
        <f>IF(終値!A186="","",IFERROR(4*STDEVP(終値!X186:AQ186)/AVERAGE(終値!X186:AQ186),""))</f>
        <v>8.1313316465333796E-2</v>
      </c>
      <c r="V186" s="503">
        <f>IF(終値!A186="","",IFERROR(4*STDEVP(終値!Y186:AR186)/AVERAGE(終値!Y186:AR186),""))</f>
        <v>7.9226647330714661E-2</v>
      </c>
      <c r="W186" s="503">
        <f>IF(終値!A186="","",IFERROR(4*STDEVP(終値!Z186:AS186)/AVERAGE(終値!Z186:AS186),""))</f>
        <v>8.5174096919446871E-2</v>
      </c>
      <c r="X186" s="503">
        <f>IF(終値!A186="","",IFERROR(4*STDEVP(終値!AA186:AT186)/AVERAGE(終値!AA186:AT186),""))</f>
        <v>8.3858584187258292E-2</v>
      </c>
      <c r="Y186" s="503">
        <f>IF(終値!A186="","",IFERROR(4*STDEVP(終値!AB186:AU186)/AVERAGE(終値!AB186:AU186),""))</f>
        <v>9.0311629888122011E-2</v>
      </c>
      <c r="Z186" s="503">
        <f>IF(終値!A186="","",IFERROR(4*STDEVP(終値!AC186:AV186)/AVERAGE(終値!AC186:AV186),""))</f>
        <v>8.7069708974820137E-2</v>
      </c>
      <c r="AA186" s="503">
        <f>IF(終値!A186="","",IFERROR(4*STDEVP(終値!AD186:AW186)/AVERAGE(終値!AD186:AW186),""))</f>
        <v>8.836391689967546E-2</v>
      </c>
      <c r="AB186" s="503">
        <f>IF(終値!A186="","",IFERROR(4*STDEVP(終値!AE186:AX186)/AVERAGE(終値!AE186:AX186),""))</f>
        <v>8.9772755545942676E-2</v>
      </c>
      <c r="AC186" s="503">
        <f>IF(終値!A186="","",IFERROR(4*STDEVP(終値!AF186:AY186)/AVERAGE(終値!AF186:AY186),""))</f>
        <v>8.8342736907468758E-2</v>
      </c>
      <c r="AD186" s="503">
        <f>IF(終値!A186="","",IFERROR(4*STDEVP(終値!AG186:AZ186)/AVERAGE(終値!AG186:AZ186),""))</f>
        <v>8.8368523224838263E-2</v>
      </c>
      <c r="AE186" s="503">
        <f>IF(終値!A186="","",IFERROR(4*STDEVP(終値!AH186:BA186)/AVERAGE(終値!AH186:BA186),""))</f>
        <v>8.7964791036553608E-2</v>
      </c>
      <c r="AF186" s="503">
        <f>IF(終値!A186="","",IFERROR(4*STDEVP(終値!AI186:BB186)/AVERAGE(終値!AI186:BB186),""))</f>
        <v>8.6497221051626938E-2</v>
      </c>
      <c r="AG186" s="503">
        <f>IF(終値!A186="","",IFERROR(4*STDEVP(終値!AJ186:BC186)/AVERAGE(終値!AJ186:BC186),""))</f>
        <v>8.1834858846717082E-2</v>
      </c>
      <c r="AH186" s="503">
        <f>IF(終値!A186="","",IFERROR(4*STDEVP(終値!AK186:BD186)/AVERAGE(終値!AK186:BD186),""))</f>
        <v>7.6260185059629032E-2</v>
      </c>
      <c r="AI186" s="503">
        <f>IF(終値!A186="","",IFERROR(4*STDEVP(終値!AL186:BE186)/AVERAGE(終値!AL186:BE186),""))</f>
        <v>7.8173222758680855E-2</v>
      </c>
      <c r="AJ186" s="503">
        <f>IF(終値!A186="","",IFERROR(4*STDEVP(終値!AM186:BF186)/AVERAGE(終値!AM186:BF186),""))</f>
        <v>8.110632184775525E-2</v>
      </c>
      <c r="AK186" s="503">
        <f>IF(終値!A186="","",IFERROR(4*STDEVP(終値!AN186:BG186)/AVERAGE(終値!AN186:BG186),""))</f>
        <v>8.0138389661083165E-2</v>
      </c>
      <c r="AL186" s="503">
        <f>IF(終値!A186="","",IFERROR(4*STDEVP(終値!AO186:BH186)/AVERAGE(終値!AO186:BH186),""))</f>
        <v>9.0582630602460884E-2</v>
      </c>
      <c r="AM186" s="503">
        <f>IF(終値!A186="","",IFERROR(4*STDEVP(終値!AP186:BI186)/AVERAGE(終値!AP186:BI186),""))</f>
        <v>9.7756951354851809E-2</v>
      </c>
      <c r="AN186" s="503">
        <f>IF(終値!A186="","",IFERROR(4*STDEVP(終値!AQ186:BJ186)/AVERAGE(終値!AQ186:BJ186),""))</f>
        <v>0.10243424269119913</v>
      </c>
      <c r="AO186" s="503">
        <f>IF(終値!A186="","",IFERROR(4*STDEVP(終値!AR186:BK186)/AVERAGE(終値!AR186:BK186),""))</f>
        <v>0.11790737321978836</v>
      </c>
      <c r="AP186" s="503">
        <f>IF(終値!A186="","",IFERROR(4*STDEVP(終値!AS186:BL186)/AVERAGE(終値!AS186:BL186),""))</f>
        <v>0.11837824976463457</v>
      </c>
    </row>
    <row r="187" spans="1:42">
      <c r="A187" s="500" t="str">
        <f>IF(終値!A187="","",終値!A187)</f>
        <v>2127</v>
      </c>
      <c r="B187" s="503">
        <f>IF(終値!A187="","",IFERROR(4*STDEVP(終値!E187:X187)/AVERAGE(終値!E187:X187),""))</f>
        <v>0.10423324252648164</v>
      </c>
      <c r="C187" s="503">
        <f>IF(終値!A187="","",IFERROR(4*STDEVP(終値!F187:Y187)/AVERAGE(終値!F187:Y187),""))</f>
        <v>9.3875115748256813E-2</v>
      </c>
      <c r="D187" s="503">
        <f>IF(終値!A187="","",IFERROR(4*STDEVP(終値!G187:Z187)/AVERAGE(終値!G187:Z187),""))</f>
        <v>8.8106018894499205E-2</v>
      </c>
      <c r="E187" s="503">
        <f>IF(終値!A187="","",IFERROR(4*STDEVP(終値!H187:AA187)/AVERAGE(終値!H187:AA187),""))</f>
        <v>8.9817181382737532E-2</v>
      </c>
      <c r="F187" s="503">
        <f>IF(終値!A187="","",IFERROR(4*STDEVP(終値!I187:AB187)/AVERAGE(終値!I187:AB187),""))</f>
        <v>9.3690290746182583E-2</v>
      </c>
      <c r="G187" s="503">
        <f>IF(終値!A187="","",IFERROR(4*STDEVP(終値!J187:AC187)/AVERAGE(終値!J187:AC187),""))</f>
        <v>9.8259313973724824E-2</v>
      </c>
      <c r="H187" s="503">
        <f>IF(終値!A187="","",IFERROR(4*STDEVP(終値!K187:AD187)/AVERAGE(終値!K187:AD187),""))</f>
        <v>0.11461683048125094</v>
      </c>
      <c r="I187" s="503">
        <f>IF(終値!A187="","",IFERROR(4*STDEVP(終値!L187:AE187)/AVERAGE(終値!L187:AE187),""))</f>
        <v>0.12418514941109204</v>
      </c>
      <c r="J187" s="503">
        <f>IF(終値!A187="","",IFERROR(4*STDEVP(終値!M187:AF187)/AVERAGE(終値!M187:AF187),""))</f>
        <v>0.13133382563538679</v>
      </c>
      <c r="K187" s="503">
        <f>IF(終値!A187="","",IFERROR(4*STDEVP(終値!N187:AG187)/AVERAGE(終値!N187:AG187),""))</f>
        <v>0.13815330342768023</v>
      </c>
      <c r="L187" s="503">
        <f>IF(終値!A187="","",IFERROR(4*STDEVP(終値!O187:AH187)/AVERAGE(終値!O187:AH187),""))</f>
        <v>0.14169295074220581</v>
      </c>
      <c r="M187" s="503">
        <f>IF(終値!A187="","",IFERROR(4*STDEVP(終値!P187:AI187)/AVERAGE(終値!P187:AI187),""))</f>
        <v>0.14007476958272178</v>
      </c>
      <c r="N187" s="503">
        <f>IF(終値!A187="","",IFERROR(4*STDEVP(終値!Q187:AJ187)/AVERAGE(終値!Q187:AJ187),""))</f>
        <v>0.13847070250402541</v>
      </c>
      <c r="O187" s="503">
        <f>IF(終値!A187="","",IFERROR(4*STDEVP(終値!R187:AK187)/AVERAGE(終値!R187:AK187),""))</f>
        <v>0.13452278127063658</v>
      </c>
      <c r="P187" s="503">
        <f>IF(終値!A187="","",IFERROR(4*STDEVP(終値!S187:AL187)/AVERAGE(終値!S187:AL187),""))</f>
        <v>0.13092704906014394</v>
      </c>
      <c r="Q187" s="503">
        <f>IF(終値!A187="","",IFERROR(4*STDEVP(終値!T187:AM187)/AVERAGE(終値!T187:AM187),""))</f>
        <v>0.12826719059175015</v>
      </c>
      <c r="R187" s="503">
        <f>IF(終値!A187="","",IFERROR(4*STDEVP(終値!U187:AN187)/AVERAGE(終値!U187:AN187),""))</f>
        <v>0.12385588403810581</v>
      </c>
      <c r="S187" s="503">
        <f>IF(終値!A187="","",IFERROR(4*STDEVP(終値!V187:AO187)/AVERAGE(終値!V187:AO187),""))</f>
        <v>0.11718669090921094</v>
      </c>
      <c r="T187" s="503">
        <f>IF(終値!A187="","",IFERROR(4*STDEVP(終値!W187:AP187)/AVERAGE(終値!W187:AP187),""))</f>
        <v>0.10605870403614451</v>
      </c>
      <c r="U187" s="503">
        <f>IF(終値!A187="","",IFERROR(4*STDEVP(終値!X187:AQ187)/AVERAGE(終値!X187:AQ187),""))</f>
        <v>8.4173883327919349E-2</v>
      </c>
      <c r="V187" s="503">
        <f>IF(終値!A187="","",IFERROR(4*STDEVP(終値!Y187:AR187)/AVERAGE(終値!Y187:AR187),""))</f>
        <v>6.3577665838705527E-2</v>
      </c>
      <c r="W187" s="503">
        <f>IF(終値!A187="","",IFERROR(4*STDEVP(終値!Z187:AS187)/AVERAGE(終値!Z187:AS187),""))</f>
        <v>6.1277378509488174E-2</v>
      </c>
      <c r="X187" s="503">
        <f>IF(終値!A187="","",IFERROR(4*STDEVP(終値!AA187:AT187)/AVERAGE(終値!AA187:AT187),""))</f>
        <v>5.9825909714472714E-2</v>
      </c>
      <c r="Y187" s="503">
        <f>IF(終値!A187="","",IFERROR(4*STDEVP(終値!AB187:AU187)/AVERAGE(終値!AB187:AU187),""))</f>
        <v>6.5042716211172164E-2</v>
      </c>
      <c r="Z187" s="503">
        <f>IF(終値!A187="","",IFERROR(4*STDEVP(終値!AC187:AV187)/AVERAGE(終値!AC187:AV187),""))</f>
        <v>6.7736554426281459E-2</v>
      </c>
      <c r="AA187" s="503">
        <f>IF(終値!A187="","",IFERROR(4*STDEVP(終値!AD187:AW187)/AVERAGE(終値!AD187:AW187),""))</f>
        <v>6.9948784498636202E-2</v>
      </c>
      <c r="AB187" s="503">
        <f>IF(終値!A187="","",IFERROR(4*STDEVP(終値!AE187:AX187)/AVERAGE(終値!AE187:AX187),""))</f>
        <v>7.2392157005930297E-2</v>
      </c>
      <c r="AC187" s="503">
        <f>IF(終値!A187="","",IFERROR(4*STDEVP(終値!AF187:AY187)/AVERAGE(終値!AF187:AY187),""))</f>
        <v>6.9533881562145197E-2</v>
      </c>
      <c r="AD187" s="503">
        <f>IF(終値!A187="","",IFERROR(4*STDEVP(終値!AG187:AZ187)/AVERAGE(終値!AG187:AZ187),""))</f>
        <v>7.0707055112899139E-2</v>
      </c>
      <c r="AE187" s="503">
        <f>IF(終値!A187="","",IFERROR(4*STDEVP(終値!AH187:BA187)/AVERAGE(終値!AH187:BA187),""))</f>
        <v>6.8026232211391105E-2</v>
      </c>
      <c r="AF187" s="503">
        <f>IF(終値!A187="","",IFERROR(4*STDEVP(終値!AI187:BB187)/AVERAGE(終値!AI187:BB187),""))</f>
        <v>6.5732396891624037E-2</v>
      </c>
      <c r="AG187" s="503">
        <f>IF(終値!A187="","",IFERROR(4*STDEVP(終値!AJ187:BC187)/AVERAGE(終値!AJ187:BC187),""))</f>
        <v>6.7833901458160775E-2</v>
      </c>
      <c r="AH187" s="503">
        <f>IF(終値!A187="","",IFERROR(4*STDEVP(終値!AK187:BD187)/AVERAGE(終値!AK187:BD187),""))</f>
        <v>6.7534456526922845E-2</v>
      </c>
      <c r="AI187" s="503">
        <f>IF(終値!A187="","",IFERROR(4*STDEVP(終値!AL187:BE187)/AVERAGE(終値!AL187:BE187),""))</f>
        <v>6.8122195793302295E-2</v>
      </c>
      <c r="AJ187" s="503">
        <f>IF(終値!A187="","",IFERROR(4*STDEVP(終値!AM187:BF187)/AVERAGE(終値!AM187:BF187),""))</f>
        <v>6.8017925358144091E-2</v>
      </c>
      <c r="AK187" s="503">
        <f>IF(終値!A187="","",IFERROR(4*STDEVP(終値!AN187:BG187)/AVERAGE(終値!AN187:BG187),""))</f>
        <v>6.7953882641884414E-2</v>
      </c>
      <c r="AL187" s="503">
        <f>IF(終値!A187="","",IFERROR(4*STDEVP(終値!AO187:BH187)/AVERAGE(終値!AO187:BH187),""))</f>
        <v>6.7123502430467913E-2</v>
      </c>
      <c r="AM187" s="503">
        <f>IF(終値!A187="","",IFERROR(4*STDEVP(終値!AP187:BI187)/AVERAGE(終値!AP187:BI187),""))</f>
        <v>6.9089231498456721E-2</v>
      </c>
      <c r="AN187" s="503">
        <f>IF(終値!A187="","",IFERROR(4*STDEVP(終値!AQ187:BJ187)/AVERAGE(終値!AQ187:BJ187),""))</f>
        <v>6.8763446864323147E-2</v>
      </c>
      <c r="AO187" s="503">
        <f>IF(終値!A187="","",IFERROR(4*STDEVP(終値!AR187:BK187)/AVERAGE(終値!AR187:BK187),""))</f>
        <v>6.5589010874163148E-2</v>
      </c>
      <c r="AP187" s="503">
        <f>IF(終値!A187="","",IFERROR(4*STDEVP(終値!AS187:BL187)/AVERAGE(終値!AS187:BL187),""))</f>
        <v>7.0331686355189674E-2</v>
      </c>
    </row>
    <row r="188" spans="1:42">
      <c r="A188" s="500" t="str">
        <f>IF(終値!A188="","",終値!A188)</f>
        <v>6753</v>
      </c>
      <c r="B188" s="503">
        <f>IF(終値!A188="","",IFERROR(4*STDEVP(終値!E188:X188)/AVERAGE(終値!E188:X188),""))</f>
        <v>0.10502725175243886</v>
      </c>
      <c r="C188" s="503">
        <f>IF(終値!A188="","",IFERROR(4*STDEVP(終値!F188:Y188)/AVERAGE(終値!F188:Y188),""))</f>
        <v>0.10455800152777563</v>
      </c>
      <c r="D188" s="503">
        <f>IF(終値!A188="","",IFERROR(4*STDEVP(終値!G188:Z188)/AVERAGE(終値!G188:Z188),""))</f>
        <v>0.10564352505716508</v>
      </c>
      <c r="E188" s="503">
        <f>IF(終値!A188="","",IFERROR(4*STDEVP(終値!H188:AA188)/AVERAGE(終値!H188:AA188),""))</f>
        <v>0.10419728898596851</v>
      </c>
      <c r="F188" s="503">
        <f>IF(終値!A188="","",IFERROR(4*STDEVP(終値!I188:AB188)/AVERAGE(終値!I188:AB188),""))</f>
        <v>0.10755334882739748</v>
      </c>
      <c r="G188" s="503">
        <f>IF(終値!A188="","",IFERROR(4*STDEVP(終値!J188:AC188)/AVERAGE(終値!J188:AC188),""))</f>
        <v>0.10748512241732368</v>
      </c>
      <c r="H188" s="503">
        <f>IF(終値!A188="","",IFERROR(4*STDEVP(終値!K188:AD188)/AVERAGE(終値!K188:AD188),""))</f>
        <v>0.10929596973442721</v>
      </c>
      <c r="I188" s="503">
        <f>IF(終値!A188="","",IFERROR(4*STDEVP(終値!L188:AE188)/AVERAGE(終値!L188:AE188),""))</f>
        <v>0.11312405118985507</v>
      </c>
      <c r="J188" s="503">
        <f>IF(終値!A188="","",IFERROR(4*STDEVP(終値!M188:AF188)/AVERAGE(終値!M188:AF188),""))</f>
        <v>0.10136530722814213</v>
      </c>
      <c r="K188" s="503">
        <f>IF(終値!A188="","",IFERROR(4*STDEVP(終値!N188:AG188)/AVERAGE(終値!N188:AG188),""))</f>
        <v>0.12475898027406213</v>
      </c>
      <c r="L188" s="503">
        <f>IF(終値!A188="","",IFERROR(4*STDEVP(終値!O188:AH188)/AVERAGE(終値!O188:AH188),""))</f>
        <v>0.14162692839345015</v>
      </c>
      <c r="M188" s="503">
        <f>IF(終値!A188="","",IFERROR(4*STDEVP(終値!P188:AI188)/AVERAGE(終値!P188:AI188),""))</f>
        <v>0.16385432371693917</v>
      </c>
      <c r="N188" s="503">
        <f>IF(終値!A188="","",IFERROR(4*STDEVP(終値!Q188:AJ188)/AVERAGE(終値!Q188:AJ188),""))</f>
        <v>0.17068571219400019</v>
      </c>
      <c r="O188" s="503">
        <f>IF(終値!A188="","",IFERROR(4*STDEVP(終値!R188:AK188)/AVERAGE(終値!R188:AK188),""))</f>
        <v>0.17695280885620077</v>
      </c>
      <c r="P188" s="503">
        <f>IF(終値!A188="","",IFERROR(4*STDEVP(終値!S188:AL188)/AVERAGE(終値!S188:AL188),""))</f>
        <v>0.1808186572976134</v>
      </c>
      <c r="Q188" s="503">
        <f>IF(終値!A188="","",IFERROR(4*STDEVP(終値!T188:AM188)/AVERAGE(終値!T188:AM188),""))</f>
        <v>0.18038153955027236</v>
      </c>
      <c r="R188" s="503">
        <f>IF(終値!A188="","",IFERROR(4*STDEVP(終値!U188:AN188)/AVERAGE(終値!U188:AN188),""))</f>
        <v>0.17758221984598127</v>
      </c>
      <c r="S188" s="503">
        <f>IF(終値!A188="","",IFERROR(4*STDEVP(終値!V188:AO188)/AVERAGE(終値!V188:AO188),""))</f>
        <v>0.17350154314209454</v>
      </c>
      <c r="T188" s="503">
        <f>IF(終値!A188="","",IFERROR(4*STDEVP(終値!W188:AP188)/AVERAGE(終値!W188:AP188),""))</f>
        <v>0.17180408839432873</v>
      </c>
      <c r="U188" s="503">
        <f>IF(終値!A188="","",IFERROR(4*STDEVP(終値!X188:AQ188)/AVERAGE(終値!X188:AQ188),""))</f>
        <v>0.17242729315254174</v>
      </c>
      <c r="V188" s="503">
        <f>IF(終値!A188="","",IFERROR(4*STDEVP(終値!Y188:AR188)/AVERAGE(終値!Y188:AR188),""))</f>
        <v>0.17848471560478005</v>
      </c>
      <c r="W188" s="503">
        <f>IF(終値!A188="","",IFERROR(4*STDEVP(終値!Z188:AS188)/AVERAGE(終値!Z188:AS188),""))</f>
        <v>0.19077848209051224</v>
      </c>
      <c r="X188" s="503">
        <f>IF(終値!A188="","",IFERROR(4*STDEVP(終値!AA188:AT188)/AVERAGE(終値!AA188:AT188),""))</f>
        <v>0.1994156057625131</v>
      </c>
      <c r="Y188" s="503">
        <f>IF(終値!A188="","",IFERROR(4*STDEVP(終値!AB188:AU188)/AVERAGE(終値!AB188:AU188),""))</f>
        <v>0.20257327952396276</v>
      </c>
      <c r="Z188" s="503">
        <f>IF(終値!A188="","",IFERROR(4*STDEVP(終値!AC188:AV188)/AVERAGE(終値!AC188:AV188),""))</f>
        <v>0.19879894125901926</v>
      </c>
      <c r="AA188" s="503">
        <f>IF(終値!A188="","",IFERROR(4*STDEVP(終値!AD188:AW188)/AVERAGE(終値!AD188:AW188),""))</f>
        <v>0.19826839732649579</v>
      </c>
      <c r="AB188" s="503">
        <f>IF(終値!A188="","",IFERROR(4*STDEVP(終値!AE188:AX188)/AVERAGE(終値!AE188:AX188),""))</f>
        <v>0.19766967163615676</v>
      </c>
      <c r="AC188" s="503">
        <f>IF(終値!A188="","",IFERROR(4*STDEVP(終値!AF188:AY188)/AVERAGE(終値!AF188:AY188),""))</f>
        <v>0.19607683903649603</v>
      </c>
      <c r="AD188" s="503">
        <f>IF(終値!A188="","",IFERROR(4*STDEVP(終値!AG188:AZ188)/AVERAGE(終値!AG188:AZ188),""))</f>
        <v>0.18704147898921811</v>
      </c>
      <c r="AE188" s="503">
        <f>IF(終値!A188="","",IFERROR(4*STDEVP(終値!AH188:BA188)/AVERAGE(終値!AH188:BA188),""))</f>
        <v>0.17694875555414044</v>
      </c>
      <c r="AF188" s="503">
        <f>IF(終値!A188="","",IFERROR(4*STDEVP(終値!AI188:BB188)/AVERAGE(終値!AI188:BB188),""))</f>
        <v>0.17097229437841707</v>
      </c>
      <c r="AG188" s="503">
        <f>IF(終値!A188="","",IFERROR(4*STDEVP(終値!AJ188:BC188)/AVERAGE(終値!AJ188:BC188),""))</f>
        <v>0.15429424535944147</v>
      </c>
      <c r="AH188" s="503">
        <f>IF(終値!A188="","",IFERROR(4*STDEVP(終値!AK188:BD188)/AVERAGE(終値!AK188:BD188),""))</f>
        <v>0.15063642382452003</v>
      </c>
      <c r="AI188" s="503">
        <f>IF(終値!A188="","",IFERROR(4*STDEVP(終値!AL188:BE188)/AVERAGE(終値!AL188:BE188),""))</f>
        <v>0.14679940765261867</v>
      </c>
      <c r="AJ188" s="503">
        <f>IF(終値!A188="","",IFERROR(4*STDEVP(終値!AM188:BF188)/AVERAGE(終値!AM188:BF188),""))</f>
        <v>0.16017805004057559</v>
      </c>
      <c r="AK188" s="503">
        <f>IF(終値!A188="","",IFERROR(4*STDEVP(終値!AN188:BG188)/AVERAGE(終値!AN188:BG188),""))</f>
        <v>0.16732103287289907</v>
      </c>
      <c r="AL188" s="503">
        <f>IF(終値!A188="","",IFERROR(4*STDEVP(終値!AO188:BH188)/AVERAGE(終値!AO188:BH188),""))</f>
        <v>0.17237180094628596</v>
      </c>
      <c r="AM188" s="503">
        <f>IF(終値!A188="","",IFERROR(4*STDEVP(終値!AP188:BI188)/AVERAGE(終値!AP188:BI188),""))</f>
        <v>0.19510737724490823</v>
      </c>
      <c r="AN188" s="503">
        <f>IF(終値!A188="","",IFERROR(4*STDEVP(終値!AQ188:BJ188)/AVERAGE(終値!AQ188:BJ188),""))</f>
        <v>0.21102385126937426</v>
      </c>
      <c r="AO188" s="503">
        <f>IF(終値!A188="","",IFERROR(4*STDEVP(終値!AR188:BK188)/AVERAGE(終値!AR188:BK188),""))</f>
        <v>0.22012382434403979</v>
      </c>
      <c r="AP188" s="503">
        <f>IF(終値!A188="","",IFERROR(4*STDEVP(終値!AS188:BL188)/AVERAGE(終値!AS188:BL188),""))</f>
        <v>0.21510201764510062</v>
      </c>
    </row>
    <row r="189" spans="1:42">
      <c r="A189" s="500" t="str">
        <f>IF(終値!A189="","",終値!A189)</f>
        <v>9064</v>
      </c>
      <c r="B189" s="503">
        <f>IF(終値!A189="","",IFERROR(4*STDEVP(終値!E189:X189)/AVERAGE(終値!E189:X189),""))</f>
        <v>0.13626429898042478</v>
      </c>
      <c r="C189" s="503">
        <f>IF(終値!A189="","",IFERROR(4*STDEVP(終値!F189:Y189)/AVERAGE(終値!F189:Y189),""))</f>
        <v>0.13229008344888696</v>
      </c>
      <c r="D189" s="503">
        <f>IF(終値!A189="","",IFERROR(4*STDEVP(終値!G189:Z189)/AVERAGE(終値!G189:Z189),""))</f>
        <v>0.14059935445902177</v>
      </c>
      <c r="E189" s="503">
        <f>IF(終値!A189="","",IFERROR(4*STDEVP(終値!H189:AA189)/AVERAGE(終値!H189:AA189),""))</f>
        <v>0.1576125738682308</v>
      </c>
      <c r="F189" s="503">
        <f>IF(終値!A189="","",IFERROR(4*STDEVP(終値!I189:AB189)/AVERAGE(終値!I189:AB189),""))</f>
        <v>0.16157170208216645</v>
      </c>
      <c r="G189" s="503">
        <f>IF(終値!A189="","",IFERROR(4*STDEVP(終値!J189:AC189)/AVERAGE(終値!J189:AC189),""))</f>
        <v>0.14599384488965425</v>
      </c>
      <c r="H189" s="503">
        <f>IF(終値!A189="","",IFERROR(4*STDEVP(終値!K189:AD189)/AVERAGE(終値!K189:AD189),""))</f>
        <v>0.14420162216669424</v>
      </c>
      <c r="I189" s="503">
        <f>IF(終値!A189="","",IFERROR(4*STDEVP(終値!L189:AE189)/AVERAGE(終値!L189:AE189),""))</f>
        <v>0.14842166097116122</v>
      </c>
      <c r="J189" s="503">
        <f>IF(終値!A189="","",IFERROR(4*STDEVP(終値!M189:AF189)/AVERAGE(終値!M189:AF189),""))</f>
        <v>0.16321756705447016</v>
      </c>
      <c r="K189" s="503">
        <f>IF(終値!A189="","",IFERROR(4*STDEVP(終値!N189:AG189)/AVERAGE(終値!N189:AG189),""))</f>
        <v>0.17001715084012967</v>
      </c>
      <c r="L189" s="503">
        <f>IF(終値!A189="","",IFERROR(4*STDEVP(終値!O189:AH189)/AVERAGE(終値!O189:AH189),""))</f>
        <v>0.17821517676317392</v>
      </c>
      <c r="M189" s="503">
        <f>IF(終値!A189="","",IFERROR(4*STDEVP(終値!P189:AI189)/AVERAGE(終値!P189:AI189),""))</f>
        <v>0.17919308429890413</v>
      </c>
      <c r="N189" s="503">
        <f>IF(終値!A189="","",IFERROR(4*STDEVP(終値!Q189:AJ189)/AVERAGE(終値!Q189:AJ189),""))</f>
        <v>0.18013408812317805</v>
      </c>
      <c r="O189" s="503">
        <f>IF(終値!A189="","",IFERROR(4*STDEVP(終値!R189:AK189)/AVERAGE(終値!R189:AK189),""))</f>
        <v>0.18170729946979794</v>
      </c>
      <c r="P189" s="503">
        <f>IF(終値!A189="","",IFERROR(4*STDEVP(終値!S189:AL189)/AVERAGE(終値!S189:AL189),""))</f>
        <v>0.18154314656072257</v>
      </c>
      <c r="Q189" s="503">
        <f>IF(終値!A189="","",IFERROR(4*STDEVP(終値!T189:AM189)/AVERAGE(終値!T189:AM189),""))</f>
        <v>0.18092034359170464</v>
      </c>
      <c r="R189" s="503">
        <f>IF(終値!A189="","",IFERROR(4*STDEVP(終値!U189:AN189)/AVERAGE(終値!U189:AN189),""))</f>
        <v>0.17794518110911459</v>
      </c>
      <c r="S189" s="503">
        <f>IF(終値!A189="","",IFERROR(4*STDEVP(終値!V189:AO189)/AVERAGE(終値!V189:AO189),""))</f>
        <v>0.17015220253350696</v>
      </c>
      <c r="T189" s="503">
        <f>IF(終値!A189="","",IFERROR(4*STDEVP(終値!W189:AP189)/AVERAGE(終値!W189:AP189),""))</f>
        <v>0.15754341792317322</v>
      </c>
      <c r="U189" s="503">
        <f>IF(終値!A189="","",IFERROR(4*STDEVP(終値!X189:AQ189)/AVERAGE(終値!X189:AQ189),""))</f>
        <v>0.13895878247725785</v>
      </c>
      <c r="V189" s="503">
        <f>IF(終値!A189="","",IFERROR(4*STDEVP(終値!Y189:AR189)/AVERAGE(終値!Y189:AR189),""))</f>
        <v>0.10690828558375805</v>
      </c>
      <c r="W189" s="503">
        <f>IF(終値!A189="","",IFERROR(4*STDEVP(終値!Z189:AS189)/AVERAGE(終値!Z189:AS189),""))</f>
        <v>8.1407542489024265E-2</v>
      </c>
      <c r="X189" s="503">
        <f>IF(終値!A189="","",IFERROR(4*STDEVP(終値!AA189:AT189)/AVERAGE(終値!AA189:AT189),""))</f>
        <v>6.187051595188859E-2</v>
      </c>
      <c r="Y189" s="503">
        <f>IF(終値!A189="","",IFERROR(4*STDEVP(終値!AB189:AU189)/AVERAGE(終値!AB189:AU189),""))</f>
        <v>5.8019487415672477E-2</v>
      </c>
      <c r="Z189" s="503">
        <f>IF(終値!A189="","",IFERROR(4*STDEVP(終値!AC189:AV189)/AVERAGE(終値!AC189:AV189),""))</f>
        <v>5.5749355014198115E-2</v>
      </c>
      <c r="AA189" s="503">
        <f>IF(終値!A189="","",IFERROR(4*STDEVP(終値!AD189:AW189)/AVERAGE(終値!AD189:AW189),""))</f>
        <v>4.7014342471543805E-2</v>
      </c>
      <c r="AB189" s="503">
        <f>IF(終値!A189="","",IFERROR(4*STDEVP(終値!AE189:AX189)/AVERAGE(終値!AE189:AX189),""))</f>
        <v>4.6342854191755628E-2</v>
      </c>
      <c r="AC189" s="503">
        <f>IF(終値!A189="","",IFERROR(4*STDEVP(終値!AF189:AY189)/AVERAGE(終値!AF189:AY189),""))</f>
        <v>4.5053647150375714E-2</v>
      </c>
      <c r="AD189" s="503">
        <f>IF(終値!A189="","",IFERROR(4*STDEVP(終値!AG189:AZ189)/AVERAGE(終値!AG189:AZ189),""))</f>
        <v>4.3217476702418982E-2</v>
      </c>
      <c r="AE189" s="503">
        <f>IF(終値!A189="","",IFERROR(4*STDEVP(終値!AH189:BA189)/AVERAGE(終値!AH189:BA189),""))</f>
        <v>4.2820201031130281E-2</v>
      </c>
      <c r="AF189" s="503">
        <f>IF(終値!A189="","",IFERROR(4*STDEVP(終値!AI189:BB189)/AVERAGE(終値!AI189:BB189),""))</f>
        <v>4.4163938525468585E-2</v>
      </c>
      <c r="AG189" s="503">
        <f>IF(終値!A189="","",IFERROR(4*STDEVP(終値!AJ189:BC189)/AVERAGE(終値!AJ189:BC189),""))</f>
        <v>4.3532615712375385E-2</v>
      </c>
      <c r="AH189" s="503">
        <f>IF(終値!A189="","",IFERROR(4*STDEVP(終値!AK189:BD189)/AVERAGE(終値!AK189:BD189),""))</f>
        <v>5.1589308384185267E-2</v>
      </c>
      <c r="AI189" s="503">
        <f>IF(終値!A189="","",IFERROR(4*STDEVP(終値!AL189:BE189)/AVERAGE(終値!AL189:BE189),""))</f>
        <v>5.7295643373673592E-2</v>
      </c>
      <c r="AJ189" s="503">
        <f>IF(終値!A189="","",IFERROR(4*STDEVP(終値!AM189:BF189)/AVERAGE(終値!AM189:BF189),""))</f>
        <v>5.714082655738708E-2</v>
      </c>
      <c r="AK189" s="503">
        <f>IF(終値!A189="","",IFERROR(4*STDEVP(終値!AN189:BG189)/AVERAGE(終値!AN189:BG189),""))</f>
        <v>5.9144612040333028E-2</v>
      </c>
      <c r="AL189" s="503">
        <f>IF(終値!A189="","",IFERROR(4*STDEVP(終値!AO189:BH189)/AVERAGE(終値!AO189:BH189),""))</f>
        <v>6.1776522047954169E-2</v>
      </c>
      <c r="AM189" s="503">
        <f>IF(終値!A189="","",IFERROR(4*STDEVP(終値!AP189:BI189)/AVERAGE(終値!AP189:BI189),""))</f>
        <v>6.3540373375136627E-2</v>
      </c>
      <c r="AN189" s="503">
        <f>IF(終値!A189="","",IFERROR(4*STDEVP(終値!AQ189:BJ189)/AVERAGE(終値!AQ189:BJ189),""))</f>
        <v>6.3006797814930765E-2</v>
      </c>
      <c r="AO189" s="503">
        <f>IF(終値!A189="","",IFERROR(4*STDEVP(終値!AR189:BK189)/AVERAGE(終値!AR189:BK189),""))</f>
        <v>6.66403469733651E-2</v>
      </c>
      <c r="AP189" s="503">
        <f>IF(終値!A189="","",IFERROR(4*STDEVP(終値!AS189:BL189)/AVERAGE(終値!AS189:BL189),""))</f>
        <v>6.7082815410289209E-2</v>
      </c>
    </row>
    <row r="190" spans="1:42">
      <c r="A190" s="500" t="str">
        <f>IF(終値!A190="","",終値!A190)</f>
        <v>7181</v>
      </c>
      <c r="B190" s="503">
        <f>IF(終値!A190="","",IFERROR(4*STDEVP(終値!E190:X190)/AVERAGE(終値!E190:X190),""))</f>
        <v>0.14008191627087505</v>
      </c>
      <c r="C190" s="503">
        <f>IF(終値!A190="","",IFERROR(4*STDEVP(終値!F190:Y190)/AVERAGE(終値!F190:Y190),""))</f>
        <v>0.14726177352656944</v>
      </c>
      <c r="D190" s="503">
        <f>IF(終値!A190="","",IFERROR(4*STDEVP(終値!G190:Z190)/AVERAGE(終値!G190:Z190),""))</f>
        <v>0.15810609061722095</v>
      </c>
      <c r="E190" s="503">
        <f>IF(終値!A190="","",IFERROR(4*STDEVP(終値!H190:AA190)/AVERAGE(終値!H190:AA190),""))</f>
        <v>0.17549149332467978</v>
      </c>
      <c r="F190" s="503">
        <f>IF(終値!A190="","",IFERROR(4*STDEVP(終値!I190:AB190)/AVERAGE(終値!I190:AB190),""))</f>
        <v>0.18600447109160376</v>
      </c>
      <c r="G190" s="503">
        <f>IF(終値!A190="","",IFERROR(4*STDEVP(終値!J190:AC190)/AVERAGE(終値!J190:AC190),""))</f>
        <v>0.19467421163629153</v>
      </c>
      <c r="H190" s="503">
        <f>IF(終値!A190="","",IFERROR(4*STDEVP(終値!K190:AD190)/AVERAGE(終値!K190:AD190),""))</f>
        <v>0.20468722314698926</v>
      </c>
      <c r="I190" s="503">
        <f>IF(終値!A190="","",IFERROR(4*STDEVP(終値!L190:AE190)/AVERAGE(終値!L190:AE190),""))</f>
        <v>0.20419155229147773</v>
      </c>
      <c r="J190" s="503">
        <f>IF(終値!A190="","",IFERROR(4*STDEVP(終値!M190:AF190)/AVERAGE(終値!M190:AF190),""))</f>
        <v>0.20000152161398888</v>
      </c>
      <c r="K190" s="503">
        <f>IF(終値!A190="","",IFERROR(4*STDEVP(終値!N190:AG190)/AVERAGE(終値!N190:AG190),""))</f>
        <v>0.18941402216282183</v>
      </c>
      <c r="L190" s="503">
        <f>IF(終値!A190="","",IFERROR(4*STDEVP(終値!O190:AH190)/AVERAGE(終値!O190:AH190),""))</f>
        <v>0.17804553309950916</v>
      </c>
      <c r="M190" s="503">
        <f>IF(終値!A190="","",IFERROR(4*STDEVP(終値!P190:AI190)/AVERAGE(終値!P190:AI190),""))</f>
        <v>0.17181815897135855</v>
      </c>
      <c r="N190" s="503">
        <f>IF(終値!A190="","",IFERROR(4*STDEVP(終値!Q190:AJ190)/AVERAGE(終値!Q190:AJ190),""))</f>
        <v>0.17164132064408999</v>
      </c>
      <c r="O190" s="503">
        <f>IF(終値!A190="","",IFERROR(4*STDEVP(終値!R190:AK190)/AVERAGE(終値!R190:AK190),""))</f>
        <v>0.16528206030095155</v>
      </c>
      <c r="P190" s="503">
        <f>IF(終値!A190="","",IFERROR(4*STDEVP(終値!S190:AL190)/AVERAGE(終値!S190:AL190),""))</f>
        <v>0.15643337357226766</v>
      </c>
      <c r="Q190" s="503">
        <f>IF(終値!A190="","",IFERROR(4*STDEVP(終値!T190:AM190)/AVERAGE(終値!T190:AM190),""))</f>
        <v>0.15258678200946965</v>
      </c>
      <c r="R190" s="503">
        <f>IF(終値!A190="","",IFERROR(4*STDEVP(終値!U190:AN190)/AVERAGE(終値!U190:AN190),""))</f>
        <v>0.14981402024365503</v>
      </c>
      <c r="S190" s="503">
        <f>IF(終値!A190="","",IFERROR(4*STDEVP(終値!V190:AO190)/AVERAGE(終値!V190:AO190),""))</f>
        <v>0.14159341533688452</v>
      </c>
      <c r="T190" s="503">
        <f>IF(終値!A190="","",IFERROR(4*STDEVP(終値!W190:AP190)/AVERAGE(終値!W190:AP190),""))</f>
        <v>0.1305857459154488</v>
      </c>
      <c r="U190" s="503">
        <f>IF(終値!A190="","",IFERROR(4*STDEVP(終値!X190:AQ190)/AVERAGE(終値!X190:AQ190),""))</f>
        <v>0.11971282783730251</v>
      </c>
      <c r="V190" s="503">
        <f>IF(終値!A190="","",IFERROR(4*STDEVP(終値!Y190:AR190)/AVERAGE(終値!Y190:AR190),""))</f>
        <v>0.11439834252146021</v>
      </c>
      <c r="W190" s="503">
        <f>IF(終値!A190="","",IFERROR(4*STDEVP(終値!Z190:AS190)/AVERAGE(終値!Z190:AS190),""))</f>
        <v>0.12109866290080071</v>
      </c>
      <c r="X190" s="503">
        <f>IF(終値!A190="","",IFERROR(4*STDEVP(終値!AA190:AT190)/AVERAGE(終値!AA190:AT190),""))</f>
        <v>0.12338447942251794</v>
      </c>
      <c r="Y190" s="503">
        <f>IF(終値!A190="","",IFERROR(4*STDEVP(終値!AB190:AU190)/AVERAGE(終値!AB190:AU190),""))</f>
        <v>0.13589788681077236</v>
      </c>
      <c r="Z190" s="503">
        <f>IF(終値!A190="","",IFERROR(4*STDEVP(終値!AC190:AV190)/AVERAGE(終値!AC190:AV190),""))</f>
        <v>0.14122281248523319</v>
      </c>
      <c r="AA190" s="503">
        <f>IF(終値!A190="","",IFERROR(4*STDEVP(終値!AD190:AW190)/AVERAGE(終値!AD190:AW190),""))</f>
        <v>0.149392454217362</v>
      </c>
      <c r="AB190" s="503">
        <f>IF(終値!A190="","",IFERROR(4*STDEVP(終値!AE190:AX190)/AVERAGE(終値!AE190:AX190),""))</f>
        <v>0.14961358589002158</v>
      </c>
      <c r="AC190" s="503">
        <f>IF(終値!A190="","",IFERROR(4*STDEVP(終値!AF190:AY190)/AVERAGE(終値!AF190:AY190),""))</f>
        <v>0.14961358589002158</v>
      </c>
      <c r="AD190" s="503">
        <f>IF(終値!A190="","",IFERROR(4*STDEVP(終値!AG190:AZ190)/AVERAGE(終値!AG190:AZ190),""))</f>
        <v>0.15088651394251595</v>
      </c>
      <c r="AE190" s="503">
        <f>IF(終値!A190="","",IFERROR(4*STDEVP(終値!AH190:BA190)/AVERAGE(終値!AH190:BA190),""))</f>
        <v>0.15301551700118102</v>
      </c>
      <c r="AF190" s="503">
        <f>IF(終値!A190="","",IFERROR(4*STDEVP(終値!AI190:BB190)/AVERAGE(終値!AI190:BB190),""))</f>
        <v>0.15334236391732139</v>
      </c>
      <c r="AG190" s="503">
        <f>IF(終値!A190="","",IFERROR(4*STDEVP(終値!AJ190:BC190)/AVERAGE(終値!AJ190:BC190),""))</f>
        <v>0.15334236391732137</v>
      </c>
      <c r="AH190" s="503">
        <f>IF(終値!A190="","",IFERROR(4*STDEVP(終値!AK190:BD190)/AVERAGE(終値!AK190:BD190),""))</f>
        <v>0.15065964193465181</v>
      </c>
      <c r="AI190" s="503">
        <f>IF(終値!A190="","",IFERROR(4*STDEVP(終値!AL190:BE190)/AVERAGE(終値!AL190:BE190),""))</f>
        <v>0.17587945286823892</v>
      </c>
      <c r="AJ190" s="503">
        <f>IF(終値!A190="","",IFERROR(4*STDEVP(終値!AM190:BF190)/AVERAGE(終値!AM190:BF190),""))</f>
        <v>0.18122521138864062</v>
      </c>
      <c r="AK190" s="503">
        <f>IF(終値!A190="","",IFERROR(4*STDEVP(終値!AN190:BG190)/AVERAGE(終値!AN190:BG190),""))</f>
        <v>0.19035262938072051</v>
      </c>
      <c r="AL190" s="503">
        <f>IF(終値!A190="","",IFERROR(4*STDEVP(終値!AO190:BH190)/AVERAGE(終値!AO190:BH190),""))</f>
        <v>0.19140346793274729</v>
      </c>
      <c r="AM190" s="503">
        <f>IF(終値!A190="","",IFERROR(4*STDEVP(終値!AP190:BI190)/AVERAGE(終値!AP190:BI190),""))</f>
        <v>0.19224791970976846</v>
      </c>
      <c r="AN190" s="503">
        <f>IF(終値!A190="","",IFERROR(4*STDEVP(終値!AQ190:BJ190)/AVERAGE(終値!AQ190:BJ190),""))</f>
        <v>0.1912202873684973</v>
      </c>
      <c r="AO190" s="503">
        <f>IF(終値!A190="","",IFERROR(4*STDEVP(終値!AR190:BK190)/AVERAGE(終値!AR190:BK190),""))</f>
        <v>0.1926253485181508</v>
      </c>
      <c r="AP190" s="503">
        <f>IF(終値!A190="","",IFERROR(4*STDEVP(終値!AS190:BL190)/AVERAGE(終値!AS190:BL190),""))</f>
        <v>0.18529809183031301</v>
      </c>
    </row>
    <row r="191" spans="1:42">
      <c r="A191" s="500" t="str">
        <f>IF(終値!A191="","",終値!A191)</f>
        <v>6485</v>
      </c>
      <c r="B191" s="503">
        <f>IF(終値!A191="","",IFERROR(4*STDEVP(終値!E191:X191)/AVERAGE(終値!E191:X191),""))</f>
        <v>5.3465489112103998E-2</v>
      </c>
      <c r="C191" s="503">
        <f>IF(終値!A191="","",IFERROR(4*STDEVP(終値!F191:Y191)/AVERAGE(終値!F191:Y191),""))</f>
        <v>5.5629526153412531E-2</v>
      </c>
      <c r="D191" s="503">
        <f>IF(終値!A191="","",IFERROR(4*STDEVP(終値!G191:Z191)/AVERAGE(終値!G191:Z191),""))</f>
        <v>5.6082812435507112E-2</v>
      </c>
      <c r="E191" s="503">
        <f>IF(終値!A191="","",IFERROR(4*STDEVP(終値!H191:AA191)/AVERAGE(終値!H191:AA191),""))</f>
        <v>5.7047363690840222E-2</v>
      </c>
      <c r="F191" s="503">
        <f>IF(終値!A191="","",IFERROR(4*STDEVP(終値!I191:AB191)/AVERAGE(終値!I191:AB191),""))</f>
        <v>5.8632940821441437E-2</v>
      </c>
      <c r="G191" s="503">
        <f>IF(終値!A191="","",IFERROR(4*STDEVP(終値!J191:AC191)/AVERAGE(終値!J191:AC191),""))</f>
        <v>5.263743179359124E-2</v>
      </c>
      <c r="H191" s="503">
        <f>IF(終値!A191="","",IFERROR(4*STDEVP(終値!K191:AD191)/AVERAGE(終値!K191:AD191),""))</f>
        <v>5.3760803651819518E-2</v>
      </c>
      <c r="I191" s="503">
        <f>IF(終値!A191="","",IFERROR(4*STDEVP(終値!L191:AE191)/AVERAGE(終値!L191:AE191),""))</f>
        <v>5.4119005871451513E-2</v>
      </c>
      <c r="J191" s="503">
        <f>IF(終値!A191="","",IFERROR(4*STDEVP(終値!M191:AF191)/AVERAGE(終値!M191:AF191),""))</f>
        <v>6.5233888489061448E-2</v>
      </c>
      <c r="K191" s="503">
        <f>IF(終値!A191="","",IFERROR(4*STDEVP(終値!N191:AG191)/AVERAGE(終値!N191:AG191),""))</f>
        <v>7.33137807773169E-2</v>
      </c>
      <c r="L191" s="503">
        <f>IF(終値!A191="","",IFERROR(4*STDEVP(終値!O191:AH191)/AVERAGE(終値!O191:AH191),""))</f>
        <v>7.5570006776712786E-2</v>
      </c>
      <c r="M191" s="503">
        <f>IF(終値!A191="","",IFERROR(4*STDEVP(終値!P191:AI191)/AVERAGE(終値!P191:AI191),""))</f>
        <v>8.2235624822764086E-2</v>
      </c>
      <c r="N191" s="503">
        <f>IF(終値!A191="","",IFERROR(4*STDEVP(終値!Q191:AJ191)/AVERAGE(終値!Q191:AJ191),""))</f>
        <v>8.5478143079838823E-2</v>
      </c>
      <c r="O191" s="503">
        <f>IF(終値!A191="","",IFERROR(4*STDEVP(終値!R191:AK191)/AVERAGE(終値!R191:AK191),""))</f>
        <v>8.8071225270267464E-2</v>
      </c>
      <c r="P191" s="503">
        <f>IF(終値!A191="","",IFERROR(4*STDEVP(終値!S191:AL191)/AVERAGE(終値!S191:AL191),""))</f>
        <v>9.2592937926578522E-2</v>
      </c>
      <c r="Q191" s="503">
        <f>IF(終値!A191="","",IFERROR(4*STDEVP(終値!T191:AM191)/AVERAGE(終値!T191:AM191),""))</f>
        <v>9.6943066203117309E-2</v>
      </c>
      <c r="R191" s="503">
        <f>IF(終値!A191="","",IFERROR(4*STDEVP(終値!U191:AN191)/AVERAGE(終値!U191:AN191),""))</f>
        <v>9.5322946223890093E-2</v>
      </c>
      <c r="S191" s="503">
        <f>IF(終値!A191="","",IFERROR(4*STDEVP(終値!V191:AO191)/AVERAGE(終値!V191:AO191),""))</f>
        <v>0.10007777841977564</v>
      </c>
      <c r="T191" s="503">
        <f>IF(終値!A191="","",IFERROR(4*STDEVP(終値!W191:AP191)/AVERAGE(終値!W191:AP191),""))</f>
        <v>9.7330803628247892E-2</v>
      </c>
      <c r="U191" s="503">
        <f>IF(終値!A191="","",IFERROR(4*STDEVP(終値!X191:AQ191)/AVERAGE(終値!X191:AQ191),""))</f>
        <v>9.8560911547653493E-2</v>
      </c>
      <c r="V191" s="503">
        <f>IF(終値!A191="","",IFERROR(4*STDEVP(終値!Y191:AR191)/AVERAGE(終値!Y191:AR191),""))</f>
        <v>9.5709780164673283E-2</v>
      </c>
      <c r="W191" s="503">
        <f>IF(終値!A191="","",IFERROR(4*STDEVP(終値!Z191:AS191)/AVERAGE(終値!Z191:AS191),""))</f>
        <v>9.5373312900564888E-2</v>
      </c>
      <c r="X191" s="503">
        <f>IF(終値!A191="","",IFERROR(4*STDEVP(終値!AA191:AT191)/AVERAGE(終値!AA191:AT191),""))</f>
        <v>9.2753022741799057E-2</v>
      </c>
      <c r="Y191" s="503">
        <f>IF(終値!A191="","",IFERROR(4*STDEVP(終値!AB191:AU191)/AVERAGE(終値!AB191:AU191),""))</f>
        <v>9.6243952809473551E-2</v>
      </c>
      <c r="Z191" s="503">
        <f>IF(終値!A191="","",IFERROR(4*STDEVP(終値!AC191:AV191)/AVERAGE(終値!AC191:AV191),""))</f>
        <v>9.3553867862970402E-2</v>
      </c>
      <c r="AA191" s="503">
        <f>IF(終値!A191="","",IFERROR(4*STDEVP(終値!AD191:AW191)/AVERAGE(終値!AD191:AW191),""))</f>
        <v>8.5204677796099068E-2</v>
      </c>
      <c r="AB191" s="503">
        <f>IF(終値!A191="","",IFERROR(4*STDEVP(終値!AE191:AX191)/AVERAGE(終値!AE191:AX191),""))</f>
        <v>7.7155810859843965E-2</v>
      </c>
      <c r="AC191" s="503">
        <f>IF(終値!A191="","",IFERROR(4*STDEVP(終値!AF191:AY191)/AVERAGE(終値!AF191:AY191),""))</f>
        <v>7.2947600811018462E-2</v>
      </c>
      <c r="AD191" s="503">
        <f>IF(終値!A191="","",IFERROR(4*STDEVP(終値!AG191:AZ191)/AVERAGE(終値!AG191:AZ191),""))</f>
        <v>7.1528660242731662E-2</v>
      </c>
      <c r="AE191" s="503">
        <f>IF(終値!A191="","",IFERROR(4*STDEVP(終値!AH191:BA191)/AVERAGE(終値!AH191:BA191),""))</f>
        <v>6.9279151365043576E-2</v>
      </c>
      <c r="AF191" s="503">
        <f>IF(終値!A191="","",IFERROR(4*STDEVP(終値!AI191:BB191)/AVERAGE(終値!AI191:BB191),""))</f>
        <v>6.0137184436602834E-2</v>
      </c>
      <c r="AG191" s="503">
        <f>IF(終値!A191="","",IFERROR(4*STDEVP(終値!AJ191:BC191)/AVERAGE(終値!AJ191:BC191),""))</f>
        <v>5.9309476023002142E-2</v>
      </c>
      <c r="AH191" s="503">
        <f>IF(終値!A191="","",IFERROR(4*STDEVP(終値!AK191:BD191)/AVERAGE(終値!AK191:BD191),""))</f>
        <v>5.211387160184467E-2</v>
      </c>
      <c r="AI191" s="503">
        <f>IF(終値!A191="","",IFERROR(4*STDEVP(終値!AL191:BE191)/AVERAGE(終値!AL191:BE191),""))</f>
        <v>6.6528631809353783E-2</v>
      </c>
      <c r="AJ191" s="503">
        <f>IF(終値!A191="","",IFERROR(4*STDEVP(終値!AM191:BF191)/AVERAGE(終値!AM191:BF191),""))</f>
        <v>7.4524360507864332E-2</v>
      </c>
      <c r="AK191" s="503">
        <f>IF(終値!A191="","",IFERROR(4*STDEVP(終値!AN191:BG191)/AVERAGE(終値!AN191:BG191),""))</f>
        <v>8.6308140690320681E-2</v>
      </c>
      <c r="AL191" s="503">
        <f>IF(終値!A191="","",IFERROR(4*STDEVP(終値!AO191:BH191)/AVERAGE(終値!AO191:BH191),""))</f>
        <v>0.10282283755800259</v>
      </c>
      <c r="AM191" s="503">
        <f>IF(終値!A191="","",IFERROR(4*STDEVP(終値!AP191:BI191)/AVERAGE(終値!AP191:BI191),""))</f>
        <v>0.11003529938753495</v>
      </c>
      <c r="AN191" s="503">
        <f>IF(終値!A191="","",IFERROR(4*STDEVP(終値!AQ191:BJ191)/AVERAGE(終値!AQ191:BJ191),""))</f>
        <v>0.11650726706997423</v>
      </c>
      <c r="AO191" s="503">
        <f>IF(終値!A191="","",IFERROR(4*STDEVP(終値!AR191:BK191)/AVERAGE(終値!AR191:BK191),""))</f>
        <v>0.12174194726392873</v>
      </c>
      <c r="AP191" s="503">
        <f>IF(終値!A191="","",IFERROR(4*STDEVP(終値!AS191:BL191)/AVERAGE(終値!AS191:BL191),""))</f>
        <v>0.12528228835267782</v>
      </c>
    </row>
    <row r="192" spans="1:42">
      <c r="A192" s="500" t="str">
        <f>IF(終値!A192="","",終値!A192)</f>
        <v>4887</v>
      </c>
      <c r="B192" s="503">
        <f>IF(終値!A192="","",IFERROR(4*STDEVP(終値!E192:X192)/AVERAGE(終値!E192:X192),""))</f>
        <v>8.1256295106503895E-2</v>
      </c>
      <c r="C192" s="503">
        <f>IF(終値!A192="","",IFERROR(4*STDEVP(終値!F192:Y192)/AVERAGE(終値!F192:Y192),""))</f>
        <v>7.1168657440437377E-2</v>
      </c>
      <c r="D192" s="503">
        <f>IF(終値!A192="","",IFERROR(4*STDEVP(終値!G192:Z192)/AVERAGE(終値!G192:Z192),""))</f>
        <v>6.069562916124522E-2</v>
      </c>
      <c r="E192" s="503">
        <f>IF(終値!A192="","",IFERROR(4*STDEVP(終値!H192:AA192)/AVERAGE(終値!H192:AA192),""))</f>
        <v>5.745496761077757E-2</v>
      </c>
      <c r="F192" s="503">
        <f>IF(終値!A192="","",IFERROR(4*STDEVP(終値!I192:AB192)/AVERAGE(終値!I192:AB192),""))</f>
        <v>5.743585374693707E-2</v>
      </c>
      <c r="G192" s="503">
        <f>IF(終値!A192="","",IFERROR(4*STDEVP(終値!J192:AC192)/AVERAGE(終値!J192:AC192),""))</f>
        <v>5.7995668540835245E-2</v>
      </c>
      <c r="H192" s="503">
        <f>IF(終値!A192="","",IFERROR(4*STDEVP(終値!K192:AD192)/AVERAGE(終値!K192:AD192),""))</f>
        <v>6.6123493548242845E-2</v>
      </c>
      <c r="I192" s="503">
        <f>IF(終値!A192="","",IFERROR(4*STDEVP(終値!L192:AE192)/AVERAGE(終値!L192:AE192),""))</f>
        <v>6.8567462562994827E-2</v>
      </c>
      <c r="J192" s="503">
        <f>IF(終値!A192="","",IFERROR(4*STDEVP(終値!M192:AF192)/AVERAGE(終値!M192:AF192),""))</f>
        <v>6.8726240549487172E-2</v>
      </c>
      <c r="K192" s="503">
        <f>IF(終値!A192="","",IFERROR(4*STDEVP(終値!N192:AG192)/AVERAGE(終値!N192:AG192),""))</f>
        <v>7.064355557392181E-2</v>
      </c>
      <c r="L192" s="503">
        <f>IF(終値!A192="","",IFERROR(4*STDEVP(終値!O192:AH192)/AVERAGE(終値!O192:AH192),""))</f>
        <v>7.5298887425522015E-2</v>
      </c>
      <c r="M192" s="503">
        <f>IF(終値!A192="","",IFERROR(4*STDEVP(終値!P192:AI192)/AVERAGE(終値!P192:AI192),""))</f>
        <v>7.8605709120447911E-2</v>
      </c>
      <c r="N192" s="503">
        <f>IF(終値!A192="","",IFERROR(4*STDEVP(終値!Q192:AJ192)/AVERAGE(終値!Q192:AJ192),""))</f>
        <v>7.9819233295414141E-2</v>
      </c>
      <c r="O192" s="503">
        <f>IF(終値!A192="","",IFERROR(4*STDEVP(終値!R192:AK192)/AVERAGE(終値!R192:AK192),""))</f>
        <v>7.9362772728494499E-2</v>
      </c>
      <c r="P192" s="503">
        <f>IF(終値!A192="","",IFERROR(4*STDEVP(終値!S192:AL192)/AVERAGE(終値!S192:AL192),""))</f>
        <v>8.055920653130004E-2</v>
      </c>
      <c r="Q192" s="503">
        <f>IF(終値!A192="","",IFERROR(4*STDEVP(終値!T192:AM192)/AVERAGE(終値!T192:AM192),""))</f>
        <v>8.0159224810965532E-2</v>
      </c>
      <c r="R192" s="503">
        <f>IF(終値!A192="","",IFERROR(4*STDEVP(終値!U192:AN192)/AVERAGE(終値!U192:AN192),""))</f>
        <v>8.2096420445904456E-2</v>
      </c>
      <c r="S192" s="503">
        <f>IF(終値!A192="","",IFERROR(4*STDEVP(終値!V192:AO192)/AVERAGE(終値!V192:AO192),""))</f>
        <v>8.364604964532607E-2</v>
      </c>
      <c r="T192" s="503">
        <f>IF(終値!A192="","",IFERROR(4*STDEVP(終値!W192:AP192)/AVERAGE(終値!W192:AP192),""))</f>
        <v>8.4165444273977957E-2</v>
      </c>
      <c r="U192" s="503">
        <f>IF(終値!A192="","",IFERROR(4*STDEVP(終値!X192:AQ192)/AVERAGE(終値!X192:AQ192),""))</f>
        <v>7.7539433702702582E-2</v>
      </c>
      <c r="V192" s="503">
        <f>IF(終値!A192="","",IFERROR(4*STDEVP(終値!Y192:AR192)/AVERAGE(終値!Y192:AR192),""))</f>
        <v>7.0257404311030752E-2</v>
      </c>
      <c r="W192" s="503">
        <f>IF(終値!A192="","",IFERROR(4*STDEVP(終値!Z192:AS192)/AVERAGE(終値!Z192:AS192),""))</f>
        <v>7.0084984728120428E-2</v>
      </c>
      <c r="X192" s="503">
        <f>IF(終値!A192="","",IFERROR(4*STDEVP(終値!AA192:AT192)/AVERAGE(終値!AA192:AT192),""))</f>
        <v>7.255000229812554E-2</v>
      </c>
      <c r="Y192" s="503">
        <f>IF(終値!A192="","",IFERROR(4*STDEVP(終値!AB192:AU192)/AVERAGE(終値!AB192:AU192),""))</f>
        <v>7.4369834357878153E-2</v>
      </c>
      <c r="Z192" s="503">
        <f>IF(終値!A192="","",IFERROR(4*STDEVP(終値!AC192:AV192)/AVERAGE(終値!AC192:AV192),""))</f>
        <v>8.3071021895138625E-2</v>
      </c>
      <c r="AA192" s="503">
        <f>IF(終値!A192="","",IFERROR(4*STDEVP(終値!AD192:AW192)/AVERAGE(終値!AD192:AW192),""))</f>
        <v>8.6901558437439838E-2</v>
      </c>
      <c r="AB192" s="503">
        <f>IF(終値!A192="","",IFERROR(4*STDEVP(終値!AE192:AX192)/AVERAGE(終値!AE192:AX192),""))</f>
        <v>9.2184617628618765E-2</v>
      </c>
      <c r="AC192" s="503">
        <f>IF(終値!A192="","",IFERROR(4*STDEVP(終値!AF192:AY192)/AVERAGE(終値!AF192:AY192),""))</f>
        <v>0.10165568273761778</v>
      </c>
      <c r="AD192" s="503">
        <f>IF(終値!A192="","",IFERROR(4*STDEVP(終値!AG192:AZ192)/AVERAGE(終値!AG192:AZ192),""))</f>
        <v>0.10490759852888891</v>
      </c>
      <c r="AE192" s="503">
        <f>IF(終値!A192="","",IFERROR(4*STDEVP(終値!AH192:BA192)/AVERAGE(終値!AH192:BA192),""))</f>
        <v>0.10329457322062928</v>
      </c>
      <c r="AF192" s="503">
        <f>IF(終値!A192="","",IFERROR(4*STDEVP(終値!AI192:BB192)/AVERAGE(終値!AI192:BB192),""))</f>
        <v>0.10210088246751294</v>
      </c>
      <c r="AG192" s="503">
        <f>IF(終値!A192="","",IFERROR(4*STDEVP(終値!AJ192:BC192)/AVERAGE(終値!AJ192:BC192),""))</f>
        <v>0.10179429869539598</v>
      </c>
      <c r="AH192" s="503">
        <f>IF(終値!A192="","",IFERROR(4*STDEVP(終値!AK192:BD192)/AVERAGE(終値!AK192:BD192),""))</f>
        <v>9.4075622952468477E-2</v>
      </c>
      <c r="AI192" s="503">
        <f>IF(終値!A192="","",IFERROR(4*STDEVP(終値!AL192:BE192)/AVERAGE(終値!AL192:BE192),""))</f>
        <v>0.17408290926841727</v>
      </c>
      <c r="AJ192" s="503">
        <f>IF(終値!A192="","",IFERROR(4*STDEVP(終値!AM192:BF192)/AVERAGE(終値!AM192:BF192),""))</f>
        <v>0.23126602220147904</v>
      </c>
      <c r="AK192" s="503">
        <f>IF(終値!A192="","",IFERROR(4*STDEVP(終値!AN192:BG192)/AVERAGE(終値!AN192:BG192),""))</f>
        <v>0.26869313699941277</v>
      </c>
      <c r="AL192" s="503">
        <f>IF(終値!A192="","",IFERROR(4*STDEVP(終値!AO192:BH192)/AVERAGE(終値!AO192:BH192),""))</f>
        <v>0.29726806824087376</v>
      </c>
      <c r="AM192" s="503">
        <f>IF(終値!A192="","",IFERROR(4*STDEVP(終値!AP192:BI192)/AVERAGE(終値!AP192:BI192),""))</f>
        <v>0.32027371735907439</v>
      </c>
      <c r="AN192" s="503">
        <f>IF(終値!A192="","",IFERROR(4*STDEVP(終値!AQ192:BJ192)/AVERAGE(終値!AQ192:BJ192),""))</f>
        <v>0.33731549156163715</v>
      </c>
      <c r="AO192" s="503">
        <f>IF(終値!A192="","",IFERROR(4*STDEVP(終値!AR192:BK192)/AVERAGE(終値!AR192:BK192),""))</f>
        <v>0.34949535690781025</v>
      </c>
      <c r="AP192" s="503">
        <f>IF(終値!A192="","",IFERROR(4*STDEVP(終値!AS192:BL192)/AVERAGE(終値!AS192:BL192),""))</f>
        <v>0.34891601782815918</v>
      </c>
    </row>
    <row r="193" spans="1:42">
      <c r="A193" s="500" t="str">
        <f>IF(終値!A193="","",終値!A193)</f>
        <v>5243</v>
      </c>
      <c r="B193" s="503">
        <f>IF(終値!A193="","",IFERROR(4*STDEVP(終値!E193:X193)/AVERAGE(終値!E193:X193),""))</f>
        <v>0.18222075470704699</v>
      </c>
      <c r="C193" s="503">
        <f>IF(終値!A193="","",IFERROR(4*STDEVP(終値!F193:Y193)/AVERAGE(終値!F193:Y193),""))</f>
        <v>0.18073483918644562</v>
      </c>
      <c r="D193" s="503">
        <f>IF(終値!A193="","",IFERROR(4*STDEVP(終値!G193:Z193)/AVERAGE(終値!G193:Z193),""))</f>
        <v>0.17691719996432526</v>
      </c>
      <c r="E193" s="503">
        <f>IF(終値!A193="","",IFERROR(4*STDEVP(終値!H193:AA193)/AVERAGE(終値!H193:AA193),""))</f>
        <v>0.19127772115723204</v>
      </c>
      <c r="F193" s="503">
        <f>IF(終値!A193="","",IFERROR(4*STDEVP(終値!I193:AB193)/AVERAGE(終値!I193:AB193),""))</f>
        <v>0.20314384311809075</v>
      </c>
      <c r="G193" s="503">
        <f>IF(終値!A193="","",IFERROR(4*STDEVP(終値!J193:AC193)/AVERAGE(終値!J193:AC193),""))</f>
        <v>0.22801129018770039</v>
      </c>
      <c r="H193" s="503">
        <f>IF(終値!A193="","",IFERROR(4*STDEVP(終値!K193:AD193)/AVERAGE(終値!K193:AD193),""))</f>
        <v>0.26732243712155201</v>
      </c>
      <c r="I193" s="503">
        <f>IF(終値!A193="","",IFERROR(4*STDEVP(終値!L193:AE193)/AVERAGE(終値!L193:AE193),""))</f>
        <v>0.30118739224166075</v>
      </c>
      <c r="J193" s="503">
        <f>IF(終値!A193="","",IFERROR(4*STDEVP(終値!M193:AF193)/AVERAGE(終値!M193:AF193),""))</f>
        <v>0.32931854311884007</v>
      </c>
      <c r="K193" s="503">
        <f>IF(終値!A193="","",IFERROR(4*STDEVP(終値!N193:AG193)/AVERAGE(終値!N193:AG193),""))</f>
        <v>0.35279500366138999</v>
      </c>
      <c r="L193" s="503">
        <f>IF(終値!A193="","",IFERROR(4*STDEVP(終値!O193:AH193)/AVERAGE(終値!O193:AH193),""))</f>
        <v>0.36382714503447677</v>
      </c>
      <c r="M193" s="503">
        <f>IF(終値!A193="","",IFERROR(4*STDEVP(終値!P193:AI193)/AVERAGE(終値!P193:AI193),""))</f>
        <v>0.38021023735328097</v>
      </c>
      <c r="N193" s="503">
        <f>IF(終値!A193="","",IFERROR(4*STDEVP(終値!Q193:AJ193)/AVERAGE(終値!Q193:AJ193),""))</f>
        <v>0.38311174375582124</v>
      </c>
      <c r="O193" s="503">
        <f>IF(終値!A193="","",IFERROR(4*STDEVP(終値!R193:AK193)/AVERAGE(終値!R193:AK193),""))</f>
        <v>0.3836072261343535</v>
      </c>
      <c r="P193" s="503">
        <f>IF(終値!A193="","",IFERROR(4*STDEVP(終値!S193:AL193)/AVERAGE(終値!S193:AL193),""))</f>
        <v>0.39704883261656426</v>
      </c>
      <c r="Q193" s="503">
        <f>IF(終値!A193="","",IFERROR(4*STDEVP(終値!T193:AM193)/AVERAGE(終値!T193:AM193),""))</f>
        <v>0.41127788841020158</v>
      </c>
      <c r="R193" s="503">
        <f>IF(終値!A193="","",IFERROR(4*STDEVP(終値!U193:AN193)/AVERAGE(終値!U193:AN193),""))</f>
        <v>0.40113704429673019</v>
      </c>
      <c r="S193" s="503">
        <f>IF(終値!A193="","",IFERROR(4*STDEVP(終値!V193:AO193)/AVERAGE(終値!V193:AO193),""))</f>
        <v>0.41122077242867067</v>
      </c>
      <c r="T193" s="503">
        <f>IF(終値!A193="","",IFERROR(4*STDEVP(終値!W193:AP193)/AVERAGE(終値!W193:AP193),""))</f>
        <v>0.37304271146766016</v>
      </c>
      <c r="U193" s="503">
        <f>IF(終値!A193="","",IFERROR(4*STDEVP(終値!X193:AQ193)/AVERAGE(終値!X193:AQ193),""))</f>
        <v>0.32875957629753333</v>
      </c>
      <c r="V193" s="503">
        <f>IF(終値!A193="","",IFERROR(4*STDEVP(終値!Y193:AR193)/AVERAGE(終値!Y193:AR193),""))</f>
        <v>0.25134456895947077</v>
      </c>
      <c r="W193" s="503">
        <f>IF(終値!A193="","",IFERROR(4*STDEVP(終値!Z193:AS193)/AVERAGE(終値!Z193:AS193),""))</f>
        <v>0.21079131009197988</v>
      </c>
      <c r="X193" s="503">
        <f>IF(終値!A193="","",IFERROR(4*STDEVP(終値!AA193:AT193)/AVERAGE(終値!AA193:AT193),""))</f>
        <v>0.18961260832466031</v>
      </c>
      <c r="Y193" s="503">
        <f>IF(終値!A193="","",IFERROR(4*STDEVP(終値!AB193:AU193)/AVERAGE(終値!AB193:AU193),""))</f>
        <v>0.18645701797137232</v>
      </c>
      <c r="Z193" s="503">
        <f>IF(終値!A193="","",IFERROR(4*STDEVP(終値!AC193:AV193)/AVERAGE(終値!AC193:AV193),""))</f>
        <v>0.22394915610757121</v>
      </c>
      <c r="AA193" s="503">
        <f>IF(終値!A193="","",IFERROR(4*STDEVP(終値!AD193:AW193)/AVERAGE(終値!AD193:AW193),""))</f>
        <v>0.25840191157145059</v>
      </c>
      <c r="AB193" s="503">
        <f>IF(終値!A193="","",IFERROR(4*STDEVP(終値!AE193:AX193)/AVERAGE(終値!AE193:AX193),""))</f>
        <v>0.28275251002095003</v>
      </c>
      <c r="AC193" s="503">
        <f>IF(終値!A193="","",IFERROR(4*STDEVP(終値!AF193:AY193)/AVERAGE(終値!AF193:AY193),""))</f>
        <v>0.32683513069741854</v>
      </c>
      <c r="AD193" s="503">
        <f>IF(終値!A193="","",IFERROR(4*STDEVP(終値!AG193:AZ193)/AVERAGE(終値!AG193:AZ193),""))</f>
        <v>0.36983908512560165</v>
      </c>
      <c r="AE193" s="503">
        <f>IF(終値!A193="","",IFERROR(4*STDEVP(終値!AH193:BA193)/AVERAGE(終値!AH193:BA193),""))</f>
        <v>0.39365749627844965</v>
      </c>
      <c r="AF193" s="503">
        <f>IF(終値!A193="","",IFERROR(4*STDEVP(終値!AI193:BB193)/AVERAGE(終値!AI193:BB193),""))</f>
        <v>0.40466089058712573</v>
      </c>
      <c r="AG193" s="503">
        <f>IF(終値!A193="","",IFERROR(4*STDEVP(終値!AJ193:BC193)/AVERAGE(終値!AJ193:BC193),""))</f>
        <v>0.4152726128854029</v>
      </c>
      <c r="AH193" s="503">
        <f>IF(終値!A193="","",IFERROR(4*STDEVP(終値!AK193:BD193)/AVERAGE(終値!AK193:BD193),""))</f>
        <v>0.43678777225727444</v>
      </c>
      <c r="AI193" s="503">
        <f>IF(終値!A193="","",IFERROR(4*STDEVP(終値!AL193:BE193)/AVERAGE(終値!AL193:BE193),""))</f>
        <v>0.44813708846103478</v>
      </c>
      <c r="AJ193" s="503">
        <f>IF(終値!A193="","",IFERROR(4*STDEVP(終値!AM193:BF193)/AVERAGE(終値!AM193:BF193),""))</f>
        <v>0.44914808803094275</v>
      </c>
      <c r="AK193" s="503">
        <f>IF(終値!A193="","",IFERROR(4*STDEVP(終値!AN193:BG193)/AVERAGE(終値!AN193:BG193),""))</f>
        <v>0.44863582597081098</v>
      </c>
      <c r="AL193" s="503">
        <f>IF(終値!A193="","",IFERROR(4*STDEVP(終値!AO193:BH193)/AVERAGE(終値!AO193:BH193),""))</f>
        <v>0.41660405407774376</v>
      </c>
      <c r="AM193" s="503">
        <f>IF(終値!A193="","",IFERROR(4*STDEVP(終値!AP193:BI193)/AVERAGE(終値!AP193:BI193),""))</f>
        <v>0.37708046434563192</v>
      </c>
      <c r="AN193" s="503">
        <f>IF(終値!A193="","",IFERROR(4*STDEVP(終値!AQ193:BJ193)/AVERAGE(終値!AQ193:BJ193),""))</f>
        <v>0.32775770963418832</v>
      </c>
      <c r="AO193" s="503">
        <f>IF(終値!A193="","",IFERROR(4*STDEVP(終値!AR193:BK193)/AVERAGE(終値!AR193:BK193),""))</f>
        <v>0.2897596873426177</v>
      </c>
      <c r="AP193" s="503">
        <f>IF(終値!A193="","",IFERROR(4*STDEVP(終値!AS193:BL193)/AVERAGE(終値!AS193:BL193),""))</f>
        <v>0.27287176579970102</v>
      </c>
    </row>
    <row r="194" spans="1:42">
      <c r="A194" s="500" t="str">
        <f>IF(終値!A194="","",終値!A194)</f>
        <v>2702</v>
      </c>
      <c r="B194" s="503">
        <f>IF(終値!A194="","",IFERROR(4*STDEVP(終値!E194:X194)/AVERAGE(終値!E194:X194),""))</f>
        <v>0.11365393862884696</v>
      </c>
      <c r="C194" s="503">
        <f>IF(終値!A194="","",IFERROR(4*STDEVP(終値!F194:Y194)/AVERAGE(終値!F194:Y194),""))</f>
        <v>0.10749821086815167</v>
      </c>
      <c r="D194" s="503">
        <f>IF(終値!A194="","",IFERROR(4*STDEVP(終値!G194:Z194)/AVERAGE(終値!G194:Z194),""))</f>
        <v>9.6422518499499121E-2</v>
      </c>
      <c r="E194" s="503">
        <f>IF(終値!A194="","",IFERROR(4*STDEVP(終値!H194:AA194)/AVERAGE(終値!H194:AA194),""))</f>
        <v>9.8938290613233559E-2</v>
      </c>
      <c r="F194" s="503">
        <f>IF(終値!A194="","",IFERROR(4*STDEVP(終値!I194:AB194)/AVERAGE(終値!I194:AB194),""))</f>
        <v>8.3394709812073309E-2</v>
      </c>
      <c r="G194" s="503">
        <f>IF(終値!A194="","",IFERROR(4*STDEVP(終値!J194:AC194)/AVERAGE(終値!J194:AC194),""))</f>
        <v>6.91475814582799E-2</v>
      </c>
      <c r="H194" s="503">
        <f>IF(終値!A194="","",IFERROR(4*STDEVP(終値!K194:AD194)/AVERAGE(終値!K194:AD194),""))</f>
        <v>6.4490714446569647E-2</v>
      </c>
      <c r="I194" s="503">
        <f>IF(終値!A194="","",IFERROR(4*STDEVP(終値!L194:AE194)/AVERAGE(終値!L194:AE194),""))</f>
        <v>6.8215832485499908E-2</v>
      </c>
      <c r="J194" s="503">
        <f>IF(終値!A194="","",IFERROR(4*STDEVP(終値!M194:AF194)/AVERAGE(終値!M194:AF194),""))</f>
        <v>7.8181594692514123E-2</v>
      </c>
      <c r="K194" s="503">
        <f>IF(終値!A194="","",IFERROR(4*STDEVP(終値!N194:AG194)/AVERAGE(終値!N194:AG194),""))</f>
        <v>9.6517442545876964E-2</v>
      </c>
      <c r="L194" s="503">
        <f>IF(終値!A194="","",IFERROR(4*STDEVP(終値!O194:AH194)/AVERAGE(終値!O194:AH194),""))</f>
        <v>0.10804317679170758</v>
      </c>
      <c r="M194" s="503">
        <f>IF(終値!A194="","",IFERROR(4*STDEVP(終値!P194:AI194)/AVERAGE(終値!P194:AI194),""))</f>
        <v>0.11379669940038008</v>
      </c>
      <c r="N194" s="503">
        <f>IF(終値!A194="","",IFERROR(4*STDEVP(終値!Q194:AJ194)/AVERAGE(終値!Q194:AJ194),""))</f>
        <v>0.11556062293399337</v>
      </c>
      <c r="O194" s="503">
        <f>IF(終値!A194="","",IFERROR(4*STDEVP(終値!R194:AK194)/AVERAGE(終値!R194:AK194),""))</f>
        <v>0.11599888844210091</v>
      </c>
      <c r="P194" s="503">
        <f>IF(終値!A194="","",IFERROR(4*STDEVP(終値!S194:AL194)/AVERAGE(終値!S194:AL194),""))</f>
        <v>0.11456598665012205</v>
      </c>
      <c r="Q194" s="503">
        <f>IF(終値!A194="","",IFERROR(4*STDEVP(終値!T194:AM194)/AVERAGE(終値!T194:AM194),""))</f>
        <v>0.11122210247639756</v>
      </c>
      <c r="R194" s="503">
        <f>IF(終値!A194="","",IFERROR(4*STDEVP(終値!U194:AN194)/AVERAGE(終値!U194:AN194),""))</f>
        <v>0.10851164646656869</v>
      </c>
      <c r="S194" s="503">
        <f>IF(終値!A194="","",IFERROR(4*STDEVP(終値!V194:AO194)/AVERAGE(終値!V194:AO194),""))</f>
        <v>9.539507431443997E-2</v>
      </c>
      <c r="T194" s="503">
        <f>IF(終値!A194="","",IFERROR(4*STDEVP(終値!W194:AP194)/AVERAGE(終値!W194:AP194),""))</f>
        <v>8.9559286931731263E-2</v>
      </c>
      <c r="U194" s="503">
        <f>IF(終値!A194="","",IFERROR(4*STDEVP(終値!X194:AQ194)/AVERAGE(終値!X194:AQ194),""))</f>
        <v>7.9318456836579912E-2</v>
      </c>
      <c r="V194" s="503">
        <f>IF(終値!A194="","",IFERROR(4*STDEVP(終値!Y194:AR194)/AVERAGE(終値!Y194:AR194),""))</f>
        <v>7.3933225639569E-2</v>
      </c>
      <c r="W194" s="503">
        <f>IF(終値!A194="","",IFERROR(4*STDEVP(終値!Z194:AS194)/AVERAGE(終値!Z194:AS194),""))</f>
        <v>6.7085892153981294E-2</v>
      </c>
      <c r="X194" s="503">
        <f>IF(終値!A194="","",IFERROR(4*STDEVP(終値!AA194:AT194)/AVERAGE(終値!AA194:AT194),""))</f>
        <v>6.4260276574236261E-2</v>
      </c>
      <c r="Y194" s="503">
        <f>IF(終値!A194="","",IFERROR(4*STDEVP(終値!AB194:AU194)/AVERAGE(終値!AB194:AU194),""))</f>
        <v>6.8279776816362173E-2</v>
      </c>
      <c r="Z194" s="503">
        <f>IF(終値!A194="","",IFERROR(4*STDEVP(終値!AC194:AV194)/AVERAGE(終値!AC194:AV194),""))</f>
        <v>8.2974996849887017E-2</v>
      </c>
      <c r="AA194" s="503">
        <f>IF(終値!A194="","",IFERROR(4*STDEVP(終値!AD194:AW194)/AVERAGE(終値!AD194:AW194),""))</f>
        <v>9.2180000922973029E-2</v>
      </c>
      <c r="AB194" s="503">
        <f>IF(終値!A194="","",IFERROR(4*STDEVP(終値!AE194:AX194)/AVERAGE(終値!AE194:AX194),""))</f>
        <v>0.10684256412145382</v>
      </c>
      <c r="AC194" s="503">
        <f>IF(終値!A194="","",IFERROR(4*STDEVP(終値!AF194:AY194)/AVERAGE(終値!AF194:AY194),""))</f>
        <v>0.13083549414672352</v>
      </c>
      <c r="AD194" s="503">
        <f>IF(終値!A194="","",IFERROR(4*STDEVP(終値!AG194:AZ194)/AVERAGE(終値!AG194:AZ194),""))</f>
        <v>0.14872354813021632</v>
      </c>
      <c r="AE194" s="503">
        <f>IF(終値!A194="","",IFERROR(4*STDEVP(終値!AH194:BA194)/AVERAGE(終値!AH194:BA194),""))</f>
        <v>0.14902202007604659</v>
      </c>
      <c r="AF194" s="503">
        <f>IF(終値!A194="","",IFERROR(4*STDEVP(終値!AI194:BB194)/AVERAGE(終値!AI194:BB194),""))</f>
        <v>0.15144244295230333</v>
      </c>
      <c r="AG194" s="503">
        <f>IF(終値!A194="","",IFERROR(4*STDEVP(終値!AJ194:BC194)/AVERAGE(終値!AJ194:BC194),""))</f>
        <v>0.15117252002165932</v>
      </c>
      <c r="AH194" s="503">
        <f>IF(終値!A194="","",IFERROR(4*STDEVP(終値!AK194:BD194)/AVERAGE(終値!AK194:BD194),""))</f>
        <v>0.14731794580530949</v>
      </c>
      <c r="AI194" s="503">
        <f>IF(終値!A194="","",IFERROR(4*STDEVP(終値!AL194:BE194)/AVERAGE(終値!AL194:BE194),""))</f>
        <v>0.1529020239837369</v>
      </c>
      <c r="AJ194" s="503">
        <f>IF(終値!A194="","",IFERROR(4*STDEVP(終値!AM194:BF194)/AVERAGE(終値!AM194:BF194),""))</f>
        <v>0.16321651554233108</v>
      </c>
      <c r="AK194" s="503">
        <f>IF(終値!A194="","",IFERROR(4*STDEVP(終値!AN194:BG194)/AVERAGE(終値!AN194:BG194),""))</f>
        <v>0.18282692960411234</v>
      </c>
      <c r="AL194" s="503">
        <f>IF(終値!A194="","",IFERROR(4*STDEVP(終値!AO194:BH194)/AVERAGE(終値!AO194:BH194),""))</f>
        <v>0.17974514929321891</v>
      </c>
      <c r="AM194" s="503">
        <f>IF(終値!A194="","",IFERROR(4*STDEVP(終値!AP194:BI194)/AVERAGE(終値!AP194:BI194),""))</f>
        <v>0.17526850317047821</v>
      </c>
      <c r="AN194" s="503">
        <f>IF(終値!A194="","",IFERROR(4*STDEVP(終値!AQ194:BJ194)/AVERAGE(終値!AQ194:BJ194),""))</f>
        <v>0.16277184454708954</v>
      </c>
      <c r="AO194" s="503">
        <f>IF(終値!A194="","",IFERROR(4*STDEVP(終値!AR194:BK194)/AVERAGE(終値!AR194:BK194),""))</f>
        <v>0.15525257711506243</v>
      </c>
      <c r="AP194" s="503">
        <f>IF(終値!A194="","",IFERROR(4*STDEVP(終値!AS194:BL194)/AVERAGE(終値!AS194:BL194),""))</f>
        <v>0.14442180771745214</v>
      </c>
    </row>
    <row r="195" spans="1:42">
      <c r="A195" s="500" t="str">
        <f>IF(終値!A195="","",終値!A195)</f>
        <v>6890</v>
      </c>
      <c r="B195" s="503">
        <f>IF(終値!A195="","",IFERROR(4*STDEVP(終値!E195:X195)/AVERAGE(終値!E195:X195),""))</f>
        <v>0.32122030980294553</v>
      </c>
      <c r="C195" s="503">
        <f>IF(終値!A195="","",IFERROR(4*STDEVP(終値!F195:Y195)/AVERAGE(終値!F195:Y195),""))</f>
        <v>0.33660250395927638</v>
      </c>
      <c r="D195" s="503">
        <f>IF(終値!A195="","",IFERROR(4*STDEVP(終値!G195:Z195)/AVERAGE(終値!G195:Z195),""))</f>
        <v>0.34470129514747894</v>
      </c>
      <c r="E195" s="503">
        <f>IF(終値!A195="","",IFERROR(4*STDEVP(終値!H195:AA195)/AVERAGE(終値!H195:AA195),""))</f>
        <v>0.37626463957979234</v>
      </c>
      <c r="F195" s="503">
        <f>IF(終値!A195="","",IFERROR(4*STDEVP(終値!I195:AB195)/AVERAGE(終値!I195:AB195),""))</f>
        <v>0.37029666280899665</v>
      </c>
      <c r="G195" s="503">
        <f>IF(終値!A195="","",IFERROR(4*STDEVP(終値!J195:AC195)/AVERAGE(終値!J195:AC195),""))</f>
        <v>0.35069721338042431</v>
      </c>
      <c r="H195" s="503">
        <f>IF(終値!A195="","",IFERROR(4*STDEVP(終値!K195:AD195)/AVERAGE(終値!K195:AD195),""))</f>
        <v>0.34377033808734553</v>
      </c>
      <c r="I195" s="503">
        <f>IF(終値!A195="","",IFERROR(4*STDEVP(終値!L195:AE195)/AVERAGE(終値!L195:AE195),""))</f>
        <v>0.3789821466299062</v>
      </c>
      <c r="J195" s="503">
        <f>IF(終値!A195="","",IFERROR(4*STDEVP(終値!M195:AF195)/AVERAGE(終値!M195:AF195),""))</f>
        <v>0.39273308413748376</v>
      </c>
      <c r="K195" s="503">
        <f>IF(終値!A195="","",IFERROR(4*STDEVP(終値!N195:AG195)/AVERAGE(終値!N195:AG195),""))</f>
        <v>0.43031079582671594</v>
      </c>
      <c r="L195" s="503">
        <f>IF(終値!A195="","",IFERROR(4*STDEVP(終値!O195:AH195)/AVERAGE(終値!O195:AH195),""))</f>
        <v>0.47503378117896033</v>
      </c>
      <c r="M195" s="503">
        <f>IF(終値!A195="","",IFERROR(4*STDEVP(終値!P195:AI195)/AVERAGE(終値!P195:AI195),""))</f>
        <v>0.44852421680038812</v>
      </c>
      <c r="N195" s="503">
        <f>IF(終値!A195="","",IFERROR(4*STDEVP(終値!Q195:AJ195)/AVERAGE(終値!Q195:AJ195),""))</f>
        <v>0.39633198963074312</v>
      </c>
      <c r="O195" s="503">
        <f>IF(終値!A195="","",IFERROR(4*STDEVP(終値!R195:AK195)/AVERAGE(終値!R195:AK195),""))</f>
        <v>0.37932646179724372</v>
      </c>
      <c r="P195" s="503">
        <f>IF(終値!A195="","",IFERROR(4*STDEVP(終値!S195:AL195)/AVERAGE(終値!S195:AL195),""))</f>
        <v>0.35539936601434008</v>
      </c>
      <c r="Q195" s="503">
        <f>IF(終値!A195="","",IFERROR(4*STDEVP(終値!T195:AM195)/AVERAGE(終値!T195:AM195),""))</f>
        <v>0.33996530818724235</v>
      </c>
      <c r="R195" s="503">
        <f>IF(終値!A195="","",IFERROR(4*STDEVP(終値!U195:AN195)/AVERAGE(終値!U195:AN195),""))</f>
        <v>0.33983961441217692</v>
      </c>
      <c r="S195" s="503">
        <f>IF(終値!A195="","",IFERROR(4*STDEVP(終値!V195:AO195)/AVERAGE(終値!V195:AO195),""))</f>
        <v>0.35414971938077539</v>
      </c>
      <c r="T195" s="503">
        <f>IF(終値!A195="","",IFERROR(4*STDEVP(終値!W195:AP195)/AVERAGE(終値!W195:AP195),""))</f>
        <v>0.36447579113371464</v>
      </c>
      <c r="U195" s="503">
        <f>IF(終値!A195="","",IFERROR(4*STDEVP(終値!X195:AQ195)/AVERAGE(終値!X195:AQ195),""))</f>
        <v>0.37067258450044971</v>
      </c>
      <c r="V195" s="503">
        <f>IF(終値!A195="","",IFERROR(4*STDEVP(終値!Y195:AR195)/AVERAGE(終値!Y195:AR195),""))</f>
        <v>0.3702213226492258</v>
      </c>
      <c r="W195" s="503">
        <f>IF(終値!A195="","",IFERROR(4*STDEVP(終値!Z195:AS195)/AVERAGE(終値!Z195:AS195),""))</f>
        <v>0.37268019528357965</v>
      </c>
      <c r="X195" s="503">
        <f>IF(終値!A195="","",IFERROR(4*STDEVP(終値!AA195:AT195)/AVERAGE(終値!AA195:AT195),""))</f>
        <v>0.39761532887216972</v>
      </c>
      <c r="Y195" s="503">
        <f>IF(終値!A195="","",IFERROR(4*STDEVP(終値!AB195:AU195)/AVERAGE(終値!AB195:AU195),""))</f>
        <v>0.42032873327719966</v>
      </c>
      <c r="Z195" s="503">
        <f>IF(終値!A195="","",IFERROR(4*STDEVP(終値!AC195:AV195)/AVERAGE(終値!AC195:AV195),""))</f>
        <v>0.42570284997994562</v>
      </c>
      <c r="AA195" s="503">
        <f>IF(終値!A195="","",IFERROR(4*STDEVP(終値!AD195:AW195)/AVERAGE(終値!AD195:AW195),""))</f>
        <v>0.43260097015437909</v>
      </c>
      <c r="AB195" s="503">
        <f>IF(終値!A195="","",IFERROR(4*STDEVP(終値!AE195:AX195)/AVERAGE(終値!AE195:AX195),""))</f>
        <v>0.43939659565379641</v>
      </c>
      <c r="AC195" s="503">
        <f>IF(終値!A195="","",IFERROR(4*STDEVP(終値!AF195:AY195)/AVERAGE(終値!AF195:AY195),""))</f>
        <v>0.42899692477646501</v>
      </c>
      <c r="AD195" s="503">
        <f>IF(終値!A195="","",IFERROR(4*STDEVP(終値!AG195:AZ195)/AVERAGE(終値!AG195:AZ195),""))</f>
        <v>0.42639106378478708</v>
      </c>
      <c r="AE195" s="503">
        <f>IF(終値!A195="","",IFERROR(4*STDEVP(終値!AH195:BA195)/AVERAGE(終値!AH195:BA195),""))</f>
        <v>0.40451902757722857</v>
      </c>
      <c r="AF195" s="503">
        <f>IF(終値!A195="","",IFERROR(4*STDEVP(終値!AI195:BB195)/AVERAGE(終値!AI195:BB195),""))</f>
        <v>0.31289176937867746</v>
      </c>
      <c r="AG195" s="503">
        <f>IF(終値!A195="","",IFERROR(4*STDEVP(終値!AJ195:BC195)/AVERAGE(終値!AJ195:BC195),""))</f>
        <v>0.2694879190437996</v>
      </c>
      <c r="AH195" s="503">
        <f>IF(終値!A195="","",IFERROR(4*STDEVP(終値!AK195:BD195)/AVERAGE(終値!AK195:BD195),""))</f>
        <v>0.2257733525517826</v>
      </c>
      <c r="AI195" s="503">
        <f>IF(終値!A195="","",IFERROR(4*STDEVP(終値!AL195:BE195)/AVERAGE(終値!AL195:BE195),""))</f>
        <v>0.22642571639746101</v>
      </c>
      <c r="AJ195" s="503">
        <f>IF(終値!A195="","",IFERROR(4*STDEVP(終値!AM195:BF195)/AVERAGE(終値!AM195:BF195),""))</f>
        <v>0.2439449440884541</v>
      </c>
      <c r="AK195" s="503">
        <f>IF(終値!A195="","",IFERROR(4*STDEVP(終値!AN195:BG195)/AVERAGE(終値!AN195:BG195),""))</f>
        <v>0.24716616020583682</v>
      </c>
      <c r="AL195" s="503">
        <f>IF(終値!A195="","",IFERROR(4*STDEVP(終値!AO195:BH195)/AVERAGE(終値!AO195:BH195),""))</f>
        <v>0.25911807420113375</v>
      </c>
      <c r="AM195" s="503">
        <f>IF(終値!A195="","",IFERROR(4*STDEVP(終値!AP195:BI195)/AVERAGE(終値!AP195:BI195),""))</f>
        <v>0.25362683008183079</v>
      </c>
      <c r="AN195" s="503">
        <f>IF(終値!A195="","",IFERROR(4*STDEVP(終値!AQ195:BJ195)/AVERAGE(終値!AQ195:BJ195),""))</f>
        <v>0.23909094488306973</v>
      </c>
      <c r="AO195" s="503">
        <f>IF(終値!A195="","",IFERROR(4*STDEVP(終値!AR195:BK195)/AVERAGE(終値!AR195:BK195),""))</f>
        <v>0.22688400686811749</v>
      </c>
      <c r="AP195" s="503">
        <f>IF(終値!A195="","",IFERROR(4*STDEVP(終値!AS195:BL195)/AVERAGE(終値!AS195:BL195),""))</f>
        <v>0.24413346723051921</v>
      </c>
    </row>
    <row r="196" spans="1:42">
      <c r="A196" s="500" t="str">
        <f>IF(終値!A196="","",終値!A196)</f>
        <v>4966</v>
      </c>
      <c r="B196" s="503">
        <f>IF(終値!A196="","",IFERROR(4*STDEVP(終値!E196:X196)/AVERAGE(終値!E196:X196),""))</f>
        <v>0.23287454115102593</v>
      </c>
      <c r="C196" s="503">
        <f>IF(終値!A196="","",IFERROR(4*STDEVP(終値!F196:Y196)/AVERAGE(終値!F196:Y196),""))</f>
        <v>0.25991070011164946</v>
      </c>
      <c r="D196" s="503">
        <f>IF(終値!A196="","",IFERROR(4*STDEVP(終値!G196:Z196)/AVERAGE(終値!G196:Z196),""))</f>
        <v>0.26915946463966606</v>
      </c>
      <c r="E196" s="503">
        <f>IF(終値!A196="","",IFERROR(4*STDEVP(終値!H196:AA196)/AVERAGE(終値!H196:AA196),""))</f>
        <v>0.29634211441954555</v>
      </c>
      <c r="F196" s="503">
        <f>IF(終値!A196="","",IFERROR(4*STDEVP(終値!I196:AB196)/AVERAGE(終値!I196:AB196),""))</f>
        <v>0.28577085736147062</v>
      </c>
      <c r="G196" s="503">
        <f>IF(終値!A196="","",IFERROR(4*STDEVP(終値!J196:AC196)/AVERAGE(終値!J196:AC196),""))</f>
        <v>0.25102901658506555</v>
      </c>
      <c r="H196" s="503">
        <f>IF(終値!A196="","",IFERROR(4*STDEVP(終値!K196:AD196)/AVERAGE(終値!K196:AD196),""))</f>
        <v>0.23434093150486809</v>
      </c>
      <c r="I196" s="503">
        <f>IF(終値!A196="","",IFERROR(4*STDEVP(終値!L196:AE196)/AVERAGE(終値!L196:AE196),""))</f>
        <v>0.24016433633028691</v>
      </c>
      <c r="J196" s="503">
        <f>IF(終値!A196="","",IFERROR(4*STDEVP(終値!M196:AF196)/AVERAGE(終値!M196:AF196),""))</f>
        <v>0.24007777751478332</v>
      </c>
      <c r="K196" s="503">
        <f>IF(終値!A196="","",IFERROR(4*STDEVP(終値!N196:AG196)/AVERAGE(終値!N196:AG196),""))</f>
        <v>0.2409539719511887</v>
      </c>
      <c r="L196" s="503">
        <f>IF(終値!A196="","",IFERROR(4*STDEVP(終値!O196:AH196)/AVERAGE(終値!O196:AH196),""))</f>
        <v>0.24764780424881266</v>
      </c>
      <c r="M196" s="503">
        <f>IF(終値!A196="","",IFERROR(4*STDEVP(終値!P196:AI196)/AVERAGE(終値!P196:AI196),""))</f>
        <v>0.24286385640408983</v>
      </c>
      <c r="N196" s="503">
        <f>IF(終値!A196="","",IFERROR(4*STDEVP(終値!Q196:AJ196)/AVERAGE(終値!Q196:AJ196),""))</f>
        <v>0.22256958940221827</v>
      </c>
      <c r="O196" s="503">
        <f>IF(終値!A196="","",IFERROR(4*STDEVP(終値!R196:AK196)/AVERAGE(終値!R196:AK196),""))</f>
        <v>0.22062302853995186</v>
      </c>
      <c r="P196" s="503">
        <f>IF(終値!A196="","",IFERROR(4*STDEVP(終値!S196:AL196)/AVERAGE(終値!S196:AL196),""))</f>
        <v>0.20758146702576527</v>
      </c>
      <c r="Q196" s="503">
        <f>IF(終値!A196="","",IFERROR(4*STDEVP(終値!T196:AM196)/AVERAGE(終値!T196:AM196),""))</f>
        <v>0.18376993529506211</v>
      </c>
      <c r="R196" s="503">
        <f>IF(終値!A196="","",IFERROR(4*STDEVP(終値!U196:AN196)/AVERAGE(終値!U196:AN196),""))</f>
        <v>0.19066047432842489</v>
      </c>
      <c r="S196" s="503">
        <f>IF(終値!A196="","",IFERROR(4*STDEVP(終値!V196:AO196)/AVERAGE(終値!V196:AO196),""))</f>
        <v>0.20756751405714924</v>
      </c>
      <c r="T196" s="503">
        <f>IF(終値!A196="","",IFERROR(4*STDEVP(終値!W196:AP196)/AVERAGE(終値!W196:AP196),""))</f>
        <v>0.22929105962670593</v>
      </c>
      <c r="U196" s="503">
        <f>IF(終値!A196="","",IFERROR(4*STDEVP(終値!X196:AQ196)/AVERAGE(終値!X196:AQ196),""))</f>
        <v>0.26548886515359421</v>
      </c>
      <c r="V196" s="503">
        <f>IF(終値!A196="","",IFERROR(4*STDEVP(終値!Y196:AR196)/AVERAGE(終値!Y196:AR196),""))</f>
        <v>0.28950829594599686</v>
      </c>
      <c r="W196" s="503">
        <f>IF(終値!A196="","",IFERROR(4*STDEVP(終値!Z196:AS196)/AVERAGE(終値!Z196:AS196),""))</f>
        <v>0.30616061817800838</v>
      </c>
      <c r="X196" s="503">
        <f>IF(終値!A196="","",IFERROR(4*STDEVP(終値!AA196:AT196)/AVERAGE(終値!AA196:AT196),""))</f>
        <v>0.31608474890568566</v>
      </c>
      <c r="Y196" s="503">
        <f>IF(終値!A196="","",IFERROR(4*STDEVP(終値!AB196:AU196)/AVERAGE(終値!AB196:AU196),""))</f>
        <v>0.32113241324647107</v>
      </c>
      <c r="Z196" s="503">
        <f>IF(終値!A196="","",IFERROR(4*STDEVP(終値!AC196:AV196)/AVERAGE(終値!AC196:AV196),""))</f>
        <v>0.32252077809866231</v>
      </c>
      <c r="AA196" s="503">
        <f>IF(終値!A196="","",IFERROR(4*STDEVP(終値!AD196:AW196)/AVERAGE(終値!AD196:AW196),""))</f>
        <v>0.32423582074807183</v>
      </c>
      <c r="AB196" s="503">
        <f>IF(終値!A196="","",IFERROR(4*STDEVP(終値!AE196:AX196)/AVERAGE(終値!AE196:AX196),""))</f>
        <v>0.32123496671015245</v>
      </c>
      <c r="AC196" s="503">
        <f>IF(終値!A196="","",IFERROR(4*STDEVP(終値!AF196:AY196)/AVERAGE(終値!AF196:AY196),""))</f>
        <v>0.30916705253000154</v>
      </c>
      <c r="AD196" s="503">
        <f>IF(終値!A196="","",IFERROR(4*STDEVP(終値!AG196:AZ196)/AVERAGE(終値!AG196:AZ196),""))</f>
        <v>0.29684906653190168</v>
      </c>
      <c r="AE196" s="503">
        <f>IF(終値!A196="","",IFERROR(4*STDEVP(終値!AH196:BA196)/AVERAGE(終値!AH196:BA196),""))</f>
        <v>0.28705676939770663</v>
      </c>
      <c r="AF196" s="503">
        <f>IF(終値!A196="","",IFERROR(4*STDEVP(終値!AI196:BB196)/AVERAGE(終値!AI196:BB196),""))</f>
        <v>0.25927911262605363</v>
      </c>
      <c r="AG196" s="503">
        <f>IF(終値!A196="","",IFERROR(4*STDEVP(終値!AJ196:BC196)/AVERAGE(終値!AJ196:BC196),""))</f>
        <v>0.23908565497372192</v>
      </c>
      <c r="AH196" s="503">
        <f>IF(終値!A196="","",IFERROR(4*STDEVP(終値!AK196:BD196)/AVERAGE(終値!AK196:BD196),""))</f>
        <v>0.20696265203921999</v>
      </c>
      <c r="AI196" s="503">
        <f>IF(終値!A196="","",IFERROR(4*STDEVP(終値!AL196:BE196)/AVERAGE(終値!AL196:BE196),""))</f>
        <v>0.18210114688667289</v>
      </c>
      <c r="AJ196" s="503">
        <f>IF(終値!A196="","",IFERROR(4*STDEVP(終値!AM196:BF196)/AVERAGE(終値!AM196:BF196),""))</f>
        <v>0.16764480566469411</v>
      </c>
      <c r="AK196" s="503">
        <f>IF(終値!A196="","",IFERROR(4*STDEVP(終値!AN196:BG196)/AVERAGE(終値!AN196:BG196),""))</f>
        <v>0.14510090076297499</v>
      </c>
      <c r="AL196" s="503">
        <f>IF(終値!A196="","",IFERROR(4*STDEVP(終値!AO196:BH196)/AVERAGE(終値!AO196:BH196),""))</f>
        <v>0.14867731279472965</v>
      </c>
      <c r="AM196" s="503">
        <f>IF(終値!A196="","",IFERROR(4*STDEVP(終値!AP196:BI196)/AVERAGE(終値!AP196:BI196),""))</f>
        <v>0.14806315778344142</v>
      </c>
      <c r="AN196" s="503">
        <f>IF(終値!A196="","",IFERROR(4*STDEVP(終値!AQ196:BJ196)/AVERAGE(終値!AQ196:BJ196),""))</f>
        <v>0.14142471596390171</v>
      </c>
      <c r="AO196" s="503">
        <f>IF(終値!A196="","",IFERROR(4*STDEVP(終値!AR196:BK196)/AVERAGE(終値!AR196:BK196),""))</f>
        <v>0.12179732456043721</v>
      </c>
      <c r="AP196" s="503">
        <f>IF(終値!A196="","",IFERROR(4*STDEVP(終値!AS196:BL196)/AVERAGE(終値!AS196:BL196),""))</f>
        <v>0.12354624606122135</v>
      </c>
    </row>
    <row r="197" spans="1:42">
      <c r="A197" s="500" t="str">
        <f>IF(終値!A197="","",終値!A197)</f>
        <v>6146</v>
      </c>
      <c r="B197" s="503">
        <f>IF(終値!A197="","",IFERROR(4*STDEVP(終値!E197:X197)/AVERAGE(終値!E197:X197),""))</f>
        <v>0.44753514052453741</v>
      </c>
      <c r="C197" s="503">
        <f>IF(終値!A197="","",IFERROR(4*STDEVP(終値!F197:Y197)/AVERAGE(終値!F197:Y197),""))</f>
        <v>0.46047043674494093</v>
      </c>
      <c r="D197" s="503">
        <f>IF(終値!A197="","",IFERROR(4*STDEVP(終値!G197:Z197)/AVERAGE(終値!G197:Z197),""))</f>
        <v>0.4676248033887585</v>
      </c>
      <c r="E197" s="503">
        <f>IF(終値!A197="","",IFERROR(4*STDEVP(終値!H197:AA197)/AVERAGE(終値!H197:AA197),""))</f>
        <v>0.49404473181717956</v>
      </c>
      <c r="F197" s="503">
        <f>IF(終値!A197="","",IFERROR(4*STDEVP(終値!I197:AB197)/AVERAGE(終値!I197:AB197),""))</f>
        <v>0.45759347543065915</v>
      </c>
      <c r="G197" s="503">
        <f>IF(終値!A197="","",IFERROR(4*STDEVP(終値!J197:AC197)/AVERAGE(終値!J197:AC197),""))</f>
        <v>0.39455991644279426</v>
      </c>
      <c r="H197" s="503">
        <f>IF(終値!A197="","",IFERROR(4*STDEVP(終値!K197:AD197)/AVERAGE(終値!K197:AD197),""))</f>
        <v>0.33709560263174415</v>
      </c>
      <c r="I197" s="503">
        <f>IF(終値!A197="","",IFERROR(4*STDEVP(終値!L197:AE197)/AVERAGE(終値!L197:AE197),""))</f>
        <v>0.34489640520087467</v>
      </c>
      <c r="J197" s="503">
        <f>IF(終値!A197="","",IFERROR(4*STDEVP(終値!M197:AF197)/AVERAGE(終値!M197:AF197),""))</f>
        <v>0.30913858239024899</v>
      </c>
      <c r="K197" s="503">
        <f>IF(終値!A197="","",IFERROR(4*STDEVP(終値!N197:AG197)/AVERAGE(終値!N197:AG197),""))</f>
        <v>0.31409643313380753</v>
      </c>
      <c r="L197" s="503">
        <f>IF(終値!A197="","",IFERROR(4*STDEVP(終値!O197:AH197)/AVERAGE(終値!O197:AH197),""))</f>
        <v>0.33399250638785422</v>
      </c>
      <c r="M197" s="503">
        <f>IF(終値!A197="","",IFERROR(4*STDEVP(終値!P197:AI197)/AVERAGE(終値!P197:AI197),""))</f>
        <v>0.32418834207439373</v>
      </c>
      <c r="N197" s="503">
        <f>IF(終値!A197="","",IFERROR(4*STDEVP(終値!Q197:AJ197)/AVERAGE(終値!Q197:AJ197),""))</f>
        <v>0.29648936176427371</v>
      </c>
      <c r="O197" s="503">
        <f>IF(終値!A197="","",IFERROR(4*STDEVP(終値!R197:AK197)/AVERAGE(終値!R197:AK197),""))</f>
        <v>0.29566935647314818</v>
      </c>
      <c r="P197" s="503">
        <f>IF(終値!A197="","",IFERROR(4*STDEVP(終値!S197:AL197)/AVERAGE(終値!S197:AL197),""))</f>
        <v>0.28383219904814772</v>
      </c>
      <c r="Q197" s="503">
        <f>IF(終値!A197="","",IFERROR(4*STDEVP(終値!T197:AM197)/AVERAGE(終値!T197:AM197),""))</f>
        <v>0.27196479092653697</v>
      </c>
      <c r="R197" s="503">
        <f>IF(終値!A197="","",IFERROR(4*STDEVP(終値!U197:AN197)/AVERAGE(終値!U197:AN197),""))</f>
        <v>0.25759041636512192</v>
      </c>
      <c r="S197" s="503">
        <f>IF(終値!A197="","",IFERROR(4*STDEVP(終値!V197:AO197)/AVERAGE(終値!V197:AO197),""))</f>
        <v>0.26446901008700363</v>
      </c>
      <c r="T197" s="503">
        <f>IF(終値!A197="","",IFERROR(4*STDEVP(終値!W197:AP197)/AVERAGE(終値!W197:AP197),""))</f>
        <v>0.25448453255518805</v>
      </c>
      <c r="U197" s="503">
        <f>IF(終値!A197="","",IFERROR(4*STDEVP(終値!X197:AQ197)/AVERAGE(終値!X197:AQ197),""))</f>
        <v>0.27684628684474527</v>
      </c>
      <c r="V197" s="503">
        <f>IF(終値!A197="","",IFERROR(4*STDEVP(終値!Y197:AR197)/AVERAGE(終値!Y197:AR197),""))</f>
        <v>0.28882355148523092</v>
      </c>
      <c r="W197" s="503">
        <f>IF(終値!A197="","",IFERROR(4*STDEVP(終値!Z197:AS197)/AVERAGE(終値!Z197:AS197),""))</f>
        <v>0.2994582986290989</v>
      </c>
      <c r="X197" s="503">
        <f>IF(終値!A197="","",IFERROR(4*STDEVP(終値!AA197:AT197)/AVERAGE(終値!AA197:AT197),""))</f>
        <v>0.3228157344409775</v>
      </c>
      <c r="Y197" s="503">
        <f>IF(終値!A197="","",IFERROR(4*STDEVP(終値!AB197:AU197)/AVERAGE(終値!AB197:AU197),""))</f>
        <v>0.35995472880408164</v>
      </c>
      <c r="Z197" s="503">
        <f>IF(終値!A197="","",IFERROR(4*STDEVP(終値!AC197:AV197)/AVERAGE(終値!AC197:AV197),""))</f>
        <v>0.38969124036090075</v>
      </c>
      <c r="AA197" s="503">
        <f>IF(終値!A197="","",IFERROR(4*STDEVP(終値!AD197:AW197)/AVERAGE(終値!AD197:AW197),""))</f>
        <v>0.41097946820420295</v>
      </c>
      <c r="AB197" s="503">
        <f>IF(終値!A197="","",IFERROR(4*STDEVP(終値!AE197:AX197)/AVERAGE(終値!AE197:AX197),""))</f>
        <v>0.42568896957144448</v>
      </c>
      <c r="AC197" s="503">
        <f>IF(終値!A197="","",IFERROR(4*STDEVP(終値!AF197:AY197)/AVERAGE(終値!AF197:AY197),""))</f>
        <v>0.41844207574499082</v>
      </c>
      <c r="AD197" s="503">
        <f>IF(終値!A197="","",IFERROR(4*STDEVP(終値!AG197:AZ197)/AVERAGE(終値!AG197:AZ197),""))</f>
        <v>0.43227738500440999</v>
      </c>
      <c r="AE197" s="503">
        <f>IF(終値!A197="","",IFERROR(4*STDEVP(終値!AH197:BA197)/AVERAGE(終値!AH197:BA197),""))</f>
        <v>0.4366909434405723</v>
      </c>
      <c r="AF197" s="503">
        <f>IF(終値!A197="","",IFERROR(4*STDEVP(終値!AI197:BB197)/AVERAGE(終値!AI197:BB197),""))</f>
        <v>0.42711045205721598</v>
      </c>
      <c r="AG197" s="503">
        <f>IF(終値!A197="","",IFERROR(4*STDEVP(終値!AJ197:BC197)/AVERAGE(終値!AJ197:BC197),""))</f>
        <v>0.42146765298110972</v>
      </c>
      <c r="AH197" s="503">
        <f>IF(終値!A197="","",IFERROR(4*STDEVP(終値!AK197:BD197)/AVERAGE(終値!AK197:BD197),""))</f>
        <v>0.3975648359194639</v>
      </c>
      <c r="AI197" s="503">
        <f>IF(終値!A197="","",IFERROR(4*STDEVP(終値!AL197:BE197)/AVERAGE(終値!AL197:BE197),""))</f>
        <v>0.36493970846444468</v>
      </c>
      <c r="AJ197" s="503">
        <f>IF(終値!A197="","",IFERROR(4*STDEVP(終値!AM197:BF197)/AVERAGE(終値!AM197:BF197),""))</f>
        <v>0.32927039666898361</v>
      </c>
      <c r="AK197" s="503">
        <f>IF(終値!A197="","",IFERROR(4*STDEVP(終値!AN197:BG197)/AVERAGE(終値!AN197:BG197),""))</f>
        <v>0.2534341305385252</v>
      </c>
      <c r="AL197" s="503">
        <f>IF(終値!A197="","",IFERROR(4*STDEVP(終値!AO197:BH197)/AVERAGE(終値!AO197:BH197),""))</f>
        <v>0.20902020204825414</v>
      </c>
      <c r="AM197" s="503">
        <f>IF(終値!A197="","",IFERROR(4*STDEVP(終値!AP197:BI197)/AVERAGE(終値!AP197:BI197),""))</f>
        <v>0.21937957503482136</v>
      </c>
      <c r="AN197" s="503">
        <f>IF(終値!A197="","",IFERROR(4*STDEVP(終値!AQ197:BJ197)/AVERAGE(終値!AQ197:BJ197),""))</f>
        <v>0.23589345337621506</v>
      </c>
      <c r="AO197" s="503">
        <f>IF(終値!A197="","",IFERROR(4*STDEVP(終値!AR197:BK197)/AVERAGE(終値!AR197:BK197),""))</f>
        <v>0.2580601058205686</v>
      </c>
      <c r="AP197" s="503">
        <f>IF(終値!A197="","",IFERROR(4*STDEVP(終値!AS197:BL197)/AVERAGE(終値!AS197:BL197),""))</f>
        <v>0.25726541607176134</v>
      </c>
    </row>
    <row r="198" spans="1:42">
      <c r="A198" s="500" t="str">
        <f>IF(終値!A198="","",終値!A198)</f>
        <v>8035</v>
      </c>
      <c r="B198" s="503">
        <f>IF(終値!A198="","",IFERROR(4*STDEVP(終値!E198:X198)/AVERAGE(終値!E198:X198),""))</f>
        <v>0.45634108996020295</v>
      </c>
      <c r="C198" s="503">
        <f>IF(終値!A198="","",IFERROR(4*STDEVP(終値!F198:Y198)/AVERAGE(終値!F198:Y198),""))</f>
        <v>0.4528150399417975</v>
      </c>
      <c r="D198" s="503">
        <f>IF(終値!A198="","",IFERROR(4*STDEVP(終値!G198:Z198)/AVERAGE(終値!G198:Z198),""))</f>
        <v>0.43527381656862552</v>
      </c>
      <c r="E198" s="503">
        <f>IF(終値!A198="","",IFERROR(4*STDEVP(終値!H198:AA198)/AVERAGE(終値!H198:AA198),""))</f>
        <v>0.43381953216528601</v>
      </c>
      <c r="F198" s="503">
        <f>IF(終値!A198="","",IFERROR(4*STDEVP(終値!I198:AB198)/AVERAGE(終値!I198:AB198),""))</f>
        <v>0.394445961836006</v>
      </c>
      <c r="G198" s="503">
        <f>IF(終値!A198="","",IFERROR(4*STDEVP(終値!J198:AC198)/AVERAGE(終値!J198:AC198),""))</f>
        <v>0.31007888772740755</v>
      </c>
      <c r="H198" s="503">
        <f>IF(終値!A198="","",IFERROR(4*STDEVP(終値!K198:AD198)/AVERAGE(終値!K198:AD198),""))</f>
        <v>0.2514483096621038</v>
      </c>
      <c r="I198" s="503">
        <f>IF(終値!A198="","",IFERROR(4*STDEVP(終値!L198:AE198)/AVERAGE(終値!L198:AE198),""))</f>
        <v>0.23552662913855085</v>
      </c>
      <c r="J198" s="503">
        <f>IF(終値!A198="","",IFERROR(4*STDEVP(終値!M198:AF198)/AVERAGE(終値!M198:AF198),""))</f>
        <v>0.20893967719377327</v>
      </c>
      <c r="K198" s="503">
        <f>IF(終値!A198="","",IFERROR(4*STDEVP(終値!N198:AG198)/AVERAGE(終値!N198:AG198),""))</f>
        <v>0.19640848805992334</v>
      </c>
      <c r="L198" s="503">
        <f>IF(終値!A198="","",IFERROR(4*STDEVP(終値!O198:AH198)/AVERAGE(終値!O198:AH198),""))</f>
        <v>0.1930899813140502</v>
      </c>
      <c r="M198" s="503">
        <f>IF(終値!A198="","",IFERROR(4*STDEVP(終値!P198:AI198)/AVERAGE(終値!P198:AI198),""))</f>
        <v>0.18041930804497863</v>
      </c>
      <c r="N198" s="503">
        <f>IF(終値!A198="","",IFERROR(4*STDEVP(終値!Q198:AJ198)/AVERAGE(終値!Q198:AJ198),""))</f>
        <v>0.15477684762427968</v>
      </c>
      <c r="O198" s="503">
        <f>IF(終値!A198="","",IFERROR(4*STDEVP(終値!R198:AK198)/AVERAGE(終値!R198:AK198),""))</f>
        <v>0.1547425817599431</v>
      </c>
      <c r="P198" s="503">
        <f>IF(終値!A198="","",IFERROR(4*STDEVP(終値!S198:AL198)/AVERAGE(終値!S198:AL198),""))</f>
        <v>0.15535937156708945</v>
      </c>
      <c r="Q198" s="503">
        <f>IF(終値!A198="","",IFERROR(4*STDEVP(終値!T198:AM198)/AVERAGE(終値!T198:AM198),""))</f>
        <v>0.15342965894944233</v>
      </c>
      <c r="R198" s="503">
        <f>IF(終値!A198="","",IFERROR(4*STDEVP(終値!U198:AN198)/AVERAGE(終値!U198:AN198),""))</f>
        <v>0.16657193748057963</v>
      </c>
      <c r="S198" s="503">
        <f>IF(終値!A198="","",IFERROR(4*STDEVP(終値!V198:AO198)/AVERAGE(終値!V198:AO198),""))</f>
        <v>0.20288625295658183</v>
      </c>
      <c r="T198" s="503">
        <f>IF(終値!A198="","",IFERROR(4*STDEVP(終値!W198:AP198)/AVERAGE(終値!W198:AP198),""))</f>
        <v>0.23430163134519921</v>
      </c>
      <c r="U198" s="503">
        <f>IF(終値!A198="","",IFERROR(4*STDEVP(終値!X198:AQ198)/AVERAGE(終値!X198:AQ198),""))</f>
        <v>0.31646852738790798</v>
      </c>
      <c r="V198" s="503">
        <f>IF(終値!A198="","",IFERROR(4*STDEVP(終値!Y198:AR198)/AVERAGE(終値!Y198:AR198),""))</f>
        <v>0.35266817443000742</v>
      </c>
      <c r="W198" s="503">
        <f>IF(終値!A198="","",IFERROR(4*STDEVP(終値!Z198:AS198)/AVERAGE(終値!Z198:AS198),""))</f>
        <v>0.36520683631868633</v>
      </c>
      <c r="X198" s="503">
        <f>IF(終値!A198="","",IFERROR(4*STDEVP(終値!AA198:AT198)/AVERAGE(終値!AA198:AT198),""))</f>
        <v>0.38586186801992839</v>
      </c>
      <c r="Y198" s="503">
        <f>IF(終値!A198="","",IFERROR(4*STDEVP(終値!AB198:AU198)/AVERAGE(終値!AB198:AU198),""))</f>
        <v>0.42506070081816205</v>
      </c>
      <c r="Z198" s="503">
        <f>IF(終値!A198="","",IFERROR(4*STDEVP(終値!AC198:AV198)/AVERAGE(終値!AC198:AV198),""))</f>
        <v>0.4649641432160907</v>
      </c>
      <c r="AA198" s="503">
        <f>IF(終値!A198="","",IFERROR(4*STDEVP(終値!AD198:AW198)/AVERAGE(終値!AD198:AW198),""))</f>
        <v>0.50131331827224379</v>
      </c>
      <c r="AB198" s="503">
        <f>IF(終値!A198="","",IFERROR(4*STDEVP(終値!AE198:AX198)/AVERAGE(終値!AE198:AX198),""))</f>
        <v>0.53226056262450605</v>
      </c>
      <c r="AC198" s="503">
        <f>IF(終値!A198="","",IFERROR(4*STDEVP(終値!AF198:AY198)/AVERAGE(終値!AF198:AY198),""))</f>
        <v>0.550152789749491</v>
      </c>
      <c r="AD198" s="503">
        <f>IF(終値!A198="","",IFERROR(4*STDEVP(終値!AG198:AZ198)/AVERAGE(終値!AG198:AZ198),""))</f>
        <v>0.58573993582628658</v>
      </c>
      <c r="AE198" s="503">
        <f>IF(終値!A198="","",IFERROR(4*STDEVP(終値!AH198:BA198)/AVERAGE(終値!AH198:BA198),""))</f>
        <v>0.61131420393225544</v>
      </c>
      <c r="AF198" s="503">
        <f>IF(終値!A198="","",IFERROR(4*STDEVP(終値!AI198:BB198)/AVERAGE(終値!AI198:BB198),""))</f>
        <v>0.61880447559700924</v>
      </c>
      <c r="AG198" s="503">
        <f>IF(終値!A198="","",IFERROR(4*STDEVP(終値!AJ198:BC198)/AVERAGE(終値!AJ198:BC198),""))</f>
        <v>0.61727703100605646</v>
      </c>
      <c r="AH198" s="503">
        <f>IF(終値!A198="","",IFERROR(4*STDEVP(終値!AK198:BD198)/AVERAGE(終値!AK198:BD198),""))</f>
        <v>0.58537078028115008</v>
      </c>
      <c r="AI198" s="503">
        <f>IF(終値!A198="","",IFERROR(4*STDEVP(終値!AL198:BE198)/AVERAGE(終値!AL198:BE198),""))</f>
        <v>0.55432299748269376</v>
      </c>
      <c r="AJ198" s="503">
        <f>IF(終値!A198="","",IFERROR(4*STDEVP(終値!AM198:BF198)/AVERAGE(終値!AM198:BF198),""))</f>
        <v>0.51698085819833239</v>
      </c>
      <c r="AK198" s="503">
        <f>IF(終値!A198="","",IFERROR(4*STDEVP(終値!AN198:BG198)/AVERAGE(終値!AN198:BG198),""))</f>
        <v>0.44327107200820398</v>
      </c>
      <c r="AL198" s="503">
        <f>IF(終値!A198="","",IFERROR(4*STDEVP(終値!AO198:BH198)/AVERAGE(終値!AO198:BH198),""))</f>
        <v>0.38663399915774382</v>
      </c>
      <c r="AM198" s="503">
        <f>IF(終値!A198="","",IFERROR(4*STDEVP(終値!AP198:BI198)/AVERAGE(終値!AP198:BI198),""))</f>
        <v>0.35324199826343838</v>
      </c>
      <c r="AN198" s="503">
        <f>IF(終値!A198="","",IFERROR(4*STDEVP(終値!AQ198:BJ198)/AVERAGE(終値!AQ198:BJ198),""))</f>
        <v>0.32236633634860656</v>
      </c>
      <c r="AO198" s="503">
        <f>IF(終値!A198="","",IFERROR(4*STDEVP(終値!AR198:BK198)/AVERAGE(終値!AR198:BK198),""))</f>
        <v>0.32096667368728665</v>
      </c>
      <c r="AP198" s="503">
        <f>IF(終値!A198="","",IFERROR(4*STDEVP(終値!AS198:BL198)/AVERAGE(終値!AS198:BL198),""))</f>
        <v>0.31037189374983626</v>
      </c>
    </row>
    <row r="199" spans="1:42">
      <c r="A199" s="500" t="str">
        <f>IF(終値!A199="","",終値!A199)</f>
        <v>6920</v>
      </c>
      <c r="B199" s="503">
        <f>IF(終値!A199="","",IFERROR(4*STDEVP(終値!E199:X199)/AVERAGE(終値!E199:X199),""))</f>
        <v>0.36359571710130312</v>
      </c>
      <c r="C199" s="503">
        <f>IF(終値!A199="","",IFERROR(4*STDEVP(終値!F199:Y199)/AVERAGE(終値!F199:Y199),""))</f>
        <v>0.37650121292858135</v>
      </c>
      <c r="D199" s="503">
        <f>IF(終値!A199="","",IFERROR(4*STDEVP(終値!G199:Z199)/AVERAGE(終値!G199:Z199),""))</f>
        <v>0.38591857565966853</v>
      </c>
      <c r="E199" s="503">
        <f>IF(終値!A199="","",IFERROR(4*STDEVP(終値!H199:AA199)/AVERAGE(終値!H199:AA199),""))</f>
        <v>0.39589817575545622</v>
      </c>
      <c r="F199" s="503">
        <f>IF(終値!A199="","",IFERROR(4*STDEVP(終値!I199:AB199)/AVERAGE(終値!I199:AB199),""))</f>
        <v>0.34801221704610719</v>
      </c>
      <c r="G199" s="503">
        <f>IF(終値!A199="","",IFERROR(4*STDEVP(終値!J199:AC199)/AVERAGE(終値!J199:AC199),""))</f>
        <v>0.28722963901633924</v>
      </c>
      <c r="H199" s="503">
        <f>IF(終値!A199="","",IFERROR(4*STDEVP(終値!K199:AD199)/AVERAGE(終値!K199:AD199),""))</f>
        <v>0.25294087494024242</v>
      </c>
      <c r="I199" s="503">
        <f>IF(終値!A199="","",IFERROR(4*STDEVP(終値!L199:AE199)/AVERAGE(終値!L199:AE199),""))</f>
        <v>0.28279514826035701</v>
      </c>
      <c r="J199" s="503">
        <f>IF(終値!A199="","",IFERROR(4*STDEVP(終値!M199:AF199)/AVERAGE(終値!M199:AF199),""))</f>
        <v>0.28534561448008039</v>
      </c>
      <c r="K199" s="503">
        <f>IF(終値!A199="","",IFERROR(4*STDEVP(終値!N199:AG199)/AVERAGE(終値!N199:AG199),""))</f>
        <v>0.29880860554451449</v>
      </c>
      <c r="L199" s="503">
        <f>IF(終値!A199="","",IFERROR(4*STDEVP(終値!O199:AH199)/AVERAGE(終値!O199:AH199),""))</f>
        <v>0.34172470145262485</v>
      </c>
      <c r="M199" s="503">
        <f>IF(終値!A199="","",IFERROR(4*STDEVP(終値!P199:AI199)/AVERAGE(終値!P199:AI199),""))</f>
        <v>0.34884081739260792</v>
      </c>
      <c r="N199" s="503">
        <f>IF(終値!A199="","",IFERROR(4*STDEVP(終値!Q199:AJ199)/AVERAGE(終値!Q199:AJ199),""))</f>
        <v>0.35114346599887492</v>
      </c>
      <c r="O199" s="503">
        <f>IF(終値!A199="","",IFERROR(4*STDEVP(終値!R199:AK199)/AVERAGE(終値!R199:AK199),""))</f>
        <v>0.3560589083189582</v>
      </c>
      <c r="P199" s="503">
        <f>IF(終値!A199="","",IFERROR(4*STDEVP(終値!S199:AL199)/AVERAGE(終値!S199:AL199),""))</f>
        <v>0.35092345291756843</v>
      </c>
      <c r="Q199" s="503">
        <f>IF(終値!A199="","",IFERROR(4*STDEVP(終値!T199:AM199)/AVERAGE(終値!T199:AM199),""))</f>
        <v>0.34036064990523951</v>
      </c>
      <c r="R199" s="503">
        <f>IF(終値!A199="","",IFERROR(4*STDEVP(終値!U199:AN199)/AVERAGE(終値!U199:AN199),""))</f>
        <v>0.34238999854510038</v>
      </c>
      <c r="S199" s="503">
        <f>IF(終値!A199="","",IFERROR(4*STDEVP(終値!V199:AO199)/AVERAGE(終値!V199:AO199),""))</f>
        <v>0.36363656465826377</v>
      </c>
      <c r="T199" s="503">
        <f>IF(終値!A199="","",IFERROR(4*STDEVP(終値!W199:AP199)/AVERAGE(終値!W199:AP199),""))</f>
        <v>0.37367692844329825</v>
      </c>
      <c r="U199" s="503">
        <f>IF(終値!A199="","",IFERROR(4*STDEVP(終値!X199:AQ199)/AVERAGE(終値!X199:AQ199),""))</f>
        <v>0.40715613368324882</v>
      </c>
      <c r="V199" s="503">
        <f>IF(終値!A199="","",IFERROR(4*STDEVP(終値!Y199:AR199)/AVERAGE(終値!Y199:AR199),""))</f>
        <v>0.42566475699354261</v>
      </c>
      <c r="W199" s="503">
        <f>IF(終値!A199="","",IFERROR(4*STDEVP(終値!Z199:AS199)/AVERAGE(終値!Z199:AS199),""))</f>
        <v>0.44073814822549595</v>
      </c>
      <c r="X199" s="503">
        <f>IF(終値!A199="","",IFERROR(4*STDEVP(終値!AA199:AT199)/AVERAGE(終値!AA199:AT199),""))</f>
        <v>0.45959052987378984</v>
      </c>
      <c r="Y199" s="503">
        <f>IF(終値!A199="","",IFERROR(4*STDEVP(終値!AB199:AU199)/AVERAGE(終値!AB199:AU199),""))</f>
        <v>0.48935500925166892</v>
      </c>
      <c r="Z199" s="503">
        <f>IF(終値!A199="","",IFERROR(4*STDEVP(終値!AC199:AV199)/AVERAGE(終値!AC199:AV199),""))</f>
        <v>0.51086076383604517</v>
      </c>
      <c r="AA199" s="503">
        <f>IF(終値!A199="","",IFERROR(4*STDEVP(終値!AD199:AW199)/AVERAGE(終値!AD199:AW199),""))</f>
        <v>0.5299091753116586</v>
      </c>
      <c r="AB199" s="503">
        <f>IF(終値!A199="","",IFERROR(4*STDEVP(終値!AE199:AX199)/AVERAGE(終値!AE199:AX199),""))</f>
        <v>0.53861205914796539</v>
      </c>
      <c r="AC199" s="503">
        <f>IF(終値!A199="","",IFERROR(4*STDEVP(終値!AF199:AY199)/AVERAGE(終値!AF199:AY199),""))</f>
        <v>0.52900570290200777</v>
      </c>
      <c r="AD199" s="503">
        <f>IF(終値!A199="","",IFERROR(4*STDEVP(終値!AG199:AZ199)/AVERAGE(終値!AG199:AZ199),""))</f>
        <v>0.54553792761422881</v>
      </c>
      <c r="AE199" s="503">
        <f>IF(終値!A199="","",IFERROR(4*STDEVP(終値!AH199:BA199)/AVERAGE(終値!AH199:BA199),""))</f>
        <v>0.55096003684233563</v>
      </c>
      <c r="AF199" s="503">
        <f>IF(終値!A199="","",IFERROR(4*STDEVP(終値!AI199:BB199)/AVERAGE(終値!AI199:BB199),""))</f>
        <v>0.5176198546793096</v>
      </c>
      <c r="AG199" s="503">
        <f>IF(終値!A199="","",IFERROR(4*STDEVP(終値!AJ199:BC199)/AVERAGE(終値!AJ199:BC199),""))</f>
        <v>0.48266373676294272</v>
      </c>
      <c r="AH199" s="503">
        <f>IF(終値!A199="","",IFERROR(4*STDEVP(終値!AK199:BD199)/AVERAGE(終値!AK199:BD199),""))</f>
        <v>0.38806541228375008</v>
      </c>
      <c r="AI199" s="503">
        <f>IF(終値!A199="","",IFERROR(4*STDEVP(終値!AL199:BE199)/AVERAGE(終値!AL199:BE199),""))</f>
        <v>0.30642747779698953</v>
      </c>
      <c r="AJ199" s="503">
        <f>IF(終値!A199="","",IFERROR(4*STDEVP(終値!AM199:BF199)/AVERAGE(終値!AM199:BF199),""))</f>
        <v>0.2784870545964217</v>
      </c>
      <c r="AK199" s="503">
        <f>IF(終値!A199="","",IFERROR(4*STDEVP(終値!AN199:BG199)/AVERAGE(終値!AN199:BG199),""))</f>
        <v>0.22135623727811324</v>
      </c>
      <c r="AL199" s="503">
        <f>IF(終値!A199="","",IFERROR(4*STDEVP(終値!AO199:BH199)/AVERAGE(終値!AO199:BH199),""))</f>
        <v>0.21727776025184073</v>
      </c>
      <c r="AM199" s="503">
        <f>IF(終値!A199="","",IFERROR(4*STDEVP(終値!AP199:BI199)/AVERAGE(終値!AP199:BI199),""))</f>
        <v>0.2331321834657703</v>
      </c>
      <c r="AN199" s="503">
        <f>IF(終値!A199="","",IFERROR(4*STDEVP(終値!AQ199:BJ199)/AVERAGE(終値!AQ199:BJ199),""))</f>
        <v>0.24408957447328897</v>
      </c>
      <c r="AO199" s="503">
        <f>IF(終値!A199="","",IFERROR(4*STDEVP(終値!AR199:BK199)/AVERAGE(終値!AR199:BK199),""))</f>
        <v>0.25833908530581101</v>
      </c>
      <c r="AP199" s="503">
        <f>IF(終値!A199="","",IFERROR(4*STDEVP(終値!AS199:BL199)/AVERAGE(終値!AS199:BL199),""))</f>
        <v>0.26061715748069969</v>
      </c>
    </row>
    <row r="200" spans="1:42">
      <c r="A200" s="500" t="str">
        <f>IF(終値!A200="","",終値!A200)</f>
        <v>5801</v>
      </c>
      <c r="B200" s="503">
        <f>IF(終値!A200="","",IFERROR(4*STDEVP(終値!E200:X200)/AVERAGE(終値!E200:X200),""))</f>
        <v>0.34980856370064439</v>
      </c>
      <c r="C200" s="503">
        <f>IF(終値!A200="","",IFERROR(4*STDEVP(終値!F200:Y200)/AVERAGE(終値!F200:Y200),""))</f>
        <v>0.37754042534477872</v>
      </c>
      <c r="D200" s="503">
        <f>IF(終値!A200="","",IFERROR(4*STDEVP(終値!G200:Z200)/AVERAGE(終値!G200:Z200),""))</f>
        <v>0.39247745896644659</v>
      </c>
      <c r="E200" s="503">
        <f>IF(終値!A200="","",IFERROR(4*STDEVP(終値!H200:AA200)/AVERAGE(終値!H200:AA200),""))</f>
        <v>0.43358237114598103</v>
      </c>
      <c r="F200" s="503">
        <f>IF(終値!A200="","",IFERROR(4*STDEVP(終値!I200:AB200)/AVERAGE(終値!I200:AB200),""))</f>
        <v>0.46972057284827223</v>
      </c>
      <c r="G200" s="503">
        <f>IF(終値!A200="","",IFERROR(4*STDEVP(終値!J200:AC200)/AVERAGE(終値!J200:AC200),""))</f>
        <v>0.44468729630289056</v>
      </c>
      <c r="H200" s="503">
        <f>IF(終値!A200="","",IFERROR(4*STDEVP(終値!K200:AD200)/AVERAGE(終値!K200:AD200),""))</f>
        <v>0.44046662302048245</v>
      </c>
      <c r="I200" s="503">
        <f>IF(終値!A200="","",IFERROR(4*STDEVP(終値!L200:AE200)/AVERAGE(終値!L200:AE200),""))</f>
        <v>0.49230161466703404</v>
      </c>
      <c r="J200" s="503">
        <f>IF(終値!A200="","",IFERROR(4*STDEVP(終値!M200:AF200)/AVERAGE(終値!M200:AF200),""))</f>
        <v>0.51171958467058443</v>
      </c>
      <c r="K200" s="503">
        <f>IF(終値!A200="","",IFERROR(4*STDEVP(終値!N200:AG200)/AVERAGE(終値!N200:AG200),""))</f>
        <v>0.53399847736840311</v>
      </c>
      <c r="L200" s="503">
        <f>IF(終値!A200="","",IFERROR(4*STDEVP(終値!O200:AH200)/AVERAGE(終値!O200:AH200),""))</f>
        <v>0.63071501700312171</v>
      </c>
      <c r="M200" s="503">
        <f>IF(終値!A200="","",IFERROR(4*STDEVP(終値!P200:AI200)/AVERAGE(終値!P200:AI200),""))</f>
        <v>0.64485996607937301</v>
      </c>
      <c r="N200" s="503">
        <f>IF(終値!A200="","",IFERROR(4*STDEVP(終値!Q200:AJ200)/AVERAGE(終値!Q200:AJ200),""))</f>
        <v>0.60532267643279092</v>
      </c>
      <c r="O200" s="503">
        <f>IF(終値!A200="","",IFERROR(4*STDEVP(終値!R200:AK200)/AVERAGE(終値!R200:AK200),""))</f>
        <v>0.59463424057840464</v>
      </c>
      <c r="P200" s="503">
        <f>IF(終値!A200="","",IFERROR(4*STDEVP(終値!S200:AL200)/AVERAGE(終値!S200:AL200),""))</f>
        <v>0.5639250091695478</v>
      </c>
      <c r="Q200" s="503">
        <f>IF(終値!A200="","",IFERROR(4*STDEVP(終値!T200:AM200)/AVERAGE(終値!T200:AM200),""))</f>
        <v>0.53365822109736771</v>
      </c>
      <c r="R200" s="503">
        <f>IF(終値!A200="","",IFERROR(4*STDEVP(終値!U200:AN200)/AVERAGE(終値!U200:AN200),""))</f>
        <v>0.51299766385332157</v>
      </c>
      <c r="S200" s="503">
        <f>IF(終値!A200="","",IFERROR(4*STDEVP(終値!V200:AO200)/AVERAGE(終値!V200:AO200),""))</f>
        <v>0.48169235548898659</v>
      </c>
      <c r="T200" s="503">
        <f>IF(終値!A200="","",IFERROR(4*STDEVP(終値!W200:AP200)/AVERAGE(終値!W200:AP200),""))</f>
        <v>0.44648589719817106</v>
      </c>
      <c r="U200" s="503">
        <f>IF(終値!A200="","",IFERROR(4*STDEVP(終値!X200:AQ200)/AVERAGE(終値!X200:AQ200),""))</f>
        <v>0.40905587638752194</v>
      </c>
      <c r="V200" s="503">
        <f>IF(終値!A200="","",IFERROR(4*STDEVP(終値!Y200:AR200)/AVERAGE(終値!Y200:AR200),""))</f>
        <v>0.3870260545125217</v>
      </c>
      <c r="W200" s="503">
        <f>IF(終値!A200="","",IFERROR(4*STDEVP(終値!Z200:AS200)/AVERAGE(終値!Z200:AS200),""))</f>
        <v>0.37429020542014868</v>
      </c>
      <c r="X200" s="503">
        <f>IF(終値!A200="","",IFERROR(4*STDEVP(終値!AA200:AT200)/AVERAGE(終値!AA200:AT200),""))</f>
        <v>0.3627072249136003</v>
      </c>
      <c r="Y200" s="503">
        <f>IF(終値!A200="","",IFERROR(4*STDEVP(終値!AB200:AU200)/AVERAGE(終値!AB200:AU200),""))</f>
        <v>0.35828540961124744</v>
      </c>
      <c r="Z200" s="503">
        <f>IF(終値!A200="","",IFERROR(4*STDEVP(終値!AC200:AV200)/AVERAGE(終値!AC200:AV200),""))</f>
        <v>0.36546562127202276</v>
      </c>
      <c r="AA200" s="503">
        <f>IF(終値!A200="","",IFERROR(4*STDEVP(終値!AD200:AW200)/AVERAGE(終値!AD200:AW200),""))</f>
        <v>0.36284977296970317</v>
      </c>
      <c r="AB200" s="503">
        <f>IF(終値!A200="","",IFERROR(4*STDEVP(終値!AE200:AX200)/AVERAGE(終値!AE200:AX200),""))</f>
        <v>0.3802984999892231</v>
      </c>
      <c r="AC200" s="503">
        <f>IF(終値!A200="","",IFERROR(4*STDEVP(終値!AF200:AY200)/AVERAGE(終値!AF200:AY200),""))</f>
        <v>0.41142403832814478</v>
      </c>
      <c r="AD200" s="503">
        <f>IF(終値!A200="","",IFERROR(4*STDEVP(終値!AG200:AZ200)/AVERAGE(終値!AG200:AZ200),""))</f>
        <v>0.41579425357449912</v>
      </c>
      <c r="AE200" s="503">
        <f>IF(終値!A200="","",IFERROR(4*STDEVP(終値!AH200:BA200)/AVERAGE(終値!AH200:BA200),""))</f>
        <v>0.41560148050055279</v>
      </c>
      <c r="AF200" s="503">
        <f>IF(終値!A200="","",IFERROR(4*STDEVP(終値!AI200:BB200)/AVERAGE(終値!AI200:BB200),""))</f>
        <v>0.38860390885332069</v>
      </c>
      <c r="AG200" s="503">
        <f>IF(終値!A200="","",IFERROR(4*STDEVP(終値!AJ200:BC200)/AVERAGE(終値!AJ200:BC200),""))</f>
        <v>0.38244736640411309</v>
      </c>
      <c r="AH200" s="503">
        <f>IF(終値!A200="","",IFERROR(4*STDEVP(終値!AK200:BD200)/AVERAGE(終値!AK200:BD200),""))</f>
        <v>0.38937957064022055</v>
      </c>
      <c r="AI200" s="503">
        <f>IF(終値!A200="","",IFERROR(4*STDEVP(終値!AL200:BE200)/AVERAGE(終値!AL200:BE200),""))</f>
        <v>0.39468558501287382</v>
      </c>
      <c r="AJ200" s="503">
        <f>IF(終値!A200="","",IFERROR(4*STDEVP(終値!AM200:BF200)/AVERAGE(終値!AM200:BF200),""))</f>
        <v>0.40484630932862314</v>
      </c>
      <c r="AK200" s="503">
        <f>IF(終値!A200="","",IFERROR(4*STDEVP(終値!AN200:BG200)/AVERAGE(終値!AN200:BG200),""))</f>
        <v>0.4034520494485585</v>
      </c>
      <c r="AL200" s="503">
        <f>IF(終値!A200="","",IFERROR(4*STDEVP(終値!AO200:BH200)/AVERAGE(終値!AO200:BH200),""))</f>
        <v>0.36757089074207172</v>
      </c>
      <c r="AM200" s="503">
        <f>IF(終値!A200="","",IFERROR(4*STDEVP(終値!AP200:BI200)/AVERAGE(終値!AP200:BI200),""))</f>
        <v>0.34559585802945963</v>
      </c>
      <c r="AN200" s="503">
        <f>IF(終値!A200="","",IFERROR(4*STDEVP(終値!AQ200:BJ200)/AVERAGE(終値!AQ200:BJ200),""))</f>
        <v>0.31407024439959952</v>
      </c>
      <c r="AO200" s="503">
        <f>IF(終値!A200="","",IFERROR(4*STDEVP(終値!AR200:BK200)/AVERAGE(終値!AR200:BK200),""))</f>
        <v>0.30776854461058312</v>
      </c>
      <c r="AP200" s="503">
        <f>IF(終値!A200="","",IFERROR(4*STDEVP(終値!AS200:BL200)/AVERAGE(終値!AS200:BL200),""))</f>
        <v>0.3564484065761091</v>
      </c>
    </row>
    <row r="201" spans="1:42">
      <c r="A201" s="500" t="str">
        <f>IF(終値!A201="","",終値!A201)</f>
        <v>6506</v>
      </c>
      <c r="B201" s="503">
        <f>IF(終値!A201="","",IFERROR(4*STDEVP(終値!E201:X201)/AVERAGE(終値!E201:X201),""))</f>
        <v>0.61448367465530018</v>
      </c>
      <c r="C201" s="503">
        <f>IF(終値!A201="","",IFERROR(4*STDEVP(終値!F201:Y201)/AVERAGE(終値!F201:Y201),""))</f>
        <v>0.66236806517753533</v>
      </c>
      <c r="D201" s="503">
        <f>IF(終値!A201="","",IFERROR(4*STDEVP(終値!G201:Z201)/AVERAGE(終値!G201:Z201),""))</f>
        <v>0.6644312388882837</v>
      </c>
      <c r="E201" s="503">
        <f>IF(終値!A201="","",IFERROR(4*STDEVP(終値!H201:AA201)/AVERAGE(終値!H201:AA201),""))</f>
        <v>0.66939193576136158</v>
      </c>
      <c r="F201" s="503">
        <f>IF(終値!A201="","",IFERROR(4*STDEVP(終値!I201:AB201)/AVERAGE(終値!I201:AB201),""))</f>
        <v>0.63882327819518014</v>
      </c>
      <c r="G201" s="503">
        <f>IF(終値!A201="","",IFERROR(4*STDEVP(終値!J201:AC201)/AVERAGE(終値!J201:AC201),""))</f>
        <v>0.60055211858138402</v>
      </c>
      <c r="H201" s="503">
        <f>IF(終値!A201="","",IFERROR(4*STDEVP(終値!K201:AD201)/AVERAGE(終値!K201:AD201),""))</f>
        <v>0.55938574848826428</v>
      </c>
      <c r="I201" s="503">
        <f>IF(終値!A201="","",IFERROR(4*STDEVP(終値!L201:AE201)/AVERAGE(終値!L201:AE201),""))</f>
        <v>0.54552378927963785</v>
      </c>
      <c r="J201" s="503">
        <f>IF(終値!A201="","",IFERROR(4*STDEVP(終値!M201:AF201)/AVERAGE(終値!M201:AF201),""))</f>
        <v>0.51465494464870776</v>
      </c>
      <c r="K201" s="503">
        <f>IF(終値!A201="","",IFERROR(4*STDEVP(終値!N201:AG201)/AVERAGE(終値!N201:AG201),""))</f>
        <v>0.48976973439705762</v>
      </c>
      <c r="L201" s="503">
        <f>IF(終値!A201="","",IFERROR(4*STDEVP(終値!O201:AH201)/AVERAGE(終値!O201:AH201),""))</f>
        <v>0.46422951434435</v>
      </c>
      <c r="M201" s="503">
        <f>IF(終値!A201="","",IFERROR(4*STDEVP(終値!P201:AI201)/AVERAGE(終値!P201:AI201),""))</f>
        <v>0.40879077661459284</v>
      </c>
      <c r="N201" s="503">
        <f>IF(終値!A201="","",IFERROR(4*STDEVP(終値!Q201:AJ201)/AVERAGE(終値!Q201:AJ201),""))</f>
        <v>0.33988854316295009</v>
      </c>
      <c r="O201" s="503">
        <f>IF(終値!A201="","",IFERROR(4*STDEVP(終値!R201:AK201)/AVERAGE(終値!R201:AK201),""))</f>
        <v>0.28185526039387465</v>
      </c>
      <c r="P201" s="503">
        <f>IF(終値!A201="","",IFERROR(4*STDEVP(終値!S201:AL201)/AVERAGE(終値!S201:AL201),""))</f>
        <v>0.19727313681809522</v>
      </c>
      <c r="Q201" s="503">
        <f>IF(終値!A201="","",IFERROR(4*STDEVP(終値!T201:AM201)/AVERAGE(終値!T201:AM201),""))</f>
        <v>0.14996913565999168</v>
      </c>
      <c r="R201" s="503">
        <f>IF(終値!A201="","",IFERROR(4*STDEVP(終値!U201:AN201)/AVERAGE(終値!U201:AN201),""))</f>
        <v>0.17554299762620076</v>
      </c>
      <c r="S201" s="503">
        <f>IF(終値!A201="","",IFERROR(4*STDEVP(終値!V201:AO201)/AVERAGE(終値!V201:AO201),""))</f>
        <v>0.21624690090166368</v>
      </c>
      <c r="T201" s="503">
        <f>IF(終値!A201="","",IFERROR(4*STDEVP(終値!W201:AP201)/AVERAGE(終値!W201:AP201),""))</f>
        <v>0.2477892492803549</v>
      </c>
      <c r="U201" s="503">
        <f>IF(終値!A201="","",IFERROR(4*STDEVP(終値!X201:AQ201)/AVERAGE(終値!X201:AQ201),""))</f>
        <v>0.2575259500510918</v>
      </c>
      <c r="V201" s="503">
        <f>IF(終値!A201="","",IFERROR(4*STDEVP(終値!Y201:AR201)/AVERAGE(終値!Y201:AR201),""))</f>
        <v>0.24951990933897356</v>
      </c>
      <c r="W201" s="503">
        <f>IF(終値!A201="","",IFERROR(4*STDEVP(終値!Z201:AS201)/AVERAGE(終値!Z201:AS201),""))</f>
        <v>0.23869403496088731</v>
      </c>
      <c r="X201" s="503">
        <f>IF(終値!A201="","",IFERROR(4*STDEVP(終値!AA201:AT201)/AVERAGE(終値!AA201:AT201),""))</f>
        <v>0.24073281129303561</v>
      </c>
      <c r="Y201" s="503">
        <f>IF(終値!A201="","",IFERROR(4*STDEVP(終値!AB201:AU201)/AVERAGE(終値!AB201:AU201),""))</f>
        <v>0.23761348918324915</v>
      </c>
      <c r="Z201" s="503">
        <f>IF(終値!A201="","",IFERROR(4*STDEVP(終値!AC201:AV201)/AVERAGE(終値!AC201:AV201),""))</f>
        <v>0.2406091963704472</v>
      </c>
      <c r="AA201" s="503">
        <f>IF(終値!A201="","",IFERROR(4*STDEVP(終値!AD201:AW201)/AVERAGE(終値!AD201:AW201),""))</f>
        <v>0.24263422884619498</v>
      </c>
      <c r="AB201" s="503">
        <f>IF(終値!A201="","",IFERROR(4*STDEVP(終値!AE201:AX201)/AVERAGE(終値!AE201:AX201),""))</f>
        <v>0.24364964623385277</v>
      </c>
      <c r="AC201" s="503">
        <f>IF(終値!A201="","",IFERROR(4*STDEVP(終値!AF201:AY201)/AVERAGE(終値!AF201:AY201),""))</f>
        <v>0.25115287588266527</v>
      </c>
      <c r="AD201" s="503">
        <f>IF(終値!A201="","",IFERROR(4*STDEVP(終値!AG201:AZ201)/AVERAGE(終値!AG201:AZ201),""))</f>
        <v>0.25098694832068247</v>
      </c>
      <c r="AE201" s="503">
        <f>IF(終値!A201="","",IFERROR(4*STDEVP(終値!AH201:BA201)/AVERAGE(終値!AH201:BA201),""))</f>
        <v>0.25073653637312948</v>
      </c>
      <c r="AF201" s="503">
        <f>IF(終値!A201="","",IFERROR(4*STDEVP(終値!AI201:BB201)/AVERAGE(終値!AI201:BB201),""))</f>
        <v>0.25097652890536831</v>
      </c>
      <c r="AG201" s="503">
        <f>IF(終値!A201="","",IFERROR(4*STDEVP(終値!AJ201:BC201)/AVERAGE(終値!AJ201:BC201),""))</f>
        <v>0.25508984283073816</v>
      </c>
      <c r="AH201" s="503">
        <f>IF(終値!A201="","",IFERROR(4*STDEVP(終値!AK201:BD201)/AVERAGE(終値!AK201:BD201),""))</f>
        <v>0.24737030753599648</v>
      </c>
      <c r="AI201" s="503">
        <f>IF(終値!A201="","",IFERROR(4*STDEVP(終値!AL201:BE201)/AVERAGE(終値!AL201:BE201),""))</f>
        <v>0.24627720572486067</v>
      </c>
      <c r="AJ201" s="503">
        <f>IF(終値!A201="","",IFERROR(4*STDEVP(終値!AM201:BF201)/AVERAGE(終値!AM201:BF201),""))</f>
        <v>0.24817722102341053</v>
      </c>
      <c r="AK201" s="503">
        <f>IF(終値!A201="","",IFERROR(4*STDEVP(終値!AN201:BG201)/AVERAGE(終値!AN201:BG201),""))</f>
        <v>0.24920845731169161</v>
      </c>
      <c r="AL201" s="503">
        <f>IF(終値!A201="","",IFERROR(4*STDEVP(終値!AO201:BH201)/AVERAGE(終値!AO201:BH201),""))</f>
        <v>0.24273733823570987</v>
      </c>
      <c r="AM201" s="503">
        <f>IF(終値!A201="","",IFERROR(4*STDEVP(終値!AP201:BI201)/AVERAGE(終値!AP201:BI201),""))</f>
        <v>0.22073411063800133</v>
      </c>
      <c r="AN201" s="503">
        <f>IF(終値!A201="","",IFERROR(4*STDEVP(終値!AQ201:BJ201)/AVERAGE(終値!AQ201:BJ201),""))</f>
        <v>0.20015141929292932</v>
      </c>
      <c r="AO201" s="503">
        <f>IF(終値!A201="","",IFERROR(4*STDEVP(終値!AR201:BK201)/AVERAGE(終値!AR201:BK201),""))</f>
        <v>0.22369505503752965</v>
      </c>
      <c r="AP201" s="503">
        <f>IF(終値!A201="","",IFERROR(4*STDEVP(終値!AS201:BL201)/AVERAGE(終値!AS201:BL201),""))</f>
        <v>0.28048125142694597</v>
      </c>
    </row>
    <row r="202" spans="1:42">
      <c r="A202" s="500" t="str">
        <f>IF(終値!A202="","",終値!A202)</f>
        <v>2768</v>
      </c>
      <c r="B202" s="503">
        <f>IF(終値!A202="","",IFERROR(4*STDEVP(終値!E202:X202)/AVERAGE(終値!E202:X202),""))</f>
        <v>9.3188630554090157E-2</v>
      </c>
      <c r="C202" s="503">
        <f>IF(終値!A202="","",IFERROR(4*STDEVP(終値!F202:Y202)/AVERAGE(終値!F202:Y202),""))</f>
        <v>9.3247666394289858E-2</v>
      </c>
      <c r="D202" s="503">
        <f>IF(終値!A202="","",IFERROR(4*STDEVP(終値!G202:Z202)/AVERAGE(終値!G202:Z202),""))</f>
        <v>9.2972343870528537E-2</v>
      </c>
      <c r="E202" s="503">
        <f>IF(終値!A202="","",IFERROR(4*STDEVP(終値!H202:AA202)/AVERAGE(終値!H202:AA202),""))</f>
        <v>9.2458292372980394E-2</v>
      </c>
      <c r="F202" s="503">
        <f>IF(終値!A202="","",IFERROR(4*STDEVP(終値!I202:AB202)/AVERAGE(終値!I202:AB202),""))</f>
        <v>9.2165362762686442E-2</v>
      </c>
      <c r="G202" s="503">
        <f>IF(終値!A202="","",IFERROR(4*STDEVP(終値!J202:AC202)/AVERAGE(終値!J202:AC202),""))</f>
        <v>9.0868680827137699E-2</v>
      </c>
      <c r="H202" s="503">
        <f>IF(終値!A202="","",IFERROR(4*STDEVP(終値!K202:AD202)/AVERAGE(終値!K202:AD202),""))</f>
        <v>8.8886176073773873E-2</v>
      </c>
      <c r="I202" s="503">
        <f>IF(終値!A202="","",IFERROR(4*STDEVP(終値!L202:AE202)/AVERAGE(終値!L202:AE202),""))</f>
        <v>8.1093065573707532E-2</v>
      </c>
      <c r="J202" s="503">
        <f>IF(終値!A202="","",IFERROR(4*STDEVP(終値!M202:AF202)/AVERAGE(終値!M202:AF202),""))</f>
        <v>7.6084212244361807E-2</v>
      </c>
      <c r="K202" s="503">
        <f>IF(終値!A202="","",IFERROR(4*STDEVP(終値!N202:AG202)/AVERAGE(終値!N202:AG202),""))</f>
        <v>6.1709327142356156E-2</v>
      </c>
      <c r="L202" s="503">
        <f>IF(終値!A202="","",IFERROR(4*STDEVP(終値!O202:AH202)/AVERAGE(終値!O202:AH202),""))</f>
        <v>5.4985879470879739E-2</v>
      </c>
      <c r="M202" s="503">
        <f>IF(終値!A202="","",IFERROR(4*STDEVP(終値!P202:AI202)/AVERAGE(終値!P202:AI202),""))</f>
        <v>5.5935978799013679E-2</v>
      </c>
      <c r="N202" s="503">
        <f>IF(終値!A202="","",IFERROR(4*STDEVP(終値!Q202:AJ202)/AVERAGE(終値!Q202:AJ202),""))</f>
        <v>5.6876458456195107E-2</v>
      </c>
      <c r="O202" s="503">
        <f>IF(終値!A202="","",IFERROR(4*STDEVP(終値!R202:AK202)/AVERAGE(終値!R202:AK202),""))</f>
        <v>5.8560949439045933E-2</v>
      </c>
      <c r="P202" s="503">
        <f>IF(終値!A202="","",IFERROR(4*STDEVP(終値!S202:AL202)/AVERAGE(終値!S202:AL202),""))</f>
        <v>5.72411684083836E-2</v>
      </c>
      <c r="Q202" s="503">
        <f>IF(終値!A202="","",IFERROR(4*STDEVP(終値!T202:AM202)/AVERAGE(終値!T202:AM202),""))</f>
        <v>5.0650679899827612E-2</v>
      </c>
      <c r="R202" s="503">
        <f>IF(終値!A202="","",IFERROR(4*STDEVP(終値!U202:AN202)/AVERAGE(終値!U202:AN202),""))</f>
        <v>5.2233511146307511E-2</v>
      </c>
      <c r="S202" s="503">
        <f>IF(終値!A202="","",IFERROR(4*STDEVP(終値!V202:AO202)/AVERAGE(終値!V202:AO202),""))</f>
        <v>6.1219612760490212E-2</v>
      </c>
      <c r="T202" s="503">
        <f>IF(終値!A202="","",IFERROR(4*STDEVP(終値!W202:AP202)/AVERAGE(終値!W202:AP202),""))</f>
        <v>6.5522163427277513E-2</v>
      </c>
      <c r="U202" s="503">
        <f>IF(終値!A202="","",IFERROR(4*STDEVP(終値!X202:AQ202)/AVERAGE(終値!X202:AQ202),""))</f>
        <v>6.9158928959998006E-2</v>
      </c>
      <c r="V202" s="503">
        <f>IF(終値!A202="","",IFERROR(4*STDEVP(終値!Y202:AR202)/AVERAGE(終値!Y202:AR202),""))</f>
        <v>6.6632699221344349E-2</v>
      </c>
      <c r="W202" s="503">
        <f>IF(終値!A202="","",IFERROR(4*STDEVP(終値!Z202:AS202)/AVERAGE(終値!Z202:AS202),""))</f>
        <v>6.7238796565787962E-2</v>
      </c>
      <c r="X202" s="503">
        <f>IF(終値!A202="","",IFERROR(4*STDEVP(終値!AA202:AT202)/AVERAGE(終値!AA202:AT202),""))</f>
        <v>6.7787486975122005E-2</v>
      </c>
      <c r="Y202" s="503">
        <f>IF(終値!A202="","",IFERROR(4*STDEVP(終値!AB202:AU202)/AVERAGE(終値!AB202:AU202),""))</f>
        <v>6.885515184490737E-2</v>
      </c>
      <c r="Z202" s="503">
        <f>IF(終値!A202="","",IFERROR(4*STDEVP(終値!AC202:AV202)/AVERAGE(終値!AC202:AV202),""))</f>
        <v>7.5275676993433613E-2</v>
      </c>
      <c r="AA202" s="503">
        <f>IF(終値!A202="","",IFERROR(4*STDEVP(終値!AD202:AW202)/AVERAGE(終値!AD202:AW202),""))</f>
        <v>8.3170133856718634E-2</v>
      </c>
      <c r="AB202" s="503">
        <f>IF(終値!A202="","",IFERROR(4*STDEVP(終値!AE202:AX202)/AVERAGE(終値!AE202:AX202),""))</f>
        <v>9.5412657257370873E-2</v>
      </c>
      <c r="AC202" s="503">
        <f>IF(終値!A202="","",IFERROR(4*STDEVP(終値!AF202:AY202)/AVERAGE(終値!AF202:AY202),""))</f>
        <v>0.11221545494587767</v>
      </c>
      <c r="AD202" s="503">
        <f>IF(終値!A202="","",IFERROR(4*STDEVP(終値!AG202:AZ202)/AVERAGE(終値!AG202:AZ202),""))</f>
        <v>0.12137772524581011</v>
      </c>
      <c r="AE202" s="503">
        <f>IF(終値!A202="","",IFERROR(4*STDEVP(終値!AH202:BA202)/AVERAGE(終値!AH202:BA202),""))</f>
        <v>0.12913595176013953</v>
      </c>
      <c r="AF202" s="503">
        <f>IF(終値!A202="","",IFERROR(4*STDEVP(終値!AI202:BB202)/AVERAGE(終値!AI202:BB202),""))</f>
        <v>0.13491709749568292</v>
      </c>
      <c r="AG202" s="503">
        <f>IF(終値!A202="","",IFERROR(4*STDEVP(終値!AJ202:BC202)/AVERAGE(終値!AJ202:BC202),""))</f>
        <v>0.15001846457646867</v>
      </c>
      <c r="AH202" s="503">
        <f>IF(終値!A202="","",IFERROR(4*STDEVP(終値!AK202:BD202)/AVERAGE(終値!AK202:BD202),""))</f>
        <v>0.16151658055132928</v>
      </c>
      <c r="AI202" s="503">
        <f>IF(終値!A202="","",IFERROR(4*STDEVP(終値!AL202:BE202)/AVERAGE(終値!AL202:BE202),""))</f>
        <v>0.18536229926712047</v>
      </c>
      <c r="AJ202" s="503">
        <f>IF(終値!A202="","",IFERROR(4*STDEVP(終値!AM202:BF202)/AVERAGE(終値!AM202:BF202),""))</f>
        <v>0.20008025252824269</v>
      </c>
      <c r="AK202" s="503">
        <f>IF(終値!A202="","",IFERROR(4*STDEVP(終値!AN202:BG202)/AVERAGE(終値!AN202:BG202),""))</f>
        <v>0.21546895521105483</v>
      </c>
      <c r="AL202" s="503">
        <f>IF(終値!A202="","",IFERROR(4*STDEVP(終値!AO202:BH202)/AVERAGE(終値!AO202:BH202),""))</f>
        <v>0.21578481936158259</v>
      </c>
      <c r="AM202" s="503">
        <f>IF(終値!A202="","",IFERROR(4*STDEVP(終値!AP202:BI202)/AVERAGE(終値!AP202:BI202),""))</f>
        <v>0.20485572478164238</v>
      </c>
      <c r="AN202" s="503">
        <f>IF(終値!A202="","",IFERROR(4*STDEVP(終値!AQ202:BJ202)/AVERAGE(終値!AQ202:BJ202),""))</f>
        <v>0.19357129688862248</v>
      </c>
      <c r="AO202" s="503">
        <f>IF(終値!A202="","",IFERROR(4*STDEVP(終値!AR202:BK202)/AVERAGE(終値!AR202:BK202),""))</f>
        <v>0.18624592424623973</v>
      </c>
      <c r="AP202" s="503">
        <f>IF(終値!A202="","",IFERROR(4*STDEVP(終値!AS202:BL202)/AVERAGE(終値!AS202:BL202),""))</f>
        <v>0.19874026528835814</v>
      </c>
    </row>
    <row r="203" spans="1:42">
      <c r="A203" s="500" t="str">
        <f>IF(終値!A203="","",終値!A203)</f>
        <v>6305</v>
      </c>
      <c r="B203" s="503">
        <f>IF(終値!A203="","",IFERROR(4*STDEVP(終値!E203:X203)/AVERAGE(終値!E203:X203),""))</f>
        <v>0.11116337851098436</v>
      </c>
      <c r="C203" s="503">
        <f>IF(終値!A203="","",IFERROR(4*STDEVP(終値!F203:Y203)/AVERAGE(終値!F203:Y203),""))</f>
        <v>0.11088222316103875</v>
      </c>
      <c r="D203" s="503">
        <f>IF(終値!A203="","",IFERROR(4*STDEVP(終値!G203:Z203)/AVERAGE(終値!G203:Z203),""))</f>
        <v>0.11209764186948898</v>
      </c>
      <c r="E203" s="503">
        <f>IF(終値!A203="","",IFERROR(4*STDEVP(終値!H203:AA203)/AVERAGE(終値!H203:AA203),""))</f>
        <v>0.11428446791190733</v>
      </c>
      <c r="F203" s="503">
        <f>IF(終値!A203="","",IFERROR(4*STDEVP(終値!I203:AB203)/AVERAGE(終値!I203:AB203),""))</f>
        <v>0.10614843962150286</v>
      </c>
      <c r="G203" s="503">
        <f>IF(終値!A203="","",IFERROR(4*STDEVP(終値!J203:AC203)/AVERAGE(終値!J203:AC203),""))</f>
        <v>9.3894775113481863E-2</v>
      </c>
      <c r="H203" s="503">
        <f>IF(終値!A203="","",IFERROR(4*STDEVP(終値!K203:AD203)/AVERAGE(終値!K203:AD203),""))</f>
        <v>9.142839241838116E-2</v>
      </c>
      <c r="I203" s="503">
        <f>IF(終値!A203="","",IFERROR(4*STDEVP(終値!L203:AE203)/AVERAGE(終値!L203:AE203),""))</f>
        <v>6.3560077366504236E-2</v>
      </c>
      <c r="J203" s="503">
        <f>IF(終値!A203="","",IFERROR(4*STDEVP(終値!M203:AF203)/AVERAGE(終値!M203:AF203),""))</f>
        <v>6.2355603304204921E-2</v>
      </c>
      <c r="K203" s="503">
        <f>IF(終値!A203="","",IFERROR(4*STDEVP(終値!N203:AG203)/AVERAGE(終値!N203:AG203),""))</f>
        <v>5.8408963635370188E-2</v>
      </c>
      <c r="L203" s="503">
        <f>IF(終値!A203="","",IFERROR(4*STDEVP(終値!O203:AH203)/AVERAGE(終値!O203:AH203),""))</f>
        <v>6.2852794522686634E-2</v>
      </c>
      <c r="M203" s="503">
        <f>IF(終値!A203="","",IFERROR(4*STDEVP(終値!P203:AI203)/AVERAGE(終値!P203:AI203),""))</f>
        <v>6.4964867143863333E-2</v>
      </c>
      <c r="N203" s="503">
        <f>IF(終値!A203="","",IFERROR(4*STDEVP(終値!Q203:AJ203)/AVERAGE(終値!Q203:AJ203),""))</f>
        <v>6.1939367807954629E-2</v>
      </c>
      <c r="O203" s="503">
        <f>IF(終値!A203="","",IFERROR(4*STDEVP(終値!R203:AK203)/AVERAGE(終値!R203:AK203),""))</f>
        <v>6.3722625039542458E-2</v>
      </c>
      <c r="P203" s="503">
        <f>IF(終値!A203="","",IFERROR(4*STDEVP(終値!S203:AL203)/AVERAGE(終値!S203:AL203),""))</f>
        <v>6.4184213671268059E-2</v>
      </c>
      <c r="Q203" s="503">
        <f>IF(終値!A203="","",IFERROR(4*STDEVP(終値!T203:AM203)/AVERAGE(終値!T203:AM203),""))</f>
        <v>7.0071444653220696E-2</v>
      </c>
      <c r="R203" s="503">
        <f>IF(終値!A203="","",IFERROR(4*STDEVP(終値!U203:AN203)/AVERAGE(終値!U203:AN203),""))</f>
        <v>6.8512741313432476E-2</v>
      </c>
      <c r="S203" s="503">
        <f>IF(終値!A203="","",IFERROR(4*STDEVP(終値!V203:AO203)/AVERAGE(終値!V203:AO203),""))</f>
        <v>7.3273533495238172E-2</v>
      </c>
      <c r="T203" s="503">
        <f>IF(終値!A203="","",IFERROR(4*STDEVP(終値!W203:AP203)/AVERAGE(終値!W203:AP203),""))</f>
        <v>7.3877078388115705E-2</v>
      </c>
      <c r="U203" s="503">
        <f>IF(終値!A203="","",IFERROR(4*STDEVP(終値!X203:AQ203)/AVERAGE(終値!X203:AQ203),""))</f>
        <v>7.4492894457479975E-2</v>
      </c>
      <c r="V203" s="503">
        <f>IF(終値!A203="","",IFERROR(4*STDEVP(終値!Y203:AR203)/AVERAGE(終値!Y203:AR203),""))</f>
        <v>7.3003360526031583E-2</v>
      </c>
      <c r="W203" s="503">
        <f>IF(終値!A203="","",IFERROR(4*STDEVP(終値!Z203:AS203)/AVERAGE(終値!Z203:AS203),""))</f>
        <v>7.2925783203154043E-2</v>
      </c>
      <c r="X203" s="503">
        <f>IF(終値!A203="","",IFERROR(4*STDEVP(終値!AA203:AT203)/AVERAGE(終値!AA203:AT203),""))</f>
        <v>7.0207234730129561E-2</v>
      </c>
      <c r="Y203" s="503">
        <f>IF(終値!A203="","",IFERROR(4*STDEVP(終値!AB203:AU203)/AVERAGE(終値!AB203:AU203),""))</f>
        <v>7.8103335961348261E-2</v>
      </c>
      <c r="Z203" s="503">
        <f>IF(終値!A203="","",IFERROR(4*STDEVP(終値!AC203:AV203)/AVERAGE(終値!AC203:AV203),""))</f>
        <v>8.0168416070666076E-2</v>
      </c>
      <c r="AA203" s="503">
        <f>IF(終値!A203="","",IFERROR(4*STDEVP(終値!AD203:AW203)/AVERAGE(終値!AD203:AW203),""))</f>
        <v>8.1371111768448856E-2</v>
      </c>
      <c r="AB203" s="503">
        <f>IF(終値!A203="","",IFERROR(4*STDEVP(終値!AE203:AX203)/AVERAGE(終値!AE203:AX203),""))</f>
        <v>8.3131303232619885E-2</v>
      </c>
      <c r="AC203" s="503">
        <f>IF(終値!A203="","",IFERROR(4*STDEVP(終値!AF203:AY203)/AVERAGE(終値!AF203:AY203),""))</f>
        <v>9.4383829057807359E-2</v>
      </c>
      <c r="AD203" s="503">
        <f>IF(終値!A203="","",IFERROR(4*STDEVP(終値!AG203:AZ203)/AVERAGE(終値!AG203:AZ203),""))</f>
        <v>0.10889578197783714</v>
      </c>
      <c r="AE203" s="503">
        <f>IF(終値!A203="","",IFERROR(4*STDEVP(終値!AH203:BA203)/AVERAGE(終値!AH203:BA203),""))</f>
        <v>0.1200996901823336</v>
      </c>
      <c r="AF203" s="503">
        <f>IF(終値!A203="","",IFERROR(4*STDEVP(終値!AI203:BB203)/AVERAGE(終値!AI203:BB203),""))</f>
        <v>0.13225949688165617</v>
      </c>
      <c r="AG203" s="503">
        <f>IF(終値!A203="","",IFERROR(4*STDEVP(終値!AJ203:BC203)/AVERAGE(終値!AJ203:BC203),""))</f>
        <v>0.13349605816260907</v>
      </c>
      <c r="AH203" s="503">
        <f>IF(終値!A203="","",IFERROR(4*STDEVP(終値!AK203:BD203)/AVERAGE(終値!AK203:BD203),""))</f>
        <v>0.13213217814891406</v>
      </c>
      <c r="AI203" s="503">
        <f>IF(終値!A203="","",IFERROR(4*STDEVP(終値!AL203:BE203)/AVERAGE(終値!AL203:BE203),""))</f>
        <v>0.12750483216428773</v>
      </c>
      <c r="AJ203" s="503">
        <f>IF(終値!A203="","",IFERROR(4*STDEVP(終値!AM203:BF203)/AVERAGE(終値!AM203:BF203),""))</f>
        <v>0.12323896328617359</v>
      </c>
      <c r="AK203" s="503">
        <f>IF(終値!A203="","",IFERROR(4*STDEVP(終値!AN203:BG203)/AVERAGE(終値!AN203:BG203),""))</f>
        <v>0.10744133333925721</v>
      </c>
      <c r="AL203" s="503">
        <f>IF(終値!A203="","",IFERROR(4*STDEVP(終値!AO203:BH203)/AVERAGE(終値!AO203:BH203),""))</f>
        <v>0.11420976970709644</v>
      </c>
      <c r="AM203" s="503">
        <f>IF(終値!A203="","",IFERROR(4*STDEVP(終値!AP203:BI203)/AVERAGE(終値!AP203:BI203),""))</f>
        <v>0.13884174046359923</v>
      </c>
      <c r="AN203" s="503">
        <f>IF(終値!A203="","",IFERROR(4*STDEVP(終値!AQ203:BJ203)/AVERAGE(終値!AQ203:BJ203),""))</f>
        <v>0.15809208023903634</v>
      </c>
      <c r="AO203" s="503">
        <f>IF(終値!A203="","",IFERROR(4*STDEVP(終値!AR203:BK203)/AVERAGE(終値!AR203:BK203),""))</f>
        <v>0.16449319878907412</v>
      </c>
      <c r="AP203" s="503">
        <f>IF(終値!A203="","",IFERROR(4*STDEVP(終値!AS203:BL203)/AVERAGE(終値!AS203:BL203),""))</f>
        <v>0.16915240189936653</v>
      </c>
    </row>
    <row r="204" spans="1:42">
      <c r="A204" s="500" t="str">
        <f>IF(終値!A204="","",終値!A204)</f>
        <v>8015</v>
      </c>
      <c r="B204" s="503">
        <f>IF(終値!A204="","",IFERROR(4*STDEVP(終値!E204:X204)/AVERAGE(終値!E204:X204),""))</f>
        <v>0.15208086674059559</v>
      </c>
      <c r="C204" s="503">
        <f>IF(終値!A204="","",IFERROR(4*STDEVP(終値!F204:Y204)/AVERAGE(終値!F204:Y204),""))</f>
        <v>0.14157822807115969</v>
      </c>
      <c r="D204" s="503">
        <f>IF(終値!A204="","",IFERROR(4*STDEVP(終値!G204:Z204)/AVERAGE(終値!G204:Z204),""))</f>
        <v>0.13833822915764116</v>
      </c>
      <c r="E204" s="503">
        <f>IF(終値!A204="","",IFERROR(4*STDEVP(終値!H204:AA204)/AVERAGE(終値!H204:AA204),""))</f>
        <v>0.13275099243687274</v>
      </c>
      <c r="F204" s="503">
        <f>IF(終値!A204="","",IFERROR(4*STDEVP(終値!I204:AB204)/AVERAGE(終値!I204:AB204),""))</f>
        <v>0.13069763034980245</v>
      </c>
      <c r="G204" s="503">
        <f>IF(終値!A204="","",IFERROR(4*STDEVP(終値!J204:AC204)/AVERAGE(終値!J204:AC204),""))</f>
        <v>0.12862901427459236</v>
      </c>
      <c r="H204" s="503">
        <f>IF(終値!A204="","",IFERROR(4*STDEVP(終値!K204:AD204)/AVERAGE(終値!K204:AD204),""))</f>
        <v>0.1294096655195108</v>
      </c>
      <c r="I204" s="503">
        <f>IF(終値!A204="","",IFERROR(4*STDEVP(終値!L204:AE204)/AVERAGE(終値!L204:AE204),""))</f>
        <v>0.12152039428212021</v>
      </c>
      <c r="J204" s="503">
        <f>IF(終値!A204="","",IFERROR(4*STDEVP(終値!M204:AF204)/AVERAGE(終値!M204:AF204),""))</f>
        <v>0.11652733372961714</v>
      </c>
      <c r="K204" s="503">
        <f>IF(終値!A204="","",IFERROR(4*STDEVP(終値!N204:AG204)/AVERAGE(終値!N204:AG204),""))</f>
        <v>9.6975967656664025E-2</v>
      </c>
      <c r="L204" s="503">
        <f>IF(終値!A204="","",IFERROR(4*STDEVP(終値!O204:AH204)/AVERAGE(終値!O204:AH204),""))</f>
        <v>8.4851615058928312E-2</v>
      </c>
      <c r="M204" s="503">
        <f>IF(終値!A204="","",IFERROR(4*STDEVP(終値!P204:AI204)/AVERAGE(終値!P204:AI204),""))</f>
        <v>6.3771916085175892E-2</v>
      </c>
      <c r="N204" s="503">
        <f>IF(終値!A204="","",IFERROR(4*STDEVP(終値!Q204:AJ204)/AVERAGE(終値!Q204:AJ204),""))</f>
        <v>6.5527429214551652E-2</v>
      </c>
      <c r="O204" s="503">
        <f>IF(終値!A204="","",IFERROR(4*STDEVP(終値!R204:AK204)/AVERAGE(終値!R204:AK204),""))</f>
        <v>7.1852305827253521E-2</v>
      </c>
      <c r="P204" s="503">
        <f>IF(終値!A204="","",IFERROR(4*STDEVP(終値!S204:AL204)/AVERAGE(終値!S204:AL204),""))</f>
        <v>8.2741122033763159E-2</v>
      </c>
      <c r="Q204" s="503">
        <f>IF(終値!A204="","",IFERROR(4*STDEVP(終値!T204:AM204)/AVERAGE(終値!T204:AM204),""))</f>
        <v>9.6651348761087011E-2</v>
      </c>
      <c r="R204" s="503">
        <f>IF(終値!A204="","",IFERROR(4*STDEVP(終値!U204:AN204)/AVERAGE(終値!U204:AN204),""))</f>
        <v>9.4799218511284575E-2</v>
      </c>
      <c r="S204" s="503">
        <f>IF(終値!A204="","",IFERROR(4*STDEVP(終値!V204:AO204)/AVERAGE(終値!V204:AO204),""))</f>
        <v>9.8629214890276762E-2</v>
      </c>
      <c r="T204" s="503">
        <f>IF(終値!A204="","",IFERROR(4*STDEVP(終値!W204:AP204)/AVERAGE(終値!W204:AP204),""))</f>
        <v>9.9083139595506659E-2</v>
      </c>
      <c r="U204" s="503">
        <f>IF(終値!A204="","",IFERROR(4*STDEVP(終値!X204:AQ204)/AVERAGE(終値!X204:AQ204),""))</f>
        <v>9.7530238911279543E-2</v>
      </c>
      <c r="V204" s="503">
        <f>IF(終値!A204="","",IFERROR(4*STDEVP(終値!Y204:AR204)/AVERAGE(終値!Y204:AR204),""))</f>
        <v>0.10511147209444571</v>
      </c>
      <c r="W204" s="503">
        <f>IF(終値!A204="","",IFERROR(4*STDEVP(終値!Z204:AS204)/AVERAGE(終値!Z204:AS204),""))</f>
        <v>0.11188133982910674</v>
      </c>
      <c r="X204" s="503">
        <f>IF(終値!A204="","",IFERROR(4*STDEVP(終値!AA204:AT204)/AVERAGE(終値!AA204:AT204),""))</f>
        <v>0.12039258724426863</v>
      </c>
      <c r="Y204" s="503">
        <f>IF(終値!A204="","",IFERROR(4*STDEVP(終値!AB204:AU204)/AVERAGE(終値!AB204:AU204),""))</f>
        <v>0.12316264588702884</v>
      </c>
      <c r="Z204" s="503">
        <f>IF(終値!A204="","",IFERROR(4*STDEVP(終値!AC204:AV204)/AVERAGE(終値!AC204:AV204),""))</f>
        <v>0.15321763613958261</v>
      </c>
      <c r="AA204" s="503">
        <f>IF(終値!A204="","",IFERROR(4*STDEVP(終値!AD204:AW204)/AVERAGE(終値!AD204:AW204),""))</f>
        <v>0.1591346343055153</v>
      </c>
      <c r="AB204" s="503">
        <f>IF(終値!A204="","",IFERROR(4*STDEVP(終値!AE204:AX204)/AVERAGE(終値!AE204:AX204),""))</f>
        <v>0.16677643518662533</v>
      </c>
      <c r="AC204" s="503">
        <f>IF(終値!A204="","",IFERROR(4*STDEVP(終値!AF204:AY204)/AVERAGE(終値!AF204:AY204),""))</f>
        <v>0.18722333224516383</v>
      </c>
      <c r="AD204" s="503">
        <f>IF(終値!A204="","",IFERROR(4*STDEVP(終値!AG204:AZ204)/AVERAGE(終値!AG204:AZ204),""))</f>
        <v>0.19582246076033311</v>
      </c>
      <c r="AE204" s="503">
        <f>IF(終値!A204="","",IFERROR(4*STDEVP(終値!AH204:BA204)/AVERAGE(終値!AH204:BA204),""))</f>
        <v>0.19567966312811855</v>
      </c>
      <c r="AF204" s="503">
        <f>IF(終値!A204="","",IFERROR(4*STDEVP(終値!AI204:BB204)/AVERAGE(終値!AI204:BB204),""))</f>
        <v>0.19352040895840777</v>
      </c>
      <c r="AG204" s="503">
        <f>IF(終値!A204="","",IFERROR(4*STDEVP(終値!AJ204:BC204)/AVERAGE(終値!AJ204:BC204),""))</f>
        <v>0.20030891530773856</v>
      </c>
      <c r="AH204" s="503">
        <f>IF(終値!A204="","",IFERROR(4*STDEVP(終値!AK204:BD204)/AVERAGE(終値!AK204:BD204),""))</f>
        <v>0.20461027805608031</v>
      </c>
      <c r="AI204" s="503">
        <f>IF(終値!A204="","",IFERROR(4*STDEVP(終値!AL204:BE204)/AVERAGE(終値!AL204:BE204),""))</f>
        <v>0.22509901169511268</v>
      </c>
      <c r="AJ204" s="503">
        <f>IF(終値!A204="","",IFERROR(4*STDEVP(終値!AM204:BF204)/AVERAGE(終値!AM204:BF204),""))</f>
        <v>0.24023636732057765</v>
      </c>
      <c r="AK204" s="503">
        <f>IF(終値!A204="","",IFERROR(4*STDEVP(終値!AN204:BG204)/AVERAGE(終値!AN204:BG204),""))</f>
        <v>0.25394506332686634</v>
      </c>
      <c r="AL204" s="503">
        <f>IF(終値!A204="","",IFERROR(4*STDEVP(終値!AO204:BH204)/AVERAGE(終値!AO204:BH204),""))</f>
        <v>0.2450818158445609</v>
      </c>
      <c r="AM204" s="503">
        <f>IF(終値!A204="","",IFERROR(4*STDEVP(終値!AP204:BI204)/AVERAGE(終値!AP204:BI204),""))</f>
        <v>0.21842576694353724</v>
      </c>
      <c r="AN204" s="503">
        <f>IF(終値!A204="","",IFERROR(4*STDEVP(終値!AQ204:BJ204)/AVERAGE(終値!AQ204:BJ204),""))</f>
        <v>0.19422153809729792</v>
      </c>
      <c r="AO204" s="503">
        <f>IF(終値!A204="","",IFERROR(4*STDEVP(終値!AR204:BK204)/AVERAGE(終値!AR204:BK204),""))</f>
        <v>0.16952522132905795</v>
      </c>
      <c r="AP204" s="503">
        <f>IF(終値!A204="","",IFERROR(4*STDEVP(終値!AS204:BL204)/AVERAGE(終値!AS204:BL204),""))</f>
        <v>0.15862723572773457</v>
      </c>
    </row>
    <row r="205" spans="1:42">
      <c r="A205" s="500" t="str">
        <f>IF(終値!A205="","",終値!A205)</f>
        <v>6758</v>
      </c>
      <c r="B205" s="503" t="str">
        <f>IF(終値!A205="","",IFERROR(4*STDEVP(終値!E205:X205)/AVERAGE(終値!E205:X205),""))</f>
        <v/>
      </c>
      <c r="C205" s="503" t="str">
        <f>IF(終値!A205="","",IFERROR(4*STDEVP(終値!F205:Y205)/AVERAGE(終値!F205:Y205),""))</f>
        <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0.21618809329799016</v>
      </c>
      <c r="C206" s="503">
        <f>IF(終値!A206="","",IFERROR(4*STDEVP(終値!F206:Y206)/AVERAGE(終値!F206:Y206),""))</f>
        <v>0.22653503911158784</v>
      </c>
      <c r="D206" s="503">
        <f>IF(終値!A206="","",IFERROR(4*STDEVP(終値!G206:Z206)/AVERAGE(終値!G206:Z206),""))</f>
        <v>0.23375293002862921</v>
      </c>
      <c r="E206" s="503">
        <f>IF(終値!A206="","",IFERROR(4*STDEVP(終値!H206:AA206)/AVERAGE(終値!H206:AA206),""))</f>
        <v>0.23914066993251951</v>
      </c>
      <c r="F206" s="503">
        <f>IF(終値!A206="","",IFERROR(4*STDEVP(終値!I206:AB206)/AVERAGE(終値!I206:AB206),""))</f>
        <v>0.23309564101677846</v>
      </c>
      <c r="G206" s="503">
        <f>IF(終値!A206="","",IFERROR(4*STDEVP(終値!J206:AC206)/AVERAGE(終値!J206:AC206),""))</f>
        <v>0.219912497132252</v>
      </c>
      <c r="H206" s="503">
        <f>IF(終値!A206="","",IFERROR(4*STDEVP(終値!K206:AD206)/AVERAGE(終値!K206:AD206),""))</f>
        <v>0.20688489310699809</v>
      </c>
      <c r="I206" s="503">
        <f>IF(終値!A206="","",IFERROR(4*STDEVP(終値!L206:AE206)/AVERAGE(終値!L206:AE206),""))</f>
        <v>0.18340668200670854</v>
      </c>
      <c r="J206" s="503">
        <f>IF(終値!A206="","",IFERROR(4*STDEVP(終値!M206:AF206)/AVERAGE(終値!M206:AF206),""))</f>
        <v>0.16234616219056894</v>
      </c>
      <c r="K206" s="503">
        <f>IF(終値!A206="","",IFERROR(4*STDEVP(終値!N206:AG206)/AVERAGE(終値!N206:AG206),""))</f>
        <v>0.14774466834860786</v>
      </c>
      <c r="L206" s="503">
        <f>IF(終値!A206="","",IFERROR(4*STDEVP(終値!O206:AH206)/AVERAGE(終値!O206:AH206),""))</f>
        <v>0.12953249071593012</v>
      </c>
      <c r="M206" s="503">
        <f>IF(終値!A206="","",IFERROR(4*STDEVP(終値!P206:AI206)/AVERAGE(終値!P206:AI206),""))</f>
        <v>0.1133228545796946</v>
      </c>
      <c r="N206" s="503">
        <f>IF(終値!A206="","",IFERROR(4*STDEVP(終値!Q206:AJ206)/AVERAGE(終値!Q206:AJ206),""))</f>
        <v>9.1001937792548421E-2</v>
      </c>
      <c r="O206" s="503">
        <f>IF(終値!A206="","",IFERROR(4*STDEVP(終値!R206:AK206)/AVERAGE(終値!R206:AK206),""))</f>
        <v>7.280350390972759E-2</v>
      </c>
      <c r="P206" s="503">
        <f>IF(終値!A206="","",IFERROR(4*STDEVP(終値!S206:AL206)/AVERAGE(終値!S206:AL206),""))</f>
        <v>6.9428877544091785E-2</v>
      </c>
      <c r="Q206" s="503">
        <f>IF(終値!A206="","",IFERROR(4*STDEVP(終値!T206:AM206)/AVERAGE(終値!T206:AM206),""))</f>
        <v>8.0415580775668169E-2</v>
      </c>
      <c r="R206" s="503">
        <f>IF(終値!A206="","",IFERROR(4*STDEVP(終値!U206:AN206)/AVERAGE(終値!U206:AN206),""))</f>
        <v>9.821661838479831E-2</v>
      </c>
      <c r="S206" s="503">
        <f>IF(終値!A206="","",IFERROR(4*STDEVP(終値!V206:AO206)/AVERAGE(終値!V206:AO206),""))</f>
        <v>0.11292159009723064</v>
      </c>
      <c r="T206" s="503">
        <f>IF(終値!A206="","",IFERROR(4*STDEVP(終値!W206:AP206)/AVERAGE(終値!W206:AP206),""))</f>
        <v>0.11992091487112336</v>
      </c>
      <c r="U206" s="503">
        <f>IF(終値!A206="","",IFERROR(4*STDEVP(終値!X206:AQ206)/AVERAGE(終値!X206:AQ206),""))</f>
        <v>0.12965822636215005</v>
      </c>
      <c r="V206" s="503">
        <f>IF(終値!A206="","",IFERROR(4*STDEVP(終値!Y206:AR206)/AVERAGE(終値!Y206:AR206),""))</f>
        <v>0.13636037447799332</v>
      </c>
      <c r="W206" s="503">
        <f>IF(終値!A206="","",IFERROR(4*STDEVP(終値!Z206:AS206)/AVERAGE(終値!Z206:AS206),""))</f>
        <v>0.13433418297051947</v>
      </c>
      <c r="X206" s="503">
        <f>IF(終値!A206="","",IFERROR(4*STDEVP(終値!AA206:AT206)/AVERAGE(終値!AA206:AT206),""))</f>
        <v>0.13038608209379107</v>
      </c>
      <c r="Y206" s="503">
        <f>IF(終値!A206="","",IFERROR(4*STDEVP(終値!AB206:AU206)/AVERAGE(終値!AB206:AU206),""))</f>
        <v>0.12048498136884078</v>
      </c>
      <c r="Z206" s="503">
        <f>IF(終値!A206="","",IFERROR(4*STDEVP(終値!AC206:AV206)/AVERAGE(終値!AC206:AV206),""))</f>
        <v>0.11754470061803511</v>
      </c>
      <c r="AA206" s="503">
        <f>IF(終値!A206="","",IFERROR(4*STDEVP(終値!AD206:AW206)/AVERAGE(終値!AD206:AW206),""))</f>
        <v>0.11339080360301161</v>
      </c>
      <c r="AB206" s="503">
        <f>IF(終値!A206="","",IFERROR(4*STDEVP(終値!AE206:AX206)/AVERAGE(終値!AE206:AX206),""))</f>
        <v>0.1147000425690671</v>
      </c>
      <c r="AC206" s="503">
        <f>IF(終値!A206="","",IFERROR(4*STDEVP(終値!AF206:AY206)/AVERAGE(終値!AF206:AY206),""))</f>
        <v>0.11340913766399581</v>
      </c>
      <c r="AD206" s="503">
        <f>IF(終値!A206="","",IFERROR(4*STDEVP(終値!AG206:AZ206)/AVERAGE(終値!AG206:AZ206),""))</f>
        <v>0.1130884744459511</v>
      </c>
      <c r="AE206" s="503">
        <f>IF(終値!A206="","",IFERROR(4*STDEVP(終値!AH206:BA206)/AVERAGE(終値!AH206:BA206),""))</f>
        <v>0.11160174442780108</v>
      </c>
      <c r="AF206" s="503">
        <f>IF(終値!A206="","",IFERROR(4*STDEVP(終値!AI206:BB206)/AVERAGE(終値!AI206:BB206),""))</f>
        <v>0.10947711002044183</v>
      </c>
      <c r="AG206" s="503">
        <f>IF(終値!A206="","",IFERROR(4*STDEVP(終値!AJ206:BC206)/AVERAGE(終値!AJ206:BC206),""))</f>
        <v>0.10187899868411382</v>
      </c>
      <c r="AH206" s="503">
        <f>IF(終値!A206="","",IFERROR(4*STDEVP(終値!AK206:BD206)/AVERAGE(終値!AK206:BD206),""))</f>
        <v>9.7726881678342828E-2</v>
      </c>
      <c r="AI206" s="503">
        <f>IF(終値!A206="","",IFERROR(4*STDEVP(終値!AL206:BE206)/AVERAGE(終値!AL206:BE206),""))</f>
        <v>9.5428953840439604E-2</v>
      </c>
      <c r="AJ206" s="503">
        <f>IF(終値!A206="","",IFERROR(4*STDEVP(終値!AM206:BF206)/AVERAGE(終値!AM206:BF206),""))</f>
        <v>9.557198109517738E-2</v>
      </c>
      <c r="AK206" s="503">
        <f>IF(終値!A206="","",IFERROR(4*STDEVP(終値!AN206:BG206)/AVERAGE(終値!AN206:BG206),""))</f>
        <v>9.7228484741834001E-2</v>
      </c>
      <c r="AL206" s="503">
        <f>IF(終値!A206="","",IFERROR(4*STDEVP(終値!AO206:BH206)/AVERAGE(終値!AO206:BH206),""))</f>
        <v>9.7155801279679238E-2</v>
      </c>
      <c r="AM206" s="503">
        <f>IF(終値!A206="","",IFERROR(4*STDEVP(終値!AP206:BI206)/AVERAGE(終値!AP206:BI206),""))</f>
        <v>9.0985809599858483E-2</v>
      </c>
      <c r="AN206" s="503">
        <f>IF(終値!A206="","",IFERROR(4*STDEVP(終値!AQ206:BJ206)/AVERAGE(終値!AQ206:BJ206),""))</f>
        <v>9.1166240250473832E-2</v>
      </c>
      <c r="AO206" s="503">
        <f>IF(終値!A206="","",IFERROR(4*STDEVP(終値!AR206:BK206)/AVERAGE(終値!AR206:BK206),""))</f>
        <v>9.2015024086280942E-2</v>
      </c>
      <c r="AP206" s="503">
        <f>IF(終値!A206="","",IFERROR(4*STDEVP(終値!AS206:BL206)/AVERAGE(終値!AS206:BL206),""))</f>
        <v>9.301149051675188E-2</v>
      </c>
    </row>
    <row r="207" spans="1:42">
      <c r="A207" s="500" t="str">
        <f>IF(終値!A207="","",終値!A207)</f>
        <v>7011</v>
      </c>
      <c r="B207" s="503">
        <f>IF(終値!A207="","",IFERROR(4*STDEVP(終値!E207:X207)/AVERAGE(終値!E207:X207),""))</f>
        <v>0.11823304839061299</v>
      </c>
      <c r="C207" s="503">
        <f>IF(終値!A207="","",IFERROR(4*STDEVP(終値!F207:Y207)/AVERAGE(終値!F207:Y207),""))</f>
        <v>0.10442568461391599</v>
      </c>
      <c r="D207" s="503">
        <f>IF(終値!A207="","",IFERROR(4*STDEVP(終値!G207:Z207)/AVERAGE(終値!G207:Z207),""))</f>
        <v>0.10468279044428697</v>
      </c>
      <c r="E207" s="503">
        <f>IF(終値!A207="","",IFERROR(4*STDEVP(終値!H207:AA207)/AVERAGE(終値!H207:AA207),""))</f>
        <v>0.10594842558816783</v>
      </c>
      <c r="F207" s="503">
        <f>IF(終値!A207="","",IFERROR(4*STDEVP(終値!I207:AB207)/AVERAGE(終値!I207:AB207),""))</f>
        <v>0.11067301175334562</v>
      </c>
      <c r="G207" s="503">
        <f>IF(終値!A207="","",IFERROR(4*STDEVP(終値!J207:AC207)/AVERAGE(終値!J207:AC207),""))</f>
        <v>0.1164902217465061</v>
      </c>
      <c r="H207" s="503">
        <f>IF(終値!A207="","",IFERROR(4*STDEVP(終値!K207:AD207)/AVERAGE(終値!K207:AD207),""))</f>
        <v>0.13102905209159554</v>
      </c>
      <c r="I207" s="503">
        <f>IF(終値!A207="","",IFERROR(4*STDEVP(終値!L207:AE207)/AVERAGE(終値!L207:AE207),""))</f>
        <v>0.13745568294562954</v>
      </c>
      <c r="J207" s="503">
        <f>IF(終値!A207="","",IFERROR(4*STDEVP(終値!M207:AF207)/AVERAGE(終値!M207:AF207),""))</f>
        <v>0.13381396068183135</v>
      </c>
      <c r="K207" s="503">
        <f>IF(終値!A207="","",IFERROR(4*STDEVP(終値!N207:AG207)/AVERAGE(終値!N207:AG207),""))</f>
        <v>0.13015451973725406</v>
      </c>
      <c r="L207" s="503">
        <f>IF(終値!A207="","",IFERROR(4*STDEVP(終値!O207:AH207)/AVERAGE(終値!O207:AH207),""))</f>
        <v>0.13099136057894212</v>
      </c>
      <c r="M207" s="503">
        <f>IF(終値!A207="","",IFERROR(4*STDEVP(終値!P207:AI207)/AVERAGE(終値!P207:AI207),""))</f>
        <v>0.13364685191703418</v>
      </c>
      <c r="N207" s="503">
        <f>IF(終値!A207="","",IFERROR(4*STDEVP(終値!Q207:AJ207)/AVERAGE(終値!Q207:AJ207),""))</f>
        <v>0.13691982307120659</v>
      </c>
      <c r="O207" s="503">
        <f>IF(終値!A207="","",IFERROR(4*STDEVP(終値!R207:AK207)/AVERAGE(終値!R207:AK207),""))</f>
        <v>0.13742545063504874</v>
      </c>
      <c r="P207" s="503">
        <f>IF(終値!A207="","",IFERROR(4*STDEVP(終値!S207:AL207)/AVERAGE(終値!S207:AL207),""))</f>
        <v>0.13666944272017403</v>
      </c>
      <c r="Q207" s="503">
        <f>IF(終値!A207="","",IFERROR(4*STDEVP(終値!T207:AM207)/AVERAGE(終値!T207:AM207),""))</f>
        <v>0.1405430994563891</v>
      </c>
      <c r="R207" s="503">
        <f>IF(終値!A207="","",IFERROR(4*STDEVP(終値!U207:AN207)/AVERAGE(終値!U207:AN207),""))</f>
        <v>0.15303791657177207</v>
      </c>
      <c r="S207" s="503">
        <f>IF(終値!A207="","",IFERROR(4*STDEVP(終値!V207:AO207)/AVERAGE(終値!V207:AO207),""))</f>
        <v>0.16764597240017431</v>
      </c>
      <c r="T207" s="503">
        <f>IF(終値!A207="","",IFERROR(4*STDEVP(終値!W207:AP207)/AVERAGE(終値!W207:AP207),""))</f>
        <v>0.1733810696251897</v>
      </c>
      <c r="U207" s="503">
        <f>IF(終値!A207="","",IFERROR(4*STDEVP(終値!X207:AQ207)/AVERAGE(終値!X207:AQ207),""))</f>
        <v>0.16318963516487175</v>
      </c>
      <c r="V207" s="503">
        <f>IF(終値!A207="","",IFERROR(4*STDEVP(終値!Y207:AR207)/AVERAGE(終値!Y207:AR207),""))</f>
        <v>0.13750812343802682</v>
      </c>
      <c r="W207" s="503">
        <f>IF(終値!A207="","",IFERROR(4*STDEVP(終値!Z207:AS207)/AVERAGE(終値!Z207:AS207),""))</f>
        <v>0.13681750337966367</v>
      </c>
      <c r="X207" s="503">
        <f>IF(終値!A207="","",IFERROR(4*STDEVP(終値!AA207:AT207)/AVERAGE(終値!AA207:AT207),""))</f>
        <v>0.14044566432085726</v>
      </c>
      <c r="Y207" s="503">
        <f>IF(終値!A207="","",IFERROR(4*STDEVP(終値!AB207:AU207)/AVERAGE(終値!AB207:AU207),""))</f>
        <v>0.14794523039023016</v>
      </c>
      <c r="Z207" s="503">
        <f>IF(終値!A207="","",IFERROR(4*STDEVP(終値!AC207:AV207)/AVERAGE(終値!AC207:AV207),""))</f>
        <v>0.14944613534002077</v>
      </c>
      <c r="AA207" s="503">
        <f>IF(終値!A207="","",IFERROR(4*STDEVP(終値!AD207:AW207)/AVERAGE(終値!AD207:AW207),""))</f>
        <v>0.15012390662762826</v>
      </c>
      <c r="AB207" s="503">
        <f>IF(終値!A207="","",IFERROR(4*STDEVP(終値!AE207:AX207)/AVERAGE(終値!AE207:AX207),""))</f>
        <v>0.15066530067488615</v>
      </c>
      <c r="AC207" s="503">
        <f>IF(終値!A207="","",IFERROR(4*STDEVP(終値!AF207:AY207)/AVERAGE(終値!AF207:AY207),""))</f>
        <v>0.15275749891029164</v>
      </c>
      <c r="AD207" s="503">
        <f>IF(終値!A207="","",IFERROR(4*STDEVP(終値!AG207:AZ207)/AVERAGE(終値!AG207:AZ207),""))</f>
        <v>0.16085482133928536</v>
      </c>
      <c r="AE207" s="503">
        <f>IF(終値!A207="","",IFERROR(4*STDEVP(終値!AH207:BA207)/AVERAGE(終値!AH207:BA207),""))</f>
        <v>0.16690550317004463</v>
      </c>
      <c r="AF207" s="503">
        <f>IF(終値!A207="","",IFERROR(4*STDEVP(終値!AI207:BB207)/AVERAGE(終値!AI207:BB207),""))</f>
        <v>0.17407551029725254</v>
      </c>
      <c r="AG207" s="503">
        <f>IF(終値!A207="","",IFERROR(4*STDEVP(終値!AJ207:BC207)/AVERAGE(終値!AJ207:BC207),""))</f>
        <v>0.18921539903702655</v>
      </c>
      <c r="AH207" s="503">
        <f>IF(終値!A207="","",IFERROR(4*STDEVP(終値!AK207:BD207)/AVERAGE(終値!AK207:BD207),""))</f>
        <v>0.19841940539081665</v>
      </c>
      <c r="AI207" s="503">
        <f>IF(終値!A207="","",IFERROR(4*STDEVP(終値!AL207:BE207)/AVERAGE(終値!AL207:BE207),""))</f>
        <v>0.20826502478162237</v>
      </c>
      <c r="AJ207" s="503">
        <f>IF(終値!A207="","",IFERROR(4*STDEVP(終値!AM207:BF207)/AVERAGE(終値!AM207:BF207),""))</f>
        <v>0.22304566298510214</v>
      </c>
      <c r="AK207" s="503">
        <f>IF(終値!A207="","",IFERROR(4*STDEVP(終値!AN207:BG207)/AVERAGE(終値!AN207:BG207),""))</f>
        <v>0.25380570721310525</v>
      </c>
      <c r="AL207" s="503">
        <f>IF(終値!A207="","",IFERROR(4*STDEVP(終値!AO207:BH207)/AVERAGE(終値!AO207:BH207),""))</f>
        <v>0.25829782135289547</v>
      </c>
      <c r="AM207" s="503">
        <f>IF(終値!A207="","",IFERROR(4*STDEVP(終値!AP207:BI207)/AVERAGE(終値!AP207:BI207),""))</f>
        <v>0.25931138244730911</v>
      </c>
      <c r="AN207" s="503">
        <f>IF(終値!A207="","",IFERROR(4*STDEVP(終値!AQ207:BJ207)/AVERAGE(終値!AQ207:BJ207),""))</f>
        <v>0.27079378447663349</v>
      </c>
      <c r="AO207" s="503">
        <f>IF(終値!A207="","",IFERROR(4*STDEVP(終値!AR207:BK207)/AVERAGE(終値!AR207:BK207),""))</f>
        <v>0.28377604561861797</v>
      </c>
      <c r="AP207" s="503">
        <f>IF(終値!A207="","",IFERROR(4*STDEVP(終値!AS207:BL207)/AVERAGE(終値!AS207:BL207),""))</f>
        <v>0.29968246830372841</v>
      </c>
    </row>
    <row r="208" spans="1:42">
      <c r="A208" s="500" t="str">
        <f>IF(終値!A208="","",終値!A208)</f>
        <v>1812</v>
      </c>
      <c r="B208" s="503">
        <f>IF(終値!A208="","",IFERROR(4*STDEVP(終値!E208:X208)/AVERAGE(終値!E208:X208),""))</f>
        <v>0.16917517171392377</v>
      </c>
      <c r="C208" s="503">
        <f>IF(終値!A208="","",IFERROR(4*STDEVP(終値!F208:Y208)/AVERAGE(終値!F208:Y208),""))</f>
        <v>0.17689177423475722</v>
      </c>
      <c r="D208" s="503">
        <f>IF(終値!A208="","",IFERROR(4*STDEVP(終値!G208:Z208)/AVERAGE(終値!G208:Z208),""))</f>
        <v>0.16956718439059013</v>
      </c>
      <c r="E208" s="503">
        <f>IF(終値!A208="","",IFERROR(4*STDEVP(終値!H208:AA208)/AVERAGE(終値!H208:AA208),""))</f>
        <v>0.16496834265431523</v>
      </c>
      <c r="F208" s="503">
        <f>IF(終値!A208="","",IFERROR(4*STDEVP(終値!I208:AB208)/AVERAGE(終値!I208:AB208),""))</f>
        <v>0.15577562979561765</v>
      </c>
      <c r="G208" s="503">
        <f>IF(終値!A208="","",IFERROR(4*STDEVP(終値!J208:AC208)/AVERAGE(終値!J208:AC208),""))</f>
        <v>0.14510622917179711</v>
      </c>
      <c r="H208" s="503">
        <f>IF(終値!A208="","",IFERROR(4*STDEVP(終値!K208:AD208)/AVERAGE(終値!K208:AD208),""))</f>
        <v>0.13717788328185918</v>
      </c>
      <c r="I208" s="503">
        <f>IF(終値!A208="","",IFERROR(4*STDEVP(終値!L208:AE208)/AVERAGE(終値!L208:AE208),""))</f>
        <v>0.13682183417305424</v>
      </c>
      <c r="J208" s="503">
        <f>IF(終値!A208="","",IFERROR(4*STDEVP(終値!M208:AF208)/AVERAGE(終値!M208:AF208),""))</f>
        <v>0.13337473308048528</v>
      </c>
      <c r="K208" s="503">
        <f>IF(終値!A208="","",IFERROR(4*STDEVP(終値!N208:AG208)/AVERAGE(終値!N208:AG208),""))</f>
        <v>0.13191115960850303</v>
      </c>
      <c r="L208" s="503">
        <f>IF(終値!A208="","",IFERROR(4*STDEVP(終値!O208:AH208)/AVERAGE(終値!O208:AH208),""))</f>
        <v>0.12965304131870642</v>
      </c>
      <c r="M208" s="503">
        <f>IF(終値!A208="","",IFERROR(4*STDEVP(終値!P208:AI208)/AVERAGE(終値!P208:AI208),""))</f>
        <v>0.12617166732250712</v>
      </c>
      <c r="N208" s="503">
        <f>IF(終値!A208="","",IFERROR(4*STDEVP(終値!Q208:AJ208)/AVERAGE(終値!Q208:AJ208),""))</f>
        <v>0.11763726550062517</v>
      </c>
      <c r="O208" s="503">
        <f>IF(終値!A208="","",IFERROR(4*STDEVP(終値!R208:AK208)/AVERAGE(終値!R208:AK208),""))</f>
        <v>0.11539250527305193</v>
      </c>
      <c r="P208" s="503">
        <f>IF(終値!A208="","",IFERROR(4*STDEVP(終値!S208:AL208)/AVERAGE(終値!S208:AL208),""))</f>
        <v>0.10418273156492744</v>
      </c>
      <c r="Q208" s="503">
        <f>IF(終値!A208="","",IFERROR(4*STDEVP(終値!T208:AM208)/AVERAGE(終値!T208:AM208),""))</f>
        <v>0.10108629480067582</v>
      </c>
      <c r="R208" s="503">
        <f>IF(終値!A208="","",IFERROR(4*STDEVP(終値!U208:AN208)/AVERAGE(終値!U208:AN208),""))</f>
        <v>0.11490715954845743</v>
      </c>
      <c r="S208" s="503">
        <f>IF(終値!A208="","",IFERROR(4*STDEVP(終値!V208:AO208)/AVERAGE(終値!V208:AO208),""))</f>
        <v>0.13300236439318378</v>
      </c>
      <c r="T208" s="503">
        <f>IF(終値!A208="","",IFERROR(4*STDEVP(終値!W208:AP208)/AVERAGE(終値!W208:AP208),""))</f>
        <v>0.14134818355036818</v>
      </c>
      <c r="U208" s="503">
        <f>IF(終値!A208="","",IFERROR(4*STDEVP(終値!X208:AQ208)/AVERAGE(終値!X208:AQ208),""))</f>
        <v>0.1547173617657065</v>
      </c>
      <c r="V208" s="503">
        <f>IF(終値!A208="","",IFERROR(4*STDEVP(終値!Y208:AR208)/AVERAGE(終値!Y208:AR208),""))</f>
        <v>0.1478942988114306</v>
      </c>
      <c r="W208" s="503">
        <f>IF(終値!A208="","",IFERROR(4*STDEVP(終値!Z208:AS208)/AVERAGE(終値!Z208:AS208),""))</f>
        <v>0.14812758572915791</v>
      </c>
      <c r="X208" s="503">
        <f>IF(終値!A208="","",IFERROR(4*STDEVP(終値!AA208:AT208)/AVERAGE(終値!AA208:AT208),""))</f>
        <v>0.14826735206700428</v>
      </c>
      <c r="Y208" s="503">
        <f>IF(終値!A208="","",IFERROR(4*STDEVP(終値!AB208:AU208)/AVERAGE(終値!AB208:AU208),""))</f>
        <v>0.14851934471710809</v>
      </c>
      <c r="Z208" s="503">
        <f>IF(終値!A208="","",IFERROR(4*STDEVP(終値!AC208:AV208)/AVERAGE(終値!AC208:AV208),""))</f>
        <v>0.14941671923212313</v>
      </c>
      <c r="AA208" s="503">
        <f>IF(終値!A208="","",IFERROR(4*STDEVP(終値!AD208:AW208)/AVERAGE(終値!AD208:AW208),""))</f>
        <v>0.147970022752691</v>
      </c>
      <c r="AB208" s="503">
        <f>IF(終値!A208="","",IFERROR(4*STDEVP(終値!AE208:AX208)/AVERAGE(終値!AE208:AX208),""))</f>
        <v>0.14788709125576621</v>
      </c>
      <c r="AC208" s="503">
        <f>IF(終値!A208="","",IFERROR(4*STDEVP(終値!AF208:AY208)/AVERAGE(終値!AF208:AY208),""))</f>
        <v>0.14803593794178938</v>
      </c>
      <c r="AD208" s="503">
        <f>IF(終値!A208="","",IFERROR(4*STDEVP(終値!AG208:AZ208)/AVERAGE(終値!AG208:AZ208),""))</f>
        <v>0.15318725977736436</v>
      </c>
      <c r="AE208" s="503">
        <f>IF(終値!A208="","",IFERROR(4*STDEVP(終値!AH208:BA208)/AVERAGE(終値!AH208:BA208),""))</f>
        <v>0.15435772726823307</v>
      </c>
      <c r="AF208" s="503">
        <f>IF(終値!A208="","",IFERROR(4*STDEVP(終値!AI208:BB208)/AVERAGE(終値!AI208:BB208),""))</f>
        <v>0.14980853902254329</v>
      </c>
      <c r="AG208" s="503">
        <f>IF(終値!A208="","",IFERROR(4*STDEVP(終値!AJ208:BC208)/AVERAGE(終値!AJ208:BC208),""))</f>
        <v>0.14532663949255412</v>
      </c>
      <c r="AH208" s="503">
        <f>IF(終値!A208="","",IFERROR(4*STDEVP(終値!AK208:BD208)/AVERAGE(終値!AK208:BD208),""))</f>
        <v>0.13581677594099018</v>
      </c>
      <c r="AI208" s="503">
        <f>IF(終値!A208="","",IFERROR(4*STDEVP(終値!AL208:BE208)/AVERAGE(終値!AL208:BE208),""))</f>
        <v>0.13265758644685013</v>
      </c>
      <c r="AJ208" s="503">
        <f>IF(終値!A208="","",IFERROR(4*STDEVP(終値!AM208:BF208)/AVERAGE(終値!AM208:BF208),""))</f>
        <v>0.15165662629397225</v>
      </c>
      <c r="AK208" s="503">
        <f>IF(終値!A208="","",IFERROR(4*STDEVP(終値!AN208:BG208)/AVERAGE(終値!AN208:BG208),""))</f>
        <v>0.18340599071790398</v>
      </c>
      <c r="AL208" s="503">
        <f>IF(終値!A208="","",IFERROR(4*STDEVP(終値!AO208:BH208)/AVERAGE(終値!AO208:BH208),""))</f>
        <v>0.22378679540710444</v>
      </c>
      <c r="AM208" s="503">
        <f>IF(終値!A208="","",IFERROR(4*STDEVP(終値!AP208:BI208)/AVERAGE(終値!AP208:BI208),""))</f>
        <v>0.23043381995238016</v>
      </c>
      <c r="AN208" s="503">
        <f>IF(終値!A208="","",IFERROR(4*STDEVP(終値!AQ208:BJ208)/AVERAGE(終値!AQ208:BJ208),""))</f>
        <v>0.23295160670789974</v>
      </c>
      <c r="AO208" s="503">
        <f>IF(終値!A208="","",IFERROR(4*STDEVP(終値!AR208:BK208)/AVERAGE(終値!AR208:BK208),""))</f>
        <v>0.23107862457621708</v>
      </c>
      <c r="AP208" s="503">
        <f>IF(終値!A208="","",IFERROR(4*STDEVP(終値!AS208:BL208)/AVERAGE(終値!AS208:BL208),""))</f>
        <v>0.22771066271377807</v>
      </c>
    </row>
    <row r="209" spans="1:42">
      <c r="A209" s="500" t="str">
        <f>IF(終値!A209="","",終値!A209)</f>
        <v>6861</v>
      </c>
      <c r="B209" s="503">
        <f>IF(終値!A209="","",IFERROR(4*STDEVP(終値!E209:X209)/AVERAGE(終値!E209:X209),""))</f>
        <v>0.1888338051650312</v>
      </c>
      <c r="C209" s="503">
        <f>IF(終値!A209="","",IFERROR(4*STDEVP(終値!F209:Y209)/AVERAGE(終値!F209:Y209),""))</f>
        <v>0.17805809920373833</v>
      </c>
      <c r="D209" s="503">
        <f>IF(終値!A209="","",IFERROR(4*STDEVP(終値!G209:Z209)/AVERAGE(終値!G209:Z209),""))</f>
        <v>0.1773244768522553</v>
      </c>
      <c r="E209" s="503">
        <f>IF(終値!A209="","",IFERROR(4*STDEVP(終値!H209:AA209)/AVERAGE(終値!H209:AA209),""))</f>
        <v>0.17932302305146527</v>
      </c>
      <c r="F209" s="503">
        <f>IF(終値!A209="","",IFERROR(4*STDEVP(終値!I209:AB209)/AVERAGE(終値!I209:AB209),""))</f>
        <v>0.18551739581394605</v>
      </c>
      <c r="G209" s="503">
        <f>IF(終値!A209="","",IFERROR(4*STDEVP(終値!J209:AC209)/AVERAGE(終値!J209:AC209),""))</f>
        <v>0.18629198894162499</v>
      </c>
      <c r="H209" s="503">
        <f>IF(終値!A209="","",IFERROR(4*STDEVP(終値!K209:AD209)/AVERAGE(終値!K209:AD209),""))</f>
        <v>0.17539609357333497</v>
      </c>
      <c r="I209" s="503">
        <f>IF(終値!A209="","",IFERROR(4*STDEVP(終値!L209:AE209)/AVERAGE(終値!L209:AE209),""))</f>
        <v>0.17337734483924505</v>
      </c>
      <c r="J209" s="503">
        <f>IF(終値!A209="","",IFERROR(4*STDEVP(終値!M209:AF209)/AVERAGE(終値!M209:AF209),""))</f>
        <v>0.16347924577200645</v>
      </c>
      <c r="K209" s="503">
        <f>IF(終値!A209="","",IFERROR(4*STDEVP(終値!N209:AG209)/AVERAGE(終値!N209:AG209),""))</f>
        <v>0.15476711934379112</v>
      </c>
      <c r="L209" s="503">
        <f>IF(終値!A209="","",IFERROR(4*STDEVP(終値!O209:AH209)/AVERAGE(終値!O209:AH209),""))</f>
        <v>0.14345653841190847</v>
      </c>
      <c r="M209" s="503">
        <f>IF(終値!A209="","",IFERROR(4*STDEVP(終値!P209:AI209)/AVERAGE(終値!P209:AI209),""))</f>
        <v>0.12866683997698722</v>
      </c>
      <c r="N209" s="503">
        <f>IF(終値!A209="","",IFERROR(4*STDEVP(終値!Q209:AJ209)/AVERAGE(終値!Q209:AJ209),""))</f>
        <v>0.10161347125735347</v>
      </c>
      <c r="O209" s="503">
        <f>IF(終値!A209="","",IFERROR(4*STDEVP(終値!R209:AK209)/AVERAGE(終値!R209:AK209),""))</f>
        <v>0.10391420011196766</v>
      </c>
      <c r="P209" s="503">
        <f>IF(終値!A209="","",IFERROR(4*STDEVP(終値!S209:AL209)/AVERAGE(終値!S209:AL209),""))</f>
        <v>0.10357812729136068</v>
      </c>
      <c r="Q209" s="503">
        <f>IF(終値!A209="","",IFERROR(4*STDEVP(終値!T209:AM209)/AVERAGE(終値!T209:AM209),""))</f>
        <v>0.10576104872159965</v>
      </c>
      <c r="R209" s="503">
        <f>IF(終値!A209="","",IFERROR(4*STDEVP(終値!U209:AN209)/AVERAGE(終値!U209:AN209),""))</f>
        <v>0.12055499570781439</v>
      </c>
      <c r="S209" s="503">
        <f>IF(終値!A209="","",IFERROR(4*STDEVP(終値!V209:AO209)/AVERAGE(終値!V209:AO209),""))</f>
        <v>0.13866699773347968</v>
      </c>
      <c r="T209" s="503">
        <f>IF(終値!A209="","",IFERROR(4*STDEVP(終値!W209:AP209)/AVERAGE(終値!W209:AP209),""))</f>
        <v>0.14476620760608547</v>
      </c>
      <c r="U209" s="503">
        <f>IF(終値!A209="","",IFERROR(4*STDEVP(終値!X209:AQ209)/AVERAGE(終値!X209:AQ209),""))</f>
        <v>0.14670996668233316</v>
      </c>
      <c r="V209" s="503">
        <f>IF(終値!A209="","",IFERROR(4*STDEVP(終値!Y209:AR209)/AVERAGE(終値!Y209:AR209),""))</f>
        <v>0.14028267619377338</v>
      </c>
      <c r="W209" s="503">
        <f>IF(終値!A209="","",IFERROR(4*STDEVP(終値!Z209:AS209)/AVERAGE(終値!Z209:AS209),""))</f>
        <v>0.13948614547065155</v>
      </c>
      <c r="X209" s="503">
        <f>IF(終値!A209="","",IFERROR(4*STDEVP(終値!AA209:AT209)/AVERAGE(終値!AA209:AT209),""))</f>
        <v>0.14026771888814432</v>
      </c>
      <c r="Y209" s="503">
        <f>IF(終値!A209="","",IFERROR(4*STDEVP(終値!AB209:AU209)/AVERAGE(終値!AB209:AU209),""))</f>
        <v>0.1301542559598855</v>
      </c>
      <c r="Z209" s="503">
        <f>IF(終値!A209="","",IFERROR(4*STDEVP(終値!AC209:AV209)/AVERAGE(終値!AC209:AV209),""))</f>
        <v>0.12634716020849318</v>
      </c>
      <c r="AA209" s="503">
        <f>IF(終値!A209="","",IFERROR(4*STDEVP(終値!AD209:AW209)/AVERAGE(終値!AD209:AW209),""))</f>
        <v>0.12638452087526331</v>
      </c>
      <c r="AB209" s="503">
        <f>IF(終値!A209="","",IFERROR(4*STDEVP(終値!AE209:AX209)/AVERAGE(終値!AE209:AX209),""))</f>
        <v>0.12660270948738464</v>
      </c>
      <c r="AC209" s="503">
        <f>IF(終値!A209="","",IFERROR(4*STDEVP(終値!AF209:AY209)/AVERAGE(終値!AF209:AY209),""))</f>
        <v>0.12901753355690032</v>
      </c>
      <c r="AD209" s="503">
        <f>IF(終値!A209="","",IFERROR(4*STDEVP(終値!AG209:AZ209)/AVERAGE(終値!AG209:AZ209),""))</f>
        <v>0.13271251789098593</v>
      </c>
      <c r="AE209" s="503">
        <f>IF(終値!A209="","",IFERROR(4*STDEVP(終値!AH209:BA209)/AVERAGE(終値!AH209:BA209),""))</f>
        <v>0.13207515146609275</v>
      </c>
      <c r="AF209" s="503">
        <f>IF(終値!A209="","",IFERROR(4*STDEVP(終値!AI209:BB209)/AVERAGE(終値!AI209:BB209),""))</f>
        <v>0.13853962115524932</v>
      </c>
      <c r="AG209" s="503">
        <f>IF(終値!A209="","",IFERROR(4*STDEVP(終値!AJ209:BC209)/AVERAGE(終値!AJ209:BC209),""))</f>
        <v>0.13900188492340079</v>
      </c>
      <c r="AH209" s="503">
        <f>IF(終値!A209="","",IFERROR(4*STDEVP(終値!AK209:BD209)/AVERAGE(終値!AK209:BD209),""))</f>
        <v>0.13849927723774785</v>
      </c>
      <c r="AI209" s="503">
        <f>IF(終値!A209="","",IFERROR(4*STDEVP(終値!AL209:BE209)/AVERAGE(終値!AL209:BE209),""))</f>
        <v>0.13838893796659299</v>
      </c>
      <c r="AJ209" s="503">
        <f>IF(終値!A209="","",IFERROR(4*STDEVP(終値!AM209:BF209)/AVERAGE(終値!AM209:BF209),""))</f>
        <v>0.13813792738407751</v>
      </c>
      <c r="AK209" s="503">
        <f>IF(終値!A209="","",IFERROR(4*STDEVP(終値!AN209:BG209)/AVERAGE(終値!AN209:BG209),""))</f>
        <v>0.14131074852159767</v>
      </c>
      <c r="AL209" s="503">
        <f>IF(終値!A209="","",IFERROR(4*STDEVP(終値!AO209:BH209)/AVERAGE(終値!AO209:BH209),""))</f>
        <v>0.13475590265737017</v>
      </c>
      <c r="AM209" s="503">
        <f>IF(終値!A209="","",IFERROR(4*STDEVP(終値!AP209:BI209)/AVERAGE(終値!AP209:BI209),""))</f>
        <v>0.12807209176154305</v>
      </c>
      <c r="AN209" s="503">
        <f>IF(終値!A209="","",IFERROR(4*STDEVP(終値!AQ209:BJ209)/AVERAGE(終値!AQ209:BJ209),""))</f>
        <v>0.13477715669536094</v>
      </c>
      <c r="AO209" s="503">
        <f>IF(終値!A209="","",IFERROR(4*STDEVP(終値!AR209:BK209)/AVERAGE(終値!AR209:BK209),""))</f>
        <v>0.12974379055071306</v>
      </c>
      <c r="AP209" s="503">
        <f>IF(終値!A209="","",IFERROR(4*STDEVP(終値!AS209:BL209)/AVERAGE(終値!AS209:BL209),""))</f>
        <v>0.13156461106234521</v>
      </c>
    </row>
    <row r="210" spans="1:42">
      <c r="A210" s="500" t="str">
        <f>IF(終値!A210="","",終値!A210)</f>
        <v>6324</v>
      </c>
      <c r="B210" s="503">
        <f>IF(終値!A210="","",IFERROR(4*STDEVP(終値!E210:X210)/AVERAGE(終値!E210:X210),""))</f>
        <v>0.4921972033255253</v>
      </c>
      <c r="C210" s="503">
        <f>IF(終値!A210="","",IFERROR(4*STDEVP(終値!F210:Y210)/AVERAGE(終値!F210:Y210),""))</f>
        <v>0.54180143151043569</v>
      </c>
      <c r="D210" s="503">
        <f>IF(終値!A210="","",IFERROR(4*STDEVP(終値!G210:Z210)/AVERAGE(終値!G210:Z210),""))</f>
        <v>0.54476812288844734</v>
      </c>
      <c r="E210" s="503">
        <f>IF(終値!A210="","",IFERROR(4*STDEVP(終値!H210:AA210)/AVERAGE(終値!H210:AA210),""))</f>
        <v>0.53436378333899914</v>
      </c>
      <c r="F210" s="503">
        <f>IF(終値!A210="","",IFERROR(4*STDEVP(終値!I210:AB210)/AVERAGE(終値!I210:AB210),""))</f>
        <v>0.48548883605415599</v>
      </c>
      <c r="G210" s="503">
        <f>IF(終値!A210="","",IFERROR(4*STDEVP(終値!J210:AC210)/AVERAGE(終値!J210:AC210),""))</f>
        <v>0.42201527828967433</v>
      </c>
      <c r="H210" s="503">
        <f>IF(終値!A210="","",IFERROR(4*STDEVP(終値!K210:AD210)/AVERAGE(終値!K210:AD210),""))</f>
        <v>0.37127802978480212</v>
      </c>
      <c r="I210" s="503">
        <f>IF(終値!A210="","",IFERROR(4*STDEVP(終値!L210:AE210)/AVERAGE(終値!L210:AE210),""))</f>
        <v>0.35597564077624849</v>
      </c>
      <c r="J210" s="503">
        <f>IF(終値!A210="","",IFERROR(4*STDEVP(終値!M210:AF210)/AVERAGE(終値!M210:AF210),""))</f>
        <v>0.33499669250986619</v>
      </c>
      <c r="K210" s="503">
        <f>IF(終値!A210="","",IFERROR(4*STDEVP(終値!N210:AG210)/AVERAGE(終値!N210:AG210),""))</f>
        <v>0.32227030623027964</v>
      </c>
      <c r="L210" s="503">
        <f>IF(終値!A210="","",IFERROR(4*STDEVP(終値!O210:AH210)/AVERAGE(終値!O210:AH210),""))</f>
        <v>0.32844061893339987</v>
      </c>
      <c r="M210" s="503">
        <f>IF(終値!A210="","",IFERROR(4*STDEVP(終値!P210:AI210)/AVERAGE(終値!P210:AI210),""))</f>
        <v>0.29681610741917491</v>
      </c>
      <c r="N210" s="503">
        <f>IF(終値!A210="","",IFERROR(4*STDEVP(終値!Q210:AJ210)/AVERAGE(終値!Q210:AJ210),""))</f>
        <v>0.25205686087025014</v>
      </c>
      <c r="O210" s="503">
        <f>IF(終値!A210="","",IFERROR(4*STDEVP(終値!R210:AK210)/AVERAGE(終値!R210:AK210),""))</f>
        <v>0.24690284610017038</v>
      </c>
      <c r="P210" s="503">
        <f>IF(終値!A210="","",IFERROR(4*STDEVP(終値!S210:AL210)/AVERAGE(終値!S210:AL210),""))</f>
        <v>0.26352662417212175</v>
      </c>
      <c r="Q210" s="503">
        <f>IF(終値!A210="","",IFERROR(4*STDEVP(終値!T210:AM210)/AVERAGE(終値!T210:AM210),""))</f>
        <v>0.27829995995293633</v>
      </c>
      <c r="R210" s="503">
        <f>IF(終値!A210="","",IFERROR(4*STDEVP(終値!U210:AN210)/AVERAGE(終値!U210:AN210),""))</f>
        <v>0.3141780738416397</v>
      </c>
      <c r="S210" s="503">
        <f>IF(終値!A210="","",IFERROR(4*STDEVP(終値!V210:AO210)/AVERAGE(終値!V210:AO210),""))</f>
        <v>0.35714474652169126</v>
      </c>
      <c r="T210" s="503">
        <f>IF(終値!A210="","",IFERROR(4*STDEVP(終値!W210:AP210)/AVERAGE(終値!W210:AP210),""))</f>
        <v>0.39639032947380254</v>
      </c>
      <c r="U210" s="503">
        <f>IF(終値!A210="","",IFERROR(4*STDEVP(終値!X210:AQ210)/AVERAGE(終値!X210:AQ210),""))</f>
        <v>0.3996438850899956</v>
      </c>
      <c r="V210" s="503">
        <f>IF(終値!A210="","",IFERROR(4*STDEVP(終値!Y210:AR210)/AVERAGE(終値!Y210:AR210),""))</f>
        <v>0.37407577054497659</v>
      </c>
      <c r="W210" s="503">
        <f>IF(終値!A210="","",IFERROR(4*STDEVP(終値!Z210:AS210)/AVERAGE(終値!Z210:AS210),""))</f>
        <v>0.34470458400134285</v>
      </c>
      <c r="X210" s="503">
        <f>IF(終値!A210="","",IFERROR(4*STDEVP(終値!AA210:AT210)/AVERAGE(終値!AA210:AT210),""))</f>
        <v>0.33387773456714531</v>
      </c>
      <c r="Y210" s="503">
        <f>IF(終値!A210="","",IFERROR(4*STDEVP(終値!AB210:AU210)/AVERAGE(終値!AB210:AU210),""))</f>
        <v>0.32657189232022399</v>
      </c>
      <c r="Z210" s="503">
        <f>IF(終値!A210="","",IFERROR(4*STDEVP(終値!AC210:AV210)/AVERAGE(終値!AC210:AV210),""))</f>
        <v>0.32677298176582981</v>
      </c>
      <c r="AA210" s="503">
        <f>IF(終値!A210="","",IFERROR(4*STDEVP(終値!AD210:AW210)/AVERAGE(終値!AD210:AW210),""))</f>
        <v>0.32765026219453275</v>
      </c>
      <c r="AB210" s="503">
        <f>IF(終値!A210="","",IFERROR(4*STDEVP(終値!AE210:AX210)/AVERAGE(終値!AE210:AX210),""))</f>
        <v>0.33001256949472257</v>
      </c>
      <c r="AC210" s="503">
        <f>IF(終値!A210="","",IFERROR(4*STDEVP(終値!AF210:AY210)/AVERAGE(終値!AF210:AY210),""))</f>
        <v>0.32610520752281752</v>
      </c>
      <c r="AD210" s="503">
        <f>IF(終値!A210="","",IFERROR(4*STDEVP(終値!AG210:AZ210)/AVERAGE(終値!AG210:AZ210),""))</f>
        <v>0.32498841891251423</v>
      </c>
      <c r="AE210" s="503">
        <f>IF(終値!A210="","",IFERROR(4*STDEVP(終値!AH210:BA210)/AVERAGE(終値!AH210:BA210),""))</f>
        <v>0.33634697908858824</v>
      </c>
      <c r="AF210" s="503">
        <f>IF(終値!A210="","",IFERROR(4*STDEVP(終値!AI210:BB210)/AVERAGE(終値!AI210:BB210),""))</f>
        <v>0.32701416347356338</v>
      </c>
      <c r="AG210" s="503">
        <f>IF(終値!A210="","",IFERROR(4*STDEVP(終値!AJ210:BC210)/AVERAGE(終値!AJ210:BC210),""))</f>
        <v>0.34604421473004832</v>
      </c>
      <c r="AH210" s="503">
        <f>IF(終値!A210="","",IFERROR(4*STDEVP(終値!AK210:BD210)/AVERAGE(終値!AK210:BD210),""))</f>
        <v>0.33580193141564807</v>
      </c>
      <c r="AI210" s="503">
        <f>IF(終値!A210="","",IFERROR(4*STDEVP(終値!AL210:BE210)/AVERAGE(終値!AL210:BE210),""))</f>
        <v>0.31848763914748812</v>
      </c>
      <c r="AJ210" s="503">
        <f>IF(終値!A210="","",IFERROR(4*STDEVP(終値!AM210:BF210)/AVERAGE(終値!AM210:BF210),""))</f>
        <v>0.32633035929856608</v>
      </c>
      <c r="AK210" s="503">
        <f>IF(終値!A210="","",IFERROR(4*STDEVP(終値!AN210:BG210)/AVERAGE(終値!AN210:BG210),""))</f>
        <v>0.32601365316131592</v>
      </c>
      <c r="AL210" s="503">
        <f>IF(終値!A210="","",IFERROR(4*STDEVP(終値!AO210:BH210)/AVERAGE(終値!AO210:BH210),""))</f>
        <v>0.32498955579139477</v>
      </c>
      <c r="AM210" s="503">
        <f>IF(終値!A210="","",IFERROR(4*STDEVP(終値!AP210:BI210)/AVERAGE(終値!AP210:BI210),""))</f>
        <v>0.32104088338004361</v>
      </c>
      <c r="AN210" s="503">
        <f>IF(終値!A210="","",IFERROR(4*STDEVP(終値!AQ210:BJ210)/AVERAGE(終値!AQ210:BJ210),""))</f>
        <v>0.3214270272832217</v>
      </c>
      <c r="AO210" s="503">
        <f>IF(終値!A210="","",IFERROR(4*STDEVP(終値!AR210:BK210)/AVERAGE(終値!AR210:BK210),""))</f>
        <v>0.3583266143047712</v>
      </c>
      <c r="AP210" s="503">
        <f>IF(終値!A210="","",IFERROR(4*STDEVP(終値!AS210:BL210)/AVERAGE(終値!AS210:BL210),""))</f>
        <v>0.42334699708143736</v>
      </c>
    </row>
    <row r="211" spans="1:42">
      <c r="A211" s="500" t="str">
        <f>IF(終値!A211="","",終値!A211)</f>
        <v>6273</v>
      </c>
      <c r="B211" s="503">
        <f>IF(終値!A211="","",IFERROR(4*STDEVP(終値!E211:X211)/AVERAGE(終値!E211:X211),""))</f>
        <v>0.16916742053285605</v>
      </c>
      <c r="C211" s="503">
        <f>IF(終値!A211="","",IFERROR(4*STDEVP(終値!F211:Y211)/AVERAGE(終値!F211:Y211),""))</f>
        <v>0.17545730519060229</v>
      </c>
      <c r="D211" s="503">
        <f>IF(終値!A211="","",IFERROR(4*STDEVP(終値!G211:Z211)/AVERAGE(終値!G211:Z211),""))</f>
        <v>0.17578199796713051</v>
      </c>
      <c r="E211" s="503">
        <f>IF(終値!A211="","",IFERROR(4*STDEVP(終値!H211:AA211)/AVERAGE(終値!H211:AA211),""))</f>
        <v>0.18013438000555404</v>
      </c>
      <c r="F211" s="503">
        <f>IF(終値!A211="","",IFERROR(4*STDEVP(終値!I211:AB211)/AVERAGE(終値!I211:AB211),""))</f>
        <v>0.16498443631876855</v>
      </c>
      <c r="G211" s="503">
        <f>IF(終値!A211="","",IFERROR(4*STDEVP(終値!J211:AC211)/AVERAGE(終値!J211:AC211),""))</f>
        <v>0.1395503982610917</v>
      </c>
      <c r="H211" s="503">
        <f>IF(終値!A211="","",IFERROR(4*STDEVP(終値!K211:AD211)/AVERAGE(終値!K211:AD211),""))</f>
        <v>0.10680898910436377</v>
      </c>
      <c r="I211" s="503">
        <f>IF(終値!A211="","",IFERROR(4*STDEVP(終値!L211:AE211)/AVERAGE(終値!L211:AE211),""))</f>
        <v>0.10628671986268109</v>
      </c>
      <c r="J211" s="503">
        <f>IF(終値!A211="","",IFERROR(4*STDEVP(終値!M211:AF211)/AVERAGE(終値!M211:AF211),""))</f>
        <v>0.11297033416465006</v>
      </c>
      <c r="K211" s="503">
        <f>IF(終値!A211="","",IFERROR(4*STDEVP(終値!N211:AG211)/AVERAGE(終値!N211:AG211),""))</f>
        <v>0.11394705911773093</v>
      </c>
      <c r="L211" s="503">
        <f>IF(終値!A211="","",IFERROR(4*STDEVP(終値!O211:AH211)/AVERAGE(終値!O211:AH211),""))</f>
        <v>0.11531800347665852</v>
      </c>
      <c r="M211" s="503">
        <f>IF(終値!A211="","",IFERROR(4*STDEVP(終値!P211:AI211)/AVERAGE(終値!P211:AI211),""))</f>
        <v>0.11188859721142298</v>
      </c>
      <c r="N211" s="503">
        <f>IF(終値!A211="","",IFERROR(4*STDEVP(終値!Q211:AJ211)/AVERAGE(終値!Q211:AJ211),""))</f>
        <v>0.10262919428205257</v>
      </c>
      <c r="O211" s="503">
        <f>IF(終値!A211="","",IFERROR(4*STDEVP(終値!R211:AK211)/AVERAGE(終値!R211:AK211),""))</f>
        <v>9.9355737356072504E-2</v>
      </c>
      <c r="P211" s="503">
        <f>IF(終値!A211="","",IFERROR(4*STDEVP(終値!S211:AL211)/AVERAGE(終値!S211:AL211),""))</f>
        <v>0.10933114131842045</v>
      </c>
      <c r="Q211" s="503">
        <f>IF(終値!A211="","",IFERROR(4*STDEVP(終値!T211:AM211)/AVERAGE(終値!T211:AM211),""))</f>
        <v>0.1123050437646787</v>
      </c>
      <c r="R211" s="503">
        <f>IF(終値!A211="","",IFERROR(4*STDEVP(終値!U211:AN211)/AVERAGE(終値!U211:AN211),""))</f>
        <v>0.133565420522057</v>
      </c>
      <c r="S211" s="503">
        <f>IF(終値!A211="","",IFERROR(4*STDEVP(終値!V211:AO211)/AVERAGE(終値!V211:AO211),""))</f>
        <v>0.18152824671727502</v>
      </c>
      <c r="T211" s="503">
        <f>IF(終値!A211="","",IFERROR(4*STDEVP(終値!W211:AP211)/AVERAGE(終値!W211:AP211),""))</f>
        <v>0.21717093432588189</v>
      </c>
      <c r="U211" s="503">
        <f>IF(終値!A211="","",IFERROR(4*STDEVP(終値!X211:AQ211)/AVERAGE(終値!X211:AQ211),""))</f>
        <v>0.24285162151135151</v>
      </c>
      <c r="V211" s="503">
        <f>IF(終値!A211="","",IFERROR(4*STDEVP(終値!Y211:AR211)/AVERAGE(終値!Y211:AR211),""))</f>
        <v>0.24233315774004174</v>
      </c>
      <c r="W211" s="503">
        <f>IF(終値!A211="","",IFERROR(4*STDEVP(終値!Z211:AS211)/AVERAGE(終値!Z211:AS211),""))</f>
        <v>0.23849556244656922</v>
      </c>
      <c r="X211" s="503">
        <f>IF(終値!A211="","",IFERROR(4*STDEVP(終値!AA211:AT211)/AVERAGE(終値!AA211:AT211),""))</f>
        <v>0.24503327980136588</v>
      </c>
      <c r="Y211" s="503">
        <f>IF(終値!A211="","",IFERROR(4*STDEVP(終値!AB211:AU211)/AVERAGE(終値!AB211:AU211),""))</f>
        <v>0.24093648416135141</v>
      </c>
      <c r="Z211" s="503">
        <f>IF(終値!A211="","",IFERROR(4*STDEVP(終値!AC211:AV211)/AVERAGE(終値!AC211:AV211),""))</f>
        <v>0.23842350236956711</v>
      </c>
      <c r="AA211" s="503">
        <f>IF(終値!A211="","",IFERROR(4*STDEVP(終値!AD211:AW211)/AVERAGE(終値!AD211:AW211),""))</f>
        <v>0.2370988388404589</v>
      </c>
      <c r="AB211" s="503">
        <f>IF(終値!A211="","",IFERROR(4*STDEVP(終値!AE211:AX211)/AVERAGE(終値!AE211:AX211),""))</f>
        <v>0.23408399244044834</v>
      </c>
      <c r="AC211" s="503">
        <f>IF(終値!A211="","",IFERROR(4*STDEVP(終値!AF211:AY211)/AVERAGE(終値!AF211:AY211),""))</f>
        <v>0.22511895705395099</v>
      </c>
      <c r="AD211" s="503">
        <f>IF(終値!A211="","",IFERROR(4*STDEVP(終値!AG211:AZ211)/AVERAGE(終値!AG211:AZ211),""))</f>
        <v>0.22518900223940624</v>
      </c>
      <c r="AE211" s="503">
        <f>IF(終値!A211="","",IFERROR(4*STDEVP(終値!AH211:BA211)/AVERAGE(終値!AH211:BA211),""))</f>
        <v>0.22230054268429086</v>
      </c>
      <c r="AF211" s="503">
        <f>IF(終値!A211="","",IFERROR(4*STDEVP(終値!AI211:BB211)/AVERAGE(終値!AI211:BB211),""))</f>
        <v>0.20281758714343581</v>
      </c>
      <c r="AG211" s="503">
        <f>IF(終値!A211="","",IFERROR(4*STDEVP(終値!AJ211:BC211)/AVERAGE(終値!AJ211:BC211),""))</f>
        <v>0.18511194239605056</v>
      </c>
      <c r="AH211" s="503">
        <f>IF(終値!A211="","",IFERROR(4*STDEVP(終値!AK211:BD211)/AVERAGE(終値!AK211:BD211),""))</f>
        <v>0.16479409154046903</v>
      </c>
      <c r="AI211" s="503">
        <f>IF(終値!A211="","",IFERROR(4*STDEVP(終値!AL211:BE211)/AVERAGE(終値!AL211:BE211),""))</f>
        <v>0.14099822668470105</v>
      </c>
      <c r="AJ211" s="503">
        <f>IF(終値!A211="","",IFERROR(4*STDEVP(終値!AM211:BF211)/AVERAGE(終値!AM211:BF211),""))</f>
        <v>0.22473620293074525</v>
      </c>
      <c r="AK211" s="503">
        <f>IF(終値!A211="","",IFERROR(4*STDEVP(終値!AN211:BG211)/AVERAGE(終値!AN211:BG211),""))</f>
        <v>0.31952976379016917</v>
      </c>
      <c r="AL211" s="503">
        <f>IF(終値!A211="","",IFERROR(4*STDEVP(終値!AO211:BH211)/AVERAGE(終値!AO211:BH211),""))</f>
        <v>0.38555784008418403</v>
      </c>
      <c r="AM211" s="503">
        <f>IF(終値!A211="","",IFERROR(4*STDEVP(終値!AP211:BI211)/AVERAGE(終値!AP211:BI211),""))</f>
        <v>0.41099821339320658</v>
      </c>
      <c r="AN211" s="503">
        <f>IF(終値!A211="","",IFERROR(4*STDEVP(終値!AQ211:BJ211)/AVERAGE(終値!AQ211:BJ211),""))</f>
        <v>0.42777827012416242</v>
      </c>
      <c r="AO211" s="503">
        <f>IF(終値!A211="","",IFERROR(4*STDEVP(終値!AR211:BK211)/AVERAGE(終値!AR211:BK211),""))</f>
        <v>0.42291116499809678</v>
      </c>
      <c r="AP211" s="503">
        <f>IF(終値!A211="","",IFERROR(4*STDEVP(終値!AS211:BL211)/AVERAGE(終値!AS211:BL211),""))</f>
        <v>0.4165143954278307</v>
      </c>
    </row>
    <row r="212" spans="1:42">
      <c r="A212" s="500" t="str">
        <f>IF(終値!A212="","",終値!A212)</f>
        <v>4502</v>
      </c>
      <c r="B212" s="503">
        <f>IF(終値!A212="","",IFERROR(4*STDEVP(終値!E212:X212)/AVERAGE(終値!E212:X212),""))</f>
        <v>0.11770661438418246</v>
      </c>
      <c r="C212" s="503">
        <f>IF(終値!A212="","",IFERROR(4*STDEVP(終値!F212:Y212)/AVERAGE(終値!F212:Y212),""))</f>
        <v>0.11454894179739107</v>
      </c>
      <c r="D212" s="503">
        <f>IF(終値!A212="","",IFERROR(4*STDEVP(終値!G212:Z212)/AVERAGE(終値!G212:Z212),""))</f>
        <v>0.11969716873132219</v>
      </c>
      <c r="E212" s="503">
        <f>IF(終値!A212="","",IFERROR(4*STDEVP(終値!H212:AA212)/AVERAGE(終値!H212:AA212),""))</f>
        <v>0.13254159314225508</v>
      </c>
      <c r="F212" s="503">
        <f>IF(終値!A212="","",IFERROR(4*STDEVP(終値!I212:AB212)/AVERAGE(終値!I212:AB212),""))</f>
        <v>0.13711612395689154</v>
      </c>
      <c r="G212" s="503">
        <f>IF(終値!A212="","",IFERROR(4*STDEVP(終値!J212:AC212)/AVERAGE(終値!J212:AC212),""))</f>
        <v>0.12821900616377133</v>
      </c>
      <c r="H212" s="503">
        <f>IF(終値!A212="","",IFERROR(4*STDEVP(終値!K212:AD212)/AVERAGE(終値!K212:AD212),""))</f>
        <v>0.1278348898147437</v>
      </c>
      <c r="I212" s="503">
        <f>IF(終値!A212="","",IFERROR(4*STDEVP(終値!L212:AE212)/AVERAGE(終値!L212:AE212),""))</f>
        <v>0.12256345344384777</v>
      </c>
      <c r="J212" s="503">
        <f>IF(終値!A212="","",IFERROR(4*STDEVP(終値!M212:AF212)/AVERAGE(終値!M212:AF212),""))</f>
        <v>0.11881146582066157</v>
      </c>
      <c r="K212" s="503">
        <f>IF(終値!A212="","",IFERROR(4*STDEVP(終値!N212:AG212)/AVERAGE(終値!N212:AG212),""))</f>
        <v>0.12595231882412877</v>
      </c>
      <c r="L212" s="503">
        <f>IF(終値!A212="","",IFERROR(4*STDEVP(終値!O212:AH212)/AVERAGE(終値!O212:AH212),""))</f>
        <v>0.12990438501038462</v>
      </c>
      <c r="M212" s="503">
        <f>IF(終値!A212="","",IFERROR(4*STDEVP(終値!P212:AI212)/AVERAGE(終値!P212:AI212),""))</f>
        <v>0.13263307246488656</v>
      </c>
      <c r="N212" s="503">
        <f>IF(終値!A212="","",IFERROR(4*STDEVP(終値!Q212:AJ212)/AVERAGE(終値!Q212:AJ212),""))</f>
        <v>0.13060098651612648</v>
      </c>
      <c r="O212" s="503">
        <f>IF(終値!A212="","",IFERROR(4*STDEVP(終値!R212:AK212)/AVERAGE(終値!R212:AK212),""))</f>
        <v>0.1386586951883822</v>
      </c>
      <c r="P212" s="503">
        <f>IF(終値!A212="","",IFERROR(4*STDEVP(終値!S212:AL212)/AVERAGE(終値!S212:AL212),""))</f>
        <v>0.14053248898452173</v>
      </c>
      <c r="Q212" s="503">
        <f>IF(終値!A212="","",IFERROR(4*STDEVP(終値!T212:AM212)/AVERAGE(終値!T212:AM212),""))</f>
        <v>0.1398417588119184</v>
      </c>
      <c r="R212" s="503">
        <f>IF(終値!A212="","",IFERROR(4*STDEVP(終値!U212:AN212)/AVERAGE(終値!U212:AN212),""))</f>
        <v>0.13717947525365845</v>
      </c>
      <c r="S212" s="503">
        <f>IF(終値!A212="","",IFERROR(4*STDEVP(終値!V212:AO212)/AVERAGE(終値!V212:AO212),""))</f>
        <v>0.13262730567088021</v>
      </c>
      <c r="T212" s="503">
        <f>IF(終値!A212="","",IFERROR(4*STDEVP(終値!W212:AP212)/AVERAGE(終値!W212:AP212),""))</f>
        <v>0.12170391968695385</v>
      </c>
      <c r="U212" s="503">
        <f>IF(終値!A212="","",IFERROR(4*STDEVP(終値!X212:AQ212)/AVERAGE(終値!X212:AQ212),""))</f>
        <v>0.10802787843645002</v>
      </c>
      <c r="V212" s="503">
        <f>IF(終値!A212="","",IFERROR(4*STDEVP(終値!Y212:AR212)/AVERAGE(終値!Y212:AR212),""))</f>
        <v>8.3752547585291659E-2</v>
      </c>
      <c r="W212" s="503">
        <f>IF(終値!A212="","",IFERROR(4*STDEVP(終値!Z212:AS212)/AVERAGE(終値!Z212:AS212),""))</f>
        <v>7.5987021525511442E-2</v>
      </c>
      <c r="X212" s="503">
        <f>IF(終値!A212="","",IFERROR(4*STDEVP(終値!AA212:AT212)/AVERAGE(終値!AA212:AT212),""))</f>
        <v>8.1974098262369385E-2</v>
      </c>
      <c r="Y212" s="503">
        <f>IF(終値!A212="","",IFERROR(4*STDEVP(終値!AB212:AU212)/AVERAGE(終値!AB212:AU212),""))</f>
        <v>8.4162457688732581E-2</v>
      </c>
      <c r="Z212" s="503">
        <f>IF(終値!A212="","",IFERROR(4*STDEVP(終値!AC212:AV212)/AVERAGE(終値!AC212:AV212),""))</f>
        <v>8.2379028202565277E-2</v>
      </c>
      <c r="AA212" s="503">
        <f>IF(終値!A212="","",IFERROR(4*STDEVP(終値!AD212:AW212)/AVERAGE(終値!AD212:AW212),""))</f>
        <v>7.9287287920625435E-2</v>
      </c>
      <c r="AB212" s="503">
        <f>IF(終値!A212="","",IFERROR(4*STDEVP(終値!AE212:AX212)/AVERAGE(終値!AE212:AX212),""))</f>
        <v>8.091680301878601E-2</v>
      </c>
      <c r="AC212" s="503">
        <f>IF(終値!A212="","",IFERROR(4*STDEVP(終値!AF212:AY212)/AVERAGE(終値!AF212:AY212),""))</f>
        <v>8.2262950531492879E-2</v>
      </c>
      <c r="AD212" s="503">
        <f>IF(終値!A212="","",IFERROR(4*STDEVP(終値!AG212:AZ212)/AVERAGE(終値!AG212:AZ212),""))</f>
        <v>8.2446730028529369E-2</v>
      </c>
      <c r="AE212" s="503">
        <f>IF(終値!A212="","",IFERROR(4*STDEVP(終値!AH212:BA212)/AVERAGE(終値!AH212:BA212),""))</f>
        <v>8.7476836985921708E-2</v>
      </c>
      <c r="AF212" s="503">
        <f>IF(終値!A212="","",IFERROR(4*STDEVP(終値!AI212:BB212)/AVERAGE(終値!AI212:BB212),""))</f>
        <v>9.5927207361888478E-2</v>
      </c>
      <c r="AG212" s="503">
        <f>IF(終値!A212="","",IFERROR(4*STDEVP(終値!AJ212:BC212)/AVERAGE(終値!AJ212:BC212),""))</f>
        <v>0.10120048521662312</v>
      </c>
      <c r="AH212" s="503">
        <f>IF(終値!A212="","",IFERROR(4*STDEVP(終値!AK212:BD212)/AVERAGE(終値!AK212:BD212),""))</f>
        <v>0.10670984958505317</v>
      </c>
      <c r="AI212" s="503">
        <f>IF(終値!A212="","",IFERROR(4*STDEVP(終値!AL212:BE212)/AVERAGE(終値!AL212:BE212),""))</f>
        <v>0.11027756117840924</v>
      </c>
      <c r="AJ212" s="503">
        <f>IF(終値!A212="","",IFERROR(4*STDEVP(終値!AM212:BF212)/AVERAGE(終値!AM212:BF212),""))</f>
        <v>0.11370619089657127</v>
      </c>
      <c r="AK212" s="503">
        <f>IF(終値!A212="","",IFERROR(4*STDEVP(終値!AN212:BG212)/AVERAGE(終値!AN212:BG212),""))</f>
        <v>0.11499354357238131</v>
      </c>
      <c r="AL212" s="503">
        <f>IF(終値!A212="","",IFERROR(4*STDEVP(終値!AO212:BH212)/AVERAGE(終値!AO212:BH212),""))</f>
        <v>0.11559168620030635</v>
      </c>
      <c r="AM212" s="503">
        <f>IF(終値!A212="","",IFERROR(4*STDEVP(終値!AP212:BI212)/AVERAGE(終値!AP212:BI212),""))</f>
        <v>0.11535545829109932</v>
      </c>
      <c r="AN212" s="503">
        <f>IF(終値!A212="","",IFERROR(4*STDEVP(終値!AQ212:BJ212)/AVERAGE(終値!AQ212:BJ212),""))</f>
        <v>0.11650136281240349</v>
      </c>
      <c r="AO212" s="503">
        <f>IF(終値!A212="","",IFERROR(4*STDEVP(終値!AR212:BK212)/AVERAGE(終値!AR212:BK212),""))</f>
        <v>0.12042495261567776</v>
      </c>
      <c r="AP212" s="503">
        <f>IF(終値!A212="","",IFERROR(4*STDEVP(終値!AS212:BL212)/AVERAGE(終値!AS212:BL212),""))</f>
        <v>0.11613855391439599</v>
      </c>
    </row>
    <row r="213" spans="1:42">
      <c r="A213" s="500" t="str">
        <f>IF(終値!A213="","",終値!A213)</f>
        <v>4004</v>
      </c>
      <c r="B213" s="503">
        <f>IF(終値!A213="","",IFERROR(4*STDEVP(終値!E213:X213)/AVERAGE(終値!E213:X213),""))</f>
        <v>0.34869425063619414</v>
      </c>
      <c r="C213" s="503">
        <f>IF(終値!A213="","",IFERROR(4*STDEVP(終値!F213:Y213)/AVERAGE(終値!F213:Y213),""))</f>
        <v>0.38384150301077252</v>
      </c>
      <c r="D213" s="503">
        <f>IF(終値!A213="","",IFERROR(4*STDEVP(終値!G213:Z213)/AVERAGE(終値!G213:Z213),""))</f>
        <v>0.41623042156514395</v>
      </c>
      <c r="E213" s="503">
        <f>IF(終値!A213="","",IFERROR(4*STDEVP(終値!H213:AA213)/AVERAGE(終値!H213:AA213),""))</f>
        <v>0.45253940034227297</v>
      </c>
      <c r="F213" s="503">
        <f>IF(終値!A213="","",IFERROR(4*STDEVP(終値!I213:AB213)/AVERAGE(終値!I213:AB213),""))</f>
        <v>0.42456053439309893</v>
      </c>
      <c r="G213" s="503">
        <f>IF(終値!A213="","",IFERROR(4*STDEVP(終値!J213:AC213)/AVERAGE(終値!J213:AC213),""))</f>
        <v>0.39009290546680986</v>
      </c>
      <c r="H213" s="503">
        <f>IF(終値!A213="","",IFERROR(4*STDEVP(終値!K213:AD213)/AVERAGE(終値!K213:AD213),""))</f>
        <v>0.33813043067718751</v>
      </c>
      <c r="I213" s="503">
        <f>IF(終値!A213="","",IFERROR(4*STDEVP(終値!L213:AE213)/AVERAGE(終値!L213:AE213),""))</f>
        <v>0.32466109746823379</v>
      </c>
      <c r="J213" s="503">
        <f>IF(終値!A213="","",IFERROR(4*STDEVP(終値!M213:AF213)/AVERAGE(終値!M213:AF213),""))</f>
        <v>0.3156801750158551</v>
      </c>
      <c r="K213" s="503">
        <f>IF(終値!A213="","",IFERROR(4*STDEVP(終値!N213:AG213)/AVERAGE(終値!N213:AG213),""))</f>
        <v>0.32370222807432558</v>
      </c>
      <c r="L213" s="503">
        <f>IF(終値!A213="","",IFERROR(4*STDEVP(終値!O213:AH213)/AVERAGE(終値!O213:AH213),""))</f>
        <v>0.34219213705948387</v>
      </c>
      <c r="M213" s="503">
        <f>IF(終値!A213="","",IFERROR(4*STDEVP(終値!P213:AI213)/AVERAGE(終値!P213:AI213),""))</f>
        <v>0.3268245118575987</v>
      </c>
      <c r="N213" s="503">
        <f>IF(終値!A213="","",IFERROR(4*STDEVP(終値!Q213:AJ213)/AVERAGE(終値!Q213:AJ213),""))</f>
        <v>0.28681660637862116</v>
      </c>
      <c r="O213" s="503">
        <f>IF(終値!A213="","",IFERROR(4*STDEVP(終値!R213:AK213)/AVERAGE(終値!R213:AK213),""))</f>
        <v>0.28478818490445879</v>
      </c>
      <c r="P213" s="503">
        <f>IF(終値!A213="","",IFERROR(4*STDEVP(終値!S213:AL213)/AVERAGE(終値!S213:AL213),""))</f>
        <v>0.26831366502438037</v>
      </c>
      <c r="Q213" s="503">
        <f>IF(終値!A213="","",IFERROR(4*STDEVP(終値!T213:AM213)/AVERAGE(終値!T213:AM213),""))</f>
        <v>0.24575988603112778</v>
      </c>
      <c r="R213" s="503">
        <f>IF(終値!A213="","",IFERROR(4*STDEVP(終値!U213:AN213)/AVERAGE(終値!U213:AN213),""))</f>
        <v>0.23611793541499465</v>
      </c>
      <c r="S213" s="503">
        <f>IF(終値!A213="","",IFERROR(4*STDEVP(終値!V213:AO213)/AVERAGE(終値!V213:AO213),""))</f>
        <v>0.22466396217611342</v>
      </c>
      <c r="T213" s="503">
        <f>IF(終値!A213="","",IFERROR(4*STDEVP(終値!W213:AP213)/AVERAGE(終値!W213:AP213),""))</f>
        <v>0.22452772874521432</v>
      </c>
      <c r="U213" s="503">
        <f>IF(終値!A213="","",IFERROR(4*STDEVP(終値!X213:AQ213)/AVERAGE(終値!X213:AQ213),""))</f>
        <v>0.21802983571970375</v>
      </c>
      <c r="V213" s="503">
        <f>IF(終値!A213="","",IFERROR(4*STDEVP(終値!Y213:AR213)/AVERAGE(終値!Y213:AR213),""))</f>
        <v>0.2132668946188809</v>
      </c>
      <c r="W213" s="503">
        <f>IF(終値!A213="","",IFERROR(4*STDEVP(終値!Z213:AS213)/AVERAGE(終値!Z213:AS213),""))</f>
        <v>0.21289750469212407</v>
      </c>
      <c r="X213" s="503">
        <f>IF(終値!A213="","",IFERROR(4*STDEVP(終値!AA213:AT213)/AVERAGE(終値!AA213:AT213),""))</f>
        <v>0.21765707009798152</v>
      </c>
      <c r="Y213" s="503">
        <f>IF(終値!A213="","",IFERROR(4*STDEVP(終値!AB213:AU213)/AVERAGE(終値!AB213:AU213),""))</f>
        <v>0.21303679834338773</v>
      </c>
      <c r="Z213" s="503">
        <f>IF(終値!A213="","",IFERROR(4*STDEVP(終値!AC213:AV213)/AVERAGE(終値!AC213:AV213),""))</f>
        <v>0.2179804128219707</v>
      </c>
      <c r="AA213" s="503">
        <f>IF(終値!A213="","",IFERROR(4*STDEVP(終値!AD213:AW213)/AVERAGE(終値!AD213:AW213),""))</f>
        <v>0.22047343162018351</v>
      </c>
      <c r="AB213" s="503">
        <f>IF(終値!A213="","",IFERROR(4*STDEVP(終値!AE213:AX213)/AVERAGE(終値!AE213:AX213),""))</f>
        <v>0.22664637469126192</v>
      </c>
      <c r="AC213" s="503">
        <f>IF(終値!A213="","",IFERROR(4*STDEVP(終値!AF213:AY213)/AVERAGE(終値!AF213:AY213),""))</f>
        <v>0.23770567059345868</v>
      </c>
      <c r="AD213" s="503">
        <f>IF(終値!A213="","",IFERROR(4*STDEVP(終値!AG213:AZ213)/AVERAGE(終値!AG213:AZ213),""))</f>
        <v>0.23725369635716725</v>
      </c>
      <c r="AE213" s="503">
        <f>IF(終値!A213="","",IFERROR(4*STDEVP(終値!AH213:BA213)/AVERAGE(終値!AH213:BA213),""))</f>
        <v>0.23939319910145387</v>
      </c>
      <c r="AF213" s="503">
        <f>IF(終値!A213="","",IFERROR(4*STDEVP(終値!AI213:BB213)/AVERAGE(終値!AI213:BB213),""))</f>
        <v>0.24997136585721266</v>
      </c>
      <c r="AG213" s="503">
        <f>IF(終値!A213="","",IFERROR(4*STDEVP(終値!AJ213:BC213)/AVERAGE(終値!AJ213:BC213),""))</f>
        <v>0.25921658879914466</v>
      </c>
      <c r="AH213" s="503">
        <f>IF(終値!A213="","",IFERROR(4*STDEVP(終値!AK213:BD213)/AVERAGE(終値!AK213:BD213),""))</f>
        <v>0.2615992475686037</v>
      </c>
      <c r="AI213" s="503">
        <f>IF(終値!A213="","",IFERROR(4*STDEVP(終値!AL213:BE213)/AVERAGE(終値!AL213:BE213),""))</f>
        <v>0.25839731182688463</v>
      </c>
      <c r="AJ213" s="503">
        <f>IF(終値!A213="","",IFERROR(4*STDEVP(終値!AM213:BF213)/AVERAGE(終値!AM213:BF213),""))</f>
        <v>0.26198568150178503</v>
      </c>
      <c r="AK213" s="503">
        <f>IF(終値!A213="","",IFERROR(4*STDEVP(終値!AN213:BG213)/AVERAGE(終値!AN213:BG213),""))</f>
        <v>0.25899586440736633</v>
      </c>
      <c r="AL213" s="503">
        <f>IF(終値!A213="","",IFERROR(4*STDEVP(終値!AO213:BH213)/AVERAGE(終値!AO213:BH213),""))</f>
        <v>0.25713299824655655</v>
      </c>
      <c r="AM213" s="503">
        <f>IF(終値!A213="","",IFERROR(4*STDEVP(終値!AP213:BI213)/AVERAGE(終値!AP213:BI213),""))</f>
        <v>0.25221924655639161</v>
      </c>
      <c r="AN213" s="503">
        <f>IF(終値!A213="","",IFERROR(4*STDEVP(終値!AQ213:BJ213)/AVERAGE(終値!AQ213:BJ213),""))</f>
        <v>0.23830554304725984</v>
      </c>
      <c r="AO213" s="503">
        <f>IF(終値!A213="","",IFERROR(4*STDEVP(終値!AR213:BK213)/AVERAGE(終値!AR213:BK213),""))</f>
        <v>0.245918744513483</v>
      </c>
      <c r="AP213" s="503">
        <f>IF(終値!A213="","",IFERROR(4*STDEVP(終値!AS213:BL213)/AVERAGE(終値!AS213:BL213),""))</f>
        <v>0.30497943217377532</v>
      </c>
    </row>
    <row r="214" spans="1:42">
      <c r="A214" s="500" t="str">
        <f>IF(終値!A214="","",終値!A214)</f>
        <v>9519</v>
      </c>
      <c r="B214" s="503">
        <f>IF(終値!A214="","",IFERROR(4*STDEVP(終値!E214:X214)/AVERAGE(終値!E214:X214),""))</f>
        <v>0.1508489771829368</v>
      </c>
      <c r="C214" s="503">
        <f>IF(終値!A214="","",IFERROR(4*STDEVP(終値!F214:Y214)/AVERAGE(終値!F214:Y214),""))</f>
        <v>0.14757721323362374</v>
      </c>
      <c r="D214" s="503">
        <f>IF(終値!A214="","",IFERROR(4*STDEVP(終値!G214:Z214)/AVERAGE(終値!G214:Z214),""))</f>
        <v>0.13464017510113002</v>
      </c>
      <c r="E214" s="503">
        <f>IF(終値!A214="","",IFERROR(4*STDEVP(終値!H214:AA214)/AVERAGE(終値!H214:AA214),""))</f>
        <v>0.12885404126105054</v>
      </c>
      <c r="F214" s="503">
        <f>IF(終値!A214="","",IFERROR(4*STDEVP(終値!I214:AB214)/AVERAGE(終値!I214:AB214),""))</f>
        <v>0.12167036324856116</v>
      </c>
      <c r="G214" s="503">
        <f>IF(終値!A214="","",IFERROR(4*STDEVP(終値!J214:AC214)/AVERAGE(終値!J214:AC214),""))</f>
        <v>0.1210692608588628</v>
      </c>
      <c r="H214" s="503">
        <f>IF(終値!A214="","",IFERROR(4*STDEVP(終値!K214:AD214)/AVERAGE(終値!K214:AD214),""))</f>
        <v>0.13357425135684078</v>
      </c>
      <c r="I214" s="503">
        <f>IF(終値!A214="","",IFERROR(4*STDEVP(終値!L214:AE214)/AVERAGE(終値!L214:AE214),""))</f>
        <v>0.14664756692554665</v>
      </c>
      <c r="J214" s="503">
        <f>IF(終値!A214="","",IFERROR(4*STDEVP(終値!M214:AF214)/AVERAGE(終値!M214:AF214),""))</f>
        <v>0.14673978510030819</v>
      </c>
      <c r="K214" s="503">
        <f>IF(終値!A214="","",IFERROR(4*STDEVP(終値!N214:AG214)/AVERAGE(終値!N214:AG214),""))</f>
        <v>0.1511558990610874</v>
      </c>
      <c r="L214" s="503">
        <f>IF(終値!A214="","",IFERROR(4*STDEVP(終値!O214:AH214)/AVERAGE(終値!O214:AH214),""))</f>
        <v>0.15977666056200465</v>
      </c>
      <c r="M214" s="503">
        <f>IF(終値!A214="","",IFERROR(4*STDEVP(終値!P214:AI214)/AVERAGE(終値!P214:AI214),""))</f>
        <v>0.20142865112868175</v>
      </c>
      <c r="N214" s="503">
        <f>IF(終値!A214="","",IFERROR(4*STDEVP(終値!Q214:AJ214)/AVERAGE(終値!Q214:AJ214),""))</f>
        <v>0.22566872858386014</v>
      </c>
      <c r="O214" s="503">
        <f>IF(終値!A214="","",IFERROR(4*STDEVP(終値!R214:AK214)/AVERAGE(終値!R214:AK214),""))</f>
        <v>0.21150708927271492</v>
      </c>
      <c r="P214" s="503">
        <f>IF(終値!A214="","",IFERROR(4*STDEVP(終値!S214:AL214)/AVERAGE(終値!S214:AL214),""))</f>
        <v>0.21408808947750327</v>
      </c>
      <c r="Q214" s="503">
        <f>IF(終値!A214="","",IFERROR(4*STDEVP(終値!T214:AM214)/AVERAGE(終値!T214:AM214),""))</f>
        <v>0.21636489419849397</v>
      </c>
      <c r="R214" s="503">
        <f>IF(終値!A214="","",IFERROR(4*STDEVP(終値!U214:AN214)/AVERAGE(終値!U214:AN214),""))</f>
        <v>0.21879767141536494</v>
      </c>
      <c r="S214" s="503">
        <f>IF(終値!A214="","",IFERROR(4*STDEVP(終値!V214:AO214)/AVERAGE(終値!V214:AO214),""))</f>
        <v>0.21964040137221499</v>
      </c>
      <c r="T214" s="503">
        <f>IF(終値!A214="","",IFERROR(4*STDEVP(終値!W214:AP214)/AVERAGE(終値!W214:AP214),""))</f>
        <v>0.21923593553627116</v>
      </c>
      <c r="U214" s="503">
        <f>IF(終値!A214="","",IFERROR(4*STDEVP(終値!X214:AQ214)/AVERAGE(終値!X214:AQ214),""))</f>
        <v>0.22626881207861638</v>
      </c>
      <c r="V214" s="503">
        <f>IF(終値!A214="","",IFERROR(4*STDEVP(終値!Y214:AR214)/AVERAGE(終値!Y214:AR214),""))</f>
        <v>0.24323599917706185</v>
      </c>
      <c r="W214" s="503">
        <f>IF(終値!A214="","",IFERROR(4*STDEVP(終値!Z214:AS214)/AVERAGE(終値!Z214:AS214),""))</f>
        <v>0.23925450997053091</v>
      </c>
      <c r="X214" s="503">
        <f>IF(終値!A214="","",IFERROR(4*STDEVP(終値!AA214:AT214)/AVERAGE(終値!AA214:AT214),""))</f>
        <v>0.25100505391311317</v>
      </c>
      <c r="Y214" s="503">
        <f>IF(終値!A214="","",IFERROR(4*STDEVP(終値!AB214:AU214)/AVERAGE(終値!AB214:AU214),""))</f>
        <v>0.30107973837966839</v>
      </c>
      <c r="Z214" s="503">
        <f>IF(終値!A214="","",IFERROR(4*STDEVP(終値!AC214:AV214)/AVERAGE(終値!AC214:AV214),""))</f>
        <v>0.38633811124481893</v>
      </c>
      <c r="AA214" s="503">
        <f>IF(終値!A214="","",IFERROR(4*STDEVP(終値!AD214:AW214)/AVERAGE(終値!AD214:AW214),""))</f>
        <v>0.4579049401053476</v>
      </c>
      <c r="AB214" s="503">
        <f>IF(終値!A214="","",IFERROR(4*STDEVP(終値!AE214:AX214)/AVERAGE(終値!AE214:AX214),""))</f>
        <v>0.53560383498406483</v>
      </c>
      <c r="AC214" s="503">
        <f>IF(終値!A214="","",IFERROR(4*STDEVP(終値!AF214:AY214)/AVERAGE(終値!AF214:AY214),""))</f>
        <v>0.60261131287995506</v>
      </c>
      <c r="AD214" s="503">
        <f>IF(終値!A214="","",IFERROR(4*STDEVP(終値!AG214:AZ214)/AVERAGE(終値!AG214:AZ214),""))</f>
        <v>0.65787112165491313</v>
      </c>
      <c r="AE214" s="503">
        <f>IF(終値!A214="","",IFERROR(4*STDEVP(終値!AH214:BA214)/AVERAGE(終値!AH214:BA214),""))</f>
        <v>0.68182809867739236</v>
      </c>
      <c r="AF214" s="503">
        <f>IF(終値!A214="","",IFERROR(4*STDEVP(終値!AI214:BB214)/AVERAGE(終値!AI214:BB214),""))</f>
        <v>0.68109122179334813</v>
      </c>
      <c r="AG214" s="503">
        <f>IF(終値!A214="","",IFERROR(4*STDEVP(終値!AJ214:BC214)/AVERAGE(終値!AJ214:BC214),""))</f>
        <v>0.67788441021104839</v>
      </c>
      <c r="AH214" s="503">
        <f>IF(終値!A214="","",IFERROR(4*STDEVP(終値!AK214:BD214)/AVERAGE(終値!AK214:BD214),""))</f>
        <v>0.64507987758711371</v>
      </c>
      <c r="AI214" s="503">
        <f>IF(終値!A214="","",IFERROR(4*STDEVP(終値!AL214:BE214)/AVERAGE(終値!AL214:BE214),""))</f>
        <v>0.63010438303790683</v>
      </c>
      <c r="AJ214" s="503">
        <f>IF(終値!A214="","",IFERROR(4*STDEVP(終値!AM214:BF214)/AVERAGE(終値!AM214:BF214),""))</f>
        <v>0.59872792822511411</v>
      </c>
      <c r="AK214" s="503">
        <f>IF(終値!A214="","",IFERROR(4*STDEVP(終値!AN214:BG214)/AVERAGE(終値!AN214:BG214),""))</f>
        <v>0.55661785103894301</v>
      </c>
      <c r="AL214" s="503">
        <f>IF(終値!A214="","",IFERROR(4*STDEVP(終値!AO214:BH214)/AVERAGE(終値!AO214:BH214),""))</f>
        <v>0.50772986636883666</v>
      </c>
      <c r="AM214" s="503">
        <f>IF(終値!A214="","",IFERROR(4*STDEVP(終値!AP214:BI214)/AVERAGE(終値!AP214:BI214),""))</f>
        <v>0.45191087490225562</v>
      </c>
      <c r="AN214" s="503">
        <f>IF(終値!A214="","",IFERROR(4*STDEVP(終値!AQ214:BJ214)/AVERAGE(終値!AQ214:BJ214),""))</f>
        <v>0.39577445137233669</v>
      </c>
      <c r="AO214" s="503">
        <f>IF(終値!A214="","",IFERROR(4*STDEVP(終値!AR214:BK214)/AVERAGE(終値!AR214:BK214),""))</f>
        <v>0.36570628939341054</v>
      </c>
      <c r="AP214" s="503">
        <f>IF(終値!A214="","",IFERROR(4*STDEVP(終値!AS214:BL214)/AVERAGE(終値!AS214:BL214),""))</f>
        <v>0.34481552020531026</v>
      </c>
    </row>
    <row r="215" spans="1:42">
      <c r="A215" s="500" t="str">
        <f>IF(終値!A215="","",終値!A215)</f>
        <v>6752</v>
      </c>
      <c r="B215" s="503">
        <f>IF(終値!A215="","",IFERROR(4*STDEVP(終値!E215:X215)/AVERAGE(終値!E215:X215),""))</f>
        <v>0.29245183049701018</v>
      </c>
      <c r="C215" s="503">
        <f>IF(終値!A215="","",IFERROR(4*STDEVP(終値!F215:Y215)/AVERAGE(終値!F215:Y215),""))</f>
        <v>0.30236473398078295</v>
      </c>
      <c r="D215" s="503">
        <f>IF(終値!A215="","",IFERROR(4*STDEVP(終値!G215:Z215)/AVERAGE(終値!G215:Z215),""))</f>
        <v>0.3120078623377841</v>
      </c>
      <c r="E215" s="503">
        <f>IF(終値!A215="","",IFERROR(4*STDEVP(終値!H215:AA215)/AVERAGE(終値!H215:AA215),""))</f>
        <v>0.33491077030297972</v>
      </c>
      <c r="F215" s="503">
        <f>IF(終値!A215="","",IFERROR(4*STDEVP(終値!I215:AB215)/AVERAGE(終値!I215:AB215),""))</f>
        <v>0.31069240282897742</v>
      </c>
      <c r="G215" s="503">
        <f>IF(終値!A215="","",IFERROR(4*STDEVP(終値!J215:AC215)/AVERAGE(終値!J215:AC215),""))</f>
        <v>0.26705135890814219</v>
      </c>
      <c r="H215" s="503">
        <f>IF(終値!A215="","",IFERROR(4*STDEVP(終値!K215:AD215)/AVERAGE(終値!K215:AD215),""))</f>
        <v>0.22785370347967174</v>
      </c>
      <c r="I215" s="503">
        <f>IF(終値!A215="","",IFERROR(4*STDEVP(終値!L215:AE215)/AVERAGE(終値!L215:AE215),""))</f>
        <v>0.21375062404966494</v>
      </c>
      <c r="J215" s="503">
        <f>IF(終値!A215="","",IFERROR(4*STDEVP(終値!M215:AF215)/AVERAGE(終値!M215:AF215),""))</f>
        <v>0.18866774225406446</v>
      </c>
      <c r="K215" s="503">
        <f>IF(終値!A215="","",IFERROR(4*STDEVP(終値!N215:AG215)/AVERAGE(終値!N215:AG215),""))</f>
        <v>0.17528177515577589</v>
      </c>
      <c r="L215" s="503">
        <f>IF(終値!A215="","",IFERROR(4*STDEVP(終値!O215:AH215)/AVERAGE(終値!O215:AH215),""))</f>
        <v>0.16331725078740875</v>
      </c>
      <c r="M215" s="503">
        <f>IF(終値!A215="","",IFERROR(4*STDEVP(終値!P215:AI215)/AVERAGE(終値!P215:AI215),""))</f>
        <v>0.14709750846840924</v>
      </c>
      <c r="N215" s="503">
        <f>IF(終値!A215="","",IFERROR(4*STDEVP(終値!Q215:AJ215)/AVERAGE(終値!Q215:AJ215),""))</f>
        <v>0.11955116796715003</v>
      </c>
      <c r="O215" s="503">
        <f>IF(終値!A215="","",IFERROR(4*STDEVP(終値!R215:AK215)/AVERAGE(終値!R215:AK215),""))</f>
        <v>0.12668509175410461</v>
      </c>
      <c r="P215" s="503">
        <f>IF(終値!A215="","",IFERROR(4*STDEVP(終値!S215:AL215)/AVERAGE(終値!S215:AL215),""))</f>
        <v>0.13577042288444732</v>
      </c>
      <c r="Q215" s="503">
        <f>IF(終値!A215="","",IFERROR(4*STDEVP(終値!T215:AM215)/AVERAGE(終値!T215:AM215),""))</f>
        <v>0.15976790939973756</v>
      </c>
      <c r="R215" s="503">
        <f>IF(終値!A215="","",IFERROR(4*STDEVP(終値!U215:AN215)/AVERAGE(終値!U215:AN215),""))</f>
        <v>0.20073873205471274</v>
      </c>
      <c r="S215" s="503">
        <f>IF(終値!A215="","",IFERROR(4*STDEVP(終値!V215:AO215)/AVERAGE(終値!V215:AO215),""))</f>
        <v>0.23538464946603257</v>
      </c>
      <c r="T215" s="503">
        <f>IF(終値!A215="","",IFERROR(4*STDEVP(終値!W215:AP215)/AVERAGE(終値!W215:AP215),""))</f>
        <v>0.26491146622964934</v>
      </c>
      <c r="U215" s="503">
        <f>IF(終値!A215="","",IFERROR(4*STDEVP(終値!X215:AQ215)/AVERAGE(終値!X215:AQ215),""))</f>
        <v>0.3060042558080146</v>
      </c>
      <c r="V215" s="503">
        <f>IF(終値!A215="","",IFERROR(4*STDEVP(終値!Y215:AR215)/AVERAGE(終値!Y215:AR215),""))</f>
        <v>0.3198448772988578</v>
      </c>
      <c r="W215" s="503">
        <f>IF(終値!A215="","",IFERROR(4*STDEVP(終値!Z215:AS215)/AVERAGE(終値!Z215:AS215),""))</f>
        <v>0.32786477412493026</v>
      </c>
      <c r="X215" s="503">
        <f>IF(終値!A215="","",IFERROR(4*STDEVP(終値!AA215:AT215)/AVERAGE(終値!AA215:AT215),""))</f>
        <v>0.32572212164111852</v>
      </c>
      <c r="Y215" s="503">
        <f>IF(終値!A215="","",IFERROR(4*STDEVP(終値!AB215:AU215)/AVERAGE(終値!AB215:AU215),""))</f>
        <v>0.32212936428770256</v>
      </c>
      <c r="Z215" s="503">
        <f>IF(終値!A215="","",IFERROR(4*STDEVP(終値!AC215:AV215)/AVERAGE(終値!AC215:AV215),""))</f>
        <v>0.32336765812072293</v>
      </c>
      <c r="AA215" s="503">
        <f>IF(終値!A215="","",IFERROR(4*STDEVP(終値!AD215:AW215)/AVERAGE(終値!AD215:AW215),""))</f>
        <v>0.33628054054341511</v>
      </c>
      <c r="AB215" s="503">
        <f>IF(終値!A215="","",IFERROR(4*STDEVP(終値!AE215:AX215)/AVERAGE(終値!AE215:AX215),""))</f>
        <v>0.33212698444657746</v>
      </c>
      <c r="AC215" s="503">
        <f>IF(終値!A215="","",IFERROR(4*STDEVP(終値!AF215:AY215)/AVERAGE(終値!AF215:AY215),""))</f>
        <v>0.3130812573208247</v>
      </c>
      <c r="AD215" s="503">
        <f>IF(終値!A215="","",IFERROR(4*STDEVP(終値!AG215:AZ215)/AVERAGE(終値!AG215:AZ215),""))</f>
        <v>0.30346252459341061</v>
      </c>
      <c r="AE215" s="503">
        <f>IF(終値!A215="","",IFERROR(4*STDEVP(終値!AH215:BA215)/AVERAGE(終値!AH215:BA215),""))</f>
        <v>0.3107262231281806</v>
      </c>
      <c r="AF215" s="503">
        <f>IF(終値!A215="","",IFERROR(4*STDEVP(終値!AI215:BB215)/AVERAGE(終値!AI215:BB215),""))</f>
        <v>0.3164720020099861</v>
      </c>
      <c r="AG215" s="503">
        <f>IF(終値!A215="","",IFERROR(4*STDEVP(終値!AJ215:BC215)/AVERAGE(終値!AJ215:BC215),""))</f>
        <v>0.29329407322285905</v>
      </c>
      <c r="AH215" s="503">
        <f>IF(終値!A215="","",IFERROR(4*STDEVP(終値!AK215:BD215)/AVERAGE(終値!AK215:BD215),""))</f>
        <v>0.27130609026881136</v>
      </c>
      <c r="AI215" s="503">
        <f>IF(終値!A215="","",IFERROR(4*STDEVP(終値!AL215:BE215)/AVERAGE(終値!AL215:BE215),""))</f>
        <v>0.25473092194213515</v>
      </c>
      <c r="AJ215" s="503">
        <f>IF(終値!A215="","",IFERROR(4*STDEVP(終値!AM215:BF215)/AVERAGE(終値!AM215:BF215),""))</f>
        <v>0.2364936801120483</v>
      </c>
      <c r="AK215" s="503">
        <f>IF(終値!A215="","",IFERROR(4*STDEVP(終値!AN215:BG215)/AVERAGE(終値!AN215:BG215),""))</f>
        <v>0.22531142389343481</v>
      </c>
      <c r="AL215" s="503">
        <f>IF(終値!A215="","",IFERROR(4*STDEVP(終値!AO215:BH215)/AVERAGE(終値!AO215:BH215),""))</f>
        <v>0.22020423050087667</v>
      </c>
      <c r="AM215" s="503">
        <f>IF(終値!A215="","",IFERROR(4*STDEVP(終値!AP215:BI215)/AVERAGE(終値!AP215:BI215),""))</f>
        <v>0.21837685335395857</v>
      </c>
      <c r="AN215" s="503">
        <f>IF(終値!A215="","",IFERROR(4*STDEVP(終値!AQ215:BJ215)/AVERAGE(終値!AQ215:BJ215),""))</f>
        <v>0.21535626355444001</v>
      </c>
      <c r="AO215" s="503">
        <f>IF(終値!A215="","",IFERROR(4*STDEVP(終値!AR215:BK215)/AVERAGE(終値!AR215:BK215),""))</f>
        <v>0.21780973280510241</v>
      </c>
      <c r="AP215" s="503">
        <f>IF(終値!A215="","",IFERROR(4*STDEVP(終値!AS215:BL215)/AVERAGE(終値!AS215:BL215),""))</f>
        <v>0.21003140864232944</v>
      </c>
    </row>
    <row r="216" spans="1:42">
      <c r="A216" s="500" t="str">
        <f>IF(終値!A216="","",終値!A216)</f>
        <v>6622</v>
      </c>
      <c r="B216" s="503">
        <f>IF(終値!A216="","",IFERROR(4*STDEVP(終値!E216:X216)/AVERAGE(終値!E216:X216),""))</f>
        <v>0.32901719174106064</v>
      </c>
      <c r="C216" s="503">
        <f>IF(終値!A216="","",IFERROR(4*STDEVP(終値!F216:Y216)/AVERAGE(終値!F216:Y216),""))</f>
        <v>0.35618490775430584</v>
      </c>
      <c r="D216" s="503">
        <f>IF(終値!A216="","",IFERROR(4*STDEVP(終値!G216:Z216)/AVERAGE(終値!G216:Z216),""))</f>
        <v>0.37316593033991957</v>
      </c>
      <c r="E216" s="503">
        <f>IF(終値!A216="","",IFERROR(4*STDEVP(終値!H216:AA216)/AVERAGE(終値!H216:AA216),""))</f>
        <v>0.41688119371223026</v>
      </c>
      <c r="F216" s="503">
        <f>IF(終値!A216="","",IFERROR(4*STDEVP(終値!I216:AB216)/AVERAGE(終値!I216:AB216),""))</f>
        <v>0.40343426410012739</v>
      </c>
      <c r="G216" s="503">
        <f>IF(終値!A216="","",IFERROR(4*STDEVP(終値!J216:AC216)/AVERAGE(終値!J216:AC216),""))</f>
        <v>0.35908491000866133</v>
      </c>
      <c r="H216" s="503">
        <f>IF(終値!A216="","",IFERROR(4*STDEVP(終値!K216:AD216)/AVERAGE(終値!K216:AD216),""))</f>
        <v>0.34745922700349691</v>
      </c>
      <c r="I216" s="503">
        <f>IF(終値!A216="","",IFERROR(4*STDEVP(終値!L216:AE216)/AVERAGE(終値!L216:AE216),""))</f>
        <v>0.36886189346777376</v>
      </c>
      <c r="J216" s="503">
        <f>IF(終値!A216="","",IFERROR(4*STDEVP(終値!M216:AF216)/AVERAGE(終値!M216:AF216),""))</f>
        <v>0.37259273409349342</v>
      </c>
      <c r="K216" s="503">
        <f>IF(終値!A216="","",IFERROR(4*STDEVP(終値!N216:AG216)/AVERAGE(終値!N216:AG216),""))</f>
        <v>0.3794797300774449</v>
      </c>
      <c r="L216" s="503">
        <f>IF(終値!A216="","",IFERROR(4*STDEVP(終値!O216:AH216)/AVERAGE(終値!O216:AH216),""))</f>
        <v>0.3908299902511958</v>
      </c>
      <c r="M216" s="503">
        <f>IF(終値!A216="","",IFERROR(4*STDEVP(終値!P216:AI216)/AVERAGE(終値!P216:AI216),""))</f>
        <v>0.37126396499005365</v>
      </c>
      <c r="N216" s="503">
        <f>IF(終値!A216="","",IFERROR(4*STDEVP(終値!Q216:AJ216)/AVERAGE(終値!Q216:AJ216),""))</f>
        <v>0.33722985189471588</v>
      </c>
      <c r="O216" s="503">
        <f>IF(終値!A216="","",IFERROR(4*STDEVP(終値!R216:AK216)/AVERAGE(終値!R216:AK216),""))</f>
        <v>0.32808634451815388</v>
      </c>
      <c r="P216" s="503">
        <f>IF(終値!A216="","",IFERROR(4*STDEVP(終値!S216:AL216)/AVERAGE(終値!S216:AL216),""))</f>
        <v>0.31248048693926234</v>
      </c>
      <c r="Q216" s="503">
        <f>IF(終値!A216="","",IFERROR(4*STDEVP(終値!T216:AM216)/AVERAGE(終値!T216:AM216),""))</f>
        <v>0.29476999627279055</v>
      </c>
      <c r="R216" s="503">
        <f>IF(終値!A216="","",IFERROR(4*STDEVP(終値!U216:AN216)/AVERAGE(終値!U216:AN216),""))</f>
        <v>0.30647192055158734</v>
      </c>
      <c r="S216" s="503">
        <f>IF(終値!A216="","",IFERROR(4*STDEVP(終値!V216:AO216)/AVERAGE(終値!V216:AO216),""))</f>
        <v>0.32445261646631235</v>
      </c>
      <c r="T216" s="503">
        <f>IF(終値!A216="","",IFERROR(4*STDEVP(終値!W216:AP216)/AVERAGE(終値!W216:AP216),""))</f>
        <v>0.32574379545887849</v>
      </c>
      <c r="U216" s="503">
        <f>IF(終値!A216="","",IFERROR(4*STDEVP(終値!X216:AQ216)/AVERAGE(終値!X216:AQ216),""))</f>
        <v>0.33445512276072226</v>
      </c>
      <c r="V216" s="503">
        <f>IF(終値!A216="","",IFERROR(4*STDEVP(終値!Y216:AR216)/AVERAGE(終値!Y216:AR216),""))</f>
        <v>0.33933036107892989</v>
      </c>
      <c r="W216" s="503">
        <f>IF(終値!A216="","",IFERROR(4*STDEVP(終値!Z216:AS216)/AVERAGE(終値!Z216:AS216),""))</f>
        <v>0.34799663278090337</v>
      </c>
      <c r="X216" s="503">
        <f>IF(終値!A216="","",IFERROR(4*STDEVP(終値!AA216:AT216)/AVERAGE(終値!AA216:AT216),""))</f>
        <v>0.35675279739242588</v>
      </c>
      <c r="Y216" s="503">
        <f>IF(終値!A216="","",IFERROR(4*STDEVP(終値!AB216:AU216)/AVERAGE(終値!AB216:AU216),""))</f>
        <v>0.3611217985559011</v>
      </c>
      <c r="Z216" s="503">
        <f>IF(終値!A216="","",IFERROR(4*STDEVP(終値!AC216:AV216)/AVERAGE(終値!AC216:AV216),""))</f>
        <v>0.36113990561958881</v>
      </c>
      <c r="AA216" s="503">
        <f>IF(終値!A216="","",IFERROR(4*STDEVP(終値!AD216:AW216)/AVERAGE(終値!AD216:AW216),""))</f>
        <v>0.35891147693981829</v>
      </c>
      <c r="AB216" s="503">
        <f>IF(終値!A216="","",IFERROR(4*STDEVP(終値!AE216:AX216)/AVERAGE(終値!AE216:AX216),""))</f>
        <v>0.34946100745012465</v>
      </c>
      <c r="AC216" s="503">
        <f>IF(終値!A216="","",IFERROR(4*STDEVP(終値!AF216:AY216)/AVERAGE(終値!AF216:AY216),""))</f>
        <v>0.32758662031096991</v>
      </c>
      <c r="AD216" s="503">
        <f>IF(終値!A216="","",IFERROR(4*STDEVP(終値!AG216:AZ216)/AVERAGE(終値!AG216:AZ216),""))</f>
        <v>0.31169629031237911</v>
      </c>
      <c r="AE216" s="503">
        <f>IF(終値!A216="","",IFERROR(4*STDEVP(終値!AH216:BA216)/AVERAGE(終値!AH216:BA216),""))</f>
        <v>0.28809739019800806</v>
      </c>
      <c r="AF216" s="503">
        <f>IF(終値!A216="","",IFERROR(4*STDEVP(終値!AI216:BB216)/AVERAGE(終値!AI216:BB216),""))</f>
        <v>0.23171738551611118</v>
      </c>
      <c r="AG216" s="503">
        <f>IF(終値!A216="","",IFERROR(4*STDEVP(終値!AJ216:BC216)/AVERAGE(終値!AJ216:BC216),""))</f>
        <v>0.20915764005749349</v>
      </c>
      <c r="AH216" s="503">
        <f>IF(終値!A216="","",IFERROR(4*STDEVP(終値!AK216:BD216)/AVERAGE(終値!AK216:BD216),""))</f>
        <v>0.16776458789740603</v>
      </c>
      <c r="AI216" s="503">
        <f>IF(終値!A216="","",IFERROR(4*STDEVP(終値!AL216:BE216)/AVERAGE(終値!AL216:BE216),""))</f>
        <v>0.16905190433241288</v>
      </c>
      <c r="AJ216" s="503">
        <f>IF(終値!A216="","",IFERROR(4*STDEVP(終値!AM216:BF216)/AVERAGE(終値!AM216:BF216),""))</f>
        <v>0.18587176965386359</v>
      </c>
      <c r="AK216" s="503">
        <f>IF(終値!A216="","",IFERROR(4*STDEVP(終値!AN216:BG216)/AVERAGE(終値!AN216:BG216),""))</f>
        <v>0.21855194052251287</v>
      </c>
      <c r="AL216" s="503">
        <f>IF(終値!A216="","",IFERROR(4*STDEVP(終値!AO216:BH216)/AVERAGE(終値!AO216:BH216),""))</f>
        <v>0.22674468014846619</v>
      </c>
      <c r="AM216" s="503">
        <f>IF(終値!A216="","",IFERROR(4*STDEVP(終値!AP216:BI216)/AVERAGE(終値!AP216:BI216),""))</f>
        <v>0.21589030610862212</v>
      </c>
      <c r="AN216" s="503">
        <f>IF(終値!A216="","",IFERROR(4*STDEVP(終値!AQ216:BJ216)/AVERAGE(終値!AQ216:BJ216),""))</f>
        <v>0.2008523652548492</v>
      </c>
      <c r="AO216" s="503">
        <f>IF(終値!A216="","",IFERROR(4*STDEVP(終値!AR216:BK216)/AVERAGE(終値!AR216:BK216),""))</f>
        <v>0.19197221726858918</v>
      </c>
      <c r="AP216" s="503">
        <f>IF(終値!A216="","",IFERROR(4*STDEVP(終値!AS216:BL216)/AVERAGE(終値!AS216:BL216),""))</f>
        <v>0.19571157067134606</v>
      </c>
    </row>
    <row r="217" spans="1:42">
      <c r="A217" s="500" t="str">
        <f>IF(終値!A217="","",終値!A217)</f>
        <v>1407</v>
      </c>
      <c r="B217" s="503">
        <f>IF(終値!A217="","",IFERROR(4*STDEVP(終値!E217:X217)/AVERAGE(終値!E217:X217),""))</f>
        <v>0.36005347004069693</v>
      </c>
      <c r="C217" s="503">
        <f>IF(終値!A217="","",IFERROR(4*STDEVP(終値!F217:Y217)/AVERAGE(終値!F217:Y217),""))</f>
        <v>0.35834811060303395</v>
      </c>
      <c r="D217" s="503">
        <f>IF(終値!A217="","",IFERROR(4*STDEVP(終値!G217:Z217)/AVERAGE(終値!G217:Z217),""))</f>
        <v>0.36280107378163401</v>
      </c>
      <c r="E217" s="503">
        <f>IF(終値!A217="","",IFERROR(4*STDEVP(終値!H217:AA217)/AVERAGE(終値!H217:AA217),""))</f>
        <v>0.36507828501019235</v>
      </c>
      <c r="F217" s="503">
        <f>IF(終値!A217="","",IFERROR(4*STDEVP(終値!I217:AB217)/AVERAGE(終値!I217:AB217),""))</f>
        <v>0.36785449587783825</v>
      </c>
      <c r="G217" s="503">
        <f>IF(終値!A217="","",IFERROR(4*STDEVP(終値!J217:AC217)/AVERAGE(終値!J217:AC217),""))</f>
        <v>0.3654844378800689</v>
      </c>
      <c r="H217" s="503">
        <f>IF(終値!A217="","",IFERROR(4*STDEVP(終値!K217:AD217)/AVERAGE(終値!K217:AD217),""))</f>
        <v>0.36596516040413551</v>
      </c>
      <c r="I217" s="503">
        <f>IF(終値!A217="","",IFERROR(4*STDEVP(終値!L217:AE217)/AVERAGE(終値!L217:AE217),""))</f>
        <v>0.35450894293908464</v>
      </c>
      <c r="J217" s="503">
        <f>IF(終値!A217="","",IFERROR(4*STDEVP(終値!M217:AF217)/AVERAGE(終値!M217:AF217),""))</f>
        <v>0.33219852049647108</v>
      </c>
      <c r="K217" s="503">
        <f>IF(終値!A217="","",IFERROR(4*STDEVP(終値!N217:AG217)/AVERAGE(終値!N217:AG217),""))</f>
        <v>0.31719105505575096</v>
      </c>
      <c r="L217" s="503">
        <f>IF(終値!A217="","",IFERROR(4*STDEVP(終値!O217:AH217)/AVERAGE(終値!O217:AH217),""))</f>
        <v>0.31087284476936355</v>
      </c>
      <c r="M217" s="503">
        <f>IF(終値!A217="","",IFERROR(4*STDEVP(終値!P217:AI217)/AVERAGE(終値!P217:AI217),""))</f>
        <v>0.28875545146376902</v>
      </c>
      <c r="N217" s="503">
        <f>IF(終値!A217="","",IFERROR(4*STDEVP(終値!Q217:AJ217)/AVERAGE(終値!Q217:AJ217),""))</f>
        <v>0.22415906960111229</v>
      </c>
      <c r="O217" s="503">
        <f>IF(終値!A217="","",IFERROR(4*STDEVP(終値!R217:AK217)/AVERAGE(終値!R217:AK217),""))</f>
        <v>0.12825043046480392</v>
      </c>
      <c r="P217" s="503">
        <f>IF(終値!A217="","",IFERROR(4*STDEVP(終値!S217:AL217)/AVERAGE(終値!S217:AL217),""))</f>
        <v>0.12985836317619986</v>
      </c>
      <c r="Q217" s="503">
        <f>IF(終値!A217="","",IFERROR(4*STDEVP(終値!T217:AM217)/AVERAGE(終値!T217:AM217),""))</f>
        <v>0.12005843981376771</v>
      </c>
      <c r="R217" s="503">
        <f>IF(終値!A217="","",IFERROR(4*STDEVP(終値!U217:AN217)/AVERAGE(終値!U217:AN217),""))</f>
        <v>0.10165301529414363</v>
      </c>
      <c r="S217" s="503">
        <f>IF(終値!A217="","",IFERROR(4*STDEVP(終値!V217:AO217)/AVERAGE(終値!V217:AO217),""))</f>
        <v>0.10022107786385009</v>
      </c>
      <c r="T217" s="503">
        <f>IF(終値!A217="","",IFERROR(4*STDEVP(終値!W217:AP217)/AVERAGE(終値!W217:AP217),""))</f>
        <v>9.511177074545564E-2</v>
      </c>
      <c r="U217" s="503">
        <f>IF(終値!A217="","",IFERROR(4*STDEVP(終値!X217:AQ217)/AVERAGE(終値!X217:AQ217),""))</f>
        <v>0.10382395632146112</v>
      </c>
      <c r="V217" s="503">
        <f>IF(終値!A217="","",IFERROR(4*STDEVP(終値!Y217:AR217)/AVERAGE(終値!Y217:AR217),""))</f>
        <v>0.11674330243120341</v>
      </c>
      <c r="W217" s="503">
        <f>IF(終値!A217="","",IFERROR(4*STDEVP(終値!Z217:AS217)/AVERAGE(終値!Z217:AS217),""))</f>
        <v>0.12075962413460933</v>
      </c>
      <c r="X217" s="503">
        <f>IF(終値!A217="","",IFERROR(4*STDEVP(終値!AA217:AT217)/AVERAGE(終値!AA217:AT217),""))</f>
        <v>0.1486093703053766</v>
      </c>
      <c r="Y217" s="503">
        <f>IF(終値!A217="","",IFERROR(4*STDEVP(終値!AB217:AU217)/AVERAGE(終値!AB217:AU217),""))</f>
        <v>0.15555747319646074</v>
      </c>
      <c r="Z217" s="503">
        <f>IF(終値!A217="","",IFERROR(4*STDEVP(終値!AC217:AV217)/AVERAGE(終値!AC217:AV217),""))</f>
        <v>0.19809780864356569</v>
      </c>
      <c r="AA217" s="503">
        <f>IF(終値!A217="","",IFERROR(4*STDEVP(終値!AD217:AW217)/AVERAGE(終値!AD217:AW217),""))</f>
        <v>0.28321101640419949</v>
      </c>
      <c r="AB217" s="503">
        <f>IF(終値!A217="","",IFERROR(4*STDEVP(終値!AE217:AX217)/AVERAGE(終値!AE217:AX217),""))</f>
        <v>0.37731236358059284</v>
      </c>
      <c r="AC217" s="503">
        <f>IF(終値!A217="","",IFERROR(4*STDEVP(終値!AF217:AY217)/AVERAGE(終値!AF217:AY217),""))</f>
        <v>0.41528338008440757</v>
      </c>
      <c r="AD217" s="503">
        <f>IF(終値!A217="","",IFERROR(4*STDEVP(終値!AG217:AZ217)/AVERAGE(終値!AG217:AZ217),""))</f>
        <v>0.43262193855938974</v>
      </c>
      <c r="AE217" s="503">
        <f>IF(終値!A217="","",IFERROR(4*STDEVP(終値!AH217:BA217)/AVERAGE(終値!AH217:BA217),""))</f>
        <v>0.45034814564380193</v>
      </c>
      <c r="AF217" s="503">
        <f>IF(終値!A217="","",IFERROR(4*STDEVP(終値!AI217:BB217)/AVERAGE(終値!AI217:BB217),""))</f>
        <v>0.46983698682726077</v>
      </c>
      <c r="AG217" s="503">
        <f>IF(終値!A217="","",IFERROR(4*STDEVP(終値!AJ217:BC217)/AVERAGE(終値!AJ217:BC217),""))</f>
        <v>0.47067969269760274</v>
      </c>
      <c r="AH217" s="503">
        <f>IF(終値!A217="","",IFERROR(4*STDEVP(終値!AK217:BD217)/AVERAGE(終値!AK217:BD217),""))</f>
        <v>0.46773341231828702</v>
      </c>
      <c r="AI217" s="503">
        <f>IF(終値!A217="","",IFERROR(4*STDEVP(終値!AL217:BE217)/AVERAGE(終値!AL217:BE217),""))</f>
        <v>0.461279686251648</v>
      </c>
      <c r="AJ217" s="503">
        <f>IF(終値!A217="","",IFERROR(4*STDEVP(終値!AM217:BF217)/AVERAGE(終値!AM217:BF217),""))</f>
        <v>0.44762817073226352</v>
      </c>
      <c r="AK217" s="503">
        <f>IF(終値!A217="","",IFERROR(4*STDEVP(終値!AN217:BG217)/AVERAGE(終値!AN217:BG217),""))</f>
        <v>0.42580412706968312</v>
      </c>
      <c r="AL217" s="503">
        <f>IF(終値!A217="","",IFERROR(4*STDEVP(終値!AO217:BH217)/AVERAGE(終値!AO217:BH217),""))</f>
        <v>0.39867098022209113</v>
      </c>
      <c r="AM217" s="503">
        <f>IF(終値!A217="","",IFERROR(4*STDEVP(終値!AP217:BI217)/AVERAGE(終値!AP217:BI217),""))</f>
        <v>0.37247196425783657</v>
      </c>
      <c r="AN217" s="503">
        <f>IF(終値!A217="","",IFERROR(4*STDEVP(終値!AQ217:BJ217)/AVERAGE(終値!AQ217:BJ217),""))</f>
        <v>0.32864278537249392</v>
      </c>
      <c r="AO217" s="503">
        <f>IF(終値!A217="","",IFERROR(4*STDEVP(終値!AR217:BK217)/AVERAGE(終値!AR217:BK217),""))</f>
        <v>0.29896955621121113</v>
      </c>
      <c r="AP217" s="503">
        <f>IF(終値!A217="","",IFERROR(4*STDEVP(終値!AS217:BL217)/AVERAGE(終値!AS217:BL217),""))</f>
        <v>0.26810318669981259</v>
      </c>
    </row>
    <row r="218" spans="1:42">
      <c r="A218" s="500" t="str">
        <f>IF(終値!A218="","",終値!A218)</f>
        <v>285A</v>
      </c>
      <c r="B218" s="503">
        <f>IF(終値!A218="","",IFERROR(4*STDEVP(終値!E218:X218)/AVERAGE(終値!E218:X218),""))</f>
        <v>0.84766747850004487</v>
      </c>
      <c r="C218" s="503">
        <f>IF(終値!A218="","",IFERROR(4*STDEVP(終値!F218:Y218)/AVERAGE(終値!F218:Y218),""))</f>
        <v>0.87519615681673846</v>
      </c>
      <c r="D218" s="503">
        <f>IF(終値!A218="","",IFERROR(4*STDEVP(終値!G218:Z218)/AVERAGE(終値!G218:Z218),""))</f>
        <v>0.85629559241768161</v>
      </c>
      <c r="E218" s="503">
        <f>IF(終値!A218="","",IFERROR(4*STDEVP(終値!H218:AA218)/AVERAGE(終値!H218:AA218),""))</f>
        <v>0.85539484815818567</v>
      </c>
      <c r="F218" s="503">
        <f>IF(終値!A218="","",IFERROR(4*STDEVP(終値!I218:AB218)/AVERAGE(終値!I218:AB218),""))</f>
        <v>0.80069952292225544</v>
      </c>
      <c r="G218" s="503">
        <f>IF(終値!A218="","",IFERROR(4*STDEVP(終値!J218:AC218)/AVERAGE(終値!J218:AC218),""))</f>
        <v>0.70866059297923634</v>
      </c>
      <c r="H218" s="503">
        <f>IF(終値!A218="","",IFERROR(4*STDEVP(終値!K218:AD218)/AVERAGE(終値!K218:AD218),""))</f>
        <v>0.64963899782129142</v>
      </c>
      <c r="I218" s="503">
        <f>IF(終値!A218="","",IFERROR(4*STDEVP(終値!L218:AE218)/AVERAGE(終値!L218:AE218),""))</f>
        <v>0.68214928320292711</v>
      </c>
      <c r="J218" s="503">
        <f>IF(終値!A218="","",IFERROR(4*STDEVP(終値!M218:AF218)/AVERAGE(終値!M218:AF218),""))</f>
        <v>0.65101403472875197</v>
      </c>
      <c r="K218" s="503">
        <f>IF(終値!A218="","",IFERROR(4*STDEVP(終値!N218:AG218)/AVERAGE(終値!N218:AG218),""))</f>
        <v>0.63312623697648529</v>
      </c>
      <c r="L218" s="503">
        <f>IF(終値!A218="","",IFERROR(4*STDEVP(終値!O218:AH218)/AVERAGE(終値!O218:AH218),""))</f>
        <v>0.67196415158837863</v>
      </c>
      <c r="M218" s="503">
        <f>IF(終値!A218="","",IFERROR(4*STDEVP(終値!P218:AI218)/AVERAGE(終値!P218:AI218),""))</f>
        <v>0.67519945704245354</v>
      </c>
      <c r="N218" s="503">
        <f>IF(終値!A218="","",IFERROR(4*STDEVP(終値!Q218:AJ218)/AVERAGE(終値!Q218:AJ218),""))</f>
        <v>0.57896738660224356</v>
      </c>
      <c r="O218" s="503">
        <f>IF(終値!A218="","",IFERROR(4*STDEVP(終値!R218:AK218)/AVERAGE(終値!R218:AK218),""))</f>
        <v>0.56460063337122379</v>
      </c>
      <c r="P218" s="503">
        <f>IF(終値!A218="","",IFERROR(4*STDEVP(終値!S218:AL218)/AVERAGE(終値!S218:AL218),""))</f>
        <v>0.52995763068783119</v>
      </c>
      <c r="Q218" s="503">
        <f>IF(終値!A218="","",IFERROR(4*STDEVP(終値!T218:AM218)/AVERAGE(終値!T218:AM218),""))</f>
        <v>0.47706827046959205</v>
      </c>
      <c r="R218" s="503">
        <f>IF(終値!A218="","",IFERROR(4*STDEVP(終値!U218:AN218)/AVERAGE(終値!U218:AN218),""))</f>
        <v>0.46687644631307096</v>
      </c>
      <c r="S218" s="503">
        <f>IF(終値!A218="","",IFERROR(4*STDEVP(終値!V218:AO218)/AVERAGE(終値!V218:AO218),""))</f>
        <v>0.47404505093339006</v>
      </c>
      <c r="T218" s="503">
        <f>IF(終値!A218="","",IFERROR(4*STDEVP(終値!W218:AP218)/AVERAGE(終値!W218:AP218),""))</f>
        <v>0.47961778885559009</v>
      </c>
      <c r="U218" s="503">
        <f>IF(終値!A218="","",IFERROR(4*STDEVP(終値!X218:AQ218)/AVERAGE(終値!X218:AQ218),""))</f>
        <v>0.48161157386178849</v>
      </c>
      <c r="V218" s="503">
        <f>IF(終値!A218="","",IFERROR(4*STDEVP(終値!Y218:AR218)/AVERAGE(終値!Y218:AR218),""))</f>
        <v>0.48914802744082447</v>
      </c>
      <c r="W218" s="503">
        <f>IF(終値!A218="","",IFERROR(4*STDEVP(終値!Z218:AS218)/AVERAGE(終値!Z218:AS218),""))</f>
        <v>0.50229834359459313</v>
      </c>
      <c r="X218" s="503">
        <f>IF(終値!A218="","",IFERROR(4*STDEVP(終値!AA218:AT218)/AVERAGE(終値!AA218:AT218),""))</f>
        <v>0.49751502318241864</v>
      </c>
      <c r="Y218" s="503">
        <f>IF(終値!A218="","",IFERROR(4*STDEVP(終値!AB218:AU218)/AVERAGE(終値!AB218:AU218),""))</f>
        <v>0.51264900765196086</v>
      </c>
      <c r="Z218" s="503">
        <f>IF(終値!A218="","",IFERROR(4*STDEVP(終値!AC218:AV218)/AVERAGE(終値!AC218:AV218),""))</f>
        <v>0.56542201412970239</v>
      </c>
      <c r="AA218" s="503">
        <f>IF(終値!A218="","",IFERROR(4*STDEVP(終値!AD218:AW218)/AVERAGE(終値!AD218:AW218),""))</f>
        <v>0.63084181717258725</v>
      </c>
      <c r="AB218" s="503">
        <f>IF(終値!A218="","",IFERROR(4*STDEVP(終値!AE218:AX218)/AVERAGE(終値!AE218:AX218),""))</f>
        <v>0.68849998222305064</v>
      </c>
      <c r="AC218" s="503">
        <f>IF(終値!A218="","",IFERROR(4*STDEVP(終値!AF218:AY218)/AVERAGE(終値!AF218:AY218),""))</f>
        <v>0.69471945887570608</v>
      </c>
      <c r="AD218" s="503">
        <f>IF(終値!A218="","",IFERROR(4*STDEVP(終値!AG218:AZ218)/AVERAGE(終値!AG218:AZ218),""))</f>
        <v>0.74768404483274409</v>
      </c>
      <c r="AE218" s="503">
        <f>IF(終値!A218="","",IFERROR(4*STDEVP(終値!AH218:BA218)/AVERAGE(終値!AH218:BA218),""))</f>
        <v>0.80000940180729774</v>
      </c>
      <c r="AF218" s="503">
        <f>IF(終値!A218="","",IFERROR(4*STDEVP(終値!AI218:BB218)/AVERAGE(終値!AI218:BB218),""))</f>
        <v>0.80226248810382561</v>
      </c>
      <c r="AG218" s="503">
        <f>IF(終値!A218="","",IFERROR(4*STDEVP(終値!AJ218:BC218)/AVERAGE(終値!AJ218:BC218),""))</f>
        <v>0.78012269660691147</v>
      </c>
      <c r="AH218" s="503">
        <f>IF(終値!A218="","",IFERROR(4*STDEVP(終値!AK218:BD218)/AVERAGE(終値!AK218:BD218),""))</f>
        <v>0.78172547077952947</v>
      </c>
      <c r="AI218" s="503">
        <f>IF(終値!A218="","",IFERROR(4*STDEVP(終値!AL218:BE218)/AVERAGE(終値!AL218:BE218),""))</f>
        <v>0.79998325350373833</v>
      </c>
      <c r="AJ218" s="503">
        <f>IF(終値!A218="","",IFERROR(4*STDEVP(終値!AM218:BF218)/AVERAGE(終値!AM218:BF218),""))</f>
        <v>0.7763178033990914</v>
      </c>
      <c r="AK218" s="503">
        <f>IF(終値!A218="","",IFERROR(4*STDEVP(終値!AN218:BG218)/AVERAGE(終値!AN218:BG218),""))</f>
        <v>0.73734594829310973</v>
      </c>
      <c r="AL218" s="503">
        <f>IF(終値!A218="","",IFERROR(4*STDEVP(終値!AO218:BH218)/AVERAGE(終値!AO218:BH218),""))</f>
        <v>0.74898717835007367</v>
      </c>
      <c r="AM218" s="503">
        <f>IF(終値!A218="","",IFERROR(4*STDEVP(終値!AP218:BI218)/AVERAGE(終値!AP218:BI218),""))</f>
        <v>0.77059856130390059</v>
      </c>
      <c r="AN218" s="503">
        <f>IF(終値!A218="","",IFERROR(4*STDEVP(終値!AQ218:BJ218)/AVERAGE(終値!AQ218:BJ218),""))</f>
        <v>0.80406622237472847</v>
      </c>
      <c r="AO218" s="503">
        <f>IF(終値!A218="","",IFERROR(4*STDEVP(終値!AR218:BK218)/AVERAGE(終値!AR218:BK218),""))</f>
        <v>0.82963274111343344</v>
      </c>
      <c r="AP218" s="503">
        <f>IF(終値!A218="","",IFERROR(4*STDEVP(終値!AS218:BL218)/AVERAGE(終値!AS218:BL218),""))</f>
        <v>0.85198379243536204</v>
      </c>
    </row>
    <row r="219" spans="1:42">
      <c r="A219" s="500" t="str">
        <f>IF(終値!A219="","",終値!A219)</f>
        <v>141A</v>
      </c>
      <c r="B219" s="503">
        <f>IF(終値!A219="","",IFERROR(4*STDEVP(終値!E219:X219)/AVERAGE(終値!E219:X219),""))</f>
        <v>9.3739775695104208E-2</v>
      </c>
      <c r="C219" s="503">
        <f>IF(終値!A219="","",IFERROR(4*STDEVP(終値!F219:Y219)/AVERAGE(終値!F219:Y219),""))</f>
        <v>7.4652915786138821E-2</v>
      </c>
      <c r="D219" s="503">
        <f>IF(終値!A219="","",IFERROR(4*STDEVP(終値!G219:Z219)/AVERAGE(終値!G219:Z219),""))</f>
        <v>5.776030999057738E-2</v>
      </c>
      <c r="E219" s="503">
        <f>IF(終値!A219="","",IFERROR(4*STDEVP(終値!H219:AA219)/AVERAGE(終値!H219:AA219),""))</f>
        <v>6.7579190780788501E-2</v>
      </c>
      <c r="F219" s="503">
        <f>IF(終値!A219="","",IFERROR(4*STDEVP(終値!I219:AB219)/AVERAGE(終値!I219:AB219),""))</f>
        <v>6.6337867358331526E-2</v>
      </c>
      <c r="G219" s="503">
        <f>IF(終値!A219="","",IFERROR(4*STDEVP(終値!J219:AC219)/AVERAGE(終値!J219:AC219),""))</f>
        <v>6.7551971417690052E-2</v>
      </c>
      <c r="H219" s="503">
        <f>IF(終値!A219="","",IFERROR(4*STDEVP(終値!K219:AD219)/AVERAGE(終値!K219:AD219),""))</f>
        <v>7.0923767575312435E-2</v>
      </c>
      <c r="I219" s="503">
        <f>IF(終値!A219="","",IFERROR(4*STDEVP(終値!L219:AE219)/AVERAGE(終値!L219:AE219),""))</f>
        <v>7.0923767575312435E-2</v>
      </c>
      <c r="J219" s="503">
        <f>IF(終値!A219="","",IFERROR(4*STDEVP(終値!M219:AF219)/AVERAGE(終値!M219:AF219),""))</f>
        <v>6.9208686004353842E-2</v>
      </c>
      <c r="K219" s="503">
        <f>IF(終値!A219="","",IFERROR(4*STDEVP(終値!N219:AG219)/AVERAGE(終値!N219:AG219),""))</f>
        <v>9.4098645399989592E-2</v>
      </c>
      <c r="L219" s="503">
        <f>IF(終値!A219="","",IFERROR(4*STDEVP(終値!O219:AH219)/AVERAGE(終値!O219:AH219),""))</f>
        <v>0.12296660996413927</v>
      </c>
      <c r="M219" s="503">
        <f>IF(終値!A219="","",IFERROR(4*STDEVP(終値!P219:AI219)/AVERAGE(終値!P219:AI219),""))</f>
        <v>0.14407880246883656</v>
      </c>
      <c r="N219" s="503">
        <f>IF(終値!A219="","",IFERROR(4*STDEVP(終値!Q219:AJ219)/AVERAGE(終値!Q219:AJ219),""))</f>
        <v>0.16299529355177447</v>
      </c>
      <c r="O219" s="503">
        <f>IF(終値!A219="","",IFERROR(4*STDEVP(終値!R219:AK219)/AVERAGE(終値!R219:AK219),""))</f>
        <v>0.17074095563472511</v>
      </c>
      <c r="P219" s="503">
        <f>IF(終値!A219="","",IFERROR(4*STDEVP(終値!S219:AL219)/AVERAGE(終値!S219:AL219),""))</f>
        <v>0.18138037499255746</v>
      </c>
      <c r="Q219" s="503">
        <f>IF(終値!A219="","",IFERROR(4*STDEVP(終値!T219:AM219)/AVERAGE(終値!T219:AM219),""))</f>
        <v>0.18203170736210636</v>
      </c>
      <c r="R219" s="503">
        <f>IF(終値!A219="","",IFERROR(4*STDEVP(終値!U219:AN219)/AVERAGE(終値!U219:AN219),""))</f>
        <v>0.18502886916086847</v>
      </c>
      <c r="S219" s="503">
        <f>IF(終値!A219="","",IFERROR(4*STDEVP(終値!V219:AO219)/AVERAGE(終値!V219:AO219),""))</f>
        <v>0.17862537231906275</v>
      </c>
      <c r="T219" s="503">
        <f>IF(終値!A219="","",IFERROR(4*STDEVP(終値!W219:AP219)/AVERAGE(終値!W219:AP219),""))</f>
        <v>0.18000158821819587</v>
      </c>
      <c r="U219" s="503">
        <f>IF(終値!A219="","",IFERROR(4*STDEVP(終値!X219:AQ219)/AVERAGE(終値!X219:AQ219),""))</f>
        <v>0.16775813101714818</v>
      </c>
      <c r="V219" s="503">
        <f>IF(終値!A219="","",IFERROR(4*STDEVP(終値!Y219:AR219)/AVERAGE(終値!Y219:AR219),""))</f>
        <v>0.16446283951907001</v>
      </c>
      <c r="W219" s="503">
        <f>IF(終値!A219="","",IFERROR(4*STDEVP(終値!Z219:AS219)/AVERAGE(終値!Z219:AS219),""))</f>
        <v>0.16310826397524542</v>
      </c>
      <c r="X219" s="503">
        <f>IF(終値!A219="","",IFERROR(4*STDEVP(終値!AA219:AT219)/AVERAGE(終値!AA219:AT219),""))</f>
        <v>0.16036447172976326</v>
      </c>
      <c r="Y219" s="503">
        <f>IF(終値!A219="","",IFERROR(4*STDEVP(終値!AB219:AU219)/AVERAGE(終値!AB219:AU219),""))</f>
        <v>0.18009980426481961</v>
      </c>
      <c r="Z219" s="503">
        <f>IF(終値!A219="","",IFERROR(4*STDEVP(終値!AC219:AV219)/AVERAGE(終値!AC219:AV219),""))</f>
        <v>0.17252769568841242</v>
      </c>
      <c r="AA219" s="503">
        <f>IF(終値!A219="","",IFERROR(4*STDEVP(終値!AD219:AW219)/AVERAGE(終値!AD219:AW219),""))</f>
        <v>0.15474617559185463</v>
      </c>
      <c r="AB219" s="503">
        <f>IF(終値!A219="","",IFERROR(4*STDEVP(終値!AE219:AX219)/AVERAGE(終値!AE219:AX219),""))</f>
        <v>0.1476986304622839</v>
      </c>
      <c r="AC219" s="503">
        <f>IF(終値!A219="","",IFERROR(4*STDEVP(終値!AF219:AY219)/AVERAGE(終値!AF219:AY219),""))</f>
        <v>0.13128856916181306</v>
      </c>
      <c r="AD219" s="503">
        <f>IF(終値!A219="","",IFERROR(4*STDEVP(終値!AG219:AZ219)/AVERAGE(終値!AG219:AZ219),""))</f>
        <v>0.1203365772977784</v>
      </c>
      <c r="AE219" s="503">
        <f>IF(終値!A219="","",IFERROR(4*STDEVP(終値!AH219:BA219)/AVERAGE(終値!AH219:BA219),""))</f>
        <v>0.14565805283961078</v>
      </c>
      <c r="AF219" s="503">
        <f>IF(終値!A219="","",IFERROR(4*STDEVP(終値!AI219:BB219)/AVERAGE(終値!AI219:BB219),""))</f>
        <v>0.17087495590152244</v>
      </c>
      <c r="AG219" s="503">
        <f>IF(終値!A219="","",IFERROR(4*STDEVP(終値!AJ219:BC219)/AVERAGE(終値!AJ219:BC219),""))</f>
        <v>0.20030169690740235</v>
      </c>
      <c r="AH219" s="503">
        <f>IF(終値!A219="","",IFERROR(4*STDEVP(終値!AK219:BD219)/AVERAGE(終値!AK219:BD219),""))</f>
        <v>0.19743784896537483</v>
      </c>
      <c r="AI219" s="503">
        <f>IF(終値!A219="","",IFERROR(4*STDEVP(終値!AL219:BE219)/AVERAGE(終値!AL219:BE219),""))</f>
        <v>0.29076235621618318</v>
      </c>
      <c r="AJ219" s="503">
        <f>IF(終値!A219="","",IFERROR(4*STDEVP(終値!AM219:BF219)/AVERAGE(終値!AM219:BF219),""))</f>
        <v>0.49123898667439081</v>
      </c>
      <c r="AK219" s="503">
        <f>IF(終値!A219="","",IFERROR(4*STDEVP(終値!AN219:BG219)/AVERAGE(終値!AN219:BG219),""))</f>
        <v>0.63539146313858608</v>
      </c>
      <c r="AL219" s="503">
        <f>IF(終値!A219="","",IFERROR(4*STDEVP(終値!AO219:BH219)/AVERAGE(終値!AO219:BH219),""))</f>
        <v>0.71012626871251294</v>
      </c>
      <c r="AM219" s="503">
        <f>IF(終値!A219="","",IFERROR(4*STDEVP(終値!AP219:BI219)/AVERAGE(終値!AP219:BI219),""))</f>
        <v>0.75166255871203891</v>
      </c>
      <c r="AN219" s="503">
        <f>IF(終値!A219="","",IFERROR(4*STDEVP(終値!AQ219:BJ219)/AVERAGE(終値!AQ219:BJ219),""))</f>
        <v>0.76870233481496619</v>
      </c>
      <c r="AO219" s="503">
        <f>IF(終値!A219="","",IFERROR(4*STDEVP(終値!AR219:BK219)/AVERAGE(終値!AR219:BK219),""))</f>
        <v>0.77562926080154293</v>
      </c>
      <c r="AP219" s="503">
        <f>IF(終値!A219="","",IFERROR(4*STDEVP(終値!AS219:BL219)/AVERAGE(終値!AS219:BL219),""))</f>
        <v>0.76028444472425982</v>
      </c>
    </row>
    <row r="220" spans="1:42">
      <c r="A220" s="500" t="str">
        <f>IF(終値!A220="","",終値!A220)</f>
        <v>464A</v>
      </c>
      <c r="B220" s="503">
        <f>IF(終値!A220="","",IFERROR(4*STDEVP(終値!E220:X220)/AVERAGE(終値!E220:X220),""))</f>
        <v>0.45356514783064583</v>
      </c>
      <c r="C220" s="503">
        <f>IF(終値!A220="","",IFERROR(4*STDEVP(終値!F220:Y220)/AVERAGE(終値!F220:Y220),""))</f>
        <v>0.49562926879321029</v>
      </c>
      <c r="D220" s="503">
        <f>IF(終値!A220="","",IFERROR(4*STDEVP(終値!G220:Z220)/AVERAGE(終値!G220:Z220),""))</f>
        <v>0.50153428575779702</v>
      </c>
      <c r="E220" s="503">
        <f>IF(終値!A220="","",IFERROR(4*STDEVP(終値!H220:AA220)/AVERAGE(終値!H220:AA220),""))</f>
        <v>0.49545276185005149</v>
      </c>
      <c r="F220" s="503">
        <f>IF(終値!A220="","",IFERROR(4*STDEVP(終値!I220:AB220)/AVERAGE(終値!I220:AB220),""))</f>
        <v>0.46290941174777178</v>
      </c>
      <c r="G220" s="503">
        <f>IF(終値!A220="","",IFERROR(4*STDEVP(終値!J220:AC220)/AVERAGE(終値!J220:AC220),""))</f>
        <v>0.41193322194918119</v>
      </c>
      <c r="H220" s="503">
        <f>IF(終値!A220="","",IFERROR(4*STDEVP(終値!K220:AD220)/AVERAGE(終値!K220:AD220),""))</f>
        <v>0.38511911702931145</v>
      </c>
      <c r="I220" s="503">
        <f>IF(終値!A220="","",IFERROR(4*STDEVP(終値!L220:AE220)/AVERAGE(終値!L220:AE220),""))</f>
        <v>0.34174568403578942</v>
      </c>
      <c r="J220" s="503">
        <f>IF(終値!A220="","",IFERROR(4*STDEVP(終値!M220:AF220)/AVERAGE(終値!M220:AF220),""))</f>
        <v>0.30184806373850726</v>
      </c>
      <c r="K220" s="503">
        <f>IF(終値!A220="","",IFERROR(4*STDEVP(終値!N220:AG220)/AVERAGE(終値!N220:AG220),""))</f>
        <v>0.28336961163006918</v>
      </c>
      <c r="L220" s="503">
        <f>IF(終値!A220="","",IFERROR(4*STDEVP(終値!O220:AH220)/AVERAGE(終値!O220:AH220),""))</f>
        <v>0.30665048524756183</v>
      </c>
      <c r="M220" s="503">
        <f>IF(終値!A220="","",IFERROR(4*STDEVP(終値!P220:AI220)/AVERAGE(終値!P220:AI220),""))</f>
        <v>0.29894217550123614</v>
      </c>
      <c r="N220" s="503">
        <f>IF(終値!A220="","",IFERROR(4*STDEVP(終値!Q220:AJ220)/AVERAGE(終値!Q220:AJ220),""))</f>
        <v>0.28112145578416786</v>
      </c>
      <c r="O220" s="503">
        <f>IF(終値!A220="","",IFERROR(4*STDEVP(終値!R220:AK220)/AVERAGE(終値!R220:AK220),""))</f>
        <v>0.29422005007247909</v>
      </c>
      <c r="P220" s="503">
        <f>IF(終値!A220="","",IFERROR(4*STDEVP(終値!S220:AL220)/AVERAGE(終値!S220:AL220),""))</f>
        <v>0.31051688037931185</v>
      </c>
      <c r="Q220" s="503">
        <f>IF(終値!A220="","",IFERROR(4*STDEVP(終値!T220:AM220)/AVERAGE(終値!T220:AM220),""))</f>
        <v>0.3235896935410848</v>
      </c>
      <c r="R220" s="503">
        <f>IF(終値!A220="","",IFERROR(4*STDEVP(終値!U220:AN220)/AVERAGE(終値!U220:AN220),""))</f>
        <v>0.43772634362093849</v>
      </c>
      <c r="S220" s="503">
        <f>IF(終値!A220="","",IFERROR(4*STDEVP(終値!V220:AO220)/AVERAGE(終値!V220:AO220),""))</f>
        <v>0.46640685939580717</v>
      </c>
      <c r="T220" s="503">
        <f>IF(終値!A220="","",IFERROR(4*STDEVP(終値!W220:AP220)/AVERAGE(終値!W220:AP220),""))</f>
        <v>0.46642328579629583</v>
      </c>
      <c r="U220" s="503">
        <f>IF(終値!A220="","",IFERROR(4*STDEVP(終値!X220:AQ220)/AVERAGE(終値!X220:AQ220),""))</f>
        <v>0.52830880991600915</v>
      </c>
      <c r="V220" s="503">
        <f>IF(終値!A220="","",IFERROR(4*STDEVP(終値!Y220:AR220)/AVERAGE(終値!Y220:AR220),""))</f>
        <v>0.5840942090542931</v>
      </c>
      <c r="W220" s="503">
        <f>IF(終値!A220="","",IFERROR(4*STDEVP(終値!Z220:AS220)/AVERAGE(終値!Z220:AS220),""))</f>
        <v>0.60059291835715733</v>
      </c>
      <c r="X220" s="503">
        <f>IF(終値!A220="","",IFERROR(4*STDEVP(終値!AA220:AT220)/AVERAGE(終値!AA220:AT220),""))</f>
        <v>0.63427846751200345</v>
      </c>
      <c r="Y220" s="503">
        <f>IF(終値!A220="","",IFERROR(4*STDEVP(終値!AB220:AU220)/AVERAGE(終値!AB220:AU220),""))</f>
        <v>0.65475103437046178</v>
      </c>
      <c r="Z220" s="503">
        <f>IF(終値!A220="","",IFERROR(4*STDEVP(終値!AC220:AV220)/AVERAGE(終値!AC220:AV220),""))</f>
        <v>0.83801022482226839</v>
      </c>
      <c r="AA220" s="503">
        <f>IF(終値!A220="","",IFERROR(4*STDEVP(終値!AD220:AW220)/AVERAGE(終値!AD220:AW220),""))</f>
        <v>0.98382249980208425</v>
      </c>
      <c r="AB220" s="503">
        <f>IF(終値!A220="","",IFERROR(4*STDEVP(終値!AE220:AX220)/AVERAGE(終値!AE220:AX220),""))</f>
        <v>1.033155877021479</v>
      </c>
      <c r="AC220" s="503">
        <f>IF(終値!A220="","",IFERROR(4*STDEVP(終値!AF220:AY220)/AVERAGE(終値!AF220:AY220),""))</f>
        <v>1.0318409175468222</v>
      </c>
      <c r="AD220" s="503">
        <f>IF(終値!A220="","",IFERROR(4*STDEVP(終値!AG220:AZ220)/AVERAGE(終値!AG220:AZ220),""))</f>
        <v>0.9960941273859526</v>
      </c>
      <c r="AE220" s="503">
        <f>IF(終値!A220="","",IFERROR(4*STDEVP(終値!AH220:BA220)/AVERAGE(終値!AH220:BA220),""))</f>
        <v>0.94183876693935764</v>
      </c>
      <c r="AF220" s="503">
        <f>IF(終値!A220="","",IFERROR(4*STDEVP(終値!AI220:BB220)/AVERAGE(終値!AI220:BB220),""))</f>
        <v>0.90379280779021609</v>
      </c>
      <c r="AG220" s="503">
        <f>IF(終値!A220="","",IFERROR(4*STDEVP(終値!AJ220:BC220)/AVERAGE(終値!AJ220:BC220),""))</f>
        <v>0.85753611306808497</v>
      </c>
      <c r="AH220" s="503">
        <f>IF(終値!A220="","",IFERROR(4*STDEVP(終値!AK220:BD220)/AVERAGE(終値!AK220:BD220),""))</f>
        <v>0.80714945800051041</v>
      </c>
      <c r="AI220" s="503">
        <f>IF(終値!A220="","",IFERROR(4*STDEVP(終値!AL220:BE220)/AVERAGE(終値!AL220:BE220),""))</f>
        <v>0.74563945184577174</v>
      </c>
      <c r="AJ220" s="503">
        <f>IF(終値!A220="","",IFERROR(4*STDEVP(終値!AM220:BF220)/AVERAGE(終値!AM220:BF220),""))</f>
        <v>0.68607086731224642</v>
      </c>
      <c r="AK220" s="503">
        <f>IF(終値!A220="","",IFERROR(4*STDEVP(終値!AN220:BG220)/AVERAGE(終値!AN220:BG220),""))</f>
        <v>0.62789512481032672</v>
      </c>
      <c r="AL220" s="503">
        <f>IF(終値!A220="","",IFERROR(4*STDEVP(終値!AO220:BH220)/AVERAGE(終値!AO220:BH220),""))</f>
        <v>0.61817531353953314</v>
      </c>
      <c r="AM220" s="503">
        <f>IF(終値!A220="","",IFERROR(4*STDEVP(終値!AP220:BI220)/AVERAGE(終値!AP220:BI220),""))</f>
        <v>0.59082422035048321</v>
      </c>
      <c r="AN220" s="503">
        <f>IF(終値!A220="","",IFERROR(4*STDEVP(終値!AQ220:BJ220)/AVERAGE(終値!AQ220:BJ220),""))</f>
        <v>0.56448527013586902</v>
      </c>
      <c r="AO220" s="503">
        <f>IF(終値!A220="","",IFERROR(4*STDEVP(終値!AR220:BK220)/AVERAGE(終値!AR220:BK220),""))</f>
        <v>0.57986270301585086</v>
      </c>
      <c r="AP220" s="503">
        <f>IF(終値!A220="","",IFERROR(4*STDEVP(終値!AS220:BL220)/AVERAGE(終値!AS220:BL220),""))</f>
        <v>0.61160300526339861</v>
      </c>
    </row>
    <row r="221" spans="1:42">
      <c r="A221" s="500" t="str">
        <f>IF(終値!A221="","",終値!A221)</f>
        <v>485A</v>
      </c>
      <c r="B221" s="503" t="str">
        <f>IF(終値!A221="","",IFERROR(4*STDEVP(終値!E221:X221)/AVERAGE(終値!E221:X221),""))</f>
        <v/>
      </c>
      <c r="C221" s="503" t="str">
        <f>IF(終値!A221="","",IFERROR(4*STDEVP(終値!F221:Y221)/AVERAGE(終値!F221:Y221),""))</f>
        <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0.30023011586760012</v>
      </c>
      <c r="C222" s="503">
        <f>IF(終値!A222="","",IFERROR(4*STDEVP(終値!F222:Y222)/AVERAGE(終値!F222:Y222),""))</f>
        <v>0.31265030335225841</v>
      </c>
      <c r="D222" s="503">
        <f>IF(終値!A222="","",IFERROR(4*STDEVP(終値!G222:Z222)/AVERAGE(終値!G222:Z222),""))</f>
        <v>0.3104144456006393</v>
      </c>
      <c r="E222" s="503">
        <f>IF(終値!A222="","",IFERROR(4*STDEVP(終値!H222:AA222)/AVERAGE(終値!H222:AA222),""))</f>
        <v>0.32121435739224219</v>
      </c>
      <c r="F222" s="503">
        <f>IF(終値!A222="","",IFERROR(4*STDEVP(終値!I222:AB222)/AVERAGE(終値!I222:AB222),""))</f>
        <v>0.30312528069963368</v>
      </c>
      <c r="G222" s="503">
        <f>IF(終値!A222="","",IFERROR(4*STDEVP(終値!J222:AC222)/AVERAGE(終値!J222:AC222),""))</f>
        <v>0.26642967084621821</v>
      </c>
      <c r="H222" s="503">
        <f>IF(終値!A222="","",IFERROR(4*STDEVP(終値!K222:AD222)/AVERAGE(終値!K222:AD222),""))</f>
        <v>0.22906191143439633</v>
      </c>
      <c r="I222" s="503">
        <f>IF(終値!A222="","",IFERROR(4*STDEVP(終値!L222:AE222)/AVERAGE(終値!L222:AE222),""))</f>
        <v>0.24460792438376386</v>
      </c>
      <c r="J222" s="503">
        <f>IF(終値!A222="","",IFERROR(4*STDEVP(終値!M222:AF222)/AVERAGE(終値!M222:AF222),""))</f>
        <v>0.22365374046190767</v>
      </c>
      <c r="K222" s="503">
        <f>IF(終値!A222="","",IFERROR(4*STDEVP(終値!N222:AG222)/AVERAGE(終値!N222:AG222),""))</f>
        <v>0.21788214013898854</v>
      </c>
      <c r="L222" s="503">
        <f>IF(終値!A222="","",IFERROR(4*STDEVP(終値!O222:AH222)/AVERAGE(終値!O222:AH222),""))</f>
        <v>0.22892117361540665</v>
      </c>
      <c r="M222" s="503">
        <f>IF(終値!A222="","",IFERROR(4*STDEVP(終値!P222:AI222)/AVERAGE(終値!P222:AI222),""))</f>
        <v>0.22278396426408759</v>
      </c>
      <c r="N222" s="503">
        <f>IF(終値!A222="","",IFERROR(4*STDEVP(終値!Q222:AJ222)/AVERAGE(終値!Q222:AJ222),""))</f>
        <v>0.18372867549712199</v>
      </c>
      <c r="O222" s="503">
        <f>IF(終値!A222="","",IFERROR(4*STDEVP(終値!R222:AK222)/AVERAGE(終値!R222:AK222),""))</f>
        <v>0.18222336076134737</v>
      </c>
      <c r="P222" s="503">
        <f>IF(終値!A222="","",IFERROR(4*STDEVP(終値!S222:AL222)/AVERAGE(終値!S222:AL222),""))</f>
        <v>0.17405424779110965</v>
      </c>
      <c r="Q222" s="503">
        <f>IF(終値!A222="","",IFERROR(4*STDEVP(終値!T222:AM222)/AVERAGE(終値!T222:AM222),""))</f>
        <v>0.16020567047648127</v>
      </c>
      <c r="R222" s="503">
        <f>IF(終値!A222="","",IFERROR(4*STDEVP(終値!U222:AN222)/AVERAGE(終値!U222:AN222),""))</f>
        <v>0.179172495825278</v>
      </c>
      <c r="S222" s="503">
        <f>IF(終値!A222="","",IFERROR(4*STDEVP(終値!V222:AO222)/AVERAGE(終値!V222:AO222),""))</f>
        <v>0.21537410248872593</v>
      </c>
      <c r="T222" s="503">
        <f>IF(終値!A222="","",IFERROR(4*STDEVP(終値!W222:AP222)/AVERAGE(終値!W222:AP222),""))</f>
        <v>0.23957737580962765</v>
      </c>
      <c r="U222" s="503">
        <f>IF(終値!A222="","",IFERROR(4*STDEVP(終値!X222:AQ222)/AVERAGE(終値!X222:AQ222),""))</f>
        <v>0.26926711556105348</v>
      </c>
      <c r="V222" s="503">
        <f>IF(終値!A222="","",IFERROR(4*STDEVP(終値!Y222:AR222)/AVERAGE(終値!Y222:AR222),""))</f>
        <v>0.27535084668869192</v>
      </c>
      <c r="W222" s="503">
        <f>IF(終値!A222="","",IFERROR(4*STDEVP(終値!Z222:AS222)/AVERAGE(終値!Z222:AS222),""))</f>
        <v>0.2769225604728156</v>
      </c>
      <c r="X222" s="503">
        <f>IF(終値!A222="","",IFERROR(4*STDEVP(終値!AA222:AT222)/AVERAGE(終値!AA222:AT222),""))</f>
        <v>0.27678955975483149</v>
      </c>
      <c r="Y222" s="503">
        <f>IF(終値!A222="","",IFERROR(4*STDEVP(終値!AB222:AU222)/AVERAGE(終値!AB222:AU222),""))</f>
        <v>0.27914331901697947</v>
      </c>
      <c r="Z222" s="503">
        <f>IF(終値!A222="","",IFERROR(4*STDEVP(終値!AC222:AV222)/AVERAGE(終値!AC222:AV222),""))</f>
        <v>0.28285105339917399</v>
      </c>
      <c r="AA222" s="503">
        <f>IF(終値!A222="","",IFERROR(4*STDEVP(終値!AD222:AW222)/AVERAGE(終値!AD222:AW222),""))</f>
        <v>0.29658648265132581</v>
      </c>
      <c r="AB222" s="503">
        <f>IF(終値!A222="","",IFERROR(4*STDEVP(終値!AE222:AX222)/AVERAGE(終値!AE222:AX222),""))</f>
        <v>0.30570282619756339</v>
      </c>
      <c r="AC222" s="503">
        <f>IF(終値!A222="","",IFERROR(4*STDEVP(終値!AF222:AY222)/AVERAGE(終値!AF222:AY222),""))</f>
        <v>0.29203697126636868</v>
      </c>
      <c r="AD222" s="503">
        <f>IF(終値!A222="","",IFERROR(4*STDEVP(終値!AG222:AZ222)/AVERAGE(終値!AG222:AZ222),""))</f>
        <v>0.30910817317384126</v>
      </c>
      <c r="AE222" s="503">
        <f>IF(終値!A222="","",IFERROR(4*STDEVP(終値!AH222:BA222)/AVERAGE(終値!AH222:BA222),""))</f>
        <v>0.33413452403333127</v>
      </c>
      <c r="AF222" s="503">
        <f>IF(終値!A222="","",IFERROR(4*STDEVP(終値!AI222:BB222)/AVERAGE(終値!AI222:BB222),""))</f>
        <v>0.34409741043597908</v>
      </c>
      <c r="AG222" s="503">
        <f>IF(終値!A222="","",IFERROR(4*STDEVP(終値!AJ222:BC222)/AVERAGE(終値!AJ222:BC222),""))</f>
        <v>0.34712503198607386</v>
      </c>
      <c r="AH222" s="503">
        <f>IF(終値!A222="","",IFERROR(4*STDEVP(終値!AK222:BD222)/AVERAGE(終値!AK222:BD222),""))</f>
        <v>0.33922583129779421</v>
      </c>
      <c r="AI222" s="503">
        <f>IF(終値!A222="","",IFERROR(4*STDEVP(終値!AL222:BE222)/AVERAGE(終値!AL222:BE222),""))</f>
        <v>0.32979682314823816</v>
      </c>
      <c r="AJ222" s="503">
        <f>IF(終値!A222="","",IFERROR(4*STDEVP(終値!AM222:BF222)/AVERAGE(終値!AM222:BF222),""))</f>
        <v>0.31211592608677236</v>
      </c>
      <c r="AK222" s="503">
        <f>IF(終値!A222="","",IFERROR(4*STDEVP(終値!AN222:BG222)/AVERAGE(終値!AN222:BG222),""))</f>
        <v>0.28527647259950856</v>
      </c>
      <c r="AL222" s="503">
        <f>IF(終値!A222="","",IFERROR(4*STDEVP(終値!AO222:BH222)/AVERAGE(終値!AO222:BH222),""))</f>
        <v>0.28453242785806232</v>
      </c>
      <c r="AM222" s="503">
        <f>IF(終値!A222="","",IFERROR(4*STDEVP(終値!AP222:BI222)/AVERAGE(終値!AP222:BI222),""))</f>
        <v>0.28776985231808311</v>
      </c>
      <c r="AN222" s="503">
        <f>IF(終値!A222="","",IFERROR(4*STDEVP(終値!AQ222:BJ222)/AVERAGE(終値!AQ222:BJ222),""))</f>
        <v>0.28989146509732017</v>
      </c>
      <c r="AO222" s="503">
        <f>IF(終値!A222="","",IFERROR(4*STDEVP(終値!AR222:BK222)/AVERAGE(終値!AR222:BK222),""))</f>
        <v>0.2908617692973029</v>
      </c>
      <c r="AP222" s="503">
        <f>IF(終値!A222="","",IFERROR(4*STDEVP(終値!AS222:BL222)/AVERAGE(終値!AS222:BL222),""))</f>
        <v>0.30237013565292598</v>
      </c>
    </row>
    <row r="223" spans="1:42">
      <c r="A223" s="500" t="str">
        <f>IF(終値!A223="","",終値!A223)</f>
        <v>6135</v>
      </c>
      <c r="B223" s="503">
        <f>IF(終値!A223="","",IFERROR(4*STDEVP(終値!E223:X223)/AVERAGE(終値!E223:X223),""))</f>
        <v>9.0281002156506737E-2</v>
      </c>
      <c r="C223" s="503">
        <f>IF(終値!A223="","",IFERROR(4*STDEVP(終値!F223:Y223)/AVERAGE(終値!F223:Y223),""))</f>
        <v>9.8799329516264606E-2</v>
      </c>
      <c r="D223" s="503">
        <f>IF(終値!A223="","",IFERROR(4*STDEVP(終値!G223:Z223)/AVERAGE(終値!G223:Z223),""))</f>
        <v>0.1042614358276036</v>
      </c>
      <c r="E223" s="503">
        <f>IF(終値!A223="","",IFERROR(4*STDEVP(終値!H223:AA223)/AVERAGE(終値!H223:AA223),""))</f>
        <v>0.10230738881297691</v>
      </c>
      <c r="F223" s="503">
        <f>IF(終値!A223="","",IFERROR(4*STDEVP(終値!I223:AB223)/AVERAGE(終値!I223:AB223),""))</f>
        <v>9.7100592823291948E-2</v>
      </c>
      <c r="G223" s="503">
        <f>IF(終値!A223="","",IFERROR(4*STDEVP(終値!J223:AC223)/AVERAGE(終値!J223:AC223),""))</f>
        <v>8.2881916772348699E-2</v>
      </c>
      <c r="H223" s="503">
        <f>IF(終値!A223="","",IFERROR(4*STDEVP(終値!K223:AD223)/AVERAGE(終値!K223:AD223),""))</f>
        <v>7.9406094482362383E-2</v>
      </c>
      <c r="I223" s="503">
        <f>IF(終値!A223="","",IFERROR(4*STDEVP(終値!L223:AE223)/AVERAGE(終値!L223:AE223),""))</f>
        <v>9.1824198729928586E-2</v>
      </c>
      <c r="J223" s="503">
        <f>IF(終値!A223="","",IFERROR(4*STDEVP(終値!M223:AF223)/AVERAGE(終値!M223:AF223),""))</f>
        <v>9.8356550723316477E-2</v>
      </c>
      <c r="K223" s="503">
        <f>IF(終値!A223="","",IFERROR(4*STDEVP(終値!N223:AG223)/AVERAGE(終値!N223:AG223),""))</f>
        <v>0.10929066948632916</v>
      </c>
      <c r="L223" s="503">
        <f>IF(終値!A223="","",IFERROR(4*STDEVP(終値!O223:AH223)/AVERAGE(終値!O223:AH223),""))</f>
        <v>0.10853512779729493</v>
      </c>
      <c r="M223" s="503">
        <f>IF(終値!A223="","",IFERROR(4*STDEVP(終値!P223:AI223)/AVERAGE(終値!P223:AI223),""))</f>
        <v>0.10642126258202228</v>
      </c>
      <c r="N223" s="503">
        <f>IF(終値!A223="","",IFERROR(4*STDEVP(終値!Q223:AJ223)/AVERAGE(終値!Q223:AJ223),""))</f>
        <v>0.10822277371898845</v>
      </c>
      <c r="O223" s="503">
        <f>IF(終値!A223="","",IFERROR(4*STDEVP(終値!R223:AK223)/AVERAGE(終値!R223:AK223),""))</f>
        <v>0.11471804703065834</v>
      </c>
      <c r="P223" s="503">
        <f>IF(終値!A223="","",IFERROR(4*STDEVP(終値!S223:AL223)/AVERAGE(終値!S223:AL223),""))</f>
        <v>0.11818677147387031</v>
      </c>
      <c r="Q223" s="503">
        <f>IF(終値!A223="","",IFERROR(4*STDEVP(終値!T223:AM223)/AVERAGE(終値!T223:AM223),""))</f>
        <v>0.12496385551758699</v>
      </c>
      <c r="R223" s="503">
        <f>IF(終値!A223="","",IFERROR(4*STDEVP(終値!U223:AN223)/AVERAGE(終値!U223:AN223),""))</f>
        <v>0.13421753963874503</v>
      </c>
      <c r="S223" s="503">
        <f>IF(終値!A223="","",IFERROR(4*STDEVP(終値!V223:AO223)/AVERAGE(終値!V223:AO223),""))</f>
        <v>0.13928111055807935</v>
      </c>
      <c r="T223" s="503">
        <f>IF(終値!A223="","",IFERROR(4*STDEVP(終値!W223:AP223)/AVERAGE(終値!W223:AP223),""))</f>
        <v>0.13978575294930989</v>
      </c>
      <c r="U223" s="503">
        <f>IF(終値!A223="","",IFERROR(4*STDEVP(終値!X223:AQ223)/AVERAGE(終値!X223:AQ223),""))</f>
        <v>0.14345170263868673</v>
      </c>
      <c r="V223" s="503">
        <f>IF(終値!A223="","",IFERROR(4*STDEVP(終値!Y223:AR223)/AVERAGE(終値!Y223:AR223),""))</f>
        <v>0.14182284152249264</v>
      </c>
      <c r="W223" s="503">
        <f>IF(終値!A223="","",IFERROR(4*STDEVP(終値!Z223:AS223)/AVERAGE(終値!Z223:AS223),""))</f>
        <v>0.14052649784382498</v>
      </c>
      <c r="X223" s="503">
        <f>IF(終値!A223="","",IFERROR(4*STDEVP(終値!AA223:AT223)/AVERAGE(終値!AA223:AT223),""))</f>
        <v>0.1403385350029796</v>
      </c>
      <c r="Y223" s="503">
        <f>IF(終値!A223="","",IFERROR(4*STDEVP(終値!AB223:AU223)/AVERAGE(終値!AB223:AU223),""))</f>
        <v>0.13747305781299993</v>
      </c>
      <c r="Z223" s="503">
        <f>IF(終値!A223="","",IFERROR(4*STDEVP(終値!AC223:AV223)/AVERAGE(終値!AC223:AV223),""))</f>
        <v>0.14843164068243686</v>
      </c>
      <c r="AA223" s="503">
        <f>IF(終値!A223="","",IFERROR(4*STDEVP(終値!AD223:AW223)/AVERAGE(終値!AD223:AW223),""))</f>
        <v>0.15644015008583023</v>
      </c>
      <c r="AB223" s="503">
        <f>IF(終値!A223="","",IFERROR(4*STDEVP(終値!AE223:AX223)/AVERAGE(終値!AE223:AX223),""))</f>
        <v>0.15386272037869009</v>
      </c>
      <c r="AC223" s="503">
        <f>IF(終値!A223="","",IFERROR(4*STDEVP(終値!AF223:AY223)/AVERAGE(終値!AF223:AY223),""))</f>
        <v>0.12466481107326509</v>
      </c>
      <c r="AD223" s="503">
        <f>IF(終値!A223="","",IFERROR(4*STDEVP(終値!AG223:AZ223)/AVERAGE(終値!AG223:AZ223),""))</f>
        <v>0.13654913645081229</v>
      </c>
      <c r="AE223" s="503">
        <f>IF(終値!A223="","",IFERROR(4*STDEVP(終値!AH223:BA223)/AVERAGE(終値!AH223:BA223),""))</f>
        <v>0.1432173515712736</v>
      </c>
      <c r="AF223" s="503">
        <f>IF(終値!A223="","",IFERROR(4*STDEVP(終値!AI223:BB223)/AVERAGE(終値!AI223:BB223),""))</f>
        <v>0.14536543325968532</v>
      </c>
      <c r="AG223" s="503">
        <f>IF(終値!A223="","",IFERROR(4*STDEVP(終値!AJ223:BC223)/AVERAGE(終値!AJ223:BC223),""))</f>
        <v>0.1384643389884728</v>
      </c>
      <c r="AH223" s="503">
        <f>IF(終値!A223="","",IFERROR(4*STDEVP(終値!AK223:BD223)/AVERAGE(終値!AK223:BD223),""))</f>
        <v>0.13524536493009615</v>
      </c>
      <c r="AI223" s="503">
        <f>IF(終値!A223="","",IFERROR(4*STDEVP(終値!AL223:BE223)/AVERAGE(終値!AL223:BE223),""))</f>
        <v>0.13263676149477424</v>
      </c>
      <c r="AJ223" s="503">
        <f>IF(終値!A223="","",IFERROR(4*STDEVP(終値!AM223:BF223)/AVERAGE(終値!AM223:BF223),""))</f>
        <v>0.12705131999742436</v>
      </c>
      <c r="AK223" s="503">
        <f>IF(終値!A223="","",IFERROR(4*STDEVP(終値!AN223:BG223)/AVERAGE(終値!AN223:BG223),""))</f>
        <v>0.12440899179278486</v>
      </c>
      <c r="AL223" s="503">
        <f>IF(終値!A223="","",IFERROR(4*STDEVP(終値!AO223:BH223)/AVERAGE(終値!AO223:BH223),""))</f>
        <v>0.12334247844963842</v>
      </c>
      <c r="AM223" s="503">
        <f>IF(終値!A223="","",IFERROR(4*STDEVP(終値!AP223:BI223)/AVERAGE(終値!AP223:BI223),""))</f>
        <v>0.11999852657157874</v>
      </c>
      <c r="AN223" s="503">
        <f>IF(終値!A223="","",IFERROR(4*STDEVP(終値!AQ223:BJ223)/AVERAGE(終値!AQ223:BJ223),""))</f>
        <v>0.11147203630255129</v>
      </c>
      <c r="AO223" s="503">
        <f>IF(終値!A223="","",IFERROR(4*STDEVP(終値!AR223:BK223)/AVERAGE(終値!AR223:BK223),""))</f>
        <v>0.10499586129012094</v>
      </c>
      <c r="AP223" s="503">
        <f>IF(終値!A223="","",IFERROR(4*STDEVP(終値!AS223:BL223)/AVERAGE(終値!AS223:BL223),""))</f>
        <v>0.1029731367871411</v>
      </c>
    </row>
    <row r="224" spans="1:42">
      <c r="A224" s="500" t="str">
        <f>IF(終値!A224="","",終値!A224)</f>
        <v>6055</v>
      </c>
      <c r="B224" s="503">
        <f>IF(終値!A224="","",IFERROR(4*STDEVP(終値!E224:X224)/AVERAGE(終値!E224:X224),""))</f>
        <v>0.33262294808061327</v>
      </c>
      <c r="C224" s="503">
        <f>IF(終値!A224="","",IFERROR(4*STDEVP(終値!F224:Y224)/AVERAGE(終値!F224:Y224),""))</f>
        <v>0.33467661360924694</v>
      </c>
      <c r="D224" s="503">
        <f>IF(終値!A224="","",IFERROR(4*STDEVP(終値!G224:Z224)/AVERAGE(終値!G224:Z224),""))</f>
        <v>0.33364949856208886</v>
      </c>
      <c r="E224" s="503">
        <f>IF(終値!A224="","",IFERROR(4*STDEVP(終値!H224:AA224)/AVERAGE(終値!H224:AA224),""))</f>
        <v>0.34457950190056802</v>
      </c>
      <c r="F224" s="503">
        <f>IF(終値!A224="","",IFERROR(4*STDEVP(終値!I224:AB224)/AVERAGE(終値!I224:AB224),""))</f>
        <v>0.3123226472968984</v>
      </c>
      <c r="G224" s="503">
        <f>IF(終値!A224="","",IFERROR(4*STDEVP(終値!J224:AC224)/AVERAGE(終値!J224:AC224),""))</f>
        <v>0.2642558714135238</v>
      </c>
      <c r="H224" s="503">
        <f>IF(終値!A224="","",IFERROR(4*STDEVP(終値!K224:AD224)/AVERAGE(終値!K224:AD224),""))</f>
        <v>0.23121445082419267</v>
      </c>
      <c r="I224" s="503">
        <f>IF(終値!A224="","",IFERROR(4*STDEVP(終値!L224:AE224)/AVERAGE(終値!L224:AE224),""))</f>
        <v>0.23122473819527697</v>
      </c>
      <c r="J224" s="503">
        <f>IF(終値!A224="","",IFERROR(4*STDEVP(終値!M224:AF224)/AVERAGE(終値!M224:AF224),""))</f>
        <v>0.20739554758168752</v>
      </c>
      <c r="K224" s="503">
        <f>IF(終値!A224="","",IFERROR(4*STDEVP(終値!N224:AG224)/AVERAGE(終値!N224:AG224),""))</f>
        <v>0.19355439545618766</v>
      </c>
      <c r="L224" s="503">
        <f>IF(終値!A224="","",IFERROR(4*STDEVP(終値!O224:AH224)/AVERAGE(終値!O224:AH224),""))</f>
        <v>0.17699826443576122</v>
      </c>
      <c r="M224" s="503">
        <f>IF(終値!A224="","",IFERROR(4*STDEVP(終値!P224:AI224)/AVERAGE(終値!P224:AI224),""))</f>
        <v>0.16008525488366426</v>
      </c>
      <c r="N224" s="503">
        <f>IF(終値!A224="","",IFERROR(4*STDEVP(終値!Q224:AJ224)/AVERAGE(終値!Q224:AJ224),""))</f>
        <v>0.1246515538929136</v>
      </c>
      <c r="O224" s="503">
        <f>IF(終値!A224="","",IFERROR(4*STDEVP(終値!R224:AK224)/AVERAGE(終値!R224:AK224),""))</f>
        <v>0.14281864737677813</v>
      </c>
      <c r="P224" s="503">
        <f>IF(終値!A224="","",IFERROR(4*STDEVP(終値!S224:AL224)/AVERAGE(終値!S224:AL224),""))</f>
        <v>0.1533457241743264</v>
      </c>
      <c r="Q224" s="503">
        <f>IF(終値!A224="","",IFERROR(4*STDEVP(終値!T224:AM224)/AVERAGE(終値!T224:AM224),""))</f>
        <v>0.15351435336448332</v>
      </c>
      <c r="R224" s="503">
        <f>IF(終値!A224="","",IFERROR(4*STDEVP(終値!U224:AN224)/AVERAGE(終値!U224:AN224),""))</f>
        <v>0.17511203906155151</v>
      </c>
      <c r="S224" s="503">
        <f>IF(終値!A224="","",IFERROR(4*STDEVP(終値!V224:AO224)/AVERAGE(終値!V224:AO224),""))</f>
        <v>0.21471028758026262</v>
      </c>
      <c r="T224" s="503">
        <f>IF(終値!A224="","",IFERROR(4*STDEVP(終値!W224:AP224)/AVERAGE(終値!W224:AP224),""))</f>
        <v>0.25481841981943398</v>
      </c>
      <c r="U224" s="503">
        <f>IF(終値!A224="","",IFERROR(4*STDEVP(終値!X224:AQ224)/AVERAGE(終値!X224:AQ224),""))</f>
        <v>0.28694490427890312</v>
      </c>
      <c r="V224" s="503">
        <f>IF(終値!A224="","",IFERROR(4*STDEVP(終値!Y224:AR224)/AVERAGE(終値!Y224:AR224),""))</f>
        <v>0.29590159703600832</v>
      </c>
      <c r="W224" s="503">
        <f>IF(終値!A224="","",IFERROR(4*STDEVP(終値!Z224:AS224)/AVERAGE(終値!Z224:AS224),""))</f>
        <v>0.29580544736172942</v>
      </c>
      <c r="X224" s="503">
        <f>IF(終値!A224="","",IFERROR(4*STDEVP(終値!AA224:AT224)/AVERAGE(終値!AA224:AT224),""))</f>
        <v>0.31947736663574205</v>
      </c>
      <c r="Y224" s="503">
        <f>IF(終値!A224="","",IFERROR(4*STDEVP(終値!AB224:AU224)/AVERAGE(終値!AB224:AU224),""))</f>
        <v>0.34162253709749096</v>
      </c>
      <c r="Z224" s="503">
        <f>IF(終値!A224="","",IFERROR(4*STDEVP(終値!AC224:AV224)/AVERAGE(終値!AC224:AV224),""))</f>
        <v>0.35922073521758663</v>
      </c>
      <c r="AA224" s="503">
        <f>IF(終値!A224="","",IFERROR(4*STDEVP(終値!AD224:AW224)/AVERAGE(終値!AD224:AW224),""))</f>
        <v>0.36828082813857688</v>
      </c>
      <c r="AB224" s="503">
        <f>IF(終値!A224="","",IFERROR(4*STDEVP(終値!AE224:AX224)/AVERAGE(終値!AE224:AX224),""))</f>
        <v>0.36831339900804699</v>
      </c>
      <c r="AC224" s="503">
        <f>IF(終値!A224="","",IFERROR(4*STDEVP(終値!AF224:AY224)/AVERAGE(終値!AF224:AY224),""))</f>
        <v>0.34027234759288605</v>
      </c>
      <c r="AD224" s="503">
        <f>IF(終値!A224="","",IFERROR(4*STDEVP(終値!AG224:AZ224)/AVERAGE(終値!AG224:AZ224),""))</f>
        <v>0.34561050876475402</v>
      </c>
      <c r="AE224" s="503">
        <f>IF(終値!A224="","",IFERROR(4*STDEVP(終値!AH224:BA224)/AVERAGE(終値!AH224:BA224),""))</f>
        <v>0.33832025083918471</v>
      </c>
      <c r="AF224" s="503">
        <f>IF(終値!A224="","",IFERROR(4*STDEVP(終値!AI224:BB224)/AVERAGE(終値!AI224:BB224),""))</f>
        <v>0.31701651651627177</v>
      </c>
      <c r="AG224" s="503">
        <f>IF(終値!A224="","",IFERROR(4*STDEVP(終値!AJ224:BC224)/AVERAGE(終値!AJ224:BC224),""))</f>
        <v>0.31126372644186745</v>
      </c>
      <c r="AH224" s="503">
        <f>IF(終値!A224="","",IFERROR(4*STDEVP(終値!AK224:BD224)/AVERAGE(終値!AK224:BD224),""))</f>
        <v>0.29243698660030926</v>
      </c>
      <c r="AI224" s="503">
        <f>IF(終値!A224="","",IFERROR(4*STDEVP(終値!AL224:BE224)/AVERAGE(終値!AL224:BE224),""))</f>
        <v>0.28632541484556984</v>
      </c>
      <c r="AJ224" s="503">
        <f>IF(終値!A224="","",IFERROR(4*STDEVP(終値!AM224:BF224)/AVERAGE(終値!AM224:BF224),""))</f>
        <v>0.26787952165966628</v>
      </c>
      <c r="AK224" s="503">
        <f>IF(終値!A224="","",IFERROR(4*STDEVP(終値!AN224:BG224)/AVERAGE(終値!AN224:BG224),""))</f>
        <v>0.22007424084016475</v>
      </c>
      <c r="AL224" s="503">
        <f>IF(終値!A224="","",IFERROR(4*STDEVP(終値!AO224:BH224)/AVERAGE(終値!AO224:BH224),""))</f>
        <v>0.21024166319143522</v>
      </c>
      <c r="AM224" s="503">
        <f>IF(終値!A224="","",IFERROR(4*STDEVP(終値!AP224:BI224)/AVERAGE(終値!AP224:BI224),""))</f>
        <v>0.20787191273810957</v>
      </c>
      <c r="AN224" s="503">
        <f>IF(終値!A224="","",IFERROR(4*STDEVP(終値!AQ224:BJ224)/AVERAGE(終値!AQ224:BJ224),""))</f>
        <v>0.21512702153692961</v>
      </c>
      <c r="AO224" s="503">
        <f>IF(終値!A224="","",IFERROR(4*STDEVP(終値!AR224:BK224)/AVERAGE(終値!AR224:BK224),""))</f>
        <v>0.22407283578867049</v>
      </c>
      <c r="AP224" s="503">
        <f>IF(終値!A224="","",IFERROR(4*STDEVP(終値!AS224:BL224)/AVERAGE(終値!AS224:BL224),""))</f>
        <v>0.23574510761467135</v>
      </c>
    </row>
    <row r="225" spans="1:42">
      <c r="A225" s="500" t="str">
        <f>IF(終値!A225="","",終値!A225)</f>
        <v>6862</v>
      </c>
      <c r="B225" s="503">
        <f>IF(終値!A225="","",IFERROR(4*STDEVP(終値!E225:X225)/AVERAGE(終値!E225:X225),""))</f>
        <v>0.3153307240017007</v>
      </c>
      <c r="C225" s="503">
        <f>IF(終値!A225="","",IFERROR(4*STDEVP(終値!F225:Y225)/AVERAGE(終値!F225:Y225),""))</f>
        <v>0.29775950567336268</v>
      </c>
      <c r="D225" s="503">
        <f>IF(終値!A225="","",IFERROR(4*STDEVP(終値!G225:Z225)/AVERAGE(終値!G225:Z225),""))</f>
        <v>0.29894291055975825</v>
      </c>
      <c r="E225" s="503">
        <f>IF(終値!A225="","",IFERROR(4*STDEVP(終値!H225:AA225)/AVERAGE(終値!H225:AA225),""))</f>
        <v>0.30957311980047236</v>
      </c>
      <c r="F225" s="503">
        <f>IF(終値!A225="","",IFERROR(4*STDEVP(終値!I225:AB225)/AVERAGE(終値!I225:AB225),""))</f>
        <v>0.312805297320284</v>
      </c>
      <c r="G225" s="503">
        <f>IF(終値!A225="","",IFERROR(4*STDEVP(終値!J225:AC225)/AVERAGE(終値!J225:AC225),""))</f>
        <v>0.2612803876436543</v>
      </c>
      <c r="H225" s="503">
        <f>IF(終値!A225="","",IFERROR(4*STDEVP(終値!K225:AD225)/AVERAGE(終値!K225:AD225),""))</f>
        <v>0.23374456526717743</v>
      </c>
      <c r="I225" s="503">
        <f>IF(終値!A225="","",IFERROR(4*STDEVP(終値!L225:AE225)/AVERAGE(終値!L225:AE225),""))</f>
        <v>0.26086890411845109</v>
      </c>
      <c r="J225" s="503">
        <f>IF(終値!A225="","",IFERROR(4*STDEVP(終値!M225:AF225)/AVERAGE(終値!M225:AF225),""))</f>
        <v>0.26009328416594613</v>
      </c>
      <c r="K225" s="503">
        <f>IF(終値!A225="","",IFERROR(4*STDEVP(終値!N225:AG225)/AVERAGE(終値!N225:AG225),""))</f>
        <v>0.26121227207590431</v>
      </c>
      <c r="L225" s="503">
        <f>IF(終値!A225="","",IFERROR(4*STDEVP(終値!O225:AH225)/AVERAGE(終値!O225:AH225),""))</f>
        <v>0.26991450067813488</v>
      </c>
      <c r="M225" s="503">
        <f>IF(終値!A225="","",IFERROR(4*STDEVP(終値!P225:AI225)/AVERAGE(終値!P225:AI225),""))</f>
        <v>0.30910409640826492</v>
      </c>
      <c r="N225" s="503">
        <f>IF(終値!A225="","",IFERROR(4*STDEVP(終値!Q225:AJ225)/AVERAGE(終値!Q225:AJ225),""))</f>
        <v>0.2684264228310847</v>
      </c>
      <c r="O225" s="503">
        <f>IF(終値!A225="","",IFERROR(4*STDEVP(終値!R225:AK225)/AVERAGE(終値!R225:AK225),""))</f>
        <v>0.26702673138109945</v>
      </c>
      <c r="P225" s="503">
        <f>IF(終値!A225="","",IFERROR(4*STDEVP(終値!S225:AL225)/AVERAGE(終値!S225:AL225),""))</f>
        <v>0.26000823717034521</v>
      </c>
      <c r="Q225" s="503">
        <f>IF(終値!A225="","",IFERROR(4*STDEVP(終値!T225:AM225)/AVERAGE(終値!T225:AM225),""))</f>
        <v>0.25394901863369246</v>
      </c>
      <c r="R225" s="503">
        <f>IF(終値!A225="","",IFERROR(4*STDEVP(終値!U225:AN225)/AVERAGE(終値!U225:AN225),""))</f>
        <v>0.26849092320307688</v>
      </c>
      <c r="S225" s="503">
        <f>IF(終値!A225="","",IFERROR(4*STDEVP(終値!V225:AO225)/AVERAGE(終値!V225:AO225),""))</f>
        <v>0.27741596238899346</v>
      </c>
      <c r="T225" s="503">
        <f>IF(終値!A225="","",IFERROR(4*STDEVP(終値!W225:AP225)/AVERAGE(終値!W225:AP225),""))</f>
        <v>0.27334395244690152</v>
      </c>
      <c r="U225" s="503">
        <f>IF(終値!A225="","",IFERROR(4*STDEVP(終値!X225:AQ225)/AVERAGE(終値!X225:AQ225),""))</f>
        <v>0.26648785486506354</v>
      </c>
      <c r="V225" s="503">
        <f>IF(終値!A225="","",IFERROR(4*STDEVP(終値!Y225:AR225)/AVERAGE(終値!Y225:AR225),""))</f>
        <v>0.26761801430033016</v>
      </c>
      <c r="W225" s="503">
        <f>IF(終値!A225="","",IFERROR(4*STDEVP(終値!Z225:AS225)/AVERAGE(終値!Z225:AS225),""))</f>
        <v>0.26770023588488506</v>
      </c>
      <c r="X225" s="503">
        <f>IF(終値!A225="","",IFERROR(4*STDEVP(終値!AA225:AT225)/AVERAGE(終値!AA225:AT225),""))</f>
        <v>0.26942633751142603</v>
      </c>
      <c r="Y225" s="503">
        <f>IF(終値!A225="","",IFERROR(4*STDEVP(終値!AB225:AU225)/AVERAGE(終値!AB225:AU225),""))</f>
        <v>0.26891064683163723</v>
      </c>
      <c r="Z225" s="503">
        <f>IF(終値!A225="","",IFERROR(4*STDEVP(終値!AC225:AV225)/AVERAGE(終値!AC225:AV225),""))</f>
        <v>0.2674180908101263</v>
      </c>
      <c r="AA225" s="503">
        <f>IF(終値!A225="","",IFERROR(4*STDEVP(終値!AD225:AW225)/AVERAGE(終値!AD225:AW225),""))</f>
        <v>0.26594502381938717</v>
      </c>
      <c r="AB225" s="503">
        <f>IF(終値!A225="","",IFERROR(4*STDEVP(終値!AE225:AX225)/AVERAGE(終値!AE225:AX225),""))</f>
        <v>0.2674833830012765</v>
      </c>
      <c r="AC225" s="503">
        <f>IF(終値!A225="","",IFERROR(4*STDEVP(終値!AF225:AY225)/AVERAGE(終値!AF225:AY225),""))</f>
        <v>0.29717672987098709</v>
      </c>
      <c r="AD225" s="503">
        <f>IF(終値!A225="","",IFERROR(4*STDEVP(終値!AG225:AZ225)/AVERAGE(終値!AG225:AZ225),""))</f>
        <v>0.32670068333980284</v>
      </c>
      <c r="AE225" s="503">
        <f>IF(終値!A225="","",IFERROR(4*STDEVP(終値!AH225:BA225)/AVERAGE(終値!AH225:BA225),""))</f>
        <v>0.3353925522421714</v>
      </c>
      <c r="AF225" s="503">
        <f>IF(終値!A225="","",IFERROR(4*STDEVP(終値!AI225:BB225)/AVERAGE(終値!AI225:BB225),""))</f>
        <v>0.33621344293014827</v>
      </c>
      <c r="AG225" s="503">
        <f>IF(終値!A225="","",IFERROR(4*STDEVP(終値!AJ225:BC225)/AVERAGE(終値!AJ225:BC225),""))</f>
        <v>0.33519065394128744</v>
      </c>
      <c r="AH225" s="503">
        <f>IF(終値!A225="","",IFERROR(4*STDEVP(終値!AK225:BD225)/AVERAGE(終値!AK225:BD225),""))</f>
        <v>0.3887421386382966</v>
      </c>
      <c r="AI225" s="503">
        <f>IF(終値!A225="","",IFERROR(4*STDEVP(終値!AL225:BE225)/AVERAGE(終値!AL225:BE225),""))</f>
        <v>0.42560193436274912</v>
      </c>
      <c r="AJ225" s="503">
        <f>IF(終値!A225="","",IFERROR(4*STDEVP(終値!AM225:BF225)/AVERAGE(終値!AM225:BF225),""))</f>
        <v>0.49045172500176532</v>
      </c>
      <c r="AK225" s="503">
        <f>IF(終値!A225="","",IFERROR(4*STDEVP(終値!AN225:BG225)/AVERAGE(終値!AN225:BG225),""))</f>
        <v>0.51867332114245024</v>
      </c>
      <c r="AL225" s="503">
        <f>IF(終値!A225="","",IFERROR(4*STDEVP(終値!AO225:BH225)/AVERAGE(終値!AO225:BH225),""))</f>
        <v>0.64928990196304626</v>
      </c>
      <c r="AM225" s="503">
        <f>IF(終値!A225="","",IFERROR(4*STDEVP(終値!AP225:BI225)/AVERAGE(終値!AP225:BI225),""))</f>
        <v>0.69269017218387874</v>
      </c>
      <c r="AN225" s="503">
        <f>IF(終値!A225="","",IFERROR(4*STDEVP(終値!AQ225:BJ225)/AVERAGE(終値!AQ225:BJ225),""))</f>
        <v>0.77667406943122996</v>
      </c>
      <c r="AO225" s="503">
        <f>IF(終値!A225="","",IFERROR(4*STDEVP(終値!AR225:BK225)/AVERAGE(終値!AR225:BK225),""))</f>
        <v>0.81516352574209194</v>
      </c>
      <c r="AP225" s="503">
        <f>IF(終値!A225="","",IFERROR(4*STDEVP(終値!AS225:BL225)/AVERAGE(終値!AS225:BL225),""))</f>
        <v>0.79734524899947068</v>
      </c>
    </row>
    <row r="226" spans="1:42">
      <c r="A226" s="500" t="str">
        <f>IF(終値!A226="","",終値!A226)</f>
        <v>2267</v>
      </c>
      <c r="B226" s="503">
        <f>IF(終値!A226="","",IFERROR(4*STDEVP(終値!E226:X226)/AVERAGE(終値!E226:X226),""))</f>
        <v>7.0530732469134994E-2</v>
      </c>
      <c r="C226" s="503">
        <f>IF(終値!A226="","",IFERROR(4*STDEVP(終値!F226:Y226)/AVERAGE(終値!F226:Y226),""))</f>
        <v>6.9544557047468925E-2</v>
      </c>
      <c r="D226" s="503">
        <f>IF(終値!A226="","",IFERROR(4*STDEVP(終値!G226:Z226)/AVERAGE(終値!G226:Z226),""))</f>
        <v>6.8896616557974216E-2</v>
      </c>
      <c r="E226" s="503">
        <f>IF(終値!A226="","",IFERROR(4*STDEVP(終値!H226:AA226)/AVERAGE(終値!H226:AA226),""))</f>
        <v>8.0154527616581303E-2</v>
      </c>
      <c r="F226" s="503">
        <f>IF(終値!A226="","",IFERROR(4*STDEVP(終値!I226:AB226)/AVERAGE(終値!I226:AB226),""))</f>
        <v>8.0617554394663143E-2</v>
      </c>
      <c r="G226" s="503">
        <f>IF(終値!A226="","",IFERROR(4*STDEVP(終値!J226:AC226)/AVERAGE(終値!J226:AC226),""))</f>
        <v>7.8225491973720834E-2</v>
      </c>
      <c r="H226" s="503">
        <f>IF(終値!A226="","",IFERROR(4*STDEVP(終値!K226:AD226)/AVERAGE(終値!K226:AD226),""))</f>
        <v>8.0543293311457209E-2</v>
      </c>
      <c r="I226" s="503">
        <f>IF(終値!A226="","",IFERROR(4*STDEVP(終値!L226:AE226)/AVERAGE(終値!L226:AE226),""))</f>
        <v>8.4867268350755851E-2</v>
      </c>
      <c r="J226" s="503">
        <f>IF(終値!A226="","",IFERROR(4*STDEVP(終値!M226:AF226)/AVERAGE(終値!M226:AF226),""))</f>
        <v>8.6987230062920529E-2</v>
      </c>
      <c r="K226" s="503">
        <f>IF(終値!A226="","",IFERROR(4*STDEVP(終値!N226:AG226)/AVERAGE(終値!N226:AG226),""))</f>
        <v>9.2155762646466174E-2</v>
      </c>
      <c r="L226" s="503">
        <f>IF(終値!A226="","",IFERROR(4*STDEVP(終値!O226:AH226)/AVERAGE(終値!O226:AH226),""))</f>
        <v>9.6833576454720668E-2</v>
      </c>
      <c r="M226" s="503">
        <f>IF(終値!A226="","",IFERROR(4*STDEVP(終値!P226:AI226)/AVERAGE(終値!P226:AI226),""))</f>
        <v>0.10145996508936583</v>
      </c>
      <c r="N226" s="503">
        <f>IF(終値!A226="","",IFERROR(4*STDEVP(終値!Q226:AJ226)/AVERAGE(終値!Q226:AJ226),""))</f>
        <v>0.10609143523620365</v>
      </c>
      <c r="O226" s="503">
        <f>IF(終値!A226="","",IFERROR(4*STDEVP(終値!R226:AK226)/AVERAGE(終値!R226:AK226),""))</f>
        <v>0.1179279446840535</v>
      </c>
      <c r="P226" s="503">
        <f>IF(終値!A226="","",IFERROR(4*STDEVP(終値!S226:AL226)/AVERAGE(終値!S226:AL226),""))</f>
        <v>0.12440374172188422</v>
      </c>
      <c r="Q226" s="503">
        <f>IF(終値!A226="","",IFERROR(4*STDEVP(終値!T226:AM226)/AVERAGE(終値!T226:AM226),""))</f>
        <v>0.12714939894332189</v>
      </c>
      <c r="R226" s="503">
        <f>IF(終値!A226="","",IFERROR(4*STDEVP(終値!U226:AN226)/AVERAGE(終値!U226:AN226),""))</f>
        <v>0.127249569632017</v>
      </c>
      <c r="S226" s="503">
        <f>IF(終値!A226="","",IFERROR(4*STDEVP(終値!V226:AO226)/AVERAGE(終値!V226:AO226),""))</f>
        <v>0.12700815711153887</v>
      </c>
      <c r="T226" s="503">
        <f>IF(終値!A226="","",IFERROR(4*STDEVP(終値!W226:AP226)/AVERAGE(終値!W226:AP226),""))</f>
        <v>0.1129631966949238</v>
      </c>
      <c r="U226" s="503">
        <f>IF(終値!A226="","",IFERROR(4*STDEVP(終値!X226:AQ226)/AVERAGE(終値!X226:AQ226),""))</f>
        <v>0.10018264186938183</v>
      </c>
      <c r="V226" s="503">
        <f>IF(終値!A226="","",IFERROR(4*STDEVP(終値!Y226:AR226)/AVERAGE(終値!Y226:AR226),""))</f>
        <v>8.1566256425790518E-2</v>
      </c>
      <c r="W226" s="503">
        <f>IF(終値!A226="","",IFERROR(4*STDEVP(終値!Z226:AS226)/AVERAGE(終値!Z226:AS226),""))</f>
        <v>6.5453838233213074E-2</v>
      </c>
      <c r="X226" s="503">
        <f>IF(終値!A226="","",IFERROR(4*STDEVP(終値!AA226:AT226)/AVERAGE(終値!AA226:AT226),""))</f>
        <v>5.7261407984308163E-2</v>
      </c>
      <c r="Y226" s="503">
        <f>IF(終値!A226="","",IFERROR(4*STDEVP(終値!AB226:AU226)/AVERAGE(終値!AB226:AU226),""))</f>
        <v>5.7147854141374244E-2</v>
      </c>
      <c r="Z226" s="503">
        <f>IF(終値!A226="","",IFERROR(4*STDEVP(終値!AC226:AV226)/AVERAGE(終値!AC226:AV226),""))</f>
        <v>5.3846823107418333E-2</v>
      </c>
      <c r="AA226" s="503">
        <f>IF(終値!A226="","",IFERROR(4*STDEVP(終値!AD226:AW226)/AVERAGE(終値!AD226:AW226),""))</f>
        <v>5.0816328449030154E-2</v>
      </c>
      <c r="AB226" s="503">
        <f>IF(終値!A226="","",IFERROR(4*STDEVP(終値!AE226:AX226)/AVERAGE(終値!AE226:AX226),""))</f>
        <v>4.824561983030997E-2</v>
      </c>
      <c r="AC226" s="503">
        <f>IF(終値!A226="","",IFERROR(4*STDEVP(終値!AF226:AY226)/AVERAGE(終値!AF226:AY226),""))</f>
        <v>5.4888769761395582E-2</v>
      </c>
      <c r="AD226" s="503">
        <f>IF(終値!A226="","",IFERROR(4*STDEVP(終値!AG226:AZ226)/AVERAGE(終値!AG226:AZ226),""))</f>
        <v>6.6558525577876657E-2</v>
      </c>
      <c r="AE226" s="503">
        <f>IF(終値!A226="","",IFERROR(4*STDEVP(終値!AH226:BA226)/AVERAGE(終値!AH226:BA226),""))</f>
        <v>7.0723366574824767E-2</v>
      </c>
      <c r="AF226" s="503">
        <f>IF(終値!A226="","",IFERROR(4*STDEVP(終値!AI226:BB226)/AVERAGE(終値!AI226:BB226),""))</f>
        <v>7.5081953224338277E-2</v>
      </c>
      <c r="AG226" s="503">
        <f>IF(終値!A226="","",IFERROR(4*STDEVP(終値!AJ226:BC226)/AVERAGE(終値!AJ226:BC226),""))</f>
        <v>8.3519673862134783E-2</v>
      </c>
      <c r="AH226" s="503">
        <f>IF(終値!A226="","",IFERROR(4*STDEVP(終値!AK226:BD226)/AVERAGE(終値!AK226:BD226),""))</f>
        <v>8.337052512991705E-2</v>
      </c>
      <c r="AI226" s="503">
        <f>IF(終値!A226="","",IFERROR(4*STDEVP(終値!AL226:BE226)/AVERAGE(終値!AL226:BE226),""))</f>
        <v>8.0010910723431458E-2</v>
      </c>
      <c r="AJ226" s="503">
        <f>IF(終値!A226="","",IFERROR(4*STDEVP(終値!AM226:BF226)/AVERAGE(終値!AM226:BF226),""))</f>
        <v>7.8791534584821188E-2</v>
      </c>
      <c r="AK226" s="503">
        <f>IF(終値!A226="","",IFERROR(4*STDEVP(終値!AN226:BG226)/AVERAGE(終値!AN226:BG226),""))</f>
        <v>7.8779640147904187E-2</v>
      </c>
      <c r="AL226" s="503">
        <f>IF(終値!A226="","",IFERROR(4*STDEVP(終値!AO226:BH226)/AVERAGE(終値!AO226:BH226),""))</f>
        <v>8.390564578118595E-2</v>
      </c>
      <c r="AM226" s="503">
        <f>IF(終値!A226="","",IFERROR(4*STDEVP(終値!AP226:BI226)/AVERAGE(終値!AP226:BI226),""))</f>
        <v>9.8730029410764752E-2</v>
      </c>
      <c r="AN226" s="503">
        <f>IF(終値!A226="","",IFERROR(4*STDEVP(終値!AQ226:BJ226)/AVERAGE(終値!AQ226:BJ226),""))</f>
        <v>0.11317850558415388</v>
      </c>
      <c r="AO226" s="503">
        <f>IF(終値!A226="","",IFERROR(4*STDEVP(終値!AR226:BK226)/AVERAGE(終値!AR226:BK226),""))</f>
        <v>0.12831102034363798</v>
      </c>
      <c r="AP226" s="503">
        <f>IF(終値!A226="","",IFERROR(4*STDEVP(終値!AS226:BL226)/AVERAGE(終値!AS226:BL226),""))</f>
        <v>0.15549371004803011</v>
      </c>
    </row>
    <row r="227" spans="1:42">
      <c r="A227" s="500" t="str">
        <f>IF(終値!A227="","",終値!A227)</f>
        <v>1618</v>
      </c>
      <c r="B227" s="503">
        <f>IF(終値!A227="","",IFERROR(4*STDEVP(終値!E227:X227)/AVERAGE(終値!E227:X227),""))</f>
        <v>8.426276220602133E-2</v>
      </c>
      <c r="C227" s="503">
        <f>IF(終値!A227="","",IFERROR(4*STDEVP(終値!F227:Y227)/AVERAGE(終値!F227:Y227),""))</f>
        <v>9.0169575612726899E-2</v>
      </c>
      <c r="D227" s="503">
        <f>IF(終値!A227="","",IFERROR(4*STDEVP(終値!G227:Z227)/AVERAGE(終値!G227:Z227),""))</f>
        <v>9.9913018733084488E-2</v>
      </c>
      <c r="E227" s="503">
        <f>IF(終値!A227="","",IFERROR(4*STDEVP(終値!H227:AA227)/AVERAGE(終値!H227:AA227),""))</f>
        <v>0.10826837188029455</v>
      </c>
      <c r="F227" s="503">
        <f>IF(終値!A227="","",IFERROR(4*STDEVP(終値!I227:AB227)/AVERAGE(終値!I227:AB227),""))</f>
        <v>0.11483160689719202</v>
      </c>
      <c r="G227" s="503">
        <f>IF(終値!A227="","",IFERROR(4*STDEVP(終値!J227:AC227)/AVERAGE(終値!J227:AC227),""))</f>
        <v>0.1134833977476887</v>
      </c>
      <c r="H227" s="503">
        <f>IF(終値!A227="","",IFERROR(4*STDEVP(終値!K227:AD227)/AVERAGE(終値!K227:AD227),""))</f>
        <v>0.11499305127929629</v>
      </c>
      <c r="I227" s="503">
        <f>IF(終値!A227="","",IFERROR(4*STDEVP(終値!L227:AE227)/AVERAGE(終値!L227:AE227),""))</f>
        <v>0.11314524168561796</v>
      </c>
      <c r="J227" s="503">
        <f>IF(終値!A227="","",IFERROR(4*STDEVP(終値!M227:AF227)/AVERAGE(終値!M227:AF227),""))</f>
        <v>9.9952572802233311E-2</v>
      </c>
      <c r="K227" s="503">
        <f>IF(終値!A227="","",IFERROR(4*STDEVP(終値!N227:AG227)/AVERAGE(終値!N227:AG227),""))</f>
        <v>8.4702301170825334E-2</v>
      </c>
      <c r="L227" s="503">
        <f>IF(終値!A227="","",IFERROR(4*STDEVP(終値!O227:AH227)/AVERAGE(終値!O227:AH227),""))</f>
        <v>7.5780696813984957E-2</v>
      </c>
      <c r="M227" s="503">
        <f>IF(終値!A227="","",IFERROR(4*STDEVP(終値!P227:AI227)/AVERAGE(終値!P227:AI227),""))</f>
        <v>7.3995685407549902E-2</v>
      </c>
      <c r="N227" s="503">
        <f>IF(終値!A227="","",IFERROR(4*STDEVP(終値!Q227:AJ227)/AVERAGE(終値!Q227:AJ227),""))</f>
        <v>7.3692502350094877E-2</v>
      </c>
      <c r="O227" s="503">
        <f>IF(終値!A227="","",IFERROR(4*STDEVP(終値!R227:AK227)/AVERAGE(終値!R227:AK227),""))</f>
        <v>7.3356200205347638E-2</v>
      </c>
      <c r="P227" s="503">
        <f>IF(終値!A227="","",IFERROR(4*STDEVP(終値!S227:AL227)/AVERAGE(終値!S227:AL227),""))</f>
        <v>7.3561502278777391E-2</v>
      </c>
      <c r="Q227" s="503">
        <f>IF(終値!A227="","",IFERROR(4*STDEVP(終値!T227:AM227)/AVERAGE(終値!T227:AM227),""))</f>
        <v>7.5755913524684679E-2</v>
      </c>
      <c r="R227" s="503">
        <f>IF(終値!A227="","",IFERROR(4*STDEVP(終値!U227:AN227)/AVERAGE(終値!U227:AN227),""))</f>
        <v>7.5003342814231849E-2</v>
      </c>
      <c r="S227" s="503">
        <f>IF(終値!A227="","",IFERROR(4*STDEVP(終値!V227:AO227)/AVERAGE(終値!V227:AO227),""))</f>
        <v>7.7038185429548364E-2</v>
      </c>
      <c r="T227" s="503">
        <f>IF(終値!A227="","",IFERROR(4*STDEVP(終値!W227:AP227)/AVERAGE(終値!W227:AP227),""))</f>
        <v>7.6532315007373383E-2</v>
      </c>
      <c r="U227" s="503">
        <f>IF(終値!A227="","",IFERROR(4*STDEVP(終値!X227:AQ227)/AVERAGE(終値!X227:AQ227),""))</f>
        <v>8.5390244931151341E-2</v>
      </c>
      <c r="V227" s="503">
        <f>IF(終値!A227="","",IFERROR(4*STDEVP(終値!Y227:AR227)/AVERAGE(終値!Y227:AR227),""))</f>
        <v>9.9201628395814187E-2</v>
      </c>
      <c r="W227" s="503">
        <f>IF(終値!A227="","",IFERROR(4*STDEVP(終値!Z227:AS227)/AVERAGE(終値!Z227:AS227),""))</f>
        <v>0.10808648489281317</v>
      </c>
      <c r="X227" s="503">
        <f>IF(終値!A227="","",IFERROR(4*STDEVP(終値!AA227:AT227)/AVERAGE(終値!AA227:AT227),""))</f>
        <v>0.12478462438017368</v>
      </c>
      <c r="Y227" s="503">
        <f>IF(終値!A227="","",IFERROR(4*STDEVP(終値!AB227:AU227)/AVERAGE(終値!AB227:AU227),""))</f>
        <v>0.12192903799812127</v>
      </c>
      <c r="Z227" s="503">
        <f>IF(終値!A227="","",IFERROR(4*STDEVP(終値!AC227:AV227)/AVERAGE(終値!AC227:AV227),""))</f>
        <v>0.11907764215130777</v>
      </c>
      <c r="AA227" s="503">
        <f>IF(終値!A227="","",IFERROR(4*STDEVP(終値!AD227:AW227)/AVERAGE(終値!AD227:AW227),""))</f>
        <v>0.12006713839093806</v>
      </c>
      <c r="AB227" s="503">
        <f>IF(終値!A227="","",IFERROR(4*STDEVP(終値!AE227:AX227)/AVERAGE(終値!AE227:AX227),""))</f>
        <v>0.11634283529168783</v>
      </c>
      <c r="AC227" s="503">
        <f>IF(終値!A227="","",IFERROR(4*STDEVP(終値!AF227:AY227)/AVERAGE(終値!AF227:AY227),""))</f>
        <v>0.10536934441320484</v>
      </c>
      <c r="AD227" s="503">
        <f>IF(終値!A227="","",IFERROR(4*STDEVP(終値!AG227:AZ227)/AVERAGE(終値!AG227:AZ227),""))</f>
        <v>0.10629325388938655</v>
      </c>
      <c r="AE227" s="503">
        <f>IF(終値!A227="","",IFERROR(4*STDEVP(終値!AH227:BA227)/AVERAGE(終値!AH227:BA227),""))</f>
        <v>0.11025478124198002</v>
      </c>
      <c r="AF227" s="503">
        <f>IF(終値!A227="","",IFERROR(4*STDEVP(終値!AI227:BB227)/AVERAGE(終値!AI227:BB227),""))</f>
        <v>0.1194952807277886</v>
      </c>
      <c r="AG227" s="503">
        <f>IF(終値!A227="","",IFERROR(4*STDEVP(終値!AJ227:BC227)/AVERAGE(終値!AJ227:BC227),""))</f>
        <v>0.13307233381160294</v>
      </c>
      <c r="AH227" s="503">
        <f>IF(終値!A227="","",IFERROR(4*STDEVP(終値!AK227:BD227)/AVERAGE(終値!AK227:BD227),""))</f>
        <v>0.1365146146107897</v>
      </c>
      <c r="AI227" s="503">
        <f>IF(終値!A227="","",IFERROR(4*STDEVP(終値!AL227:BE227)/AVERAGE(終値!AL227:BE227),""))</f>
        <v>0.14288880595681208</v>
      </c>
      <c r="AJ227" s="503">
        <f>IF(終値!A227="","",IFERROR(4*STDEVP(終値!AM227:BF227)/AVERAGE(終値!AM227:BF227),""))</f>
        <v>0.13797093618916645</v>
      </c>
      <c r="AK227" s="503">
        <f>IF(終値!A227="","",IFERROR(4*STDEVP(終値!AN227:BG227)/AVERAGE(終値!AN227:BG227),""))</f>
        <v>0.13830224923726261</v>
      </c>
      <c r="AL227" s="503">
        <f>IF(終値!A227="","",IFERROR(4*STDEVP(終値!AO227:BH227)/AVERAGE(終値!AO227:BH227),""))</f>
        <v>0.135995064783272</v>
      </c>
      <c r="AM227" s="503">
        <f>IF(終値!A227="","",IFERROR(4*STDEVP(終値!AP227:BI227)/AVERAGE(終値!AP227:BI227),""))</f>
        <v>0.12815051292803858</v>
      </c>
      <c r="AN227" s="503">
        <f>IF(終値!A227="","",IFERROR(4*STDEVP(終値!AQ227:BJ227)/AVERAGE(終値!AQ227:BJ227),""))</f>
        <v>0.10686828379399996</v>
      </c>
      <c r="AO227" s="503">
        <f>IF(終値!A227="","",IFERROR(4*STDEVP(終値!AR227:BK227)/AVERAGE(終値!AR227:BK227),""))</f>
        <v>0.10045762545255628</v>
      </c>
      <c r="AP227" s="503">
        <f>IF(終値!A227="","",IFERROR(4*STDEVP(終値!AS227:BL227)/AVERAGE(終値!AS227:BL227),""))</f>
        <v>0.10242734874860777</v>
      </c>
    </row>
    <row r="228" spans="1:42">
      <c r="A228" s="500" t="str">
        <f>IF(終値!A228="","",終値!A228)</f>
        <v>3696</v>
      </c>
      <c r="B228" s="503" t="str">
        <f>IF(終値!A228="","",IFERROR(4*STDEVP(終値!E228:X228)/AVERAGE(終値!E228:X228),""))</f>
        <v/>
      </c>
      <c r="C228" s="503" t="str">
        <f>IF(終値!A228="","",IFERROR(4*STDEVP(終値!F228:Y228)/AVERAGE(終値!F228:Y228),""))</f>
        <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0.25643482232015463</v>
      </c>
      <c r="C229" s="503">
        <f>IF(終値!A229="","",IFERROR(4*STDEVP(終値!F229:Y229)/AVERAGE(終値!F229:Y229),""))</f>
        <v>0.26860267869141546</v>
      </c>
      <c r="D229" s="503">
        <f>IF(終値!A229="","",IFERROR(4*STDEVP(終値!G229:Z229)/AVERAGE(終値!G229:Z229),""))</f>
        <v>0.25790780392527302</v>
      </c>
      <c r="E229" s="503">
        <f>IF(終値!A229="","",IFERROR(4*STDEVP(終値!H229:AA229)/AVERAGE(終値!H229:AA229),""))</f>
        <v>0.24611489954449764</v>
      </c>
      <c r="F229" s="503">
        <f>IF(終値!A229="","",IFERROR(4*STDEVP(終値!I229:AB229)/AVERAGE(終値!I229:AB229),""))</f>
        <v>0.21518132290579883</v>
      </c>
      <c r="G229" s="503">
        <f>IF(終値!A229="","",IFERROR(4*STDEVP(終値!J229:AC229)/AVERAGE(終値!J229:AC229),""))</f>
        <v>0.1821596824167141</v>
      </c>
      <c r="H229" s="503">
        <f>IF(終値!A229="","",IFERROR(4*STDEVP(終値!K229:AD229)/AVERAGE(終値!K229:AD229),""))</f>
        <v>0.15163794064032679</v>
      </c>
      <c r="I229" s="503">
        <f>IF(終値!A229="","",IFERROR(4*STDEVP(終値!L229:AE229)/AVERAGE(終値!L229:AE229),""))</f>
        <v>0.13530734066867323</v>
      </c>
      <c r="J229" s="503">
        <f>IF(終値!A229="","",IFERROR(4*STDEVP(終値!M229:AF229)/AVERAGE(終値!M229:AF229),""))</f>
        <v>0.13572523110829798</v>
      </c>
      <c r="K229" s="503">
        <f>IF(終値!A229="","",IFERROR(4*STDEVP(終値!N229:AG229)/AVERAGE(終値!N229:AG229),""))</f>
        <v>0.14161371682977242</v>
      </c>
      <c r="L229" s="503">
        <f>IF(終値!A229="","",IFERROR(4*STDEVP(終値!O229:AH229)/AVERAGE(終値!O229:AH229),""))</f>
        <v>0.15573261873767028</v>
      </c>
      <c r="M229" s="503">
        <f>IF(終値!A229="","",IFERROR(4*STDEVP(終値!P229:AI229)/AVERAGE(終値!P229:AI229),""))</f>
        <v>0.15324049871509424</v>
      </c>
      <c r="N229" s="503">
        <f>IF(終値!A229="","",IFERROR(4*STDEVP(終値!Q229:AJ229)/AVERAGE(終値!Q229:AJ229),""))</f>
        <v>0.13506412284599026</v>
      </c>
      <c r="O229" s="503">
        <f>IF(終値!A229="","",IFERROR(4*STDEVP(終値!R229:AK229)/AVERAGE(終値!R229:AK229),""))</f>
        <v>0.15035613238355222</v>
      </c>
      <c r="P229" s="503">
        <f>IF(終値!A229="","",IFERROR(4*STDEVP(終値!S229:AL229)/AVERAGE(終値!S229:AL229),""))</f>
        <v>0.1492803956199954</v>
      </c>
      <c r="Q229" s="503">
        <f>IF(終値!A229="","",IFERROR(4*STDEVP(終値!T229:AM229)/AVERAGE(終値!T229:AM229),""))</f>
        <v>0.14818244382131968</v>
      </c>
      <c r="R229" s="503">
        <f>IF(終値!A229="","",IFERROR(4*STDEVP(終値!U229:AN229)/AVERAGE(終値!U229:AN229),""))</f>
        <v>0.14970572238935051</v>
      </c>
      <c r="S229" s="503">
        <f>IF(終値!A229="","",IFERROR(4*STDEVP(終値!V229:AO229)/AVERAGE(終値!V229:AO229),""))</f>
        <v>0.14586203776519582</v>
      </c>
      <c r="T229" s="503">
        <f>IF(終値!A229="","",IFERROR(4*STDEVP(終値!W229:AP229)/AVERAGE(終値!W229:AP229),""))</f>
        <v>0.14050353515359093</v>
      </c>
      <c r="U229" s="503">
        <f>IF(終値!A229="","",IFERROR(4*STDEVP(終値!X229:AQ229)/AVERAGE(終値!X229:AQ229),""))</f>
        <v>0.14064332510310978</v>
      </c>
      <c r="V229" s="503">
        <f>IF(終値!A229="","",IFERROR(4*STDEVP(終値!Y229:AR229)/AVERAGE(終値!Y229:AR229),""))</f>
        <v>0.14769872328842559</v>
      </c>
      <c r="W229" s="503">
        <f>IF(終値!A229="","",IFERROR(4*STDEVP(終値!Z229:AS229)/AVERAGE(終値!Z229:AS229),""))</f>
        <v>0.1491738215951012</v>
      </c>
      <c r="X229" s="503">
        <f>IF(終値!A229="","",IFERROR(4*STDEVP(終値!AA229:AT229)/AVERAGE(終値!AA229:AT229),""))</f>
        <v>0.14984908409804609</v>
      </c>
      <c r="Y229" s="503">
        <f>IF(終値!A229="","",IFERROR(4*STDEVP(終値!AB229:AU229)/AVERAGE(終値!AB229:AU229),""))</f>
        <v>0.14207942013701702</v>
      </c>
      <c r="Z229" s="503">
        <f>IF(終値!A229="","",IFERROR(4*STDEVP(終値!AC229:AV229)/AVERAGE(終値!AC229:AV229),""))</f>
        <v>0.1391573605282706</v>
      </c>
      <c r="AA229" s="503">
        <f>IF(終値!A229="","",IFERROR(4*STDEVP(終値!AD229:AW229)/AVERAGE(終値!AD229:AW229),""))</f>
        <v>0.1447759066632919</v>
      </c>
      <c r="AB229" s="503">
        <f>IF(終値!A229="","",IFERROR(4*STDEVP(終値!AE229:AX229)/AVERAGE(終値!AE229:AX229),""))</f>
        <v>0.15381778261755577</v>
      </c>
      <c r="AC229" s="503">
        <f>IF(終値!A229="","",IFERROR(4*STDEVP(終値!AF229:AY229)/AVERAGE(終値!AF229:AY229),""))</f>
        <v>0.18339177453109087</v>
      </c>
      <c r="AD229" s="503">
        <f>IF(終値!A229="","",IFERROR(4*STDEVP(終値!AG229:AZ229)/AVERAGE(終値!AG229:AZ229),""))</f>
        <v>0.20194198102357161</v>
      </c>
      <c r="AE229" s="503">
        <f>IF(終値!A229="","",IFERROR(4*STDEVP(終値!AH229:BA229)/AVERAGE(終値!AH229:BA229),""))</f>
        <v>0.22671370632303237</v>
      </c>
      <c r="AF229" s="503">
        <f>IF(終値!A229="","",IFERROR(4*STDEVP(終値!AI229:BB229)/AVERAGE(終値!AI229:BB229),""))</f>
        <v>0.25148793582756129</v>
      </c>
      <c r="AG229" s="503">
        <f>IF(終値!A229="","",IFERROR(4*STDEVP(終値!AJ229:BC229)/AVERAGE(終値!AJ229:BC229),""))</f>
        <v>0.29498846091872905</v>
      </c>
      <c r="AH229" s="503">
        <f>IF(終値!A229="","",IFERROR(4*STDEVP(終値!AK229:BD229)/AVERAGE(終値!AK229:BD229),""))</f>
        <v>0.32756926922614382</v>
      </c>
      <c r="AI229" s="503">
        <f>IF(終値!A229="","",IFERROR(4*STDEVP(終値!AL229:BE229)/AVERAGE(終値!AL229:BE229),""))</f>
        <v>0.37183679320872548</v>
      </c>
      <c r="AJ229" s="503">
        <f>IF(終値!A229="","",IFERROR(4*STDEVP(終値!AM229:BF229)/AVERAGE(終値!AM229:BF229),""))</f>
        <v>0.61668347075450047</v>
      </c>
      <c r="AK229" s="503">
        <f>IF(終値!A229="","",IFERROR(4*STDEVP(終値!AN229:BG229)/AVERAGE(終値!AN229:BG229),""))</f>
        <v>0.77602145098990372</v>
      </c>
      <c r="AL229" s="503">
        <f>IF(終値!A229="","",IFERROR(4*STDEVP(終値!AO229:BH229)/AVERAGE(終値!AO229:BH229),""))</f>
        <v>0.87724865149898434</v>
      </c>
      <c r="AM229" s="503">
        <f>IF(終値!A229="","",IFERROR(4*STDEVP(終値!AP229:BI229)/AVERAGE(終値!AP229:BI229),""))</f>
        <v>0.93347546331931364</v>
      </c>
      <c r="AN229" s="503">
        <f>IF(終値!A229="","",IFERROR(4*STDEVP(終値!AQ229:BJ229)/AVERAGE(終値!AQ229:BJ229),""))</f>
        <v>0.93202001005830071</v>
      </c>
      <c r="AO229" s="503">
        <f>IF(終値!A229="","",IFERROR(4*STDEVP(終値!AR229:BK229)/AVERAGE(終値!AR229:BK229),""))</f>
        <v>0.92099032614731324</v>
      </c>
      <c r="AP229" s="503">
        <f>IF(終値!A229="","",IFERROR(4*STDEVP(終値!AS229:BL229)/AVERAGE(終値!AS229:BL229),""))</f>
        <v>0.89978148855665818</v>
      </c>
    </row>
    <row r="230" spans="1:42">
      <c r="A230" s="500" t="str">
        <f>IF(終値!A230="","",終値!A230)</f>
        <v>3563</v>
      </c>
      <c r="B230" s="503" t="str">
        <f>IF(終値!A230="","",IFERROR(4*STDEVP(終値!E230:X230)/AVERAGE(終値!E230:X230),""))</f>
        <v/>
      </c>
      <c r="C230" s="503" t="str">
        <f>IF(終値!A230="","",IFERROR(4*STDEVP(終値!F230:Y230)/AVERAGE(終値!F230:Y230),""))</f>
        <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0.12137194220073429</v>
      </c>
      <c r="C231" s="503">
        <f>IF(終値!A231="","",IFERROR(4*STDEVP(終値!F231:Y231)/AVERAGE(終値!F231:Y231),""))</f>
        <v>0.12099045429637682</v>
      </c>
      <c r="D231" s="503">
        <f>IF(終値!A231="","",IFERROR(4*STDEVP(終値!G231:Z231)/AVERAGE(終値!G231:Z231),""))</f>
        <v>0.11979447613977728</v>
      </c>
      <c r="E231" s="503">
        <f>IF(終値!A231="","",IFERROR(4*STDEVP(終値!H231:AA231)/AVERAGE(終値!H231:AA231),""))</f>
        <v>0.12988618652794329</v>
      </c>
      <c r="F231" s="503">
        <f>IF(終値!A231="","",IFERROR(4*STDEVP(終値!I231:AB231)/AVERAGE(終値!I231:AB231),""))</f>
        <v>0.13380124653601413</v>
      </c>
      <c r="G231" s="503">
        <f>IF(終値!A231="","",IFERROR(4*STDEVP(終値!J231:AC231)/AVERAGE(終値!J231:AC231),""))</f>
        <v>0.14026633153632792</v>
      </c>
      <c r="H231" s="503">
        <f>IF(終値!A231="","",IFERROR(4*STDEVP(終値!K231:AD231)/AVERAGE(終値!K231:AD231),""))</f>
        <v>0.14717217388917864</v>
      </c>
      <c r="I231" s="503">
        <f>IF(終値!A231="","",IFERROR(4*STDEVP(終値!L231:AE231)/AVERAGE(終値!L231:AE231),""))</f>
        <v>0.14985174732758941</v>
      </c>
      <c r="J231" s="503">
        <f>IF(終値!A231="","",IFERROR(4*STDEVP(終値!M231:AF231)/AVERAGE(終値!M231:AF231),""))</f>
        <v>0.14623956564215146</v>
      </c>
      <c r="K231" s="503">
        <f>IF(終値!A231="","",IFERROR(4*STDEVP(終値!N231:AG231)/AVERAGE(終値!N231:AG231),""))</f>
        <v>0.14594470153501418</v>
      </c>
      <c r="L231" s="503">
        <f>IF(終値!A231="","",IFERROR(4*STDEVP(終値!O231:AH231)/AVERAGE(終値!O231:AH231),""))</f>
        <v>0.14595308131046272</v>
      </c>
      <c r="M231" s="503">
        <f>IF(終値!A231="","",IFERROR(4*STDEVP(終値!P231:AI231)/AVERAGE(終値!P231:AI231),""))</f>
        <v>0.14593241113824451</v>
      </c>
      <c r="N231" s="503">
        <f>IF(終値!A231="","",IFERROR(4*STDEVP(終値!Q231:AJ231)/AVERAGE(終値!Q231:AJ231),""))</f>
        <v>0.14041757218724765</v>
      </c>
      <c r="O231" s="503">
        <f>IF(終値!A231="","",IFERROR(4*STDEVP(終値!R231:AK231)/AVERAGE(終値!R231:AK231),""))</f>
        <v>0.14425730508070767</v>
      </c>
      <c r="P231" s="503">
        <f>IF(終値!A231="","",IFERROR(4*STDEVP(終値!S231:AL231)/AVERAGE(終値!S231:AL231),""))</f>
        <v>0.1448143740908362</v>
      </c>
      <c r="Q231" s="503">
        <f>IF(終値!A231="","",IFERROR(4*STDEVP(終値!T231:AM231)/AVERAGE(終値!T231:AM231),""))</f>
        <v>0.14868499241193209</v>
      </c>
      <c r="R231" s="503">
        <f>IF(終値!A231="","",IFERROR(4*STDEVP(終値!U231:AN231)/AVERAGE(終値!U231:AN231),""))</f>
        <v>0.19002378112325544</v>
      </c>
      <c r="S231" s="503">
        <f>IF(終値!A231="","",IFERROR(4*STDEVP(終値!V231:AO231)/AVERAGE(終値!V231:AO231),""))</f>
        <v>0.23383843602659554</v>
      </c>
      <c r="T231" s="503">
        <f>IF(終値!A231="","",IFERROR(4*STDEVP(終値!W231:AP231)/AVERAGE(終値!W231:AP231),""))</f>
        <v>0.25264932842993731</v>
      </c>
      <c r="U231" s="503">
        <f>IF(終値!A231="","",IFERROR(4*STDEVP(終値!X231:AQ231)/AVERAGE(終値!X231:AQ231),""))</f>
        <v>0.25170232213183402</v>
      </c>
      <c r="V231" s="503">
        <f>IF(終値!A231="","",IFERROR(4*STDEVP(終値!Y231:AR231)/AVERAGE(終値!Y231:AR231),""))</f>
        <v>0.22689314192950144</v>
      </c>
      <c r="W231" s="503">
        <f>IF(終値!A231="","",IFERROR(4*STDEVP(終値!Z231:AS231)/AVERAGE(終値!Z231:AS231),""))</f>
        <v>0.22485824938733082</v>
      </c>
      <c r="X231" s="503">
        <f>IF(終値!A231="","",IFERROR(4*STDEVP(終値!AA231:AT231)/AVERAGE(終値!AA231:AT231),""))</f>
        <v>0.22975502934011613</v>
      </c>
      <c r="Y231" s="503">
        <f>IF(終値!A231="","",IFERROR(4*STDEVP(終値!AB231:AU231)/AVERAGE(終値!AB231:AU231),""))</f>
        <v>0.23120212255236547</v>
      </c>
      <c r="Z231" s="503">
        <f>IF(終値!A231="","",IFERROR(4*STDEVP(終値!AC231:AV231)/AVERAGE(終値!AC231:AV231),""))</f>
        <v>0.23318984527383482</v>
      </c>
      <c r="AA231" s="503">
        <f>IF(終値!A231="","",IFERROR(4*STDEVP(終値!AD231:AW231)/AVERAGE(終値!AD231:AW231),""))</f>
        <v>0.23411229114127671</v>
      </c>
      <c r="AB231" s="503">
        <f>IF(終値!A231="","",IFERROR(4*STDEVP(終値!AE231:AX231)/AVERAGE(終値!AE231:AX231),""))</f>
        <v>0.23911191034614887</v>
      </c>
      <c r="AC231" s="503">
        <f>IF(終値!A231="","",IFERROR(4*STDEVP(終値!AF231:AY231)/AVERAGE(終値!AF231:AY231),""))</f>
        <v>0.2446458550139535</v>
      </c>
      <c r="AD231" s="503">
        <f>IF(終値!A231="","",IFERROR(4*STDEVP(終値!AG231:AZ231)/AVERAGE(終値!AG231:AZ231),""))</f>
        <v>0.24376997195473601</v>
      </c>
      <c r="AE231" s="503">
        <f>IF(終値!A231="","",IFERROR(4*STDEVP(終値!AH231:BA231)/AVERAGE(終値!AH231:BA231),""))</f>
        <v>0.24347655569662915</v>
      </c>
      <c r="AF231" s="503">
        <f>IF(終値!A231="","",IFERROR(4*STDEVP(終値!AI231:BB231)/AVERAGE(終値!AI231:BB231),""))</f>
        <v>0.24202058911104343</v>
      </c>
      <c r="AG231" s="503">
        <f>IF(終値!A231="","",IFERROR(4*STDEVP(終値!AJ231:BC231)/AVERAGE(終値!AJ231:BC231),""))</f>
        <v>0.23854423228492319</v>
      </c>
      <c r="AH231" s="503">
        <f>IF(終値!A231="","",IFERROR(4*STDEVP(終値!AK231:BD231)/AVERAGE(終値!AK231:BD231),""))</f>
        <v>0.22698838972671043</v>
      </c>
      <c r="AI231" s="503">
        <f>IF(終値!A231="","",IFERROR(4*STDEVP(終値!AL231:BE231)/AVERAGE(終値!AL231:BE231),""))</f>
        <v>0.20669586252276656</v>
      </c>
      <c r="AJ231" s="503">
        <f>IF(終値!A231="","",IFERROR(4*STDEVP(終値!AM231:BF231)/AVERAGE(終値!AM231:BF231),""))</f>
        <v>0.20129654201276803</v>
      </c>
      <c r="AK231" s="503">
        <f>IF(終値!A231="","",IFERROR(4*STDEVP(終値!AN231:BG231)/AVERAGE(終値!AN231:BG231),""))</f>
        <v>0.21138914909957598</v>
      </c>
      <c r="AL231" s="503">
        <f>IF(終値!A231="","",IFERROR(4*STDEVP(終値!AO231:BH231)/AVERAGE(終値!AO231:BH231),""))</f>
        <v>0.20656778425258382</v>
      </c>
      <c r="AM231" s="503">
        <f>IF(終値!A231="","",IFERROR(4*STDEVP(終値!AP231:BI231)/AVERAGE(終値!AP231:BI231),""))</f>
        <v>0.19234637040766236</v>
      </c>
      <c r="AN231" s="503">
        <f>IF(終値!A231="","",IFERROR(4*STDEVP(終値!AQ231:BJ231)/AVERAGE(終値!AQ231:BJ231),""))</f>
        <v>0.21201823351467922</v>
      </c>
      <c r="AO231" s="503">
        <f>IF(終値!A231="","",IFERROR(4*STDEVP(終値!AR231:BK231)/AVERAGE(終値!AR231:BK231),""))</f>
        <v>0.22629239089185396</v>
      </c>
      <c r="AP231" s="503">
        <f>IF(終値!A231="","",IFERROR(4*STDEVP(終値!AS231:BL231)/AVERAGE(終値!AS231:BL231),""))</f>
        <v>0.22391687930173854</v>
      </c>
    </row>
    <row r="232" spans="1:42">
      <c r="A232" s="500" t="str">
        <f>IF(終値!A232="","",終値!A232)</f>
        <v>8793</v>
      </c>
      <c r="B232" s="503">
        <f>IF(終値!A232="","",IFERROR(4*STDEVP(終値!E232:X232)/AVERAGE(終値!E232:X232),""))</f>
        <v>4.5273545832175036E-2</v>
      </c>
      <c r="C232" s="503">
        <f>IF(終値!A232="","",IFERROR(4*STDEVP(終値!F232:Y232)/AVERAGE(終値!F232:Y232),""))</f>
        <v>4.8431553998874284E-2</v>
      </c>
      <c r="D232" s="503">
        <f>IF(終値!A232="","",IFERROR(4*STDEVP(終値!G232:Z232)/AVERAGE(終値!G232:Z232),""))</f>
        <v>5.6553573373960109E-2</v>
      </c>
      <c r="E232" s="503">
        <f>IF(終値!A232="","",IFERROR(4*STDEVP(終値!H232:AA232)/AVERAGE(終値!H232:AA232),""))</f>
        <v>6.2105246560733039E-2</v>
      </c>
      <c r="F232" s="503">
        <f>IF(終値!A232="","",IFERROR(4*STDEVP(終値!I232:AB232)/AVERAGE(終値!I232:AB232),""))</f>
        <v>6.1455438452577622E-2</v>
      </c>
      <c r="G232" s="503">
        <f>IF(終値!A232="","",IFERROR(4*STDEVP(終値!J232:AC232)/AVERAGE(終値!J232:AC232),""))</f>
        <v>5.8760841100631449E-2</v>
      </c>
      <c r="H232" s="503">
        <f>IF(終値!A232="","",IFERROR(4*STDEVP(終値!K232:AD232)/AVERAGE(終値!K232:AD232),""))</f>
        <v>6.1949259885987346E-2</v>
      </c>
      <c r="I232" s="503">
        <f>IF(終値!A232="","",IFERROR(4*STDEVP(終値!L232:AE232)/AVERAGE(終値!L232:AE232),""))</f>
        <v>6.1077359763681463E-2</v>
      </c>
      <c r="J232" s="503">
        <f>IF(終値!A232="","",IFERROR(4*STDEVP(終値!M232:AF232)/AVERAGE(終値!M232:AF232),""))</f>
        <v>6.2014426814107008E-2</v>
      </c>
      <c r="K232" s="503">
        <f>IF(終値!A232="","",IFERROR(4*STDEVP(終値!N232:AG232)/AVERAGE(終値!N232:AG232),""))</f>
        <v>6.1214699574929421E-2</v>
      </c>
      <c r="L232" s="503">
        <f>IF(終値!A232="","",IFERROR(4*STDEVP(終値!O232:AH232)/AVERAGE(終値!O232:AH232),""))</f>
        <v>5.9689794047967676E-2</v>
      </c>
      <c r="M232" s="503">
        <f>IF(終値!A232="","",IFERROR(4*STDEVP(終値!P232:AI232)/AVERAGE(終値!P232:AI232),""))</f>
        <v>6.0192743925956124E-2</v>
      </c>
      <c r="N232" s="503">
        <f>IF(終値!A232="","",IFERROR(4*STDEVP(終値!Q232:AJ232)/AVERAGE(終値!Q232:AJ232),""))</f>
        <v>6.027884077065216E-2</v>
      </c>
      <c r="O232" s="503">
        <f>IF(終値!A232="","",IFERROR(4*STDEVP(終値!R232:AK232)/AVERAGE(終値!R232:AK232),""))</f>
        <v>6.0089004395948095E-2</v>
      </c>
      <c r="P232" s="503">
        <f>IF(終値!A232="","",IFERROR(4*STDEVP(終値!S232:AL232)/AVERAGE(終値!S232:AL232),""))</f>
        <v>6.0399803799588481E-2</v>
      </c>
      <c r="Q232" s="503">
        <f>IF(終値!A232="","",IFERROR(4*STDEVP(終値!T232:AM232)/AVERAGE(終値!T232:AM232),""))</f>
        <v>6.1073205177962817E-2</v>
      </c>
      <c r="R232" s="503">
        <f>IF(終値!A232="","",IFERROR(4*STDEVP(終値!U232:AN232)/AVERAGE(終値!U232:AN232),""))</f>
        <v>6.3486301539067536E-2</v>
      </c>
      <c r="S232" s="503">
        <f>IF(終値!A232="","",IFERROR(4*STDEVP(終値!V232:AO232)/AVERAGE(終値!V232:AO232),""))</f>
        <v>6.2849998808380131E-2</v>
      </c>
      <c r="T232" s="503">
        <f>IF(終値!A232="","",IFERROR(4*STDEVP(終値!W232:AP232)/AVERAGE(終値!W232:AP232),""))</f>
        <v>6.3996965868309399E-2</v>
      </c>
      <c r="U232" s="503">
        <f>IF(終値!A232="","",IFERROR(4*STDEVP(終値!X232:AQ232)/AVERAGE(終値!X232:AQ232),""))</f>
        <v>6.3955578393911069E-2</v>
      </c>
      <c r="V232" s="503">
        <f>IF(終値!A232="","",IFERROR(4*STDEVP(終値!Y232:AR232)/AVERAGE(終値!Y232:AR232),""))</f>
        <v>6.3824884177063848E-2</v>
      </c>
      <c r="W232" s="503">
        <f>IF(終値!A232="","",IFERROR(4*STDEVP(終値!Z232:AS232)/AVERAGE(終値!Z232:AS232),""))</f>
        <v>6.6680380856849436E-2</v>
      </c>
      <c r="X232" s="503">
        <f>IF(終値!A232="","",IFERROR(4*STDEVP(終値!AA232:AT232)/AVERAGE(終値!AA232:AT232),""))</f>
        <v>6.9557605480046858E-2</v>
      </c>
      <c r="Y232" s="503">
        <f>IF(終値!A232="","",IFERROR(4*STDEVP(終値!AB232:AU232)/AVERAGE(終値!AB232:AU232),""))</f>
        <v>7.7980609625122266E-2</v>
      </c>
      <c r="Z232" s="503">
        <f>IF(終値!A232="","",IFERROR(4*STDEVP(終値!AC232:AV232)/AVERAGE(終値!AC232:AV232),""))</f>
        <v>7.8608164315341664E-2</v>
      </c>
      <c r="AA232" s="503">
        <f>IF(終値!A232="","",IFERROR(4*STDEVP(終値!AD232:AW232)/AVERAGE(終値!AD232:AW232),""))</f>
        <v>7.9519555061291589E-2</v>
      </c>
      <c r="AB232" s="503">
        <f>IF(終値!A232="","",IFERROR(4*STDEVP(終値!AE232:AX232)/AVERAGE(終値!AE232:AX232),""))</f>
        <v>8.1118661426603664E-2</v>
      </c>
      <c r="AC232" s="503">
        <f>IF(終値!A232="","",IFERROR(4*STDEVP(終値!AF232:AY232)/AVERAGE(終値!AF232:AY232),""))</f>
        <v>8.3489322589290219E-2</v>
      </c>
      <c r="AD232" s="503">
        <f>IF(終値!A232="","",IFERROR(4*STDEVP(終値!AG232:AZ232)/AVERAGE(終値!AG232:AZ232),""))</f>
        <v>8.407050715800142E-2</v>
      </c>
      <c r="AE232" s="503">
        <f>IF(終値!A232="","",IFERROR(4*STDEVP(終値!AH232:BA232)/AVERAGE(終値!AH232:BA232),""))</f>
        <v>8.4233996316768228E-2</v>
      </c>
      <c r="AF232" s="503">
        <f>IF(終値!A232="","",IFERROR(4*STDEVP(終値!AI232:BB232)/AVERAGE(終値!AI232:BB232),""))</f>
        <v>8.5297251243269812E-2</v>
      </c>
      <c r="AG232" s="503">
        <f>IF(終値!A232="","",IFERROR(4*STDEVP(終値!AJ232:BC232)/AVERAGE(終値!AJ232:BC232),""))</f>
        <v>8.4736326659127489E-2</v>
      </c>
      <c r="AH232" s="503">
        <f>IF(終値!A232="","",IFERROR(4*STDEVP(終値!AK232:BD232)/AVERAGE(終値!AK232:BD232),""))</f>
        <v>8.6579123444928643E-2</v>
      </c>
      <c r="AI232" s="503">
        <f>IF(終値!A232="","",IFERROR(4*STDEVP(終値!AL232:BE232)/AVERAGE(終値!AL232:BE232),""))</f>
        <v>8.4725166143645392E-2</v>
      </c>
      <c r="AJ232" s="503">
        <f>IF(終値!A232="","",IFERROR(4*STDEVP(終値!AM232:BF232)/AVERAGE(終値!AM232:BF232),""))</f>
        <v>7.9667941154601712E-2</v>
      </c>
      <c r="AK232" s="503">
        <f>IF(終値!A232="","",IFERROR(4*STDEVP(終値!AN232:BG232)/AVERAGE(終値!AN232:BG232),""))</f>
        <v>7.2653199265651044E-2</v>
      </c>
      <c r="AL232" s="503">
        <f>IF(終値!A232="","",IFERROR(4*STDEVP(終値!AO232:BH232)/AVERAGE(終値!AO232:BH232),""))</f>
        <v>6.0090610258257765E-2</v>
      </c>
      <c r="AM232" s="503">
        <f>IF(終値!A232="","",IFERROR(4*STDEVP(終値!AP232:BI232)/AVERAGE(終値!AP232:BI232),""))</f>
        <v>5.4845338803490504E-2</v>
      </c>
      <c r="AN232" s="503">
        <f>IF(終値!A232="","",IFERROR(4*STDEVP(終値!AQ232:BJ232)/AVERAGE(終値!AQ232:BJ232),""))</f>
        <v>4.6493347148094201E-2</v>
      </c>
      <c r="AO232" s="503">
        <f>IF(終値!A232="","",IFERROR(4*STDEVP(終値!AR232:BK232)/AVERAGE(終値!AR232:BK232),""))</f>
        <v>4.7354875952003529E-2</v>
      </c>
      <c r="AP232" s="503">
        <f>IF(終値!A232="","",IFERROR(4*STDEVP(終値!AS232:BL232)/AVERAGE(終値!AS232:BL232),""))</f>
        <v>4.5186890587014042E-2</v>
      </c>
    </row>
    <row r="233" spans="1:42">
      <c r="A233" s="500" t="str">
        <f>IF(終値!A233="","",終値!A233)</f>
        <v>9962</v>
      </c>
      <c r="B233" s="503">
        <f>IF(終値!A233="","",IFERROR(4*STDEVP(終値!E233:X233)/AVERAGE(終値!E233:X233),""))</f>
        <v>0.20233681649211457</v>
      </c>
      <c r="C233" s="503">
        <f>IF(終値!A233="","",IFERROR(4*STDEVP(終値!F233:Y233)/AVERAGE(終値!F233:Y233),""))</f>
        <v>0.21361626427723265</v>
      </c>
      <c r="D233" s="503">
        <f>IF(終値!A233="","",IFERROR(4*STDEVP(終値!G233:Z233)/AVERAGE(終値!G233:Z233),""))</f>
        <v>0.2191990591949339</v>
      </c>
      <c r="E233" s="503">
        <f>IF(終値!A233="","",IFERROR(4*STDEVP(終値!H233:AA233)/AVERAGE(終値!H233:AA233),""))</f>
        <v>0.22218409823531263</v>
      </c>
      <c r="F233" s="503">
        <f>IF(終値!A233="","",IFERROR(4*STDEVP(終値!I233:AB233)/AVERAGE(終値!I233:AB233),""))</f>
        <v>0.20909021361326002</v>
      </c>
      <c r="G233" s="503">
        <f>IF(終値!A233="","",IFERROR(4*STDEVP(終値!J233:AC233)/AVERAGE(終値!J233:AC233),""))</f>
        <v>0.19426927150385537</v>
      </c>
      <c r="H233" s="503">
        <f>IF(終値!A233="","",IFERROR(4*STDEVP(終値!K233:AD233)/AVERAGE(終値!K233:AD233),""))</f>
        <v>0.16924262072340771</v>
      </c>
      <c r="I233" s="503">
        <f>IF(終値!A233="","",IFERROR(4*STDEVP(終値!L233:AE233)/AVERAGE(終値!L233:AE233),""))</f>
        <v>0.16454089492345486</v>
      </c>
      <c r="J233" s="503">
        <f>IF(終値!A233="","",IFERROR(4*STDEVP(終値!M233:AF233)/AVERAGE(終値!M233:AF233),""))</f>
        <v>0.15086459509716299</v>
      </c>
      <c r="K233" s="503">
        <f>IF(終値!A233="","",IFERROR(4*STDEVP(終値!N233:AG233)/AVERAGE(終値!N233:AG233),""))</f>
        <v>0.15436690731813818</v>
      </c>
      <c r="L233" s="503">
        <f>IF(終値!A233="","",IFERROR(4*STDEVP(終値!O233:AH233)/AVERAGE(終値!O233:AH233),""))</f>
        <v>0.14854468901788073</v>
      </c>
      <c r="M233" s="503">
        <f>IF(終値!A233="","",IFERROR(4*STDEVP(終値!P233:AI233)/AVERAGE(終値!P233:AI233),""))</f>
        <v>0.14315744768682906</v>
      </c>
      <c r="N233" s="503">
        <f>IF(終値!A233="","",IFERROR(4*STDEVP(終値!Q233:AJ233)/AVERAGE(終値!Q233:AJ233),""))</f>
        <v>0.12795586780589352</v>
      </c>
      <c r="O233" s="503">
        <f>IF(終値!A233="","",IFERROR(4*STDEVP(終値!R233:AK233)/AVERAGE(終値!R233:AK233),""))</f>
        <v>0.1278276844512034</v>
      </c>
      <c r="P233" s="503">
        <f>IF(終値!A233="","",IFERROR(4*STDEVP(終値!S233:AL233)/AVERAGE(終値!S233:AL233),""))</f>
        <v>0.12430384630794337</v>
      </c>
      <c r="Q233" s="503">
        <f>IF(終値!A233="","",IFERROR(4*STDEVP(終値!T233:AM233)/AVERAGE(終値!T233:AM233),""))</f>
        <v>0.12635463526087024</v>
      </c>
      <c r="R233" s="503">
        <f>IF(終値!A233="","",IFERROR(4*STDEVP(終値!U233:AN233)/AVERAGE(終値!U233:AN233),""))</f>
        <v>0.13384309225905758</v>
      </c>
      <c r="S233" s="503">
        <f>IF(終値!A233="","",IFERROR(4*STDEVP(終値!V233:AO233)/AVERAGE(終値!V233:AO233),""))</f>
        <v>0.14558471924144975</v>
      </c>
      <c r="T233" s="503">
        <f>IF(終値!A233="","",IFERROR(4*STDEVP(終値!W233:AP233)/AVERAGE(終値!W233:AP233),""))</f>
        <v>0.15639795519245867</v>
      </c>
      <c r="U233" s="503">
        <f>IF(終値!A233="","",IFERROR(4*STDEVP(終値!X233:AQ233)/AVERAGE(終値!X233:AQ233),""))</f>
        <v>0.16490280543264249</v>
      </c>
      <c r="V233" s="503">
        <f>IF(終値!A233="","",IFERROR(4*STDEVP(終値!Y233:AR233)/AVERAGE(終値!Y233:AR233),""))</f>
        <v>0.15159441792159614</v>
      </c>
      <c r="W233" s="503">
        <f>IF(終値!A233="","",IFERROR(4*STDEVP(終値!Z233:AS233)/AVERAGE(終値!Z233:AS233),""))</f>
        <v>0.12709958163362595</v>
      </c>
      <c r="X233" s="503">
        <f>IF(終値!A233="","",IFERROR(4*STDEVP(終値!AA233:AT233)/AVERAGE(終値!AA233:AT233),""))</f>
        <v>0.11228848564469034</v>
      </c>
      <c r="Y233" s="503">
        <f>IF(終値!A233="","",IFERROR(4*STDEVP(終値!AB233:AU233)/AVERAGE(終値!AB233:AU233),""))</f>
        <v>0.11082374453693336</v>
      </c>
      <c r="Z233" s="503">
        <f>IF(終値!A233="","",IFERROR(4*STDEVP(終値!AC233:AV233)/AVERAGE(終値!AC233:AV233),""))</f>
        <v>9.8704183697678971E-2</v>
      </c>
      <c r="AA233" s="503">
        <f>IF(終値!A233="","",IFERROR(4*STDEVP(終値!AD233:AW233)/AVERAGE(終値!AD233:AW233),""))</f>
        <v>9.5976412716340484E-2</v>
      </c>
      <c r="AB233" s="503">
        <f>IF(終値!A233="","",IFERROR(4*STDEVP(終値!AE233:AX233)/AVERAGE(終値!AE233:AX233),""))</f>
        <v>0.10609257160693719</v>
      </c>
      <c r="AC233" s="503">
        <f>IF(終値!A233="","",IFERROR(4*STDEVP(終値!AF233:AY233)/AVERAGE(終値!AF233:AY233),""))</f>
        <v>0.11964519274708324</v>
      </c>
      <c r="AD233" s="503">
        <f>IF(終値!A233="","",IFERROR(4*STDEVP(終値!AG233:AZ233)/AVERAGE(終値!AG233:AZ233),""))</f>
        <v>0.14586771498917864</v>
      </c>
      <c r="AE233" s="503">
        <f>IF(終値!A233="","",IFERROR(4*STDEVP(終値!AH233:BA233)/AVERAGE(終値!AH233:BA233),""))</f>
        <v>0.18634003046811476</v>
      </c>
      <c r="AF233" s="503">
        <f>IF(終値!A233="","",IFERROR(4*STDEVP(終値!AI233:BB233)/AVERAGE(終値!AI233:BB233),""))</f>
        <v>0.22562546477462733</v>
      </c>
      <c r="AG233" s="503">
        <f>IF(終値!A233="","",IFERROR(4*STDEVP(終値!AJ233:BC233)/AVERAGE(終値!AJ233:BC233),""))</f>
        <v>0.25445351159557245</v>
      </c>
      <c r="AH233" s="503">
        <f>IF(終値!A233="","",IFERROR(4*STDEVP(終値!AK233:BD233)/AVERAGE(終値!AK233:BD233),""))</f>
        <v>0.27035152454219968</v>
      </c>
      <c r="AI233" s="503">
        <f>IF(終値!A233="","",IFERROR(4*STDEVP(終値!AL233:BE233)/AVERAGE(終値!AL233:BE233),""))</f>
        <v>0.27565706491866016</v>
      </c>
      <c r="AJ233" s="503">
        <f>IF(終値!A233="","",IFERROR(4*STDEVP(終値!AM233:BF233)/AVERAGE(終値!AM233:BF233),""))</f>
        <v>0.26707966638865999</v>
      </c>
      <c r="AK233" s="503">
        <f>IF(終値!A233="","",IFERROR(4*STDEVP(終値!AN233:BG233)/AVERAGE(終値!AN233:BG233),""))</f>
        <v>0.26395424490091268</v>
      </c>
      <c r="AL233" s="503">
        <f>IF(終値!A233="","",IFERROR(4*STDEVP(終値!AO233:BH233)/AVERAGE(終値!AO233:BH233),""))</f>
        <v>0.26075285669945203</v>
      </c>
      <c r="AM233" s="503">
        <f>IF(終値!A233="","",IFERROR(4*STDEVP(終値!AP233:BI233)/AVERAGE(終値!AP233:BI233),""))</f>
        <v>0.25820935016420893</v>
      </c>
      <c r="AN233" s="503">
        <f>IF(終値!A233="","",IFERROR(4*STDEVP(終値!AQ233:BJ233)/AVERAGE(終値!AQ233:BJ233),""))</f>
        <v>0.25500127095837061</v>
      </c>
      <c r="AO233" s="503">
        <f>IF(終値!A233="","",IFERROR(4*STDEVP(終値!AR233:BK233)/AVERAGE(終値!AR233:BK233),""))</f>
        <v>0.25252652206392273</v>
      </c>
      <c r="AP233" s="503">
        <f>IF(終値!A233="","",IFERROR(4*STDEVP(終値!AS233:BL233)/AVERAGE(終値!AS233:BL233),""))</f>
        <v>0.24182172070919583</v>
      </c>
    </row>
    <row r="234" spans="1:42">
      <c r="A234" s="500" t="str">
        <f>IF(終値!A234="","",終値!A234)</f>
        <v>6762</v>
      </c>
      <c r="B234" s="503">
        <f>IF(終値!A234="","",IFERROR(4*STDEVP(終値!E234:X234)/AVERAGE(終値!E234:X234),""))</f>
        <v>0.24699585494306731</v>
      </c>
      <c r="C234" s="503">
        <f>IF(終値!A234="","",IFERROR(4*STDEVP(終値!F234:Y234)/AVERAGE(終値!F234:Y234),""))</f>
        <v>0.28954301865464016</v>
      </c>
      <c r="D234" s="503">
        <f>IF(終値!A234="","",IFERROR(4*STDEVP(終値!G234:Z234)/AVERAGE(終値!G234:Z234),""))</f>
        <v>0.31691284718770718</v>
      </c>
      <c r="E234" s="503">
        <f>IF(終値!A234="","",IFERROR(4*STDEVP(終値!H234:AA234)/AVERAGE(終値!H234:AA234),""))</f>
        <v>0.33785786655894634</v>
      </c>
      <c r="F234" s="503">
        <f>IF(終値!A234="","",IFERROR(4*STDEVP(終値!I234:AB234)/AVERAGE(終値!I234:AB234),""))</f>
        <v>0.32513513859997317</v>
      </c>
      <c r="G234" s="503">
        <f>IF(終値!A234="","",IFERROR(4*STDEVP(終値!J234:AC234)/AVERAGE(終値!J234:AC234),""))</f>
        <v>0.29847392347767154</v>
      </c>
      <c r="H234" s="503">
        <f>IF(終値!A234="","",IFERROR(4*STDEVP(終値!K234:AD234)/AVERAGE(終値!K234:AD234),""))</f>
        <v>0.28470060066229325</v>
      </c>
      <c r="I234" s="503">
        <f>IF(終値!A234="","",IFERROR(4*STDEVP(終値!L234:AE234)/AVERAGE(終値!L234:AE234),""))</f>
        <v>0.30293523393776056</v>
      </c>
      <c r="J234" s="503">
        <f>IF(終値!A234="","",IFERROR(4*STDEVP(終値!M234:AF234)/AVERAGE(終値!M234:AF234),""))</f>
        <v>0.30277804712569945</v>
      </c>
      <c r="K234" s="503">
        <f>IF(終値!A234="","",IFERROR(4*STDEVP(終値!N234:AG234)/AVERAGE(終値!N234:AG234),""))</f>
        <v>0.31517644801381278</v>
      </c>
      <c r="L234" s="503">
        <f>IF(終値!A234="","",IFERROR(4*STDEVP(終値!O234:AH234)/AVERAGE(終値!O234:AH234),""))</f>
        <v>0.33025971810159843</v>
      </c>
      <c r="M234" s="503">
        <f>IF(終値!A234="","",IFERROR(4*STDEVP(終値!P234:AI234)/AVERAGE(終値!P234:AI234),""))</f>
        <v>0.32000317045374171</v>
      </c>
      <c r="N234" s="503">
        <f>IF(終値!A234="","",IFERROR(4*STDEVP(終値!Q234:AJ234)/AVERAGE(終値!Q234:AJ234),""))</f>
        <v>0.28665451555912885</v>
      </c>
      <c r="O234" s="503">
        <f>IF(終値!A234="","",IFERROR(4*STDEVP(終値!R234:AK234)/AVERAGE(終値!R234:AK234),""))</f>
        <v>0.27523643202545284</v>
      </c>
      <c r="P234" s="503">
        <f>IF(終値!A234="","",IFERROR(4*STDEVP(終値!S234:AL234)/AVERAGE(終値!S234:AL234),""))</f>
        <v>0.25763738976896844</v>
      </c>
      <c r="Q234" s="503">
        <f>IF(終値!A234="","",IFERROR(4*STDEVP(終値!T234:AM234)/AVERAGE(終値!T234:AM234),""))</f>
        <v>0.23568302577412695</v>
      </c>
      <c r="R234" s="503">
        <f>IF(終値!A234="","",IFERROR(4*STDEVP(終値!U234:AN234)/AVERAGE(終値!U234:AN234),""))</f>
        <v>0.22821125979168902</v>
      </c>
      <c r="S234" s="503">
        <f>IF(終値!A234="","",IFERROR(4*STDEVP(終値!V234:AO234)/AVERAGE(終値!V234:AO234),""))</f>
        <v>0.21701683258242524</v>
      </c>
      <c r="T234" s="503">
        <f>IF(終値!A234="","",IFERROR(4*STDEVP(終値!W234:AP234)/AVERAGE(終値!W234:AP234),""))</f>
        <v>0.19259033663202016</v>
      </c>
      <c r="U234" s="503">
        <f>IF(終値!A234="","",IFERROR(4*STDEVP(終値!X234:AQ234)/AVERAGE(終値!X234:AQ234),""))</f>
        <v>0.16982646093630915</v>
      </c>
      <c r="V234" s="503">
        <f>IF(終値!A234="","",IFERROR(4*STDEVP(終値!Y234:AR234)/AVERAGE(終値!Y234:AR234),""))</f>
        <v>0.17898762872879992</v>
      </c>
      <c r="W234" s="503">
        <f>IF(終値!A234="","",IFERROR(4*STDEVP(終値!Z234:AS234)/AVERAGE(終値!Z234:AS234),""))</f>
        <v>0.18230599197427488</v>
      </c>
      <c r="X234" s="503">
        <f>IF(終値!A234="","",IFERROR(4*STDEVP(終値!AA234:AT234)/AVERAGE(終値!AA234:AT234),""))</f>
        <v>0.18312869683727145</v>
      </c>
      <c r="Y234" s="503">
        <f>IF(終値!A234="","",IFERROR(4*STDEVP(終値!AB234:AU234)/AVERAGE(終値!AB234:AU234),""))</f>
        <v>0.18167165948824965</v>
      </c>
      <c r="Z234" s="503">
        <f>IF(終値!A234="","",IFERROR(4*STDEVP(終値!AC234:AV234)/AVERAGE(終値!AC234:AV234),""))</f>
        <v>0.18410751152729743</v>
      </c>
      <c r="AA234" s="503">
        <f>IF(終値!A234="","",IFERROR(4*STDEVP(終値!AD234:AW234)/AVERAGE(終値!AD234:AW234),""))</f>
        <v>0.17502189771192866</v>
      </c>
      <c r="AB234" s="503">
        <f>IF(終値!A234="","",IFERROR(4*STDEVP(終値!AE234:AX234)/AVERAGE(終値!AE234:AX234),""))</f>
        <v>0.17238258713563751</v>
      </c>
      <c r="AC234" s="503">
        <f>IF(終値!A234="","",IFERROR(4*STDEVP(終値!AF234:AY234)/AVERAGE(終値!AF234:AY234),""))</f>
        <v>0.17432399531040094</v>
      </c>
      <c r="AD234" s="503">
        <f>IF(終値!A234="","",IFERROR(4*STDEVP(終値!AG234:AZ234)/AVERAGE(終値!AG234:AZ234),""))</f>
        <v>0.20476549155670409</v>
      </c>
      <c r="AE234" s="503">
        <f>IF(終値!A234="","",IFERROR(4*STDEVP(終値!AH234:BA234)/AVERAGE(終値!AH234:BA234),""))</f>
        <v>0.25525307483959053</v>
      </c>
      <c r="AF234" s="503">
        <f>IF(終値!A234="","",IFERROR(4*STDEVP(終値!AI234:BB234)/AVERAGE(終値!AI234:BB234),""))</f>
        <v>0.31318885882735015</v>
      </c>
      <c r="AG234" s="503">
        <f>IF(終値!A234="","",IFERROR(4*STDEVP(終値!AJ234:BC234)/AVERAGE(終値!AJ234:BC234),""))</f>
        <v>0.35672773571038574</v>
      </c>
      <c r="AH234" s="503">
        <f>IF(終値!A234="","",IFERROR(4*STDEVP(終値!AK234:BD234)/AVERAGE(終値!AK234:BD234),""))</f>
        <v>0.39347892578398241</v>
      </c>
      <c r="AI234" s="503">
        <f>IF(終値!A234="","",IFERROR(4*STDEVP(終値!AL234:BE234)/AVERAGE(終値!AL234:BE234),""))</f>
        <v>0.42234498891749794</v>
      </c>
      <c r="AJ234" s="503">
        <f>IF(終値!A234="","",IFERROR(4*STDEVP(終値!AM234:BF234)/AVERAGE(終値!AM234:BF234),""))</f>
        <v>0.44020442185957726</v>
      </c>
      <c r="AK234" s="503">
        <f>IF(終値!A234="","",IFERROR(4*STDEVP(終値!AN234:BG234)/AVERAGE(終値!AN234:BG234),""))</f>
        <v>0.4619514952663003</v>
      </c>
      <c r="AL234" s="503">
        <f>IF(終値!A234="","",IFERROR(4*STDEVP(終値!AO234:BH234)/AVERAGE(終値!AO234:BH234),""))</f>
        <v>0.48451384842104006</v>
      </c>
      <c r="AM234" s="503">
        <f>IF(終値!A234="","",IFERROR(4*STDEVP(終値!AP234:BI234)/AVERAGE(終値!AP234:BI234),""))</f>
        <v>0.50627316147296197</v>
      </c>
      <c r="AN234" s="503">
        <f>IF(終値!A234="","",IFERROR(4*STDEVP(終値!AQ234:BJ234)/AVERAGE(終値!AQ234:BJ234),""))</f>
        <v>0.52472811642761719</v>
      </c>
      <c r="AO234" s="503">
        <f>IF(終値!A234="","",IFERROR(4*STDEVP(終値!AR234:BK234)/AVERAGE(終値!AR234:BK234),""))</f>
        <v>0.53926360723931066</v>
      </c>
      <c r="AP234" s="503">
        <f>IF(終値!A234="","",IFERROR(4*STDEVP(終値!AS234:BL234)/AVERAGE(終値!AS234:BL234),""))</f>
        <v>0.5289215934250876</v>
      </c>
    </row>
    <row r="235" spans="1:42">
      <c r="A235" s="500" t="str">
        <f>IF(終値!A235="","",終値!A235)</f>
        <v>4392</v>
      </c>
      <c r="B235" s="503">
        <f>IF(終値!A235="","",IFERROR(4*STDEVP(終値!E235:X235)/AVERAGE(終値!E235:X235),""))</f>
        <v>0.41343895355578897</v>
      </c>
      <c r="C235" s="503">
        <f>IF(終値!A235="","",IFERROR(4*STDEVP(終値!F235:Y235)/AVERAGE(終値!F235:Y235),""))</f>
        <v>0.41358498572045094</v>
      </c>
      <c r="D235" s="503">
        <f>IF(終値!A235="","",IFERROR(4*STDEVP(終値!G235:Z235)/AVERAGE(終値!G235:Z235),""))</f>
        <v>0.38200287617910722</v>
      </c>
      <c r="E235" s="503">
        <f>IF(終値!A235="","",IFERROR(4*STDEVP(終値!H235:AA235)/AVERAGE(終値!H235:AA235),""))</f>
        <v>0.35551923270023478</v>
      </c>
      <c r="F235" s="503">
        <f>IF(終値!A235="","",IFERROR(4*STDEVP(終値!I235:AB235)/AVERAGE(終値!I235:AB235),""))</f>
        <v>0.29647744946293292</v>
      </c>
      <c r="G235" s="503">
        <f>IF(終値!A235="","",IFERROR(4*STDEVP(終値!J235:AC235)/AVERAGE(終値!J235:AC235),""))</f>
        <v>0.23271225232472018</v>
      </c>
      <c r="H235" s="503">
        <f>IF(終値!A235="","",IFERROR(4*STDEVP(終値!K235:AD235)/AVERAGE(終値!K235:AD235),""))</f>
        <v>0.17450162108010317</v>
      </c>
      <c r="I235" s="503">
        <f>IF(終値!A235="","",IFERROR(4*STDEVP(終値!L235:AE235)/AVERAGE(終値!L235:AE235),""))</f>
        <v>0.14309661803550985</v>
      </c>
      <c r="J235" s="503">
        <f>IF(終値!A235="","",IFERROR(4*STDEVP(終値!M235:AF235)/AVERAGE(終値!M235:AF235),""))</f>
        <v>0.15141279447974543</v>
      </c>
      <c r="K235" s="503">
        <f>IF(終値!A235="","",IFERROR(4*STDEVP(終値!N235:AG235)/AVERAGE(終値!N235:AG235),""))</f>
        <v>0.15027647478759198</v>
      </c>
      <c r="L235" s="503">
        <f>IF(終値!A235="","",IFERROR(4*STDEVP(終値!O235:AH235)/AVERAGE(終値!O235:AH235),""))</f>
        <v>0.16190532867712715</v>
      </c>
      <c r="M235" s="503">
        <f>IF(終値!A235="","",IFERROR(4*STDEVP(終値!P235:AI235)/AVERAGE(終値!P235:AI235),""))</f>
        <v>0.15937687282428198</v>
      </c>
      <c r="N235" s="503">
        <f>IF(終値!A235="","",IFERROR(4*STDEVP(終値!Q235:AJ235)/AVERAGE(終値!Q235:AJ235),""))</f>
        <v>0.19733631057527468</v>
      </c>
      <c r="O235" s="503">
        <f>IF(終値!A235="","",IFERROR(4*STDEVP(終値!R235:AK235)/AVERAGE(終値!R235:AK235),""))</f>
        <v>0.22422853842064633</v>
      </c>
      <c r="P235" s="503">
        <f>IF(終値!A235="","",IFERROR(4*STDEVP(終値!S235:AL235)/AVERAGE(終値!S235:AL235),""))</f>
        <v>0.22189729510349976</v>
      </c>
      <c r="Q235" s="503">
        <f>IF(終値!A235="","",IFERROR(4*STDEVP(終値!T235:AM235)/AVERAGE(終値!T235:AM235),""))</f>
        <v>0.24178446526141542</v>
      </c>
      <c r="R235" s="503">
        <f>IF(終値!A235="","",IFERROR(4*STDEVP(終値!U235:AN235)/AVERAGE(終値!U235:AN235),""))</f>
        <v>0.27090057043460369</v>
      </c>
      <c r="S235" s="503">
        <f>IF(終値!A235="","",IFERROR(4*STDEVP(終値!V235:AO235)/AVERAGE(終値!V235:AO235),""))</f>
        <v>0.30896525300707967</v>
      </c>
      <c r="T235" s="503">
        <f>IF(終値!A235="","",IFERROR(4*STDEVP(終値!W235:AP235)/AVERAGE(終値!W235:AP235),""))</f>
        <v>0.40938292943808807</v>
      </c>
      <c r="U235" s="503">
        <f>IF(終値!A235="","",IFERROR(4*STDEVP(終値!X235:AQ235)/AVERAGE(終値!X235:AQ235),""))</f>
        <v>0.47298071208199527</v>
      </c>
      <c r="V235" s="503">
        <f>IF(終値!A235="","",IFERROR(4*STDEVP(終値!Y235:AR235)/AVERAGE(終値!Y235:AR235),""))</f>
        <v>0.46987393829544172</v>
      </c>
      <c r="W235" s="503">
        <f>IF(終値!A235="","",IFERROR(4*STDEVP(終値!Z235:AS235)/AVERAGE(終値!Z235:AS235),""))</f>
        <v>0.46892282689487436</v>
      </c>
      <c r="X235" s="503">
        <f>IF(終値!A235="","",IFERROR(4*STDEVP(終値!AA235:AT235)/AVERAGE(終値!AA235:AT235),""))</f>
        <v>0.51090659787532056</v>
      </c>
      <c r="Y235" s="503">
        <f>IF(終値!A235="","",IFERROR(4*STDEVP(終値!AB235:AU235)/AVERAGE(終値!AB235:AU235),""))</f>
        <v>0.55368844017770513</v>
      </c>
      <c r="Z235" s="503">
        <f>IF(終値!A235="","",IFERROR(4*STDEVP(終値!AC235:AV235)/AVERAGE(終値!AC235:AV235),""))</f>
        <v>0.60189693245362963</v>
      </c>
      <c r="AA235" s="503">
        <f>IF(終値!A235="","",IFERROR(4*STDEVP(終値!AD235:AW235)/AVERAGE(終値!AD235:AW235),""))</f>
        <v>0.70294181793587207</v>
      </c>
      <c r="AB235" s="503">
        <f>IF(終値!A235="","",IFERROR(4*STDEVP(終値!AE235:AX235)/AVERAGE(終値!AE235:AX235),""))</f>
        <v>0.82349795396346848</v>
      </c>
      <c r="AC235" s="503">
        <f>IF(終値!A235="","",IFERROR(4*STDEVP(終値!AF235:AY235)/AVERAGE(終値!AF235:AY235),""))</f>
        <v>0.88044788932366802</v>
      </c>
      <c r="AD235" s="503">
        <f>IF(終値!A235="","",IFERROR(4*STDEVP(終値!AG235:AZ235)/AVERAGE(終値!AG235:AZ235),""))</f>
        <v>0.85850240945613743</v>
      </c>
      <c r="AE235" s="503">
        <f>IF(終値!A235="","",IFERROR(4*STDEVP(終値!AH235:BA235)/AVERAGE(終値!AH235:BA235),""))</f>
        <v>0.83530631557560198</v>
      </c>
      <c r="AF235" s="503">
        <f>IF(終値!A235="","",IFERROR(4*STDEVP(終値!AI235:BB235)/AVERAGE(終値!AI235:BB235),""))</f>
        <v>0.79619464847331234</v>
      </c>
      <c r="AG235" s="503">
        <f>IF(終値!A235="","",IFERROR(4*STDEVP(終値!AJ235:BC235)/AVERAGE(終値!AJ235:BC235),""))</f>
        <v>0.76061894416751386</v>
      </c>
      <c r="AH235" s="503">
        <f>IF(終値!A235="","",IFERROR(4*STDEVP(終値!AK235:BD235)/AVERAGE(終値!AK235:BD235),""))</f>
        <v>0.80373898332579263</v>
      </c>
      <c r="AI235" s="503">
        <f>IF(終値!A235="","",IFERROR(4*STDEVP(終値!AL235:BE235)/AVERAGE(終値!AL235:BE235),""))</f>
        <v>0.88065483320548088</v>
      </c>
      <c r="AJ235" s="503">
        <f>IF(終値!A235="","",IFERROR(4*STDEVP(終値!AM235:BF235)/AVERAGE(終値!AM235:BF235),""))</f>
        <v>0.9904992837002401</v>
      </c>
      <c r="AK235" s="503">
        <f>IF(終値!A235="","",IFERROR(4*STDEVP(終値!AN235:BG235)/AVERAGE(終値!AN235:BG235),""))</f>
        <v>1.1064157548013107</v>
      </c>
      <c r="AL235" s="503">
        <f>IF(終値!A235="","",IFERROR(4*STDEVP(終値!AO235:BH235)/AVERAGE(終値!AO235:BH235),""))</f>
        <v>1.1831908480857096</v>
      </c>
      <c r="AM235" s="503">
        <f>IF(終値!A235="","",IFERROR(4*STDEVP(終値!AP235:BI235)/AVERAGE(終値!AP235:BI235),""))</f>
        <v>1.357245712781771</v>
      </c>
      <c r="AN235" s="503">
        <f>IF(終値!A235="","",IFERROR(4*STDEVP(終値!AQ235:BJ235)/AVERAGE(終値!AQ235:BJ235),""))</f>
        <v>1.5472679682238895</v>
      </c>
      <c r="AO235" s="503">
        <f>IF(終値!A235="","",IFERROR(4*STDEVP(終値!AR235:BK235)/AVERAGE(終値!AR235:BK235),""))</f>
        <v>1.7500570744707684</v>
      </c>
      <c r="AP235" s="503">
        <f>IF(終値!A235="","",IFERROR(4*STDEVP(終値!AS235:BL235)/AVERAGE(終値!AS235:BL235),""))</f>
        <v>1.9389101625207832</v>
      </c>
    </row>
    <row r="236" spans="1:42">
      <c r="A236" s="500" t="str">
        <f>IF(終値!A236="","",終値!A236)</f>
        <v>8005</v>
      </c>
      <c r="B236" s="503">
        <f>IF(終値!A236="","",IFERROR(4*STDEVP(終値!E236:X236)/AVERAGE(終値!E236:X236),""))</f>
        <v>7.0570362407440551E-2</v>
      </c>
      <c r="C236" s="503">
        <f>IF(終値!A236="","",IFERROR(4*STDEVP(終値!F236:Y236)/AVERAGE(終値!F236:Y236),""))</f>
        <v>6.1926933896307088E-2</v>
      </c>
      <c r="D236" s="503">
        <f>IF(終値!A236="","",IFERROR(4*STDEVP(終値!G236:Z236)/AVERAGE(終値!G236:Z236),""))</f>
        <v>5.127812918975902E-2</v>
      </c>
      <c r="E236" s="503">
        <f>IF(終値!A236="","",IFERROR(4*STDEVP(終値!H236:AA236)/AVERAGE(終値!H236:AA236),""))</f>
        <v>7.0210593994575174E-2</v>
      </c>
      <c r="F236" s="503">
        <f>IF(終値!A236="","",IFERROR(4*STDEVP(終値!I236:AB236)/AVERAGE(終値!I236:AB236),""))</f>
        <v>8.0732631679174549E-2</v>
      </c>
      <c r="G236" s="503">
        <f>IF(終値!A236="","",IFERROR(4*STDEVP(終値!J236:AC236)/AVERAGE(終値!J236:AC236),""))</f>
        <v>8.628444075467033E-2</v>
      </c>
      <c r="H236" s="503">
        <f>IF(終値!A236="","",IFERROR(4*STDEVP(終値!K236:AD236)/AVERAGE(終値!K236:AD236),""))</f>
        <v>9.2697074209214261E-2</v>
      </c>
      <c r="I236" s="503">
        <f>IF(終値!A236="","",IFERROR(4*STDEVP(終値!L236:AE236)/AVERAGE(終値!L236:AE236),""))</f>
        <v>9.5883714921087451E-2</v>
      </c>
      <c r="J236" s="503">
        <f>IF(終値!A236="","",IFERROR(4*STDEVP(終値!M236:AF236)/AVERAGE(終値!M236:AF236),""))</f>
        <v>0.10184691407235537</v>
      </c>
      <c r="K236" s="503">
        <f>IF(終値!A236="","",IFERROR(4*STDEVP(終値!N236:AG236)/AVERAGE(終値!N236:AG236),""))</f>
        <v>0.10400147377917814</v>
      </c>
      <c r="L236" s="503">
        <f>IF(終値!A236="","",IFERROR(4*STDEVP(終値!O236:AH236)/AVERAGE(終値!O236:AH236),""))</f>
        <v>0.10408789579225071</v>
      </c>
      <c r="M236" s="503">
        <f>IF(終値!A236="","",IFERROR(4*STDEVP(終値!P236:AI236)/AVERAGE(終値!P236:AI236),""))</f>
        <v>0.10094199810415184</v>
      </c>
      <c r="N236" s="503">
        <f>IF(終値!A236="","",IFERROR(4*STDEVP(終値!Q236:AJ236)/AVERAGE(終値!Q236:AJ236),""))</f>
        <v>9.9311083633125019E-2</v>
      </c>
      <c r="O236" s="503">
        <f>IF(終値!A236="","",IFERROR(4*STDEVP(終値!R236:AK236)/AVERAGE(終値!R236:AK236),""))</f>
        <v>9.2456310560893762E-2</v>
      </c>
      <c r="P236" s="503">
        <f>IF(終値!A236="","",IFERROR(4*STDEVP(終値!S236:AL236)/AVERAGE(終値!S236:AL236),""))</f>
        <v>8.8415788483813831E-2</v>
      </c>
      <c r="Q236" s="503">
        <f>IF(終値!A236="","",IFERROR(4*STDEVP(終値!T236:AM236)/AVERAGE(終値!T236:AM236),""))</f>
        <v>8.3300491854018513E-2</v>
      </c>
      <c r="R236" s="503">
        <f>IF(終値!A236="","",IFERROR(4*STDEVP(終値!U236:AN236)/AVERAGE(終値!U236:AN236),""))</f>
        <v>7.9466694381935682E-2</v>
      </c>
      <c r="S236" s="503">
        <f>IF(終値!A236="","",IFERROR(4*STDEVP(終値!V236:AO236)/AVERAGE(終値!V236:AO236),""))</f>
        <v>7.3933733991204606E-2</v>
      </c>
      <c r="T236" s="503">
        <f>IF(終値!A236="","",IFERROR(4*STDEVP(終値!W236:AP236)/AVERAGE(終値!W236:AP236),""))</f>
        <v>6.1562190204600395E-2</v>
      </c>
      <c r="U236" s="503">
        <f>IF(終値!A236="","",IFERROR(4*STDEVP(終値!X236:AQ236)/AVERAGE(終値!X236:AQ236),""))</f>
        <v>4.955892009754178E-2</v>
      </c>
      <c r="V236" s="503">
        <f>IF(終値!A236="","",IFERROR(4*STDEVP(終値!Y236:AR236)/AVERAGE(終値!Y236:AR236),""))</f>
        <v>3.1964008165329766E-2</v>
      </c>
      <c r="W236" s="503">
        <f>IF(終値!A236="","",IFERROR(4*STDEVP(終値!Z236:AS236)/AVERAGE(終値!Z236:AS236),""))</f>
        <v>2.609670557953829E-2</v>
      </c>
      <c r="X236" s="503">
        <f>IF(終値!A236="","",IFERROR(4*STDEVP(終値!AA236:AT236)/AVERAGE(終値!AA236:AT236),""))</f>
        <v>2.5826493915329436E-2</v>
      </c>
      <c r="Y236" s="503">
        <f>IF(終値!A236="","",IFERROR(4*STDEVP(終値!AB236:AU236)/AVERAGE(終値!AB236:AU236),""))</f>
        <v>2.4694240459500312E-2</v>
      </c>
      <c r="Z236" s="503">
        <f>IF(終値!A236="","",IFERROR(4*STDEVP(終値!AC236:AV236)/AVERAGE(終値!AC236:AV236),""))</f>
        <v>2.5866864173594309E-2</v>
      </c>
      <c r="AA236" s="503">
        <f>IF(終値!A236="","",IFERROR(4*STDEVP(終値!AD236:AW236)/AVERAGE(終値!AD236:AW236),""))</f>
        <v>2.6090879049897129E-2</v>
      </c>
      <c r="AB236" s="503">
        <f>IF(終値!A236="","",IFERROR(4*STDEVP(終値!AE236:AX236)/AVERAGE(終値!AE236:AX236),""))</f>
        <v>2.6231659254147235E-2</v>
      </c>
      <c r="AC236" s="503">
        <f>IF(終値!A236="","",IFERROR(4*STDEVP(終値!AF236:AY236)/AVERAGE(終値!AF236:AY236),""))</f>
        <v>2.6231659254147235E-2</v>
      </c>
      <c r="AD236" s="503">
        <f>IF(終値!A236="","",IFERROR(4*STDEVP(終値!AG236:AZ236)/AVERAGE(終値!AG236:AZ236),""))</f>
        <v>2.5791490698734716E-2</v>
      </c>
      <c r="AE236" s="503">
        <f>IF(終値!A236="","",IFERROR(4*STDEVP(終値!AH236:BA236)/AVERAGE(終値!AH236:BA236),""))</f>
        <v>2.5953210831233434E-2</v>
      </c>
      <c r="AF236" s="503">
        <f>IF(終値!A236="","",IFERROR(4*STDEVP(終値!AI236:BB236)/AVERAGE(終値!AI236:BB236),""))</f>
        <v>2.8265579054556716E-2</v>
      </c>
      <c r="AG236" s="503">
        <f>IF(終値!A236="","",IFERROR(4*STDEVP(終値!AJ236:BC236)/AVERAGE(終値!AJ236:BC236),""))</f>
        <v>3.786723649628055E-2</v>
      </c>
      <c r="AH236" s="503">
        <f>IF(終値!A236="","",IFERROR(4*STDEVP(終値!AK236:BD236)/AVERAGE(終値!AK236:BD236),""))</f>
        <v>3.7148049516335754E-2</v>
      </c>
      <c r="AI236" s="503">
        <f>IF(終値!A236="","",IFERROR(4*STDEVP(終値!AL236:BE236)/AVERAGE(終値!AL236:BE236),""))</f>
        <v>3.8271649737690885E-2</v>
      </c>
      <c r="AJ236" s="503">
        <f>IF(終値!A236="","",IFERROR(4*STDEVP(終値!AM236:BF236)/AVERAGE(終値!AM236:BF236),""))</f>
        <v>3.8597031161088098E-2</v>
      </c>
      <c r="AK236" s="503">
        <f>IF(終値!A236="","",IFERROR(4*STDEVP(終値!AN236:BG236)/AVERAGE(終値!AN236:BG236),""))</f>
        <v>3.7593847738799591E-2</v>
      </c>
      <c r="AL236" s="503">
        <f>IF(終値!A236="","",IFERROR(4*STDEVP(終値!AO236:BH236)/AVERAGE(終値!AO236:BH236),""))</f>
        <v>3.6971624315870089E-2</v>
      </c>
      <c r="AM236" s="503">
        <f>IF(終値!A236="","",IFERROR(4*STDEVP(終値!AP236:BI236)/AVERAGE(終値!AP236:BI236),""))</f>
        <v>5.1213781741269233E-2</v>
      </c>
      <c r="AN236" s="503">
        <f>IF(終値!A236="","",IFERROR(4*STDEVP(終値!AQ236:BJ236)/AVERAGE(終値!AQ236:BJ236),""))</f>
        <v>5.6086370307675736E-2</v>
      </c>
      <c r="AO236" s="503">
        <f>IF(終値!A236="","",IFERROR(4*STDEVP(終値!AR236:BK236)/AVERAGE(終値!AR236:BK236),""))</f>
        <v>0.19278757866841767</v>
      </c>
      <c r="AP236" s="503">
        <f>IF(終値!A236="","",IFERROR(4*STDEVP(終値!AS236:BL236)/AVERAGE(終値!AS236:BL236),""))</f>
        <v>0.26005624598410843</v>
      </c>
    </row>
    <row r="237" spans="1:42">
      <c r="A237" s="500" t="str">
        <f>IF(終値!A237="","",終値!A237)</f>
        <v>2326</v>
      </c>
      <c r="B237" s="503">
        <f>IF(終値!A237="","",IFERROR(4*STDEVP(終値!E237:X237)/AVERAGE(終値!E237:X237),""))</f>
        <v>0.10711268782147144</v>
      </c>
      <c r="C237" s="503">
        <f>IF(終値!A237="","",IFERROR(4*STDEVP(終値!F237:Y237)/AVERAGE(終値!F237:Y237),""))</f>
        <v>9.2746625572690922E-2</v>
      </c>
      <c r="D237" s="503">
        <f>IF(終値!A237="","",IFERROR(4*STDEVP(終値!G237:Z237)/AVERAGE(終値!G237:Z237),""))</f>
        <v>9.7715576245852184E-2</v>
      </c>
      <c r="E237" s="503">
        <f>IF(終値!A237="","",IFERROR(4*STDEVP(終値!H237:AA237)/AVERAGE(終値!H237:AA237),""))</f>
        <v>0.12056050559221677</v>
      </c>
      <c r="F237" s="503">
        <f>IF(終値!A237="","",IFERROR(4*STDEVP(終値!I237:AB237)/AVERAGE(終値!I237:AB237),""))</f>
        <v>0.12968710026285393</v>
      </c>
      <c r="G237" s="503">
        <f>IF(終値!A237="","",IFERROR(4*STDEVP(終値!J237:AC237)/AVERAGE(終値!J237:AC237),""))</f>
        <v>0.13144309332104911</v>
      </c>
      <c r="H237" s="503">
        <f>IF(終値!A237="","",IFERROR(4*STDEVP(終値!K237:AD237)/AVERAGE(終値!K237:AD237),""))</f>
        <v>0.14122081790592775</v>
      </c>
      <c r="I237" s="503">
        <f>IF(終値!A237="","",IFERROR(4*STDEVP(終値!L237:AE237)/AVERAGE(終値!L237:AE237),""))</f>
        <v>0.15545480020533281</v>
      </c>
      <c r="J237" s="503">
        <f>IF(終値!A237="","",IFERROR(4*STDEVP(終値!M237:AF237)/AVERAGE(終値!M237:AF237),""))</f>
        <v>0.17135055752588901</v>
      </c>
      <c r="K237" s="503">
        <f>IF(終値!A237="","",IFERROR(4*STDEVP(終値!N237:AG237)/AVERAGE(終値!N237:AG237),""))</f>
        <v>0.18261555935623836</v>
      </c>
      <c r="L237" s="503">
        <f>IF(終値!A237="","",IFERROR(4*STDEVP(終値!O237:AH237)/AVERAGE(終値!O237:AH237),""))</f>
        <v>0.18380711986934054</v>
      </c>
      <c r="M237" s="503">
        <f>IF(終値!A237="","",IFERROR(4*STDEVP(終値!P237:AI237)/AVERAGE(終値!P237:AI237),""))</f>
        <v>0.18416833234014821</v>
      </c>
      <c r="N237" s="503">
        <f>IF(終値!A237="","",IFERROR(4*STDEVP(終値!Q237:AJ237)/AVERAGE(終値!Q237:AJ237),""))</f>
        <v>0.1809066808028309</v>
      </c>
      <c r="O237" s="503">
        <f>IF(終値!A237="","",IFERROR(4*STDEVP(終値!R237:AK237)/AVERAGE(終値!R237:AK237),""))</f>
        <v>0.1725019611988764</v>
      </c>
      <c r="P237" s="503">
        <f>IF(終値!A237="","",IFERROR(4*STDEVP(終値!S237:AL237)/AVERAGE(終値!S237:AL237),""))</f>
        <v>0.16524051658668129</v>
      </c>
      <c r="Q237" s="503">
        <f>IF(終値!A237="","",IFERROR(4*STDEVP(終値!T237:AM237)/AVERAGE(終値!T237:AM237),""))</f>
        <v>0.1550092209894651</v>
      </c>
      <c r="R237" s="503">
        <f>IF(終値!A237="","",IFERROR(4*STDEVP(終値!U237:AN237)/AVERAGE(終値!U237:AN237),""))</f>
        <v>0.14462673498486184</v>
      </c>
      <c r="S237" s="503">
        <f>IF(終値!A237="","",IFERROR(4*STDEVP(終値!V237:AO237)/AVERAGE(終値!V237:AO237),""))</f>
        <v>0.13343079373690298</v>
      </c>
      <c r="T237" s="503">
        <f>IF(終値!A237="","",IFERROR(4*STDEVP(終値!W237:AP237)/AVERAGE(終値!W237:AP237),""))</f>
        <v>0.12199093949018686</v>
      </c>
      <c r="U237" s="503">
        <f>IF(終値!A237="","",IFERROR(4*STDEVP(終値!X237:AQ237)/AVERAGE(終値!X237:AQ237),""))</f>
        <v>0.10268083671218824</v>
      </c>
      <c r="V237" s="503">
        <f>IF(終値!A237="","",IFERROR(4*STDEVP(終値!Y237:AR237)/AVERAGE(終値!Y237:AR237),""))</f>
        <v>9.6301486408398251E-2</v>
      </c>
      <c r="W237" s="503">
        <f>IF(終値!A237="","",IFERROR(4*STDEVP(終値!Z237:AS237)/AVERAGE(終値!Z237:AS237),""))</f>
        <v>8.3060756600899455E-2</v>
      </c>
      <c r="X237" s="503">
        <f>IF(終値!A237="","",IFERROR(4*STDEVP(終値!AA237:AT237)/AVERAGE(終値!AA237:AT237),""))</f>
        <v>7.895019409273081E-2</v>
      </c>
      <c r="Y237" s="503">
        <f>IF(終値!A237="","",IFERROR(4*STDEVP(終値!AB237:AU237)/AVERAGE(終値!AB237:AU237),""))</f>
        <v>8.3370330343332327E-2</v>
      </c>
      <c r="Z237" s="503">
        <f>IF(終値!A237="","",IFERROR(4*STDEVP(終値!AC237:AV237)/AVERAGE(終値!AC237:AV237),""))</f>
        <v>0.11631368985861106</v>
      </c>
      <c r="AA237" s="503">
        <f>IF(終値!A237="","",IFERROR(4*STDEVP(終値!AD237:AW237)/AVERAGE(終値!AD237:AW237),""))</f>
        <v>0.14917533447881187</v>
      </c>
      <c r="AB237" s="503">
        <f>IF(終値!A237="","",IFERROR(4*STDEVP(終値!AE237:AX237)/AVERAGE(終値!AE237:AX237),""))</f>
        <v>0.18573593162199309</v>
      </c>
      <c r="AC237" s="503">
        <f>IF(終値!A237="","",IFERROR(4*STDEVP(終値!AF237:AY237)/AVERAGE(終値!AF237:AY237),""))</f>
        <v>0.20481420048218885</v>
      </c>
      <c r="AD237" s="503">
        <f>IF(終値!A237="","",IFERROR(4*STDEVP(終値!AG237:AZ237)/AVERAGE(終値!AG237:AZ237),""))</f>
        <v>0.22212532360971593</v>
      </c>
      <c r="AE237" s="503">
        <f>IF(終値!A237="","",IFERROR(4*STDEVP(終値!AH237:BA237)/AVERAGE(終値!AH237:BA237),""))</f>
        <v>0.22946925100776353</v>
      </c>
      <c r="AF237" s="503">
        <f>IF(終値!A237="","",IFERROR(4*STDEVP(終値!AI237:BB237)/AVERAGE(終値!AI237:BB237),""))</f>
        <v>0.23852568092021753</v>
      </c>
      <c r="AG237" s="503">
        <f>IF(終値!A237="","",IFERROR(4*STDEVP(終値!AJ237:BC237)/AVERAGE(終値!AJ237:BC237),""))</f>
        <v>0.2562479635197521</v>
      </c>
      <c r="AH237" s="503">
        <f>IF(終値!A237="","",IFERROR(4*STDEVP(終値!AK237:BD237)/AVERAGE(終値!AK237:BD237),""))</f>
        <v>0.26353525132722405</v>
      </c>
      <c r="AI237" s="503">
        <f>IF(終値!A237="","",IFERROR(4*STDEVP(終値!AL237:BE237)/AVERAGE(終値!AL237:BE237),""))</f>
        <v>0.26541887385081053</v>
      </c>
      <c r="AJ237" s="503">
        <f>IF(終値!A237="","",IFERROR(4*STDEVP(終値!AM237:BF237)/AVERAGE(終値!AM237:BF237),""))</f>
        <v>0.25354587624342484</v>
      </c>
      <c r="AK237" s="503">
        <f>IF(終値!A237="","",IFERROR(4*STDEVP(終値!AN237:BG237)/AVERAGE(終値!AN237:BG237),""))</f>
        <v>0.24330021910866609</v>
      </c>
      <c r="AL237" s="503">
        <f>IF(終値!A237="","",IFERROR(4*STDEVP(終値!AO237:BH237)/AVERAGE(終値!AO237:BH237),""))</f>
        <v>0.2246497672539936</v>
      </c>
      <c r="AM237" s="503">
        <f>IF(終値!A237="","",IFERROR(4*STDEVP(終値!AP237:BI237)/AVERAGE(終値!AP237:BI237),""))</f>
        <v>0.21285341968928667</v>
      </c>
      <c r="AN237" s="503">
        <f>IF(終値!A237="","",IFERROR(4*STDEVP(終値!AQ237:BJ237)/AVERAGE(終値!AQ237:BJ237),""))</f>
        <v>0.27227982194699812</v>
      </c>
      <c r="AO237" s="503">
        <f>IF(終値!A237="","",IFERROR(4*STDEVP(終値!AR237:BK237)/AVERAGE(終値!AR237:BK237),""))</f>
        <v>0.45906726730926795</v>
      </c>
      <c r="AP237" s="503">
        <f>IF(終値!A237="","",IFERROR(4*STDEVP(終値!AS237:BL237)/AVERAGE(終値!AS237:BL237),""))</f>
        <v>0.52509945015809334</v>
      </c>
    </row>
    <row r="238" spans="1:42">
      <c r="A238" s="500" t="str">
        <f>IF(終値!A238="","",終値!A238)</f>
        <v>6809</v>
      </c>
      <c r="B238" s="503">
        <f>IF(終値!A238="","",IFERROR(4*STDEVP(終値!E238:X238)/AVERAGE(終値!E238:X238),""))</f>
        <v>4.5765541268860267E-2</v>
      </c>
      <c r="C238" s="503">
        <f>IF(終値!A238="","",IFERROR(4*STDEVP(終値!F238:Y238)/AVERAGE(終値!F238:Y238),""))</f>
        <v>4.6500713101141018E-2</v>
      </c>
      <c r="D238" s="503">
        <f>IF(終値!A238="","",IFERROR(4*STDEVP(終値!G238:Z238)/AVERAGE(終値!G238:Z238),""))</f>
        <v>5.3912203071087163E-2</v>
      </c>
      <c r="E238" s="503">
        <f>IF(終値!A238="","",IFERROR(4*STDEVP(終値!H238:AA238)/AVERAGE(終値!H238:AA238),""))</f>
        <v>6.362201685163818E-2</v>
      </c>
      <c r="F238" s="503">
        <f>IF(終値!A238="","",IFERROR(4*STDEVP(終値!I238:AB238)/AVERAGE(終値!I238:AB238),""))</f>
        <v>6.7167516605732974E-2</v>
      </c>
      <c r="G238" s="503">
        <f>IF(終値!A238="","",IFERROR(4*STDEVP(終値!J238:AC238)/AVERAGE(終値!J238:AC238),""))</f>
        <v>6.6723321514740544E-2</v>
      </c>
      <c r="H238" s="503">
        <f>IF(終値!A238="","",IFERROR(4*STDEVP(終値!K238:AD238)/AVERAGE(終値!K238:AD238),""))</f>
        <v>6.5004875321584193E-2</v>
      </c>
      <c r="I238" s="503">
        <f>IF(終値!A238="","",IFERROR(4*STDEVP(終値!L238:AE238)/AVERAGE(終値!L238:AE238),""))</f>
        <v>6.2105259404601425E-2</v>
      </c>
      <c r="J238" s="503">
        <f>IF(終値!A238="","",IFERROR(4*STDEVP(終値!M238:AF238)/AVERAGE(終値!M238:AF238),""))</f>
        <v>6.521854087183096E-2</v>
      </c>
      <c r="K238" s="503">
        <f>IF(終値!A238="","",IFERROR(4*STDEVP(終値!N238:AG238)/AVERAGE(終値!N238:AG238),""))</f>
        <v>6.7036211726248268E-2</v>
      </c>
      <c r="L238" s="503">
        <f>IF(終値!A238="","",IFERROR(4*STDEVP(終値!O238:AH238)/AVERAGE(終値!O238:AH238),""))</f>
        <v>6.7973374925984667E-2</v>
      </c>
      <c r="M238" s="503">
        <f>IF(終値!A238="","",IFERROR(4*STDEVP(終値!P238:AI238)/AVERAGE(終値!P238:AI238),""))</f>
        <v>6.8289746837965598E-2</v>
      </c>
      <c r="N238" s="503">
        <f>IF(終値!A238="","",IFERROR(4*STDEVP(終値!Q238:AJ238)/AVERAGE(終値!Q238:AJ238),""))</f>
        <v>6.8127569980496475E-2</v>
      </c>
      <c r="O238" s="503">
        <f>IF(終値!A238="","",IFERROR(4*STDEVP(終値!R238:AK238)/AVERAGE(終値!R238:AK238),""))</f>
        <v>6.792316397965685E-2</v>
      </c>
      <c r="P238" s="503">
        <f>IF(終値!A238="","",IFERROR(4*STDEVP(終値!S238:AL238)/AVERAGE(終値!S238:AL238),""))</f>
        <v>6.8256496290418828E-2</v>
      </c>
      <c r="Q238" s="503">
        <f>IF(終値!A238="","",IFERROR(4*STDEVP(終値!T238:AM238)/AVERAGE(終値!T238:AM238),""))</f>
        <v>6.8574858683751294E-2</v>
      </c>
      <c r="R238" s="503">
        <f>IF(終値!A238="","",IFERROR(4*STDEVP(終値!U238:AN238)/AVERAGE(終値!U238:AN238),""))</f>
        <v>6.819886426144052E-2</v>
      </c>
      <c r="S238" s="503">
        <f>IF(終値!A238="","",IFERROR(4*STDEVP(終値!V238:AO238)/AVERAGE(終値!V238:AO238),""))</f>
        <v>6.7238084380855004E-2</v>
      </c>
      <c r="T238" s="503">
        <f>IF(終値!A238="","",IFERROR(4*STDEVP(終値!W238:AP238)/AVERAGE(終値!W238:AP238),""))</f>
        <v>5.9064408410965552E-2</v>
      </c>
      <c r="U238" s="503">
        <f>IF(終値!A238="","",IFERROR(4*STDEVP(終値!X238:AQ238)/AVERAGE(終値!X238:AQ238),""))</f>
        <v>4.5711346323667225E-2</v>
      </c>
      <c r="V238" s="503">
        <f>IF(終値!A238="","",IFERROR(4*STDEVP(終値!Y238:AR238)/AVERAGE(終値!Y238:AR238),""))</f>
        <v>3.1759100840334696E-2</v>
      </c>
      <c r="W238" s="503">
        <f>IF(終値!A238="","",IFERROR(4*STDEVP(終値!Z238:AS238)/AVERAGE(終値!Z238:AS238),""))</f>
        <v>2.6980715739804748E-2</v>
      </c>
      <c r="X238" s="503">
        <f>IF(終値!A238="","",IFERROR(4*STDEVP(終値!AA238:AT238)/AVERAGE(終値!AA238:AT238),""))</f>
        <v>2.9767843318228314E-2</v>
      </c>
      <c r="Y238" s="503">
        <f>IF(終値!A238="","",IFERROR(4*STDEVP(終値!AB238:AU238)/AVERAGE(終値!AB238:AU238),""))</f>
        <v>2.9315809897996703E-2</v>
      </c>
      <c r="Z238" s="503">
        <f>IF(終値!A238="","",IFERROR(4*STDEVP(終値!AC238:AV238)/AVERAGE(終値!AC238:AV238),""))</f>
        <v>2.9764869549490348E-2</v>
      </c>
      <c r="AA238" s="503">
        <f>IF(終値!A238="","",IFERROR(4*STDEVP(終値!AD238:AW238)/AVERAGE(終値!AD238:AW238),""))</f>
        <v>2.9936366168586557E-2</v>
      </c>
      <c r="AB238" s="503">
        <f>IF(終値!A238="","",IFERROR(4*STDEVP(終値!AE238:AX238)/AVERAGE(終値!AE238:AX238),""))</f>
        <v>2.9185534295803273E-2</v>
      </c>
      <c r="AC238" s="503">
        <f>IF(終値!A238="","",IFERROR(4*STDEVP(終値!AF238:AY238)/AVERAGE(終値!AF238:AY238),""))</f>
        <v>2.6047919346655075E-2</v>
      </c>
      <c r="AD238" s="503">
        <f>IF(終値!A238="","",IFERROR(4*STDEVP(終値!AG238:AZ238)/AVERAGE(終値!AG238:AZ238),""))</f>
        <v>2.6012105093972601E-2</v>
      </c>
      <c r="AE238" s="503">
        <f>IF(終値!A238="","",IFERROR(4*STDEVP(終値!AH238:BA238)/AVERAGE(終値!AH238:BA238),""))</f>
        <v>2.8640076460780015E-2</v>
      </c>
      <c r="AF238" s="503">
        <f>IF(終値!A238="","",IFERROR(4*STDEVP(終値!AI238:BB238)/AVERAGE(終値!AI238:BB238),""))</f>
        <v>3.3290778334439643E-2</v>
      </c>
      <c r="AG238" s="503">
        <f>IF(終値!A238="","",IFERROR(4*STDEVP(終値!AJ238:BC238)/AVERAGE(終値!AJ238:BC238),""))</f>
        <v>4.1780408295530966E-2</v>
      </c>
      <c r="AH238" s="503">
        <f>IF(終値!A238="","",IFERROR(4*STDEVP(終値!AK238:BD238)/AVERAGE(終値!AK238:BD238),""))</f>
        <v>4.2627439035088796E-2</v>
      </c>
      <c r="AI238" s="503">
        <f>IF(終値!A238="","",IFERROR(4*STDEVP(終値!AL238:BE238)/AVERAGE(終値!AL238:BE238),""))</f>
        <v>5.0415262609036358E-2</v>
      </c>
      <c r="AJ238" s="503">
        <f>IF(終値!A238="","",IFERROR(4*STDEVP(終値!AM238:BF238)/AVERAGE(終値!AM238:BF238),""))</f>
        <v>5.1908768242141669E-2</v>
      </c>
      <c r="AK238" s="503">
        <f>IF(終値!A238="","",IFERROR(4*STDEVP(終値!AN238:BG238)/AVERAGE(終値!AN238:BG238),""))</f>
        <v>5.2073899966649732E-2</v>
      </c>
      <c r="AL238" s="503">
        <f>IF(終値!A238="","",IFERROR(4*STDEVP(終値!AO238:BH238)/AVERAGE(終値!AO238:BH238),""))</f>
        <v>5.2047793443619962E-2</v>
      </c>
      <c r="AM238" s="503">
        <f>IF(終値!A238="","",IFERROR(4*STDEVP(終値!AP238:BI238)/AVERAGE(終値!AP238:BI238),""))</f>
        <v>5.1955439007136776E-2</v>
      </c>
      <c r="AN238" s="503">
        <f>IF(終値!A238="","",IFERROR(4*STDEVP(終値!AQ238:BJ238)/AVERAGE(終値!AQ238:BJ238),""))</f>
        <v>5.2181263496165899E-2</v>
      </c>
      <c r="AO238" s="503">
        <f>IF(終値!A238="","",IFERROR(4*STDEVP(終値!AR238:BK238)/AVERAGE(終値!AR238:BK238),""))</f>
        <v>0.13193428481214806</v>
      </c>
      <c r="AP238" s="503">
        <f>IF(終値!A238="","",IFERROR(4*STDEVP(終値!AS238:BL238)/AVERAGE(終値!AS238:BL238),""))</f>
        <v>0.1629554496251705</v>
      </c>
    </row>
    <row r="239" spans="1:42">
      <c r="A239" s="500" t="str">
        <f>IF(終値!A239="","",終値!A239)</f>
        <v>3984</v>
      </c>
      <c r="B239" s="503">
        <f>IF(終値!A239="","",IFERROR(4*STDEVP(終値!E239:X239)/AVERAGE(終値!E239:X239),""))</f>
        <v>5.1195804326358986E-2</v>
      </c>
      <c r="C239" s="503">
        <f>IF(終値!A239="","",IFERROR(4*STDEVP(終値!F239:Y239)/AVERAGE(終値!F239:Y239),""))</f>
        <v>5.0227925214949176E-2</v>
      </c>
      <c r="D239" s="503">
        <f>IF(終値!A239="","",IFERROR(4*STDEVP(終値!G239:Z239)/AVERAGE(終値!G239:Z239),""))</f>
        <v>5.936813811488361E-2</v>
      </c>
      <c r="E239" s="503">
        <f>IF(終値!A239="","",IFERROR(4*STDEVP(終値!H239:AA239)/AVERAGE(終値!H239:AA239),""))</f>
        <v>6.8853149482520914E-2</v>
      </c>
      <c r="F239" s="503">
        <f>IF(終値!A239="","",IFERROR(4*STDEVP(終値!I239:AB239)/AVERAGE(終値!I239:AB239),""))</f>
        <v>9.6010875618632141E-2</v>
      </c>
      <c r="G239" s="503">
        <f>IF(終値!A239="","",IFERROR(4*STDEVP(終値!J239:AC239)/AVERAGE(終値!J239:AC239),""))</f>
        <v>0.12733586536133282</v>
      </c>
      <c r="H239" s="503">
        <f>IF(終値!A239="","",IFERROR(4*STDEVP(終値!K239:AD239)/AVERAGE(終値!K239:AD239),""))</f>
        <v>0.15422474498361191</v>
      </c>
      <c r="I239" s="503">
        <f>IF(終値!A239="","",IFERROR(4*STDEVP(終値!L239:AE239)/AVERAGE(終値!L239:AE239),""))</f>
        <v>0.15923174937252471</v>
      </c>
      <c r="J239" s="503">
        <f>IF(終値!A239="","",IFERROR(4*STDEVP(終値!M239:AF239)/AVERAGE(終値!M239:AF239),""))</f>
        <v>0.15858461915723987</v>
      </c>
      <c r="K239" s="503">
        <f>IF(終値!A239="","",IFERROR(4*STDEVP(終値!N239:AG239)/AVERAGE(終値!N239:AG239),""))</f>
        <v>0.16085649461208762</v>
      </c>
      <c r="L239" s="503">
        <f>IF(終値!A239="","",IFERROR(4*STDEVP(終値!O239:AH239)/AVERAGE(終値!O239:AH239),""))</f>
        <v>0.15996740793594941</v>
      </c>
      <c r="M239" s="503">
        <f>IF(終値!A239="","",IFERROR(4*STDEVP(終値!P239:AI239)/AVERAGE(終値!P239:AI239),""))</f>
        <v>0.1584161151414073</v>
      </c>
      <c r="N239" s="503">
        <f>IF(終値!A239="","",IFERROR(4*STDEVP(終値!Q239:AJ239)/AVERAGE(終値!Q239:AJ239),""))</f>
        <v>0.16023104960441931</v>
      </c>
      <c r="O239" s="503">
        <f>IF(終値!A239="","",IFERROR(4*STDEVP(終値!R239:AK239)/AVERAGE(終値!R239:AK239),""))</f>
        <v>0.15663311415917408</v>
      </c>
      <c r="P239" s="503">
        <f>IF(終値!A239="","",IFERROR(4*STDEVP(終値!S239:AL239)/AVERAGE(終値!S239:AL239),""))</f>
        <v>0.15367939321996932</v>
      </c>
      <c r="Q239" s="503">
        <f>IF(終値!A239="","",IFERROR(4*STDEVP(終値!T239:AM239)/AVERAGE(終値!T239:AM239),""))</f>
        <v>0.1520007837471794</v>
      </c>
      <c r="R239" s="503">
        <f>IF(終値!A239="","",IFERROR(4*STDEVP(終値!U239:AN239)/AVERAGE(終値!U239:AN239),""))</f>
        <v>0.15003074042381503</v>
      </c>
      <c r="S239" s="503">
        <f>IF(終値!A239="","",IFERROR(4*STDEVP(終値!V239:AO239)/AVERAGE(終値!V239:AO239),""))</f>
        <v>0.15293083046727296</v>
      </c>
      <c r="T239" s="503">
        <f>IF(終値!A239="","",IFERROR(4*STDEVP(終値!W239:AP239)/AVERAGE(終値!W239:AP239),""))</f>
        <v>0.15456207181436246</v>
      </c>
      <c r="U239" s="503">
        <f>IF(終値!A239="","",IFERROR(4*STDEVP(終値!X239:AQ239)/AVERAGE(終値!X239:AQ239),""))</f>
        <v>0.15979432890463505</v>
      </c>
      <c r="V239" s="503">
        <f>IF(終値!A239="","",IFERROR(4*STDEVP(終値!Y239:AR239)/AVERAGE(終値!Y239:AR239),""))</f>
        <v>0.18088412765150422</v>
      </c>
      <c r="W239" s="503">
        <f>IF(終値!A239="","",IFERROR(4*STDEVP(終値!Z239:AS239)/AVERAGE(終値!Z239:AS239),""))</f>
        <v>0.18200941668327572</v>
      </c>
      <c r="X239" s="503">
        <f>IF(終値!A239="","",IFERROR(4*STDEVP(終値!AA239:AT239)/AVERAGE(終値!AA239:AT239),""))</f>
        <v>0.18492386391125518</v>
      </c>
      <c r="Y239" s="503">
        <f>IF(終値!A239="","",IFERROR(4*STDEVP(終値!AB239:AU239)/AVERAGE(終値!AB239:AU239),""))</f>
        <v>0.18665829221203864</v>
      </c>
      <c r="Z239" s="503">
        <f>IF(終値!A239="","",IFERROR(4*STDEVP(終値!AC239:AV239)/AVERAGE(終値!AC239:AV239),""))</f>
        <v>0.17851408916718642</v>
      </c>
      <c r="AA239" s="503">
        <f>IF(終値!A239="","",IFERROR(4*STDEVP(終値!AD239:AW239)/AVERAGE(終値!AD239:AW239),""))</f>
        <v>0.16627586960622942</v>
      </c>
      <c r="AB239" s="503">
        <f>IF(終値!A239="","",IFERROR(4*STDEVP(終値!AE239:AX239)/AVERAGE(終値!AE239:AX239),""))</f>
        <v>0.14320921815325563</v>
      </c>
      <c r="AC239" s="503">
        <f>IF(終値!A239="","",IFERROR(4*STDEVP(終値!AF239:AY239)/AVERAGE(終値!AF239:AY239),""))</f>
        <v>0.13184818396693557</v>
      </c>
      <c r="AD239" s="503">
        <f>IF(終値!A239="","",IFERROR(4*STDEVP(終値!AG239:AZ239)/AVERAGE(終値!AG239:AZ239),""))</f>
        <v>0.12341890628794831</v>
      </c>
      <c r="AE239" s="503">
        <f>IF(終値!A239="","",IFERROR(4*STDEVP(終値!AH239:BA239)/AVERAGE(終値!AH239:BA239),""))</f>
        <v>0.11464937044005831</v>
      </c>
      <c r="AF239" s="503">
        <f>IF(終値!A239="","",IFERROR(4*STDEVP(終値!AI239:BB239)/AVERAGE(終値!AI239:BB239),""))</f>
        <v>0.11576514735389914</v>
      </c>
      <c r="AG239" s="503">
        <f>IF(終値!A239="","",IFERROR(4*STDEVP(終値!AJ239:BC239)/AVERAGE(終値!AJ239:BC239),""))</f>
        <v>0.11637779140281969</v>
      </c>
      <c r="AH239" s="503">
        <f>IF(終値!A239="","",IFERROR(4*STDEVP(終値!AK239:BD239)/AVERAGE(終値!AK239:BD239),""))</f>
        <v>0.12017639271435637</v>
      </c>
      <c r="AI239" s="503">
        <f>IF(終値!A239="","",IFERROR(4*STDEVP(終値!AL239:BE239)/AVERAGE(終値!AL239:BE239),""))</f>
        <v>0.12351640384052581</v>
      </c>
      <c r="AJ239" s="503">
        <f>IF(終値!A239="","",IFERROR(4*STDEVP(終値!AM239:BF239)/AVERAGE(終値!AM239:BF239),""))</f>
        <v>0.12796429338351817</v>
      </c>
      <c r="AK239" s="503">
        <f>IF(終値!A239="","",IFERROR(4*STDEVP(終値!AN239:BG239)/AVERAGE(終値!AN239:BG239),""))</f>
        <v>0.12819404004378782</v>
      </c>
      <c r="AL239" s="503">
        <f>IF(終値!A239="","",IFERROR(4*STDEVP(終値!AO239:BH239)/AVERAGE(終値!AO239:BH239),""))</f>
        <v>0.12957931681025053</v>
      </c>
      <c r="AM239" s="503">
        <f>IF(終値!A239="","",IFERROR(4*STDEVP(終値!AP239:BI239)/AVERAGE(終値!AP239:BI239),""))</f>
        <v>0.13062821471943614</v>
      </c>
      <c r="AN239" s="503">
        <f>IF(終値!A239="","",IFERROR(4*STDEVP(終値!AQ239:BJ239)/AVERAGE(終値!AQ239:BJ239),""))</f>
        <v>0.13074542627041691</v>
      </c>
      <c r="AO239" s="503">
        <f>IF(終値!A239="","",IFERROR(4*STDEVP(終値!AR239:BK239)/AVERAGE(終値!AR239:BK239),""))</f>
        <v>0.1493333497594595</v>
      </c>
      <c r="AP239" s="503">
        <f>IF(終値!A239="","",IFERROR(4*STDEVP(終値!AS239:BL239)/AVERAGE(終値!AS239:BL239),""))</f>
        <v>0.16044995386356414</v>
      </c>
    </row>
    <row r="240" spans="1:42">
      <c r="A240" s="500" t="str">
        <f>IF(終値!A240="","",終値!A240)</f>
        <v>7609</v>
      </c>
      <c r="B240" s="503">
        <f>IF(終値!A240="","",IFERROR(4*STDEVP(終値!E240:X240)/AVERAGE(終値!E240:X240),""))</f>
        <v>0.25120757739027327</v>
      </c>
      <c r="C240" s="503">
        <f>IF(終値!A240="","",IFERROR(4*STDEVP(終値!F240:Y240)/AVERAGE(終値!F240:Y240),""))</f>
        <v>0.17796197169122638</v>
      </c>
      <c r="D240" s="503">
        <f>IF(終値!A240="","",IFERROR(4*STDEVP(終値!G240:Z240)/AVERAGE(終値!G240:Z240),""))</f>
        <v>0.18212446627142645</v>
      </c>
      <c r="E240" s="503">
        <f>IF(終値!A240="","",IFERROR(4*STDEVP(終値!H240:AA240)/AVERAGE(終値!H240:AA240),""))</f>
        <v>0.19979728898602758</v>
      </c>
      <c r="F240" s="503">
        <f>IF(終値!A240="","",IFERROR(4*STDEVP(終値!I240:AB240)/AVERAGE(終値!I240:AB240),""))</f>
        <v>0.18761930017548176</v>
      </c>
      <c r="G240" s="503">
        <f>IF(終値!A240="","",IFERROR(4*STDEVP(終値!J240:AC240)/AVERAGE(終値!J240:AC240),""))</f>
        <v>0.15589039657921935</v>
      </c>
      <c r="H240" s="503">
        <f>IF(終値!A240="","",IFERROR(4*STDEVP(終値!K240:AD240)/AVERAGE(終値!K240:AD240),""))</f>
        <v>0.15203949713062415</v>
      </c>
      <c r="I240" s="503">
        <f>IF(終値!A240="","",IFERROR(4*STDEVP(終値!L240:AE240)/AVERAGE(終値!L240:AE240),""))</f>
        <v>0.16502034968755047</v>
      </c>
      <c r="J240" s="503">
        <f>IF(終値!A240="","",IFERROR(4*STDEVP(終値!M240:AF240)/AVERAGE(終値!M240:AF240),""))</f>
        <v>0.1641553322097653</v>
      </c>
      <c r="K240" s="503">
        <f>IF(終値!A240="","",IFERROR(4*STDEVP(終値!N240:AG240)/AVERAGE(終値!N240:AG240),""))</f>
        <v>0.17115989354064831</v>
      </c>
      <c r="L240" s="503">
        <f>IF(終値!A240="","",IFERROR(4*STDEVP(終値!O240:AH240)/AVERAGE(終値!O240:AH240),""))</f>
        <v>0.19066833436085789</v>
      </c>
      <c r="M240" s="503">
        <f>IF(終値!A240="","",IFERROR(4*STDEVP(終値!P240:AI240)/AVERAGE(終値!P240:AI240),""))</f>
        <v>0.19513948268979645</v>
      </c>
      <c r="N240" s="503">
        <f>IF(終値!A240="","",IFERROR(4*STDEVP(終値!Q240:AJ240)/AVERAGE(終値!Q240:AJ240),""))</f>
        <v>0.18218315536812499</v>
      </c>
      <c r="O240" s="503">
        <f>IF(終値!A240="","",IFERROR(4*STDEVP(終値!R240:AK240)/AVERAGE(終値!R240:AK240),""))</f>
        <v>0.17787975388549915</v>
      </c>
      <c r="P240" s="503">
        <f>IF(終値!A240="","",IFERROR(4*STDEVP(終値!S240:AL240)/AVERAGE(終値!S240:AL240),""))</f>
        <v>0.16036279252118454</v>
      </c>
      <c r="Q240" s="503">
        <f>IF(終値!A240="","",IFERROR(4*STDEVP(終値!T240:AM240)/AVERAGE(終値!T240:AM240),""))</f>
        <v>0.14523074867078717</v>
      </c>
      <c r="R240" s="503">
        <f>IF(終値!A240="","",IFERROR(4*STDEVP(終値!U240:AN240)/AVERAGE(終値!U240:AN240),""))</f>
        <v>0.15151229669789937</v>
      </c>
      <c r="S240" s="503">
        <f>IF(終値!A240="","",IFERROR(4*STDEVP(終値!V240:AO240)/AVERAGE(終値!V240:AO240),""))</f>
        <v>0.15538529413439225</v>
      </c>
      <c r="T240" s="503">
        <f>IF(終値!A240="","",IFERROR(4*STDEVP(終値!W240:AP240)/AVERAGE(終値!W240:AP240),""))</f>
        <v>0.15295835357646786</v>
      </c>
      <c r="U240" s="503">
        <f>IF(終値!A240="","",IFERROR(4*STDEVP(終値!X240:AQ240)/AVERAGE(終値!X240:AQ240),""))</f>
        <v>0.15091363657644655</v>
      </c>
      <c r="V240" s="503">
        <f>IF(終値!A240="","",IFERROR(4*STDEVP(終値!Y240:AR240)/AVERAGE(終値!Y240:AR240),""))</f>
        <v>0.15235574903789176</v>
      </c>
      <c r="W240" s="503">
        <f>IF(終値!A240="","",IFERROR(4*STDEVP(終値!Z240:AS240)/AVERAGE(終値!Z240:AS240),""))</f>
        <v>0.15262272109945174</v>
      </c>
      <c r="X240" s="503">
        <f>IF(終値!A240="","",IFERROR(4*STDEVP(終値!AA240:AT240)/AVERAGE(終値!AA240:AT240),""))</f>
        <v>0.15219220343169701</v>
      </c>
      <c r="Y240" s="503">
        <f>IF(終値!A240="","",IFERROR(4*STDEVP(終値!AB240:AU240)/AVERAGE(終値!AB240:AU240),""))</f>
        <v>0.15250482847032754</v>
      </c>
      <c r="Z240" s="503">
        <f>IF(終値!A240="","",IFERROR(4*STDEVP(終値!AC240:AV240)/AVERAGE(終値!AC240:AV240),""))</f>
        <v>0.15467796973961839</v>
      </c>
      <c r="AA240" s="503">
        <f>IF(終値!A240="","",IFERROR(4*STDEVP(終値!AD240:AW240)/AVERAGE(終値!AD240:AW240),""))</f>
        <v>0.15785726391494848</v>
      </c>
      <c r="AB240" s="503">
        <f>IF(終値!A240="","",IFERROR(4*STDEVP(終値!AE240:AX240)/AVERAGE(終値!AE240:AX240),""))</f>
        <v>0.16022062796184813</v>
      </c>
      <c r="AC240" s="503">
        <f>IF(終値!A240="","",IFERROR(4*STDEVP(終値!AF240:AY240)/AVERAGE(終値!AF240:AY240),""))</f>
        <v>0.1552780115605803</v>
      </c>
      <c r="AD240" s="503">
        <f>IF(終値!A240="","",IFERROR(4*STDEVP(終値!AG240:AZ240)/AVERAGE(終値!AG240:AZ240),""))</f>
        <v>0.15505199617337753</v>
      </c>
      <c r="AE240" s="503">
        <f>IF(終値!A240="","",IFERROR(4*STDEVP(終値!AH240:BA240)/AVERAGE(終値!AH240:BA240),""))</f>
        <v>0.15388130298998159</v>
      </c>
      <c r="AF240" s="503">
        <f>IF(終値!A240="","",IFERROR(4*STDEVP(終値!AI240:BB240)/AVERAGE(終値!AI240:BB240),""))</f>
        <v>0.13698412141510272</v>
      </c>
      <c r="AG240" s="503">
        <f>IF(終値!A240="","",IFERROR(4*STDEVP(終値!AJ240:BC240)/AVERAGE(終値!AJ240:BC240),""))</f>
        <v>0.11537549311290439</v>
      </c>
      <c r="AH240" s="503">
        <f>IF(終値!A240="","",IFERROR(4*STDEVP(終値!AK240:BD240)/AVERAGE(終値!AK240:BD240),""))</f>
        <v>0.11867360358079812</v>
      </c>
      <c r="AI240" s="503">
        <f>IF(終値!A240="","",IFERROR(4*STDEVP(終値!AL240:BE240)/AVERAGE(終値!AL240:BE240),""))</f>
        <v>0.13096224315794863</v>
      </c>
      <c r="AJ240" s="503">
        <f>IF(終値!A240="","",IFERROR(4*STDEVP(終値!AM240:BF240)/AVERAGE(終値!AM240:BF240),""))</f>
        <v>0.15203696420822632</v>
      </c>
      <c r="AK240" s="503">
        <f>IF(終値!A240="","",IFERROR(4*STDEVP(終値!AN240:BG240)/AVERAGE(終値!AN240:BG240),""))</f>
        <v>0.16277467771748155</v>
      </c>
      <c r="AL240" s="503">
        <f>IF(終値!A240="","",IFERROR(4*STDEVP(終値!AO240:BH240)/AVERAGE(終値!AO240:BH240),""))</f>
        <v>0.1715877345531473</v>
      </c>
      <c r="AM240" s="503">
        <f>IF(終値!A240="","",IFERROR(4*STDEVP(終値!AP240:BI240)/AVERAGE(終値!AP240:BI240),""))</f>
        <v>0.17402818704697476</v>
      </c>
      <c r="AN240" s="503">
        <f>IF(終値!A240="","",IFERROR(4*STDEVP(終値!AQ240:BJ240)/AVERAGE(終値!AQ240:BJ240),""))</f>
        <v>0.16537851300453402</v>
      </c>
      <c r="AO240" s="503">
        <f>IF(終値!A240="","",IFERROR(4*STDEVP(終値!AR240:BK240)/AVERAGE(終値!AR240:BK240),""))</f>
        <v>0.17995215732460512</v>
      </c>
      <c r="AP240" s="503">
        <f>IF(終値!A240="","",IFERROR(4*STDEVP(終値!AS240:BL240)/AVERAGE(終値!AS240:BL240),""))</f>
        <v>0.22276979118145065</v>
      </c>
    </row>
    <row r="241" spans="1:42">
      <c r="A241" s="500" t="str">
        <f>IF(終値!A241="","",終値!A241)</f>
        <v>7972</v>
      </c>
      <c r="B241" s="503">
        <f>IF(終値!A241="","",IFERROR(4*STDEVP(終値!E241:X241)/AVERAGE(終値!E241:X241),""))</f>
        <v>7.1575475466328697E-2</v>
      </c>
      <c r="C241" s="503">
        <f>IF(終値!A241="","",IFERROR(4*STDEVP(終値!F241:Y241)/AVERAGE(終値!F241:Y241),""))</f>
        <v>8.0457535099990124E-2</v>
      </c>
      <c r="D241" s="503">
        <f>IF(終値!A241="","",IFERROR(4*STDEVP(終値!G241:Z241)/AVERAGE(終値!G241:Z241),""))</f>
        <v>9.9587640124423948E-2</v>
      </c>
      <c r="E241" s="503">
        <f>IF(終値!A241="","",IFERROR(4*STDEVP(終値!H241:AA241)/AVERAGE(終値!H241:AA241),""))</f>
        <v>0.11436671402671982</v>
      </c>
      <c r="F241" s="503">
        <f>IF(終値!A241="","",IFERROR(4*STDEVP(終値!I241:AB241)/AVERAGE(終値!I241:AB241),""))</f>
        <v>0.12430000992855617</v>
      </c>
      <c r="G241" s="503">
        <f>IF(終値!A241="","",IFERROR(4*STDEVP(終値!J241:AC241)/AVERAGE(終値!J241:AC241),""))</f>
        <v>0.12950390666897518</v>
      </c>
      <c r="H241" s="503">
        <f>IF(終値!A241="","",IFERROR(4*STDEVP(終値!K241:AD241)/AVERAGE(終値!K241:AD241),""))</f>
        <v>0.13497435639995436</v>
      </c>
      <c r="I241" s="503">
        <f>IF(終値!A241="","",IFERROR(4*STDEVP(終値!L241:AE241)/AVERAGE(終値!L241:AE241),""))</f>
        <v>0.14144210546554839</v>
      </c>
      <c r="J241" s="503">
        <f>IF(終値!A241="","",IFERROR(4*STDEVP(終値!M241:AF241)/AVERAGE(終値!M241:AF241),""))</f>
        <v>0.1525228820996074</v>
      </c>
      <c r="K241" s="503">
        <f>IF(終値!A241="","",IFERROR(4*STDEVP(終値!N241:AG241)/AVERAGE(終値!N241:AG241),""))</f>
        <v>0.16441959066818859</v>
      </c>
      <c r="L241" s="503">
        <f>IF(終値!A241="","",IFERROR(4*STDEVP(終値!O241:AH241)/AVERAGE(終値!O241:AH241),""))</f>
        <v>0.16788382945701993</v>
      </c>
      <c r="M241" s="503">
        <f>IF(終値!A241="","",IFERROR(4*STDEVP(終値!P241:AI241)/AVERAGE(終値!P241:AI241),""))</f>
        <v>0.17449736609078867</v>
      </c>
      <c r="N241" s="503">
        <f>IF(終値!A241="","",IFERROR(4*STDEVP(終値!Q241:AJ241)/AVERAGE(終値!Q241:AJ241),""))</f>
        <v>0.18866826255397443</v>
      </c>
      <c r="O241" s="503">
        <f>IF(終値!A241="","",IFERROR(4*STDEVP(終値!R241:AK241)/AVERAGE(終値!R241:AK241),""))</f>
        <v>0.19993717199953465</v>
      </c>
      <c r="P241" s="503">
        <f>IF(終値!A241="","",IFERROR(4*STDEVP(終値!S241:AL241)/AVERAGE(終値!S241:AL241),""))</f>
        <v>0.20470964928945024</v>
      </c>
      <c r="Q241" s="503">
        <f>IF(終値!A241="","",IFERROR(4*STDEVP(終値!T241:AM241)/AVERAGE(終値!T241:AM241),""))</f>
        <v>0.21264515930739342</v>
      </c>
      <c r="R241" s="503">
        <f>IF(終値!A241="","",IFERROR(4*STDEVP(終値!U241:AN241)/AVERAGE(終値!U241:AN241),""))</f>
        <v>0.21471332323392694</v>
      </c>
      <c r="S241" s="503">
        <f>IF(終値!A241="","",IFERROR(4*STDEVP(終値!V241:AO241)/AVERAGE(終値!V241:AO241),""))</f>
        <v>0.21027039719379115</v>
      </c>
      <c r="T241" s="503">
        <f>IF(終値!A241="","",IFERROR(4*STDEVP(終値!W241:AP241)/AVERAGE(終値!W241:AP241),""))</f>
        <v>0.19947259763091199</v>
      </c>
      <c r="U241" s="503">
        <f>IF(終値!A241="","",IFERROR(4*STDEVP(終値!X241:AQ241)/AVERAGE(終値!X241:AQ241),""))</f>
        <v>0.18008623244255367</v>
      </c>
      <c r="V241" s="503">
        <f>IF(終値!A241="","",IFERROR(4*STDEVP(終値!Y241:AR241)/AVERAGE(終値!Y241:AR241),""))</f>
        <v>0.15516999307857055</v>
      </c>
      <c r="W241" s="503">
        <f>IF(終値!A241="","",IFERROR(4*STDEVP(終値!Z241:AS241)/AVERAGE(終値!Z241:AS241),""))</f>
        <v>0.14812128794369531</v>
      </c>
      <c r="X241" s="503">
        <f>IF(終値!A241="","",IFERROR(4*STDEVP(終値!AA241:AT241)/AVERAGE(終値!AA241:AT241),""))</f>
        <v>0.14105566023616714</v>
      </c>
      <c r="Y241" s="503">
        <f>IF(終値!A241="","",IFERROR(4*STDEVP(終値!AB241:AU241)/AVERAGE(終値!AB241:AU241),""))</f>
        <v>0.13524071762470721</v>
      </c>
      <c r="Z241" s="503">
        <f>IF(終値!A241="","",IFERROR(4*STDEVP(終値!AC241:AV241)/AVERAGE(終値!AC241:AV241),""))</f>
        <v>0.12705387758082376</v>
      </c>
      <c r="AA241" s="503">
        <f>IF(終値!A241="","",IFERROR(4*STDEVP(終値!AD241:AW241)/AVERAGE(終値!AD241:AW241),""))</f>
        <v>0.11909880354063852</v>
      </c>
      <c r="AB241" s="503">
        <f>IF(終値!A241="","",IFERROR(4*STDEVP(終値!AE241:AX241)/AVERAGE(終値!AE241:AX241),""))</f>
        <v>0.13408210506584528</v>
      </c>
      <c r="AC241" s="503">
        <f>IF(終値!A241="","",IFERROR(4*STDEVP(終値!AF241:AY241)/AVERAGE(終値!AF241:AY241),""))</f>
        <v>0.13889323263242628</v>
      </c>
      <c r="AD241" s="503">
        <f>IF(終値!A241="","",IFERROR(4*STDEVP(終値!AG241:AZ241)/AVERAGE(終値!AG241:AZ241),""))</f>
        <v>0.14442044660035433</v>
      </c>
      <c r="AE241" s="503">
        <f>IF(終値!A241="","",IFERROR(4*STDEVP(終値!AH241:BA241)/AVERAGE(終値!AH241:BA241),""))</f>
        <v>0.14617831189166902</v>
      </c>
      <c r="AF241" s="503">
        <f>IF(終値!A241="","",IFERROR(4*STDEVP(終値!AI241:BB241)/AVERAGE(終値!AI241:BB241),""))</f>
        <v>0.15361499099121353</v>
      </c>
      <c r="AG241" s="503">
        <f>IF(終値!A241="","",IFERROR(4*STDEVP(終値!AJ241:BC241)/AVERAGE(終値!AJ241:BC241),""))</f>
        <v>0.16803739152854275</v>
      </c>
      <c r="AH241" s="503">
        <f>IF(終値!A241="","",IFERROR(4*STDEVP(終値!AK241:BD241)/AVERAGE(終値!AK241:BD241),""))</f>
        <v>0.1785818861015844</v>
      </c>
      <c r="AI241" s="503">
        <f>IF(終値!A241="","",IFERROR(4*STDEVP(終値!AL241:BE241)/AVERAGE(終値!AL241:BE241),""))</f>
        <v>0.18567823035276365</v>
      </c>
      <c r="AJ241" s="503">
        <f>IF(終値!A241="","",IFERROR(4*STDEVP(終値!AM241:BF241)/AVERAGE(終値!AM241:BF241),""))</f>
        <v>0.20046663525309308</v>
      </c>
      <c r="AK241" s="503">
        <f>IF(終値!A241="","",IFERROR(4*STDEVP(終値!AN241:BG241)/AVERAGE(終値!AN241:BG241),""))</f>
        <v>0.21149832035193472</v>
      </c>
      <c r="AL241" s="503">
        <f>IF(終値!A241="","",IFERROR(4*STDEVP(終値!AO241:BH241)/AVERAGE(終値!AO241:BH241),""))</f>
        <v>0.21616155469297502</v>
      </c>
      <c r="AM241" s="503">
        <f>IF(終値!A241="","",IFERROR(4*STDEVP(終値!AP241:BI241)/AVERAGE(終値!AP241:BI241),""))</f>
        <v>0.21271822510926944</v>
      </c>
      <c r="AN241" s="503">
        <f>IF(終値!A241="","",IFERROR(4*STDEVP(終値!AQ241:BJ241)/AVERAGE(終値!AQ241:BJ241),""))</f>
        <v>0.21887627437959795</v>
      </c>
      <c r="AO241" s="503">
        <f>IF(終値!A241="","",IFERROR(4*STDEVP(終値!AR241:BK241)/AVERAGE(終値!AR241:BK241),""))</f>
        <v>0.28406559792134833</v>
      </c>
      <c r="AP241" s="503">
        <f>IF(終値!A241="","",IFERROR(4*STDEVP(終値!AS241:BL241)/AVERAGE(終値!AS241:BL241),""))</f>
        <v>0.30750718545962646</v>
      </c>
    </row>
    <row r="242" spans="1:42">
      <c r="A242" s="500" t="str">
        <f>IF(終値!A242="","",終値!A242)</f>
        <v>6521</v>
      </c>
      <c r="B242" s="503">
        <f>IF(終値!A242="","",IFERROR(4*STDEVP(終値!E242:X242)/AVERAGE(終値!E242:X242),""))</f>
        <v>0.62726149031141976</v>
      </c>
      <c r="C242" s="503">
        <f>IF(終値!A242="","",IFERROR(4*STDEVP(終値!F242:Y242)/AVERAGE(終値!F242:Y242),""))</f>
        <v>0.65310146950565018</v>
      </c>
      <c r="D242" s="503">
        <f>IF(終値!A242="","",IFERROR(4*STDEVP(終値!G242:Z242)/AVERAGE(終値!G242:Z242),""))</f>
        <v>0.6471667276041404</v>
      </c>
      <c r="E242" s="503">
        <f>IF(終値!A242="","",IFERROR(4*STDEVP(終値!H242:AA242)/AVERAGE(終値!H242:AA242),""))</f>
        <v>0.63601008630005529</v>
      </c>
      <c r="F242" s="503">
        <f>IF(終値!A242="","",IFERROR(4*STDEVP(終値!I242:AB242)/AVERAGE(終値!I242:AB242),""))</f>
        <v>0.60036170646967157</v>
      </c>
      <c r="G242" s="503">
        <f>IF(終値!A242="","",IFERROR(4*STDEVP(終値!J242:AC242)/AVERAGE(終値!J242:AC242),""))</f>
        <v>0.55456304547840696</v>
      </c>
      <c r="H242" s="503">
        <f>IF(終値!A242="","",IFERROR(4*STDEVP(終値!K242:AD242)/AVERAGE(終値!K242:AD242),""))</f>
        <v>0.51258993846251333</v>
      </c>
      <c r="I242" s="503">
        <f>IF(終値!A242="","",IFERROR(4*STDEVP(終値!L242:AE242)/AVERAGE(終値!L242:AE242),""))</f>
        <v>0.51223474663782365</v>
      </c>
      <c r="J242" s="503">
        <f>IF(終値!A242="","",IFERROR(4*STDEVP(終値!M242:AF242)/AVERAGE(終値!M242:AF242),""))</f>
        <v>0.50225233237143552</v>
      </c>
      <c r="K242" s="503">
        <f>IF(終値!A242="","",IFERROR(4*STDEVP(終値!N242:AG242)/AVERAGE(終値!N242:AG242),""))</f>
        <v>0.47631457186760623</v>
      </c>
      <c r="L242" s="503">
        <f>IF(終値!A242="","",IFERROR(4*STDEVP(終値!O242:AH242)/AVERAGE(終値!O242:AH242),""))</f>
        <v>0.44860127090826241</v>
      </c>
      <c r="M242" s="503">
        <f>IF(終値!A242="","",IFERROR(4*STDEVP(終値!P242:AI242)/AVERAGE(終値!P242:AI242),""))</f>
        <v>0.41071846245269489</v>
      </c>
      <c r="N242" s="503">
        <f>IF(終値!A242="","",IFERROR(4*STDEVP(終値!Q242:AJ242)/AVERAGE(終値!Q242:AJ242),""))</f>
        <v>0.34073163654737287</v>
      </c>
      <c r="O242" s="503">
        <f>IF(終値!A242="","",IFERROR(4*STDEVP(終値!R242:AK242)/AVERAGE(終値!R242:AK242),""))</f>
        <v>0.31922529311093445</v>
      </c>
      <c r="P242" s="503">
        <f>IF(終値!A242="","",IFERROR(4*STDEVP(終値!S242:AL242)/AVERAGE(終値!S242:AL242),""))</f>
        <v>0.27878324018864298</v>
      </c>
      <c r="Q242" s="503">
        <f>IF(終値!A242="","",IFERROR(4*STDEVP(終値!T242:AM242)/AVERAGE(終値!T242:AM242),""))</f>
        <v>0.26570589604470479</v>
      </c>
      <c r="R242" s="503">
        <f>IF(終値!A242="","",IFERROR(4*STDEVP(終値!U242:AN242)/AVERAGE(終値!U242:AN242),""))</f>
        <v>0.26127100041953899</v>
      </c>
      <c r="S242" s="503">
        <f>IF(終値!A242="","",IFERROR(4*STDEVP(終値!V242:AO242)/AVERAGE(終値!V242:AO242),""))</f>
        <v>0.24938203585517615</v>
      </c>
      <c r="T242" s="503">
        <f>IF(終値!A242="","",IFERROR(4*STDEVP(終値!W242:AP242)/AVERAGE(終値!W242:AP242),""))</f>
        <v>0.22273352062004664</v>
      </c>
      <c r="U242" s="503">
        <f>IF(終値!A242="","",IFERROR(4*STDEVP(終値!X242:AQ242)/AVERAGE(終値!X242:AQ242),""))</f>
        <v>0.20405644353032787</v>
      </c>
      <c r="V242" s="503">
        <f>IF(終値!A242="","",IFERROR(4*STDEVP(終値!Y242:AR242)/AVERAGE(終値!Y242:AR242),""))</f>
        <v>0.2097698876637934</v>
      </c>
      <c r="W242" s="503">
        <f>IF(終値!A242="","",IFERROR(4*STDEVP(終値!Z242:AS242)/AVERAGE(終値!Z242:AS242),""))</f>
        <v>0.20882022607306999</v>
      </c>
      <c r="X242" s="503">
        <f>IF(終値!A242="","",IFERROR(4*STDEVP(終値!AA242:AT242)/AVERAGE(終値!AA242:AT242),""))</f>
        <v>0.21045648308647072</v>
      </c>
      <c r="Y242" s="503">
        <f>IF(終値!A242="","",IFERROR(4*STDEVP(終値!AB242:AU242)/AVERAGE(終値!AB242:AU242),""))</f>
        <v>0.20890174761235653</v>
      </c>
      <c r="Z242" s="503">
        <f>IF(終値!A242="","",IFERROR(4*STDEVP(終値!AC242:AV242)/AVERAGE(終値!AC242:AV242),""))</f>
        <v>0.2318280152848313</v>
      </c>
      <c r="AA242" s="503">
        <f>IF(終値!A242="","",IFERROR(4*STDEVP(終値!AD242:AW242)/AVERAGE(終値!AD242:AW242),""))</f>
        <v>0.28501292983001647</v>
      </c>
      <c r="AB242" s="503">
        <f>IF(終値!A242="","",IFERROR(4*STDEVP(終値!AE242:AX242)/AVERAGE(終値!AE242:AX242),""))</f>
        <v>0.30319119836450564</v>
      </c>
      <c r="AC242" s="503">
        <f>IF(終値!A242="","",IFERROR(4*STDEVP(終値!AF242:AY242)/AVERAGE(終値!AF242:AY242),""))</f>
        <v>0.35907013201038523</v>
      </c>
      <c r="AD242" s="503">
        <f>IF(終値!A242="","",IFERROR(4*STDEVP(終値!AG242:AZ242)/AVERAGE(終値!AG242:AZ242),""))</f>
        <v>0.42839817743779979</v>
      </c>
      <c r="AE242" s="503">
        <f>IF(終値!A242="","",IFERROR(4*STDEVP(終値!AH242:BA242)/AVERAGE(終値!AH242:BA242),""))</f>
        <v>0.43169631470106096</v>
      </c>
      <c r="AF242" s="503">
        <f>IF(終値!A242="","",IFERROR(4*STDEVP(終値!AI242:BB242)/AVERAGE(終値!AI242:BB242),""))</f>
        <v>0.44365916256400534</v>
      </c>
      <c r="AG242" s="503">
        <f>IF(終値!A242="","",IFERROR(4*STDEVP(終値!AJ242:BC242)/AVERAGE(終値!AJ242:BC242),""))</f>
        <v>0.45434175088581419</v>
      </c>
      <c r="AH242" s="503">
        <f>IF(終値!A242="","",IFERROR(4*STDEVP(終値!AK242:BD242)/AVERAGE(終値!AK242:BD242),""))</f>
        <v>0.50798827243420241</v>
      </c>
      <c r="AI242" s="503">
        <f>IF(終値!A242="","",IFERROR(4*STDEVP(終値!AL242:BE242)/AVERAGE(終値!AL242:BE242),""))</f>
        <v>0.50904291346295127</v>
      </c>
      <c r="AJ242" s="503">
        <f>IF(終値!A242="","",IFERROR(4*STDEVP(終値!AM242:BF242)/AVERAGE(終値!AM242:BF242),""))</f>
        <v>0.51740757300864004</v>
      </c>
      <c r="AK242" s="503">
        <f>IF(終値!A242="","",IFERROR(4*STDEVP(終値!AN242:BG242)/AVERAGE(終値!AN242:BG242),""))</f>
        <v>0.50115957665359967</v>
      </c>
      <c r="AL242" s="503">
        <f>IF(終値!A242="","",IFERROR(4*STDEVP(終値!AO242:BH242)/AVERAGE(終値!AO242:BH242),""))</f>
        <v>0.47856459519056299</v>
      </c>
      <c r="AM242" s="503">
        <f>IF(終値!A242="","",IFERROR(4*STDEVP(終値!AP242:BI242)/AVERAGE(終値!AP242:BI242),""))</f>
        <v>0.44810854946510847</v>
      </c>
      <c r="AN242" s="503">
        <f>IF(終値!A242="","",IFERROR(4*STDEVP(終値!AQ242:BJ242)/AVERAGE(終値!AQ242:BJ242),""))</f>
        <v>0.39983303568287842</v>
      </c>
      <c r="AO242" s="503">
        <f>IF(終値!A242="","",IFERROR(4*STDEVP(終値!AR242:BK242)/AVERAGE(終値!AR242:BK242),""))</f>
        <v>0.37829881664318837</v>
      </c>
      <c r="AP242" s="503">
        <f>IF(終値!A242="","",IFERROR(4*STDEVP(終値!AS242:BL242)/AVERAGE(終値!AS242:BL242),""))</f>
        <v>0.40500857884846952</v>
      </c>
    </row>
    <row r="243" spans="1:42">
      <c r="A243" s="500" t="str">
        <f>IF(終値!A243="","",終値!A243)</f>
        <v>9165</v>
      </c>
      <c r="B243" s="503">
        <f>IF(終値!A243="","",IFERROR(4*STDEVP(終値!E243:X243)/AVERAGE(終値!E243:X243),""))</f>
        <v>4.9054181994026273E-2</v>
      </c>
      <c r="C243" s="503">
        <f>IF(終値!A243="","",IFERROR(4*STDEVP(終値!F243:Y243)/AVERAGE(終値!F243:Y243),""))</f>
        <v>5.3287728434140438E-2</v>
      </c>
      <c r="D243" s="503">
        <f>IF(終値!A243="","",IFERROR(4*STDEVP(終値!G243:Z243)/AVERAGE(終値!G243:Z243),""))</f>
        <v>5.2857975645262616E-2</v>
      </c>
      <c r="E243" s="503">
        <f>IF(終値!A243="","",IFERROR(4*STDEVP(終値!H243:AA243)/AVERAGE(終値!H243:AA243),""))</f>
        <v>5.4287605375129278E-2</v>
      </c>
      <c r="F243" s="503">
        <f>IF(終値!A243="","",IFERROR(4*STDEVP(終値!I243:AB243)/AVERAGE(終値!I243:AB243),""))</f>
        <v>5.7269682062986542E-2</v>
      </c>
      <c r="G243" s="503">
        <f>IF(終値!A243="","",IFERROR(4*STDEVP(終値!J243:AC243)/AVERAGE(終値!J243:AC243),""))</f>
        <v>6.1507807853709004E-2</v>
      </c>
      <c r="H243" s="503">
        <f>IF(終値!A243="","",IFERROR(4*STDEVP(終値!K243:AD243)/AVERAGE(終値!K243:AD243),""))</f>
        <v>5.8795689401081729E-2</v>
      </c>
      <c r="I243" s="503">
        <f>IF(終値!A243="","",IFERROR(4*STDEVP(終値!L243:AE243)/AVERAGE(終値!L243:AE243),""))</f>
        <v>5.8390361184265778E-2</v>
      </c>
      <c r="J243" s="503">
        <f>IF(終値!A243="","",IFERROR(4*STDEVP(終値!M243:AF243)/AVERAGE(終値!M243:AF243),""))</f>
        <v>5.6074974150700903E-2</v>
      </c>
      <c r="K243" s="503">
        <f>IF(終値!A243="","",IFERROR(4*STDEVP(終値!N243:AG243)/AVERAGE(終値!N243:AG243),""))</f>
        <v>5.7304808406179679E-2</v>
      </c>
      <c r="L243" s="503">
        <f>IF(終値!A243="","",IFERROR(4*STDEVP(終値!O243:AH243)/AVERAGE(終値!O243:AH243),""))</f>
        <v>6.3725253712322447E-2</v>
      </c>
      <c r="M243" s="503">
        <f>IF(終値!A243="","",IFERROR(4*STDEVP(終値!P243:AI243)/AVERAGE(終値!P243:AI243),""))</f>
        <v>6.6383010233854345E-2</v>
      </c>
      <c r="N243" s="503">
        <f>IF(終値!A243="","",IFERROR(4*STDEVP(終値!Q243:AJ243)/AVERAGE(終値!Q243:AJ243),""))</f>
        <v>6.415768334138347E-2</v>
      </c>
      <c r="O243" s="503">
        <f>IF(終値!A243="","",IFERROR(4*STDEVP(終値!R243:AK243)/AVERAGE(終値!R243:AK243),""))</f>
        <v>6.8276585054263123E-2</v>
      </c>
      <c r="P243" s="503">
        <f>IF(終値!A243="","",IFERROR(4*STDEVP(終値!S243:AL243)/AVERAGE(終値!S243:AL243),""))</f>
        <v>6.8276585054263123E-2</v>
      </c>
      <c r="Q243" s="503">
        <f>IF(終値!A243="","",IFERROR(4*STDEVP(終値!T243:AM243)/AVERAGE(終値!T243:AM243),""))</f>
        <v>7.0238331871866691E-2</v>
      </c>
      <c r="R243" s="503">
        <f>IF(終値!A243="","",IFERROR(4*STDEVP(終値!U243:AN243)/AVERAGE(終値!U243:AN243),""))</f>
        <v>7.0034394517434942E-2</v>
      </c>
      <c r="S243" s="503">
        <f>IF(終値!A243="","",IFERROR(4*STDEVP(終値!V243:AO243)/AVERAGE(終値!V243:AO243),""))</f>
        <v>7.2586086560340282E-2</v>
      </c>
      <c r="T243" s="503">
        <f>IF(終値!A243="","",IFERROR(4*STDEVP(終値!W243:AP243)/AVERAGE(終値!W243:AP243),""))</f>
        <v>7.320317107179887E-2</v>
      </c>
      <c r="U243" s="503">
        <f>IF(終値!A243="","",IFERROR(4*STDEVP(終値!X243:AQ243)/AVERAGE(終値!X243:AQ243),""))</f>
        <v>7.183143967476753E-2</v>
      </c>
      <c r="V243" s="503">
        <f>IF(終値!A243="","",IFERROR(4*STDEVP(終値!Y243:AR243)/AVERAGE(終値!Y243:AR243),""))</f>
        <v>9.1742681286564584E-2</v>
      </c>
      <c r="W243" s="503">
        <f>IF(終値!A243="","",IFERROR(4*STDEVP(終値!Z243:AS243)/AVERAGE(終値!Z243:AS243),""))</f>
        <v>9.5672933786377326E-2</v>
      </c>
      <c r="X243" s="503">
        <f>IF(終値!A243="","",IFERROR(4*STDEVP(終値!AA243:AT243)/AVERAGE(終値!AA243:AT243),""))</f>
        <v>0.10279921303487649</v>
      </c>
      <c r="Y243" s="503">
        <f>IF(終値!A243="","",IFERROR(4*STDEVP(終値!AB243:AU243)/AVERAGE(終値!AB243:AU243),""))</f>
        <v>0.10427096586063113</v>
      </c>
      <c r="Z243" s="503">
        <f>IF(終値!A243="","",IFERROR(4*STDEVP(終値!AC243:AV243)/AVERAGE(終値!AC243:AV243),""))</f>
        <v>0.12218357746749411</v>
      </c>
      <c r="AA243" s="503">
        <f>IF(終値!A243="","",IFERROR(4*STDEVP(終値!AD243:AW243)/AVERAGE(終値!AD243:AW243),""))</f>
        <v>0.13125423762508193</v>
      </c>
      <c r="AB243" s="503">
        <f>IF(終値!A243="","",IFERROR(4*STDEVP(終値!AE243:AX243)/AVERAGE(終値!AE243:AX243),""))</f>
        <v>0.16046501671118732</v>
      </c>
      <c r="AC243" s="503">
        <f>IF(終値!A243="","",IFERROR(4*STDEVP(終値!AF243:AY243)/AVERAGE(終値!AF243:AY243),""))</f>
        <v>0.26189747667464242</v>
      </c>
      <c r="AD243" s="503">
        <f>IF(終値!A243="","",IFERROR(4*STDEVP(終値!AG243:AZ243)/AVERAGE(終値!AG243:AZ243),""))</f>
        <v>0.27854178007412927</v>
      </c>
      <c r="AE243" s="503">
        <f>IF(終値!A243="","",IFERROR(4*STDEVP(終値!AH243:BA243)/AVERAGE(終値!AH243:BA243),""))</f>
        <v>0.27905979278974369</v>
      </c>
      <c r="AF243" s="503">
        <f>IF(終値!A243="","",IFERROR(4*STDEVP(終値!AI243:BB243)/AVERAGE(終値!AI243:BB243),""))</f>
        <v>0.27896655037741835</v>
      </c>
      <c r="AG243" s="503">
        <f>IF(終値!A243="","",IFERROR(4*STDEVP(終値!AJ243:BC243)/AVERAGE(終値!AJ243:BC243),""))</f>
        <v>0.27290484418993566</v>
      </c>
      <c r="AH243" s="503">
        <f>IF(終値!A243="","",IFERROR(4*STDEVP(終値!AK243:BD243)/AVERAGE(終値!AK243:BD243),""))</f>
        <v>0.26905927240299959</v>
      </c>
      <c r="AI243" s="503">
        <f>IF(終値!A243="","",IFERROR(4*STDEVP(終値!AL243:BE243)/AVERAGE(終値!AL243:BE243),""))</f>
        <v>0.27003570319748643</v>
      </c>
      <c r="AJ243" s="503">
        <f>IF(終値!A243="","",IFERROR(4*STDEVP(終値!AM243:BF243)/AVERAGE(終値!AM243:BF243),""))</f>
        <v>0.26849738166138193</v>
      </c>
      <c r="AK243" s="503">
        <f>IF(終値!A243="","",IFERROR(4*STDEVP(終値!AN243:BG243)/AVERAGE(終値!AN243:BG243),""))</f>
        <v>0.26267246208215023</v>
      </c>
      <c r="AL243" s="503">
        <f>IF(終値!A243="","",IFERROR(4*STDEVP(終値!AO243:BH243)/AVERAGE(終値!AO243:BH243),""))</f>
        <v>0.25818874082350279</v>
      </c>
      <c r="AM243" s="503">
        <f>IF(終値!A243="","",IFERROR(4*STDEVP(終値!AP243:BI243)/AVERAGE(終値!AP243:BI243),""))</f>
        <v>0.24736951080987782</v>
      </c>
      <c r="AN243" s="503">
        <f>IF(終値!A243="","",IFERROR(4*STDEVP(終値!AQ243:BJ243)/AVERAGE(終値!AQ243:BJ243),""))</f>
        <v>0.23957717265800269</v>
      </c>
      <c r="AO243" s="503">
        <f>IF(終値!A243="","",IFERROR(4*STDEVP(終値!AR243:BK243)/AVERAGE(終値!AR243:BK243),""))</f>
        <v>0.25834159408090751</v>
      </c>
      <c r="AP243" s="503">
        <f>IF(終値!A243="","",IFERROR(4*STDEVP(終値!AS243:BL243)/AVERAGE(終値!AS243:BL243),""))</f>
        <v>0.30741952624573055</v>
      </c>
    </row>
    <row r="244" spans="1:42">
      <c r="A244" s="500" t="str">
        <f>IF(終値!A244="","",終値!A244)</f>
        <v>6902</v>
      </c>
      <c r="B244" s="503">
        <f>IF(終値!A244="","",IFERROR(4*STDEVP(終値!E244:X244)/AVERAGE(終値!E244:X244),""))</f>
        <v>0.16487561872318049</v>
      </c>
      <c r="C244" s="503">
        <f>IF(終値!A244="","",IFERROR(4*STDEVP(終値!F244:Y244)/AVERAGE(終値!F244:Y244),""))</f>
        <v>0.15887731946481426</v>
      </c>
      <c r="D244" s="503">
        <f>IF(終値!A244="","",IFERROR(4*STDEVP(終値!G244:Z244)/AVERAGE(終値!G244:Z244),""))</f>
        <v>0.15848654717191885</v>
      </c>
      <c r="E244" s="503">
        <f>IF(終値!A244="","",IFERROR(4*STDEVP(終値!H244:AA244)/AVERAGE(終値!H244:AA244),""))</f>
        <v>0.16778992577022561</v>
      </c>
      <c r="F244" s="503">
        <f>IF(終値!A244="","",IFERROR(4*STDEVP(終値!I244:AB244)/AVERAGE(終値!I244:AB244),""))</f>
        <v>0.14668446077550196</v>
      </c>
      <c r="G244" s="503">
        <f>IF(終値!A244="","",IFERROR(4*STDEVP(終値!J244:AC244)/AVERAGE(終値!J244:AC244),""))</f>
        <v>0.10511079170104898</v>
      </c>
      <c r="H244" s="503">
        <f>IF(終値!A244="","",IFERROR(4*STDEVP(終値!K244:AD244)/AVERAGE(終値!K244:AD244),""))</f>
        <v>9.5618323692379964E-2</v>
      </c>
      <c r="I244" s="503">
        <f>IF(終値!A244="","",IFERROR(4*STDEVP(終値!L244:AE244)/AVERAGE(終値!L244:AE244),""))</f>
        <v>8.9620944668856201E-2</v>
      </c>
      <c r="J244" s="503">
        <f>IF(終値!A244="","",IFERROR(4*STDEVP(終値!M244:AF244)/AVERAGE(終値!M244:AF244),""))</f>
        <v>9.312896492530387E-2</v>
      </c>
      <c r="K244" s="503">
        <f>IF(終値!A244="","",IFERROR(4*STDEVP(終値!N244:AG244)/AVERAGE(終値!N244:AG244),""))</f>
        <v>9.1281032436282883E-2</v>
      </c>
      <c r="L244" s="503">
        <f>IF(終値!A244="","",IFERROR(4*STDEVP(終値!O244:AH244)/AVERAGE(終値!O244:AH244),""))</f>
        <v>8.7979163812974284E-2</v>
      </c>
      <c r="M244" s="503">
        <f>IF(終値!A244="","",IFERROR(4*STDEVP(終値!P244:AI244)/AVERAGE(終値!P244:AI244),""))</f>
        <v>8.220010238365337E-2</v>
      </c>
      <c r="N244" s="503">
        <f>IF(終値!A244="","",IFERROR(4*STDEVP(終値!Q244:AJ244)/AVERAGE(終値!Q244:AJ244),""))</f>
        <v>7.9804868411097865E-2</v>
      </c>
      <c r="O244" s="503">
        <f>IF(終値!A244="","",IFERROR(4*STDEVP(終値!R244:AK244)/AVERAGE(終値!R244:AK244),""))</f>
        <v>7.7971202425587471E-2</v>
      </c>
      <c r="P244" s="503">
        <f>IF(終値!A244="","",IFERROR(4*STDEVP(終値!S244:AL244)/AVERAGE(終値!S244:AL244),""))</f>
        <v>7.7624212109179941E-2</v>
      </c>
      <c r="Q244" s="503">
        <f>IF(終値!A244="","",IFERROR(4*STDEVP(終値!T244:AM244)/AVERAGE(終値!T244:AM244),""))</f>
        <v>7.7476524563129839E-2</v>
      </c>
      <c r="R244" s="503">
        <f>IF(終値!A244="","",IFERROR(4*STDEVP(終値!U244:AN244)/AVERAGE(終値!U244:AN244),""))</f>
        <v>8.1225436633103013E-2</v>
      </c>
      <c r="S244" s="503">
        <f>IF(終値!A244="","",IFERROR(4*STDEVP(終値!V244:AO244)/AVERAGE(終値!V244:AO244),""))</f>
        <v>8.74137924949005E-2</v>
      </c>
      <c r="T244" s="503">
        <f>IF(終値!A244="","",IFERROR(4*STDEVP(終値!W244:AP244)/AVERAGE(終値!W244:AP244),""))</f>
        <v>8.5652979683987815E-2</v>
      </c>
      <c r="U244" s="503">
        <f>IF(終値!A244="","",IFERROR(4*STDEVP(終値!X244:AQ244)/AVERAGE(終値!X244:AQ244),""))</f>
        <v>7.5493528924702083E-2</v>
      </c>
      <c r="V244" s="503">
        <f>IF(終値!A244="","",IFERROR(4*STDEVP(終値!Y244:AR244)/AVERAGE(終値!Y244:AR244),""))</f>
        <v>5.9776477996796959E-2</v>
      </c>
      <c r="W244" s="503">
        <f>IF(終値!A244="","",IFERROR(4*STDEVP(終値!Z244:AS244)/AVERAGE(終値!Z244:AS244),""))</f>
        <v>5.176085843579608E-2</v>
      </c>
      <c r="X244" s="503">
        <f>IF(終値!A244="","",IFERROR(4*STDEVP(終値!AA244:AT244)/AVERAGE(終値!AA244:AT244),""))</f>
        <v>5.0604740350591162E-2</v>
      </c>
      <c r="Y244" s="503">
        <f>IF(終値!A244="","",IFERROR(4*STDEVP(終値!AB244:AU244)/AVERAGE(終値!AB244:AU244),""))</f>
        <v>5.0862549535031686E-2</v>
      </c>
      <c r="Z244" s="503">
        <f>IF(終値!A244="","",IFERROR(4*STDEVP(終値!AC244:AV244)/AVERAGE(終値!AC244:AV244),""))</f>
        <v>5.1261940299214402E-2</v>
      </c>
      <c r="AA244" s="503">
        <f>IF(終値!A244="","",IFERROR(4*STDEVP(終値!AD244:AW244)/AVERAGE(終値!AD244:AW244),""))</f>
        <v>5.1287376040408131E-2</v>
      </c>
      <c r="AB244" s="503">
        <f>IF(終値!A244="","",IFERROR(4*STDEVP(終値!AE244:AX244)/AVERAGE(終値!AE244:AX244),""))</f>
        <v>5.0787026012125147E-2</v>
      </c>
      <c r="AC244" s="503">
        <f>IF(終値!A244="","",IFERROR(4*STDEVP(終値!AF244:AY244)/AVERAGE(終値!AF244:AY244),""))</f>
        <v>5.4893964966572499E-2</v>
      </c>
      <c r="AD244" s="503">
        <f>IF(終値!A244="","",IFERROR(4*STDEVP(終値!AG244:AZ244)/AVERAGE(終値!AG244:AZ244),""))</f>
        <v>5.989724061137585E-2</v>
      </c>
      <c r="AE244" s="503">
        <f>IF(終値!A244="","",IFERROR(4*STDEVP(終値!AH244:BA244)/AVERAGE(終値!AH244:BA244),""))</f>
        <v>6.2390706382425373E-2</v>
      </c>
      <c r="AF244" s="503">
        <f>IF(終値!A244="","",IFERROR(4*STDEVP(終値!AI244:BB244)/AVERAGE(終値!AI244:BB244),""))</f>
        <v>6.6510250396491041E-2</v>
      </c>
      <c r="AG244" s="503">
        <f>IF(終値!A244="","",IFERROR(4*STDEVP(終値!AJ244:BC244)/AVERAGE(終値!AJ244:BC244),""))</f>
        <v>6.6815640483312164E-2</v>
      </c>
      <c r="AH244" s="503">
        <f>IF(終値!A244="","",IFERROR(4*STDEVP(終値!AK244:BD244)/AVERAGE(終値!AK244:BD244),""))</f>
        <v>6.4138916191167156E-2</v>
      </c>
      <c r="AI244" s="503">
        <f>IF(終値!A244="","",IFERROR(4*STDEVP(終値!AL244:BE244)/AVERAGE(終値!AL244:BE244),""))</f>
        <v>6.9064469321004823E-2</v>
      </c>
      <c r="AJ244" s="503">
        <f>IF(終値!A244="","",IFERROR(4*STDEVP(終値!AM244:BF244)/AVERAGE(終値!AM244:BF244),""))</f>
        <v>6.8711980567585221E-2</v>
      </c>
      <c r="AK244" s="503">
        <f>IF(終値!A244="","",IFERROR(4*STDEVP(終値!AN244:BG244)/AVERAGE(終値!AN244:BG244),""))</f>
        <v>6.9889483173177072E-2</v>
      </c>
      <c r="AL244" s="503">
        <f>IF(終値!A244="","",IFERROR(4*STDEVP(終値!AO244:BH244)/AVERAGE(終値!AO244:BH244),""))</f>
        <v>6.8917422208548185E-2</v>
      </c>
      <c r="AM244" s="503">
        <f>IF(終値!A244="","",IFERROR(4*STDEVP(終値!AP244:BI244)/AVERAGE(終値!AP244:BI244),""))</f>
        <v>6.5418998848848109E-2</v>
      </c>
      <c r="AN244" s="503">
        <f>IF(終値!A244="","",IFERROR(4*STDEVP(終値!AQ244:BJ244)/AVERAGE(終値!AQ244:BJ244),""))</f>
        <v>6.7731524683068867E-2</v>
      </c>
      <c r="AO244" s="503">
        <f>IF(終値!A244="","",IFERROR(4*STDEVP(終値!AR244:BK244)/AVERAGE(終値!AR244:BK244),""))</f>
        <v>6.8667135844482349E-2</v>
      </c>
      <c r="AP244" s="503">
        <f>IF(終値!A244="","",IFERROR(4*STDEVP(終値!AS244:BL244)/AVERAGE(終値!AS244:BL244),""))</f>
        <v>6.887500447075115E-2</v>
      </c>
    </row>
    <row r="245" spans="1:42">
      <c r="A245" s="500" t="str">
        <f>IF(終値!A245="","",終値!A245)</f>
        <v>3936</v>
      </c>
      <c r="B245" s="503" t="str">
        <f>IF(終値!A245="","",IFERROR(4*STDEVP(終値!E245:X245)/AVERAGE(終値!E245:X245),""))</f>
        <v/>
      </c>
      <c r="C245" s="503" t="str">
        <f>IF(終値!A245="","",IFERROR(4*STDEVP(終値!F245:Y245)/AVERAGE(終値!F245:Y245),""))</f>
        <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0.33916132603905208</v>
      </c>
      <c r="C246" s="503">
        <f>IF(終値!A246="","",IFERROR(4*STDEVP(終値!F246:Y246)/AVERAGE(終値!F246:Y246),""))</f>
        <v>0.35007357892647223</v>
      </c>
      <c r="D246" s="503">
        <f>IF(終値!A246="","",IFERROR(4*STDEVP(終値!G246:Z246)/AVERAGE(終値!G246:Z246),""))</f>
        <v>0.35234686968591006</v>
      </c>
      <c r="E246" s="503">
        <f>IF(終値!A246="","",IFERROR(4*STDEVP(終値!H246:AA246)/AVERAGE(終値!H246:AA246),""))</f>
        <v>0.35308144560128213</v>
      </c>
      <c r="F246" s="503">
        <f>IF(終値!A246="","",IFERROR(4*STDEVP(終値!I246:AB246)/AVERAGE(終値!I246:AB246),""))</f>
        <v>0.33751216186306499</v>
      </c>
      <c r="G246" s="503">
        <f>IF(終値!A246="","",IFERROR(4*STDEVP(終値!J246:AC246)/AVERAGE(終値!J246:AC246),""))</f>
        <v>0.29750331534360491</v>
      </c>
      <c r="H246" s="503">
        <f>IF(終値!A246="","",IFERROR(4*STDEVP(終値!K246:AD246)/AVERAGE(終値!K246:AD246),""))</f>
        <v>0.27940238163018705</v>
      </c>
      <c r="I246" s="503">
        <f>IF(終値!A246="","",IFERROR(4*STDEVP(終値!L246:AE246)/AVERAGE(終値!L246:AE246),""))</f>
        <v>0.30423763572453943</v>
      </c>
      <c r="J246" s="503">
        <f>IF(終値!A246="","",IFERROR(4*STDEVP(終値!M246:AF246)/AVERAGE(終値!M246:AF246),""))</f>
        <v>0.32264325946789174</v>
      </c>
      <c r="K246" s="503">
        <f>IF(終値!A246="","",IFERROR(4*STDEVP(終値!N246:AG246)/AVERAGE(終値!N246:AG246),""))</f>
        <v>0.33100606245719244</v>
      </c>
      <c r="L246" s="503">
        <f>IF(終値!A246="","",IFERROR(4*STDEVP(終値!O246:AH246)/AVERAGE(終値!O246:AH246),""))</f>
        <v>0.34079616135649637</v>
      </c>
      <c r="M246" s="503">
        <f>IF(終値!A246="","",IFERROR(4*STDEVP(終値!P246:AI246)/AVERAGE(終値!P246:AI246),""))</f>
        <v>0.34190033356748734</v>
      </c>
      <c r="N246" s="503">
        <f>IF(終値!A246="","",IFERROR(4*STDEVP(終値!Q246:AJ246)/AVERAGE(終値!Q246:AJ246),""))</f>
        <v>0.32679977961085899</v>
      </c>
      <c r="O246" s="503">
        <f>IF(終値!A246="","",IFERROR(4*STDEVP(終値!R246:AK246)/AVERAGE(終値!R246:AK246),""))</f>
        <v>0.3280472835832498</v>
      </c>
      <c r="P246" s="503">
        <f>IF(終値!A246="","",IFERROR(4*STDEVP(終値!S246:AL246)/AVERAGE(終値!S246:AL246),""))</f>
        <v>0.32205341075545152</v>
      </c>
      <c r="Q246" s="503">
        <f>IF(終値!A246="","",IFERROR(4*STDEVP(終値!T246:AM246)/AVERAGE(終値!T246:AM246),""))</f>
        <v>0.31748579435474894</v>
      </c>
      <c r="R246" s="503">
        <f>IF(終値!A246="","",IFERROR(4*STDEVP(終値!U246:AN246)/AVERAGE(終値!U246:AN246),""))</f>
        <v>0.30293158797920927</v>
      </c>
      <c r="S246" s="503">
        <f>IF(終値!A246="","",IFERROR(4*STDEVP(終値!V246:AO246)/AVERAGE(終値!V246:AO246),""))</f>
        <v>0.28969943901077227</v>
      </c>
      <c r="T246" s="503">
        <f>IF(終値!A246="","",IFERROR(4*STDEVP(終値!W246:AP246)/AVERAGE(終値!W246:AP246),""))</f>
        <v>0.26248766133146589</v>
      </c>
      <c r="U246" s="503">
        <f>IF(終値!A246="","",IFERROR(4*STDEVP(終値!X246:AQ246)/AVERAGE(終値!X246:AQ246),""))</f>
        <v>0.23912753109391752</v>
      </c>
      <c r="V246" s="503">
        <f>IF(終値!A246="","",IFERROR(4*STDEVP(終値!Y246:AR246)/AVERAGE(終値!Y246:AR246),""))</f>
        <v>0.23496821287315556</v>
      </c>
      <c r="W246" s="503">
        <f>IF(終値!A246="","",IFERROR(4*STDEVP(終値!Z246:AS246)/AVERAGE(終値!Z246:AS246),""))</f>
        <v>0.22785447702078176</v>
      </c>
      <c r="X246" s="503">
        <f>IF(終値!A246="","",IFERROR(4*STDEVP(終値!AA246:AT246)/AVERAGE(終値!AA246:AT246),""))</f>
        <v>0.21537228266169234</v>
      </c>
      <c r="Y246" s="503">
        <f>IF(終値!A246="","",IFERROR(4*STDEVP(終値!AB246:AU246)/AVERAGE(終値!AB246:AU246),""))</f>
        <v>0.21054746326133997</v>
      </c>
      <c r="Z246" s="503">
        <f>IF(終値!A246="","",IFERROR(4*STDEVP(終値!AC246:AV246)/AVERAGE(終値!AC246:AV246),""))</f>
        <v>0.21641611449867149</v>
      </c>
      <c r="AA246" s="503">
        <f>IF(終値!A246="","",IFERROR(4*STDEVP(終値!AD246:AW246)/AVERAGE(終値!AD246:AW246),""))</f>
        <v>0.20878850772419438</v>
      </c>
      <c r="AB246" s="503">
        <f>IF(終値!A246="","",IFERROR(4*STDEVP(終値!AE246:AX246)/AVERAGE(終値!AE246:AX246),""))</f>
        <v>0.19191506052248447</v>
      </c>
      <c r="AC246" s="503">
        <f>IF(終値!A246="","",IFERROR(4*STDEVP(終値!AF246:AY246)/AVERAGE(終値!AF246:AY246),""))</f>
        <v>0.19281655758003299</v>
      </c>
      <c r="AD246" s="503">
        <f>IF(終値!A246="","",IFERROR(4*STDEVP(終値!AG246:AZ246)/AVERAGE(終値!AG246:AZ246),""))</f>
        <v>0.19237497719057306</v>
      </c>
      <c r="AE246" s="503">
        <f>IF(終値!A246="","",IFERROR(4*STDEVP(終値!AH246:BA246)/AVERAGE(終値!AH246:BA246),""))</f>
        <v>0.18927614178901536</v>
      </c>
      <c r="AF246" s="503">
        <f>IF(終値!A246="","",IFERROR(4*STDEVP(終値!AI246:BB246)/AVERAGE(終値!AI246:BB246),""))</f>
        <v>0.18871192324944239</v>
      </c>
      <c r="AG246" s="503">
        <f>IF(終値!A246="","",IFERROR(4*STDEVP(終値!AJ246:BC246)/AVERAGE(終値!AJ246:BC246),""))</f>
        <v>0.18850402926761886</v>
      </c>
      <c r="AH246" s="503">
        <f>IF(終値!A246="","",IFERROR(4*STDEVP(終値!AK246:BD246)/AVERAGE(終値!AK246:BD246),""))</f>
        <v>0.1884140309122464</v>
      </c>
      <c r="AI246" s="503">
        <f>IF(終値!A246="","",IFERROR(4*STDEVP(終値!AL246:BE246)/AVERAGE(終値!AL246:BE246),""))</f>
        <v>0.18418902717931263</v>
      </c>
      <c r="AJ246" s="503">
        <f>IF(終値!A246="","",IFERROR(4*STDEVP(終値!AM246:BF246)/AVERAGE(終値!AM246:BF246),""))</f>
        <v>0.17760040969321964</v>
      </c>
      <c r="AK246" s="503">
        <f>IF(終値!A246="","",IFERROR(4*STDEVP(終値!AN246:BG246)/AVERAGE(終値!AN246:BG246),""))</f>
        <v>0.17126929575412703</v>
      </c>
      <c r="AL246" s="503">
        <f>IF(終値!A246="","",IFERROR(4*STDEVP(終値!AO246:BH246)/AVERAGE(終値!AO246:BH246),""))</f>
        <v>0.14238442708461355</v>
      </c>
      <c r="AM246" s="503">
        <f>IF(終値!A246="","",IFERROR(4*STDEVP(終値!AP246:BI246)/AVERAGE(終値!AP246:BI246),""))</f>
        <v>0.12959687165862269</v>
      </c>
      <c r="AN246" s="503">
        <f>IF(終値!A246="","",IFERROR(4*STDEVP(終値!AQ246:BJ246)/AVERAGE(終値!AQ246:BJ246),""))</f>
        <v>0.12678381812523348</v>
      </c>
      <c r="AO246" s="503">
        <f>IF(終値!A246="","",IFERROR(4*STDEVP(終値!AR246:BK246)/AVERAGE(終値!AR246:BK246),""))</f>
        <v>0.12117354622163558</v>
      </c>
      <c r="AP246" s="503">
        <f>IF(終値!A246="","",IFERROR(4*STDEVP(終値!AS246:BL246)/AVERAGE(終値!AS246:BL246),""))</f>
        <v>0.12502403245706123</v>
      </c>
    </row>
    <row r="247" spans="1:42">
      <c r="A247" s="500" t="str">
        <f>IF(終値!A247="","",終値!A247)</f>
        <v>5632</v>
      </c>
      <c r="B247" s="503">
        <f>IF(終値!A247="","",IFERROR(4*STDEVP(終値!E247:X247)/AVERAGE(終値!E247:X247),""))</f>
        <v>6.3875391233788631E-2</v>
      </c>
      <c r="C247" s="503">
        <f>IF(終値!A247="","",IFERROR(4*STDEVP(終値!F247:Y247)/AVERAGE(終値!F247:Y247),""))</f>
        <v>6.7984146023152281E-2</v>
      </c>
      <c r="D247" s="503">
        <f>IF(終値!A247="","",IFERROR(4*STDEVP(終値!G247:Z247)/AVERAGE(終値!G247:Z247),""))</f>
        <v>6.7331829209690941E-2</v>
      </c>
      <c r="E247" s="503">
        <f>IF(終値!A247="","",IFERROR(4*STDEVP(終値!H247:AA247)/AVERAGE(終値!H247:AA247),""))</f>
        <v>6.56096886762879E-2</v>
      </c>
      <c r="F247" s="503">
        <f>IF(終値!A247="","",IFERROR(4*STDEVP(終値!I247:AB247)/AVERAGE(終値!I247:AB247),""))</f>
        <v>6.5642859515302576E-2</v>
      </c>
      <c r="G247" s="503">
        <f>IF(終値!A247="","",IFERROR(4*STDEVP(終値!J247:AC247)/AVERAGE(終値!J247:AC247),""))</f>
        <v>6.9734564903220317E-2</v>
      </c>
      <c r="H247" s="503">
        <f>IF(終値!A247="","",IFERROR(4*STDEVP(終値!K247:AD247)/AVERAGE(終値!K247:AD247),""))</f>
        <v>6.9767950002619802E-2</v>
      </c>
      <c r="I247" s="503">
        <f>IF(終値!A247="","",IFERROR(4*STDEVP(終値!L247:AE247)/AVERAGE(終値!L247:AE247),""))</f>
        <v>7.3620624105352167E-2</v>
      </c>
      <c r="J247" s="503">
        <f>IF(終値!A247="","",IFERROR(4*STDEVP(終値!M247:AF247)/AVERAGE(終値!M247:AF247),""))</f>
        <v>7.5962103795695332E-2</v>
      </c>
      <c r="K247" s="503">
        <f>IF(終値!A247="","",IFERROR(4*STDEVP(終値!N247:AG247)/AVERAGE(終値!N247:AG247),""))</f>
        <v>8.5837769701136268E-2</v>
      </c>
      <c r="L247" s="503">
        <f>IF(終値!A247="","",IFERROR(4*STDEVP(終値!O247:AH247)/AVERAGE(終値!O247:AH247),""))</f>
        <v>0.13616576779240941</v>
      </c>
      <c r="M247" s="503">
        <f>IF(終値!A247="","",IFERROR(4*STDEVP(終値!P247:AI247)/AVERAGE(終値!P247:AI247),""))</f>
        <v>0.14846991054694386</v>
      </c>
      <c r="N247" s="503">
        <f>IF(終値!A247="","",IFERROR(4*STDEVP(終値!Q247:AJ247)/AVERAGE(終値!Q247:AJ247),""))</f>
        <v>0.14927719090721181</v>
      </c>
      <c r="O247" s="503">
        <f>IF(終値!A247="","",IFERROR(4*STDEVP(終値!R247:AK247)/AVERAGE(終値!R247:AK247),""))</f>
        <v>0.15076011170011852</v>
      </c>
      <c r="P247" s="503">
        <f>IF(終値!A247="","",IFERROR(4*STDEVP(終値!S247:AL247)/AVERAGE(終値!S247:AL247),""))</f>
        <v>0.14960776984023533</v>
      </c>
      <c r="Q247" s="503">
        <f>IF(終値!A247="","",IFERROR(4*STDEVP(終値!T247:AM247)/AVERAGE(終値!T247:AM247),""))</f>
        <v>0.14056786324412787</v>
      </c>
      <c r="R247" s="503">
        <f>IF(終値!A247="","",IFERROR(4*STDEVP(終値!U247:AN247)/AVERAGE(終値!U247:AN247),""))</f>
        <v>0.13758426419752137</v>
      </c>
      <c r="S247" s="503">
        <f>IF(終値!A247="","",IFERROR(4*STDEVP(終値!V247:AO247)/AVERAGE(終値!V247:AO247),""))</f>
        <v>0.13604646742044599</v>
      </c>
      <c r="T247" s="503">
        <f>IF(終値!A247="","",IFERROR(4*STDEVP(終値!W247:AP247)/AVERAGE(終値!W247:AP247),""))</f>
        <v>0.1376384699158914</v>
      </c>
      <c r="U247" s="503">
        <f>IF(終値!A247="","",IFERROR(4*STDEVP(終値!X247:AQ247)/AVERAGE(終値!X247:AQ247),""))</f>
        <v>0.14269944249450067</v>
      </c>
      <c r="V247" s="503">
        <f>IF(終値!A247="","",IFERROR(4*STDEVP(終値!Y247:AR247)/AVERAGE(終値!Y247:AR247),""))</f>
        <v>0.14397232728358186</v>
      </c>
      <c r="W247" s="503">
        <f>IF(終値!A247="","",IFERROR(4*STDEVP(終値!Z247:AS247)/AVERAGE(終値!Z247:AS247),""))</f>
        <v>0.14862957340137062</v>
      </c>
      <c r="X247" s="503">
        <f>IF(終値!A247="","",IFERROR(4*STDEVP(終値!AA247:AT247)/AVERAGE(終値!AA247:AT247),""))</f>
        <v>0.15391879273143813</v>
      </c>
      <c r="Y247" s="503">
        <f>IF(終値!A247="","",IFERROR(4*STDEVP(終値!AB247:AU247)/AVERAGE(終値!AB247:AU247),""))</f>
        <v>0.15936589584303404</v>
      </c>
      <c r="Z247" s="503">
        <f>IF(終値!A247="","",IFERROR(4*STDEVP(終値!AC247:AV247)/AVERAGE(終値!AC247:AV247),""))</f>
        <v>0.15919913437033761</v>
      </c>
      <c r="AA247" s="503">
        <f>IF(終値!A247="","",IFERROR(4*STDEVP(終値!AD247:AW247)/AVERAGE(終値!AD247:AW247),""))</f>
        <v>0.16068569895261159</v>
      </c>
      <c r="AB247" s="503">
        <f>IF(終値!A247="","",IFERROR(4*STDEVP(終値!AE247:AX247)/AVERAGE(終値!AE247:AX247),""))</f>
        <v>0.16144697088815788</v>
      </c>
      <c r="AC247" s="503">
        <f>IF(終値!A247="","",IFERROR(4*STDEVP(終値!AF247:AY247)/AVERAGE(終値!AF247:AY247),""))</f>
        <v>0.16166138528669352</v>
      </c>
      <c r="AD247" s="503">
        <f>IF(終値!A247="","",IFERROR(4*STDEVP(終値!AG247:AZ247)/AVERAGE(終値!AG247:AZ247),""))</f>
        <v>0.16130047719530052</v>
      </c>
      <c r="AE247" s="503">
        <f>IF(終値!A247="","",IFERROR(4*STDEVP(終値!AH247:BA247)/AVERAGE(終値!AH247:BA247),""))</f>
        <v>0.15926531729233831</v>
      </c>
      <c r="AF247" s="503">
        <f>IF(終値!A247="","",IFERROR(4*STDEVP(終値!AI247:BB247)/AVERAGE(終値!AI247:BB247),""))</f>
        <v>0.1266692451484854</v>
      </c>
      <c r="AG247" s="503">
        <f>IF(終値!A247="","",IFERROR(4*STDEVP(終値!AJ247:BC247)/AVERAGE(終値!AJ247:BC247),""))</f>
        <v>9.9640849430568293E-2</v>
      </c>
      <c r="AH247" s="503">
        <f>IF(終値!A247="","",IFERROR(4*STDEVP(終値!AK247:BD247)/AVERAGE(終値!AK247:BD247),""))</f>
        <v>7.7766341450199283E-2</v>
      </c>
      <c r="AI247" s="503">
        <f>IF(終値!A247="","",IFERROR(4*STDEVP(終値!AL247:BE247)/AVERAGE(終値!AL247:BE247),""))</f>
        <v>8.007161368002999E-2</v>
      </c>
      <c r="AJ247" s="503">
        <f>IF(終値!A247="","",IFERROR(4*STDEVP(終値!AM247:BF247)/AVERAGE(終値!AM247:BF247),""))</f>
        <v>7.8841432190807109E-2</v>
      </c>
      <c r="AK247" s="503">
        <f>IF(終値!A247="","",IFERROR(4*STDEVP(終値!AN247:BG247)/AVERAGE(終値!AN247:BG247),""))</f>
        <v>8.8649835976709168E-2</v>
      </c>
      <c r="AL247" s="503">
        <f>IF(終値!A247="","",IFERROR(4*STDEVP(終値!AO247:BH247)/AVERAGE(終値!AO247:BH247),""))</f>
        <v>0.13253762045819295</v>
      </c>
      <c r="AM247" s="503">
        <f>IF(終値!A247="","",IFERROR(4*STDEVP(終値!AP247:BI247)/AVERAGE(終値!AP247:BI247),""))</f>
        <v>0.15622933419603152</v>
      </c>
      <c r="AN247" s="503">
        <f>IF(終値!A247="","",IFERROR(4*STDEVP(終値!AQ247:BJ247)/AVERAGE(終値!AQ247:BJ247),""))</f>
        <v>0.1869947912247448</v>
      </c>
      <c r="AO247" s="503">
        <f>IF(終値!A247="","",IFERROR(4*STDEVP(終値!AR247:BK247)/AVERAGE(終値!AR247:BK247),""))</f>
        <v>0.2089181673463088</v>
      </c>
      <c r="AP247" s="503">
        <f>IF(終値!A247="","",IFERROR(4*STDEVP(終値!AS247:BL247)/AVERAGE(終値!AS247:BL247),""))</f>
        <v>0.22910100760632732</v>
      </c>
    </row>
    <row r="248" spans="1:42">
      <c r="A248" s="500" t="str">
        <f>IF(終値!A248="","",終値!A248)</f>
        <v>6098</v>
      </c>
      <c r="B248" s="503">
        <f>IF(終値!A248="","",IFERROR(4*STDEVP(終値!E248:X248)/AVERAGE(終値!E248:X248),""))</f>
        <v>9.4090586144386673E-2</v>
      </c>
      <c r="C248" s="503">
        <f>IF(終値!A248="","",IFERROR(4*STDEVP(終値!F248:Y248)/AVERAGE(終値!F248:Y248),""))</f>
        <v>0.10212236953160601</v>
      </c>
      <c r="D248" s="503">
        <f>IF(終値!A248="","",IFERROR(4*STDEVP(終値!G248:Z248)/AVERAGE(終値!G248:Z248),""))</f>
        <v>0.11775040391121733</v>
      </c>
      <c r="E248" s="503">
        <f>IF(終値!A248="","",IFERROR(4*STDEVP(終値!H248:AA248)/AVERAGE(終値!H248:AA248),""))</f>
        <v>0.13324309581585611</v>
      </c>
      <c r="F248" s="503">
        <f>IF(終値!A248="","",IFERROR(4*STDEVP(終値!I248:AB248)/AVERAGE(終値!I248:AB248),""))</f>
        <v>0.14644044459939495</v>
      </c>
      <c r="G248" s="503">
        <f>IF(終値!A248="","",IFERROR(4*STDEVP(終値!J248:AC248)/AVERAGE(終値!J248:AC248),""))</f>
        <v>0.15054336314884154</v>
      </c>
      <c r="H248" s="503">
        <f>IF(終値!A248="","",IFERROR(4*STDEVP(終値!K248:AD248)/AVERAGE(終値!K248:AD248),""))</f>
        <v>0.16956694163180425</v>
      </c>
      <c r="I248" s="503">
        <f>IF(終値!A248="","",IFERROR(4*STDEVP(終値!L248:AE248)/AVERAGE(終値!L248:AE248),""))</f>
        <v>0.17902830829075042</v>
      </c>
      <c r="J248" s="503">
        <f>IF(終値!A248="","",IFERROR(4*STDEVP(終値!M248:AF248)/AVERAGE(終値!M248:AF248),""))</f>
        <v>0.18953123317110845</v>
      </c>
      <c r="K248" s="503">
        <f>IF(終値!A248="","",IFERROR(4*STDEVP(終値!N248:AG248)/AVERAGE(終値!N248:AG248),""))</f>
        <v>0.1994158530264746</v>
      </c>
      <c r="L248" s="503">
        <f>IF(終値!A248="","",IFERROR(4*STDEVP(終値!O248:AH248)/AVERAGE(終値!O248:AH248),""))</f>
        <v>0.20896991311923568</v>
      </c>
      <c r="M248" s="503">
        <f>IF(終値!A248="","",IFERROR(4*STDEVP(終値!P248:AI248)/AVERAGE(終値!P248:AI248),""))</f>
        <v>0.20781692253583958</v>
      </c>
      <c r="N248" s="503">
        <f>IF(終値!A248="","",IFERROR(4*STDEVP(終値!Q248:AJ248)/AVERAGE(終値!Q248:AJ248),""))</f>
        <v>0.19763290485096646</v>
      </c>
      <c r="O248" s="503">
        <f>IF(終値!A248="","",IFERROR(4*STDEVP(終値!R248:AK248)/AVERAGE(終値!R248:AK248),""))</f>
        <v>0.20568827229855394</v>
      </c>
      <c r="P248" s="503">
        <f>IF(終値!A248="","",IFERROR(4*STDEVP(終値!S248:AL248)/AVERAGE(終値!S248:AL248),""))</f>
        <v>0.19887437094777985</v>
      </c>
      <c r="Q248" s="503">
        <f>IF(終値!A248="","",IFERROR(4*STDEVP(終値!T248:AM248)/AVERAGE(終値!T248:AM248),""))</f>
        <v>0.19684718459777306</v>
      </c>
      <c r="R248" s="503">
        <f>IF(終値!A248="","",IFERROR(4*STDEVP(終値!U248:AN248)/AVERAGE(終値!U248:AN248),""))</f>
        <v>0.19231851456656635</v>
      </c>
      <c r="S248" s="503">
        <f>IF(終値!A248="","",IFERROR(4*STDEVP(終値!V248:AO248)/AVERAGE(終値!V248:AO248),""))</f>
        <v>0.16962529865672485</v>
      </c>
      <c r="T248" s="503">
        <f>IF(終値!A248="","",IFERROR(4*STDEVP(終値!W248:AP248)/AVERAGE(終値!W248:AP248),""))</f>
        <v>0.15418478851105147</v>
      </c>
      <c r="U248" s="503">
        <f>IF(終値!A248="","",IFERROR(4*STDEVP(終値!X248:AQ248)/AVERAGE(終値!X248:AQ248),""))</f>
        <v>0.13324328985037631</v>
      </c>
      <c r="V248" s="503">
        <f>IF(終値!A248="","",IFERROR(4*STDEVP(終値!Y248:AR248)/AVERAGE(終値!Y248:AR248),""))</f>
        <v>0.12697753244956705</v>
      </c>
      <c r="W248" s="503">
        <f>IF(終値!A248="","",IFERROR(4*STDEVP(終値!Z248:AS248)/AVERAGE(終値!Z248:AS248),""))</f>
        <v>0.1137758738442478</v>
      </c>
      <c r="X248" s="503">
        <f>IF(終値!A248="","",IFERROR(4*STDEVP(終値!AA248:AT248)/AVERAGE(終値!AA248:AT248),""))</f>
        <v>0.10315258584491417</v>
      </c>
      <c r="Y248" s="503">
        <f>IF(終値!A248="","",IFERROR(4*STDEVP(終値!AB248:AU248)/AVERAGE(終値!AB248:AU248),""))</f>
        <v>9.4169737856344984E-2</v>
      </c>
      <c r="Z248" s="503">
        <f>IF(終値!A248="","",IFERROR(4*STDEVP(終値!AC248:AV248)/AVERAGE(終値!AC248:AV248),""))</f>
        <v>9.4470189925571033E-2</v>
      </c>
      <c r="AA248" s="503">
        <f>IF(終値!A248="","",IFERROR(4*STDEVP(終値!AD248:AW248)/AVERAGE(終値!AD248:AW248),""))</f>
        <v>0.10705122908850337</v>
      </c>
      <c r="AB248" s="503">
        <f>IF(終値!A248="","",IFERROR(4*STDEVP(終値!AE248:AX248)/AVERAGE(終値!AE248:AX248),""))</f>
        <v>0.13175912261131026</v>
      </c>
      <c r="AC248" s="503">
        <f>IF(終値!A248="","",IFERROR(4*STDEVP(終値!AF248:AY248)/AVERAGE(終値!AF248:AY248),""))</f>
        <v>0.15621916743902889</v>
      </c>
      <c r="AD248" s="503">
        <f>IF(終値!A248="","",IFERROR(4*STDEVP(終値!AG248:AZ248)/AVERAGE(終値!AG248:AZ248),""))</f>
        <v>0.16949227518131393</v>
      </c>
      <c r="AE248" s="503">
        <f>IF(終値!A248="","",IFERROR(4*STDEVP(終値!AH248:BA248)/AVERAGE(終値!AH248:BA248),""))</f>
        <v>0.18862709153833151</v>
      </c>
      <c r="AF248" s="503">
        <f>IF(終値!A248="","",IFERROR(4*STDEVP(終値!AI248:BB248)/AVERAGE(終値!AI248:BB248),""))</f>
        <v>0.20048143506527696</v>
      </c>
      <c r="AG248" s="503">
        <f>IF(終値!A248="","",IFERROR(4*STDEVP(終値!AJ248:BC248)/AVERAGE(終値!AJ248:BC248),""))</f>
        <v>0.20658038972532505</v>
      </c>
      <c r="AH248" s="503">
        <f>IF(終値!A248="","",IFERROR(4*STDEVP(終値!AK248:BD248)/AVERAGE(終値!AK248:BD248),""))</f>
        <v>0.2278449470995097</v>
      </c>
      <c r="AI248" s="503">
        <f>IF(終値!A248="","",IFERROR(4*STDEVP(終値!AL248:BE248)/AVERAGE(終値!AL248:BE248),""))</f>
        <v>0.31584228233306377</v>
      </c>
      <c r="AJ248" s="503">
        <f>IF(終値!A248="","",IFERROR(4*STDEVP(終値!AM248:BF248)/AVERAGE(終値!AM248:BF248),""))</f>
        <v>0.38013793974788179</v>
      </c>
      <c r="AK248" s="503">
        <f>IF(終値!A248="","",IFERROR(4*STDEVP(終値!AN248:BG248)/AVERAGE(終値!AN248:BG248),""))</f>
        <v>0.42936632000439057</v>
      </c>
      <c r="AL248" s="503">
        <f>IF(終値!A248="","",IFERROR(4*STDEVP(終値!AO248:BH248)/AVERAGE(終値!AO248:BH248),""))</f>
        <v>0.47637116296970483</v>
      </c>
      <c r="AM248" s="503">
        <f>IF(終値!A248="","",IFERROR(4*STDEVP(終値!AP248:BI248)/AVERAGE(終値!AP248:BI248),""))</f>
        <v>0.5010096154948126</v>
      </c>
      <c r="AN248" s="503">
        <f>IF(終値!A248="","",IFERROR(4*STDEVP(終値!AQ248:BJ248)/AVERAGE(終値!AQ248:BJ248),""))</f>
        <v>0.5051440967804387</v>
      </c>
      <c r="AO248" s="503">
        <f>IF(終値!A248="","",IFERROR(4*STDEVP(終値!AR248:BK248)/AVERAGE(終値!AR248:BK248),""))</f>
        <v>0.52763016302549437</v>
      </c>
      <c r="AP248" s="503">
        <f>IF(終値!A248="","",IFERROR(4*STDEVP(終値!AS248:BL248)/AVERAGE(終値!AS248:BL248),""))</f>
        <v>0.5487872336875429</v>
      </c>
    </row>
    <row r="249" spans="1:42">
      <c r="A249" s="500" t="str">
        <f>IF(終値!A249="","",終値!A249)</f>
        <v>6361</v>
      </c>
      <c r="B249" s="503">
        <f>IF(終値!A249="","",IFERROR(4*STDEVP(終値!E249:X249)/AVERAGE(終値!E249:X249),""))</f>
        <v>0.25476231467288507</v>
      </c>
      <c r="C249" s="503">
        <f>IF(終値!A249="","",IFERROR(4*STDEVP(終値!F249:Y249)/AVERAGE(終値!F249:Y249),""))</f>
        <v>0.26062848252114695</v>
      </c>
      <c r="D249" s="503">
        <f>IF(終値!A249="","",IFERROR(4*STDEVP(終値!G249:Z249)/AVERAGE(終値!G249:Z249),""))</f>
        <v>0.26264620592560256</v>
      </c>
      <c r="E249" s="503">
        <f>IF(終値!A249="","",IFERROR(4*STDEVP(終値!H249:AA249)/AVERAGE(終値!H249:AA249),""))</f>
        <v>0.27447172285250909</v>
      </c>
      <c r="F249" s="503">
        <f>IF(終値!A249="","",IFERROR(4*STDEVP(終値!I249:AB249)/AVERAGE(終値!I249:AB249),""))</f>
        <v>0.25079219046681583</v>
      </c>
      <c r="G249" s="503">
        <f>IF(終値!A249="","",IFERROR(4*STDEVP(終値!J249:AC249)/AVERAGE(終値!J249:AC249),""))</f>
        <v>0.20488206907593318</v>
      </c>
      <c r="H249" s="503">
        <f>IF(終値!A249="","",IFERROR(4*STDEVP(終値!K249:AD249)/AVERAGE(終値!K249:AD249),""))</f>
        <v>0.17614810973549169</v>
      </c>
      <c r="I249" s="503">
        <f>IF(終値!A249="","",IFERROR(4*STDEVP(終値!L249:AE249)/AVERAGE(終値!L249:AE249),""))</f>
        <v>0.18529403553584495</v>
      </c>
      <c r="J249" s="503">
        <f>IF(終値!A249="","",IFERROR(4*STDEVP(終値!M249:AF249)/AVERAGE(終値!M249:AF249),""))</f>
        <v>0.1838696469482736</v>
      </c>
      <c r="K249" s="503">
        <f>IF(終値!A249="","",IFERROR(4*STDEVP(終値!N249:AG249)/AVERAGE(終値!N249:AG249),""))</f>
        <v>0.18561538906074976</v>
      </c>
      <c r="L249" s="503">
        <f>IF(終値!A249="","",IFERROR(4*STDEVP(終値!O249:AH249)/AVERAGE(終値!O249:AH249),""))</f>
        <v>0.20006043539035481</v>
      </c>
      <c r="M249" s="503">
        <f>IF(終値!A249="","",IFERROR(4*STDEVP(終値!P249:AI249)/AVERAGE(終値!P249:AI249),""))</f>
        <v>0.19405389513301935</v>
      </c>
      <c r="N249" s="503">
        <f>IF(終値!A249="","",IFERROR(4*STDEVP(終値!Q249:AJ249)/AVERAGE(終値!Q249:AJ249),""))</f>
        <v>0.17202892895415664</v>
      </c>
      <c r="O249" s="503">
        <f>IF(終値!A249="","",IFERROR(4*STDEVP(終値!R249:AK249)/AVERAGE(終値!R249:AK249),""))</f>
        <v>0.17744927430575766</v>
      </c>
      <c r="P249" s="503">
        <f>IF(終値!A249="","",IFERROR(4*STDEVP(終値!S249:AL249)/AVERAGE(終値!S249:AL249),""))</f>
        <v>0.16977012052064208</v>
      </c>
      <c r="Q249" s="503">
        <f>IF(終値!A249="","",IFERROR(4*STDEVP(終値!T249:AM249)/AVERAGE(終値!T249:AM249),""))</f>
        <v>0.16246290591561194</v>
      </c>
      <c r="R249" s="503">
        <f>IF(終値!A249="","",IFERROR(4*STDEVP(終値!U249:AN249)/AVERAGE(終値!U249:AN249),""))</f>
        <v>0.19352796251431945</v>
      </c>
      <c r="S249" s="503">
        <f>IF(終値!A249="","",IFERROR(4*STDEVP(終値!V249:AO249)/AVERAGE(終値!V249:AO249),""))</f>
        <v>0.23382453526464764</v>
      </c>
      <c r="T249" s="503">
        <f>IF(終値!A249="","",IFERROR(4*STDEVP(終値!W249:AP249)/AVERAGE(終値!W249:AP249),""))</f>
        <v>0.26421101549870168</v>
      </c>
      <c r="U249" s="503">
        <f>IF(終値!A249="","",IFERROR(4*STDEVP(終値!X249:AQ249)/AVERAGE(終値!X249:AQ249),""))</f>
        <v>0.3101561195049034</v>
      </c>
      <c r="V249" s="503">
        <f>IF(終値!A249="","",IFERROR(4*STDEVP(終値!Y249:AR249)/AVERAGE(終値!Y249:AR249),""))</f>
        <v>0.32234992434142495</v>
      </c>
      <c r="W249" s="503">
        <f>IF(終値!A249="","",IFERROR(4*STDEVP(終値!Z249:AS249)/AVERAGE(終値!Z249:AS249),""))</f>
        <v>0.33541633071367766</v>
      </c>
      <c r="X249" s="503">
        <f>IF(終値!A249="","",IFERROR(4*STDEVP(終値!AA249:AT249)/AVERAGE(終値!AA249:AT249),""))</f>
        <v>0.34203288897584999</v>
      </c>
      <c r="Y249" s="503">
        <f>IF(終値!A249="","",IFERROR(4*STDEVP(終値!AB249:AU249)/AVERAGE(終値!AB249:AU249),""))</f>
        <v>0.35583708256425639</v>
      </c>
      <c r="Z249" s="503">
        <f>IF(終値!A249="","",IFERROR(4*STDEVP(終値!AC249:AV249)/AVERAGE(終値!AC249:AV249),""))</f>
        <v>0.35777170714389017</v>
      </c>
      <c r="AA249" s="503">
        <f>IF(終値!A249="","",IFERROR(4*STDEVP(終値!AD249:AW249)/AVERAGE(終値!AD249:AW249),""))</f>
        <v>0.36451342977939949</v>
      </c>
      <c r="AB249" s="503">
        <f>IF(終値!A249="","",IFERROR(4*STDEVP(終値!AE249:AX249)/AVERAGE(終値!AE249:AX249),""))</f>
        <v>0.36928532568030414</v>
      </c>
      <c r="AC249" s="503">
        <f>IF(終値!A249="","",IFERROR(4*STDEVP(終値!AF249:AY249)/AVERAGE(終値!AF249:AY249),""))</f>
        <v>0.36147434981818338</v>
      </c>
      <c r="AD249" s="503">
        <f>IF(終値!A249="","",IFERROR(4*STDEVP(終値!AG249:AZ249)/AVERAGE(終値!AG249:AZ249),""))</f>
        <v>0.36213734587349783</v>
      </c>
      <c r="AE249" s="503">
        <f>IF(終値!A249="","",IFERROR(4*STDEVP(終値!AH249:BA249)/AVERAGE(終値!AH249:BA249),""))</f>
        <v>0.37326344719596888</v>
      </c>
      <c r="AF249" s="503">
        <f>IF(終値!A249="","",IFERROR(4*STDEVP(終値!AI249:BB249)/AVERAGE(終値!AI249:BB249),""))</f>
        <v>0.35968924625349374</v>
      </c>
      <c r="AG249" s="503">
        <f>IF(終値!A249="","",IFERROR(4*STDEVP(終値!AJ249:BC249)/AVERAGE(終値!AJ249:BC249),""))</f>
        <v>0.33955379811092878</v>
      </c>
      <c r="AH249" s="503">
        <f>IF(終値!A249="","",IFERROR(4*STDEVP(終値!AK249:BD249)/AVERAGE(終値!AK249:BD249),""))</f>
        <v>0.29081472838805211</v>
      </c>
      <c r="AI249" s="503">
        <f>IF(終値!A249="","",IFERROR(4*STDEVP(終値!AL249:BE249)/AVERAGE(終値!AL249:BE249),""))</f>
        <v>0.23937639840606004</v>
      </c>
      <c r="AJ249" s="503">
        <f>IF(終値!A249="","",IFERROR(4*STDEVP(終値!AM249:BF249)/AVERAGE(終値!AM249:BF249),""))</f>
        <v>0.20842928085934553</v>
      </c>
      <c r="AK249" s="503">
        <f>IF(終値!A249="","",IFERROR(4*STDEVP(終値!AN249:BG249)/AVERAGE(終値!AN249:BG249),""))</f>
        <v>0.17329535486995518</v>
      </c>
      <c r="AL249" s="503">
        <f>IF(終値!A249="","",IFERROR(4*STDEVP(終値!AO249:BH249)/AVERAGE(終値!AO249:BH249),""))</f>
        <v>0.18540375160826325</v>
      </c>
      <c r="AM249" s="503">
        <f>IF(終値!A249="","",IFERROR(4*STDEVP(終値!AP249:BI249)/AVERAGE(終値!AP249:BI249),""))</f>
        <v>0.1957541989288297</v>
      </c>
      <c r="AN249" s="503">
        <f>IF(終値!A249="","",IFERROR(4*STDEVP(終値!AQ249:BJ249)/AVERAGE(終値!AQ249:BJ249),""))</f>
        <v>0.19685313749986211</v>
      </c>
      <c r="AO249" s="503">
        <f>IF(終値!A249="","",IFERROR(4*STDEVP(終値!AR249:BK249)/AVERAGE(終値!AR249:BK249),""))</f>
        <v>0.18426698561184324</v>
      </c>
      <c r="AP249" s="503">
        <f>IF(終値!A249="","",IFERROR(4*STDEVP(終値!AS249:BL249)/AVERAGE(終値!AS249:BL249),""))</f>
        <v>0.19013161319045241</v>
      </c>
    </row>
    <row r="250" spans="1:42">
      <c r="A250" s="500" t="str">
        <f>IF(終値!A250="","",終値!A250)</f>
        <v>155A</v>
      </c>
      <c r="B250" s="503">
        <f>IF(終値!A250="","",IFERROR(4*STDEVP(終値!E250:X250)/AVERAGE(終値!E250:X250),""))</f>
        <v>0.14947156339561279</v>
      </c>
      <c r="C250" s="503">
        <f>IF(終値!A250="","",IFERROR(4*STDEVP(終値!F250:Y250)/AVERAGE(終値!F250:Y250),""))</f>
        <v>0.14632781676441015</v>
      </c>
      <c r="D250" s="503">
        <f>IF(終値!A250="","",IFERROR(4*STDEVP(終値!G250:Z250)/AVERAGE(終値!G250:Z250),""))</f>
        <v>0.14067794083889812</v>
      </c>
      <c r="E250" s="503">
        <f>IF(終値!A250="","",IFERROR(4*STDEVP(終値!H250:AA250)/AVERAGE(終値!H250:AA250),""))</f>
        <v>0.1335398554816408</v>
      </c>
      <c r="F250" s="503">
        <f>IF(終値!A250="","",IFERROR(4*STDEVP(終値!I250:AB250)/AVERAGE(終値!I250:AB250),""))</f>
        <v>0.12381290702659328</v>
      </c>
      <c r="G250" s="503">
        <f>IF(終値!A250="","",IFERROR(4*STDEVP(終値!J250:AC250)/AVERAGE(終値!J250:AC250),""))</f>
        <v>0.10565300957564121</v>
      </c>
      <c r="H250" s="503">
        <f>IF(終値!A250="","",IFERROR(4*STDEVP(終値!K250:AD250)/AVERAGE(終値!K250:AD250),""))</f>
        <v>0.10201231066808808</v>
      </c>
      <c r="I250" s="503">
        <f>IF(終値!A250="","",IFERROR(4*STDEVP(終値!L250:AE250)/AVERAGE(終値!L250:AE250),""))</f>
        <v>9.8420113199662165E-2</v>
      </c>
      <c r="J250" s="503">
        <f>IF(終値!A250="","",IFERROR(4*STDEVP(終値!M250:AF250)/AVERAGE(終値!M250:AF250),""))</f>
        <v>0.1024996045527059</v>
      </c>
      <c r="K250" s="503">
        <f>IF(終値!A250="","",IFERROR(4*STDEVP(終値!N250:AG250)/AVERAGE(終値!N250:AG250),""))</f>
        <v>0.1017312773718692</v>
      </c>
      <c r="L250" s="503">
        <f>IF(終値!A250="","",IFERROR(4*STDEVP(終値!O250:AH250)/AVERAGE(終値!O250:AH250),""))</f>
        <v>0.10451691134665451</v>
      </c>
      <c r="M250" s="503">
        <f>IF(終値!A250="","",IFERROR(4*STDEVP(終値!P250:AI250)/AVERAGE(終値!P250:AI250),""))</f>
        <v>0.10361663951447424</v>
      </c>
      <c r="N250" s="503">
        <f>IF(終値!A250="","",IFERROR(4*STDEVP(終値!Q250:AJ250)/AVERAGE(終値!Q250:AJ250),""))</f>
        <v>9.457502856565278E-2</v>
      </c>
      <c r="O250" s="503">
        <f>IF(終値!A250="","",IFERROR(4*STDEVP(終値!R250:AK250)/AVERAGE(終値!R250:AK250),""))</f>
        <v>9.6231944201568415E-2</v>
      </c>
      <c r="P250" s="503">
        <f>IF(終値!A250="","",IFERROR(4*STDEVP(終値!S250:AL250)/AVERAGE(終値!S250:AL250),""))</f>
        <v>0.11199651117855366</v>
      </c>
      <c r="Q250" s="503">
        <f>IF(終値!A250="","",IFERROR(4*STDEVP(終値!T250:AM250)/AVERAGE(終値!T250:AM250),""))</f>
        <v>0.11451184304824423</v>
      </c>
      <c r="R250" s="503">
        <f>IF(終値!A250="","",IFERROR(4*STDEVP(終値!U250:AN250)/AVERAGE(終値!U250:AN250),""))</f>
        <v>0.11758253938750976</v>
      </c>
      <c r="S250" s="503">
        <f>IF(終値!A250="","",IFERROR(4*STDEVP(終値!V250:AO250)/AVERAGE(終値!V250:AO250),""))</f>
        <v>0.11821374673188499</v>
      </c>
      <c r="T250" s="503">
        <f>IF(終値!A250="","",IFERROR(4*STDEVP(終値!W250:AP250)/AVERAGE(終値!W250:AP250),""))</f>
        <v>0.11881993030156195</v>
      </c>
      <c r="U250" s="503">
        <f>IF(終値!A250="","",IFERROR(4*STDEVP(終値!X250:AQ250)/AVERAGE(終値!X250:AQ250),""))</f>
        <v>0.11809654924080808</v>
      </c>
      <c r="V250" s="503">
        <f>IF(終値!A250="","",IFERROR(4*STDEVP(終値!Y250:AR250)/AVERAGE(終値!Y250:AR250),""))</f>
        <v>0.10690072552014381</v>
      </c>
      <c r="W250" s="503">
        <f>IF(終値!A250="","",IFERROR(4*STDEVP(終値!Z250:AS250)/AVERAGE(終値!Z250:AS250),""))</f>
        <v>0.1063775436932545</v>
      </c>
      <c r="X250" s="503">
        <f>IF(終値!A250="","",IFERROR(4*STDEVP(終値!AA250:AT250)/AVERAGE(終値!AA250:AT250),""))</f>
        <v>0.11088023790743431</v>
      </c>
      <c r="Y250" s="503">
        <f>IF(終値!A250="","",IFERROR(4*STDEVP(終値!AB250:AU250)/AVERAGE(終値!AB250:AU250),""))</f>
        <v>0.11502985289765862</v>
      </c>
      <c r="Z250" s="503">
        <f>IF(終値!A250="","",IFERROR(4*STDEVP(終値!AC250:AV250)/AVERAGE(終値!AC250:AV250),""))</f>
        <v>0.11451515214173991</v>
      </c>
      <c r="AA250" s="503">
        <f>IF(終値!A250="","",IFERROR(4*STDEVP(終値!AD250:AW250)/AVERAGE(終値!AD250:AW250),""))</f>
        <v>0.11451259384738188</v>
      </c>
      <c r="AB250" s="503">
        <f>IF(終値!A250="","",IFERROR(4*STDEVP(終値!AE250:AX250)/AVERAGE(終値!AE250:AX250),""))</f>
        <v>0.11389403367429488</v>
      </c>
      <c r="AC250" s="503">
        <f>IF(終値!A250="","",IFERROR(4*STDEVP(終値!AF250:AY250)/AVERAGE(終値!AF250:AY250),""))</f>
        <v>0.11514293681547828</v>
      </c>
      <c r="AD250" s="503">
        <f>IF(終値!A250="","",IFERROR(4*STDEVP(終値!AG250:AZ250)/AVERAGE(終値!AG250:AZ250),""))</f>
        <v>0.11402285567539504</v>
      </c>
      <c r="AE250" s="503">
        <f>IF(終値!A250="","",IFERROR(4*STDEVP(終値!AH250:BA250)/AVERAGE(終値!AH250:BA250),""))</f>
        <v>0.10959575785541303</v>
      </c>
      <c r="AF250" s="503">
        <f>IF(終値!A250="","",IFERROR(4*STDEVP(終値!AI250:BB250)/AVERAGE(終値!AI250:BB250),""))</f>
        <v>9.6243199192264844E-2</v>
      </c>
      <c r="AG250" s="503">
        <f>IF(終値!A250="","",IFERROR(4*STDEVP(終値!AJ250:BC250)/AVERAGE(終値!AJ250:BC250),""))</f>
        <v>9.4153281282175719E-2</v>
      </c>
      <c r="AH250" s="503">
        <f>IF(終値!A250="","",IFERROR(4*STDEVP(終値!AK250:BD250)/AVERAGE(終値!AK250:BD250),""))</f>
        <v>9.2243278728751529E-2</v>
      </c>
      <c r="AI250" s="503">
        <f>IF(終値!A250="","",IFERROR(4*STDEVP(終値!AL250:BE250)/AVERAGE(終値!AL250:BE250),""))</f>
        <v>9.7844503970646007E-2</v>
      </c>
      <c r="AJ250" s="503">
        <f>IF(終値!A250="","",IFERROR(4*STDEVP(終値!AM250:BF250)/AVERAGE(終値!AM250:BF250),""))</f>
        <v>0.15172886660885143</v>
      </c>
      <c r="AK250" s="503">
        <f>IF(終値!A250="","",IFERROR(4*STDEVP(終値!AN250:BG250)/AVERAGE(終値!AN250:BG250),""))</f>
        <v>0.17434811993300114</v>
      </c>
      <c r="AL250" s="503">
        <f>IF(終値!A250="","",IFERROR(4*STDEVP(終値!AO250:BH250)/AVERAGE(終値!AO250:BH250),""))</f>
        <v>0.18423166408034231</v>
      </c>
      <c r="AM250" s="503">
        <f>IF(終値!A250="","",IFERROR(4*STDEVP(終値!AP250:BI250)/AVERAGE(終値!AP250:BI250),""))</f>
        <v>0.1909386044783612</v>
      </c>
      <c r="AN250" s="503">
        <f>IF(終値!A250="","",IFERROR(4*STDEVP(終値!AQ250:BJ250)/AVERAGE(終値!AQ250:BJ250),""))</f>
        <v>0.18712613986713397</v>
      </c>
      <c r="AO250" s="503">
        <f>IF(終値!A250="","",IFERROR(4*STDEVP(終値!AR250:BK250)/AVERAGE(終値!AR250:BK250),""))</f>
        <v>0.18899247044784215</v>
      </c>
      <c r="AP250" s="503">
        <f>IF(終値!A250="","",IFERROR(4*STDEVP(終値!AS250:BL250)/AVERAGE(終値!AS250:BL250),""))</f>
        <v>0.19068986273715174</v>
      </c>
    </row>
    <row r="251" spans="1:42">
      <c r="A251" s="500" t="str">
        <f>IF(終値!A251="","",終値!A251)</f>
        <v>278A</v>
      </c>
      <c r="B251" s="503">
        <f>IF(終値!A251="","",IFERROR(4*STDEVP(終値!E251:X251)/AVERAGE(終値!E251:X251),""))</f>
        <v>0.688286891010362</v>
      </c>
      <c r="C251" s="503">
        <f>IF(終値!A251="","",IFERROR(4*STDEVP(終値!F251:Y251)/AVERAGE(終値!F251:Y251),""))</f>
        <v>0.71707598960430496</v>
      </c>
      <c r="D251" s="503">
        <f>IF(終値!A251="","",IFERROR(4*STDEVP(終値!G251:Z251)/AVERAGE(終値!G251:Z251),""))</f>
        <v>0.77193271790045936</v>
      </c>
      <c r="E251" s="503">
        <f>IF(終値!A251="","",IFERROR(4*STDEVP(終値!H251:AA251)/AVERAGE(終値!H251:AA251),""))</f>
        <v>0.82564782855623697</v>
      </c>
      <c r="F251" s="503">
        <f>IF(終値!A251="","",IFERROR(4*STDEVP(終値!I251:AB251)/AVERAGE(終値!I251:AB251),""))</f>
        <v>0.8764628280941329</v>
      </c>
      <c r="G251" s="503">
        <f>IF(終値!A251="","",IFERROR(4*STDEVP(終値!J251:AC251)/AVERAGE(終値!J251:AC251),""))</f>
        <v>0.91948983769967596</v>
      </c>
      <c r="H251" s="503">
        <f>IF(終値!A251="","",IFERROR(4*STDEVP(終値!K251:AD251)/AVERAGE(終値!K251:AD251),""))</f>
        <v>0.96693389839482968</v>
      </c>
      <c r="I251" s="503">
        <f>IF(終値!A251="","",IFERROR(4*STDEVP(終値!L251:AE251)/AVERAGE(終値!L251:AE251),""))</f>
        <v>0.99520591322117735</v>
      </c>
      <c r="J251" s="503">
        <f>IF(終値!A251="","",IFERROR(4*STDEVP(終値!M251:AF251)/AVERAGE(終値!M251:AF251),""))</f>
        <v>1.0185806923881293</v>
      </c>
      <c r="K251" s="503">
        <f>IF(終値!A251="","",IFERROR(4*STDEVP(終値!N251:AG251)/AVERAGE(終値!N251:AG251),""))</f>
        <v>1.0135613419046114</v>
      </c>
      <c r="L251" s="503">
        <f>IF(終値!A251="","",IFERROR(4*STDEVP(終値!O251:AH251)/AVERAGE(終値!O251:AH251),""))</f>
        <v>0.90181022189925442</v>
      </c>
      <c r="M251" s="503">
        <f>IF(終値!A251="","",IFERROR(4*STDEVP(終値!P251:AI251)/AVERAGE(終値!P251:AI251),""))</f>
        <v>0.7618683122443789</v>
      </c>
      <c r="N251" s="503">
        <f>IF(終値!A251="","",IFERROR(4*STDEVP(終値!Q251:AJ251)/AVERAGE(終値!Q251:AJ251),""))</f>
        <v>0.64173092756094463</v>
      </c>
      <c r="O251" s="503">
        <f>IF(終値!A251="","",IFERROR(4*STDEVP(終値!R251:AK251)/AVERAGE(終値!R251:AK251),""))</f>
        <v>0.51003239088822094</v>
      </c>
      <c r="P251" s="503">
        <f>IF(終値!A251="","",IFERROR(4*STDEVP(終値!S251:AL251)/AVERAGE(終値!S251:AL251),""))</f>
        <v>0.47363108057568215</v>
      </c>
      <c r="Q251" s="503">
        <f>IF(終値!A251="","",IFERROR(4*STDEVP(終値!T251:AM251)/AVERAGE(終値!T251:AM251),""))</f>
        <v>0.40653820966630233</v>
      </c>
      <c r="R251" s="503">
        <f>IF(終値!A251="","",IFERROR(4*STDEVP(終値!U251:AN251)/AVERAGE(終値!U251:AN251),""))</f>
        <v>0.31887335423184776</v>
      </c>
      <c r="S251" s="503">
        <f>IF(終値!A251="","",IFERROR(4*STDEVP(終値!V251:AO251)/AVERAGE(終値!V251:AO251),""))</f>
        <v>0.29484027612517272</v>
      </c>
      <c r="T251" s="503">
        <f>IF(終値!A251="","",IFERROR(4*STDEVP(終値!W251:AP251)/AVERAGE(終値!W251:AP251),""))</f>
        <v>0.29990680831441979</v>
      </c>
      <c r="U251" s="503">
        <f>IF(終値!A251="","",IFERROR(4*STDEVP(終値!X251:AQ251)/AVERAGE(終値!X251:AQ251),""))</f>
        <v>0.28669493288060383</v>
      </c>
      <c r="V251" s="503">
        <f>IF(終値!A251="","",IFERROR(4*STDEVP(終値!Y251:AR251)/AVERAGE(終値!Y251:AR251),""))</f>
        <v>0.23518964682005106</v>
      </c>
      <c r="W251" s="503">
        <f>IF(終値!A251="","",IFERROR(4*STDEVP(終値!Z251:AS251)/AVERAGE(終値!Z251:AS251),""))</f>
        <v>0.23443688775213098</v>
      </c>
      <c r="X251" s="503">
        <f>IF(終値!A251="","",IFERROR(4*STDEVP(終値!AA251:AT251)/AVERAGE(終値!AA251:AT251),""))</f>
        <v>0.23827589675437197</v>
      </c>
      <c r="Y251" s="503">
        <f>IF(終値!A251="","",IFERROR(4*STDEVP(終値!AB251:AU251)/AVERAGE(終値!AB251:AU251),""))</f>
        <v>0.23651318580107003</v>
      </c>
      <c r="Z251" s="503">
        <f>IF(終値!A251="","",IFERROR(4*STDEVP(終値!AC251:AV251)/AVERAGE(終値!AC251:AV251),""))</f>
        <v>0.2730396623013292</v>
      </c>
      <c r="AA251" s="503">
        <f>IF(終値!A251="","",IFERROR(4*STDEVP(終値!AD251:AW251)/AVERAGE(終値!AD251:AW251),""))</f>
        <v>0.31600337830122643</v>
      </c>
      <c r="AB251" s="503">
        <f>IF(終値!A251="","",IFERROR(4*STDEVP(終値!AE251:AX251)/AVERAGE(終値!AE251:AX251),""))</f>
        <v>0.31144340495520956</v>
      </c>
      <c r="AC251" s="503">
        <f>IF(終値!A251="","",IFERROR(4*STDEVP(終値!AF251:AY251)/AVERAGE(終値!AF251:AY251),""))</f>
        <v>0.38332158209310691</v>
      </c>
      <c r="AD251" s="503">
        <f>IF(終値!A251="","",IFERROR(4*STDEVP(終値!AG251:AZ251)/AVERAGE(終値!AG251:AZ251),""))</f>
        <v>0.45365598097983884</v>
      </c>
      <c r="AE251" s="503">
        <f>IF(終値!A251="","",IFERROR(4*STDEVP(終値!AH251:BA251)/AVERAGE(終値!AH251:BA251),""))</f>
        <v>0.48201336492733476</v>
      </c>
      <c r="AF251" s="503">
        <f>IF(終値!A251="","",IFERROR(4*STDEVP(終値!AI251:BB251)/AVERAGE(終値!AI251:BB251),""))</f>
        <v>0.51928137578106792</v>
      </c>
      <c r="AG251" s="503">
        <f>IF(終値!A251="","",IFERROR(4*STDEVP(終値!AJ251:BC251)/AVERAGE(終値!AJ251:BC251),""))</f>
        <v>0.591777188436586</v>
      </c>
      <c r="AH251" s="503">
        <f>IF(終値!A251="","",IFERROR(4*STDEVP(終値!AK251:BD251)/AVERAGE(終値!AK251:BD251),""))</f>
        <v>0.65353621315596144</v>
      </c>
      <c r="AI251" s="503">
        <f>IF(終値!A251="","",IFERROR(4*STDEVP(終値!AL251:BE251)/AVERAGE(終値!AL251:BE251),""))</f>
        <v>0.66741281160618726</v>
      </c>
      <c r="AJ251" s="503">
        <f>IF(終値!A251="","",IFERROR(4*STDEVP(終値!AM251:BF251)/AVERAGE(終値!AM251:BF251),""))</f>
        <v>0.66063900326922487</v>
      </c>
      <c r="AK251" s="503">
        <f>IF(終値!A251="","",IFERROR(4*STDEVP(終値!AN251:BG251)/AVERAGE(終値!AN251:BG251),""))</f>
        <v>0.61790731837641055</v>
      </c>
      <c r="AL251" s="503">
        <f>IF(終値!A251="","",IFERROR(4*STDEVP(終値!AO251:BH251)/AVERAGE(終値!AO251:BH251),""))</f>
        <v>0.61232188774102669</v>
      </c>
      <c r="AM251" s="503">
        <f>IF(終値!A251="","",IFERROR(4*STDEVP(終値!AP251:BI251)/AVERAGE(終値!AP251:BI251),""))</f>
        <v>0.76021411078831436</v>
      </c>
      <c r="AN251" s="503">
        <f>IF(終値!A251="","",IFERROR(4*STDEVP(終値!AQ251:BJ251)/AVERAGE(終値!AQ251:BJ251),""))</f>
        <v>0.76358643305956853</v>
      </c>
      <c r="AO251" s="503">
        <f>IF(終値!A251="","",IFERROR(4*STDEVP(終値!AR251:BK251)/AVERAGE(終値!AR251:BK251),""))</f>
        <v>0.73183379513511448</v>
      </c>
      <c r="AP251" s="503">
        <f>IF(終値!A251="","",IFERROR(4*STDEVP(終値!AS251:BL251)/AVERAGE(終値!AS251:BL251),""))</f>
        <v>0.68486055985654848</v>
      </c>
    </row>
    <row r="252" spans="1:42">
      <c r="A252" s="500" t="str">
        <f>IF(終値!A252="","",終値!A252)</f>
        <v>300A</v>
      </c>
      <c r="B252" s="503">
        <f>IF(終値!A252="","",IFERROR(4*STDEVP(終値!E252:X252)/AVERAGE(終値!E252:X252),""))</f>
        <v>7.1769926366776135E-2</v>
      </c>
      <c r="C252" s="503">
        <f>IF(終値!A252="","",IFERROR(4*STDEVP(終値!F252:Y252)/AVERAGE(終値!F252:Y252),""))</f>
        <v>6.8115471956639626E-2</v>
      </c>
      <c r="D252" s="503">
        <f>IF(終値!A252="","",IFERROR(4*STDEVP(終値!G252:Z252)/AVERAGE(終値!G252:Z252),""))</f>
        <v>6.7352476602181049E-2</v>
      </c>
      <c r="E252" s="503">
        <f>IF(終値!A252="","",IFERROR(4*STDEVP(終値!H252:AA252)/AVERAGE(終値!H252:AA252),""))</f>
        <v>6.4599514423857515E-2</v>
      </c>
      <c r="F252" s="503">
        <f>IF(終値!A252="","",IFERROR(4*STDEVP(終値!I252:AB252)/AVERAGE(終値!I252:AB252),""))</f>
        <v>5.9486997388230357E-2</v>
      </c>
      <c r="G252" s="503">
        <f>IF(終値!A252="","",IFERROR(4*STDEVP(終値!J252:AC252)/AVERAGE(終値!J252:AC252),""))</f>
        <v>5.632182312243704E-2</v>
      </c>
      <c r="H252" s="503">
        <f>IF(終値!A252="","",IFERROR(4*STDEVP(終値!K252:AD252)/AVERAGE(終値!K252:AD252),""))</f>
        <v>5.8380110177867921E-2</v>
      </c>
      <c r="I252" s="503">
        <f>IF(終値!A252="","",IFERROR(4*STDEVP(終値!L252:AE252)/AVERAGE(終値!L252:AE252),""))</f>
        <v>6.6643990956466392E-2</v>
      </c>
      <c r="J252" s="503">
        <f>IF(終値!A252="","",IFERROR(4*STDEVP(終値!M252:AF252)/AVERAGE(終値!M252:AF252),""))</f>
        <v>7.2403630393682097E-2</v>
      </c>
      <c r="K252" s="503">
        <f>IF(終値!A252="","",IFERROR(4*STDEVP(終値!N252:AG252)/AVERAGE(終値!N252:AG252),""))</f>
        <v>7.1005942524802745E-2</v>
      </c>
      <c r="L252" s="503">
        <f>IF(終値!A252="","",IFERROR(4*STDEVP(終値!O252:AH252)/AVERAGE(終値!O252:AH252),""))</f>
        <v>7.2009348334791293E-2</v>
      </c>
      <c r="M252" s="503">
        <f>IF(終値!A252="","",IFERROR(4*STDEVP(終値!P252:AI252)/AVERAGE(終値!P252:AI252),""))</f>
        <v>7.4294998519537594E-2</v>
      </c>
      <c r="N252" s="503">
        <f>IF(終値!A252="","",IFERROR(4*STDEVP(終値!Q252:AJ252)/AVERAGE(終値!Q252:AJ252),""))</f>
        <v>7.7568325666746415E-2</v>
      </c>
      <c r="O252" s="503">
        <f>IF(終値!A252="","",IFERROR(4*STDEVP(終値!R252:AK252)/AVERAGE(終値!R252:AK252),""))</f>
        <v>7.7630661562107725E-2</v>
      </c>
      <c r="P252" s="503">
        <f>IF(終値!A252="","",IFERROR(4*STDEVP(終値!S252:AL252)/AVERAGE(終値!S252:AL252),""))</f>
        <v>7.9121689212432206E-2</v>
      </c>
      <c r="Q252" s="503">
        <f>IF(終値!A252="","",IFERROR(4*STDEVP(終値!T252:AM252)/AVERAGE(終値!T252:AM252),""))</f>
        <v>8.0040050463796766E-2</v>
      </c>
      <c r="R252" s="503">
        <f>IF(終値!A252="","",IFERROR(4*STDEVP(終値!U252:AN252)/AVERAGE(終値!U252:AN252),""))</f>
        <v>7.8677759465587638E-2</v>
      </c>
      <c r="S252" s="503">
        <f>IF(終値!A252="","",IFERROR(4*STDEVP(終値!V252:AO252)/AVERAGE(終値!V252:AO252),""))</f>
        <v>8.2337115575290956E-2</v>
      </c>
      <c r="T252" s="503">
        <f>IF(終値!A252="","",IFERROR(4*STDEVP(終値!W252:AP252)/AVERAGE(終値!W252:AP252),""))</f>
        <v>8.2054600876482517E-2</v>
      </c>
      <c r="U252" s="503">
        <f>IF(終値!A252="","",IFERROR(4*STDEVP(終値!X252:AQ252)/AVERAGE(終値!X252:AQ252),""))</f>
        <v>8.6586184933602248E-2</v>
      </c>
      <c r="V252" s="503">
        <f>IF(終値!A252="","",IFERROR(4*STDEVP(終値!Y252:AR252)/AVERAGE(終値!Y252:AR252),""))</f>
        <v>8.4178596463376748E-2</v>
      </c>
      <c r="W252" s="503">
        <f>IF(終値!A252="","",IFERROR(4*STDEVP(終値!Z252:AS252)/AVERAGE(終値!Z252:AS252),""))</f>
        <v>8.341477158219017E-2</v>
      </c>
      <c r="X252" s="503">
        <f>IF(終値!A252="","",IFERROR(4*STDEVP(終値!AA252:AT252)/AVERAGE(終値!AA252:AT252),""))</f>
        <v>7.8453988189242638E-2</v>
      </c>
      <c r="Y252" s="503">
        <f>IF(終値!A252="","",IFERROR(4*STDEVP(終値!AB252:AU252)/AVERAGE(終値!AB252:AU252),""))</f>
        <v>6.2333467499360161E-2</v>
      </c>
      <c r="Z252" s="503">
        <f>IF(終値!A252="","",IFERROR(4*STDEVP(終値!AC252:AV252)/AVERAGE(終値!AC252:AV252),""))</f>
        <v>5.0722964396900709E-2</v>
      </c>
      <c r="AA252" s="503">
        <f>IF(終値!A252="","",IFERROR(4*STDEVP(終値!AD252:AW252)/AVERAGE(終値!AD252:AW252),""))</f>
        <v>4.8510147540145605E-2</v>
      </c>
      <c r="AB252" s="503">
        <f>IF(終値!A252="","",IFERROR(4*STDEVP(終値!AE252:AX252)/AVERAGE(終値!AE252:AX252),""))</f>
        <v>4.9489400076826652E-2</v>
      </c>
      <c r="AC252" s="503">
        <f>IF(終値!A252="","",IFERROR(4*STDEVP(終値!AF252:AY252)/AVERAGE(終値!AF252:AY252),""))</f>
        <v>5.2111602231445821E-2</v>
      </c>
      <c r="AD252" s="503">
        <f>IF(終値!A252="","",IFERROR(4*STDEVP(終値!AG252:AZ252)/AVERAGE(終値!AG252:AZ252),""))</f>
        <v>6.0396387146027186E-2</v>
      </c>
      <c r="AE252" s="503">
        <f>IF(終値!A252="","",IFERROR(4*STDEVP(終値!AH252:BA252)/AVERAGE(終値!AH252:BA252),""))</f>
        <v>6.1390903649828875E-2</v>
      </c>
      <c r="AF252" s="503">
        <f>IF(終値!A252="","",IFERROR(4*STDEVP(終値!AI252:BB252)/AVERAGE(終値!AI252:BB252),""))</f>
        <v>6.4104280804811467E-2</v>
      </c>
      <c r="AG252" s="503">
        <f>IF(終値!A252="","",IFERROR(4*STDEVP(終値!AJ252:BC252)/AVERAGE(終値!AJ252:BC252),""))</f>
        <v>6.6899391799663213E-2</v>
      </c>
      <c r="AH252" s="503">
        <f>IF(終値!A252="","",IFERROR(4*STDEVP(終値!AK252:BD252)/AVERAGE(終値!AK252:BD252),""))</f>
        <v>6.6766814609448499E-2</v>
      </c>
      <c r="AI252" s="503">
        <f>IF(終値!A252="","",IFERROR(4*STDEVP(終値!AL252:BE252)/AVERAGE(終値!AL252:BE252),""))</f>
        <v>7.5083002495059226E-2</v>
      </c>
      <c r="AJ252" s="503">
        <f>IF(終値!A252="","",IFERROR(4*STDEVP(終値!AM252:BF252)/AVERAGE(終値!AM252:BF252),""))</f>
        <v>0.10503710005166621</v>
      </c>
      <c r="AK252" s="503">
        <f>IF(終値!A252="","",IFERROR(4*STDEVP(終値!AN252:BG252)/AVERAGE(終値!AN252:BG252),""))</f>
        <v>0.10618636801297983</v>
      </c>
      <c r="AL252" s="503">
        <f>IF(終値!A252="","",IFERROR(4*STDEVP(終値!AO252:BH252)/AVERAGE(終値!AO252:BH252),""))</f>
        <v>0.10997329477623535</v>
      </c>
      <c r="AM252" s="503">
        <f>IF(終値!A252="","",IFERROR(4*STDEVP(終値!AP252:BI252)/AVERAGE(終値!AP252:BI252),""))</f>
        <v>0.10926327284165943</v>
      </c>
      <c r="AN252" s="503">
        <f>IF(終値!A252="","",IFERROR(4*STDEVP(終値!AQ252:BJ252)/AVERAGE(終値!AQ252:BJ252),""))</f>
        <v>0.10984610439923147</v>
      </c>
      <c r="AO252" s="503">
        <f>IF(終値!A252="","",IFERROR(4*STDEVP(終値!AR252:BK252)/AVERAGE(終値!AR252:BK252),""))</f>
        <v>0.10865176237148279</v>
      </c>
      <c r="AP252" s="503">
        <f>IF(終値!A252="","",IFERROR(4*STDEVP(終値!AS252:BL252)/AVERAGE(終値!AS252:BL252),""))</f>
        <v>0.10887551870414541</v>
      </c>
    </row>
    <row r="253" spans="1:42">
      <c r="A253" s="500" t="str">
        <f>IF(終値!A253="","",終値!A253)</f>
        <v>4776</v>
      </c>
      <c r="B253" s="503">
        <f>IF(終値!A253="","",IFERROR(4*STDEVP(終値!E253:X253)/AVERAGE(終値!E253:X253),""))</f>
        <v>0.12397868073598094</v>
      </c>
      <c r="C253" s="503">
        <f>IF(終値!A253="","",IFERROR(4*STDEVP(終値!F253:Y253)/AVERAGE(終値!F253:Y253),""))</f>
        <v>0.12532432987107997</v>
      </c>
      <c r="D253" s="503">
        <f>IF(終値!A253="","",IFERROR(4*STDEVP(終値!G253:Z253)/AVERAGE(終値!G253:Z253),""))</f>
        <v>0.13245504104319075</v>
      </c>
      <c r="E253" s="503">
        <f>IF(終値!A253="","",IFERROR(4*STDEVP(終値!H253:AA253)/AVERAGE(終値!H253:AA253),""))</f>
        <v>0.16605204725712316</v>
      </c>
      <c r="F253" s="503">
        <f>IF(終値!A253="","",IFERROR(4*STDEVP(終値!I253:AB253)/AVERAGE(終値!I253:AB253),""))</f>
        <v>0.18891637611531104</v>
      </c>
      <c r="G253" s="503">
        <f>IF(終値!A253="","",IFERROR(4*STDEVP(終値!J253:AC253)/AVERAGE(終値!J253:AC253),""))</f>
        <v>0.17841356505419492</v>
      </c>
      <c r="H253" s="503">
        <f>IF(終値!A253="","",IFERROR(4*STDEVP(終値!K253:AD253)/AVERAGE(終値!K253:AD253),""))</f>
        <v>0.21999550603678633</v>
      </c>
      <c r="I253" s="503">
        <f>IF(終値!A253="","",IFERROR(4*STDEVP(終値!L253:AE253)/AVERAGE(終値!L253:AE253),""))</f>
        <v>0.24678478327141556</v>
      </c>
      <c r="J253" s="503">
        <f>IF(終値!A253="","",IFERROR(4*STDEVP(終値!M253:AF253)/AVERAGE(終値!M253:AF253),""))</f>
        <v>0.26248155205603052</v>
      </c>
      <c r="K253" s="503">
        <f>IF(終値!A253="","",IFERROR(4*STDEVP(終値!N253:AG253)/AVERAGE(終値!N253:AG253),""))</f>
        <v>0.27787953673322568</v>
      </c>
      <c r="L253" s="503">
        <f>IF(終値!A253="","",IFERROR(4*STDEVP(終値!O253:AH253)/AVERAGE(終値!O253:AH253),""))</f>
        <v>0.28330489991285895</v>
      </c>
      <c r="M253" s="503">
        <f>IF(終値!A253="","",IFERROR(4*STDEVP(終値!P253:AI253)/AVERAGE(終値!P253:AI253),""))</f>
        <v>0.28120729722900284</v>
      </c>
      <c r="N253" s="503">
        <f>IF(終値!A253="","",IFERROR(4*STDEVP(終値!Q253:AJ253)/AVERAGE(終値!Q253:AJ253),""))</f>
        <v>0.27790388063598681</v>
      </c>
      <c r="O253" s="503">
        <f>IF(終値!A253="","",IFERROR(4*STDEVP(終値!R253:AK253)/AVERAGE(終値!R253:AK253),""))</f>
        <v>0.27708220250729992</v>
      </c>
      <c r="P253" s="503">
        <f>IF(終値!A253="","",IFERROR(4*STDEVP(終値!S253:AL253)/AVERAGE(終値!S253:AL253),""))</f>
        <v>0.2721869227392823</v>
      </c>
      <c r="Q253" s="503">
        <f>IF(終値!A253="","",IFERROR(4*STDEVP(終値!T253:AM253)/AVERAGE(終値!T253:AM253),""))</f>
        <v>0.26467695916386424</v>
      </c>
      <c r="R253" s="503">
        <f>IF(終値!A253="","",IFERROR(4*STDEVP(終値!U253:AN253)/AVERAGE(終値!U253:AN253),""))</f>
        <v>0.25384530270007855</v>
      </c>
      <c r="S253" s="503">
        <f>IF(終値!A253="","",IFERROR(4*STDEVP(終値!V253:AO253)/AVERAGE(終値!V253:AO253),""))</f>
        <v>0.23518144562275345</v>
      </c>
      <c r="T253" s="503">
        <f>IF(終値!A253="","",IFERROR(4*STDEVP(終値!W253:AP253)/AVERAGE(終値!W253:AP253),""))</f>
        <v>0.21107528452518587</v>
      </c>
      <c r="U253" s="503">
        <f>IF(終値!A253="","",IFERROR(4*STDEVP(終値!X253:AQ253)/AVERAGE(終値!X253:AQ253),""))</f>
        <v>0.18277985419819803</v>
      </c>
      <c r="V253" s="503">
        <f>IF(終値!A253="","",IFERROR(4*STDEVP(終値!Y253:AR253)/AVERAGE(終値!Y253:AR253),""))</f>
        <v>0.16299043177651551</v>
      </c>
      <c r="W253" s="503">
        <f>IF(終値!A253="","",IFERROR(4*STDEVP(終値!Z253:AS253)/AVERAGE(終値!Z253:AS253),""))</f>
        <v>0.14383794440032407</v>
      </c>
      <c r="X253" s="503">
        <f>IF(終値!A253="","",IFERROR(4*STDEVP(終値!AA253:AT253)/AVERAGE(終値!AA253:AT253),""))</f>
        <v>0.14301906383104904</v>
      </c>
      <c r="Y253" s="503">
        <f>IF(終値!A253="","",IFERROR(4*STDEVP(終値!AB253:AU253)/AVERAGE(終値!AB253:AU253),""))</f>
        <v>0.19133672484739433</v>
      </c>
      <c r="Z253" s="503">
        <f>IF(終値!A253="","",IFERROR(4*STDEVP(終値!AC253:AV253)/AVERAGE(終値!AC253:AV253),""))</f>
        <v>0.20303899950627224</v>
      </c>
      <c r="AA253" s="503">
        <f>IF(終値!A253="","",IFERROR(4*STDEVP(終値!AD253:AW253)/AVERAGE(終値!AD253:AW253),""))</f>
        <v>0.21168436667276866</v>
      </c>
      <c r="AB253" s="503">
        <f>IF(終値!A253="","",IFERROR(4*STDEVP(終値!AE253:AX253)/AVERAGE(終値!AE253:AX253),""))</f>
        <v>0.20500304317226786</v>
      </c>
      <c r="AC253" s="503">
        <f>IF(終値!A253="","",IFERROR(4*STDEVP(終値!AF253:AY253)/AVERAGE(終値!AF253:AY253),""))</f>
        <v>0.20051673513890431</v>
      </c>
      <c r="AD253" s="503">
        <f>IF(終値!A253="","",IFERROR(4*STDEVP(終値!AG253:AZ253)/AVERAGE(終値!AG253:AZ253),""))</f>
        <v>0.19402234222725703</v>
      </c>
      <c r="AE253" s="503">
        <f>IF(終値!A253="","",IFERROR(4*STDEVP(終値!AH253:BA253)/AVERAGE(終値!AH253:BA253),""))</f>
        <v>0.18142915349024064</v>
      </c>
      <c r="AF253" s="503">
        <f>IF(終値!A253="","",IFERROR(4*STDEVP(終値!AI253:BB253)/AVERAGE(終値!AI253:BB253),""))</f>
        <v>0.17442767674051265</v>
      </c>
      <c r="AG253" s="503">
        <f>IF(終値!A253="","",IFERROR(4*STDEVP(終値!AJ253:BC253)/AVERAGE(終値!AJ253:BC253),""))</f>
        <v>0.16862788449553667</v>
      </c>
      <c r="AH253" s="503">
        <f>IF(終値!A253="","",IFERROR(4*STDEVP(終値!AK253:BD253)/AVERAGE(終値!AK253:BD253),""))</f>
        <v>0.16940485111526138</v>
      </c>
      <c r="AI253" s="503">
        <f>IF(終値!A253="","",IFERROR(4*STDEVP(終値!AL253:BE253)/AVERAGE(終値!AL253:BE253),""))</f>
        <v>0.16201272603458616</v>
      </c>
      <c r="AJ253" s="503">
        <f>IF(終値!A253="","",IFERROR(4*STDEVP(終値!AM253:BF253)/AVERAGE(終値!AM253:BF253),""))</f>
        <v>0.19245704108348921</v>
      </c>
      <c r="AK253" s="503">
        <f>IF(終値!A253="","",IFERROR(4*STDEVP(終値!AN253:BG253)/AVERAGE(終値!AN253:BG253),""))</f>
        <v>0.20961778580595791</v>
      </c>
      <c r="AL253" s="503">
        <f>IF(終値!A253="","",IFERROR(4*STDEVP(終値!AO253:BH253)/AVERAGE(終値!AO253:BH253),""))</f>
        <v>0.23043812159207019</v>
      </c>
      <c r="AM253" s="503">
        <f>IF(終値!A253="","",IFERROR(4*STDEVP(終値!AP253:BI253)/AVERAGE(終値!AP253:BI253),""))</f>
        <v>0.24474979962579332</v>
      </c>
      <c r="AN253" s="503">
        <f>IF(終値!A253="","",IFERROR(4*STDEVP(終値!AQ253:BJ253)/AVERAGE(終値!AQ253:BJ253),""))</f>
        <v>0.2577483599060727</v>
      </c>
      <c r="AO253" s="503">
        <f>IF(終値!A253="","",IFERROR(4*STDEVP(終値!AR253:BK253)/AVERAGE(終値!AR253:BK253),""))</f>
        <v>0.27857026954899</v>
      </c>
      <c r="AP253" s="503">
        <f>IF(終値!A253="","",IFERROR(4*STDEVP(終値!AS253:BL253)/AVERAGE(終値!AS253:BL253),""))</f>
        <v>0.30093240161436835</v>
      </c>
    </row>
    <row r="254" spans="1:42">
      <c r="A254" s="500" t="str">
        <f>IF(終値!A254="","",終値!A254)</f>
        <v>4704</v>
      </c>
      <c r="B254" s="503">
        <f>IF(終値!A254="","",IFERROR(4*STDEVP(終値!E254:X254)/AVERAGE(終値!E254:X254),""))</f>
        <v>9.9762468310807012E-2</v>
      </c>
      <c r="C254" s="503">
        <f>IF(終値!A254="","",IFERROR(4*STDEVP(終値!F254:Y254)/AVERAGE(終値!F254:Y254),""))</f>
        <v>0.10066371938241042</v>
      </c>
      <c r="D254" s="503">
        <f>IF(終値!A254="","",IFERROR(4*STDEVP(終値!G254:Z254)/AVERAGE(終値!G254:Z254),""))</f>
        <v>0.10150947479198842</v>
      </c>
      <c r="E254" s="503">
        <f>IF(終値!A254="","",IFERROR(4*STDEVP(終値!H254:AA254)/AVERAGE(終値!H254:AA254),""))</f>
        <v>0.11673542608184426</v>
      </c>
      <c r="F254" s="503">
        <f>IF(終値!A254="","",IFERROR(4*STDEVP(終値!I254:AB254)/AVERAGE(終値!I254:AB254),""))</f>
        <v>0.11455188887367203</v>
      </c>
      <c r="G254" s="503">
        <f>IF(終値!A254="","",IFERROR(4*STDEVP(終値!J254:AC254)/AVERAGE(終値!J254:AC254),""))</f>
        <v>0.10218637226253713</v>
      </c>
      <c r="H254" s="503">
        <f>IF(終値!A254="","",IFERROR(4*STDEVP(終値!K254:AD254)/AVERAGE(終値!K254:AD254),""))</f>
        <v>0.13284286980477963</v>
      </c>
      <c r="I254" s="503">
        <f>IF(終値!A254="","",IFERROR(4*STDEVP(終値!L254:AE254)/AVERAGE(終値!L254:AE254),""))</f>
        <v>0.1474720593937611</v>
      </c>
      <c r="J254" s="503">
        <f>IF(終値!A254="","",IFERROR(4*STDEVP(終値!M254:AF254)/AVERAGE(終値!M254:AF254),""))</f>
        <v>0.16664285057039391</v>
      </c>
      <c r="K254" s="503">
        <f>IF(終値!A254="","",IFERROR(4*STDEVP(終値!N254:AG254)/AVERAGE(終値!N254:AG254),""))</f>
        <v>0.19277379890354973</v>
      </c>
      <c r="L254" s="503">
        <f>IF(終値!A254="","",IFERROR(4*STDEVP(終値!O254:AH254)/AVERAGE(終値!O254:AH254),""))</f>
        <v>0.20312085398689192</v>
      </c>
      <c r="M254" s="503">
        <f>IF(終値!A254="","",IFERROR(4*STDEVP(終値!P254:AI254)/AVERAGE(終値!P254:AI254),""))</f>
        <v>0.21145264319666734</v>
      </c>
      <c r="N254" s="503">
        <f>IF(終値!A254="","",IFERROR(4*STDEVP(終値!Q254:AJ254)/AVERAGE(終値!Q254:AJ254),""))</f>
        <v>0.20313371523386334</v>
      </c>
      <c r="O254" s="503">
        <f>IF(終値!A254="","",IFERROR(4*STDEVP(終値!R254:AK254)/AVERAGE(終値!R254:AK254),""))</f>
        <v>0.19819637638091486</v>
      </c>
      <c r="P254" s="503">
        <f>IF(終値!A254="","",IFERROR(4*STDEVP(終値!S254:AL254)/AVERAGE(終値!S254:AL254),""))</f>
        <v>0.19523527641340652</v>
      </c>
      <c r="Q254" s="503">
        <f>IF(終値!A254="","",IFERROR(4*STDEVP(終値!T254:AM254)/AVERAGE(終値!T254:AM254),""))</f>
        <v>0.19169750682198353</v>
      </c>
      <c r="R254" s="503">
        <f>IF(終値!A254="","",IFERROR(4*STDEVP(終値!U254:AN254)/AVERAGE(終値!U254:AN254),""))</f>
        <v>0.18557305252923867</v>
      </c>
      <c r="S254" s="503">
        <f>IF(終値!A254="","",IFERROR(4*STDEVP(終値!V254:AO254)/AVERAGE(終値!V254:AO254),""))</f>
        <v>0.18170300864222011</v>
      </c>
      <c r="T254" s="503">
        <f>IF(終値!A254="","",IFERROR(4*STDEVP(終値!W254:AP254)/AVERAGE(終値!W254:AP254),""))</f>
        <v>0.1807805428536402</v>
      </c>
      <c r="U254" s="503">
        <f>IF(終値!A254="","",IFERROR(4*STDEVP(終値!X254:AQ254)/AVERAGE(終値!X254:AQ254),""))</f>
        <v>0.17788810312895656</v>
      </c>
      <c r="V254" s="503">
        <f>IF(終値!A254="","",IFERROR(4*STDEVP(終値!Y254:AR254)/AVERAGE(終値!Y254:AR254),""))</f>
        <v>0.1994303209348928</v>
      </c>
      <c r="W254" s="503">
        <f>IF(終値!A254="","",IFERROR(4*STDEVP(終値!Z254:AS254)/AVERAGE(終値!Z254:AS254),""))</f>
        <v>0.19800724526967062</v>
      </c>
      <c r="X254" s="503">
        <f>IF(終値!A254="","",IFERROR(4*STDEVP(終値!AA254:AT254)/AVERAGE(終値!AA254:AT254),""))</f>
        <v>0.20084857802578115</v>
      </c>
      <c r="Y254" s="503">
        <f>IF(終値!A254="","",IFERROR(4*STDEVP(終値!AB254:AU254)/AVERAGE(終値!AB254:AU254),""))</f>
        <v>0.20916191246366139</v>
      </c>
      <c r="Z254" s="503">
        <f>IF(終値!A254="","",IFERROR(4*STDEVP(終値!AC254:AV254)/AVERAGE(終値!AC254:AV254),""))</f>
        <v>0.20922859982370481</v>
      </c>
      <c r="AA254" s="503">
        <f>IF(終値!A254="","",IFERROR(4*STDEVP(終値!AD254:AW254)/AVERAGE(終値!AD254:AW254),""))</f>
        <v>0.20968726711795724</v>
      </c>
      <c r="AB254" s="503">
        <f>IF(終値!A254="","",IFERROR(4*STDEVP(終値!AE254:AX254)/AVERAGE(終値!AE254:AX254),""))</f>
        <v>0.2017030125328807</v>
      </c>
      <c r="AC254" s="503">
        <f>IF(終値!A254="","",IFERROR(4*STDEVP(終値!AF254:AY254)/AVERAGE(終値!AF254:AY254),""))</f>
        <v>0.20299274208815932</v>
      </c>
      <c r="AD254" s="503">
        <f>IF(終値!A254="","",IFERROR(4*STDEVP(終値!AG254:AZ254)/AVERAGE(終値!AG254:AZ254),""))</f>
        <v>0.19549336253526398</v>
      </c>
      <c r="AE254" s="503">
        <f>IF(終値!A254="","",IFERROR(4*STDEVP(終値!AH254:BA254)/AVERAGE(終値!AH254:BA254),""))</f>
        <v>0.17651755966971897</v>
      </c>
      <c r="AF254" s="503">
        <f>IF(終値!A254="","",IFERROR(4*STDEVP(終値!AI254:BB254)/AVERAGE(終値!AI254:BB254),""))</f>
        <v>0.16570520805613798</v>
      </c>
      <c r="AG254" s="503">
        <f>IF(終値!A254="","",IFERROR(4*STDEVP(終値!AJ254:BC254)/AVERAGE(終値!AJ254:BC254),""))</f>
        <v>0.14903505291315045</v>
      </c>
      <c r="AH254" s="503">
        <f>IF(終値!A254="","",IFERROR(4*STDEVP(終値!AK254:BD254)/AVERAGE(終値!AK254:BD254),""))</f>
        <v>0.14915261265568358</v>
      </c>
      <c r="AI254" s="503">
        <f>IF(終値!A254="","",IFERROR(4*STDEVP(終値!AL254:BE254)/AVERAGE(終値!AL254:BE254),""))</f>
        <v>0.16565589622269269</v>
      </c>
      <c r="AJ254" s="503">
        <f>IF(終値!A254="","",IFERROR(4*STDEVP(終値!AM254:BF254)/AVERAGE(終値!AM254:BF254),""))</f>
        <v>0.18234337188994473</v>
      </c>
      <c r="AK254" s="503">
        <f>IF(終値!A254="","",IFERROR(4*STDEVP(終値!AN254:BG254)/AVERAGE(終値!AN254:BG254),""))</f>
        <v>0.19266496959636814</v>
      </c>
      <c r="AL254" s="503">
        <f>IF(終値!A254="","",IFERROR(4*STDEVP(終値!AO254:BH254)/AVERAGE(終値!AO254:BH254),""))</f>
        <v>0.20351147515603771</v>
      </c>
      <c r="AM254" s="503">
        <f>IF(終値!A254="","",IFERROR(4*STDEVP(終値!AP254:BI254)/AVERAGE(終値!AP254:BI254),""))</f>
        <v>0.21181585521995105</v>
      </c>
      <c r="AN254" s="503">
        <f>IF(終値!A254="","",IFERROR(4*STDEVP(終値!AQ254:BJ254)/AVERAGE(終値!AQ254:BJ254),""))</f>
        <v>0.21734922944791327</v>
      </c>
      <c r="AO254" s="503">
        <f>IF(終値!A254="","",IFERROR(4*STDEVP(終値!AR254:BK254)/AVERAGE(終値!AR254:BK254),""))</f>
        <v>0.22218397972504803</v>
      </c>
      <c r="AP254" s="503">
        <f>IF(終値!A254="","",IFERROR(4*STDEVP(終値!AS254:BL254)/AVERAGE(終値!AS254:BL254),""))</f>
        <v>0.21437692312914575</v>
      </c>
    </row>
    <row r="255" spans="1:42">
      <c r="A255" s="500" t="str">
        <f>IF(終値!A255="","",終値!A255)</f>
        <v>6370</v>
      </c>
      <c r="B255" s="503">
        <f>IF(終値!A255="","",IFERROR(4*STDEVP(終値!E255:X255)/AVERAGE(終値!E255:X255),""))</f>
        <v>0.14908466136289245</v>
      </c>
      <c r="C255" s="503">
        <f>IF(終値!A255="","",IFERROR(4*STDEVP(終値!F255:Y255)/AVERAGE(終値!F255:Y255),""))</f>
        <v>0.15813065829286763</v>
      </c>
      <c r="D255" s="503">
        <f>IF(終値!A255="","",IFERROR(4*STDEVP(終値!G255:Z255)/AVERAGE(終値!G255:Z255),""))</f>
        <v>0.15861776684746712</v>
      </c>
      <c r="E255" s="503">
        <f>IF(終値!A255="","",IFERROR(4*STDEVP(終値!H255:AA255)/AVERAGE(終値!H255:AA255),""))</f>
        <v>0.16654247523959348</v>
      </c>
      <c r="F255" s="503">
        <f>IF(終値!A255="","",IFERROR(4*STDEVP(終値!I255:AB255)/AVERAGE(終値!I255:AB255),""))</f>
        <v>0.14834823340790551</v>
      </c>
      <c r="G255" s="503">
        <f>IF(終値!A255="","",IFERROR(4*STDEVP(終値!J255:AC255)/AVERAGE(終値!J255:AC255),""))</f>
        <v>0.12371591397483692</v>
      </c>
      <c r="H255" s="503">
        <f>IF(終値!A255="","",IFERROR(4*STDEVP(終値!K255:AD255)/AVERAGE(終値!K255:AD255),""))</f>
        <v>9.9671062620636658E-2</v>
      </c>
      <c r="I255" s="503">
        <f>IF(終値!A255="","",IFERROR(4*STDEVP(終値!L255:AE255)/AVERAGE(終値!L255:AE255),""))</f>
        <v>0.10389782402995841</v>
      </c>
      <c r="J255" s="503">
        <f>IF(終値!A255="","",IFERROR(4*STDEVP(終値!M255:AF255)/AVERAGE(終値!M255:AF255),""))</f>
        <v>0.10397014065834019</v>
      </c>
      <c r="K255" s="503">
        <f>IF(終値!A255="","",IFERROR(4*STDEVP(終値!N255:AG255)/AVERAGE(終値!N255:AG255),""))</f>
        <v>0.10518467037391893</v>
      </c>
      <c r="L255" s="503">
        <f>IF(終値!A255="","",IFERROR(4*STDEVP(終値!O255:AH255)/AVERAGE(終値!O255:AH255),""))</f>
        <v>0.11167441373498158</v>
      </c>
      <c r="M255" s="503">
        <f>IF(終値!A255="","",IFERROR(4*STDEVP(終値!P255:AI255)/AVERAGE(終値!P255:AI255),""))</f>
        <v>0.11325499713110344</v>
      </c>
      <c r="N255" s="503">
        <f>IF(終値!A255="","",IFERROR(4*STDEVP(終値!Q255:AJ255)/AVERAGE(終値!Q255:AJ255),""))</f>
        <v>0.10081903458019729</v>
      </c>
      <c r="O255" s="503">
        <f>IF(終値!A255="","",IFERROR(4*STDEVP(終値!R255:AK255)/AVERAGE(終値!R255:AK255),""))</f>
        <v>0.10167276114048747</v>
      </c>
      <c r="P255" s="503">
        <f>IF(終値!A255="","",IFERROR(4*STDEVP(終値!S255:AL255)/AVERAGE(終値!S255:AL255),""))</f>
        <v>0.10045195864648224</v>
      </c>
      <c r="Q255" s="503">
        <f>IF(終値!A255="","",IFERROR(4*STDEVP(終値!T255:AM255)/AVERAGE(終値!T255:AM255),""))</f>
        <v>0.11167174356885617</v>
      </c>
      <c r="R255" s="503">
        <f>IF(終値!A255="","",IFERROR(4*STDEVP(終値!U255:AN255)/AVERAGE(終値!U255:AN255),""))</f>
        <v>0.13694311202267925</v>
      </c>
      <c r="S255" s="503">
        <f>IF(終値!A255="","",IFERROR(4*STDEVP(終値!V255:AO255)/AVERAGE(終値!V255:AO255),""))</f>
        <v>0.16940068049895446</v>
      </c>
      <c r="T255" s="503">
        <f>IF(終値!A255="","",IFERROR(4*STDEVP(終値!W255:AP255)/AVERAGE(終値!W255:AP255),""))</f>
        <v>0.18804031284973055</v>
      </c>
      <c r="U255" s="503">
        <f>IF(終値!A255="","",IFERROR(4*STDEVP(終値!X255:AQ255)/AVERAGE(終値!X255:AQ255),""))</f>
        <v>0.20453193653676022</v>
      </c>
      <c r="V255" s="503">
        <f>IF(終値!A255="","",IFERROR(4*STDEVP(終値!Y255:AR255)/AVERAGE(終値!Y255:AR255),""))</f>
        <v>0.2027229102728991</v>
      </c>
      <c r="W255" s="503">
        <f>IF(終値!A255="","",IFERROR(4*STDEVP(終値!Z255:AS255)/AVERAGE(終値!Z255:AS255),""))</f>
        <v>0.20086133967464445</v>
      </c>
      <c r="X255" s="503">
        <f>IF(終値!A255="","",IFERROR(4*STDEVP(終値!AA255:AT255)/AVERAGE(終値!AA255:AT255),""))</f>
        <v>0.20148068488019322</v>
      </c>
      <c r="Y255" s="503">
        <f>IF(終値!A255="","",IFERROR(4*STDEVP(終値!AB255:AU255)/AVERAGE(終値!AB255:AU255),""))</f>
        <v>0.20276973052070893</v>
      </c>
      <c r="Z255" s="503">
        <f>IF(終値!A255="","",IFERROR(4*STDEVP(終値!AC255:AV255)/AVERAGE(終値!AC255:AV255),""))</f>
        <v>0.20303876373182503</v>
      </c>
      <c r="AA255" s="503">
        <f>IF(終値!A255="","",IFERROR(4*STDEVP(終値!AD255:AW255)/AVERAGE(終値!AD255:AW255),""))</f>
        <v>0.20426447036577924</v>
      </c>
      <c r="AB255" s="503">
        <f>IF(終値!A255="","",IFERROR(4*STDEVP(終値!AE255:AX255)/AVERAGE(終値!AE255:AX255),""))</f>
        <v>0.20401855710634306</v>
      </c>
      <c r="AC255" s="503">
        <f>IF(終値!A255="","",IFERROR(4*STDEVP(終値!AF255:AY255)/AVERAGE(終値!AF255:AY255),""))</f>
        <v>0.19880792084997528</v>
      </c>
      <c r="AD255" s="503">
        <f>IF(終値!A255="","",IFERROR(4*STDEVP(終値!AG255:AZ255)/AVERAGE(終値!AG255:AZ255),""))</f>
        <v>0.19642019320119866</v>
      </c>
      <c r="AE255" s="503">
        <f>IF(終値!A255="","",IFERROR(4*STDEVP(終値!AH255:BA255)/AVERAGE(終値!AH255:BA255),""))</f>
        <v>0.19370039584287499</v>
      </c>
      <c r="AF255" s="503">
        <f>IF(終値!A255="","",IFERROR(4*STDEVP(終値!AI255:BB255)/AVERAGE(終値!AI255:BB255),""))</f>
        <v>0.18216446317622209</v>
      </c>
      <c r="AG255" s="503">
        <f>IF(終値!A255="","",IFERROR(4*STDEVP(終値!AJ255:BC255)/AVERAGE(終値!AJ255:BC255),""))</f>
        <v>0.16173031857676809</v>
      </c>
      <c r="AH255" s="503">
        <f>IF(終値!A255="","",IFERROR(4*STDEVP(終値!AK255:BD255)/AVERAGE(終値!AK255:BD255),""))</f>
        <v>0.1368998301347209</v>
      </c>
      <c r="AI255" s="503">
        <f>IF(終値!A255="","",IFERROR(4*STDEVP(終値!AL255:BE255)/AVERAGE(終値!AL255:BE255),""))</f>
        <v>0.12105766285723071</v>
      </c>
      <c r="AJ255" s="503">
        <f>IF(終値!A255="","",IFERROR(4*STDEVP(終値!AM255:BF255)/AVERAGE(終値!AM255:BF255),""))</f>
        <v>0.10867473921720225</v>
      </c>
      <c r="AK255" s="503">
        <f>IF(終値!A255="","",IFERROR(4*STDEVP(終値!AN255:BG255)/AVERAGE(終値!AN255:BG255),""))</f>
        <v>0.11219721146102847</v>
      </c>
      <c r="AL255" s="503">
        <f>IF(終値!A255="","",IFERROR(4*STDEVP(終値!AO255:BH255)/AVERAGE(終値!AO255:BH255),""))</f>
        <v>0.11494910112556464</v>
      </c>
      <c r="AM255" s="503">
        <f>IF(終値!A255="","",IFERROR(4*STDEVP(終値!AP255:BI255)/AVERAGE(終値!AP255:BI255),""))</f>
        <v>0.10147337326386119</v>
      </c>
      <c r="AN255" s="503">
        <f>IF(終値!A255="","",IFERROR(4*STDEVP(終値!AQ255:BJ255)/AVERAGE(終値!AQ255:BJ255),""))</f>
        <v>8.6082300221992022E-2</v>
      </c>
      <c r="AO255" s="503">
        <f>IF(終値!A255="","",IFERROR(4*STDEVP(終値!AR255:BK255)/AVERAGE(終値!AR255:BK255),""))</f>
        <v>8.1901465246613334E-2</v>
      </c>
      <c r="AP255" s="503">
        <f>IF(終値!A255="","",IFERROR(4*STDEVP(終値!AS255:BL255)/AVERAGE(終値!AS255:BL255),""))</f>
        <v>0.10773343917513394</v>
      </c>
    </row>
    <row r="256" spans="1:42">
      <c r="A256" s="500" t="str">
        <f>IF(終値!A256="","",終値!A256)</f>
        <v>7014</v>
      </c>
      <c r="B256" s="503">
        <f>IF(終値!A256="","",IFERROR(4*STDEVP(終値!E256:X256)/AVERAGE(終値!E256:X256),""))</f>
        <v>0.20763645818789586</v>
      </c>
      <c r="C256" s="503">
        <f>IF(終値!A256="","",IFERROR(4*STDEVP(終値!F256:Y256)/AVERAGE(終値!F256:Y256),""))</f>
        <v>0.22902206239146872</v>
      </c>
      <c r="D256" s="503">
        <f>IF(終値!A256="","",IFERROR(4*STDEVP(終値!G256:Z256)/AVERAGE(終値!G256:Z256),""))</f>
        <v>0.25307727334704416</v>
      </c>
      <c r="E256" s="503">
        <f>IF(終値!A256="","",IFERROR(4*STDEVP(終値!H256:AA256)/AVERAGE(終値!H256:AA256),""))</f>
        <v>0.26905404839476121</v>
      </c>
      <c r="F256" s="503">
        <f>IF(終値!A256="","",IFERROR(4*STDEVP(終値!I256:AB256)/AVERAGE(終値!I256:AB256),""))</f>
        <v>0.28140716983263026</v>
      </c>
      <c r="G256" s="503">
        <f>IF(終値!A256="","",IFERROR(4*STDEVP(終値!J256:AC256)/AVERAGE(終値!J256:AC256),""))</f>
        <v>0.29123586241024002</v>
      </c>
      <c r="H256" s="503">
        <f>IF(終値!A256="","",IFERROR(4*STDEVP(終値!K256:AD256)/AVERAGE(終値!K256:AD256),""))</f>
        <v>0.2785699641670889</v>
      </c>
      <c r="I256" s="503">
        <f>IF(終値!A256="","",IFERROR(4*STDEVP(終値!L256:AE256)/AVERAGE(終値!L256:AE256),""))</f>
        <v>0.25245814640501041</v>
      </c>
      <c r="J256" s="503">
        <f>IF(終値!A256="","",IFERROR(4*STDEVP(終値!M256:AF256)/AVERAGE(終値!M256:AF256),""))</f>
        <v>0.23576462977696261</v>
      </c>
      <c r="K256" s="503">
        <f>IF(終値!A256="","",IFERROR(4*STDEVP(終値!N256:AG256)/AVERAGE(終値!N256:AG256),""))</f>
        <v>0.21691388706802592</v>
      </c>
      <c r="L256" s="503">
        <f>IF(終値!A256="","",IFERROR(4*STDEVP(終値!O256:AH256)/AVERAGE(終値!O256:AH256),""))</f>
        <v>0.19946058866390182</v>
      </c>
      <c r="M256" s="503">
        <f>IF(終値!A256="","",IFERROR(4*STDEVP(終値!P256:AI256)/AVERAGE(終値!P256:AI256),""))</f>
        <v>0.19819946445257053</v>
      </c>
      <c r="N256" s="503">
        <f>IF(終値!A256="","",IFERROR(4*STDEVP(終値!Q256:AJ256)/AVERAGE(終値!Q256:AJ256),""))</f>
        <v>0.19860885239559709</v>
      </c>
      <c r="O256" s="503">
        <f>IF(終値!A256="","",IFERROR(4*STDEVP(終値!R256:AK256)/AVERAGE(終値!R256:AK256),""))</f>
        <v>0.19212138778756449</v>
      </c>
      <c r="P256" s="503">
        <f>IF(終値!A256="","",IFERROR(4*STDEVP(終値!S256:AL256)/AVERAGE(終値!S256:AL256),""))</f>
        <v>0.19057098021445906</v>
      </c>
      <c r="Q256" s="503">
        <f>IF(終値!A256="","",IFERROR(4*STDEVP(終値!T256:AM256)/AVERAGE(終値!T256:AM256),""))</f>
        <v>0.19051360852211707</v>
      </c>
      <c r="R256" s="503">
        <f>IF(終値!A256="","",IFERROR(4*STDEVP(終値!U256:AN256)/AVERAGE(終値!U256:AN256),""))</f>
        <v>0.19752872565021168</v>
      </c>
      <c r="S256" s="503">
        <f>IF(終値!A256="","",IFERROR(4*STDEVP(終値!V256:AO256)/AVERAGE(終値!V256:AO256),""))</f>
        <v>0.21207117909839734</v>
      </c>
      <c r="T256" s="503">
        <f>IF(終値!A256="","",IFERROR(4*STDEVP(終値!W256:AP256)/AVERAGE(終値!W256:AP256),""))</f>
        <v>0.22237054421252547</v>
      </c>
      <c r="U256" s="503">
        <f>IF(終値!A256="","",IFERROR(4*STDEVP(終値!X256:AQ256)/AVERAGE(終値!X256:AQ256),""))</f>
        <v>0.18956655270012024</v>
      </c>
      <c r="V256" s="503">
        <f>IF(終値!A256="","",IFERROR(4*STDEVP(終値!Y256:AR256)/AVERAGE(終値!Y256:AR256),""))</f>
        <v>0.14425009479241691</v>
      </c>
      <c r="W256" s="503">
        <f>IF(終値!A256="","",IFERROR(4*STDEVP(終値!Z256:AS256)/AVERAGE(終値!Z256:AS256),""))</f>
        <v>0.15323075001642578</v>
      </c>
      <c r="X256" s="503">
        <f>IF(終値!A256="","",IFERROR(4*STDEVP(終値!AA256:AT256)/AVERAGE(終値!AA256:AT256),""))</f>
        <v>0.15375549743652989</v>
      </c>
      <c r="Y256" s="503">
        <f>IF(終値!A256="","",IFERROR(4*STDEVP(終値!AB256:AU256)/AVERAGE(終値!AB256:AU256),""))</f>
        <v>0.15651287380843112</v>
      </c>
      <c r="Z256" s="503">
        <f>IF(終値!A256="","",IFERROR(4*STDEVP(終値!AC256:AV256)/AVERAGE(終値!AC256:AV256),""))</f>
        <v>0.15548450478570705</v>
      </c>
      <c r="AA256" s="503">
        <f>IF(終値!A256="","",IFERROR(4*STDEVP(終値!AD256:AW256)/AVERAGE(終値!AD256:AW256),""))</f>
        <v>0.1579579424537558</v>
      </c>
      <c r="AB256" s="503">
        <f>IF(終値!A256="","",IFERROR(4*STDEVP(終値!AE256:AX256)/AVERAGE(終値!AE256:AX256),""))</f>
        <v>0.18489862731274975</v>
      </c>
      <c r="AC256" s="503">
        <f>IF(終値!A256="","",IFERROR(4*STDEVP(終値!AF256:AY256)/AVERAGE(終値!AF256:AY256),""))</f>
        <v>0.20566022349850191</v>
      </c>
      <c r="AD256" s="503">
        <f>IF(終値!A256="","",IFERROR(4*STDEVP(終値!AG256:AZ256)/AVERAGE(終値!AG256:AZ256),""))</f>
        <v>0.2064817960092907</v>
      </c>
      <c r="AE256" s="503">
        <f>IF(終値!A256="","",IFERROR(4*STDEVP(終値!AH256:BA256)/AVERAGE(終値!AH256:BA256),""))</f>
        <v>0.20626519373465865</v>
      </c>
      <c r="AF256" s="503">
        <f>IF(終値!A256="","",IFERROR(4*STDEVP(終値!AI256:BB256)/AVERAGE(終値!AI256:BB256),""))</f>
        <v>0.20462996167784334</v>
      </c>
      <c r="AG256" s="503">
        <f>IF(終値!A256="","",IFERROR(4*STDEVP(終値!AJ256:BC256)/AVERAGE(終値!AJ256:BC256),""))</f>
        <v>0.20645101799808233</v>
      </c>
      <c r="AH256" s="503">
        <f>IF(終値!A256="","",IFERROR(4*STDEVP(終値!AK256:BD256)/AVERAGE(終値!AK256:BD256),""))</f>
        <v>0.22835356245431521</v>
      </c>
      <c r="AI256" s="503">
        <f>IF(終値!A256="","",IFERROR(4*STDEVP(終値!AL256:BE256)/AVERAGE(終値!AL256:BE256),""))</f>
        <v>0.27094522994773806</v>
      </c>
      <c r="AJ256" s="503">
        <f>IF(終値!A256="","",IFERROR(4*STDEVP(終値!AM256:BF256)/AVERAGE(終値!AM256:BF256),""))</f>
        <v>0.27181464651697307</v>
      </c>
      <c r="AK256" s="503">
        <f>IF(終値!A256="","",IFERROR(4*STDEVP(終値!AN256:BG256)/AVERAGE(終値!AN256:BG256),""))</f>
        <v>0.27873622722639368</v>
      </c>
      <c r="AL256" s="503">
        <f>IF(終値!A256="","",IFERROR(4*STDEVP(終値!AO256:BH256)/AVERAGE(終値!AO256:BH256),""))</f>
        <v>0.27802681252551659</v>
      </c>
      <c r="AM256" s="503">
        <f>IF(終値!A256="","",IFERROR(4*STDEVP(終値!AP256:BI256)/AVERAGE(終値!AP256:BI256),""))</f>
        <v>0.26692351487650928</v>
      </c>
      <c r="AN256" s="503">
        <f>IF(終値!A256="","",IFERROR(4*STDEVP(終値!AQ256:BJ256)/AVERAGE(終値!AQ256:BJ256),""))</f>
        <v>0.2495527756438454</v>
      </c>
      <c r="AO256" s="503">
        <f>IF(終値!A256="","",IFERROR(4*STDEVP(終値!AR256:BK256)/AVERAGE(終値!AR256:BK256),""))</f>
        <v>0.24500710750002733</v>
      </c>
      <c r="AP256" s="503">
        <f>IF(終値!A256="","",IFERROR(4*STDEVP(終値!AS256:BL256)/AVERAGE(終値!AS256:BL256),""))</f>
        <v>0.24306557640666962</v>
      </c>
    </row>
    <row r="257" spans="1:42">
      <c r="A257" s="500" t="str">
        <f>IF(終値!A257="","",終値!A257)</f>
        <v>9880</v>
      </c>
      <c r="B257" s="503">
        <f>IF(終値!A257="","",IFERROR(4*STDEVP(終値!E257:X257)/AVERAGE(終値!E257:X257),""))</f>
        <v>0.21923990858143846</v>
      </c>
      <c r="C257" s="503">
        <f>IF(終値!A257="","",IFERROR(4*STDEVP(終値!F257:Y257)/AVERAGE(終値!F257:Y257),""))</f>
        <v>0.23830981743656943</v>
      </c>
      <c r="D257" s="503">
        <f>IF(終値!A257="","",IFERROR(4*STDEVP(終値!G257:Z257)/AVERAGE(終値!G257:Z257),""))</f>
        <v>0.25410838591834345</v>
      </c>
      <c r="E257" s="503">
        <f>IF(終値!A257="","",IFERROR(4*STDEVP(終値!H257:AA257)/AVERAGE(終値!H257:AA257),""))</f>
        <v>0.27876043282654456</v>
      </c>
      <c r="F257" s="503">
        <f>IF(終値!A257="","",IFERROR(4*STDEVP(終値!I257:AB257)/AVERAGE(終値!I257:AB257),""))</f>
        <v>0.28776751932746475</v>
      </c>
      <c r="G257" s="503">
        <f>IF(終値!A257="","",IFERROR(4*STDEVP(終値!J257:AC257)/AVERAGE(終値!J257:AC257),""))</f>
        <v>0.27167374175046205</v>
      </c>
      <c r="H257" s="503">
        <f>IF(終値!A257="","",IFERROR(4*STDEVP(終値!K257:AD257)/AVERAGE(終値!K257:AD257),""))</f>
        <v>0.27659718903094638</v>
      </c>
      <c r="I257" s="503">
        <f>IF(終値!A257="","",IFERROR(4*STDEVP(終値!L257:AE257)/AVERAGE(終値!L257:AE257),""))</f>
        <v>0.30767763756165872</v>
      </c>
      <c r="J257" s="503">
        <f>IF(終値!A257="","",IFERROR(4*STDEVP(終値!M257:AF257)/AVERAGE(終値!M257:AF257),""))</f>
        <v>0.31656369648912153</v>
      </c>
      <c r="K257" s="503">
        <f>IF(終値!A257="","",IFERROR(4*STDEVP(終値!N257:AG257)/AVERAGE(終値!N257:AG257),""))</f>
        <v>0.33451336002545667</v>
      </c>
      <c r="L257" s="503">
        <f>IF(終値!A257="","",IFERROR(4*STDEVP(終値!O257:AH257)/AVERAGE(終値!O257:AH257),""))</f>
        <v>0.36735292568250311</v>
      </c>
      <c r="M257" s="503">
        <f>IF(終値!A257="","",IFERROR(4*STDEVP(終値!P257:AI257)/AVERAGE(終値!P257:AI257),""))</f>
        <v>0.35938732402583001</v>
      </c>
      <c r="N257" s="503">
        <f>IF(終値!A257="","",IFERROR(4*STDEVP(終値!Q257:AJ257)/AVERAGE(終値!Q257:AJ257),""))</f>
        <v>0.3316892620273737</v>
      </c>
      <c r="O257" s="503">
        <f>IF(終値!A257="","",IFERROR(4*STDEVP(終値!R257:AK257)/AVERAGE(終値!R257:AK257),""))</f>
        <v>0.3220531373132921</v>
      </c>
      <c r="P257" s="503">
        <f>IF(終値!A257="","",IFERROR(4*STDEVP(終値!S257:AL257)/AVERAGE(終値!S257:AL257),""))</f>
        <v>0.30490436551530026</v>
      </c>
      <c r="Q257" s="503">
        <f>IF(終値!A257="","",IFERROR(4*STDEVP(終値!T257:AM257)/AVERAGE(終値!T257:AM257),""))</f>
        <v>0.28549689310037485</v>
      </c>
      <c r="R257" s="503">
        <f>IF(終値!A257="","",IFERROR(4*STDEVP(終値!U257:AN257)/AVERAGE(終値!U257:AN257),""))</f>
        <v>0.26879393555838588</v>
      </c>
      <c r="S257" s="503">
        <f>IF(終値!A257="","",IFERROR(4*STDEVP(終値!V257:AO257)/AVERAGE(終値!V257:AO257),""))</f>
        <v>0.24612036341250756</v>
      </c>
      <c r="T257" s="503">
        <f>IF(終値!A257="","",IFERROR(4*STDEVP(終値!W257:AP257)/AVERAGE(終値!W257:AP257),""))</f>
        <v>0.21859427914455309</v>
      </c>
      <c r="U257" s="503">
        <f>IF(終値!A257="","",IFERROR(4*STDEVP(終値!X257:AQ257)/AVERAGE(終値!X257:AQ257),""))</f>
        <v>0.18745315725514755</v>
      </c>
      <c r="V257" s="503">
        <f>IF(終値!A257="","",IFERROR(4*STDEVP(終値!Y257:AR257)/AVERAGE(終値!Y257:AR257),""))</f>
        <v>0.19103783042985051</v>
      </c>
      <c r="W257" s="503">
        <f>IF(終値!A257="","",IFERROR(4*STDEVP(終値!Z257:AS257)/AVERAGE(終値!Z257:AS257),""))</f>
        <v>0.19649333500489438</v>
      </c>
      <c r="X257" s="503">
        <f>IF(終値!A257="","",IFERROR(4*STDEVP(終値!AA257:AT257)/AVERAGE(終値!AA257:AT257),""))</f>
        <v>0.18155804760901789</v>
      </c>
      <c r="Y257" s="503">
        <f>IF(終値!A257="","",IFERROR(4*STDEVP(終値!AB257:AU257)/AVERAGE(終値!AB257:AU257),""))</f>
        <v>0.17150643933206577</v>
      </c>
      <c r="Z257" s="503">
        <f>IF(終値!A257="","",IFERROR(4*STDEVP(終値!AC257:AV257)/AVERAGE(終値!AC257:AV257),""))</f>
        <v>0.16437700185557488</v>
      </c>
      <c r="AA257" s="503">
        <f>IF(終値!A257="","",IFERROR(4*STDEVP(終値!AD257:AW257)/AVERAGE(終値!AD257:AW257),""))</f>
        <v>0.15326797068023623</v>
      </c>
      <c r="AB257" s="503">
        <f>IF(終値!A257="","",IFERROR(4*STDEVP(終値!AE257:AX257)/AVERAGE(終値!AE257:AX257),""))</f>
        <v>0.15224620844760076</v>
      </c>
      <c r="AC257" s="503">
        <f>IF(終値!A257="","",IFERROR(4*STDEVP(終値!AF257:AY257)/AVERAGE(終値!AF257:AY257),""))</f>
        <v>0.16748629325209577</v>
      </c>
      <c r="AD257" s="503">
        <f>IF(終値!A257="","",IFERROR(4*STDEVP(終値!AG257:AZ257)/AVERAGE(終値!AG257:AZ257),""))</f>
        <v>0.1674064780500637</v>
      </c>
      <c r="AE257" s="503">
        <f>IF(終値!A257="","",IFERROR(4*STDEVP(終値!AH257:BA257)/AVERAGE(終値!AH257:BA257),""))</f>
        <v>0.16735492605472443</v>
      </c>
      <c r="AF257" s="503">
        <f>IF(終値!A257="","",IFERROR(4*STDEVP(終値!AI257:BB257)/AVERAGE(終値!AI257:BB257),""))</f>
        <v>0.15856395648718385</v>
      </c>
      <c r="AG257" s="503">
        <f>IF(終値!A257="","",IFERROR(4*STDEVP(終値!AJ257:BC257)/AVERAGE(終値!AJ257:BC257),""))</f>
        <v>0.15870338196853598</v>
      </c>
      <c r="AH257" s="503">
        <f>IF(終値!A257="","",IFERROR(4*STDEVP(終値!AK257:BD257)/AVERAGE(終値!AK257:BD257),""))</f>
        <v>0.16912760684021216</v>
      </c>
      <c r="AI257" s="503">
        <f>IF(終値!A257="","",IFERROR(4*STDEVP(終値!AL257:BE257)/AVERAGE(終値!AL257:BE257),""))</f>
        <v>0.18825900094147821</v>
      </c>
      <c r="AJ257" s="503">
        <f>IF(終値!A257="","",IFERROR(4*STDEVP(終値!AM257:BF257)/AVERAGE(終値!AM257:BF257),""))</f>
        <v>0.26023712622645978</v>
      </c>
      <c r="AK257" s="503">
        <f>IF(終値!A257="","",IFERROR(4*STDEVP(終値!AN257:BG257)/AVERAGE(終値!AN257:BG257),""))</f>
        <v>0.32572943436364232</v>
      </c>
      <c r="AL257" s="503">
        <f>IF(終値!A257="","",IFERROR(4*STDEVP(終値!AO257:BH257)/AVERAGE(終値!AO257:BH257),""))</f>
        <v>0.36808451499511136</v>
      </c>
      <c r="AM257" s="503">
        <f>IF(終値!A257="","",IFERROR(4*STDEVP(終値!AP257:BI257)/AVERAGE(終値!AP257:BI257),""))</f>
        <v>0.40389480130421557</v>
      </c>
      <c r="AN257" s="503">
        <f>IF(終値!A257="","",IFERROR(4*STDEVP(終値!AQ257:BJ257)/AVERAGE(終値!AQ257:BJ257),""))</f>
        <v>0.4504988073227475</v>
      </c>
      <c r="AO257" s="503">
        <f>IF(終値!A257="","",IFERROR(4*STDEVP(終値!AR257:BK257)/AVERAGE(終値!AR257:BK257),""))</f>
        <v>0.48944986099416499</v>
      </c>
      <c r="AP257" s="503">
        <f>IF(終値!A257="","",IFERROR(4*STDEVP(終値!AS257:BL257)/AVERAGE(終値!AS257:BL257),""))</f>
        <v>0.55222535576574094</v>
      </c>
    </row>
    <row r="258" spans="1:42">
      <c r="A258" s="500" t="str">
        <f>IF(終値!A258="","",終値!A258)</f>
        <v>5253</v>
      </c>
      <c r="B258" s="503">
        <f>IF(終値!A258="","",IFERROR(4*STDEVP(終値!E258:X258)/AVERAGE(終値!E258:X258),""))</f>
        <v>0.18571323089971589</v>
      </c>
      <c r="C258" s="503">
        <f>IF(終値!A258="","",IFERROR(4*STDEVP(終値!F258:Y258)/AVERAGE(終値!F258:Y258),""))</f>
        <v>0.1691442939771228</v>
      </c>
      <c r="D258" s="503">
        <f>IF(終値!A258="","",IFERROR(4*STDEVP(終値!G258:Z258)/AVERAGE(終値!G258:Z258),""))</f>
        <v>0.16885622350536478</v>
      </c>
      <c r="E258" s="503">
        <f>IF(終値!A258="","",IFERROR(4*STDEVP(終値!H258:AA258)/AVERAGE(終値!H258:AA258),""))</f>
        <v>0.20955022882410643</v>
      </c>
      <c r="F258" s="503">
        <f>IF(終値!A258="","",IFERROR(4*STDEVP(終値!I258:AB258)/AVERAGE(終値!I258:AB258),""))</f>
        <v>0.24513473130683108</v>
      </c>
      <c r="G258" s="503">
        <f>IF(終値!A258="","",IFERROR(4*STDEVP(終値!J258:AC258)/AVERAGE(終値!J258:AC258),""))</f>
        <v>0.27871888658291677</v>
      </c>
      <c r="H258" s="503">
        <f>IF(終値!A258="","",IFERROR(4*STDEVP(終値!K258:AD258)/AVERAGE(終値!K258:AD258),""))</f>
        <v>0.3487605569919916</v>
      </c>
      <c r="I258" s="503">
        <f>IF(終値!A258="","",IFERROR(4*STDEVP(終値!L258:AE258)/AVERAGE(終値!L258:AE258),""))</f>
        <v>0.41648935093176753</v>
      </c>
      <c r="J258" s="503">
        <f>IF(終値!A258="","",IFERROR(4*STDEVP(終値!M258:AF258)/AVERAGE(終値!M258:AF258),""))</f>
        <v>0.45899519991652493</v>
      </c>
      <c r="K258" s="503">
        <f>IF(終値!A258="","",IFERROR(4*STDEVP(終値!N258:AG258)/AVERAGE(終値!N258:AG258),""))</f>
        <v>0.49831815330912016</v>
      </c>
      <c r="L258" s="503">
        <f>IF(終値!A258="","",IFERROR(4*STDEVP(終値!O258:AH258)/AVERAGE(終値!O258:AH258),""))</f>
        <v>0.50511844340446543</v>
      </c>
      <c r="M258" s="503">
        <f>IF(終値!A258="","",IFERROR(4*STDEVP(終値!P258:AI258)/AVERAGE(終値!P258:AI258),""))</f>
        <v>0.51111867684207746</v>
      </c>
      <c r="N258" s="503">
        <f>IF(終値!A258="","",IFERROR(4*STDEVP(終値!Q258:AJ258)/AVERAGE(終値!Q258:AJ258),""))</f>
        <v>0.50187567171066139</v>
      </c>
      <c r="O258" s="503">
        <f>IF(終値!A258="","",IFERROR(4*STDEVP(終値!R258:AK258)/AVERAGE(終値!R258:AK258),""))</f>
        <v>0.48102092708672123</v>
      </c>
      <c r="P258" s="503">
        <f>IF(終値!A258="","",IFERROR(4*STDEVP(終値!S258:AL258)/AVERAGE(終値!S258:AL258),""))</f>
        <v>0.45671697870135169</v>
      </c>
      <c r="Q258" s="503">
        <f>IF(終値!A258="","",IFERROR(4*STDEVP(終値!T258:AM258)/AVERAGE(終値!T258:AM258),""))</f>
        <v>0.43808545840238972</v>
      </c>
      <c r="R258" s="503">
        <f>IF(終値!A258="","",IFERROR(4*STDEVP(終値!U258:AN258)/AVERAGE(終値!U258:AN258),""))</f>
        <v>0.42148530609134699</v>
      </c>
      <c r="S258" s="503">
        <f>IF(終値!A258="","",IFERROR(4*STDEVP(終値!V258:AO258)/AVERAGE(終値!V258:AO258),""))</f>
        <v>0.40389832517080571</v>
      </c>
      <c r="T258" s="503">
        <f>IF(終値!A258="","",IFERROR(4*STDEVP(終値!W258:AP258)/AVERAGE(終値!W258:AP258),""))</f>
        <v>0.38759465441536739</v>
      </c>
      <c r="U258" s="503">
        <f>IF(終値!A258="","",IFERROR(4*STDEVP(終値!X258:AQ258)/AVERAGE(終値!X258:AQ258),""))</f>
        <v>0.39021099985829688</v>
      </c>
      <c r="V258" s="503">
        <f>IF(終値!A258="","",IFERROR(4*STDEVP(終値!Y258:AR258)/AVERAGE(終値!Y258:AR258),""))</f>
        <v>0.39339071982566259</v>
      </c>
      <c r="W258" s="503">
        <f>IF(終値!A258="","",IFERROR(4*STDEVP(終値!Z258:AS258)/AVERAGE(終値!Z258:AS258),""))</f>
        <v>0.40225098690869926</v>
      </c>
      <c r="X258" s="503">
        <f>IF(終値!A258="","",IFERROR(4*STDEVP(終値!AA258:AT258)/AVERAGE(終値!AA258:AT258),""))</f>
        <v>0.42542662429024114</v>
      </c>
      <c r="Y258" s="503">
        <f>IF(終値!A258="","",IFERROR(4*STDEVP(終値!AB258:AU258)/AVERAGE(終値!AB258:AU258),""))</f>
        <v>0.44124919999268292</v>
      </c>
      <c r="Z258" s="503">
        <f>IF(終値!A258="","",IFERROR(4*STDEVP(終値!AC258:AV258)/AVERAGE(終値!AC258:AV258),""))</f>
        <v>0.44977412257806354</v>
      </c>
      <c r="AA258" s="503">
        <f>IF(終値!A258="","",IFERROR(4*STDEVP(終値!AD258:AW258)/AVERAGE(終値!AD258:AW258),""))</f>
        <v>0.45303966743809898</v>
      </c>
      <c r="AB258" s="503">
        <f>IF(終値!A258="","",IFERROR(4*STDEVP(終値!AE258:AX258)/AVERAGE(終値!AE258:AX258),""))</f>
        <v>0.42975481130804705</v>
      </c>
      <c r="AC258" s="503">
        <f>IF(終値!A258="","",IFERROR(4*STDEVP(終値!AF258:AY258)/AVERAGE(終値!AF258:AY258),""))</f>
        <v>0.40151609471590405</v>
      </c>
      <c r="AD258" s="503">
        <f>IF(終値!A258="","",IFERROR(4*STDEVP(終値!AG258:AZ258)/AVERAGE(終値!AG258:AZ258),""))</f>
        <v>0.37624742203389189</v>
      </c>
      <c r="AE258" s="503">
        <f>IF(終値!A258="","",IFERROR(4*STDEVP(終値!AH258:BA258)/AVERAGE(終値!AH258:BA258),""))</f>
        <v>0.33985792848032825</v>
      </c>
      <c r="AF258" s="503">
        <f>IF(終値!A258="","",IFERROR(4*STDEVP(終値!AI258:BB258)/AVERAGE(終値!AI258:BB258),""))</f>
        <v>0.3088241824141863</v>
      </c>
      <c r="AG258" s="503">
        <f>IF(終値!A258="","",IFERROR(4*STDEVP(終値!AJ258:BC258)/AVERAGE(終値!AJ258:BC258),""))</f>
        <v>0.26937261818418423</v>
      </c>
      <c r="AH258" s="503">
        <f>IF(終値!A258="","",IFERROR(4*STDEVP(終値!AK258:BD258)/AVERAGE(終値!AK258:BD258),""))</f>
        <v>0.25553321773307341</v>
      </c>
      <c r="AI258" s="503">
        <f>IF(終値!A258="","",IFERROR(4*STDEVP(終値!AL258:BE258)/AVERAGE(終値!AL258:BE258),""))</f>
        <v>0.25260287308523244</v>
      </c>
      <c r="AJ258" s="503">
        <f>IF(終値!A258="","",IFERROR(4*STDEVP(終値!AM258:BF258)/AVERAGE(終値!AM258:BF258),""))</f>
        <v>0.24868410094869664</v>
      </c>
      <c r="AK258" s="503">
        <f>IF(終値!A258="","",IFERROR(4*STDEVP(終値!AN258:BG258)/AVERAGE(終値!AN258:BG258),""))</f>
        <v>0.24603032656662066</v>
      </c>
      <c r="AL258" s="503">
        <f>IF(終値!A258="","",IFERROR(4*STDEVP(終値!AO258:BH258)/AVERAGE(終値!AO258:BH258),""))</f>
        <v>0.25731139280664744</v>
      </c>
      <c r="AM258" s="503">
        <f>IF(終値!A258="","",IFERROR(4*STDEVP(終値!AP258:BI258)/AVERAGE(終値!AP258:BI258),""))</f>
        <v>0.27413784017252235</v>
      </c>
      <c r="AN258" s="503">
        <f>IF(終値!A258="","",IFERROR(4*STDEVP(終値!AQ258:BJ258)/AVERAGE(終値!AQ258:BJ258),""))</f>
        <v>0.28803797671024944</v>
      </c>
      <c r="AO258" s="503">
        <f>IF(終値!A258="","",IFERROR(4*STDEVP(終値!AR258:BK258)/AVERAGE(終値!AR258:BK258),""))</f>
        <v>0.30157175915564882</v>
      </c>
      <c r="AP258" s="503">
        <f>IF(終値!A258="","",IFERROR(4*STDEVP(終値!AS258:BL258)/AVERAGE(終値!AS258:BL258),""))</f>
        <v>0.30972595555972959</v>
      </c>
    </row>
    <row r="259" spans="1:42">
      <c r="A259" s="500" t="str">
        <f>IF(終値!A259="","",終値!A259)</f>
        <v>9104</v>
      </c>
      <c r="B259" s="503">
        <f>IF(終値!A259="","",IFERROR(4*STDEVP(終値!E259:X259)/AVERAGE(終値!E259:X259),""))</f>
        <v>0.16465124732602715</v>
      </c>
      <c r="C259" s="503">
        <f>IF(終値!A259="","",IFERROR(4*STDEVP(終値!F259:Y259)/AVERAGE(終値!F259:Y259),""))</f>
        <v>0.16943352331179082</v>
      </c>
      <c r="D259" s="503">
        <f>IF(終値!A259="","",IFERROR(4*STDEVP(終値!G259:Z259)/AVERAGE(終値!G259:Z259),""))</f>
        <v>0.18538645269862197</v>
      </c>
      <c r="E259" s="503">
        <f>IF(終値!A259="","",IFERROR(4*STDEVP(終値!H259:AA259)/AVERAGE(終値!H259:AA259),""))</f>
        <v>0.19988771356305152</v>
      </c>
      <c r="F259" s="503">
        <f>IF(終値!A259="","",IFERROR(4*STDEVP(終値!I259:AB259)/AVERAGE(終値!I259:AB259),""))</f>
        <v>0.19765803406739507</v>
      </c>
      <c r="G259" s="503">
        <f>IF(終値!A259="","",IFERROR(4*STDEVP(終値!J259:AC259)/AVERAGE(終値!J259:AC259),""))</f>
        <v>0.18972285909400669</v>
      </c>
      <c r="H259" s="503">
        <f>IF(終値!A259="","",IFERROR(4*STDEVP(終値!K259:AD259)/AVERAGE(終値!K259:AD259),""))</f>
        <v>0.18387167232507406</v>
      </c>
      <c r="I259" s="503">
        <f>IF(終値!A259="","",IFERROR(4*STDEVP(終値!L259:AE259)/AVERAGE(終値!L259:AE259),""))</f>
        <v>0.16980707597662786</v>
      </c>
      <c r="J259" s="503">
        <f>IF(終値!A259="","",IFERROR(4*STDEVP(終値!M259:AF259)/AVERAGE(終値!M259:AF259),""))</f>
        <v>0.15441160956491262</v>
      </c>
      <c r="K259" s="503">
        <f>IF(終値!A259="","",IFERROR(4*STDEVP(終値!N259:AG259)/AVERAGE(終値!N259:AG259),""))</f>
        <v>0.139227701580206</v>
      </c>
      <c r="L259" s="503">
        <f>IF(終値!A259="","",IFERROR(4*STDEVP(終値!O259:AH259)/AVERAGE(終値!O259:AH259),""))</f>
        <v>0.12087010985077024</v>
      </c>
      <c r="M259" s="503">
        <f>IF(終値!A259="","",IFERROR(4*STDEVP(終値!P259:AI259)/AVERAGE(終値!P259:AI259),""))</f>
        <v>0.10816389364447192</v>
      </c>
      <c r="N259" s="503">
        <f>IF(終値!A259="","",IFERROR(4*STDEVP(終値!Q259:AJ259)/AVERAGE(終値!Q259:AJ259),""))</f>
        <v>9.7053254568917474E-2</v>
      </c>
      <c r="O259" s="503">
        <f>IF(終値!A259="","",IFERROR(4*STDEVP(終値!R259:AK259)/AVERAGE(終値!R259:AK259),""))</f>
        <v>8.6170939220743814E-2</v>
      </c>
      <c r="P259" s="503">
        <f>IF(終値!A259="","",IFERROR(4*STDEVP(終値!S259:AL259)/AVERAGE(終値!S259:AL259),""))</f>
        <v>9.0372359476276948E-2</v>
      </c>
      <c r="Q259" s="503">
        <f>IF(終値!A259="","",IFERROR(4*STDEVP(終値!T259:AM259)/AVERAGE(終値!T259:AM259),""))</f>
        <v>0.10937984683319761</v>
      </c>
      <c r="R259" s="503">
        <f>IF(終値!A259="","",IFERROR(4*STDEVP(終値!U259:AN259)/AVERAGE(終値!U259:AN259),""))</f>
        <v>0.13047513426052085</v>
      </c>
      <c r="S259" s="503">
        <f>IF(終値!A259="","",IFERROR(4*STDEVP(終値!V259:AO259)/AVERAGE(終値!V259:AO259),""))</f>
        <v>0.14182062976791202</v>
      </c>
      <c r="T259" s="503">
        <f>IF(終値!A259="","",IFERROR(4*STDEVP(終値!W259:AP259)/AVERAGE(終値!W259:AP259),""))</f>
        <v>0.15111963965565692</v>
      </c>
      <c r="U259" s="503">
        <f>IF(終値!A259="","",IFERROR(4*STDEVP(終値!X259:AQ259)/AVERAGE(終値!X259:AQ259),""))</f>
        <v>0.16311622767302003</v>
      </c>
      <c r="V259" s="503">
        <f>IF(終値!A259="","",IFERROR(4*STDEVP(終値!Y259:AR259)/AVERAGE(終値!Y259:AR259),""))</f>
        <v>0.17513593954884357</v>
      </c>
      <c r="W259" s="503">
        <f>IF(終値!A259="","",IFERROR(4*STDEVP(終値!Z259:AS259)/AVERAGE(終値!Z259:AS259),""))</f>
        <v>0.17137812845687866</v>
      </c>
      <c r="X259" s="503">
        <f>IF(終値!A259="","",IFERROR(4*STDEVP(終値!AA259:AT259)/AVERAGE(終値!AA259:AT259),""))</f>
        <v>0.16262630958315974</v>
      </c>
      <c r="Y259" s="503">
        <f>IF(終値!A259="","",IFERROR(4*STDEVP(終値!AB259:AU259)/AVERAGE(終値!AB259:AU259),""))</f>
        <v>0.14604982126379773</v>
      </c>
      <c r="Z259" s="503">
        <f>IF(終値!A259="","",IFERROR(4*STDEVP(終値!AC259:AV259)/AVERAGE(終値!AC259:AV259),""))</f>
        <v>0.13909669235747338</v>
      </c>
      <c r="AA259" s="503">
        <f>IF(終値!A259="","",IFERROR(4*STDEVP(終値!AD259:AW259)/AVERAGE(終値!AD259:AW259),""))</f>
        <v>0.13274938195279329</v>
      </c>
      <c r="AB259" s="503">
        <f>IF(終値!A259="","",IFERROR(4*STDEVP(終値!AE259:AX259)/AVERAGE(終値!AE259:AX259),""))</f>
        <v>0.12451232411742308</v>
      </c>
      <c r="AC259" s="503">
        <f>IF(終値!A259="","",IFERROR(4*STDEVP(終値!AF259:AY259)/AVERAGE(終値!AF259:AY259),""))</f>
        <v>0.11704572649687718</v>
      </c>
      <c r="AD259" s="503">
        <f>IF(終値!A259="","",IFERROR(4*STDEVP(終値!AG259:AZ259)/AVERAGE(終値!AG259:AZ259),""))</f>
        <v>0.11552275711862205</v>
      </c>
      <c r="AE259" s="503">
        <f>IF(終値!A259="","",IFERROR(4*STDEVP(終値!AH259:BA259)/AVERAGE(終値!AH259:BA259),""))</f>
        <v>0.11274081907176237</v>
      </c>
      <c r="AF259" s="503">
        <f>IF(終値!A259="","",IFERROR(4*STDEVP(終値!AI259:BB259)/AVERAGE(終値!AI259:BB259),""))</f>
        <v>0.10942975311060026</v>
      </c>
      <c r="AG259" s="503">
        <f>IF(終値!A259="","",IFERROR(4*STDEVP(終値!AJ259:BC259)/AVERAGE(終値!AJ259:BC259),""))</f>
        <v>0.10204372951615887</v>
      </c>
      <c r="AH259" s="503">
        <f>IF(終値!A259="","",IFERROR(4*STDEVP(終値!AK259:BD259)/AVERAGE(終値!AK259:BD259),""))</f>
        <v>9.9841308291883119E-2</v>
      </c>
      <c r="AI259" s="503">
        <f>IF(終値!A259="","",IFERROR(4*STDEVP(終値!AL259:BE259)/AVERAGE(終値!AL259:BE259),""))</f>
        <v>0.10018781827854076</v>
      </c>
      <c r="AJ259" s="503">
        <f>IF(終値!A259="","",IFERROR(4*STDEVP(終値!AM259:BF259)/AVERAGE(終値!AM259:BF259),""))</f>
        <v>0.10544511929241918</v>
      </c>
      <c r="AK259" s="503">
        <f>IF(終値!A259="","",IFERROR(4*STDEVP(終値!AN259:BG259)/AVERAGE(終値!AN259:BG259),""))</f>
        <v>0.10972933937791432</v>
      </c>
      <c r="AL259" s="503">
        <f>IF(終値!A259="","",IFERROR(4*STDEVP(終値!AO259:BH259)/AVERAGE(終値!AO259:BH259),""))</f>
        <v>0.11187193825611279</v>
      </c>
      <c r="AM259" s="503">
        <f>IF(終値!A259="","",IFERROR(4*STDEVP(終値!AP259:BI259)/AVERAGE(終値!AP259:BI259),""))</f>
        <v>0.11316584026472881</v>
      </c>
      <c r="AN259" s="503">
        <f>IF(終値!A259="","",IFERROR(4*STDEVP(終値!AQ259:BJ259)/AVERAGE(終値!AQ259:BJ259),""))</f>
        <v>0.11382140965855347</v>
      </c>
      <c r="AO259" s="503">
        <f>IF(終値!A259="","",IFERROR(4*STDEVP(終値!AR259:BK259)/AVERAGE(終値!AR259:BK259),""))</f>
        <v>0.11641586340031446</v>
      </c>
      <c r="AP259" s="503">
        <f>IF(終値!A259="","",IFERROR(4*STDEVP(終値!AS259:BL259)/AVERAGE(終値!AS259:BL259),""))</f>
        <v>0.12009388501905205</v>
      </c>
    </row>
    <row r="260" spans="1:42">
      <c r="A260" s="500" t="str">
        <f>IF(終値!A260="","",終値!A260)</f>
        <v>6366</v>
      </c>
      <c r="B260" s="503">
        <f>IF(終値!A260="","",IFERROR(4*STDEVP(終値!E260:X260)/AVERAGE(終値!E260:X260),""))</f>
        <v>0.19005248035773548</v>
      </c>
      <c r="C260" s="503">
        <f>IF(終値!A260="","",IFERROR(4*STDEVP(終値!F260:Y260)/AVERAGE(終値!F260:Y260),""))</f>
        <v>0.18924277484796331</v>
      </c>
      <c r="D260" s="503">
        <f>IF(終値!A260="","",IFERROR(4*STDEVP(終値!G260:Z260)/AVERAGE(終値!G260:Z260),""))</f>
        <v>0.18234265625399426</v>
      </c>
      <c r="E260" s="503">
        <f>IF(終値!A260="","",IFERROR(4*STDEVP(終値!H260:AA260)/AVERAGE(終値!H260:AA260),""))</f>
        <v>0.18554239119157587</v>
      </c>
      <c r="F260" s="503">
        <f>IF(終値!A260="","",IFERROR(4*STDEVP(終値!I260:AB260)/AVERAGE(終値!I260:AB260),""))</f>
        <v>0.17174658132604054</v>
      </c>
      <c r="G260" s="503">
        <f>IF(終値!A260="","",IFERROR(4*STDEVP(終値!J260:AC260)/AVERAGE(終値!J260:AC260),""))</f>
        <v>0.15231944741481471</v>
      </c>
      <c r="H260" s="503">
        <f>IF(終値!A260="","",IFERROR(4*STDEVP(終値!K260:AD260)/AVERAGE(終値!K260:AD260),""))</f>
        <v>0.15325833322558233</v>
      </c>
      <c r="I260" s="503">
        <f>IF(終値!A260="","",IFERROR(4*STDEVP(終値!L260:AE260)/AVERAGE(終値!L260:AE260),""))</f>
        <v>0.14617263994961624</v>
      </c>
      <c r="J260" s="503">
        <f>IF(終値!A260="","",IFERROR(4*STDEVP(終値!M260:AF260)/AVERAGE(終値!M260:AF260),""))</f>
        <v>0.15271301184900793</v>
      </c>
      <c r="K260" s="503">
        <f>IF(終値!A260="","",IFERROR(4*STDEVP(終値!N260:AG260)/AVERAGE(終値!N260:AG260),""))</f>
        <v>0.1525578483646638</v>
      </c>
      <c r="L260" s="503">
        <f>IF(終値!A260="","",IFERROR(4*STDEVP(終値!O260:AH260)/AVERAGE(終値!O260:AH260),""))</f>
        <v>0.15937774877249739</v>
      </c>
      <c r="M260" s="503">
        <f>IF(終値!A260="","",IFERROR(4*STDEVP(終値!P260:AI260)/AVERAGE(終値!P260:AI260),""))</f>
        <v>0.18047500119208196</v>
      </c>
      <c r="N260" s="503">
        <f>IF(終値!A260="","",IFERROR(4*STDEVP(終値!Q260:AJ260)/AVERAGE(終値!Q260:AJ260),""))</f>
        <v>0.18828137453573365</v>
      </c>
      <c r="O260" s="503">
        <f>IF(終値!A260="","",IFERROR(4*STDEVP(終値!R260:AK260)/AVERAGE(終値!R260:AK260),""))</f>
        <v>0.22153369280251947</v>
      </c>
      <c r="P260" s="503">
        <f>IF(終値!A260="","",IFERROR(4*STDEVP(終値!S260:AL260)/AVERAGE(終値!S260:AL260),""))</f>
        <v>0.22537399096023356</v>
      </c>
      <c r="Q260" s="503">
        <f>IF(終値!A260="","",IFERROR(4*STDEVP(終値!T260:AM260)/AVERAGE(終値!T260:AM260),""))</f>
        <v>0.21961709439643365</v>
      </c>
      <c r="R260" s="503">
        <f>IF(終値!A260="","",IFERROR(4*STDEVP(終値!U260:AN260)/AVERAGE(終値!U260:AN260),""))</f>
        <v>0.21588668773408634</v>
      </c>
      <c r="S260" s="503">
        <f>IF(終値!A260="","",IFERROR(4*STDEVP(終値!V260:AO260)/AVERAGE(終値!V260:AO260),""))</f>
        <v>0.22256466150500689</v>
      </c>
      <c r="T260" s="503">
        <f>IF(終値!A260="","",IFERROR(4*STDEVP(終値!W260:AP260)/AVERAGE(終値!W260:AP260),""))</f>
        <v>0.229818250642181</v>
      </c>
      <c r="U260" s="503">
        <f>IF(終値!A260="","",IFERROR(4*STDEVP(終値!X260:AQ260)/AVERAGE(終値!X260:AQ260),""))</f>
        <v>0.23026205902725469</v>
      </c>
      <c r="V260" s="503">
        <f>IF(終値!A260="","",IFERROR(4*STDEVP(終値!Y260:AR260)/AVERAGE(終値!Y260:AR260),""))</f>
        <v>0.22834338014224925</v>
      </c>
      <c r="W260" s="503">
        <f>IF(終値!A260="","",IFERROR(4*STDEVP(終値!Z260:AS260)/AVERAGE(終値!Z260:AS260),""))</f>
        <v>0.22683402627809646</v>
      </c>
      <c r="X260" s="503">
        <f>IF(終値!A260="","",IFERROR(4*STDEVP(終値!AA260:AT260)/AVERAGE(終値!AA260:AT260),""))</f>
        <v>0.22501908089768863</v>
      </c>
      <c r="Y260" s="503">
        <f>IF(終値!A260="","",IFERROR(4*STDEVP(終値!AB260:AU260)/AVERAGE(終値!AB260:AU260),""))</f>
        <v>0.20794841272330061</v>
      </c>
      <c r="Z260" s="503">
        <f>IF(終値!A260="","",IFERROR(4*STDEVP(終値!AC260:AV260)/AVERAGE(終値!AC260:AV260),""))</f>
        <v>0.20161894416628745</v>
      </c>
      <c r="AA260" s="503">
        <f>IF(終値!A260="","",IFERROR(4*STDEVP(終値!AD260:AW260)/AVERAGE(終値!AD260:AW260),""))</f>
        <v>0.19728818841938811</v>
      </c>
      <c r="AB260" s="503">
        <f>IF(終値!A260="","",IFERROR(4*STDEVP(終値!AE260:AX260)/AVERAGE(終値!AE260:AX260),""))</f>
        <v>0.19322372029978135</v>
      </c>
      <c r="AC260" s="503">
        <f>IF(終値!A260="","",IFERROR(4*STDEVP(終値!AF260:AY260)/AVERAGE(終値!AF260:AY260),""))</f>
        <v>0.20659647131639408</v>
      </c>
      <c r="AD260" s="503">
        <f>IF(終値!A260="","",IFERROR(4*STDEVP(終値!AG260:AZ260)/AVERAGE(終値!AG260:AZ260),""))</f>
        <v>0.20649626502624707</v>
      </c>
      <c r="AE260" s="503">
        <f>IF(終値!A260="","",IFERROR(4*STDEVP(終値!AH260:BA260)/AVERAGE(終値!AH260:BA260),""))</f>
        <v>0.20472543257584633</v>
      </c>
      <c r="AF260" s="503">
        <f>IF(終値!A260="","",IFERROR(4*STDEVP(終値!AI260:BB260)/AVERAGE(終値!AI260:BB260),""))</f>
        <v>0.20679086539038413</v>
      </c>
      <c r="AG260" s="503">
        <f>IF(終値!A260="","",IFERROR(4*STDEVP(終値!AJ260:BC260)/AVERAGE(終値!AJ260:BC260),""))</f>
        <v>0.20888461875694977</v>
      </c>
      <c r="AH260" s="503">
        <f>IF(終値!A260="","",IFERROR(4*STDEVP(終値!AK260:BD260)/AVERAGE(終値!AK260:BD260),""))</f>
        <v>0.20438415326485304</v>
      </c>
      <c r="AI260" s="503">
        <f>IF(終値!A260="","",IFERROR(4*STDEVP(終値!AL260:BE260)/AVERAGE(終値!AL260:BE260),""))</f>
        <v>0.21156554452438159</v>
      </c>
      <c r="AJ260" s="503">
        <f>IF(終値!A260="","",IFERROR(4*STDEVP(終値!AM260:BF260)/AVERAGE(終値!AM260:BF260),""))</f>
        <v>0.23163386409903927</v>
      </c>
      <c r="AK260" s="503">
        <f>IF(終値!A260="","",IFERROR(4*STDEVP(終値!AN260:BG260)/AVERAGE(終値!AN260:BG260),""))</f>
        <v>0.24914246973329093</v>
      </c>
      <c r="AL260" s="503">
        <f>IF(終値!A260="","",IFERROR(4*STDEVP(終値!AO260:BH260)/AVERAGE(終値!AO260:BH260),""))</f>
        <v>0.25092513123672877</v>
      </c>
      <c r="AM260" s="503">
        <f>IF(終値!A260="","",IFERROR(4*STDEVP(終値!AP260:BI260)/AVERAGE(終値!AP260:BI260),""))</f>
        <v>0.25240651149593052</v>
      </c>
      <c r="AN260" s="503">
        <f>IF(終値!A260="","",IFERROR(4*STDEVP(終値!AQ260:BJ260)/AVERAGE(終値!AQ260:BJ260),""))</f>
        <v>0.34659155561061245</v>
      </c>
      <c r="AO260" s="503">
        <f>IF(終値!A260="","",IFERROR(4*STDEVP(終値!AR260:BK260)/AVERAGE(終値!AR260:BK260),""))</f>
        <v>0.44189319584674769</v>
      </c>
      <c r="AP260" s="503">
        <f>IF(終値!A260="","",IFERROR(4*STDEVP(終値!AS260:BL260)/AVERAGE(終値!AS260:BL260),""))</f>
        <v>0.49673583463343857</v>
      </c>
    </row>
    <row r="261" spans="1:42">
      <c r="A261" s="500" t="str">
        <f>IF(終値!A261="","",終値!A261)</f>
        <v>6140</v>
      </c>
      <c r="B261" s="503">
        <f>IF(終値!A261="","",IFERROR(4*STDEVP(終値!E261:X261)/AVERAGE(終値!E261:X261),""))</f>
        <v>0.17663251850630599</v>
      </c>
      <c r="C261" s="503">
        <f>IF(終値!A261="","",IFERROR(4*STDEVP(終値!F261:Y261)/AVERAGE(終値!F261:Y261),""))</f>
        <v>0.19249799706884513</v>
      </c>
      <c r="D261" s="503">
        <f>IF(終値!A261="","",IFERROR(4*STDEVP(終値!G261:Z261)/AVERAGE(終値!G261:Z261),""))</f>
        <v>0.19435429819038863</v>
      </c>
      <c r="E261" s="503">
        <f>IF(終値!A261="","",IFERROR(4*STDEVP(終値!H261:AA261)/AVERAGE(終値!H261:AA261),""))</f>
        <v>0.19590687421910508</v>
      </c>
      <c r="F261" s="503">
        <f>IF(終値!A261="","",IFERROR(4*STDEVP(終値!I261:AB261)/AVERAGE(終値!I261:AB261),""))</f>
        <v>0.17718355405389694</v>
      </c>
      <c r="G261" s="503">
        <f>IF(終値!A261="","",IFERROR(4*STDEVP(終値!J261:AC261)/AVERAGE(終値!J261:AC261),""))</f>
        <v>0.1486563159825266</v>
      </c>
      <c r="H261" s="503">
        <f>IF(終値!A261="","",IFERROR(4*STDEVP(終値!K261:AD261)/AVERAGE(終値!K261:AD261),""))</f>
        <v>0.12107778813414018</v>
      </c>
      <c r="I261" s="503">
        <f>IF(終値!A261="","",IFERROR(4*STDEVP(終値!L261:AE261)/AVERAGE(終値!L261:AE261),""))</f>
        <v>0.11758277637650391</v>
      </c>
      <c r="J261" s="503">
        <f>IF(終値!A261="","",IFERROR(4*STDEVP(終値!M261:AF261)/AVERAGE(終値!M261:AF261),""))</f>
        <v>0.11465435653750657</v>
      </c>
      <c r="K261" s="503">
        <f>IF(終値!A261="","",IFERROR(4*STDEVP(終値!N261:AG261)/AVERAGE(終値!N261:AG261),""))</f>
        <v>0.10995262163196863</v>
      </c>
      <c r="L261" s="503">
        <f>IF(終値!A261="","",IFERROR(4*STDEVP(終値!O261:AH261)/AVERAGE(終値!O261:AH261),""))</f>
        <v>0.13847802282388599</v>
      </c>
      <c r="M261" s="503">
        <f>IF(終値!A261="","",IFERROR(4*STDEVP(終値!P261:AI261)/AVERAGE(終値!P261:AI261),""))</f>
        <v>0.14239026581192502</v>
      </c>
      <c r="N261" s="503">
        <f>IF(終値!A261="","",IFERROR(4*STDEVP(終値!Q261:AJ261)/AVERAGE(終値!Q261:AJ261),""))</f>
        <v>0.14405287351157461</v>
      </c>
      <c r="O261" s="503">
        <f>IF(終値!A261="","",IFERROR(4*STDEVP(終値!R261:AK261)/AVERAGE(終値!R261:AK261),""))</f>
        <v>0.15935169877018707</v>
      </c>
      <c r="P261" s="503">
        <f>IF(終値!A261="","",IFERROR(4*STDEVP(終値!S261:AL261)/AVERAGE(終値!S261:AL261),""))</f>
        <v>0.15802216388234069</v>
      </c>
      <c r="Q261" s="503">
        <f>IF(終値!A261="","",IFERROR(4*STDEVP(終値!T261:AM261)/AVERAGE(終値!T261:AM261),""))</f>
        <v>0.15547289684378807</v>
      </c>
      <c r="R261" s="503">
        <f>IF(終値!A261="","",IFERROR(4*STDEVP(終値!U261:AN261)/AVERAGE(終値!U261:AN261),""))</f>
        <v>0.14958949476467831</v>
      </c>
      <c r="S261" s="503">
        <f>IF(終値!A261="","",IFERROR(4*STDEVP(終値!V261:AO261)/AVERAGE(終値!V261:AO261),""))</f>
        <v>0.14168401493554472</v>
      </c>
      <c r="T261" s="503">
        <f>IF(終値!A261="","",IFERROR(4*STDEVP(終値!W261:AP261)/AVERAGE(終値!W261:AP261),""))</f>
        <v>0.13441590961228975</v>
      </c>
      <c r="U261" s="503">
        <f>IF(終値!A261="","",IFERROR(4*STDEVP(終値!X261:AQ261)/AVERAGE(終値!X261:AQ261),""))</f>
        <v>0.130091698588502</v>
      </c>
      <c r="V261" s="503">
        <f>IF(終値!A261="","",IFERROR(4*STDEVP(終値!Y261:AR261)/AVERAGE(終値!Y261:AR261),""))</f>
        <v>0.14195740174084476</v>
      </c>
      <c r="W261" s="503">
        <f>IF(終値!A261="","",IFERROR(4*STDEVP(終値!Z261:AS261)/AVERAGE(終値!Z261:AS261),""))</f>
        <v>0.14649782198189118</v>
      </c>
      <c r="X261" s="503">
        <f>IF(終値!A261="","",IFERROR(4*STDEVP(終値!AA261:AT261)/AVERAGE(終値!AA261:AT261),""))</f>
        <v>0.14766977559264502</v>
      </c>
      <c r="Y261" s="503">
        <f>IF(終値!A261="","",IFERROR(4*STDEVP(終値!AB261:AU261)/AVERAGE(終値!AB261:AU261),""))</f>
        <v>0.14987351367193896</v>
      </c>
      <c r="Z261" s="503">
        <f>IF(終値!A261="","",IFERROR(4*STDEVP(終値!AC261:AV261)/AVERAGE(終値!AC261:AV261),""))</f>
        <v>0.15047146992625038</v>
      </c>
      <c r="AA261" s="503">
        <f>IF(終値!A261="","",IFERROR(4*STDEVP(終値!AD261:AW261)/AVERAGE(終値!AD261:AW261),""))</f>
        <v>0.15529095482029334</v>
      </c>
      <c r="AB261" s="503">
        <f>IF(終値!A261="","",IFERROR(4*STDEVP(終値!AE261:AX261)/AVERAGE(終値!AE261:AX261),""))</f>
        <v>0.15256954261386368</v>
      </c>
      <c r="AC261" s="503">
        <f>IF(終値!A261="","",IFERROR(4*STDEVP(終値!AF261:AY261)/AVERAGE(終値!AF261:AY261),""))</f>
        <v>0.160364441237757</v>
      </c>
      <c r="AD261" s="503">
        <f>IF(終値!A261="","",IFERROR(4*STDEVP(終値!AG261:AZ261)/AVERAGE(終値!AG261:AZ261),""))</f>
        <v>0.14847971441667243</v>
      </c>
      <c r="AE261" s="503">
        <f>IF(終値!A261="","",IFERROR(4*STDEVP(終値!AH261:BA261)/AVERAGE(終値!AH261:BA261),""))</f>
        <v>0.13946043857559029</v>
      </c>
      <c r="AF261" s="503">
        <f>IF(終値!A261="","",IFERROR(4*STDEVP(終値!AI261:BB261)/AVERAGE(終値!AI261:BB261),""))</f>
        <v>0.13948441004052314</v>
      </c>
      <c r="AG261" s="503">
        <f>IF(終値!A261="","",IFERROR(4*STDEVP(終値!AJ261:BC261)/AVERAGE(終値!AJ261:BC261),""))</f>
        <v>0.13975181221408342</v>
      </c>
      <c r="AH261" s="503">
        <f>IF(終値!A261="","",IFERROR(4*STDEVP(終値!AK261:BD261)/AVERAGE(終値!AK261:BD261),""))</f>
        <v>0.14015182201557463</v>
      </c>
      <c r="AI261" s="503">
        <f>IF(終値!A261="","",IFERROR(4*STDEVP(終値!AL261:BE261)/AVERAGE(終値!AL261:BE261),""))</f>
        <v>0.14103498051699689</v>
      </c>
      <c r="AJ261" s="503">
        <f>IF(終値!A261="","",IFERROR(4*STDEVP(終値!AM261:BF261)/AVERAGE(終値!AM261:BF261),""))</f>
        <v>0.14300671342362281</v>
      </c>
      <c r="AK261" s="503">
        <f>IF(終値!A261="","",IFERROR(4*STDEVP(終値!AN261:BG261)/AVERAGE(終値!AN261:BG261),""))</f>
        <v>0.15054307123174451</v>
      </c>
      <c r="AL261" s="503">
        <f>IF(終値!A261="","",IFERROR(4*STDEVP(終値!AO261:BH261)/AVERAGE(終値!AO261:BH261),""))</f>
        <v>0.14002206788757071</v>
      </c>
      <c r="AM261" s="503">
        <f>IF(終値!A261="","",IFERROR(4*STDEVP(終値!AP261:BI261)/AVERAGE(終値!AP261:BI261),""))</f>
        <v>0.11859575836457337</v>
      </c>
      <c r="AN261" s="503">
        <f>IF(終値!A261="","",IFERROR(4*STDEVP(終値!AQ261:BJ261)/AVERAGE(終値!AQ261:BJ261),""))</f>
        <v>9.618548701455483E-2</v>
      </c>
      <c r="AO261" s="503">
        <f>IF(終値!A261="","",IFERROR(4*STDEVP(終値!AR261:BK261)/AVERAGE(終値!AR261:BK261),""))</f>
        <v>9.2209720719868646E-2</v>
      </c>
      <c r="AP261" s="503">
        <f>IF(終値!A261="","",IFERROR(4*STDEVP(終値!AS261:BL261)/AVERAGE(終値!AS261:BL261),""))</f>
        <v>9.5857761562543026E-2</v>
      </c>
    </row>
    <row r="262" spans="1:42">
      <c r="A262" s="500" t="str">
        <f>IF(終値!A262="","",終値!A262)</f>
        <v>1514</v>
      </c>
      <c r="B262" s="503">
        <f>IF(終値!A262="","",IFERROR(4*STDEVP(終値!E262:X262)/AVERAGE(終値!E262:X262),""))</f>
        <v>0.10045055692648451</v>
      </c>
      <c r="C262" s="503">
        <f>IF(終値!A262="","",IFERROR(4*STDEVP(終値!F262:Y262)/AVERAGE(終値!F262:Y262),""))</f>
        <v>0.10692571142932809</v>
      </c>
      <c r="D262" s="503">
        <f>IF(終値!A262="","",IFERROR(4*STDEVP(終値!G262:Z262)/AVERAGE(終値!G262:Z262),""))</f>
        <v>0.11719006637691057</v>
      </c>
      <c r="E262" s="503">
        <f>IF(終値!A262="","",IFERROR(4*STDEVP(終値!H262:AA262)/AVERAGE(終値!H262:AA262),""))</f>
        <v>0.13962157060103864</v>
      </c>
      <c r="F262" s="503">
        <f>IF(終値!A262="","",IFERROR(4*STDEVP(終値!I262:AB262)/AVERAGE(終値!I262:AB262),""))</f>
        <v>0.15661699264547416</v>
      </c>
      <c r="G262" s="503">
        <f>IF(終値!A262="","",IFERROR(4*STDEVP(終値!J262:AC262)/AVERAGE(終値!J262:AC262),""))</f>
        <v>0.17495987970127272</v>
      </c>
      <c r="H262" s="503">
        <f>IF(終値!A262="","",IFERROR(4*STDEVP(終値!K262:AD262)/AVERAGE(終値!K262:AD262),""))</f>
        <v>0.18878521653313921</v>
      </c>
      <c r="I262" s="503">
        <f>IF(終値!A262="","",IFERROR(4*STDEVP(終値!L262:AE262)/AVERAGE(終値!L262:AE262),""))</f>
        <v>0.18948523133497591</v>
      </c>
      <c r="J262" s="503">
        <f>IF(終値!A262="","",IFERROR(4*STDEVP(終値!M262:AF262)/AVERAGE(終値!M262:AF262),""))</f>
        <v>0.19054952707932654</v>
      </c>
      <c r="K262" s="503">
        <f>IF(終値!A262="","",IFERROR(4*STDEVP(終値!N262:AG262)/AVERAGE(終値!N262:AG262),""))</f>
        <v>0.18174554542757587</v>
      </c>
      <c r="L262" s="503">
        <f>IF(終値!A262="","",IFERROR(4*STDEVP(終値!O262:AH262)/AVERAGE(終値!O262:AH262),""))</f>
        <v>0.16914283087851414</v>
      </c>
      <c r="M262" s="503">
        <f>IF(終値!A262="","",IFERROR(4*STDEVP(終値!P262:AI262)/AVERAGE(終値!P262:AI262),""))</f>
        <v>0.16738727707771367</v>
      </c>
      <c r="N262" s="503">
        <f>IF(終値!A262="","",IFERROR(4*STDEVP(終値!Q262:AJ262)/AVERAGE(終値!Q262:AJ262),""))</f>
        <v>0.16758326797921963</v>
      </c>
      <c r="O262" s="503">
        <f>IF(終値!A262="","",IFERROR(4*STDEVP(終値!R262:AK262)/AVERAGE(終値!R262:AK262),""))</f>
        <v>0.15001783079766856</v>
      </c>
      <c r="P262" s="503">
        <f>IF(終値!A262="","",IFERROR(4*STDEVP(終値!S262:AL262)/AVERAGE(終値!S262:AL262),""))</f>
        <v>0.13569929918943438</v>
      </c>
      <c r="Q262" s="503">
        <f>IF(終値!A262="","",IFERROR(4*STDEVP(終値!T262:AM262)/AVERAGE(終値!T262:AM262),""))</f>
        <v>0.12850493368706906</v>
      </c>
      <c r="R262" s="503">
        <f>IF(終値!A262="","",IFERROR(4*STDEVP(終値!U262:AN262)/AVERAGE(終値!U262:AN262),""))</f>
        <v>0.11638392975269593</v>
      </c>
      <c r="S262" s="503">
        <f>IF(終値!A262="","",IFERROR(4*STDEVP(終値!V262:AO262)/AVERAGE(終値!V262:AO262),""))</f>
        <v>0.1127593234275915</v>
      </c>
      <c r="T262" s="503">
        <f>IF(終値!A262="","",IFERROR(4*STDEVP(終値!W262:AP262)/AVERAGE(終値!W262:AP262),""))</f>
        <v>0.1127593234275915</v>
      </c>
      <c r="U262" s="503">
        <f>IF(終値!A262="","",IFERROR(4*STDEVP(終値!X262:AQ262)/AVERAGE(終値!X262:AQ262),""))</f>
        <v>0.12507600422232565</v>
      </c>
      <c r="V262" s="503">
        <f>IF(終値!A262="","",IFERROR(4*STDEVP(終値!Y262:AR262)/AVERAGE(終値!Y262:AR262),""))</f>
        <v>0.1242602637030001</v>
      </c>
      <c r="W262" s="503">
        <f>IF(終値!A262="","",IFERROR(4*STDEVP(終値!Z262:AS262)/AVERAGE(終値!Z262:AS262),""))</f>
        <v>0.1247615963351375</v>
      </c>
      <c r="X262" s="503">
        <f>IF(終値!A262="","",IFERROR(4*STDEVP(終値!AA262:AT262)/AVERAGE(終値!AA262:AT262),""))</f>
        <v>0.12830058909640002</v>
      </c>
      <c r="Y262" s="503">
        <f>IF(終値!A262="","",IFERROR(4*STDEVP(終値!AB262:AU262)/AVERAGE(終値!AB262:AU262),""))</f>
        <v>0.13071771765241627</v>
      </c>
      <c r="Z262" s="503">
        <f>IF(終値!A262="","",IFERROR(4*STDEVP(終値!AC262:AV262)/AVERAGE(終値!AC262:AV262),""))</f>
        <v>0.14202972666205679</v>
      </c>
      <c r="AA262" s="503">
        <f>IF(終値!A262="","",IFERROR(4*STDEVP(終値!AD262:AW262)/AVERAGE(終値!AD262:AW262),""))</f>
        <v>0.14856152104262374</v>
      </c>
      <c r="AB262" s="503">
        <f>IF(終値!A262="","",IFERROR(4*STDEVP(終値!AE262:AX262)/AVERAGE(終値!AE262:AX262),""))</f>
        <v>0.16091964972952599</v>
      </c>
      <c r="AC262" s="503">
        <f>IF(終値!A262="","",IFERROR(4*STDEVP(終値!AF262:AY262)/AVERAGE(終値!AF262:AY262),""))</f>
        <v>0.1637292962245169</v>
      </c>
      <c r="AD262" s="503">
        <f>IF(終値!A262="","",IFERROR(4*STDEVP(終値!AG262:AZ262)/AVERAGE(終値!AG262:AZ262),""))</f>
        <v>0.16588938822922372</v>
      </c>
      <c r="AE262" s="503">
        <f>IF(終値!A262="","",IFERROR(4*STDEVP(終値!AH262:BA262)/AVERAGE(終値!AH262:BA262),""))</f>
        <v>0.16461795709785737</v>
      </c>
      <c r="AF262" s="503">
        <f>IF(終値!A262="","",IFERROR(4*STDEVP(終値!AI262:BB262)/AVERAGE(終値!AI262:BB262),""))</f>
        <v>0.16527015312117344</v>
      </c>
      <c r="AG262" s="503">
        <f>IF(終値!A262="","",IFERROR(4*STDEVP(終値!AJ262:BC262)/AVERAGE(終値!AJ262:BC262),""))</f>
        <v>0.16361780996304842</v>
      </c>
      <c r="AH262" s="503">
        <f>IF(終値!A262="","",IFERROR(4*STDEVP(終値!AK262:BD262)/AVERAGE(終値!AK262:BD262),""))</f>
        <v>0.16713917060090863</v>
      </c>
      <c r="AI262" s="503">
        <f>IF(終値!A262="","",IFERROR(4*STDEVP(終値!AL262:BE262)/AVERAGE(終値!AL262:BE262),""))</f>
        <v>0.24547559071686592</v>
      </c>
      <c r="AJ262" s="503">
        <f>IF(終値!A262="","",IFERROR(4*STDEVP(終値!AM262:BF262)/AVERAGE(終値!AM262:BF262),""))</f>
        <v>0.29393450643444785</v>
      </c>
      <c r="AK262" s="503">
        <f>IF(終値!A262="","",IFERROR(4*STDEVP(終値!AN262:BG262)/AVERAGE(終値!AN262:BG262),""))</f>
        <v>0.3377078592225447</v>
      </c>
      <c r="AL262" s="503">
        <f>IF(終値!A262="","",IFERROR(4*STDEVP(終値!AO262:BH262)/AVERAGE(終値!AO262:BH262),""))</f>
        <v>0.37099763247202994</v>
      </c>
      <c r="AM262" s="503">
        <f>IF(終値!A262="","",IFERROR(4*STDEVP(終値!AP262:BI262)/AVERAGE(終値!AP262:BI262),""))</f>
        <v>0.39594351300718966</v>
      </c>
      <c r="AN262" s="503">
        <f>IF(終値!A262="","",IFERROR(4*STDEVP(終値!AQ262:BJ262)/AVERAGE(終値!AQ262:BJ262),""))</f>
        <v>0.41177546308515717</v>
      </c>
      <c r="AO262" s="503">
        <f>IF(終値!A262="","",IFERROR(4*STDEVP(終値!AR262:BK262)/AVERAGE(終値!AR262:BK262),""))</f>
        <v>0.43175370315670436</v>
      </c>
      <c r="AP262" s="503">
        <f>IF(終値!A262="","",IFERROR(4*STDEVP(終値!AS262:BL262)/AVERAGE(終値!AS262:BL262),""))</f>
        <v>0.44684429428764932</v>
      </c>
    </row>
    <row r="263" spans="1:42">
      <c r="A263" s="500" t="str">
        <f>IF(終値!A263="","",終値!A263)</f>
        <v>5631</v>
      </c>
      <c r="B263" s="503">
        <f>IF(終値!A263="","",IFERROR(4*STDEVP(終値!E263:X263)/AVERAGE(終値!E263:X263),""))</f>
        <v>0.17154861307100958</v>
      </c>
      <c r="C263" s="503">
        <f>IF(終値!A263="","",IFERROR(4*STDEVP(終値!F263:Y263)/AVERAGE(終値!F263:Y263),""))</f>
        <v>0.17262543017149232</v>
      </c>
      <c r="D263" s="503">
        <f>IF(終値!A263="","",IFERROR(4*STDEVP(終値!G263:Z263)/AVERAGE(終値!G263:Z263),""))</f>
        <v>0.17104134462490828</v>
      </c>
      <c r="E263" s="503">
        <f>IF(終値!A263="","",IFERROR(4*STDEVP(終値!H263:AA263)/AVERAGE(終値!H263:AA263),""))</f>
        <v>0.16796051338384074</v>
      </c>
      <c r="F263" s="503">
        <f>IF(終値!A263="","",IFERROR(4*STDEVP(終値!I263:AB263)/AVERAGE(終値!I263:AB263),""))</f>
        <v>0.16162725073445874</v>
      </c>
      <c r="G263" s="503">
        <f>IF(終値!A263="","",IFERROR(4*STDEVP(終値!J263:AC263)/AVERAGE(終値!J263:AC263),""))</f>
        <v>0.14916367800644131</v>
      </c>
      <c r="H263" s="503">
        <f>IF(終値!A263="","",IFERROR(4*STDEVP(終値!K263:AD263)/AVERAGE(終値!K263:AD263),""))</f>
        <v>0.14265834383932705</v>
      </c>
      <c r="I263" s="503">
        <f>IF(終値!A263="","",IFERROR(4*STDEVP(終値!L263:AE263)/AVERAGE(終値!L263:AE263),""))</f>
        <v>0.14207063898204084</v>
      </c>
      <c r="J263" s="503">
        <f>IF(終値!A263="","",IFERROR(4*STDEVP(終値!M263:AF263)/AVERAGE(終値!M263:AF263),""))</f>
        <v>0.14315371454349604</v>
      </c>
      <c r="K263" s="503">
        <f>IF(終値!A263="","",IFERROR(4*STDEVP(終値!N263:AG263)/AVERAGE(終値!N263:AG263),""))</f>
        <v>0.1431066961910763</v>
      </c>
      <c r="L263" s="503">
        <f>IF(終値!A263="","",IFERROR(4*STDEVP(終値!O263:AH263)/AVERAGE(終値!O263:AH263),""))</f>
        <v>0.14086716903516791</v>
      </c>
      <c r="M263" s="503">
        <f>IF(終値!A263="","",IFERROR(4*STDEVP(終値!P263:AI263)/AVERAGE(終値!P263:AI263),""))</f>
        <v>0.13194980940944165</v>
      </c>
      <c r="N263" s="503">
        <f>IF(終値!A263="","",IFERROR(4*STDEVP(終値!Q263:AJ263)/AVERAGE(終値!Q263:AJ263),""))</f>
        <v>0.11893304927114196</v>
      </c>
      <c r="O263" s="503">
        <f>IF(終値!A263="","",IFERROR(4*STDEVP(終値!R263:AK263)/AVERAGE(終値!R263:AK263),""))</f>
        <v>0.12349401457030329</v>
      </c>
      <c r="P263" s="503">
        <f>IF(終値!A263="","",IFERROR(4*STDEVP(終値!S263:AL263)/AVERAGE(終値!S263:AL263),""))</f>
        <v>0.12226414068778442</v>
      </c>
      <c r="Q263" s="503">
        <f>IF(終値!A263="","",IFERROR(4*STDEVP(終値!T263:AM263)/AVERAGE(終値!T263:AM263),""))</f>
        <v>0.12684438468908932</v>
      </c>
      <c r="R263" s="503">
        <f>IF(終値!A263="","",IFERROR(4*STDEVP(終値!U263:AN263)/AVERAGE(終値!U263:AN263),""))</f>
        <v>0.13413507898003865</v>
      </c>
      <c r="S263" s="503">
        <f>IF(終値!A263="","",IFERROR(4*STDEVP(終値!V263:AO263)/AVERAGE(終値!V263:AO263),""))</f>
        <v>0.1633407324284859</v>
      </c>
      <c r="T263" s="503">
        <f>IF(終値!A263="","",IFERROR(4*STDEVP(終値!W263:AP263)/AVERAGE(終値!W263:AP263),""))</f>
        <v>0.18258619170589768</v>
      </c>
      <c r="U263" s="503">
        <f>IF(終値!A263="","",IFERROR(4*STDEVP(終値!X263:AQ263)/AVERAGE(終値!X263:AQ263),""))</f>
        <v>0.18118482343094394</v>
      </c>
      <c r="V263" s="503">
        <f>IF(終値!A263="","",IFERROR(4*STDEVP(終値!Y263:AR263)/AVERAGE(終値!Y263:AR263),""))</f>
        <v>0.16060579992446838</v>
      </c>
      <c r="W263" s="503">
        <f>IF(終値!A263="","",IFERROR(4*STDEVP(終値!Z263:AS263)/AVERAGE(終値!Z263:AS263),""))</f>
        <v>0.1693561895045575</v>
      </c>
      <c r="X263" s="503">
        <f>IF(終値!A263="","",IFERROR(4*STDEVP(終値!AA263:AT263)/AVERAGE(終値!AA263:AT263),""))</f>
        <v>0.17477556895378202</v>
      </c>
      <c r="Y263" s="503">
        <f>IF(終値!A263="","",IFERROR(4*STDEVP(終値!AB263:AU263)/AVERAGE(終値!AB263:AU263),""))</f>
        <v>0.18193645507803327</v>
      </c>
      <c r="Z263" s="503">
        <f>IF(終値!A263="","",IFERROR(4*STDEVP(終値!AC263:AV263)/AVERAGE(終値!AC263:AV263),""))</f>
        <v>0.1819541383813057</v>
      </c>
      <c r="AA263" s="503">
        <f>IF(終値!A263="","",IFERROR(4*STDEVP(終値!AD263:AW263)/AVERAGE(終値!AD263:AW263),""))</f>
        <v>0.18214545606558008</v>
      </c>
      <c r="AB263" s="503">
        <f>IF(終値!A263="","",IFERROR(4*STDEVP(終値!AE263:AX263)/AVERAGE(終値!AE263:AX263),""))</f>
        <v>0.18510962647736845</v>
      </c>
      <c r="AC263" s="503">
        <f>IF(終値!A263="","",IFERROR(4*STDEVP(終値!AF263:AY263)/AVERAGE(終値!AF263:AY263),""))</f>
        <v>0.18434140604411287</v>
      </c>
      <c r="AD263" s="503">
        <f>IF(終値!A263="","",IFERROR(4*STDEVP(終値!AG263:AZ263)/AVERAGE(終値!AG263:AZ263),""))</f>
        <v>0.18239712713504228</v>
      </c>
      <c r="AE263" s="503">
        <f>IF(終値!A263="","",IFERROR(4*STDEVP(終値!AH263:BA263)/AVERAGE(終値!AH263:BA263),""))</f>
        <v>0.18237090070056014</v>
      </c>
      <c r="AF263" s="503">
        <f>IF(終値!A263="","",IFERROR(4*STDEVP(終値!AI263:BB263)/AVERAGE(終値!AI263:BB263),""))</f>
        <v>0.1802697299339579</v>
      </c>
      <c r="AG263" s="503">
        <f>IF(終値!A263="","",IFERROR(4*STDEVP(終値!AJ263:BC263)/AVERAGE(終値!AJ263:BC263),""))</f>
        <v>0.18190282647390732</v>
      </c>
      <c r="AH263" s="503">
        <f>IF(終値!A263="","",IFERROR(4*STDEVP(終値!AK263:BD263)/AVERAGE(終値!AK263:BD263),""))</f>
        <v>0.17122744194409192</v>
      </c>
      <c r="AI263" s="503">
        <f>IF(終値!A263="","",IFERROR(4*STDEVP(終値!AL263:BE263)/AVERAGE(終値!AL263:BE263),""))</f>
        <v>0.15718882620570254</v>
      </c>
      <c r="AJ263" s="503">
        <f>IF(終値!A263="","",IFERROR(4*STDEVP(終値!AM263:BF263)/AVERAGE(終値!AM263:BF263),""))</f>
        <v>0.16356041864631249</v>
      </c>
      <c r="AK263" s="503">
        <f>IF(終値!A263="","",IFERROR(4*STDEVP(終値!AN263:BG263)/AVERAGE(終値!AN263:BG263),""))</f>
        <v>0.20590393089036363</v>
      </c>
      <c r="AL263" s="503">
        <f>IF(終値!A263="","",IFERROR(4*STDEVP(終値!AO263:BH263)/AVERAGE(終値!AO263:BH263),""))</f>
        <v>0.23572644427620079</v>
      </c>
      <c r="AM263" s="503">
        <f>IF(終値!A263="","",IFERROR(4*STDEVP(終値!AP263:BI263)/AVERAGE(終値!AP263:BI263),""))</f>
        <v>0.25754130045336698</v>
      </c>
      <c r="AN263" s="503">
        <f>IF(終値!A263="","",IFERROR(4*STDEVP(終値!AQ263:BJ263)/AVERAGE(終値!AQ263:BJ263),""))</f>
        <v>0.27401777856426857</v>
      </c>
      <c r="AO263" s="503">
        <f>IF(終値!A263="","",IFERROR(4*STDEVP(終値!AR263:BK263)/AVERAGE(終値!AR263:BK263),""))</f>
        <v>0.29806221558205165</v>
      </c>
      <c r="AP263" s="503">
        <f>IF(終値!A263="","",IFERROR(4*STDEVP(終値!AS263:BL263)/AVERAGE(終値!AS263:BL263),""))</f>
        <v>0.3206731871356836</v>
      </c>
    </row>
    <row r="264" spans="1:42">
      <c r="A264" s="500" t="str">
        <f>IF(終値!A264="","",終値!A264)</f>
        <v>6674</v>
      </c>
      <c r="B264" s="503">
        <f>IF(終値!A264="","",IFERROR(4*STDEVP(終値!E264:X264)/AVERAGE(終値!E264:X264),""))</f>
        <v>0.25634189882355363</v>
      </c>
      <c r="C264" s="503">
        <f>IF(終値!A264="","",IFERROR(4*STDEVP(終値!F264:Y264)/AVERAGE(終値!F264:Y264),""))</f>
        <v>0.28390268851560346</v>
      </c>
      <c r="D264" s="503">
        <f>IF(終値!A264="","",IFERROR(4*STDEVP(終値!G264:Z264)/AVERAGE(終値!G264:Z264),""))</f>
        <v>0.29098872095974704</v>
      </c>
      <c r="E264" s="503">
        <f>IF(終値!A264="","",IFERROR(4*STDEVP(終値!H264:AA264)/AVERAGE(終値!H264:AA264),""))</f>
        <v>0.29518917849665671</v>
      </c>
      <c r="F264" s="503">
        <f>IF(終値!A264="","",IFERROR(4*STDEVP(終値!I264:AB264)/AVERAGE(終値!I264:AB264),""))</f>
        <v>0.2742418112243139</v>
      </c>
      <c r="G264" s="503">
        <f>IF(終値!A264="","",IFERROR(4*STDEVP(終値!J264:AC264)/AVERAGE(終値!J264:AC264),""))</f>
        <v>0.24800553023017347</v>
      </c>
      <c r="H264" s="503">
        <f>IF(終値!A264="","",IFERROR(4*STDEVP(終値!K264:AD264)/AVERAGE(終値!K264:AD264),""))</f>
        <v>0.23635072850811709</v>
      </c>
      <c r="I264" s="503">
        <f>IF(終値!A264="","",IFERROR(4*STDEVP(終値!L264:AE264)/AVERAGE(終値!L264:AE264),""))</f>
        <v>0.25592709493912619</v>
      </c>
      <c r="J264" s="503">
        <f>IF(終値!A264="","",IFERROR(4*STDEVP(終値!M264:AF264)/AVERAGE(終値!M264:AF264),""))</f>
        <v>0.27280775945751257</v>
      </c>
      <c r="K264" s="503">
        <f>IF(終値!A264="","",IFERROR(4*STDEVP(終値!N264:AG264)/AVERAGE(終値!N264:AG264),""))</f>
        <v>0.28285858987651208</v>
      </c>
      <c r="L264" s="503">
        <f>IF(終値!A264="","",IFERROR(4*STDEVP(終値!O264:AH264)/AVERAGE(終値!O264:AH264),""))</f>
        <v>0.30642404320756561</v>
      </c>
      <c r="M264" s="503">
        <f>IF(終値!A264="","",IFERROR(4*STDEVP(終値!P264:AI264)/AVERAGE(終値!P264:AI264),""))</f>
        <v>0.29069369408282408</v>
      </c>
      <c r="N264" s="503">
        <f>IF(終値!A264="","",IFERROR(4*STDEVP(終値!Q264:AJ264)/AVERAGE(終値!Q264:AJ264),""))</f>
        <v>0.2539364089229057</v>
      </c>
      <c r="O264" s="503">
        <f>IF(終値!A264="","",IFERROR(4*STDEVP(終値!R264:AK264)/AVERAGE(終値!R264:AK264),""))</f>
        <v>0.2418049861603053</v>
      </c>
      <c r="P264" s="503">
        <f>IF(終値!A264="","",IFERROR(4*STDEVP(終値!S264:AL264)/AVERAGE(終値!S264:AL264),""))</f>
        <v>0.22221073656630946</v>
      </c>
      <c r="Q264" s="503">
        <f>IF(終値!A264="","",IFERROR(4*STDEVP(終値!T264:AM264)/AVERAGE(終値!T264:AM264),""))</f>
        <v>0.20863879957437192</v>
      </c>
      <c r="R264" s="503">
        <f>IF(終値!A264="","",IFERROR(4*STDEVP(終値!U264:AN264)/AVERAGE(終値!U264:AN264),""))</f>
        <v>0.20778355585380917</v>
      </c>
      <c r="S264" s="503">
        <f>IF(終値!A264="","",IFERROR(4*STDEVP(終値!V264:AO264)/AVERAGE(終値!V264:AO264),""))</f>
        <v>0.20354331719659935</v>
      </c>
      <c r="T264" s="503">
        <f>IF(終値!A264="","",IFERROR(4*STDEVP(終値!W264:AP264)/AVERAGE(終値!W264:AP264),""))</f>
        <v>0.19440192299205497</v>
      </c>
      <c r="U264" s="503">
        <f>IF(終値!A264="","",IFERROR(4*STDEVP(終値!X264:AQ264)/AVERAGE(終値!X264:AQ264),""))</f>
        <v>0.19164616644034704</v>
      </c>
      <c r="V264" s="503">
        <f>IF(終値!A264="","",IFERROR(4*STDEVP(終値!Y264:AR264)/AVERAGE(終値!Y264:AR264),""))</f>
        <v>0.20361546841467171</v>
      </c>
      <c r="W264" s="503">
        <f>IF(終値!A264="","",IFERROR(4*STDEVP(終値!Z264:AS264)/AVERAGE(終値!Z264:AS264),""))</f>
        <v>0.21041232837158155</v>
      </c>
      <c r="X264" s="503">
        <f>IF(終値!A264="","",IFERROR(4*STDEVP(終値!AA264:AT264)/AVERAGE(終値!AA264:AT264),""))</f>
        <v>0.2267785690627673</v>
      </c>
      <c r="Y264" s="503">
        <f>IF(終値!A264="","",IFERROR(4*STDEVP(終値!AB264:AU264)/AVERAGE(終値!AB264:AU264),""))</f>
        <v>0.22557293340757942</v>
      </c>
      <c r="Z264" s="503">
        <f>IF(終値!A264="","",IFERROR(4*STDEVP(終値!AC264:AV264)/AVERAGE(終値!AC264:AV264),""))</f>
        <v>0.22313301219116424</v>
      </c>
      <c r="AA264" s="503">
        <f>IF(終値!A264="","",IFERROR(4*STDEVP(終値!AD264:AW264)/AVERAGE(終値!AD264:AW264),""))</f>
        <v>0.2287022915369343</v>
      </c>
      <c r="AB264" s="503">
        <f>IF(終値!A264="","",IFERROR(4*STDEVP(終値!AE264:AX264)/AVERAGE(終値!AE264:AX264),""))</f>
        <v>0.23906277684316041</v>
      </c>
      <c r="AC264" s="503">
        <f>IF(終値!A264="","",IFERROR(4*STDEVP(終値!AF264:AY264)/AVERAGE(終値!AF264:AY264),""))</f>
        <v>0.24355896895105716</v>
      </c>
      <c r="AD264" s="503">
        <f>IF(終値!A264="","",IFERROR(4*STDEVP(終値!AG264:AZ264)/AVERAGE(終値!AG264:AZ264),""))</f>
        <v>0.24996033940410048</v>
      </c>
      <c r="AE264" s="503">
        <f>IF(終値!A264="","",IFERROR(4*STDEVP(終値!AH264:BA264)/AVERAGE(終値!AH264:BA264),""))</f>
        <v>0.26046209288888988</v>
      </c>
      <c r="AF264" s="503">
        <f>IF(終値!A264="","",IFERROR(4*STDEVP(終値!AI264:BB264)/AVERAGE(終値!AI264:BB264),""))</f>
        <v>0.24274249177974053</v>
      </c>
      <c r="AG264" s="503">
        <f>IF(終値!A264="","",IFERROR(4*STDEVP(終値!AJ264:BC264)/AVERAGE(終値!AJ264:BC264),""))</f>
        <v>0.2381557202825719</v>
      </c>
      <c r="AH264" s="503">
        <f>IF(終値!A264="","",IFERROR(4*STDEVP(終値!AK264:BD264)/AVERAGE(終値!AK264:BD264),""))</f>
        <v>0.24016670030493162</v>
      </c>
      <c r="AI264" s="503">
        <f>IF(終値!A264="","",IFERROR(4*STDEVP(終値!AL264:BE264)/AVERAGE(終値!AL264:BE264),""))</f>
        <v>0.23930445059127922</v>
      </c>
      <c r="AJ264" s="503">
        <f>IF(終値!A264="","",IFERROR(4*STDEVP(終値!AM264:BF264)/AVERAGE(終値!AM264:BF264),""))</f>
        <v>0.24157350343471626</v>
      </c>
      <c r="AK264" s="503">
        <f>IF(終値!A264="","",IFERROR(4*STDEVP(終値!AN264:BG264)/AVERAGE(終値!AN264:BG264),""))</f>
        <v>0.24125307660947906</v>
      </c>
      <c r="AL264" s="503">
        <f>IF(終値!A264="","",IFERROR(4*STDEVP(終値!AO264:BH264)/AVERAGE(終値!AO264:BH264),""))</f>
        <v>0.23791962180922341</v>
      </c>
      <c r="AM264" s="503">
        <f>IF(終値!A264="","",IFERROR(4*STDEVP(終値!AP264:BI264)/AVERAGE(終値!AP264:BI264),""))</f>
        <v>0.2352850963612326</v>
      </c>
      <c r="AN264" s="503">
        <f>IF(終値!A264="","",IFERROR(4*STDEVP(終値!AQ264:BJ264)/AVERAGE(終値!AQ264:BJ264),""))</f>
        <v>0.23444696380599833</v>
      </c>
      <c r="AO264" s="503">
        <f>IF(終値!A264="","",IFERROR(4*STDEVP(終値!AR264:BK264)/AVERAGE(終値!AR264:BK264),""))</f>
        <v>0.23436212647566831</v>
      </c>
      <c r="AP264" s="503">
        <f>IF(終値!A264="","",IFERROR(4*STDEVP(終値!AS264:BL264)/AVERAGE(終値!AS264:BL264),""))</f>
        <v>0.21396618344896912</v>
      </c>
    </row>
    <row r="265" spans="1:42">
      <c r="A265" s="500" t="str">
        <f>IF(終値!A265="","",終値!A265)</f>
        <v>6955</v>
      </c>
      <c r="B265" s="503">
        <f>IF(終値!A265="","",IFERROR(4*STDEVP(終値!E265:X265)/AVERAGE(終値!E265:X265),""))</f>
        <v>0.21162881927452201</v>
      </c>
      <c r="C265" s="503">
        <f>IF(終値!A265="","",IFERROR(4*STDEVP(終値!F265:Y265)/AVERAGE(終値!F265:Y265),""))</f>
        <v>0.2473716308391605</v>
      </c>
      <c r="D265" s="503">
        <f>IF(終値!A265="","",IFERROR(4*STDEVP(終値!G265:Z265)/AVERAGE(終値!G265:Z265),""))</f>
        <v>0.27982254519311545</v>
      </c>
      <c r="E265" s="503">
        <f>IF(終値!A265="","",IFERROR(4*STDEVP(終値!H265:AA265)/AVERAGE(終値!H265:AA265),""))</f>
        <v>0.29057476143882116</v>
      </c>
      <c r="F265" s="503">
        <f>IF(終値!A265="","",IFERROR(4*STDEVP(終値!I265:AB265)/AVERAGE(終値!I265:AB265),""))</f>
        <v>0.30031216737187144</v>
      </c>
      <c r="G265" s="503">
        <f>IF(終値!A265="","",IFERROR(4*STDEVP(終値!J265:AC265)/AVERAGE(終値!J265:AC265),""))</f>
        <v>0.30343563685295882</v>
      </c>
      <c r="H265" s="503">
        <f>IF(終値!A265="","",IFERROR(4*STDEVP(終値!K265:AD265)/AVERAGE(終値!K265:AD265),""))</f>
        <v>0.2986860105899386</v>
      </c>
      <c r="I265" s="503">
        <f>IF(終値!A265="","",IFERROR(4*STDEVP(終値!L265:AE265)/AVERAGE(終値!L265:AE265),""))</f>
        <v>0.31732768986150434</v>
      </c>
      <c r="J265" s="503">
        <f>IF(終値!A265="","",IFERROR(4*STDEVP(終値!M265:AF265)/AVERAGE(終値!M265:AF265),""))</f>
        <v>0.33117243256426893</v>
      </c>
      <c r="K265" s="503">
        <f>IF(終値!A265="","",IFERROR(4*STDEVP(終値!N265:AG265)/AVERAGE(終値!N265:AG265),""))</f>
        <v>0.33568680182470434</v>
      </c>
      <c r="L265" s="503">
        <f>IF(終値!A265="","",IFERROR(4*STDEVP(終値!O265:AH265)/AVERAGE(終値!O265:AH265),""))</f>
        <v>0.35184351294387528</v>
      </c>
      <c r="M265" s="503">
        <f>IF(終値!A265="","",IFERROR(4*STDEVP(終値!P265:AI265)/AVERAGE(終値!P265:AI265),""))</f>
        <v>0.33547724379783389</v>
      </c>
      <c r="N265" s="503">
        <f>IF(終値!A265="","",IFERROR(4*STDEVP(終値!Q265:AJ265)/AVERAGE(終値!Q265:AJ265),""))</f>
        <v>0.31096201329834189</v>
      </c>
      <c r="O265" s="503">
        <f>IF(終値!A265="","",IFERROR(4*STDEVP(終値!R265:AK265)/AVERAGE(終値!R265:AK265),""))</f>
        <v>0.30022824843438478</v>
      </c>
      <c r="P265" s="503">
        <f>IF(終値!A265="","",IFERROR(4*STDEVP(終値!S265:AL265)/AVERAGE(終値!S265:AL265),""))</f>
        <v>0.28022512938135413</v>
      </c>
      <c r="Q265" s="503">
        <f>IF(終値!A265="","",IFERROR(4*STDEVP(終値!T265:AM265)/AVERAGE(終値!T265:AM265),""))</f>
        <v>0.26450134955869886</v>
      </c>
      <c r="R265" s="503">
        <f>IF(終値!A265="","",IFERROR(4*STDEVP(終値!U265:AN265)/AVERAGE(終値!U265:AN265),""))</f>
        <v>0.24420170265892371</v>
      </c>
      <c r="S265" s="503">
        <f>IF(終値!A265="","",IFERROR(4*STDEVP(終値!V265:AO265)/AVERAGE(終値!V265:AO265),""))</f>
        <v>0.21444863550520121</v>
      </c>
      <c r="T265" s="503">
        <f>IF(終値!A265="","",IFERROR(4*STDEVP(終値!W265:AP265)/AVERAGE(終値!W265:AP265),""))</f>
        <v>0.17975672294086165</v>
      </c>
      <c r="U265" s="503">
        <f>IF(終値!A265="","",IFERROR(4*STDEVP(終値!X265:AQ265)/AVERAGE(終値!X265:AQ265),""))</f>
        <v>0.2798150627303127</v>
      </c>
      <c r="V265" s="503">
        <f>IF(終値!A265="","",IFERROR(4*STDEVP(終値!Y265:AR265)/AVERAGE(終値!Y265:AR265),""))</f>
        <v>0.2768373728210704</v>
      </c>
      <c r="W265" s="503">
        <f>IF(終値!A265="","",IFERROR(4*STDEVP(終値!Z265:AS265)/AVERAGE(終値!Z265:AS265),""))</f>
        <v>0.27323152141320112</v>
      </c>
      <c r="X265" s="503">
        <f>IF(終値!A265="","",IFERROR(4*STDEVP(終値!AA265:AT265)/AVERAGE(終値!AA265:AT265),""))</f>
        <v>0.27222114237719985</v>
      </c>
      <c r="Y265" s="503">
        <f>IF(終値!A265="","",IFERROR(4*STDEVP(終値!AB265:AU265)/AVERAGE(終値!AB265:AU265),""))</f>
        <v>0.30066871423994268</v>
      </c>
      <c r="Z265" s="503">
        <f>IF(終値!A265="","",IFERROR(4*STDEVP(終値!AC265:AV265)/AVERAGE(終値!AC265:AV265),""))</f>
        <v>0.34001130464680085</v>
      </c>
      <c r="AA265" s="503">
        <f>IF(終値!A265="","",IFERROR(4*STDEVP(終値!AD265:AW265)/AVERAGE(終値!AD265:AW265),""))</f>
        <v>0.35739163674692065</v>
      </c>
      <c r="AB265" s="503">
        <f>IF(終値!A265="","",IFERROR(4*STDEVP(終値!AE265:AX265)/AVERAGE(終値!AE265:AX265),""))</f>
        <v>0.38258208792618825</v>
      </c>
      <c r="AC265" s="503">
        <f>IF(終値!A265="","",IFERROR(4*STDEVP(終値!AF265:AY265)/AVERAGE(終値!AF265:AY265),""))</f>
        <v>0.42428109201212538</v>
      </c>
      <c r="AD265" s="503">
        <f>IF(終値!A265="","",IFERROR(4*STDEVP(終値!AG265:AZ265)/AVERAGE(終値!AG265:AZ265),""))</f>
        <v>0.45232818314218398</v>
      </c>
      <c r="AE265" s="503">
        <f>IF(終値!A265="","",IFERROR(4*STDEVP(終値!AH265:BA265)/AVERAGE(終値!AH265:BA265),""))</f>
        <v>0.48109128441881777</v>
      </c>
      <c r="AF265" s="503">
        <f>IF(終値!A265="","",IFERROR(4*STDEVP(終値!AI265:BB265)/AVERAGE(終値!AI265:BB265),""))</f>
        <v>0.49491765828516066</v>
      </c>
      <c r="AG265" s="503">
        <f>IF(終値!A265="","",IFERROR(4*STDEVP(終値!AJ265:BC265)/AVERAGE(終値!AJ265:BC265),""))</f>
        <v>0.50987543441714478</v>
      </c>
      <c r="AH265" s="503">
        <f>IF(終値!A265="","",IFERROR(4*STDEVP(終値!AK265:BD265)/AVERAGE(終値!AK265:BD265),""))</f>
        <v>0.52216320956314044</v>
      </c>
      <c r="AI265" s="503">
        <f>IF(終値!A265="","",IFERROR(4*STDEVP(終値!AL265:BE265)/AVERAGE(終値!AL265:BE265),""))</f>
        <v>0.52855780158219245</v>
      </c>
      <c r="AJ265" s="503">
        <f>IF(終値!A265="","",IFERROR(4*STDEVP(終値!AM265:BF265)/AVERAGE(終値!AM265:BF265),""))</f>
        <v>0.53270602730345484</v>
      </c>
      <c r="AK265" s="503">
        <f>IF(終値!A265="","",IFERROR(4*STDEVP(終値!AN265:BG265)/AVERAGE(終値!AN265:BG265),""))</f>
        <v>0.53947787712943318</v>
      </c>
      <c r="AL265" s="503">
        <f>IF(終値!A265="","",IFERROR(4*STDEVP(終値!AO265:BH265)/AVERAGE(終値!AO265:BH265),""))</f>
        <v>0.54029764845806161</v>
      </c>
      <c r="AM265" s="503">
        <f>IF(終値!A265="","",IFERROR(4*STDEVP(終値!AP265:BI265)/AVERAGE(終値!AP265:BI265),""))</f>
        <v>0.53806181444680234</v>
      </c>
      <c r="AN265" s="503">
        <f>IF(終値!A265="","",IFERROR(4*STDEVP(終値!AQ265:BJ265)/AVERAGE(終値!AQ265:BJ265),""))</f>
        <v>0.52355480098040319</v>
      </c>
      <c r="AO265" s="503">
        <f>IF(終値!A265="","",IFERROR(4*STDEVP(終値!AR265:BK265)/AVERAGE(終値!AR265:BK265),""))</f>
        <v>0.36072874583037862</v>
      </c>
      <c r="AP265" s="503">
        <f>IF(終値!A265="","",IFERROR(4*STDEVP(終値!AS265:BL265)/AVERAGE(終値!AS265:BL265),""))</f>
        <v>0.23472292231195901</v>
      </c>
    </row>
    <row r="266" spans="1:42">
      <c r="A266" s="500" t="str">
        <f>IF(終値!A266="","",終値!A266)</f>
        <v>281A</v>
      </c>
      <c r="B266" s="503">
        <f>IF(終値!A266="","",IFERROR(4*STDEVP(終値!E266:X266)/AVERAGE(終値!E266:X266),""))</f>
        <v>0.4607289727099329</v>
      </c>
      <c r="C266" s="503">
        <f>IF(終値!A266="","",IFERROR(4*STDEVP(終値!F266:Y266)/AVERAGE(終値!F266:Y266),""))</f>
        <v>0.51568668763523251</v>
      </c>
      <c r="D266" s="503">
        <f>IF(終値!A266="","",IFERROR(4*STDEVP(終値!G266:Z266)/AVERAGE(終値!G266:Z266),""))</f>
        <v>0.55188474174350988</v>
      </c>
      <c r="E266" s="503">
        <f>IF(終値!A266="","",IFERROR(4*STDEVP(終値!H266:AA266)/AVERAGE(終値!H266:AA266),""))</f>
        <v>0.56463080734291071</v>
      </c>
      <c r="F266" s="503">
        <f>IF(終値!A266="","",IFERROR(4*STDEVP(終値!I266:AB266)/AVERAGE(終値!I266:AB266),""))</f>
        <v>0.5829153483918903</v>
      </c>
      <c r="G266" s="503">
        <f>IF(終値!A266="","",IFERROR(4*STDEVP(終値!J266:AC266)/AVERAGE(終値!J266:AC266),""))</f>
        <v>0.61123049130740059</v>
      </c>
      <c r="H266" s="503">
        <f>IF(終値!A266="","",IFERROR(4*STDEVP(終値!K266:AD266)/AVERAGE(終値!K266:AD266),""))</f>
        <v>0.60448810295642785</v>
      </c>
      <c r="I266" s="503">
        <f>IF(終値!A266="","",IFERROR(4*STDEVP(終値!L266:AE266)/AVERAGE(終値!L266:AE266),""))</f>
        <v>0.64012345670298565</v>
      </c>
      <c r="J266" s="503">
        <f>IF(終値!A266="","",IFERROR(4*STDEVP(終値!M266:AF266)/AVERAGE(終値!M266:AF266),""))</f>
        <v>0.65366231664910524</v>
      </c>
      <c r="K266" s="503">
        <f>IF(終値!A266="","",IFERROR(4*STDEVP(終値!N266:AG266)/AVERAGE(終値!N266:AG266),""))</f>
        <v>0.62403648905171116</v>
      </c>
      <c r="L266" s="503">
        <f>IF(終値!A266="","",IFERROR(4*STDEVP(終値!O266:AH266)/AVERAGE(終値!O266:AH266),""))</f>
        <v>0.58779581618710208</v>
      </c>
      <c r="M266" s="503">
        <f>IF(終値!A266="","",IFERROR(4*STDEVP(終値!P266:AI266)/AVERAGE(終値!P266:AI266),""))</f>
        <v>0.55287743396639377</v>
      </c>
      <c r="N266" s="503">
        <f>IF(終値!A266="","",IFERROR(4*STDEVP(終値!Q266:AJ266)/AVERAGE(終値!Q266:AJ266),""))</f>
        <v>0.49955435329040959</v>
      </c>
      <c r="O266" s="503">
        <f>IF(終値!A266="","",IFERROR(4*STDEVP(終値!R266:AK266)/AVERAGE(終値!R266:AK266),""))</f>
        <v>0.47617137701225198</v>
      </c>
      <c r="P266" s="503">
        <f>IF(終値!A266="","",IFERROR(4*STDEVP(終値!S266:AL266)/AVERAGE(終値!S266:AL266),""))</f>
        <v>0.44508810074758109</v>
      </c>
      <c r="Q266" s="503">
        <f>IF(終値!A266="","",IFERROR(4*STDEVP(終値!T266:AM266)/AVERAGE(終値!T266:AM266),""))</f>
        <v>0.42092026892833712</v>
      </c>
      <c r="R266" s="503">
        <f>IF(終値!A266="","",IFERROR(4*STDEVP(終値!U266:AN266)/AVERAGE(終値!U266:AN266),""))</f>
        <v>0.41018908935441722</v>
      </c>
      <c r="S266" s="503">
        <f>IF(終値!A266="","",IFERROR(4*STDEVP(終値!V266:AO266)/AVERAGE(終値!V266:AO266),""))</f>
        <v>0.37482198325045535</v>
      </c>
      <c r="T266" s="503">
        <f>IF(終値!A266="","",IFERROR(4*STDEVP(終値!W266:AP266)/AVERAGE(終値!W266:AP266),""))</f>
        <v>0.36103794762850405</v>
      </c>
      <c r="U266" s="503">
        <f>IF(終値!A266="","",IFERROR(4*STDEVP(終値!X266:AQ266)/AVERAGE(終値!X266:AQ266),""))</f>
        <v>0.36822039202915385</v>
      </c>
      <c r="V266" s="503">
        <f>IF(終値!A266="","",IFERROR(4*STDEVP(終値!Y266:AR266)/AVERAGE(終値!Y266:AR266),""))</f>
        <v>0.36924279735764692</v>
      </c>
      <c r="W266" s="503">
        <f>IF(終値!A266="","",IFERROR(4*STDEVP(終値!Z266:AS266)/AVERAGE(終値!Z266:AS266),""))</f>
        <v>0.36982181619586935</v>
      </c>
      <c r="X266" s="503">
        <f>IF(終値!A266="","",IFERROR(4*STDEVP(終値!AA266:AT266)/AVERAGE(終値!AA266:AT266),""))</f>
        <v>0.3784057415853635</v>
      </c>
      <c r="Y266" s="503">
        <f>IF(終値!A266="","",IFERROR(4*STDEVP(終値!AB266:AU266)/AVERAGE(終値!AB266:AU266),""))</f>
        <v>0.38399325025750836</v>
      </c>
      <c r="Z266" s="503">
        <f>IF(終値!A266="","",IFERROR(4*STDEVP(終値!AC266:AV266)/AVERAGE(終値!AC266:AV266),""))</f>
        <v>0.41478463070417265</v>
      </c>
      <c r="AA266" s="503">
        <f>IF(終値!A266="","",IFERROR(4*STDEVP(終値!AD266:AW266)/AVERAGE(終値!AD266:AW266),""))</f>
        <v>0.47529449343749008</v>
      </c>
      <c r="AB266" s="503">
        <f>IF(終値!A266="","",IFERROR(4*STDEVP(終値!AE266:AX266)/AVERAGE(終値!AE266:AX266),""))</f>
        <v>0.52559977966859173</v>
      </c>
      <c r="AC266" s="503">
        <f>IF(終値!A266="","",IFERROR(4*STDEVP(終値!AF266:AY266)/AVERAGE(終値!AF266:AY266),""))</f>
        <v>0.59704027043138486</v>
      </c>
      <c r="AD266" s="503">
        <f>IF(終値!A266="","",IFERROR(4*STDEVP(終値!AG266:AZ266)/AVERAGE(終値!AG266:AZ266),""))</f>
        <v>0.61587555361953872</v>
      </c>
      <c r="AE266" s="503">
        <f>IF(終値!A266="","",IFERROR(4*STDEVP(終値!AH266:BA266)/AVERAGE(終値!AH266:BA266),""))</f>
        <v>0.62392571852054635</v>
      </c>
      <c r="AF266" s="503">
        <f>IF(終値!A266="","",IFERROR(4*STDEVP(終値!AI266:BB266)/AVERAGE(終値!AI266:BB266),""))</f>
        <v>0.6216807202882122</v>
      </c>
      <c r="AG266" s="503">
        <f>IF(終値!A266="","",IFERROR(4*STDEVP(終値!AJ266:BC266)/AVERAGE(終値!AJ266:BC266),""))</f>
        <v>0.62464506713392043</v>
      </c>
      <c r="AH266" s="503">
        <f>IF(終値!A266="","",IFERROR(4*STDEVP(終値!AK266:BD266)/AVERAGE(終値!AK266:BD266),""))</f>
        <v>0.6282555742077548</v>
      </c>
      <c r="AI266" s="503">
        <f>IF(終値!A266="","",IFERROR(4*STDEVP(終値!AL266:BE266)/AVERAGE(終値!AL266:BE266),""))</f>
        <v>0.62276307072414405</v>
      </c>
      <c r="AJ266" s="503">
        <f>IF(終値!A266="","",IFERROR(4*STDEVP(終値!AM266:BF266)/AVERAGE(終値!AM266:BF266),""))</f>
        <v>0.60626103318685631</v>
      </c>
      <c r="AK266" s="503">
        <f>IF(終値!A266="","",IFERROR(4*STDEVP(終値!AN266:BG266)/AVERAGE(終値!AN266:BG266),""))</f>
        <v>0.59354789700212396</v>
      </c>
      <c r="AL266" s="503">
        <f>IF(終値!A266="","",IFERROR(4*STDEVP(終値!AO266:BH266)/AVERAGE(終値!AO266:BH266),""))</f>
        <v>0.5365656764042428</v>
      </c>
      <c r="AM266" s="503">
        <f>IF(終値!A266="","",IFERROR(4*STDEVP(終値!AP266:BI266)/AVERAGE(終値!AP266:BI266),""))</f>
        <v>0.48222938430362217</v>
      </c>
      <c r="AN266" s="503">
        <f>IF(終値!A266="","",IFERROR(4*STDEVP(終値!AQ266:BJ266)/AVERAGE(終値!AQ266:BJ266),""))</f>
        <v>0.41242305621762965</v>
      </c>
      <c r="AO266" s="503">
        <f>IF(終値!A266="","",IFERROR(4*STDEVP(終値!AR266:BK266)/AVERAGE(終値!AR266:BK266),""))</f>
        <v>0.34913153547149101</v>
      </c>
      <c r="AP266" s="503">
        <f>IF(終値!A266="","",IFERROR(4*STDEVP(終値!AS266:BL266)/AVERAGE(終値!AS266:BL266),""))</f>
        <v>0.29674839269797021</v>
      </c>
    </row>
    <row r="267" spans="1:42">
      <c r="A267" s="500" t="str">
        <f>IF(終値!A267="","",終値!A267)</f>
        <v>6356</v>
      </c>
      <c r="B267" s="503">
        <f>IF(終値!A267="","",IFERROR(4*STDEVP(終値!E267:X267)/AVERAGE(終値!E267:X267),""))</f>
        <v>0.36068658535682524</v>
      </c>
      <c r="C267" s="503">
        <f>IF(終値!A267="","",IFERROR(4*STDEVP(終値!F267:Y267)/AVERAGE(終値!F267:Y267),""))</f>
        <v>0.37634945519326263</v>
      </c>
      <c r="D267" s="503">
        <f>IF(終値!A267="","",IFERROR(4*STDEVP(終値!G267:Z267)/AVERAGE(終値!G267:Z267),""))</f>
        <v>0.36300381462095932</v>
      </c>
      <c r="E267" s="503">
        <f>IF(終値!A267="","",IFERROR(4*STDEVP(終値!H267:AA267)/AVERAGE(終値!H267:AA267),""))</f>
        <v>0.34104202726586708</v>
      </c>
      <c r="F267" s="503">
        <f>IF(終値!A267="","",IFERROR(4*STDEVP(終値!I267:AB267)/AVERAGE(終値!I267:AB267),""))</f>
        <v>0.31273329434337782</v>
      </c>
      <c r="G267" s="503">
        <f>IF(終値!A267="","",IFERROR(4*STDEVP(終値!J267:AC267)/AVERAGE(終値!J267:AC267),""))</f>
        <v>0.27747500622194343</v>
      </c>
      <c r="H267" s="503">
        <f>IF(終値!A267="","",IFERROR(4*STDEVP(終値!K267:AD267)/AVERAGE(終値!K267:AD267),""))</f>
        <v>0.25071020664577531</v>
      </c>
      <c r="I267" s="503">
        <f>IF(終値!A267="","",IFERROR(4*STDEVP(終値!L267:AE267)/AVERAGE(終値!L267:AE267),""))</f>
        <v>0.23937097688237546</v>
      </c>
      <c r="J267" s="503">
        <f>IF(終値!A267="","",IFERROR(4*STDEVP(終値!M267:AF267)/AVERAGE(終値!M267:AF267),""))</f>
        <v>0.22285494506735309</v>
      </c>
      <c r="K267" s="503">
        <f>IF(終値!A267="","",IFERROR(4*STDEVP(終値!N267:AG267)/AVERAGE(終値!N267:AG267),""))</f>
        <v>0.21675942603008394</v>
      </c>
      <c r="L267" s="503">
        <f>IF(終値!A267="","",IFERROR(4*STDEVP(終値!O267:AH267)/AVERAGE(終値!O267:AH267),""))</f>
        <v>0.21082293408357469</v>
      </c>
      <c r="M267" s="503">
        <f>IF(終値!A267="","",IFERROR(4*STDEVP(終値!P267:AI267)/AVERAGE(終値!P267:AI267),""))</f>
        <v>0.19202760227091389</v>
      </c>
      <c r="N267" s="503">
        <f>IF(終値!A267="","",IFERROR(4*STDEVP(終値!Q267:AJ267)/AVERAGE(終値!Q267:AJ267),""))</f>
        <v>0.17835758130788062</v>
      </c>
      <c r="O267" s="503">
        <f>IF(終値!A267="","",IFERROR(4*STDEVP(終値!R267:AK267)/AVERAGE(終値!R267:AK267),""))</f>
        <v>0.18500418773519728</v>
      </c>
      <c r="P267" s="503">
        <f>IF(終値!A267="","",IFERROR(4*STDEVP(終値!S267:AL267)/AVERAGE(終値!S267:AL267),""))</f>
        <v>0.20474651558574036</v>
      </c>
      <c r="Q267" s="503">
        <f>IF(終値!A267="","",IFERROR(4*STDEVP(終値!T267:AM267)/AVERAGE(終値!T267:AM267),""))</f>
        <v>0.2114400464461452</v>
      </c>
      <c r="R267" s="503">
        <f>IF(終値!A267="","",IFERROR(4*STDEVP(終値!U267:AN267)/AVERAGE(終値!U267:AN267),""))</f>
        <v>0.2202493276277617</v>
      </c>
      <c r="S267" s="503">
        <f>IF(終値!A267="","",IFERROR(4*STDEVP(終値!V267:AO267)/AVERAGE(終値!V267:AO267),""))</f>
        <v>0.23478731958805288</v>
      </c>
      <c r="T267" s="503">
        <f>IF(終値!A267="","",IFERROR(4*STDEVP(終値!W267:AP267)/AVERAGE(終値!W267:AP267),""))</f>
        <v>0.24056683044576141</v>
      </c>
      <c r="U267" s="503">
        <f>IF(終値!A267="","",IFERROR(4*STDEVP(終値!X267:AQ267)/AVERAGE(終値!X267:AQ267),""))</f>
        <v>0.2376422140554901</v>
      </c>
      <c r="V267" s="503">
        <f>IF(終値!A267="","",IFERROR(4*STDEVP(終値!Y267:AR267)/AVERAGE(終値!Y267:AR267),""))</f>
        <v>0.19771808408915886</v>
      </c>
      <c r="W267" s="503">
        <f>IF(終値!A267="","",IFERROR(4*STDEVP(終値!Z267:AS267)/AVERAGE(終値!Z267:AS267),""))</f>
        <v>0.17708513055784758</v>
      </c>
      <c r="X267" s="503">
        <f>IF(終値!A267="","",IFERROR(4*STDEVP(終値!AA267:AT267)/AVERAGE(終値!AA267:AT267),""))</f>
        <v>0.17558764483961845</v>
      </c>
      <c r="Y267" s="503">
        <f>IF(終値!A267="","",IFERROR(4*STDEVP(終値!AB267:AU267)/AVERAGE(終値!AB267:AU267),""))</f>
        <v>0.17647712274857758</v>
      </c>
      <c r="Z267" s="503">
        <f>IF(終値!A267="","",IFERROR(4*STDEVP(終値!AC267:AV267)/AVERAGE(終値!AC267:AV267),""))</f>
        <v>0.20349554829637631</v>
      </c>
      <c r="AA267" s="503">
        <f>IF(終値!A267="","",IFERROR(4*STDEVP(終値!AD267:AW267)/AVERAGE(終値!AD267:AW267),""))</f>
        <v>0.23256261387973626</v>
      </c>
      <c r="AB267" s="503">
        <f>IF(終値!A267="","",IFERROR(4*STDEVP(終値!AE267:AX267)/AVERAGE(終値!AE267:AX267),""))</f>
        <v>0.26069659985132854</v>
      </c>
      <c r="AC267" s="503">
        <f>IF(終値!A267="","",IFERROR(4*STDEVP(終値!AF267:AY267)/AVERAGE(終値!AF267:AY267),""))</f>
        <v>0.26161086100591641</v>
      </c>
      <c r="AD267" s="503">
        <f>IF(終値!A267="","",IFERROR(4*STDEVP(終値!AG267:AZ267)/AVERAGE(終値!AG267:AZ267),""))</f>
        <v>0.2611669277434171</v>
      </c>
      <c r="AE267" s="503">
        <f>IF(終値!A267="","",IFERROR(4*STDEVP(終値!AH267:BA267)/AVERAGE(終値!AH267:BA267),""))</f>
        <v>0.27608494062870781</v>
      </c>
      <c r="AF267" s="503">
        <f>IF(終値!A267="","",IFERROR(4*STDEVP(終値!AI267:BB267)/AVERAGE(終値!AI267:BB267),""))</f>
        <v>0.28563324984593919</v>
      </c>
      <c r="AG267" s="503">
        <f>IF(終値!A267="","",IFERROR(4*STDEVP(終値!AJ267:BC267)/AVERAGE(終値!AJ267:BC267),""))</f>
        <v>0.29086104103319821</v>
      </c>
      <c r="AH267" s="503">
        <f>IF(終値!A267="","",IFERROR(4*STDEVP(終値!AK267:BD267)/AVERAGE(終値!AK267:BD267),""))</f>
        <v>0.29243930931248563</v>
      </c>
      <c r="AI267" s="503">
        <f>IF(終値!A267="","",IFERROR(4*STDEVP(終値!AL267:BE267)/AVERAGE(終値!AL267:BE267),""))</f>
        <v>0.28602548339933986</v>
      </c>
      <c r="AJ267" s="503">
        <f>IF(終値!A267="","",IFERROR(4*STDEVP(終値!AM267:BF267)/AVERAGE(終値!AM267:BF267),""))</f>
        <v>0.27953752587104197</v>
      </c>
      <c r="AK267" s="503">
        <f>IF(終値!A267="","",IFERROR(4*STDEVP(終値!AN267:BG267)/AVERAGE(終値!AN267:BG267),""))</f>
        <v>0.28243742122923965</v>
      </c>
      <c r="AL267" s="503">
        <f>IF(終値!A267="","",IFERROR(4*STDEVP(終値!AO267:BH267)/AVERAGE(終値!AO267:BH267),""))</f>
        <v>0.27894363265452821</v>
      </c>
      <c r="AM267" s="503">
        <f>IF(終値!A267="","",IFERROR(4*STDEVP(終値!AP267:BI267)/AVERAGE(終値!AP267:BI267),""))</f>
        <v>0.26927176551684906</v>
      </c>
      <c r="AN267" s="503">
        <f>IF(終値!A267="","",IFERROR(4*STDEVP(終値!AQ267:BJ267)/AVERAGE(終値!AQ267:BJ267),""))</f>
        <v>0.26513980992308495</v>
      </c>
      <c r="AO267" s="503">
        <f>IF(終値!A267="","",IFERROR(4*STDEVP(終値!AR267:BK267)/AVERAGE(終値!AR267:BK267),""))</f>
        <v>0.26553784475468323</v>
      </c>
      <c r="AP267" s="503">
        <f>IF(終値!A267="","",IFERROR(4*STDEVP(終値!AS267:BL267)/AVERAGE(終値!AS267:BL267),""))</f>
        <v>0.25863456598608175</v>
      </c>
    </row>
    <row r="268" spans="1:42">
      <c r="A268" s="500" t="str">
        <f>IF(終値!A268="","",終値!A268)</f>
        <v>7711</v>
      </c>
      <c r="B268" s="503">
        <f>IF(終値!A268="","",IFERROR(4*STDEVP(終値!E268:X268)/AVERAGE(終値!E268:X268),""))</f>
        <v>0.27120520793356273</v>
      </c>
      <c r="C268" s="503">
        <f>IF(終値!A268="","",IFERROR(4*STDEVP(終値!F268:Y268)/AVERAGE(終値!F268:Y268),""))</f>
        <v>0.27852231707366903</v>
      </c>
      <c r="D268" s="503">
        <f>IF(終値!A268="","",IFERROR(4*STDEVP(終値!G268:Z268)/AVERAGE(終値!G268:Z268),""))</f>
        <v>0.26776660430371774</v>
      </c>
      <c r="E268" s="503">
        <f>IF(終値!A268="","",IFERROR(4*STDEVP(終値!H268:AA268)/AVERAGE(終値!H268:AA268),""))</f>
        <v>0.25471990134598793</v>
      </c>
      <c r="F268" s="503">
        <f>IF(終値!A268="","",IFERROR(4*STDEVP(終値!I268:AB268)/AVERAGE(終値!I268:AB268),""))</f>
        <v>0.22797090629241892</v>
      </c>
      <c r="G268" s="503">
        <f>IF(終値!A268="","",IFERROR(4*STDEVP(終値!J268:AC268)/AVERAGE(終値!J268:AC268),""))</f>
        <v>0.19018481664172968</v>
      </c>
      <c r="H268" s="503">
        <f>IF(終値!A268="","",IFERROR(4*STDEVP(終値!K268:AD268)/AVERAGE(終値!K268:AD268),""))</f>
        <v>0.15708823531018529</v>
      </c>
      <c r="I268" s="503">
        <f>IF(終値!A268="","",IFERROR(4*STDEVP(終値!L268:AE268)/AVERAGE(終値!L268:AE268),""))</f>
        <v>0.14893296591151814</v>
      </c>
      <c r="J268" s="503">
        <f>IF(終値!A268="","",IFERROR(4*STDEVP(終値!M268:AF268)/AVERAGE(終値!M268:AF268),""))</f>
        <v>0.1482371199288014</v>
      </c>
      <c r="K268" s="503">
        <f>IF(終値!A268="","",IFERROR(4*STDEVP(終値!N268:AG268)/AVERAGE(終値!N268:AG268),""))</f>
        <v>0.15092505803862272</v>
      </c>
      <c r="L268" s="503">
        <f>IF(終値!A268="","",IFERROR(4*STDEVP(終値!O268:AH268)/AVERAGE(終値!O268:AH268),""))</f>
        <v>0.18103594316796032</v>
      </c>
      <c r="M268" s="503">
        <f>IF(終値!A268="","",IFERROR(4*STDEVP(終値!P268:AI268)/AVERAGE(終値!P268:AI268),""))</f>
        <v>0.19525235968451368</v>
      </c>
      <c r="N268" s="503">
        <f>IF(終値!A268="","",IFERROR(4*STDEVP(終値!Q268:AJ268)/AVERAGE(終値!Q268:AJ268),""))</f>
        <v>0.18894422504701583</v>
      </c>
      <c r="O268" s="503">
        <f>IF(終値!A268="","",IFERROR(4*STDEVP(終値!R268:AK268)/AVERAGE(終値!R268:AK268),""))</f>
        <v>0.21734968530510487</v>
      </c>
      <c r="P268" s="503">
        <f>IF(終値!A268="","",IFERROR(4*STDEVP(終値!S268:AL268)/AVERAGE(終値!S268:AL268),""))</f>
        <v>0.21814720055906847</v>
      </c>
      <c r="Q268" s="503">
        <f>IF(終値!A268="","",IFERROR(4*STDEVP(終値!T268:AM268)/AVERAGE(終値!T268:AM268),""))</f>
        <v>0.21635905779433054</v>
      </c>
      <c r="R268" s="503">
        <f>IF(終値!A268="","",IFERROR(4*STDEVP(終値!U268:AN268)/AVERAGE(終値!U268:AN268),""))</f>
        <v>0.21249266905288475</v>
      </c>
      <c r="S268" s="503">
        <f>IF(終値!A268="","",IFERROR(4*STDEVP(終値!V268:AO268)/AVERAGE(終値!V268:AO268),""))</f>
        <v>0.21249266905288475</v>
      </c>
      <c r="T268" s="503">
        <f>IF(終値!A268="","",IFERROR(4*STDEVP(終値!W268:AP268)/AVERAGE(終値!W268:AP268),""))</f>
        <v>0.21809812857419653</v>
      </c>
      <c r="U268" s="503">
        <f>IF(終値!A268="","",IFERROR(4*STDEVP(終値!X268:AQ268)/AVERAGE(終値!X268:AQ268),""))</f>
        <v>0.21754378112306585</v>
      </c>
      <c r="V268" s="503">
        <f>IF(終値!A268="","",IFERROR(4*STDEVP(終値!Y268:AR268)/AVERAGE(終値!Y268:AR268),""))</f>
        <v>0.2297584184905232</v>
      </c>
      <c r="W268" s="503">
        <f>IF(終値!A268="","",IFERROR(4*STDEVP(終値!Z268:AS268)/AVERAGE(終値!Z268:AS268),""))</f>
        <v>0.22963923112981335</v>
      </c>
      <c r="X268" s="503">
        <f>IF(終値!A268="","",IFERROR(4*STDEVP(終値!AA268:AT268)/AVERAGE(終値!AA268:AT268),""))</f>
        <v>0.22475730420381443</v>
      </c>
      <c r="Y268" s="503">
        <f>IF(終値!A268="","",IFERROR(4*STDEVP(終値!AB268:AU268)/AVERAGE(終値!AB268:AU268),""))</f>
        <v>0.22077952726233505</v>
      </c>
      <c r="Z268" s="503">
        <f>IF(終値!A268="","",IFERROR(4*STDEVP(終値!AC268:AV268)/AVERAGE(終値!AC268:AV268),""))</f>
        <v>0.22174029139256096</v>
      </c>
      <c r="AA268" s="503">
        <f>IF(終値!A268="","",IFERROR(4*STDEVP(終値!AD268:AW268)/AVERAGE(終値!AD268:AW268),""))</f>
        <v>0.22171557334045269</v>
      </c>
      <c r="AB268" s="503">
        <f>IF(終値!A268="","",IFERROR(4*STDEVP(終値!AE268:AX268)/AVERAGE(終値!AE268:AX268),""))</f>
        <v>0.22351777458873176</v>
      </c>
      <c r="AC268" s="503">
        <f>IF(終値!A268="","",IFERROR(4*STDEVP(終値!AF268:AY268)/AVERAGE(終値!AF268:AY268),""))</f>
        <v>0.22576253222024126</v>
      </c>
      <c r="AD268" s="503">
        <f>IF(終値!A268="","",IFERROR(4*STDEVP(終値!AG268:AZ268)/AVERAGE(終値!AG268:AZ268),""))</f>
        <v>0.22508982201947936</v>
      </c>
      <c r="AE268" s="503">
        <f>IF(終値!A268="","",IFERROR(4*STDEVP(終値!AH268:BA268)/AVERAGE(終値!AH268:BA268),""))</f>
        <v>0.22448074688670447</v>
      </c>
      <c r="AF268" s="503">
        <f>IF(終値!A268="","",IFERROR(4*STDEVP(終値!AI268:BB268)/AVERAGE(終値!AI268:BB268),""))</f>
        <v>0.22114703597414032</v>
      </c>
      <c r="AG268" s="503">
        <f>IF(終値!A268="","",IFERROR(4*STDEVP(終値!AJ268:BC268)/AVERAGE(終値!AJ268:BC268),""))</f>
        <v>0.21486866936091023</v>
      </c>
      <c r="AH268" s="503">
        <f>IF(終値!A268="","",IFERROR(4*STDEVP(終値!AK268:BD268)/AVERAGE(終値!AK268:BD268),""))</f>
        <v>0.20999929161627867</v>
      </c>
      <c r="AI268" s="503">
        <f>IF(終値!A268="","",IFERROR(4*STDEVP(終値!AL268:BE268)/AVERAGE(終値!AL268:BE268),""))</f>
        <v>0.19736068042880558</v>
      </c>
      <c r="AJ268" s="503">
        <f>IF(終値!A268="","",IFERROR(4*STDEVP(終値!AM268:BF268)/AVERAGE(終値!AM268:BF268),""))</f>
        <v>0.19668654157988658</v>
      </c>
      <c r="AK268" s="503">
        <f>IF(終値!A268="","",IFERROR(4*STDEVP(終値!AN268:BG268)/AVERAGE(終値!AN268:BG268),""))</f>
        <v>0.20166223096645663</v>
      </c>
      <c r="AL268" s="503">
        <f>IF(終値!A268="","",IFERROR(4*STDEVP(終値!AO268:BH268)/AVERAGE(終値!AO268:BH268),""))</f>
        <v>0.19962872712776869</v>
      </c>
      <c r="AM268" s="503">
        <f>IF(終値!A268="","",IFERROR(4*STDEVP(終値!AP268:BI268)/AVERAGE(終値!AP268:BI268),""))</f>
        <v>0.18887855311340856</v>
      </c>
      <c r="AN268" s="503">
        <f>IF(終値!A268="","",IFERROR(4*STDEVP(終値!AQ268:BJ268)/AVERAGE(終値!AQ268:BJ268),""))</f>
        <v>0.18979460219409283</v>
      </c>
      <c r="AO268" s="503">
        <f>IF(終値!A268="","",IFERROR(4*STDEVP(終値!AR268:BK268)/AVERAGE(終値!AR268:BK268),""))</f>
        <v>0.22217364405260159</v>
      </c>
      <c r="AP268" s="503">
        <f>IF(終値!A268="","",IFERROR(4*STDEVP(終値!AS268:BL268)/AVERAGE(終値!AS268:BL268),""))</f>
        <v>0.23482055985118319</v>
      </c>
    </row>
    <row r="269" spans="1:42">
      <c r="A269" s="500" t="str">
        <f>IF(終値!A269="","",終値!A269)</f>
        <v>6376</v>
      </c>
      <c r="B269" s="503">
        <f>IF(終値!A269="","",IFERROR(4*STDEVP(終値!E269:X269)/AVERAGE(終値!E269:X269),""))</f>
        <v>0.17570075062897364</v>
      </c>
      <c r="C269" s="503">
        <f>IF(終値!A269="","",IFERROR(4*STDEVP(終値!F269:Y269)/AVERAGE(終値!F269:Y269),""))</f>
        <v>0.18032531074224276</v>
      </c>
      <c r="D269" s="503">
        <f>IF(終値!A269="","",IFERROR(4*STDEVP(終値!G269:Z269)/AVERAGE(終値!G269:Z269),""))</f>
        <v>0.1807396464262957</v>
      </c>
      <c r="E269" s="503">
        <f>IF(終値!A269="","",IFERROR(4*STDEVP(終値!H269:AA269)/AVERAGE(終値!H269:AA269),""))</f>
        <v>0.17934957730242015</v>
      </c>
      <c r="F269" s="503">
        <f>IF(終値!A269="","",IFERROR(4*STDEVP(終値!I269:AB269)/AVERAGE(終値!I269:AB269),""))</f>
        <v>0.16604601746730749</v>
      </c>
      <c r="G269" s="503">
        <f>IF(終値!A269="","",IFERROR(4*STDEVP(終値!J269:AC269)/AVERAGE(終値!J269:AC269),""))</f>
        <v>0.15910395123838356</v>
      </c>
      <c r="H269" s="503">
        <f>IF(終値!A269="","",IFERROR(4*STDEVP(終値!K269:AD269)/AVERAGE(終値!K269:AD269),""))</f>
        <v>0.16809828261315971</v>
      </c>
      <c r="I269" s="503">
        <f>IF(終値!A269="","",IFERROR(4*STDEVP(終値!L269:AE269)/AVERAGE(終値!L269:AE269),""))</f>
        <v>0.17327728768148856</v>
      </c>
      <c r="J269" s="503">
        <f>IF(終値!A269="","",IFERROR(4*STDEVP(終値!M269:AF269)/AVERAGE(終値!M269:AF269),""))</f>
        <v>0.17392306232403379</v>
      </c>
      <c r="K269" s="503">
        <f>IF(終値!A269="","",IFERROR(4*STDEVP(終値!N269:AG269)/AVERAGE(終値!N269:AG269),""))</f>
        <v>0.17464004726735222</v>
      </c>
      <c r="L269" s="503">
        <f>IF(終値!A269="","",IFERROR(4*STDEVP(終値!O269:AH269)/AVERAGE(終値!O269:AH269),""))</f>
        <v>0.17751898656540946</v>
      </c>
      <c r="M269" s="503">
        <f>IF(終値!A269="","",IFERROR(4*STDEVP(終値!P269:AI269)/AVERAGE(終値!P269:AI269),""))</f>
        <v>0.17370121488723231</v>
      </c>
      <c r="N269" s="503">
        <f>IF(終値!A269="","",IFERROR(4*STDEVP(終値!Q269:AJ269)/AVERAGE(終値!Q269:AJ269),""))</f>
        <v>0.1714487912707239</v>
      </c>
      <c r="O269" s="503">
        <f>IF(終値!A269="","",IFERROR(4*STDEVP(終値!R269:AK269)/AVERAGE(終値!R269:AK269),""))</f>
        <v>0.17228666537308435</v>
      </c>
      <c r="P269" s="503">
        <f>IF(終値!A269="","",IFERROR(4*STDEVP(終値!S269:AL269)/AVERAGE(終値!S269:AL269),""))</f>
        <v>0.17627602049438693</v>
      </c>
      <c r="Q269" s="503">
        <f>IF(終値!A269="","",IFERROR(4*STDEVP(終値!T269:AM269)/AVERAGE(終値!T269:AM269),""))</f>
        <v>0.16763162007822244</v>
      </c>
      <c r="R269" s="503">
        <f>IF(終値!A269="","",IFERROR(4*STDEVP(終値!U269:AN269)/AVERAGE(終値!U269:AN269),""))</f>
        <v>0.17642265570407659</v>
      </c>
      <c r="S269" s="503">
        <f>IF(終値!A269="","",IFERROR(4*STDEVP(終値!V269:AO269)/AVERAGE(終値!V269:AO269),""))</f>
        <v>0.18856973842322022</v>
      </c>
      <c r="T269" s="503">
        <f>IF(終値!A269="","",IFERROR(4*STDEVP(終値!W269:AP269)/AVERAGE(終値!W269:AP269),""))</f>
        <v>0.20059012115723301</v>
      </c>
      <c r="U269" s="503">
        <f>IF(終値!A269="","",IFERROR(4*STDEVP(終値!X269:AQ269)/AVERAGE(終値!X269:AQ269),""))</f>
        <v>0.24710220602012781</v>
      </c>
      <c r="V269" s="503">
        <f>IF(終値!A269="","",IFERROR(4*STDEVP(終値!Y269:AR269)/AVERAGE(終値!Y269:AR269),""))</f>
        <v>0.27559361619307121</v>
      </c>
      <c r="W269" s="503">
        <f>IF(終値!A269="","",IFERROR(4*STDEVP(終値!Z269:AS269)/AVERAGE(終値!Z269:AS269),""))</f>
        <v>0.31171931089320937</v>
      </c>
      <c r="X269" s="503">
        <f>IF(終値!A269="","",IFERROR(4*STDEVP(終値!AA269:AT269)/AVERAGE(終値!AA269:AT269),""))</f>
        <v>0.34918300451073631</v>
      </c>
      <c r="Y269" s="503">
        <f>IF(終値!A269="","",IFERROR(4*STDEVP(終値!AB269:AU269)/AVERAGE(終値!AB269:AU269),""))</f>
        <v>0.38195410964683901</v>
      </c>
      <c r="Z269" s="503">
        <f>IF(終値!A269="","",IFERROR(4*STDEVP(終値!AC269:AV269)/AVERAGE(終値!AC269:AV269),""))</f>
        <v>0.40531480344570908</v>
      </c>
      <c r="AA269" s="503">
        <f>IF(終値!A269="","",IFERROR(4*STDEVP(終値!AD269:AW269)/AVERAGE(終値!AD269:AW269),""))</f>
        <v>0.40565258461368764</v>
      </c>
      <c r="AB269" s="503">
        <f>IF(終値!A269="","",IFERROR(4*STDEVP(終値!AE269:AX269)/AVERAGE(終値!AE269:AX269),""))</f>
        <v>0.39055120712358271</v>
      </c>
      <c r="AC269" s="503">
        <f>IF(終値!A269="","",IFERROR(4*STDEVP(終値!AF269:AY269)/AVERAGE(終値!AF269:AY269),""))</f>
        <v>0.36724165414035342</v>
      </c>
      <c r="AD269" s="503">
        <f>IF(終値!A269="","",IFERROR(4*STDEVP(終値!AG269:AZ269)/AVERAGE(終値!AG269:AZ269),""))</f>
        <v>0.359625979715882</v>
      </c>
      <c r="AE269" s="503">
        <f>IF(終値!A269="","",IFERROR(4*STDEVP(終値!AH269:BA269)/AVERAGE(終値!AH269:BA269),""))</f>
        <v>0.36063781022650648</v>
      </c>
      <c r="AF269" s="503">
        <f>IF(終値!A269="","",IFERROR(4*STDEVP(終値!AI269:BB269)/AVERAGE(終値!AI269:BB269),""))</f>
        <v>0.35725051325649787</v>
      </c>
      <c r="AG269" s="503">
        <f>IF(終値!A269="","",IFERROR(4*STDEVP(終値!AJ269:BC269)/AVERAGE(終値!AJ269:BC269),""))</f>
        <v>0.3614133295973006</v>
      </c>
      <c r="AH269" s="503">
        <f>IF(終値!A269="","",IFERROR(4*STDEVP(終値!AK269:BD269)/AVERAGE(終値!AK269:BD269),""))</f>
        <v>0.33911977212914313</v>
      </c>
      <c r="AI269" s="503">
        <f>IF(終値!A269="","",IFERROR(4*STDEVP(終値!AL269:BE269)/AVERAGE(終値!AL269:BE269),""))</f>
        <v>0.32238146370267845</v>
      </c>
      <c r="AJ269" s="503">
        <f>IF(終値!A269="","",IFERROR(4*STDEVP(終値!AM269:BF269)/AVERAGE(終値!AM269:BF269),""))</f>
        <v>0.33573645091063248</v>
      </c>
      <c r="AK269" s="503">
        <f>IF(終値!A269="","",IFERROR(4*STDEVP(終値!AN269:BG269)/AVERAGE(終値!AN269:BG269),""))</f>
        <v>0.34073756517700421</v>
      </c>
      <c r="AL269" s="503">
        <f>IF(終値!A269="","",IFERROR(4*STDEVP(終値!AO269:BH269)/AVERAGE(終値!AO269:BH269),""))</f>
        <v>0.34739276075600928</v>
      </c>
      <c r="AM269" s="503">
        <f>IF(終値!A269="","",IFERROR(4*STDEVP(終値!AP269:BI269)/AVERAGE(終値!AP269:BI269),""))</f>
        <v>0.34762821800629257</v>
      </c>
      <c r="AN269" s="503">
        <f>IF(終値!A269="","",IFERROR(4*STDEVP(終値!AQ269:BJ269)/AVERAGE(終値!AQ269:BJ269),""))</f>
        <v>0.33577041972805233</v>
      </c>
      <c r="AO269" s="503">
        <f>IF(終値!A269="","",IFERROR(4*STDEVP(終値!AR269:BK269)/AVERAGE(終値!AR269:BK269),""))</f>
        <v>0.34539123440717484</v>
      </c>
      <c r="AP269" s="503">
        <f>IF(終値!A269="","",IFERROR(4*STDEVP(終値!AS269:BL269)/AVERAGE(終値!AS269:BL269),""))</f>
        <v>0.34630962600962478</v>
      </c>
    </row>
    <row r="270" spans="1:42">
      <c r="A270" s="500" t="str">
        <f>IF(終値!A270="","",終値!A270)</f>
        <v>9115</v>
      </c>
      <c r="B270" s="503">
        <f>IF(終値!A270="","",IFERROR(4*STDEVP(終値!E270:X270)/AVERAGE(終値!E270:X270),""))</f>
        <v>0.13666218069772837</v>
      </c>
      <c r="C270" s="503">
        <f>IF(終値!A270="","",IFERROR(4*STDEVP(終値!F270:Y270)/AVERAGE(終値!F270:Y270),""))</f>
        <v>0.13630641937680077</v>
      </c>
      <c r="D270" s="503">
        <f>IF(終値!A270="","",IFERROR(4*STDEVP(終値!G270:Z270)/AVERAGE(終値!G270:Z270),""))</f>
        <v>0.13580487896390905</v>
      </c>
      <c r="E270" s="503">
        <f>IF(終値!A270="","",IFERROR(4*STDEVP(終値!H270:AA270)/AVERAGE(終値!H270:AA270),""))</f>
        <v>0.13511092822005333</v>
      </c>
      <c r="F270" s="503">
        <f>IF(終値!A270="","",IFERROR(4*STDEVP(終値!I270:AB270)/AVERAGE(終値!I270:AB270),""))</f>
        <v>0.13035772285571304</v>
      </c>
      <c r="G270" s="503">
        <f>IF(終値!A270="","",IFERROR(4*STDEVP(終値!J270:AC270)/AVERAGE(終値!J270:AC270),""))</f>
        <v>0.12580273739735642</v>
      </c>
      <c r="H270" s="503">
        <f>IF(終値!A270="","",IFERROR(4*STDEVP(終値!K270:AD270)/AVERAGE(終値!K270:AD270),""))</f>
        <v>0.13087084599483012</v>
      </c>
      <c r="I270" s="503">
        <f>IF(終値!A270="","",IFERROR(4*STDEVP(終値!L270:AE270)/AVERAGE(終値!L270:AE270),""))</f>
        <v>0.12623826611357855</v>
      </c>
      <c r="J270" s="503">
        <f>IF(終値!A270="","",IFERROR(4*STDEVP(終値!M270:AF270)/AVERAGE(終値!M270:AF270),""))</f>
        <v>0.11456220619368994</v>
      </c>
      <c r="K270" s="503">
        <f>IF(終値!A270="","",IFERROR(4*STDEVP(終値!N270:AG270)/AVERAGE(終値!N270:AG270),""))</f>
        <v>0.11518144040028742</v>
      </c>
      <c r="L270" s="503">
        <f>IF(終値!A270="","",IFERROR(4*STDEVP(終値!O270:AH270)/AVERAGE(終値!O270:AH270),""))</f>
        <v>0.10633736377266469</v>
      </c>
      <c r="M270" s="503">
        <f>IF(終値!A270="","",IFERROR(4*STDEVP(終値!P270:AI270)/AVERAGE(終値!P270:AI270),""))</f>
        <v>0.11750950625071377</v>
      </c>
      <c r="N270" s="503">
        <f>IF(終値!A270="","",IFERROR(4*STDEVP(終値!Q270:AJ270)/AVERAGE(終値!Q270:AJ270),""))</f>
        <v>0.12239326599277509</v>
      </c>
      <c r="O270" s="503">
        <f>IF(終値!A270="","",IFERROR(4*STDEVP(終値!R270:AK270)/AVERAGE(終値!R270:AK270),""))</f>
        <v>0.11338829338455277</v>
      </c>
      <c r="P270" s="503">
        <f>IF(終値!A270="","",IFERROR(4*STDEVP(終値!S270:AL270)/AVERAGE(終値!S270:AL270),""))</f>
        <v>0.11159556425869596</v>
      </c>
      <c r="Q270" s="503">
        <f>IF(終値!A270="","",IFERROR(4*STDEVP(終値!T270:AM270)/AVERAGE(終値!T270:AM270),""))</f>
        <v>0.11501215239872754</v>
      </c>
      <c r="R270" s="503">
        <f>IF(終値!A270="","",IFERROR(4*STDEVP(終値!U270:AN270)/AVERAGE(終値!U270:AN270),""))</f>
        <v>0.12185145354238221</v>
      </c>
      <c r="S270" s="503">
        <f>IF(終値!A270="","",IFERROR(4*STDEVP(終値!V270:AO270)/AVERAGE(終値!V270:AO270),""))</f>
        <v>0.14976246659153822</v>
      </c>
      <c r="T270" s="503">
        <f>IF(終値!A270="","",IFERROR(4*STDEVP(終値!W270:AP270)/AVERAGE(終値!W270:AP270),""))</f>
        <v>0.1769836690108417</v>
      </c>
      <c r="U270" s="503">
        <f>IF(終値!A270="","",IFERROR(4*STDEVP(終値!X270:AQ270)/AVERAGE(終値!X270:AQ270),""))</f>
        <v>0.23942684401005823</v>
      </c>
      <c r="V270" s="503">
        <f>IF(終値!A270="","",IFERROR(4*STDEVP(終値!Y270:AR270)/AVERAGE(終値!Y270:AR270),""))</f>
        <v>0.28715233047248673</v>
      </c>
      <c r="W270" s="503">
        <f>IF(終値!A270="","",IFERROR(4*STDEVP(終値!Z270:AS270)/AVERAGE(終値!Z270:AS270),""))</f>
        <v>0.33265781996591998</v>
      </c>
      <c r="X270" s="503">
        <f>IF(終値!A270="","",IFERROR(4*STDEVP(終値!AA270:AT270)/AVERAGE(終値!AA270:AT270),""))</f>
        <v>0.37510423033039525</v>
      </c>
      <c r="Y270" s="503">
        <f>IF(終値!A270="","",IFERROR(4*STDEVP(終値!AB270:AU270)/AVERAGE(終値!AB270:AU270),""))</f>
        <v>0.41273045015200283</v>
      </c>
      <c r="Z270" s="503">
        <f>IF(終値!A270="","",IFERROR(4*STDEVP(終値!AC270:AV270)/AVERAGE(終値!AC270:AV270),""))</f>
        <v>0.46864986710903855</v>
      </c>
      <c r="AA270" s="503">
        <f>IF(終値!A270="","",IFERROR(4*STDEVP(終値!AD270:AW270)/AVERAGE(終値!AD270:AW270),""))</f>
        <v>0.51920463008547535</v>
      </c>
      <c r="AB270" s="503">
        <f>IF(終値!A270="","",IFERROR(4*STDEVP(終値!AE270:AX270)/AVERAGE(終値!AE270:AX270),""))</f>
        <v>0.55264970094523802</v>
      </c>
      <c r="AC270" s="503">
        <f>IF(終値!A270="","",IFERROR(4*STDEVP(終値!AF270:AY270)/AVERAGE(終値!AF270:AY270),""))</f>
        <v>0.57810357377895383</v>
      </c>
      <c r="AD270" s="503">
        <f>IF(終値!A270="","",IFERROR(4*STDEVP(終値!AG270:AZ270)/AVERAGE(終値!AG270:AZ270),""))</f>
        <v>0.58557301504807557</v>
      </c>
      <c r="AE270" s="503">
        <f>IF(終値!A270="","",IFERROR(4*STDEVP(終値!AH270:BA270)/AVERAGE(終値!AH270:BA270),""))</f>
        <v>0.58088512705511131</v>
      </c>
      <c r="AF270" s="503">
        <f>IF(終値!A270="","",IFERROR(4*STDEVP(終値!AI270:BB270)/AVERAGE(終値!AI270:BB270),""))</f>
        <v>0.54975091226933159</v>
      </c>
      <c r="AG270" s="503">
        <f>IF(終値!A270="","",IFERROR(4*STDEVP(終値!AJ270:BC270)/AVERAGE(終値!AJ270:BC270),""))</f>
        <v>0.5270530830100767</v>
      </c>
      <c r="AH270" s="503">
        <f>IF(終値!A270="","",IFERROR(4*STDEVP(終値!AK270:BD270)/AVERAGE(終値!AK270:BD270),""))</f>
        <v>0.50768095527542056</v>
      </c>
      <c r="AI270" s="503">
        <f>IF(終値!A270="","",IFERROR(4*STDEVP(終値!AL270:BE270)/AVERAGE(終値!AL270:BE270),""))</f>
        <v>0.48646318648490328</v>
      </c>
      <c r="AJ270" s="503">
        <f>IF(終値!A270="","",IFERROR(4*STDEVP(終値!AM270:BF270)/AVERAGE(終値!AM270:BF270),""))</f>
        <v>0.4542522530424789</v>
      </c>
      <c r="AK270" s="503">
        <f>IF(終値!A270="","",IFERROR(4*STDEVP(終値!AN270:BG270)/AVERAGE(終値!AN270:BG270),""))</f>
        <v>0.4166723442854624</v>
      </c>
      <c r="AL270" s="503">
        <f>IF(終値!A270="","",IFERROR(4*STDEVP(終値!AO270:BH270)/AVERAGE(終値!AO270:BH270),""))</f>
        <v>0.3734411891137745</v>
      </c>
      <c r="AM270" s="503">
        <f>IF(終値!A270="","",IFERROR(4*STDEVP(終値!AP270:BI270)/AVERAGE(終値!AP270:BI270),""))</f>
        <v>0.35172574154737263</v>
      </c>
      <c r="AN270" s="503">
        <f>IF(終値!A270="","",IFERROR(4*STDEVP(終値!AQ270:BJ270)/AVERAGE(終値!AQ270:BJ270),""))</f>
        <v>0.31273926069749153</v>
      </c>
      <c r="AO270" s="503">
        <f>IF(終値!A270="","",IFERROR(4*STDEVP(終値!AR270:BK270)/AVERAGE(終値!AR270:BK270),""))</f>
        <v>0.31270951097956284</v>
      </c>
      <c r="AP270" s="503">
        <f>IF(終値!A270="","",IFERROR(4*STDEVP(終値!AS270:BL270)/AVERAGE(終値!AS270:BL270),""))</f>
        <v>0.29436415662778648</v>
      </c>
    </row>
    <row r="271" spans="1:42">
      <c r="A271" s="500" t="str">
        <f>IF(終値!A271="","",終値!A271)</f>
        <v>3864</v>
      </c>
      <c r="B271" s="503">
        <f>IF(終値!A271="","",IFERROR(4*STDEVP(終値!E271:X271)/AVERAGE(終値!E271:X271),""))</f>
        <v>0.2367511086481304</v>
      </c>
      <c r="C271" s="503">
        <f>IF(終値!A271="","",IFERROR(4*STDEVP(終値!F271:Y271)/AVERAGE(終値!F271:Y271),""))</f>
        <v>0.24281169928545882</v>
      </c>
      <c r="D271" s="503">
        <f>IF(終値!A271="","",IFERROR(4*STDEVP(終値!G271:Z271)/AVERAGE(終値!G271:Z271),""))</f>
        <v>0.25201730005509015</v>
      </c>
      <c r="E271" s="503">
        <f>IF(終値!A271="","",IFERROR(4*STDEVP(終値!H271:AA271)/AVERAGE(終値!H271:AA271),""))</f>
        <v>0.25958551133800539</v>
      </c>
      <c r="F271" s="503">
        <f>IF(終値!A271="","",IFERROR(4*STDEVP(終値!I271:AB271)/AVERAGE(終値!I271:AB271),""))</f>
        <v>0.26460530991306191</v>
      </c>
      <c r="G271" s="503">
        <f>IF(終値!A271="","",IFERROR(4*STDEVP(終値!J271:AC271)/AVERAGE(終値!J271:AC271),""))</f>
        <v>0.26712721172515635</v>
      </c>
      <c r="H271" s="503">
        <f>IF(終値!A271="","",IFERROR(4*STDEVP(終値!K271:AD271)/AVERAGE(終値!K271:AD271),""))</f>
        <v>0.26829536975493812</v>
      </c>
      <c r="I271" s="503">
        <f>IF(終値!A271="","",IFERROR(4*STDEVP(終値!L271:AE271)/AVERAGE(終値!L271:AE271),""))</f>
        <v>0.26103605055009038</v>
      </c>
      <c r="J271" s="503">
        <f>IF(終値!A271="","",IFERROR(4*STDEVP(終値!M271:AF271)/AVERAGE(終値!M271:AF271),""))</f>
        <v>0.25559542865902918</v>
      </c>
      <c r="K271" s="503">
        <f>IF(終値!A271="","",IFERROR(4*STDEVP(終値!N271:AG271)/AVERAGE(終値!N271:AG271),""))</f>
        <v>0.22664830944568481</v>
      </c>
      <c r="L271" s="503">
        <f>IF(終値!A271="","",IFERROR(4*STDEVP(終値!O271:AH271)/AVERAGE(終値!O271:AH271),""))</f>
        <v>0.19903414192893734</v>
      </c>
      <c r="M271" s="503">
        <f>IF(終値!A271="","",IFERROR(4*STDEVP(終値!P271:AI271)/AVERAGE(終値!P271:AI271),""))</f>
        <v>0.11554824466544474</v>
      </c>
      <c r="N271" s="503">
        <f>IF(終値!A271="","",IFERROR(4*STDEVP(終値!Q271:AJ271)/AVERAGE(終値!Q271:AJ271),""))</f>
        <v>0.10258943454144714</v>
      </c>
      <c r="O271" s="503">
        <f>IF(終値!A271="","",IFERROR(4*STDEVP(終値!R271:AK271)/AVERAGE(終値!R271:AK271),""))</f>
        <v>7.9898251586429617E-2</v>
      </c>
      <c r="P271" s="503">
        <f>IF(終値!A271="","",IFERROR(4*STDEVP(終値!S271:AL271)/AVERAGE(終値!S271:AL271),""))</f>
        <v>7.6946242254849168E-2</v>
      </c>
      <c r="Q271" s="503">
        <f>IF(終値!A271="","",IFERROR(4*STDEVP(終値!T271:AM271)/AVERAGE(終値!T271:AM271),""))</f>
        <v>9.8953535999504572E-2</v>
      </c>
      <c r="R271" s="503">
        <f>IF(終値!A271="","",IFERROR(4*STDEVP(終値!U271:AN271)/AVERAGE(終値!U271:AN271),""))</f>
        <v>9.9281404394928857E-2</v>
      </c>
      <c r="S271" s="503">
        <f>IF(終値!A271="","",IFERROR(4*STDEVP(終値!V271:AO271)/AVERAGE(終値!V271:AO271),""))</f>
        <v>9.8801167350983293E-2</v>
      </c>
      <c r="T271" s="503">
        <f>IF(終値!A271="","",IFERROR(4*STDEVP(終値!W271:AP271)/AVERAGE(終値!W271:AP271),""))</f>
        <v>0.102388438949083</v>
      </c>
      <c r="U271" s="503">
        <f>IF(終値!A271="","",IFERROR(4*STDEVP(終値!X271:AQ271)/AVERAGE(終値!X271:AQ271),""))</f>
        <v>9.7293023741314363E-2</v>
      </c>
      <c r="V271" s="503">
        <f>IF(終値!A271="","",IFERROR(4*STDEVP(終値!Y271:AR271)/AVERAGE(終値!Y271:AR271),""))</f>
        <v>9.6491134573599105E-2</v>
      </c>
      <c r="W271" s="503">
        <f>IF(終値!A271="","",IFERROR(4*STDEVP(終値!Z271:AS271)/AVERAGE(終値!Z271:AS271),""))</f>
        <v>9.3571233203690068E-2</v>
      </c>
      <c r="X271" s="503">
        <f>IF(終値!A271="","",IFERROR(4*STDEVP(終値!AA271:AT271)/AVERAGE(終値!AA271:AT271),""))</f>
        <v>8.9208127267254286E-2</v>
      </c>
      <c r="Y271" s="503">
        <f>IF(終値!A271="","",IFERROR(4*STDEVP(終値!AB271:AU271)/AVERAGE(終値!AB271:AU271),""))</f>
        <v>8.1795317429024725E-2</v>
      </c>
      <c r="Z271" s="503">
        <f>IF(終値!A271="","",IFERROR(4*STDEVP(終値!AC271:AV271)/AVERAGE(終値!AC271:AV271),""))</f>
        <v>8.6457650179842499E-2</v>
      </c>
      <c r="AA271" s="503">
        <f>IF(終値!A271="","",IFERROR(4*STDEVP(終値!AD271:AW271)/AVERAGE(終値!AD271:AW271),""))</f>
        <v>0.10229411638086766</v>
      </c>
      <c r="AB271" s="503">
        <f>IF(終値!A271="","",IFERROR(4*STDEVP(終値!AE271:AX271)/AVERAGE(終値!AE271:AX271),""))</f>
        <v>0.10541206545996219</v>
      </c>
      <c r="AC271" s="503">
        <f>IF(終値!A271="","",IFERROR(4*STDEVP(終値!AF271:AY271)/AVERAGE(終値!AF271:AY271),""))</f>
        <v>0.10492589702488714</v>
      </c>
      <c r="AD271" s="503">
        <f>IF(終値!A271="","",IFERROR(4*STDEVP(終値!AG271:AZ271)/AVERAGE(終値!AG271:AZ271),""))</f>
        <v>0.10463594781498463</v>
      </c>
      <c r="AE271" s="503">
        <f>IF(終値!A271="","",IFERROR(4*STDEVP(終値!AH271:BA271)/AVERAGE(終値!AH271:BA271),""))</f>
        <v>0.10099984634178923</v>
      </c>
      <c r="AF271" s="503">
        <f>IF(終値!A271="","",IFERROR(4*STDEVP(終値!AI271:BB271)/AVERAGE(終値!AI271:BB271),""))</f>
        <v>0.10124357907203926</v>
      </c>
      <c r="AG271" s="503">
        <f>IF(終値!A271="","",IFERROR(4*STDEVP(終値!AJ271:BC271)/AVERAGE(終値!AJ271:BC271),""))</f>
        <v>0.10545346473149525</v>
      </c>
      <c r="AH271" s="503">
        <f>IF(終値!A271="","",IFERROR(4*STDEVP(終値!AK271:BD271)/AVERAGE(終値!AK271:BD271),""))</f>
        <v>0.10400077946581916</v>
      </c>
      <c r="AI271" s="503">
        <f>IF(終値!A271="","",IFERROR(4*STDEVP(終値!AL271:BE271)/AVERAGE(終値!AL271:BE271),""))</f>
        <v>0.1149537500823893</v>
      </c>
      <c r="AJ271" s="503">
        <f>IF(終値!A271="","",IFERROR(4*STDEVP(終値!AM271:BF271)/AVERAGE(終値!AM271:BF271),""))</f>
        <v>0.16186980309790375</v>
      </c>
      <c r="AK271" s="503">
        <f>IF(終値!A271="","",IFERROR(4*STDEVP(終値!AN271:BG271)/AVERAGE(終値!AN271:BG271),""))</f>
        <v>0.19828768981705372</v>
      </c>
      <c r="AL271" s="503">
        <f>IF(終値!A271="","",IFERROR(4*STDEVP(終値!AO271:BH271)/AVERAGE(終値!AO271:BH271),""))</f>
        <v>0.2281955182364396</v>
      </c>
      <c r="AM271" s="503">
        <f>IF(終値!A271="","",IFERROR(4*STDEVP(終値!AP271:BI271)/AVERAGE(終値!AP271:BI271),""))</f>
        <v>0.24611152224831917</v>
      </c>
      <c r="AN271" s="503">
        <f>IF(終値!A271="","",IFERROR(4*STDEVP(終値!AQ271:BJ271)/AVERAGE(終値!AQ271:BJ271),""))</f>
        <v>0.25692104517442027</v>
      </c>
      <c r="AO271" s="503">
        <f>IF(終値!A271="","",IFERROR(4*STDEVP(終値!AR271:BK271)/AVERAGE(終値!AR271:BK271),""))</f>
        <v>0.26986193265202008</v>
      </c>
      <c r="AP271" s="503">
        <f>IF(終値!A271="","",IFERROR(4*STDEVP(終値!AS271:BL271)/AVERAGE(終値!AS271:BL271),""))</f>
        <v>0.28123714969546126</v>
      </c>
    </row>
    <row r="272" spans="1:42">
      <c r="A272" s="500" t="str">
        <f>IF(終値!A272="","",終値!A272)</f>
        <v>6997</v>
      </c>
      <c r="B272" s="503">
        <f>IF(終値!A272="","",IFERROR(4*STDEVP(終値!E272:X272)/AVERAGE(終値!E272:X272),""))</f>
        <v>0.65356244375543038</v>
      </c>
      <c r="C272" s="503">
        <f>IF(終値!A272="","",IFERROR(4*STDEVP(終値!F272:Y272)/AVERAGE(終値!F272:Y272),""))</f>
        <v>0.81374869388937954</v>
      </c>
      <c r="D272" s="503">
        <f>IF(終値!A272="","",IFERROR(4*STDEVP(終値!G272:Z272)/AVERAGE(終値!G272:Z272),""))</f>
        <v>0.8696818437644197</v>
      </c>
      <c r="E272" s="503">
        <f>IF(終値!A272="","",IFERROR(4*STDEVP(終値!H272:AA272)/AVERAGE(終値!H272:AA272),""))</f>
        <v>0.95842145487623098</v>
      </c>
      <c r="F272" s="503">
        <f>IF(終値!A272="","",IFERROR(4*STDEVP(終値!I272:AB272)/AVERAGE(終値!I272:AB272),""))</f>
        <v>0.95342650582964283</v>
      </c>
      <c r="G272" s="503">
        <f>IF(終値!A272="","",IFERROR(4*STDEVP(終値!J272:AC272)/AVERAGE(終値!J272:AC272),""))</f>
        <v>0.92819853349284487</v>
      </c>
      <c r="H272" s="503">
        <f>IF(終値!A272="","",IFERROR(4*STDEVP(終値!K272:AD272)/AVERAGE(終値!K272:AD272),""))</f>
        <v>0.90433241841311807</v>
      </c>
      <c r="I272" s="503">
        <f>IF(終値!A272="","",IFERROR(4*STDEVP(終値!L272:AE272)/AVERAGE(終値!L272:AE272),""))</f>
        <v>0.91340056427709426</v>
      </c>
      <c r="J272" s="503">
        <f>IF(終値!A272="","",IFERROR(4*STDEVP(終値!M272:AF272)/AVERAGE(終値!M272:AF272),""))</f>
        <v>0.88010202245309732</v>
      </c>
      <c r="K272" s="503">
        <f>IF(終値!A272="","",IFERROR(4*STDEVP(終値!N272:AG272)/AVERAGE(終値!N272:AG272),""))</f>
        <v>0.84095809501513941</v>
      </c>
      <c r="L272" s="503">
        <f>IF(終値!A272="","",IFERROR(4*STDEVP(終値!O272:AH272)/AVERAGE(終値!O272:AH272),""))</f>
        <v>0.8121653222546823</v>
      </c>
      <c r="M272" s="503">
        <f>IF(終値!A272="","",IFERROR(4*STDEVP(終値!P272:AI272)/AVERAGE(終値!P272:AI272),""))</f>
        <v>0.74697810981470403</v>
      </c>
      <c r="N272" s="503">
        <f>IF(終値!A272="","",IFERROR(4*STDEVP(終値!Q272:AJ272)/AVERAGE(終値!Q272:AJ272),""))</f>
        <v>0.66886512736072168</v>
      </c>
      <c r="O272" s="503">
        <f>IF(終値!A272="","",IFERROR(4*STDEVP(終値!R272:AK272)/AVERAGE(終値!R272:AK272),""))</f>
        <v>0.61918703102325101</v>
      </c>
      <c r="P272" s="503">
        <f>IF(終値!A272="","",IFERROR(4*STDEVP(終値!S272:AL272)/AVERAGE(終値!S272:AL272),""))</f>
        <v>0.57039537231674342</v>
      </c>
      <c r="Q272" s="503">
        <f>IF(終値!A272="","",IFERROR(4*STDEVP(終値!T272:AM272)/AVERAGE(終値!T272:AM272),""))</f>
        <v>0.50767861531333758</v>
      </c>
      <c r="R272" s="503">
        <f>IF(終値!A272="","",IFERROR(4*STDEVP(終値!U272:AN272)/AVERAGE(終値!U272:AN272),""))</f>
        <v>0.49312795291142558</v>
      </c>
      <c r="S272" s="503">
        <f>IF(終値!A272="","",IFERROR(4*STDEVP(終値!V272:AO272)/AVERAGE(終値!V272:AO272),""))</f>
        <v>0.47890892103615934</v>
      </c>
      <c r="T272" s="503">
        <f>IF(終値!A272="","",IFERROR(4*STDEVP(終値!W272:AP272)/AVERAGE(終値!W272:AP272),""))</f>
        <v>0.45498325067713569</v>
      </c>
      <c r="U272" s="503">
        <f>IF(終値!A272="","",IFERROR(4*STDEVP(終値!X272:AQ272)/AVERAGE(終値!X272:AQ272),""))</f>
        <v>0.43893052504797664</v>
      </c>
      <c r="V272" s="503">
        <f>IF(終値!A272="","",IFERROR(4*STDEVP(終値!Y272:AR272)/AVERAGE(終値!Y272:AR272),""))</f>
        <v>0.43957570872451579</v>
      </c>
      <c r="W272" s="503">
        <f>IF(終値!A272="","",IFERROR(4*STDEVP(終値!Z272:AS272)/AVERAGE(終値!Z272:AS272),""))</f>
        <v>0.43797784066068846</v>
      </c>
      <c r="X272" s="503">
        <f>IF(終値!A272="","",IFERROR(4*STDEVP(終値!AA272:AT272)/AVERAGE(終値!AA272:AT272),""))</f>
        <v>0.44226216959440057</v>
      </c>
      <c r="Y272" s="503">
        <f>IF(終値!A272="","",IFERROR(4*STDEVP(終値!AB272:AU272)/AVERAGE(終値!AB272:AU272),""))</f>
        <v>0.43351930048432863</v>
      </c>
      <c r="Z272" s="503">
        <f>IF(終値!A272="","",IFERROR(4*STDEVP(終値!AC272:AV272)/AVERAGE(終値!AC272:AV272),""))</f>
        <v>0.42880442005053804</v>
      </c>
      <c r="AA272" s="503">
        <f>IF(終値!A272="","",IFERROR(4*STDEVP(終値!AD272:AW272)/AVERAGE(終値!AD272:AW272),""))</f>
        <v>0.43768921624351009</v>
      </c>
      <c r="AB272" s="503">
        <f>IF(終値!A272="","",IFERROR(4*STDEVP(終値!AE272:AX272)/AVERAGE(終値!AE272:AX272),""))</f>
        <v>0.47348903801759334</v>
      </c>
      <c r="AC272" s="503">
        <f>IF(終値!A272="","",IFERROR(4*STDEVP(終値!AF272:AY272)/AVERAGE(終値!AF272:AY272),""))</f>
        <v>0.46043112656888097</v>
      </c>
      <c r="AD272" s="503">
        <f>IF(終値!A272="","",IFERROR(4*STDEVP(終値!AG272:AZ272)/AVERAGE(終値!AG272:AZ272),""))</f>
        <v>0.52799320722431187</v>
      </c>
      <c r="AE272" s="503">
        <f>IF(終値!A272="","",IFERROR(4*STDEVP(終値!AH272:BA272)/AVERAGE(終値!AH272:BA272),""))</f>
        <v>0.6240255749402821</v>
      </c>
      <c r="AF272" s="503">
        <f>IF(終値!A272="","",IFERROR(4*STDEVP(終値!AI272:BB272)/AVERAGE(終値!AI272:BB272),""))</f>
        <v>0.66510090164009972</v>
      </c>
      <c r="AG272" s="503">
        <f>IF(終値!A272="","",IFERROR(4*STDEVP(終値!AJ272:BC272)/AVERAGE(終値!AJ272:BC272),""))</f>
        <v>0.68926747188524506</v>
      </c>
      <c r="AH272" s="503">
        <f>IF(終値!A272="","",IFERROR(4*STDEVP(終値!AK272:BD272)/AVERAGE(終値!AK272:BD272),""))</f>
        <v>0.71387881388420404</v>
      </c>
      <c r="AI272" s="503">
        <f>IF(終値!A272="","",IFERROR(4*STDEVP(終値!AL272:BE272)/AVERAGE(終値!AL272:BE272),""))</f>
        <v>0.7362299559057659</v>
      </c>
      <c r="AJ272" s="503">
        <f>IF(終値!A272="","",IFERROR(4*STDEVP(終値!AM272:BF272)/AVERAGE(終値!AM272:BF272),""))</f>
        <v>0.75207072257083296</v>
      </c>
      <c r="AK272" s="503">
        <f>IF(終値!A272="","",IFERROR(4*STDEVP(終値!AN272:BG272)/AVERAGE(終値!AN272:BG272),""))</f>
        <v>0.76730890115017159</v>
      </c>
      <c r="AL272" s="503">
        <f>IF(終値!A272="","",IFERROR(4*STDEVP(終値!AO272:BH272)/AVERAGE(終値!AO272:BH272),""))</f>
        <v>0.79210602793263907</v>
      </c>
      <c r="AM272" s="503">
        <f>IF(終値!A272="","",IFERROR(4*STDEVP(終値!AP272:BI272)/AVERAGE(終値!AP272:BI272),""))</f>
        <v>0.81631029372337527</v>
      </c>
      <c r="AN272" s="503">
        <f>IF(終値!A272="","",IFERROR(4*STDEVP(終値!AQ272:BJ272)/AVERAGE(終値!AQ272:BJ272),""))</f>
        <v>0.83655798756292921</v>
      </c>
      <c r="AO272" s="503">
        <f>IF(終値!A272="","",IFERROR(4*STDEVP(終値!AR272:BK272)/AVERAGE(終値!AR272:BK272),""))</f>
        <v>0.85502053532265632</v>
      </c>
      <c r="AP272" s="503">
        <f>IF(終値!A272="","",IFERROR(4*STDEVP(終値!AS272:BL272)/AVERAGE(終値!AS272:BL272),""))</f>
        <v>0.85641704513726591</v>
      </c>
    </row>
    <row r="273" spans="1:42">
      <c r="A273" s="500" t="str">
        <f>IF(終値!A273="","",終値!A273)</f>
        <v>4544</v>
      </c>
      <c r="B273" s="503">
        <f>IF(終値!A273="","",IFERROR(4*STDEVP(終値!E273:X273)/AVERAGE(終値!E273:X273),""))</f>
        <v>7.9182355587549727E-2</v>
      </c>
      <c r="C273" s="503">
        <f>IF(終値!A273="","",IFERROR(4*STDEVP(終値!F273:Y273)/AVERAGE(終値!F273:Y273),""))</f>
        <v>7.7745173096910231E-2</v>
      </c>
      <c r="D273" s="503">
        <f>IF(終値!A273="","",IFERROR(4*STDEVP(終値!G273:Z273)/AVERAGE(終値!G273:Z273),""))</f>
        <v>7.691475317074814E-2</v>
      </c>
      <c r="E273" s="503">
        <f>IF(終値!A273="","",IFERROR(4*STDEVP(終値!H273:AA273)/AVERAGE(終値!H273:AA273),""))</f>
        <v>8.5895695236135619E-2</v>
      </c>
      <c r="F273" s="503">
        <f>IF(終値!A273="","",IFERROR(4*STDEVP(終値!I273:AB273)/AVERAGE(終値!I273:AB273),""))</f>
        <v>8.7204777693484656E-2</v>
      </c>
      <c r="G273" s="503">
        <f>IF(終値!A273="","",IFERROR(4*STDEVP(終値!J273:AC273)/AVERAGE(終値!J273:AC273),""))</f>
        <v>7.1331518685314899E-2</v>
      </c>
      <c r="H273" s="503">
        <f>IF(終値!A273="","",IFERROR(4*STDEVP(終値!K273:AD273)/AVERAGE(終値!K273:AD273),""))</f>
        <v>7.3836625503826664E-2</v>
      </c>
      <c r="I273" s="503">
        <f>IF(終値!A273="","",IFERROR(4*STDEVP(終値!L273:AE273)/AVERAGE(終値!L273:AE273),""))</f>
        <v>8.2799751697501006E-2</v>
      </c>
      <c r="J273" s="503">
        <f>IF(終値!A273="","",IFERROR(4*STDEVP(終値!M273:AF273)/AVERAGE(終値!M273:AF273),""))</f>
        <v>9.7227684015140009E-2</v>
      </c>
      <c r="K273" s="503">
        <f>IF(終値!A273="","",IFERROR(4*STDEVP(終値!N273:AG273)/AVERAGE(終値!N273:AG273),""))</f>
        <v>0.10969450216004477</v>
      </c>
      <c r="L273" s="503">
        <f>IF(終値!A273="","",IFERROR(4*STDEVP(終値!O273:AH273)/AVERAGE(終値!O273:AH273),""))</f>
        <v>0.11761014649059397</v>
      </c>
      <c r="M273" s="503">
        <f>IF(終値!A273="","",IFERROR(4*STDEVP(終値!P273:AI273)/AVERAGE(終値!P273:AI273),""))</f>
        <v>0.12695052751036084</v>
      </c>
      <c r="N273" s="503">
        <f>IF(終値!A273="","",IFERROR(4*STDEVP(終値!Q273:AJ273)/AVERAGE(終値!Q273:AJ273),""))</f>
        <v>0.13121853231409158</v>
      </c>
      <c r="O273" s="503">
        <f>IF(終値!A273="","",IFERROR(4*STDEVP(終値!R273:AK273)/AVERAGE(終値!R273:AK273),""))</f>
        <v>0.13304510164358674</v>
      </c>
      <c r="P273" s="503">
        <f>IF(終値!A273="","",IFERROR(4*STDEVP(終値!S273:AL273)/AVERAGE(終値!S273:AL273),""))</f>
        <v>0.13257288330318867</v>
      </c>
      <c r="Q273" s="503">
        <f>IF(終値!A273="","",IFERROR(4*STDEVP(終値!T273:AM273)/AVERAGE(終値!T273:AM273),""))</f>
        <v>0.13223956505666642</v>
      </c>
      <c r="R273" s="503">
        <f>IF(終値!A273="","",IFERROR(4*STDEVP(終値!U273:AN273)/AVERAGE(終値!U273:AN273),""))</f>
        <v>0.13285996327114111</v>
      </c>
      <c r="S273" s="503">
        <f>IF(終値!A273="","",IFERROR(4*STDEVP(終値!V273:AO273)/AVERAGE(終値!V273:AO273),""))</f>
        <v>0.13607918452955761</v>
      </c>
      <c r="T273" s="503">
        <f>IF(終値!A273="","",IFERROR(4*STDEVP(終値!W273:AP273)/AVERAGE(終値!W273:AP273),""))</f>
        <v>0.13449302934283172</v>
      </c>
      <c r="U273" s="503">
        <f>IF(終値!A273="","",IFERROR(4*STDEVP(終値!X273:AQ273)/AVERAGE(終値!X273:AQ273),""))</f>
        <v>0.12569697636765309</v>
      </c>
      <c r="V273" s="503">
        <f>IF(終値!A273="","",IFERROR(4*STDEVP(終値!Y273:AR273)/AVERAGE(終値!Y273:AR273),""))</f>
        <v>0.12010089543195991</v>
      </c>
      <c r="W273" s="503">
        <f>IF(終値!A273="","",IFERROR(4*STDEVP(終値!Z273:AS273)/AVERAGE(終値!Z273:AS273),""))</f>
        <v>0.11601801693996647</v>
      </c>
      <c r="X273" s="503">
        <f>IF(終値!A273="","",IFERROR(4*STDEVP(終値!AA273:AT273)/AVERAGE(終値!AA273:AT273),""))</f>
        <v>0.11172069023518859</v>
      </c>
      <c r="Y273" s="503">
        <f>IF(終値!A273="","",IFERROR(4*STDEVP(終値!AB273:AU273)/AVERAGE(終値!AB273:AU273),""))</f>
        <v>0.11694531222298257</v>
      </c>
      <c r="Z273" s="503">
        <f>IF(終値!A273="","",IFERROR(4*STDEVP(終値!AC273:AV273)/AVERAGE(終値!AC273:AV273),""))</f>
        <v>0.12278915985437804</v>
      </c>
      <c r="AA273" s="503">
        <f>IF(終値!A273="","",IFERROR(4*STDEVP(終値!AD273:AW273)/AVERAGE(終値!AD273:AW273),""))</f>
        <v>0.12567976904004322</v>
      </c>
      <c r="AB273" s="503">
        <f>IF(終値!A273="","",IFERROR(4*STDEVP(終値!AE273:AX273)/AVERAGE(終値!AE273:AX273),""))</f>
        <v>0.12893571462951012</v>
      </c>
      <c r="AC273" s="503">
        <f>IF(終値!A273="","",IFERROR(4*STDEVP(終値!AF273:AY273)/AVERAGE(終値!AF273:AY273),""))</f>
        <v>0.12901599122215954</v>
      </c>
      <c r="AD273" s="503">
        <f>IF(終値!A273="","",IFERROR(4*STDEVP(終値!AG273:AZ273)/AVERAGE(終値!AG273:AZ273),""))</f>
        <v>0.12757113891328517</v>
      </c>
      <c r="AE273" s="503">
        <f>IF(終値!A273="","",IFERROR(4*STDEVP(終値!AH273:BA273)/AVERAGE(終値!AH273:BA273),""))</f>
        <v>0.1265414339882022</v>
      </c>
      <c r="AF273" s="503">
        <f>IF(終値!A273="","",IFERROR(4*STDEVP(終値!AI273:BB273)/AVERAGE(終値!AI273:BB273),""))</f>
        <v>0.1249410443535814</v>
      </c>
      <c r="AG273" s="503">
        <f>IF(終値!A273="","",IFERROR(4*STDEVP(終値!AJ273:BC273)/AVERAGE(終値!AJ273:BC273),""))</f>
        <v>0.12112297897265568</v>
      </c>
      <c r="AH273" s="503">
        <f>IF(終値!A273="","",IFERROR(4*STDEVP(終値!AK273:BD273)/AVERAGE(終値!AK273:BD273),""))</f>
        <v>0.12065674767882821</v>
      </c>
      <c r="AI273" s="503">
        <f>IF(終値!A273="","",IFERROR(4*STDEVP(終値!AL273:BE273)/AVERAGE(終値!AL273:BE273),""))</f>
        <v>0.11959603551190703</v>
      </c>
      <c r="AJ273" s="503">
        <f>IF(終値!A273="","",IFERROR(4*STDEVP(終値!AM273:BF273)/AVERAGE(終値!AM273:BF273),""))</f>
        <v>0.11980166886380118</v>
      </c>
      <c r="AK273" s="503">
        <f>IF(終値!A273="","",IFERROR(4*STDEVP(終値!AN273:BG273)/AVERAGE(終値!AN273:BG273),""))</f>
        <v>0.12393641761655952</v>
      </c>
      <c r="AL273" s="503">
        <f>IF(終値!A273="","",IFERROR(4*STDEVP(終値!AO273:BH273)/AVERAGE(終値!AO273:BH273),""))</f>
        <v>0.12353478316769907</v>
      </c>
      <c r="AM273" s="503">
        <f>IF(終値!A273="","",IFERROR(4*STDEVP(終値!AP273:BI273)/AVERAGE(終値!AP273:BI273),""))</f>
        <v>0.11656500717921212</v>
      </c>
      <c r="AN273" s="503">
        <f>IF(終値!A273="","",IFERROR(4*STDEVP(終値!AQ273:BJ273)/AVERAGE(終値!AQ273:BJ273),""))</f>
        <v>9.5776673959508743E-2</v>
      </c>
      <c r="AO273" s="503">
        <f>IF(終値!A273="","",IFERROR(4*STDEVP(終値!AR273:BK273)/AVERAGE(終値!AR273:BK273),""))</f>
        <v>8.787350945700613E-2</v>
      </c>
      <c r="AP273" s="503">
        <f>IF(終値!A273="","",IFERROR(4*STDEVP(終値!AS273:BL273)/AVERAGE(終値!AS273:BL273),""))</f>
        <v>7.6440465057674545E-2</v>
      </c>
    </row>
    <row r="274" spans="1:42">
      <c r="A274" s="500" t="str">
        <f>IF(終値!A274="","",終値!A274)</f>
        <v>6848</v>
      </c>
      <c r="B274" s="503">
        <f>IF(終値!A274="","",IFERROR(4*STDEVP(終値!E274:X274)/AVERAGE(終値!E274:X274),""))</f>
        <v>1.7635954033334549E-2</v>
      </c>
      <c r="C274" s="503">
        <f>IF(終値!A274="","",IFERROR(4*STDEVP(終値!F274:Y274)/AVERAGE(終値!F274:Y274),""))</f>
        <v>1.9915612496141058E-2</v>
      </c>
      <c r="D274" s="503">
        <f>IF(終値!A274="","",IFERROR(4*STDEVP(終値!G274:Z274)/AVERAGE(終値!G274:Z274),""))</f>
        <v>2.042380648360792E-2</v>
      </c>
      <c r="E274" s="503">
        <f>IF(終値!A274="","",IFERROR(4*STDEVP(終値!H274:AA274)/AVERAGE(終値!H274:AA274),""))</f>
        <v>2.026201707883038E-2</v>
      </c>
      <c r="F274" s="503">
        <f>IF(終値!A274="","",IFERROR(4*STDEVP(終値!I274:AB274)/AVERAGE(終値!I274:AB274),""))</f>
        <v>2.7421605674212875E-2</v>
      </c>
      <c r="G274" s="503">
        <f>IF(終値!A274="","",IFERROR(4*STDEVP(終値!J274:AC274)/AVERAGE(終値!J274:AC274),""))</f>
        <v>2.7457231082484171E-2</v>
      </c>
      <c r="H274" s="503">
        <f>IF(終値!A274="","",IFERROR(4*STDEVP(終値!K274:AD274)/AVERAGE(終値!K274:AD274),""))</f>
        <v>2.7048213108867458E-2</v>
      </c>
      <c r="I274" s="503">
        <f>IF(終値!A274="","",IFERROR(4*STDEVP(終値!L274:AE274)/AVERAGE(終値!L274:AE274),""))</f>
        <v>2.6892674776436615E-2</v>
      </c>
      <c r="J274" s="503">
        <f>IF(終値!A274="","",IFERROR(4*STDEVP(終値!M274:AF274)/AVERAGE(終値!M274:AF274),""))</f>
        <v>2.6211987817762603E-2</v>
      </c>
      <c r="K274" s="503">
        <f>IF(終値!A274="","",IFERROR(4*STDEVP(終値!N274:AG274)/AVERAGE(終値!N274:AG274),""))</f>
        <v>2.6367034889446212E-2</v>
      </c>
      <c r="L274" s="503">
        <f>IF(終値!A274="","",IFERROR(4*STDEVP(終値!O274:AH274)/AVERAGE(終値!O274:AH274),""))</f>
        <v>3.8385348410966726E-2</v>
      </c>
      <c r="M274" s="503">
        <f>IF(終値!A274="","",IFERROR(4*STDEVP(終値!P274:AI274)/AVERAGE(終値!P274:AI274),""))</f>
        <v>3.8927549337969623E-2</v>
      </c>
      <c r="N274" s="503">
        <f>IF(終値!A274="","",IFERROR(4*STDEVP(終値!Q274:AJ274)/AVERAGE(終値!Q274:AJ274),""))</f>
        <v>3.8103010398673288E-2</v>
      </c>
      <c r="O274" s="503">
        <f>IF(終値!A274="","",IFERROR(4*STDEVP(終値!R274:AK274)/AVERAGE(終値!R274:AK274),""))</f>
        <v>3.8166162438910876E-2</v>
      </c>
      <c r="P274" s="503">
        <f>IF(終値!A274="","",IFERROR(4*STDEVP(終値!S274:AL274)/AVERAGE(終値!S274:AL274),""))</f>
        <v>3.802391911215855E-2</v>
      </c>
      <c r="Q274" s="503">
        <f>IF(終値!A274="","",IFERROR(4*STDEVP(終値!T274:AM274)/AVERAGE(終値!T274:AM274),""))</f>
        <v>3.8108023177504446E-2</v>
      </c>
      <c r="R274" s="503">
        <f>IF(終値!A274="","",IFERROR(4*STDEVP(終値!U274:AN274)/AVERAGE(終値!U274:AN274),""))</f>
        <v>3.8108023177504446E-2</v>
      </c>
      <c r="S274" s="503">
        <f>IF(終値!A274="","",IFERROR(4*STDEVP(終値!V274:AO274)/AVERAGE(終値!V274:AO274),""))</f>
        <v>4.1065178924745774E-2</v>
      </c>
      <c r="T274" s="503">
        <f>IF(終値!A274="","",IFERROR(4*STDEVP(終値!W274:AP274)/AVERAGE(終値!W274:AP274),""))</f>
        <v>4.1974855341864369E-2</v>
      </c>
      <c r="U274" s="503">
        <f>IF(終値!A274="","",IFERROR(4*STDEVP(終値!X274:AQ274)/AVERAGE(終値!X274:AQ274),""))</f>
        <v>4.2511455854007396E-2</v>
      </c>
      <c r="V274" s="503">
        <f>IF(終値!A274="","",IFERROR(4*STDEVP(終値!Y274:AR274)/AVERAGE(終値!Y274:AR274),""))</f>
        <v>4.3519618226233285E-2</v>
      </c>
      <c r="W274" s="503">
        <f>IF(終値!A274="","",IFERROR(4*STDEVP(終値!Z274:AS274)/AVERAGE(終値!Z274:AS274),""))</f>
        <v>4.4200976997043465E-2</v>
      </c>
      <c r="X274" s="503">
        <f>IF(終値!A274="","",IFERROR(4*STDEVP(終値!AA274:AT274)/AVERAGE(終値!AA274:AT274),""))</f>
        <v>4.3148134449733547E-2</v>
      </c>
      <c r="Y274" s="503">
        <f>IF(終値!A274="","",IFERROR(4*STDEVP(終値!AB274:AU274)/AVERAGE(終値!AB274:AU274),""))</f>
        <v>4.3381832995832349E-2</v>
      </c>
      <c r="Z274" s="503">
        <f>IF(終値!A274="","",IFERROR(4*STDEVP(終値!AC274:AV274)/AVERAGE(終値!AC274:AV274),""))</f>
        <v>4.1922501944489078E-2</v>
      </c>
      <c r="AA274" s="503">
        <f>IF(終値!A274="","",IFERROR(4*STDEVP(終値!AD274:AW274)/AVERAGE(終値!AD274:AW274),""))</f>
        <v>4.2399628558430963E-2</v>
      </c>
      <c r="AB274" s="503">
        <f>IF(終値!A274="","",IFERROR(4*STDEVP(終値!AE274:AX274)/AVERAGE(終値!AE274:AX274),""))</f>
        <v>4.2966551541220602E-2</v>
      </c>
      <c r="AC274" s="503">
        <f>IF(終値!A274="","",IFERROR(4*STDEVP(終値!AF274:AY274)/AVERAGE(終値!AF274:AY274),""))</f>
        <v>4.29566404148553E-2</v>
      </c>
      <c r="AD274" s="503">
        <f>IF(終値!A274="","",IFERROR(4*STDEVP(終値!AG274:AZ274)/AVERAGE(終値!AG274:AZ274),""))</f>
        <v>4.2969979866167567E-2</v>
      </c>
      <c r="AE274" s="503">
        <f>IF(終値!A274="","",IFERROR(4*STDEVP(終値!AH274:BA274)/AVERAGE(終値!AH274:BA274),""))</f>
        <v>4.2846536150605165E-2</v>
      </c>
      <c r="AF274" s="503">
        <f>IF(終値!A274="","",IFERROR(4*STDEVP(終値!AI274:BB274)/AVERAGE(終値!AI274:BB274),""))</f>
        <v>3.7691459388271224E-2</v>
      </c>
      <c r="AG274" s="503">
        <f>IF(終値!A274="","",IFERROR(4*STDEVP(終値!AJ274:BC274)/AVERAGE(終値!AJ274:BC274),""))</f>
        <v>3.8512909894299528E-2</v>
      </c>
      <c r="AH274" s="503">
        <f>IF(終値!A274="","",IFERROR(4*STDEVP(終値!AK274:BD274)/AVERAGE(終値!AK274:BD274),""))</f>
        <v>4.0855235578021253E-2</v>
      </c>
      <c r="AI274" s="503">
        <f>IF(終値!A274="","",IFERROR(4*STDEVP(終値!AL274:BE274)/AVERAGE(終値!AL274:BE274),""))</f>
        <v>4.067833332496365E-2</v>
      </c>
      <c r="AJ274" s="503">
        <f>IF(終値!A274="","",IFERROR(4*STDEVP(終値!AM274:BF274)/AVERAGE(終値!AM274:BF274),""))</f>
        <v>4.1618292547345545E-2</v>
      </c>
      <c r="AK274" s="503">
        <f>IF(終値!A274="","",IFERROR(4*STDEVP(終値!AN274:BG274)/AVERAGE(終値!AN274:BG274),""))</f>
        <v>4.4622105534377433E-2</v>
      </c>
      <c r="AL274" s="503">
        <f>IF(終値!A274="","",IFERROR(4*STDEVP(終値!AO274:BH274)/AVERAGE(終値!AO274:BH274),""))</f>
        <v>4.3764402718820969E-2</v>
      </c>
      <c r="AM274" s="503">
        <f>IF(終値!A274="","",IFERROR(4*STDEVP(終値!AP274:BI274)/AVERAGE(終値!AP274:BI274),""))</f>
        <v>4.1180492441618158E-2</v>
      </c>
      <c r="AN274" s="503">
        <f>IF(終値!A274="","",IFERROR(4*STDEVP(終値!AQ274:BJ274)/AVERAGE(終値!AQ274:BJ274),""))</f>
        <v>4.0315462672449516E-2</v>
      </c>
      <c r="AO274" s="503">
        <f>IF(終値!A274="","",IFERROR(4*STDEVP(終値!AR274:BK274)/AVERAGE(終値!AR274:BK274),""))</f>
        <v>3.9698917760641668E-2</v>
      </c>
      <c r="AP274" s="503">
        <f>IF(終値!A274="","",IFERROR(4*STDEVP(終値!AS274:BL274)/AVERAGE(終値!AS274:BL274),""))</f>
        <v>3.8989309832339024E-2</v>
      </c>
    </row>
    <row r="275" spans="1:42">
      <c r="A275" s="500" t="str">
        <f>IF(終値!A275="","",終値!A275)</f>
        <v>5702</v>
      </c>
      <c r="B275" s="503">
        <f>IF(終値!A275="","",IFERROR(4*STDEVP(終値!E275:X275)/AVERAGE(終値!E275:X275),""))</f>
        <v>6.9542931361832122E-2</v>
      </c>
      <c r="C275" s="503">
        <f>IF(終値!A275="","",IFERROR(4*STDEVP(終値!F275:Y275)/AVERAGE(終値!F275:Y275),""))</f>
        <v>6.7013868454442946E-2</v>
      </c>
      <c r="D275" s="503">
        <f>IF(終値!A275="","",IFERROR(4*STDEVP(終値!G275:Z275)/AVERAGE(終値!G275:Z275),""))</f>
        <v>6.0282071744317774E-2</v>
      </c>
      <c r="E275" s="503">
        <f>IF(終値!A275="","",IFERROR(4*STDEVP(終値!H275:AA275)/AVERAGE(終値!H275:AA275),""))</f>
        <v>6.1282932637845844E-2</v>
      </c>
      <c r="F275" s="503">
        <f>IF(終値!A275="","",IFERROR(4*STDEVP(終値!I275:AB275)/AVERAGE(終値!I275:AB275),""))</f>
        <v>5.751957510359202E-2</v>
      </c>
      <c r="G275" s="503">
        <f>IF(終値!A275="","",IFERROR(4*STDEVP(終値!J275:AC275)/AVERAGE(終値!J275:AC275),""))</f>
        <v>5.4486011676992852E-2</v>
      </c>
      <c r="H275" s="503">
        <f>IF(終値!A275="","",IFERROR(4*STDEVP(終値!K275:AD275)/AVERAGE(終値!K275:AD275),""))</f>
        <v>5.2856163621646281E-2</v>
      </c>
      <c r="I275" s="503">
        <f>IF(終値!A275="","",IFERROR(4*STDEVP(終値!L275:AE275)/AVERAGE(終値!L275:AE275),""))</f>
        <v>5.7006272683264247E-2</v>
      </c>
      <c r="J275" s="503">
        <f>IF(終値!A275="","",IFERROR(4*STDEVP(終値!M275:AF275)/AVERAGE(終値!M275:AF275),""))</f>
        <v>8.0730721425033333E-2</v>
      </c>
      <c r="K275" s="503">
        <f>IF(終値!A275="","",IFERROR(4*STDEVP(終値!N275:AG275)/AVERAGE(終値!N275:AG275),""))</f>
        <v>0.10073864160946862</v>
      </c>
      <c r="L275" s="503">
        <f>IF(終値!A275="","",IFERROR(4*STDEVP(終値!O275:AH275)/AVERAGE(終値!O275:AH275),""))</f>
        <v>0.13326411153580625</v>
      </c>
      <c r="M275" s="503">
        <f>IF(終値!A275="","",IFERROR(4*STDEVP(終値!P275:AI275)/AVERAGE(終値!P275:AI275),""))</f>
        <v>0.15757733720265404</v>
      </c>
      <c r="N275" s="503">
        <f>IF(終値!A275="","",IFERROR(4*STDEVP(終値!Q275:AJ275)/AVERAGE(終値!Q275:AJ275),""))</f>
        <v>0.18234713977493228</v>
      </c>
      <c r="O275" s="503">
        <f>IF(終値!A275="","",IFERROR(4*STDEVP(終値!R275:AK275)/AVERAGE(終値!R275:AK275),""))</f>
        <v>0.20562872797095028</v>
      </c>
      <c r="P275" s="503">
        <f>IF(終値!A275="","",IFERROR(4*STDEVP(終値!S275:AL275)/AVERAGE(終値!S275:AL275),""))</f>
        <v>0.23008330605287927</v>
      </c>
      <c r="Q275" s="503">
        <f>IF(終値!A275="","",IFERROR(4*STDEVP(終値!T275:AM275)/AVERAGE(終値!T275:AM275),""))</f>
        <v>0.26853008793483618</v>
      </c>
      <c r="R275" s="503">
        <f>IF(終値!A275="","",IFERROR(4*STDEVP(終値!U275:AN275)/AVERAGE(終値!U275:AN275),""))</f>
        <v>0.29392781184219313</v>
      </c>
      <c r="S275" s="503">
        <f>IF(終値!A275="","",IFERROR(4*STDEVP(終値!V275:AO275)/AVERAGE(終値!V275:AO275),""))</f>
        <v>0.3082272999448521</v>
      </c>
      <c r="T275" s="503">
        <f>IF(終値!A275="","",IFERROR(4*STDEVP(終値!W275:AP275)/AVERAGE(終値!W275:AP275),""))</f>
        <v>0.31582279318483264</v>
      </c>
      <c r="U275" s="503">
        <f>IF(終値!A275="","",IFERROR(4*STDEVP(終値!X275:AQ275)/AVERAGE(終値!X275:AQ275),""))</f>
        <v>0.32600791342878632</v>
      </c>
      <c r="V275" s="503">
        <f>IF(終値!A275="","",IFERROR(4*STDEVP(終値!Y275:AR275)/AVERAGE(終値!Y275:AR275),""))</f>
        <v>0.34710375492898715</v>
      </c>
      <c r="W275" s="503">
        <f>IF(終値!A275="","",IFERROR(4*STDEVP(終値!Z275:AS275)/AVERAGE(終値!Z275:AS275),""))</f>
        <v>0.35497598527585467</v>
      </c>
      <c r="X275" s="503">
        <f>IF(終値!A275="","",IFERROR(4*STDEVP(終値!AA275:AT275)/AVERAGE(終値!AA275:AT275),""))</f>
        <v>0.36994858626827054</v>
      </c>
      <c r="Y275" s="503">
        <f>IF(終値!A275="","",IFERROR(4*STDEVP(終値!AB275:AU275)/AVERAGE(終値!AB275:AU275),""))</f>
        <v>0.36799898444989915</v>
      </c>
      <c r="Z275" s="503">
        <f>IF(終値!A275="","",IFERROR(4*STDEVP(終値!AC275:AV275)/AVERAGE(終値!AC275:AV275),""))</f>
        <v>0.35099536954364163</v>
      </c>
      <c r="AA275" s="503">
        <f>IF(終値!A275="","",IFERROR(4*STDEVP(終値!AD275:AW275)/AVERAGE(終値!AD275:AW275),""))</f>
        <v>0.33423225928320566</v>
      </c>
      <c r="AB275" s="503">
        <f>IF(終値!A275="","",IFERROR(4*STDEVP(終値!AE275:AX275)/AVERAGE(終値!AE275:AX275),""))</f>
        <v>0.31371220122829319</v>
      </c>
      <c r="AC275" s="503">
        <f>IF(終値!A275="","",IFERROR(4*STDEVP(終値!AF275:AY275)/AVERAGE(終値!AF275:AY275),""))</f>
        <v>0.28717790086622641</v>
      </c>
      <c r="AD275" s="503">
        <f>IF(終値!A275="","",IFERROR(4*STDEVP(終値!AG275:AZ275)/AVERAGE(終値!AG275:AZ275),""))</f>
        <v>0.26223295614627606</v>
      </c>
      <c r="AE275" s="503">
        <f>IF(終値!A275="","",IFERROR(4*STDEVP(終値!AH275:BA275)/AVERAGE(終値!AH275:BA275),""))</f>
        <v>0.23234264324217083</v>
      </c>
      <c r="AF275" s="503">
        <f>IF(終値!A275="","",IFERROR(4*STDEVP(終値!AI275:BB275)/AVERAGE(終値!AI275:BB275),""))</f>
        <v>0.21206656898672346</v>
      </c>
      <c r="AG275" s="503">
        <f>IF(終値!A275="","",IFERROR(4*STDEVP(終値!AJ275:BC275)/AVERAGE(終値!AJ275:BC275),""))</f>
        <v>0.18840877021817307</v>
      </c>
      <c r="AH275" s="503">
        <f>IF(終値!A275="","",IFERROR(4*STDEVP(終値!AK275:BD275)/AVERAGE(終値!AK275:BD275),""))</f>
        <v>0.17379144373771008</v>
      </c>
      <c r="AI275" s="503">
        <f>IF(終値!A275="","",IFERROR(4*STDEVP(終値!AL275:BE275)/AVERAGE(終値!AL275:BE275),""))</f>
        <v>0.15352666252739219</v>
      </c>
      <c r="AJ275" s="503">
        <f>IF(終値!A275="","",IFERROR(4*STDEVP(終値!AM275:BF275)/AVERAGE(終値!AM275:BF275),""))</f>
        <v>0.14327954972900314</v>
      </c>
      <c r="AK275" s="503">
        <f>IF(終値!A275="","",IFERROR(4*STDEVP(終値!AN275:BG275)/AVERAGE(終値!AN275:BG275),""))</f>
        <v>0.19287539803583514</v>
      </c>
      <c r="AL275" s="503">
        <f>IF(終値!A275="","",IFERROR(4*STDEVP(終値!AO275:BH275)/AVERAGE(終値!AO275:BH275),""))</f>
        <v>0.23456301697474649</v>
      </c>
      <c r="AM275" s="503">
        <f>IF(終値!A275="","",IFERROR(4*STDEVP(終値!AP275:BI275)/AVERAGE(終値!AP275:BI275),""))</f>
        <v>0.26592396628974058</v>
      </c>
      <c r="AN275" s="503">
        <f>IF(終値!A275="","",IFERROR(4*STDEVP(終値!AQ275:BJ275)/AVERAGE(終値!AQ275:BJ275),""))</f>
        <v>0.28956166927256854</v>
      </c>
      <c r="AO275" s="503">
        <f>IF(終値!A275="","",IFERROR(4*STDEVP(終値!AR275:BK275)/AVERAGE(終値!AR275:BK275),""))</f>
        <v>0.3234387984606687</v>
      </c>
      <c r="AP275" s="503">
        <f>IF(終値!A275="","",IFERROR(4*STDEVP(終値!AS275:BL275)/AVERAGE(終値!AS275:BL275),""))</f>
        <v>0.35726062688743332</v>
      </c>
    </row>
    <row r="276" spans="1:42">
      <c r="A276" s="500" t="str">
        <f>IF(終値!A276="","",終値!A276)</f>
        <v>7952</v>
      </c>
      <c r="B276" s="503">
        <f>IF(終値!A276="","",IFERROR(4*STDEVP(終値!E276:X276)/AVERAGE(終値!E276:X276),""))</f>
        <v>0.13782605435009393</v>
      </c>
      <c r="C276" s="503">
        <f>IF(終値!A276="","",IFERROR(4*STDEVP(終値!F276:Y276)/AVERAGE(終値!F276:Y276),""))</f>
        <v>0.11672797857155037</v>
      </c>
      <c r="D276" s="503">
        <f>IF(終値!A276="","",IFERROR(4*STDEVP(終値!G276:Z276)/AVERAGE(終値!G276:Z276),""))</f>
        <v>9.2494235817849657E-2</v>
      </c>
      <c r="E276" s="503">
        <f>IF(終値!A276="","",IFERROR(4*STDEVP(終値!H276:AA276)/AVERAGE(終値!H276:AA276),""))</f>
        <v>7.4349606497870022E-2</v>
      </c>
      <c r="F276" s="503">
        <f>IF(終値!A276="","",IFERROR(4*STDEVP(終値!I276:AB276)/AVERAGE(終値!I276:AB276),""))</f>
        <v>6.3792381452060898E-2</v>
      </c>
      <c r="G276" s="503">
        <f>IF(終値!A276="","",IFERROR(4*STDEVP(終値!J276:AC276)/AVERAGE(終値!J276:AC276),""))</f>
        <v>5.4078566465509299E-2</v>
      </c>
      <c r="H276" s="503">
        <f>IF(終値!A276="","",IFERROR(4*STDEVP(終値!K276:AD276)/AVERAGE(終値!K276:AD276),""))</f>
        <v>5.7663396091326105E-2</v>
      </c>
      <c r="I276" s="503">
        <f>IF(終値!A276="","",IFERROR(4*STDEVP(終値!L276:AE276)/AVERAGE(終値!L276:AE276),""))</f>
        <v>6.3744993356042626E-2</v>
      </c>
      <c r="J276" s="503">
        <f>IF(終値!A276="","",IFERROR(4*STDEVP(終値!M276:AF276)/AVERAGE(終値!M276:AF276),""))</f>
        <v>6.3744993356042626E-2</v>
      </c>
      <c r="K276" s="503">
        <f>IF(終値!A276="","",IFERROR(4*STDEVP(終値!N276:AG276)/AVERAGE(終値!N276:AG276),""))</f>
        <v>6.2431819524787213E-2</v>
      </c>
      <c r="L276" s="503">
        <f>IF(終値!A276="","",IFERROR(4*STDEVP(終値!O276:AH276)/AVERAGE(終値!O276:AH276),""))</f>
        <v>6.7022773883324671E-2</v>
      </c>
      <c r="M276" s="503">
        <f>IF(終値!A276="","",IFERROR(4*STDEVP(終値!P276:AI276)/AVERAGE(終値!P276:AI276),""))</f>
        <v>6.6731921879450692E-2</v>
      </c>
      <c r="N276" s="503">
        <f>IF(終値!A276="","",IFERROR(4*STDEVP(終値!Q276:AJ276)/AVERAGE(終値!Q276:AJ276),""))</f>
        <v>6.6100510558616751E-2</v>
      </c>
      <c r="O276" s="503">
        <f>IF(終値!A276="","",IFERROR(4*STDEVP(終値!R276:AK276)/AVERAGE(終値!R276:AK276),""))</f>
        <v>6.4307981204450082E-2</v>
      </c>
      <c r="P276" s="503">
        <f>IF(終値!A276="","",IFERROR(4*STDEVP(終値!S276:AL276)/AVERAGE(終値!S276:AL276),""))</f>
        <v>6.2620760845334938E-2</v>
      </c>
      <c r="Q276" s="503">
        <f>IF(終値!A276="","",IFERROR(4*STDEVP(終値!T276:AM276)/AVERAGE(終値!T276:AM276),""))</f>
        <v>6.4852159205797594E-2</v>
      </c>
      <c r="R276" s="503">
        <f>IF(終値!A276="","",IFERROR(4*STDEVP(終値!U276:AN276)/AVERAGE(終値!U276:AN276),""))</f>
        <v>8.9698294796030434E-2</v>
      </c>
      <c r="S276" s="503">
        <f>IF(終値!A276="","",IFERROR(4*STDEVP(終値!V276:AO276)/AVERAGE(終値!V276:AO276),""))</f>
        <v>0.10967440972302905</v>
      </c>
      <c r="T276" s="503">
        <f>IF(終値!A276="","",IFERROR(4*STDEVP(終値!W276:AP276)/AVERAGE(終値!W276:AP276),""))</f>
        <v>0.11603811529984388</v>
      </c>
      <c r="U276" s="503">
        <f>IF(終値!A276="","",IFERROR(4*STDEVP(終値!X276:AQ276)/AVERAGE(終値!X276:AQ276),""))</f>
        <v>0.11712308952889214</v>
      </c>
      <c r="V276" s="503">
        <f>IF(終値!A276="","",IFERROR(4*STDEVP(終値!Y276:AR276)/AVERAGE(終値!Y276:AR276),""))</f>
        <v>0.11704445731091442</v>
      </c>
      <c r="W276" s="503">
        <f>IF(終値!A276="","",IFERROR(4*STDEVP(終値!Z276:AS276)/AVERAGE(終値!Z276:AS276),""))</f>
        <v>0.11627526460372851</v>
      </c>
      <c r="X276" s="503">
        <f>IF(終値!A276="","",IFERROR(4*STDEVP(終値!AA276:AT276)/AVERAGE(終値!AA276:AT276),""))</f>
        <v>0.11627526460372851</v>
      </c>
      <c r="Y276" s="503">
        <f>IF(終値!A276="","",IFERROR(4*STDEVP(終値!AB276:AU276)/AVERAGE(終値!AB276:AU276),""))</f>
        <v>0.11763299143699722</v>
      </c>
      <c r="Z276" s="503">
        <f>IF(終値!A276="","",IFERROR(4*STDEVP(終値!AC276:AV276)/AVERAGE(終値!AC276:AV276),""))</f>
        <v>0.12014787326977477</v>
      </c>
      <c r="AA276" s="503">
        <f>IF(終値!A276="","",IFERROR(4*STDEVP(終値!AD276:AW276)/AVERAGE(終値!AD276:AW276),""))</f>
        <v>0.12014787326977477</v>
      </c>
      <c r="AB276" s="503">
        <f>IF(終値!A276="","",IFERROR(4*STDEVP(終値!AE276:AX276)/AVERAGE(終値!AE276:AX276),""))</f>
        <v>0.12359445710313065</v>
      </c>
      <c r="AC276" s="503">
        <f>IF(終値!A276="","",IFERROR(4*STDEVP(終値!AF276:AY276)/AVERAGE(終値!AF276:AY276),""))</f>
        <v>0.12377971016493035</v>
      </c>
      <c r="AD276" s="503">
        <f>IF(終値!A276="","",IFERROR(4*STDEVP(終値!AG276:AZ276)/AVERAGE(終値!AG276:AZ276),""))</f>
        <v>0.13728710930876498</v>
      </c>
      <c r="AE276" s="503">
        <f>IF(終値!A276="","",IFERROR(4*STDEVP(終値!AH276:BA276)/AVERAGE(終値!AH276:BA276),""))</f>
        <v>0.14527739037000542</v>
      </c>
      <c r="AF276" s="503">
        <f>IF(終値!A276="","",IFERROR(4*STDEVP(終値!AI276:BB276)/AVERAGE(終値!AI276:BB276),""))</f>
        <v>0.14755022871414425</v>
      </c>
      <c r="AG276" s="503">
        <f>IF(終値!A276="","",IFERROR(4*STDEVP(終値!AJ276:BC276)/AVERAGE(終値!AJ276:BC276),""))</f>
        <v>0.14002290372613996</v>
      </c>
      <c r="AH276" s="503">
        <f>IF(終値!A276="","",IFERROR(4*STDEVP(終値!AK276:BD276)/AVERAGE(終値!AK276:BD276),""))</f>
        <v>0.13320874407935859</v>
      </c>
      <c r="AI276" s="503">
        <f>IF(終値!A276="","",IFERROR(4*STDEVP(終値!AL276:BE276)/AVERAGE(終値!AL276:BE276),""))</f>
        <v>0.12754939230795054</v>
      </c>
      <c r="AJ276" s="503">
        <f>IF(終値!A276="","",IFERROR(4*STDEVP(終値!AM276:BF276)/AVERAGE(終値!AM276:BF276),""))</f>
        <v>0.12335526325543555</v>
      </c>
      <c r="AK276" s="503">
        <f>IF(終値!A276="","",IFERROR(4*STDEVP(終値!AN276:BG276)/AVERAGE(終値!AN276:BG276),""))</f>
        <v>0.12628892171979117</v>
      </c>
      <c r="AL276" s="503">
        <f>IF(終値!A276="","",IFERROR(4*STDEVP(終値!AO276:BH276)/AVERAGE(終値!AO276:BH276),""))</f>
        <v>0.13206510837124896</v>
      </c>
      <c r="AM276" s="503">
        <f>IF(終値!A276="","",IFERROR(4*STDEVP(終値!AP276:BI276)/AVERAGE(終値!AP276:BI276),""))</f>
        <v>0.15187569440159593</v>
      </c>
      <c r="AN276" s="503">
        <f>IF(終値!A276="","",IFERROR(4*STDEVP(終値!AQ276:BJ276)/AVERAGE(終値!AQ276:BJ276),""))</f>
        <v>0.17914992367126589</v>
      </c>
      <c r="AO276" s="503">
        <f>IF(終値!A276="","",IFERROR(4*STDEVP(終値!AR276:BK276)/AVERAGE(終値!AR276:BK276),""))</f>
        <v>0.189016314884492</v>
      </c>
      <c r="AP276" s="503">
        <f>IF(終値!A276="","",IFERROR(4*STDEVP(終値!AS276:BL276)/AVERAGE(終値!AS276:BL276),""))</f>
        <v>0.20222528444089727</v>
      </c>
    </row>
    <row r="277" spans="1:42">
      <c r="A277" s="500" t="str">
        <f>IF(終値!A277="","",終値!A277)</f>
        <v>3002</v>
      </c>
      <c r="B277" s="503">
        <f>IF(終値!A277="","",IFERROR(4*STDEVP(終値!E277:X277)/AVERAGE(終値!E277:X277),""))</f>
        <v>3.9072922200412752E-2</v>
      </c>
      <c r="C277" s="503">
        <f>IF(終値!A277="","",IFERROR(4*STDEVP(終値!F277:Y277)/AVERAGE(終値!F277:Y277),""))</f>
        <v>3.9072922200412752E-2</v>
      </c>
      <c r="D277" s="503">
        <f>IF(終値!A277="","",IFERROR(4*STDEVP(終値!G277:Z277)/AVERAGE(終値!G277:Z277),""))</f>
        <v>4.232739809134204E-2</v>
      </c>
      <c r="E277" s="503">
        <f>IF(終値!A277="","",IFERROR(4*STDEVP(終値!H277:AA277)/AVERAGE(終値!H277:AA277),""))</f>
        <v>5.4082915540675167E-2</v>
      </c>
      <c r="F277" s="503">
        <f>IF(終値!A277="","",IFERROR(4*STDEVP(終値!I277:AB277)/AVERAGE(終値!I277:AB277),""))</f>
        <v>5.9023574656009943E-2</v>
      </c>
      <c r="G277" s="503">
        <f>IF(終値!A277="","",IFERROR(4*STDEVP(終値!J277:AC277)/AVERAGE(終値!J277:AC277),""))</f>
        <v>6.2499430752095922E-2</v>
      </c>
      <c r="H277" s="503">
        <f>IF(終値!A277="","",IFERROR(4*STDEVP(終値!K277:AD277)/AVERAGE(終値!K277:AD277),""))</f>
        <v>6.5630113914977528E-2</v>
      </c>
      <c r="I277" s="503">
        <f>IF(終値!A277="","",IFERROR(4*STDEVP(終値!L277:AE277)/AVERAGE(終値!L277:AE277),""))</f>
        <v>6.4614145319930996E-2</v>
      </c>
      <c r="J277" s="503">
        <f>IF(終値!A277="","",IFERROR(4*STDEVP(終値!M277:AF277)/AVERAGE(終値!M277:AF277),""))</f>
        <v>7.1789418415078507E-2</v>
      </c>
      <c r="K277" s="503">
        <f>IF(終値!A277="","",IFERROR(4*STDEVP(終値!N277:AG277)/AVERAGE(終値!N277:AG277),""))</f>
        <v>7.7120316952581744E-2</v>
      </c>
      <c r="L277" s="503">
        <f>IF(終値!A277="","",IFERROR(4*STDEVP(終値!O277:AH277)/AVERAGE(終値!O277:AH277),""))</f>
        <v>7.9138669428500161E-2</v>
      </c>
      <c r="M277" s="503">
        <f>IF(終値!A277="","",IFERROR(4*STDEVP(終値!P277:AI277)/AVERAGE(終値!P277:AI277),""))</f>
        <v>8.3218481613592923E-2</v>
      </c>
      <c r="N277" s="503">
        <f>IF(終値!A277="","",IFERROR(4*STDEVP(終値!Q277:AJ277)/AVERAGE(終値!Q277:AJ277),""))</f>
        <v>8.5162495948749181E-2</v>
      </c>
      <c r="O277" s="503">
        <f>IF(終値!A277="","",IFERROR(4*STDEVP(終値!R277:AK277)/AVERAGE(終値!R277:AK277),""))</f>
        <v>8.6325316756453677E-2</v>
      </c>
      <c r="P277" s="503">
        <f>IF(終値!A277="","",IFERROR(4*STDEVP(終値!S277:AL277)/AVERAGE(終値!S277:AL277),""))</f>
        <v>8.7565002537793021E-2</v>
      </c>
      <c r="Q277" s="503">
        <f>IF(終値!A277="","",IFERROR(4*STDEVP(終値!T277:AM277)/AVERAGE(終値!T277:AM277),""))</f>
        <v>8.8446191463174173E-2</v>
      </c>
      <c r="R277" s="503">
        <f>IF(終値!A277="","",IFERROR(4*STDEVP(終値!U277:AN277)/AVERAGE(終値!U277:AN277),""))</f>
        <v>8.7004017907927958E-2</v>
      </c>
      <c r="S277" s="503">
        <f>IF(終値!A277="","",IFERROR(4*STDEVP(終値!V277:AO277)/AVERAGE(終値!V277:AO277),""))</f>
        <v>8.7682551476650397E-2</v>
      </c>
      <c r="T277" s="503">
        <f>IF(終値!A277="","",IFERROR(4*STDEVP(終値!W277:AP277)/AVERAGE(終値!W277:AP277),""))</f>
        <v>8.5750903995475386E-2</v>
      </c>
      <c r="U277" s="503">
        <f>IF(終値!A277="","",IFERROR(4*STDEVP(終値!X277:AQ277)/AVERAGE(終値!X277:AQ277),""))</f>
        <v>8.5725922769415777E-2</v>
      </c>
      <c r="V277" s="503">
        <f>IF(終値!A277="","",IFERROR(4*STDEVP(終値!Y277:AR277)/AVERAGE(終値!Y277:AR277),""))</f>
        <v>7.63828332855431E-2</v>
      </c>
      <c r="W277" s="503">
        <f>IF(終値!A277="","",IFERROR(4*STDEVP(終値!Z277:AS277)/AVERAGE(終値!Z277:AS277),""))</f>
        <v>7.1216515970327007E-2</v>
      </c>
      <c r="X277" s="503">
        <f>IF(終値!A277="","",IFERROR(4*STDEVP(終値!AA277:AT277)/AVERAGE(終値!AA277:AT277),""))</f>
        <v>6.8763206918282471E-2</v>
      </c>
      <c r="Y277" s="503">
        <f>IF(終値!A277="","",IFERROR(4*STDEVP(終値!AB277:AU277)/AVERAGE(終値!AB277:AU277),""))</f>
        <v>7.4237914561758919E-2</v>
      </c>
      <c r="Z277" s="503">
        <f>IF(終値!A277="","",IFERROR(4*STDEVP(終値!AC277:AV277)/AVERAGE(終値!AC277:AV277),""))</f>
        <v>7.3207201077604853E-2</v>
      </c>
      <c r="AA277" s="503">
        <f>IF(終値!A277="","",IFERROR(4*STDEVP(終値!AD277:AW277)/AVERAGE(終値!AD277:AW277),""))</f>
        <v>7.2588756177173142E-2</v>
      </c>
      <c r="AB277" s="503">
        <f>IF(終値!A277="","",IFERROR(4*STDEVP(終値!AE277:AX277)/AVERAGE(終値!AE277:AX277),""))</f>
        <v>7.1223177336810287E-2</v>
      </c>
      <c r="AC277" s="503">
        <f>IF(終値!A277="","",IFERROR(4*STDEVP(終値!AF277:AY277)/AVERAGE(終値!AF277:AY277),""))</f>
        <v>7.0752127758388558E-2</v>
      </c>
      <c r="AD277" s="503">
        <f>IF(終値!A277="","",IFERROR(4*STDEVP(終値!AG277:AZ277)/AVERAGE(終値!AG277:AZ277),""))</f>
        <v>7.3700943267930197E-2</v>
      </c>
      <c r="AE277" s="503">
        <f>IF(終値!A277="","",IFERROR(4*STDEVP(終値!AH277:BA277)/AVERAGE(終値!AH277:BA277),""))</f>
        <v>7.2641781039591041E-2</v>
      </c>
      <c r="AF277" s="503">
        <f>IF(終値!A277="","",IFERROR(4*STDEVP(終値!AI277:BB277)/AVERAGE(終値!AI277:BB277),""))</f>
        <v>7.0797200577690525E-2</v>
      </c>
      <c r="AG277" s="503">
        <f>IF(終値!A277="","",IFERROR(4*STDEVP(終値!AJ277:BC277)/AVERAGE(終値!AJ277:BC277),""))</f>
        <v>6.8249115423988205E-2</v>
      </c>
      <c r="AH277" s="503">
        <f>IF(終値!A277="","",IFERROR(4*STDEVP(終値!AK277:BD277)/AVERAGE(終値!AK277:BD277),""))</f>
        <v>6.2003658276596242E-2</v>
      </c>
      <c r="AI277" s="503">
        <f>IF(終値!A277="","",IFERROR(4*STDEVP(終値!AL277:BE277)/AVERAGE(終値!AL277:BE277),""))</f>
        <v>5.7281475773571948E-2</v>
      </c>
      <c r="AJ277" s="503">
        <f>IF(終値!A277="","",IFERROR(4*STDEVP(終値!AM277:BF277)/AVERAGE(終値!AM277:BF277),""))</f>
        <v>5.7281475773571948E-2</v>
      </c>
      <c r="AK277" s="503">
        <f>IF(終値!A277="","",IFERROR(4*STDEVP(終値!AN277:BG277)/AVERAGE(終値!AN277:BG277),""))</f>
        <v>6.0081078883301976E-2</v>
      </c>
      <c r="AL277" s="503">
        <f>IF(終値!A277="","",IFERROR(4*STDEVP(終値!AO277:BH277)/AVERAGE(終値!AO277:BH277),""))</f>
        <v>5.5073072063224753E-2</v>
      </c>
      <c r="AM277" s="503">
        <f>IF(終値!A277="","",IFERROR(4*STDEVP(終値!AP277:BI277)/AVERAGE(終値!AP277:BI277),""))</f>
        <v>5.7145075367980441E-2</v>
      </c>
      <c r="AN277" s="503">
        <f>IF(終値!A277="","",IFERROR(4*STDEVP(終値!AQ277:BJ277)/AVERAGE(終値!AQ277:BJ277),""))</f>
        <v>5.7853457710784782E-2</v>
      </c>
      <c r="AO277" s="503">
        <f>IF(終値!A277="","",IFERROR(4*STDEVP(終値!AR277:BK277)/AVERAGE(終値!AR277:BK277),""))</f>
        <v>5.8605027258409631E-2</v>
      </c>
      <c r="AP277" s="503">
        <f>IF(終値!A277="","",IFERROR(4*STDEVP(終値!AS277:BL277)/AVERAGE(終値!AS277:BL277),""))</f>
        <v>6.1394126738321911E-2</v>
      </c>
    </row>
    <row r="278" spans="1:42">
      <c r="A278" s="500" t="str">
        <f>IF(終値!A278="","",終値!A278)</f>
        <v>8871</v>
      </c>
      <c r="B278" s="503">
        <f>IF(終値!A278="","",IFERROR(4*STDEVP(終値!E278:X278)/AVERAGE(終値!E278:X278),""))</f>
        <v>6.1346532002429718E-2</v>
      </c>
      <c r="C278" s="503">
        <f>IF(終値!A278="","",IFERROR(4*STDEVP(終値!F278:Y278)/AVERAGE(終値!F278:Y278),""))</f>
        <v>5.0592374931320537E-2</v>
      </c>
      <c r="D278" s="503">
        <f>IF(終値!A278="","",IFERROR(4*STDEVP(終値!G278:Z278)/AVERAGE(終値!G278:Z278),""))</f>
        <v>4.7727068024127538E-2</v>
      </c>
      <c r="E278" s="503">
        <f>IF(終値!A278="","",IFERROR(4*STDEVP(終値!H278:AA278)/AVERAGE(終値!H278:AA278),""))</f>
        <v>4.6967162809011899E-2</v>
      </c>
      <c r="F278" s="503">
        <f>IF(終値!A278="","",IFERROR(4*STDEVP(終値!I278:AB278)/AVERAGE(終値!I278:AB278),""))</f>
        <v>5.2420200985691126E-2</v>
      </c>
      <c r="G278" s="503">
        <f>IF(終値!A278="","",IFERROR(4*STDEVP(終値!J278:AC278)/AVERAGE(終値!J278:AC278),""))</f>
        <v>4.9643552149604031E-2</v>
      </c>
      <c r="H278" s="503">
        <f>IF(終値!A278="","",IFERROR(4*STDEVP(終値!K278:AD278)/AVERAGE(終値!K278:AD278),""))</f>
        <v>5.2081413048705123E-2</v>
      </c>
      <c r="I278" s="503">
        <f>IF(終値!A278="","",IFERROR(4*STDEVP(終値!L278:AE278)/AVERAGE(終値!L278:AE278),""))</f>
        <v>5.9030255345287809E-2</v>
      </c>
      <c r="J278" s="503">
        <f>IF(終値!A278="","",IFERROR(4*STDEVP(終値!M278:AF278)/AVERAGE(終値!M278:AF278),""))</f>
        <v>6.299070932394514E-2</v>
      </c>
      <c r="K278" s="503">
        <f>IF(終値!A278="","",IFERROR(4*STDEVP(終値!N278:AG278)/AVERAGE(終値!N278:AG278),""))</f>
        <v>6.6127462398310549E-2</v>
      </c>
      <c r="L278" s="503">
        <f>IF(終値!A278="","",IFERROR(4*STDEVP(終値!O278:AH278)/AVERAGE(終値!O278:AH278),""))</f>
        <v>6.7720902038484243E-2</v>
      </c>
      <c r="M278" s="503">
        <f>IF(終値!A278="","",IFERROR(4*STDEVP(終値!P278:AI278)/AVERAGE(終値!P278:AI278),""))</f>
        <v>6.5703704171327565E-2</v>
      </c>
      <c r="N278" s="503">
        <f>IF(終値!A278="","",IFERROR(4*STDEVP(終値!Q278:AJ278)/AVERAGE(終値!Q278:AJ278),""))</f>
        <v>6.8347375706591704E-2</v>
      </c>
      <c r="O278" s="503">
        <f>IF(終値!A278="","",IFERROR(4*STDEVP(終値!R278:AK278)/AVERAGE(終値!R278:AK278),""))</f>
        <v>6.5642237017352403E-2</v>
      </c>
      <c r="P278" s="503">
        <f>IF(終値!A278="","",IFERROR(4*STDEVP(終値!S278:AL278)/AVERAGE(終値!S278:AL278),""))</f>
        <v>6.2919111343203118E-2</v>
      </c>
      <c r="Q278" s="503">
        <f>IF(終値!A278="","",IFERROR(4*STDEVP(終値!T278:AM278)/AVERAGE(終値!T278:AM278),""))</f>
        <v>6.3465899336466444E-2</v>
      </c>
      <c r="R278" s="503">
        <f>IF(終値!A278="","",IFERROR(4*STDEVP(終値!U278:AN278)/AVERAGE(終値!U278:AN278),""))</f>
        <v>6.4175076515461879E-2</v>
      </c>
      <c r="S278" s="503">
        <f>IF(終値!A278="","",IFERROR(4*STDEVP(終値!V278:AO278)/AVERAGE(終値!V278:AO278),""))</f>
        <v>6.149158405622919E-2</v>
      </c>
      <c r="T278" s="503">
        <f>IF(終値!A278="","",IFERROR(4*STDEVP(終値!W278:AP278)/AVERAGE(終値!W278:AP278),""))</f>
        <v>5.583888838887683E-2</v>
      </c>
      <c r="U278" s="503">
        <f>IF(終値!A278="","",IFERROR(4*STDEVP(終値!X278:AQ278)/AVERAGE(終値!X278:AQ278),""))</f>
        <v>5.2326744555055697E-2</v>
      </c>
      <c r="V278" s="503">
        <f>IF(終値!A278="","",IFERROR(4*STDEVP(終値!Y278:AR278)/AVERAGE(終値!Y278:AR278),""))</f>
        <v>5.0458106404833634E-2</v>
      </c>
      <c r="W278" s="503">
        <f>IF(終値!A278="","",IFERROR(4*STDEVP(終値!Z278:AS278)/AVERAGE(終値!Z278:AS278),""))</f>
        <v>5.2591174742651577E-2</v>
      </c>
      <c r="X278" s="503">
        <f>IF(終値!A278="","",IFERROR(4*STDEVP(終値!AA278:AT278)/AVERAGE(終値!AA278:AT278),""))</f>
        <v>5.3254408146204121E-2</v>
      </c>
      <c r="Y278" s="503">
        <f>IF(終値!A278="","",IFERROR(4*STDEVP(終値!AB278:AU278)/AVERAGE(終値!AB278:AU278),""))</f>
        <v>6.4502711139057853E-2</v>
      </c>
      <c r="Z278" s="503">
        <f>IF(終値!A278="","",IFERROR(4*STDEVP(終値!AC278:AV278)/AVERAGE(終値!AC278:AV278),""))</f>
        <v>0.1000220444876613</v>
      </c>
      <c r="AA278" s="503">
        <f>IF(終値!A278="","",IFERROR(4*STDEVP(終値!AD278:AW278)/AVERAGE(終値!AD278:AW278),""))</f>
        <v>0.12271741014782862</v>
      </c>
      <c r="AB278" s="503">
        <f>IF(終値!A278="","",IFERROR(4*STDEVP(終値!AE278:AX278)/AVERAGE(終値!AE278:AX278),""))</f>
        <v>0.13556797362477888</v>
      </c>
      <c r="AC278" s="503">
        <f>IF(終値!A278="","",IFERROR(4*STDEVP(終値!AF278:AY278)/AVERAGE(終値!AF278:AY278),""))</f>
        <v>0.13896664818204077</v>
      </c>
      <c r="AD278" s="503">
        <f>IF(終値!A278="","",IFERROR(4*STDEVP(終値!AG278:AZ278)/AVERAGE(終値!AG278:AZ278),""))</f>
        <v>0.1424118902739481</v>
      </c>
      <c r="AE278" s="503">
        <f>IF(終値!A278="","",IFERROR(4*STDEVP(終値!AH278:BA278)/AVERAGE(終値!AH278:BA278),""))</f>
        <v>0.14953859690826438</v>
      </c>
      <c r="AF278" s="503">
        <f>IF(終値!A278="","",IFERROR(4*STDEVP(終値!AI278:BB278)/AVERAGE(終値!AI278:BB278),""))</f>
        <v>0.15130225279091014</v>
      </c>
      <c r="AG278" s="503">
        <f>IF(終値!A278="","",IFERROR(4*STDEVP(終値!AJ278:BC278)/AVERAGE(終値!AJ278:BC278),""))</f>
        <v>0.16329171069922127</v>
      </c>
      <c r="AH278" s="503">
        <f>IF(終値!A278="","",IFERROR(4*STDEVP(終値!AK278:BD278)/AVERAGE(終値!AK278:BD278),""))</f>
        <v>0.17132970964583841</v>
      </c>
      <c r="AI278" s="503">
        <f>IF(終値!A278="","",IFERROR(4*STDEVP(終値!AL278:BE278)/AVERAGE(終値!AL278:BE278),""))</f>
        <v>0.1716577124664333</v>
      </c>
      <c r="AJ278" s="503">
        <f>IF(終値!A278="","",IFERROR(4*STDEVP(終値!AM278:BF278)/AVERAGE(終値!AM278:BF278),""))</f>
        <v>0.17258239848027732</v>
      </c>
      <c r="AK278" s="503">
        <f>IF(終値!A278="","",IFERROR(4*STDEVP(終値!AN278:BG278)/AVERAGE(終値!AN278:BG278),""))</f>
        <v>0.17436957116413226</v>
      </c>
      <c r="AL278" s="503">
        <f>IF(終値!A278="","",IFERROR(4*STDEVP(終値!AO278:BH278)/AVERAGE(終値!AO278:BH278),""))</f>
        <v>0.17476719845766633</v>
      </c>
      <c r="AM278" s="503">
        <f>IF(終値!A278="","",IFERROR(4*STDEVP(終値!AP278:BI278)/AVERAGE(終値!AP278:BI278),""))</f>
        <v>0.17501797153516976</v>
      </c>
      <c r="AN278" s="503">
        <f>IF(終値!A278="","",IFERROR(4*STDEVP(終値!AQ278:BJ278)/AVERAGE(終値!AQ278:BJ278),""))</f>
        <v>0.17550761905721882</v>
      </c>
      <c r="AO278" s="503">
        <f>IF(終値!A278="","",IFERROR(4*STDEVP(終値!AR278:BK278)/AVERAGE(終値!AR278:BK278),""))</f>
        <v>0.17157090628977958</v>
      </c>
      <c r="AP278" s="503">
        <f>IF(終値!A278="","",IFERROR(4*STDEVP(終値!AS278:BL278)/AVERAGE(終値!AS278:BL278),""))</f>
        <v>0.16773349538194776</v>
      </c>
    </row>
    <row r="279" spans="1:42">
      <c r="A279" s="500" t="str">
        <f>IF(終値!A279="","",終値!A279)</f>
        <v>6918</v>
      </c>
      <c r="B279" s="503">
        <f>IF(終値!A279="","",IFERROR(4*STDEVP(終値!E279:X279)/AVERAGE(終値!E279:X279),""))</f>
        <v>0.14621791473217821</v>
      </c>
      <c r="C279" s="503">
        <f>IF(終値!A279="","",IFERROR(4*STDEVP(終値!F279:Y279)/AVERAGE(終値!F279:Y279),""))</f>
        <v>0.15619394415328985</v>
      </c>
      <c r="D279" s="503">
        <f>IF(終値!A279="","",IFERROR(4*STDEVP(終値!G279:Z279)/AVERAGE(終値!G279:Z279),""))</f>
        <v>0.15995683515537282</v>
      </c>
      <c r="E279" s="503">
        <f>IF(終値!A279="","",IFERROR(4*STDEVP(終値!H279:AA279)/AVERAGE(終値!H279:AA279),""))</f>
        <v>0.16544079235720127</v>
      </c>
      <c r="F279" s="503">
        <f>IF(終値!A279="","",IFERROR(4*STDEVP(終値!I279:AB279)/AVERAGE(終値!I279:AB279),""))</f>
        <v>0.14730650256905786</v>
      </c>
      <c r="G279" s="503">
        <f>IF(終値!A279="","",IFERROR(4*STDEVP(終値!J279:AC279)/AVERAGE(終値!J279:AC279),""))</f>
        <v>0.11516346124164771</v>
      </c>
      <c r="H279" s="503">
        <f>IF(終値!A279="","",IFERROR(4*STDEVP(終値!K279:AD279)/AVERAGE(終値!K279:AD279),""))</f>
        <v>0.10679615507259456</v>
      </c>
      <c r="I279" s="503">
        <f>IF(終値!A279="","",IFERROR(4*STDEVP(終値!L279:AE279)/AVERAGE(終値!L279:AE279),""))</f>
        <v>0.11195338441007759</v>
      </c>
      <c r="J279" s="503">
        <f>IF(終値!A279="","",IFERROR(4*STDEVP(終値!M279:AF279)/AVERAGE(終値!M279:AF279),""))</f>
        <v>0.11069103645969955</v>
      </c>
      <c r="K279" s="503">
        <f>IF(終値!A279="","",IFERROR(4*STDEVP(終値!N279:AG279)/AVERAGE(終値!N279:AG279),""))</f>
        <v>0.11493370674478698</v>
      </c>
      <c r="L279" s="503">
        <f>IF(終値!A279="","",IFERROR(4*STDEVP(終値!O279:AH279)/AVERAGE(終値!O279:AH279),""))</f>
        <v>0.13377528771445135</v>
      </c>
      <c r="M279" s="503">
        <f>IF(終値!A279="","",IFERROR(4*STDEVP(終値!P279:AI279)/AVERAGE(終値!P279:AI279),""))</f>
        <v>0.13228847361769439</v>
      </c>
      <c r="N279" s="503">
        <f>IF(終値!A279="","",IFERROR(4*STDEVP(終値!Q279:AJ279)/AVERAGE(終値!Q279:AJ279),""))</f>
        <v>0.11319590355464376</v>
      </c>
      <c r="O279" s="503">
        <f>IF(終値!A279="","",IFERROR(4*STDEVP(終値!R279:AK279)/AVERAGE(終値!R279:AK279),""))</f>
        <v>0.11322543130468751</v>
      </c>
      <c r="P279" s="503">
        <f>IF(終値!A279="","",IFERROR(4*STDEVP(終値!S279:AL279)/AVERAGE(終値!S279:AL279),""))</f>
        <v>0.11188934012961071</v>
      </c>
      <c r="Q279" s="503">
        <f>IF(終値!A279="","",IFERROR(4*STDEVP(終値!T279:AM279)/AVERAGE(終値!T279:AM279),""))</f>
        <v>0.11399171179965954</v>
      </c>
      <c r="R279" s="503">
        <f>IF(終値!A279="","",IFERROR(4*STDEVP(終値!U279:AN279)/AVERAGE(終値!U279:AN279),""))</f>
        <v>0.13392083719400277</v>
      </c>
      <c r="S279" s="503">
        <f>IF(終値!A279="","",IFERROR(4*STDEVP(終値!V279:AO279)/AVERAGE(終値!V279:AO279),""))</f>
        <v>0.15829720898603269</v>
      </c>
      <c r="T279" s="503">
        <f>IF(終値!A279="","",IFERROR(4*STDEVP(終値!W279:AP279)/AVERAGE(終値!W279:AP279),""))</f>
        <v>0.18560676623012057</v>
      </c>
      <c r="U279" s="503">
        <f>IF(終値!A279="","",IFERROR(4*STDEVP(終値!X279:AQ279)/AVERAGE(終値!X279:AQ279),""))</f>
        <v>0.19527399460675599</v>
      </c>
      <c r="V279" s="503">
        <f>IF(終値!A279="","",IFERROR(4*STDEVP(終値!Y279:AR279)/AVERAGE(終値!Y279:AR279),""))</f>
        <v>0.19449130622639374</v>
      </c>
      <c r="W279" s="503">
        <f>IF(終値!A279="","",IFERROR(4*STDEVP(終値!Z279:AS279)/AVERAGE(終値!Z279:AS279),""))</f>
        <v>0.19274298942485363</v>
      </c>
      <c r="X279" s="503">
        <f>IF(終値!A279="","",IFERROR(4*STDEVP(終値!AA279:AT279)/AVERAGE(終値!AA279:AT279),""))</f>
        <v>0.19184369217371114</v>
      </c>
      <c r="Y279" s="503">
        <f>IF(終値!A279="","",IFERROR(4*STDEVP(終値!AB279:AU279)/AVERAGE(終値!AB279:AU279),""))</f>
        <v>0.19349719506265514</v>
      </c>
      <c r="Z279" s="503">
        <f>IF(終値!A279="","",IFERROR(4*STDEVP(終値!AC279:AV279)/AVERAGE(終値!AC279:AV279),""))</f>
        <v>0.20442270347171157</v>
      </c>
      <c r="AA279" s="503">
        <f>IF(終値!A279="","",IFERROR(4*STDEVP(終値!AD279:AW279)/AVERAGE(終値!AD279:AW279),""))</f>
        <v>0.21104339467641614</v>
      </c>
      <c r="AB279" s="503">
        <f>IF(終値!A279="","",IFERROR(4*STDEVP(終値!AE279:AX279)/AVERAGE(終値!AE279:AX279),""))</f>
        <v>0.21089333981911523</v>
      </c>
      <c r="AC279" s="503">
        <f>IF(終値!A279="","",IFERROR(4*STDEVP(終値!AF279:AY279)/AVERAGE(終値!AF279:AY279),""))</f>
        <v>0.21370832221367439</v>
      </c>
      <c r="AD279" s="503">
        <f>IF(終値!A279="","",IFERROR(4*STDEVP(終値!AG279:AZ279)/AVERAGE(終値!AG279:AZ279),""))</f>
        <v>0.21498499744782201</v>
      </c>
      <c r="AE279" s="503">
        <f>IF(終値!A279="","",IFERROR(4*STDEVP(終値!AH279:BA279)/AVERAGE(終値!AH279:BA279),""))</f>
        <v>0.21654317990337918</v>
      </c>
      <c r="AF279" s="503">
        <f>IF(終値!A279="","",IFERROR(4*STDEVP(終値!AI279:BB279)/AVERAGE(終値!AI279:BB279),""))</f>
        <v>0.20700839896602385</v>
      </c>
      <c r="AG279" s="503">
        <f>IF(終値!A279="","",IFERROR(4*STDEVP(終値!AJ279:BC279)/AVERAGE(終値!AJ279:BC279),""))</f>
        <v>0.21852430679869722</v>
      </c>
      <c r="AH279" s="503">
        <f>IF(終値!A279="","",IFERROR(4*STDEVP(終値!AK279:BD279)/AVERAGE(終値!AK279:BD279),""))</f>
        <v>0.24630620574986106</v>
      </c>
      <c r="AI279" s="503">
        <f>IF(終値!A279="","",IFERROR(4*STDEVP(終値!AL279:BE279)/AVERAGE(終値!AL279:BE279),""))</f>
        <v>0.25134939063108908</v>
      </c>
      <c r="AJ279" s="503">
        <f>IF(終値!A279="","",IFERROR(4*STDEVP(終値!AM279:BF279)/AVERAGE(終値!AM279:BF279),""))</f>
        <v>0.25562277860533716</v>
      </c>
      <c r="AK279" s="503">
        <f>IF(終値!A279="","",IFERROR(4*STDEVP(終値!AN279:BG279)/AVERAGE(終値!AN279:BG279),""))</f>
        <v>0.2627581706979859</v>
      </c>
      <c r="AL279" s="503">
        <f>IF(終値!A279="","",IFERROR(4*STDEVP(終値!AO279:BH279)/AVERAGE(終値!AO279:BH279),""))</f>
        <v>0.25804597620694775</v>
      </c>
      <c r="AM279" s="503">
        <f>IF(終値!A279="","",IFERROR(4*STDEVP(終値!AP279:BI279)/AVERAGE(終値!AP279:BI279),""))</f>
        <v>0.23979938850235535</v>
      </c>
      <c r="AN279" s="503">
        <f>IF(終値!A279="","",IFERROR(4*STDEVP(終値!AQ279:BJ279)/AVERAGE(終値!AQ279:BJ279),""))</f>
        <v>0.19539849313925192</v>
      </c>
      <c r="AO279" s="503">
        <f>IF(終値!A279="","",IFERROR(4*STDEVP(終値!AR279:BK279)/AVERAGE(終値!AR279:BK279),""))</f>
        <v>0.17093974312743121</v>
      </c>
      <c r="AP279" s="503">
        <f>IF(終値!A279="","",IFERROR(4*STDEVP(終値!AS279:BL279)/AVERAGE(終値!AS279:BL279),""))</f>
        <v>0.1868638981269195</v>
      </c>
    </row>
    <row r="280" spans="1:42">
      <c r="A280" s="500" t="str">
        <f>IF(終値!A280="","",終値!A280)</f>
        <v>6488</v>
      </c>
      <c r="B280" s="503">
        <f>IF(終値!A280="","",IFERROR(4*STDEVP(終値!E280:X280)/AVERAGE(終値!E280:X280),""))</f>
        <v>3.6707360949873112E-2</v>
      </c>
      <c r="C280" s="503">
        <f>IF(終値!A280="","",IFERROR(4*STDEVP(終値!F280:Y280)/AVERAGE(終値!F280:Y280),""))</f>
        <v>3.5900871237628522E-2</v>
      </c>
      <c r="D280" s="503">
        <f>IF(終値!A280="","",IFERROR(4*STDEVP(終値!G280:Z280)/AVERAGE(終値!G280:Z280),""))</f>
        <v>3.5761098793475291E-2</v>
      </c>
      <c r="E280" s="503">
        <f>IF(終値!A280="","",IFERROR(4*STDEVP(終値!H280:AA280)/AVERAGE(終値!H280:AA280),""))</f>
        <v>4.757937031126324E-2</v>
      </c>
      <c r="F280" s="503">
        <f>IF(終値!A280="","",IFERROR(4*STDEVP(終値!I280:AB280)/AVERAGE(終値!I280:AB280),""))</f>
        <v>5.3059180720257108E-2</v>
      </c>
      <c r="G280" s="503">
        <f>IF(終値!A280="","",IFERROR(4*STDEVP(終値!J280:AC280)/AVERAGE(終値!J280:AC280),""))</f>
        <v>5.7834807155256768E-2</v>
      </c>
      <c r="H280" s="503">
        <f>IF(終値!A280="","",IFERROR(4*STDEVP(終値!K280:AD280)/AVERAGE(終値!K280:AD280),""))</f>
        <v>6.41783162750693E-2</v>
      </c>
      <c r="I280" s="503">
        <f>IF(終値!A280="","",IFERROR(4*STDEVP(終値!L280:AE280)/AVERAGE(終値!L280:AE280),""))</f>
        <v>6.8321211077790087E-2</v>
      </c>
      <c r="J280" s="503">
        <f>IF(終値!A280="","",IFERROR(4*STDEVP(終値!M280:AF280)/AVERAGE(終値!M280:AF280),""))</f>
        <v>6.9389221071289892E-2</v>
      </c>
      <c r="K280" s="503">
        <f>IF(終値!A280="","",IFERROR(4*STDEVP(終値!N280:AG280)/AVERAGE(終値!N280:AG280),""))</f>
        <v>6.9723509207895232E-2</v>
      </c>
      <c r="L280" s="503">
        <f>IF(終値!A280="","",IFERROR(4*STDEVP(終値!O280:AH280)/AVERAGE(終値!O280:AH280),""))</f>
        <v>6.7227392653612772E-2</v>
      </c>
      <c r="M280" s="503">
        <f>IF(終値!A280="","",IFERROR(4*STDEVP(終値!P280:AI280)/AVERAGE(終値!P280:AI280),""))</f>
        <v>6.6748993106339721E-2</v>
      </c>
      <c r="N280" s="503">
        <f>IF(終値!A280="","",IFERROR(4*STDEVP(終値!Q280:AJ280)/AVERAGE(終値!Q280:AJ280),""))</f>
        <v>7.0969881844484925E-2</v>
      </c>
      <c r="O280" s="503">
        <f>IF(終値!A280="","",IFERROR(4*STDEVP(終値!R280:AK280)/AVERAGE(終値!R280:AK280),""))</f>
        <v>7.12052906149091E-2</v>
      </c>
      <c r="P280" s="503">
        <f>IF(終値!A280="","",IFERROR(4*STDEVP(終値!S280:AL280)/AVERAGE(終値!S280:AL280),""))</f>
        <v>7.1186524155940109E-2</v>
      </c>
      <c r="Q280" s="503">
        <f>IF(終値!A280="","",IFERROR(4*STDEVP(終値!T280:AM280)/AVERAGE(終値!T280:AM280),""))</f>
        <v>6.9433732903954534E-2</v>
      </c>
      <c r="R280" s="503">
        <f>IF(終値!A280="","",IFERROR(4*STDEVP(終値!U280:AN280)/AVERAGE(終値!U280:AN280),""))</f>
        <v>7.1678461595489323E-2</v>
      </c>
      <c r="S280" s="503">
        <f>IF(終値!A280="","",IFERROR(4*STDEVP(終値!V280:AO280)/AVERAGE(終値!V280:AO280),""))</f>
        <v>7.2465468000298419E-2</v>
      </c>
      <c r="T280" s="503">
        <f>IF(終値!A280="","",IFERROR(4*STDEVP(終値!W280:AP280)/AVERAGE(終値!W280:AP280),""))</f>
        <v>7.1294779901434624E-2</v>
      </c>
      <c r="U280" s="503">
        <f>IF(終値!A280="","",IFERROR(4*STDEVP(終値!X280:AQ280)/AVERAGE(終値!X280:AQ280),""))</f>
        <v>6.7399508187889492E-2</v>
      </c>
      <c r="V280" s="503">
        <f>IF(終値!A280="","",IFERROR(4*STDEVP(終値!Y280:AR280)/AVERAGE(終値!Y280:AR280),""))</f>
        <v>6.0500576148710683E-2</v>
      </c>
      <c r="W280" s="503">
        <f>IF(終値!A280="","",IFERROR(4*STDEVP(終値!Z280:AS280)/AVERAGE(終値!Z280:AS280),""))</f>
        <v>5.2355631370670452E-2</v>
      </c>
      <c r="X280" s="503">
        <f>IF(終値!A280="","",IFERROR(4*STDEVP(終値!AA280:AT280)/AVERAGE(終値!AA280:AT280),""))</f>
        <v>3.8983572051365635E-2</v>
      </c>
      <c r="Y280" s="503">
        <f>IF(終値!A280="","",IFERROR(4*STDEVP(終値!AB280:AU280)/AVERAGE(終値!AB280:AU280),""))</f>
        <v>3.8108151813038012E-2</v>
      </c>
      <c r="Z280" s="503">
        <f>IF(終値!A280="","",IFERROR(4*STDEVP(終値!AC280:AV280)/AVERAGE(終値!AC280:AV280),""))</f>
        <v>3.6930970074513361E-2</v>
      </c>
      <c r="AA280" s="503">
        <f>IF(終値!A280="","",IFERROR(4*STDEVP(終値!AD280:AW280)/AVERAGE(終値!AD280:AW280),""))</f>
        <v>3.594038818373109E-2</v>
      </c>
      <c r="AB280" s="503">
        <f>IF(終値!A280="","",IFERROR(4*STDEVP(終値!AE280:AX280)/AVERAGE(終値!AE280:AX280),""))</f>
        <v>3.5739945695495601E-2</v>
      </c>
      <c r="AC280" s="503">
        <f>IF(終値!A280="","",IFERROR(4*STDEVP(終値!AF280:AY280)/AVERAGE(終値!AF280:AY280),""))</f>
        <v>4.0493006871548644E-2</v>
      </c>
      <c r="AD280" s="503">
        <f>IF(終値!A280="","",IFERROR(4*STDEVP(終値!AG280:AZ280)/AVERAGE(終値!AG280:AZ280),""))</f>
        <v>4.4686291317112901E-2</v>
      </c>
      <c r="AE280" s="503">
        <f>IF(終値!A280="","",IFERROR(4*STDEVP(終値!AH280:BA280)/AVERAGE(終値!AH280:BA280),""))</f>
        <v>5.209417127629265E-2</v>
      </c>
      <c r="AF280" s="503">
        <f>IF(終値!A280="","",IFERROR(4*STDEVP(終値!AI280:BB280)/AVERAGE(終値!AI280:BB280),""))</f>
        <v>5.5057060775867937E-2</v>
      </c>
      <c r="AG280" s="503">
        <f>IF(終値!A280="","",IFERROR(4*STDEVP(終値!AJ280:BC280)/AVERAGE(終値!AJ280:BC280),""))</f>
        <v>6.6479609958607508E-2</v>
      </c>
      <c r="AH280" s="503">
        <f>IF(終値!A280="","",IFERROR(4*STDEVP(終値!AK280:BD280)/AVERAGE(終値!AK280:BD280),""))</f>
        <v>6.827812973818638E-2</v>
      </c>
      <c r="AI280" s="503">
        <f>IF(終値!A280="","",IFERROR(4*STDEVP(終値!AL280:BE280)/AVERAGE(終値!AL280:BE280),""))</f>
        <v>7.0279846170367505E-2</v>
      </c>
      <c r="AJ280" s="503">
        <f>IF(終値!A280="","",IFERROR(4*STDEVP(終値!AM280:BF280)/AVERAGE(終値!AM280:BF280),""))</f>
        <v>7.7898772596771124E-2</v>
      </c>
      <c r="AK280" s="503">
        <f>IF(終値!A280="","",IFERROR(4*STDEVP(終値!AN280:BG280)/AVERAGE(終値!AN280:BG280),""))</f>
        <v>7.5698638783893657E-2</v>
      </c>
      <c r="AL280" s="503">
        <f>IF(終値!A280="","",IFERROR(4*STDEVP(終値!AO280:BH280)/AVERAGE(終値!AO280:BH280),""))</f>
        <v>7.122874483327804E-2</v>
      </c>
      <c r="AM280" s="503">
        <f>IF(終値!A280="","",IFERROR(4*STDEVP(終値!AP280:BI280)/AVERAGE(終値!AP280:BI280),""))</f>
        <v>6.6440711901623664E-2</v>
      </c>
      <c r="AN280" s="503">
        <f>IF(終値!A280="","",IFERROR(4*STDEVP(終値!AQ280:BJ280)/AVERAGE(終値!AQ280:BJ280),""))</f>
        <v>6.331776793852012E-2</v>
      </c>
      <c r="AO280" s="503">
        <f>IF(終値!A280="","",IFERROR(4*STDEVP(終値!AR280:BK280)/AVERAGE(終値!AR280:BK280),""))</f>
        <v>6.30352263533175E-2</v>
      </c>
      <c r="AP280" s="503">
        <f>IF(終値!A280="","",IFERROR(4*STDEVP(終値!AS280:BL280)/AVERAGE(終値!AS280:BL280),""))</f>
        <v>6.3155663876231838E-2</v>
      </c>
    </row>
    <row r="281" spans="1:42">
      <c r="A281" s="500" t="str">
        <f>IF(終値!A281="","",終値!A281)</f>
        <v>8007</v>
      </c>
      <c r="B281" s="503">
        <f>IF(終値!A281="","",IFERROR(4*STDEVP(終値!E281:X281)/AVERAGE(終値!E281:X281),""))</f>
        <v>7.2392113082226331E-2</v>
      </c>
      <c r="C281" s="503">
        <f>IF(終値!A281="","",IFERROR(4*STDEVP(終値!F281:Y281)/AVERAGE(終値!F281:Y281),""))</f>
        <v>7.7754719507530462E-2</v>
      </c>
      <c r="D281" s="503">
        <f>IF(終値!A281="","",IFERROR(4*STDEVP(終値!G281:Z281)/AVERAGE(終値!G281:Z281),""))</f>
        <v>8.5447173761048517E-2</v>
      </c>
      <c r="E281" s="503">
        <f>IF(終値!A281="","",IFERROR(4*STDEVP(終値!H281:AA281)/AVERAGE(終値!H281:AA281),""))</f>
        <v>8.7292996535088527E-2</v>
      </c>
      <c r="F281" s="503">
        <f>IF(終値!A281="","",IFERROR(4*STDEVP(終値!I281:AB281)/AVERAGE(終値!I281:AB281),""))</f>
        <v>8.1934345734034644E-2</v>
      </c>
      <c r="G281" s="503">
        <f>IF(終値!A281="","",IFERROR(4*STDEVP(終値!J281:AC281)/AVERAGE(終値!J281:AC281),""))</f>
        <v>7.7861409166225762E-2</v>
      </c>
      <c r="H281" s="503">
        <f>IF(終値!A281="","",IFERROR(4*STDEVP(終値!K281:AD281)/AVERAGE(終値!K281:AD281),""))</f>
        <v>7.7067970586635379E-2</v>
      </c>
      <c r="I281" s="503">
        <f>IF(終値!A281="","",IFERROR(4*STDEVP(終値!L281:AE281)/AVERAGE(終値!L281:AE281),""))</f>
        <v>7.6875151292357918E-2</v>
      </c>
      <c r="J281" s="503">
        <f>IF(終値!A281="","",IFERROR(4*STDEVP(終値!M281:AF281)/AVERAGE(終値!M281:AF281),""))</f>
        <v>7.9626556656222147E-2</v>
      </c>
      <c r="K281" s="503">
        <f>IF(終値!A281="","",IFERROR(4*STDEVP(終値!N281:AG281)/AVERAGE(終値!N281:AG281),""))</f>
        <v>8.0345391581540762E-2</v>
      </c>
      <c r="L281" s="503">
        <f>IF(終値!A281="","",IFERROR(4*STDEVP(終値!O281:AH281)/AVERAGE(終値!O281:AH281),""))</f>
        <v>7.7375324644389773E-2</v>
      </c>
      <c r="M281" s="503">
        <f>IF(終値!A281="","",IFERROR(4*STDEVP(終値!P281:AI281)/AVERAGE(終値!P281:AI281),""))</f>
        <v>7.8065291480545237E-2</v>
      </c>
      <c r="N281" s="503">
        <f>IF(終値!A281="","",IFERROR(4*STDEVP(終値!Q281:AJ281)/AVERAGE(終値!Q281:AJ281),""))</f>
        <v>7.7798821873760304E-2</v>
      </c>
      <c r="O281" s="503">
        <f>IF(終値!A281="","",IFERROR(4*STDEVP(終値!R281:AK281)/AVERAGE(終値!R281:AK281),""))</f>
        <v>7.067376119695476E-2</v>
      </c>
      <c r="P281" s="503">
        <f>IF(終値!A281="","",IFERROR(4*STDEVP(終値!S281:AL281)/AVERAGE(終値!S281:AL281),""))</f>
        <v>6.6450194761165773E-2</v>
      </c>
      <c r="Q281" s="503">
        <f>IF(終値!A281="","",IFERROR(4*STDEVP(終値!T281:AM281)/AVERAGE(終値!T281:AM281),""))</f>
        <v>6.2933838460992986E-2</v>
      </c>
      <c r="R281" s="503">
        <f>IF(終値!A281="","",IFERROR(4*STDEVP(終値!U281:AN281)/AVERAGE(終値!U281:AN281),""))</f>
        <v>5.890751168501869E-2</v>
      </c>
      <c r="S281" s="503">
        <f>IF(終値!A281="","",IFERROR(4*STDEVP(終値!V281:AO281)/AVERAGE(終値!V281:AO281),""))</f>
        <v>5.8659666760845858E-2</v>
      </c>
      <c r="T281" s="503">
        <f>IF(終値!A281="","",IFERROR(4*STDEVP(終値!W281:AP281)/AVERAGE(終値!W281:AP281),""))</f>
        <v>5.6216516593052837E-2</v>
      </c>
      <c r="U281" s="503">
        <f>IF(終値!A281="","",IFERROR(4*STDEVP(終値!X281:AQ281)/AVERAGE(終値!X281:AQ281),""))</f>
        <v>5.2767207318040993E-2</v>
      </c>
      <c r="V281" s="503">
        <f>IF(終値!A281="","",IFERROR(4*STDEVP(終値!Y281:AR281)/AVERAGE(終値!Y281:AR281),""))</f>
        <v>4.8264332472199745E-2</v>
      </c>
      <c r="W281" s="503">
        <f>IF(終値!A281="","",IFERROR(4*STDEVP(終値!Z281:AS281)/AVERAGE(終値!Z281:AS281),""))</f>
        <v>4.8971559777244676E-2</v>
      </c>
      <c r="X281" s="503">
        <f>IF(終値!A281="","",IFERROR(4*STDEVP(終値!AA281:AT281)/AVERAGE(終値!AA281:AT281),""))</f>
        <v>5.0851051780087302E-2</v>
      </c>
      <c r="Y281" s="503">
        <f>IF(終値!A281="","",IFERROR(4*STDEVP(終値!AB281:AU281)/AVERAGE(終値!AB281:AU281),""))</f>
        <v>5.4741869165713213E-2</v>
      </c>
      <c r="Z281" s="503">
        <f>IF(終値!A281="","",IFERROR(4*STDEVP(終値!AC281:AV281)/AVERAGE(終値!AC281:AV281),""))</f>
        <v>5.5314662035869884E-2</v>
      </c>
      <c r="AA281" s="503">
        <f>IF(終値!A281="","",IFERROR(4*STDEVP(終値!AD281:AW281)/AVERAGE(終値!AD281:AW281),""))</f>
        <v>5.7447320390209104E-2</v>
      </c>
      <c r="AB281" s="503">
        <f>IF(終値!A281="","",IFERROR(4*STDEVP(終値!AE281:AX281)/AVERAGE(終値!AE281:AX281),""))</f>
        <v>5.784582947883362E-2</v>
      </c>
      <c r="AC281" s="503">
        <f>IF(終値!A281="","",IFERROR(4*STDEVP(終値!AF281:AY281)/AVERAGE(終値!AF281:AY281),""))</f>
        <v>5.784582947883362E-2</v>
      </c>
      <c r="AD281" s="503">
        <f>IF(終値!A281="","",IFERROR(4*STDEVP(終値!AG281:AZ281)/AVERAGE(終値!AG281:AZ281),""))</f>
        <v>5.8584684854856503E-2</v>
      </c>
      <c r="AE281" s="503">
        <f>IF(終値!A281="","",IFERROR(4*STDEVP(終値!AH281:BA281)/AVERAGE(終値!AH281:BA281),""))</f>
        <v>5.8259112939826142E-2</v>
      </c>
      <c r="AF281" s="503">
        <f>IF(終値!A281="","",IFERROR(4*STDEVP(終値!AI281:BB281)/AVERAGE(終値!AI281:BB281),""))</f>
        <v>6.0915135131413119E-2</v>
      </c>
      <c r="AG281" s="503">
        <f>IF(終値!A281="","",IFERROR(4*STDEVP(終値!AJ281:BC281)/AVERAGE(終値!AJ281:BC281),""))</f>
        <v>6.0876058302044816E-2</v>
      </c>
      <c r="AH281" s="503">
        <f>IF(終値!A281="","",IFERROR(4*STDEVP(終値!AK281:BD281)/AVERAGE(終値!AK281:BD281),""))</f>
        <v>6.2063748911644491E-2</v>
      </c>
      <c r="AI281" s="503">
        <f>IF(終値!A281="","",IFERROR(4*STDEVP(終値!AL281:BE281)/AVERAGE(終値!AL281:BE281),""))</f>
        <v>6.6333506477924284E-2</v>
      </c>
      <c r="AJ281" s="503">
        <f>IF(終値!A281="","",IFERROR(4*STDEVP(終値!AM281:BF281)/AVERAGE(終値!AM281:BF281),""))</f>
        <v>7.4383994391404723E-2</v>
      </c>
      <c r="AK281" s="503">
        <f>IF(終値!A281="","",IFERROR(4*STDEVP(終値!AN281:BG281)/AVERAGE(終値!AN281:BG281),""))</f>
        <v>9.6775715690275488E-2</v>
      </c>
      <c r="AL281" s="503">
        <f>IF(終値!A281="","",IFERROR(4*STDEVP(終値!AO281:BH281)/AVERAGE(終値!AO281:BH281),""))</f>
        <v>0.10134789300155599</v>
      </c>
      <c r="AM281" s="503">
        <f>IF(終値!A281="","",IFERROR(4*STDEVP(終値!AP281:BI281)/AVERAGE(終値!AP281:BI281),""))</f>
        <v>0.10508200559182106</v>
      </c>
      <c r="AN281" s="503">
        <f>IF(終値!A281="","",IFERROR(4*STDEVP(終値!AQ281:BJ281)/AVERAGE(終値!AQ281:BJ281),""))</f>
        <v>0.11327542799686466</v>
      </c>
      <c r="AO281" s="503">
        <f>IF(終値!A281="","",IFERROR(4*STDEVP(終値!AR281:BK281)/AVERAGE(終値!AR281:BK281),""))</f>
        <v>0.124558991891019</v>
      </c>
      <c r="AP281" s="503">
        <f>IF(終値!A281="","",IFERROR(4*STDEVP(終値!AS281:BL281)/AVERAGE(終値!AS281:BL281),""))</f>
        <v>0.1330685649845971</v>
      </c>
    </row>
    <row r="282" spans="1:42">
      <c r="A282" s="500" t="str">
        <f>IF(終値!A282="","",終値!A282)</f>
        <v>4218</v>
      </c>
      <c r="B282" s="503">
        <f>IF(終値!A282="","",IFERROR(4*STDEVP(終値!E282:X282)/AVERAGE(終値!E282:X282),""))</f>
        <v>4.640347253110693E-2</v>
      </c>
      <c r="C282" s="503">
        <f>IF(終値!A282="","",IFERROR(4*STDEVP(終値!F282:Y282)/AVERAGE(終値!F282:Y282),""))</f>
        <v>4.6940501696232734E-2</v>
      </c>
      <c r="D282" s="503">
        <f>IF(終値!A282="","",IFERROR(4*STDEVP(終値!G282:Z282)/AVERAGE(終値!G282:Z282),""))</f>
        <v>4.8005213373809037E-2</v>
      </c>
      <c r="E282" s="503">
        <f>IF(終値!A282="","",IFERROR(4*STDEVP(終値!H282:AA282)/AVERAGE(終値!H282:AA282),""))</f>
        <v>4.9592602391497889E-2</v>
      </c>
      <c r="F282" s="503">
        <f>IF(終値!A282="","",IFERROR(4*STDEVP(終値!I282:AB282)/AVERAGE(終値!I282:AB282),""))</f>
        <v>4.7583288930302142E-2</v>
      </c>
      <c r="G282" s="503">
        <f>IF(終値!A282="","",IFERROR(4*STDEVP(終値!J282:AC282)/AVERAGE(終値!J282:AC282),""))</f>
        <v>3.6574278232113865E-2</v>
      </c>
      <c r="H282" s="503">
        <f>IF(終値!A282="","",IFERROR(4*STDEVP(終値!K282:AD282)/AVERAGE(終値!K282:AD282),""))</f>
        <v>3.6225207288216404E-2</v>
      </c>
      <c r="I282" s="503">
        <f>IF(終値!A282="","",IFERROR(4*STDEVP(終値!L282:AE282)/AVERAGE(終値!L282:AE282),""))</f>
        <v>4.067625714634597E-2</v>
      </c>
      <c r="J282" s="503">
        <f>IF(終値!A282="","",IFERROR(4*STDEVP(終値!M282:AF282)/AVERAGE(終値!M282:AF282),""))</f>
        <v>4.7080288618598254E-2</v>
      </c>
      <c r="K282" s="503">
        <f>IF(終値!A282="","",IFERROR(4*STDEVP(終値!N282:AG282)/AVERAGE(終値!N282:AG282),""))</f>
        <v>5.2231823522300241E-2</v>
      </c>
      <c r="L282" s="503">
        <f>IF(終値!A282="","",IFERROR(4*STDEVP(終値!O282:AH282)/AVERAGE(終値!O282:AH282),""))</f>
        <v>5.8624650596597674E-2</v>
      </c>
      <c r="M282" s="503">
        <f>IF(終値!A282="","",IFERROR(4*STDEVP(終値!P282:AI282)/AVERAGE(終値!P282:AI282),""))</f>
        <v>6.2962287105397197E-2</v>
      </c>
      <c r="N282" s="503">
        <f>IF(終値!A282="","",IFERROR(4*STDEVP(終値!Q282:AJ282)/AVERAGE(終値!Q282:AJ282),""))</f>
        <v>5.9809031584648231E-2</v>
      </c>
      <c r="O282" s="503">
        <f>IF(終値!A282="","",IFERROR(4*STDEVP(終値!R282:AK282)/AVERAGE(終値!R282:AK282),""))</f>
        <v>6.0845451990849016E-2</v>
      </c>
      <c r="P282" s="503">
        <f>IF(終値!A282="","",IFERROR(4*STDEVP(終値!S282:AL282)/AVERAGE(終値!S282:AL282),""))</f>
        <v>6.0601329349507869E-2</v>
      </c>
      <c r="Q282" s="503">
        <f>IF(終値!A282="","",IFERROR(4*STDEVP(終値!T282:AM282)/AVERAGE(終値!T282:AM282),""))</f>
        <v>6.0982040414925928E-2</v>
      </c>
      <c r="R282" s="503">
        <f>IF(終値!A282="","",IFERROR(4*STDEVP(終値!U282:AN282)/AVERAGE(終値!U282:AN282),""))</f>
        <v>6.0887733351683196E-2</v>
      </c>
      <c r="S282" s="503">
        <f>IF(終値!A282="","",IFERROR(4*STDEVP(終値!V282:AO282)/AVERAGE(終値!V282:AO282),""))</f>
        <v>5.8918527604650543E-2</v>
      </c>
      <c r="T282" s="503">
        <f>IF(終値!A282="","",IFERROR(4*STDEVP(終値!W282:AP282)/AVERAGE(終値!W282:AP282),""))</f>
        <v>5.5323524874140273E-2</v>
      </c>
      <c r="U282" s="503">
        <f>IF(終値!A282="","",IFERROR(4*STDEVP(終値!X282:AQ282)/AVERAGE(終値!X282:AQ282),""))</f>
        <v>5.6624428344457564E-2</v>
      </c>
      <c r="V282" s="503">
        <f>IF(終値!A282="","",IFERROR(4*STDEVP(終値!Y282:AR282)/AVERAGE(終値!Y282:AR282),""))</f>
        <v>5.8095750211124744E-2</v>
      </c>
      <c r="W282" s="503">
        <f>IF(終値!A282="","",IFERROR(4*STDEVP(終値!Z282:AS282)/AVERAGE(終値!Z282:AS282),""))</f>
        <v>5.8869538273696023E-2</v>
      </c>
      <c r="X282" s="503">
        <f>IF(終値!A282="","",IFERROR(4*STDEVP(終値!AA282:AT282)/AVERAGE(終値!AA282:AT282),""))</f>
        <v>5.4324489191657763E-2</v>
      </c>
      <c r="Y282" s="503">
        <f>IF(終値!A282="","",IFERROR(4*STDEVP(終値!AB282:AU282)/AVERAGE(終値!AB282:AU282),""))</f>
        <v>5.5426445551530666E-2</v>
      </c>
      <c r="Z282" s="503">
        <f>IF(終値!A282="","",IFERROR(4*STDEVP(終値!AC282:AV282)/AVERAGE(終値!AC282:AV282),""))</f>
        <v>5.208431859044417E-2</v>
      </c>
      <c r="AA282" s="503">
        <f>IF(終値!A282="","",IFERROR(4*STDEVP(終値!AD282:AW282)/AVERAGE(終値!AD282:AW282),""))</f>
        <v>4.2897278406121536E-2</v>
      </c>
      <c r="AB282" s="503">
        <f>IF(終値!A282="","",IFERROR(4*STDEVP(終値!AE282:AX282)/AVERAGE(終値!AE282:AX282),""))</f>
        <v>4.2100980238701242E-2</v>
      </c>
      <c r="AC282" s="503">
        <f>IF(終値!A282="","",IFERROR(4*STDEVP(終値!AF282:AY282)/AVERAGE(終値!AF282:AY282),""))</f>
        <v>4.4681092102649693E-2</v>
      </c>
      <c r="AD282" s="503">
        <f>IF(終値!A282="","",IFERROR(4*STDEVP(終値!AG282:AZ282)/AVERAGE(終値!AG282:AZ282),""))</f>
        <v>4.7963227192524376E-2</v>
      </c>
      <c r="AE282" s="503">
        <f>IF(終値!A282="","",IFERROR(4*STDEVP(終値!AH282:BA282)/AVERAGE(終値!AH282:BA282),""))</f>
        <v>4.9493884393835084E-2</v>
      </c>
      <c r="AF282" s="503">
        <f>IF(終値!A282="","",IFERROR(4*STDEVP(終値!AI282:BB282)/AVERAGE(終値!AI282:BB282),""))</f>
        <v>5.1487900307145944E-2</v>
      </c>
      <c r="AG282" s="503">
        <f>IF(終値!A282="","",IFERROR(4*STDEVP(終値!AJ282:BC282)/AVERAGE(終値!AJ282:BC282),""))</f>
        <v>5.5756186018808829E-2</v>
      </c>
      <c r="AH282" s="503">
        <f>IF(終値!A282="","",IFERROR(4*STDEVP(終値!AK282:BD282)/AVERAGE(終値!AK282:BD282),""))</f>
        <v>5.7279008515438171E-2</v>
      </c>
      <c r="AI282" s="503">
        <f>IF(終値!A282="","",IFERROR(4*STDEVP(終値!AL282:BE282)/AVERAGE(終値!AL282:BE282),""))</f>
        <v>6.4756405393567001E-2</v>
      </c>
      <c r="AJ282" s="503">
        <f>IF(終値!A282="","",IFERROR(4*STDEVP(終値!AM282:BF282)/AVERAGE(終値!AM282:BF282),""))</f>
        <v>6.9759175885747857E-2</v>
      </c>
      <c r="AK282" s="503">
        <f>IF(終値!A282="","",IFERROR(4*STDEVP(終値!AN282:BG282)/AVERAGE(終値!AN282:BG282),""))</f>
        <v>6.9765623744721755E-2</v>
      </c>
      <c r="AL282" s="503">
        <f>IF(終値!A282="","",IFERROR(4*STDEVP(終値!AO282:BH282)/AVERAGE(終値!AO282:BH282),""))</f>
        <v>7.0031521748662173E-2</v>
      </c>
      <c r="AM282" s="503">
        <f>IF(終値!A282="","",IFERROR(4*STDEVP(終値!AP282:BI282)/AVERAGE(終値!AP282:BI282),""))</f>
        <v>7.0792920612375687E-2</v>
      </c>
      <c r="AN282" s="503">
        <f>IF(終値!A282="","",IFERROR(4*STDEVP(終値!AQ282:BJ282)/AVERAGE(終値!AQ282:BJ282),""))</f>
        <v>7.0353550323351652E-2</v>
      </c>
      <c r="AO282" s="503">
        <f>IF(終値!A282="","",IFERROR(4*STDEVP(終値!AR282:BK282)/AVERAGE(終値!AR282:BK282),""))</f>
        <v>6.6807839745899655E-2</v>
      </c>
      <c r="AP282" s="503">
        <f>IF(終値!A282="","",IFERROR(4*STDEVP(終値!AS282:BL282)/AVERAGE(終値!AS282:BL282),""))</f>
        <v>6.3946052384783472E-2</v>
      </c>
    </row>
    <row r="283" spans="1:42">
      <c r="A283" s="500" t="str">
        <f>IF(終値!A283="","",終値!A283)</f>
        <v>7735</v>
      </c>
      <c r="B283" s="503">
        <f>IF(終値!A283="","",IFERROR(4*STDEVP(終値!E283:X283)/AVERAGE(終値!E283:X283),""))</f>
        <v>0.5703845496861355</v>
      </c>
      <c r="C283" s="503">
        <f>IF(終値!A283="","",IFERROR(4*STDEVP(終値!F283:Y283)/AVERAGE(終値!F283:Y283),""))</f>
        <v>0.56047727132983438</v>
      </c>
      <c r="D283" s="503">
        <f>IF(終値!A283="","",IFERROR(4*STDEVP(終値!G283:Z283)/AVERAGE(終値!G283:Z283),""))</f>
        <v>0.5165780371006905</v>
      </c>
      <c r="E283" s="503">
        <f>IF(終値!A283="","",IFERROR(4*STDEVP(終値!H283:AA283)/AVERAGE(終値!H283:AA283),""))</f>
        <v>0.48419269798234887</v>
      </c>
      <c r="F283" s="503">
        <f>IF(終値!A283="","",IFERROR(4*STDEVP(終値!I283:AB283)/AVERAGE(終値!I283:AB283),""))</f>
        <v>0.40224634335751103</v>
      </c>
      <c r="G283" s="503">
        <f>IF(終値!A283="","",IFERROR(4*STDEVP(終値!J283:AC283)/AVERAGE(終値!J283:AC283),""))</f>
        <v>0.27959976309250234</v>
      </c>
      <c r="H283" s="503">
        <f>IF(終値!A283="","",IFERROR(4*STDEVP(終値!K283:AD283)/AVERAGE(終値!K283:AD283),""))</f>
        <v>0.2282174089036203</v>
      </c>
      <c r="I283" s="503">
        <f>IF(終値!A283="","",IFERROR(4*STDEVP(終値!L283:AE283)/AVERAGE(終値!L283:AE283),""))</f>
        <v>0.2124902442057314</v>
      </c>
      <c r="J283" s="503">
        <f>IF(終値!A283="","",IFERROR(4*STDEVP(終値!M283:AF283)/AVERAGE(終値!M283:AF283),""))</f>
        <v>0.20699497692352456</v>
      </c>
      <c r="K283" s="503">
        <f>IF(終値!A283="","",IFERROR(4*STDEVP(終値!N283:AG283)/AVERAGE(終値!N283:AG283),""))</f>
        <v>0.21420434804820015</v>
      </c>
      <c r="L283" s="503">
        <f>IF(終値!A283="","",IFERROR(4*STDEVP(終値!O283:AH283)/AVERAGE(終値!O283:AH283),""))</f>
        <v>0.20911352511701389</v>
      </c>
      <c r="M283" s="503">
        <f>IF(終値!A283="","",IFERROR(4*STDEVP(終値!P283:AI283)/AVERAGE(終値!P283:AI283),""))</f>
        <v>0.21117916184522006</v>
      </c>
      <c r="N283" s="503">
        <f>IF(終値!A283="","",IFERROR(4*STDEVP(終値!Q283:AJ283)/AVERAGE(終値!Q283:AJ283),""))</f>
        <v>0.21232716914850799</v>
      </c>
      <c r="O283" s="503">
        <f>IF(終値!A283="","",IFERROR(4*STDEVP(終値!R283:AK283)/AVERAGE(終値!R283:AK283),""))</f>
        <v>0.22748944563348539</v>
      </c>
      <c r="P283" s="503">
        <f>IF(終値!A283="","",IFERROR(4*STDEVP(終値!S283:AL283)/AVERAGE(終値!S283:AL283),""))</f>
        <v>0.25420468964559317</v>
      </c>
      <c r="Q283" s="503">
        <f>IF(終値!A283="","",IFERROR(4*STDEVP(終値!T283:AM283)/AVERAGE(終値!T283:AM283),""))</f>
        <v>0.27998771503624309</v>
      </c>
      <c r="R283" s="503">
        <f>IF(終値!A283="","",IFERROR(4*STDEVP(終値!U283:AN283)/AVERAGE(終値!U283:AN283),""))</f>
        <v>0.31810974667264097</v>
      </c>
      <c r="S283" s="503">
        <f>IF(終値!A283="","",IFERROR(4*STDEVP(終値!V283:AO283)/AVERAGE(終値!V283:AO283),""))</f>
        <v>0.37541948107494338</v>
      </c>
      <c r="T283" s="503">
        <f>IF(終値!A283="","",IFERROR(4*STDEVP(終値!W283:AP283)/AVERAGE(終値!W283:AP283),""))</f>
        <v>0.4247120749853453</v>
      </c>
      <c r="U283" s="503">
        <f>IF(終値!A283="","",IFERROR(4*STDEVP(終値!X283:AQ283)/AVERAGE(終値!X283:AQ283),""))</f>
        <v>0.49633056202407105</v>
      </c>
      <c r="V283" s="503">
        <f>IF(終値!A283="","",IFERROR(4*STDEVP(終値!Y283:AR283)/AVERAGE(終値!Y283:AR283),""))</f>
        <v>0.52843135536227215</v>
      </c>
      <c r="W283" s="503">
        <f>IF(終値!A283="","",IFERROR(4*STDEVP(終値!Z283:AS283)/AVERAGE(終値!Z283:AS283),""))</f>
        <v>0.52164291529177287</v>
      </c>
      <c r="X283" s="503">
        <f>IF(終値!A283="","",IFERROR(4*STDEVP(終値!AA283:AT283)/AVERAGE(終値!AA283:AT283),""))</f>
        <v>0.52246249176170545</v>
      </c>
      <c r="Y283" s="503">
        <f>IF(終値!A283="","",IFERROR(4*STDEVP(終値!AB283:AU283)/AVERAGE(終値!AB283:AU283),""))</f>
        <v>0.52231928758681567</v>
      </c>
      <c r="Z283" s="503">
        <f>IF(終値!A283="","",IFERROR(4*STDEVP(終値!AC283:AV283)/AVERAGE(終値!AC283:AV283),""))</f>
        <v>0.5485245921072901</v>
      </c>
      <c r="AA283" s="503">
        <f>IF(終値!A283="","",IFERROR(4*STDEVP(終値!AD283:AW283)/AVERAGE(終値!AD283:AW283),""))</f>
        <v>0.58156663998681379</v>
      </c>
      <c r="AB283" s="503">
        <f>IF(終値!A283="","",IFERROR(4*STDEVP(終値!AE283:AX283)/AVERAGE(終値!AE283:AX283),""))</f>
        <v>0.60358170464665917</v>
      </c>
      <c r="AC283" s="503">
        <f>IF(終値!A283="","",IFERROR(4*STDEVP(終値!AF283:AY283)/AVERAGE(終値!AF283:AY283),""))</f>
        <v>0.59760996568592328</v>
      </c>
      <c r="AD283" s="503">
        <f>IF(終値!A283="","",IFERROR(4*STDEVP(終値!AG283:AZ283)/AVERAGE(終値!AG283:AZ283),""))</f>
        <v>0.61492537266403158</v>
      </c>
      <c r="AE283" s="503">
        <f>IF(終値!A283="","",IFERROR(4*STDEVP(終値!AH283:BA283)/AVERAGE(終値!AH283:BA283),""))</f>
        <v>0.62266737708326869</v>
      </c>
      <c r="AF283" s="503">
        <f>IF(終値!A283="","",IFERROR(4*STDEVP(終値!AI283:BB283)/AVERAGE(終値!AI283:BB283),""))</f>
        <v>0.60005884513366436</v>
      </c>
      <c r="AG283" s="503">
        <f>IF(終値!A283="","",IFERROR(4*STDEVP(終値!AJ283:BC283)/AVERAGE(終値!AJ283:BC283),""))</f>
        <v>0.5651049680248873</v>
      </c>
      <c r="AH283" s="503">
        <f>IF(終値!A283="","",IFERROR(4*STDEVP(終値!AK283:BD283)/AVERAGE(終値!AK283:BD283),""))</f>
        <v>0.51044399429968124</v>
      </c>
      <c r="AI283" s="503">
        <f>IF(終値!A283="","",IFERROR(4*STDEVP(終値!AL283:BE283)/AVERAGE(終値!AL283:BE283),""))</f>
        <v>0.4675496341057504</v>
      </c>
      <c r="AJ283" s="503">
        <f>IF(終値!A283="","",IFERROR(4*STDEVP(終値!AM283:BF283)/AVERAGE(終値!AM283:BF283),""))</f>
        <v>0.41765154162904555</v>
      </c>
      <c r="AK283" s="503">
        <f>IF(終値!A283="","",IFERROR(4*STDEVP(終値!AN283:BG283)/AVERAGE(終値!AN283:BG283),""))</f>
        <v>0.35968615484775757</v>
      </c>
      <c r="AL283" s="503">
        <f>IF(終値!A283="","",IFERROR(4*STDEVP(終値!AO283:BH283)/AVERAGE(終値!AO283:BH283),""))</f>
        <v>0.32002236338544504</v>
      </c>
      <c r="AM283" s="503">
        <f>IF(終値!A283="","",IFERROR(4*STDEVP(終値!AP283:BI283)/AVERAGE(終値!AP283:BI283),""))</f>
        <v>0.30358264295182119</v>
      </c>
      <c r="AN283" s="503">
        <f>IF(終値!A283="","",IFERROR(4*STDEVP(終値!AQ283:BJ283)/AVERAGE(終値!AQ283:BJ283),""))</f>
        <v>0.28341358858966409</v>
      </c>
      <c r="AO283" s="503">
        <f>IF(終値!A283="","",IFERROR(4*STDEVP(終値!AR283:BK283)/AVERAGE(終値!AR283:BK283),""))</f>
        <v>0.28323257784399558</v>
      </c>
      <c r="AP283" s="503">
        <f>IF(終値!A283="","",IFERROR(4*STDEVP(終値!AS283:BL283)/AVERAGE(終値!AS283:BL283),""))</f>
        <v>0.27995321730918526</v>
      </c>
    </row>
    <row r="284" spans="1:42">
      <c r="A284" s="500" t="str">
        <f>IF(終値!A284="","",終値!A284)</f>
        <v>3905</v>
      </c>
      <c r="B284" s="503">
        <f>IF(終値!A284="","",IFERROR(4*STDEVP(終値!E284:X284)/AVERAGE(終値!E284:X284),""))</f>
        <v>0.56439485975230674</v>
      </c>
      <c r="C284" s="503">
        <f>IF(終値!A284="","",IFERROR(4*STDEVP(終値!F284:Y284)/AVERAGE(終値!F284:Y284),""))</f>
        <v>0.58285003796424095</v>
      </c>
      <c r="D284" s="503">
        <f>IF(終値!A284="","",IFERROR(4*STDEVP(終値!G284:Z284)/AVERAGE(終値!G284:Z284),""))</f>
        <v>0.58806112693991086</v>
      </c>
      <c r="E284" s="503">
        <f>IF(終値!A284="","",IFERROR(4*STDEVP(終値!H284:AA284)/AVERAGE(終値!H284:AA284),""))</f>
        <v>0.61136711998461246</v>
      </c>
      <c r="F284" s="503">
        <f>IF(終値!A284="","",IFERROR(4*STDEVP(終値!I284:AB284)/AVERAGE(終値!I284:AB284),""))</f>
        <v>0.5861938686124093</v>
      </c>
      <c r="G284" s="503">
        <f>IF(終値!A284="","",IFERROR(4*STDEVP(終値!J284:AC284)/AVERAGE(終値!J284:AC284),""))</f>
        <v>0.56441086164617082</v>
      </c>
      <c r="H284" s="503">
        <f>IF(終値!A284="","",IFERROR(4*STDEVP(終値!K284:AD284)/AVERAGE(終値!K284:AD284),""))</f>
        <v>0.63241621288095173</v>
      </c>
      <c r="I284" s="503">
        <f>IF(終値!A284="","",IFERROR(4*STDEVP(終値!L284:AE284)/AVERAGE(終値!L284:AE284),""))</f>
        <v>0.79441619325673185</v>
      </c>
      <c r="J284" s="503">
        <f>IF(終値!A284="","",IFERROR(4*STDEVP(終値!M284:AF284)/AVERAGE(終値!M284:AF284),""))</f>
        <v>0.85119990048343797</v>
      </c>
      <c r="K284" s="503">
        <f>IF(終値!A284="","",IFERROR(4*STDEVP(終値!N284:AG284)/AVERAGE(終値!N284:AG284),""))</f>
        <v>0.8717748737123876</v>
      </c>
      <c r="L284" s="503">
        <f>IF(終値!A284="","",IFERROR(4*STDEVP(終値!O284:AH284)/AVERAGE(終値!O284:AH284),""))</f>
        <v>0.91829488143926008</v>
      </c>
      <c r="M284" s="503">
        <f>IF(終値!A284="","",IFERROR(4*STDEVP(終値!P284:AI284)/AVERAGE(終値!P284:AI284),""))</f>
        <v>0.96286622820175249</v>
      </c>
      <c r="N284" s="503">
        <f>IF(終値!A284="","",IFERROR(4*STDEVP(終値!Q284:AJ284)/AVERAGE(終値!Q284:AJ284),""))</f>
        <v>0.96388378720591494</v>
      </c>
      <c r="O284" s="503">
        <f>IF(終値!A284="","",IFERROR(4*STDEVP(終値!R284:AK284)/AVERAGE(終値!R284:AK284),""))</f>
        <v>0.96644655026065873</v>
      </c>
      <c r="P284" s="503">
        <f>IF(終値!A284="","",IFERROR(4*STDEVP(終値!S284:AL284)/AVERAGE(終値!S284:AL284),""))</f>
        <v>0.96340307480198073</v>
      </c>
      <c r="Q284" s="503">
        <f>IF(終値!A284="","",IFERROR(4*STDEVP(終値!T284:AM284)/AVERAGE(終値!T284:AM284),""))</f>
        <v>0.92947684135481801</v>
      </c>
      <c r="R284" s="503">
        <f>IF(終値!A284="","",IFERROR(4*STDEVP(終値!U284:AN284)/AVERAGE(終値!U284:AN284),""))</f>
        <v>0.88236064444747409</v>
      </c>
      <c r="S284" s="503">
        <f>IF(終値!A284="","",IFERROR(4*STDEVP(終値!V284:AO284)/AVERAGE(終値!V284:AO284),""))</f>
        <v>0.83065682890644499</v>
      </c>
      <c r="T284" s="503">
        <f>IF(終値!A284="","",IFERROR(4*STDEVP(終値!W284:AP284)/AVERAGE(終値!W284:AP284),""))</f>
        <v>0.7559511975273242</v>
      </c>
      <c r="U284" s="503">
        <f>IF(終値!A284="","",IFERROR(4*STDEVP(終値!X284:AQ284)/AVERAGE(終値!X284:AQ284),""))</f>
        <v>0.6851639629839793</v>
      </c>
      <c r="V284" s="503">
        <f>IF(終値!A284="","",IFERROR(4*STDEVP(終値!Y284:AR284)/AVERAGE(終値!Y284:AR284),""))</f>
        <v>0.61942262930969905</v>
      </c>
      <c r="W284" s="503">
        <f>IF(終値!A284="","",IFERROR(4*STDEVP(終値!Z284:AS284)/AVERAGE(終値!Z284:AS284),""))</f>
        <v>0.59271943499616708</v>
      </c>
      <c r="X284" s="503">
        <f>IF(終値!A284="","",IFERROR(4*STDEVP(終値!AA284:AT284)/AVERAGE(終値!AA284:AT284),""))</f>
        <v>0.51221068251268187</v>
      </c>
      <c r="Y284" s="503">
        <f>IF(終値!A284="","",IFERROR(4*STDEVP(終値!AB284:AU284)/AVERAGE(終値!AB284:AU284),""))</f>
        <v>0.45166416242568203</v>
      </c>
      <c r="Z284" s="503">
        <f>IF(終値!A284="","",IFERROR(4*STDEVP(終値!AC284:AV284)/AVERAGE(終値!AC284:AV284),""))</f>
        <v>0.44843947445495885</v>
      </c>
      <c r="AA284" s="503">
        <f>IF(終値!A284="","",IFERROR(4*STDEVP(終値!AD284:AW284)/AVERAGE(終値!AD284:AW284),""))</f>
        <v>0.37923310266411397</v>
      </c>
      <c r="AB284" s="503">
        <f>IF(終値!A284="","",IFERROR(4*STDEVP(終値!AE284:AX284)/AVERAGE(終値!AE284:AX284),""))</f>
        <v>0.36459052201422099</v>
      </c>
      <c r="AC284" s="503">
        <f>IF(終値!A284="","",IFERROR(4*STDEVP(終値!AF284:AY284)/AVERAGE(終値!AF284:AY284),""))</f>
        <v>0.37365640657066435</v>
      </c>
      <c r="AD284" s="503">
        <f>IF(終値!A284="","",IFERROR(4*STDEVP(終値!AG284:AZ284)/AVERAGE(終値!AG284:AZ284),""))</f>
        <v>0.37046981479361329</v>
      </c>
      <c r="AE284" s="503">
        <f>IF(終値!A284="","",IFERROR(4*STDEVP(終値!AH284:BA284)/AVERAGE(終値!AH284:BA284),""))</f>
        <v>0.39354292585792588</v>
      </c>
      <c r="AF284" s="503">
        <f>IF(終値!A284="","",IFERROR(4*STDEVP(終値!AI284:BB284)/AVERAGE(終値!AI284:BB284),""))</f>
        <v>0.48076522900976532</v>
      </c>
      <c r="AG284" s="503">
        <f>IF(終値!A284="","",IFERROR(4*STDEVP(終値!AJ284:BC284)/AVERAGE(終値!AJ284:BC284),""))</f>
        <v>0.55019777271882808</v>
      </c>
      <c r="AH284" s="503">
        <f>IF(終値!A284="","",IFERROR(4*STDEVP(終値!AK284:BD284)/AVERAGE(終値!AK284:BD284),""))</f>
        <v>0.65837638985782909</v>
      </c>
      <c r="AI284" s="503">
        <f>IF(終値!A284="","",IFERROR(4*STDEVP(終値!AL284:BE284)/AVERAGE(終値!AL284:BE284),""))</f>
        <v>0.8027617214022329</v>
      </c>
      <c r="AJ284" s="503">
        <f>IF(終値!A284="","",IFERROR(4*STDEVP(終値!AM284:BF284)/AVERAGE(終値!AM284:BF284),""))</f>
        <v>0.9370285345822531</v>
      </c>
      <c r="AK284" s="503">
        <f>IF(終値!A284="","",IFERROR(4*STDEVP(終値!AN284:BG284)/AVERAGE(終値!AN284:BG284),""))</f>
        <v>1.0456544135302432</v>
      </c>
      <c r="AL284" s="503">
        <f>IF(終値!A284="","",IFERROR(4*STDEVP(終値!AO284:BH284)/AVERAGE(終値!AO284:BH284),""))</f>
        <v>1.1475514963971229</v>
      </c>
      <c r="AM284" s="503">
        <f>IF(終値!A284="","",IFERROR(4*STDEVP(終値!AP284:BI284)/AVERAGE(終値!AP284:BI284),""))</f>
        <v>1.2319042109183034</v>
      </c>
      <c r="AN284" s="503">
        <f>IF(終値!A284="","",IFERROR(4*STDEVP(終値!AQ284:BJ284)/AVERAGE(終値!AQ284:BJ284),""))</f>
        <v>1.332817324859136</v>
      </c>
      <c r="AO284" s="503">
        <f>IF(終値!A284="","",IFERROR(4*STDEVP(終値!AR284:BK284)/AVERAGE(終値!AR284:BK284),""))</f>
        <v>1.4531359961776034</v>
      </c>
      <c r="AP284" s="503">
        <f>IF(終値!A284="","",IFERROR(4*STDEVP(終値!AS284:BL284)/AVERAGE(終値!AS284:BL284),""))</f>
        <v>1.5836149530333181</v>
      </c>
    </row>
    <row r="285" spans="1:42">
      <c r="A285" s="500" t="str">
        <f>IF(終値!A285="","",終値!A285)</f>
        <v>3397</v>
      </c>
      <c r="B285" s="503">
        <f>IF(終値!A285="","",IFERROR(4*STDEVP(終値!E285:X285)/AVERAGE(終値!E285:X285),""))</f>
        <v>0.16871338526691496</v>
      </c>
      <c r="C285" s="503">
        <f>IF(終値!A285="","",IFERROR(4*STDEVP(終値!F285:Y285)/AVERAGE(終値!F285:Y285),""))</f>
        <v>0.18143142495158521</v>
      </c>
      <c r="D285" s="503">
        <f>IF(終値!A285="","",IFERROR(4*STDEVP(終値!G285:Z285)/AVERAGE(終値!G285:Z285),""))</f>
        <v>0.18493540164418495</v>
      </c>
      <c r="E285" s="503">
        <f>IF(終値!A285="","",IFERROR(4*STDEVP(終値!H285:AA285)/AVERAGE(終値!H285:AA285),""))</f>
        <v>0.19029082538863215</v>
      </c>
      <c r="F285" s="503">
        <f>IF(終値!A285="","",IFERROR(4*STDEVP(終値!I285:AB285)/AVERAGE(終値!I285:AB285),""))</f>
        <v>0.1725647713362948</v>
      </c>
      <c r="G285" s="503">
        <f>IF(終値!A285="","",IFERROR(4*STDEVP(終値!J285:AC285)/AVERAGE(終値!J285:AC285),""))</f>
        <v>0.12810358347593992</v>
      </c>
      <c r="H285" s="503">
        <f>IF(終値!A285="","",IFERROR(4*STDEVP(終値!K285:AD285)/AVERAGE(終値!K285:AD285),""))</f>
        <v>0.12474872973811399</v>
      </c>
      <c r="I285" s="503">
        <f>IF(終値!A285="","",IFERROR(4*STDEVP(終値!L285:AE285)/AVERAGE(終値!L285:AE285),""))</f>
        <v>0.1259766881166009</v>
      </c>
      <c r="J285" s="503">
        <f>IF(終値!A285="","",IFERROR(4*STDEVP(終値!M285:AF285)/AVERAGE(終値!M285:AF285),""))</f>
        <v>0.14175138588806324</v>
      </c>
      <c r="K285" s="503">
        <f>IF(終値!A285="","",IFERROR(4*STDEVP(終値!N285:AG285)/AVERAGE(終値!N285:AG285),""))</f>
        <v>0.16013523183764194</v>
      </c>
      <c r="L285" s="503">
        <f>IF(終値!A285="","",IFERROR(4*STDEVP(終値!O285:AH285)/AVERAGE(終値!O285:AH285),""))</f>
        <v>0.173070384786154</v>
      </c>
      <c r="M285" s="503">
        <f>IF(終値!A285="","",IFERROR(4*STDEVP(終値!P285:AI285)/AVERAGE(終値!P285:AI285),""))</f>
        <v>0.17739383988591939</v>
      </c>
      <c r="N285" s="503">
        <f>IF(終値!A285="","",IFERROR(4*STDEVP(終値!Q285:AJ285)/AVERAGE(終値!Q285:AJ285),""))</f>
        <v>0.1778218357169821</v>
      </c>
      <c r="O285" s="503">
        <f>IF(終値!A285="","",IFERROR(4*STDEVP(終値!R285:AK285)/AVERAGE(終値!R285:AK285),""))</f>
        <v>0.17521059230740951</v>
      </c>
      <c r="P285" s="503">
        <f>IF(終値!A285="","",IFERROR(4*STDEVP(終値!S285:AL285)/AVERAGE(終値!S285:AL285),""))</f>
        <v>0.1627373975151705</v>
      </c>
      <c r="Q285" s="503">
        <f>IF(終値!A285="","",IFERROR(4*STDEVP(終値!T285:AM285)/AVERAGE(終値!T285:AM285),""))</f>
        <v>0.15518283319465301</v>
      </c>
      <c r="R285" s="503">
        <f>IF(終値!A285="","",IFERROR(4*STDEVP(終値!U285:AN285)/AVERAGE(終値!U285:AN285),""))</f>
        <v>0.14959900224787392</v>
      </c>
      <c r="S285" s="503">
        <f>IF(終値!A285="","",IFERROR(4*STDEVP(終値!V285:AO285)/AVERAGE(終値!V285:AO285),""))</f>
        <v>0.14121331553019179</v>
      </c>
      <c r="T285" s="503">
        <f>IF(終値!A285="","",IFERROR(4*STDEVP(終値!W285:AP285)/AVERAGE(終値!W285:AP285),""))</f>
        <v>0.12954014895158253</v>
      </c>
      <c r="U285" s="503">
        <f>IF(終値!A285="","",IFERROR(4*STDEVP(終値!X285:AQ285)/AVERAGE(終値!X285:AQ285),""))</f>
        <v>0.11880048133428507</v>
      </c>
      <c r="V285" s="503">
        <f>IF(終値!A285="","",IFERROR(4*STDEVP(終値!Y285:AR285)/AVERAGE(終値!Y285:AR285),""))</f>
        <v>0.11513768047748514</v>
      </c>
      <c r="W285" s="503">
        <f>IF(終値!A285="","",IFERROR(4*STDEVP(終値!Z285:AS285)/AVERAGE(終値!Z285:AS285),""))</f>
        <v>0.11297476260805582</v>
      </c>
      <c r="X285" s="503">
        <f>IF(終値!A285="","",IFERROR(4*STDEVP(終値!AA285:AT285)/AVERAGE(終値!AA285:AT285),""))</f>
        <v>0.10887884715666558</v>
      </c>
      <c r="Y285" s="503">
        <f>IF(終値!A285="","",IFERROR(4*STDEVP(終値!AB285:AU285)/AVERAGE(終値!AB285:AU285),""))</f>
        <v>0.11027245677860259</v>
      </c>
      <c r="Z285" s="503">
        <f>IF(終値!A285="","",IFERROR(4*STDEVP(終値!AC285:AV285)/AVERAGE(終値!AC285:AV285),""))</f>
        <v>0.10785541783753212</v>
      </c>
      <c r="AA285" s="503">
        <f>IF(終値!A285="","",IFERROR(4*STDEVP(終値!AD285:AW285)/AVERAGE(終値!AD285:AW285),""))</f>
        <v>0.10245975624922303</v>
      </c>
      <c r="AB285" s="503">
        <f>IF(終値!A285="","",IFERROR(4*STDEVP(終値!AE285:AX285)/AVERAGE(終値!AE285:AX285),""))</f>
        <v>0.10246712251606568</v>
      </c>
      <c r="AC285" s="503">
        <f>IF(終値!A285="","",IFERROR(4*STDEVP(終値!AF285:AY285)/AVERAGE(終値!AF285:AY285),""))</f>
        <v>0.10906636842860432</v>
      </c>
      <c r="AD285" s="503">
        <f>IF(終値!A285="","",IFERROR(4*STDEVP(終値!AG285:AZ285)/AVERAGE(終値!AG285:AZ285),""))</f>
        <v>0.11004808735137367</v>
      </c>
      <c r="AE285" s="503">
        <f>IF(終値!A285="","",IFERROR(4*STDEVP(終値!AH285:BA285)/AVERAGE(終値!AH285:BA285),""))</f>
        <v>0.10420943613463841</v>
      </c>
      <c r="AF285" s="503">
        <f>IF(終値!A285="","",IFERROR(4*STDEVP(終値!AI285:BB285)/AVERAGE(終値!AI285:BB285),""))</f>
        <v>0.10081652405296504</v>
      </c>
      <c r="AG285" s="503">
        <f>IF(終値!A285="","",IFERROR(4*STDEVP(終値!AJ285:BC285)/AVERAGE(終値!AJ285:BC285),""))</f>
        <v>8.9136318121780814E-2</v>
      </c>
      <c r="AH285" s="503">
        <f>IF(終値!A285="","",IFERROR(4*STDEVP(終値!AK285:BD285)/AVERAGE(終値!AK285:BD285),""))</f>
        <v>7.3400356319619484E-2</v>
      </c>
      <c r="AI285" s="503">
        <f>IF(終値!A285="","",IFERROR(4*STDEVP(終値!AL285:BE285)/AVERAGE(終値!AL285:BE285),""))</f>
        <v>6.555296607723958E-2</v>
      </c>
      <c r="AJ285" s="503">
        <f>IF(終値!A285="","",IFERROR(4*STDEVP(終値!AM285:BF285)/AVERAGE(終値!AM285:BF285),""))</f>
        <v>6.6072747642150625E-2</v>
      </c>
      <c r="AK285" s="503">
        <f>IF(終値!A285="","",IFERROR(4*STDEVP(終値!AN285:BG285)/AVERAGE(終値!AN285:BG285),""))</f>
        <v>7.6250381369382225E-2</v>
      </c>
      <c r="AL285" s="503">
        <f>IF(終値!A285="","",IFERROR(4*STDEVP(終値!AO285:BH285)/AVERAGE(終値!AO285:BH285),""))</f>
        <v>8.0089145176393886E-2</v>
      </c>
      <c r="AM285" s="503">
        <f>IF(終値!A285="","",IFERROR(4*STDEVP(終値!AP285:BI285)/AVERAGE(終値!AP285:BI285),""))</f>
        <v>8.3864642473786222E-2</v>
      </c>
      <c r="AN285" s="503">
        <f>IF(終値!A285="","",IFERROR(4*STDEVP(終値!AQ285:BJ285)/AVERAGE(終値!AQ285:BJ285),""))</f>
        <v>8.9135974912181559E-2</v>
      </c>
      <c r="AO285" s="503">
        <f>IF(終値!A285="","",IFERROR(4*STDEVP(終値!AR285:BK285)/AVERAGE(終値!AR285:BK285),""))</f>
        <v>9.4695980855866946E-2</v>
      </c>
      <c r="AP285" s="503">
        <f>IF(終値!A285="","",IFERROR(4*STDEVP(終値!AS285:BL285)/AVERAGE(終値!AS285:BL285),""))</f>
        <v>9.2004708212229086E-2</v>
      </c>
    </row>
    <row r="286" spans="1:42">
      <c r="A286" s="500" t="str">
        <f>IF(終値!A286="","",終値!A286)</f>
        <v>7270</v>
      </c>
      <c r="B286" s="503">
        <f>IF(終値!A286="","",IFERROR(4*STDEVP(終値!E286:X286)/AVERAGE(終値!E286:X286),""))</f>
        <v>0.15843756842151452</v>
      </c>
      <c r="C286" s="503">
        <f>IF(終値!A286="","",IFERROR(4*STDEVP(終値!F286:Y286)/AVERAGE(終値!F286:Y286),""))</f>
        <v>0.1609633471204642</v>
      </c>
      <c r="D286" s="503">
        <f>IF(終値!A286="","",IFERROR(4*STDEVP(終値!G286:Z286)/AVERAGE(終値!G286:Z286),""))</f>
        <v>0.16396258627005911</v>
      </c>
      <c r="E286" s="503">
        <f>IF(終値!A286="","",IFERROR(4*STDEVP(終値!H286:AA286)/AVERAGE(終値!H286:AA286),""))</f>
        <v>0.1692408263085152</v>
      </c>
      <c r="F286" s="503">
        <f>IF(終値!A286="","",IFERROR(4*STDEVP(終値!I286:AB286)/AVERAGE(終値!I286:AB286),""))</f>
        <v>0.15595613510741244</v>
      </c>
      <c r="G286" s="503">
        <f>IF(終値!A286="","",IFERROR(4*STDEVP(終値!J286:AC286)/AVERAGE(終値!J286:AC286),""))</f>
        <v>0.12316813780483779</v>
      </c>
      <c r="H286" s="503">
        <f>IF(終値!A286="","",IFERROR(4*STDEVP(終値!K286:AD286)/AVERAGE(終値!K286:AD286),""))</f>
        <v>0.11822128373638401</v>
      </c>
      <c r="I286" s="503">
        <f>IF(終値!A286="","",IFERROR(4*STDEVP(終値!L286:AE286)/AVERAGE(終値!L286:AE286),""))</f>
        <v>0.11162211219384142</v>
      </c>
      <c r="J286" s="503">
        <f>IF(終値!A286="","",IFERROR(4*STDEVP(終値!M286:AF286)/AVERAGE(終値!M286:AF286),""))</f>
        <v>0.11825540234734264</v>
      </c>
      <c r="K286" s="503">
        <f>IF(終値!A286="","",IFERROR(4*STDEVP(終値!N286:AG286)/AVERAGE(終値!N286:AG286),""))</f>
        <v>0.11511853247452745</v>
      </c>
      <c r="L286" s="503">
        <f>IF(終値!A286="","",IFERROR(4*STDEVP(終値!O286:AH286)/AVERAGE(終値!O286:AH286),""))</f>
        <v>0.11041868975803205</v>
      </c>
      <c r="M286" s="503">
        <f>IF(終値!A286="","",IFERROR(4*STDEVP(終値!P286:AI286)/AVERAGE(終値!P286:AI286),""))</f>
        <v>0.10214949638981137</v>
      </c>
      <c r="N286" s="503">
        <f>IF(終値!A286="","",IFERROR(4*STDEVP(終値!Q286:AJ286)/AVERAGE(終値!Q286:AJ286),""))</f>
        <v>0.10685664211122117</v>
      </c>
      <c r="O286" s="503">
        <f>IF(終値!A286="","",IFERROR(4*STDEVP(終値!R286:AK286)/AVERAGE(終値!R286:AK286),""))</f>
        <v>0.11368407433454569</v>
      </c>
      <c r="P286" s="503">
        <f>IF(終値!A286="","",IFERROR(4*STDEVP(終値!S286:AL286)/AVERAGE(終値!S286:AL286),""))</f>
        <v>0.11804407121702054</v>
      </c>
      <c r="Q286" s="503">
        <f>IF(終値!A286="","",IFERROR(4*STDEVP(終値!T286:AM286)/AVERAGE(終値!T286:AM286),""))</f>
        <v>0.12217547037993368</v>
      </c>
      <c r="R286" s="503">
        <f>IF(終値!A286="","",IFERROR(4*STDEVP(終値!U286:AN286)/AVERAGE(終値!U286:AN286),""))</f>
        <v>0.12216022732575291</v>
      </c>
      <c r="S286" s="503">
        <f>IF(終値!A286="","",IFERROR(4*STDEVP(終値!V286:AO286)/AVERAGE(終値!V286:AO286),""))</f>
        <v>0.12213803941271574</v>
      </c>
      <c r="T286" s="503">
        <f>IF(終値!A286="","",IFERROR(4*STDEVP(終値!W286:AP286)/AVERAGE(終値!W286:AP286),""))</f>
        <v>0.1226781558046408</v>
      </c>
      <c r="U286" s="503">
        <f>IF(終値!A286="","",IFERROR(4*STDEVP(終値!X286:AQ286)/AVERAGE(終値!X286:AQ286),""))</f>
        <v>0.11804006306988939</v>
      </c>
      <c r="V286" s="503">
        <f>IF(終値!A286="","",IFERROR(4*STDEVP(終値!Y286:AR286)/AVERAGE(終値!Y286:AR286),""))</f>
        <v>0.11069005941383001</v>
      </c>
      <c r="W286" s="503">
        <f>IF(終値!A286="","",IFERROR(4*STDEVP(終値!Z286:AS286)/AVERAGE(終値!Z286:AS286),""))</f>
        <v>0.10946063322947659</v>
      </c>
      <c r="X286" s="503">
        <f>IF(終値!A286="","",IFERROR(4*STDEVP(終値!AA286:AT286)/AVERAGE(終値!AA286:AT286),""))</f>
        <v>0.10879149215810986</v>
      </c>
      <c r="Y286" s="503">
        <f>IF(終値!A286="","",IFERROR(4*STDEVP(終値!AB286:AU286)/AVERAGE(終値!AB286:AU286),""))</f>
        <v>0.10697653510437555</v>
      </c>
      <c r="Z286" s="503">
        <f>IF(終値!A286="","",IFERROR(4*STDEVP(終値!AC286:AV286)/AVERAGE(終値!AC286:AV286),""))</f>
        <v>0.10346715766734201</v>
      </c>
      <c r="AA286" s="503">
        <f>IF(終値!A286="","",IFERROR(4*STDEVP(終値!AD286:AW286)/AVERAGE(終値!AD286:AW286),""))</f>
        <v>0.10022577728696834</v>
      </c>
      <c r="AB286" s="503">
        <f>IF(終値!A286="","",IFERROR(4*STDEVP(終値!AE286:AX286)/AVERAGE(終値!AE286:AX286),""))</f>
        <v>9.7546949262960064E-2</v>
      </c>
      <c r="AC286" s="503">
        <f>IF(終値!A286="","",IFERROR(4*STDEVP(終値!AF286:AY286)/AVERAGE(終値!AF286:AY286),""))</f>
        <v>9.3707803139239487E-2</v>
      </c>
      <c r="AD286" s="503">
        <f>IF(終値!A286="","",IFERROR(4*STDEVP(終値!AG286:AZ286)/AVERAGE(終値!AG286:AZ286),""))</f>
        <v>8.6785503978497783E-2</v>
      </c>
      <c r="AE286" s="503">
        <f>IF(終値!A286="","",IFERROR(4*STDEVP(終値!AH286:BA286)/AVERAGE(終値!AH286:BA286),""))</f>
        <v>8.0080992324286879E-2</v>
      </c>
      <c r="AF286" s="503">
        <f>IF(終値!A286="","",IFERROR(4*STDEVP(終値!AI286:BB286)/AVERAGE(終値!AI286:BB286),""))</f>
        <v>7.9229511238436967E-2</v>
      </c>
      <c r="AG286" s="503">
        <f>IF(終値!A286="","",IFERROR(4*STDEVP(終値!AJ286:BC286)/AVERAGE(終値!AJ286:BC286),""))</f>
        <v>7.856554643942544E-2</v>
      </c>
      <c r="AH286" s="503">
        <f>IF(終値!A286="","",IFERROR(4*STDEVP(終値!AK286:BD286)/AVERAGE(終値!AK286:BD286),""))</f>
        <v>7.9297135197775176E-2</v>
      </c>
      <c r="AI286" s="503">
        <f>IF(終値!A286="","",IFERROR(4*STDEVP(終値!AL286:BE286)/AVERAGE(終値!AL286:BE286),""))</f>
        <v>7.6870840348302952E-2</v>
      </c>
      <c r="AJ286" s="503">
        <f>IF(終値!A286="","",IFERROR(4*STDEVP(終値!AM286:BF286)/AVERAGE(終値!AM286:BF286),""))</f>
        <v>7.4159275119102724E-2</v>
      </c>
      <c r="AK286" s="503">
        <f>IF(終値!A286="","",IFERROR(4*STDEVP(終値!AN286:BG286)/AVERAGE(終値!AN286:BG286),""))</f>
        <v>7.6873973721686806E-2</v>
      </c>
      <c r="AL286" s="503">
        <f>IF(終値!A286="","",IFERROR(4*STDEVP(終値!AO286:BH286)/AVERAGE(終値!AO286:BH286),""))</f>
        <v>9.7599233989232273E-2</v>
      </c>
      <c r="AM286" s="503">
        <f>IF(終値!A286="","",IFERROR(4*STDEVP(終値!AP286:BI286)/AVERAGE(終値!AP286:BI286),""))</f>
        <v>0.1072751358871942</v>
      </c>
      <c r="AN286" s="503">
        <f>IF(終値!A286="","",IFERROR(4*STDEVP(終値!AQ286:BJ286)/AVERAGE(終値!AQ286:BJ286),""))</f>
        <v>0.10519823851308657</v>
      </c>
      <c r="AO286" s="503">
        <f>IF(終値!A286="","",IFERROR(4*STDEVP(終値!AR286:BK286)/AVERAGE(終値!AR286:BK286),""))</f>
        <v>0.10737057720110141</v>
      </c>
      <c r="AP286" s="503">
        <f>IF(終値!A286="","",IFERROR(4*STDEVP(終値!AS286:BL286)/AVERAGE(終値!AS286:BL286),""))</f>
        <v>0.10860692564013537</v>
      </c>
    </row>
    <row r="287" spans="1:42">
      <c r="A287" s="500" t="str">
        <f>IF(終値!A287="","",終値!A287)</f>
        <v>6736</v>
      </c>
      <c r="B287" s="503">
        <f>IF(終値!A287="","",IFERROR(4*STDEVP(終値!E287:X287)/AVERAGE(終値!E287:X287),""))</f>
        <v>0.29710518182754714</v>
      </c>
      <c r="C287" s="503">
        <f>IF(終値!A287="","",IFERROR(4*STDEVP(終値!F287:Y287)/AVERAGE(終値!F287:Y287),""))</f>
        <v>0.28599950826149778</v>
      </c>
      <c r="D287" s="503">
        <f>IF(終値!A287="","",IFERROR(4*STDEVP(終値!G287:Z287)/AVERAGE(終値!G287:Z287),""))</f>
        <v>0.28599407928596376</v>
      </c>
      <c r="E287" s="503">
        <f>IF(終値!A287="","",IFERROR(4*STDEVP(終値!H287:AA287)/AVERAGE(終値!H287:AA287),""))</f>
        <v>0.29737630904707801</v>
      </c>
      <c r="F287" s="503">
        <f>IF(終値!A287="","",IFERROR(4*STDEVP(終値!I287:AB287)/AVERAGE(終値!I287:AB287),""))</f>
        <v>0.31038337909531677</v>
      </c>
      <c r="G287" s="503">
        <f>IF(終値!A287="","",IFERROR(4*STDEVP(終値!J287:AC287)/AVERAGE(終値!J287:AC287),""))</f>
        <v>0.31951346070539677</v>
      </c>
      <c r="H287" s="503">
        <f>IF(終値!A287="","",IFERROR(4*STDEVP(終値!K287:AD287)/AVERAGE(終値!K287:AD287),""))</f>
        <v>0.32300557556803189</v>
      </c>
      <c r="I287" s="503">
        <f>IF(終値!A287="","",IFERROR(4*STDEVP(終値!L287:AE287)/AVERAGE(終値!L287:AE287),""))</f>
        <v>0.3289561499384645</v>
      </c>
      <c r="J287" s="503">
        <f>IF(終値!A287="","",IFERROR(4*STDEVP(終値!M287:AF287)/AVERAGE(終値!M287:AF287),""))</f>
        <v>0.34226280915949447</v>
      </c>
      <c r="K287" s="503">
        <f>IF(終値!A287="","",IFERROR(4*STDEVP(終値!N287:AG287)/AVERAGE(終値!N287:AG287),""))</f>
        <v>0.34253888328291332</v>
      </c>
      <c r="L287" s="503">
        <f>IF(終値!A287="","",IFERROR(4*STDEVP(終値!O287:AH287)/AVERAGE(終値!O287:AH287),""))</f>
        <v>0.34165262382886336</v>
      </c>
      <c r="M287" s="503">
        <f>IF(終値!A287="","",IFERROR(4*STDEVP(終値!P287:AI287)/AVERAGE(終値!P287:AI287),""))</f>
        <v>0.34418375655059458</v>
      </c>
      <c r="N287" s="503">
        <f>IF(終値!A287="","",IFERROR(4*STDEVP(終値!Q287:AJ287)/AVERAGE(終値!Q287:AJ287),""))</f>
        <v>0.34037786835468203</v>
      </c>
      <c r="O287" s="503">
        <f>IF(終値!A287="","",IFERROR(4*STDEVP(終値!R287:AK287)/AVERAGE(終値!R287:AK287),""))</f>
        <v>0.33980273922812582</v>
      </c>
      <c r="P287" s="503">
        <f>IF(終値!A287="","",IFERROR(4*STDEVP(終値!S287:AL287)/AVERAGE(終値!S287:AL287),""))</f>
        <v>0.34075174295180199</v>
      </c>
      <c r="Q287" s="503">
        <f>IF(終値!A287="","",IFERROR(4*STDEVP(終値!T287:AM287)/AVERAGE(終値!T287:AM287),""))</f>
        <v>0.34272995831518804</v>
      </c>
      <c r="R287" s="503">
        <f>IF(終値!A287="","",IFERROR(4*STDEVP(終値!U287:AN287)/AVERAGE(終値!U287:AN287),""))</f>
        <v>0.34664467212148614</v>
      </c>
      <c r="S287" s="503">
        <f>IF(終値!A287="","",IFERROR(4*STDEVP(終値!V287:AO287)/AVERAGE(終値!V287:AO287),""))</f>
        <v>0.32318574182448895</v>
      </c>
      <c r="T287" s="503">
        <f>IF(終値!A287="","",IFERROR(4*STDEVP(終値!W287:AP287)/AVERAGE(終値!W287:AP287),""))</f>
        <v>0.30072571105607199</v>
      </c>
      <c r="U287" s="503">
        <f>IF(終値!A287="","",IFERROR(4*STDEVP(終値!X287:AQ287)/AVERAGE(終値!X287:AQ287),""))</f>
        <v>0.2157436201783075</v>
      </c>
      <c r="V287" s="503">
        <f>IF(終値!A287="","",IFERROR(4*STDEVP(終値!Y287:AR287)/AVERAGE(終値!Y287:AR287),""))</f>
        <v>0.12720932483284261</v>
      </c>
      <c r="W287" s="503">
        <f>IF(終値!A287="","",IFERROR(4*STDEVP(終値!Z287:AS287)/AVERAGE(終値!Z287:AS287),""))</f>
        <v>0.12139438001933293</v>
      </c>
      <c r="X287" s="503">
        <f>IF(終値!A287="","",IFERROR(4*STDEVP(終値!AA287:AT287)/AVERAGE(終値!AA287:AT287),""))</f>
        <v>9.1972906340571189E-2</v>
      </c>
      <c r="Y287" s="503">
        <f>IF(終値!A287="","",IFERROR(4*STDEVP(終値!AB287:AU287)/AVERAGE(終値!AB287:AU287),""))</f>
        <v>9.420371487733098E-2</v>
      </c>
      <c r="Z287" s="503">
        <f>IF(終値!A287="","",IFERROR(4*STDEVP(終値!AC287:AV287)/AVERAGE(終値!AC287:AV287),""))</f>
        <v>9.4329676008202731E-2</v>
      </c>
      <c r="AA287" s="503">
        <f>IF(終値!A287="","",IFERROR(4*STDEVP(終値!AD287:AW287)/AVERAGE(終値!AD287:AW287),""))</f>
        <v>9.5306602957156969E-2</v>
      </c>
      <c r="AB287" s="503">
        <f>IF(終値!A287="","",IFERROR(4*STDEVP(終値!AE287:AX287)/AVERAGE(終値!AE287:AX287),""))</f>
        <v>9.5610437685601568E-2</v>
      </c>
      <c r="AC287" s="503">
        <f>IF(終値!A287="","",IFERROR(4*STDEVP(終値!AF287:AY287)/AVERAGE(終値!AF287:AY287),""))</f>
        <v>9.6834875834827486E-2</v>
      </c>
      <c r="AD287" s="503">
        <f>IF(終値!A287="","",IFERROR(4*STDEVP(終値!AG287:AZ287)/AVERAGE(終値!AG287:AZ287),""))</f>
        <v>8.5852282051242373E-2</v>
      </c>
      <c r="AE287" s="503">
        <f>IF(終値!A287="","",IFERROR(4*STDEVP(終値!AH287:BA287)/AVERAGE(終値!AH287:BA287),""))</f>
        <v>9.5360957921659092E-2</v>
      </c>
      <c r="AF287" s="503">
        <f>IF(終値!A287="","",IFERROR(4*STDEVP(終値!AI287:BB287)/AVERAGE(終値!AI287:BB287),""))</f>
        <v>9.5989363639450431E-2</v>
      </c>
      <c r="AG287" s="503">
        <f>IF(終値!A287="","",IFERROR(4*STDEVP(終値!AJ287:BC287)/AVERAGE(終値!AJ287:BC287),""))</f>
        <v>0.10262456975450623</v>
      </c>
      <c r="AH287" s="503">
        <f>IF(終値!A287="","",IFERROR(4*STDEVP(終値!AK287:BD287)/AVERAGE(終値!AK287:BD287),""))</f>
        <v>0.12126824216286371</v>
      </c>
      <c r="AI287" s="503">
        <f>IF(終値!A287="","",IFERROR(4*STDEVP(終値!AL287:BE287)/AVERAGE(終値!AL287:BE287),""))</f>
        <v>0.12140644144270613</v>
      </c>
      <c r="AJ287" s="503">
        <f>IF(終値!A287="","",IFERROR(4*STDEVP(終値!AM287:BF287)/AVERAGE(終値!AM287:BF287),""))</f>
        <v>0.12378396154511484</v>
      </c>
      <c r="AK287" s="503">
        <f>IF(終値!A287="","",IFERROR(4*STDEVP(終値!AN287:BG287)/AVERAGE(終値!AN287:BG287),""))</f>
        <v>0.13269319150644679</v>
      </c>
      <c r="AL287" s="503">
        <f>IF(終値!A287="","",IFERROR(4*STDEVP(終値!AO287:BH287)/AVERAGE(終値!AO287:BH287),""))</f>
        <v>0.14019263274223551</v>
      </c>
      <c r="AM287" s="503">
        <f>IF(終値!A287="","",IFERROR(4*STDEVP(終値!AP287:BI287)/AVERAGE(終値!AP287:BI287),""))</f>
        <v>0.13761026793934428</v>
      </c>
      <c r="AN287" s="503">
        <f>IF(終値!A287="","",IFERROR(4*STDEVP(終値!AQ287:BJ287)/AVERAGE(終値!AQ287:BJ287),""))</f>
        <v>0.14105050582776946</v>
      </c>
      <c r="AO287" s="503">
        <f>IF(終値!A287="","",IFERROR(4*STDEVP(終値!AR287:BK287)/AVERAGE(終値!AR287:BK287),""))</f>
        <v>0.14332369298638514</v>
      </c>
      <c r="AP287" s="503">
        <f>IF(終値!A287="","",IFERROR(4*STDEVP(終値!AS287:BL287)/AVERAGE(終値!AS287:BL287),""))</f>
        <v>0.14332369298638514</v>
      </c>
    </row>
    <row r="288" spans="1:42">
      <c r="A288" s="500" t="str">
        <f>IF(終値!A288="","",終値!A288)</f>
        <v>2933</v>
      </c>
      <c r="B288" s="503">
        <f>IF(終値!A288="","",IFERROR(4*STDEVP(終値!E288:X288)/AVERAGE(終値!E288:X288),""))</f>
        <v>4.6019186684988007E-2</v>
      </c>
      <c r="C288" s="503">
        <f>IF(終値!A288="","",IFERROR(4*STDEVP(終値!F288:Y288)/AVERAGE(終値!F288:Y288),""))</f>
        <v>4.8844500567928481E-2</v>
      </c>
      <c r="D288" s="503">
        <f>IF(終値!A288="","",IFERROR(4*STDEVP(終値!G288:Z288)/AVERAGE(終値!G288:Z288),""))</f>
        <v>4.8967249066823815E-2</v>
      </c>
      <c r="E288" s="503">
        <f>IF(終値!A288="","",IFERROR(4*STDEVP(終値!H288:AA288)/AVERAGE(終値!H288:AA288),""))</f>
        <v>5.2750378844486197E-2</v>
      </c>
      <c r="F288" s="503">
        <f>IF(終値!A288="","",IFERROR(4*STDEVP(終値!I288:AB288)/AVERAGE(終値!I288:AB288),""))</f>
        <v>5.1862247331029683E-2</v>
      </c>
      <c r="G288" s="503">
        <f>IF(終値!A288="","",IFERROR(4*STDEVP(終値!J288:AC288)/AVERAGE(終値!J288:AC288),""))</f>
        <v>4.0390462872926657E-2</v>
      </c>
      <c r="H288" s="503">
        <f>IF(終値!A288="","",IFERROR(4*STDEVP(終値!K288:AD288)/AVERAGE(終値!K288:AD288),""))</f>
        <v>3.7201989815763357E-2</v>
      </c>
      <c r="I288" s="503">
        <f>IF(終値!A288="","",IFERROR(4*STDEVP(終値!L288:AE288)/AVERAGE(終値!L288:AE288),""))</f>
        <v>3.704344074174587E-2</v>
      </c>
      <c r="J288" s="503">
        <f>IF(終値!A288="","",IFERROR(4*STDEVP(終値!M288:AF288)/AVERAGE(終値!M288:AF288),""))</f>
        <v>3.9224789614040752E-2</v>
      </c>
      <c r="K288" s="503">
        <f>IF(終値!A288="","",IFERROR(4*STDEVP(終値!N288:AG288)/AVERAGE(終値!N288:AG288),""))</f>
        <v>3.8573515132849498E-2</v>
      </c>
      <c r="L288" s="503">
        <f>IF(終値!A288="","",IFERROR(4*STDEVP(終値!O288:AH288)/AVERAGE(終値!O288:AH288),""))</f>
        <v>3.8222887892675972E-2</v>
      </c>
      <c r="M288" s="503">
        <f>IF(終値!A288="","",IFERROR(4*STDEVP(終値!P288:AI288)/AVERAGE(終値!P288:AI288),""))</f>
        <v>3.7026265325723805E-2</v>
      </c>
      <c r="N288" s="503">
        <f>IF(終値!A288="","",IFERROR(4*STDEVP(終値!Q288:AJ288)/AVERAGE(終値!Q288:AJ288),""))</f>
        <v>3.2913924908502687E-2</v>
      </c>
      <c r="O288" s="503">
        <f>IF(終値!A288="","",IFERROR(4*STDEVP(終値!R288:AK288)/AVERAGE(終値!R288:AK288),""))</f>
        <v>3.3757003173232158E-2</v>
      </c>
      <c r="P288" s="503">
        <f>IF(終値!A288="","",IFERROR(4*STDEVP(終値!S288:AL288)/AVERAGE(終値!S288:AL288),""))</f>
        <v>3.62959906190033E-2</v>
      </c>
      <c r="Q288" s="503">
        <f>IF(終値!A288="","",IFERROR(4*STDEVP(終値!T288:AM288)/AVERAGE(終値!T288:AM288),""))</f>
        <v>3.7670857351526671E-2</v>
      </c>
      <c r="R288" s="503">
        <f>IF(終値!A288="","",IFERROR(4*STDEVP(終値!U288:AN288)/AVERAGE(終値!U288:AN288),""))</f>
        <v>3.7184009697679744E-2</v>
      </c>
      <c r="S288" s="503">
        <f>IF(終値!A288="","",IFERROR(4*STDEVP(終値!V288:AO288)/AVERAGE(終値!V288:AO288),""))</f>
        <v>3.5598088530729217E-2</v>
      </c>
      <c r="T288" s="503">
        <f>IF(終値!A288="","",IFERROR(4*STDEVP(終値!W288:AP288)/AVERAGE(終値!W288:AP288),""))</f>
        <v>3.1378631794675919E-2</v>
      </c>
      <c r="U288" s="503">
        <f>IF(終値!A288="","",IFERROR(4*STDEVP(終値!X288:AQ288)/AVERAGE(終値!X288:AQ288),""))</f>
        <v>3.2295301283617392E-2</v>
      </c>
      <c r="V288" s="503">
        <f>IF(終値!A288="","",IFERROR(4*STDEVP(終値!Y288:AR288)/AVERAGE(終値!Y288:AR288),""))</f>
        <v>3.6888323799485902E-2</v>
      </c>
      <c r="W288" s="503">
        <f>IF(終値!A288="","",IFERROR(4*STDEVP(終値!Z288:AS288)/AVERAGE(終値!Z288:AS288),""))</f>
        <v>4.3593746339185849E-2</v>
      </c>
      <c r="X288" s="503">
        <f>IF(終値!A288="","",IFERROR(4*STDEVP(終値!AA288:AT288)/AVERAGE(終値!AA288:AT288),""))</f>
        <v>4.6059438232676948E-2</v>
      </c>
      <c r="Y288" s="503">
        <f>IF(終値!A288="","",IFERROR(4*STDEVP(終値!AB288:AU288)/AVERAGE(終値!AB288:AU288),""))</f>
        <v>5.2200214838369771E-2</v>
      </c>
      <c r="Z288" s="503">
        <f>IF(終値!A288="","",IFERROR(4*STDEVP(終値!AC288:AV288)/AVERAGE(終値!AC288:AV288),""))</f>
        <v>5.2572173231478087E-2</v>
      </c>
      <c r="AA288" s="503">
        <f>IF(終値!A288="","",IFERROR(4*STDEVP(終値!AD288:AW288)/AVERAGE(終値!AD288:AW288),""))</f>
        <v>4.9994987130387587E-2</v>
      </c>
      <c r="AB288" s="503">
        <f>IF(終値!A288="","",IFERROR(4*STDEVP(終値!AE288:AX288)/AVERAGE(終値!AE288:AX288),""))</f>
        <v>4.8330638720903658E-2</v>
      </c>
      <c r="AC288" s="503">
        <f>IF(終値!A288="","",IFERROR(4*STDEVP(終値!AF288:AY288)/AVERAGE(終値!AF288:AY288),""))</f>
        <v>4.7581834736204635E-2</v>
      </c>
      <c r="AD288" s="503">
        <f>IF(終値!A288="","",IFERROR(4*STDEVP(終値!AG288:AZ288)/AVERAGE(終値!AG288:AZ288),""))</f>
        <v>4.6846484917979575E-2</v>
      </c>
      <c r="AE288" s="503">
        <f>IF(終値!A288="","",IFERROR(4*STDEVP(終値!AH288:BA288)/AVERAGE(終値!AH288:BA288),""))</f>
        <v>4.3952006632644668E-2</v>
      </c>
      <c r="AF288" s="503">
        <f>IF(終値!A288="","",IFERROR(4*STDEVP(終値!AI288:BB288)/AVERAGE(終値!AI288:BB288),""))</f>
        <v>4.1514510859119724E-2</v>
      </c>
      <c r="AG288" s="503">
        <f>IF(終値!A288="","",IFERROR(4*STDEVP(終値!AJ288:BC288)/AVERAGE(終値!AJ288:BC288),""))</f>
        <v>3.5613424230367105E-2</v>
      </c>
      <c r="AH288" s="503">
        <f>IF(終値!A288="","",IFERROR(4*STDEVP(終値!AK288:BD288)/AVERAGE(終値!AK288:BD288),""))</f>
        <v>3.264964576335453E-2</v>
      </c>
      <c r="AI288" s="503">
        <f>IF(終値!A288="","",IFERROR(4*STDEVP(終値!AL288:BE288)/AVERAGE(終値!AL288:BE288),""))</f>
        <v>3.1069033821258061E-2</v>
      </c>
      <c r="AJ288" s="503">
        <f>IF(終値!A288="","",IFERROR(4*STDEVP(終値!AM288:BF288)/AVERAGE(終値!AM288:BF288),""))</f>
        <v>3.1273636610433142E-2</v>
      </c>
      <c r="AK288" s="503">
        <f>IF(終値!A288="","",IFERROR(4*STDEVP(終値!AN288:BG288)/AVERAGE(終値!AN288:BG288),""))</f>
        <v>3.1054399636353203E-2</v>
      </c>
      <c r="AL288" s="503">
        <f>IF(終値!A288="","",IFERROR(4*STDEVP(終値!AO288:BH288)/AVERAGE(終値!AO288:BH288),""))</f>
        <v>3.0641953156790681E-2</v>
      </c>
      <c r="AM288" s="503">
        <f>IF(終値!A288="","",IFERROR(4*STDEVP(終値!AP288:BI288)/AVERAGE(終値!AP288:BI288),""))</f>
        <v>2.9228540138538411E-2</v>
      </c>
      <c r="AN288" s="503">
        <f>IF(終値!A288="","",IFERROR(4*STDEVP(終値!AQ288:BJ288)/AVERAGE(終値!AQ288:BJ288),""))</f>
        <v>2.7974489271864304E-2</v>
      </c>
      <c r="AO288" s="503">
        <f>IF(終値!A288="","",IFERROR(4*STDEVP(終値!AR288:BK288)/AVERAGE(終値!AR288:BK288),""))</f>
        <v>2.7960464708118901E-2</v>
      </c>
      <c r="AP288" s="503">
        <f>IF(終値!A288="","",IFERROR(4*STDEVP(終値!AS288:BL288)/AVERAGE(終値!AS288:BL288),""))</f>
        <v>2.7885982505080203E-2</v>
      </c>
    </row>
    <row r="289" spans="1:42">
      <c r="A289" s="500" t="str">
        <f>IF(終値!A289="","",終値!A289)</f>
        <v>4047</v>
      </c>
      <c r="B289" s="503">
        <f>IF(終値!A289="","",IFERROR(4*STDEVP(終値!E289:X289)/AVERAGE(終値!E289:X289),""))</f>
        <v>0.33265101049216594</v>
      </c>
      <c r="C289" s="503">
        <f>IF(終値!A289="","",IFERROR(4*STDEVP(終値!F289:Y289)/AVERAGE(終値!F289:Y289),""))</f>
        <v>0.37687847123398704</v>
      </c>
      <c r="D289" s="503">
        <f>IF(終値!A289="","",IFERROR(4*STDEVP(終値!G289:Z289)/AVERAGE(終値!G289:Z289),""))</f>
        <v>0.39374902417563629</v>
      </c>
      <c r="E289" s="503">
        <f>IF(終値!A289="","",IFERROR(4*STDEVP(終値!H289:AA289)/AVERAGE(終値!H289:AA289),""))</f>
        <v>0.4220788899408211</v>
      </c>
      <c r="F289" s="503">
        <f>IF(終値!A289="","",IFERROR(4*STDEVP(終値!I289:AB289)/AVERAGE(終値!I289:AB289),""))</f>
        <v>0.41192801434723925</v>
      </c>
      <c r="G289" s="503">
        <f>IF(終値!A289="","",IFERROR(4*STDEVP(終値!J289:AC289)/AVERAGE(終値!J289:AC289),""))</f>
        <v>0.39534113780768404</v>
      </c>
      <c r="H289" s="503">
        <f>IF(終値!A289="","",IFERROR(4*STDEVP(終値!K289:AD289)/AVERAGE(終値!K289:AD289),""))</f>
        <v>0.38602476692555415</v>
      </c>
      <c r="I289" s="503">
        <f>IF(終値!A289="","",IFERROR(4*STDEVP(終値!L289:AE289)/AVERAGE(終値!L289:AE289),""))</f>
        <v>0.43629527271675339</v>
      </c>
      <c r="J289" s="503">
        <f>IF(終値!A289="","",IFERROR(4*STDEVP(終値!M289:AF289)/AVERAGE(終値!M289:AF289),""))</f>
        <v>0.4469983748730425</v>
      </c>
      <c r="K289" s="503">
        <f>IF(終値!A289="","",IFERROR(4*STDEVP(終値!N289:AG289)/AVERAGE(終値!N289:AG289),""))</f>
        <v>0.44444299984057223</v>
      </c>
      <c r="L289" s="503">
        <f>IF(終値!A289="","",IFERROR(4*STDEVP(終値!O289:AH289)/AVERAGE(終値!O289:AH289),""))</f>
        <v>0.45012883543525345</v>
      </c>
      <c r="M289" s="503">
        <f>IF(終値!A289="","",IFERROR(4*STDEVP(終値!P289:AI289)/AVERAGE(終値!P289:AI289),""))</f>
        <v>0.44641231114802005</v>
      </c>
      <c r="N289" s="503">
        <f>IF(終値!A289="","",IFERROR(4*STDEVP(終値!Q289:AJ289)/AVERAGE(終値!Q289:AJ289),""))</f>
        <v>0.40890407412160268</v>
      </c>
      <c r="O289" s="503">
        <f>IF(終値!A289="","",IFERROR(4*STDEVP(終値!R289:AK289)/AVERAGE(終値!R289:AK289),""))</f>
        <v>0.40188377416548976</v>
      </c>
      <c r="P289" s="503">
        <f>IF(終値!A289="","",IFERROR(4*STDEVP(終値!S289:AL289)/AVERAGE(終値!S289:AL289),""))</f>
        <v>0.38213725966663292</v>
      </c>
      <c r="Q289" s="503">
        <f>IF(終値!A289="","",IFERROR(4*STDEVP(終値!T289:AM289)/AVERAGE(終値!T289:AM289),""))</f>
        <v>0.35096696966745305</v>
      </c>
      <c r="R289" s="503">
        <f>IF(終値!A289="","",IFERROR(4*STDEVP(終値!U289:AN289)/AVERAGE(終値!U289:AN289),""))</f>
        <v>0.32273218862593905</v>
      </c>
      <c r="S289" s="503">
        <f>IF(終値!A289="","",IFERROR(4*STDEVP(終値!V289:AO289)/AVERAGE(終値!V289:AO289),""))</f>
        <v>0.29947023861741934</v>
      </c>
      <c r="T289" s="503">
        <f>IF(終値!A289="","",IFERROR(4*STDEVP(終値!W289:AP289)/AVERAGE(終値!W289:AP289),""))</f>
        <v>0.25580268891193247</v>
      </c>
      <c r="U289" s="503">
        <f>IF(終値!A289="","",IFERROR(4*STDEVP(終値!X289:AQ289)/AVERAGE(終値!X289:AQ289),""))</f>
        <v>0.219047455484603</v>
      </c>
      <c r="V289" s="503">
        <f>IF(終値!A289="","",IFERROR(4*STDEVP(終値!Y289:AR289)/AVERAGE(終値!Y289:AR289),""))</f>
        <v>0.20778968874448586</v>
      </c>
      <c r="W289" s="503">
        <f>IF(終値!A289="","",IFERROR(4*STDEVP(終値!Z289:AS289)/AVERAGE(終値!Z289:AS289),""))</f>
        <v>0.23473145426562139</v>
      </c>
      <c r="X289" s="503">
        <f>IF(終値!A289="","",IFERROR(4*STDEVP(終値!AA289:AT289)/AVERAGE(終値!AA289:AT289),""))</f>
        <v>0.20530924700890801</v>
      </c>
      <c r="Y289" s="503">
        <f>IF(終値!A289="","",IFERROR(4*STDEVP(終値!AB289:AU289)/AVERAGE(終値!AB289:AU289),""))</f>
        <v>0.20857926366356858</v>
      </c>
      <c r="Z289" s="503">
        <f>IF(終値!A289="","",IFERROR(4*STDEVP(終値!AC289:AV289)/AVERAGE(終値!AC289:AV289),""))</f>
        <v>0.20355407785970361</v>
      </c>
      <c r="AA289" s="503">
        <f>IF(終値!A289="","",IFERROR(4*STDEVP(終値!AD289:AW289)/AVERAGE(終値!AD289:AW289),""))</f>
        <v>0.21788687409162466</v>
      </c>
      <c r="AB289" s="503">
        <f>IF(終値!A289="","",IFERROR(4*STDEVP(終値!AE289:AX289)/AVERAGE(終値!AE289:AX289),""))</f>
        <v>0.24695530899391721</v>
      </c>
      <c r="AC289" s="503">
        <f>IF(終値!A289="","",IFERROR(4*STDEVP(終値!AF289:AY289)/AVERAGE(終値!AF289:AY289),""))</f>
        <v>0.27031826546591453</v>
      </c>
      <c r="AD289" s="503">
        <f>IF(終値!A289="","",IFERROR(4*STDEVP(終値!AG289:AZ289)/AVERAGE(終値!AG289:AZ289),""))</f>
        <v>0.32311236214397154</v>
      </c>
      <c r="AE289" s="503">
        <f>IF(終値!A289="","",IFERROR(4*STDEVP(終値!AH289:BA289)/AVERAGE(終値!AH289:BA289),""))</f>
        <v>0.38653365002752188</v>
      </c>
      <c r="AF289" s="503">
        <f>IF(終値!A289="","",IFERROR(4*STDEVP(終値!AI289:BB289)/AVERAGE(終値!AI289:BB289),""))</f>
        <v>0.46187912661509273</v>
      </c>
      <c r="AG289" s="503">
        <f>IF(終値!A289="","",IFERROR(4*STDEVP(終値!AJ289:BC289)/AVERAGE(終値!AJ289:BC289),""))</f>
        <v>0.50554157003042222</v>
      </c>
      <c r="AH289" s="503">
        <f>IF(終値!A289="","",IFERROR(4*STDEVP(終値!AK289:BD289)/AVERAGE(終値!AK289:BD289),""))</f>
        <v>0.56968662812038162</v>
      </c>
      <c r="AI289" s="503">
        <f>IF(終値!A289="","",IFERROR(4*STDEVP(終値!AL289:BE289)/AVERAGE(終値!AL289:BE289),""))</f>
        <v>0.68439442545855023</v>
      </c>
      <c r="AJ289" s="503">
        <f>IF(終値!A289="","",IFERROR(4*STDEVP(終値!AM289:BF289)/AVERAGE(終値!AM289:BF289),""))</f>
        <v>0.76559504086546892</v>
      </c>
      <c r="AK289" s="503">
        <f>IF(終値!A289="","",IFERROR(4*STDEVP(終値!AN289:BG289)/AVERAGE(終値!AN289:BG289),""))</f>
        <v>0.83681911002860132</v>
      </c>
      <c r="AL289" s="503">
        <f>IF(終値!A289="","",IFERROR(4*STDEVP(終値!AO289:BH289)/AVERAGE(終値!AO289:BH289),""))</f>
        <v>0.91694338651820517</v>
      </c>
      <c r="AM289" s="503">
        <f>IF(終値!A289="","",IFERROR(4*STDEVP(終値!AP289:BI289)/AVERAGE(終値!AP289:BI289),""))</f>
        <v>0.97735591267392796</v>
      </c>
      <c r="AN289" s="503">
        <f>IF(終値!A289="","",IFERROR(4*STDEVP(終値!AQ289:BJ289)/AVERAGE(終値!AQ289:BJ289),""))</f>
        <v>1.0385279740480646</v>
      </c>
      <c r="AO289" s="503">
        <f>IF(終値!A289="","",IFERROR(4*STDEVP(終値!AR289:BK289)/AVERAGE(終値!AR289:BK289),""))</f>
        <v>1.0868623748284281</v>
      </c>
      <c r="AP289" s="503">
        <f>IF(終値!A289="","",IFERROR(4*STDEVP(終値!AS289:BL289)/AVERAGE(終値!AS289:BL289),""))</f>
        <v>1.1118859022660901</v>
      </c>
    </row>
    <row r="290" spans="1:42">
      <c r="A290" s="500" t="str">
        <f>IF(終値!A290="","",終値!A290)</f>
        <v>6482</v>
      </c>
      <c r="B290" s="503">
        <f>IF(終値!A290="","",IFERROR(4*STDEVP(終値!E290:X290)/AVERAGE(終値!E290:X290),""))</f>
        <v>6.7393321076327117E-2</v>
      </c>
      <c r="C290" s="503">
        <f>IF(終値!A290="","",IFERROR(4*STDEVP(終値!F290:Y290)/AVERAGE(終値!F290:Y290),""))</f>
        <v>6.7873866615254214E-2</v>
      </c>
      <c r="D290" s="503">
        <f>IF(終値!A290="","",IFERROR(4*STDEVP(終値!G290:Z290)/AVERAGE(終値!G290:Z290),""))</f>
        <v>6.5748778125353652E-2</v>
      </c>
      <c r="E290" s="503">
        <f>IF(終値!A290="","",IFERROR(4*STDEVP(終値!H290:AA290)/AVERAGE(終値!H290:AA290),""))</f>
        <v>6.6345595518955483E-2</v>
      </c>
      <c r="F290" s="503">
        <f>IF(終値!A290="","",IFERROR(4*STDEVP(終値!I290:AB290)/AVERAGE(終値!I290:AB290),""))</f>
        <v>6.5495330755228648E-2</v>
      </c>
      <c r="G290" s="503">
        <f>IF(終値!A290="","",IFERROR(4*STDEVP(終値!J290:AC290)/AVERAGE(終値!J290:AC290),""))</f>
        <v>6.5390854710974167E-2</v>
      </c>
      <c r="H290" s="503">
        <f>IF(終値!A290="","",IFERROR(4*STDEVP(終値!K290:AD290)/AVERAGE(終値!K290:AD290),""))</f>
        <v>6.5917241999938064E-2</v>
      </c>
      <c r="I290" s="503">
        <f>IF(終値!A290="","",IFERROR(4*STDEVP(終値!L290:AE290)/AVERAGE(終値!L290:AE290),""))</f>
        <v>7.4194903436055684E-2</v>
      </c>
      <c r="J290" s="503">
        <f>IF(終値!A290="","",IFERROR(4*STDEVP(終値!M290:AF290)/AVERAGE(終値!M290:AF290),""))</f>
        <v>7.7459946785541564E-2</v>
      </c>
      <c r="K290" s="503">
        <f>IF(終値!A290="","",IFERROR(4*STDEVP(終値!N290:AG290)/AVERAGE(終値!N290:AG290),""))</f>
        <v>9.7340668640441497E-2</v>
      </c>
      <c r="L290" s="503">
        <f>IF(終値!A290="","",IFERROR(4*STDEVP(終値!O290:AH290)/AVERAGE(終値!O290:AH290),""))</f>
        <v>0.11362450857413514</v>
      </c>
      <c r="M290" s="503">
        <f>IF(終値!A290="","",IFERROR(4*STDEVP(終値!P290:AI290)/AVERAGE(終値!P290:AI290),""))</f>
        <v>0.12340287919248051</v>
      </c>
      <c r="N290" s="503">
        <f>IF(終値!A290="","",IFERROR(4*STDEVP(終値!Q290:AJ290)/AVERAGE(終値!Q290:AJ290),""))</f>
        <v>0.13153586575469325</v>
      </c>
      <c r="O290" s="503">
        <f>IF(終値!A290="","",IFERROR(4*STDEVP(終値!R290:AK290)/AVERAGE(終値!R290:AK290),""))</f>
        <v>0.1505832038964183</v>
      </c>
      <c r="P290" s="503">
        <f>IF(終値!A290="","",IFERROR(4*STDEVP(終値!S290:AL290)/AVERAGE(終値!S290:AL290),""))</f>
        <v>0.14063820478691777</v>
      </c>
      <c r="Q290" s="503">
        <f>IF(終値!A290="","",IFERROR(4*STDEVP(終値!T290:AM290)/AVERAGE(終値!T290:AM290),""))</f>
        <v>0.1327639239526037</v>
      </c>
      <c r="R290" s="503">
        <f>IF(終値!A290="","",IFERROR(4*STDEVP(終値!U290:AN290)/AVERAGE(終値!U290:AN290),""))</f>
        <v>0.13421259254439744</v>
      </c>
      <c r="S290" s="503">
        <f>IF(終値!A290="","",IFERROR(4*STDEVP(終値!V290:AO290)/AVERAGE(終値!V290:AO290),""))</f>
        <v>0.13547812788196875</v>
      </c>
      <c r="T290" s="503">
        <f>IF(終値!A290="","",IFERROR(4*STDEVP(終値!W290:AP290)/AVERAGE(終値!W290:AP290),""))</f>
        <v>0.1431473892751986</v>
      </c>
      <c r="U290" s="503">
        <f>IF(終値!A290="","",IFERROR(4*STDEVP(終値!X290:AQ290)/AVERAGE(終値!X290:AQ290),""))</f>
        <v>0.15516828883991163</v>
      </c>
      <c r="V290" s="503">
        <f>IF(終値!A290="","",IFERROR(4*STDEVP(終値!Y290:AR290)/AVERAGE(終値!Y290:AR290),""))</f>
        <v>0.16076782911724599</v>
      </c>
      <c r="W290" s="503">
        <f>IF(終値!A290="","",IFERROR(4*STDEVP(終値!Z290:AS290)/AVERAGE(終値!Z290:AS290),""))</f>
        <v>0.16677314742285534</v>
      </c>
      <c r="X290" s="503">
        <f>IF(終値!A290="","",IFERROR(4*STDEVP(終値!AA290:AT290)/AVERAGE(終値!AA290:AT290),""))</f>
        <v>0.1759489015551205</v>
      </c>
      <c r="Y290" s="503">
        <f>IF(終値!A290="","",IFERROR(4*STDEVP(終値!AB290:AU290)/AVERAGE(終値!AB290:AU290),""))</f>
        <v>0.18950954487793492</v>
      </c>
      <c r="Z290" s="503">
        <f>IF(終値!A290="","",IFERROR(4*STDEVP(終値!AC290:AV290)/AVERAGE(終値!AC290:AV290),""))</f>
        <v>0.19346803780525598</v>
      </c>
      <c r="AA290" s="503">
        <f>IF(終値!A290="","",IFERROR(4*STDEVP(終値!AD290:AW290)/AVERAGE(終値!AD290:AW290),""))</f>
        <v>0.19530774950355906</v>
      </c>
      <c r="AB290" s="503">
        <f>IF(終値!A290="","",IFERROR(4*STDEVP(終値!AE290:AX290)/AVERAGE(終値!AE290:AX290),""))</f>
        <v>0.19806376470424686</v>
      </c>
      <c r="AC290" s="503">
        <f>IF(終値!A290="","",IFERROR(4*STDEVP(終値!AF290:AY290)/AVERAGE(終値!AF290:AY290),""))</f>
        <v>0.19736561429927804</v>
      </c>
      <c r="AD290" s="503">
        <f>IF(終値!A290="","",IFERROR(4*STDEVP(終値!AG290:AZ290)/AVERAGE(終値!AG290:AZ290),""))</f>
        <v>0.19954312321169754</v>
      </c>
      <c r="AE290" s="503">
        <f>IF(終値!A290="","",IFERROR(4*STDEVP(終値!AH290:BA290)/AVERAGE(終値!AH290:BA290),""))</f>
        <v>0.19322820183876921</v>
      </c>
      <c r="AF290" s="503">
        <f>IF(終値!A290="","",IFERROR(4*STDEVP(終値!AI290:BB290)/AVERAGE(終値!AI290:BB290),""))</f>
        <v>0.18478366156061271</v>
      </c>
      <c r="AG290" s="503">
        <f>IF(終値!A290="","",IFERROR(4*STDEVP(終値!AJ290:BC290)/AVERAGE(終値!AJ290:BC290),""))</f>
        <v>0.1786257946347439</v>
      </c>
      <c r="AH290" s="503">
        <f>IF(終値!A290="","",IFERROR(4*STDEVP(終値!AK290:BD290)/AVERAGE(終値!AK290:BD290),""))</f>
        <v>0.17073870588223078</v>
      </c>
      <c r="AI290" s="503">
        <f>IF(終値!A290="","",IFERROR(4*STDEVP(終値!AL290:BE290)/AVERAGE(終値!AL290:BE290),""))</f>
        <v>0.14695984155475048</v>
      </c>
      <c r="AJ290" s="503">
        <f>IF(終値!A290="","",IFERROR(4*STDEVP(終値!AM290:BF290)/AVERAGE(終値!AM290:BF290),""))</f>
        <v>0.1662146247170754</v>
      </c>
      <c r="AK290" s="503">
        <f>IF(終値!A290="","",IFERROR(4*STDEVP(終値!AN290:BG290)/AVERAGE(終値!AN290:BG290),""))</f>
        <v>0.17344900453005008</v>
      </c>
      <c r="AL290" s="503">
        <f>IF(終値!A290="","",IFERROR(4*STDEVP(終値!AO290:BH290)/AVERAGE(終値!AO290:BH290),""))</f>
        <v>0.17640675783278242</v>
      </c>
      <c r="AM290" s="503">
        <f>IF(終値!A290="","",IFERROR(4*STDEVP(終値!AP290:BI290)/AVERAGE(終値!AP290:BI290),""))</f>
        <v>0.17385056357211745</v>
      </c>
      <c r="AN290" s="503">
        <f>IF(終値!A290="","",IFERROR(4*STDEVP(終値!AQ290:BJ290)/AVERAGE(終値!AQ290:BJ290),""))</f>
        <v>0.17077519815274575</v>
      </c>
      <c r="AO290" s="503">
        <f>IF(終値!A290="","",IFERROR(4*STDEVP(終値!AR290:BK290)/AVERAGE(終値!AR290:BK290),""))</f>
        <v>0.16361180772686071</v>
      </c>
      <c r="AP290" s="503">
        <f>IF(終値!A290="","",IFERROR(4*STDEVP(終値!AS290:BL290)/AVERAGE(終値!AS290:BL290),""))</f>
        <v>0.16157627292057472</v>
      </c>
    </row>
    <row r="291" spans="1:42">
      <c r="A291" s="500" t="str">
        <f>IF(終値!A291="","",終値!A291)</f>
        <v>6706</v>
      </c>
      <c r="B291" s="503">
        <f>IF(終値!A291="","",IFERROR(4*STDEVP(終値!E291:X291)/AVERAGE(終値!E291:X291),""))</f>
        <v>7.1784473551004924E-2</v>
      </c>
      <c r="C291" s="503">
        <f>IF(終値!A291="","",IFERROR(4*STDEVP(終値!F291:Y291)/AVERAGE(終値!F291:Y291),""))</f>
        <v>6.8348801448656502E-2</v>
      </c>
      <c r="D291" s="503">
        <f>IF(終値!A291="","",IFERROR(4*STDEVP(終値!G291:Z291)/AVERAGE(終値!G291:Z291),""))</f>
        <v>6.7009574499748953E-2</v>
      </c>
      <c r="E291" s="503">
        <f>IF(終値!A291="","",IFERROR(4*STDEVP(終値!H291:AA291)/AVERAGE(終値!H291:AA291),""))</f>
        <v>6.4623001699580185E-2</v>
      </c>
      <c r="F291" s="503">
        <f>IF(終値!A291="","",IFERROR(4*STDEVP(終値!I291:AB291)/AVERAGE(終値!I291:AB291),""))</f>
        <v>6.3674703803190819E-2</v>
      </c>
      <c r="G291" s="503">
        <f>IF(終値!A291="","",IFERROR(4*STDEVP(終値!J291:AC291)/AVERAGE(終値!J291:AC291),""))</f>
        <v>7.3164923712965901E-2</v>
      </c>
      <c r="H291" s="503">
        <f>IF(終値!A291="","",IFERROR(4*STDEVP(終値!K291:AD291)/AVERAGE(終値!K291:AD291),""))</f>
        <v>7.6119121920424512E-2</v>
      </c>
      <c r="I291" s="503">
        <f>IF(終値!A291="","",IFERROR(4*STDEVP(終値!L291:AE291)/AVERAGE(終値!L291:AE291),""))</f>
        <v>8.3360994382049095E-2</v>
      </c>
      <c r="J291" s="503">
        <f>IF(終値!A291="","",IFERROR(4*STDEVP(終値!M291:AF291)/AVERAGE(終値!M291:AF291),""))</f>
        <v>8.6088510723598688E-2</v>
      </c>
      <c r="K291" s="503">
        <f>IF(終値!A291="","",IFERROR(4*STDEVP(終値!N291:AG291)/AVERAGE(終値!N291:AG291),""))</f>
        <v>8.8551594187831817E-2</v>
      </c>
      <c r="L291" s="503">
        <f>IF(終値!A291="","",IFERROR(4*STDEVP(終値!O291:AH291)/AVERAGE(終値!O291:AH291),""))</f>
        <v>9.3172817130783819E-2</v>
      </c>
      <c r="M291" s="503">
        <f>IF(終値!A291="","",IFERROR(4*STDEVP(終値!P291:AI291)/AVERAGE(終値!P291:AI291),""))</f>
        <v>9.5141638671528569E-2</v>
      </c>
      <c r="N291" s="503">
        <f>IF(終値!A291="","",IFERROR(4*STDEVP(終値!Q291:AJ291)/AVERAGE(終値!Q291:AJ291),""))</f>
        <v>8.4081393219523376E-2</v>
      </c>
      <c r="O291" s="503">
        <f>IF(終値!A291="","",IFERROR(4*STDEVP(終値!R291:AK291)/AVERAGE(終値!R291:AK291),""))</f>
        <v>8.7337755720133275E-2</v>
      </c>
      <c r="P291" s="503">
        <f>IF(終値!A291="","",IFERROR(4*STDEVP(終値!S291:AL291)/AVERAGE(終値!S291:AL291),""))</f>
        <v>9.0086903667609186E-2</v>
      </c>
      <c r="Q291" s="503">
        <f>IF(終値!A291="","",IFERROR(4*STDEVP(終値!T291:AM291)/AVERAGE(終値!T291:AM291),""))</f>
        <v>0.10308492974910589</v>
      </c>
      <c r="R291" s="503">
        <f>IF(終値!A291="","",IFERROR(4*STDEVP(終値!U291:AN291)/AVERAGE(終値!U291:AN291),""))</f>
        <v>0.10335514794272956</v>
      </c>
      <c r="S291" s="503">
        <f>IF(終値!A291="","",IFERROR(4*STDEVP(終値!V291:AO291)/AVERAGE(終値!V291:AO291),""))</f>
        <v>0.10511047220167707</v>
      </c>
      <c r="T291" s="503">
        <f>IF(終値!A291="","",IFERROR(4*STDEVP(終値!W291:AP291)/AVERAGE(終値!W291:AP291),""))</f>
        <v>0.10348208589176801</v>
      </c>
      <c r="U291" s="503">
        <f>IF(終値!A291="","",IFERROR(4*STDEVP(終値!X291:AQ291)/AVERAGE(終値!X291:AQ291),""))</f>
        <v>0.11752422781141383</v>
      </c>
      <c r="V291" s="503">
        <f>IF(終値!A291="","",IFERROR(4*STDEVP(終値!Y291:AR291)/AVERAGE(終値!Y291:AR291),""))</f>
        <v>0.14005067568828067</v>
      </c>
      <c r="W291" s="503">
        <f>IF(終値!A291="","",IFERROR(4*STDEVP(終値!Z291:AS291)/AVERAGE(終値!Z291:AS291),""))</f>
        <v>0.15725527342441084</v>
      </c>
      <c r="X291" s="503">
        <f>IF(終値!A291="","",IFERROR(4*STDEVP(終値!AA291:AT291)/AVERAGE(終値!AA291:AT291),""))</f>
        <v>0.17312446163112782</v>
      </c>
      <c r="Y291" s="503">
        <f>IF(終値!A291="","",IFERROR(4*STDEVP(終値!AB291:AU291)/AVERAGE(終値!AB291:AU291),""))</f>
        <v>0.18024496034565049</v>
      </c>
      <c r="Z291" s="503">
        <f>IF(終値!A291="","",IFERROR(4*STDEVP(終値!AC291:AV291)/AVERAGE(終値!AC291:AV291),""))</f>
        <v>0.18498703323243529</v>
      </c>
      <c r="AA291" s="503">
        <f>IF(終値!A291="","",IFERROR(4*STDEVP(終値!AD291:AW291)/AVERAGE(終値!AD291:AW291),""))</f>
        <v>0.19276689071468267</v>
      </c>
      <c r="AB291" s="503">
        <f>IF(終値!A291="","",IFERROR(4*STDEVP(終値!AE291:AX291)/AVERAGE(終値!AE291:AX291),""))</f>
        <v>0.19117440542510428</v>
      </c>
      <c r="AC291" s="503">
        <f>IF(終値!A291="","",IFERROR(4*STDEVP(終値!AF291:AY291)/AVERAGE(終値!AF291:AY291),""))</f>
        <v>0.18970374885074534</v>
      </c>
      <c r="AD291" s="503">
        <f>IF(終値!A291="","",IFERROR(4*STDEVP(終値!AG291:AZ291)/AVERAGE(終値!AG291:AZ291),""))</f>
        <v>0.18258175677341112</v>
      </c>
      <c r="AE291" s="503">
        <f>IF(終値!A291="","",IFERROR(4*STDEVP(終値!AH291:BA291)/AVERAGE(終値!AH291:BA291),""))</f>
        <v>0.17191330268154559</v>
      </c>
      <c r="AF291" s="503">
        <f>IF(終値!A291="","",IFERROR(4*STDEVP(終値!AI291:BB291)/AVERAGE(終値!AI291:BB291),""))</f>
        <v>0.16234260497358188</v>
      </c>
      <c r="AG291" s="503">
        <f>IF(終値!A291="","",IFERROR(4*STDEVP(終値!AJ291:BC291)/AVERAGE(終値!AJ291:BC291),""))</f>
        <v>0.15456856980145914</v>
      </c>
      <c r="AH291" s="503">
        <f>IF(終値!A291="","",IFERROR(4*STDEVP(終値!AK291:BD291)/AVERAGE(終値!AK291:BD291),""))</f>
        <v>0.14361624923703903</v>
      </c>
      <c r="AI291" s="503">
        <f>IF(終値!A291="","",IFERROR(4*STDEVP(終値!AL291:BE291)/AVERAGE(終値!AL291:BE291),""))</f>
        <v>0.13014707297812569</v>
      </c>
      <c r="AJ291" s="503">
        <f>IF(終値!A291="","",IFERROR(4*STDEVP(終値!AM291:BF291)/AVERAGE(終値!AM291:BF291),""))</f>
        <v>0.1166064732211278</v>
      </c>
      <c r="AK291" s="503">
        <f>IF(終値!A291="","",IFERROR(4*STDEVP(終値!AN291:BG291)/AVERAGE(終値!AN291:BG291),""))</f>
        <v>0.11238267115897126</v>
      </c>
      <c r="AL291" s="503">
        <f>IF(終値!A291="","",IFERROR(4*STDEVP(終値!AO291:BH291)/AVERAGE(終値!AO291:BH291),""))</f>
        <v>9.159445107391348E-2</v>
      </c>
      <c r="AM291" s="503">
        <f>IF(終値!A291="","",IFERROR(4*STDEVP(終値!AP291:BI291)/AVERAGE(終値!AP291:BI291),""))</f>
        <v>5.9338380745189552E-2</v>
      </c>
      <c r="AN291" s="503">
        <f>IF(終値!A291="","",IFERROR(4*STDEVP(終値!AQ291:BJ291)/AVERAGE(終値!AQ291:BJ291),""))</f>
        <v>4.3179076454733574E-2</v>
      </c>
      <c r="AO291" s="503">
        <f>IF(終値!A291="","",IFERROR(4*STDEVP(終値!AR291:BK291)/AVERAGE(終値!AR291:BK291),""))</f>
        <v>4.1041251268752396E-2</v>
      </c>
      <c r="AP291" s="503">
        <f>IF(終値!A291="","",IFERROR(4*STDEVP(終値!AS291:BL291)/AVERAGE(終値!AS291:BL291),""))</f>
        <v>5.1198613717842588E-2</v>
      </c>
    </row>
    <row r="292" spans="1:42">
      <c r="A292" s="500" t="str">
        <f>IF(終値!A292="","",終値!A292)</f>
        <v>8141</v>
      </c>
      <c r="B292" s="503">
        <f>IF(終値!A292="","",IFERROR(4*STDEVP(終値!E292:X292)/AVERAGE(終値!E292:X292),""))</f>
        <v>3.6005842635159553E-2</v>
      </c>
      <c r="C292" s="503">
        <f>IF(終値!A292="","",IFERROR(4*STDEVP(終値!F292:Y292)/AVERAGE(終値!F292:Y292),""))</f>
        <v>3.5901986753813731E-2</v>
      </c>
      <c r="D292" s="503">
        <f>IF(終値!A292="","",IFERROR(4*STDEVP(終値!G292:Z292)/AVERAGE(終値!G292:Z292),""))</f>
        <v>3.4711907884419135E-2</v>
      </c>
      <c r="E292" s="503">
        <f>IF(終値!A292="","",IFERROR(4*STDEVP(終値!H292:AA292)/AVERAGE(終値!H292:AA292),""))</f>
        <v>2.9934574876100482E-2</v>
      </c>
      <c r="F292" s="503">
        <f>IF(終値!A292="","",IFERROR(4*STDEVP(終値!I292:AB292)/AVERAGE(終値!I292:AB292),""))</f>
        <v>2.5201632719016386E-2</v>
      </c>
      <c r="G292" s="503">
        <f>IF(終値!A292="","",IFERROR(4*STDEVP(終値!J292:AC292)/AVERAGE(終値!J292:AC292),""))</f>
        <v>2.3454642491788049E-2</v>
      </c>
      <c r="H292" s="503">
        <f>IF(終値!A292="","",IFERROR(4*STDEVP(終値!K292:AD292)/AVERAGE(終値!K292:AD292),""))</f>
        <v>2.6740726091347877E-2</v>
      </c>
      <c r="I292" s="503">
        <f>IF(終値!A292="","",IFERROR(4*STDEVP(終値!L292:AE292)/AVERAGE(終値!L292:AE292),""))</f>
        <v>2.7477468077534969E-2</v>
      </c>
      <c r="J292" s="503">
        <f>IF(終値!A292="","",IFERROR(4*STDEVP(終値!M292:AF292)/AVERAGE(終値!M292:AF292),""))</f>
        <v>2.7495755600619943E-2</v>
      </c>
      <c r="K292" s="503">
        <f>IF(終値!A292="","",IFERROR(4*STDEVP(終値!N292:AG292)/AVERAGE(終値!N292:AG292),""))</f>
        <v>2.791521346000252E-2</v>
      </c>
      <c r="L292" s="503">
        <f>IF(終値!A292="","",IFERROR(4*STDEVP(終値!O292:AH292)/AVERAGE(終値!O292:AH292),""))</f>
        <v>2.861222836454852E-2</v>
      </c>
      <c r="M292" s="503">
        <f>IF(終値!A292="","",IFERROR(4*STDEVP(終値!P292:AI292)/AVERAGE(終値!P292:AI292),""))</f>
        <v>2.8693153138316461E-2</v>
      </c>
      <c r="N292" s="503">
        <f>IF(終値!A292="","",IFERROR(4*STDEVP(終値!Q292:AJ292)/AVERAGE(終値!Q292:AJ292),""))</f>
        <v>2.6993588935987238E-2</v>
      </c>
      <c r="O292" s="503">
        <f>IF(終値!A292="","",IFERROR(4*STDEVP(終値!R292:AK292)/AVERAGE(終値!R292:AK292),""))</f>
        <v>1.773317996036735E-2</v>
      </c>
      <c r="P292" s="503">
        <f>IF(終値!A292="","",IFERROR(4*STDEVP(終値!S292:AL292)/AVERAGE(終値!S292:AL292),""))</f>
        <v>1.7787908576657983E-2</v>
      </c>
      <c r="Q292" s="503">
        <f>IF(終値!A292="","",IFERROR(4*STDEVP(終値!T292:AM292)/AVERAGE(終値!T292:AM292),""))</f>
        <v>1.817999965945884E-2</v>
      </c>
      <c r="R292" s="503">
        <f>IF(終値!A292="","",IFERROR(4*STDEVP(終値!U292:AN292)/AVERAGE(終値!U292:AN292),""))</f>
        <v>1.8114259352232275E-2</v>
      </c>
      <c r="S292" s="503">
        <f>IF(終値!A292="","",IFERROR(4*STDEVP(終値!V292:AO292)/AVERAGE(終値!V292:AO292),""))</f>
        <v>1.805187744683041E-2</v>
      </c>
      <c r="T292" s="503">
        <f>IF(終値!A292="","",IFERROR(4*STDEVP(終値!W292:AP292)/AVERAGE(終値!W292:AP292),""))</f>
        <v>1.7748157825356523E-2</v>
      </c>
      <c r="U292" s="503">
        <f>IF(終値!A292="","",IFERROR(4*STDEVP(終値!X292:AQ292)/AVERAGE(終値!X292:AQ292),""))</f>
        <v>1.7444438240870129E-2</v>
      </c>
      <c r="V292" s="503">
        <f>IF(終値!A292="","",IFERROR(4*STDEVP(終値!Y292:AR292)/AVERAGE(終値!Y292:AR292),""))</f>
        <v>1.7068693418319583E-2</v>
      </c>
      <c r="W292" s="503">
        <f>IF(終値!A292="","",IFERROR(4*STDEVP(終値!Z292:AS292)/AVERAGE(終値!Z292:AS292),""))</f>
        <v>1.6856815887671576E-2</v>
      </c>
      <c r="X292" s="503">
        <f>IF(終値!A292="","",IFERROR(4*STDEVP(終値!AA292:AT292)/AVERAGE(終値!AA292:AT292),""))</f>
        <v>1.6503421634505525E-2</v>
      </c>
      <c r="Y292" s="503">
        <f>IF(終値!A292="","",IFERROR(4*STDEVP(終値!AB292:AU292)/AVERAGE(終値!AB292:AU292),""))</f>
        <v>1.6061346819410557E-2</v>
      </c>
      <c r="Z292" s="503">
        <f>IF(終値!A292="","",IFERROR(4*STDEVP(終値!AC292:AV292)/AVERAGE(終値!AC292:AV292),""))</f>
        <v>1.5420194767433986E-2</v>
      </c>
      <c r="AA292" s="503">
        <f>IF(終値!A292="","",IFERROR(4*STDEVP(終値!AD292:AW292)/AVERAGE(終値!AD292:AW292),""))</f>
        <v>1.5330422082005919E-2</v>
      </c>
      <c r="AB292" s="503">
        <f>IF(終値!A292="","",IFERROR(4*STDEVP(終値!AE292:AX292)/AVERAGE(終値!AE292:AX292),""))</f>
        <v>1.4967241831391403E-2</v>
      </c>
      <c r="AC292" s="503">
        <f>IF(終値!A292="","",IFERROR(4*STDEVP(終値!AF292:AY292)/AVERAGE(終値!AF292:AY292),""))</f>
        <v>1.753645773658704E-2</v>
      </c>
      <c r="AD292" s="503">
        <f>IF(終値!A292="","",IFERROR(4*STDEVP(終値!AG292:AZ292)/AVERAGE(終値!AG292:AZ292),""))</f>
        <v>2.0468304229259049E-2</v>
      </c>
      <c r="AE292" s="503">
        <f>IF(終値!A292="","",IFERROR(4*STDEVP(終値!AH292:BA292)/AVERAGE(終値!AH292:BA292),""))</f>
        <v>2.5719215087654762E-2</v>
      </c>
      <c r="AF292" s="503">
        <f>IF(終値!A292="","",IFERROR(4*STDEVP(終値!AI292:BB292)/AVERAGE(終値!AI292:BB292),""))</f>
        <v>2.7123056241771342E-2</v>
      </c>
      <c r="AG292" s="503">
        <f>IF(終値!A292="","",IFERROR(4*STDEVP(終値!AJ292:BC292)/AVERAGE(終値!AJ292:BC292),""))</f>
        <v>3.0624425369483333E-2</v>
      </c>
      <c r="AH292" s="503">
        <f>IF(終値!A292="","",IFERROR(4*STDEVP(終値!AK292:BD292)/AVERAGE(終値!AK292:BD292),""))</f>
        <v>3.0749308812809534E-2</v>
      </c>
      <c r="AI292" s="503">
        <f>IF(終値!A292="","",IFERROR(4*STDEVP(終値!AL292:BE292)/AVERAGE(終値!AL292:BE292),""))</f>
        <v>4.6408529753071519E-2</v>
      </c>
      <c r="AJ292" s="503">
        <f>IF(終値!A292="","",IFERROR(4*STDEVP(終値!AM292:BF292)/AVERAGE(終値!AM292:BF292),""))</f>
        <v>7.2391545512762265E-2</v>
      </c>
      <c r="AK292" s="503">
        <f>IF(終値!A292="","",IFERROR(4*STDEVP(終値!AN292:BG292)/AVERAGE(終値!AN292:BG292),""))</f>
        <v>7.243680969490407E-2</v>
      </c>
      <c r="AL292" s="503">
        <f>IF(終値!A292="","",IFERROR(4*STDEVP(終値!AO292:BH292)/AVERAGE(終値!AO292:BH292),""))</f>
        <v>8.588054646395453E-2</v>
      </c>
      <c r="AM292" s="503">
        <f>IF(終値!A292="","",IFERROR(4*STDEVP(終値!AP292:BI292)/AVERAGE(終値!AP292:BI292),""))</f>
        <v>9.5423446498347844E-2</v>
      </c>
      <c r="AN292" s="503">
        <f>IF(終値!A292="","",IFERROR(4*STDEVP(終値!AQ292:BJ292)/AVERAGE(終値!AQ292:BJ292),""))</f>
        <v>0.11667377023732028</v>
      </c>
      <c r="AO292" s="503">
        <f>IF(終値!A292="","",IFERROR(4*STDEVP(終値!AR292:BK292)/AVERAGE(終値!AR292:BK292),""))</f>
        <v>0.13971109415456986</v>
      </c>
      <c r="AP292" s="503">
        <f>IF(終値!A292="","",IFERROR(4*STDEVP(終値!AS292:BL292)/AVERAGE(終値!AS292:BL292),""))</f>
        <v>0.14313790283415986</v>
      </c>
    </row>
    <row r="293" spans="1:42">
      <c r="A293" s="500" t="str">
        <f>IF(終値!A293="","",終値!A293)</f>
        <v>8344</v>
      </c>
      <c r="B293" s="503">
        <f>IF(終値!A293="","",IFERROR(4*STDEVP(終値!E293:X293)/AVERAGE(終値!E293:X293),""))</f>
        <v>0.14338979800189336</v>
      </c>
      <c r="C293" s="503">
        <f>IF(終値!A293="","",IFERROR(4*STDEVP(終値!F293:Y293)/AVERAGE(終値!F293:Y293),""))</f>
        <v>0.14523242281172732</v>
      </c>
      <c r="D293" s="503">
        <f>IF(終値!A293="","",IFERROR(4*STDEVP(終値!G293:Z293)/AVERAGE(終値!G293:Z293),""))</f>
        <v>0.1442795276232951</v>
      </c>
      <c r="E293" s="503">
        <f>IF(終値!A293="","",IFERROR(4*STDEVP(終値!H293:AA293)/AVERAGE(終値!H293:AA293),""))</f>
        <v>0.15376909566387711</v>
      </c>
      <c r="F293" s="503">
        <f>IF(終値!A293="","",IFERROR(4*STDEVP(終値!I293:AB293)/AVERAGE(終値!I293:AB293),""))</f>
        <v>0.16778455044984969</v>
      </c>
      <c r="G293" s="503">
        <f>IF(終値!A293="","",IFERROR(4*STDEVP(終値!J293:AC293)/AVERAGE(終値!J293:AC293),""))</f>
        <v>0.1899408511285029</v>
      </c>
      <c r="H293" s="503">
        <f>IF(終値!A293="","",IFERROR(4*STDEVP(終値!K293:AD293)/AVERAGE(終値!K293:AD293),""))</f>
        <v>0.21159424207104233</v>
      </c>
      <c r="I293" s="503">
        <f>IF(終値!A293="","",IFERROR(4*STDEVP(終値!L293:AE293)/AVERAGE(終値!L293:AE293),""))</f>
        <v>0.21986063411326054</v>
      </c>
      <c r="J293" s="503">
        <f>IF(終値!A293="","",IFERROR(4*STDEVP(終値!M293:AF293)/AVERAGE(終値!M293:AF293),""))</f>
        <v>0.2404806287992288</v>
      </c>
      <c r="K293" s="503">
        <f>IF(終値!A293="","",IFERROR(4*STDEVP(終値!N293:AG293)/AVERAGE(終値!N293:AG293),""))</f>
        <v>0.25017058179051949</v>
      </c>
      <c r="L293" s="503">
        <f>IF(終値!A293="","",IFERROR(4*STDEVP(終値!O293:AH293)/AVERAGE(終値!O293:AH293),""))</f>
        <v>0.25753862391614557</v>
      </c>
      <c r="M293" s="503">
        <f>IF(終値!A293="","",IFERROR(4*STDEVP(終値!P293:AI293)/AVERAGE(終値!P293:AI293),""))</f>
        <v>0.265499465068118</v>
      </c>
      <c r="N293" s="503">
        <f>IF(終値!A293="","",IFERROR(4*STDEVP(終値!Q293:AJ293)/AVERAGE(終値!Q293:AJ293),""))</f>
        <v>0.26837170490411805</v>
      </c>
      <c r="O293" s="503">
        <f>IF(終値!A293="","",IFERROR(4*STDEVP(終値!R293:AK293)/AVERAGE(終値!R293:AK293),""))</f>
        <v>0.26058954823193115</v>
      </c>
      <c r="P293" s="503">
        <f>IF(終値!A293="","",IFERROR(4*STDEVP(終値!S293:AL293)/AVERAGE(終値!S293:AL293),""))</f>
        <v>0.25791725712280705</v>
      </c>
      <c r="Q293" s="503">
        <f>IF(終値!A293="","",IFERROR(4*STDEVP(終値!T293:AM293)/AVERAGE(終値!T293:AM293),""))</f>
        <v>0.25721020145658036</v>
      </c>
      <c r="R293" s="503">
        <f>IF(終値!A293="","",IFERROR(4*STDEVP(終値!U293:AN293)/AVERAGE(終値!U293:AN293),""))</f>
        <v>0.25712270134711468</v>
      </c>
      <c r="S293" s="503">
        <f>IF(終値!A293="","",IFERROR(4*STDEVP(終値!V293:AO293)/AVERAGE(終値!V293:AO293),""))</f>
        <v>0.25690107628095032</v>
      </c>
      <c r="T293" s="503">
        <f>IF(終値!A293="","",IFERROR(4*STDEVP(終値!W293:AP293)/AVERAGE(終値!W293:AP293),""))</f>
        <v>0.24962856854348228</v>
      </c>
      <c r="U293" s="503">
        <f>IF(終値!A293="","",IFERROR(4*STDEVP(終値!X293:AQ293)/AVERAGE(終値!X293:AQ293),""))</f>
        <v>0.25857925746997851</v>
      </c>
      <c r="V293" s="503">
        <f>IF(終値!A293="","",IFERROR(4*STDEVP(終値!Y293:AR293)/AVERAGE(終値!Y293:AR293),""))</f>
        <v>0.24085797056246877</v>
      </c>
      <c r="W293" s="503">
        <f>IF(終値!A293="","",IFERROR(4*STDEVP(終値!Z293:AS293)/AVERAGE(終値!Z293:AS293),""))</f>
        <v>0.22026827353848674</v>
      </c>
      <c r="X293" s="503">
        <f>IF(終値!A293="","",IFERROR(4*STDEVP(終値!AA293:AT293)/AVERAGE(終値!AA293:AT293),""))</f>
        <v>0.21468209380875428</v>
      </c>
      <c r="Y293" s="503">
        <f>IF(終値!A293="","",IFERROR(4*STDEVP(終値!AB293:AU293)/AVERAGE(終値!AB293:AU293),""))</f>
        <v>0.21778613369509972</v>
      </c>
      <c r="Z293" s="503">
        <f>IF(終値!A293="","",IFERROR(4*STDEVP(終値!AC293:AV293)/AVERAGE(終値!AC293:AV293),""))</f>
        <v>0.21927720255787855</v>
      </c>
      <c r="AA293" s="503">
        <f>IF(終値!A293="","",IFERROR(4*STDEVP(終値!AD293:AW293)/AVERAGE(終値!AD293:AW293),""))</f>
        <v>0.22238196936087337</v>
      </c>
      <c r="AB293" s="503">
        <f>IF(終値!A293="","",IFERROR(4*STDEVP(終値!AE293:AX293)/AVERAGE(終値!AE293:AX293),""))</f>
        <v>0.22828120630922152</v>
      </c>
      <c r="AC293" s="503">
        <f>IF(終値!A293="","",IFERROR(4*STDEVP(終値!AF293:AY293)/AVERAGE(終値!AF293:AY293),""))</f>
        <v>0.24086295209284594</v>
      </c>
      <c r="AD293" s="503">
        <f>IF(終値!A293="","",IFERROR(4*STDEVP(終値!AG293:AZ293)/AVERAGE(終値!AG293:AZ293),""))</f>
        <v>0.24737648165630355</v>
      </c>
      <c r="AE293" s="503">
        <f>IF(終値!A293="","",IFERROR(4*STDEVP(終値!AH293:BA293)/AVERAGE(終値!AH293:BA293),""))</f>
        <v>0.25316732495256739</v>
      </c>
      <c r="AF293" s="503">
        <f>IF(終値!A293="","",IFERROR(4*STDEVP(終値!AI293:BB293)/AVERAGE(終値!AI293:BB293),""))</f>
        <v>0.25944631470422602</v>
      </c>
      <c r="AG293" s="503">
        <f>IF(終値!A293="","",IFERROR(4*STDEVP(終値!AJ293:BC293)/AVERAGE(終値!AJ293:BC293),""))</f>
        <v>0.2668665484973185</v>
      </c>
      <c r="AH293" s="503">
        <f>IF(終値!A293="","",IFERROR(4*STDEVP(終値!AK293:BD293)/AVERAGE(終値!AK293:BD293),""))</f>
        <v>0.26858999504709702</v>
      </c>
      <c r="AI293" s="503">
        <f>IF(終値!A293="","",IFERROR(4*STDEVP(終値!AL293:BE293)/AVERAGE(終値!AL293:BE293),""))</f>
        <v>0.290573402970425</v>
      </c>
      <c r="AJ293" s="503">
        <f>IF(終値!A293="","",IFERROR(4*STDEVP(終値!AM293:BF293)/AVERAGE(終値!AM293:BF293),""))</f>
        <v>0.29406600560363833</v>
      </c>
      <c r="AK293" s="503">
        <f>IF(終値!A293="","",IFERROR(4*STDEVP(終値!AN293:BG293)/AVERAGE(終値!AN293:BG293),""))</f>
        <v>0.28894648839273984</v>
      </c>
      <c r="AL293" s="503">
        <f>IF(終値!A293="","",IFERROR(4*STDEVP(終値!AO293:BH293)/AVERAGE(終値!AO293:BH293),""))</f>
        <v>0.28757865944697386</v>
      </c>
      <c r="AM293" s="503">
        <f>IF(終値!A293="","",IFERROR(4*STDEVP(終値!AP293:BI293)/AVERAGE(終値!AP293:BI293),""))</f>
        <v>0.29277561912573102</v>
      </c>
      <c r="AN293" s="503">
        <f>IF(終値!A293="","",IFERROR(4*STDEVP(終値!AQ293:BJ293)/AVERAGE(終値!AQ293:BJ293),""))</f>
        <v>0.29224154555363119</v>
      </c>
      <c r="AO293" s="503">
        <f>IF(終値!A293="","",IFERROR(4*STDEVP(終値!AR293:BK293)/AVERAGE(終値!AR293:BK293),""))</f>
        <v>0.30203673083936822</v>
      </c>
      <c r="AP293" s="503">
        <f>IF(終値!A293="","",IFERROR(4*STDEVP(終値!AS293:BL293)/AVERAGE(終値!AS293:BL293),""))</f>
        <v>0.31723528811507518</v>
      </c>
    </row>
    <row r="294" spans="1:42">
      <c r="A294" s="500" t="str">
        <f>IF(終値!A294="","",終値!A294)</f>
        <v>7414</v>
      </c>
      <c r="B294" s="503">
        <f>IF(終値!A294="","",IFERROR(4*STDEVP(終値!E294:X294)/AVERAGE(終値!E294:X294),""))</f>
        <v>8.7836430085819664E-2</v>
      </c>
      <c r="C294" s="503">
        <f>IF(終値!A294="","",IFERROR(4*STDEVP(終値!F294:Y294)/AVERAGE(終値!F294:Y294),""))</f>
        <v>9.4392198889842335E-2</v>
      </c>
      <c r="D294" s="503">
        <f>IF(終値!A294="","",IFERROR(4*STDEVP(終値!G294:Z294)/AVERAGE(終値!G294:Z294),""))</f>
        <v>0.10340173382675985</v>
      </c>
      <c r="E294" s="503">
        <f>IF(終値!A294="","",IFERROR(4*STDEVP(終値!H294:AA294)/AVERAGE(終値!H294:AA294),""))</f>
        <v>0.11339901325757483</v>
      </c>
      <c r="F294" s="503">
        <f>IF(終値!A294="","",IFERROR(4*STDEVP(終値!I294:AB294)/AVERAGE(終値!I294:AB294),""))</f>
        <v>0.11249920652333208</v>
      </c>
      <c r="G294" s="503">
        <f>IF(終値!A294="","",IFERROR(4*STDEVP(終値!J294:AC294)/AVERAGE(終値!J294:AC294),""))</f>
        <v>0.10675796309235808</v>
      </c>
      <c r="H294" s="503">
        <f>IF(終値!A294="","",IFERROR(4*STDEVP(終値!K294:AD294)/AVERAGE(終値!K294:AD294),""))</f>
        <v>0.10718996560140069</v>
      </c>
      <c r="I294" s="503">
        <f>IF(終値!A294="","",IFERROR(4*STDEVP(終値!L294:AE294)/AVERAGE(終値!L294:AE294),""))</f>
        <v>0.10326674780137067</v>
      </c>
      <c r="J294" s="503">
        <f>IF(終値!A294="","",IFERROR(4*STDEVP(終値!M294:AF294)/AVERAGE(終値!M294:AF294),""))</f>
        <v>0.10580931145975309</v>
      </c>
      <c r="K294" s="503">
        <f>IF(終値!A294="","",IFERROR(4*STDEVP(終値!N294:AG294)/AVERAGE(終値!N294:AG294),""))</f>
        <v>0.10050539464739713</v>
      </c>
      <c r="L294" s="503">
        <f>IF(終値!A294="","",IFERROR(4*STDEVP(終値!O294:AH294)/AVERAGE(終値!O294:AH294),""))</f>
        <v>9.2596845403329089E-2</v>
      </c>
      <c r="M294" s="503">
        <f>IF(終値!A294="","",IFERROR(4*STDEVP(終値!P294:AI294)/AVERAGE(終値!P294:AI294),""))</f>
        <v>8.9414143058937648E-2</v>
      </c>
      <c r="N294" s="503">
        <f>IF(終値!A294="","",IFERROR(4*STDEVP(終値!Q294:AJ294)/AVERAGE(終値!Q294:AJ294),""))</f>
        <v>8.354180048087595E-2</v>
      </c>
      <c r="O294" s="503">
        <f>IF(終値!A294="","",IFERROR(4*STDEVP(終値!R294:AK294)/AVERAGE(終値!R294:AK294),""))</f>
        <v>6.9538127829826643E-2</v>
      </c>
      <c r="P294" s="503">
        <f>IF(終値!A294="","",IFERROR(4*STDEVP(終値!S294:AL294)/AVERAGE(終値!S294:AL294),""))</f>
        <v>6.6769543777608326E-2</v>
      </c>
      <c r="Q294" s="503">
        <f>IF(終値!A294="","",IFERROR(4*STDEVP(終値!T294:AM294)/AVERAGE(終値!T294:AM294),""))</f>
        <v>6.3114857450453338E-2</v>
      </c>
      <c r="R294" s="503">
        <f>IF(終値!A294="","",IFERROR(4*STDEVP(終値!U294:AN294)/AVERAGE(終値!U294:AN294),""))</f>
        <v>5.7245872447167355E-2</v>
      </c>
      <c r="S294" s="503">
        <f>IF(終値!A294="","",IFERROR(4*STDEVP(終値!V294:AO294)/AVERAGE(終値!V294:AO294),""))</f>
        <v>5.4554928375854433E-2</v>
      </c>
      <c r="T294" s="503">
        <f>IF(終値!A294="","",IFERROR(4*STDEVP(終値!W294:AP294)/AVERAGE(終値!W294:AP294),""))</f>
        <v>4.8203224983497724E-2</v>
      </c>
      <c r="U294" s="503">
        <f>IF(終値!A294="","",IFERROR(4*STDEVP(終値!X294:AQ294)/AVERAGE(終値!X294:AQ294),""))</f>
        <v>4.1623110214733965E-2</v>
      </c>
      <c r="V294" s="503">
        <f>IF(終値!A294="","",IFERROR(4*STDEVP(終値!Y294:AR294)/AVERAGE(終値!Y294:AR294),""))</f>
        <v>3.3559536171878297E-2</v>
      </c>
      <c r="W294" s="503">
        <f>IF(終値!A294="","",IFERROR(4*STDEVP(終値!Z294:AS294)/AVERAGE(終値!Z294:AS294),""))</f>
        <v>2.833349550290002E-2</v>
      </c>
      <c r="X294" s="503">
        <f>IF(終値!A294="","",IFERROR(4*STDEVP(終値!AA294:AT294)/AVERAGE(終値!AA294:AT294),""))</f>
        <v>2.6289452700139243E-2</v>
      </c>
      <c r="Y294" s="503">
        <f>IF(終値!A294="","",IFERROR(4*STDEVP(終値!AB294:AU294)/AVERAGE(終値!AB294:AU294),""))</f>
        <v>2.988094488694552E-2</v>
      </c>
      <c r="Z294" s="503">
        <f>IF(終値!A294="","",IFERROR(4*STDEVP(終値!AC294:AV294)/AVERAGE(終値!AC294:AV294),""))</f>
        <v>3.3397997073953578E-2</v>
      </c>
      <c r="AA294" s="503">
        <f>IF(終値!A294="","",IFERROR(4*STDEVP(終値!AD294:AW294)/AVERAGE(終値!AD294:AW294),""))</f>
        <v>3.5279791773138738E-2</v>
      </c>
      <c r="AB294" s="503">
        <f>IF(終値!A294="","",IFERROR(4*STDEVP(終値!AE294:AX294)/AVERAGE(終値!AE294:AX294),""))</f>
        <v>3.6674160236890033E-2</v>
      </c>
      <c r="AC294" s="503">
        <f>IF(終値!A294="","",IFERROR(4*STDEVP(終値!AF294:AY294)/AVERAGE(終値!AF294:AY294),""))</f>
        <v>3.6808017258596851E-2</v>
      </c>
      <c r="AD294" s="503">
        <f>IF(終値!A294="","",IFERROR(4*STDEVP(終値!AG294:AZ294)/AVERAGE(終値!AG294:AZ294),""))</f>
        <v>3.6852089161351451E-2</v>
      </c>
      <c r="AE294" s="503">
        <f>IF(終値!A294="","",IFERROR(4*STDEVP(終値!AH294:BA294)/AVERAGE(終値!AH294:BA294),""))</f>
        <v>3.7047592378811875E-2</v>
      </c>
      <c r="AF294" s="503">
        <f>IF(終値!A294="","",IFERROR(4*STDEVP(終値!AI294:BB294)/AVERAGE(終値!AI294:BB294),""))</f>
        <v>3.6683615059905271E-2</v>
      </c>
      <c r="AG294" s="503">
        <f>IF(終値!A294="","",IFERROR(4*STDEVP(終値!AJ294:BC294)/AVERAGE(終値!AJ294:BC294),""))</f>
        <v>3.9052313303508245E-2</v>
      </c>
      <c r="AH294" s="503">
        <f>IF(終値!A294="","",IFERROR(4*STDEVP(終値!AK294:BD294)/AVERAGE(終値!AK294:BD294),""))</f>
        <v>3.9510389215628362E-2</v>
      </c>
      <c r="AI294" s="503">
        <f>IF(終値!A294="","",IFERROR(4*STDEVP(終値!AL294:BE294)/AVERAGE(終値!AL294:BE294),""))</f>
        <v>4.7996215062206138E-2</v>
      </c>
      <c r="AJ294" s="503">
        <f>IF(終値!A294="","",IFERROR(4*STDEVP(終値!AM294:BF294)/AVERAGE(終値!AM294:BF294),""))</f>
        <v>8.8480126176936236E-2</v>
      </c>
      <c r="AK294" s="503">
        <f>IF(終値!A294="","",IFERROR(4*STDEVP(終値!AN294:BG294)/AVERAGE(終値!AN294:BG294),""))</f>
        <v>0.1079010165669369</v>
      </c>
      <c r="AL294" s="503">
        <f>IF(終値!A294="","",IFERROR(4*STDEVP(終値!AO294:BH294)/AVERAGE(終値!AO294:BH294),""))</f>
        <v>0.12548359320113461</v>
      </c>
      <c r="AM294" s="503">
        <f>IF(終値!A294="","",IFERROR(4*STDEVP(終値!AP294:BI294)/AVERAGE(終値!AP294:BI294),""))</f>
        <v>0.1358110215740847</v>
      </c>
      <c r="AN294" s="503">
        <f>IF(終値!A294="","",IFERROR(4*STDEVP(終値!AQ294:BJ294)/AVERAGE(終値!AQ294:BJ294),""))</f>
        <v>0.14067759673751565</v>
      </c>
      <c r="AO294" s="503">
        <f>IF(終値!A294="","",IFERROR(4*STDEVP(終値!AR294:BK294)/AVERAGE(終値!AR294:BK294),""))</f>
        <v>0.14816248080175845</v>
      </c>
      <c r="AP294" s="503">
        <f>IF(終値!A294="","",IFERROR(4*STDEVP(終値!AS294:BL294)/AVERAGE(終値!AS294:BL294),""))</f>
        <v>0.14950206198214713</v>
      </c>
    </row>
    <row r="295" spans="1:42">
      <c r="A295" s="500" t="str">
        <f>IF(終値!A295="","",終値!A295)</f>
        <v>6407</v>
      </c>
      <c r="B295" s="503">
        <f>IF(終値!A295="","",IFERROR(4*STDEVP(終値!E295:X295)/AVERAGE(終値!E295:X295),""))</f>
        <v>0.39176049912779065</v>
      </c>
      <c r="C295" s="503">
        <f>IF(終値!A295="","",IFERROR(4*STDEVP(終値!F295:Y295)/AVERAGE(終値!F295:Y295),""))</f>
        <v>0.4126018858440868</v>
      </c>
      <c r="D295" s="503">
        <f>IF(終値!A295="","",IFERROR(4*STDEVP(終値!G295:Z295)/AVERAGE(終値!G295:Z295),""))</f>
        <v>0.41551311668527174</v>
      </c>
      <c r="E295" s="503">
        <f>IF(終値!A295="","",IFERROR(4*STDEVP(終値!H295:AA295)/AVERAGE(終値!H295:AA295),""))</f>
        <v>0.43292556225374113</v>
      </c>
      <c r="F295" s="503">
        <f>IF(終値!A295="","",IFERROR(4*STDEVP(終値!I295:AB295)/AVERAGE(終値!I295:AB295),""))</f>
        <v>0.38638465808244921</v>
      </c>
      <c r="G295" s="503">
        <f>IF(終値!A295="","",IFERROR(4*STDEVP(終値!J295:AC295)/AVERAGE(終値!J295:AC295),""))</f>
        <v>0.31089789058707684</v>
      </c>
      <c r="H295" s="503">
        <f>IF(終値!A295="","",IFERROR(4*STDEVP(終値!K295:AD295)/AVERAGE(終値!K295:AD295),""))</f>
        <v>0.24950161929542469</v>
      </c>
      <c r="I295" s="503">
        <f>IF(終値!A295="","",IFERROR(4*STDEVP(終値!L295:AE295)/AVERAGE(終値!L295:AE295),""))</f>
        <v>0.24874853692223348</v>
      </c>
      <c r="J295" s="503">
        <f>IF(終値!A295="","",IFERROR(4*STDEVP(終値!M295:AF295)/AVERAGE(終値!M295:AF295),""))</f>
        <v>0.24543176410412354</v>
      </c>
      <c r="K295" s="503">
        <f>IF(終値!A295="","",IFERROR(4*STDEVP(終値!N295:AG295)/AVERAGE(終値!N295:AG295),""))</f>
        <v>0.24482944514494209</v>
      </c>
      <c r="L295" s="503">
        <f>IF(終値!A295="","",IFERROR(4*STDEVP(終値!O295:AH295)/AVERAGE(終値!O295:AH295),""))</f>
        <v>0.25814685547259858</v>
      </c>
      <c r="M295" s="503">
        <f>IF(終値!A295="","",IFERROR(4*STDEVP(終値!P295:AI295)/AVERAGE(終値!P295:AI295),""))</f>
        <v>0.24918925697194477</v>
      </c>
      <c r="N295" s="503">
        <f>IF(終値!A295="","",IFERROR(4*STDEVP(終値!Q295:AJ295)/AVERAGE(終値!Q295:AJ295),""))</f>
        <v>0.21816595124459787</v>
      </c>
      <c r="O295" s="503">
        <f>IF(終値!A295="","",IFERROR(4*STDEVP(終値!R295:AK295)/AVERAGE(終値!R295:AK295),""))</f>
        <v>0.21678741124289577</v>
      </c>
      <c r="P295" s="503">
        <f>IF(終値!A295="","",IFERROR(4*STDEVP(終値!S295:AL295)/AVERAGE(終値!S295:AL295),""))</f>
        <v>0.19930363107822965</v>
      </c>
      <c r="Q295" s="503">
        <f>IF(終値!A295="","",IFERROR(4*STDEVP(終値!T295:AM295)/AVERAGE(終値!T295:AM295),""))</f>
        <v>0.18524729894338537</v>
      </c>
      <c r="R295" s="503">
        <f>IF(終値!A295="","",IFERROR(4*STDEVP(終値!U295:AN295)/AVERAGE(終値!U295:AN295),""))</f>
        <v>0.20824287294040469</v>
      </c>
      <c r="S295" s="503">
        <f>IF(終値!A295="","",IFERROR(4*STDEVP(終値!V295:AO295)/AVERAGE(終値!V295:AO295),""))</f>
        <v>0.25038741576348023</v>
      </c>
      <c r="T295" s="503">
        <f>IF(終値!A295="","",IFERROR(4*STDEVP(終値!W295:AP295)/AVERAGE(終値!W295:AP295),""))</f>
        <v>0.27867662097670171</v>
      </c>
      <c r="U295" s="503">
        <f>IF(終値!A295="","",IFERROR(4*STDEVP(終値!X295:AQ295)/AVERAGE(終値!X295:AQ295),""))</f>
        <v>0.33143101496702304</v>
      </c>
      <c r="V295" s="503">
        <f>IF(終値!A295="","",IFERROR(4*STDEVP(終値!Y295:AR295)/AVERAGE(終値!Y295:AR295),""))</f>
        <v>0.35668534537083574</v>
      </c>
      <c r="W295" s="503">
        <f>IF(終値!A295="","",IFERROR(4*STDEVP(終値!Z295:AS295)/AVERAGE(終値!Z295:AS295),""))</f>
        <v>0.37629464955821929</v>
      </c>
      <c r="X295" s="503">
        <f>IF(終値!A295="","",IFERROR(4*STDEVP(終値!AA295:AT295)/AVERAGE(終値!AA295:AT295),""))</f>
        <v>0.38706252645255257</v>
      </c>
      <c r="Y295" s="503">
        <f>IF(終値!A295="","",IFERROR(4*STDEVP(終値!AB295:AU295)/AVERAGE(終値!AB295:AU295),""))</f>
        <v>0.39229452369275003</v>
      </c>
      <c r="Z295" s="503">
        <f>IF(終値!A295="","",IFERROR(4*STDEVP(終値!AC295:AV295)/AVERAGE(終値!AC295:AV295),""))</f>
        <v>0.39616656355697771</v>
      </c>
      <c r="AA295" s="503">
        <f>IF(終値!A295="","",IFERROR(4*STDEVP(終値!AD295:AW295)/AVERAGE(終値!AD295:AW295),""))</f>
        <v>0.39497199648231451</v>
      </c>
      <c r="AB295" s="503">
        <f>IF(終値!A295="","",IFERROR(4*STDEVP(終値!AE295:AX295)/AVERAGE(終値!AE295:AX295),""))</f>
        <v>0.39476282156450354</v>
      </c>
      <c r="AC295" s="503">
        <f>IF(終値!A295="","",IFERROR(4*STDEVP(終値!AF295:AY295)/AVERAGE(終値!AF295:AY295),""))</f>
        <v>0.38007125626969468</v>
      </c>
      <c r="AD295" s="503">
        <f>IF(終値!A295="","",IFERROR(4*STDEVP(終値!AG295:AZ295)/AVERAGE(終値!AG295:AZ295),""))</f>
        <v>0.37578563818037064</v>
      </c>
      <c r="AE295" s="503">
        <f>IF(終値!A295="","",IFERROR(4*STDEVP(終値!AH295:BA295)/AVERAGE(終値!AH295:BA295),""))</f>
        <v>0.37142019554306183</v>
      </c>
      <c r="AF295" s="503">
        <f>IF(終値!A295="","",IFERROR(4*STDEVP(終値!AI295:BB295)/AVERAGE(終値!AI295:BB295),""))</f>
        <v>0.34553428713189971</v>
      </c>
      <c r="AG295" s="503">
        <f>IF(終値!A295="","",IFERROR(4*STDEVP(終値!AJ295:BC295)/AVERAGE(終値!AJ295:BC295),""))</f>
        <v>0.33047365918445215</v>
      </c>
      <c r="AH295" s="503">
        <f>IF(終値!A295="","",IFERROR(4*STDEVP(終値!AK295:BD295)/AVERAGE(終値!AK295:BD295),""))</f>
        <v>0.29009334146481869</v>
      </c>
      <c r="AI295" s="503">
        <f>IF(終値!A295="","",IFERROR(4*STDEVP(終値!AL295:BE295)/AVERAGE(終値!AL295:BE295),""))</f>
        <v>0.26452052888045957</v>
      </c>
      <c r="AJ295" s="503">
        <f>IF(終値!A295="","",IFERROR(4*STDEVP(終値!AM295:BF295)/AVERAGE(終値!AM295:BF295),""))</f>
        <v>0.23900811139565983</v>
      </c>
      <c r="AK295" s="503">
        <f>IF(終値!A295="","",IFERROR(4*STDEVP(終値!AN295:BG295)/AVERAGE(終値!AN295:BG295),""))</f>
        <v>0.21046435995417323</v>
      </c>
      <c r="AL295" s="503">
        <f>IF(終値!A295="","",IFERROR(4*STDEVP(終値!AO295:BH295)/AVERAGE(終値!AO295:BH295),""))</f>
        <v>0.21431324070681601</v>
      </c>
      <c r="AM295" s="503">
        <f>IF(終値!A295="","",IFERROR(4*STDEVP(終値!AP295:BI295)/AVERAGE(終値!AP295:BI295),""))</f>
        <v>0.21064608027665901</v>
      </c>
      <c r="AN295" s="503">
        <f>IF(終値!A295="","",IFERROR(4*STDEVP(終値!AQ295:BJ295)/AVERAGE(終値!AQ295:BJ295),""))</f>
        <v>0.20662891954624713</v>
      </c>
      <c r="AO295" s="503">
        <f>IF(終値!A295="","",IFERROR(4*STDEVP(終値!AR295:BK295)/AVERAGE(終値!AR295:BK295),""))</f>
        <v>0.18243488273951186</v>
      </c>
      <c r="AP295" s="503">
        <f>IF(終値!A295="","",IFERROR(4*STDEVP(終値!AS295:BL295)/AVERAGE(終値!AS295:BL295),""))</f>
        <v>0.1917703360183011</v>
      </c>
    </row>
    <row r="296" spans="1:42">
      <c r="A296" s="500" t="str">
        <f>IF(終値!A296="","",終値!A296)</f>
        <v>7048</v>
      </c>
      <c r="B296" s="503">
        <f>IF(終値!A296="","",IFERROR(4*STDEVP(終値!E296:X296)/AVERAGE(終値!E296:X296),""))</f>
        <v>0.20035037125806554</v>
      </c>
      <c r="C296" s="503">
        <f>IF(終値!A296="","",IFERROR(4*STDEVP(終値!F296:Y296)/AVERAGE(終値!F296:Y296),""))</f>
        <v>0.19865868386013455</v>
      </c>
      <c r="D296" s="503">
        <f>IF(終値!A296="","",IFERROR(4*STDEVP(終値!G296:Z296)/AVERAGE(終値!G296:Z296),""))</f>
        <v>0.19692257116765793</v>
      </c>
      <c r="E296" s="503">
        <f>IF(終値!A296="","",IFERROR(4*STDEVP(終値!H296:AA296)/AVERAGE(終値!H296:AA296),""))</f>
        <v>0.19231510000903074</v>
      </c>
      <c r="F296" s="503">
        <f>IF(終値!A296="","",IFERROR(4*STDEVP(終値!I296:AB296)/AVERAGE(終値!I296:AB296),""))</f>
        <v>0.18536100320531396</v>
      </c>
      <c r="G296" s="503">
        <f>IF(終値!A296="","",IFERROR(4*STDEVP(終値!J296:AC296)/AVERAGE(終値!J296:AC296),""))</f>
        <v>0.17776130202148258</v>
      </c>
      <c r="H296" s="503">
        <f>IF(終値!A296="","",IFERROR(4*STDEVP(終値!K296:AD296)/AVERAGE(終値!K296:AD296),""))</f>
        <v>0.16907562061992101</v>
      </c>
      <c r="I296" s="503">
        <f>IF(終値!A296="","",IFERROR(4*STDEVP(終値!L296:AE296)/AVERAGE(終値!L296:AE296),""))</f>
        <v>0.16582284753228635</v>
      </c>
      <c r="J296" s="503">
        <f>IF(終値!A296="","",IFERROR(4*STDEVP(終値!M296:AF296)/AVERAGE(終値!M296:AF296),""))</f>
        <v>0.16740401024840751</v>
      </c>
      <c r="K296" s="503">
        <f>IF(終値!A296="","",IFERROR(4*STDEVP(終値!N296:AG296)/AVERAGE(終値!N296:AG296),""))</f>
        <v>0.20791511970957377</v>
      </c>
      <c r="L296" s="503">
        <f>IF(終値!A296="","",IFERROR(4*STDEVP(終値!O296:AH296)/AVERAGE(終値!O296:AH296),""))</f>
        <v>0.2002950939774962</v>
      </c>
      <c r="M296" s="503">
        <f>IF(終値!A296="","",IFERROR(4*STDEVP(終値!P296:AI296)/AVERAGE(終値!P296:AI296),""))</f>
        <v>0.2215366751614059</v>
      </c>
      <c r="N296" s="503">
        <f>IF(終値!A296="","",IFERROR(4*STDEVP(終値!Q296:AJ296)/AVERAGE(終値!Q296:AJ296),""))</f>
        <v>0.24058417351403483</v>
      </c>
      <c r="O296" s="503">
        <f>IF(終値!A296="","",IFERROR(4*STDEVP(終値!R296:AK296)/AVERAGE(終値!R296:AK296),""))</f>
        <v>0.29343757012086097</v>
      </c>
      <c r="P296" s="503">
        <f>IF(終値!A296="","",IFERROR(4*STDEVP(終値!S296:AL296)/AVERAGE(終値!S296:AL296),""))</f>
        <v>0.3589218871722451</v>
      </c>
      <c r="Q296" s="503">
        <f>IF(終値!A296="","",IFERROR(4*STDEVP(終値!T296:AM296)/AVERAGE(終値!T296:AM296),""))</f>
        <v>0.40227942559100749</v>
      </c>
      <c r="R296" s="503">
        <f>IF(終値!A296="","",IFERROR(4*STDEVP(終値!U296:AN296)/AVERAGE(終値!U296:AN296),""))</f>
        <v>0.46385539186789759</v>
      </c>
      <c r="S296" s="503">
        <f>IF(終値!A296="","",IFERROR(4*STDEVP(終値!V296:AO296)/AVERAGE(終値!V296:AO296),""))</f>
        <v>0.52609728321175986</v>
      </c>
      <c r="T296" s="503">
        <f>IF(終値!A296="","",IFERROR(4*STDEVP(終値!W296:AP296)/AVERAGE(終値!W296:AP296),""))</f>
        <v>0.56086601457767649</v>
      </c>
      <c r="U296" s="503">
        <f>IF(終値!A296="","",IFERROR(4*STDEVP(終値!X296:AQ296)/AVERAGE(終値!X296:AQ296),""))</f>
        <v>0.58715265906921144</v>
      </c>
      <c r="V296" s="503">
        <f>IF(終値!A296="","",IFERROR(4*STDEVP(終値!Y296:AR296)/AVERAGE(終値!Y296:AR296),""))</f>
        <v>0.59920746171241945</v>
      </c>
      <c r="W296" s="503">
        <f>IF(終値!A296="","",IFERROR(4*STDEVP(終値!Z296:AS296)/AVERAGE(終値!Z296:AS296),""))</f>
        <v>0.60638520929154682</v>
      </c>
      <c r="X296" s="503">
        <f>IF(終値!A296="","",IFERROR(4*STDEVP(終値!AA296:AT296)/AVERAGE(終値!AA296:AT296),""))</f>
        <v>0.60789536820748913</v>
      </c>
      <c r="Y296" s="503">
        <f>IF(終値!A296="","",IFERROR(4*STDEVP(終値!AB296:AU296)/AVERAGE(終値!AB296:AU296),""))</f>
        <v>0.61241569271818286</v>
      </c>
      <c r="Z296" s="503">
        <f>IF(終値!A296="","",IFERROR(4*STDEVP(終値!AC296:AV296)/AVERAGE(終値!AC296:AV296),""))</f>
        <v>0.60962312171231481</v>
      </c>
      <c r="AA296" s="503">
        <f>IF(終値!A296="","",IFERROR(4*STDEVP(終値!AD296:AW296)/AVERAGE(終値!AD296:AW296),""))</f>
        <v>0.60510837116969773</v>
      </c>
      <c r="AB296" s="503">
        <f>IF(終値!A296="","",IFERROR(4*STDEVP(終値!AE296:AX296)/AVERAGE(終値!AE296:AX296),""))</f>
        <v>0.59779531372453198</v>
      </c>
      <c r="AC296" s="503">
        <f>IF(終値!A296="","",IFERROR(4*STDEVP(終値!AF296:AY296)/AVERAGE(終値!AF296:AY296),""))</f>
        <v>0.58368833754284621</v>
      </c>
      <c r="AD296" s="503">
        <f>IF(終値!A296="","",IFERROR(4*STDEVP(終値!AG296:AZ296)/AVERAGE(終値!AG296:AZ296),""))</f>
        <v>0.53629111658883832</v>
      </c>
      <c r="AE296" s="503">
        <f>IF(終値!A296="","",IFERROR(4*STDEVP(終値!AH296:BA296)/AVERAGE(終値!AH296:BA296),""))</f>
        <v>0.36609561511879013</v>
      </c>
      <c r="AF296" s="503">
        <f>IF(終値!A296="","",IFERROR(4*STDEVP(終値!AI296:BB296)/AVERAGE(終値!AI296:BB296),""))</f>
        <v>0.2794276338358288</v>
      </c>
      <c r="AG296" s="503">
        <f>IF(終値!A296="","",IFERROR(4*STDEVP(終値!AJ296:BC296)/AVERAGE(終値!AJ296:BC296),""))</f>
        <v>0.26597372482844189</v>
      </c>
      <c r="AH296" s="503">
        <f>IF(終値!A296="","",IFERROR(4*STDEVP(終値!AK296:BD296)/AVERAGE(終値!AK296:BD296),""))</f>
        <v>0.25327344048837924</v>
      </c>
      <c r="AI296" s="503">
        <f>IF(終値!A296="","",IFERROR(4*STDEVP(終値!AL296:BE296)/AVERAGE(終値!AL296:BE296),""))</f>
        <v>0.27195520258190714</v>
      </c>
      <c r="AJ296" s="503">
        <f>IF(終値!A296="","",IFERROR(4*STDEVP(終値!AM296:BF296)/AVERAGE(終値!AM296:BF296),""))</f>
        <v>0.31159995213680169</v>
      </c>
      <c r="AK296" s="503">
        <f>IF(終値!A296="","",IFERROR(4*STDEVP(終値!AN296:BG296)/AVERAGE(終値!AN296:BG296),""))</f>
        <v>0.36098710607340423</v>
      </c>
      <c r="AL296" s="503">
        <f>IF(終値!A296="","",IFERROR(4*STDEVP(終値!AO296:BH296)/AVERAGE(終値!AO296:BH296),""))</f>
        <v>0.3723611440826694</v>
      </c>
      <c r="AM296" s="503">
        <f>IF(終値!A296="","",IFERROR(4*STDEVP(終値!AP296:BI296)/AVERAGE(終値!AP296:BI296),""))</f>
        <v>0.36655413789576924</v>
      </c>
      <c r="AN296" s="503">
        <f>IF(終値!A296="","",IFERROR(4*STDEVP(終値!AQ296:BJ296)/AVERAGE(終値!AQ296:BJ296),""))</f>
        <v>0.36955463085349555</v>
      </c>
      <c r="AO296" s="503">
        <f>IF(終値!A296="","",IFERROR(4*STDEVP(終値!AR296:BK296)/AVERAGE(終値!AR296:BK296),""))</f>
        <v>0.36666761839003315</v>
      </c>
      <c r="AP296" s="503">
        <f>IF(終値!A296="","",IFERROR(4*STDEVP(終値!AS296:BL296)/AVERAGE(終値!AS296:BL296),""))</f>
        <v>0.36348517616229592</v>
      </c>
    </row>
    <row r="297" spans="1:42">
      <c r="A297" s="500" t="str">
        <f>IF(終値!A297="","",終値!A297)</f>
        <v>1808</v>
      </c>
      <c r="B297" s="503">
        <f>IF(終値!A297="","",IFERROR(4*STDEVP(終値!E297:X297)/AVERAGE(終値!E297:X297),""))</f>
        <v>7.9421085378518927E-2</v>
      </c>
      <c r="C297" s="503">
        <f>IF(終値!A297="","",IFERROR(4*STDEVP(終値!F297:Y297)/AVERAGE(終値!F297:Y297),""))</f>
        <v>6.2828008988116343E-2</v>
      </c>
      <c r="D297" s="503">
        <f>IF(終値!A297="","",IFERROR(4*STDEVP(終値!G297:Z297)/AVERAGE(終値!G297:Z297),""))</f>
        <v>5.220061939559606E-2</v>
      </c>
      <c r="E297" s="503">
        <f>IF(終値!A297="","",IFERROR(4*STDEVP(終値!H297:AA297)/AVERAGE(終値!H297:AA297),""))</f>
        <v>5.2670988193407584E-2</v>
      </c>
      <c r="F297" s="503">
        <f>IF(終値!A297="","",IFERROR(4*STDEVP(終値!I297:AB297)/AVERAGE(終値!I297:AB297),""))</f>
        <v>5.3078174726478931E-2</v>
      </c>
      <c r="G297" s="503">
        <f>IF(終値!A297="","",IFERROR(4*STDEVP(終値!J297:AC297)/AVERAGE(終値!J297:AC297),""))</f>
        <v>4.6209661824654712E-2</v>
      </c>
      <c r="H297" s="503">
        <f>IF(終値!A297="","",IFERROR(4*STDEVP(終値!K297:AD297)/AVERAGE(終値!K297:AD297),""))</f>
        <v>4.6879543457474304E-2</v>
      </c>
      <c r="I297" s="503">
        <f>IF(終値!A297="","",IFERROR(4*STDEVP(終値!L297:AE297)/AVERAGE(終値!L297:AE297),""))</f>
        <v>4.8265968292387329E-2</v>
      </c>
      <c r="J297" s="503">
        <f>IF(終値!A297="","",IFERROR(4*STDEVP(終値!M297:AF297)/AVERAGE(終値!M297:AF297),""))</f>
        <v>5.4859361942488971E-2</v>
      </c>
      <c r="K297" s="503">
        <f>IF(終値!A297="","",IFERROR(4*STDEVP(終値!N297:AG297)/AVERAGE(終値!N297:AG297),""))</f>
        <v>6.0185445907850139E-2</v>
      </c>
      <c r="L297" s="503">
        <f>IF(終値!A297="","",IFERROR(4*STDEVP(終値!O297:AH297)/AVERAGE(終値!O297:AH297),""))</f>
        <v>6.6145849434193826E-2</v>
      </c>
      <c r="M297" s="503">
        <f>IF(終値!A297="","",IFERROR(4*STDEVP(終値!P297:AI297)/AVERAGE(終値!P297:AI297),""))</f>
        <v>6.915013765946372E-2</v>
      </c>
      <c r="N297" s="503">
        <f>IF(終値!A297="","",IFERROR(4*STDEVP(終値!Q297:AJ297)/AVERAGE(終値!Q297:AJ297),""))</f>
        <v>7.9943770270036157E-2</v>
      </c>
      <c r="O297" s="503">
        <f>IF(終値!A297="","",IFERROR(4*STDEVP(終値!R297:AK297)/AVERAGE(終値!R297:AK297),""))</f>
        <v>8.3786474794737442E-2</v>
      </c>
      <c r="P297" s="503">
        <f>IF(終値!A297="","",IFERROR(4*STDEVP(終値!S297:AL297)/AVERAGE(終値!S297:AL297),""))</f>
        <v>8.8462535849971199E-2</v>
      </c>
      <c r="Q297" s="503">
        <f>IF(終値!A297="","",IFERROR(4*STDEVP(終値!T297:AM297)/AVERAGE(終値!T297:AM297),""))</f>
        <v>9.1372961137731523E-2</v>
      </c>
      <c r="R297" s="503">
        <f>IF(終値!A297="","",IFERROR(4*STDEVP(終値!U297:AN297)/AVERAGE(終値!U297:AN297),""))</f>
        <v>9.5071265596025231E-2</v>
      </c>
      <c r="S297" s="503">
        <f>IF(終値!A297="","",IFERROR(4*STDEVP(終値!V297:AO297)/AVERAGE(終値!V297:AO297),""))</f>
        <v>9.5842218472735871E-2</v>
      </c>
      <c r="T297" s="503">
        <f>IF(終値!A297="","",IFERROR(4*STDEVP(終値!W297:AP297)/AVERAGE(終値!W297:AP297),""))</f>
        <v>9.39717277950506E-2</v>
      </c>
      <c r="U297" s="503">
        <f>IF(終値!A297="","",IFERROR(4*STDEVP(終値!X297:AQ297)/AVERAGE(終値!X297:AQ297),""))</f>
        <v>9.3992598389630685E-2</v>
      </c>
      <c r="V297" s="503">
        <f>IF(終値!A297="","",IFERROR(4*STDEVP(終値!Y297:AR297)/AVERAGE(終値!Y297:AR297),""))</f>
        <v>9.0292590383136431E-2</v>
      </c>
      <c r="W297" s="503">
        <f>IF(終値!A297="","",IFERROR(4*STDEVP(終値!Z297:AS297)/AVERAGE(終値!Z297:AS297),""))</f>
        <v>9.2778745339273203E-2</v>
      </c>
      <c r="X297" s="503">
        <f>IF(終値!A297="","",IFERROR(4*STDEVP(終値!AA297:AT297)/AVERAGE(終値!AA297:AT297),""))</f>
        <v>9.5180172366969351E-2</v>
      </c>
      <c r="Y297" s="503">
        <f>IF(終値!A297="","",IFERROR(4*STDEVP(終値!AB297:AU297)/AVERAGE(終値!AB297:AU297),""))</f>
        <v>9.9280595556513945E-2</v>
      </c>
      <c r="Z297" s="503">
        <f>IF(終値!A297="","",IFERROR(4*STDEVP(終値!AC297:AV297)/AVERAGE(終値!AC297:AV297),""))</f>
        <v>8.9293021853398907E-2</v>
      </c>
      <c r="AA297" s="503">
        <f>IF(終値!A297="","",IFERROR(4*STDEVP(終値!AD297:AW297)/AVERAGE(終値!AD297:AW297),""))</f>
        <v>7.7039035629056854E-2</v>
      </c>
      <c r="AB297" s="503">
        <f>IF(終値!A297="","",IFERROR(4*STDEVP(終値!AE297:AX297)/AVERAGE(終値!AE297:AX297),""))</f>
        <v>5.714823256976162E-2</v>
      </c>
      <c r="AC297" s="503">
        <f>IF(終値!A297="","",IFERROR(4*STDEVP(終値!AF297:AY297)/AVERAGE(終値!AF297:AY297),""))</f>
        <v>5.2325370139853146E-2</v>
      </c>
      <c r="AD297" s="503">
        <f>IF(終値!A297="","",IFERROR(4*STDEVP(終値!AG297:AZ297)/AVERAGE(終値!AG297:AZ297),""))</f>
        <v>5.1651490308370893E-2</v>
      </c>
      <c r="AE297" s="503">
        <f>IF(終値!A297="","",IFERROR(4*STDEVP(終値!AH297:BA297)/AVERAGE(終値!AH297:BA297),""))</f>
        <v>5.1582464704124933E-2</v>
      </c>
      <c r="AF297" s="503">
        <f>IF(終値!A297="","",IFERROR(4*STDEVP(終値!AI297:BB297)/AVERAGE(終値!AI297:BB297),""))</f>
        <v>5.1363803339428658E-2</v>
      </c>
      <c r="AG297" s="503">
        <f>IF(終値!A297="","",IFERROR(4*STDEVP(終値!AJ297:BC297)/AVERAGE(終値!AJ297:BC297),""))</f>
        <v>5.9968149203207408E-2</v>
      </c>
      <c r="AH297" s="503">
        <f>IF(終値!A297="","",IFERROR(4*STDEVP(終値!AK297:BD297)/AVERAGE(終値!AK297:BD297),""))</f>
        <v>7.7191039288673921E-2</v>
      </c>
      <c r="AI297" s="503">
        <f>IF(終値!A297="","",IFERROR(4*STDEVP(終値!AL297:BE297)/AVERAGE(終値!AL297:BE297),""))</f>
        <v>7.7311677237829515E-2</v>
      </c>
      <c r="AJ297" s="503">
        <f>IF(終値!A297="","",IFERROR(4*STDEVP(終値!AM297:BF297)/AVERAGE(終値!AM297:BF297),""))</f>
        <v>7.7324380051862734E-2</v>
      </c>
      <c r="AK297" s="503">
        <f>IF(終値!A297="","",IFERROR(4*STDEVP(終値!AN297:BG297)/AVERAGE(終値!AN297:BG297),""))</f>
        <v>8.2841948727582868E-2</v>
      </c>
      <c r="AL297" s="503">
        <f>IF(終値!A297="","",IFERROR(4*STDEVP(終値!AO297:BH297)/AVERAGE(終値!AO297:BH297),""))</f>
        <v>8.8805278046932112E-2</v>
      </c>
      <c r="AM297" s="503">
        <f>IF(終値!A297="","",IFERROR(4*STDEVP(終値!AP297:BI297)/AVERAGE(終値!AP297:BI297),""))</f>
        <v>9.0535713531823145E-2</v>
      </c>
      <c r="AN297" s="503">
        <f>IF(終値!A297="","",IFERROR(4*STDEVP(終値!AQ297:BJ297)/AVERAGE(終値!AQ297:BJ297),""))</f>
        <v>9.1686611935431719E-2</v>
      </c>
      <c r="AO297" s="503">
        <f>IF(終値!A297="","",IFERROR(4*STDEVP(終値!AR297:BK297)/AVERAGE(終値!AR297:BK297),""))</f>
        <v>8.9922577338503923E-2</v>
      </c>
      <c r="AP297" s="503">
        <f>IF(終値!A297="","",IFERROR(4*STDEVP(終値!AS297:BL297)/AVERAGE(終値!AS297:BL297),""))</f>
        <v>8.7668479433089697E-2</v>
      </c>
    </row>
    <row r="298" spans="1:42">
      <c r="A298" s="500" t="str">
        <f>IF(終値!A298="","",終値!A298)</f>
        <v>4208</v>
      </c>
      <c r="B298" s="503">
        <f>IF(終値!A298="","",IFERROR(4*STDEVP(終値!E298:X298)/AVERAGE(終値!E298:X298),""))</f>
        <v>6.7574231982952815E-2</v>
      </c>
      <c r="C298" s="503">
        <f>IF(終値!A298="","",IFERROR(4*STDEVP(終値!F298:Y298)/AVERAGE(終値!F298:Y298),""))</f>
        <v>6.6144095939638103E-2</v>
      </c>
      <c r="D298" s="503">
        <f>IF(終値!A298="","",IFERROR(4*STDEVP(終値!G298:Z298)/AVERAGE(終値!G298:Z298),""))</f>
        <v>6.3775190989835723E-2</v>
      </c>
      <c r="E298" s="503">
        <f>IF(終値!A298="","",IFERROR(4*STDEVP(終値!H298:AA298)/AVERAGE(終値!H298:AA298),""))</f>
        <v>6.5149914626547803E-2</v>
      </c>
      <c r="F298" s="503">
        <f>IF(終値!A298="","",IFERROR(4*STDEVP(終値!I298:AB298)/AVERAGE(終値!I298:AB298),""))</f>
        <v>6.441318017113612E-2</v>
      </c>
      <c r="G298" s="503">
        <f>IF(終値!A298="","",IFERROR(4*STDEVP(終値!J298:AC298)/AVERAGE(終値!J298:AC298),""))</f>
        <v>6.5692198441426319E-2</v>
      </c>
      <c r="H298" s="503">
        <f>IF(終値!A298="","",IFERROR(4*STDEVP(終値!K298:AD298)/AVERAGE(終値!K298:AD298),""))</f>
        <v>6.8393236060059287E-2</v>
      </c>
      <c r="I298" s="503">
        <f>IF(終値!A298="","",IFERROR(4*STDEVP(終値!L298:AE298)/AVERAGE(終値!L298:AE298),""))</f>
        <v>5.8926461264116915E-2</v>
      </c>
      <c r="J298" s="503">
        <f>IF(終値!A298="","",IFERROR(4*STDEVP(終値!M298:AF298)/AVERAGE(終値!M298:AF298),""))</f>
        <v>6.2570781148704527E-2</v>
      </c>
      <c r="K298" s="503">
        <f>IF(終値!A298="","",IFERROR(4*STDEVP(終値!N298:AG298)/AVERAGE(終値!N298:AG298),""))</f>
        <v>6.0491977818330538E-2</v>
      </c>
      <c r="L298" s="503">
        <f>IF(終値!A298="","",IFERROR(4*STDEVP(終値!O298:AH298)/AVERAGE(終値!O298:AH298),""))</f>
        <v>5.9372356828926831E-2</v>
      </c>
      <c r="M298" s="503">
        <f>IF(終値!A298="","",IFERROR(4*STDEVP(終値!P298:AI298)/AVERAGE(終値!P298:AI298),""))</f>
        <v>5.8112427475173041E-2</v>
      </c>
      <c r="N298" s="503">
        <f>IF(終値!A298="","",IFERROR(4*STDEVP(終値!Q298:AJ298)/AVERAGE(終値!Q298:AJ298),""))</f>
        <v>6.4649915330779018E-2</v>
      </c>
      <c r="O298" s="503">
        <f>IF(終値!A298="","",IFERROR(4*STDEVP(終値!R298:AK298)/AVERAGE(終値!R298:AK298),""))</f>
        <v>6.0237180564718398E-2</v>
      </c>
      <c r="P298" s="503">
        <f>IF(終値!A298="","",IFERROR(4*STDEVP(終値!S298:AL298)/AVERAGE(終値!S298:AL298),""))</f>
        <v>5.962856807795882E-2</v>
      </c>
      <c r="Q298" s="503">
        <f>IF(終値!A298="","",IFERROR(4*STDEVP(終値!T298:AM298)/AVERAGE(終値!T298:AM298),""))</f>
        <v>5.488395961178081E-2</v>
      </c>
      <c r="R298" s="503">
        <f>IF(終値!A298="","",IFERROR(4*STDEVP(終値!U298:AN298)/AVERAGE(終値!U298:AN298),""))</f>
        <v>6.312778923358639E-2</v>
      </c>
      <c r="S298" s="503">
        <f>IF(終値!A298="","",IFERROR(4*STDEVP(終値!V298:AO298)/AVERAGE(終値!V298:AO298),""))</f>
        <v>8.0880961663755302E-2</v>
      </c>
      <c r="T298" s="503">
        <f>IF(終値!A298="","",IFERROR(4*STDEVP(終値!W298:AP298)/AVERAGE(終値!W298:AP298),""))</f>
        <v>9.1843343476341696E-2</v>
      </c>
      <c r="U298" s="503">
        <f>IF(終値!A298="","",IFERROR(4*STDEVP(終値!X298:AQ298)/AVERAGE(終値!X298:AQ298),""))</f>
        <v>0.11347951812416469</v>
      </c>
      <c r="V298" s="503">
        <f>IF(終値!A298="","",IFERROR(4*STDEVP(終値!Y298:AR298)/AVERAGE(終値!Y298:AR298),""))</f>
        <v>0.12178087689996756</v>
      </c>
      <c r="W298" s="503">
        <f>IF(終値!A298="","",IFERROR(4*STDEVP(終値!Z298:AS298)/AVERAGE(終値!Z298:AS298),""))</f>
        <v>0.12974866230688012</v>
      </c>
      <c r="X298" s="503">
        <f>IF(終値!A298="","",IFERROR(4*STDEVP(終値!AA298:AT298)/AVERAGE(終値!AA298:AT298),""))</f>
        <v>0.13278971065704409</v>
      </c>
      <c r="Y298" s="503">
        <f>IF(終値!A298="","",IFERROR(4*STDEVP(終値!AB298:AU298)/AVERAGE(終値!AB298:AU298),""))</f>
        <v>0.14074027755317139</v>
      </c>
      <c r="Z298" s="503">
        <f>IF(終値!A298="","",IFERROR(4*STDEVP(終値!AC298:AV298)/AVERAGE(終値!AC298:AV298),""))</f>
        <v>0.14508621991759857</v>
      </c>
      <c r="AA298" s="503">
        <f>IF(終値!A298="","",IFERROR(4*STDEVP(終値!AD298:AW298)/AVERAGE(終値!AD298:AW298),""))</f>
        <v>0.15068316534769721</v>
      </c>
      <c r="AB298" s="503">
        <f>IF(終値!A298="","",IFERROR(4*STDEVP(終値!AE298:AX298)/AVERAGE(終値!AE298:AX298),""))</f>
        <v>0.15248537788494165</v>
      </c>
      <c r="AC298" s="503">
        <f>IF(終値!A298="","",IFERROR(4*STDEVP(終値!AF298:AY298)/AVERAGE(終値!AF298:AY298),""))</f>
        <v>0.15168214764143567</v>
      </c>
      <c r="AD298" s="503">
        <f>IF(終値!A298="","",IFERROR(4*STDEVP(終値!AG298:AZ298)/AVERAGE(終値!AG298:AZ298),""))</f>
        <v>0.15236935059872161</v>
      </c>
      <c r="AE298" s="503">
        <f>IF(終値!A298="","",IFERROR(4*STDEVP(終値!AH298:BA298)/AVERAGE(終値!AH298:BA298),""))</f>
        <v>0.15086436757243674</v>
      </c>
      <c r="AF298" s="503">
        <f>IF(終値!A298="","",IFERROR(4*STDEVP(終値!AI298:BB298)/AVERAGE(終値!AI298:BB298),""))</f>
        <v>0.14871535561199054</v>
      </c>
      <c r="AG298" s="503">
        <f>IF(終値!A298="","",IFERROR(4*STDEVP(終値!AJ298:BC298)/AVERAGE(終値!AJ298:BC298),""))</f>
        <v>0.23223604885108073</v>
      </c>
      <c r="AH298" s="503">
        <f>IF(終値!A298="","",IFERROR(4*STDEVP(終値!AK298:BD298)/AVERAGE(終値!AK298:BD298),""))</f>
        <v>0.27555941143643325</v>
      </c>
      <c r="AI298" s="503">
        <f>IF(終値!A298="","",IFERROR(4*STDEVP(終値!AL298:BE298)/AVERAGE(終値!AL298:BE298),""))</f>
        <v>0.31736054262621716</v>
      </c>
      <c r="AJ298" s="503">
        <f>IF(終値!A298="","",IFERROR(4*STDEVP(終値!AM298:BF298)/AVERAGE(終値!AM298:BF298),""))</f>
        <v>0.33502745714355731</v>
      </c>
      <c r="AK298" s="503">
        <f>IF(終値!A298="","",IFERROR(4*STDEVP(終値!AN298:BG298)/AVERAGE(終値!AN298:BG298),""))</f>
        <v>0.35800073832228935</v>
      </c>
      <c r="AL298" s="503">
        <f>IF(終値!A298="","",IFERROR(4*STDEVP(終値!AO298:BH298)/AVERAGE(終値!AO298:BH298),""))</f>
        <v>0.38640428302523999</v>
      </c>
      <c r="AM298" s="503">
        <f>IF(終値!A298="","",IFERROR(4*STDEVP(終値!AP298:BI298)/AVERAGE(終値!AP298:BI298),""))</f>
        <v>0.40411030239317419</v>
      </c>
      <c r="AN298" s="503">
        <f>IF(終値!A298="","",IFERROR(4*STDEVP(終値!AQ298:BJ298)/AVERAGE(終値!AQ298:BJ298),""))</f>
        <v>0.41569166916821809</v>
      </c>
      <c r="AO298" s="503">
        <f>IF(終値!A298="","",IFERROR(4*STDEVP(終値!AR298:BK298)/AVERAGE(終値!AR298:BK298),""))</f>
        <v>0.42739445418917815</v>
      </c>
      <c r="AP298" s="503">
        <f>IF(終値!A298="","",IFERROR(4*STDEVP(終値!AS298:BL298)/AVERAGE(終値!AS298:BL298),""))</f>
        <v>0.4352852175610617</v>
      </c>
    </row>
    <row r="299" spans="1:42">
      <c r="A299" s="500" t="str">
        <f>IF(終値!A299="","",終値!A299)</f>
        <v>186A</v>
      </c>
      <c r="B299" s="503">
        <f>IF(終値!A299="","",IFERROR(4*STDEVP(終値!E299:X299)/AVERAGE(終値!E299:X299),""))</f>
        <v>0.27122311928138088</v>
      </c>
      <c r="C299" s="503">
        <f>IF(終値!A299="","",IFERROR(4*STDEVP(終値!F299:Y299)/AVERAGE(終値!F299:Y299),""))</f>
        <v>0.2960046980085202</v>
      </c>
      <c r="D299" s="503">
        <f>IF(終値!A299="","",IFERROR(4*STDEVP(終値!G299:Z299)/AVERAGE(終値!G299:Z299),""))</f>
        <v>0.29969113111143497</v>
      </c>
      <c r="E299" s="503">
        <f>IF(終値!A299="","",IFERROR(4*STDEVP(終値!H299:AA299)/AVERAGE(終値!H299:AA299),""))</f>
        <v>0.30144110119930895</v>
      </c>
      <c r="F299" s="503">
        <f>IF(終値!A299="","",IFERROR(4*STDEVP(終値!I299:AB299)/AVERAGE(終値!I299:AB299),""))</f>
        <v>0.29512775143940362</v>
      </c>
      <c r="G299" s="503">
        <f>IF(終値!A299="","",IFERROR(4*STDEVP(終値!J299:AC299)/AVERAGE(終値!J299:AC299),""))</f>
        <v>0.2573893345790666</v>
      </c>
      <c r="H299" s="503">
        <f>IF(終値!A299="","",IFERROR(4*STDEVP(終値!K299:AD299)/AVERAGE(終値!K299:AD299),""))</f>
        <v>0.24619674745265535</v>
      </c>
      <c r="I299" s="503">
        <f>IF(終値!A299="","",IFERROR(4*STDEVP(終値!L299:AE299)/AVERAGE(終値!L299:AE299),""))</f>
        <v>0.24337521079705493</v>
      </c>
      <c r="J299" s="503">
        <f>IF(終値!A299="","",IFERROR(4*STDEVP(終値!M299:AF299)/AVERAGE(終値!M299:AF299),""))</f>
        <v>0.23746656905429342</v>
      </c>
      <c r="K299" s="503">
        <f>IF(終値!A299="","",IFERROR(4*STDEVP(終値!N299:AG299)/AVERAGE(終値!N299:AG299),""))</f>
        <v>0.23205223523937554</v>
      </c>
      <c r="L299" s="503">
        <f>IF(終値!A299="","",IFERROR(4*STDEVP(終値!O299:AH299)/AVERAGE(終値!O299:AH299),""))</f>
        <v>0.26550566361821976</v>
      </c>
      <c r="M299" s="503">
        <f>IF(終値!A299="","",IFERROR(4*STDEVP(終値!P299:AI299)/AVERAGE(終値!P299:AI299),""))</f>
        <v>0.24526038856369173</v>
      </c>
      <c r="N299" s="503">
        <f>IF(終値!A299="","",IFERROR(4*STDEVP(終値!Q299:AJ299)/AVERAGE(終値!Q299:AJ299),""))</f>
        <v>0.2496177235082653</v>
      </c>
      <c r="O299" s="503">
        <f>IF(終値!A299="","",IFERROR(4*STDEVP(終値!R299:AK299)/AVERAGE(終値!R299:AK299),""))</f>
        <v>0.28169287960863898</v>
      </c>
      <c r="P299" s="503">
        <f>IF(終値!A299="","",IFERROR(4*STDEVP(終値!S299:AL299)/AVERAGE(終値!S299:AL299),""))</f>
        <v>0.30489969025049862</v>
      </c>
      <c r="Q299" s="503">
        <f>IF(終値!A299="","",IFERROR(4*STDEVP(終値!T299:AM299)/AVERAGE(終値!T299:AM299),""))</f>
        <v>0.37178380088623803</v>
      </c>
      <c r="R299" s="503">
        <f>IF(終値!A299="","",IFERROR(4*STDEVP(終値!U299:AN299)/AVERAGE(終値!U299:AN299),""))</f>
        <v>0.60049798296865686</v>
      </c>
      <c r="S299" s="503">
        <f>IF(終値!A299="","",IFERROR(4*STDEVP(終値!V299:AO299)/AVERAGE(終値!V299:AO299),""))</f>
        <v>0.68848741089673982</v>
      </c>
      <c r="T299" s="503">
        <f>IF(終値!A299="","",IFERROR(4*STDEVP(終値!W299:AP299)/AVERAGE(終値!W299:AP299),""))</f>
        <v>0.72220515757387027</v>
      </c>
      <c r="U299" s="503">
        <f>IF(終値!A299="","",IFERROR(4*STDEVP(終値!X299:AQ299)/AVERAGE(終値!X299:AQ299),""))</f>
        <v>0.84455972042284522</v>
      </c>
      <c r="V299" s="503">
        <f>IF(終値!A299="","",IFERROR(4*STDEVP(終値!Y299:AR299)/AVERAGE(終値!Y299:AR299),""))</f>
        <v>0.92960710473328856</v>
      </c>
      <c r="W299" s="503">
        <f>IF(終値!A299="","",IFERROR(4*STDEVP(終値!Z299:AS299)/AVERAGE(終値!Z299:AS299),""))</f>
        <v>0.95590813084637793</v>
      </c>
      <c r="X299" s="503">
        <f>IF(終値!A299="","",IFERROR(4*STDEVP(終値!AA299:AT299)/AVERAGE(終値!AA299:AT299),""))</f>
        <v>0.97232636994708244</v>
      </c>
      <c r="Y299" s="503">
        <f>IF(終値!A299="","",IFERROR(4*STDEVP(終値!AB299:AU299)/AVERAGE(終値!AB299:AU299),""))</f>
        <v>0.98591350237030329</v>
      </c>
      <c r="Z299" s="503">
        <f>IF(終値!A299="","",IFERROR(4*STDEVP(終値!AC299:AV299)/AVERAGE(終値!AC299:AV299),""))</f>
        <v>1.115463778184711</v>
      </c>
      <c r="AA299" s="503">
        <f>IF(終値!A299="","",IFERROR(4*STDEVP(終値!AD299:AW299)/AVERAGE(終値!AD299:AW299),""))</f>
        <v>1.2040167133584163</v>
      </c>
      <c r="AB299" s="503">
        <f>IF(終値!A299="","",IFERROR(4*STDEVP(終値!AE299:AX299)/AVERAGE(終値!AE299:AX299),""))</f>
        <v>1.2019683211024657</v>
      </c>
      <c r="AC299" s="503">
        <f>IF(終値!A299="","",IFERROR(4*STDEVP(終値!AF299:AY299)/AVERAGE(終値!AF299:AY299),""))</f>
        <v>1.1851711325061018</v>
      </c>
      <c r="AD299" s="503">
        <f>IF(終値!A299="","",IFERROR(4*STDEVP(終値!AG299:AZ299)/AVERAGE(終値!AG299:AZ299),""))</f>
        <v>1.11721468683956</v>
      </c>
      <c r="AE299" s="503">
        <f>IF(終値!A299="","",IFERROR(4*STDEVP(終値!AH299:BA299)/AVERAGE(終値!AH299:BA299),""))</f>
        <v>1.0333544215427093</v>
      </c>
      <c r="AF299" s="503">
        <f>IF(終値!A299="","",IFERROR(4*STDEVP(終値!AI299:BB299)/AVERAGE(終値!AI299:BB299),""))</f>
        <v>0.97463227300322641</v>
      </c>
      <c r="AG299" s="503">
        <f>IF(終値!A299="","",IFERROR(4*STDEVP(終値!AJ299:BC299)/AVERAGE(終値!AJ299:BC299),""))</f>
        <v>0.88406868995151155</v>
      </c>
      <c r="AH299" s="503">
        <f>IF(終値!A299="","",IFERROR(4*STDEVP(終値!AK299:BD299)/AVERAGE(終値!AK299:BD299),""))</f>
        <v>0.81742326559305756</v>
      </c>
      <c r="AI299" s="503">
        <f>IF(終値!A299="","",IFERROR(4*STDEVP(終値!AL299:BE299)/AVERAGE(終値!AL299:BE299),""))</f>
        <v>0.74580465320687928</v>
      </c>
      <c r="AJ299" s="503">
        <f>IF(終値!A299="","",IFERROR(4*STDEVP(終値!AM299:BF299)/AVERAGE(終値!AM299:BF299),""))</f>
        <v>0.67764055014648528</v>
      </c>
      <c r="AK299" s="503">
        <f>IF(終値!A299="","",IFERROR(4*STDEVP(終値!AN299:BG299)/AVERAGE(終値!AN299:BG299),""))</f>
        <v>0.63302118430261611</v>
      </c>
      <c r="AL299" s="503">
        <f>IF(終値!A299="","",IFERROR(4*STDEVP(終値!AO299:BH299)/AVERAGE(終値!AO299:BH299),""))</f>
        <v>0.6388363310249987</v>
      </c>
      <c r="AM299" s="503">
        <f>IF(終値!A299="","",IFERROR(4*STDEVP(終値!AP299:BI299)/AVERAGE(終値!AP299:BI299),""))</f>
        <v>0.64215713567259691</v>
      </c>
      <c r="AN299" s="503">
        <f>IF(終値!A299="","",IFERROR(4*STDEVP(終値!AQ299:BJ299)/AVERAGE(終値!AQ299:BJ299),""))</f>
        <v>0.66741451775680116</v>
      </c>
      <c r="AO299" s="503">
        <f>IF(終値!A299="","",IFERROR(4*STDEVP(終値!AR299:BK299)/AVERAGE(終値!AR299:BK299),""))</f>
        <v>0.73979606118774166</v>
      </c>
      <c r="AP299" s="503">
        <f>IF(終値!A299="","",IFERROR(4*STDEVP(終値!AS299:BL299)/AVERAGE(終値!AS299:BL299),""))</f>
        <v>0.82299372649566405</v>
      </c>
    </row>
    <row r="300" spans="1:42">
      <c r="A300" s="500" t="str">
        <f>IF(終値!A300="","",終値!A300)</f>
        <v>6965</v>
      </c>
      <c r="B300" s="503">
        <f>IF(終値!A300="","",IFERROR(4*STDEVP(終値!E300:X300)/AVERAGE(終値!E300:X300),""))</f>
        <v>0.1941503589577831</v>
      </c>
      <c r="C300" s="503">
        <f>IF(終値!A300="","",IFERROR(4*STDEVP(終値!F300:Y300)/AVERAGE(終値!F300:Y300),""))</f>
        <v>0.22125159464660046</v>
      </c>
      <c r="D300" s="503">
        <f>IF(終値!A300="","",IFERROR(4*STDEVP(終値!G300:Z300)/AVERAGE(終値!G300:Z300),""))</f>
        <v>0.23693846775534735</v>
      </c>
      <c r="E300" s="503">
        <f>IF(終値!A300="","",IFERROR(4*STDEVP(終値!H300:AA300)/AVERAGE(終値!H300:AA300),""))</f>
        <v>0.26273781262772217</v>
      </c>
      <c r="F300" s="503">
        <f>IF(終値!A300="","",IFERROR(4*STDEVP(終値!I300:AB300)/AVERAGE(終値!I300:AB300),""))</f>
        <v>0.25001420409850345</v>
      </c>
      <c r="G300" s="503">
        <f>IF(終値!A300="","",IFERROR(4*STDEVP(終値!J300:AC300)/AVERAGE(終値!J300:AC300),""))</f>
        <v>0.22809501472931321</v>
      </c>
      <c r="H300" s="503">
        <f>IF(終値!A300="","",IFERROR(4*STDEVP(終値!K300:AD300)/AVERAGE(終値!K300:AD300),""))</f>
        <v>0.20302599200210369</v>
      </c>
      <c r="I300" s="503">
        <f>IF(終値!A300="","",IFERROR(4*STDEVP(終値!L300:AE300)/AVERAGE(終値!L300:AE300),""))</f>
        <v>0.20966933871135657</v>
      </c>
      <c r="J300" s="503">
        <f>IF(終値!A300="","",IFERROR(4*STDEVP(終値!M300:AF300)/AVERAGE(終値!M300:AF300),""))</f>
        <v>0.20949160719025881</v>
      </c>
      <c r="K300" s="503">
        <f>IF(終値!A300="","",IFERROR(4*STDEVP(終値!N300:AG300)/AVERAGE(終値!N300:AG300),""))</f>
        <v>0.20848294528183484</v>
      </c>
      <c r="L300" s="503">
        <f>IF(終値!A300="","",IFERROR(4*STDEVP(終値!O300:AH300)/AVERAGE(終値!O300:AH300),""))</f>
        <v>0.2201115963451937</v>
      </c>
      <c r="M300" s="503">
        <f>IF(終値!A300="","",IFERROR(4*STDEVP(終値!P300:AI300)/AVERAGE(終値!P300:AI300),""))</f>
        <v>0.21461588290669503</v>
      </c>
      <c r="N300" s="503">
        <f>IF(終値!A300="","",IFERROR(4*STDEVP(終値!Q300:AJ300)/AVERAGE(終値!Q300:AJ300),""))</f>
        <v>0.19455335522744599</v>
      </c>
      <c r="O300" s="503">
        <f>IF(終値!A300="","",IFERROR(4*STDEVP(終値!R300:AK300)/AVERAGE(終値!R300:AK300),""))</f>
        <v>0.19696584937480247</v>
      </c>
      <c r="P300" s="503">
        <f>IF(終値!A300="","",IFERROR(4*STDEVP(終値!S300:AL300)/AVERAGE(終値!S300:AL300),""))</f>
        <v>0.18452415260217941</v>
      </c>
      <c r="Q300" s="503">
        <f>IF(終値!A300="","",IFERROR(4*STDEVP(終値!T300:AM300)/AVERAGE(終値!T300:AM300),""))</f>
        <v>0.17224139796605381</v>
      </c>
      <c r="R300" s="503">
        <f>IF(終値!A300="","",IFERROR(4*STDEVP(終値!U300:AN300)/AVERAGE(終値!U300:AN300),""))</f>
        <v>0.1735373016829681</v>
      </c>
      <c r="S300" s="503">
        <f>IF(終値!A300="","",IFERROR(4*STDEVP(終値!V300:AO300)/AVERAGE(終値!V300:AO300),""))</f>
        <v>0.17263391808557615</v>
      </c>
      <c r="T300" s="503">
        <f>IF(終値!A300="","",IFERROR(4*STDEVP(終値!W300:AP300)/AVERAGE(終値!W300:AP300),""))</f>
        <v>0.18177829669472159</v>
      </c>
      <c r="U300" s="503">
        <f>IF(終値!A300="","",IFERROR(4*STDEVP(終値!X300:AQ300)/AVERAGE(終値!X300:AQ300),""))</f>
        <v>0.17189171719579358</v>
      </c>
      <c r="V300" s="503">
        <f>IF(終値!A300="","",IFERROR(4*STDEVP(終値!Y300:AR300)/AVERAGE(終値!Y300:AR300),""))</f>
        <v>0.18272076841368073</v>
      </c>
      <c r="W300" s="503">
        <f>IF(終値!A300="","",IFERROR(4*STDEVP(終値!Z300:AS300)/AVERAGE(終値!Z300:AS300),""))</f>
        <v>0.19975687017137742</v>
      </c>
      <c r="X300" s="503">
        <f>IF(終値!A300="","",IFERROR(4*STDEVP(終値!AA300:AT300)/AVERAGE(終値!AA300:AT300),""))</f>
        <v>0.20860010040740137</v>
      </c>
      <c r="Y300" s="503">
        <f>IF(終値!A300="","",IFERROR(4*STDEVP(終値!AB300:AU300)/AVERAGE(終値!AB300:AU300),""))</f>
        <v>0.2081990163275293</v>
      </c>
      <c r="Z300" s="503">
        <f>IF(終値!A300="","",IFERROR(4*STDEVP(終値!AC300:AV300)/AVERAGE(終値!AC300:AV300),""))</f>
        <v>0.21468896677267377</v>
      </c>
      <c r="AA300" s="503">
        <f>IF(終値!A300="","",IFERROR(4*STDEVP(終値!AD300:AW300)/AVERAGE(終値!AD300:AW300),""))</f>
        <v>0.21720742710774585</v>
      </c>
      <c r="AB300" s="503">
        <f>IF(終値!A300="","",IFERROR(4*STDEVP(終値!AE300:AX300)/AVERAGE(終値!AE300:AX300),""))</f>
        <v>0.21513584687200271</v>
      </c>
      <c r="AC300" s="503">
        <f>IF(終値!A300="","",IFERROR(4*STDEVP(終値!AF300:AY300)/AVERAGE(終値!AF300:AY300),""))</f>
        <v>0.23005581848968903</v>
      </c>
      <c r="AD300" s="503">
        <f>IF(終値!A300="","",IFERROR(4*STDEVP(終値!AG300:AZ300)/AVERAGE(終値!AG300:AZ300),""))</f>
        <v>0.23582647987892366</v>
      </c>
      <c r="AE300" s="503">
        <f>IF(終値!A300="","",IFERROR(4*STDEVP(終値!AH300:BA300)/AVERAGE(終値!AH300:BA300),""))</f>
        <v>0.23532885987972824</v>
      </c>
      <c r="AF300" s="503">
        <f>IF(終値!A300="","",IFERROR(4*STDEVP(終値!AI300:BB300)/AVERAGE(終値!AI300:BB300),""))</f>
        <v>0.23627789254433415</v>
      </c>
      <c r="AG300" s="503">
        <f>IF(終値!A300="","",IFERROR(4*STDEVP(終値!AJ300:BC300)/AVERAGE(終値!AJ300:BC300),""))</f>
        <v>0.23583051956007656</v>
      </c>
      <c r="AH300" s="503">
        <f>IF(終値!A300="","",IFERROR(4*STDEVP(終値!AK300:BD300)/AVERAGE(終値!AK300:BD300),""))</f>
        <v>0.23960821093466472</v>
      </c>
      <c r="AI300" s="503">
        <f>IF(終値!A300="","",IFERROR(4*STDEVP(終値!AL300:BE300)/AVERAGE(終値!AL300:BE300),""))</f>
        <v>0.24041242504974308</v>
      </c>
      <c r="AJ300" s="503">
        <f>IF(終値!A300="","",IFERROR(4*STDEVP(終値!AM300:BF300)/AVERAGE(終値!AM300:BF300),""))</f>
        <v>0.30298318431632498</v>
      </c>
      <c r="AK300" s="503">
        <f>IF(終値!A300="","",IFERROR(4*STDEVP(終値!AN300:BG300)/AVERAGE(終値!AN300:BG300),""))</f>
        <v>0.35149112377639191</v>
      </c>
      <c r="AL300" s="503">
        <f>IF(終値!A300="","",IFERROR(4*STDEVP(終値!AO300:BH300)/AVERAGE(終値!AO300:BH300),""))</f>
        <v>0.38556436896606322</v>
      </c>
      <c r="AM300" s="503">
        <f>IF(終値!A300="","",IFERROR(4*STDEVP(終値!AP300:BI300)/AVERAGE(終値!AP300:BI300),""))</f>
        <v>0.41435370860110388</v>
      </c>
      <c r="AN300" s="503">
        <f>IF(終値!A300="","",IFERROR(4*STDEVP(終値!AQ300:BJ300)/AVERAGE(終値!AQ300:BJ300),""))</f>
        <v>0.43269971069455948</v>
      </c>
      <c r="AO300" s="503">
        <f>IF(終値!A300="","",IFERROR(4*STDEVP(終値!AR300:BK300)/AVERAGE(終値!AR300:BK300),""))</f>
        <v>0.46683804021097519</v>
      </c>
      <c r="AP300" s="503">
        <f>IF(終値!A300="","",IFERROR(4*STDEVP(終値!AS300:BL300)/AVERAGE(終値!AS300:BL300),""))</f>
        <v>0.50697249682490975</v>
      </c>
    </row>
    <row r="301" spans="1:42">
      <c r="A301" s="500" t="str">
        <f>IF(終値!A301="","",終値!A301)</f>
        <v>6331</v>
      </c>
      <c r="B301" s="503">
        <f>IF(終値!A301="","",IFERROR(4*STDEVP(終値!E301:X301)/AVERAGE(終値!E301:X301),""))</f>
        <v>0.28100522959979096</v>
      </c>
      <c r="C301" s="503">
        <f>IF(終値!A301="","",IFERROR(4*STDEVP(終値!F301:Y301)/AVERAGE(終値!F301:Y301),""))</f>
        <v>0.29309166393707886</v>
      </c>
      <c r="D301" s="503">
        <f>IF(終値!A301="","",IFERROR(4*STDEVP(終値!G301:Z301)/AVERAGE(終値!G301:Z301),""))</f>
        <v>0.28708465255223609</v>
      </c>
      <c r="E301" s="503">
        <f>IF(終値!A301="","",IFERROR(4*STDEVP(終値!H301:AA301)/AVERAGE(終値!H301:AA301),""))</f>
        <v>0.28135601366094093</v>
      </c>
      <c r="F301" s="503">
        <f>IF(終値!A301="","",IFERROR(4*STDEVP(終値!I301:AB301)/AVERAGE(終値!I301:AB301),""))</f>
        <v>0.2659829269920525</v>
      </c>
      <c r="G301" s="503">
        <f>IF(終値!A301="","",IFERROR(4*STDEVP(終値!J301:AC301)/AVERAGE(終値!J301:AC301),""))</f>
        <v>0.24615752467159743</v>
      </c>
      <c r="H301" s="503">
        <f>IF(終値!A301="","",IFERROR(4*STDEVP(終値!K301:AD301)/AVERAGE(終値!K301:AD301),""))</f>
        <v>0.24226520652613448</v>
      </c>
      <c r="I301" s="503">
        <f>IF(終値!A301="","",IFERROR(4*STDEVP(終値!L301:AE301)/AVERAGE(終値!L301:AE301),""))</f>
        <v>0.25284143158641476</v>
      </c>
      <c r="J301" s="503">
        <f>IF(終値!A301="","",IFERROR(4*STDEVP(終値!M301:AF301)/AVERAGE(終値!M301:AF301),""))</f>
        <v>0.25351691191558445</v>
      </c>
      <c r="K301" s="503">
        <f>IF(終値!A301="","",IFERROR(4*STDEVP(終値!N301:AG301)/AVERAGE(終値!N301:AG301),""))</f>
        <v>0.25414293164214113</v>
      </c>
      <c r="L301" s="503">
        <f>IF(終値!A301="","",IFERROR(4*STDEVP(終値!O301:AH301)/AVERAGE(終値!O301:AH301),""))</f>
        <v>0.26468752771120085</v>
      </c>
      <c r="M301" s="503">
        <f>IF(終値!A301="","",IFERROR(4*STDEVP(終値!P301:AI301)/AVERAGE(終値!P301:AI301),""))</f>
        <v>0.25069008578788354</v>
      </c>
      <c r="N301" s="503">
        <f>IF(終値!A301="","",IFERROR(4*STDEVP(終値!Q301:AJ301)/AVERAGE(終値!Q301:AJ301),""))</f>
        <v>0.21957062143871456</v>
      </c>
      <c r="O301" s="503">
        <f>IF(終値!A301="","",IFERROR(4*STDEVP(終値!R301:AK301)/AVERAGE(終値!R301:AK301),""))</f>
        <v>0.21993673299365576</v>
      </c>
      <c r="P301" s="503">
        <f>IF(終値!A301="","",IFERROR(4*STDEVP(終値!S301:AL301)/AVERAGE(終値!S301:AL301),""))</f>
        <v>0.20099399395440154</v>
      </c>
      <c r="Q301" s="503">
        <f>IF(終値!A301="","",IFERROR(4*STDEVP(終値!T301:AM301)/AVERAGE(終値!T301:AM301),""))</f>
        <v>0.17805946244714288</v>
      </c>
      <c r="R301" s="503">
        <f>IF(終値!A301="","",IFERROR(4*STDEVP(終値!U301:AN301)/AVERAGE(終値!U301:AN301),""))</f>
        <v>0.17043231034313355</v>
      </c>
      <c r="S301" s="503">
        <f>IF(終値!A301="","",IFERROR(4*STDEVP(終値!V301:AO301)/AVERAGE(終値!V301:AO301),""))</f>
        <v>0.15836139442561983</v>
      </c>
      <c r="T301" s="503">
        <f>IF(終値!A301="","",IFERROR(4*STDEVP(終値!W301:AP301)/AVERAGE(終値!W301:AP301),""))</f>
        <v>0.15712262290681833</v>
      </c>
      <c r="U301" s="503">
        <f>IF(終値!A301="","",IFERROR(4*STDEVP(終値!X301:AQ301)/AVERAGE(終値!X301:AQ301),""))</f>
        <v>0.17570187313142882</v>
      </c>
      <c r="V301" s="503">
        <f>IF(終値!A301="","",IFERROR(4*STDEVP(終値!Y301:AR301)/AVERAGE(終値!Y301:AR301),""))</f>
        <v>0.17993275486014687</v>
      </c>
      <c r="W301" s="503">
        <f>IF(終値!A301="","",IFERROR(4*STDEVP(終値!Z301:AS301)/AVERAGE(終値!Z301:AS301),""))</f>
        <v>0.19745015157271209</v>
      </c>
      <c r="X301" s="503">
        <f>IF(終値!A301="","",IFERROR(4*STDEVP(終値!AA301:AT301)/AVERAGE(終値!AA301:AT301),""))</f>
        <v>0.19993523596928753</v>
      </c>
      <c r="Y301" s="503">
        <f>IF(終値!A301="","",IFERROR(4*STDEVP(終値!AB301:AU301)/AVERAGE(終値!AB301:AU301),""))</f>
        <v>0.21660210335036342</v>
      </c>
      <c r="Z301" s="503">
        <f>IF(終値!A301="","",IFERROR(4*STDEVP(終値!AC301:AV301)/AVERAGE(終値!AC301:AV301),""))</f>
        <v>0.21908665946432815</v>
      </c>
      <c r="AA301" s="503">
        <f>IF(終値!A301="","",IFERROR(4*STDEVP(終値!AD301:AW301)/AVERAGE(終値!AD301:AW301),""))</f>
        <v>0.22076882582136145</v>
      </c>
      <c r="AB301" s="503">
        <f>IF(終値!A301="","",IFERROR(4*STDEVP(終値!AE301:AX301)/AVERAGE(終値!AE301:AX301),""))</f>
        <v>0.22172428100341701</v>
      </c>
      <c r="AC301" s="503">
        <f>IF(終値!A301="","",IFERROR(4*STDEVP(終値!AF301:AY301)/AVERAGE(終値!AF301:AY301),""))</f>
        <v>0.2267945034915971</v>
      </c>
      <c r="AD301" s="503">
        <f>IF(終値!A301="","",IFERROR(4*STDEVP(終値!AG301:AZ301)/AVERAGE(終値!AG301:AZ301),""))</f>
        <v>0.23924374555483241</v>
      </c>
      <c r="AE301" s="503">
        <f>IF(終値!A301="","",IFERROR(4*STDEVP(終値!AH301:BA301)/AVERAGE(終値!AH301:BA301),""))</f>
        <v>0.24174532287548955</v>
      </c>
      <c r="AF301" s="503">
        <f>IF(終値!A301="","",IFERROR(4*STDEVP(終値!AI301:BB301)/AVERAGE(終値!AI301:BB301),""))</f>
        <v>0.22257847084107668</v>
      </c>
      <c r="AG301" s="503">
        <f>IF(終値!A301="","",IFERROR(4*STDEVP(終値!AJ301:BC301)/AVERAGE(終値!AJ301:BC301),""))</f>
        <v>0.20674197547471632</v>
      </c>
      <c r="AH301" s="503">
        <f>IF(終値!A301="","",IFERROR(4*STDEVP(終値!AK301:BD301)/AVERAGE(終値!AK301:BD301),""))</f>
        <v>0.19246178879463441</v>
      </c>
      <c r="AI301" s="503">
        <f>IF(終値!A301="","",IFERROR(4*STDEVP(終値!AL301:BE301)/AVERAGE(終値!AL301:BE301),""))</f>
        <v>0.15275246619895991</v>
      </c>
      <c r="AJ301" s="503">
        <f>IF(終値!A301="","",IFERROR(4*STDEVP(終値!AM301:BF301)/AVERAGE(終値!AM301:BF301),""))</f>
        <v>0.15022130404480491</v>
      </c>
      <c r="AK301" s="503">
        <f>IF(終値!A301="","",IFERROR(4*STDEVP(終値!AN301:BG301)/AVERAGE(終値!AN301:BG301),""))</f>
        <v>0.14779175908643688</v>
      </c>
      <c r="AL301" s="503">
        <f>IF(終値!A301="","",IFERROR(4*STDEVP(終値!AO301:BH301)/AVERAGE(終値!AO301:BH301),""))</f>
        <v>0.15693006888882036</v>
      </c>
      <c r="AM301" s="503">
        <f>IF(終値!A301="","",IFERROR(4*STDEVP(終値!AP301:BI301)/AVERAGE(終値!AP301:BI301),""))</f>
        <v>0.16754346637318832</v>
      </c>
      <c r="AN301" s="503">
        <f>IF(終値!A301="","",IFERROR(4*STDEVP(終値!AQ301:BJ301)/AVERAGE(終値!AQ301:BJ301),""))</f>
        <v>0.17653351419108229</v>
      </c>
      <c r="AO301" s="503">
        <f>IF(終値!A301="","",IFERROR(4*STDEVP(終値!AR301:BK301)/AVERAGE(終値!AR301:BK301),""))</f>
        <v>0.18504577454692095</v>
      </c>
      <c r="AP301" s="503">
        <f>IF(終値!A301="","",IFERROR(4*STDEVP(終値!AS301:BL301)/AVERAGE(終値!AS301:BL301),""))</f>
        <v>0.19157766699131973</v>
      </c>
    </row>
    <row r="302" spans="1:42">
      <c r="A302" s="500" t="str">
        <f>IF(終値!A302="","",終値!A302)</f>
        <v>7741</v>
      </c>
      <c r="B302" s="503">
        <f>IF(終値!A302="","",IFERROR(4*STDEVP(終値!E302:X302)/AVERAGE(終値!E302:X302),""))</f>
        <v>0.1057110347527606</v>
      </c>
      <c r="C302" s="503">
        <f>IF(終値!A302="","",IFERROR(4*STDEVP(終値!F302:Y302)/AVERAGE(終値!F302:Y302),""))</f>
        <v>0.10577183056143319</v>
      </c>
      <c r="D302" s="503">
        <f>IF(終値!A302="","",IFERROR(4*STDEVP(終値!G302:Z302)/AVERAGE(終値!G302:Z302),""))</f>
        <v>0.10770828552789312</v>
      </c>
      <c r="E302" s="503">
        <f>IF(終値!A302="","",IFERROR(4*STDEVP(終値!H302:AA302)/AVERAGE(終値!H302:AA302),""))</f>
        <v>0.11217807262582608</v>
      </c>
      <c r="F302" s="503">
        <f>IF(終値!A302="","",IFERROR(4*STDEVP(終値!I302:AB302)/AVERAGE(終値!I302:AB302),""))</f>
        <v>0.1080848961863342</v>
      </c>
      <c r="G302" s="503">
        <f>IF(終値!A302="","",IFERROR(4*STDEVP(終値!J302:AC302)/AVERAGE(終値!J302:AC302),""))</f>
        <v>9.8619444773564727E-2</v>
      </c>
      <c r="H302" s="503">
        <f>IF(終値!A302="","",IFERROR(4*STDEVP(終値!K302:AD302)/AVERAGE(終値!K302:AD302),""))</f>
        <v>8.2120392328551853E-2</v>
      </c>
      <c r="I302" s="503">
        <f>IF(終値!A302="","",IFERROR(4*STDEVP(終値!L302:AE302)/AVERAGE(終値!L302:AE302),""))</f>
        <v>8.3880385345415961E-2</v>
      </c>
      <c r="J302" s="503">
        <f>IF(終値!A302="","",IFERROR(4*STDEVP(終値!M302:AF302)/AVERAGE(終値!M302:AF302),""))</f>
        <v>8.4838850030671473E-2</v>
      </c>
      <c r="K302" s="503">
        <f>IF(終値!A302="","",IFERROR(4*STDEVP(終値!N302:AG302)/AVERAGE(終値!N302:AG302),""))</f>
        <v>8.851594491691081E-2</v>
      </c>
      <c r="L302" s="503">
        <f>IF(終値!A302="","",IFERROR(4*STDEVP(終値!O302:AH302)/AVERAGE(終値!O302:AH302),""))</f>
        <v>9.8922687774260318E-2</v>
      </c>
      <c r="M302" s="503">
        <f>IF(終値!A302="","",IFERROR(4*STDEVP(終値!P302:AI302)/AVERAGE(終値!P302:AI302),""))</f>
        <v>0.11240273240821826</v>
      </c>
      <c r="N302" s="503">
        <f>IF(終値!A302="","",IFERROR(4*STDEVP(終値!Q302:AJ302)/AVERAGE(終値!Q302:AJ302),""))</f>
        <v>0.14436853756518336</v>
      </c>
      <c r="O302" s="503">
        <f>IF(終値!A302="","",IFERROR(4*STDEVP(終値!R302:AK302)/AVERAGE(終値!R302:AK302),""))</f>
        <v>0.15344042654086118</v>
      </c>
      <c r="P302" s="503">
        <f>IF(終値!A302="","",IFERROR(4*STDEVP(終値!S302:AL302)/AVERAGE(終値!S302:AL302),""))</f>
        <v>0.15618804322085941</v>
      </c>
      <c r="Q302" s="503">
        <f>IF(終値!A302="","",IFERROR(4*STDEVP(終値!T302:AM302)/AVERAGE(終値!T302:AM302),""))</f>
        <v>0.15542454860661234</v>
      </c>
      <c r="R302" s="503">
        <f>IF(終値!A302="","",IFERROR(4*STDEVP(終値!U302:AN302)/AVERAGE(終値!U302:AN302),""))</f>
        <v>0.14979437658106096</v>
      </c>
      <c r="S302" s="503">
        <f>IF(終値!A302="","",IFERROR(4*STDEVP(終値!V302:AO302)/AVERAGE(終値!V302:AO302),""))</f>
        <v>0.14255128965546843</v>
      </c>
      <c r="T302" s="503">
        <f>IF(終値!A302="","",IFERROR(4*STDEVP(終値!W302:AP302)/AVERAGE(終値!W302:AP302),""))</f>
        <v>0.11842822948454108</v>
      </c>
      <c r="U302" s="503">
        <f>IF(終値!A302="","",IFERROR(4*STDEVP(終値!X302:AQ302)/AVERAGE(終値!X302:AQ302),""))</f>
        <v>0.12155284068389299</v>
      </c>
      <c r="V302" s="503">
        <f>IF(終値!A302="","",IFERROR(4*STDEVP(終値!Y302:AR302)/AVERAGE(終値!Y302:AR302),""))</f>
        <v>0.11857628537447984</v>
      </c>
      <c r="W302" s="503">
        <f>IF(終値!A302="","",IFERROR(4*STDEVP(終値!Z302:AS302)/AVERAGE(終値!Z302:AS302),""))</f>
        <v>0.11753618889259808</v>
      </c>
      <c r="X302" s="503">
        <f>IF(終値!A302="","",IFERROR(4*STDEVP(終値!AA302:AT302)/AVERAGE(終値!AA302:AT302),""))</f>
        <v>0.11917179213956677</v>
      </c>
      <c r="Y302" s="503">
        <f>IF(終値!A302="","",IFERROR(4*STDEVP(終値!AB302:AU302)/AVERAGE(終値!AB302:AU302),""))</f>
        <v>0.11760596244935163</v>
      </c>
      <c r="Z302" s="503">
        <f>IF(終値!A302="","",IFERROR(4*STDEVP(終値!AC302:AV302)/AVERAGE(終値!AC302:AV302),""))</f>
        <v>0.11723004191248619</v>
      </c>
      <c r="AA302" s="503">
        <f>IF(終値!A302="","",IFERROR(4*STDEVP(終値!AD302:AW302)/AVERAGE(終値!AD302:AW302),""))</f>
        <v>0.11474302668809348</v>
      </c>
      <c r="AB302" s="503">
        <f>IF(終値!A302="","",IFERROR(4*STDEVP(終値!AE302:AX302)/AVERAGE(終値!AE302:AX302),""))</f>
        <v>0.11004318605311439</v>
      </c>
      <c r="AC302" s="503">
        <f>IF(終値!A302="","",IFERROR(4*STDEVP(終値!AF302:AY302)/AVERAGE(終値!AF302:AY302),""))</f>
        <v>0.10910562268149632</v>
      </c>
      <c r="AD302" s="503">
        <f>IF(終値!A302="","",IFERROR(4*STDEVP(終値!AG302:AZ302)/AVERAGE(終値!AG302:AZ302),""))</f>
        <v>0.1096600679944691</v>
      </c>
      <c r="AE302" s="503">
        <f>IF(終値!A302="","",IFERROR(4*STDEVP(終値!AH302:BA302)/AVERAGE(終値!AH302:BA302),""))</f>
        <v>0.10947844184638141</v>
      </c>
      <c r="AF302" s="503">
        <f>IF(終値!A302="","",IFERROR(4*STDEVP(終値!AI302:BB302)/AVERAGE(終値!AI302:BB302),""))</f>
        <v>0.10934237596635778</v>
      </c>
      <c r="AG302" s="503">
        <f>IF(終値!A302="","",IFERROR(4*STDEVP(終値!AJ302:BC302)/AVERAGE(終値!AJ302:BC302),""))</f>
        <v>0.10796071744487465</v>
      </c>
      <c r="AH302" s="503">
        <f>IF(終値!A302="","",IFERROR(4*STDEVP(終値!AK302:BD302)/AVERAGE(終値!AK302:BD302),""))</f>
        <v>9.5138005503653006E-2</v>
      </c>
      <c r="AI302" s="503">
        <f>IF(終値!A302="","",IFERROR(4*STDEVP(終値!AL302:BE302)/AVERAGE(終値!AL302:BE302),""))</f>
        <v>0.10032064043637397</v>
      </c>
      <c r="AJ302" s="503">
        <f>IF(終値!A302="","",IFERROR(4*STDEVP(終値!AM302:BF302)/AVERAGE(終値!AM302:BF302),""))</f>
        <v>0.1049327098556558</v>
      </c>
      <c r="AK302" s="503">
        <f>IF(終値!A302="","",IFERROR(4*STDEVP(終値!AN302:BG302)/AVERAGE(終値!AN302:BG302),""))</f>
        <v>0.10975571110012652</v>
      </c>
      <c r="AL302" s="503">
        <f>IF(終値!A302="","",IFERROR(4*STDEVP(終値!AO302:BH302)/AVERAGE(終値!AO302:BH302),""))</f>
        <v>0.1105273567118836</v>
      </c>
      <c r="AM302" s="503">
        <f>IF(終値!A302="","",IFERROR(4*STDEVP(終値!AP302:BI302)/AVERAGE(終値!AP302:BI302),""))</f>
        <v>0.10424228063868786</v>
      </c>
      <c r="AN302" s="503">
        <f>IF(終値!A302="","",IFERROR(4*STDEVP(終値!AQ302:BJ302)/AVERAGE(終値!AQ302:BJ302),""))</f>
        <v>9.8152294606168339E-2</v>
      </c>
      <c r="AO302" s="503">
        <f>IF(終値!A302="","",IFERROR(4*STDEVP(終値!AR302:BK302)/AVERAGE(終値!AR302:BK302),""))</f>
        <v>8.1590155986310003E-2</v>
      </c>
      <c r="AP302" s="503">
        <f>IF(終値!A302="","",IFERROR(4*STDEVP(終値!AS302:BL302)/AVERAGE(終値!AS302:BL302),""))</f>
        <v>8.1425754028629657E-2</v>
      </c>
    </row>
    <row r="303" spans="1:42">
      <c r="A303" s="500" t="str">
        <f>IF(終値!A303="","",終値!A303)</f>
        <v>1321</v>
      </c>
      <c r="B303" s="503">
        <f>IF(終値!A303="","",IFERROR(4*STDEVP(終値!E303:X303)/AVERAGE(終値!E303:X303),""))</f>
        <v>0.14811685983852893</v>
      </c>
      <c r="C303" s="503">
        <f>IF(終値!A303="","",IFERROR(4*STDEVP(終値!F303:Y303)/AVERAGE(終値!F303:Y303),""))</f>
        <v>0.15744086744016061</v>
      </c>
      <c r="D303" s="503">
        <f>IF(終値!A303="","",IFERROR(4*STDEVP(終値!G303:Z303)/AVERAGE(終値!G303:Z303),""))</f>
        <v>0.15844632950785434</v>
      </c>
      <c r="E303" s="503">
        <f>IF(終値!A303="","",IFERROR(4*STDEVP(終値!H303:AA303)/AVERAGE(終値!H303:AA303),""))</f>
        <v>0.16597943416477831</v>
      </c>
      <c r="F303" s="503">
        <f>IF(終値!A303="","",IFERROR(4*STDEVP(終値!I303:AB303)/AVERAGE(終値!I303:AB303),""))</f>
        <v>0.15892623008603071</v>
      </c>
      <c r="G303" s="503">
        <f>IF(終値!A303="","",IFERROR(4*STDEVP(終値!J303:AC303)/AVERAGE(終値!J303:AC303),""))</f>
        <v>0.14167758075805503</v>
      </c>
      <c r="H303" s="503">
        <f>IF(終値!A303="","",IFERROR(4*STDEVP(終値!K303:AD303)/AVERAGE(終値!K303:AD303),""))</f>
        <v>0.12399154033864002</v>
      </c>
      <c r="I303" s="503">
        <f>IF(終値!A303="","",IFERROR(4*STDEVP(終値!L303:AE303)/AVERAGE(終値!L303:AE303),""))</f>
        <v>0.1315871081142182</v>
      </c>
      <c r="J303" s="503">
        <f>IF(終値!A303="","",IFERROR(4*STDEVP(終値!M303:AF303)/AVERAGE(終値!M303:AF303),""))</f>
        <v>0.12133595741217627</v>
      </c>
      <c r="K303" s="503">
        <f>IF(終値!A303="","",IFERROR(4*STDEVP(終値!N303:AG303)/AVERAGE(終値!N303:AG303),""))</f>
        <v>0.11867949200045287</v>
      </c>
      <c r="L303" s="503">
        <f>IF(終値!A303="","",IFERROR(4*STDEVP(終値!O303:AH303)/AVERAGE(終値!O303:AH303),""))</f>
        <v>0.12317969221842992</v>
      </c>
      <c r="M303" s="503">
        <f>IF(終値!A303="","",IFERROR(4*STDEVP(終値!P303:AI303)/AVERAGE(終値!P303:AI303),""))</f>
        <v>0.11931274046418722</v>
      </c>
      <c r="N303" s="503">
        <f>IF(終値!A303="","",IFERROR(4*STDEVP(終値!Q303:AJ303)/AVERAGE(終値!Q303:AJ303),""))</f>
        <v>0.10196243836941328</v>
      </c>
      <c r="O303" s="503">
        <f>IF(終値!A303="","",IFERROR(4*STDEVP(終値!R303:AK303)/AVERAGE(終値!R303:AK303),""))</f>
        <v>0.10066033730397093</v>
      </c>
      <c r="P303" s="503">
        <f>IF(終値!A303="","",IFERROR(4*STDEVP(終値!S303:AL303)/AVERAGE(終値!S303:AL303),""))</f>
        <v>9.524248810301747E-2</v>
      </c>
      <c r="Q303" s="503">
        <f>IF(終値!A303="","",IFERROR(4*STDEVP(終値!T303:AM303)/AVERAGE(終値!T303:AM303),""))</f>
        <v>8.6080484854670125E-2</v>
      </c>
      <c r="R303" s="503">
        <f>IF(終値!A303="","",IFERROR(4*STDEVP(終値!U303:AN303)/AVERAGE(終値!U303:AN303),""))</f>
        <v>9.538319035572751E-2</v>
      </c>
      <c r="S303" s="503">
        <f>IF(終値!A303="","",IFERROR(4*STDEVP(終値!V303:AO303)/AVERAGE(終値!V303:AO303),""))</f>
        <v>0.11321122718719284</v>
      </c>
      <c r="T303" s="503">
        <f>IF(終値!A303="","",IFERROR(4*STDEVP(終値!W303:AP303)/AVERAGE(終値!W303:AP303),""))</f>
        <v>0.12577865165407842</v>
      </c>
      <c r="U303" s="503">
        <f>IF(終値!A303="","",IFERROR(4*STDEVP(終値!X303:AQ303)/AVERAGE(終値!X303:AQ303),""))</f>
        <v>0.14158891694829817</v>
      </c>
      <c r="V303" s="503">
        <f>IF(終値!A303="","",IFERROR(4*STDEVP(終値!Y303:AR303)/AVERAGE(終値!Y303:AR303),""))</f>
        <v>0.1449954474329142</v>
      </c>
      <c r="W303" s="503">
        <f>IF(終値!A303="","",IFERROR(4*STDEVP(終値!Z303:AS303)/AVERAGE(終値!Z303:AS303),""))</f>
        <v>0.14584334258966519</v>
      </c>
      <c r="X303" s="503">
        <f>IF(終値!A303="","",IFERROR(4*STDEVP(終値!AA303:AT303)/AVERAGE(終値!AA303:AT303),""))</f>
        <v>0.14597764005544503</v>
      </c>
      <c r="Y303" s="503">
        <f>IF(終値!A303="","",IFERROR(4*STDEVP(終値!AB303:AU303)/AVERAGE(終値!AB303:AU303),""))</f>
        <v>0.14688010248428413</v>
      </c>
      <c r="Z303" s="503">
        <f>IF(終値!A303="","",IFERROR(4*STDEVP(終値!AC303:AV303)/AVERAGE(終値!AC303:AV303),""))</f>
        <v>0.14854111115159993</v>
      </c>
      <c r="AA303" s="503">
        <f>IF(終値!A303="","",IFERROR(4*STDEVP(終値!AD303:AW303)/AVERAGE(終値!AD303:AW303),""))</f>
        <v>0.15564776223776222</v>
      </c>
      <c r="AB303" s="503">
        <f>IF(終値!A303="","",IFERROR(4*STDEVP(終値!AE303:AX303)/AVERAGE(終値!AE303:AX303),""))</f>
        <v>0.16001615899836813</v>
      </c>
      <c r="AC303" s="503">
        <f>IF(終値!A303="","",IFERROR(4*STDEVP(終値!AF303:AY303)/AVERAGE(終値!AF303:AY303),""))</f>
        <v>0.15244991663948337</v>
      </c>
      <c r="AD303" s="503">
        <f>IF(終値!A303="","",IFERROR(4*STDEVP(終値!AG303:AZ303)/AVERAGE(終値!AG303:AZ303),""))</f>
        <v>0.1610923417690405</v>
      </c>
      <c r="AE303" s="503">
        <f>IF(終値!A303="","",IFERROR(4*STDEVP(終値!AH303:BA303)/AVERAGE(終値!AH303:BA303),""))</f>
        <v>0.17353155020002214</v>
      </c>
      <c r="AF303" s="503">
        <f>IF(終値!A303="","",IFERROR(4*STDEVP(終値!AI303:BB303)/AVERAGE(終値!AI303:BB303),""))</f>
        <v>0.17908385544213698</v>
      </c>
      <c r="AG303" s="503">
        <f>IF(終値!A303="","",IFERROR(4*STDEVP(終値!AJ303:BC303)/AVERAGE(終値!AJ303:BC303),""))</f>
        <v>0.18051082961118306</v>
      </c>
      <c r="AH303" s="503">
        <f>IF(終値!A303="","",IFERROR(4*STDEVP(終値!AK303:BD303)/AVERAGE(終値!AK303:BD303),""))</f>
        <v>0.17622683233881525</v>
      </c>
      <c r="AI303" s="503">
        <f>IF(終値!A303="","",IFERROR(4*STDEVP(終値!AL303:BE303)/AVERAGE(終値!AL303:BE303),""))</f>
        <v>0.17096209351505975</v>
      </c>
      <c r="AJ303" s="503">
        <f>IF(終値!A303="","",IFERROR(4*STDEVP(終値!AM303:BF303)/AVERAGE(終値!AM303:BF303),""))</f>
        <v>0.16100985718507388</v>
      </c>
      <c r="AK303" s="503">
        <f>IF(終値!A303="","",IFERROR(4*STDEVP(終値!AN303:BG303)/AVERAGE(終値!AN303:BG303),""))</f>
        <v>0.14602099383820488</v>
      </c>
      <c r="AL303" s="503">
        <f>IF(終値!A303="","",IFERROR(4*STDEVP(終値!AO303:BH303)/AVERAGE(終値!AO303:BH303),""))</f>
        <v>0.14509319672827892</v>
      </c>
      <c r="AM303" s="503">
        <f>IF(終値!A303="","",IFERROR(4*STDEVP(終値!AP303:BI303)/AVERAGE(終値!AP303:BI303),""))</f>
        <v>0.14667128175090657</v>
      </c>
      <c r="AN303" s="503">
        <f>IF(終値!A303="","",IFERROR(4*STDEVP(終値!AQ303:BJ303)/AVERAGE(終値!AQ303:BJ303),""))</f>
        <v>0.14762450016207995</v>
      </c>
      <c r="AO303" s="503">
        <f>IF(終値!A303="","",IFERROR(4*STDEVP(終値!AR303:BK303)/AVERAGE(終値!AR303:BK303),""))</f>
        <v>0.14815375457795774</v>
      </c>
      <c r="AP303" s="503">
        <f>IF(終値!A303="","",IFERROR(4*STDEVP(終値!AS303:BL303)/AVERAGE(終値!AS303:BL303),""))</f>
        <v>0.15402691782168018</v>
      </c>
    </row>
    <row r="304" spans="1:42">
      <c r="A304" s="500" t="str">
        <f>IF(終値!A304="","",終値!A304)</f>
        <v>1944</v>
      </c>
      <c r="B304" s="503">
        <f>IF(終値!A304="","",IFERROR(4*STDEVP(終値!E304:X304)/AVERAGE(終値!E304:X304),""))</f>
        <v>0.17014849629749643</v>
      </c>
      <c r="C304" s="503">
        <f>IF(終値!A304="","",IFERROR(4*STDEVP(終値!F304:Y304)/AVERAGE(終値!F304:Y304),""))</f>
        <v>0.17350365470453152</v>
      </c>
      <c r="D304" s="503">
        <f>IF(終値!A304="","",IFERROR(4*STDEVP(終値!G304:Z304)/AVERAGE(終値!G304:Z304),""))</f>
        <v>0.16353140698998622</v>
      </c>
      <c r="E304" s="503">
        <f>IF(終値!A304="","",IFERROR(4*STDEVP(終値!H304:AA304)/AVERAGE(終値!H304:AA304),""))</f>
        <v>0.15565262342992112</v>
      </c>
      <c r="F304" s="503">
        <f>IF(終値!A304="","",IFERROR(4*STDEVP(終値!I304:AB304)/AVERAGE(終値!I304:AB304),""))</f>
        <v>0.15326306722521643</v>
      </c>
      <c r="G304" s="503">
        <f>IF(終値!A304="","",IFERROR(4*STDEVP(終値!J304:AC304)/AVERAGE(終値!J304:AC304),""))</f>
        <v>0.15077361661115177</v>
      </c>
      <c r="H304" s="503">
        <f>IF(終値!A304="","",IFERROR(4*STDEVP(終値!K304:AD304)/AVERAGE(終値!K304:AD304),""))</f>
        <v>0.15832623468434312</v>
      </c>
      <c r="I304" s="503">
        <f>IF(終値!A304="","",IFERROR(4*STDEVP(終値!L304:AE304)/AVERAGE(終値!L304:AE304),""))</f>
        <v>0.16681029027108066</v>
      </c>
      <c r="J304" s="503">
        <f>IF(終値!A304="","",IFERROR(4*STDEVP(終値!M304:AF304)/AVERAGE(終値!M304:AF304),""))</f>
        <v>0.17330792692017261</v>
      </c>
      <c r="K304" s="503">
        <f>IF(終値!A304="","",IFERROR(4*STDEVP(終値!N304:AG304)/AVERAGE(終値!N304:AG304),""))</f>
        <v>0.17166371360852015</v>
      </c>
      <c r="L304" s="503">
        <f>IF(終値!A304="","",IFERROR(4*STDEVP(終値!O304:AH304)/AVERAGE(終値!O304:AH304),""))</f>
        <v>0.1751908151923782</v>
      </c>
      <c r="M304" s="503">
        <f>IF(終値!A304="","",IFERROR(4*STDEVP(終値!P304:AI304)/AVERAGE(終値!P304:AI304),""))</f>
        <v>0.16585733491279803</v>
      </c>
      <c r="N304" s="503">
        <f>IF(終値!A304="","",IFERROR(4*STDEVP(終値!Q304:AJ304)/AVERAGE(終値!Q304:AJ304),""))</f>
        <v>0.13743360493263954</v>
      </c>
      <c r="O304" s="503">
        <f>IF(終値!A304="","",IFERROR(4*STDEVP(終値!R304:AK304)/AVERAGE(終値!R304:AK304),""))</f>
        <v>0.13248369503047344</v>
      </c>
      <c r="P304" s="503">
        <f>IF(終値!A304="","",IFERROR(4*STDEVP(終値!S304:AL304)/AVERAGE(終値!S304:AL304),""))</f>
        <v>0.136950997033325</v>
      </c>
      <c r="Q304" s="503">
        <f>IF(終値!A304="","",IFERROR(4*STDEVP(終値!T304:AM304)/AVERAGE(終値!T304:AM304),""))</f>
        <v>0.1413890353494055</v>
      </c>
      <c r="R304" s="503">
        <f>IF(終値!A304="","",IFERROR(4*STDEVP(終値!U304:AN304)/AVERAGE(終値!U304:AN304),""))</f>
        <v>0.18811623621580476</v>
      </c>
      <c r="S304" s="503">
        <f>IF(終値!A304="","",IFERROR(4*STDEVP(終値!V304:AO304)/AVERAGE(終値!V304:AO304),""))</f>
        <v>0.22159544421638938</v>
      </c>
      <c r="T304" s="503">
        <f>IF(終値!A304="","",IFERROR(4*STDEVP(終値!W304:AP304)/AVERAGE(終値!W304:AP304),""))</f>
        <v>0.2453086131993491</v>
      </c>
      <c r="U304" s="503">
        <f>IF(終値!A304="","",IFERROR(4*STDEVP(終値!X304:AQ304)/AVERAGE(終値!X304:AQ304),""))</f>
        <v>0.26907413004477126</v>
      </c>
      <c r="V304" s="503">
        <f>IF(終値!A304="","",IFERROR(4*STDEVP(終値!Y304:AR304)/AVERAGE(終値!Y304:AR304),""))</f>
        <v>0.29570674765487687</v>
      </c>
      <c r="W304" s="503">
        <f>IF(終値!A304="","",IFERROR(4*STDEVP(終値!Z304:AS304)/AVERAGE(終値!Z304:AS304),""))</f>
        <v>0.32083633501317665</v>
      </c>
      <c r="X304" s="503">
        <f>IF(終値!A304="","",IFERROR(4*STDEVP(終値!AA304:AT304)/AVERAGE(終値!AA304:AT304),""))</f>
        <v>0.34361929131527597</v>
      </c>
      <c r="Y304" s="503">
        <f>IF(終値!A304="","",IFERROR(4*STDEVP(終値!AB304:AU304)/AVERAGE(終値!AB304:AU304),""))</f>
        <v>0.35423909032548079</v>
      </c>
      <c r="Z304" s="503">
        <f>IF(終値!A304="","",IFERROR(4*STDEVP(終値!AC304:AV304)/AVERAGE(終値!AC304:AV304),""))</f>
        <v>0.35230219624624864</v>
      </c>
      <c r="AA304" s="503">
        <f>IF(終値!A304="","",IFERROR(4*STDEVP(終値!AD304:AW304)/AVERAGE(終値!AD304:AW304),""))</f>
        <v>0.34657886037359764</v>
      </c>
      <c r="AB304" s="503">
        <f>IF(終値!A304="","",IFERROR(4*STDEVP(終値!AE304:AX304)/AVERAGE(終値!AE304:AX304),""))</f>
        <v>0.33933921168169406</v>
      </c>
      <c r="AC304" s="503">
        <f>IF(終値!A304="","",IFERROR(4*STDEVP(終値!AF304:AY304)/AVERAGE(終値!AF304:AY304),""))</f>
        <v>0.32534663083253568</v>
      </c>
      <c r="AD304" s="503">
        <f>IF(終値!A304="","",IFERROR(4*STDEVP(終値!AG304:AZ304)/AVERAGE(終値!AG304:AZ304),""))</f>
        <v>0.31119523875423277</v>
      </c>
      <c r="AE304" s="503">
        <f>IF(終値!A304="","",IFERROR(4*STDEVP(終値!AH304:BA304)/AVERAGE(終値!AH304:BA304),""))</f>
        <v>0.29692035612692008</v>
      </c>
      <c r="AF304" s="503">
        <f>IF(終値!A304="","",IFERROR(4*STDEVP(終値!AI304:BB304)/AVERAGE(終値!AI304:BB304),""))</f>
        <v>0.25923182592794058</v>
      </c>
      <c r="AG304" s="503">
        <f>IF(終値!A304="","",IFERROR(4*STDEVP(終値!AJ304:BC304)/AVERAGE(終値!AJ304:BC304),""))</f>
        <v>0.20868309019754902</v>
      </c>
      <c r="AH304" s="503">
        <f>IF(終値!A304="","",IFERROR(4*STDEVP(終値!AK304:BD304)/AVERAGE(終値!AK304:BD304),""))</f>
        <v>0.16818306484207918</v>
      </c>
      <c r="AI304" s="503">
        <f>IF(終値!A304="","",IFERROR(4*STDEVP(終値!AL304:BE304)/AVERAGE(終値!AL304:BE304),""))</f>
        <v>0.14958820298160416</v>
      </c>
      <c r="AJ304" s="503">
        <f>IF(終値!A304="","",IFERROR(4*STDEVP(終値!AM304:BF304)/AVERAGE(終値!AM304:BF304),""))</f>
        <v>0.17347640533626196</v>
      </c>
      <c r="AK304" s="503">
        <f>IF(終値!A304="","",IFERROR(4*STDEVP(終値!AN304:BG304)/AVERAGE(終値!AN304:BG304),""))</f>
        <v>0.21198184984196874</v>
      </c>
      <c r="AL304" s="503">
        <f>IF(終値!A304="","",IFERROR(4*STDEVP(終値!AO304:BH304)/AVERAGE(終値!AO304:BH304),""))</f>
        <v>0.25013513938136439</v>
      </c>
      <c r="AM304" s="503">
        <f>IF(終値!A304="","",IFERROR(4*STDEVP(終値!AP304:BI304)/AVERAGE(終値!AP304:BI304),""))</f>
        <v>0.28317067024510462</v>
      </c>
      <c r="AN304" s="503">
        <f>IF(終値!A304="","",IFERROR(4*STDEVP(終値!AQ304:BJ304)/AVERAGE(終値!AQ304:BJ304),""))</f>
        <v>0.31262765098404754</v>
      </c>
      <c r="AO304" s="503">
        <f>IF(終値!A304="","",IFERROR(4*STDEVP(終値!AR304:BK304)/AVERAGE(終値!AR304:BK304),""))</f>
        <v>0.34115526474178115</v>
      </c>
      <c r="AP304" s="503">
        <f>IF(終値!A304="","",IFERROR(4*STDEVP(終値!AS304:BL304)/AVERAGE(終値!AS304:BL304),""))</f>
        <v>0.34098837003833726</v>
      </c>
    </row>
    <row r="305" spans="1:42">
      <c r="A305" s="500" t="str">
        <f>IF(終値!A305="","",終値!A305)</f>
        <v>7532</v>
      </c>
      <c r="B305" s="503">
        <f>IF(終値!A305="","",IFERROR(4*STDEVP(終値!E305:X305)/AVERAGE(終値!E305:X305),""))</f>
        <v>0.13241212650513226</v>
      </c>
      <c r="C305" s="503">
        <f>IF(終値!A305="","",IFERROR(4*STDEVP(終値!F305:Y305)/AVERAGE(終値!F305:Y305),""))</f>
        <v>0.14793078773080773</v>
      </c>
      <c r="D305" s="503">
        <f>IF(終値!A305="","",IFERROR(4*STDEVP(終値!G305:Z305)/AVERAGE(終値!G305:Z305),""))</f>
        <v>0.15894728379870735</v>
      </c>
      <c r="E305" s="503">
        <f>IF(終値!A305="","",IFERROR(4*STDEVP(終値!H305:AA305)/AVERAGE(終値!H305:AA305),""))</f>
        <v>0.17778297333670826</v>
      </c>
      <c r="F305" s="503">
        <f>IF(終値!A305="","",IFERROR(4*STDEVP(終値!I305:AB305)/AVERAGE(終値!I305:AB305),""))</f>
        <v>0.16909916317967522</v>
      </c>
      <c r="G305" s="503">
        <f>IF(終値!A305="","",IFERROR(4*STDEVP(終値!J305:AC305)/AVERAGE(終値!J305:AC305),""))</f>
        <v>0.13804759466290417</v>
      </c>
      <c r="H305" s="503">
        <f>IF(終値!A305="","",IFERROR(4*STDEVP(終値!K305:AD305)/AVERAGE(終値!K305:AD305),""))</f>
        <v>0.12438563592129089</v>
      </c>
      <c r="I305" s="503">
        <f>IF(終値!A305="","",IFERROR(4*STDEVP(終値!L305:AE305)/AVERAGE(終値!L305:AE305),""))</f>
        <v>0.12128084954253125</v>
      </c>
      <c r="J305" s="503">
        <f>IF(終値!A305="","",IFERROR(4*STDEVP(終値!M305:AF305)/AVERAGE(終値!M305:AF305),""))</f>
        <v>0.12490605125598046</v>
      </c>
      <c r="K305" s="503">
        <f>IF(終値!A305="","",IFERROR(4*STDEVP(終値!N305:AG305)/AVERAGE(終値!N305:AG305),""))</f>
        <v>0.12969801007653897</v>
      </c>
      <c r="L305" s="503">
        <f>IF(終値!A305="","",IFERROR(4*STDEVP(終値!O305:AH305)/AVERAGE(終値!O305:AH305),""))</f>
        <v>0.13139077094539484</v>
      </c>
      <c r="M305" s="503">
        <f>IF(終値!A305="","",IFERROR(4*STDEVP(終値!P305:AI305)/AVERAGE(終値!P305:AI305),""))</f>
        <v>0.12735560981565855</v>
      </c>
      <c r="N305" s="503">
        <f>IF(終値!A305="","",IFERROR(4*STDEVP(終値!Q305:AJ305)/AVERAGE(終値!Q305:AJ305),""))</f>
        <v>0.11598156257446444</v>
      </c>
      <c r="O305" s="503">
        <f>IF(終値!A305="","",IFERROR(4*STDEVP(終値!R305:AK305)/AVERAGE(終値!R305:AK305),""))</f>
        <v>0.11380413851446973</v>
      </c>
      <c r="P305" s="503">
        <f>IF(終値!A305="","",IFERROR(4*STDEVP(終値!S305:AL305)/AVERAGE(終値!S305:AL305),""))</f>
        <v>0.10623662503367663</v>
      </c>
      <c r="Q305" s="503">
        <f>IF(終値!A305="","",IFERROR(4*STDEVP(終値!T305:AM305)/AVERAGE(終値!T305:AM305),""))</f>
        <v>9.7803393118189502E-2</v>
      </c>
      <c r="R305" s="503">
        <f>IF(終値!A305="","",IFERROR(4*STDEVP(終値!U305:AN305)/AVERAGE(終値!U305:AN305),""))</f>
        <v>9.8938345377219891E-2</v>
      </c>
      <c r="S305" s="503">
        <f>IF(終値!A305="","",IFERROR(4*STDEVP(終値!V305:AO305)/AVERAGE(終値!V305:AO305),""))</f>
        <v>9.7620778790633633E-2</v>
      </c>
      <c r="T305" s="503">
        <f>IF(終値!A305="","",IFERROR(4*STDEVP(終値!W305:AP305)/AVERAGE(終値!W305:AP305),""))</f>
        <v>8.9024612452897056E-2</v>
      </c>
      <c r="U305" s="503">
        <f>IF(終値!A305="","",IFERROR(4*STDEVP(終値!X305:AQ305)/AVERAGE(終値!X305:AQ305),""))</f>
        <v>8.081349717264745E-2</v>
      </c>
      <c r="V305" s="503">
        <f>IF(終値!A305="","",IFERROR(4*STDEVP(終値!Y305:AR305)/AVERAGE(終値!Y305:AR305),""))</f>
        <v>7.6979506424067007E-2</v>
      </c>
      <c r="W305" s="503">
        <f>IF(終値!A305="","",IFERROR(4*STDEVP(終値!Z305:AS305)/AVERAGE(終値!Z305:AS305),""))</f>
        <v>7.6120021057716161E-2</v>
      </c>
      <c r="X305" s="503">
        <f>IF(終値!A305="","",IFERROR(4*STDEVP(終値!AA305:AT305)/AVERAGE(終値!AA305:AT305),""))</f>
        <v>7.5696659303631925E-2</v>
      </c>
      <c r="Y305" s="503">
        <f>IF(終値!A305="","",IFERROR(4*STDEVP(終値!AB305:AU305)/AVERAGE(終値!AB305:AU305),""))</f>
        <v>6.448081161473504E-2</v>
      </c>
      <c r="Z305" s="503">
        <f>IF(終値!A305="","",IFERROR(4*STDEVP(終値!AC305:AV305)/AVERAGE(終値!AC305:AV305),""))</f>
        <v>8.0124775908839402E-2</v>
      </c>
      <c r="AA305" s="503">
        <f>IF(終値!A305="","",IFERROR(4*STDEVP(終値!AD305:AW305)/AVERAGE(終値!AD305:AW305),""))</f>
        <v>8.3436267864768529E-2</v>
      </c>
      <c r="AB305" s="503">
        <f>IF(終値!A305="","",IFERROR(4*STDEVP(終値!AE305:AX305)/AVERAGE(終値!AE305:AX305),""))</f>
        <v>8.4246768096522998E-2</v>
      </c>
      <c r="AC305" s="503">
        <f>IF(終値!A305="","",IFERROR(4*STDEVP(終値!AF305:AY305)/AVERAGE(終値!AF305:AY305),""))</f>
        <v>8.3545059223585683E-2</v>
      </c>
      <c r="AD305" s="503">
        <f>IF(終値!A305="","",IFERROR(4*STDEVP(終値!AG305:AZ305)/AVERAGE(終値!AG305:AZ305),""))</f>
        <v>8.714701178063787E-2</v>
      </c>
      <c r="AE305" s="503">
        <f>IF(終値!A305="","",IFERROR(4*STDEVP(終値!AH305:BA305)/AVERAGE(終値!AH305:BA305),""))</f>
        <v>8.7522260602423338E-2</v>
      </c>
      <c r="AF305" s="503">
        <f>IF(終値!A305="","",IFERROR(4*STDEVP(終値!AI305:BB305)/AVERAGE(終値!AI305:BB305),""))</f>
        <v>8.880068929531848E-2</v>
      </c>
      <c r="AG305" s="503">
        <f>IF(終値!A305="","",IFERROR(4*STDEVP(終値!AJ305:BC305)/AVERAGE(終値!AJ305:BC305),""))</f>
        <v>9.3942235115424821E-2</v>
      </c>
      <c r="AH305" s="503">
        <f>IF(終値!A305="","",IFERROR(4*STDEVP(終値!AK305:BD305)/AVERAGE(終値!AK305:BD305),""))</f>
        <v>9.613188560116967E-2</v>
      </c>
      <c r="AI305" s="503">
        <f>IF(終値!A305="","",IFERROR(4*STDEVP(終値!AL305:BE305)/AVERAGE(終値!AL305:BE305),""))</f>
        <v>9.7574353452218113E-2</v>
      </c>
      <c r="AJ305" s="503">
        <f>IF(終値!A305="","",IFERROR(4*STDEVP(終値!AM305:BF305)/AVERAGE(終値!AM305:BF305),""))</f>
        <v>9.6213650103027626E-2</v>
      </c>
      <c r="AK305" s="503">
        <f>IF(終値!A305="","",IFERROR(4*STDEVP(終値!AN305:BG305)/AVERAGE(終値!AN305:BG305),""))</f>
        <v>9.9983001037232094E-2</v>
      </c>
      <c r="AL305" s="503">
        <f>IF(終値!A305="","",IFERROR(4*STDEVP(終値!AO305:BH305)/AVERAGE(終値!AO305:BH305),""))</f>
        <v>0.10777666653084897</v>
      </c>
      <c r="AM305" s="503">
        <f>IF(終値!A305="","",IFERROR(4*STDEVP(終値!AP305:BI305)/AVERAGE(終値!AP305:BI305),""))</f>
        <v>0.11921066091775226</v>
      </c>
      <c r="AN305" s="503">
        <f>IF(終値!A305="","",IFERROR(4*STDEVP(終値!AQ305:BJ305)/AVERAGE(終値!AQ305:BJ305),""))</f>
        <v>0.12136035133428938</v>
      </c>
      <c r="AO305" s="503">
        <f>IF(終値!A305="","",IFERROR(4*STDEVP(終値!AR305:BK305)/AVERAGE(終値!AR305:BK305),""))</f>
        <v>0.12215766605233552</v>
      </c>
      <c r="AP305" s="503">
        <f>IF(終値!A305="","",IFERROR(4*STDEVP(終値!AS305:BL305)/AVERAGE(終値!AS305:BL305),""))</f>
        <v>0.12013208110238524</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892" t="s">
        <v>1171</v>
      </c>
      <c r="B1" s="853"/>
      <c r="C1" s="853"/>
      <c r="D1" s="853"/>
      <c r="E1" s="853"/>
      <c r="F1" s="853"/>
      <c r="G1" s="853"/>
      <c r="H1" s="853"/>
    </row>
    <row r="3" spans="1:72" ht="54">
      <c r="A3" s="498" t="s">
        <v>1172</v>
      </c>
      <c r="AC3" s="498" t="s">
        <v>1173</v>
      </c>
    </row>
    <row r="6" spans="1:72">
      <c r="B6" s="503" t="str">
        <f>IF(終値!A6="","",IF(AND(安値!G6&lt;安値!F6,安値!G6&lt;安値!E6,安値!G6&lt;安値!H6,安値!G6&lt;安値!I6),2,""))</f>
        <v/>
      </c>
      <c r="C6" s="503" t="str">
        <f>IF(終値!A6="","",IF(AND(安値!H6&lt;安値!G6,安値!H6&lt;安値!F6,安値!H6&lt;安値!I6,安値!H6&lt;安値!J6),3,""))</f>
        <v/>
      </c>
      <c r="D6" s="503">
        <f>IF(終値!A6="","",IF(AND(安値!I6&lt;安値!H6,安値!I6&lt;安値!G6,安値!I6&lt;安値!J6,安値!I6&lt;安値!K6),4,""))</f>
        <v>4</v>
      </c>
      <c r="E6" s="503" t="str">
        <f>IF(終値!A6="","",IF(AND(安値!J6&lt;安値!I6,安値!J6&lt;安値!H6,安値!J6&lt;安値!K6,安値!J6&lt;安値!L6),5,""))</f>
        <v/>
      </c>
      <c r="F6" s="503" t="str">
        <f>IF(終値!A6="","",IF(AND(安値!K6&lt;安値!J6,安値!K6&lt;安値!I6,安値!K6&lt;安値!L6,安値!K6&lt;安値!M6),6,""))</f>
        <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f>IF(終値!A6="","",IF(AND(安値!P6&lt;安値!O6,安値!P6&lt;安値!N6,安値!P6&lt;安値!Q6,安値!P6&lt;安値!R6),11,""))</f>
        <v>11</v>
      </c>
      <c r="L6" s="503" t="str">
        <f>IF(終値!A6="","",IF(AND(安値!Q6&lt;安値!P6,安値!Q6&lt;安値!O6,安値!Q6&lt;安値!R6,安値!Q6&lt;安値!S6),12,""))</f>
        <v/>
      </c>
      <c r="M6" s="503" t="str">
        <f>IF(終値!A6="","",IF(AND(安値!R6&lt;安値!Q6,安値!R6&lt;安値!P6,安値!R6&lt;安値!S6,安値!R6&lt;安値!T6),13,""))</f>
        <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f>IF(終値!A6="","",IF(AND(安値!V6&lt;安値!U6,安値!V6&lt;安値!T6,安値!V6&lt;安値!W6,安値!V6&lt;安値!X6),17,""))</f>
        <v>17</v>
      </c>
      <c r="R6" s="503" t="str">
        <f>IF(終値!A6="","",IF(AND(安値!W6&lt;安値!V6,安値!W6&lt;安値!U6,安値!W6&lt;安値!X6,安値!W6&lt;安値!Y6),18,""))</f>
        <v/>
      </c>
      <c r="S6" s="503" t="str">
        <f>IF(終値!A6="","",IF(AND(安値!X6&lt;安値!W6,安値!X6&lt;安値!V6,安値!X6&lt;安値!Y6,安値!X6&lt;安値!Z6),19,""))</f>
        <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f>IF(終値!A6="","",IF(AND(安値!AC6&lt;安値!AB6,安値!AC6&lt;安値!AA6,安値!AC6&lt;安値!AD6,安値!AC6&lt;安値!AE6),24,""))</f>
        <v>24</v>
      </c>
      <c r="Y6" s="503" t="str">
        <f>IF(終値!A6="","",IF(AND(安値!AD6&lt;安値!AC6,安値!AD6&lt;安値!AB6,安値!AD6&lt;安値!AE6,安値!AD6&lt;安値!AF6),25,""))</f>
        <v/>
      </c>
      <c r="Z6" s="503" t="str">
        <f>IF(終値!A6="","",IF(AND(安値!AE6&lt;安値!AD6,安値!AE6&lt;安値!AC6,安値!AE6&lt;安値!AF6,安値!AE6&lt;安値!AG6),26,""))</f>
        <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f>IF(終値!A6="","",IF(AND(高値!N6&gt;高値!M6,高値!N6&gt;高値!L6,高値!N6&gt;高値!O6,高値!N6&gt;高値!P6),9,""))</f>
        <v>9</v>
      </c>
      <c r="AK6" s="503" t="str">
        <f>IF(終値!A6="","",IF(AND(高値!O6&gt;高値!N6,高値!O6&gt;高値!M6,高値!O6&gt;高値!P6,高値!O6&gt;高値!Q6),10,""))</f>
        <v/>
      </c>
      <c r="AL6" s="503" t="str">
        <f>IF(終値!A6="","",IF(AND(高値!P6&gt;高値!O6,高値!P6&gt;高値!N6,高値!P6&gt;高値!Q6,高値!P6&gt;高値!R6),11,""))</f>
        <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f>IF(終値!A6="","",IF(AND(高値!T6&gt;高値!S6,高値!T6&gt;高値!R6,高値!T6&gt;高値!U6,高値!T6&gt;高値!V6),15,""))</f>
        <v>15</v>
      </c>
      <c r="AQ6" s="503" t="str">
        <f>IF(終値!A6="","",IF(AND(高値!U6&gt;高値!T6,高値!U6&gt;高値!S6,高値!U6&gt;高値!V6,高値!U6&gt;高値!W6),16,""))</f>
        <v/>
      </c>
      <c r="AR6" s="503" t="str">
        <f>IF(終値!A6="","",IF(AND(高値!V6&gt;高値!U6,高値!V6&gt;高値!T6,高値!V6&gt;高値!W6,高値!V6&gt;高値!X6),17,""))</f>
        <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f>IF(終値!A6="","",IF(AND(高値!AA6&gt;高値!Z6,高値!AA6&gt;高値!Y6,高値!AA6&gt;高値!AB6,高値!AA6&gt;高値!AC6),22,""))</f>
        <v>22</v>
      </c>
      <c r="AX6" s="503" t="str">
        <f>IF(終値!A6="","",IF(AND(高値!AB6&gt;高値!AA6,高値!AB6&gt;高値!Z6,高値!AB6&gt;高値!AC6,高値!AB6&gt;高値!AD6),23,""))</f>
        <v/>
      </c>
      <c r="AY6" s="503" t="str">
        <f>IF(終値!A6="","",IF(AND(高値!AC6&gt;高値!AB6,高値!AC6&gt;高値!AA6,高値!AC6&gt;高値!AD6,高値!AC6&gt;高値!AE6),24,""))</f>
        <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f>IF(終値!A6="","",IF(AND(高値!AG6&gt;高値!AF6,高値!AG6&gt;高値!AE6,高値!AG6&gt;高値!AH6,高値!AG6&gt;高値!AI6),28,""))</f>
        <v>28</v>
      </c>
      <c r="BD6" s="503">
        <f t="shared" ref="BD6:BD69" si="0">COUNT($B6:$AB6)</f>
        <v>4</v>
      </c>
      <c r="BE6" s="503">
        <f t="shared" ref="BE6:BE69" si="1">IF($BD6&gt;=2,MIN($B6:$AB6),"")</f>
        <v>4</v>
      </c>
      <c r="BF6" s="503">
        <f t="shared" ref="BF6:BF69" si="2">IF($BD6&gt;=2,SMALL($B6:$AB6,2),"")</f>
        <v>11</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4</v>
      </c>
      <c r="BM6" s="503">
        <f t="shared" ref="BM6:BM69" si="4">IF($BL6&gt;=2,MIN($AC6:$BC6),"")</f>
        <v>9</v>
      </c>
      <c r="BN6" s="503">
        <f t="shared" ref="BN6:BN69" si="5">IF($BL6&gt;=2,SMALL($AC6:$BC6,2),"")</f>
        <v>15</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t="str">
        <f>IF(終値!A7="","",IF(AND(安値!G7&lt;安値!F7,安値!G7&lt;安値!E7,安値!G7&lt;安値!H7,安値!G7&lt;安値!I7),2,""))</f>
        <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f>IF(終値!A7="","",IF(AND(安値!L7&lt;安値!K7,安値!L7&lt;安値!J7,安値!L7&lt;安値!M7,安値!L7&lt;安値!N7),7,""))</f>
        <v>7</v>
      </c>
      <c r="H7" s="503" t="str">
        <f>IF(終値!A7="","",IF(AND(安値!M7&lt;安値!L7,安値!M7&lt;安値!K7,安値!M7&lt;安値!N7,安値!M7&lt;安値!O7),8,""))</f>
        <v/>
      </c>
      <c r="I7" s="503" t="str">
        <f>IF(終値!A7="","",IF(AND(安値!N7&lt;安値!M7,安値!N7&lt;安値!L7,安値!N7&lt;安値!O7,安値!N7&lt;安値!P7),9,""))</f>
        <v/>
      </c>
      <c r="J7" s="503" t="str">
        <f>IF(終値!A7="","",IF(AND(安値!O7&lt;安値!N7,安値!O7&lt;安値!M7,安値!O7&lt;安値!P7,安値!O7&lt;安値!Q7),10,""))</f>
        <v/>
      </c>
      <c r="K7" s="503">
        <f>IF(終値!A7="","",IF(AND(安値!P7&lt;安値!O7,安値!P7&lt;安値!N7,安値!P7&lt;安値!Q7,安値!P7&lt;安値!R7),11,""))</f>
        <v>11</v>
      </c>
      <c r="L7" s="503" t="str">
        <f>IF(終値!A7="","",IF(AND(安値!Q7&lt;安値!P7,安値!Q7&lt;安値!O7,安値!Q7&lt;安値!R7,安値!Q7&lt;安値!S7),12,""))</f>
        <v/>
      </c>
      <c r="M7" s="503" t="str">
        <f>IF(終値!A7="","",IF(AND(安値!R7&lt;安値!Q7,安値!R7&lt;安値!P7,安値!R7&lt;安値!S7,安値!R7&lt;安値!T7),13,""))</f>
        <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f>IF(終値!A7="","",IF(AND(安値!AD7&lt;安値!AC7,安値!AD7&lt;安値!AB7,安値!AD7&lt;安値!AE7,安値!AD7&lt;安値!AF7),25,""))</f>
        <v>25</v>
      </c>
      <c r="Z7" s="503" t="str">
        <f>IF(終値!A7="","",IF(AND(安値!AE7&lt;安値!AD7,安値!AE7&lt;安値!AC7,安値!AE7&lt;安値!AF7,安値!AE7&lt;安値!AG7),26,""))</f>
        <v/>
      </c>
      <c r="AA7" s="503" t="str">
        <f>IF(終値!A7="","",IF(AND(安値!AF7&lt;安値!AE7,安値!AF7&lt;安値!AD7,安値!AF7&lt;安値!AG7,安値!AF7&lt;安値!AH7),27,""))</f>
        <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f>IF(終値!A7="","",IF(AND(高値!I7&gt;高値!H7,高値!I7&gt;高値!G7,高値!I7&gt;高値!J7,高値!I7&gt;高値!K7),4,""))</f>
        <v>4</v>
      </c>
      <c r="AF7" s="503" t="str">
        <f>IF(終値!A7="","",IF(AND(高値!J7&gt;高値!I7,高値!J7&gt;高値!H7,高値!J7&gt;高値!K7,高値!J7&gt;高値!L7),5,""))</f>
        <v/>
      </c>
      <c r="AG7" s="503" t="str">
        <f>IF(終値!A7="","",IF(AND(高値!K7&gt;高値!J7,高値!K7&gt;高値!I7,高値!K7&gt;高値!L7,高値!K7&gt;高値!M7),6,""))</f>
        <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f>IF(終値!A7="","",IF(AND(高値!X7&gt;高値!W7,高値!X7&gt;高値!V7,高値!X7&gt;高値!Y7,高値!X7&gt;高値!Z7),19,""))</f>
        <v>19</v>
      </c>
      <c r="AU7" s="503" t="str">
        <f>IF(終値!A7="","",IF(AND(高値!Y7&gt;高値!X7,高値!Y7&gt;高値!W7,高値!Y7&gt;高値!Z7,高値!Y7&gt;高値!AA7),20,""))</f>
        <v/>
      </c>
      <c r="AV7" s="503" t="str">
        <f>IF(終値!A7="","",IF(AND(高値!Z7&gt;高値!Y7,高値!Z7&gt;高値!X7,高値!Z7&gt;高値!AA7,高値!Z7&gt;高値!AB7),21,""))</f>
        <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3</v>
      </c>
      <c r="BE7" s="503">
        <f t="shared" si="1"/>
        <v>7</v>
      </c>
      <c r="BF7" s="503">
        <f t="shared" si="2"/>
        <v>11</v>
      </c>
      <c r="BG7" s="503">
        <f>IF($BE7="","",INDEX(安値!$E7:$CZ7,1,$BE7+1))</f>
        <v>1680</v>
      </c>
      <c r="BH7" s="503">
        <f>IF($BF7="","",INDEX(安値!$E7:$CZ7,1,$BF7+1))</f>
        <v>1579</v>
      </c>
      <c r="BI7" s="503">
        <f>IF($BF7="","",MAX(INDEX(高値!$E7:$CZ7,1,$BE7+1):INDEX(高値!$E7:$CZ7,1,$BF7+1)))</f>
        <v>1789</v>
      </c>
      <c r="BJ7" s="503">
        <f>IF($BF7="","",AVERAGE(INDEX(終値!$E7:$CZ7,1,$BF7+1):INDEX(終値!$E7:$CZ7,1,$BF7+20))-2*STDEVP(INDEX(終値!$E7:$CZ7,1,$BF7+1):INDEX(終値!$E7:$CZ7,1,$BF7+20)))</f>
        <v>1666.6211846361323</v>
      </c>
      <c r="BK7" s="503">
        <f>IF($BE7="","",AVERAGE(INDEX(終値!$E7:$CZ7,1,$BE7+1):INDEX(終値!$E7:$CZ7,1,$BE7+20))-2*STDEVP(INDEX(終値!$E7:$CZ7,1,$BE7+1):INDEX(終値!$E7:$CZ7,1,$BE7+20)))</f>
        <v>1665.9573641293673</v>
      </c>
      <c r="BL7" s="503">
        <f t="shared" si="3"/>
        <v>2</v>
      </c>
      <c r="BM7" s="503">
        <f t="shared" si="4"/>
        <v>4</v>
      </c>
      <c r="BN7" s="503">
        <f t="shared" si="5"/>
        <v>19</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二番天井M形成</v>
      </c>
    </row>
    <row r="8" spans="1:72">
      <c r="B8" s="503" t="str">
        <f>IF(終値!A8="","",IF(AND(安値!G8&lt;安値!F8,安値!G8&lt;安値!E8,安値!G8&lt;安値!H8,安値!G8&lt;安値!I8),2,""))</f>
        <v/>
      </c>
      <c r="C8" s="503" t="str">
        <f>IF(終値!A8="","",IF(AND(安値!H8&lt;安値!G8,安値!H8&lt;安値!F8,安値!H8&lt;安値!I8,安値!H8&lt;安値!J8),3,""))</f>
        <v/>
      </c>
      <c r="D8" s="503">
        <f>IF(終値!A8="","",IF(AND(安値!I8&lt;安値!H8,安値!I8&lt;安値!G8,安値!I8&lt;安値!J8,安値!I8&lt;安値!K8),4,""))</f>
        <v>4</v>
      </c>
      <c r="E8" s="503" t="str">
        <f>IF(終値!A8="","",IF(AND(安値!J8&lt;安値!I8,安値!J8&lt;安値!H8,安値!J8&lt;安値!K8,安値!J8&lt;安値!L8),5,""))</f>
        <v/>
      </c>
      <c r="F8" s="503" t="str">
        <f>IF(終値!A8="","",IF(AND(安値!K8&lt;安値!J8,安値!K8&lt;安値!I8,安値!K8&lt;安値!L8,安値!K8&lt;安値!M8),6,""))</f>
        <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f>IF(終値!A8="","",IF(AND(安値!P8&lt;安値!O8,安値!P8&lt;安値!N8,安値!P8&lt;安値!Q8,安値!P8&lt;安値!R8),11,""))</f>
        <v>11</v>
      </c>
      <c r="L8" s="503" t="str">
        <f>IF(終値!A8="","",IF(AND(安値!Q8&lt;安値!P8,安値!Q8&lt;安値!O8,安値!Q8&lt;安値!R8,安値!Q8&lt;安値!S8),12,""))</f>
        <v/>
      </c>
      <c r="M8" s="503" t="str">
        <f>IF(終値!A8="","",IF(AND(安値!R8&lt;安値!Q8,安値!R8&lt;安値!P8,安値!R8&lt;安値!S8,安値!R8&lt;安値!T8),13,""))</f>
        <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f>IF(終値!A8="","",IF(AND(安値!AC8&lt;安値!AB8,安値!AC8&lt;安値!AA8,安値!AC8&lt;安値!AD8,安値!AC8&lt;安値!AE8),24,""))</f>
        <v>24</v>
      </c>
      <c r="Y8" s="503" t="str">
        <f>IF(終値!A8="","",IF(AND(安値!AD8&lt;安値!AC8,安値!AD8&lt;安値!AB8,安値!AD8&lt;安値!AE8,安値!AD8&lt;安値!AF8),25,""))</f>
        <v/>
      </c>
      <c r="Z8" s="503" t="str">
        <f>IF(終値!A8="","",IF(AND(安値!AE8&lt;安値!AD8,安値!AE8&lt;安値!AC8,安値!AE8&lt;安値!AF8,安値!AE8&lt;安値!AG8),26,""))</f>
        <v/>
      </c>
      <c r="AA8" s="503" t="str">
        <f>IF(終値!A8="","",IF(AND(安値!AF8&lt;安値!AE8,安値!AF8&lt;安値!AD8,安値!AF8&lt;安値!AG8,安値!AF8&lt;安値!AH8),27,""))</f>
        <v/>
      </c>
      <c r="AB8" s="503" t="str">
        <f>IF(終値!A8="","",IF(AND(安値!AG8&lt;安値!AF8,安値!AG8&lt;安値!AE8,安値!AG8&lt;安値!AH8,安値!AG8&lt;安値!AI8),28,""))</f>
        <v/>
      </c>
      <c r="AC8" s="503">
        <f>IF(終値!A8="","",IF(AND(高値!G8&gt;高値!F8,高値!G8&gt;高値!E8,高値!G8&gt;高値!H8,高値!G8&gt;高値!I8),2,""))</f>
        <v>2</v>
      </c>
      <c r="AD8" s="503" t="str">
        <f>IF(終値!A8="","",IF(AND(高値!H8&gt;高値!G8,高値!H8&gt;高値!F8,高値!H8&gt;高値!I8,高値!H8&gt;高値!J8),3,""))</f>
        <v/>
      </c>
      <c r="AE8" s="503" t="str">
        <f>IF(終値!A8="","",IF(AND(高値!I8&gt;高値!H8,高値!I8&gt;高値!G8,高値!I8&gt;高値!J8,高値!I8&gt;高値!K8),4,""))</f>
        <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f>IF(終値!A8="","",IF(AND(高値!M8&gt;高値!L8,高値!M8&gt;高値!K8,高値!M8&gt;高値!N8,高値!M8&gt;高値!O8),8,""))</f>
        <v>8</v>
      </c>
      <c r="AJ8" s="503" t="str">
        <f>IF(終値!A8="","",IF(AND(高値!N8&gt;高値!M8,高値!N8&gt;高値!L8,高値!N8&gt;高値!O8,高値!N8&gt;高値!P8),9,""))</f>
        <v/>
      </c>
      <c r="AK8" s="503" t="str">
        <f>IF(終値!A8="","",IF(AND(高値!O8&gt;高値!N8,高値!O8&gt;高値!M8,高値!O8&gt;高値!P8,高値!O8&gt;高値!Q8),10,""))</f>
        <v/>
      </c>
      <c r="AL8" s="503" t="str">
        <f>IF(終値!A8="","",IF(AND(高値!P8&gt;高値!O8,高値!P8&gt;高値!N8,高値!P8&gt;高値!Q8,高値!P8&gt;高値!R8),11,""))</f>
        <v/>
      </c>
      <c r="AM8" s="503">
        <f>IF(終値!A8="","",IF(AND(高値!Q8&gt;高値!P8,高値!Q8&gt;高値!O8,高値!Q8&gt;高値!R8,高値!Q8&gt;高値!S8),12,""))</f>
        <v>12</v>
      </c>
      <c r="AN8" s="503" t="str">
        <f>IF(終値!A8="","",IF(AND(高値!R8&gt;高値!Q8,高値!R8&gt;高値!P8,高値!R8&gt;高値!S8,高値!R8&gt;高値!T8),13,""))</f>
        <v/>
      </c>
      <c r="AO8" s="503" t="str">
        <f>IF(終値!A8="","",IF(AND(高値!S8&gt;高値!R8,高値!S8&gt;高値!Q8,高値!S8&gt;高値!T8,高値!S8&gt;高値!U8),14,""))</f>
        <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f>IF(終値!A8="","",IF(AND(高値!X8&gt;高値!W8,高値!X8&gt;高値!V8,高値!X8&gt;高値!Y8,高値!X8&gt;高値!Z8),19,""))</f>
        <v>19</v>
      </c>
      <c r="AU8" s="503" t="str">
        <f>IF(終値!A8="","",IF(AND(高値!Y8&gt;高値!X8,高値!Y8&gt;高値!W8,高値!Y8&gt;高値!Z8,高値!Y8&gt;高値!AA8),20,""))</f>
        <v/>
      </c>
      <c r="AV8" s="503" t="str">
        <f>IF(終値!A8="","",IF(AND(高値!Z8&gt;高値!Y8,高値!Z8&gt;高値!X8,高値!Z8&gt;高値!AA8,高値!Z8&gt;高値!AB8),21,""))</f>
        <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4</v>
      </c>
      <c r="BF8" s="503">
        <f t="shared" si="2"/>
        <v>11</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2</v>
      </c>
      <c r="BN8" s="503">
        <f t="shared" si="5"/>
        <v>8</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二番天井M形成</v>
      </c>
    </row>
    <row r="9" spans="1:72">
      <c r="B9" s="503" t="str">
        <f>IF(終値!A9="","",IF(AND(安値!G9&lt;安値!F9,安値!G9&lt;安値!E9,安値!G9&lt;安値!H9,安値!G9&lt;安値!I9),2,""))</f>
        <v/>
      </c>
      <c r="C9" s="503" t="str">
        <f>IF(終値!A9="","",IF(AND(安値!H9&lt;安値!G9,安値!H9&lt;安値!F9,安値!H9&lt;安値!I9,安値!H9&lt;安値!J9),3,""))</f>
        <v/>
      </c>
      <c r="D9" s="503">
        <f>IF(終値!A9="","",IF(AND(安値!I9&lt;安値!H9,安値!I9&lt;安値!G9,安値!I9&lt;安値!J9,安値!I9&lt;安値!K9),4,""))</f>
        <v>4</v>
      </c>
      <c r="E9" s="503" t="str">
        <f>IF(終値!A9="","",IF(AND(安値!J9&lt;安値!I9,安値!J9&lt;安値!H9,安値!J9&lt;安値!K9,安値!J9&lt;安値!L9),5,""))</f>
        <v/>
      </c>
      <c r="F9" s="503" t="str">
        <f>IF(終値!A9="","",IF(AND(安値!K9&lt;安値!J9,安値!K9&lt;安値!I9,安値!K9&lt;安値!L9,安値!K9&lt;安値!M9),6,""))</f>
        <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f>IF(終値!A9="","",IF(AND(安値!P9&lt;安値!O9,安値!P9&lt;安値!N9,安値!P9&lt;安値!Q9,安値!P9&lt;安値!R9),11,""))</f>
        <v>11</v>
      </c>
      <c r="L9" s="503" t="str">
        <f>IF(終値!A9="","",IF(AND(安値!Q9&lt;安値!P9,安値!Q9&lt;安値!O9,安値!Q9&lt;安値!R9,安値!Q9&lt;安値!S9),12,""))</f>
        <v/>
      </c>
      <c r="M9" s="503" t="str">
        <f>IF(終値!A9="","",IF(AND(安値!R9&lt;安値!Q9,安値!R9&lt;安値!P9,安値!R9&lt;安値!S9,安値!R9&lt;安値!T9),13,""))</f>
        <v/>
      </c>
      <c r="N9" s="503" t="str">
        <f>IF(終値!A9="","",IF(AND(安値!S9&lt;安値!R9,安値!S9&lt;安値!Q9,安値!S9&lt;安値!T9,安値!S9&lt;安値!U9),14,""))</f>
        <v/>
      </c>
      <c r="O9" s="503" t="str">
        <f>IF(終値!A9="","",IF(AND(安値!T9&lt;安値!S9,安値!T9&lt;安値!R9,安値!T9&lt;安値!U9,安値!T9&lt;安値!V9),15,""))</f>
        <v/>
      </c>
      <c r="P9" s="503">
        <f>IF(終値!A9="","",IF(AND(安値!U9&lt;安値!T9,安値!U9&lt;安値!S9,安値!U9&lt;安値!V9,安値!U9&lt;安値!W9),16,""))</f>
        <v>16</v>
      </c>
      <c r="Q9" s="503" t="str">
        <f>IF(終値!A9="","",IF(AND(安値!V9&lt;安値!U9,安値!V9&lt;安値!T9,安値!V9&lt;安値!W9,安値!V9&lt;安値!X9),17,""))</f>
        <v/>
      </c>
      <c r="R9" s="503" t="str">
        <f>IF(終値!A9="","",IF(AND(安値!W9&lt;安値!V9,安値!W9&lt;安値!U9,安値!W9&lt;安値!X9,安値!W9&lt;安値!Y9),18,""))</f>
        <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f>IF(終値!A9="","",IF(AND(安値!AC9&lt;安値!AB9,安値!AC9&lt;安値!AA9,安値!AC9&lt;安値!AD9,安値!AC9&lt;安値!AE9),24,""))</f>
        <v>24</v>
      </c>
      <c r="Y9" s="503" t="str">
        <f>IF(終値!A9="","",IF(AND(安値!AD9&lt;安値!AC9,安値!AD9&lt;安値!AB9,安値!AD9&lt;安値!AE9,安値!AD9&lt;安値!AF9),25,""))</f>
        <v/>
      </c>
      <c r="Z9" s="503" t="str">
        <f>IF(終値!A9="","",IF(AND(安値!AE9&lt;安値!AD9,安値!AE9&lt;安値!AC9,安値!AE9&lt;安値!AF9,安値!AE9&lt;安値!AG9),26,""))</f>
        <v/>
      </c>
      <c r="AA9" s="503" t="str">
        <f>IF(終値!A9="","",IF(AND(安値!AF9&lt;安値!AE9,安値!AF9&lt;安値!AD9,安値!AF9&lt;安値!AG9,安値!AF9&lt;安値!AH9),27,""))</f>
        <v/>
      </c>
      <c r="AB9" s="503" t="str">
        <f>IF(終値!A9="","",IF(AND(安値!AG9&lt;安値!AF9,安値!AG9&lt;安値!AE9,安値!AG9&lt;安値!AH9,安値!AG9&lt;安値!AI9),28,""))</f>
        <v/>
      </c>
      <c r="AC9" s="503">
        <f>IF(終値!A9="","",IF(AND(高値!G9&gt;高値!F9,高値!G9&gt;高値!E9,高値!G9&gt;高値!H9,高値!G9&gt;高値!I9),2,""))</f>
        <v>2</v>
      </c>
      <c r="AD9" s="503" t="str">
        <f>IF(終値!A9="","",IF(AND(高値!H9&gt;高値!G9,高値!H9&gt;高値!F9,高値!H9&gt;高値!I9,高値!H9&gt;高値!J9),3,""))</f>
        <v/>
      </c>
      <c r="AE9" s="503" t="str">
        <f>IF(終値!A9="","",IF(AND(高値!I9&gt;高値!H9,高値!I9&gt;高値!G9,高値!I9&gt;高値!J9,高値!I9&gt;高値!K9),4,""))</f>
        <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f>IF(終値!A9="","",IF(AND(高値!M9&gt;高値!L9,高値!M9&gt;高値!K9,高値!M9&gt;高値!N9,高値!M9&gt;高値!O9),8,""))</f>
        <v>8</v>
      </c>
      <c r="AJ9" s="503" t="str">
        <f>IF(終値!A9="","",IF(AND(高値!N9&gt;高値!M9,高値!N9&gt;高値!L9,高値!N9&gt;高値!O9,高値!N9&gt;高値!P9),9,""))</f>
        <v/>
      </c>
      <c r="AK9" s="503" t="str">
        <f>IF(終値!A9="","",IF(AND(高値!O9&gt;高値!N9,高値!O9&gt;高値!M9,高値!O9&gt;高値!P9,高値!O9&gt;高値!Q9),10,""))</f>
        <v/>
      </c>
      <c r="AL9" s="503" t="str">
        <f>IF(終値!A9="","",IF(AND(高値!P9&gt;高値!O9,高値!P9&gt;高値!N9,高値!P9&gt;高値!Q9,高値!P9&gt;高値!R9),11,""))</f>
        <v/>
      </c>
      <c r="AM9" s="503">
        <f>IF(終値!A9="","",IF(AND(高値!Q9&gt;高値!P9,高値!Q9&gt;高値!O9,高値!Q9&gt;高値!R9,高値!Q9&gt;高値!S9),12,""))</f>
        <v>12</v>
      </c>
      <c r="AN9" s="503" t="str">
        <f>IF(終値!A9="","",IF(AND(高値!R9&gt;高値!Q9,高値!R9&gt;高値!P9,高値!R9&gt;高値!S9,高値!R9&gt;高値!T9),13,""))</f>
        <v/>
      </c>
      <c r="AO9" s="503" t="str">
        <f>IF(終値!A9="","",IF(AND(高値!S9&gt;高値!R9,高値!S9&gt;高値!Q9,高値!S9&gt;高値!T9,高値!S9&gt;高値!U9),14,""))</f>
        <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f>IF(終値!A9="","",IF(AND(高値!X9&gt;高値!W9,高値!X9&gt;高値!V9,高値!X9&gt;高値!Y9,高値!X9&gt;高値!Z9),19,""))</f>
        <v>19</v>
      </c>
      <c r="AU9" s="503" t="str">
        <f>IF(終値!A9="","",IF(AND(高値!Y9&gt;高値!X9,高値!Y9&gt;高値!W9,高値!Y9&gt;高値!Z9,高値!Y9&gt;高値!AA9),20,""))</f>
        <v/>
      </c>
      <c r="AV9" s="503" t="str">
        <f>IF(終値!A9="","",IF(AND(高値!Z9&gt;高値!Y9,高値!Z9&gt;高値!X9,高値!Z9&gt;高値!AA9,高値!Z9&gt;高値!AB9),21,""))</f>
        <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4</v>
      </c>
      <c r="BF9" s="503">
        <f t="shared" si="2"/>
        <v>11</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2</v>
      </c>
      <c r="BN9" s="503">
        <f t="shared" si="5"/>
        <v>8</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二番底W形成</v>
      </c>
    </row>
    <row r="10" spans="1:72">
      <c r="B10" s="503" t="str">
        <f>IF(終値!A10="","",IF(AND(安値!G10&lt;安値!F10,安値!G10&lt;安値!E10,安値!G10&lt;安値!H10,安値!G10&lt;安値!I10),2,""))</f>
        <v/>
      </c>
      <c r="C10" s="503" t="str">
        <f>IF(終値!A10="","",IF(AND(安値!H10&lt;安値!G10,安値!H10&lt;安値!F10,安値!H10&lt;安値!I10,安値!H10&lt;安値!J10),3,""))</f>
        <v/>
      </c>
      <c r="D10" s="503">
        <f>IF(終値!A10="","",IF(AND(安値!I10&lt;安値!H10,安値!I10&lt;安値!G10,安値!I10&lt;安値!J10,安値!I10&lt;安値!K10),4,""))</f>
        <v>4</v>
      </c>
      <c r="E10" s="503" t="str">
        <f>IF(終値!A10="","",IF(AND(安値!J10&lt;安値!I10,安値!J10&lt;安値!H10,安値!J10&lt;安値!K10,安値!J10&lt;安値!L10),5,""))</f>
        <v/>
      </c>
      <c r="F10" s="503" t="str">
        <f>IF(終値!A10="","",IF(AND(安値!K10&lt;安値!J10,安値!K10&lt;安値!I10,安値!K10&lt;安値!L10,安値!K10&lt;安値!M10),6,""))</f>
        <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f>IF(終値!A10="","",IF(AND(安値!P10&lt;安値!O10,安値!P10&lt;安値!N10,安値!P10&lt;安値!Q10,安値!P10&lt;安値!R10),11,""))</f>
        <v>11</v>
      </c>
      <c r="L10" s="503" t="str">
        <f>IF(終値!A10="","",IF(AND(安値!Q10&lt;安値!P10,安値!Q10&lt;安値!O10,安値!Q10&lt;安値!R10,安値!Q10&lt;安値!S10),12,""))</f>
        <v/>
      </c>
      <c r="M10" s="503" t="str">
        <f>IF(終値!A10="","",IF(AND(安値!R10&lt;安値!Q10,安値!R10&lt;安値!P10,安値!R10&lt;安値!S10,安値!R10&lt;安値!T10),13,""))</f>
        <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f>IF(終値!A10="","",IF(AND(安値!AC10&lt;安値!AB10,安値!AC10&lt;安値!AA10,安値!AC10&lt;安値!AD10,安値!AC10&lt;安値!AE10),24,""))</f>
        <v>24</v>
      </c>
      <c r="Y10" s="503" t="str">
        <f>IF(終値!A10="","",IF(AND(安値!AD10&lt;安値!AC10,安値!AD10&lt;安値!AB10,安値!AD10&lt;安値!AE10,安値!AD10&lt;安値!AF10),25,""))</f>
        <v/>
      </c>
      <c r="Z10" s="503" t="str">
        <f>IF(終値!A10="","",IF(AND(安値!AE10&lt;安値!AD10,安値!AE10&lt;安値!AC10,安値!AE10&lt;安値!AF10,安値!AE10&lt;安値!AG10),26,""))</f>
        <v/>
      </c>
      <c r="AA10" s="503" t="str">
        <f>IF(終値!A10="","",IF(AND(安値!AF10&lt;安値!AE10,安値!AF10&lt;安値!AD10,安値!AF10&lt;安値!AG10,安値!AF10&lt;安値!AH10),27,""))</f>
        <v/>
      </c>
      <c r="AB10" s="503" t="str">
        <f>IF(終値!A10="","",IF(AND(安値!AG10&lt;安値!AF10,安値!AG10&lt;安値!AE10,安値!AG10&lt;安値!AH10,安値!AG10&lt;安値!AI10),28,""))</f>
        <v/>
      </c>
      <c r="AC10" s="503">
        <f>IF(終値!A10="","",IF(AND(高値!G10&gt;高値!F10,高値!G10&gt;高値!E10,高値!G10&gt;高値!H10,高値!G10&gt;高値!I10),2,""))</f>
        <v>2</v>
      </c>
      <c r="AD10" s="503" t="str">
        <f>IF(終値!A10="","",IF(AND(高値!H10&gt;高値!G10,高値!H10&gt;高値!F10,高値!H10&gt;高値!I10,高値!H10&gt;高値!J10),3,""))</f>
        <v/>
      </c>
      <c r="AE10" s="503" t="str">
        <f>IF(終値!A10="","",IF(AND(高値!I10&gt;高値!H10,高値!I10&gt;高値!G10,高値!I10&gt;高値!J10,高値!I10&gt;高値!K10),4,""))</f>
        <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f>IF(終値!A10="","",IF(AND(高値!N10&gt;高値!M10,高値!N10&gt;高値!L10,高値!N10&gt;高値!O10,高値!N10&gt;高値!P10),9,""))</f>
        <v>9</v>
      </c>
      <c r="AK10" s="503" t="str">
        <f>IF(終値!A10="","",IF(AND(高値!O10&gt;高値!N10,高値!O10&gt;高値!M10,高値!O10&gt;高値!P10,高値!O10&gt;高値!Q10),10,""))</f>
        <v/>
      </c>
      <c r="AL10" s="503" t="str">
        <f>IF(終値!A10="","",IF(AND(高値!P10&gt;高値!O10,高値!P10&gt;高値!N10,高値!P10&gt;高値!Q10,高値!P10&gt;高値!R10),11,""))</f>
        <v/>
      </c>
      <c r="AM10" s="503">
        <f>IF(終値!A10="","",IF(AND(高値!Q10&gt;高値!P10,高値!Q10&gt;高値!O10,高値!Q10&gt;高値!R10,高値!Q10&gt;高値!S10),12,""))</f>
        <v>12</v>
      </c>
      <c r="AN10" s="503" t="str">
        <f>IF(終値!A10="","",IF(AND(高値!R10&gt;高値!Q10,高値!R10&gt;高値!P10,高値!R10&gt;高値!S10,高値!R10&gt;高値!T10),13,""))</f>
        <v/>
      </c>
      <c r="AO10" s="503" t="str">
        <f>IF(終値!A10="","",IF(AND(高値!S10&gt;高値!R10,高値!S10&gt;高値!Q10,高値!S10&gt;高値!T10,高値!S10&gt;高値!U10),14,""))</f>
        <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f>IF(終値!A10="","",IF(AND(高値!X10&gt;高値!W10,高値!X10&gt;高値!V10,高値!X10&gt;高値!Y10,高値!X10&gt;高値!Z10),19,""))</f>
        <v>19</v>
      </c>
      <c r="AU10" s="503" t="str">
        <f>IF(終値!A10="","",IF(AND(高値!Y10&gt;高値!X10,高値!Y10&gt;高値!W10,高値!Y10&gt;高値!Z10,高値!Y10&gt;高値!AA10),20,""))</f>
        <v/>
      </c>
      <c r="AV10" s="503" t="str">
        <f>IF(終値!A10="","",IF(AND(高値!Z10&gt;高値!Y10,高値!Z10&gt;高値!X10,高値!Z10&gt;高値!AA10,高値!Z10&gt;高値!AB10),21,""))</f>
        <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4</v>
      </c>
      <c r="BF10" s="503">
        <f t="shared" si="2"/>
        <v>11</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2</v>
      </c>
      <c r="BN10" s="503">
        <f t="shared" si="5"/>
        <v>9</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二番底W形成</v>
      </c>
    </row>
    <row r="11" spans="1:72">
      <c r="B11" s="503" t="str">
        <f>IF(終値!A11="","",IF(AND(安値!G11&lt;安値!F11,安値!G11&lt;安値!E11,安値!G11&lt;安値!H11,安値!G11&lt;安値!I11),2,""))</f>
        <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f>IF(終値!A11="","",IF(AND(安値!L11&lt;安値!K11,安値!L11&lt;安値!J11,安値!L11&lt;安値!M11,安値!L11&lt;安値!N11),7,""))</f>
        <v>7</v>
      </c>
      <c r="H11" s="503" t="str">
        <f>IF(終値!A11="","",IF(AND(安値!M11&lt;安値!L11,安値!M11&lt;安値!K11,安値!M11&lt;安値!N11,安値!M11&lt;安値!O11),8,""))</f>
        <v/>
      </c>
      <c r="I11" s="503" t="str">
        <f>IF(終値!A11="","",IF(AND(安値!N11&lt;安値!M11,安値!N11&lt;安値!L11,安値!N11&lt;安値!O11,安値!N11&lt;安値!P11),9,""))</f>
        <v/>
      </c>
      <c r="J11" s="503" t="str">
        <f>IF(終値!A11="","",IF(AND(安値!O11&lt;安値!N11,安値!O11&lt;安値!M11,安値!O11&lt;安値!P11,安値!O11&lt;安値!Q11),10,""))</f>
        <v/>
      </c>
      <c r="K11" s="503" t="str">
        <f>IF(終値!A11="","",IF(AND(安値!P11&lt;安値!O11,安値!P11&lt;安値!N11,安値!P11&lt;安値!Q11,安値!P11&lt;安値!R11),11,""))</f>
        <v/>
      </c>
      <c r="L11" s="503">
        <f>IF(終値!A11="","",IF(AND(安値!Q11&lt;安値!P11,安値!Q11&lt;安値!O11,安値!Q11&lt;安値!R11,安値!Q11&lt;安値!S11),12,""))</f>
        <v>12</v>
      </c>
      <c r="M11" s="503" t="str">
        <f>IF(終値!A11="","",IF(AND(安値!R11&lt;安値!Q11,安値!R11&lt;安値!P11,安値!R11&lt;安値!S11,安値!R11&lt;安値!T11),13,""))</f>
        <v/>
      </c>
      <c r="N11" s="503" t="str">
        <f>IF(終値!A11="","",IF(AND(安値!S11&lt;安値!R11,安値!S11&lt;安値!Q11,安値!S11&lt;安値!T11,安値!S11&lt;安値!U11),14,""))</f>
        <v/>
      </c>
      <c r="O11" s="503" t="str">
        <f>IF(終値!A11="","",IF(AND(安値!T11&lt;安値!S11,安値!T11&lt;安値!R11,安値!T11&lt;安値!U11,安値!T11&lt;安値!V11),15,""))</f>
        <v/>
      </c>
      <c r="P11" s="503">
        <f>IF(終値!A11="","",IF(AND(安値!U11&lt;安値!T11,安値!U11&lt;安値!S11,安値!U11&lt;安値!V11,安値!U11&lt;安値!W11),16,""))</f>
        <v>16</v>
      </c>
      <c r="Q11" s="503" t="str">
        <f>IF(終値!A11="","",IF(AND(安値!V11&lt;安値!U11,安値!V11&lt;安値!T11,安値!V11&lt;安値!W11,安値!V11&lt;安値!X11),17,""))</f>
        <v/>
      </c>
      <c r="R11" s="503" t="str">
        <f>IF(終値!A11="","",IF(AND(安値!W11&lt;安値!V11,安値!W11&lt;安値!U11,安値!W11&lt;安値!X11,安値!W11&lt;安値!Y11),18,""))</f>
        <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f>IF(終値!A11="","",IF(AND(安値!AA11&lt;安値!Z11,安値!AA11&lt;安値!Y11,安値!AA11&lt;安値!AB11,安値!AA11&lt;安値!AC11),22,""))</f>
        <v>22</v>
      </c>
      <c r="W11" s="503" t="str">
        <f>IF(終値!A11="","",IF(AND(安値!AB11&lt;安値!AA11,安値!AB11&lt;安値!Z11,安値!AB11&lt;安値!AC11,安値!AB11&lt;安値!AD11),23,""))</f>
        <v/>
      </c>
      <c r="X11" s="503" t="str">
        <f>IF(終値!A11="","",IF(AND(安値!AC11&lt;安値!AB11,安値!AC11&lt;安値!AA11,安値!AC11&lt;安値!AD11,安値!AC11&lt;安値!AE11),24,""))</f>
        <v/>
      </c>
      <c r="Y11" s="503">
        <f>IF(終値!A11="","",IF(AND(安値!AD11&lt;安値!AC11,安値!AD11&lt;安値!AB11,安値!AD11&lt;安値!AE11,安値!AD11&lt;安値!AF11),25,""))</f>
        <v>25</v>
      </c>
      <c r="Z11" s="503" t="str">
        <f>IF(終値!A11="","",IF(AND(安値!AE11&lt;安値!AD11,安値!AE11&lt;安値!AC11,安値!AE11&lt;安値!AF11,安値!AE11&lt;安値!AG11),26,""))</f>
        <v/>
      </c>
      <c r="AA11" s="503" t="str">
        <f>IF(終値!A11="","",IF(AND(安値!AF11&lt;安値!AE11,安値!AF11&lt;安値!AD11,安値!AF11&lt;安値!AG11,安値!AF11&lt;安値!AH11),27,""))</f>
        <v/>
      </c>
      <c r="AB11" s="503">
        <f>IF(終値!A11="","",IF(AND(安値!AG11&lt;安値!AF11,安値!AG11&lt;安値!AE11,安値!AG11&lt;安値!AH11,安値!AG11&lt;安値!AI11),28,""))</f>
        <v>28</v>
      </c>
      <c r="AC11" s="503" t="str">
        <f>IF(終値!A11="","",IF(AND(高値!G11&gt;高値!F11,高値!G11&gt;高値!E11,高値!G11&gt;高値!H11,高値!G11&gt;高値!I11),2,""))</f>
        <v/>
      </c>
      <c r="AD11" s="503">
        <f>IF(終値!A11="","",IF(AND(高値!H11&gt;高値!G11,高値!H11&gt;高値!F11,高値!H11&gt;高値!I11,高値!H11&gt;高値!J11),3,""))</f>
        <v>3</v>
      </c>
      <c r="AE11" s="503" t="str">
        <f>IF(終値!A11="","",IF(AND(高値!I11&gt;高値!H11,高値!I11&gt;高値!G11,高値!I11&gt;高値!J11,高値!I11&gt;高値!K11),4,""))</f>
        <v/>
      </c>
      <c r="AF11" s="503" t="str">
        <f>IF(終値!A11="","",IF(AND(高値!J11&gt;高値!I11,高値!J11&gt;高値!H11,高値!J11&gt;高値!K11,高値!J11&gt;高値!L11),5,""))</f>
        <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f>IF(終値!A11="","",IF(AND(高値!O11&gt;高値!N11,高値!O11&gt;高値!M11,高値!O11&gt;高値!P11,高値!O11&gt;高値!Q11),10,""))</f>
        <v>10</v>
      </c>
      <c r="AL11" s="503" t="str">
        <f>IF(終値!A11="","",IF(AND(高値!P11&gt;高値!O11,高値!P11&gt;高値!N11,高値!P11&gt;高値!Q11,高値!P11&gt;高値!R11),11,""))</f>
        <v/>
      </c>
      <c r="AM11" s="503" t="str">
        <f>IF(終値!A11="","",IF(AND(高値!Q11&gt;高値!P11,高値!Q11&gt;高値!O11,高値!Q11&gt;高値!R11,高値!Q11&gt;高値!S11),12,""))</f>
        <v/>
      </c>
      <c r="AN11" s="503">
        <f>IF(終値!A11="","",IF(AND(高値!R11&gt;高値!Q11,高値!R11&gt;高値!P11,高値!R11&gt;高値!S11,高値!R11&gt;高値!T11),13,""))</f>
        <v>13</v>
      </c>
      <c r="AO11" s="503" t="str">
        <f>IF(終値!A11="","",IF(AND(高値!S11&gt;高値!R11,高値!S11&gt;高値!Q11,高値!S11&gt;高値!T11,高値!S11&gt;高値!U11),14,""))</f>
        <v/>
      </c>
      <c r="AP11" s="503" t="str">
        <f>IF(終値!A11="","",IF(AND(高値!T11&gt;高値!S11,高値!T11&gt;高値!R11,高値!T11&gt;高値!U11,高値!T11&gt;高値!V11),15,""))</f>
        <v/>
      </c>
      <c r="AQ11" s="503" t="str">
        <f>IF(終値!A11="","",IF(AND(高値!U11&gt;高値!T11,高値!U11&gt;高値!S11,高値!U11&gt;高値!V11,高値!U11&gt;高値!W11),16,""))</f>
        <v/>
      </c>
      <c r="AR11" s="503">
        <f>IF(終値!A11="","",IF(AND(高値!V11&gt;高値!U11,高値!V11&gt;高値!T11,高値!V11&gt;高値!W11,高値!V11&gt;高値!X11),17,""))</f>
        <v>17</v>
      </c>
      <c r="AS11" s="503" t="str">
        <f>IF(終値!A11="","",IF(AND(高値!W11&gt;高値!V11,高値!W11&gt;高値!U11,高値!W11&gt;高値!X11,高値!W11&gt;高値!Y11),18,""))</f>
        <v/>
      </c>
      <c r="AT11" s="503" t="str">
        <f>IF(終値!A11="","",IF(AND(高値!X11&gt;高値!W11,高値!X11&gt;高値!V11,高値!X11&gt;高値!Y11,高値!X11&gt;高値!Z11),19,""))</f>
        <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f>IF(終値!A11="","",IF(AND(高値!AF11&gt;高値!AE11,高値!AF11&gt;高値!AD11,高値!AF11&gt;高値!AG11,高値!AF11&gt;高値!AH11),27,""))</f>
        <v>27</v>
      </c>
      <c r="BC11" s="503" t="str">
        <f>IF(終値!A11="","",IF(AND(高値!AG11&gt;高値!AF11,高値!AG11&gt;高値!AE11,高値!AG11&gt;高値!AH11,高値!AG11&gt;高値!AI11),28,""))</f>
        <v/>
      </c>
      <c r="BD11" s="503">
        <f t="shared" si="0"/>
        <v>6</v>
      </c>
      <c r="BE11" s="503">
        <f t="shared" si="1"/>
        <v>7</v>
      </c>
      <c r="BF11" s="503">
        <f t="shared" si="2"/>
        <v>12</v>
      </c>
      <c r="BG11" s="503">
        <f>IF($BE11="","",INDEX(安値!$E11:$CZ11,1,$BE11+1))</f>
        <v>4191</v>
      </c>
      <c r="BH11" s="503">
        <f>IF($BF11="","",INDEX(安値!$E11:$CZ11,1,$BF11+1))</f>
        <v>4218</v>
      </c>
      <c r="BI11" s="503">
        <f>IF($BF11="","",MAX(INDEX(高値!$E11:$CZ11,1,$BE11+1):INDEX(高値!$E11:$CZ11,1,$BF11+1)))</f>
        <v>4497</v>
      </c>
      <c r="BJ11" s="503">
        <f>IF($BF11="","",AVERAGE(INDEX(終値!$E11:$CZ11,1,$BF11+1):INDEX(終値!$E11:$CZ11,1,$BF11+20))-2*STDEVP(INDEX(終値!$E11:$CZ11,1,$BF11+1):INDEX(終値!$E11:$CZ11,1,$BF11+20)))</f>
        <v>3574.5833727505046</v>
      </c>
      <c r="BK11" s="503">
        <f>IF($BE11="","",AVERAGE(INDEX(終値!$E11:$CZ11,1,$BE11+1):INDEX(終値!$E11:$CZ11,1,$BE11+20))-2*STDEVP(INDEX(終値!$E11:$CZ11,1,$BE11+1):INDEX(終値!$E11:$CZ11,1,$BE11+20)))</f>
        <v>3813.3689268410112</v>
      </c>
      <c r="BL11" s="503">
        <f t="shared" si="3"/>
        <v>5</v>
      </c>
      <c r="BM11" s="503">
        <f t="shared" si="4"/>
        <v>3</v>
      </c>
      <c r="BN11" s="503">
        <f t="shared" si="5"/>
        <v>10</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二番底W▲</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f>IF(終値!A12="","",IF(AND(安値!J12&lt;安値!I12,安値!J12&lt;安値!H12,安値!J12&lt;安値!K12,安値!J12&lt;安値!L12),5,""))</f>
        <v>5</v>
      </c>
      <c r="F12" s="503" t="str">
        <f>IF(終値!A12="","",IF(AND(安値!K12&lt;安値!J12,安値!K12&lt;安値!I12,安値!K12&lt;安値!L12,安値!K12&lt;安値!M12),6,""))</f>
        <v/>
      </c>
      <c r="G12" s="503" t="str">
        <f>IF(終値!A12="","",IF(AND(安値!L12&lt;安値!K12,安値!L12&lt;安値!J12,安値!L12&lt;安値!M12,安値!L12&lt;安値!N12),7,""))</f>
        <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f>IF(終値!A12="","",IF(AND(安値!P12&lt;安値!O12,安値!P12&lt;安値!N12,安値!P12&lt;安値!Q12,安値!P12&lt;安値!R12),11,""))</f>
        <v>11</v>
      </c>
      <c r="L12" s="503" t="str">
        <f>IF(終値!A12="","",IF(AND(安値!Q12&lt;安値!P12,安値!Q12&lt;安値!O12,安値!Q12&lt;安値!R12,安値!Q12&lt;安値!S12),12,""))</f>
        <v/>
      </c>
      <c r="M12" s="503" t="str">
        <f>IF(終値!A12="","",IF(AND(安値!R12&lt;安値!Q12,安値!R12&lt;安値!P12,安値!R12&lt;安値!S12,安値!R12&lt;安値!T12),13,""))</f>
        <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f>IF(終値!A12="","",IF(AND(安値!Z12&lt;安値!Y12,安値!Z12&lt;安値!X12,安値!Z12&lt;安値!AA12,安値!Z12&lt;安値!AB12),21,""))</f>
        <v>21</v>
      </c>
      <c r="V12" s="503" t="str">
        <f>IF(終値!A12="","",IF(AND(安値!AA12&lt;安値!Z12,安値!AA12&lt;安値!Y12,安値!AA12&lt;安値!AB12,安値!AA12&lt;安値!AC12),22,""))</f>
        <v/>
      </c>
      <c r="W12" s="503" t="str">
        <f>IF(終値!A12="","",IF(AND(安値!AB12&lt;安値!AA12,安値!AB12&lt;安値!Z12,安値!AB12&lt;安値!AC12,安値!AB12&lt;安値!AD12),23,""))</f>
        <v/>
      </c>
      <c r="X12" s="503" t="str">
        <f>IF(終値!A12="","",IF(AND(安値!AC12&lt;安値!AB12,安値!AC12&lt;安値!AA12,安値!AC12&lt;安値!AD12,安値!AC12&lt;安値!AE12),24,""))</f>
        <v/>
      </c>
      <c r="Y12" s="503" t="str">
        <f>IF(終値!A12="","",IF(AND(安値!AD12&lt;安値!AC12,安値!AD12&lt;安値!AB12,安値!AD12&lt;安値!AE12,安値!AD12&lt;安値!AF12),25,""))</f>
        <v/>
      </c>
      <c r="Z12" s="503">
        <f>IF(終値!A12="","",IF(AND(安値!AE12&lt;安値!AD12,安値!AE12&lt;安値!AC12,安値!AE12&lt;安値!AF12,安値!AE12&lt;安値!AG12),26,""))</f>
        <v>26</v>
      </c>
      <c r="AA12" s="503" t="str">
        <f>IF(終値!A12="","",IF(AND(安値!AF12&lt;安値!AE12,安値!AF12&lt;安値!AD12,安値!AF12&lt;安値!AG12,安値!AF12&lt;安値!AH12),27,""))</f>
        <v/>
      </c>
      <c r="AB12" s="503" t="str">
        <f>IF(終値!A12="","",IF(AND(安値!AG12&lt;安値!AF12,安値!AG12&lt;安値!AE12,安値!AG12&lt;安値!AH12,安値!AG12&lt;安値!AI12),28,""))</f>
        <v/>
      </c>
      <c r="AC12" s="503" t="str">
        <f>IF(終値!A12="","",IF(AND(高値!G12&gt;高値!F12,高値!G12&gt;高値!E12,高値!G12&gt;高値!H12,高値!G12&gt;高値!I12),2,""))</f>
        <v/>
      </c>
      <c r="AD12" s="503">
        <f>IF(終値!A12="","",IF(AND(高値!H12&gt;高値!G12,高値!H12&gt;高値!F12,高値!H12&gt;高値!I12,高値!H12&gt;高値!J12),3,""))</f>
        <v>3</v>
      </c>
      <c r="AE12" s="503" t="str">
        <f>IF(終値!A12="","",IF(AND(高値!I12&gt;高値!H12,高値!I12&gt;高値!G12,高値!I12&gt;高値!J12,高値!I12&gt;高値!K12),4,""))</f>
        <v/>
      </c>
      <c r="AF12" s="503" t="str">
        <f>IF(終値!A12="","",IF(AND(高値!J12&gt;高値!I12,高値!J12&gt;高値!H12,高値!J12&gt;高値!K12,高値!J12&gt;高値!L12),5,""))</f>
        <v/>
      </c>
      <c r="AG12" s="503" t="str">
        <f>IF(終値!A12="","",IF(AND(高値!K12&gt;高値!J12,高値!K12&gt;高値!I12,高値!K12&gt;高値!L12,高値!K12&gt;高値!M12),6,""))</f>
        <v/>
      </c>
      <c r="AH12" s="503">
        <f>IF(終値!A12="","",IF(AND(高値!L12&gt;高値!K12,高値!L12&gt;高値!J12,高値!L12&gt;高値!M12,高値!L12&gt;高値!N12),7,""))</f>
        <v>7</v>
      </c>
      <c r="AI12" s="503" t="str">
        <f>IF(終値!A12="","",IF(AND(高値!M12&gt;高値!L12,高値!M12&gt;高値!K12,高値!M12&gt;高値!N12,高値!M12&gt;高値!O12),8,""))</f>
        <v/>
      </c>
      <c r="AJ12" s="503" t="str">
        <f>IF(終値!A12="","",IF(AND(高値!N12&gt;高値!M12,高値!N12&gt;高値!L12,高値!N12&gt;高値!O12,高値!N12&gt;高値!P12),9,""))</f>
        <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f>IF(終値!A12="","",IF(AND(高値!R12&gt;高値!Q12,高値!R12&gt;高値!P12,高値!R12&gt;高値!S12,高値!R12&gt;高値!T12),13,""))</f>
        <v>13</v>
      </c>
      <c r="AO12" s="503" t="str">
        <f>IF(終値!A12="","",IF(AND(高値!S12&gt;高値!R12,高値!S12&gt;高値!Q12,高値!S12&gt;高値!T12,高値!S12&gt;高値!U12),14,""))</f>
        <v/>
      </c>
      <c r="AP12" s="503" t="str">
        <f>IF(終値!A12="","",IF(AND(高値!T12&gt;高値!S12,高値!T12&gt;高値!R12,高値!T12&gt;高値!U12,高値!T12&gt;高値!V12),15,""))</f>
        <v/>
      </c>
      <c r="AQ12" s="503">
        <f>IF(終値!A12="","",IF(AND(高値!U12&gt;高値!T12,高値!U12&gt;高値!S12,高値!U12&gt;高値!V12,高値!U12&gt;高値!W12),16,""))</f>
        <v>16</v>
      </c>
      <c r="AR12" s="503" t="str">
        <f>IF(終値!A12="","",IF(AND(高値!V12&gt;高値!U12,高値!V12&gt;高値!T12,高値!V12&gt;高値!W12,高値!V12&gt;高値!X12),17,""))</f>
        <v/>
      </c>
      <c r="AS12" s="503" t="str">
        <f>IF(終値!A12="","",IF(AND(高値!W12&gt;高値!V12,高値!W12&gt;高値!U12,高値!W12&gt;高値!X12,高値!W12&gt;高値!Y12),18,""))</f>
        <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5</v>
      </c>
      <c r="BF12" s="503">
        <f t="shared" si="2"/>
        <v>11</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3</v>
      </c>
      <c r="BN12" s="503">
        <f t="shared" si="5"/>
        <v>7</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f>IF(終値!A13="","",IF(AND(安値!I13&lt;安値!H13,安値!I13&lt;安値!G13,安値!I13&lt;安値!J13,安値!I13&lt;安値!K13),4,""))</f>
        <v>4</v>
      </c>
      <c r="E13" s="503" t="str">
        <f>IF(終値!A13="","",IF(AND(安値!J13&lt;安値!I13,安値!J13&lt;安値!H13,安値!J13&lt;安値!K13,安値!J13&lt;安値!L13),5,""))</f>
        <v/>
      </c>
      <c r="F13" s="503" t="str">
        <f>IF(終値!A13="","",IF(AND(安値!K13&lt;安値!J13,安値!K13&lt;安値!I13,安値!K13&lt;安値!L13,安値!K13&lt;安値!M13),6,""))</f>
        <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f>IF(終値!A13="","",IF(AND(安値!P13&lt;安値!O13,安値!P13&lt;安値!N13,安値!P13&lt;安値!Q13,安値!P13&lt;安値!R13),11,""))</f>
        <v>11</v>
      </c>
      <c r="L13" s="503" t="str">
        <f>IF(終値!A13="","",IF(AND(安値!Q13&lt;安値!P13,安値!Q13&lt;安値!O13,安値!Q13&lt;安値!R13,安値!Q13&lt;安値!S13),12,""))</f>
        <v/>
      </c>
      <c r="M13" s="503" t="str">
        <f>IF(終値!A13="","",IF(AND(安値!R13&lt;安値!Q13,安値!R13&lt;安値!P13,安値!R13&lt;安値!S13,安値!R13&lt;安値!T13),13,""))</f>
        <v/>
      </c>
      <c r="N13" s="503" t="str">
        <f>IF(終値!A13="","",IF(AND(安値!S13&lt;安値!R13,安値!S13&lt;安値!Q13,安値!S13&lt;安値!T13,安値!S13&lt;安値!U13),14,""))</f>
        <v/>
      </c>
      <c r="O13" s="503" t="str">
        <f>IF(終値!A13="","",IF(AND(安値!T13&lt;安値!S13,安値!T13&lt;安値!R13,安値!T13&lt;安値!U13,安値!T13&lt;安値!V13),15,""))</f>
        <v/>
      </c>
      <c r="P13" s="503">
        <f>IF(終値!A13="","",IF(AND(安値!U13&lt;安値!T13,安値!U13&lt;安値!S13,安値!U13&lt;安値!V13,安値!U13&lt;安値!W13),16,""))</f>
        <v>16</v>
      </c>
      <c r="Q13" s="503" t="str">
        <f>IF(終値!A13="","",IF(AND(安値!V13&lt;安値!U13,安値!V13&lt;安値!T13,安値!V13&lt;安値!W13,安値!V13&lt;安値!X13),17,""))</f>
        <v/>
      </c>
      <c r="R13" s="503" t="str">
        <f>IF(終値!A13="","",IF(AND(安値!W13&lt;安値!V13,安値!W13&lt;安値!U13,安値!W13&lt;安値!X13,安値!W13&lt;安値!Y13),18,""))</f>
        <v/>
      </c>
      <c r="S13" s="503" t="str">
        <f>IF(終値!A13="","",IF(AND(安値!X13&lt;安値!W13,安値!X13&lt;安値!V13,安値!X13&lt;安値!Y13,安値!X13&lt;安値!Z13),19,""))</f>
        <v/>
      </c>
      <c r="T13" s="503" t="str">
        <f>IF(終値!A13="","",IF(AND(安値!Y13&lt;安値!X13,安値!Y13&lt;安値!W13,安値!Y13&lt;安値!Z13,安値!Y13&lt;安値!AA13),20,""))</f>
        <v/>
      </c>
      <c r="U13" s="503">
        <f>IF(終値!A13="","",IF(AND(安値!Z13&lt;安値!Y13,安値!Z13&lt;安値!X13,安値!Z13&lt;安値!AA13,安値!Z13&lt;安値!AB13),21,""))</f>
        <v>21</v>
      </c>
      <c r="V13" s="503" t="str">
        <f>IF(終値!A13="","",IF(AND(安値!AA13&lt;安値!Z13,安値!AA13&lt;安値!Y13,安値!AA13&lt;安値!AB13,安値!AA13&lt;安値!AC13),22,""))</f>
        <v/>
      </c>
      <c r="W13" s="503" t="str">
        <f>IF(終値!A13="","",IF(AND(安値!AB13&lt;安値!AA13,安値!AB13&lt;安値!Z13,安値!AB13&lt;安値!AC13,安値!AB13&lt;安値!AD13),23,""))</f>
        <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t="str">
        <f>IF(終値!A13="","",IF(AND(高値!H13&gt;高値!G13,高値!H13&gt;高値!F13,高値!H13&gt;高値!I13,高値!H13&gt;高値!J13),3,""))</f>
        <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f>IF(終値!A13="","",IF(AND(高値!N13&gt;高値!M13,高値!N13&gt;高値!L13,高値!N13&gt;高値!O13,高値!N13&gt;高値!P13),9,""))</f>
        <v>9</v>
      </c>
      <c r="AK13" s="503" t="str">
        <f>IF(終値!A13="","",IF(AND(高値!O13&gt;高値!N13,高値!O13&gt;高値!M13,高値!O13&gt;高値!P13,高値!O13&gt;高値!Q13),10,""))</f>
        <v/>
      </c>
      <c r="AL13" s="503" t="str">
        <f>IF(終値!A13="","",IF(AND(高値!P13&gt;高値!O13,高値!P13&gt;高値!N13,高値!P13&gt;高値!Q13,高値!P13&gt;高値!R13),11,""))</f>
        <v/>
      </c>
      <c r="AM13" s="503">
        <f>IF(終値!A13="","",IF(AND(高値!Q13&gt;高値!P13,高値!Q13&gt;高値!O13,高値!Q13&gt;高値!R13,高値!Q13&gt;高値!S13),12,""))</f>
        <v>12</v>
      </c>
      <c r="AN13" s="503" t="str">
        <f>IF(終値!A13="","",IF(AND(高値!R13&gt;高値!Q13,高値!R13&gt;高値!P13,高値!R13&gt;高値!S13,高値!R13&gt;高値!T13),13,""))</f>
        <v/>
      </c>
      <c r="AO13" s="503" t="str">
        <f>IF(終値!A13="","",IF(AND(高値!S13&gt;高値!R13,高値!S13&gt;高値!Q13,高値!S13&gt;高値!T13,高値!S13&gt;高値!U13),14,""))</f>
        <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f>IF(終値!A13="","",IF(AND(高値!X13&gt;高値!W13,高値!X13&gt;高値!V13,高値!X13&gt;高値!Y13,高値!X13&gt;高値!Z13),19,""))</f>
        <v>19</v>
      </c>
      <c r="AU13" s="503" t="str">
        <f>IF(終値!A13="","",IF(AND(高値!Y13&gt;高値!X13,高値!Y13&gt;高値!W13,高値!Y13&gt;高値!Z13,高値!Y13&gt;高値!AA13),20,""))</f>
        <v/>
      </c>
      <c r="AV13" s="503" t="str">
        <f>IF(終値!A13="","",IF(AND(高値!Z13&gt;高値!Y13,高値!Z13&gt;高値!X13,高値!Z13&gt;高値!AA13,高値!Z13&gt;高値!AB13),21,""))</f>
        <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4</v>
      </c>
      <c r="BF13" s="503">
        <f t="shared" si="2"/>
        <v>11</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3</v>
      </c>
      <c r="BM13" s="503">
        <f t="shared" si="4"/>
        <v>9</v>
      </c>
      <c r="BN13" s="503">
        <f t="shared" si="5"/>
        <v>12</v>
      </c>
      <c r="BO13" s="503">
        <f>IF($BM13="","",INDEX(高値!$E13:$CZ13,1,$BM13+1))</f>
        <v>2750</v>
      </c>
      <c r="BP13" s="503">
        <f>IF($BN13="","",INDEX(高値!$E13:$CZ13,1,$BN13+1))</f>
        <v>2798</v>
      </c>
      <c r="BQ13" s="503">
        <f>IF($BN13="","",MIN(INDEX(安値!$E13:$CZ13,1,$BM13+1):INDEX(安値!$E13:$CZ13,1,$BN13+1)))</f>
        <v>2591</v>
      </c>
      <c r="BR13" s="503">
        <f>IF($BN13="","",AVERAGE(INDEX(終値!$E13:$CZ13,1,$BN13+1):INDEX(終値!$E13:$CZ13,1,$BN13+20))+2*STDEVP(INDEX(終値!$E13:$CZ13,1,$BN13+1):INDEX(終値!$E13:$CZ13,1,$BN13+20)))</f>
        <v>3003.8284487938026</v>
      </c>
      <c r="BS13" s="503">
        <f>IF($BM13="","",AVERAGE(INDEX(終値!$E13:$CZ13,1,$BM13+1):INDEX(終値!$E13:$CZ13,1,$BM13+20))+2*STDEVP(INDEX(終値!$E13:$CZ13,1,$BM13+1):INDEX(終値!$E13:$CZ13,1,$BM13+20)))</f>
        <v>2887.3044639128489</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f>IF(終値!A14="","",IF(AND(安値!S14&lt;安値!R14,安値!S14&lt;安値!Q14,安値!S14&lt;安値!T14,安値!S14&lt;安値!U14),14,""))</f>
        <v>14</v>
      </c>
      <c r="O14" s="503" t="str">
        <f>IF(終値!A14="","",IF(AND(安値!T14&lt;安値!S14,安値!T14&lt;安値!R14,安値!T14&lt;安値!U14,安値!T14&lt;安値!V14),15,""))</f>
        <v/>
      </c>
      <c r="P14" s="503" t="str">
        <f>IF(終値!A14="","",IF(AND(安値!U14&lt;安値!T14,安値!U14&lt;安値!S14,安値!U14&lt;安値!V14,安値!U14&lt;安値!W14),16,""))</f>
        <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f>IF(終値!A14="","",IF(AND(安値!AA14&lt;安値!Z14,安値!AA14&lt;安値!Y14,安値!AA14&lt;安値!AB14,安値!AA14&lt;安値!AC14),22,""))</f>
        <v>22</v>
      </c>
      <c r="W14" s="503" t="str">
        <f>IF(終値!A14="","",IF(AND(安値!AB14&lt;安値!AA14,安値!AB14&lt;安値!Z14,安値!AB14&lt;安値!AC14,安値!AB14&lt;安値!AD14),23,""))</f>
        <v/>
      </c>
      <c r="X14" s="503" t="str">
        <f>IF(終値!A14="","",IF(AND(安値!AC14&lt;安値!AB14,安値!AC14&lt;安値!AA14,安値!AC14&lt;安値!AD14,安値!AC14&lt;安値!AE14),24,""))</f>
        <v/>
      </c>
      <c r="Y14" s="503" t="str">
        <f>IF(終値!A14="","",IF(AND(安値!AD14&lt;安値!AC14,安値!AD14&lt;安値!AB14,安値!AD14&lt;安値!AE14,安値!AD14&lt;安値!AF14),25,""))</f>
        <v/>
      </c>
      <c r="Z14" s="503">
        <f>IF(終値!A14="","",IF(AND(安値!AE14&lt;安値!AD14,安値!AE14&lt;安値!AC14,安値!AE14&lt;安値!AF14,安値!AE14&lt;安値!AG14),26,""))</f>
        <v>26</v>
      </c>
      <c r="AA14" s="503" t="str">
        <f>IF(終値!A14="","",IF(AND(安値!AF14&lt;安値!AE14,安値!AF14&lt;安値!AD14,安値!AF14&lt;安値!AG14,安値!AF14&lt;安値!AH14),27,""))</f>
        <v/>
      </c>
      <c r="AB14" s="503" t="str">
        <f>IF(終値!A14="","",IF(AND(安値!AG14&lt;安値!AF14,安値!AG14&lt;安値!AE14,安値!AG14&lt;安値!AH14,安値!AG14&lt;安値!AI14),28,""))</f>
        <v/>
      </c>
      <c r="AC14" s="503" t="str">
        <f>IF(終値!A14="","",IF(AND(高値!G14&gt;高値!F14,高値!G14&gt;高値!E14,高値!G14&gt;高値!H14,高値!G14&gt;高値!I14),2,""))</f>
        <v/>
      </c>
      <c r="AD14" s="503" t="str">
        <f>IF(終値!A14="","",IF(AND(高値!H14&gt;高値!G14,高値!H14&gt;高値!F14,高値!H14&gt;高値!I14,高値!H14&gt;高値!J14),3,""))</f>
        <v/>
      </c>
      <c r="AE14" s="503" t="str">
        <f>IF(終値!A14="","",IF(AND(高値!I14&gt;高値!H14,高値!I14&gt;高値!G14,高値!I14&gt;高値!J14,高値!I14&gt;高値!K14),4,""))</f>
        <v/>
      </c>
      <c r="AF14" s="503" t="str">
        <f>IF(終値!A14="","",IF(AND(高値!J14&gt;高値!I14,高値!J14&gt;高値!H14,高値!J14&gt;高値!K14,高値!J14&gt;高値!L14),5,""))</f>
        <v/>
      </c>
      <c r="AG14" s="503">
        <f>IF(終値!A14="","",IF(AND(高値!K14&gt;高値!J14,高値!K14&gt;高値!I14,高値!K14&gt;高値!L14,高値!K14&gt;高値!M14),6,""))</f>
        <v>6</v>
      </c>
      <c r="AH14" s="503" t="str">
        <f>IF(終値!A14="","",IF(AND(高値!L14&gt;高値!K14,高値!L14&gt;高値!J14,高値!L14&gt;高値!M14,高値!L14&gt;高値!N14),7,""))</f>
        <v/>
      </c>
      <c r="AI14" s="503" t="str">
        <f>IF(終値!A14="","",IF(AND(高値!M14&gt;高値!L14,高値!M14&gt;高値!K14,高値!M14&gt;高値!N14,高値!M14&gt;高値!O14),8,""))</f>
        <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f>IF(終値!A14="","",IF(AND(高値!W14&gt;高値!V14,高値!W14&gt;高値!U14,高値!W14&gt;高値!X14,高値!W14&gt;高値!Y14),18,""))</f>
        <v>18</v>
      </c>
      <c r="AT14" s="503" t="str">
        <f>IF(終値!A14="","",IF(AND(高値!X14&gt;高値!W14,高値!X14&gt;高値!V14,高値!X14&gt;高値!Y14,高値!X14&gt;高値!Z14),19,""))</f>
        <v/>
      </c>
      <c r="AU14" s="503" t="str">
        <f>IF(終値!A14="","",IF(AND(高値!Y14&gt;高値!X14,高値!Y14&gt;高値!W14,高値!Y14&gt;高値!Z14,高値!Y14&gt;高値!AA14),20,""))</f>
        <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f>IF(終値!A14="","",IF(AND(高値!AC14&gt;高値!AB14,高値!AC14&gt;高値!AA14,高値!AC14&gt;高値!AD14,高値!AC14&gt;高値!AE14),24,""))</f>
        <v>24</v>
      </c>
      <c r="AZ14" s="503" t="str">
        <f>IF(終値!A14="","",IF(AND(高値!AD14&gt;高値!AC14,高値!AD14&gt;高値!AB14,高値!AD14&gt;高値!AE14,高値!AD14&gt;高値!AF14),25,""))</f>
        <v/>
      </c>
      <c r="BA14" s="503" t="str">
        <f>IF(終値!A14="","",IF(AND(高値!AE14&gt;高値!AD14,高値!AE14&gt;高値!AC14,高値!AE14&gt;高値!AF14,高値!AE14&gt;高値!AG14),26,""))</f>
        <v/>
      </c>
      <c r="BB14" s="503" t="str">
        <f>IF(終値!A14="","",IF(AND(高値!AF14&gt;高値!AE14,高値!AF14&gt;高値!AD14,高値!AF14&gt;高値!AG14,高値!AF14&gt;高値!AH14),27,""))</f>
        <v/>
      </c>
      <c r="BC14" s="503">
        <f>IF(終値!A14="","",IF(AND(高値!AG14&gt;高値!AF14,高値!AG14&gt;高値!AE14,高値!AG14&gt;高値!AH14,高値!AG14&gt;高値!AI14),28,""))</f>
        <v>28</v>
      </c>
      <c r="BD14" s="503">
        <f t="shared" si="0"/>
        <v>3</v>
      </c>
      <c r="BE14" s="503">
        <f t="shared" si="1"/>
        <v>14</v>
      </c>
      <c r="BF14" s="503">
        <f t="shared" si="2"/>
        <v>22</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6</v>
      </c>
      <c r="BN14" s="503">
        <f t="shared" si="5"/>
        <v>18</v>
      </c>
      <c r="BO14" s="503">
        <f>IF($BM14="","",INDEX(高値!$E14:$CZ14,1,$BM14+1))</f>
        <v>5479</v>
      </c>
      <c r="BP14" s="503">
        <f>IF($BN14="","",INDEX(高値!$E14:$CZ14,1,$BN14+1))</f>
        <v>5162</v>
      </c>
      <c r="BQ14" s="503">
        <f>IF($BN14="","",MIN(INDEX(安値!$E14:$CZ14,1,$BM14+1):INDEX(安値!$E14:$CZ14,1,$BN14+1)))</f>
        <v>4810</v>
      </c>
      <c r="BR14" s="503">
        <f>IF($BN14="","",AVERAGE(INDEX(終値!$E14:$CZ14,1,$BN14+1):INDEX(終値!$E14:$CZ14,1,$BN14+20))+2*STDEVP(INDEX(終値!$E14:$CZ14,1,$BN14+1):INDEX(終値!$E14:$CZ14,1,$BN14+20)))</f>
        <v>5103.2323127499731</v>
      </c>
      <c r="BS14" s="503">
        <f>IF($BM14="","",AVERAGE(INDEX(終値!$E14:$CZ14,1,$BM14+1):INDEX(終値!$E14:$CZ14,1,$BM14+20))+2*STDEVP(INDEX(終値!$E14:$CZ14,1,$BM14+1):INDEX(終値!$E14:$CZ14,1,$BM14+20)))</f>
        <v>5459.4768901809266</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f>IF(終値!A15="","",IF(AND(安値!P15&lt;安値!O15,安値!P15&lt;安値!N15,安値!P15&lt;安値!Q15,安値!P15&lt;安値!R15),11,""))</f>
        <v>11</v>
      </c>
      <c r="L15" s="503" t="str">
        <f>IF(終値!A15="","",IF(AND(安値!Q15&lt;安値!P15,安値!Q15&lt;安値!O15,安値!Q15&lt;安値!R15,安値!Q15&lt;安値!S15),12,""))</f>
        <v/>
      </c>
      <c r="M15" s="503" t="str">
        <f>IF(終値!A15="","",IF(AND(安値!R15&lt;安値!Q15,安値!R15&lt;安値!P15,安値!R15&lt;安値!S15,安値!R15&lt;安値!T15),13,""))</f>
        <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f>IF(終値!A15="","",IF(AND(安値!V15&lt;安値!U15,安値!V15&lt;安値!T15,安値!V15&lt;安値!W15,安値!V15&lt;安値!X15),17,""))</f>
        <v>17</v>
      </c>
      <c r="R15" s="503" t="str">
        <f>IF(終値!A15="","",IF(AND(安値!W15&lt;安値!V15,安値!W15&lt;安値!U15,安値!W15&lt;安値!X15,安値!W15&lt;安値!Y15),18,""))</f>
        <v/>
      </c>
      <c r="S15" s="503" t="str">
        <f>IF(終値!A15="","",IF(AND(安値!X15&lt;安値!W15,安値!X15&lt;安値!V15,安値!X15&lt;安値!Y15,安値!X15&lt;安値!Z15),19,""))</f>
        <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f>IF(終値!A15="","",IF(AND(安値!AE15&lt;安値!AD15,安値!AE15&lt;安値!AC15,安値!AE15&lt;安値!AF15,安値!AE15&lt;安値!AG15),26,""))</f>
        <v>26</v>
      </c>
      <c r="AA15" s="503" t="str">
        <f>IF(終値!A15="","",IF(AND(安値!AF15&lt;安値!AE15,安値!AF15&lt;安値!AD15,安値!AF15&lt;安値!AG15,安値!AF15&lt;安値!AH15),27,""))</f>
        <v/>
      </c>
      <c r="AB15" s="503" t="str">
        <f>IF(終値!A15="","",IF(AND(安値!AG15&lt;安値!AF15,安値!AG15&lt;安値!AE15,安値!AG15&lt;安値!AH15,安値!AG15&lt;安値!AI15),28,""))</f>
        <v/>
      </c>
      <c r="AC15" s="503" t="str">
        <f>IF(終値!A15="","",IF(AND(高値!G15&gt;高値!F15,高値!G15&gt;高値!E15,高値!G15&gt;高値!H15,高値!G15&gt;高値!I15),2,""))</f>
        <v/>
      </c>
      <c r="AD15" s="503">
        <f>IF(終値!A15="","",IF(AND(高値!H15&gt;高値!G15,高値!H15&gt;高値!F15,高値!H15&gt;高値!I15,高値!H15&gt;高値!J15),3,""))</f>
        <v>3</v>
      </c>
      <c r="AE15" s="503" t="str">
        <f>IF(終値!A15="","",IF(AND(高値!I15&gt;高値!H15,高値!I15&gt;高値!G15,高値!I15&gt;高値!J15,高値!I15&gt;高値!K15),4,""))</f>
        <v/>
      </c>
      <c r="AF15" s="503" t="str">
        <f>IF(終値!A15="","",IF(AND(高値!J15&gt;高値!I15,高値!J15&gt;高値!H15,高値!J15&gt;高値!K15,高値!J15&gt;高値!L15),5,""))</f>
        <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f>IF(終値!A15="","",IF(AND(高値!R15&gt;高値!Q15,高値!R15&gt;高値!P15,高値!R15&gt;高値!S15,高値!R15&gt;高値!T15),13,""))</f>
        <v>13</v>
      </c>
      <c r="AO15" s="503" t="str">
        <f>IF(終値!A15="","",IF(AND(高値!S15&gt;高値!R15,高値!S15&gt;高値!Q15,高値!S15&gt;高値!T15,高値!S15&gt;高値!U15),14,""))</f>
        <v/>
      </c>
      <c r="AP15" s="503" t="str">
        <f>IF(終値!A15="","",IF(AND(高値!T15&gt;高値!S15,高値!T15&gt;高値!R15,高値!T15&gt;高値!U15,高値!T15&gt;高値!V15),15,""))</f>
        <v/>
      </c>
      <c r="AQ15" s="503" t="str">
        <f>IF(終値!A15="","",IF(AND(高値!U15&gt;高値!T15,高値!U15&gt;高値!S15,高値!U15&gt;高値!V15,高値!U15&gt;高値!W15),16,""))</f>
        <v/>
      </c>
      <c r="AR15" s="503" t="str">
        <f>IF(終値!A15="","",IF(AND(高値!V15&gt;高値!U15,高値!V15&gt;高値!T15,高値!V15&gt;高値!W15,高値!V15&gt;高値!X15),17,""))</f>
        <v/>
      </c>
      <c r="AS15" s="503">
        <f>IF(終値!A15="","",IF(AND(高値!W15&gt;高値!V15,高値!W15&gt;高値!U15,高値!W15&gt;高値!X15,高値!W15&gt;高値!Y15),18,""))</f>
        <v>18</v>
      </c>
      <c r="AT15" s="503" t="str">
        <f>IF(終値!A15="","",IF(AND(高値!X15&gt;高値!W15,高値!X15&gt;高値!V15,高値!X15&gt;高値!Y15,高値!X15&gt;高値!Z15),19,""))</f>
        <v/>
      </c>
      <c r="AU15" s="503" t="str">
        <f>IF(終値!A15="","",IF(AND(高値!Y15&gt;高値!X15,高値!Y15&gt;高値!W15,高値!Y15&gt;高値!Z15,高値!Y15&gt;高値!AA15),20,""))</f>
        <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f>IF(終値!A15="","",IF(AND(高値!AE15&gt;高値!AD15,高値!AE15&gt;高値!AC15,高値!AE15&gt;高値!AF15,高値!AE15&gt;高値!AG15),26,""))</f>
        <v>26</v>
      </c>
      <c r="BB15" s="503" t="str">
        <f>IF(終値!A15="","",IF(AND(高値!AF15&gt;高値!AE15,高値!AF15&gt;高値!AD15,高値!AF15&gt;高値!AG15,高値!AF15&gt;高値!AH15),27,""))</f>
        <v/>
      </c>
      <c r="BC15" s="503" t="str">
        <f>IF(終値!A15="","",IF(AND(高値!AG15&gt;高値!AF15,高値!AG15&gt;高値!AE15,高値!AG15&gt;高値!AH15,高値!AG15&gt;高値!AI15),28,""))</f>
        <v/>
      </c>
      <c r="BD15" s="503">
        <f t="shared" si="0"/>
        <v>3</v>
      </c>
      <c r="BE15" s="503">
        <f t="shared" si="1"/>
        <v>11</v>
      </c>
      <c r="BF15" s="503">
        <f t="shared" si="2"/>
        <v>17</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3</v>
      </c>
      <c r="BN15" s="503">
        <f t="shared" si="5"/>
        <v>13</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t="str">
        <f>IF(終値!A16="","",IF(AND(安値!H16&lt;安値!G16,安値!H16&lt;安値!F16,安値!H16&lt;安値!I16,安値!H16&lt;安値!J16),3,""))</f>
        <v/>
      </c>
      <c r="D16" s="503" t="str">
        <f>IF(終値!A16="","",IF(AND(安値!I16&lt;安値!H16,安値!I16&lt;安値!G16,安値!I16&lt;安値!J16,安値!I16&lt;安値!K16),4,""))</f>
        <v/>
      </c>
      <c r="E16" s="503">
        <f>IF(終値!A16="","",IF(AND(安値!J16&lt;安値!I16,安値!J16&lt;安値!H16,安値!J16&lt;安値!K16,安値!J16&lt;安値!L16),5,""))</f>
        <v>5</v>
      </c>
      <c r="F16" s="503" t="str">
        <f>IF(終値!A16="","",IF(AND(安値!K16&lt;安値!J16,安値!K16&lt;安値!I16,安値!K16&lt;安値!L16,安値!K16&lt;安値!M16),6,""))</f>
        <v/>
      </c>
      <c r="G16" s="503" t="str">
        <f>IF(終値!A16="","",IF(AND(安値!L16&lt;安値!K16,安値!L16&lt;安値!J16,安値!L16&lt;安値!M16,安値!L16&lt;安値!N16),7,""))</f>
        <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f>IF(終値!A16="","",IF(AND(安値!P16&lt;安値!O16,安値!P16&lt;安値!N16,安値!P16&lt;安値!Q16,安値!P16&lt;安値!R16),11,""))</f>
        <v>11</v>
      </c>
      <c r="L16" s="503" t="str">
        <f>IF(終値!A16="","",IF(AND(安値!Q16&lt;安値!P16,安値!Q16&lt;安値!O16,安値!Q16&lt;安値!R16,安値!Q16&lt;安値!S16),12,""))</f>
        <v/>
      </c>
      <c r="M16" s="503" t="str">
        <f>IF(終値!A16="","",IF(AND(安値!R16&lt;安値!Q16,安値!R16&lt;安値!P16,安値!R16&lt;安値!S16,安値!R16&lt;安値!T16),13,""))</f>
        <v/>
      </c>
      <c r="N16" s="503" t="str">
        <f>IF(終値!A16="","",IF(AND(安値!S16&lt;安値!R16,安値!S16&lt;安値!Q16,安値!S16&lt;安値!T16,安値!S16&lt;安値!U16),14,""))</f>
        <v/>
      </c>
      <c r="O16" s="503">
        <f>IF(終値!A16="","",IF(AND(安値!T16&lt;安値!S16,安値!T16&lt;安値!R16,安値!T16&lt;安値!U16,安値!T16&lt;安値!V16),15,""))</f>
        <v>15</v>
      </c>
      <c r="P16" s="503" t="str">
        <f>IF(終値!A16="","",IF(AND(安値!U16&lt;安値!T16,安値!U16&lt;安値!S16,安値!U16&lt;安値!V16,安値!U16&lt;安値!W16),16,""))</f>
        <v/>
      </c>
      <c r="Q16" s="503" t="str">
        <f>IF(終値!A16="","",IF(AND(安値!V16&lt;安値!U16,安値!V16&lt;安値!T16,安値!V16&lt;安値!W16,安値!V16&lt;安値!X16),17,""))</f>
        <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f>IF(終値!A16="","",IF(AND(安値!AA16&lt;安値!Z16,安値!AA16&lt;安値!Y16,安値!AA16&lt;安値!AB16,安値!AA16&lt;安値!AC16),22,""))</f>
        <v>22</v>
      </c>
      <c r="W16" s="503" t="str">
        <f>IF(終値!A16="","",IF(AND(安値!AB16&lt;安値!AA16,安値!AB16&lt;安値!Z16,安値!AB16&lt;安値!AC16,安値!AB16&lt;安値!AD16),23,""))</f>
        <v/>
      </c>
      <c r="X16" s="503" t="str">
        <f>IF(終値!A16="","",IF(AND(安値!AC16&lt;安値!AB16,安値!AC16&lt;安値!AA16,安値!AC16&lt;安値!AD16,安値!AC16&lt;安値!AE16),24,""))</f>
        <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f>IF(終値!A16="","",IF(AND(高値!G16&gt;高値!F16,高値!G16&gt;高値!E16,高値!G16&gt;高値!H16,高値!G16&gt;高値!I16),2,""))</f>
        <v>2</v>
      </c>
      <c r="AD16" s="503" t="str">
        <f>IF(終値!A16="","",IF(AND(高値!H16&gt;高値!G16,高値!H16&gt;高値!F16,高値!H16&gt;高値!I16,高値!H16&gt;高値!J16),3,""))</f>
        <v/>
      </c>
      <c r="AE16" s="503" t="str">
        <f>IF(終値!A16="","",IF(AND(高値!I16&gt;高値!H16,高値!I16&gt;高値!G16,高値!I16&gt;高値!J16,高値!I16&gt;高値!K16),4,""))</f>
        <v/>
      </c>
      <c r="AF16" s="503" t="str">
        <f>IF(終値!A16="","",IF(AND(高値!J16&gt;高値!I16,高値!J16&gt;高値!H16,高値!J16&gt;高値!K16,高値!J16&gt;高値!L16),5,""))</f>
        <v/>
      </c>
      <c r="AG16" s="503">
        <f>IF(終値!A16="","",IF(AND(高値!K16&gt;高値!J16,高値!K16&gt;高値!I16,高値!K16&gt;高値!L16,高値!K16&gt;高値!M16),6,""))</f>
        <v>6</v>
      </c>
      <c r="AH16" s="503" t="str">
        <f>IF(終値!A16="","",IF(AND(高値!L16&gt;高値!K16,高値!L16&gt;高値!J16,高値!L16&gt;高値!M16,高値!L16&gt;高値!N16),7,""))</f>
        <v/>
      </c>
      <c r="AI16" s="503" t="str">
        <f>IF(終値!A16="","",IF(AND(高値!M16&gt;高値!L16,高値!M16&gt;高値!K16,高値!M16&gt;高値!N16,高値!M16&gt;高値!O16),8,""))</f>
        <v/>
      </c>
      <c r="AJ16" s="503">
        <f>IF(終値!A16="","",IF(AND(高値!N16&gt;高値!M16,高値!N16&gt;高値!L16,高値!N16&gt;高値!O16,高値!N16&gt;高値!P16),9,""))</f>
        <v>9</v>
      </c>
      <c r="AK16" s="503" t="str">
        <f>IF(終値!A16="","",IF(AND(高値!O16&gt;高値!N16,高値!O16&gt;高値!M16,高値!O16&gt;高値!P16,高値!O16&gt;高値!Q16),10,""))</f>
        <v/>
      </c>
      <c r="AL16" s="503" t="str">
        <f>IF(終値!A16="","",IF(AND(高値!P16&gt;高値!O16,高値!P16&gt;高値!N16,高値!P16&gt;高値!Q16,高値!P16&gt;高値!R16),11,""))</f>
        <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f>IF(終値!A16="","",IF(AND(高値!W16&gt;高値!V16,高値!W16&gt;高値!U16,高値!W16&gt;高値!X16,高値!W16&gt;高値!Y16),18,""))</f>
        <v>18</v>
      </c>
      <c r="AT16" s="503" t="str">
        <f>IF(終値!A16="","",IF(AND(高値!X16&gt;高値!W16,高値!X16&gt;高値!V16,高値!X16&gt;高値!Y16,高値!X16&gt;高値!Z16),19,""))</f>
        <v/>
      </c>
      <c r="AU16" s="503" t="str">
        <f>IF(終値!A16="","",IF(AND(高値!Y16&gt;高値!X16,高値!Y16&gt;高値!W16,高値!Y16&gt;高値!Z16,高値!Y16&gt;高値!AA16),20,""))</f>
        <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f>IF(終値!A16="","",IF(AND(高値!AG16&gt;高値!AF16,高値!AG16&gt;高値!AE16,高値!AG16&gt;高値!AH16,高値!AG16&gt;高値!AI16),28,""))</f>
        <v>28</v>
      </c>
      <c r="BD16" s="503">
        <f t="shared" si="0"/>
        <v>4</v>
      </c>
      <c r="BE16" s="503">
        <f t="shared" si="1"/>
        <v>5</v>
      </c>
      <c r="BF16" s="503">
        <f t="shared" si="2"/>
        <v>11</v>
      </c>
      <c r="BG16" s="503">
        <f>IF($BE16="","",INDEX(安値!$E16:$CZ16,1,$BE16+1))</f>
        <v>4710</v>
      </c>
      <c r="BH16" s="503">
        <f>IF($BF16="","",INDEX(安値!$E16:$CZ16,1,$BF16+1))</f>
        <v>4374</v>
      </c>
      <c r="BI16" s="503">
        <f>IF($BF16="","",MAX(INDEX(高値!$E16:$CZ16,1,$BE16+1):INDEX(高値!$E16:$CZ16,1,$BF16+1)))</f>
        <v>4966</v>
      </c>
      <c r="BJ16" s="503">
        <f>IF($BF16="","",AVERAGE(INDEX(終値!$E16:$CZ16,1,$BF16+1):INDEX(終値!$E16:$CZ16,1,$BF16+20))-2*STDEVP(INDEX(終値!$E16:$CZ16,1,$BF16+1):INDEX(終値!$E16:$CZ16,1,$BF16+20)))</f>
        <v>4310.6588065151818</v>
      </c>
      <c r="BK16" s="503">
        <f>IF($BE16="","",AVERAGE(INDEX(終値!$E16:$CZ16,1,$BE16+1):INDEX(終値!$E16:$CZ16,1,$BE16+20))-2*STDEVP(INDEX(終値!$E16:$CZ16,1,$BE16+1):INDEX(終値!$E16:$CZ16,1,$BE16+20)))</f>
        <v>4173.6051304743924</v>
      </c>
      <c r="BL16" s="503">
        <f t="shared" si="3"/>
        <v>5</v>
      </c>
      <c r="BM16" s="503">
        <f t="shared" si="4"/>
        <v>2</v>
      </c>
      <c r="BN16" s="503">
        <f t="shared" si="5"/>
        <v>6</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f>IF(終値!A17="","",IF(AND(安値!I17&lt;安値!H17,安値!I17&lt;安値!G17,安値!I17&lt;安値!J17,安値!I17&lt;安値!K17),4,""))</f>
        <v>4</v>
      </c>
      <c r="E17" s="503" t="str">
        <f>IF(終値!A17="","",IF(AND(安値!J17&lt;安値!I17,安値!J17&lt;安値!H17,安値!J17&lt;安値!K17,安値!J17&lt;安値!L17),5,""))</f>
        <v/>
      </c>
      <c r="F17" s="503" t="str">
        <f>IF(終値!A17="","",IF(AND(安値!K17&lt;安値!J17,安値!K17&lt;安値!I17,安値!K17&lt;安値!L17,安値!K17&lt;安値!M17),6,""))</f>
        <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f>IF(終値!A17="","",IF(AND(安値!P17&lt;安値!O17,安値!P17&lt;安値!N17,安値!P17&lt;安値!Q17,安値!P17&lt;安値!R17),11,""))</f>
        <v>11</v>
      </c>
      <c r="L17" s="503" t="str">
        <f>IF(終値!A17="","",IF(AND(安値!Q17&lt;安値!P17,安値!Q17&lt;安値!O17,安値!Q17&lt;安値!R17,安値!Q17&lt;安値!S17),12,""))</f>
        <v/>
      </c>
      <c r="M17" s="503" t="str">
        <f>IF(終値!A17="","",IF(AND(安値!R17&lt;安値!Q17,安値!R17&lt;安値!P17,安値!R17&lt;安値!S17,安値!R17&lt;安値!T17),13,""))</f>
        <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f>IF(終値!A17="","",IF(AND(安値!V17&lt;安値!U17,安値!V17&lt;安値!T17,安値!V17&lt;安値!W17,安値!V17&lt;安値!X17),17,""))</f>
        <v>17</v>
      </c>
      <c r="R17" s="503" t="str">
        <f>IF(終値!A17="","",IF(AND(安値!W17&lt;安値!V17,安値!W17&lt;安値!U17,安値!W17&lt;安値!X17,安値!W17&lt;安値!Y17),18,""))</f>
        <v/>
      </c>
      <c r="S17" s="503" t="str">
        <f>IF(終値!A17="","",IF(AND(安値!X17&lt;安値!W17,安値!X17&lt;安値!V17,安値!X17&lt;安値!Y17,安値!X17&lt;安値!Z17),19,""))</f>
        <v/>
      </c>
      <c r="T17" s="503">
        <f>IF(終値!A17="","",IF(AND(安値!Y17&lt;安値!X17,安値!Y17&lt;安値!W17,安値!Y17&lt;安値!Z17,安値!Y17&lt;安値!AA17),20,""))</f>
        <v>20</v>
      </c>
      <c r="U17" s="503" t="str">
        <f>IF(終値!A17="","",IF(AND(安値!Z17&lt;安値!Y17,安値!Z17&lt;安値!X17,安値!Z17&lt;安値!AA17,安値!Z17&lt;安値!AB17),21,""))</f>
        <v/>
      </c>
      <c r="V17" s="503" t="str">
        <f>IF(終値!A17="","",IF(AND(安値!AA17&lt;安値!Z17,安値!AA17&lt;安値!Y17,安値!AA17&lt;安値!AB17,安値!AA17&lt;安値!AC17),22,""))</f>
        <v/>
      </c>
      <c r="W17" s="503" t="str">
        <f>IF(終値!A17="","",IF(AND(安値!AB17&lt;安値!AA17,安値!AB17&lt;安値!Z17,安値!AB17&lt;安値!AC17,安値!AB17&lt;安値!AD17),23,""))</f>
        <v/>
      </c>
      <c r="X17" s="503">
        <f>IF(終値!A17="","",IF(AND(安値!AC17&lt;安値!AB17,安値!AC17&lt;安値!AA17,安値!AC17&lt;安値!AD17,安値!AC17&lt;安値!AE17),24,""))</f>
        <v>24</v>
      </c>
      <c r="Y17" s="503" t="str">
        <f>IF(終値!A17="","",IF(AND(安値!AD17&lt;安値!AC17,安値!AD17&lt;安値!AB17,安値!AD17&lt;安値!AE17,安値!AD17&lt;安値!AF17),25,""))</f>
        <v/>
      </c>
      <c r="Z17" s="503" t="str">
        <f>IF(終値!A17="","",IF(AND(安値!AE17&lt;安値!AD17,安値!AE17&lt;安値!AC17,安値!AE17&lt;安値!AF17,安値!AE17&lt;安値!AG17),26,""))</f>
        <v/>
      </c>
      <c r="AA17" s="503">
        <f>IF(終値!A17="","",IF(AND(安値!AF17&lt;安値!AE17,安値!AF17&lt;安値!AD17,安値!AF17&lt;安値!AG17,安値!AF17&lt;安値!AH17),27,""))</f>
        <v>27</v>
      </c>
      <c r="AB17" s="503" t="str">
        <f>IF(終値!A17="","",IF(AND(安値!AG17&lt;安値!AF17,安値!AG17&lt;安値!AE17,安値!AG17&lt;安値!AH17,安値!AG17&lt;安値!AI17),28,""))</f>
        <v/>
      </c>
      <c r="AC17" s="503">
        <f>IF(終値!A17="","",IF(AND(高値!G17&gt;高値!F17,高値!G17&gt;高値!E17,高値!G17&gt;高値!H17,高値!G17&gt;高値!I17),2,""))</f>
        <v>2</v>
      </c>
      <c r="AD17" s="503" t="str">
        <f>IF(終値!A17="","",IF(AND(高値!H17&gt;高値!G17,高値!H17&gt;高値!F17,高値!H17&gt;高値!I17,高値!H17&gt;高値!J17),3,""))</f>
        <v/>
      </c>
      <c r="AE17" s="503" t="str">
        <f>IF(終値!A17="","",IF(AND(高値!I17&gt;高値!H17,高値!I17&gt;高値!G17,高値!I17&gt;高値!J17,高値!I17&gt;高値!K17),4,""))</f>
        <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f>IF(終値!A17="","",IF(AND(高値!M17&gt;高値!L17,高値!M17&gt;高値!K17,高値!M17&gt;高値!N17,高値!M17&gt;高値!O17),8,""))</f>
        <v>8</v>
      </c>
      <c r="AJ17" s="503" t="str">
        <f>IF(終値!A17="","",IF(AND(高値!N17&gt;高値!M17,高値!N17&gt;高値!L17,高値!N17&gt;高値!O17,高値!N17&gt;高値!P17),9,""))</f>
        <v/>
      </c>
      <c r="AK17" s="503" t="str">
        <f>IF(終値!A17="","",IF(AND(高値!O17&gt;高値!N17,高値!O17&gt;高値!M17,高値!O17&gt;高値!P17,高値!O17&gt;高値!Q17),10,""))</f>
        <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f>IF(終値!A17="","",IF(AND(高値!T17&gt;高値!S17,高値!T17&gt;高値!R17,高値!T17&gt;高値!U17,高値!T17&gt;高値!V17),15,""))</f>
        <v>15</v>
      </c>
      <c r="AQ17" s="503" t="str">
        <f>IF(終値!A17="","",IF(AND(高値!U17&gt;高値!T17,高値!U17&gt;高値!S17,高値!U17&gt;高値!V17,高値!U17&gt;高値!W17),16,""))</f>
        <v/>
      </c>
      <c r="AR17" s="503" t="str">
        <f>IF(終値!A17="","",IF(AND(高値!V17&gt;高値!U17,高値!V17&gt;高値!T17,高値!V17&gt;高値!W17,高値!V17&gt;高値!X17),17,""))</f>
        <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f>IF(終値!A17="","",IF(AND(高値!AA17&gt;高値!Z17,高値!AA17&gt;高値!Y17,高値!AA17&gt;高値!AB17,高値!AA17&gt;高値!AC17),22,""))</f>
        <v>22</v>
      </c>
      <c r="AX17" s="503" t="str">
        <f>IF(終値!A17="","",IF(AND(高値!AB17&gt;高値!AA17,高値!AB17&gt;高値!Z17,高値!AB17&gt;高値!AC17,高値!AB17&gt;高値!AD17),23,""))</f>
        <v/>
      </c>
      <c r="AY17" s="503" t="str">
        <f>IF(終値!A17="","",IF(AND(高値!AC17&gt;高値!AB17,高値!AC17&gt;高値!AA17,高値!AC17&gt;高値!AD17,高値!AC17&gt;高値!AE17),24,""))</f>
        <v/>
      </c>
      <c r="AZ17" s="503" t="str">
        <f>IF(終値!A17="","",IF(AND(高値!AD17&gt;高値!AC17,高値!AD17&gt;高値!AB17,高値!AD17&gt;高値!AE17,高値!AD17&gt;高値!AF17),25,""))</f>
        <v/>
      </c>
      <c r="BA17" s="503">
        <f>IF(終値!A17="","",IF(AND(高値!AE17&gt;高値!AD17,高値!AE17&gt;高値!AC17,高値!AE17&gt;高値!AF17,高値!AE17&gt;高値!AG17),26,""))</f>
        <v>26</v>
      </c>
      <c r="BB17" s="503" t="str">
        <f>IF(終値!A17="","",IF(AND(高値!AF17&gt;高値!AE17,高値!AF17&gt;高値!AD17,高値!AF17&gt;高値!AG17,高値!AF17&gt;高値!AH17),27,""))</f>
        <v/>
      </c>
      <c r="BC17" s="503" t="str">
        <f>IF(終値!A17="","",IF(AND(高値!AG17&gt;高値!AF17,高値!AG17&gt;高値!AE17,高値!AG17&gt;高値!AH17,高値!AG17&gt;高値!AI17),28,""))</f>
        <v/>
      </c>
      <c r="BD17" s="503">
        <f t="shared" si="0"/>
        <v>6</v>
      </c>
      <c r="BE17" s="503">
        <f t="shared" si="1"/>
        <v>4</v>
      </c>
      <c r="BF17" s="503">
        <f t="shared" si="2"/>
        <v>11</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2</v>
      </c>
      <c r="BN17" s="503">
        <f t="shared" si="5"/>
        <v>8</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t="str">
        <f>IF(終値!A18="","",IF(AND(安値!H18&lt;安値!G18,安値!H18&lt;安値!F18,安値!H18&lt;安値!I18,安値!H18&lt;安値!J18),3,""))</f>
        <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f>IF(終値!A18="","",IF(AND(安値!L18&lt;安値!K18,安値!L18&lt;安値!J18,安値!L18&lt;安値!M18,安値!L18&lt;安値!N18),7,""))</f>
        <v>7</v>
      </c>
      <c r="H18" s="503" t="str">
        <f>IF(終値!A18="","",IF(AND(安値!M18&lt;安値!L18,安値!M18&lt;安値!K18,安値!M18&lt;安値!N18,安値!M18&lt;安値!O18),8,""))</f>
        <v/>
      </c>
      <c r="I18" s="503" t="str">
        <f>IF(終値!A18="","",IF(AND(安値!N18&lt;安値!M18,安値!N18&lt;安値!L18,安値!N18&lt;安値!O18,安値!N18&lt;安値!P18),9,""))</f>
        <v/>
      </c>
      <c r="J18" s="503" t="str">
        <f>IF(終値!A18="","",IF(AND(安値!O18&lt;安値!N18,安値!O18&lt;安値!M18,安値!O18&lt;安値!P18,安値!O18&lt;安値!Q18),10,""))</f>
        <v/>
      </c>
      <c r="K18" s="503">
        <f>IF(終値!A18="","",IF(AND(安値!P18&lt;安値!O18,安値!P18&lt;安値!N18,安値!P18&lt;安値!Q18,安値!P18&lt;安値!R18),11,""))</f>
        <v>11</v>
      </c>
      <c r="L18" s="503" t="str">
        <f>IF(終値!A18="","",IF(AND(安値!Q18&lt;安値!P18,安値!Q18&lt;安値!O18,安値!Q18&lt;安値!R18,安値!Q18&lt;安値!S18),12,""))</f>
        <v/>
      </c>
      <c r="M18" s="503" t="str">
        <f>IF(終値!A18="","",IF(AND(安値!R18&lt;安値!Q18,安値!R18&lt;安値!P18,安値!R18&lt;安値!S18,安値!R18&lt;安値!T18),13,""))</f>
        <v/>
      </c>
      <c r="N18" s="503" t="str">
        <f>IF(終値!A18="","",IF(AND(安値!S18&lt;安値!R18,安値!S18&lt;安値!Q18,安値!S18&lt;安値!T18,安値!S18&lt;安値!U18),14,""))</f>
        <v/>
      </c>
      <c r="O18" s="503">
        <f>IF(終値!A18="","",IF(AND(安値!T18&lt;安値!S18,安値!T18&lt;安値!R18,安値!T18&lt;安値!U18,安値!T18&lt;安値!V18),15,""))</f>
        <v>15</v>
      </c>
      <c r="P18" s="503" t="str">
        <f>IF(終値!A18="","",IF(AND(安値!U18&lt;安値!T18,安値!U18&lt;安値!S18,安値!U18&lt;安値!V18,安値!U18&lt;安値!W18),16,""))</f>
        <v/>
      </c>
      <c r="Q18" s="503" t="str">
        <f>IF(終値!A18="","",IF(AND(安値!V18&lt;安値!U18,安値!V18&lt;安値!T18,安値!V18&lt;安値!W18,安値!V18&lt;安値!X18),17,""))</f>
        <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f>IF(終値!A18="","",IF(AND(安値!AA18&lt;安値!Z18,安値!AA18&lt;安値!Y18,安値!AA18&lt;安値!AB18,安値!AA18&lt;安値!AC18),22,""))</f>
        <v>22</v>
      </c>
      <c r="W18" s="503" t="str">
        <f>IF(終値!A18="","",IF(AND(安値!AB18&lt;安値!AA18,安値!AB18&lt;安値!Z18,安値!AB18&lt;安値!AC18,安値!AB18&lt;安値!AD18),23,""))</f>
        <v/>
      </c>
      <c r="X18" s="503" t="str">
        <f>IF(終値!A18="","",IF(AND(安値!AC18&lt;安値!AB18,安値!AC18&lt;安値!AA18,安値!AC18&lt;安値!AD18,安値!AC18&lt;安値!AE18),24,""))</f>
        <v/>
      </c>
      <c r="Y18" s="503" t="str">
        <f>IF(終値!A18="","",IF(AND(安値!AD18&lt;安値!AC18,安値!AD18&lt;安値!AB18,安値!AD18&lt;安値!AE18,安値!AD18&lt;安値!AF18),25,""))</f>
        <v/>
      </c>
      <c r="Z18" s="503">
        <f>IF(終値!A18="","",IF(AND(安値!AE18&lt;安値!AD18,安値!AE18&lt;安値!AC18,安値!AE18&lt;安値!AF18,安値!AE18&lt;安値!AG18),26,""))</f>
        <v>26</v>
      </c>
      <c r="AA18" s="503" t="str">
        <f>IF(終値!A18="","",IF(AND(安値!AF18&lt;安値!AE18,安値!AF18&lt;安値!AD18,安値!AF18&lt;安値!AG18,安値!AF18&lt;安値!AH18),27,""))</f>
        <v/>
      </c>
      <c r="AB18" s="503" t="str">
        <f>IF(終値!A18="","",IF(AND(安値!AG18&lt;安値!AF18,安値!AG18&lt;安値!AE18,安値!AG18&lt;安値!AH18,安値!AG18&lt;安値!AI18),28,""))</f>
        <v/>
      </c>
      <c r="AC18" s="503">
        <f>IF(終値!A18="","",IF(AND(高値!G18&gt;高値!F18,高値!G18&gt;高値!E18,高値!G18&gt;高値!H18,高値!G18&gt;高値!I18),2,""))</f>
        <v>2</v>
      </c>
      <c r="AD18" s="503" t="str">
        <f>IF(終値!A18="","",IF(AND(高値!H18&gt;高値!G18,高値!H18&gt;高値!F18,高値!H18&gt;高値!I18,高値!H18&gt;高値!J18),3,""))</f>
        <v/>
      </c>
      <c r="AE18" s="503" t="str">
        <f>IF(終値!A18="","",IF(AND(高値!I18&gt;高値!H18,高値!I18&gt;高値!G18,高値!I18&gt;高値!J18,高値!I18&gt;高値!K18),4,""))</f>
        <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f>IF(終値!A18="","",IF(AND(高値!M18&gt;高値!L18,高値!M18&gt;高値!K18,高値!M18&gt;高値!N18,高値!M18&gt;高値!O18),8,""))</f>
        <v>8</v>
      </c>
      <c r="AJ18" s="503" t="str">
        <f>IF(終値!A18="","",IF(AND(高値!N18&gt;高値!M18,高値!N18&gt;高値!L18,高値!N18&gt;高値!O18,高値!N18&gt;高値!P18),9,""))</f>
        <v/>
      </c>
      <c r="AK18" s="503" t="str">
        <f>IF(終値!A18="","",IF(AND(高値!O18&gt;高値!N18,高値!O18&gt;高値!M18,高値!O18&gt;高値!P18,高値!O18&gt;高値!Q18),10,""))</f>
        <v/>
      </c>
      <c r="AL18" s="503" t="str">
        <f>IF(終値!A18="","",IF(AND(高値!P18&gt;高値!O18,高値!P18&gt;高値!N18,高値!P18&gt;高値!Q18,高値!P18&gt;高値!R18),11,""))</f>
        <v/>
      </c>
      <c r="AM18" s="503" t="str">
        <f>IF(終値!A18="","",IF(AND(高値!Q18&gt;高値!P18,高値!Q18&gt;高値!O18,高値!Q18&gt;高値!R18,高値!Q18&gt;高値!S18),12,""))</f>
        <v/>
      </c>
      <c r="AN18" s="503">
        <f>IF(終値!A18="","",IF(AND(高値!R18&gt;高値!Q18,高値!R18&gt;高値!P18,高値!R18&gt;高値!S18,高値!R18&gt;高値!T18),13,""))</f>
        <v>13</v>
      </c>
      <c r="AO18" s="503" t="str">
        <f>IF(終値!A18="","",IF(AND(高値!S18&gt;高値!R18,高値!S18&gt;高値!Q18,高値!S18&gt;高値!T18,高値!S18&gt;高値!U18),14,""))</f>
        <v/>
      </c>
      <c r="AP18" s="503" t="str">
        <f>IF(終値!A18="","",IF(AND(高値!T18&gt;高値!S18,高値!T18&gt;高値!R18,高値!T18&gt;高値!U18,高値!T18&gt;高値!V18),15,""))</f>
        <v/>
      </c>
      <c r="AQ18" s="503">
        <f>IF(終値!A18="","",IF(AND(高値!U18&gt;高値!T18,高値!U18&gt;高値!S18,高値!U18&gt;高値!V18,高値!U18&gt;高値!W18),16,""))</f>
        <v>16</v>
      </c>
      <c r="AR18" s="503" t="str">
        <f>IF(終値!A18="","",IF(AND(高値!V18&gt;高値!U18,高値!V18&gt;高値!T18,高値!V18&gt;高値!W18,高値!V18&gt;高値!X18),17,""))</f>
        <v/>
      </c>
      <c r="AS18" s="503" t="str">
        <f>IF(終値!A18="","",IF(AND(高値!W18&gt;高値!V18,高値!W18&gt;高値!U18,高値!W18&gt;高値!X18,高値!W18&gt;高値!Y18),18,""))</f>
        <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f>IF(終値!A18="","",IF(AND(高値!AB18&gt;高値!AA18,高値!AB18&gt;高値!Z18,高値!AB18&gt;高値!AC18,高値!AB18&gt;高値!AD18),23,""))</f>
        <v>23</v>
      </c>
      <c r="AY18" s="503" t="str">
        <f>IF(終値!A18="","",IF(AND(高値!AC18&gt;高値!AB18,高値!AC18&gt;高値!AA18,高値!AC18&gt;高値!AD18,高値!AC18&gt;高値!AE18),24,""))</f>
        <v/>
      </c>
      <c r="AZ18" s="503" t="str">
        <f>IF(終値!A18="","",IF(AND(高値!AD18&gt;高値!AC18,高値!AD18&gt;高値!AB18,高値!AD18&gt;高値!AE18,高値!AD18&gt;高値!AF18),25,""))</f>
        <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5</v>
      </c>
      <c r="BE18" s="503">
        <f t="shared" si="1"/>
        <v>7</v>
      </c>
      <c r="BF18" s="503">
        <f t="shared" si="2"/>
        <v>11</v>
      </c>
      <c r="BG18" s="503">
        <f>IF($BE18="","",INDEX(安値!$E18:$CZ18,1,$BE18+1))</f>
        <v>0</v>
      </c>
      <c r="BH18" s="503">
        <f>IF($BF18="","",INDEX(安値!$E18:$CZ18,1,$BF18+1))</f>
        <v>1653</v>
      </c>
      <c r="BI18" s="503">
        <f>IF($BF18="","",MAX(INDEX(高値!$E18:$CZ18,1,$BE18+1):INDEX(高値!$E18:$CZ18,1,$BF18+1)))</f>
        <v>1770</v>
      </c>
      <c r="BJ18" s="503">
        <f>IF($BF18="","",AVERAGE(INDEX(終値!$E18:$CZ18,1,$BF18+1):INDEX(終値!$E18:$CZ18,1,$BF18+20))-2*STDEVP(INDEX(終値!$E18:$CZ18,1,$BF18+1):INDEX(終値!$E18:$CZ18,1,$BF18+20)))</f>
        <v>1554.2156302054091</v>
      </c>
      <c r="BK18" s="503">
        <f>IF($BE18="","",AVERAGE(INDEX(終値!$E18:$CZ18,1,$BE18+1):INDEX(終値!$E18:$CZ18,1,$BE18+20))-2*STDEVP(INDEX(終値!$E18:$CZ18,1,$BE18+1):INDEX(終値!$E18:$CZ18,1,$BE18+20)))</f>
        <v>1545.4271085230866</v>
      </c>
      <c r="BL18" s="503">
        <f t="shared" si="3"/>
        <v>5</v>
      </c>
      <c r="BM18" s="503">
        <f t="shared" si="4"/>
        <v>2</v>
      </c>
      <c r="BN18" s="503">
        <f t="shared" si="5"/>
        <v>8</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二番天井M▼</v>
      </c>
    </row>
    <row r="19" spans="2:72">
      <c r="B19" s="503" t="str">
        <f>IF(終値!A19="","",IF(AND(安値!G19&lt;安値!F19,安値!G19&lt;安値!E19,安値!G19&lt;安値!H19,安値!G19&lt;安値!I19),2,""))</f>
        <v/>
      </c>
      <c r="C19" s="503">
        <f>IF(終値!A19="","",IF(AND(安値!H19&lt;安値!G19,安値!H19&lt;安値!F19,安値!H19&lt;安値!I19,安値!H19&lt;安値!J19),3,""))</f>
        <v>3</v>
      </c>
      <c r="D19" s="503" t="str">
        <f>IF(終値!A19="","",IF(AND(安値!I19&lt;安値!H19,安値!I19&lt;安値!G19,安値!I19&lt;安値!J19,安値!I19&lt;安値!K19),4,""))</f>
        <v/>
      </c>
      <c r="E19" s="503" t="str">
        <f>IF(終値!A19="","",IF(AND(安値!J19&lt;安値!I19,安値!J19&lt;安値!H19,安値!J19&lt;安値!K19,安値!J19&lt;安値!L19),5,""))</f>
        <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f>IF(終値!A19="","",IF(AND(安値!P19&lt;安値!O19,安値!P19&lt;安値!N19,安値!P19&lt;安値!Q19,安値!P19&lt;安値!R19),11,""))</f>
        <v>11</v>
      </c>
      <c r="L19" s="503" t="str">
        <f>IF(終値!A19="","",IF(AND(安値!Q19&lt;安値!P19,安値!Q19&lt;安値!O19,安値!Q19&lt;安値!R19,安値!Q19&lt;安値!S19),12,""))</f>
        <v/>
      </c>
      <c r="M19" s="503" t="str">
        <f>IF(終値!A19="","",IF(AND(安値!R19&lt;安値!Q19,安値!R19&lt;安値!P19,安値!R19&lt;安値!S19,安値!R19&lt;安値!T19),13,""))</f>
        <v/>
      </c>
      <c r="N19" s="503" t="str">
        <f>IF(終値!A19="","",IF(AND(安値!S19&lt;安値!R19,安値!S19&lt;安値!Q19,安値!S19&lt;安値!T19,安値!S19&lt;安値!U19),14,""))</f>
        <v/>
      </c>
      <c r="O19" s="503" t="str">
        <f>IF(終値!A19="","",IF(AND(安値!T19&lt;安値!S19,安値!T19&lt;安値!R19,安値!T19&lt;安値!U19,安値!T19&lt;安値!V19),15,""))</f>
        <v/>
      </c>
      <c r="P19" s="503">
        <f>IF(終値!A19="","",IF(AND(安値!U19&lt;安値!T19,安値!U19&lt;安値!S19,安値!U19&lt;安値!V19,安値!U19&lt;安値!W19),16,""))</f>
        <v>16</v>
      </c>
      <c r="Q19" s="503" t="str">
        <f>IF(終値!A19="","",IF(AND(安値!V19&lt;安値!U19,安値!V19&lt;安値!T19,安値!V19&lt;安値!W19,安値!V19&lt;安値!X19),17,""))</f>
        <v/>
      </c>
      <c r="R19" s="503" t="str">
        <f>IF(終値!A19="","",IF(AND(安値!W19&lt;安値!V19,安値!W19&lt;安値!U19,安値!W19&lt;安値!X19,安値!W19&lt;安値!Y19),18,""))</f>
        <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f>IF(終値!A19="","",IF(AND(安値!AC19&lt;安値!AB19,安値!AC19&lt;安値!AA19,安値!AC19&lt;安値!AD19,安値!AC19&lt;安値!AE19),24,""))</f>
        <v>24</v>
      </c>
      <c r="Y19" s="503" t="str">
        <f>IF(終値!A19="","",IF(AND(安値!AD19&lt;安値!AC19,安値!AD19&lt;安値!AB19,安値!AD19&lt;安値!AE19,安値!AD19&lt;安値!AF19),25,""))</f>
        <v/>
      </c>
      <c r="Z19" s="503" t="str">
        <f>IF(終値!A19="","",IF(AND(安値!AE19&lt;安値!AD19,安値!AE19&lt;安値!AC19,安値!AE19&lt;安値!AF19,安値!AE19&lt;安値!AG19),26,""))</f>
        <v/>
      </c>
      <c r="AA19" s="503">
        <f>IF(終値!A19="","",IF(AND(安値!AF19&lt;安値!AE19,安値!AF19&lt;安値!AD19,安値!AF19&lt;安値!AG19,安値!AF19&lt;安値!AH19),27,""))</f>
        <v>27</v>
      </c>
      <c r="AB19" s="503" t="str">
        <f>IF(終値!A19="","",IF(AND(安値!AG19&lt;安値!AF19,安値!AG19&lt;安値!AE19,安値!AG19&lt;安値!AH19,安値!AG19&lt;安値!AI19),28,""))</f>
        <v/>
      </c>
      <c r="AC19" s="503">
        <f>IF(終値!A19="","",IF(AND(高値!G19&gt;高値!F19,高値!G19&gt;高値!E19,高値!G19&gt;高値!H19,高値!G19&gt;高値!I19),2,""))</f>
        <v>2</v>
      </c>
      <c r="AD19" s="503" t="str">
        <f>IF(終値!A19="","",IF(AND(高値!H19&gt;高値!G19,高値!H19&gt;高値!F19,高値!H19&gt;高値!I19,高値!H19&gt;高値!J19),3,""))</f>
        <v/>
      </c>
      <c r="AE19" s="503" t="str">
        <f>IF(終値!A19="","",IF(AND(高値!I19&gt;高値!H19,高値!I19&gt;高値!G19,高値!I19&gt;高値!J19,高値!I19&gt;高値!K19),4,""))</f>
        <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f>IF(終値!A19="","",IF(AND(高値!M19&gt;高値!L19,高値!M19&gt;高値!K19,高値!M19&gt;高値!N19,高値!M19&gt;高値!O19),8,""))</f>
        <v>8</v>
      </c>
      <c r="AJ19" s="503" t="str">
        <f>IF(終値!A19="","",IF(AND(高値!N19&gt;高値!M19,高値!N19&gt;高値!L19,高値!N19&gt;高値!O19,高値!N19&gt;高値!P19),9,""))</f>
        <v/>
      </c>
      <c r="AK19" s="503" t="str">
        <f>IF(終値!A19="","",IF(AND(高値!O19&gt;高値!N19,高値!O19&gt;高値!M19,高値!O19&gt;高値!P19,高値!O19&gt;高値!Q19),10,""))</f>
        <v/>
      </c>
      <c r="AL19" s="503" t="str">
        <f>IF(終値!A19="","",IF(AND(高値!P19&gt;高値!O19,高値!P19&gt;高値!N19,高値!P19&gt;高値!Q19,高値!P19&gt;高値!R19),11,""))</f>
        <v/>
      </c>
      <c r="AM19" s="503">
        <f>IF(終値!A19="","",IF(AND(高値!Q19&gt;高値!P19,高値!Q19&gt;高値!O19,高値!Q19&gt;高値!R19,高値!Q19&gt;高値!S19),12,""))</f>
        <v>12</v>
      </c>
      <c r="AN19" s="503" t="str">
        <f>IF(終値!A19="","",IF(AND(高値!R19&gt;高値!Q19,高値!R19&gt;高値!P19,高値!R19&gt;高値!S19,高値!R19&gt;高値!T19),13,""))</f>
        <v/>
      </c>
      <c r="AO19" s="503" t="str">
        <f>IF(終値!A19="","",IF(AND(高値!S19&gt;高値!R19,高値!S19&gt;高値!Q19,高値!S19&gt;高値!T19,高値!S19&gt;高値!U19),14,""))</f>
        <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f>IF(終値!A19="","",IF(AND(高値!W19&gt;高値!V19,高値!W19&gt;高値!U19,高値!W19&gt;高値!X19,高値!W19&gt;高値!Y19),18,""))</f>
        <v>18</v>
      </c>
      <c r="AT19" s="503" t="str">
        <f>IF(終値!A19="","",IF(AND(高値!X19&gt;高値!W19,高値!X19&gt;高値!V19,高値!X19&gt;高値!Y19,高値!X19&gt;高値!Z19),19,""))</f>
        <v/>
      </c>
      <c r="AU19" s="503" t="str">
        <f>IF(終値!A19="","",IF(AND(高値!Y19&gt;高値!X19,高値!Y19&gt;高値!W19,高値!Y19&gt;高値!Z19,高値!Y19&gt;高値!AA19),20,""))</f>
        <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5</v>
      </c>
      <c r="BE19" s="503">
        <f t="shared" si="1"/>
        <v>3</v>
      </c>
      <c r="BF19" s="503">
        <f t="shared" si="2"/>
        <v>11</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2</v>
      </c>
      <c r="BN19" s="503">
        <f t="shared" si="5"/>
        <v>8</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f>IF(終値!A20="","",IF(AND(安値!L20&lt;安値!K20,安値!L20&lt;安値!J20,安値!L20&lt;安値!M20,安値!L20&lt;安値!N20),7,""))</f>
        <v>7</v>
      </c>
      <c r="H20" s="503" t="str">
        <f>IF(終値!A20="","",IF(AND(安値!M20&lt;安値!L20,安値!M20&lt;安値!K20,安値!M20&lt;安値!N20,安値!M20&lt;安値!O20),8,""))</f>
        <v/>
      </c>
      <c r="I20" s="503" t="str">
        <f>IF(終値!A20="","",IF(AND(安値!N20&lt;安値!M20,安値!N20&lt;安値!L20,安値!N20&lt;安値!O20,安値!N20&lt;安値!P20),9,""))</f>
        <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f>IF(終値!A20="","",IF(AND(安値!U20&lt;安値!T20,安値!U20&lt;安値!S20,安値!U20&lt;安値!V20,安値!U20&lt;安値!W20),16,""))</f>
        <v>16</v>
      </c>
      <c r="Q20" s="503" t="str">
        <f>IF(終値!A20="","",IF(AND(安値!V20&lt;安値!U20,安値!V20&lt;安値!T20,安値!V20&lt;安値!W20,安値!V20&lt;安値!X20),17,""))</f>
        <v/>
      </c>
      <c r="R20" s="503" t="str">
        <f>IF(終値!A20="","",IF(AND(安値!W20&lt;安値!V20,安値!W20&lt;安値!U20,安値!W20&lt;安値!X20,安値!W20&lt;安値!Y20),18,""))</f>
        <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f>IF(終値!A20="","",IF(AND(安値!AC20&lt;安値!AB20,安値!AC20&lt;安値!AA20,安値!AC20&lt;安値!AD20,安値!AC20&lt;安値!AE20),24,""))</f>
        <v>24</v>
      </c>
      <c r="Y20" s="503" t="str">
        <f>IF(終値!A20="","",IF(AND(安値!AD20&lt;安値!AC20,安値!AD20&lt;安値!AB20,安値!AD20&lt;安値!AE20,安値!AD20&lt;安値!AF20),25,""))</f>
        <v/>
      </c>
      <c r="Z20" s="503" t="str">
        <f>IF(終値!A20="","",IF(AND(安値!AE20&lt;安値!AD20,安値!AE20&lt;安値!AC20,安値!AE20&lt;安値!AF20,安値!AE20&lt;安値!AG20),26,""))</f>
        <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f>IF(終値!A20="","",IF(AND(高値!K20&gt;高値!J20,高値!K20&gt;高値!I20,高値!K20&gt;高値!L20,高値!K20&gt;高値!M20),6,""))</f>
        <v>6</v>
      </c>
      <c r="AH20" s="503" t="str">
        <f>IF(終値!A20="","",IF(AND(高値!L20&gt;高値!K20,高値!L20&gt;高値!J20,高値!L20&gt;高値!M20,高値!L20&gt;高値!N20),7,""))</f>
        <v/>
      </c>
      <c r="AI20" s="503" t="str">
        <f>IF(終値!A20="","",IF(AND(高値!M20&gt;高値!L20,高値!M20&gt;高値!K20,高値!M20&gt;高値!N20,高値!M20&gt;高値!O20),8,""))</f>
        <v/>
      </c>
      <c r="AJ20" s="503">
        <f>IF(終値!A20="","",IF(AND(高値!N20&gt;高値!M20,高値!N20&gt;高値!L20,高値!N20&gt;高値!O20,高値!N20&gt;高値!P20),9,""))</f>
        <v>9</v>
      </c>
      <c r="AK20" s="503" t="str">
        <f>IF(終値!A20="","",IF(AND(高値!O20&gt;高値!N20,高値!O20&gt;高値!M20,高値!O20&gt;高値!P20,高値!O20&gt;高値!Q20),10,""))</f>
        <v/>
      </c>
      <c r="AL20" s="503" t="str">
        <f>IF(終値!A20="","",IF(AND(高値!P20&gt;高値!O20,高値!P20&gt;高値!N20,高値!P20&gt;高値!Q20,高値!P20&gt;高値!R20),11,""))</f>
        <v/>
      </c>
      <c r="AM20" s="503">
        <f>IF(終値!A20="","",IF(AND(高値!Q20&gt;高値!P20,高値!Q20&gt;高値!O20,高値!Q20&gt;高値!R20,高値!Q20&gt;高値!S20),12,""))</f>
        <v>12</v>
      </c>
      <c r="AN20" s="503" t="str">
        <f>IF(終値!A20="","",IF(AND(高値!R20&gt;高値!Q20,高値!R20&gt;高値!P20,高値!R20&gt;高値!S20,高値!R20&gt;高値!T20),13,""))</f>
        <v/>
      </c>
      <c r="AO20" s="503" t="str">
        <f>IF(終値!A20="","",IF(AND(高値!S20&gt;高値!R20,高値!S20&gt;高値!Q20,高値!S20&gt;高値!T20,高値!S20&gt;高値!U20),14,""))</f>
        <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f>IF(終値!A20="","",IF(AND(高値!X20&gt;高値!W20,高値!X20&gt;高値!V20,高値!X20&gt;高値!Y20,高値!X20&gt;高値!Z20),19,""))</f>
        <v>19</v>
      </c>
      <c r="AU20" s="503" t="str">
        <f>IF(終値!A20="","",IF(AND(高値!Y20&gt;高値!X20,高値!Y20&gt;高値!W20,高値!Y20&gt;高値!Z20,高値!Y20&gt;高値!AA20),20,""))</f>
        <v/>
      </c>
      <c r="AV20" s="503" t="str">
        <f>IF(終値!A20="","",IF(AND(高値!Z20&gt;高値!Y20,高値!Z20&gt;高値!X20,高値!Z20&gt;高値!AA20,高値!Z20&gt;高値!AB20),21,""))</f>
        <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f>IF(終値!A20="","",IF(AND(高値!AG20&gt;高値!AF20,高値!AG20&gt;高値!AE20,高値!AG20&gt;高値!AH20,高値!AG20&gt;高値!AI20),28,""))</f>
        <v>28</v>
      </c>
      <c r="BD20" s="503">
        <f t="shared" si="0"/>
        <v>3</v>
      </c>
      <c r="BE20" s="503">
        <f t="shared" si="1"/>
        <v>7</v>
      </c>
      <c r="BF20" s="503">
        <f t="shared" si="2"/>
        <v>16</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5</v>
      </c>
      <c r="BM20" s="503">
        <f t="shared" si="4"/>
        <v>6</v>
      </c>
      <c r="BN20" s="503">
        <f t="shared" si="5"/>
        <v>9</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t="str">
        <f>IF(終値!A21="","",IF(AND(安値!G21&lt;安値!F21,安値!G21&lt;安値!E21,安値!G21&lt;安値!H21,安値!G21&lt;安値!I21),2,""))</f>
        <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f>IF(終値!A21="","",IF(AND(安値!L21&lt;安値!K21,安値!L21&lt;安値!J21,安値!L21&lt;安値!M21,安値!L21&lt;安値!N21),7,""))</f>
        <v>7</v>
      </c>
      <c r="H21" s="503" t="str">
        <f>IF(終値!A21="","",IF(AND(安値!M21&lt;安値!L21,安値!M21&lt;安値!K21,安値!M21&lt;安値!N21,安値!M21&lt;安値!O21),8,""))</f>
        <v/>
      </c>
      <c r="I21" s="503" t="str">
        <f>IF(終値!A21="","",IF(AND(安値!N21&lt;安値!M21,安値!N21&lt;安値!L21,安値!N21&lt;安値!O21,安値!N21&lt;安値!P21),9,""))</f>
        <v/>
      </c>
      <c r="J21" s="503" t="str">
        <f>IF(終値!A21="","",IF(AND(安値!O21&lt;安値!N21,安値!O21&lt;安値!M21,安値!O21&lt;安値!P21,安値!O21&lt;安値!Q21),10,""))</f>
        <v/>
      </c>
      <c r="K21" s="503">
        <f>IF(終値!A21="","",IF(AND(安値!P21&lt;安値!O21,安値!P21&lt;安値!N21,安値!P21&lt;安値!Q21,安値!P21&lt;安値!R21),11,""))</f>
        <v>11</v>
      </c>
      <c r="L21" s="503" t="str">
        <f>IF(終値!A21="","",IF(AND(安値!Q21&lt;安値!P21,安値!Q21&lt;安値!O21,安値!Q21&lt;安値!R21,安値!Q21&lt;安値!S21),12,""))</f>
        <v/>
      </c>
      <c r="M21" s="503" t="str">
        <f>IF(終値!A21="","",IF(AND(安値!R21&lt;安値!Q21,安値!R21&lt;安値!P21,安値!R21&lt;安値!S21,安値!R21&lt;安値!T21),13,""))</f>
        <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f>IF(終値!A21="","",IF(AND(安値!Y21&lt;安値!X21,安値!Y21&lt;安値!W21,安値!Y21&lt;安値!Z21,安値!Y21&lt;安値!AA21),20,""))</f>
        <v>20</v>
      </c>
      <c r="U21" s="503" t="str">
        <f>IF(終値!A21="","",IF(AND(安値!Z21&lt;安値!Y21,安値!Z21&lt;安値!X21,安値!Z21&lt;安値!AA21,安値!Z21&lt;安値!AB21),21,""))</f>
        <v/>
      </c>
      <c r="V21" s="503" t="str">
        <f>IF(終値!A21="","",IF(AND(安値!AA21&lt;安値!Z21,安値!AA21&lt;安値!Y21,安値!AA21&lt;安値!AB21,安値!AA21&lt;安値!AC21),22,""))</f>
        <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f>IF(終値!A21="","",IF(AND(高値!G21&gt;高値!F21,高値!G21&gt;高値!E21,高値!G21&gt;高値!H21,高値!G21&gt;高値!I21),2,""))</f>
        <v>2</v>
      </c>
      <c r="AD21" s="503" t="str">
        <f>IF(終値!A21="","",IF(AND(高値!H21&gt;高値!G21,高値!H21&gt;高値!F21,高値!H21&gt;高値!I21,高値!H21&gt;高値!J21),3,""))</f>
        <v/>
      </c>
      <c r="AE21" s="503" t="str">
        <f>IF(終値!A21="","",IF(AND(高値!I21&gt;高値!H21,高値!I21&gt;高値!G21,高値!I21&gt;高値!J21,高値!I21&gt;高値!K21),4,""))</f>
        <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f>IF(終値!A21="","",IF(AND(高値!N21&gt;高値!M21,高値!N21&gt;高値!L21,高値!N21&gt;高値!O21,高値!N21&gt;高値!P21),9,""))</f>
        <v>9</v>
      </c>
      <c r="AK21" s="503" t="str">
        <f>IF(終値!A21="","",IF(AND(高値!O21&gt;高値!N21,高値!O21&gt;高値!M21,高値!O21&gt;高値!P21,高値!O21&gt;高値!Q21),10,""))</f>
        <v/>
      </c>
      <c r="AL21" s="503" t="str">
        <f>IF(終値!A21="","",IF(AND(高値!P21&gt;高値!O21,高値!P21&gt;高値!N21,高値!P21&gt;高値!Q21,高値!P21&gt;高値!R21),11,""))</f>
        <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f>IF(終値!A21="","",IF(AND(高値!X21&gt;高値!W21,高値!X21&gt;高値!V21,高値!X21&gt;高値!Y21,高値!X21&gt;高値!Z21),19,""))</f>
        <v>19</v>
      </c>
      <c r="AU21" s="503" t="str">
        <f>IF(終値!A21="","",IF(AND(高値!Y21&gt;高値!X21,高値!Y21&gt;高値!W21,高値!Y21&gt;高値!Z21,高値!Y21&gt;高値!AA21),20,""))</f>
        <v/>
      </c>
      <c r="AV21" s="503" t="str">
        <f>IF(終値!A21="","",IF(AND(高値!Z21&gt;高値!Y21,高値!Z21&gt;高値!X21,高値!Z21&gt;高値!AA21,高値!Z21&gt;高値!AB21),21,""))</f>
        <v/>
      </c>
      <c r="AW21" s="503">
        <f>IF(終値!A21="","",IF(AND(高値!AA21&gt;高値!Z21,高値!AA21&gt;高値!Y21,高値!AA21&gt;高値!AB21,高値!AA21&gt;高値!AC21),22,""))</f>
        <v>22</v>
      </c>
      <c r="AX21" s="503" t="str">
        <f>IF(終値!A21="","",IF(AND(高値!AB21&gt;高値!AA21,高値!AB21&gt;高値!Z21,高値!AB21&gt;高値!AC21,高値!AB21&gt;高値!AD21),23,""))</f>
        <v/>
      </c>
      <c r="AY21" s="503" t="str">
        <f>IF(終値!A21="","",IF(AND(高値!AC21&gt;高値!AB21,高値!AC21&gt;高値!AA21,高値!AC21&gt;高値!AD21,高値!AC21&gt;高値!AE21),24,""))</f>
        <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f>IF(終値!A21="","",IF(AND(高値!AG21&gt;高値!AF21,高値!AG21&gt;高値!AE21,高値!AG21&gt;高値!AH21,高値!AG21&gt;高値!AI21),28,""))</f>
        <v>28</v>
      </c>
      <c r="BD21" s="503">
        <f t="shared" si="0"/>
        <v>3</v>
      </c>
      <c r="BE21" s="503">
        <f t="shared" si="1"/>
        <v>7</v>
      </c>
      <c r="BF21" s="503">
        <f t="shared" si="2"/>
        <v>11</v>
      </c>
      <c r="BG21" s="503">
        <f>IF($BE21="","",INDEX(安値!$E21:$CZ21,1,$BE21+1))</f>
        <v>0</v>
      </c>
      <c r="BH21" s="503">
        <f>IF($BF21="","",INDEX(安値!$E21:$CZ21,1,$BF21+1))</f>
        <v>7229</v>
      </c>
      <c r="BI21" s="503">
        <f>IF($BF21="","",MAX(INDEX(高値!$E21:$CZ21,1,$BE21+1):INDEX(高値!$E21:$CZ21,1,$BF21+1)))</f>
        <v>7809</v>
      </c>
      <c r="BJ21" s="503">
        <f>IF($BF21="","",AVERAGE(INDEX(終値!$E21:$CZ21,1,$BF21+1):INDEX(終値!$E21:$CZ21,1,$BF21+20))-2*STDEVP(INDEX(終値!$E21:$CZ21,1,$BF21+1):INDEX(終値!$E21:$CZ21,1,$BF21+20)))</f>
        <v>7560.4401039718414</v>
      </c>
      <c r="BK21" s="503">
        <f>IF($BE21="","",AVERAGE(INDEX(終値!$E21:$CZ21,1,$BE21+1):INDEX(終値!$E21:$CZ21,1,$BE21+20))-2*STDEVP(INDEX(終値!$E21:$CZ21,1,$BE21+1):INDEX(終値!$E21:$CZ21,1,$BE21+20)))</f>
        <v>7337.759877393627</v>
      </c>
      <c r="BL21" s="503">
        <f t="shared" si="3"/>
        <v>5</v>
      </c>
      <c r="BM21" s="503">
        <f t="shared" si="4"/>
        <v>2</v>
      </c>
      <c r="BN21" s="503">
        <f t="shared" si="5"/>
        <v>9</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t="str">
        <f>IF(終値!A22="","",IF(AND(安値!H22&lt;安値!G22,安値!H22&lt;安値!F22,安値!H22&lt;安値!I22,安値!H22&lt;安値!J22),3,""))</f>
        <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f>IF(終値!A22="","",IF(AND(安値!S22&lt;安値!R22,安値!S22&lt;安値!Q22,安値!S22&lt;安値!T22,安値!S22&lt;安値!U22),14,""))</f>
        <v>14</v>
      </c>
      <c r="O22" s="503" t="str">
        <f>IF(終値!A22="","",IF(AND(安値!T22&lt;安値!S22,安値!T22&lt;安値!R22,安値!T22&lt;安値!U22,安値!T22&lt;安値!V22),15,""))</f>
        <v/>
      </c>
      <c r="P22" s="503" t="str">
        <f>IF(終値!A22="","",IF(AND(安値!U22&lt;安値!T22,安値!U22&lt;安値!S22,安値!U22&lt;安値!V22,安値!U22&lt;安値!W22),16,""))</f>
        <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f>IF(終値!A22="","",IF(AND(安値!AC22&lt;安値!AB22,安値!AC22&lt;安値!AA22,安値!AC22&lt;安値!AD22,安値!AC22&lt;安値!AE22),24,""))</f>
        <v>24</v>
      </c>
      <c r="Y22" s="503" t="str">
        <f>IF(終値!A22="","",IF(AND(安値!AD22&lt;安値!AC22,安値!AD22&lt;安値!AB22,安値!AD22&lt;安値!AE22,安値!AD22&lt;安値!AF22),25,""))</f>
        <v/>
      </c>
      <c r="Z22" s="503" t="str">
        <f>IF(終値!A22="","",IF(AND(安値!AE22&lt;安値!AD22,安値!AE22&lt;安値!AC22,安値!AE22&lt;安値!AF22,安値!AE22&lt;安値!AG22),26,""))</f>
        <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f>IF(終値!A22="","",IF(AND(高値!J22&gt;高値!I22,高値!J22&gt;高値!H22,高値!J22&gt;高値!K22,高値!J22&gt;高値!L22),5,""))</f>
        <v>5</v>
      </c>
      <c r="AG22" s="503" t="str">
        <f>IF(終値!A22="","",IF(AND(高値!K22&gt;高値!J22,高値!K22&gt;高値!I22,高値!K22&gt;高値!L22,高値!K22&gt;高値!M22),6,""))</f>
        <v/>
      </c>
      <c r="AH22" s="503" t="str">
        <f>IF(終値!A22="","",IF(AND(高値!L22&gt;高値!K22,高値!L22&gt;高値!J22,高値!L22&gt;高値!M22,高値!L22&gt;高値!N22),7,""))</f>
        <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f>IF(終値!A22="","",IF(AND(高値!W22&gt;高値!V22,高値!W22&gt;高値!U22,高値!W22&gt;高値!X22,高値!W22&gt;高値!Y22),18,""))</f>
        <v>18</v>
      </c>
      <c r="AT22" s="503" t="str">
        <f>IF(終値!A22="","",IF(AND(高値!X22&gt;高値!W22,高値!X22&gt;高値!V22,高値!X22&gt;高値!Y22,高値!X22&gt;高値!Z22),19,""))</f>
        <v/>
      </c>
      <c r="AU22" s="503" t="str">
        <f>IF(終値!A22="","",IF(AND(高値!Y22&gt;高値!X22,高値!Y22&gt;高値!W22,高値!Y22&gt;高値!Z22,高値!Y22&gt;高値!AA22),20,""))</f>
        <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2</v>
      </c>
      <c r="BE22" s="503">
        <f t="shared" si="1"/>
        <v>14</v>
      </c>
      <c r="BF22" s="503">
        <f t="shared" si="2"/>
        <v>24</v>
      </c>
      <c r="BG22" s="503">
        <f>IF($BE22="","",INDEX(安値!$E22:$CZ22,1,$BE22+1))</f>
        <v>4395</v>
      </c>
      <c r="BH22" s="503">
        <f>IF($BF22="","",INDEX(安値!$E22:$CZ22,1,$BF22+1))</f>
        <v>4204</v>
      </c>
      <c r="BI22" s="503">
        <f>IF($BF22="","",MAX(INDEX(高値!$E22:$CZ22,1,$BE22+1):INDEX(高値!$E22:$CZ22,1,$BF22+1)))</f>
        <v>4594</v>
      </c>
      <c r="BJ22" s="503">
        <f>IF($BF22="","",AVERAGE(INDEX(終値!$E22:$CZ22,1,$BF22+1):INDEX(終値!$E22:$CZ22,1,$BF22+20))-2*STDEVP(INDEX(終値!$E22:$CZ22,1,$BF22+1):INDEX(終値!$E22:$CZ22,1,$BF22+20)))</f>
        <v>4134.9125655914686</v>
      </c>
      <c r="BK22" s="503">
        <f>IF($BE22="","",AVERAGE(INDEX(終値!$E22:$CZ22,1,$BE22+1):INDEX(終値!$E22:$CZ22,1,$BE22+20))-2*STDEVP(INDEX(終値!$E22:$CZ22,1,$BE22+1):INDEX(終値!$E22:$CZ22,1,$BE22+20)))</f>
        <v>4190.1420310163994</v>
      </c>
      <c r="BL22" s="503">
        <f t="shared" si="3"/>
        <v>2</v>
      </c>
      <c r="BM22" s="503">
        <f t="shared" si="4"/>
        <v>5</v>
      </c>
      <c r="BN22" s="503">
        <f t="shared" si="5"/>
        <v>18</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二番底W▲</v>
      </c>
    </row>
    <row r="23" spans="2:72">
      <c r="B23" s="503" t="str">
        <f>IF(終値!A23="","",IF(AND(安値!G23&lt;安値!F23,安値!G23&lt;安値!E23,安値!G23&lt;安値!H23,安値!G23&lt;安値!I23),2,""))</f>
        <v/>
      </c>
      <c r="C23" s="503" t="str">
        <f>IF(終値!A23="","",IF(AND(安値!H23&lt;安値!G23,安値!H23&lt;安値!F23,安値!H23&lt;安値!I23,安値!H23&lt;安値!J23),3,""))</f>
        <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f>IF(終値!A23="","",IF(AND(安値!L23&lt;安値!K23,安値!L23&lt;安値!J23,安値!L23&lt;安値!M23,安値!L23&lt;安値!N23),7,""))</f>
        <v>7</v>
      </c>
      <c r="H23" s="503" t="str">
        <f>IF(終値!A23="","",IF(AND(安値!M23&lt;安値!L23,安値!M23&lt;安値!K23,安値!M23&lt;安値!N23,安値!M23&lt;安値!O23),8,""))</f>
        <v/>
      </c>
      <c r="I23" s="503" t="str">
        <f>IF(終値!A23="","",IF(AND(安値!N23&lt;安値!M23,安値!N23&lt;安値!L23,安値!N23&lt;安値!O23,安値!N23&lt;安値!P23),9,""))</f>
        <v/>
      </c>
      <c r="J23" s="503" t="str">
        <f>IF(終値!A23="","",IF(AND(安値!O23&lt;安値!N23,安値!O23&lt;安値!M23,安値!O23&lt;安値!P23,安値!O23&lt;安値!Q23),10,""))</f>
        <v/>
      </c>
      <c r="K23" s="503">
        <f>IF(終値!A23="","",IF(AND(安値!P23&lt;安値!O23,安値!P23&lt;安値!N23,安値!P23&lt;安値!Q23,安値!P23&lt;安値!R23),11,""))</f>
        <v>11</v>
      </c>
      <c r="L23" s="503" t="str">
        <f>IF(終値!A23="","",IF(AND(安値!Q23&lt;安値!P23,安値!Q23&lt;安値!O23,安値!Q23&lt;安値!R23,安値!Q23&lt;安値!S23),12,""))</f>
        <v/>
      </c>
      <c r="M23" s="503" t="str">
        <f>IF(終値!A23="","",IF(AND(安値!R23&lt;安値!Q23,安値!R23&lt;安値!P23,安値!R23&lt;安値!S23,安値!R23&lt;安値!T23),13,""))</f>
        <v/>
      </c>
      <c r="N23" s="503" t="str">
        <f>IF(終値!A23="","",IF(AND(安値!S23&lt;安値!R23,安値!S23&lt;安値!Q23,安値!S23&lt;安値!T23,安値!S23&lt;安値!U23),14,""))</f>
        <v/>
      </c>
      <c r="O23" s="503" t="str">
        <f>IF(終値!A23="","",IF(AND(安値!T23&lt;安値!S23,安値!T23&lt;安値!R23,安値!T23&lt;安値!U23,安値!T23&lt;安値!V23),15,""))</f>
        <v/>
      </c>
      <c r="P23" s="503">
        <f>IF(終値!A23="","",IF(AND(安値!U23&lt;安値!T23,安値!U23&lt;安値!S23,安値!U23&lt;安値!V23,安値!U23&lt;安値!W23),16,""))</f>
        <v>16</v>
      </c>
      <c r="Q23" s="503" t="str">
        <f>IF(終値!A23="","",IF(AND(安値!V23&lt;安値!U23,安値!V23&lt;安値!T23,安値!V23&lt;安値!W23,安値!V23&lt;安値!X23),17,""))</f>
        <v/>
      </c>
      <c r="R23" s="503" t="str">
        <f>IF(終値!A23="","",IF(AND(安値!W23&lt;安値!V23,安値!W23&lt;安値!U23,安値!W23&lt;安値!X23,安値!W23&lt;安値!Y23),18,""))</f>
        <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f>IF(終値!A23="","",IF(AND(安値!AC23&lt;安値!AB23,安値!AC23&lt;安値!AA23,安値!AC23&lt;安値!AD23,安値!AC23&lt;安値!AE23),24,""))</f>
        <v>24</v>
      </c>
      <c r="Y23" s="503" t="str">
        <f>IF(終値!A23="","",IF(AND(安値!AD23&lt;安値!AC23,安値!AD23&lt;安値!AB23,安値!AD23&lt;安値!AE23,安値!AD23&lt;安値!AF23),25,""))</f>
        <v/>
      </c>
      <c r="Z23" s="503" t="str">
        <f>IF(終値!A23="","",IF(AND(安値!AE23&lt;安値!AD23,安値!AE23&lt;安値!AC23,安値!AE23&lt;安値!AF23,安値!AE23&lt;安値!AG23),26,""))</f>
        <v/>
      </c>
      <c r="AA23" s="503">
        <f>IF(終値!A23="","",IF(AND(安値!AF23&lt;安値!AE23,安値!AF23&lt;安値!AD23,安値!AF23&lt;安値!AG23,安値!AF23&lt;安値!AH23),27,""))</f>
        <v>27</v>
      </c>
      <c r="AB23" s="503" t="str">
        <f>IF(終値!A23="","",IF(AND(安値!AG23&lt;安値!AF23,安値!AG23&lt;安値!AE23,安値!AG23&lt;安値!AH23,安値!AG23&lt;安値!AI23),28,""))</f>
        <v/>
      </c>
      <c r="AC23" s="503">
        <f>IF(終値!A23="","",IF(AND(高値!G23&gt;高値!F23,高値!G23&gt;高値!E23,高値!G23&gt;高値!H23,高値!G23&gt;高値!I23),2,""))</f>
        <v>2</v>
      </c>
      <c r="AD23" s="503" t="str">
        <f>IF(終値!A23="","",IF(AND(高値!H23&gt;高値!G23,高値!H23&gt;高値!F23,高値!H23&gt;高値!I23,高値!H23&gt;高値!J23),3,""))</f>
        <v/>
      </c>
      <c r="AE23" s="503" t="str">
        <f>IF(終値!A23="","",IF(AND(高値!I23&gt;高値!H23,高値!I23&gt;高値!G23,高値!I23&gt;高値!J23,高値!I23&gt;高値!K23),4,""))</f>
        <v/>
      </c>
      <c r="AF23" s="503" t="str">
        <f>IF(終値!A23="","",IF(AND(高値!J23&gt;高値!I23,高値!J23&gt;高値!H23,高値!J23&gt;高値!K23,高値!J23&gt;高値!L23),5,""))</f>
        <v/>
      </c>
      <c r="AG23" s="503">
        <f>IF(終値!A23="","",IF(AND(高値!K23&gt;高値!J23,高値!K23&gt;高値!I23,高値!K23&gt;高値!L23,高値!K23&gt;高値!M23),6,""))</f>
        <v>6</v>
      </c>
      <c r="AH23" s="503" t="str">
        <f>IF(終値!A23="","",IF(AND(高値!L23&gt;高値!K23,高値!L23&gt;高値!J23,高値!L23&gt;高値!M23,高値!L23&gt;高値!N23),7,""))</f>
        <v/>
      </c>
      <c r="AI23" s="503" t="str">
        <f>IF(終値!A23="","",IF(AND(高値!M23&gt;高値!L23,高値!M23&gt;高値!K23,高値!M23&gt;高値!N23,高値!M23&gt;高値!O23),8,""))</f>
        <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f>IF(終値!A23="","",IF(AND(高値!Q23&gt;高値!P23,高値!Q23&gt;高値!O23,高値!Q23&gt;高値!R23,高値!Q23&gt;高値!S23),12,""))</f>
        <v>12</v>
      </c>
      <c r="AN23" s="503" t="str">
        <f>IF(終値!A23="","",IF(AND(高値!R23&gt;高値!Q23,高値!R23&gt;高値!P23,高値!R23&gt;高値!S23,高値!R23&gt;高値!T23),13,""))</f>
        <v/>
      </c>
      <c r="AO23" s="503" t="str">
        <f>IF(終値!A23="","",IF(AND(高値!S23&gt;高値!R23,高値!S23&gt;高値!Q23,高値!S23&gt;高値!T23,高値!S23&gt;高値!U23),14,""))</f>
        <v/>
      </c>
      <c r="AP23" s="503">
        <f>IF(終値!A23="","",IF(AND(高値!T23&gt;高値!S23,高値!T23&gt;高値!R23,高値!T23&gt;高値!U23,高値!T23&gt;高値!V23),15,""))</f>
        <v>15</v>
      </c>
      <c r="AQ23" s="503" t="str">
        <f>IF(終値!A23="","",IF(AND(高値!U23&gt;高値!T23,高値!U23&gt;高値!S23,高値!U23&gt;高値!V23,高値!U23&gt;高値!W23),16,""))</f>
        <v/>
      </c>
      <c r="AR23" s="503" t="str">
        <f>IF(終値!A23="","",IF(AND(高値!V23&gt;高値!U23,高値!V23&gt;高値!T23,高値!V23&gt;高値!W23,高値!V23&gt;高値!X23),17,""))</f>
        <v/>
      </c>
      <c r="AS23" s="503">
        <f>IF(終値!A23="","",IF(AND(高値!W23&gt;高値!V23,高値!W23&gt;高値!U23,高値!W23&gt;高値!X23,高値!W23&gt;高値!Y23),18,""))</f>
        <v>18</v>
      </c>
      <c r="AT23" s="503" t="str">
        <f>IF(終値!A23="","",IF(AND(高値!X23&gt;高値!W23,高値!X23&gt;高値!V23,高値!X23&gt;高値!Y23,高値!X23&gt;高値!Z23),19,""))</f>
        <v/>
      </c>
      <c r="AU23" s="503" t="str">
        <f>IF(終値!A23="","",IF(AND(高値!Y23&gt;高値!X23,高値!Y23&gt;高値!W23,高値!Y23&gt;高値!Z23,高値!Y23&gt;高値!AA23),20,""))</f>
        <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f>IF(終値!A23="","",IF(AND(高値!AG23&gt;高値!AF23,高値!AG23&gt;高値!AE23,高値!AG23&gt;高値!AH23,高値!AG23&gt;高値!AI23),28,""))</f>
        <v>28</v>
      </c>
      <c r="BD23" s="503">
        <f t="shared" si="0"/>
        <v>5</v>
      </c>
      <c r="BE23" s="503">
        <f t="shared" si="1"/>
        <v>7</v>
      </c>
      <c r="BF23" s="503">
        <f t="shared" si="2"/>
        <v>11</v>
      </c>
      <c r="BG23" s="503">
        <f>IF($BE23="","",INDEX(安値!$E23:$CZ23,1,$BE23+1))</f>
        <v>0</v>
      </c>
      <c r="BH23" s="503">
        <f>IF($BF23="","",INDEX(安値!$E23:$CZ23,1,$BF23+1))</f>
        <v>4726</v>
      </c>
      <c r="BI23" s="503">
        <f>IF($BF23="","",MAX(INDEX(高値!$E23:$CZ23,1,$BE23+1):INDEX(高値!$E23:$CZ23,1,$BF23+1)))</f>
        <v>5095</v>
      </c>
      <c r="BJ23" s="503">
        <f>IF($BF23="","",AVERAGE(INDEX(終値!$E23:$CZ23,1,$BF23+1):INDEX(終値!$E23:$CZ23,1,$BF23+20))-2*STDEVP(INDEX(終値!$E23:$CZ23,1,$BF23+1):INDEX(終値!$E23:$CZ23,1,$BF23+20)))</f>
        <v>4631.1669989461006</v>
      </c>
      <c r="BK23" s="503">
        <f>IF($BE23="","",AVERAGE(INDEX(終値!$E23:$CZ23,1,$BE23+1):INDEX(終値!$E23:$CZ23,1,$BE23+20))-2*STDEVP(INDEX(終値!$E23:$CZ23,1,$BE23+1):INDEX(終値!$E23:$CZ23,1,$BE23+20)))</f>
        <v>4658.5809586306541</v>
      </c>
      <c r="BL23" s="503">
        <f t="shared" si="3"/>
        <v>6</v>
      </c>
      <c r="BM23" s="503">
        <f t="shared" si="4"/>
        <v>2</v>
      </c>
      <c r="BN23" s="503">
        <f t="shared" si="5"/>
        <v>6</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二番天井M形成</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f>IF(終値!A24="","",IF(AND(安値!J24&lt;安値!I24,安値!J24&lt;安値!H24,安値!J24&lt;安値!K24,安値!J24&lt;安値!L24),5,""))</f>
        <v>5</v>
      </c>
      <c r="F24" s="503" t="str">
        <f>IF(終値!A24="","",IF(AND(安値!K24&lt;安値!J24,安値!K24&lt;安値!I24,安値!K24&lt;安値!L24,安値!K24&lt;安値!M24),6,""))</f>
        <v/>
      </c>
      <c r="G24" s="503" t="str">
        <f>IF(終値!A24="","",IF(AND(安値!L24&lt;安値!K24,安値!L24&lt;安値!J24,安値!L24&lt;安値!M24,安値!L24&lt;安値!N24),7,""))</f>
        <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f>IF(終値!A24="","",IF(AND(安値!P24&lt;安値!O24,安値!P24&lt;安値!N24,安値!P24&lt;安値!Q24,安値!P24&lt;安値!R24),11,""))</f>
        <v>11</v>
      </c>
      <c r="L24" s="503" t="str">
        <f>IF(終値!A24="","",IF(AND(安値!Q24&lt;安値!P24,安値!Q24&lt;安値!O24,安値!Q24&lt;安値!R24,安値!Q24&lt;安値!S24),12,""))</f>
        <v/>
      </c>
      <c r="M24" s="503" t="str">
        <f>IF(終値!A24="","",IF(AND(安値!R24&lt;安値!Q24,安値!R24&lt;安値!P24,安値!R24&lt;安値!S24,安値!R24&lt;安値!T24),13,""))</f>
        <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f>IF(終値!A24="","",IF(AND(安値!AA24&lt;安値!Z24,安値!AA24&lt;安値!Y24,安値!AA24&lt;安値!AB24,安値!AA24&lt;安値!AC24),22,""))</f>
        <v>22</v>
      </c>
      <c r="W24" s="503" t="str">
        <f>IF(終値!A24="","",IF(AND(安値!AB24&lt;安値!AA24,安値!AB24&lt;安値!Z24,安値!AB24&lt;安値!AC24,安値!AB24&lt;安値!AD24),23,""))</f>
        <v/>
      </c>
      <c r="X24" s="503" t="str">
        <f>IF(終値!A24="","",IF(AND(安値!AC24&lt;安値!AB24,安値!AC24&lt;安値!AA24,安値!AC24&lt;安値!AD24,安値!AC24&lt;安値!AE24),24,""))</f>
        <v/>
      </c>
      <c r="Y24" s="503" t="str">
        <f>IF(終値!A24="","",IF(AND(安値!AD24&lt;安値!AC24,安値!AD24&lt;安値!AB24,安値!AD24&lt;安値!AE24,安値!AD24&lt;安値!AF24),25,""))</f>
        <v/>
      </c>
      <c r="Z24" s="503">
        <f>IF(終値!A24="","",IF(AND(安値!AE24&lt;安値!AD24,安値!AE24&lt;安値!AC24,安値!AE24&lt;安値!AF24,安値!AE24&lt;安値!AG24),26,""))</f>
        <v>26</v>
      </c>
      <c r="AA24" s="503" t="str">
        <f>IF(終値!A24="","",IF(AND(安値!AF24&lt;安値!AE24,安値!AF24&lt;安値!AD24,安値!AF24&lt;安値!AG24,安値!AF24&lt;安値!AH24),27,""))</f>
        <v/>
      </c>
      <c r="AB24" s="503" t="str">
        <f>IF(終値!A24="","",IF(AND(安値!AG24&lt;安値!AF24,安値!AG24&lt;安値!AE24,安値!AG24&lt;安値!AH24,安値!AG24&lt;安値!AI24),28,""))</f>
        <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f>IF(終値!A24="","",IF(AND(高値!L24&gt;高値!K24,高値!L24&gt;高値!J24,高値!L24&gt;高値!M24,高値!L24&gt;高値!N24),7,""))</f>
        <v>7</v>
      </c>
      <c r="AI24" s="503" t="str">
        <f>IF(終値!A24="","",IF(AND(高値!M24&gt;高値!L24,高値!M24&gt;高値!K24,高値!M24&gt;高値!N24,高値!M24&gt;高値!O24),8,""))</f>
        <v/>
      </c>
      <c r="AJ24" s="503" t="str">
        <f>IF(終値!A24="","",IF(AND(高値!N24&gt;高値!M24,高値!N24&gt;高値!L24,高値!N24&gt;高値!O24,高値!N24&gt;高値!P24),9,""))</f>
        <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f>IF(終値!A24="","",IF(AND(高値!AE24&gt;高値!AD24,高値!AE24&gt;高値!AC24,高値!AE24&gt;高値!AF24,高値!AE24&gt;高値!AG24),26,""))</f>
        <v>26</v>
      </c>
      <c r="BB24" s="503" t="str">
        <f>IF(終値!A24="","",IF(AND(高値!AF24&gt;高値!AE24,高値!AF24&gt;高値!AD24,高値!AF24&gt;高値!AG24,高値!AF24&gt;高値!AH24),27,""))</f>
        <v/>
      </c>
      <c r="BC24" s="503" t="str">
        <f>IF(終値!A24="","",IF(AND(高値!AG24&gt;高値!AF24,高値!AG24&gt;高値!AE24,高値!AG24&gt;高値!AH24,高値!AG24&gt;高値!AI24),28,""))</f>
        <v/>
      </c>
      <c r="BD24" s="503">
        <f t="shared" si="0"/>
        <v>4</v>
      </c>
      <c r="BE24" s="503">
        <f t="shared" si="1"/>
        <v>5</v>
      </c>
      <c r="BF24" s="503">
        <f t="shared" si="2"/>
        <v>11</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7</v>
      </c>
      <c r="BN24" s="503">
        <f t="shared" si="5"/>
        <v>26</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t="str">
        <f>IF(終値!A25="","",IF(AND(安値!I25&lt;安値!H25,安値!I25&lt;安値!G25,安値!I25&lt;安値!J25,安値!I25&lt;安値!K25),4,""))</f>
        <v/>
      </c>
      <c r="E25" s="503" t="str">
        <f>IF(終値!A25="","",IF(AND(安値!J25&lt;安値!I25,安値!J25&lt;安値!H25,安値!J25&lt;安値!K25,安値!J25&lt;安値!L25),5,""))</f>
        <v/>
      </c>
      <c r="F25" s="503" t="str">
        <f>IF(終値!A25="","",IF(AND(安値!K25&lt;安値!J25,安値!K25&lt;安値!I25,安値!K25&lt;安値!L25,安値!K25&lt;安値!M25),6,""))</f>
        <v/>
      </c>
      <c r="G25" s="503" t="str">
        <f>IF(終値!A25="","",IF(AND(安値!L25&lt;安値!K25,安値!L25&lt;安値!J25,安値!L25&lt;安値!M25,安値!L25&lt;安値!N25),7,""))</f>
        <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t="str">
        <f>IF(終値!A25="","",IF(AND(安値!R25&lt;安値!Q25,安値!R25&lt;安値!P25,安値!R25&lt;安値!S25,安値!R25&lt;安値!T25),13,""))</f>
        <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t="str">
        <f>IF(終値!A25="","",IF(AND(安値!V25&lt;安値!U25,安値!V25&lt;安値!T25,安値!V25&lt;安値!W25,安値!V25&lt;安値!X25),17,""))</f>
        <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t="str">
        <f>IF(終値!A25="","",IF(AND(安値!AF25&lt;安値!AE25,安値!AF25&lt;安値!AD25,安値!AF25&lt;安値!AG25,安値!AF25&lt;安値!AH25),27,""))</f>
        <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t="str">
        <f>IF(終値!A25="","",IF(AND(高値!I25&gt;高値!H25,高値!I25&gt;高値!G25,高値!I25&gt;高値!J25,高値!I25&gt;高値!K25),4,""))</f>
        <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t="str">
        <f>IF(終値!A25="","",IF(AND(高値!O25&gt;高値!N25,高値!O25&gt;高値!M25,高値!O25&gt;高値!P25,高値!O25&gt;高値!Q25),10,""))</f>
        <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t="str">
        <f>IF(終値!A25="","",IF(AND(高値!S25&gt;高値!R25,高値!S25&gt;高値!Q25,高値!S25&gt;高値!T25,高値!S25&gt;高値!U25),14,""))</f>
        <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t="str">
        <f>IF(終値!A25="","",IF(AND(高値!Y25&gt;高値!X25,高値!Y25&gt;高値!W25,高値!Y25&gt;高値!Z25,高値!Y25&gt;高値!AA25),20,""))</f>
        <v/>
      </c>
      <c r="AV25" s="503" t="str">
        <f>IF(終値!A25="","",IF(AND(高値!Z25&gt;高値!Y25,高値!Z25&gt;高値!X25,高値!Z25&gt;高値!AA25,高値!Z25&gt;高値!AB25),21,""))</f>
        <v/>
      </c>
      <c r="AW25" s="503" t="str">
        <f>IF(終値!A25="","",IF(AND(高値!AA25&gt;高値!Z25,高値!AA25&gt;高値!Y25,高値!AA25&gt;高値!AB25,高値!AA25&gt;高値!AC25),22,""))</f>
        <v/>
      </c>
      <c r="AX25" s="503" t="str">
        <f>IF(終値!A25="","",IF(AND(高値!AB25&gt;高値!AA25,高値!AB25&gt;高値!Z25,高値!AB25&gt;高値!AC25,高値!AB25&gt;高値!AD25),23,""))</f>
        <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0</v>
      </c>
      <c r="BE25" s="503" t="str">
        <f t="shared" si="1"/>
        <v/>
      </c>
      <c r="BF25" s="503" t="str">
        <f t="shared" si="2"/>
        <v/>
      </c>
      <c r="BG25" s="503" t="str">
        <f>IF($BE25="","",INDEX(安値!$E25:$CZ25,1,$BE25+1))</f>
        <v/>
      </c>
      <c r="BH25" s="503" t="str">
        <f>IF($BF25="","",INDEX(安値!$E25:$CZ25,1,$BF25+1))</f>
        <v/>
      </c>
      <c r="BI25" s="503" t="str">
        <f>IF($BF25="","",MAX(INDEX(高値!$E25:$CZ25,1,$BE25+1):INDEX(高値!$E25:$CZ25,1,$BF25+1)))</f>
        <v/>
      </c>
      <c r="BJ25" s="503" t="str">
        <f>IF($BF25="","",AVERAGE(INDEX(終値!$E25:$CZ25,1,$BF25+1):INDEX(終値!$E25:$CZ25,1,$BF25+20))-2*STDEVP(INDEX(終値!$E25:$CZ25,1,$BF25+1):INDEX(終値!$E25:$CZ25,1,$BF25+20)))</f>
        <v/>
      </c>
      <c r="BK25" s="503" t="str">
        <f>IF($BE25="","",AVERAGE(INDEX(終値!$E25:$CZ25,1,$BE25+1):INDEX(終値!$E25:$CZ25,1,$BE25+20))-2*STDEVP(INDEX(終値!$E25:$CZ25,1,$BE25+1):INDEX(終値!$E25:$CZ25,1,$BE25+20)))</f>
        <v/>
      </c>
      <c r="BL25" s="503">
        <f t="shared" si="3"/>
        <v>0</v>
      </c>
      <c r="BM25" s="503" t="str">
        <f t="shared" si="4"/>
        <v/>
      </c>
      <c r="BN25" s="503" t="str">
        <f t="shared" si="5"/>
        <v/>
      </c>
      <c r="BO25" s="503" t="str">
        <f>IF($BM25="","",INDEX(高値!$E25:$CZ25,1,$BM25+1))</f>
        <v/>
      </c>
      <c r="BP25" s="503" t="str">
        <f>IF($BN25="","",INDEX(高値!$E25:$CZ25,1,$BN25+1))</f>
        <v/>
      </c>
      <c r="BQ25" s="503" t="str">
        <f>IF($BN25="","",MIN(INDEX(安値!$E25:$CZ25,1,$BM25+1):INDEX(安値!$E25:$CZ25,1,$BN25+1)))</f>
        <v/>
      </c>
      <c r="BR25" s="503" t="str">
        <f>IF($BN25="","",AVERAGE(INDEX(終値!$E25:$CZ25,1,$BN25+1):INDEX(終値!$E25:$CZ25,1,$BN25+20))+2*STDEVP(INDEX(終値!$E25:$CZ25,1,$BN25+1):INDEX(終値!$E25:$CZ25,1,$BN25+20)))</f>
        <v/>
      </c>
      <c r="BS25" s="503" t="str">
        <f>IF($BM25="","",AVERAGE(INDEX(終値!$E25:$CZ25,1,$BM25+1):INDEX(終値!$E25:$CZ25,1,$BM25+20))+2*STDEVP(INDEX(終値!$E25:$CZ25,1,$BM25+1):INDEX(終値!$E25:$CZ25,1,$BM25+20)))</f>
        <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v>
      </c>
    </row>
    <row r="26" spans="2:72">
      <c r="B26" s="503" t="str">
        <f>IF(終値!A26="","",IF(AND(安値!G26&lt;安値!F26,安値!G26&lt;安値!E26,安値!G26&lt;安値!H26,安値!G26&lt;安値!I26),2,""))</f>
        <v/>
      </c>
      <c r="C26" s="503" t="str">
        <f>IF(終値!A26="","",IF(AND(安値!H26&lt;安値!G26,安値!H26&lt;安値!F26,安値!H26&lt;安値!I26,安値!H26&lt;安値!J26),3,""))</f>
        <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f>IF(終値!A26="","",IF(AND(安値!P26&lt;安値!O26,安値!P26&lt;安値!N26,安値!P26&lt;安値!Q26,安値!P26&lt;安値!R26),11,""))</f>
        <v>11</v>
      </c>
      <c r="L26" s="503" t="str">
        <f>IF(終値!A26="","",IF(AND(安値!Q26&lt;安値!P26,安値!Q26&lt;安値!O26,安値!Q26&lt;安値!R26,安値!Q26&lt;安値!S26),12,""))</f>
        <v/>
      </c>
      <c r="M26" s="503" t="str">
        <f>IF(終値!A26="","",IF(AND(安値!R26&lt;安値!Q26,安値!R26&lt;安値!P26,安値!R26&lt;安値!S26,安値!R26&lt;安値!T26),13,""))</f>
        <v/>
      </c>
      <c r="N26" s="503" t="str">
        <f>IF(終値!A26="","",IF(AND(安値!S26&lt;安値!R26,安値!S26&lt;安値!Q26,安値!S26&lt;安値!T26,安値!S26&lt;安値!U26),14,""))</f>
        <v/>
      </c>
      <c r="O26" s="503" t="str">
        <f>IF(終値!A26="","",IF(AND(安値!T26&lt;安値!S26,安値!T26&lt;安値!R26,安値!T26&lt;安値!U26,安値!T26&lt;安値!V26),15,""))</f>
        <v/>
      </c>
      <c r="P26" s="503">
        <f>IF(終値!A26="","",IF(AND(安値!U26&lt;安値!T26,安値!U26&lt;安値!S26,安値!U26&lt;安値!V26,安値!U26&lt;安値!W26),16,""))</f>
        <v>16</v>
      </c>
      <c r="Q26" s="503" t="str">
        <f>IF(終値!A26="","",IF(AND(安値!V26&lt;安値!U26,安値!V26&lt;安値!T26,安値!V26&lt;安値!W26,安値!V26&lt;安値!X26),17,""))</f>
        <v/>
      </c>
      <c r="R26" s="503" t="str">
        <f>IF(終値!A26="","",IF(AND(安値!W26&lt;安値!V26,安値!W26&lt;安値!U26,安値!W26&lt;安値!X26,安値!W26&lt;安値!Y26),18,""))</f>
        <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f>IF(終値!A26="","",IF(AND(安値!AC26&lt;安値!AB26,安値!AC26&lt;安値!AA26,安値!AC26&lt;安値!AD26,安値!AC26&lt;安値!AE26),24,""))</f>
        <v>24</v>
      </c>
      <c r="Y26" s="503" t="str">
        <f>IF(終値!A26="","",IF(AND(安値!AD26&lt;安値!AC26,安値!AD26&lt;安値!AB26,安値!AD26&lt;安値!AE26,安値!AD26&lt;安値!AF26),25,""))</f>
        <v/>
      </c>
      <c r="Z26" s="503" t="str">
        <f>IF(終値!A26="","",IF(AND(安値!AE26&lt;安値!AD26,安値!AE26&lt;安値!AC26,安値!AE26&lt;安値!AF26,安値!AE26&lt;安値!AG26),26,""))</f>
        <v/>
      </c>
      <c r="AA26" s="503" t="str">
        <f>IF(終値!A26="","",IF(AND(安値!AF26&lt;安値!AE26,安値!AF26&lt;安値!AD26,安値!AF26&lt;安値!AG26,安値!AF26&lt;安値!AH26),27,""))</f>
        <v/>
      </c>
      <c r="AB26" s="503" t="str">
        <f>IF(終値!A26="","",IF(AND(安値!AG26&lt;安値!AF26,安値!AG26&lt;安値!AE26,安値!AG26&lt;安値!AH26,安値!AG26&lt;安値!AI26),28,""))</f>
        <v/>
      </c>
      <c r="AC26" s="503">
        <f>IF(終値!A26="","",IF(AND(高値!G26&gt;高値!F26,高値!G26&gt;高値!E26,高値!G26&gt;高値!H26,高値!G26&gt;高値!I26),2,""))</f>
        <v>2</v>
      </c>
      <c r="AD26" s="503" t="str">
        <f>IF(終値!A26="","",IF(AND(高値!H26&gt;高値!G26,高値!H26&gt;高値!F26,高値!H26&gt;高値!I26,高値!H26&gt;高値!J26),3,""))</f>
        <v/>
      </c>
      <c r="AE26" s="503" t="str">
        <f>IF(終値!A26="","",IF(AND(高値!I26&gt;高値!H26,高値!I26&gt;高値!G26,高値!I26&gt;高値!J26,高値!I26&gt;高値!K26),4,""))</f>
        <v/>
      </c>
      <c r="AF26" s="503">
        <f>IF(終値!A26="","",IF(AND(高値!J26&gt;高値!I26,高値!J26&gt;高値!H26,高値!J26&gt;高値!K26,高値!J26&gt;高値!L26),5,""))</f>
        <v>5</v>
      </c>
      <c r="AG26" s="503" t="str">
        <f>IF(終値!A26="","",IF(AND(高値!K26&gt;高値!J26,高値!K26&gt;高値!I26,高値!K26&gt;高値!L26,高値!K26&gt;高値!M26),6,""))</f>
        <v/>
      </c>
      <c r="AH26" s="503" t="str">
        <f>IF(終値!A26="","",IF(AND(高値!L26&gt;高値!K26,高値!L26&gt;高値!J26,高値!L26&gt;高値!M26,高値!L26&gt;高値!N26),7,""))</f>
        <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f>IF(終値!A26="","",IF(AND(高値!Q26&gt;高値!P26,高値!Q26&gt;高値!O26,高値!Q26&gt;高値!R26,高値!Q26&gt;高値!S26),12,""))</f>
        <v>12</v>
      </c>
      <c r="AN26" s="503" t="str">
        <f>IF(終値!A26="","",IF(AND(高値!R26&gt;高値!Q26,高値!R26&gt;高値!P26,高値!R26&gt;高値!S26,高値!R26&gt;高値!T26),13,""))</f>
        <v/>
      </c>
      <c r="AO26" s="503" t="str">
        <f>IF(終値!A26="","",IF(AND(高値!S26&gt;高値!R26,高値!S26&gt;高値!Q26,高値!S26&gt;高値!T26,高値!S26&gt;高値!U26),14,""))</f>
        <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f>IF(終値!A26="","",IF(AND(高値!W26&gt;高値!V26,高値!W26&gt;高値!U26,高値!W26&gt;高値!X26,高値!W26&gt;高値!Y26),18,""))</f>
        <v>18</v>
      </c>
      <c r="AT26" s="503" t="str">
        <f>IF(終値!A26="","",IF(AND(高値!X26&gt;高値!W26,高値!X26&gt;高値!V26,高値!X26&gt;高値!Y26,高値!X26&gt;高値!Z26),19,""))</f>
        <v/>
      </c>
      <c r="AU26" s="503" t="str">
        <f>IF(終値!A26="","",IF(AND(高値!Y26&gt;高値!X26,高値!Y26&gt;高値!W26,高値!Y26&gt;高値!Z26,高値!Y26&gt;高値!AA26),20,""))</f>
        <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f>IF(終値!A26="","",IF(AND(高値!AG26&gt;高値!AF26,高値!AG26&gt;高値!AE26,高値!AG26&gt;高値!AH26,高値!AG26&gt;高値!AI26),28,""))</f>
        <v>28</v>
      </c>
      <c r="BD26" s="503">
        <f t="shared" si="0"/>
        <v>3</v>
      </c>
      <c r="BE26" s="503">
        <f t="shared" si="1"/>
        <v>11</v>
      </c>
      <c r="BF26" s="503">
        <f t="shared" si="2"/>
        <v>16</v>
      </c>
      <c r="BG26" s="503">
        <f>IF($BE26="","",INDEX(安値!$E26:$CZ26,1,$BE26+1))</f>
        <v>6115</v>
      </c>
      <c r="BH26" s="503">
        <f>IF($BF26="","",INDEX(安値!$E26:$CZ26,1,$BF26+1))</f>
        <v>6311</v>
      </c>
      <c r="BI26" s="503">
        <f>IF($BF26="","",MAX(INDEX(高値!$E26:$CZ26,1,$BE26+1):INDEX(高値!$E26:$CZ26,1,$BF26+1)))</f>
        <v>6593</v>
      </c>
      <c r="BJ26" s="503">
        <f>IF($BF26="","",AVERAGE(INDEX(終値!$E26:$CZ26,1,$BF26+1):INDEX(終値!$E26:$CZ26,1,$BF26+20))-2*STDEVP(INDEX(終値!$E26:$CZ26,1,$BF26+1):INDEX(終値!$E26:$CZ26,1,$BF26+20)))</f>
        <v>6049.8779774610693</v>
      </c>
      <c r="BK26" s="503">
        <f>IF($BE26="","",AVERAGE(INDEX(終値!$E26:$CZ26,1,$BE26+1):INDEX(終値!$E26:$CZ26,1,$BE26+20))-2*STDEVP(INDEX(終値!$E26:$CZ26,1,$BE26+1):INDEX(終値!$E26:$CZ26,1,$BE26+20)))</f>
        <v>6064.5289665040673</v>
      </c>
      <c r="BL26" s="503">
        <f t="shared" si="3"/>
        <v>5</v>
      </c>
      <c r="BM26" s="503">
        <f t="shared" si="4"/>
        <v>2</v>
      </c>
      <c r="BN26" s="503">
        <f t="shared" si="5"/>
        <v>5</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t="str">
        <f>IF(終値!A27="","",IF(AND(安値!H27&lt;安値!G27,安値!H27&lt;安値!F27,安値!H27&lt;安値!I27,安値!H27&lt;安値!J27),3,""))</f>
        <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t="str">
        <f>IF(終値!A27="","",IF(AND(安値!U27&lt;安値!T27,安値!U27&lt;安値!S27,安値!U27&lt;安値!V27,安値!U27&lt;安値!W27),16,""))</f>
        <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t="str">
        <f>IF(終値!A27="","",IF(AND(高値!M27&gt;高値!L27,高値!M27&gt;高値!K27,高値!M27&gt;高値!N27,高値!M27&gt;高値!O27),8,""))</f>
        <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t="str">
        <f>IF(終値!A27="","",IF(AND(高値!R27&gt;高値!Q27,高値!R27&gt;高値!P27,高値!R27&gt;高値!S27,高値!R27&gt;高値!T27),13,""))</f>
        <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t="str">
        <f>IF(終値!A27="","",IF(AND(高値!Z27&gt;高値!Y27,高値!Z27&gt;高値!X27,高値!Z27&gt;高値!AA27,高値!Z27&gt;高値!AB27),21,""))</f>
        <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t="str">
        <f>IF(終値!A27="","",IF(AND(高値!AF27&gt;高値!AE27,高値!AF27&gt;高値!AD27,高値!AF27&gt;高値!AG27,高値!AF27&gt;高値!AH27),27,""))</f>
        <v/>
      </c>
      <c r="BC27" s="503" t="str">
        <f>IF(終値!A27="","",IF(AND(高値!AG27&gt;高値!AF27,高値!AG27&gt;高値!AE27,高値!AG27&gt;高値!AH27,高値!AG27&gt;高値!AI27),28,""))</f>
        <v/>
      </c>
      <c r="BD27" s="503">
        <f t="shared" si="0"/>
        <v>0</v>
      </c>
      <c r="BE27" s="503" t="str">
        <f t="shared" si="1"/>
        <v/>
      </c>
      <c r="BF27" s="503" t="str">
        <f t="shared" si="2"/>
        <v/>
      </c>
      <c r="BG27" s="503" t="str">
        <f>IF($BE27="","",INDEX(安値!$E27:$CZ27,1,$BE27+1))</f>
        <v/>
      </c>
      <c r="BH27" s="503" t="str">
        <f>IF($BF27="","",INDEX(安値!$E27:$CZ27,1,$BF27+1))</f>
        <v/>
      </c>
      <c r="BI27" s="503" t="str">
        <f>IF($BF27="","",MAX(INDEX(高値!$E27:$CZ27,1,$BE27+1):INDEX(高値!$E27:$CZ27,1,$BF27+1)))</f>
        <v/>
      </c>
      <c r="BJ27" s="503" t="str">
        <f>IF($BF27="","",AVERAGE(INDEX(終値!$E27:$CZ27,1,$BF27+1):INDEX(終値!$E27:$CZ27,1,$BF27+20))-2*STDEVP(INDEX(終値!$E27:$CZ27,1,$BF27+1):INDEX(終値!$E27:$CZ27,1,$BF27+20)))</f>
        <v/>
      </c>
      <c r="BK27" s="503" t="str">
        <f>IF($BE27="","",AVERAGE(INDEX(終値!$E27:$CZ27,1,$BE27+1):INDEX(終値!$E27:$CZ27,1,$BE27+20))-2*STDEVP(INDEX(終値!$E27:$CZ27,1,$BE27+1):INDEX(終値!$E27:$CZ27,1,$BE27+20)))</f>
        <v/>
      </c>
      <c r="BL27" s="503">
        <f t="shared" si="3"/>
        <v>0</v>
      </c>
      <c r="BM27" s="503" t="str">
        <f t="shared" si="4"/>
        <v/>
      </c>
      <c r="BN27" s="503" t="str">
        <f t="shared" si="5"/>
        <v/>
      </c>
      <c r="BO27" s="503" t="str">
        <f>IF($BM27="","",INDEX(高値!$E27:$CZ27,1,$BM27+1))</f>
        <v/>
      </c>
      <c r="BP27" s="503" t="str">
        <f>IF($BN27="","",INDEX(高値!$E27:$CZ27,1,$BN27+1))</f>
        <v/>
      </c>
      <c r="BQ27" s="503" t="str">
        <f>IF($BN27="","",MIN(INDEX(安値!$E27:$CZ27,1,$BM27+1):INDEX(安値!$E27:$CZ27,1,$BN27+1)))</f>
        <v/>
      </c>
      <c r="BR27" s="503" t="str">
        <f>IF($BN27="","",AVERAGE(INDEX(終値!$E27:$CZ27,1,$BN27+1):INDEX(終値!$E27:$CZ27,1,$BN27+20))+2*STDEVP(INDEX(終値!$E27:$CZ27,1,$BN27+1):INDEX(終値!$E27:$CZ27,1,$BN27+20)))</f>
        <v/>
      </c>
      <c r="BS27" s="503" t="str">
        <f>IF($BM27="","",AVERAGE(INDEX(終値!$E27:$CZ27,1,$BM27+1):INDEX(終値!$E27:$CZ27,1,$BM27+20))+2*STDEVP(INDEX(終値!$E27:$CZ27,1,$BM27+1):INDEX(終値!$E27:$CZ27,1,$BM27+20)))</f>
        <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f>IF(終値!A28="","",IF(AND(安値!L28&lt;安値!K28,安値!L28&lt;安値!J28,安値!L28&lt;安値!M28,安値!L28&lt;安値!N28),7,""))</f>
        <v>7</v>
      </c>
      <c r="H28" s="503" t="str">
        <f>IF(終値!A28="","",IF(AND(安値!M28&lt;安値!L28,安値!M28&lt;安値!K28,安値!M28&lt;安値!N28,安値!M28&lt;安値!O28),8,""))</f>
        <v/>
      </c>
      <c r="I28" s="503" t="str">
        <f>IF(終値!A28="","",IF(AND(安値!N28&lt;安値!M28,安値!N28&lt;安値!L28,安値!N28&lt;安値!O28,安値!N28&lt;安値!P28),9,""))</f>
        <v/>
      </c>
      <c r="J28" s="503" t="str">
        <f>IF(終値!A28="","",IF(AND(安値!O28&lt;安値!N28,安値!O28&lt;安値!M28,安値!O28&lt;安値!P28,安値!O28&lt;安値!Q28),10,""))</f>
        <v/>
      </c>
      <c r="K28" s="503">
        <f>IF(終値!A28="","",IF(AND(安値!P28&lt;安値!O28,安値!P28&lt;安値!N28,安値!P28&lt;安値!Q28,安値!P28&lt;安値!R28),11,""))</f>
        <v>11</v>
      </c>
      <c r="L28" s="503" t="str">
        <f>IF(終値!A28="","",IF(AND(安値!Q28&lt;安値!P28,安値!Q28&lt;安値!O28,安値!Q28&lt;安値!R28,安値!Q28&lt;安値!S28),12,""))</f>
        <v/>
      </c>
      <c r="M28" s="503" t="str">
        <f>IF(終値!A28="","",IF(AND(安値!R28&lt;安値!Q28,安値!R28&lt;安値!P28,安値!R28&lt;安値!S28,安値!R28&lt;安値!T28),13,""))</f>
        <v/>
      </c>
      <c r="N28" s="503" t="str">
        <f>IF(終値!A28="","",IF(AND(安値!S28&lt;安値!R28,安値!S28&lt;安値!Q28,安値!S28&lt;安値!T28,安値!S28&lt;安値!U28),14,""))</f>
        <v/>
      </c>
      <c r="O28" s="503" t="str">
        <f>IF(終値!A28="","",IF(AND(安値!T28&lt;安値!S28,安値!T28&lt;安値!R28,安値!T28&lt;安値!U28,安値!T28&lt;安値!V28),15,""))</f>
        <v/>
      </c>
      <c r="P28" s="503">
        <f>IF(終値!A28="","",IF(AND(安値!U28&lt;安値!T28,安値!U28&lt;安値!S28,安値!U28&lt;安値!V28,安値!U28&lt;安値!W28),16,""))</f>
        <v>16</v>
      </c>
      <c r="Q28" s="503" t="str">
        <f>IF(終値!A28="","",IF(AND(安値!V28&lt;安値!U28,安値!V28&lt;安値!T28,安値!V28&lt;安値!W28,安値!V28&lt;安値!X28),17,""))</f>
        <v/>
      </c>
      <c r="R28" s="503" t="str">
        <f>IF(終値!A28="","",IF(AND(安値!W28&lt;安値!V28,安値!W28&lt;安値!U28,安値!W28&lt;安値!X28,安値!W28&lt;安値!Y28),18,""))</f>
        <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f>IF(終値!A28="","",IF(AND(安値!AC28&lt;安値!AB28,安値!AC28&lt;安値!AA28,安値!AC28&lt;安値!AD28,安値!AC28&lt;安値!AE28),24,""))</f>
        <v>24</v>
      </c>
      <c r="Y28" s="503" t="str">
        <f>IF(終値!A28="","",IF(AND(安値!AD28&lt;安値!AC28,安値!AD28&lt;安値!AB28,安値!AD28&lt;安値!AE28,安値!AD28&lt;安値!AF28),25,""))</f>
        <v/>
      </c>
      <c r="Z28" s="503" t="str">
        <f>IF(終値!A28="","",IF(AND(安値!AE28&lt;安値!AD28,安値!AE28&lt;安値!AC28,安値!AE28&lt;安値!AF28,安値!AE28&lt;安値!AG28),26,""))</f>
        <v/>
      </c>
      <c r="AA28" s="503" t="str">
        <f>IF(終値!A28="","",IF(AND(安値!AF28&lt;安値!AE28,安値!AF28&lt;安値!AD28,安値!AF28&lt;安値!AG28,安値!AF28&lt;安値!AH28),27,""))</f>
        <v/>
      </c>
      <c r="AB28" s="503" t="str">
        <f>IF(終値!A28="","",IF(AND(安値!AG28&lt;安値!AF28,安値!AG28&lt;安値!AE28,安値!AG28&lt;安値!AH28,安値!AG28&lt;安値!AI28),28,""))</f>
        <v/>
      </c>
      <c r="AC28" s="503">
        <f>IF(終値!A28="","",IF(AND(高値!G28&gt;高値!F28,高値!G28&gt;高値!E28,高値!G28&gt;高値!H28,高値!G28&gt;高値!I28),2,""))</f>
        <v>2</v>
      </c>
      <c r="AD28" s="503" t="str">
        <f>IF(終値!A28="","",IF(AND(高値!H28&gt;高値!G28,高値!H28&gt;高値!F28,高値!H28&gt;高値!I28,高値!H28&gt;高値!J28),3,""))</f>
        <v/>
      </c>
      <c r="AE28" s="503" t="str">
        <f>IF(終値!A28="","",IF(AND(高値!I28&gt;高値!H28,高値!I28&gt;高値!G28,高値!I28&gt;高値!J28,高値!I28&gt;高値!K28),4,""))</f>
        <v/>
      </c>
      <c r="AF28" s="503">
        <f>IF(終値!A28="","",IF(AND(高値!J28&gt;高値!I28,高値!J28&gt;高値!H28,高値!J28&gt;高値!K28,高値!J28&gt;高値!L28),5,""))</f>
        <v>5</v>
      </c>
      <c r="AG28" s="503" t="str">
        <f>IF(終値!A28="","",IF(AND(高値!K28&gt;高値!J28,高値!K28&gt;高値!I28,高値!K28&gt;高値!L28,高値!K28&gt;高値!M28),6,""))</f>
        <v/>
      </c>
      <c r="AH28" s="503" t="str">
        <f>IF(終値!A28="","",IF(AND(高値!L28&gt;高値!K28,高値!L28&gt;高値!J28,高値!L28&gt;高値!M28,高値!L28&gt;高値!N28),7,""))</f>
        <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f>IF(終値!A28="","",IF(AND(高値!Q28&gt;高値!P28,高値!Q28&gt;高値!O28,高値!Q28&gt;高値!R28,高値!Q28&gt;高値!S28),12,""))</f>
        <v>12</v>
      </c>
      <c r="AN28" s="503" t="str">
        <f>IF(終値!A28="","",IF(AND(高値!R28&gt;高値!Q28,高値!R28&gt;高値!P28,高値!R28&gt;高値!S28,高値!R28&gt;高値!T28),13,""))</f>
        <v/>
      </c>
      <c r="AO28" s="503" t="str">
        <f>IF(終値!A28="","",IF(AND(高値!S28&gt;高値!R28,高値!S28&gt;高値!Q28,高値!S28&gt;高値!T28,高値!S28&gt;高値!U28),14,""))</f>
        <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f>IF(終値!A28="","",IF(AND(高値!W28&gt;高値!V28,高値!W28&gt;高値!U28,高値!W28&gt;高値!X28,高値!W28&gt;高値!Y28),18,""))</f>
        <v>18</v>
      </c>
      <c r="AT28" s="503" t="str">
        <f>IF(終値!A28="","",IF(AND(高値!X28&gt;高値!W28,高値!X28&gt;高値!V28,高値!X28&gt;高値!Y28,高値!X28&gt;高値!Z28),19,""))</f>
        <v/>
      </c>
      <c r="AU28" s="503" t="str">
        <f>IF(終値!A28="","",IF(AND(高値!Y28&gt;高値!X28,高値!Y28&gt;高値!W28,高値!Y28&gt;高値!Z28,高値!Y28&gt;高値!AA28),20,""))</f>
        <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f>IF(終値!A28="","",IF(AND(高値!AG28&gt;高値!AF28,高値!AG28&gt;高値!AE28,高値!AG28&gt;高値!AH28,高値!AG28&gt;高値!AI28),28,""))</f>
        <v>28</v>
      </c>
      <c r="BD28" s="503">
        <f t="shared" si="0"/>
        <v>4</v>
      </c>
      <c r="BE28" s="503">
        <f t="shared" si="1"/>
        <v>7</v>
      </c>
      <c r="BF28" s="503">
        <f t="shared" si="2"/>
        <v>11</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5</v>
      </c>
      <c r="BM28" s="503">
        <f t="shared" si="4"/>
        <v>2</v>
      </c>
      <c r="BN28" s="503">
        <f t="shared" si="5"/>
        <v>5</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二番天井M形成</v>
      </c>
    </row>
    <row r="29" spans="2:72">
      <c r="B29" s="503" t="str">
        <f>IF(終値!A29="","",IF(AND(安値!G29&lt;安値!F29,安値!G29&lt;安値!E29,安値!G29&lt;安値!H29,安値!G29&lt;安値!I29),2,""))</f>
        <v/>
      </c>
      <c r="C29" s="503" t="str">
        <f>IF(終値!A29="","",IF(AND(安値!H29&lt;安値!G29,安値!H29&lt;安値!F29,安値!H29&lt;安値!I29,安値!H29&lt;安値!J29),3,""))</f>
        <v/>
      </c>
      <c r="D29" s="503" t="str">
        <f>IF(終値!A29="","",IF(AND(安値!I29&lt;安値!H29,安値!I29&lt;安値!G29,安値!I29&lt;安値!J29,安値!I29&lt;安値!K29),4,""))</f>
        <v/>
      </c>
      <c r="E29" s="503">
        <f>IF(終値!A29="","",IF(AND(安値!J29&lt;安値!I29,安値!J29&lt;安値!H29,安値!J29&lt;安値!K29,安値!J29&lt;安値!L29),5,""))</f>
        <v>5</v>
      </c>
      <c r="F29" s="503" t="str">
        <f>IF(終値!A29="","",IF(AND(安値!K29&lt;安値!J29,安値!K29&lt;安値!I29,安値!K29&lt;安値!L29,安値!K29&lt;安値!M29),6,""))</f>
        <v/>
      </c>
      <c r="G29" s="503" t="str">
        <f>IF(終値!A29="","",IF(AND(安値!L29&lt;安値!K29,安値!L29&lt;安値!J29,安値!L29&lt;安値!M29,安値!L29&lt;安値!N29),7,""))</f>
        <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f>IF(終値!A29="","",IF(AND(安値!P29&lt;安値!O29,安値!P29&lt;安値!N29,安値!P29&lt;安値!Q29,安値!P29&lt;安値!R29),11,""))</f>
        <v>11</v>
      </c>
      <c r="L29" s="503" t="str">
        <f>IF(終値!A29="","",IF(AND(安値!Q29&lt;安値!P29,安値!Q29&lt;安値!O29,安値!Q29&lt;安値!R29,安値!Q29&lt;安値!S29),12,""))</f>
        <v/>
      </c>
      <c r="M29" s="503" t="str">
        <f>IF(終値!A29="","",IF(AND(安値!R29&lt;安値!Q29,安値!R29&lt;安値!P29,安値!R29&lt;安値!S29,安値!R29&lt;安値!T29),13,""))</f>
        <v/>
      </c>
      <c r="N29" s="503" t="str">
        <f>IF(終値!A29="","",IF(AND(安値!S29&lt;安値!R29,安値!S29&lt;安値!Q29,安値!S29&lt;安値!T29,安値!S29&lt;安値!U29),14,""))</f>
        <v/>
      </c>
      <c r="O29" s="503">
        <f>IF(終値!A29="","",IF(AND(安値!T29&lt;安値!S29,安値!T29&lt;安値!R29,安値!T29&lt;安値!U29,安値!T29&lt;安値!V29),15,""))</f>
        <v>15</v>
      </c>
      <c r="P29" s="503" t="str">
        <f>IF(終値!A29="","",IF(AND(安値!U29&lt;安値!T29,安値!U29&lt;安値!S29,安値!U29&lt;安値!V29,安値!U29&lt;安値!W29),16,""))</f>
        <v/>
      </c>
      <c r="Q29" s="503" t="str">
        <f>IF(終値!A29="","",IF(AND(安値!V29&lt;安値!U29,安値!V29&lt;安値!T29,安値!V29&lt;安値!W29,安値!V29&lt;安値!X29),17,""))</f>
        <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f>IF(終値!A29="","",IF(AND(安値!AB29&lt;安値!AA29,安値!AB29&lt;安値!Z29,安値!AB29&lt;安値!AC29,安値!AB29&lt;安値!AD29),23,""))</f>
        <v>23</v>
      </c>
      <c r="X29" s="503" t="str">
        <f>IF(終値!A29="","",IF(AND(安値!AC29&lt;安値!AB29,安値!AC29&lt;安値!AA29,安値!AC29&lt;安値!AD29,安値!AC29&lt;安値!AE29),24,""))</f>
        <v/>
      </c>
      <c r="Y29" s="503" t="str">
        <f>IF(終値!A29="","",IF(AND(安値!AD29&lt;安値!AC29,安値!AD29&lt;安値!AB29,安値!AD29&lt;安値!AE29,安値!AD29&lt;安値!AF29),25,""))</f>
        <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f>IF(終値!A29="","",IF(AND(高値!G29&gt;高値!F29,高値!G29&gt;高値!E29,高値!G29&gt;高値!H29,高値!G29&gt;高値!I29),2,""))</f>
        <v>2</v>
      </c>
      <c r="AD29" s="503" t="str">
        <f>IF(終値!A29="","",IF(AND(高値!H29&gt;高値!G29,高値!H29&gt;高値!F29,高値!H29&gt;高値!I29,高値!H29&gt;高値!J29),3,""))</f>
        <v/>
      </c>
      <c r="AE29" s="503" t="str">
        <f>IF(終値!A29="","",IF(AND(高値!I29&gt;高値!H29,高値!I29&gt;高値!G29,高値!I29&gt;高値!J29,高値!I29&gt;高値!K29),4,""))</f>
        <v/>
      </c>
      <c r="AF29" s="503" t="str">
        <f>IF(終値!A29="","",IF(AND(高値!J29&gt;高値!I29,高値!J29&gt;高値!H29,高値!J29&gt;高値!K29,高値!J29&gt;高値!L29),5,""))</f>
        <v/>
      </c>
      <c r="AG29" s="503" t="str">
        <f>IF(終値!A29="","",IF(AND(高値!K29&gt;高値!J29,高値!K29&gt;高値!I29,高値!K29&gt;高値!L29,高値!K29&gt;高値!M29),6,""))</f>
        <v/>
      </c>
      <c r="AH29" s="503">
        <f>IF(終値!A29="","",IF(AND(高値!L29&gt;高値!K29,高値!L29&gt;高値!J29,高値!L29&gt;高値!M29,高値!L29&gt;高値!N29),7,""))</f>
        <v>7</v>
      </c>
      <c r="AI29" s="503" t="str">
        <f>IF(終値!A29="","",IF(AND(高値!M29&gt;高値!L29,高値!M29&gt;高値!K29,高値!M29&gt;高値!N29,高値!M29&gt;高値!O29),8,""))</f>
        <v/>
      </c>
      <c r="AJ29" s="503" t="str">
        <f>IF(終値!A29="","",IF(AND(高値!N29&gt;高値!M29,高値!N29&gt;高値!L29,高値!N29&gt;高値!O29,高値!N29&gt;高値!P29),9,""))</f>
        <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f>IF(終値!A29="","",IF(AND(高値!W29&gt;高値!V29,高値!W29&gt;高値!U29,高値!W29&gt;高値!X29,高値!W29&gt;高値!Y29),18,""))</f>
        <v>18</v>
      </c>
      <c r="AT29" s="503" t="str">
        <f>IF(終値!A29="","",IF(AND(高値!X29&gt;高値!W29,高値!X29&gt;高値!V29,高値!X29&gt;高値!Y29,高値!X29&gt;高値!Z29),19,""))</f>
        <v/>
      </c>
      <c r="AU29" s="503" t="str">
        <f>IF(終値!A29="","",IF(AND(高値!Y29&gt;高値!X29,高値!Y29&gt;高値!W29,高値!Y29&gt;高値!Z29,高値!Y29&gt;高値!AA29),20,""))</f>
        <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f>IF(終値!A29="","",IF(AND(高値!AG29&gt;高値!AF29,高値!AG29&gt;高値!AE29,高値!AG29&gt;高値!AH29,高値!AG29&gt;高値!AI29),28,""))</f>
        <v>28</v>
      </c>
      <c r="BD29" s="503">
        <f t="shared" si="0"/>
        <v>4</v>
      </c>
      <c r="BE29" s="503">
        <f t="shared" si="1"/>
        <v>5</v>
      </c>
      <c r="BF29" s="503">
        <f t="shared" si="2"/>
        <v>11</v>
      </c>
      <c r="BG29" s="503">
        <f>IF($BE29="","",INDEX(安値!$E29:$CZ29,1,$BE29+1))</f>
        <v>1288</v>
      </c>
      <c r="BH29" s="503">
        <f>IF($BF29="","",INDEX(安値!$E29:$CZ29,1,$BF29+1))</f>
        <v>1229</v>
      </c>
      <c r="BI29" s="503">
        <f>IF($BF29="","",MAX(INDEX(高値!$E29:$CZ29,1,$BE29+1):INDEX(高値!$E29:$CZ29,1,$BF29+1)))</f>
        <v>1342</v>
      </c>
      <c r="BJ29" s="503">
        <f>IF($BF29="","",AVERAGE(INDEX(終値!$E29:$CZ29,1,$BF29+1):INDEX(終値!$E29:$CZ29,1,$BF29+20))-2*STDEVP(INDEX(終値!$E29:$CZ29,1,$BF29+1):INDEX(終値!$E29:$CZ29,1,$BF29+20)))</f>
        <v>1183.981836668976</v>
      </c>
      <c r="BK29" s="503">
        <f>IF($BE29="","",AVERAGE(INDEX(終値!$E29:$CZ29,1,$BE29+1):INDEX(終値!$E29:$CZ29,1,$BE29+20))-2*STDEVP(INDEX(終値!$E29:$CZ29,1,$BE29+1):INDEX(終値!$E29:$CZ29,1,$BE29+20)))</f>
        <v>1178.5722670697069</v>
      </c>
      <c r="BL29" s="503">
        <f t="shared" si="3"/>
        <v>4</v>
      </c>
      <c r="BM29" s="503">
        <f t="shared" si="4"/>
        <v>2</v>
      </c>
      <c r="BN29" s="503">
        <f t="shared" si="5"/>
        <v>7</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二番天井M▼</v>
      </c>
    </row>
    <row r="30" spans="2:72">
      <c r="B30" s="503" t="str">
        <f>IF(終値!A30="","",IF(AND(安値!G30&lt;安値!F30,安値!G30&lt;安値!E30,安値!G30&lt;安値!H30,安値!G30&lt;安値!I30),2,""))</f>
        <v/>
      </c>
      <c r="C30" s="503">
        <f>IF(終値!A30="","",IF(AND(安値!H30&lt;安値!G30,安値!H30&lt;安値!F30,安値!H30&lt;安値!I30,安値!H30&lt;安値!J30),3,""))</f>
        <v>3</v>
      </c>
      <c r="D30" s="503" t="str">
        <f>IF(終値!A30="","",IF(AND(安値!I30&lt;安値!H30,安値!I30&lt;安値!G30,安値!I30&lt;安値!J30,安値!I30&lt;安値!K30),4,""))</f>
        <v/>
      </c>
      <c r="E30" s="503" t="str">
        <f>IF(終値!A30="","",IF(AND(安値!J30&lt;安値!I30,安値!J30&lt;安値!H30,安値!J30&lt;安値!K30,安値!J30&lt;安値!L30),5,""))</f>
        <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f>IF(終値!A30="","",IF(AND(安値!P30&lt;安値!O30,安値!P30&lt;安値!N30,安値!P30&lt;安値!Q30,安値!P30&lt;安値!R30),11,""))</f>
        <v>11</v>
      </c>
      <c r="L30" s="503" t="str">
        <f>IF(終値!A30="","",IF(AND(安値!Q30&lt;安値!P30,安値!Q30&lt;安値!O30,安値!Q30&lt;安値!R30,安値!Q30&lt;安値!S30),12,""))</f>
        <v/>
      </c>
      <c r="M30" s="503" t="str">
        <f>IF(終値!A30="","",IF(AND(安値!R30&lt;安値!Q30,安値!R30&lt;安値!P30,安値!R30&lt;安値!S30,安値!R30&lt;安値!T30),13,""))</f>
        <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f>IF(終値!A30="","",IF(AND(安値!V30&lt;安値!U30,安値!V30&lt;安値!T30,安値!V30&lt;安値!W30,安値!V30&lt;安値!X30),17,""))</f>
        <v>17</v>
      </c>
      <c r="R30" s="503" t="str">
        <f>IF(終値!A30="","",IF(AND(安値!W30&lt;安値!V30,安値!W30&lt;安値!U30,安値!W30&lt;安値!X30,安値!W30&lt;安値!Y30),18,""))</f>
        <v/>
      </c>
      <c r="S30" s="503" t="str">
        <f>IF(終値!A30="","",IF(AND(安値!X30&lt;安値!W30,安値!X30&lt;安値!V30,安値!X30&lt;安値!Y30,安値!X30&lt;安値!Z30),19,""))</f>
        <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f>IF(終値!A30="","",IF(AND(安値!AC30&lt;安値!AB30,安値!AC30&lt;安値!AA30,安値!AC30&lt;安値!AD30,安値!AC30&lt;安値!AE30),24,""))</f>
        <v>24</v>
      </c>
      <c r="Y30" s="503" t="str">
        <f>IF(終値!A30="","",IF(AND(安値!AD30&lt;安値!AC30,安値!AD30&lt;安値!AB30,安値!AD30&lt;安値!AE30,安値!AD30&lt;安値!AF30),25,""))</f>
        <v/>
      </c>
      <c r="Z30" s="503" t="str">
        <f>IF(終値!A30="","",IF(AND(安値!AE30&lt;安値!AD30,安値!AE30&lt;安値!AC30,安値!AE30&lt;安値!AF30,安値!AE30&lt;安値!AG30),26,""))</f>
        <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f>IF(終値!A30="","",IF(AND(高値!M30&gt;高値!L30,高値!M30&gt;高値!K30,高値!M30&gt;高値!N30,高値!M30&gt;高値!O30),8,""))</f>
        <v>8</v>
      </c>
      <c r="AJ30" s="503" t="str">
        <f>IF(終値!A30="","",IF(AND(高値!N30&gt;高値!M30,高値!N30&gt;高値!L30,高値!N30&gt;高値!O30,高値!N30&gt;高値!P30),9,""))</f>
        <v/>
      </c>
      <c r="AK30" s="503" t="str">
        <f>IF(終値!A30="","",IF(AND(高値!O30&gt;高値!N30,高値!O30&gt;高値!M30,高値!O30&gt;高値!P30,高値!O30&gt;高値!Q30),10,""))</f>
        <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f>IF(終値!A30="","",IF(AND(高値!T30&gt;高値!S30,高値!T30&gt;高値!R30,高値!T30&gt;高値!U30,高値!T30&gt;高値!V30),15,""))</f>
        <v>15</v>
      </c>
      <c r="AQ30" s="503" t="str">
        <f>IF(終値!A30="","",IF(AND(高値!U30&gt;高値!T30,高値!U30&gt;高値!S30,高値!U30&gt;高値!V30,高値!U30&gt;高値!W30),16,""))</f>
        <v/>
      </c>
      <c r="AR30" s="503" t="str">
        <f>IF(終値!A30="","",IF(AND(高値!V30&gt;高値!U30,高値!V30&gt;高値!T30,高値!V30&gt;高値!W30,高値!V30&gt;高値!X30),17,""))</f>
        <v/>
      </c>
      <c r="AS30" s="503" t="str">
        <f>IF(終値!A30="","",IF(AND(高値!W30&gt;高値!V30,高値!W30&gt;高値!U30,高値!W30&gt;高値!X30,高値!W30&gt;高値!Y30),18,""))</f>
        <v/>
      </c>
      <c r="AT30" s="503">
        <f>IF(終値!A30="","",IF(AND(高値!X30&gt;高値!W30,高値!X30&gt;高値!V30,高値!X30&gt;高値!Y30,高値!X30&gt;高値!Z30),19,""))</f>
        <v>19</v>
      </c>
      <c r="AU30" s="503" t="str">
        <f>IF(終値!A30="","",IF(AND(高値!Y30&gt;高値!X30,高値!Y30&gt;高値!W30,高値!Y30&gt;高値!Z30,高値!Y30&gt;高値!AA30),20,""))</f>
        <v/>
      </c>
      <c r="AV30" s="503" t="str">
        <f>IF(終値!A30="","",IF(AND(高値!Z30&gt;高値!Y30,高値!Z30&gt;高値!X30,高値!Z30&gt;高値!AA30,高値!Z30&gt;高値!AB30),21,""))</f>
        <v/>
      </c>
      <c r="AW30" s="503">
        <f>IF(終値!A30="","",IF(AND(高値!AA30&gt;高値!Z30,高値!AA30&gt;高値!Y30,高値!AA30&gt;高値!AB30,高値!AA30&gt;高値!AC30),22,""))</f>
        <v>22</v>
      </c>
      <c r="AX30" s="503" t="str">
        <f>IF(終値!A30="","",IF(AND(高値!AB30&gt;高値!AA30,高値!AB30&gt;高値!Z30,高値!AB30&gt;高値!AC30,高値!AB30&gt;高値!AD30),23,""))</f>
        <v/>
      </c>
      <c r="AY30" s="503" t="str">
        <f>IF(終値!A30="","",IF(AND(高値!AC30&gt;高値!AB30,高値!AC30&gt;高値!AA30,高値!AC30&gt;高値!AD30,高値!AC30&gt;高値!AE30),24,""))</f>
        <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3</v>
      </c>
      <c r="BF30" s="503">
        <f t="shared" si="2"/>
        <v>11</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8</v>
      </c>
      <c r="BN30" s="503">
        <f t="shared" si="5"/>
        <v>15</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t="str">
        <f>IF(終値!A31="","",IF(AND(安値!H31&lt;安値!G31,安値!H31&lt;安値!F31,安値!H31&lt;安値!I31,安値!H31&lt;安値!J31),3,""))</f>
        <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t="str">
        <f>IF(終値!A31="","",IF(AND(安値!R31&lt;安値!Q31,安値!R31&lt;安値!P31,安値!R31&lt;安値!S31,安値!R31&lt;安値!T31),13,""))</f>
        <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t="str">
        <f>IF(終値!A31="","",IF(AND(安値!V31&lt;安値!U31,安値!V31&lt;安値!T31,安値!V31&lt;安値!W31,安値!V31&lt;安値!X31),17,""))</f>
        <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t="str">
        <f>IF(終値!A31="","",IF(AND(高値!L31&gt;高値!K31,高値!L31&gt;高値!J31,高値!L31&gt;高値!M31,高値!L31&gt;高値!N31),7,""))</f>
        <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t="str">
        <f>IF(終値!A31="","",IF(AND(高値!S31&gt;高値!R31,高値!S31&gt;高値!Q31,高値!S31&gt;高値!T31,高値!S31&gt;高値!U31),14,""))</f>
        <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t="str">
        <f>IF(終値!A31="","",IF(AND(高値!X31&gt;高値!W31,高値!X31&gt;高値!V31,高値!X31&gt;高値!Y31,高値!X31&gt;高値!Z31),19,""))</f>
        <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0</v>
      </c>
      <c r="BE31" s="503" t="str">
        <f t="shared" si="1"/>
        <v/>
      </c>
      <c r="BF31" s="503" t="str">
        <f t="shared" si="2"/>
        <v/>
      </c>
      <c r="BG31" s="503" t="str">
        <f>IF($BE31="","",INDEX(安値!$E31:$CZ31,1,$BE31+1))</f>
        <v/>
      </c>
      <c r="BH31" s="503" t="str">
        <f>IF($BF31="","",INDEX(安値!$E31:$CZ31,1,$BF31+1))</f>
        <v/>
      </c>
      <c r="BI31" s="503" t="str">
        <f>IF($BF31="","",MAX(INDEX(高値!$E31:$CZ31,1,$BE31+1):INDEX(高値!$E31:$CZ31,1,$BF31+1)))</f>
        <v/>
      </c>
      <c r="BJ31" s="503" t="str">
        <f>IF($BF31="","",AVERAGE(INDEX(終値!$E31:$CZ31,1,$BF31+1):INDEX(終値!$E31:$CZ31,1,$BF31+20))-2*STDEVP(INDEX(終値!$E31:$CZ31,1,$BF31+1):INDEX(終値!$E31:$CZ31,1,$BF31+20)))</f>
        <v/>
      </c>
      <c r="BK31" s="503" t="str">
        <f>IF($BE31="","",AVERAGE(INDEX(終値!$E31:$CZ31,1,$BE31+1):INDEX(終値!$E31:$CZ31,1,$BE31+20))-2*STDEVP(INDEX(終値!$E31:$CZ31,1,$BE31+1):INDEX(終値!$E31:$CZ31,1,$BE31+20)))</f>
        <v/>
      </c>
      <c r="BL31" s="503">
        <f t="shared" si="3"/>
        <v>0</v>
      </c>
      <c r="BM31" s="503" t="str">
        <f t="shared" si="4"/>
        <v/>
      </c>
      <c r="BN31" s="503" t="str">
        <f t="shared" si="5"/>
        <v/>
      </c>
      <c r="BO31" s="503" t="str">
        <f>IF($BM31="","",INDEX(高値!$E31:$CZ31,1,$BM31+1))</f>
        <v/>
      </c>
      <c r="BP31" s="503" t="str">
        <f>IF($BN31="","",INDEX(高値!$E31:$CZ31,1,$BN31+1))</f>
        <v/>
      </c>
      <c r="BQ31" s="503" t="str">
        <f>IF($BN31="","",MIN(INDEX(安値!$E31:$CZ31,1,$BM31+1):INDEX(安値!$E31:$CZ31,1,$BN31+1)))</f>
        <v/>
      </c>
      <c r="BR31" s="503" t="str">
        <f>IF($BN31="","",AVERAGE(INDEX(終値!$E31:$CZ31,1,$BN31+1):INDEX(終値!$E31:$CZ31,1,$BN31+20))+2*STDEVP(INDEX(終値!$E31:$CZ31,1,$BN31+1):INDEX(終値!$E31:$CZ31,1,$BN31+20)))</f>
        <v/>
      </c>
      <c r="BS31" s="503" t="str">
        <f>IF($BM31="","",AVERAGE(INDEX(終値!$E31:$CZ31,1,$BM31+1):INDEX(終値!$E31:$CZ31,1,$BM31+20))+2*STDEVP(INDEX(終値!$E31:$CZ31,1,$BM31+1):INDEX(終値!$E31:$CZ31,1,$BM31+20)))</f>
        <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f>IF(終値!A32="","",IF(AND(安値!T32&lt;安値!S32,安値!T32&lt;安値!R32,安値!T32&lt;安値!U32,安値!T32&lt;安値!V32),15,""))</f>
        <v>15</v>
      </c>
      <c r="P32" s="503" t="str">
        <f>IF(終値!A32="","",IF(AND(安値!U32&lt;安値!T32,安値!U32&lt;安値!S32,安値!U32&lt;安値!V32,安値!U32&lt;安値!W32),16,""))</f>
        <v/>
      </c>
      <c r="Q32" s="503" t="str">
        <f>IF(終値!A32="","",IF(AND(安値!V32&lt;安値!U32,安値!V32&lt;安値!T32,安値!V32&lt;安値!W32,安値!V32&lt;安値!X32),17,""))</f>
        <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f>IF(終値!A32="","",IF(AND(高値!M32&gt;高値!L32,高値!M32&gt;高値!K32,高値!M32&gt;高値!N32,高値!M32&gt;高値!O32),8,""))</f>
        <v>8</v>
      </c>
      <c r="AJ32" s="503" t="str">
        <f>IF(終値!A32="","",IF(AND(高値!N32&gt;高値!M32,高値!N32&gt;高値!L32,高値!N32&gt;高値!O32,高値!N32&gt;高値!P32),9,""))</f>
        <v/>
      </c>
      <c r="AK32" s="503" t="str">
        <f>IF(終値!A32="","",IF(AND(高値!O32&gt;高値!N32,高値!O32&gt;高値!M32,高値!O32&gt;高値!P32,高値!O32&gt;高値!Q32),10,""))</f>
        <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t="str">
        <f>IF(終値!A33="","",IF(AND(安値!H33&lt;安値!G33,安値!H33&lt;安値!F33,安値!H33&lt;安値!I33,安値!H33&lt;安値!J33),3,""))</f>
        <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f>IF(終値!A33="","",IF(AND(安値!P33&lt;安値!O33,安値!P33&lt;安値!N33,安値!P33&lt;安値!Q33,安値!P33&lt;安値!R33),11,""))</f>
        <v>11</v>
      </c>
      <c r="L33" s="503" t="str">
        <f>IF(終値!A33="","",IF(AND(安値!Q33&lt;安値!P33,安値!Q33&lt;安値!O33,安値!Q33&lt;安値!R33,安値!Q33&lt;安値!S33),12,""))</f>
        <v/>
      </c>
      <c r="M33" s="503" t="str">
        <f>IF(終値!A33="","",IF(AND(安値!R33&lt;安値!Q33,安値!R33&lt;安値!P33,安値!R33&lt;安値!S33,安値!R33&lt;安値!T33),13,""))</f>
        <v/>
      </c>
      <c r="N33" s="503" t="str">
        <f>IF(終値!A33="","",IF(AND(安値!S33&lt;安値!R33,安値!S33&lt;安値!Q33,安値!S33&lt;安値!T33,安値!S33&lt;安値!U33),14,""))</f>
        <v/>
      </c>
      <c r="O33" s="503" t="str">
        <f>IF(終値!A33="","",IF(AND(安値!T33&lt;安値!S33,安値!T33&lt;安値!R33,安値!T33&lt;安値!U33,安値!T33&lt;安値!V33),15,""))</f>
        <v/>
      </c>
      <c r="P33" s="503">
        <f>IF(終値!A33="","",IF(AND(安値!U33&lt;安値!T33,安値!U33&lt;安値!S33,安値!U33&lt;安値!V33,安値!U33&lt;安値!W33),16,""))</f>
        <v>16</v>
      </c>
      <c r="Q33" s="503" t="str">
        <f>IF(終値!A33="","",IF(AND(安値!V33&lt;安値!U33,安値!V33&lt;安値!T33,安値!V33&lt;安値!W33,安値!V33&lt;安値!X33),17,""))</f>
        <v/>
      </c>
      <c r="R33" s="503" t="str">
        <f>IF(終値!A33="","",IF(AND(安値!W33&lt;安値!V33,安値!W33&lt;安値!U33,安値!W33&lt;安値!X33,安値!W33&lt;安値!Y33),18,""))</f>
        <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f>IF(終値!A33="","",IF(AND(安値!AF33&lt;安値!AE33,安値!AF33&lt;安値!AD33,安値!AF33&lt;安値!AG33,安値!AF33&lt;安値!AH33),27,""))</f>
        <v>27</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f>IF(終値!A33="","",IF(AND(高値!K33&gt;高値!J33,高値!K33&gt;高値!I33,高値!K33&gt;高値!L33,高値!K33&gt;高値!M33),6,""))</f>
        <v>6</v>
      </c>
      <c r="AH33" s="503" t="str">
        <f>IF(終値!A33="","",IF(AND(高値!L33&gt;高値!K33,高値!L33&gt;高値!J33,高値!L33&gt;高値!M33,高値!L33&gt;高値!N33),7,""))</f>
        <v/>
      </c>
      <c r="AI33" s="503" t="str">
        <f>IF(終値!A33="","",IF(AND(高値!M33&gt;高値!L33,高値!M33&gt;高値!K33,高値!M33&gt;高値!N33,高値!M33&gt;高値!O33),8,""))</f>
        <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f>IF(終値!A33="","",IF(AND(高値!Q33&gt;高値!P33,高値!Q33&gt;高値!O33,高値!Q33&gt;高値!R33,高値!Q33&gt;高値!S33),12,""))</f>
        <v>12</v>
      </c>
      <c r="AN33" s="503" t="str">
        <f>IF(終値!A33="","",IF(AND(高値!R33&gt;高値!Q33,高値!R33&gt;高値!P33,高値!R33&gt;高値!S33,高値!R33&gt;高値!T33),13,""))</f>
        <v/>
      </c>
      <c r="AO33" s="503" t="str">
        <f>IF(終値!A33="","",IF(AND(高値!S33&gt;高値!R33,高値!S33&gt;高値!Q33,高値!S33&gt;高値!T33,高値!S33&gt;高値!U33),14,""))</f>
        <v/>
      </c>
      <c r="AP33" s="503" t="str">
        <f>IF(終値!A33="","",IF(AND(高値!T33&gt;高値!S33,高値!T33&gt;高値!R33,高値!T33&gt;高値!U33,高値!T33&gt;高値!V33),15,""))</f>
        <v/>
      </c>
      <c r="AQ33" s="503" t="str">
        <f>IF(終値!A33="","",IF(AND(高値!U33&gt;高値!T33,高値!U33&gt;高値!S33,高値!U33&gt;高値!V33,高値!U33&gt;高値!W33),16,""))</f>
        <v/>
      </c>
      <c r="AR33" s="503">
        <f>IF(終値!A33="","",IF(AND(高値!V33&gt;高値!U33,高値!V33&gt;高値!T33,高値!V33&gt;高値!W33,高値!V33&gt;高値!X33),17,""))</f>
        <v>17</v>
      </c>
      <c r="AS33" s="503" t="str">
        <f>IF(終値!A33="","",IF(AND(高値!W33&gt;高値!V33,高値!W33&gt;高値!U33,高値!W33&gt;高値!X33,高値!W33&gt;高値!Y33),18,""))</f>
        <v/>
      </c>
      <c r="AT33" s="503" t="str">
        <f>IF(終値!A33="","",IF(AND(高値!X33&gt;高値!W33,高値!X33&gt;高値!V33,高値!X33&gt;高値!Y33,高値!X33&gt;高値!Z33),19,""))</f>
        <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f>IF(終値!A33="","",IF(AND(高値!AD33&gt;高値!AC33,高値!AD33&gt;高値!AB33,高値!AD33&gt;高値!AE33,高値!AD33&gt;高値!AF33),25,""))</f>
        <v>25</v>
      </c>
      <c r="BA33" s="503" t="str">
        <f>IF(終値!A33="","",IF(AND(高値!AE33&gt;高値!AD33,高値!AE33&gt;高値!AC33,高値!AE33&gt;高値!AF33,高値!AE33&gt;高値!AG33),26,""))</f>
        <v/>
      </c>
      <c r="BB33" s="503" t="str">
        <f>IF(終値!A33="","",IF(AND(高値!AF33&gt;高値!AE33,高値!AF33&gt;高値!AD33,高値!AF33&gt;高値!AG33,高値!AF33&gt;高値!AH33),27,""))</f>
        <v/>
      </c>
      <c r="BC33" s="503" t="str">
        <f>IF(終値!A33="","",IF(AND(高値!AG33&gt;高値!AF33,高値!AG33&gt;高値!AE33,高値!AG33&gt;高値!AH33,高値!AG33&gt;高値!AI33),28,""))</f>
        <v/>
      </c>
      <c r="BD33" s="503">
        <f t="shared" si="0"/>
        <v>3</v>
      </c>
      <c r="BE33" s="503">
        <f t="shared" si="1"/>
        <v>11</v>
      </c>
      <c r="BF33" s="503">
        <f t="shared" si="2"/>
        <v>16</v>
      </c>
      <c r="BG33" s="503">
        <f>IF($BE33="","",INDEX(安値!$E33:$CZ33,1,$BE33+1))</f>
        <v>1744</v>
      </c>
      <c r="BH33" s="503">
        <f>IF($BF33="","",INDEX(安値!$E33:$CZ33,1,$BF33+1))</f>
        <v>1717</v>
      </c>
      <c r="BI33" s="503">
        <f>IF($BF33="","",MAX(INDEX(高値!$E33:$CZ33,1,$BE33+1):INDEX(高値!$E33:$CZ33,1,$BF33+1)))</f>
        <v>1879</v>
      </c>
      <c r="BJ33" s="503">
        <f>IF($BF33="","",AVERAGE(INDEX(終値!$E33:$CZ33,1,$BF33+1):INDEX(終値!$E33:$CZ33,1,$BF33+20))-2*STDEVP(INDEX(終値!$E33:$CZ33,1,$BF33+1):INDEX(終値!$E33:$CZ33,1,$BF33+20)))</f>
        <v>1513.090560347837</v>
      </c>
      <c r="BK33" s="503">
        <f>IF($BE33="","",AVERAGE(INDEX(終値!$E33:$CZ33,1,$BE33+1):INDEX(終値!$E33:$CZ33,1,$BE33+20))-2*STDEVP(INDEX(終値!$E33:$CZ33,1,$BE33+1):INDEX(終値!$E33:$CZ33,1,$BE33+20)))</f>
        <v>1507.3554844935404</v>
      </c>
      <c r="BL33" s="503">
        <f t="shared" si="3"/>
        <v>4</v>
      </c>
      <c r="BM33" s="503">
        <f t="shared" si="4"/>
        <v>6</v>
      </c>
      <c r="BN33" s="503">
        <f t="shared" si="5"/>
        <v>12</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t="str">
        <f>IF(終値!A34="","",IF(AND(安値!H34&lt;安値!G34,安値!H34&lt;安値!F34,安値!H34&lt;安値!I34,安値!H34&lt;安値!J34),3,""))</f>
        <v/>
      </c>
      <c r="D34" s="503" t="str">
        <f>IF(終値!A34="","",IF(AND(安値!I34&lt;安値!H34,安値!I34&lt;安値!G34,安値!I34&lt;安値!J34,安値!I34&lt;安値!K34),4,""))</f>
        <v/>
      </c>
      <c r="E34" s="503" t="str">
        <f>IF(終値!A34="","",IF(AND(安値!J34&lt;安値!I34,安値!J34&lt;安値!H34,安値!J34&lt;安値!K34,安値!J34&lt;安値!L34),5,""))</f>
        <v/>
      </c>
      <c r="F34" s="503">
        <f>IF(終値!A34="","",IF(AND(安値!K34&lt;安値!J34,安値!K34&lt;安値!I34,安値!K34&lt;安値!L34,安値!K34&lt;安値!M34),6,""))</f>
        <v>6</v>
      </c>
      <c r="G34" s="503" t="str">
        <f>IF(終値!A34="","",IF(AND(安値!L34&lt;安値!K34,安値!L34&lt;安値!J34,安値!L34&lt;安値!M34,安値!L34&lt;安値!N34),7,""))</f>
        <v/>
      </c>
      <c r="H34" s="503" t="str">
        <f>IF(終値!A34="","",IF(AND(安値!M34&lt;安値!L34,安値!M34&lt;安値!K34,安値!M34&lt;安値!N34,安値!M34&lt;安値!O34),8,""))</f>
        <v/>
      </c>
      <c r="I34" s="503" t="str">
        <f>IF(終値!A34="","",IF(AND(安値!N34&lt;安値!M34,安値!N34&lt;安値!L34,安値!N34&lt;安値!O34,安値!N34&lt;安値!P34),9,""))</f>
        <v/>
      </c>
      <c r="J34" s="503" t="str">
        <f>IF(終値!A34="","",IF(AND(安値!O34&lt;安値!N34,安値!O34&lt;安値!M34,安値!O34&lt;安値!P34,安値!O34&lt;安値!Q34),10,""))</f>
        <v/>
      </c>
      <c r="K34" s="503">
        <f>IF(終値!A34="","",IF(AND(安値!P34&lt;安値!O34,安値!P34&lt;安値!N34,安値!P34&lt;安値!Q34,安値!P34&lt;安値!R34),11,""))</f>
        <v>11</v>
      </c>
      <c r="L34" s="503" t="str">
        <f>IF(終値!A34="","",IF(AND(安値!Q34&lt;安値!P34,安値!Q34&lt;安値!O34,安値!Q34&lt;安値!R34,安値!Q34&lt;安値!S34),12,""))</f>
        <v/>
      </c>
      <c r="M34" s="503" t="str">
        <f>IF(終値!A34="","",IF(AND(安値!R34&lt;安値!Q34,安値!R34&lt;安値!P34,安値!R34&lt;安値!S34,安値!R34&lt;安値!T34),13,""))</f>
        <v/>
      </c>
      <c r="N34" s="503">
        <f>IF(終値!A34="","",IF(AND(安値!S34&lt;安値!R34,安値!S34&lt;安値!Q34,安値!S34&lt;安値!T34,安値!S34&lt;安値!U34),14,""))</f>
        <v>14</v>
      </c>
      <c r="O34" s="503" t="str">
        <f>IF(終値!A34="","",IF(AND(安値!T34&lt;安値!S34,安値!T34&lt;安値!R34,安値!T34&lt;安値!U34,安値!T34&lt;安値!V34),15,""))</f>
        <v/>
      </c>
      <c r="P34" s="503" t="str">
        <f>IF(終値!A34="","",IF(AND(安値!U34&lt;安値!T34,安値!U34&lt;安値!S34,安値!U34&lt;安値!V34,安値!U34&lt;安値!W34),16,""))</f>
        <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f>IF(終値!A34="","",IF(AND(安値!AA34&lt;安値!Z34,安値!AA34&lt;安値!Y34,安値!AA34&lt;安値!AB34,安値!AA34&lt;安値!AC34),22,""))</f>
        <v>22</v>
      </c>
      <c r="W34" s="503" t="str">
        <f>IF(終値!A34="","",IF(AND(安値!AB34&lt;安値!AA34,安値!AB34&lt;安値!Z34,安値!AB34&lt;安値!AC34,安値!AB34&lt;安値!AD34),23,""))</f>
        <v/>
      </c>
      <c r="X34" s="503" t="str">
        <f>IF(終値!A34="","",IF(AND(安値!AC34&lt;安値!AB34,安値!AC34&lt;安値!AA34,安値!AC34&lt;安値!AD34,安値!AC34&lt;安値!AE34),24,""))</f>
        <v/>
      </c>
      <c r="Y34" s="503" t="str">
        <f>IF(終値!A34="","",IF(AND(安値!AD34&lt;安値!AC34,安値!AD34&lt;安値!AB34,安値!AD34&lt;安値!AE34,安値!AD34&lt;安値!AF34),25,""))</f>
        <v/>
      </c>
      <c r="Z34" s="503" t="str">
        <f>IF(終値!A34="","",IF(AND(安値!AE34&lt;安値!AD34,安値!AE34&lt;安値!AC34,安値!AE34&lt;安値!AF34,安値!AE34&lt;安値!AG34),26,""))</f>
        <v/>
      </c>
      <c r="AA34" s="503">
        <f>IF(終値!A34="","",IF(AND(安値!AF34&lt;安値!AE34,安値!AF34&lt;安値!AD34,安値!AF34&lt;安値!AG34,安値!AF34&lt;安値!AH34),27,""))</f>
        <v>27</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f>IF(終値!A34="","",IF(AND(高値!I34&gt;高値!H34,高値!I34&gt;高値!G34,高値!I34&gt;高値!J34,高値!I34&gt;高値!K34),4,""))</f>
        <v>4</v>
      </c>
      <c r="AF34" s="503" t="str">
        <f>IF(終値!A34="","",IF(AND(高値!J34&gt;高値!I34,高値!J34&gt;高値!H34,高値!J34&gt;高値!K34,高値!J34&gt;高値!L34),5,""))</f>
        <v/>
      </c>
      <c r="AG34" s="503" t="str">
        <f>IF(終値!A34="","",IF(AND(高値!K34&gt;高値!J34,高値!K34&gt;高値!I34,高値!K34&gt;高値!L34,高値!K34&gt;高値!M34),6,""))</f>
        <v/>
      </c>
      <c r="AH34" s="503" t="str">
        <f>IF(終値!A34="","",IF(AND(高値!L34&gt;高値!K34,高値!L34&gt;高値!J34,高値!L34&gt;高値!M34,高値!L34&gt;高値!N34),7,""))</f>
        <v/>
      </c>
      <c r="AI34" s="503" t="str">
        <f>IF(終値!A34="","",IF(AND(高値!M34&gt;高値!L34,高値!M34&gt;高値!K34,高値!M34&gt;高値!N34,高値!M34&gt;高値!O34),8,""))</f>
        <v/>
      </c>
      <c r="AJ34" s="503">
        <f>IF(終値!A34="","",IF(AND(高値!N34&gt;高値!M34,高値!N34&gt;高値!L34,高値!N34&gt;高値!O34,高値!N34&gt;高値!P34),9,""))</f>
        <v>9</v>
      </c>
      <c r="AK34" s="503" t="str">
        <f>IF(終値!A34="","",IF(AND(高値!O34&gt;高値!N34,高値!O34&gt;高値!M34,高値!O34&gt;高値!P34,高値!O34&gt;高値!Q34),10,""))</f>
        <v/>
      </c>
      <c r="AL34" s="503" t="str">
        <f>IF(終値!A34="","",IF(AND(高値!P34&gt;高値!O34,高値!P34&gt;高値!N34,高値!P34&gt;高値!Q34,高値!P34&gt;高値!R34),11,""))</f>
        <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f>IF(終値!A34="","",IF(AND(高値!W34&gt;高値!V34,高値!W34&gt;高値!U34,高値!W34&gt;高値!X34,高値!W34&gt;高値!Y34),18,""))</f>
        <v>18</v>
      </c>
      <c r="AT34" s="503" t="str">
        <f>IF(終値!A34="","",IF(AND(高値!X34&gt;高値!W34,高値!X34&gt;高値!V34,高値!X34&gt;高値!Y34,高値!X34&gt;高値!Z34),19,""))</f>
        <v/>
      </c>
      <c r="AU34" s="503" t="str">
        <f>IF(終値!A34="","",IF(AND(高値!Y34&gt;高値!X34,高値!Y34&gt;高値!W34,高値!Y34&gt;高値!Z34,高値!Y34&gt;高値!AA34),20,""))</f>
        <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6</v>
      </c>
      <c r="BF34" s="503">
        <f t="shared" si="2"/>
        <v>11</v>
      </c>
      <c r="BG34" s="503">
        <f>IF($BE34="","",INDEX(安値!$E34:$CZ34,1,$BE34+1))</f>
        <v>4102</v>
      </c>
      <c r="BH34" s="503">
        <f>IF($BF34="","",INDEX(安値!$E34:$CZ34,1,$BF34+1))</f>
        <v>3875</v>
      </c>
      <c r="BI34" s="503">
        <f>IF($BF34="","",MAX(INDEX(高値!$E34:$CZ34,1,$BE34+1):INDEX(高値!$E34:$CZ34,1,$BF34+1)))</f>
        <v>4295</v>
      </c>
      <c r="BJ34" s="503">
        <f>IF($BF34="","",AVERAGE(INDEX(終値!$E34:$CZ34,1,$BF34+1):INDEX(終値!$E34:$CZ34,1,$BF34+20))-2*STDEVP(INDEX(終値!$E34:$CZ34,1,$BF34+1):INDEX(終値!$E34:$CZ34,1,$BF34+20)))</f>
        <v>3813.1492276251624</v>
      </c>
      <c r="BK34" s="503">
        <f>IF($BE34="","",AVERAGE(INDEX(終値!$E34:$CZ34,1,$BE34+1):INDEX(終値!$E34:$CZ34,1,$BE34+20))-2*STDEVP(INDEX(終値!$E34:$CZ34,1,$BE34+1):INDEX(終値!$E34:$CZ34,1,$BE34+20)))</f>
        <v>3820.6384126596254</v>
      </c>
      <c r="BL34" s="503">
        <f t="shared" si="3"/>
        <v>3</v>
      </c>
      <c r="BM34" s="503">
        <f t="shared" si="4"/>
        <v>4</v>
      </c>
      <c r="BN34" s="503">
        <f t="shared" si="5"/>
        <v>9</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二番天井M▼</v>
      </c>
    </row>
    <row r="35" spans="2:72">
      <c r="B35" s="503" t="str">
        <f>IF(終値!A35="","",IF(AND(安値!G35&lt;安値!F35,安値!G35&lt;安値!E35,安値!G35&lt;安値!H35,安値!G35&lt;安値!I35),2,""))</f>
        <v/>
      </c>
      <c r="C35" s="503">
        <f>IF(終値!A35="","",IF(AND(安値!H35&lt;安値!G35,安値!H35&lt;安値!F35,安値!H35&lt;安値!I35,安値!H35&lt;安値!J35),3,""))</f>
        <v>3</v>
      </c>
      <c r="D35" s="503" t="str">
        <f>IF(終値!A35="","",IF(AND(安値!I35&lt;安値!H35,安値!I35&lt;安値!G35,安値!I35&lt;安値!J35,安値!I35&lt;安値!K35),4,""))</f>
        <v/>
      </c>
      <c r="E35" s="503" t="str">
        <f>IF(終値!A35="","",IF(AND(安値!J35&lt;安値!I35,安値!J35&lt;安値!H35,安値!J35&lt;安値!K35,安値!J35&lt;安値!L35),5,""))</f>
        <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f>IF(終値!A35="","",IF(AND(安値!P35&lt;安値!O35,安値!P35&lt;安値!N35,安値!P35&lt;安値!Q35,安値!P35&lt;安値!R35),11,""))</f>
        <v>11</v>
      </c>
      <c r="L35" s="503" t="str">
        <f>IF(終値!A35="","",IF(AND(安値!Q35&lt;安値!P35,安値!Q35&lt;安値!O35,安値!Q35&lt;安値!R35,安値!Q35&lt;安値!S35),12,""))</f>
        <v/>
      </c>
      <c r="M35" s="503" t="str">
        <f>IF(終値!A35="","",IF(AND(安値!R35&lt;安値!Q35,安値!R35&lt;安値!P35,安値!R35&lt;安値!S35,安値!R35&lt;安値!T35),13,""))</f>
        <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f>IF(終値!A35="","",IF(AND(安値!AC35&lt;安値!AB35,安値!AC35&lt;安値!AA35,安値!AC35&lt;安値!AD35,安値!AC35&lt;安値!AE35),24,""))</f>
        <v>24</v>
      </c>
      <c r="Y35" s="503" t="str">
        <f>IF(終値!A35="","",IF(AND(安値!AD35&lt;安値!AC35,安値!AD35&lt;安値!AB35,安値!AD35&lt;安値!AE35,安値!AD35&lt;安値!AF35),25,""))</f>
        <v/>
      </c>
      <c r="Z35" s="503" t="str">
        <f>IF(終値!A35="","",IF(AND(安値!AE35&lt;安値!AD35,安値!AE35&lt;安値!AC35,安値!AE35&lt;安値!AF35,安値!AE35&lt;安値!AG35),26,""))</f>
        <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f>IF(終値!A35="","",IF(AND(高値!K35&gt;高値!J35,高値!K35&gt;高値!I35,高値!K35&gt;高値!L35,高値!K35&gt;高値!M35),6,""))</f>
        <v>6</v>
      </c>
      <c r="AH35" s="503" t="str">
        <f>IF(終値!A35="","",IF(AND(高値!L35&gt;高値!K35,高値!L35&gt;高値!J35,高値!L35&gt;高値!M35,高値!L35&gt;高値!N35),7,""))</f>
        <v/>
      </c>
      <c r="AI35" s="503" t="str">
        <f>IF(終値!A35="","",IF(AND(高値!M35&gt;高値!L35,高値!M35&gt;高値!K35,高値!M35&gt;高値!N35,高値!M35&gt;高値!O35),8,""))</f>
        <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f>IF(終値!A35="","",IF(AND(高値!Q35&gt;高値!P35,高値!Q35&gt;高値!O35,高値!Q35&gt;高値!R35,高値!Q35&gt;高値!S35),12,""))</f>
        <v>12</v>
      </c>
      <c r="AN35" s="503" t="str">
        <f>IF(終値!A35="","",IF(AND(高値!R35&gt;高値!Q35,高値!R35&gt;高値!P35,高値!R35&gt;高値!S35,高値!R35&gt;高値!T35),13,""))</f>
        <v/>
      </c>
      <c r="AO35" s="503" t="str">
        <f>IF(終値!A35="","",IF(AND(高値!S35&gt;高値!R35,高値!S35&gt;高値!Q35,高値!S35&gt;高値!T35,高値!S35&gt;高値!U35),14,""))</f>
        <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f>IF(終値!A35="","",IF(AND(高値!W35&gt;高値!V35,高値!W35&gt;高値!U35,高値!W35&gt;高値!X35,高値!W35&gt;高値!Y35),18,""))</f>
        <v>18</v>
      </c>
      <c r="AT35" s="503" t="str">
        <f>IF(終値!A35="","",IF(AND(高値!X35&gt;高値!W35,高値!X35&gt;高値!V35,高値!X35&gt;高値!Y35,高値!X35&gt;高値!Z35),19,""))</f>
        <v/>
      </c>
      <c r="AU35" s="503" t="str">
        <f>IF(終値!A35="","",IF(AND(高値!Y35&gt;高値!X35,高値!Y35&gt;高値!W35,高値!Y35&gt;高値!Z35,高値!Y35&gt;高値!AA35),20,""))</f>
        <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3</v>
      </c>
      <c r="BF35" s="503">
        <f t="shared" si="2"/>
        <v>11</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6</v>
      </c>
      <c r="BN35" s="503">
        <f t="shared" si="5"/>
        <v>12</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t="str">
        <f>IF(終値!A36="","",IF(AND(安値!H36&lt;安値!G36,安値!H36&lt;安値!F36,安値!H36&lt;安値!I36,安値!H36&lt;安値!J36),3,""))</f>
        <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f>IF(終値!A36="","",IF(AND(安値!L36&lt;安値!K36,安値!L36&lt;安値!J36,安値!L36&lt;安値!M36,安値!L36&lt;安値!N36),7,""))</f>
        <v>7</v>
      </c>
      <c r="H36" s="503" t="str">
        <f>IF(終値!A36="","",IF(AND(安値!M36&lt;安値!L36,安値!M36&lt;安値!K36,安値!M36&lt;安値!N36,安値!M36&lt;安値!O36),8,""))</f>
        <v/>
      </c>
      <c r="I36" s="503" t="str">
        <f>IF(終値!A36="","",IF(AND(安値!N36&lt;安値!M36,安値!N36&lt;安値!L36,安値!N36&lt;安値!O36,安値!N36&lt;安値!P36),9,""))</f>
        <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f>IF(終値!A36="","",IF(AND(安値!S36&lt;安値!R36,安値!S36&lt;安値!Q36,安値!S36&lt;安値!T36,安値!S36&lt;安値!U36),14,""))</f>
        <v>14</v>
      </c>
      <c r="O36" s="503" t="str">
        <f>IF(終値!A36="","",IF(AND(安値!T36&lt;安値!S36,安値!T36&lt;安値!R36,安値!T36&lt;安値!U36,安値!T36&lt;安値!V36),15,""))</f>
        <v/>
      </c>
      <c r="P36" s="503" t="str">
        <f>IF(終値!A36="","",IF(AND(安値!U36&lt;安値!T36,安値!U36&lt;安値!S36,安値!U36&lt;安値!V36,安値!U36&lt;安値!W36),16,""))</f>
        <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f>IF(終値!A36="","",IF(AND(安値!AF36&lt;安値!AE36,安値!AF36&lt;安値!AD36,安値!AF36&lt;安値!AG36,安値!AF36&lt;安値!AH36),27,""))</f>
        <v>27</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f>IF(終値!A36="","",IF(AND(高値!I36&gt;高値!H36,高値!I36&gt;高値!G36,高値!I36&gt;高値!J36,高値!I36&gt;高値!K36),4,""))</f>
        <v>4</v>
      </c>
      <c r="AF36" s="503" t="str">
        <f>IF(終値!A36="","",IF(AND(高値!J36&gt;高値!I36,高値!J36&gt;高値!H36,高値!J36&gt;高値!K36,高値!J36&gt;高値!L36),5,""))</f>
        <v/>
      </c>
      <c r="AG36" s="503" t="str">
        <f>IF(終値!A36="","",IF(AND(高値!K36&gt;高値!J36,高値!K36&gt;高値!I36,高値!K36&gt;高値!L36,高値!K36&gt;高値!M36),6,""))</f>
        <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f>IF(終値!A36="","",IF(AND(高値!P36&gt;高値!O36,高値!P36&gt;高値!N36,高値!P36&gt;高値!Q36,高値!P36&gt;高値!R36),11,""))</f>
        <v>11</v>
      </c>
      <c r="AM36" s="503" t="str">
        <f>IF(終値!A36="","",IF(AND(高値!Q36&gt;高値!P36,高値!Q36&gt;高値!O36,高値!Q36&gt;高値!R36,高値!Q36&gt;高値!S36),12,""))</f>
        <v/>
      </c>
      <c r="AN36" s="503" t="str">
        <f>IF(終値!A36="","",IF(AND(高値!R36&gt;高値!Q36,高値!R36&gt;高値!P36,高値!R36&gt;高値!S36,高値!R36&gt;高値!T36),13,""))</f>
        <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f>IF(終値!A36="","",IF(AND(高値!V36&gt;高値!U36,高値!V36&gt;高値!T36,高値!V36&gt;高値!W36,高値!V36&gt;高値!X36),17,""))</f>
        <v>17</v>
      </c>
      <c r="AS36" s="503" t="str">
        <f>IF(終値!A36="","",IF(AND(高値!W36&gt;高値!V36,高値!W36&gt;高値!U36,高値!W36&gt;高値!X36,高値!W36&gt;高値!Y36),18,""))</f>
        <v/>
      </c>
      <c r="AT36" s="503" t="str">
        <f>IF(終値!A36="","",IF(AND(高値!X36&gt;高値!W36,高値!X36&gt;高値!V36,高値!X36&gt;高値!Y36,高値!X36&gt;高値!Z36),19,""))</f>
        <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7</v>
      </c>
      <c r="BF36" s="503">
        <f t="shared" si="2"/>
        <v>14</v>
      </c>
      <c r="BG36" s="503">
        <f>IF($BE36="","",INDEX(安値!$E36:$CZ36,1,$BE36+1))</f>
        <v>1807</v>
      </c>
      <c r="BH36" s="503">
        <f>IF($BF36="","",INDEX(安値!$E36:$CZ36,1,$BF36+1))</f>
        <v>1828</v>
      </c>
      <c r="BI36" s="503">
        <f>IF($BF36="","",MAX(INDEX(高値!$E36:$CZ36,1,$BE36+1):INDEX(高値!$E36:$CZ36,1,$BF36+1)))</f>
        <v>1903</v>
      </c>
      <c r="BJ36" s="503">
        <f>IF($BF36="","",AVERAGE(INDEX(終値!$E36:$CZ36,1,$BF36+1):INDEX(終値!$E36:$CZ36,1,$BF36+20))-2*STDEVP(INDEX(終値!$E36:$CZ36,1,$BF36+1):INDEX(終値!$E36:$CZ36,1,$BF36+20)))</f>
        <v>1666.8909751282035</v>
      </c>
      <c r="BK36" s="503">
        <f>IF($BE36="","",AVERAGE(INDEX(終値!$E36:$CZ36,1,$BE36+1):INDEX(終値!$E36:$CZ36,1,$BE36+20))-2*STDEVP(INDEX(終値!$E36:$CZ36,1,$BE36+1):INDEX(終値!$E36:$CZ36,1,$BE36+20)))</f>
        <v>1761.3254708111842</v>
      </c>
      <c r="BL36" s="503">
        <f t="shared" si="3"/>
        <v>3</v>
      </c>
      <c r="BM36" s="503">
        <f t="shared" si="4"/>
        <v>4</v>
      </c>
      <c r="BN36" s="503">
        <f t="shared" si="5"/>
        <v>11</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t="str">
        <f>IF(終値!A37="","",IF(AND(安値!H37&lt;安値!G37,安値!H37&lt;安値!F37,安値!H37&lt;安値!I37,安値!H37&lt;安値!J37),3,""))</f>
        <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f>IF(終値!A37="","",IF(AND(安値!L37&lt;安値!K37,安値!L37&lt;安値!J37,安値!L37&lt;安値!M37,安値!L37&lt;安値!N37),7,""))</f>
        <v>7</v>
      </c>
      <c r="H37" s="503" t="str">
        <f>IF(終値!A37="","",IF(AND(安値!M37&lt;安値!L37,安値!M37&lt;安値!K37,安値!M37&lt;安値!N37,安値!M37&lt;安値!O37),8,""))</f>
        <v/>
      </c>
      <c r="I37" s="503" t="str">
        <f>IF(終値!A37="","",IF(AND(安値!N37&lt;安値!M37,安値!N37&lt;安値!L37,安値!N37&lt;安値!O37,安値!N37&lt;安値!P37),9,""))</f>
        <v/>
      </c>
      <c r="J37" s="503" t="str">
        <f>IF(終値!A37="","",IF(AND(安値!O37&lt;安値!N37,安値!O37&lt;安値!M37,安値!O37&lt;安値!P37,安値!O37&lt;安値!Q37),10,""))</f>
        <v/>
      </c>
      <c r="K37" s="503">
        <f>IF(終値!A37="","",IF(AND(安値!P37&lt;安値!O37,安値!P37&lt;安値!N37,安値!P37&lt;安値!Q37,安値!P37&lt;安値!R37),11,""))</f>
        <v>11</v>
      </c>
      <c r="L37" s="503" t="str">
        <f>IF(終値!A37="","",IF(AND(安値!Q37&lt;安値!P37,安値!Q37&lt;安値!O37,安値!Q37&lt;安値!R37,安値!Q37&lt;安値!S37),12,""))</f>
        <v/>
      </c>
      <c r="M37" s="503" t="str">
        <f>IF(終値!A37="","",IF(AND(安値!R37&lt;安値!Q37,安値!R37&lt;安値!P37,安値!R37&lt;安値!S37,安値!R37&lt;安値!T37),13,""))</f>
        <v/>
      </c>
      <c r="N37" s="503" t="str">
        <f>IF(終値!A37="","",IF(AND(安値!S37&lt;安値!R37,安値!S37&lt;安値!Q37,安値!S37&lt;安値!T37,安値!S37&lt;安値!U37),14,""))</f>
        <v/>
      </c>
      <c r="O37" s="503" t="str">
        <f>IF(終値!A37="","",IF(AND(安値!T37&lt;安値!S37,安値!T37&lt;安値!R37,安値!T37&lt;安値!U37,安値!T37&lt;安値!V37),15,""))</f>
        <v/>
      </c>
      <c r="P37" s="503">
        <f>IF(終値!A37="","",IF(AND(安値!U37&lt;安値!T37,安値!U37&lt;安値!S37,安値!U37&lt;安値!V37,安値!U37&lt;安値!W37),16,""))</f>
        <v>16</v>
      </c>
      <c r="Q37" s="503" t="str">
        <f>IF(終値!A37="","",IF(AND(安値!V37&lt;安値!U37,安値!V37&lt;安値!T37,安値!V37&lt;安値!W37,安値!V37&lt;安値!X37),17,""))</f>
        <v/>
      </c>
      <c r="R37" s="503" t="str">
        <f>IF(終値!A37="","",IF(AND(安値!W37&lt;安値!V37,安値!W37&lt;安値!U37,安値!W37&lt;安値!X37,安値!W37&lt;安値!Y37),18,""))</f>
        <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f>IF(終値!A37="","",IF(AND(高値!J37&gt;高値!I37,高値!J37&gt;高値!H37,高値!J37&gt;高値!K37,高値!J37&gt;高値!L37),5,""))</f>
        <v>5</v>
      </c>
      <c r="AG37" s="503" t="str">
        <f>IF(終値!A37="","",IF(AND(高値!K37&gt;高値!J37,高値!K37&gt;高値!I37,高値!K37&gt;高値!L37,高値!K37&gt;高値!M37),6,""))</f>
        <v/>
      </c>
      <c r="AH37" s="503" t="str">
        <f>IF(終値!A37="","",IF(AND(高値!L37&gt;高値!K37,高値!L37&gt;高値!J37,高値!L37&gt;高値!M37,高値!L37&gt;高値!N37),7,""))</f>
        <v/>
      </c>
      <c r="AI37" s="503" t="str">
        <f>IF(終値!A37="","",IF(AND(高値!M37&gt;高値!L37,高値!M37&gt;高値!K37,高値!M37&gt;高値!N37,高値!M37&gt;高値!O37),8,""))</f>
        <v/>
      </c>
      <c r="AJ37" s="503">
        <f>IF(終値!A37="","",IF(AND(高値!N37&gt;高値!M37,高値!N37&gt;高値!L37,高値!N37&gt;高値!O37,高値!N37&gt;高値!P37),9,""))</f>
        <v>9</v>
      </c>
      <c r="AK37" s="503" t="str">
        <f>IF(終値!A37="","",IF(AND(高値!O37&gt;高値!N37,高値!O37&gt;高値!M37,高値!O37&gt;高値!P37,高値!O37&gt;高値!Q37),10,""))</f>
        <v/>
      </c>
      <c r="AL37" s="503" t="str">
        <f>IF(終値!A37="","",IF(AND(高値!P37&gt;高値!O37,高値!P37&gt;高値!N37,高値!P37&gt;高値!Q37,高値!P37&gt;高値!R37),11,""))</f>
        <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f>IF(終値!A37="","",IF(AND(高値!AC37&gt;高値!AB37,高値!AC37&gt;高値!AA37,高値!AC37&gt;高値!AD37,高値!AC37&gt;高値!AE37),24,""))</f>
        <v>24</v>
      </c>
      <c r="AZ37" s="503" t="str">
        <f>IF(終値!A37="","",IF(AND(高値!AD37&gt;高値!AC37,高値!AD37&gt;高値!AB37,高値!AD37&gt;高値!AE37,高値!AD37&gt;高値!AF37),25,""))</f>
        <v/>
      </c>
      <c r="BA37" s="503" t="str">
        <f>IF(終値!A37="","",IF(AND(高値!AE37&gt;高値!AD37,高値!AE37&gt;高値!AC37,高値!AE37&gt;高値!AF37,高値!AE37&gt;高値!AG37),26,""))</f>
        <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3</v>
      </c>
      <c r="BE37" s="503">
        <f t="shared" si="1"/>
        <v>7</v>
      </c>
      <c r="BF37" s="503">
        <f t="shared" si="2"/>
        <v>11</v>
      </c>
      <c r="BG37" s="503">
        <f>IF($BE37="","",INDEX(安値!$E37:$CZ37,1,$BE37+1))</f>
        <v>1547</v>
      </c>
      <c r="BH37" s="503">
        <f>IF($BF37="","",INDEX(安値!$E37:$CZ37,1,$BF37+1))</f>
        <v>1515.5</v>
      </c>
      <c r="BI37" s="503">
        <f>IF($BF37="","",MAX(INDEX(高値!$E37:$CZ37,1,$BE37+1):INDEX(高値!$E37:$CZ37,1,$BF37+1)))</f>
        <v>1588.5</v>
      </c>
      <c r="BJ37" s="503">
        <f>IF($BF37="","",AVERAGE(INDEX(終値!$E37:$CZ37,1,$BF37+1):INDEX(終値!$E37:$CZ37,1,$BF37+20))-2*STDEVP(INDEX(終値!$E37:$CZ37,1,$BF37+1):INDEX(終値!$E37:$CZ37,1,$BF37+20)))</f>
        <v>1427.0830573956837</v>
      </c>
      <c r="BK37" s="503">
        <f>IF($BE37="","",AVERAGE(INDEX(終値!$E37:$CZ37,1,$BE37+1):INDEX(終値!$E37:$CZ37,1,$BE37+20))-2*STDEVP(INDEX(終値!$E37:$CZ37,1,$BE37+1):INDEX(終値!$E37:$CZ37,1,$BE37+20)))</f>
        <v>1444.6824341408374</v>
      </c>
      <c r="BL37" s="503">
        <f t="shared" si="3"/>
        <v>3</v>
      </c>
      <c r="BM37" s="503">
        <f t="shared" si="4"/>
        <v>5</v>
      </c>
      <c r="BN37" s="503">
        <f t="shared" si="5"/>
        <v>9</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f>IF(終値!A38="","",IF(AND(安値!S38&lt;安値!R38,安値!S38&lt;安値!Q38,安値!S38&lt;安値!T38,安値!S38&lt;安値!U38),14,""))</f>
        <v>14</v>
      </c>
      <c r="O38" s="503" t="str">
        <f>IF(終値!A38="","",IF(AND(安値!T38&lt;安値!S38,安値!T38&lt;安値!R38,安値!T38&lt;安値!U38,安値!T38&lt;安値!V38),15,""))</f>
        <v/>
      </c>
      <c r="P38" s="503" t="str">
        <f>IF(終値!A38="","",IF(AND(安値!U38&lt;安値!T38,安値!U38&lt;安値!S38,安値!U38&lt;安値!V38,安値!U38&lt;安値!W38),16,""))</f>
        <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f>IF(終値!A38="","",IF(AND(安値!Z38&lt;安値!Y38,安値!Z38&lt;安値!X38,安値!Z38&lt;安値!AA38,安値!Z38&lt;安値!AB38),21,""))</f>
        <v>21</v>
      </c>
      <c r="V38" s="503" t="str">
        <f>IF(終値!A38="","",IF(AND(安値!AA38&lt;安値!Z38,安値!AA38&lt;安値!Y38,安値!AA38&lt;安値!AB38,安値!AA38&lt;安値!AC38),22,""))</f>
        <v/>
      </c>
      <c r="W38" s="503" t="str">
        <f>IF(終値!A38="","",IF(AND(安値!AB38&lt;安値!AA38,安値!AB38&lt;安値!Z38,安値!AB38&lt;安値!AC38,安値!AB38&lt;安値!AD38),23,""))</f>
        <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f>IF(終値!A38="","",IF(AND(高値!G38&gt;高値!F38,高値!G38&gt;高値!E38,高値!G38&gt;高値!H38,高値!G38&gt;高値!I38),2,""))</f>
        <v>2</v>
      </c>
      <c r="AD38" s="503" t="str">
        <f>IF(終値!A38="","",IF(AND(高値!H38&gt;高値!G38,高値!H38&gt;高値!F38,高値!H38&gt;高値!I38,高値!H38&gt;高値!J38),3,""))</f>
        <v/>
      </c>
      <c r="AE38" s="503" t="str">
        <f>IF(終値!A38="","",IF(AND(高値!I38&gt;高値!H38,高値!I38&gt;高値!G38,高値!I38&gt;高値!J38,高値!I38&gt;高値!K38),4,""))</f>
        <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f>IF(終値!A38="","",IF(AND(高値!N38&gt;高値!M38,高値!N38&gt;高値!L38,高値!N38&gt;高値!O38,高値!N38&gt;高値!P38),9,""))</f>
        <v>9</v>
      </c>
      <c r="AK38" s="503" t="str">
        <f>IF(終値!A38="","",IF(AND(高値!O38&gt;高値!N38,高値!O38&gt;高値!M38,高値!O38&gt;高値!P38,高値!O38&gt;高値!Q38),10,""))</f>
        <v/>
      </c>
      <c r="AL38" s="503" t="str">
        <f>IF(終値!A38="","",IF(AND(高値!P38&gt;高値!O38,高値!P38&gt;高値!N38,高値!P38&gt;高値!Q38,高値!P38&gt;高値!R38),11,""))</f>
        <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f>IF(終値!A38="","",IF(AND(高値!X38&gt;高値!W38,高値!X38&gt;高値!V38,高値!X38&gt;高値!Y38,高値!X38&gt;高値!Z38),19,""))</f>
        <v>19</v>
      </c>
      <c r="AU38" s="503" t="str">
        <f>IF(終値!A38="","",IF(AND(高値!Y38&gt;高値!X38,高値!Y38&gt;高値!W38,高値!Y38&gt;高値!Z38,高値!Y38&gt;高値!AA38),20,""))</f>
        <v/>
      </c>
      <c r="AV38" s="503" t="str">
        <f>IF(終値!A38="","",IF(AND(高値!Z38&gt;高値!Y38,高値!Z38&gt;高値!X38,高値!Z38&gt;高値!AA38,高値!Z38&gt;高値!AB38),21,""))</f>
        <v/>
      </c>
      <c r="AW38" s="503" t="str">
        <f>IF(終値!A38="","",IF(AND(高値!AA38&gt;高値!Z38,高値!AA38&gt;高値!Y38,高値!AA38&gt;高値!AB38,高値!AA38&gt;高値!AC38),22,""))</f>
        <v/>
      </c>
      <c r="AX38" s="503">
        <f>IF(終値!A38="","",IF(AND(高値!AB38&gt;高値!AA38,高値!AB38&gt;高値!Z38,高値!AB38&gt;高値!AC38,高値!AB38&gt;高値!AD38),23,""))</f>
        <v>23</v>
      </c>
      <c r="AY38" s="503" t="str">
        <f>IF(終値!A38="","",IF(AND(高値!AC38&gt;高値!AB38,高値!AC38&gt;高値!AA38,高値!AC38&gt;高値!AD38,高値!AC38&gt;高値!AE38),24,""))</f>
        <v/>
      </c>
      <c r="AZ38" s="503" t="str">
        <f>IF(終値!A38="","",IF(AND(高値!AD38&gt;高値!AC38,高値!AD38&gt;高値!AB38,高値!AD38&gt;高値!AE38,高値!AD38&gt;高値!AF38),25,""))</f>
        <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14</v>
      </c>
      <c r="BF38" s="503">
        <f t="shared" si="2"/>
        <v>21</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2</v>
      </c>
      <c r="BN38" s="503">
        <f t="shared" si="5"/>
        <v>9</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t="str">
        <f>IF(終値!A39="","",IF(AND(安値!H39&lt;安値!G39,安値!H39&lt;安値!F39,安値!H39&lt;安値!I39,安値!H39&lt;安値!J39),3,""))</f>
        <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f>IF(終値!A39="","",IF(AND(安値!L39&lt;安値!K39,安値!L39&lt;安値!J39,安値!L39&lt;安値!M39,安値!L39&lt;安値!N39),7,""))</f>
        <v>7</v>
      </c>
      <c r="H39" s="503" t="str">
        <f>IF(終値!A39="","",IF(AND(安値!M39&lt;安値!L39,安値!M39&lt;安値!K39,安値!M39&lt;安値!N39,安値!M39&lt;安値!O39),8,""))</f>
        <v/>
      </c>
      <c r="I39" s="503" t="str">
        <f>IF(終値!A39="","",IF(AND(安値!N39&lt;安値!M39,安値!N39&lt;安値!L39,安値!N39&lt;安値!O39,安値!N39&lt;安値!P39),9,""))</f>
        <v/>
      </c>
      <c r="J39" s="503" t="str">
        <f>IF(終値!A39="","",IF(AND(安値!O39&lt;安値!N39,安値!O39&lt;安値!M39,安値!O39&lt;安値!P39,安値!O39&lt;安値!Q39),10,""))</f>
        <v/>
      </c>
      <c r="K39" s="503">
        <f>IF(終値!A39="","",IF(AND(安値!P39&lt;安値!O39,安値!P39&lt;安値!N39,安値!P39&lt;安値!Q39,安値!P39&lt;安値!R39),11,""))</f>
        <v>11</v>
      </c>
      <c r="L39" s="503" t="str">
        <f>IF(終値!A39="","",IF(AND(安値!Q39&lt;安値!P39,安値!Q39&lt;安値!O39,安値!Q39&lt;安値!R39,安値!Q39&lt;安値!S39),12,""))</f>
        <v/>
      </c>
      <c r="M39" s="503" t="str">
        <f>IF(終値!A39="","",IF(AND(安値!R39&lt;安値!Q39,安値!R39&lt;安値!P39,安値!R39&lt;安値!S39,安値!R39&lt;安値!T39),13,""))</f>
        <v/>
      </c>
      <c r="N39" s="503" t="str">
        <f>IF(終値!A39="","",IF(AND(安値!S39&lt;安値!R39,安値!S39&lt;安値!Q39,安値!S39&lt;安値!T39,安値!S39&lt;安値!U39),14,""))</f>
        <v/>
      </c>
      <c r="O39" s="503">
        <f>IF(終値!A39="","",IF(AND(安値!T39&lt;安値!S39,安値!T39&lt;安値!R39,安値!T39&lt;安値!U39,安値!T39&lt;安値!V39),15,""))</f>
        <v>15</v>
      </c>
      <c r="P39" s="503" t="str">
        <f>IF(終値!A39="","",IF(AND(安値!U39&lt;安値!T39,安値!U39&lt;安値!S39,安値!U39&lt;安値!V39,安値!U39&lt;安値!W39),16,""))</f>
        <v/>
      </c>
      <c r="Q39" s="503" t="str">
        <f>IF(終値!A39="","",IF(AND(安値!V39&lt;安値!U39,安値!V39&lt;安値!T39,安値!V39&lt;安値!W39,安値!V39&lt;安値!X39),17,""))</f>
        <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f>IF(終値!A39="","",IF(AND(安値!AA39&lt;安値!Z39,安値!AA39&lt;安値!Y39,安値!AA39&lt;安値!AB39,安値!AA39&lt;安値!AC39),22,""))</f>
        <v>22</v>
      </c>
      <c r="W39" s="503" t="str">
        <f>IF(終値!A39="","",IF(AND(安値!AB39&lt;安値!AA39,安値!AB39&lt;安値!Z39,安値!AB39&lt;安値!AC39,安値!AB39&lt;安値!AD39),23,""))</f>
        <v/>
      </c>
      <c r="X39" s="503" t="str">
        <f>IF(終値!A39="","",IF(AND(安値!AC39&lt;安値!AB39,安値!AC39&lt;安値!AA39,安値!AC39&lt;安値!AD39,安値!AC39&lt;安値!AE39),24,""))</f>
        <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f>IF(終値!A39="","",IF(AND(高値!I39&gt;高値!H39,高値!I39&gt;高値!G39,高値!I39&gt;高値!J39,高値!I39&gt;高値!K39),4,""))</f>
        <v>4</v>
      </c>
      <c r="AF39" s="503" t="str">
        <f>IF(終値!A39="","",IF(AND(高値!J39&gt;高値!I39,高値!J39&gt;高値!H39,高値!J39&gt;高値!K39,高値!J39&gt;高値!L39),5,""))</f>
        <v/>
      </c>
      <c r="AG39" s="503" t="str">
        <f>IF(終値!A39="","",IF(AND(高値!K39&gt;高値!J39,高値!K39&gt;高値!I39,高値!K39&gt;高値!L39,高値!K39&gt;高値!M39),6,""))</f>
        <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f>IF(終値!A39="","",IF(AND(高値!O39&gt;高値!N39,高値!O39&gt;高値!M39,高値!O39&gt;高値!P39,高値!O39&gt;高値!Q39),10,""))</f>
        <v>10</v>
      </c>
      <c r="AL39" s="503" t="str">
        <f>IF(終値!A39="","",IF(AND(高値!P39&gt;高値!O39,高値!P39&gt;高値!N39,高値!P39&gt;高値!Q39,高値!P39&gt;高値!R39),11,""))</f>
        <v/>
      </c>
      <c r="AM39" s="503" t="str">
        <f>IF(終値!A39="","",IF(AND(高値!Q39&gt;高値!P39,高値!Q39&gt;高値!O39,高値!Q39&gt;高値!R39,高値!Q39&gt;高値!S39),12,""))</f>
        <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f>IF(終値!A39="","",IF(AND(高値!V39&gt;高値!U39,高値!V39&gt;高値!T39,高値!V39&gt;高値!W39,高値!V39&gt;高値!X39),17,""))</f>
        <v>17</v>
      </c>
      <c r="AS39" s="503" t="str">
        <f>IF(終値!A39="","",IF(AND(高値!W39&gt;高値!V39,高値!W39&gt;高値!U39,高値!W39&gt;高値!X39,高値!W39&gt;高値!Y39),18,""))</f>
        <v/>
      </c>
      <c r="AT39" s="503" t="str">
        <f>IF(終値!A39="","",IF(AND(高値!X39&gt;高値!W39,高値!X39&gt;高値!V39,高値!X39&gt;高値!Y39,高値!X39&gt;高値!Z39),19,""))</f>
        <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4</v>
      </c>
      <c r="BE39" s="503">
        <f t="shared" si="1"/>
        <v>7</v>
      </c>
      <c r="BF39" s="503">
        <f t="shared" si="2"/>
        <v>11</v>
      </c>
      <c r="BG39" s="503">
        <f>IF($BE39="","",INDEX(安値!$E39:$CZ39,1,$BE39+1))</f>
        <v>1423.5</v>
      </c>
      <c r="BH39" s="503">
        <f>IF($BF39="","",INDEX(安値!$E39:$CZ39,1,$BF39+1))</f>
        <v>1380</v>
      </c>
      <c r="BI39" s="503">
        <f>IF($BF39="","",MAX(INDEX(高値!$E39:$CZ39,1,$BE39+1):INDEX(高値!$E39:$CZ39,1,$BF39+1)))</f>
        <v>1444</v>
      </c>
      <c r="BJ39" s="503">
        <f>IF($BF39="","",AVERAGE(INDEX(終値!$E39:$CZ39,1,$BF39+1):INDEX(終値!$E39:$CZ39,1,$BF39+20))-2*STDEVP(INDEX(終値!$E39:$CZ39,1,$BF39+1):INDEX(終値!$E39:$CZ39,1,$BF39+20)))</f>
        <v>1267.059102788153</v>
      </c>
      <c r="BK39" s="503">
        <f>IF($BE39="","",AVERAGE(INDEX(終値!$E39:$CZ39,1,$BE39+1):INDEX(終値!$E39:$CZ39,1,$BE39+20))-2*STDEVP(INDEX(終値!$E39:$CZ39,1,$BE39+1):INDEX(終値!$E39:$CZ39,1,$BE39+20)))</f>
        <v>1280.3313096755205</v>
      </c>
      <c r="BL39" s="503">
        <f t="shared" si="3"/>
        <v>3</v>
      </c>
      <c r="BM39" s="503">
        <f t="shared" si="4"/>
        <v>4</v>
      </c>
      <c r="BN39" s="503">
        <f t="shared" si="5"/>
        <v>10</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v>
      </c>
    </row>
    <row r="40" spans="2:72">
      <c r="B40" s="503" t="str">
        <f>IF(終値!A40="","",IF(AND(安値!G40&lt;安値!F40,安値!G40&lt;安値!E40,安値!G40&lt;安値!H40,安値!G40&lt;安値!I40),2,""))</f>
        <v/>
      </c>
      <c r="C40" s="503" t="str">
        <f>IF(終値!A40="","",IF(AND(安値!H40&lt;安値!G40,安値!H40&lt;安値!F40,安値!H40&lt;安値!I40,安値!H40&lt;安値!J40),3,""))</f>
        <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f>IF(終値!A40="","",IF(AND(安値!P40&lt;安値!O40,安値!P40&lt;安値!N40,安値!P40&lt;安値!Q40,安値!P40&lt;安値!R40),11,""))</f>
        <v>11</v>
      </c>
      <c r="L40" s="503" t="str">
        <f>IF(終値!A40="","",IF(AND(安値!Q40&lt;安値!P40,安値!Q40&lt;安値!O40,安値!Q40&lt;安値!R40,安値!Q40&lt;安値!S40),12,""))</f>
        <v/>
      </c>
      <c r="M40" s="503" t="str">
        <f>IF(終値!A40="","",IF(AND(安値!R40&lt;安値!Q40,安値!R40&lt;安値!P40,安値!R40&lt;安値!S40,安値!R40&lt;安値!T40),13,""))</f>
        <v/>
      </c>
      <c r="N40" s="503" t="str">
        <f>IF(終値!A40="","",IF(AND(安値!S40&lt;安値!R40,安値!S40&lt;安値!Q40,安値!S40&lt;安値!T40,安値!S40&lt;安値!U40),14,""))</f>
        <v/>
      </c>
      <c r="O40" s="503" t="str">
        <f>IF(終値!A40="","",IF(AND(安値!T40&lt;安値!S40,安値!T40&lt;安値!R40,安値!T40&lt;安値!U40,安値!T40&lt;安値!V40),15,""))</f>
        <v/>
      </c>
      <c r="P40" s="503">
        <f>IF(終値!A40="","",IF(AND(安値!U40&lt;安値!T40,安値!U40&lt;安値!S40,安値!U40&lt;安値!V40,安値!U40&lt;安値!W40),16,""))</f>
        <v>16</v>
      </c>
      <c r="Q40" s="503" t="str">
        <f>IF(終値!A40="","",IF(AND(安値!V40&lt;安値!U40,安値!V40&lt;安値!T40,安値!V40&lt;安値!W40,安値!V40&lt;安値!X40),17,""))</f>
        <v/>
      </c>
      <c r="R40" s="503" t="str">
        <f>IF(終値!A40="","",IF(AND(安値!W40&lt;安値!V40,安値!W40&lt;安値!U40,安値!W40&lt;安値!X40,安値!W40&lt;安値!Y40),18,""))</f>
        <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f>IF(終値!A40="","",IF(AND(安値!AC40&lt;安値!AB40,安値!AC40&lt;安値!AA40,安値!AC40&lt;安値!AD40,安値!AC40&lt;安値!AE40),24,""))</f>
        <v>24</v>
      </c>
      <c r="Y40" s="503" t="str">
        <f>IF(終値!A40="","",IF(AND(安値!AD40&lt;安値!AC40,安値!AD40&lt;安値!AB40,安値!AD40&lt;安値!AE40,安値!AD40&lt;安値!AF40),25,""))</f>
        <v/>
      </c>
      <c r="Z40" s="503" t="str">
        <f>IF(終値!A40="","",IF(AND(安値!AE40&lt;安値!AD40,安値!AE40&lt;安値!AC40,安値!AE40&lt;安値!AF40,安値!AE40&lt;安値!AG40),26,""))</f>
        <v/>
      </c>
      <c r="AA40" s="503">
        <f>IF(終値!A40="","",IF(AND(安値!AF40&lt;安値!AE40,安値!AF40&lt;安値!AD40,安値!AF40&lt;安値!AG40,安値!AF40&lt;安値!AH40),27,""))</f>
        <v>27</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f>IF(終値!A40="","",IF(AND(高値!Q40&gt;高値!P40,高値!Q40&gt;高値!O40,高値!Q40&gt;高値!R40,高値!Q40&gt;高値!S40),12,""))</f>
        <v>12</v>
      </c>
      <c r="AN40" s="503" t="str">
        <f>IF(終値!A40="","",IF(AND(高値!R40&gt;高値!Q40,高値!R40&gt;高値!P40,高値!R40&gt;高値!S40,高値!R40&gt;高値!T40),13,""))</f>
        <v/>
      </c>
      <c r="AO40" s="503" t="str">
        <f>IF(終値!A40="","",IF(AND(高値!S40&gt;高値!R40,高値!S40&gt;高値!Q40,高値!S40&gt;高値!T40,高値!S40&gt;高値!U40),14,""))</f>
        <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f>IF(終値!A40="","",IF(AND(高値!AD40&gt;高値!AC40,高値!AD40&gt;高値!AB40,高値!AD40&gt;高値!AE40,高値!AD40&gt;高値!AF40),25,""))</f>
        <v>25</v>
      </c>
      <c r="BA40" s="503" t="str">
        <f>IF(終値!A40="","",IF(AND(高値!AE40&gt;高値!AD40,高値!AE40&gt;高値!AC40,高値!AE40&gt;高値!AF40,高値!AE40&gt;高値!AG40),26,""))</f>
        <v/>
      </c>
      <c r="BB40" s="503" t="str">
        <f>IF(終値!A40="","",IF(AND(高値!AF40&gt;高値!AE40,高値!AF40&gt;高値!AD40,高値!AF40&gt;高値!AG40,高値!AF40&gt;高値!AH40),27,""))</f>
        <v/>
      </c>
      <c r="BC40" s="503" t="str">
        <f>IF(終値!A40="","",IF(AND(高値!AG40&gt;高値!AF40,高値!AG40&gt;高値!AE40,高値!AG40&gt;高値!AH40,高値!AG40&gt;高値!AI40),28,""))</f>
        <v/>
      </c>
      <c r="BD40" s="503">
        <f t="shared" si="0"/>
        <v>4</v>
      </c>
      <c r="BE40" s="503">
        <f t="shared" si="1"/>
        <v>11</v>
      </c>
      <c r="BF40" s="503">
        <f t="shared" si="2"/>
        <v>16</v>
      </c>
      <c r="BG40" s="503">
        <f>IF($BE40="","",INDEX(安値!$E40:$CZ40,1,$BE40+1))</f>
        <v>1496.5</v>
      </c>
      <c r="BH40" s="503">
        <f>IF($BF40="","",INDEX(安値!$E40:$CZ40,1,$BF40+1))</f>
        <v>1500.5</v>
      </c>
      <c r="BI40" s="503">
        <f>IF($BF40="","",MAX(INDEX(高値!$E40:$CZ40,1,$BE40+1):INDEX(高値!$E40:$CZ40,1,$BF40+1)))</f>
        <v>1631.5</v>
      </c>
      <c r="BJ40" s="503">
        <f>IF($BF40="","",AVERAGE(INDEX(終値!$E40:$CZ40,1,$BF40+1):INDEX(終値!$E40:$CZ40,1,$BF40+20))-2*STDEVP(INDEX(終値!$E40:$CZ40,1,$BF40+1):INDEX(終値!$E40:$CZ40,1,$BF40+20)))</f>
        <v>1349.5364180987594</v>
      </c>
      <c r="BK40" s="503">
        <f>IF($BE40="","",AVERAGE(INDEX(終値!$E40:$CZ40,1,$BE40+1):INDEX(終値!$E40:$CZ40,1,$BE40+20))-2*STDEVP(INDEX(終値!$E40:$CZ40,1,$BE40+1):INDEX(終値!$E40:$CZ40,1,$BE40+20)))</f>
        <v>1349.9994154339115</v>
      </c>
      <c r="BL40" s="503">
        <f t="shared" si="3"/>
        <v>2</v>
      </c>
      <c r="BM40" s="503">
        <f t="shared" si="4"/>
        <v>12</v>
      </c>
      <c r="BN40" s="503">
        <f t="shared" si="5"/>
        <v>25</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f>IF(終値!A41="","",IF(AND(安値!R41&lt;安値!Q41,安値!R41&lt;安値!P41,安値!R41&lt;安値!S41,安値!R41&lt;安値!T41),13,""))</f>
        <v>13</v>
      </c>
      <c r="N41" s="503" t="str">
        <f>IF(終値!A41="","",IF(AND(安値!S41&lt;安値!R41,安値!S41&lt;安値!Q41,安値!S41&lt;安値!T41,安値!S41&lt;安値!U41),14,""))</f>
        <v/>
      </c>
      <c r="O41" s="503" t="str">
        <f>IF(終値!A41="","",IF(AND(安値!T41&lt;安値!S41,安値!T41&lt;安値!R41,安値!T41&lt;安値!U41,安値!T41&lt;安値!V41),15,""))</f>
        <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f>IF(終値!A41="","",IF(AND(安値!AA41&lt;安値!Z41,安値!AA41&lt;安値!Y41,安値!AA41&lt;安値!AB41,安値!AA41&lt;安値!AC41),22,""))</f>
        <v>22</v>
      </c>
      <c r="W41" s="503" t="str">
        <f>IF(終値!A41="","",IF(AND(安値!AB41&lt;安値!AA41,安値!AB41&lt;安値!Z41,安値!AB41&lt;安値!AC41,安値!AB41&lt;安値!AD41),23,""))</f>
        <v/>
      </c>
      <c r="X41" s="503" t="str">
        <f>IF(終値!A41="","",IF(AND(安値!AC41&lt;安値!AB41,安値!AC41&lt;安値!AA41,安値!AC41&lt;安値!AD41,安値!AC41&lt;安値!AE41),24,""))</f>
        <v/>
      </c>
      <c r="Y41" s="503" t="str">
        <f>IF(終値!A41="","",IF(AND(安値!AD41&lt;安値!AC41,安値!AD41&lt;安値!AB41,安値!AD41&lt;安値!AE41,安値!AD41&lt;安値!AF41),25,""))</f>
        <v/>
      </c>
      <c r="Z41" s="503" t="str">
        <f>IF(終値!A41="","",IF(AND(安値!AE41&lt;安値!AD41,安値!AE41&lt;安値!AC41,安値!AE41&lt;安値!AF41,安値!AE41&lt;安値!AG41),26,""))</f>
        <v/>
      </c>
      <c r="AA41" s="503">
        <f>IF(終値!A41="","",IF(AND(安値!AF41&lt;安値!AE41,安値!AF41&lt;安値!AD41,安値!AF41&lt;安値!AG41,安値!AF41&lt;安値!AH41),27,""))</f>
        <v>27</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f>IF(終値!A41="","",IF(AND(高値!I41&gt;高値!H41,高値!I41&gt;高値!G41,高値!I41&gt;高値!J41,高値!I41&gt;高値!K41),4,""))</f>
        <v>4</v>
      </c>
      <c r="AF41" s="503" t="str">
        <f>IF(終値!A41="","",IF(AND(高値!J41&gt;高値!I41,高値!J41&gt;高値!H41,高値!J41&gt;高値!K41,高値!J41&gt;高値!L41),5,""))</f>
        <v/>
      </c>
      <c r="AG41" s="503" t="str">
        <f>IF(終値!A41="","",IF(AND(高値!K41&gt;高値!J41,高値!K41&gt;高値!I41,高値!K41&gt;高値!L41,高値!K41&gt;高値!M41),6,""))</f>
        <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f>IF(終値!A41="","",IF(AND(高値!V41&gt;高値!U41,高値!V41&gt;高値!T41,高値!V41&gt;高値!W41,高値!V41&gt;高値!X41),17,""))</f>
        <v>17</v>
      </c>
      <c r="AS41" s="503" t="str">
        <f>IF(終値!A41="","",IF(AND(高値!W41&gt;高値!V41,高値!W41&gt;高値!U41,高値!W41&gt;高値!X41,高値!W41&gt;高値!Y41),18,""))</f>
        <v/>
      </c>
      <c r="AT41" s="503" t="str">
        <f>IF(終値!A41="","",IF(AND(高値!X41&gt;高値!W41,高値!X41&gt;高値!V41,高値!X41&gt;高値!Y41,高値!X41&gt;高値!Z41),19,""))</f>
        <v/>
      </c>
      <c r="AU41" s="503">
        <f>IF(終値!A41="","",IF(AND(高値!Y41&gt;高値!X41,高値!Y41&gt;高値!W41,高値!Y41&gt;高値!Z41,高値!Y41&gt;高値!AA41),20,""))</f>
        <v>20</v>
      </c>
      <c r="AV41" s="503" t="str">
        <f>IF(終値!A41="","",IF(AND(高値!Z41&gt;高値!Y41,高値!Z41&gt;高値!X41,高値!Z41&gt;高値!AA41,高値!Z41&gt;高値!AB41),21,""))</f>
        <v/>
      </c>
      <c r="AW41" s="503" t="str">
        <f>IF(終値!A41="","",IF(AND(高値!AA41&gt;高値!Z41,高値!AA41&gt;高値!Y41,高値!AA41&gt;高値!AB41,高値!AA41&gt;高値!AC41),22,""))</f>
        <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3</v>
      </c>
      <c r="BE41" s="503">
        <f t="shared" si="1"/>
        <v>13</v>
      </c>
      <c r="BF41" s="503">
        <f t="shared" si="2"/>
        <v>22</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4</v>
      </c>
      <c r="BN41" s="503">
        <f t="shared" si="5"/>
        <v>17</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f>IF(終値!A42="","",IF(AND(安値!L42&lt;安値!K42,安値!L42&lt;安値!J42,安値!L42&lt;安値!M42,安値!L42&lt;安値!N42),7,""))</f>
        <v>7</v>
      </c>
      <c r="H42" s="503" t="str">
        <f>IF(終値!A42="","",IF(AND(安値!M42&lt;安値!L42,安値!M42&lt;安値!K42,安値!M42&lt;安値!N42,安値!M42&lt;安値!O42),8,""))</f>
        <v/>
      </c>
      <c r="I42" s="503" t="str">
        <f>IF(終値!A42="","",IF(AND(安値!N42&lt;安値!M42,安値!N42&lt;安値!L42,安値!N42&lt;安値!O42,安値!N42&lt;安値!P42),9,""))</f>
        <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f>IF(終値!A42="","",IF(AND(安値!S42&lt;安値!R42,安値!S42&lt;安値!Q42,安値!S42&lt;安値!T42,安値!S42&lt;安値!U42),14,""))</f>
        <v>14</v>
      </c>
      <c r="O42" s="503" t="str">
        <f>IF(終値!A42="","",IF(AND(安値!T42&lt;安値!S42,安値!T42&lt;安値!R42,安値!T42&lt;安値!U42,安値!T42&lt;安値!V42),15,""))</f>
        <v/>
      </c>
      <c r="P42" s="503" t="str">
        <f>IF(終値!A42="","",IF(AND(安値!U42&lt;安値!T42,安値!U42&lt;安値!S42,安値!U42&lt;安値!V42,安値!U42&lt;安値!W42),16,""))</f>
        <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f>IF(終値!A42="","",IF(AND(安値!AB42&lt;安値!AA42,安値!AB42&lt;安値!Z42,安値!AB42&lt;安値!AC42,安値!AB42&lt;安値!AD42),23,""))</f>
        <v>23</v>
      </c>
      <c r="X42" s="503" t="str">
        <f>IF(終値!A42="","",IF(AND(安値!AC42&lt;安値!AB42,安値!AC42&lt;安値!AA42,安値!AC42&lt;安値!AD42,安値!AC42&lt;安値!AE42),24,""))</f>
        <v/>
      </c>
      <c r="Y42" s="503" t="str">
        <f>IF(終値!A42="","",IF(AND(安値!AD42&lt;安値!AC42,安値!AD42&lt;安値!AB42,安値!AD42&lt;安値!AE42,安値!AD42&lt;安値!AF42),25,""))</f>
        <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f>IF(終値!A42="","",IF(AND(高値!H42&gt;高値!G42,高値!H42&gt;高値!F42,高値!H42&gt;高値!I42,高値!H42&gt;高値!J42),3,""))</f>
        <v>3</v>
      </c>
      <c r="AE42" s="503" t="str">
        <f>IF(終値!A42="","",IF(AND(高値!I42&gt;高値!H42,高値!I42&gt;高値!G42,高値!I42&gt;高値!J42,高値!I42&gt;高値!K42),4,""))</f>
        <v/>
      </c>
      <c r="AF42" s="503" t="str">
        <f>IF(終値!A42="","",IF(AND(高値!J42&gt;高値!I42,高値!J42&gt;高値!H42,高値!J42&gt;高値!K42,高値!J42&gt;高値!L42),5,""))</f>
        <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f>IF(終値!A42="","",IF(AND(高値!O42&gt;高値!N42,高値!O42&gt;高値!M42,高値!O42&gt;高値!P42,高値!O42&gt;高値!Q42),10,""))</f>
        <v>10</v>
      </c>
      <c r="AL42" s="503" t="str">
        <f>IF(終値!A42="","",IF(AND(高値!P42&gt;高値!O42,高値!P42&gt;高値!N42,高値!P42&gt;高値!Q42,高値!P42&gt;高値!R42),11,""))</f>
        <v/>
      </c>
      <c r="AM42" s="503" t="str">
        <f>IF(終値!A42="","",IF(AND(高値!Q42&gt;高値!P42,高値!Q42&gt;高値!O42,高値!Q42&gt;高値!R42,高値!Q42&gt;高値!S42),12,""))</f>
        <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f>IF(終値!A42="","",IF(AND(高値!W42&gt;高値!V42,高値!W42&gt;高値!U42,高値!W42&gt;高値!X42,高値!W42&gt;高値!Y42),18,""))</f>
        <v>18</v>
      </c>
      <c r="AT42" s="503" t="str">
        <f>IF(終値!A42="","",IF(AND(高値!X42&gt;高値!W42,高値!X42&gt;高値!V42,高値!X42&gt;高値!Y42,高値!X42&gt;高値!Z42),19,""))</f>
        <v/>
      </c>
      <c r="AU42" s="503" t="str">
        <f>IF(終値!A42="","",IF(AND(高値!Y42&gt;高値!X42,高値!Y42&gt;高値!W42,高値!Y42&gt;高値!Z42,高値!Y42&gt;高値!AA42),20,""))</f>
        <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f>IF(終値!A42="","",IF(AND(高値!AC42&gt;高値!AB42,高値!AC42&gt;高値!AA42,高値!AC42&gt;高値!AD42,高値!AC42&gt;高値!AE42),24,""))</f>
        <v>24</v>
      </c>
      <c r="AZ42" s="503" t="str">
        <f>IF(終値!A42="","",IF(AND(高値!AD42&gt;高値!AC42,高値!AD42&gt;高値!AB42,高値!AD42&gt;高値!AE42,高値!AD42&gt;高値!AF42),25,""))</f>
        <v/>
      </c>
      <c r="BA42" s="503" t="str">
        <f>IF(終値!A42="","",IF(AND(高値!AE42&gt;高値!AD42,高値!AE42&gt;高値!AC42,高値!AE42&gt;高値!AF42,高値!AE42&gt;高値!AG42),26,""))</f>
        <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7</v>
      </c>
      <c r="BF42" s="503">
        <f t="shared" si="2"/>
        <v>14</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3</v>
      </c>
      <c r="BN42" s="503">
        <f t="shared" si="5"/>
        <v>10</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二番天井M▼</v>
      </c>
    </row>
    <row r="43" spans="2:72">
      <c r="B43" s="503" t="str">
        <f>IF(終値!A43="","",IF(AND(安値!G43&lt;安値!F43,安値!G43&lt;安値!E43,安値!G43&lt;安値!H43,安値!G43&lt;安値!I43),2,""))</f>
        <v/>
      </c>
      <c r="C43" s="503" t="str">
        <f>IF(終値!A43="","",IF(AND(安値!H43&lt;安値!G43,安値!H43&lt;安値!F43,安値!H43&lt;安値!I43,安値!H43&lt;安値!J43),3,""))</f>
        <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f>IF(終値!A43="","",IF(AND(安値!L43&lt;安値!K43,安値!L43&lt;安値!J43,安値!L43&lt;安値!M43,安値!L43&lt;安値!N43),7,""))</f>
        <v>7</v>
      </c>
      <c r="H43" s="503" t="str">
        <f>IF(終値!A43="","",IF(AND(安値!M43&lt;安値!L43,安値!M43&lt;安値!K43,安値!M43&lt;安値!N43,安値!M43&lt;安値!O43),8,""))</f>
        <v/>
      </c>
      <c r="I43" s="503" t="str">
        <f>IF(終値!A43="","",IF(AND(安値!N43&lt;安値!M43,安値!N43&lt;安値!L43,安値!N43&lt;安値!O43,安値!N43&lt;安値!P43),9,""))</f>
        <v/>
      </c>
      <c r="J43" s="503" t="str">
        <f>IF(終値!A43="","",IF(AND(安値!O43&lt;安値!N43,安値!O43&lt;安値!M43,安値!O43&lt;安値!P43,安値!O43&lt;安値!Q43),10,""))</f>
        <v/>
      </c>
      <c r="K43" s="503">
        <f>IF(終値!A43="","",IF(AND(安値!P43&lt;安値!O43,安値!P43&lt;安値!N43,安値!P43&lt;安値!Q43,安値!P43&lt;安値!R43),11,""))</f>
        <v>11</v>
      </c>
      <c r="L43" s="503" t="str">
        <f>IF(終値!A43="","",IF(AND(安値!Q43&lt;安値!P43,安値!Q43&lt;安値!O43,安値!Q43&lt;安値!R43,安値!Q43&lt;安値!S43),12,""))</f>
        <v/>
      </c>
      <c r="M43" s="503" t="str">
        <f>IF(終値!A43="","",IF(AND(安値!R43&lt;安値!Q43,安値!R43&lt;安値!P43,安値!R43&lt;安値!S43,安値!R43&lt;安値!T43),13,""))</f>
        <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f>IF(終値!A43="","",IF(AND(安値!AE43&lt;安値!AD43,安値!AE43&lt;安値!AC43,安値!AE43&lt;安値!AF43,安値!AE43&lt;安値!AG43),26,""))</f>
        <v>26</v>
      </c>
      <c r="AA43" s="503" t="str">
        <f>IF(終値!A43="","",IF(AND(安値!AF43&lt;安値!AE43,安値!AF43&lt;安値!AD43,安値!AF43&lt;安値!AG43,安値!AF43&lt;安値!AH43),27,""))</f>
        <v/>
      </c>
      <c r="AB43" s="503" t="str">
        <f>IF(終値!A43="","",IF(AND(安値!AG43&lt;安値!AF43,安値!AG43&lt;安値!AE43,安値!AG43&lt;安値!AH43,安値!AG43&lt;安値!AI43),28,""))</f>
        <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f>IF(終値!A43="","",IF(AND(高値!K43&gt;高値!J43,高値!K43&gt;高値!I43,高値!K43&gt;高値!L43,高値!K43&gt;高値!M43),6,""))</f>
        <v>6</v>
      </c>
      <c r="AH43" s="503" t="str">
        <f>IF(終値!A43="","",IF(AND(高値!L43&gt;高値!K43,高値!L43&gt;高値!J43,高値!L43&gt;高値!M43,高値!L43&gt;高値!N43),7,""))</f>
        <v/>
      </c>
      <c r="AI43" s="503" t="str">
        <f>IF(終値!A43="","",IF(AND(高値!M43&gt;高値!L43,高値!M43&gt;高値!K43,高値!M43&gt;高値!N43,高値!M43&gt;高値!O43),8,""))</f>
        <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f>IF(終値!A43="","",IF(AND(高値!Q43&gt;高値!P43,高値!Q43&gt;高値!O43,高値!Q43&gt;高値!R43,高値!Q43&gt;高値!S43),12,""))</f>
        <v>12</v>
      </c>
      <c r="AN43" s="503" t="str">
        <f>IF(終値!A43="","",IF(AND(高値!R43&gt;高値!Q43,高値!R43&gt;高値!P43,高値!R43&gt;高値!S43,高値!R43&gt;高値!T43),13,""))</f>
        <v/>
      </c>
      <c r="AO43" s="503" t="str">
        <f>IF(終値!A43="","",IF(AND(高値!S43&gt;高値!R43,高値!S43&gt;高値!Q43,高値!S43&gt;高値!T43,高値!S43&gt;高値!U43),14,""))</f>
        <v/>
      </c>
      <c r="AP43" s="503">
        <f>IF(終値!A43="","",IF(AND(高値!T43&gt;高値!S43,高値!T43&gt;高値!R43,高値!T43&gt;高値!U43,高値!T43&gt;高値!V43),15,""))</f>
        <v>15</v>
      </c>
      <c r="AQ43" s="503" t="str">
        <f>IF(終値!A43="","",IF(AND(高値!U43&gt;高値!T43,高値!U43&gt;高値!S43,高値!U43&gt;高値!V43,高値!U43&gt;高値!W43),16,""))</f>
        <v/>
      </c>
      <c r="AR43" s="503" t="str">
        <f>IF(終値!A43="","",IF(AND(高値!V43&gt;高値!U43,高値!V43&gt;高値!T43,高値!V43&gt;高値!W43,高値!V43&gt;高値!X43),17,""))</f>
        <v/>
      </c>
      <c r="AS43" s="503">
        <f>IF(終値!A43="","",IF(AND(高値!W43&gt;高値!V43,高値!W43&gt;高値!U43,高値!W43&gt;高値!X43,高値!W43&gt;高値!Y43),18,""))</f>
        <v>18</v>
      </c>
      <c r="AT43" s="503" t="str">
        <f>IF(終値!A43="","",IF(AND(高値!X43&gt;高値!W43,高値!X43&gt;高値!V43,高値!X43&gt;高値!Y43,高値!X43&gt;高値!Z43),19,""))</f>
        <v/>
      </c>
      <c r="AU43" s="503" t="str">
        <f>IF(終値!A43="","",IF(AND(高値!Y43&gt;高値!X43,高値!Y43&gt;高値!W43,高値!Y43&gt;高値!Z43,高値!Y43&gt;高値!AA43),20,""))</f>
        <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f>IF(終値!A43="","",IF(AND(高値!AG43&gt;高値!AF43,高値!AG43&gt;高値!AE43,高値!AG43&gt;高値!AH43,高値!AG43&gt;高値!AI43),28,""))</f>
        <v>28</v>
      </c>
      <c r="BD43" s="503">
        <f t="shared" si="0"/>
        <v>3</v>
      </c>
      <c r="BE43" s="503">
        <f t="shared" si="1"/>
        <v>7</v>
      </c>
      <c r="BF43" s="503">
        <f t="shared" si="2"/>
        <v>11</v>
      </c>
      <c r="BG43" s="503">
        <f>IF($BE43="","",INDEX(安値!$E43:$CZ43,1,$BE43+1))</f>
        <v>0</v>
      </c>
      <c r="BH43" s="503">
        <f>IF($BF43="","",INDEX(安値!$E43:$CZ43,1,$BF43+1))</f>
        <v>1775.5</v>
      </c>
      <c r="BI43" s="503">
        <f>IF($BF43="","",MAX(INDEX(高値!$E43:$CZ43,1,$BE43+1):INDEX(高値!$E43:$CZ43,1,$BF43+1)))</f>
        <v>1905.5</v>
      </c>
      <c r="BJ43" s="503">
        <f>IF($BF43="","",AVERAGE(INDEX(終値!$E43:$CZ43,1,$BF43+1):INDEX(終値!$E43:$CZ43,1,$BF43+20))-2*STDEVP(INDEX(終値!$E43:$CZ43,1,$BF43+1):INDEX(終値!$E43:$CZ43,1,$BF43+20)))</f>
        <v>1708.0846317727087</v>
      </c>
      <c r="BK43" s="503">
        <f>IF($BE43="","",AVERAGE(INDEX(終値!$E43:$CZ43,1,$BE43+1):INDEX(終値!$E43:$CZ43,1,$BE43+20))-2*STDEVP(INDEX(終値!$E43:$CZ43,1,$BE43+1):INDEX(終値!$E43:$CZ43,1,$BE43+20)))</f>
        <v>1715.8920452128743</v>
      </c>
      <c r="BL43" s="503">
        <f t="shared" si="3"/>
        <v>5</v>
      </c>
      <c r="BM43" s="503">
        <f t="shared" si="4"/>
        <v>6</v>
      </c>
      <c r="BN43" s="503">
        <f t="shared" si="5"/>
        <v>12</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二番天井M形成</v>
      </c>
    </row>
    <row r="44" spans="2:72">
      <c r="B44" s="503" t="str">
        <f>IF(終値!A44="","",IF(AND(安値!G44&lt;安値!F44,安値!G44&lt;安値!E44,安値!G44&lt;安値!H44,安値!G44&lt;安値!I44),2,""))</f>
        <v/>
      </c>
      <c r="C44" s="503" t="str">
        <f>IF(終値!A44="","",IF(AND(安値!H44&lt;安値!G44,安値!H44&lt;安値!F44,安値!H44&lt;安値!I44,安値!H44&lt;安値!J44),3,""))</f>
        <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f>IF(終値!A44="","",IF(AND(安値!R44&lt;安値!Q44,安値!R44&lt;安値!P44,安値!R44&lt;安値!S44,安値!R44&lt;安値!T44),13,""))</f>
        <v>13</v>
      </c>
      <c r="N44" s="503" t="str">
        <f>IF(終値!A44="","",IF(AND(安値!S44&lt;安値!R44,安値!S44&lt;安値!Q44,安値!S44&lt;安値!T44,安値!S44&lt;安値!U44),14,""))</f>
        <v/>
      </c>
      <c r="O44" s="503" t="str">
        <f>IF(終値!A44="","",IF(AND(安値!T44&lt;安値!S44,安値!T44&lt;安値!R44,安値!T44&lt;安値!U44,安値!T44&lt;安値!V44),15,""))</f>
        <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f>IF(終値!A44="","",IF(AND(安値!AA44&lt;安値!Z44,安値!AA44&lt;安値!Y44,安値!AA44&lt;安値!AB44,安値!AA44&lt;安値!AC44),22,""))</f>
        <v>22</v>
      </c>
      <c r="W44" s="503" t="str">
        <f>IF(終値!A44="","",IF(AND(安値!AB44&lt;安値!AA44,安値!AB44&lt;安値!Z44,安値!AB44&lt;安値!AC44,安値!AB44&lt;安値!AD44),23,""))</f>
        <v/>
      </c>
      <c r="X44" s="503" t="str">
        <f>IF(終値!A44="","",IF(AND(安値!AC44&lt;安値!AB44,安値!AC44&lt;安値!AA44,安値!AC44&lt;安値!AD44,安値!AC44&lt;安値!AE44),24,""))</f>
        <v/>
      </c>
      <c r="Y44" s="503" t="str">
        <f>IF(終値!A44="","",IF(AND(安値!AD44&lt;安値!AC44,安値!AD44&lt;安値!AB44,安値!AD44&lt;安値!AE44,安値!AD44&lt;安値!AF44),25,""))</f>
        <v/>
      </c>
      <c r="Z44" s="503" t="str">
        <f>IF(終値!A44="","",IF(AND(安値!AE44&lt;安値!AD44,安値!AE44&lt;安値!AC44,安値!AE44&lt;安値!AF44,安値!AE44&lt;安値!AG44),26,""))</f>
        <v/>
      </c>
      <c r="AA44" s="503">
        <f>IF(終値!A44="","",IF(AND(安値!AF44&lt;安値!AE44,安値!AF44&lt;安値!AD44,安値!AF44&lt;安値!AG44,安値!AF44&lt;安値!AH44),27,""))</f>
        <v>27</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f>IF(終値!A44="","",IF(AND(高値!K44&gt;高値!J44,高値!K44&gt;高値!I44,高値!K44&gt;高値!L44,高値!K44&gt;高値!M44),6,""))</f>
        <v>6</v>
      </c>
      <c r="AH44" s="503" t="str">
        <f>IF(終値!A44="","",IF(AND(高値!L44&gt;高値!K44,高値!L44&gt;高値!J44,高値!L44&gt;高値!M44,高値!L44&gt;高値!N44),7,""))</f>
        <v/>
      </c>
      <c r="AI44" s="503" t="str">
        <f>IF(終値!A44="","",IF(AND(高値!M44&gt;高値!L44,高値!M44&gt;高値!K44,高値!M44&gt;高値!N44,高値!M44&gt;高値!O44),8,""))</f>
        <v/>
      </c>
      <c r="AJ44" s="503">
        <f>IF(終値!A44="","",IF(AND(高値!N44&gt;高値!M44,高値!N44&gt;高値!L44,高値!N44&gt;高値!O44,高値!N44&gt;高値!P44),9,""))</f>
        <v>9</v>
      </c>
      <c r="AK44" s="503" t="str">
        <f>IF(終値!A44="","",IF(AND(高値!O44&gt;高値!N44,高値!O44&gt;高値!M44,高値!O44&gt;高値!P44,高値!O44&gt;高値!Q44),10,""))</f>
        <v/>
      </c>
      <c r="AL44" s="503" t="str">
        <f>IF(終値!A44="","",IF(AND(高値!P44&gt;高値!O44,高値!P44&gt;高値!N44,高値!P44&gt;高値!Q44,高値!P44&gt;高値!R44),11,""))</f>
        <v/>
      </c>
      <c r="AM44" s="503">
        <f>IF(終値!A44="","",IF(AND(高値!Q44&gt;高値!P44,高値!Q44&gt;高値!O44,高値!Q44&gt;高値!R44,高値!Q44&gt;高値!S44),12,""))</f>
        <v>12</v>
      </c>
      <c r="AN44" s="503" t="str">
        <f>IF(終値!A44="","",IF(AND(高値!R44&gt;高値!Q44,高値!R44&gt;高値!P44,高値!R44&gt;高値!S44,高値!R44&gt;高値!T44),13,""))</f>
        <v/>
      </c>
      <c r="AO44" s="503" t="str">
        <f>IF(終値!A44="","",IF(AND(高値!S44&gt;高値!R44,高値!S44&gt;高値!Q44,高値!S44&gt;高値!T44,高値!S44&gt;高値!U44),14,""))</f>
        <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f>IF(終値!A44="","",IF(AND(高値!X44&gt;高値!W44,高値!X44&gt;高値!V44,高値!X44&gt;高値!Y44,高値!X44&gt;高値!Z44),19,""))</f>
        <v>19</v>
      </c>
      <c r="AU44" s="503" t="str">
        <f>IF(終値!A44="","",IF(AND(高値!Y44&gt;高値!X44,高値!Y44&gt;高値!W44,高値!Y44&gt;高値!Z44,高値!Y44&gt;高値!AA44),20,""))</f>
        <v/>
      </c>
      <c r="AV44" s="503" t="str">
        <f>IF(終値!A44="","",IF(AND(高値!Z44&gt;高値!Y44,高値!Z44&gt;高値!X44,高値!Z44&gt;高値!AA44,高値!Z44&gt;高値!AB44),21,""))</f>
        <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13</v>
      </c>
      <c r="BF44" s="503">
        <f t="shared" si="2"/>
        <v>22</v>
      </c>
      <c r="BG44" s="503">
        <f>IF($BE44="","",INDEX(安値!$E44:$CZ44,1,$BE44+1))</f>
        <v>1124</v>
      </c>
      <c r="BH44" s="503">
        <f>IF($BF44="","",INDEX(安値!$E44:$CZ44,1,$BF44+1))</f>
        <v>1113</v>
      </c>
      <c r="BI44" s="503">
        <f>IF($BF44="","",MAX(INDEX(高値!$E44:$CZ44,1,$BE44+1):INDEX(高値!$E44:$CZ44,1,$BF44+1)))</f>
        <v>1182.5</v>
      </c>
      <c r="BJ44" s="503">
        <f>IF($BF44="","",AVERAGE(INDEX(終値!$E44:$CZ44,1,$BF44+1):INDEX(終値!$E44:$CZ44,1,$BF44+20))-2*STDEVP(INDEX(終値!$E44:$CZ44,1,$BF44+1):INDEX(終値!$E44:$CZ44,1,$BF44+20)))</f>
        <v>1088.4327823116155</v>
      </c>
      <c r="BK44" s="503">
        <f>IF($BE44="","",AVERAGE(INDEX(終値!$E44:$CZ44,1,$BE44+1):INDEX(終値!$E44:$CZ44,1,$BE44+20))-2*STDEVP(INDEX(終値!$E44:$CZ44,1,$BE44+1):INDEX(終値!$E44:$CZ44,1,$BE44+20)))</f>
        <v>1115.6569486544067</v>
      </c>
      <c r="BL44" s="503">
        <f t="shared" si="3"/>
        <v>4</v>
      </c>
      <c r="BM44" s="503">
        <f t="shared" si="4"/>
        <v>6</v>
      </c>
      <c r="BN44" s="503">
        <f t="shared" si="5"/>
        <v>9</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二番底W形成</v>
      </c>
    </row>
    <row r="45" spans="2:72">
      <c r="B45" s="503" t="str">
        <f>IF(終値!A45="","",IF(AND(安値!G45&lt;安値!F45,安値!G45&lt;安値!E45,安値!G45&lt;安値!H45,安値!G45&lt;安値!I45),2,""))</f>
        <v/>
      </c>
      <c r="C45" s="503" t="str">
        <f>IF(終値!A45="","",IF(AND(安値!H45&lt;安値!G45,安値!H45&lt;安値!F45,安値!H45&lt;安値!I45,安値!H45&lt;安値!J45),3,""))</f>
        <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f>IF(終値!A45="","",IF(AND(安値!P45&lt;安値!O45,安値!P45&lt;安値!N45,安値!P45&lt;安値!Q45,安値!P45&lt;安値!R45),11,""))</f>
        <v>11</v>
      </c>
      <c r="L45" s="503" t="str">
        <f>IF(終値!A45="","",IF(AND(安値!Q45&lt;安値!P45,安値!Q45&lt;安値!O45,安値!Q45&lt;安値!R45,安値!Q45&lt;安値!S45),12,""))</f>
        <v/>
      </c>
      <c r="M45" s="503" t="str">
        <f>IF(終値!A45="","",IF(AND(安値!R45&lt;安値!Q45,安値!R45&lt;安値!P45,安値!R45&lt;安値!S45,安値!R45&lt;安値!T45),13,""))</f>
        <v/>
      </c>
      <c r="N45" s="503" t="str">
        <f>IF(終値!A45="","",IF(AND(安値!S45&lt;安値!R45,安値!S45&lt;安値!Q45,安値!S45&lt;安値!T45,安値!S45&lt;安値!U45),14,""))</f>
        <v/>
      </c>
      <c r="O45" s="503" t="str">
        <f>IF(終値!A45="","",IF(AND(安値!T45&lt;安値!S45,安値!T45&lt;安値!R45,安値!T45&lt;安値!U45,安値!T45&lt;安値!V45),15,""))</f>
        <v/>
      </c>
      <c r="P45" s="503">
        <f>IF(終値!A45="","",IF(AND(安値!U45&lt;安値!T45,安値!U45&lt;安値!S45,安値!U45&lt;安値!V45,安値!U45&lt;安値!W45),16,""))</f>
        <v>16</v>
      </c>
      <c r="Q45" s="503" t="str">
        <f>IF(終値!A45="","",IF(AND(安値!V45&lt;安値!U45,安値!V45&lt;安値!T45,安値!V45&lt;安値!W45,安値!V45&lt;安値!X45),17,""))</f>
        <v/>
      </c>
      <c r="R45" s="503" t="str">
        <f>IF(終値!A45="","",IF(AND(安値!W45&lt;安値!V45,安値!W45&lt;安値!U45,安値!W45&lt;安値!X45,安値!W45&lt;安値!Y45),18,""))</f>
        <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f>IF(終値!A45="","",IF(AND(安値!AC45&lt;安値!AB45,安値!AC45&lt;安値!AA45,安値!AC45&lt;安値!AD45,安値!AC45&lt;安値!AE45),24,""))</f>
        <v>24</v>
      </c>
      <c r="Y45" s="503" t="str">
        <f>IF(終値!A45="","",IF(AND(安値!AD45&lt;安値!AC45,安値!AD45&lt;安値!AB45,安値!AD45&lt;安値!AE45,安値!AD45&lt;安値!AF45),25,""))</f>
        <v/>
      </c>
      <c r="Z45" s="503" t="str">
        <f>IF(終値!A45="","",IF(AND(安値!AE45&lt;安値!AD45,安値!AE45&lt;安値!AC45,安値!AE45&lt;安値!AF45,安値!AE45&lt;安値!AG45),26,""))</f>
        <v/>
      </c>
      <c r="AA45" s="503">
        <f>IF(終値!A45="","",IF(AND(安値!AF45&lt;安値!AE45,安値!AF45&lt;安値!AD45,安値!AF45&lt;安値!AG45,安値!AF45&lt;安値!AH45),27,""))</f>
        <v>27</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f>IF(終値!A45="","",IF(AND(高値!K45&gt;高値!J45,高値!K45&gt;高値!I45,高値!K45&gt;高値!L45,高値!K45&gt;高値!M45),6,""))</f>
        <v>6</v>
      </c>
      <c r="AH45" s="503" t="str">
        <f>IF(終値!A45="","",IF(AND(高値!L45&gt;高値!K45,高値!L45&gt;高値!J45,高値!L45&gt;高値!M45,高値!L45&gt;高値!N45),7,""))</f>
        <v/>
      </c>
      <c r="AI45" s="503" t="str">
        <f>IF(終値!A45="","",IF(AND(高値!M45&gt;高値!L45,高値!M45&gt;高値!K45,高値!M45&gt;高値!N45,高値!M45&gt;高値!O45),8,""))</f>
        <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f>IF(終値!A45="","",IF(AND(高値!Q45&gt;高値!P45,高値!Q45&gt;高値!O45,高値!Q45&gt;高値!R45,高値!Q45&gt;高値!S45),12,""))</f>
        <v>12</v>
      </c>
      <c r="AN45" s="503" t="str">
        <f>IF(終値!A45="","",IF(AND(高値!R45&gt;高値!Q45,高値!R45&gt;高値!P45,高値!R45&gt;高値!S45,高値!R45&gt;高値!T45),13,""))</f>
        <v/>
      </c>
      <c r="AO45" s="503" t="str">
        <f>IF(終値!A45="","",IF(AND(高値!S45&gt;高値!R45,高値!S45&gt;高値!Q45,高値!S45&gt;高値!T45,高値!S45&gt;高値!U45),14,""))</f>
        <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f>IF(終値!A45="","",IF(AND(高値!W45&gt;高値!V45,高値!W45&gt;高値!U45,高値!W45&gt;高値!X45,高値!W45&gt;高値!Y45),18,""))</f>
        <v>18</v>
      </c>
      <c r="AT45" s="503" t="str">
        <f>IF(終値!A45="","",IF(AND(高値!X45&gt;高値!W45,高値!X45&gt;高値!V45,高値!X45&gt;高値!Y45,高値!X45&gt;高値!Z45),19,""))</f>
        <v/>
      </c>
      <c r="AU45" s="503" t="str">
        <f>IF(終値!A45="","",IF(AND(高値!Y45&gt;高値!X45,高値!Y45&gt;高値!W45,高値!Y45&gt;高値!Z45,高値!Y45&gt;高値!AA45),20,""))</f>
        <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11</v>
      </c>
      <c r="BF45" s="503">
        <f t="shared" si="2"/>
        <v>16</v>
      </c>
      <c r="BG45" s="503">
        <f>IF($BE45="","",INDEX(安値!$E45:$CZ45,1,$BE45+1))</f>
        <v>3411</v>
      </c>
      <c r="BH45" s="503">
        <f>IF($BF45="","",INDEX(安値!$E45:$CZ45,1,$BF45+1))</f>
        <v>3381</v>
      </c>
      <c r="BI45" s="503">
        <f>IF($BF45="","",MAX(INDEX(高値!$E45:$CZ45,1,$BE45+1):INDEX(高値!$E45:$CZ45,1,$BF45+1)))</f>
        <v>3733</v>
      </c>
      <c r="BJ45" s="503">
        <f>IF($BF45="","",AVERAGE(INDEX(終値!$E45:$CZ45,1,$BF45+1):INDEX(終値!$E45:$CZ45,1,$BF45+20))-2*STDEVP(INDEX(終値!$E45:$CZ45,1,$BF45+1):INDEX(終値!$E45:$CZ45,1,$BF45+20)))</f>
        <v>3129.9344070098164</v>
      </c>
      <c r="BK45" s="503">
        <f>IF($BE45="","",AVERAGE(INDEX(終値!$E45:$CZ45,1,$BE45+1):INDEX(終値!$E45:$CZ45,1,$BE45+20))-2*STDEVP(INDEX(終値!$E45:$CZ45,1,$BE45+1):INDEX(終値!$E45:$CZ45,1,$BE45+20)))</f>
        <v>3091.1027280340745</v>
      </c>
      <c r="BL45" s="503">
        <f t="shared" si="3"/>
        <v>3</v>
      </c>
      <c r="BM45" s="503">
        <f t="shared" si="4"/>
        <v>6</v>
      </c>
      <c r="BN45" s="503">
        <f t="shared" si="5"/>
        <v>12</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t="str">
        <f>IF(終値!A46="","",IF(AND(安値!H46&lt;安値!G46,安値!H46&lt;安値!F46,安値!H46&lt;安値!I46,安値!H46&lt;安値!J46),3,""))</f>
        <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f>IF(終値!A46="","",IF(AND(安値!L46&lt;安値!K46,安値!L46&lt;安値!J46,安値!L46&lt;安値!M46,安値!L46&lt;安値!N46),7,""))</f>
        <v>7</v>
      </c>
      <c r="H46" s="503" t="str">
        <f>IF(終値!A46="","",IF(AND(安値!M46&lt;安値!L46,安値!M46&lt;安値!K46,安値!M46&lt;安値!N46,安値!M46&lt;安値!O46),8,""))</f>
        <v/>
      </c>
      <c r="I46" s="503" t="str">
        <f>IF(終値!A46="","",IF(AND(安値!N46&lt;安値!M46,安値!N46&lt;安値!L46,安値!N46&lt;安値!O46,安値!N46&lt;安値!P46),9,""))</f>
        <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f>IF(終値!A46="","",IF(AND(安値!T46&lt;安値!S46,安値!T46&lt;安値!R46,安値!T46&lt;安値!U46,安値!T46&lt;安値!V46),15,""))</f>
        <v>15</v>
      </c>
      <c r="P46" s="503" t="str">
        <f>IF(終値!A46="","",IF(AND(安値!U46&lt;安値!T46,安値!U46&lt;安値!S46,安値!U46&lt;安値!V46,安値!U46&lt;安値!W46),16,""))</f>
        <v/>
      </c>
      <c r="Q46" s="503" t="str">
        <f>IF(終値!A46="","",IF(AND(安値!V46&lt;安値!U46,安値!V46&lt;安値!T46,安値!V46&lt;安値!W46,安値!V46&lt;安値!X46),17,""))</f>
        <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f>IF(終値!A46="","",IF(AND(安値!Z46&lt;安値!Y46,安値!Z46&lt;安値!X46,安値!Z46&lt;安値!AA46,安値!Z46&lt;安値!AB46),21,""))</f>
        <v>21</v>
      </c>
      <c r="V46" s="503" t="str">
        <f>IF(終値!A46="","",IF(AND(安値!AA46&lt;安値!Z46,安値!AA46&lt;安値!Y46,安値!AA46&lt;安値!AB46,安値!AA46&lt;安値!AC46),22,""))</f>
        <v/>
      </c>
      <c r="W46" s="503" t="str">
        <f>IF(終値!A46="","",IF(AND(安値!AB46&lt;安値!AA46,安値!AB46&lt;安値!Z46,安値!AB46&lt;安値!AC46,安値!AB46&lt;安値!AD46),23,""))</f>
        <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f>IF(終値!A46="","",IF(AND(高値!I46&gt;高値!H46,高値!I46&gt;高値!G46,高値!I46&gt;高値!J46,高値!I46&gt;高値!K46),4,""))</f>
        <v>4</v>
      </c>
      <c r="AF46" s="503" t="str">
        <f>IF(終値!A46="","",IF(AND(高値!J46&gt;高値!I46,高値!J46&gt;高値!H46,高値!J46&gt;高値!K46,高値!J46&gt;高値!L46),5,""))</f>
        <v/>
      </c>
      <c r="AG46" s="503" t="str">
        <f>IF(終値!A46="","",IF(AND(高値!K46&gt;高値!J46,高値!K46&gt;高値!I46,高値!K46&gt;高値!L46,高値!K46&gt;高値!M46),6,""))</f>
        <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f>IF(終値!A46="","",IF(AND(高値!X46&gt;高値!W46,高値!X46&gt;高値!V46,高値!X46&gt;高値!Y46,高値!X46&gt;高値!Z46),19,""))</f>
        <v>19</v>
      </c>
      <c r="AU46" s="503" t="str">
        <f>IF(終値!A46="","",IF(AND(高値!Y46&gt;高値!X46,高値!Y46&gt;高値!W46,高値!Y46&gt;高値!Z46,高値!Y46&gt;高値!AA46),20,""))</f>
        <v/>
      </c>
      <c r="AV46" s="503" t="str">
        <f>IF(終値!A46="","",IF(AND(高値!Z46&gt;高値!Y46,高値!Z46&gt;高値!X46,高値!Z46&gt;高値!AA46,高値!Z46&gt;高値!AB46),21,""))</f>
        <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3</v>
      </c>
      <c r="BE46" s="503">
        <f t="shared" si="1"/>
        <v>7</v>
      </c>
      <c r="BF46" s="503">
        <f t="shared" si="2"/>
        <v>15</v>
      </c>
      <c r="BG46" s="503">
        <f>IF($BE46="","",INDEX(安値!$E46:$CZ46,1,$BE46+1))</f>
        <v>0</v>
      </c>
      <c r="BH46" s="503">
        <f>IF($BF46="","",INDEX(安値!$E46:$CZ46,1,$BF46+1))</f>
        <v>549.9</v>
      </c>
      <c r="BI46" s="503">
        <f>IF($BF46="","",MAX(INDEX(高値!$E46:$CZ46,1,$BE46+1):INDEX(高値!$E46:$CZ46,1,$BF46+1)))</f>
        <v>610.79999999999995</v>
      </c>
      <c r="BJ46" s="503">
        <f>IF($BF46="","",AVERAGE(INDEX(終値!$E46:$CZ46,1,$BF46+1):INDEX(終値!$E46:$CZ46,1,$BF46+20))-2*STDEVP(INDEX(終値!$E46:$CZ46,1,$BF46+1):INDEX(終値!$E46:$CZ46,1,$BF46+20)))</f>
        <v>532.1011642188048</v>
      </c>
      <c r="BK46" s="503">
        <f>IF($BE46="","",AVERAGE(INDEX(終値!$E46:$CZ46,1,$BE46+1):INDEX(終値!$E46:$CZ46,1,$BE46+20))-2*STDEVP(INDEX(終値!$E46:$CZ46,1,$BE46+1):INDEX(終値!$E46:$CZ46,1,$BE46+20)))</f>
        <v>518.39388687556425</v>
      </c>
      <c r="BL46" s="503">
        <f t="shared" si="3"/>
        <v>2</v>
      </c>
      <c r="BM46" s="503">
        <f t="shared" si="4"/>
        <v>4</v>
      </c>
      <c r="BN46" s="503">
        <f t="shared" si="5"/>
        <v>19</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t="str">
        <f>IF(終値!A47="","",IF(AND(安値!G47&lt;安値!F47,安値!G47&lt;安値!E47,安値!G47&lt;安値!H47,安値!G47&lt;安値!I47),2,""))</f>
        <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f>IF(終値!A47="","",IF(AND(安値!L47&lt;安値!K47,安値!L47&lt;安値!J47,安値!L47&lt;安値!M47,安値!L47&lt;安値!N47),7,""))</f>
        <v>7</v>
      </c>
      <c r="H47" s="503" t="str">
        <f>IF(終値!A47="","",IF(AND(安値!M47&lt;安値!L47,安値!M47&lt;安値!K47,安値!M47&lt;安値!N47,安値!M47&lt;安値!O47),8,""))</f>
        <v/>
      </c>
      <c r="I47" s="503" t="str">
        <f>IF(終値!A47="","",IF(AND(安値!N47&lt;安値!M47,安値!N47&lt;安値!L47,安値!N47&lt;安値!O47,安値!N47&lt;安値!P47),9,""))</f>
        <v/>
      </c>
      <c r="J47" s="503" t="str">
        <f>IF(終値!A47="","",IF(AND(安値!O47&lt;安値!N47,安値!O47&lt;安値!M47,安値!O47&lt;安値!P47,安値!O47&lt;安値!Q47),10,""))</f>
        <v/>
      </c>
      <c r="K47" s="503">
        <f>IF(終値!A47="","",IF(AND(安値!P47&lt;安値!O47,安値!P47&lt;安値!N47,安値!P47&lt;安値!Q47,安値!P47&lt;安値!R47),11,""))</f>
        <v>11</v>
      </c>
      <c r="L47" s="503" t="str">
        <f>IF(終値!A47="","",IF(AND(安値!Q47&lt;安値!P47,安値!Q47&lt;安値!O47,安値!Q47&lt;安値!R47,安値!Q47&lt;安値!S47),12,""))</f>
        <v/>
      </c>
      <c r="M47" s="503" t="str">
        <f>IF(終値!A47="","",IF(AND(安値!R47&lt;安値!Q47,安値!R47&lt;安値!P47,安値!R47&lt;安値!S47,安値!R47&lt;安値!T47),13,""))</f>
        <v/>
      </c>
      <c r="N47" s="503" t="str">
        <f>IF(終値!A47="","",IF(AND(安値!S47&lt;安値!R47,安値!S47&lt;安値!Q47,安値!S47&lt;安値!T47,安値!S47&lt;安値!U47),14,""))</f>
        <v/>
      </c>
      <c r="O47" s="503">
        <f>IF(終値!A47="","",IF(AND(安値!T47&lt;安値!S47,安値!T47&lt;安値!R47,安値!T47&lt;安値!U47,安値!T47&lt;安値!V47),15,""))</f>
        <v>15</v>
      </c>
      <c r="P47" s="503" t="str">
        <f>IF(終値!A47="","",IF(AND(安値!U47&lt;安値!T47,安値!U47&lt;安値!S47,安値!U47&lt;安値!V47,安値!U47&lt;安値!W47),16,""))</f>
        <v/>
      </c>
      <c r="Q47" s="503" t="str">
        <f>IF(終値!A47="","",IF(AND(安値!V47&lt;安値!U47,安値!V47&lt;安値!T47,安値!V47&lt;安値!W47,安値!V47&lt;安値!X47),17,""))</f>
        <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f>IF(終値!A47="","",IF(AND(安値!AA47&lt;安値!Z47,安値!AA47&lt;安値!Y47,安値!AA47&lt;安値!AB47,安値!AA47&lt;安値!AC47),22,""))</f>
        <v>22</v>
      </c>
      <c r="W47" s="503" t="str">
        <f>IF(終値!A47="","",IF(AND(安値!AB47&lt;安値!AA47,安値!AB47&lt;安値!Z47,安値!AB47&lt;安値!AC47,安値!AB47&lt;安値!AD47),23,""))</f>
        <v/>
      </c>
      <c r="X47" s="503" t="str">
        <f>IF(終値!A47="","",IF(AND(安値!AC47&lt;安値!AB47,安値!AC47&lt;安値!AA47,安値!AC47&lt;安値!AD47,安値!AC47&lt;安値!AE47),24,""))</f>
        <v/>
      </c>
      <c r="Y47" s="503" t="str">
        <f>IF(終値!A47="","",IF(AND(安値!AD47&lt;安値!AC47,安値!AD47&lt;安値!AB47,安値!AD47&lt;安値!AE47,安値!AD47&lt;安値!AF47),25,""))</f>
        <v/>
      </c>
      <c r="Z47" s="503" t="str">
        <f>IF(終値!A47="","",IF(AND(安値!AE47&lt;安値!AD47,安値!AE47&lt;安値!AC47,安値!AE47&lt;安値!AF47,安値!AE47&lt;安値!AG47),26,""))</f>
        <v/>
      </c>
      <c r="AA47" s="503">
        <f>IF(終値!A47="","",IF(AND(安値!AF47&lt;安値!AE47,安値!AF47&lt;安値!AD47,安値!AF47&lt;安値!AG47,安値!AF47&lt;安値!AH47),27,""))</f>
        <v>27</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f>IF(終値!A47="","",IF(AND(高値!I47&gt;高値!H47,高値!I47&gt;高値!G47,高値!I47&gt;高値!J47,高値!I47&gt;高値!K47),4,""))</f>
        <v>4</v>
      </c>
      <c r="AF47" s="503" t="str">
        <f>IF(終値!A47="","",IF(AND(高値!J47&gt;高値!I47,高値!J47&gt;高値!H47,高値!J47&gt;高値!K47,高値!J47&gt;高値!L47),5,""))</f>
        <v/>
      </c>
      <c r="AG47" s="503" t="str">
        <f>IF(終値!A47="","",IF(AND(高値!K47&gt;高値!J47,高値!K47&gt;高値!I47,高値!K47&gt;高値!L47,高値!K47&gt;高値!M47),6,""))</f>
        <v/>
      </c>
      <c r="AH47" s="503" t="str">
        <f>IF(終値!A47="","",IF(AND(高値!L47&gt;高値!K47,高値!L47&gt;高値!J47,高値!L47&gt;高値!M47,高値!L47&gt;高値!N47),7,""))</f>
        <v/>
      </c>
      <c r="AI47" s="503" t="str">
        <f>IF(終値!A47="","",IF(AND(高値!M47&gt;高値!L47,高値!M47&gt;高値!K47,高値!M47&gt;高値!N47,高値!M47&gt;高値!O47),8,""))</f>
        <v/>
      </c>
      <c r="AJ47" s="503">
        <f>IF(終値!A47="","",IF(AND(高値!N47&gt;高値!M47,高値!N47&gt;高値!L47,高値!N47&gt;高値!O47,高値!N47&gt;高値!P47),9,""))</f>
        <v>9</v>
      </c>
      <c r="AK47" s="503" t="str">
        <f>IF(終値!A47="","",IF(AND(高値!O47&gt;高値!N47,高値!O47&gt;高値!M47,高値!O47&gt;高値!P47,高値!O47&gt;高値!Q47),10,""))</f>
        <v/>
      </c>
      <c r="AL47" s="503" t="str">
        <f>IF(終値!A47="","",IF(AND(高値!P47&gt;高値!O47,高値!P47&gt;高値!N47,高値!P47&gt;高値!Q47,高値!P47&gt;高値!R47),11,""))</f>
        <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f>IF(終値!A47="","",IF(AND(高値!T47&gt;高値!S47,高値!T47&gt;高値!R47,高値!T47&gt;高値!U47,高値!T47&gt;高値!V47),15,""))</f>
        <v>15</v>
      </c>
      <c r="AQ47" s="503" t="str">
        <f>IF(終値!A47="","",IF(AND(高値!U47&gt;高値!T47,高値!U47&gt;高値!S47,高値!U47&gt;高値!V47,高値!U47&gt;高値!W47),16,""))</f>
        <v/>
      </c>
      <c r="AR47" s="503" t="str">
        <f>IF(終値!A47="","",IF(AND(高値!V47&gt;高値!U47,高値!V47&gt;高値!T47,高値!V47&gt;高値!W47,高値!V47&gt;高値!X47),17,""))</f>
        <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f>IF(終値!A47="","",IF(AND(高値!AF47&gt;高値!AE47,高値!AF47&gt;高値!AD47,高値!AF47&gt;高値!AG47,高値!AF47&gt;高値!AH47),27,""))</f>
        <v>27</v>
      </c>
      <c r="BC47" s="503" t="str">
        <f>IF(終値!A47="","",IF(AND(高値!AG47&gt;高値!AF47,高値!AG47&gt;高値!AE47,高値!AG47&gt;高値!AH47,高値!AG47&gt;高値!AI47),28,""))</f>
        <v/>
      </c>
      <c r="BD47" s="503">
        <f t="shared" si="0"/>
        <v>5</v>
      </c>
      <c r="BE47" s="503">
        <f t="shared" si="1"/>
        <v>7</v>
      </c>
      <c r="BF47" s="503">
        <f t="shared" si="2"/>
        <v>11</v>
      </c>
      <c r="BG47" s="503">
        <f>IF($BE47="","",INDEX(安値!$E47:$CZ47,1,$BE47+1))</f>
        <v>483.5</v>
      </c>
      <c r="BH47" s="503">
        <f>IF($BF47="","",INDEX(安値!$E47:$CZ47,1,$BF47+1))</f>
        <v>479.3</v>
      </c>
      <c r="BI47" s="503">
        <f>IF($BF47="","",MAX(INDEX(高値!$E47:$CZ47,1,$BE47+1):INDEX(高値!$E47:$CZ47,1,$BF47+1)))</f>
        <v>494.4</v>
      </c>
      <c r="BJ47" s="503">
        <f>IF($BF47="","",AVERAGE(INDEX(終値!$E47:$CZ47,1,$BF47+1):INDEX(終値!$E47:$CZ47,1,$BF47+20))-2*STDEVP(INDEX(終値!$E47:$CZ47,1,$BF47+1):INDEX(終値!$E47:$CZ47,1,$BF47+20)))</f>
        <v>433.31261472635288</v>
      </c>
      <c r="BK47" s="503">
        <f>IF($BE47="","",AVERAGE(INDEX(終値!$E47:$CZ47,1,$BE47+1):INDEX(終値!$E47:$CZ47,1,$BE47+20))-2*STDEVP(INDEX(終値!$E47:$CZ47,1,$BE47+1):INDEX(終値!$E47:$CZ47,1,$BE47+20)))</f>
        <v>445.04249844385436</v>
      </c>
      <c r="BL47" s="503">
        <f t="shared" si="3"/>
        <v>4</v>
      </c>
      <c r="BM47" s="503">
        <f t="shared" si="4"/>
        <v>4</v>
      </c>
      <c r="BN47" s="503">
        <f t="shared" si="5"/>
        <v>9</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t="str">
        <f>IF(終値!A48="","",IF(AND(安値!H48&lt;安値!G48,安値!H48&lt;安値!F48,安値!H48&lt;安値!I48,安値!H48&lt;安値!J48),3,""))</f>
        <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f>IF(終値!A48="","",IF(AND(安値!L48&lt;安値!K48,安値!L48&lt;安値!J48,安値!L48&lt;安値!M48,安値!L48&lt;安値!N48),7,""))</f>
        <v>7</v>
      </c>
      <c r="H48" s="503" t="str">
        <f>IF(終値!A48="","",IF(AND(安値!M48&lt;安値!L48,安値!M48&lt;安値!K48,安値!M48&lt;安値!N48,安値!M48&lt;安値!O48),8,""))</f>
        <v/>
      </c>
      <c r="I48" s="503" t="str">
        <f>IF(終値!A48="","",IF(AND(安値!N48&lt;安値!M48,安値!N48&lt;安値!L48,安値!N48&lt;安値!O48,安値!N48&lt;安値!P48),9,""))</f>
        <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f>IF(終値!A48="","",IF(AND(安値!Z48&lt;安値!Y48,安値!Z48&lt;安値!X48,安値!Z48&lt;安値!AA48,安値!Z48&lt;安値!AB48),21,""))</f>
        <v>21</v>
      </c>
      <c r="V48" s="503" t="str">
        <f>IF(終値!A48="","",IF(AND(安値!AA48&lt;安値!Z48,安値!AA48&lt;安値!Y48,安値!AA48&lt;安値!AB48,安値!AA48&lt;安値!AC48),22,""))</f>
        <v/>
      </c>
      <c r="W48" s="503" t="str">
        <f>IF(終値!A48="","",IF(AND(安値!AB48&lt;安値!AA48,安値!AB48&lt;安値!Z48,安値!AB48&lt;安値!AC48,安値!AB48&lt;安値!AD48),23,""))</f>
        <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f>IF(終値!A48="","",IF(AND(安値!AG48&lt;安値!AF48,安値!AG48&lt;安値!AE48,安値!AG48&lt;安値!AH48,安値!AG48&lt;安値!AI48),28,""))</f>
        <v>28</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f>IF(終値!A48="","",IF(AND(高値!J48&gt;高値!I48,高値!J48&gt;高値!H48,高値!J48&gt;高値!K48,高値!J48&gt;高値!L48),5,""))</f>
        <v>5</v>
      </c>
      <c r="AG48" s="503" t="str">
        <f>IF(終値!A48="","",IF(AND(高値!K48&gt;高値!J48,高値!K48&gt;高値!I48,高値!K48&gt;高値!L48,高値!K48&gt;高値!M48),6,""))</f>
        <v/>
      </c>
      <c r="AH48" s="503" t="str">
        <f>IF(終値!A48="","",IF(AND(高値!L48&gt;高値!K48,高値!L48&gt;高値!J48,高値!L48&gt;高値!M48,高値!L48&gt;高値!N48),7,""))</f>
        <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f>IF(終値!A48="","",IF(AND(高値!V48&gt;高値!U48,高値!V48&gt;高値!T48,高値!V48&gt;高値!W48,高値!V48&gt;高値!X48),17,""))</f>
        <v>17</v>
      </c>
      <c r="AS48" s="503" t="str">
        <f>IF(終値!A48="","",IF(AND(高値!W48&gt;高値!V48,高値!W48&gt;高値!U48,高値!W48&gt;高値!X48,高値!W48&gt;高値!Y48),18,""))</f>
        <v/>
      </c>
      <c r="AT48" s="503" t="str">
        <f>IF(終値!A48="","",IF(AND(高値!X48&gt;高値!W48,高値!X48&gt;高値!V48,高値!X48&gt;高値!Y48,高値!X48&gt;高値!Z48),19,""))</f>
        <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f>IF(終値!A48="","",IF(AND(高値!AC48&gt;高値!AB48,高値!AC48&gt;高値!AA48,高値!AC48&gt;高値!AD48,高値!AC48&gt;高値!AE48),24,""))</f>
        <v>24</v>
      </c>
      <c r="AZ48" s="503" t="str">
        <f>IF(終値!A48="","",IF(AND(高値!AD48&gt;高値!AC48,高値!AD48&gt;高値!AB48,高値!AD48&gt;高値!AE48,高値!AD48&gt;高値!AF48),25,""))</f>
        <v/>
      </c>
      <c r="BA48" s="503" t="str">
        <f>IF(終値!A48="","",IF(AND(高値!AE48&gt;高値!AD48,高値!AE48&gt;高値!AC48,高値!AE48&gt;高値!AF48,高値!AE48&gt;高値!AG48),26,""))</f>
        <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7</v>
      </c>
      <c r="BF48" s="503">
        <f t="shared" si="2"/>
        <v>21</v>
      </c>
      <c r="BG48" s="503">
        <f>IF($BE48="","",INDEX(安値!$E48:$CZ48,1,$BE48+1))</f>
        <v>1440</v>
      </c>
      <c r="BH48" s="503">
        <f>IF($BF48="","",INDEX(安値!$E48:$CZ48,1,$BF48+1))</f>
        <v>1396</v>
      </c>
      <c r="BI48" s="503">
        <f>IF($BF48="","",MAX(INDEX(高値!$E48:$CZ48,1,$BE48+1):INDEX(高値!$E48:$CZ48,1,$BF48+1)))</f>
        <v>1480.5</v>
      </c>
      <c r="BJ48" s="503">
        <f>IF($BF48="","",AVERAGE(INDEX(終値!$E48:$CZ48,1,$BF48+1):INDEX(終値!$E48:$CZ48,1,$BF48+20))-2*STDEVP(INDEX(終値!$E48:$CZ48,1,$BF48+1):INDEX(終値!$E48:$CZ48,1,$BF48+20)))</f>
        <v>1367.2375020552449</v>
      </c>
      <c r="BK48" s="503">
        <f>IF($BE48="","",AVERAGE(INDEX(終値!$E48:$CZ48,1,$BE48+1):INDEX(終値!$E48:$CZ48,1,$BE48+20))-2*STDEVP(INDEX(終値!$E48:$CZ48,1,$BE48+1):INDEX(終値!$E48:$CZ48,1,$BE48+20)))</f>
        <v>1386.7712908948824</v>
      </c>
      <c r="BL48" s="503">
        <f t="shared" si="3"/>
        <v>3</v>
      </c>
      <c r="BM48" s="503">
        <f t="shared" si="4"/>
        <v>5</v>
      </c>
      <c r="BN48" s="503">
        <f t="shared" si="5"/>
        <v>17</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v>
      </c>
    </row>
    <row r="49" spans="2:72">
      <c r="B49" s="503">
        <f>IF(終値!A49="","",IF(AND(安値!G49&lt;安値!F49,安値!G49&lt;安値!E49,安値!G49&lt;安値!H49,安値!G49&lt;安値!I49),2,""))</f>
        <v>2</v>
      </c>
      <c r="C49" s="503" t="str">
        <f>IF(終値!A49="","",IF(AND(安値!H49&lt;安値!G49,安値!H49&lt;安値!F49,安値!H49&lt;安値!I49,安値!H49&lt;安値!J49),3,""))</f>
        <v/>
      </c>
      <c r="D49" s="503" t="str">
        <f>IF(終値!A49="","",IF(AND(安値!I49&lt;安値!H49,安値!I49&lt;安値!G49,安値!I49&lt;安値!J49,安値!I49&lt;安値!K49),4,""))</f>
        <v/>
      </c>
      <c r="E49" s="503" t="str">
        <f>IF(終値!A49="","",IF(AND(安値!J49&lt;安値!I49,安値!J49&lt;安値!H49,安値!J49&lt;安値!K49,安値!J49&lt;安値!L49),5,""))</f>
        <v/>
      </c>
      <c r="F49" s="503" t="str">
        <f>IF(終値!A49="","",IF(AND(安値!K49&lt;安値!J49,安値!K49&lt;安値!I49,安値!K49&lt;安値!L49,安値!K49&lt;安値!M49),6,""))</f>
        <v/>
      </c>
      <c r="G49" s="503">
        <f>IF(終値!A49="","",IF(AND(安値!L49&lt;安値!K49,安値!L49&lt;安値!J49,安値!L49&lt;安値!M49,安値!L49&lt;安値!N49),7,""))</f>
        <v>7</v>
      </c>
      <c r="H49" s="503" t="str">
        <f>IF(終値!A49="","",IF(AND(安値!M49&lt;安値!L49,安値!M49&lt;安値!K49,安値!M49&lt;安値!N49,安値!M49&lt;安値!O49),8,""))</f>
        <v/>
      </c>
      <c r="I49" s="503" t="str">
        <f>IF(終値!A49="","",IF(AND(安値!N49&lt;安値!M49,安値!N49&lt;安値!L49,安値!N49&lt;安値!O49,安値!N49&lt;安値!P49),9,""))</f>
        <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f>IF(終値!A49="","",IF(AND(安値!S49&lt;安値!R49,安値!S49&lt;安値!Q49,安値!S49&lt;安値!T49,安値!S49&lt;安値!U49),14,""))</f>
        <v>14</v>
      </c>
      <c r="O49" s="503" t="str">
        <f>IF(終値!A49="","",IF(AND(安値!T49&lt;安値!S49,安値!T49&lt;安値!R49,安値!T49&lt;安値!U49,安値!T49&lt;安値!V49),15,""))</f>
        <v/>
      </c>
      <c r="P49" s="503" t="str">
        <f>IF(終値!A49="","",IF(AND(安値!U49&lt;安値!T49,安値!U49&lt;安値!S49,安値!U49&lt;安値!V49,安値!U49&lt;安値!W49),16,""))</f>
        <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f>IF(終値!A49="","",IF(AND(安値!AA49&lt;安値!Z49,安値!AA49&lt;安値!Y49,安値!AA49&lt;安値!AB49,安値!AA49&lt;安値!AC49),22,""))</f>
        <v>22</v>
      </c>
      <c r="W49" s="503" t="str">
        <f>IF(終値!A49="","",IF(AND(安値!AB49&lt;安値!AA49,安値!AB49&lt;安値!Z49,安値!AB49&lt;安値!AC49,安値!AB49&lt;安値!AD49),23,""))</f>
        <v/>
      </c>
      <c r="X49" s="503" t="str">
        <f>IF(終値!A49="","",IF(AND(安値!AC49&lt;安値!AB49,安値!AC49&lt;安値!AA49,安値!AC49&lt;安値!AD49,安値!AC49&lt;安値!AE49),24,""))</f>
        <v/>
      </c>
      <c r="Y49" s="503" t="str">
        <f>IF(終値!A49="","",IF(AND(安値!AD49&lt;安値!AC49,安値!AD49&lt;安値!AB49,安値!AD49&lt;安値!AE49,安値!AD49&lt;安値!AF49),25,""))</f>
        <v/>
      </c>
      <c r="Z49" s="503" t="str">
        <f>IF(終値!A49="","",IF(AND(安値!AE49&lt;安値!AD49,安値!AE49&lt;安値!AC49,安値!AE49&lt;安値!AF49,安値!AE49&lt;安値!AG49),26,""))</f>
        <v/>
      </c>
      <c r="AA49" s="503">
        <f>IF(終値!A49="","",IF(AND(安値!AF49&lt;安値!AE49,安値!AF49&lt;安値!AD49,安値!AF49&lt;安値!AG49,安値!AF49&lt;安値!AH49),27,""))</f>
        <v>27</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f>IF(終値!A49="","",IF(AND(高値!I49&gt;高値!H49,高値!I49&gt;高値!G49,高値!I49&gt;高値!J49,高値!I49&gt;高値!K49),4,""))</f>
        <v>4</v>
      </c>
      <c r="AF49" s="503" t="str">
        <f>IF(終値!A49="","",IF(AND(高値!J49&gt;高値!I49,高値!J49&gt;高値!H49,高値!J49&gt;高値!K49,高値!J49&gt;高値!L49),5,""))</f>
        <v/>
      </c>
      <c r="AG49" s="503" t="str">
        <f>IF(終値!A49="","",IF(AND(高値!K49&gt;高値!J49,高値!K49&gt;高値!I49,高値!K49&gt;高値!L49,高値!K49&gt;高値!M49),6,""))</f>
        <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f>IF(終値!A49="","",IF(AND(高値!O49&gt;高値!N49,高値!O49&gt;高値!M49,高値!O49&gt;高値!P49,高値!O49&gt;高値!Q49),10,""))</f>
        <v>10</v>
      </c>
      <c r="AL49" s="503" t="str">
        <f>IF(終値!A49="","",IF(AND(高値!P49&gt;高値!O49,高値!P49&gt;高値!N49,高値!P49&gt;高値!Q49,高値!P49&gt;高値!R49),11,""))</f>
        <v/>
      </c>
      <c r="AM49" s="503" t="str">
        <f>IF(終値!A49="","",IF(AND(高値!Q49&gt;高値!P49,高値!Q49&gt;高値!O49,高値!Q49&gt;高値!R49,高値!Q49&gt;高値!S49),12,""))</f>
        <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f>IF(終値!A49="","",IF(AND(高値!W49&gt;高値!V49,高値!W49&gt;高値!U49,高値!W49&gt;高値!X49,高値!W49&gt;高値!Y49),18,""))</f>
        <v>18</v>
      </c>
      <c r="AT49" s="503" t="str">
        <f>IF(終値!A49="","",IF(AND(高値!X49&gt;高値!W49,高値!X49&gt;高値!V49,高値!X49&gt;高値!Y49,高値!X49&gt;高値!Z49),19,""))</f>
        <v/>
      </c>
      <c r="AU49" s="503" t="str">
        <f>IF(終値!A49="","",IF(AND(高値!Y49&gt;高値!X49,高値!Y49&gt;高値!W49,高値!Y49&gt;高値!Z49,高値!Y49&gt;高値!AA49),20,""))</f>
        <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5</v>
      </c>
      <c r="BE49" s="503">
        <f t="shared" si="1"/>
        <v>2</v>
      </c>
      <c r="BF49" s="503">
        <f t="shared" si="2"/>
        <v>7</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4</v>
      </c>
      <c r="BN49" s="503">
        <f t="shared" si="5"/>
        <v>10</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t="str">
        <f>IF(終値!A50="","",IF(AND(安値!H50&lt;安値!G50,安値!H50&lt;安値!F50,安値!H50&lt;安値!I50,安値!H50&lt;安値!J50),3,""))</f>
        <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f>IF(終値!A50="","",IF(AND(安値!P50&lt;安値!O50,安値!P50&lt;安値!N50,安値!P50&lt;安値!Q50,安値!P50&lt;安値!R50),11,""))</f>
        <v>11</v>
      </c>
      <c r="L50" s="503" t="str">
        <f>IF(終値!A50="","",IF(AND(安値!Q50&lt;安値!P50,安値!Q50&lt;安値!O50,安値!Q50&lt;安値!R50,安値!Q50&lt;安値!S50),12,""))</f>
        <v/>
      </c>
      <c r="M50" s="503" t="str">
        <f>IF(終値!A50="","",IF(AND(安値!R50&lt;安値!Q50,安値!R50&lt;安値!P50,安値!R50&lt;安値!S50,安値!R50&lt;安値!T50),13,""))</f>
        <v/>
      </c>
      <c r="N50" s="503" t="str">
        <f>IF(終値!A50="","",IF(AND(安値!S50&lt;安値!R50,安値!S50&lt;安値!Q50,安値!S50&lt;安値!T50,安値!S50&lt;安値!U50),14,""))</f>
        <v/>
      </c>
      <c r="O50" s="503" t="str">
        <f>IF(終値!A50="","",IF(AND(安値!T50&lt;安値!S50,安値!T50&lt;安値!R50,安値!T50&lt;安値!U50,安値!T50&lt;安値!V50),15,""))</f>
        <v/>
      </c>
      <c r="P50" s="503">
        <f>IF(終値!A50="","",IF(AND(安値!U50&lt;安値!T50,安値!U50&lt;安値!S50,安値!U50&lt;安値!V50,安値!U50&lt;安値!W50),16,""))</f>
        <v>16</v>
      </c>
      <c r="Q50" s="503" t="str">
        <f>IF(終値!A50="","",IF(AND(安値!V50&lt;安値!U50,安値!V50&lt;安値!T50,安値!V50&lt;安値!W50,安値!V50&lt;安値!X50),17,""))</f>
        <v/>
      </c>
      <c r="R50" s="503" t="str">
        <f>IF(終値!A50="","",IF(AND(安値!W50&lt;安値!V50,安値!W50&lt;安値!U50,安値!W50&lt;安値!X50,安値!W50&lt;安値!Y50),18,""))</f>
        <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f>IF(終値!A50="","",IF(AND(安値!AC50&lt;安値!AB50,安値!AC50&lt;安値!AA50,安値!AC50&lt;安値!AD50,安値!AC50&lt;安値!AE50),24,""))</f>
        <v>24</v>
      </c>
      <c r="Y50" s="503" t="str">
        <f>IF(終値!A50="","",IF(AND(安値!AD50&lt;安値!AC50,安値!AD50&lt;安値!AB50,安値!AD50&lt;安値!AE50,安値!AD50&lt;安値!AF50),25,""))</f>
        <v/>
      </c>
      <c r="Z50" s="503" t="str">
        <f>IF(終値!A50="","",IF(AND(安値!AE50&lt;安値!AD50,安値!AE50&lt;安値!AC50,安値!AE50&lt;安値!AF50,安値!AE50&lt;安値!AG50),26,""))</f>
        <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f>IF(終値!A50="","",IF(AND(高値!K50&gt;高値!J50,高値!K50&gt;高値!I50,高値!K50&gt;高値!L50,高値!K50&gt;高値!M50),6,""))</f>
        <v>6</v>
      </c>
      <c r="AH50" s="503" t="str">
        <f>IF(終値!A50="","",IF(AND(高値!L50&gt;高値!K50,高値!L50&gt;高値!J50,高値!L50&gt;高値!M50,高値!L50&gt;高値!N50),7,""))</f>
        <v/>
      </c>
      <c r="AI50" s="503" t="str">
        <f>IF(終値!A50="","",IF(AND(高値!M50&gt;高値!L50,高値!M50&gt;高値!K50,高値!M50&gt;高値!N50,高値!M50&gt;高値!O50),8,""))</f>
        <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f>IF(終値!A50="","",IF(AND(高値!Q50&gt;高値!P50,高値!Q50&gt;高値!O50,高値!Q50&gt;高値!R50,高値!Q50&gt;高値!S50),12,""))</f>
        <v>12</v>
      </c>
      <c r="AN50" s="503" t="str">
        <f>IF(終値!A50="","",IF(AND(高値!R50&gt;高値!Q50,高値!R50&gt;高値!P50,高値!R50&gt;高値!S50,高値!R50&gt;高値!T50),13,""))</f>
        <v/>
      </c>
      <c r="AO50" s="503" t="str">
        <f>IF(終値!A50="","",IF(AND(高値!S50&gt;高値!R50,高値!S50&gt;高値!Q50,高値!S50&gt;高値!T50,高値!S50&gt;高値!U50),14,""))</f>
        <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f>IF(終値!A50="","",IF(AND(高値!W50&gt;高値!V50,高値!W50&gt;高値!U50,高値!W50&gt;高値!X50,高値!W50&gt;高値!Y50),18,""))</f>
        <v>18</v>
      </c>
      <c r="AT50" s="503" t="str">
        <f>IF(終値!A50="","",IF(AND(高値!X50&gt;高値!W50,高値!X50&gt;高値!V50,高値!X50&gt;高値!Y50,高値!X50&gt;高値!Z50),19,""))</f>
        <v/>
      </c>
      <c r="AU50" s="503" t="str">
        <f>IF(終値!A50="","",IF(AND(高値!Y50&gt;高値!X50,高値!Y50&gt;高値!W50,高値!Y50&gt;高値!Z50,高値!Y50&gt;高値!AA50),20,""))</f>
        <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3</v>
      </c>
      <c r="BE50" s="503">
        <f t="shared" si="1"/>
        <v>11</v>
      </c>
      <c r="BF50" s="503">
        <f t="shared" si="2"/>
        <v>16</v>
      </c>
      <c r="BG50" s="503">
        <f>IF($BE50="","",INDEX(安値!$E50:$CZ50,1,$BE50+1))</f>
        <v>6576</v>
      </c>
      <c r="BH50" s="503">
        <f>IF($BF50="","",INDEX(安値!$E50:$CZ50,1,$BF50+1))</f>
        <v>6702</v>
      </c>
      <c r="BI50" s="503">
        <f>IF($BF50="","",MAX(INDEX(高値!$E50:$CZ50,1,$BE50+1):INDEX(高値!$E50:$CZ50,1,$BF50+1)))</f>
        <v>7137</v>
      </c>
      <c r="BJ50" s="503">
        <f>IF($BF50="","",AVERAGE(INDEX(終値!$E50:$CZ50,1,$BF50+1):INDEX(終値!$E50:$CZ50,1,$BF50+20))-2*STDEVP(INDEX(終値!$E50:$CZ50,1,$BF50+1):INDEX(終値!$E50:$CZ50,1,$BF50+20)))</f>
        <v>6195.0553120874001</v>
      </c>
      <c r="BK50" s="503">
        <f>IF($BE50="","",AVERAGE(INDEX(終値!$E50:$CZ50,1,$BE50+1):INDEX(終値!$E50:$CZ50,1,$BE50+20))-2*STDEVP(INDEX(終値!$E50:$CZ50,1,$BE50+1):INDEX(終値!$E50:$CZ50,1,$BE50+20)))</f>
        <v>6175.5387614065121</v>
      </c>
      <c r="BL50" s="503">
        <f t="shared" si="3"/>
        <v>3</v>
      </c>
      <c r="BM50" s="503">
        <f t="shared" si="4"/>
        <v>6</v>
      </c>
      <c r="BN50" s="503">
        <f t="shared" si="5"/>
        <v>12</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二番天井M▼</v>
      </c>
    </row>
    <row r="51" spans="2:72">
      <c r="B51" s="503" t="str">
        <f>IF(終値!A51="","",IF(AND(安値!G51&lt;安値!F51,安値!G51&lt;安値!E51,安値!G51&lt;安値!H51,安値!G51&lt;安値!I51),2,""))</f>
        <v/>
      </c>
      <c r="C51" s="503" t="str">
        <f>IF(終値!A51="","",IF(AND(安値!H51&lt;安値!G51,安値!H51&lt;安値!F51,安値!H51&lt;安値!I51,安値!H51&lt;安値!J51),3,""))</f>
        <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f>IF(終値!A51="","",IF(AND(安値!Q51&lt;安値!P51,安値!Q51&lt;安値!O51,安値!Q51&lt;安値!R51,安値!Q51&lt;安値!S51),12,""))</f>
        <v>12</v>
      </c>
      <c r="M51" s="503" t="str">
        <f>IF(終値!A51="","",IF(AND(安値!R51&lt;安値!Q51,安値!R51&lt;安値!P51,安値!R51&lt;安値!S51,安値!R51&lt;安値!T51),13,""))</f>
        <v/>
      </c>
      <c r="N51" s="503" t="str">
        <f>IF(終値!A51="","",IF(AND(安値!S51&lt;安値!R51,安値!S51&lt;安値!Q51,安値!S51&lt;安値!T51,安値!S51&lt;安値!U51),14,""))</f>
        <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f>IF(終値!A51="","",IF(AND(安値!AA51&lt;安値!Z51,安値!AA51&lt;安値!Y51,安値!AA51&lt;安値!AB51,安値!AA51&lt;安値!AC51),22,""))</f>
        <v>22</v>
      </c>
      <c r="W51" s="503" t="str">
        <f>IF(終値!A51="","",IF(AND(安値!AB51&lt;安値!AA51,安値!AB51&lt;安値!Z51,安値!AB51&lt;安値!AC51,安値!AB51&lt;安値!AD51),23,""))</f>
        <v/>
      </c>
      <c r="X51" s="503" t="str">
        <f>IF(終値!A51="","",IF(AND(安値!AC51&lt;安値!AB51,安値!AC51&lt;安値!AA51,安値!AC51&lt;安値!AD51,安値!AC51&lt;安値!AE51),24,""))</f>
        <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f>IF(終値!A51="","",IF(AND(高値!H51&gt;高値!G51,高値!H51&gt;高値!F51,高値!H51&gt;高値!I51,高値!H51&gt;高値!J51),3,""))</f>
        <v>3</v>
      </c>
      <c r="AE51" s="503" t="str">
        <f>IF(終値!A51="","",IF(AND(高値!I51&gt;高値!H51,高値!I51&gt;高値!G51,高値!I51&gt;高値!J51,高値!I51&gt;高値!K51),4,""))</f>
        <v/>
      </c>
      <c r="AF51" s="503" t="str">
        <f>IF(終値!A51="","",IF(AND(高値!J51&gt;高値!I51,高値!J51&gt;高値!H51,高値!J51&gt;高値!K51,高値!J51&gt;高値!L51),5,""))</f>
        <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f>IF(終値!A51="","",IF(AND(高値!S51&gt;高値!R51,高値!S51&gt;高値!Q51,高値!S51&gt;高値!T51,高値!S51&gt;高値!U51),14,""))</f>
        <v>14</v>
      </c>
      <c r="AP51" s="503" t="str">
        <f>IF(終値!A51="","",IF(AND(高値!T51&gt;高値!S51,高値!T51&gt;高値!R51,高値!T51&gt;高値!U51,高値!T51&gt;高値!V51),15,""))</f>
        <v/>
      </c>
      <c r="AQ51" s="503" t="str">
        <f>IF(終値!A51="","",IF(AND(高値!U51&gt;高値!T51,高値!U51&gt;高値!S51,高値!U51&gt;高値!V51,高値!U51&gt;高値!W51),16,""))</f>
        <v/>
      </c>
      <c r="AR51" s="503">
        <f>IF(終値!A51="","",IF(AND(高値!V51&gt;高値!U51,高値!V51&gt;高値!T51,高値!V51&gt;高値!W51,高値!V51&gt;高値!X51),17,""))</f>
        <v>17</v>
      </c>
      <c r="AS51" s="503" t="str">
        <f>IF(終値!A51="","",IF(AND(高値!W51&gt;高値!V51,高値!W51&gt;高値!U51,高値!W51&gt;高値!X51,高値!W51&gt;高値!Y51),18,""))</f>
        <v/>
      </c>
      <c r="AT51" s="503" t="str">
        <f>IF(終値!A51="","",IF(AND(高値!X51&gt;高値!W51,高値!X51&gt;高値!V51,高値!X51&gt;高値!Y51,高値!X51&gt;高値!Z51),19,""))</f>
        <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f>IF(終値!A51="","",IF(AND(高値!AB51&gt;高値!AA51,高値!AB51&gt;高値!Z51,高値!AB51&gt;高値!AC51,高値!AB51&gt;高値!AD51),23,""))</f>
        <v>23</v>
      </c>
      <c r="AY51" s="503" t="str">
        <f>IF(終値!A51="","",IF(AND(高値!AC51&gt;高値!AB51,高値!AC51&gt;高値!AA51,高値!AC51&gt;高値!AD51,高値!AC51&gt;高値!AE51),24,""))</f>
        <v/>
      </c>
      <c r="AZ51" s="503" t="str">
        <f>IF(終値!A51="","",IF(AND(高値!AD51&gt;高値!AC51,高値!AD51&gt;高値!AB51,高値!AD51&gt;高値!AE51,高値!AD51&gt;高値!AF51),25,""))</f>
        <v/>
      </c>
      <c r="BA51" s="503" t="str">
        <f>IF(終値!A51="","",IF(AND(高値!AE51&gt;高値!AD51,高値!AE51&gt;高値!AC51,高値!AE51&gt;高値!AF51,高値!AE51&gt;高値!AG51),26,""))</f>
        <v/>
      </c>
      <c r="BB51" s="503" t="str">
        <f>IF(終値!A51="","",IF(AND(高値!AF51&gt;高値!AE51,高値!AF51&gt;高値!AD51,高値!AF51&gt;高値!AG51,高値!AF51&gt;高値!AH51),27,""))</f>
        <v/>
      </c>
      <c r="BC51" s="503">
        <f>IF(終値!A51="","",IF(AND(高値!AG51&gt;高値!AF51,高値!AG51&gt;高値!AE51,高値!AG51&gt;高値!AH51,高値!AG51&gt;高値!AI51),28,""))</f>
        <v>28</v>
      </c>
      <c r="BD51" s="503">
        <f t="shared" si="0"/>
        <v>2</v>
      </c>
      <c r="BE51" s="503">
        <f t="shared" si="1"/>
        <v>12</v>
      </c>
      <c r="BF51" s="503">
        <f t="shared" si="2"/>
        <v>22</v>
      </c>
      <c r="BG51" s="503">
        <f>IF($BE51="","",INDEX(安値!$E51:$CZ51,1,$BE51+1))</f>
        <v>2471</v>
      </c>
      <c r="BH51" s="503">
        <f>IF($BF51="","",INDEX(安値!$E51:$CZ51,1,$BF51+1))</f>
        <v>2255</v>
      </c>
      <c r="BI51" s="503">
        <f>IF($BF51="","",MAX(INDEX(高値!$E51:$CZ51,1,$BE51+1):INDEX(高値!$E51:$CZ51,1,$BF51+1)))</f>
        <v>2575</v>
      </c>
      <c r="BJ51" s="503">
        <f>IF($BF51="","",AVERAGE(INDEX(終値!$E51:$CZ51,1,$BF51+1):INDEX(終値!$E51:$CZ51,1,$BF51+20))-2*STDEVP(INDEX(終値!$E51:$CZ51,1,$BF51+1):INDEX(終値!$E51:$CZ51,1,$BF51+20)))</f>
        <v>2231.7724686773327</v>
      </c>
      <c r="BK51" s="503">
        <f>IF($BE51="","",AVERAGE(INDEX(終値!$E51:$CZ51,1,$BE51+1):INDEX(終値!$E51:$CZ51,1,$BE51+20))-2*STDEVP(INDEX(終値!$E51:$CZ51,1,$BE51+1):INDEX(終値!$E51:$CZ51,1,$BE51+20)))</f>
        <v>2199.8826801346222</v>
      </c>
      <c r="BL51" s="503">
        <f t="shared" si="3"/>
        <v>5</v>
      </c>
      <c r="BM51" s="503">
        <f t="shared" si="4"/>
        <v>3</v>
      </c>
      <c r="BN51" s="503">
        <f t="shared" si="5"/>
        <v>14</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f>IF(終値!A52="","",IF(AND(安値!P52&lt;安値!O52,安値!P52&lt;安値!N52,安値!P52&lt;安値!Q52,安値!P52&lt;安値!R52),11,""))</f>
        <v>11</v>
      </c>
      <c r="L52" s="503" t="str">
        <f>IF(終値!A52="","",IF(AND(安値!Q52&lt;安値!P52,安値!Q52&lt;安値!O52,安値!Q52&lt;安値!R52,安値!Q52&lt;安値!S52),12,""))</f>
        <v/>
      </c>
      <c r="M52" s="503" t="str">
        <f>IF(終値!A52="","",IF(AND(安値!R52&lt;安値!Q52,安値!R52&lt;安値!P52,安値!R52&lt;安値!S52,安値!R52&lt;安値!T52),13,""))</f>
        <v/>
      </c>
      <c r="N52" s="503">
        <f>IF(終値!A52="","",IF(AND(安値!S52&lt;安値!R52,安値!S52&lt;安値!Q52,安値!S52&lt;安値!T52,安値!S52&lt;安値!U52),14,""))</f>
        <v>14</v>
      </c>
      <c r="O52" s="503" t="str">
        <f>IF(終値!A52="","",IF(AND(安値!T52&lt;安値!S52,安値!T52&lt;安値!R52,安値!T52&lt;安値!U52,安値!T52&lt;安値!V52),15,""))</f>
        <v/>
      </c>
      <c r="P52" s="503" t="str">
        <f>IF(終値!A52="","",IF(AND(安値!U52&lt;安値!T52,安値!U52&lt;安値!S52,安値!U52&lt;安値!V52,安値!U52&lt;安値!W52),16,""))</f>
        <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f>IF(終値!A52="","",IF(AND(安値!AA52&lt;安値!Z52,安値!AA52&lt;安値!Y52,安値!AA52&lt;安値!AB52,安値!AA52&lt;安値!AC52),22,""))</f>
        <v>22</v>
      </c>
      <c r="W52" s="503" t="str">
        <f>IF(終値!A52="","",IF(AND(安値!AB52&lt;安値!AA52,安値!AB52&lt;安値!Z52,安値!AB52&lt;安値!AC52,安値!AB52&lt;安値!AD52),23,""))</f>
        <v/>
      </c>
      <c r="X52" s="503" t="str">
        <f>IF(終値!A52="","",IF(AND(安値!AC52&lt;安値!AB52,安値!AC52&lt;安値!AA52,安値!AC52&lt;安値!AD52,安値!AC52&lt;安値!AE52),24,""))</f>
        <v/>
      </c>
      <c r="Y52" s="503">
        <f>IF(終値!A52="","",IF(AND(安値!AD52&lt;安値!AC52,安値!AD52&lt;安値!AB52,安値!AD52&lt;安値!AE52,安値!AD52&lt;安値!AF52),25,""))</f>
        <v>25</v>
      </c>
      <c r="Z52" s="503" t="str">
        <f>IF(終値!A52="","",IF(AND(安値!AE52&lt;安値!AD52,安値!AE52&lt;安値!AC52,安値!AE52&lt;安値!AF52,安値!AE52&lt;安値!AG52),26,""))</f>
        <v/>
      </c>
      <c r="AA52" s="503" t="str">
        <f>IF(終値!A52="","",IF(AND(安値!AF52&lt;安値!AE52,安値!AF52&lt;安値!AD52,安値!AF52&lt;安値!AG52,安値!AF52&lt;安値!AH52),27,""))</f>
        <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f>IF(終値!A52="","",IF(AND(高値!I52&gt;高値!H52,高値!I52&gt;高値!G52,高値!I52&gt;高値!J52,高値!I52&gt;高値!K52),4,""))</f>
        <v>4</v>
      </c>
      <c r="AF52" s="503" t="str">
        <f>IF(終値!A52="","",IF(AND(高値!J52&gt;高値!I52,高値!J52&gt;高値!H52,高値!J52&gt;高値!K52,高値!J52&gt;高値!L52),5,""))</f>
        <v/>
      </c>
      <c r="AG52" s="503" t="str">
        <f>IF(終値!A52="","",IF(AND(高値!K52&gt;高値!J52,高値!K52&gt;高値!I52,高値!K52&gt;高値!L52,高値!K52&gt;高値!M52),6,""))</f>
        <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f>IF(終値!A52="","",IF(AND(高値!T52&gt;高値!S52,高値!T52&gt;高値!R52,高値!T52&gt;高値!U52,高値!T52&gt;高値!V52),15,""))</f>
        <v>15</v>
      </c>
      <c r="AQ52" s="503" t="str">
        <f>IF(終値!A52="","",IF(AND(高値!U52&gt;高値!T52,高値!U52&gt;高値!S52,高値!U52&gt;高値!V52,高値!U52&gt;高値!W52),16,""))</f>
        <v/>
      </c>
      <c r="AR52" s="503" t="str">
        <f>IF(終値!A52="","",IF(AND(高値!V52&gt;高値!U52,高値!V52&gt;高値!T52,高値!V52&gt;高値!W52,高値!V52&gt;高値!X52),17,""))</f>
        <v/>
      </c>
      <c r="AS52" s="503">
        <f>IF(終値!A52="","",IF(AND(高値!W52&gt;高値!V52,高値!W52&gt;高値!U52,高値!W52&gt;高値!X52,高値!W52&gt;高値!Y52),18,""))</f>
        <v>18</v>
      </c>
      <c r="AT52" s="503" t="str">
        <f>IF(終値!A52="","",IF(AND(高値!X52&gt;高値!W52,高値!X52&gt;高値!V52,高値!X52&gt;高値!Y52,高値!X52&gt;高値!Z52),19,""))</f>
        <v/>
      </c>
      <c r="AU52" s="503" t="str">
        <f>IF(終値!A52="","",IF(AND(高値!Y52&gt;高値!X52,高値!Y52&gt;高値!W52,高値!Y52&gt;高値!Z52,高値!Y52&gt;高値!AA52),20,""))</f>
        <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f>IF(終値!A52="","",IF(AND(高値!AG52&gt;高値!AF52,高値!AG52&gt;高値!AE52,高値!AG52&gt;高値!AH52,高値!AG52&gt;高値!AI52),28,""))</f>
        <v>28</v>
      </c>
      <c r="BD52" s="503">
        <f t="shared" si="0"/>
        <v>4</v>
      </c>
      <c r="BE52" s="503">
        <f t="shared" si="1"/>
        <v>11</v>
      </c>
      <c r="BF52" s="503">
        <f t="shared" si="2"/>
        <v>14</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4</v>
      </c>
      <c r="BM52" s="503">
        <f t="shared" si="4"/>
        <v>4</v>
      </c>
      <c r="BN52" s="503">
        <f t="shared" si="5"/>
        <v>15</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t="str">
        <f>IF(終値!A53="","",IF(AND(安値!G53&lt;安値!F53,安値!G53&lt;安値!E53,安値!G53&lt;安値!H53,安値!G53&lt;安値!I53),2,""))</f>
        <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f>IF(終値!A53="","",IF(AND(安値!P53&lt;安値!O53,安値!P53&lt;安値!N53,安値!P53&lt;安値!Q53,安値!P53&lt;安値!R53),11,""))</f>
        <v>11</v>
      </c>
      <c r="L53" s="503" t="str">
        <f>IF(終値!A53="","",IF(AND(安値!Q53&lt;安値!P53,安値!Q53&lt;安値!O53,安値!Q53&lt;安値!R53,安値!Q53&lt;安値!S53),12,""))</f>
        <v/>
      </c>
      <c r="M53" s="503" t="str">
        <f>IF(終値!A53="","",IF(AND(安値!R53&lt;安値!Q53,安値!R53&lt;安値!P53,安値!R53&lt;安値!S53,安値!R53&lt;安値!T53),13,""))</f>
        <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t="str">
        <f>IF(終値!A53="","",IF(AND(高値!G53&gt;高値!F53,高値!G53&gt;高値!E53,高値!G53&gt;高値!H53,高値!G53&gt;高値!I53),2,""))</f>
        <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f>IF(終値!A53="","",IF(AND(高値!N53&gt;高値!M53,高値!N53&gt;高値!L53,高値!N53&gt;高値!O53,高値!N53&gt;高値!P53),9,""))</f>
        <v>9</v>
      </c>
      <c r="AK53" s="503" t="str">
        <f>IF(終値!A53="","",IF(AND(高値!O53&gt;高値!N53,高値!O53&gt;高値!M53,高値!O53&gt;高値!P53,高値!O53&gt;高値!Q53),10,""))</f>
        <v/>
      </c>
      <c r="AL53" s="503" t="str">
        <f>IF(終値!A53="","",IF(AND(高値!P53&gt;高値!O53,高値!P53&gt;高値!N53,高値!P53&gt;高値!Q53,高値!P53&gt;高値!R53),11,""))</f>
        <v/>
      </c>
      <c r="AM53" s="503">
        <f>IF(終値!A53="","",IF(AND(高値!Q53&gt;高値!P53,高値!Q53&gt;高値!O53,高値!Q53&gt;高値!R53,高値!Q53&gt;高値!S53),12,""))</f>
        <v>12</v>
      </c>
      <c r="AN53" s="503" t="str">
        <f>IF(終値!A53="","",IF(AND(高値!R53&gt;高値!Q53,高値!R53&gt;高値!P53,高値!R53&gt;高値!S53,高値!R53&gt;高値!T53),13,""))</f>
        <v/>
      </c>
      <c r="AO53" s="503" t="str">
        <f>IF(終値!A53="","",IF(AND(高値!S53&gt;高値!R53,高値!S53&gt;高値!Q53,高値!S53&gt;高値!T53,高値!S53&gt;高値!U53),14,""))</f>
        <v/>
      </c>
      <c r="AP53" s="503">
        <f>IF(終値!A53="","",IF(AND(高値!T53&gt;高値!S53,高値!T53&gt;高値!R53,高値!T53&gt;高値!U53,高値!T53&gt;高値!V53),15,""))</f>
        <v>15</v>
      </c>
      <c r="AQ53" s="503" t="str">
        <f>IF(終値!A53="","",IF(AND(高値!U53&gt;高値!T53,高値!U53&gt;高値!S53,高値!U53&gt;高値!V53,高値!U53&gt;高値!W53),16,""))</f>
        <v/>
      </c>
      <c r="AR53" s="503" t="str">
        <f>IF(終値!A53="","",IF(AND(高値!V53&gt;高値!U53,高値!V53&gt;高値!T53,高値!V53&gt;高値!W53,高値!V53&gt;高値!X53),17,""))</f>
        <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1</v>
      </c>
      <c r="BE53" s="503" t="str">
        <f t="shared" si="1"/>
        <v/>
      </c>
      <c r="BF53" s="503" t="str">
        <f t="shared" si="2"/>
        <v/>
      </c>
      <c r="BG53" s="503" t="str">
        <f>IF($BE53="","",INDEX(安値!$E53:$CZ53,1,$BE53+1))</f>
        <v/>
      </c>
      <c r="BH53" s="503" t="str">
        <f>IF($BF53="","",INDEX(安値!$E53:$CZ53,1,$BF53+1))</f>
        <v/>
      </c>
      <c r="BI53" s="503" t="str">
        <f>IF($BF53="","",MAX(INDEX(高値!$E53:$CZ53,1,$BE53+1):INDEX(高値!$E53:$CZ53,1,$BF53+1)))</f>
        <v/>
      </c>
      <c r="BJ53" s="503" t="str">
        <f>IF($BF53="","",AVERAGE(INDEX(終値!$E53:$CZ53,1,$BF53+1):INDEX(終値!$E53:$CZ53,1,$BF53+20))-2*STDEVP(INDEX(終値!$E53:$CZ53,1,$BF53+1):INDEX(終値!$E53:$CZ53,1,$BF53+20)))</f>
        <v/>
      </c>
      <c r="BK53" s="503" t="str">
        <f>IF($BE53="","",AVERAGE(INDEX(終値!$E53:$CZ53,1,$BE53+1):INDEX(終値!$E53:$CZ53,1,$BE53+20))-2*STDEVP(INDEX(終値!$E53:$CZ53,1,$BE53+1):INDEX(終値!$E53:$CZ53,1,$BE53+20)))</f>
        <v/>
      </c>
      <c r="BL53" s="503">
        <f t="shared" si="3"/>
        <v>3</v>
      </c>
      <c r="BM53" s="503">
        <f t="shared" si="4"/>
        <v>9</v>
      </c>
      <c r="BN53" s="503">
        <f t="shared" si="5"/>
        <v>12</v>
      </c>
      <c r="BO53" s="503">
        <f>IF($BM53="","",INDEX(高値!$E53:$CZ53,1,$BM53+1))</f>
        <v>6459</v>
      </c>
      <c r="BP53" s="503">
        <f>IF($BN53="","",INDEX(高値!$E53:$CZ53,1,$BN53+1))</f>
        <v>6518</v>
      </c>
      <c r="BQ53" s="503">
        <f>IF($BN53="","",MIN(INDEX(安値!$E53:$CZ53,1,$BM53+1):INDEX(安値!$E53:$CZ53,1,$BN53+1)))</f>
        <v>5997</v>
      </c>
      <c r="BR53" s="503">
        <f>IF($BN53="","",AVERAGE(INDEX(終値!$E53:$CZ53,1,$BN53+1):INDEX(終値!$E53:$CZ53,1,$BN53+20))+2*STDEVP(INDEX(終値!$E53:$CZ53,1,$BN53+1):INDEX(終値!$E53:$CZ53,1,$BN53+20)))</f>
        <v>7705.1765165013494</v>
      </c>
      <c r="BS53" s="503">
        <f>IF($BM53="","",AVERAGE(INDEX(終値!$E53:$CZ53,1,$BM53+1):INDEX(終値!$E53:$CZ53,1,$BM53+20))+2*STDEVP(INDEX(終値!$E53:$CZ53,1,$BM53+1):INDEX(終値!$E53:$CZ53,1,$BM53+20)))</f>
        <v>7388.5647284544466</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v>
      </c>
    </row>
    <row r="54" spans="2:72">
      <c r="B54" s="503" t="str">
        <f>IF(終値!A54="","",IF(AND(安値!G54&lt;安値!F54,安値!G54&lt;安値!E54,安値!G54&lt;安値!H54,安値!G54&lt;安値!I54),2,""))</f>
        <v/>
      </c>
      <c r="C54" s="503" t="str">
        <f>IF(終値!A54="","",IF(AND(安値!H54&lt;安値!G54,安値!H54&lt;安値!F54,安値!H54&lt;安値!I54,安値!H54&lt;安値!J54),3,""))</f>
        <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f>IF(終値!A54="","",IF(AND(安値!S54&lt;安値!R54,安値!S54&lt;安値!Q54,安値!S54&lt;安値!T54,安値!S54&lt;安値!U54),14,""))</f>
        <v>14</v>
      </c>
      <c r="O54" s="503" t="str">
        <f>IF(終値!A54="","",IF(AND(安値!T54&lt;安値!S54,安値!T54&lt;安値!R54,安値!T54&lt;安値!U54,安値!T54&lt;安値!V54),15,""))</f>
        <v/>
      </c>
      <c r="P54" s="503" t="str">
        <f>IF(終値!A54="","",IF(AND(安値!U54&lt;安値!T54,安値!U54&lt;安値!S54,安値!U54&lt;安値!V54,安値!U54&lt;安値!W54),16,""))</f>
        <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f>IF(終値!A54="","",IF(AND(安値!AE54&lt;安値!AD54,安値!AE54&lt;安値!AC54,安値!AE54&lt;安値!AF54,安値!AE54&lt;安値!AG54),26,""))</f>
        <v>26</v>
      </c>
      <c r="AA54" s="503" t="str">
        <f>IF(終値!A54="","",IF(AND(安値!AF54&lt;安値!AE54,安値!AF54&lt;安値!AD54,安値!AF54&lt;安値!AG54,安値!AF54&lt;安値!AH54),27,""))</f>
        <v/>
      </c>
      <c r="AB54" s="503" t="str">
        <f>IF(終値!A54="","",IF(AND(安値!AG54&lt;安値!AF54,安値!AG54&lt;安値!AE54,安値!AG54&lt;安値!AH54,安値!AG54&lt;安値!AI54),28,""))</f>
        <v/>
      </c>
      <c r="AC54" s="503" t="str">
        <f>IF(終値!A54="","",IF(AND(高値!G54&gt;高値!F54,高値!G54&gt;高値!E54,高値!G54&gt;高値!H54,高値!G54&gt;高値!I54),2,""))</f>
        <v/>
      </c>
      <c r="AD54" s="503" t="str">
        <f>IF(終値!A54="","",IF(AND(高値!H54&gt;高値!G54,高値!H54&gt;高値!F54,高値!H54&gt;高値!I54,高値!H54&gt;高値!J54),3,""))</f>
        <v/>
      </c>
      <c r="AE54" s="503">
        <f>IF(終値!A54="","",IF(AND(高値!I54&gt;高値!H54,高値!I54&gt;高値!G54,高値!I54&gt;高値!J54,高値!I54&gt;高値!K54),4,""))</f>
        <v>4</v>
      </c>
      <c r="AF54" s="503" t="str">
        <f>IF(終値!A54="","",IF(AND(高値!J54&gt;高値!I54,高値!J54&gt;高値!H54,高値!J54&gt;高値!K54,高値!J54&gt;高値!L54),5,""))</f>
        <v/>
      </c>
      <c r="AG54" s="503" t="str">
        <f>IF(終値!A54="","",IF(AND(高値!K54&gt;高値!J54,高値!K54&gt;高値!I54,高値!K54&gt;高値!L54,高値!K54&gt;高値!M54),6,""))</f>
        <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f>IF(終値!A54="","",IF(AND(高値!W54&gt;高値!V54,高値!W54&gt;高値!U54,高値!W54&gt;高値!X54,高値!W54&gt;高値!Y54),18,""))</f>
        <v>18</v>
      </c>
      <c r="AT54" s="503" t="str">
        <f>IF(終値!A54="","",IF(AND(高値!X54&gt;高値!W54,高値!X54&gt;高値!V54,高値!X54&gt;高値!Y54,高値!X54&gt;高値!Z54),19,""))</f>
        <v/>
      </c>
      <c r="AU54" s="503" t="str">
        <f>IF(終値!A54="","",IF(AND(高値!Y54&gt;高値!X54,高値!Y54&gt;高値!W54,高値!Y54&gt;高値!Z54,高値!Y54&gt;高値!AA54),20,""))</f>
        <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f>IF(終値!A54="","",IF(AND(高値!AG54&gt;高値!AF54,高値!AG54&gt;高値!AE54,高値!AG54&gt;高値!AH54,高値!AG54&gt;高値!AI54),28,""))</f>
        <v>28</v>
      </c>
      <c r="BD54" s="503">
        <f t="shared" si="0"/>
        <v>2</v>
      </c>
      <c r="BE54" s="503">
        <f t="shared" si="1"/>
        <v>14</v>
      </c>
      <c r="BF54" s="503">
        <f t="shared" si="2"/>
        <v>26</v>
      </c>
      <c r="BG54" s="503">
        <f>IF($BE54="","",INDEX(安値!$E54:$CZ54,1,$BE54+1))</f>
        <v>6468</v>
      </c>
      <c r="BH54" s="503">
        <f>IF($BF54="","",INDEX(安値!$E54:$CZ54,1,$BF54+1))</f>
        <v>6050</v>
      </c>
      <c r="BI54" s="503">
        <f>IF($BF54="","",MAX(INDEX(高値!$E54:$CZ54,1,$BE54+1):INDEX(高値!$E54:$CZ54,1,$BF54+1)))</f>
        <v>6820</v>
      </c>
      <c r="BJ54" s="503">
        <f>IF($BF54="","",AVERAGE(INDEX(終値!$E54:$CZ54,1,$BF54+1):INDEX(終値!$E54:$CZ54,1,$BF54+20))-2*STDEVP(INDEX(終値!$E54:$CZ54,1,$BF54+1):INDEX(終値!$E54:$CZ54,1,$BF54+20)))</f>
        <v>5731.2963455874215</v>
      </c>
      <c r="BK54" s="503">
        <f>IF($BE54="","",AVERAGE(INDEX(終値!$E54:$CZ54,1,$BE54+1):INDEX(終値!$E54:$CZ54,1,$BE54+20))-2*STDEVP(INDEX(終値!$E54:$CZ54,1,$BE54+1):INDEX(終値!$E54:$CZ54,1,$BE54+20)))</f>
        <v>5992.6443658446578</v>
      </c>
      <c r="BL54" s="503">
        <f t="shared" si="3"/>
        <v>3</v>
      </c>
      <c r="BM54" s="503">
        <f t="shared" si="4"/>
        <v>4</v>
      </c>
      <c r="BN54" s="503">
        <f t="shared" si="5"/>
        <v>18</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v>
      </c>
    </row>
    <row r="55" spans="2:72">
      <c r="B55" s="503" t="str">
        <f>IF(終値!A55="","",IF(AND(安値!G55&lt;安値!F55,安値!G55&lt;安値!E55,安値!G55&lt;安値!H55,安値!G55&lt;安値!I55),2,""))</f>
        <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f>IF(終値!A55="","",IF(AND(安値!L55&lt;安値!K55,安値!L55&lt;安値!J55,安値!L55&lt;安値!M55,安値!L55&lt;安値!N55),7,""))</f>
        <v>7</v>
      </c>
      <c r="H55" s="503" t="str">
        <f>IF(終値!A55="","",IF(AND(安値!M55&lt;安値!L55,安値!M55&lt;安値!K55,安値!M55&lt;安値!N55,安値!M55&lt;安値!O55),8,""))</f>
        <v/>
      </c>
      <c r="I55" s="503" t="str">
        <f>IF(終値!A55="","",IF(AND(安値!N55&lt;安値!M55,安値!N55&lt;安値!L55,安値!N55&lt;安値!O55,安値!N55&lt;安値!P55),9,""))</f>
        <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f>IF(終値!A55="","",IF(AND(安値!AA55&lt;安値!Z55,安値!AA55&lt;安値!Y55,安値!AA55&lt;安値!AB55,安値!AA55&lt;安値!AC55),22,""))</f>
        <v>22</v>
      </c>
      <c r="W55" s="503" t="str">
        <f>IF(終値!A55="","",IF(AND(安値!AB55&lt;安値!AA55,安値!AB55&lt;安値!Z55,安値!AB55&lt;安値!AC55,安値!AB55&lt;安値!AD55),23,""))</f>
        <v/>
      </c>
      <c r="X55" s="503" t="str">
        <f>IF(終値!A55="","",IF(AND(安値!AC55&lt;安値!AB55,安値!AC55&lt;安値!AA55,安値!AC55&lt;安値!AD55,安値!AC55&lt;安値!AE55),24,""))</f>
        <v/>
      </c>
      <c r="Y55" s="503" t="str">
        <f>IF(終値!A55="","",IF(AND(安値!AD55&lt;安値!AC55,安値!AD55&lt;安値!AB55,安値!AD55&lt;安値!AE55,安値!AD55&lt;安値!AF55),25,""))</f>
        <v/>
      </c>
      <c r="Z55" s="503" t="str">
        <f>IF(終値!A55="","",IF(AND(安値!AE55&lt;安値!AD55,安値!AE55&lt;安値!AC55,安値!AE55&lt;安値!AF55,安値!AE55&lt;安値!AG55),26,""))</f>
        <v/>
      </c>
      <c r="AA55" s="503">
        <f>IF(終値!A55="","",IF(AND(安値!AF55&lt;安値!AE55,安値!AF55&lt;安値!AD55,安値!AF55&lt;安値!AG55,安値!AF55&lt;安値!AH55),27,""))</f>
        <v>27</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f>IF(終値!A55="","",IF(AND(高値!I55&gt;高値!H55,高値!I55&gt;高値!G55,高値!I55&gt;高値!J55,高値!I55&gt;高値!K55),4,""))</f>
        <v>4</v>
      </c>
      <c r="AF55" s="503" t="str">
        <f>IF(終値!A55="","",IF(AND(高値!J55&gt;高値!I55,高値!J55&gt;高値!H55,高値!J55&gt;高値!K55,高値!J55&gt;高値!L55),5,""))</f>
        <v/>
      </c>
      <c r="AG55" s="503" t="str">
        <f>IF(終値!A55="","",IF(AND(高値!K55&gt;高値!J55,高値!K55&gt;高値!I55,高値!K55&gt;高値!L55,高値!K55&gt;高値!M55),6,""))</f>
        <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f>IF(終値!A55="","",IF(AND(高値!W55&gt;高値!V55,高値!W55&gt;高値!U55,高値!W55&gt;高値!X55,高値!W55&gt;高値!Y55),18,""))</f>
        <v>18</v>
      </c>
      <c r="AT55" s="503" t="str">
        <f>IF(終値!A55="","",IF(AND(高値!X55&gt;高値!W55,高値!X55&gt;高値!V55,高値!X55&gt;高値!Y55,高値!X55&gt;高値!Z55),19,""))</f>
        <v/>
      </c>
      <c r="AU55" s="503" t="str">
        <f>IF(終値!A55="","",IF(AND(高値!Y55&gt;高値!X55,高値!Y55&gt;高値!W55,高値!Y55&gt;高値!Z55,高値!Y55&gt;高値!AA55),20,""))</f>
        <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f>IF(終値!A55="","",IF(AND(高値!AD55&gt;高値!AC55,高値!AD55&gt;高値!AB55,高値!AD55&gt;高値!AE55,高値!AD55&gt;高値!AF55),25,""))</f>
        <v>25</v>
      </c>
      <c r="BA55" s="503" t="str">
        <f>IF(終値!A55="","",IF(AND(高値!AE55&gt;高値!AD55,高値!AE55&gt;高値!AC55,高値!AE55&gt;高値!AF55,高値!AE55&gt;高値!AG55),26,""))</f>
        <v/>
      </c>
      <c r="BB55" s="503" t="str">
        <f>IF(終値!A55="","",IF(AND(高値!AF55&gt;高値!AE55,高値!AF55&gt;高値!AD55,高値!AF55&gt;高値!AG55,高値!AF55&gt;高値!AH55),27,""))</f>
        <v/>
      </c>
      <c r="BC55" s="503" t="str">
        <f>IF(終値!A55="","",IF(AND(高値!AG55&gt;高値!AF55,高値!AG55&gt;高値!AE55,高値!AG55&gt;高値!AH55,高値!AG55&gt;高値!AI55),28,""))</f>
        <v/>
      </c>
      <c r="BD55" s="503">
        <f t="shared" si="0"/>
        <v>3</v>
      </c>
      <c r="BE55" s="503">
        <f t="shared" si="1"/>
        <v>7</v>
      </c>
      <c r="BF55" s="503">
        <f t="shared" si="2"/>
        <v>22</v>
      </c>
      <c r="BG55" s="503">
        <f>IF($BE55="","",INDEX(安値!$E55:$CZ55,1,$BE55+1))</f>
        <v>4021</v>
      </c>
      <c r="BH55" s="503">
        <f>IF($BF55="","",INDEX(安値!$E55:$CZ55,1,$BF55+1))</f>
        <v>4024</v>
      </c>
      <c r="BI55" s="503">
        <f>IF($BF55="","",MAX(INDEX(高値!$E55:$CZ55,1,$BE55+1):INDEX(高値!$E55:$CZ55,1,$BF55+1)))</f>
        <v>4175</v>
      </c>
      <c r="BJ55" s="503">
        <f>IF($BF55="","",AVERAGE(INDEX(終値!$E55:$CZ55,1,$BF55+1):INDEX(終値!$E55:$CZ55,1,$BF55+20))-2*STDEVP(INDEX(終値!$E55:$CZ55,1,$BF55+1):INDEX(終値!$E55:$CZ55,1,$BF55+20)))</f>
        <v>3746.9891221448993</v>
      </c>
      <c r="BK55" s="503">
        <f>IF($BE55="","",AVERAGE(INDEX(終値!$E55:$CZ55,1,$BE55+1):INDEX(終値!$E55:$CZ55,1,$BE55+20))-2*STDEVP(INDEX(終値!$E55:$CZ55,1,$BE55+1):INDEX(終値!$E55:$CZ55,1,$BE55+20)))</f>
        <v>3988.9192562349472</v>
      </c>
      <c r="BL55" s="503">
        <f t="shared" si="3"/>
        <v>3</v>
      </c>
      <c r="BM55" s="503">
        <f t="shared" si="4"/>
        <v>4</v>
      </c>
      <c r="BN55" s="503">
        <f t="shared" si="5"/>
        <v>18</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二番天井M形成</v>
      </c>
    </row>
    <row r="56" spans="2:72">
      <c r="B56" s="503" t="str">
        <f>IF(終値!A56="","",IF(AND(安値!G56&lt;安値!F56,安値!G56&lt;安値!E56,安値!G56&lt;安値!H56,安値!G56&lt;安値!I56),2,""))</f>
        <v/>
      </c>
      <c r="C56" s="503" t="str">
        <f>IF(終値!A56="","",IF(AND(安値!H56&lt;安値!G56,安値!H56&lt;安値!F56,安値!H56&lt;安値!I56,安値!H56&lt;安値!J56),3,""))</f>
        <v/>
      </c>
      <c r="D56" s="503">
        <f>IF(終値!A56="","",IF(AND(安値!I56&lt;安値!H56,安値!I56&lt;安値!G56,安値!I56&lt;安値!J56,安値!I56&lt;安値!K56),4,""))</f>
        <v>4</v>
      </c>
      <c r="E56" s="503" t="str">
        <f>IF(終値!A56="","",IF(AND(安値!J56&lt;安値!I56,安値!J56&lt;安値!H56,安値!J56&lt;安値!K56,安値!J56&lt;安値!L56),5,""))</f>
        <v/>
      </c>
      <c r="F56" s="503" t="str">
        <f>IF(終値!A56="","",IF(AND(安値!K56&lt;安値!J56,安値!K56&lt;安値!I56,安値!K56&lt;安値!L56,安値!K56&lt;安値!M56),6,""))</f>
        <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f>IF(終値!A56="","",IF(AND(安値!P56&lt;安値!O56,安値!P56&lt;安値!N56,安値!P56&lt;安値!Q56,安値!P56&lt;安値!R56),11,""))</f>
        <v>11</v>
      </c>
      <c r="L56" s="503" t="str">
        <f>IF(終値!A56="","",IF(AND(安値!Q56&lt;安値!P56,安値!Q56&lt;安値!O56,安値!Q56&lt;安値!R56,安値!Q56&lt;安値!S56),12,""))</f>
        <v/>
      </c>
      <c r="M56" s="503" t="str">
        <f>IF(終値!A56="","",IF(AND(安値!R56&lt;安値!Q56,安値!R56&lt;安値!P56,安値!R56&lt;安値!S56,安値!R56&lt;安値!T56),13,""))</f>
        <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f>IF(終値!A56="","",IF(AND(安値!AD56&lt;安値!AC56,安値!AD56&lt;安値!AB56,安値!AD56&lt;安値!AE56,安値!AD56&lt;安値!AF56),25,""))</f>
        <v>25</v>
      </c>
      <c r="Z56" s="503" t="str">
        <f>IF(終値!A56="","",IF(AND(安値!AE56&lt;安値!AD56,安値!AE56&lt;安値!AC56,安値!AE56&lt;安値!AF56,安値!AE56&lt;安値!AG56),26,""))</f>
        <v/>
      </c>
      <c r="AA56" s="503" t="str">
        <f>IF(終値!A56="","",IF(AND(安値!AF56&lt;安値!AE56,安値!AF56&lt;安値!AD56,安値!AF56&lt;安値!AG56,安値!AF56&lt;安値!AH56),27,""))</f>
        <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f>IF(終値!A56="","",IF(AND(高値!N56&gt;高値!M56,高値!N56&gt;高値!L56,高値!N56&gt;高値!O56,高値!N56&gt;高値!P56),9,""))</f>
        <v>9</v>
      </c>
      <c r="AK56" s="503" t="str">
        <f>IF(終値!A56="","",IF(AND(高値!O56&gt;高値!N56,高値!O56&gt;高値!M56,高値!O56&gt;高値!P56,高値!O56&gt;高値!Q56),10,""))</f>
        <v/>
      </c>
      <c r="AL56" s="503" t="str">
        <f>IF(終値!A56="","",IF(AND(高値!P56&gt;高値!O56,高値!P56&gt;高値!N56,高値!P56&gt;高値!Q56,高値!P56&gt;高値!R56),11,""))</f>
        <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f>IF(終値!A56="","",IF(AND(高値!X56&gt;高値!W56,高値!X56&gt;高値!V56,高値!X56&gt;高値!Y56,高値!X56&gt;高値!Z56),19,""))</f>
        <v>19</v>
      </c>
      <c r="AU56" s="503" t="str">
        <f>IF(終値!A56="","",IF(AND(高値!Y56&gt;高値!X56,高値!Y56&gt;高値!W56,高値!Y56&gt;高値!Z56,高値!Y56&gt;高値!AA56),20,""))</f>
        <v/>
      </c>
      <c r="AV56" s="503" t="str">
        <f>IF(終値!A56="","",IF(AND(高値!Z56&gt;高値!Y56,高値!Z56&gt;高値!X56,高値!Z56&gt;高値!AA56,高値!Z56&gt;高値!AB56),21,""))</f>
        <v/>
      </c>
      <c r="AW56" s="503" t="str">
        <f>IF(終値!A56="","",IF(AND(高値!AA56&gt;高値!Z56,高値!AA56&gt;高値!Y56,高値!AA56&gt;高値!AB56,高値!AA56&gt;高値!AC56),22,""))</f>
        <v/>
      </c>
      <c r="AX56" s="503">
        <f>IF(終値!A56="","",IF(AND(高値!AB56&gt;高値!AA56,高値!AB56&gt;高値!Z56,高値!AB56&gt;高値!AC56,高値!AB56&gt;高値!AD56),23,""))</f>
        <v>23</v>
      </c>
      <c r="AY56" s="503" t="str">
        <f>IF(終値!A56="","",IF(AND(高値!AC56&gt;高値!AB56,高値!AC56&gt;高値!AA56,高値!AC56&gt;高値!AD56,高値!AC56&gt;高値!AE56),24,""))</f>
        <v/>
      </c>
      <c r="AZ56" s="503" t="str">
        <f>IF(終値!A56="","",IF(AND(高値!AD56&gt;高値!AC56,高値!AD56&gt;高値!AB56,高値!AD56&gt;高値!AE56,高値!AD56&gt;高値!AF56),25,""))</f>
        <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4</v>
      </c>
      <c r="BF56" s="503">
        <f t="shared" si="2"/>
        <v>11</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9</v>
      </c>
      <c r="BN56" s="503">
        <f t="shared" si="5"/>
        <v>19</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f>IF(終値!A57="","",IF(AND(安値!H57&lt;安値!G57,安値!H57&lt;安値!F57,安値!H57&lt;安値!I57,安値!H57&lt;安値!J57),3,""))</f>
        <v>3</v>
      </c>
      <c r="D57" s="503" t="str">
        <f>IF(終値!A57="","",IF(AND(安値!I57&lt;安値!H57,安値!I57&lt;安値!G57,安値!I57&lt;安値!J57,安値!I57&lt;安値!K57),4,""))</f>
        <v/>
      </c>
      <c r="E57" s="503" t="str">
        <f>IF(終値!A57="","",IF(AND(安値!J57&lt;安値!I57,安値!J57&lt;安値!H57,安値!J57&lt;安値!K57,安値!J57&lt;安値!L57),5,""))</f>
        <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f>IF(終値!A57="","",IF(AND(安値!P57&lt;安値!O57,安値!P57&lt;安値!N57,安値!P57&lt;安値!Q57,安値!P57&lt;安値!R57),11,""))</f>
        <v>11</v>
      </c>
      <c r="L57" s="503" t="str">
        <f>IF(終値!A57="","",IF(AND(安値!Q57&lt;安値!P57,安値!Q57&lt;安値!O57,安値!Q57&lt;安値!R57,安値!Q57&lt;安値!S57),12,""))</f>
        <v/>
      </c>
      <c r="M57" s="503" t="str">
        <f>IF(終値!A57="","",IF(AND(安値!R57&lt;安値!Q57,安値!R57&lt;安値!P57,安値!R57&lt;安値!S57,安値!R57&lt;安値!T57),13,""))</f>
        <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f>IF(終値!A57="","",IF(AND(安値!AB57&lt;安値!AA57,安値!AB57&lt;安値!Z57,安値!AB57&lt;安値!AC57,安値!AB57&lt;安値!AD57),23,""))</f>
        <v>23</v>
      </c>
      <c r="X57" s="503" t="str">
        <f>IF(終値!A57="","",IF(AND(安値!AC57&lt;安値!AB57,安値!AC57&lt;安値!AA57,安値!AC57&lt;安値!AD57,安値!AC57&lt;安値!AE57),24,""))</f>
        <v/>
      </c>
      <c r="Y57" s="503" t="str">
        <f>IF(終値!A57="","",IF(AND(安値!AD57&lt;安値!AC57,安値!AD57&lt;安値!AB57,安値!AD57&lt;安値!AE57,安値!AD57&lt;安値!AF57),25,""))</f>
        <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f>IF(終値!A57="","",IF(AND(高値!G57&gt;高値!F57,高値!G57&gt;高値!E57,高値!G57&gt;高値!H57,高値!G57&gt;高値!I57),2,""))</f>
        <v>2</v>
      </c>
      <c r="AD57" s="503" t="str">
        <f>IF(終値!A57="","",IF(AND(高値!H57&gt;高値!G57,高値!H57&gt;高値!F57,高値!H57&gt;高値!I57,高値!H57&gt;高値!J57),3,""))</f>
        <v/>
      </c>
      <c r="AE57" s="503" t="str">
        <f>IF(終値!A57="","",IF(AND(高値!I57&gt;高値!H57,高値!I57&gt;高値!G57,高値!I57&gt;高値!J57,高値!I57&gt;高値!K57),4,""))</f>
        <v/>
      </c>
      <c r="AF57" s="503" t="str">
        <f>IF(終値!A57="","",IF(AND(高値!J57&gt;高値!I57,高値!J57&gt;高値!H57,高値!J57&gt;高値!K57,高値!J57&gt;高値!L57),5,""))</f>
        <v/>
      </c>
      <c r="AG57" s="503">
        <f>IF(終値!A57="","",IF(AND(高値!K57&gt;高値!J57,高値!K57&gt;高値!I57,高値!K57&gt;高値!L57,高値!K57&gt;高値!M57),6,""))</f>
        <v>6</v>
      </c>
      <c r="AH57" s="503" t="str">
        <f>IF(終値!A57="","",IF(AND(高値!L57&gt;高値!K57,高値!L57&gt;高値!J57,高値!L57&gt;高値!M57,高値!L57&gt;高値!N57),7,""))</f>
        <v/>
      </c>
      <c r="AI57" s="503" t="str">
        <f>IF(終値!A57="","",IF(AND(高値!M57&gt;高値!L57,高値!M57&gt;高値!K57,高値!M57&gt;高値!N57,高値!M57&gt;高値!O57),8,""))</f>
        <v/>
      </c>
      <c r="AJ57" s="503">
        <f>IF(終値!A57="","",IF(AND(高値!N57&gt;高値!M57,高値!N57&gt;高値!L57,高値!N57&gt;高値!O57,高値!N57&gt;高値!P57),9,""))</f>
        <v>9</v>
      </c>
      <c r="AK57" s="503" t="str">
        <f>IF(終値!A57="","",IF(AND(高値!O57&gt;高値!N57,高値!O57&gt;高値!M57,高値!O57&gt;高値!P57,高値!O57&gt;高値!Q57),10,""))</f>
        <v/>
      </c>
      <c r="AL57" s="503" t="str">
        <f>IF(終値!A57="","",IF(AND(高値!P57&gt;高値!O57,高値!P57&gt;高値!N57,高値!P57&gt;高値!Q57,高値!P57&gt;高値!R57),11,""))</f>
        <v/>
      </c>
      <c r="AM57" s="503">
        <f>IF(終値!A57="","",IF(AND(高値!Q57&gt;高値!P57,高値!Q57&gt;高値!O57,高値!Q57&gt;高値!R57,高値!Q57&gt;高値!S57),12,""))</f>
        <v>12</v>
      </c>
      <c r="AN57" s="503" t="str">
        <f>IF(終値!A57="","",IF(AND(高値!R57&gt;高値!Q57,高値!R57&gt;高値!P57,高値!R57&gt;高値!S57,高値!R57&gt;高値!T57),13,""))</f>
        <v/>
      </c>
      <c r="AO57" s="503" t="str">
        <f>IF(終値!A57="","",IF(AND(高値!S57&gt;高値!R57,高値!S57&gt;高値!Q57,高値!S57&gt;高値!T57,高値!S57&gt;高値!U57),14,""))</f>
        <v/>
      </c>
      <c r="AP57" s="503">
        <f>IF(終値!A57="","",IF(AND(高値!T57&gt;高値!S57,高値!T57&gt;高値!R57,高値!T57&gt;高値!U57,高値!T57&gt;高値!V57),15,""))</f>
        <v>15</v>
      </c>
      <c r="AQ57" s="503" t="str">
        <f>IF(終値!A57="","",IF(AND(高値!U57&gt;高値!T57,高値!U57&gt;高値!S57,高値!U57&gt;高値!V57,高値!U57&gt;高値!W57),16,""))</f>
        <v/>
      </c>
      <c r="AR57" s="503" t="str">
        <f>IF(終値!A57="","",IF(AND(高値!V57&gt;高値!U57,高値!V57&gt;高値!T57,高値!V57&gt;高値!W57,高値!V57&gt;高値!X57),17,""))</f>
        <v/>
      </c>
      <c r="AS57" s="503">
        <f>IF(終値!A57="","",IF(AND(高値!W57&gt;高値!V57,高値!W57&gt;高値!U57,高値!W57&gt;高値!X57,高値!W57&gt;高値!Y57),18,""))</f>
        <v>18</v>
      </c>
      <c r="AT57" s="503" t="str">
        <f>IF(終値!A57="","",IF(AND(高値!X57&gt;高値!W57,高値!X57&gt;高値!V57,高値!X57&gt;高値!Y57,高値!X57&gt;高値!Z57),19,""))</f>
        <v/>
      </c>
      <c r="AU57" s="503" t="str">
        <f>IF(終値!A57="","",IF(AND(高値!Y57&gt;高値!X57,高値!Y57&gt;高値!W57,高値!Y57&gt;高値!Z57,高値!Y57&gt;高値!AA57),20,""))</f>
        <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f>IF(終値!A57="","",IF(AND(高値!AD57&gt;高値!AC57,高値!AD57&gt;高値!AB57,高値!AD57&gt;高値!AE57,高値!AD57&gt;高値!AF57),25,""))</f>
        <v>25</v>
      </c>
      <c r="BA57" s="503" t="str">
        <f>IF(終値!A57="","",IF(AND(高値!AE57&gt;高値!AD57,高値!AE57&gt;高値!AC57,高値!AE57&gt;高値!AF57,高値!AE57&gt;高値!AG57),26,""))</f>
        <v/>
      </c>
      <c r="BB57" s="503" t="str">
        <f>IF(終値!A57="","",IF(AND(高値!AF57&gt;高値!AE57,高値!AF57&gt;高値!AD57,高値!AF57&gt;高値!AG57,高値!AF57&gt;高値!AH57),27,""))</f>
        <v/>
      </c>
      <c r="BC57" s="503">
        <f>IF(終値!A57="","",IF(AND(高値!AG57&gt;高値!AF57,高値!AG57&gt;高値!AE57,高値!AG57&gt;高値!AH57,高値!AG57&gt;高値!AI57),28,""))</f>
        <v>28</v>
      </c>
      <c r="BD57" s="503">
        <f t="shared" si="0"/>
        <v>3</v>
      </c>
      <c r="BE57" s="503">
        <f t="shared" si="1"/>
        <v>3</v>
      </c>
      <c r="BF57" s="503">
        <f t="shared" si="2"/>
        <v>11</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8</v>
      </c>
      <c r="BM57" s="503">
        <f t="shared" si="4"/>
        <v>2</v>
      </c>
      <c r="BN57" s="503">
        <f t="shared" si="5"/>
        <v>6</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二番天井M形成</v>
      </c>
    </row>
    <row r="58" spans="2:72">
      <c r="B58" s="503" t="str">
        <f>IF(終値!A58="","",IF(AND(安値!G58&lt;安値!F58,安値!G58&lt;安値!E58,安値!G58&lt;安値!H58,安値!G58&lt;安値!I58),2,""))</f>
        <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f>IF(終値!A58="","",IF(AND(安値!L58&lt;安値!K58,安値!L58&lt;安値!J58,安値!L58&lt;安値!M58,安値!L58&lt;安値!N58),7,""))</f>
        <v>7</v>
      </c>
      <c r="H58" s="503" t="str">
        <f>IF(終値!A58="","",IF(AND(安値!M58&lt;安値!L58,安値!M58&lt;安値!K58,安値!M58&lt;安値!N58,安値!M58&lt;安値!O58),8,""))</f>
        <v/>
      </c>
      <c r="I58" s="503" t="str">
        <f>IF(終値!A58="","",IF(AND(安値!N58&lt;安値!M58,安値!N58&lt;安値!L58,安値!N58&lt;安値!O58,安値!N58&lt;安値!P58),9,""))</f>
        <v/>
      </c>
      <c r="J58" s="503" t="str">
        <f>IF(終値!A58="","",IF(AND(安値!O58&lt;安値!N58,安値!O58&lt;安値!M58,安値!O58&lt;安値!P58,安値!O58&lt;安値!Q58),10,""))</f>
        <v/>
      </c>
      <c r="K58" s="503">
        <f>IF(終値!A58="","",IF(AND(安値!P58&lt;安値!O58,安値!P58&lt;安値!N58,安値!P58&lt;安値!Q58,安値!P58&lt;安値!R58),11,""))</f>
        <v>11</v>
      </c>
      <c r="L58" s="503" t="str">
        <f>IF(終値!A58="","",IF(AND(安値!Q58&lt;安値!P58,安値!Q58&lt;安値!O58,安値!Q58&lt;安値!R58,安値!Q58&lt;安値!S58),12,""))</f>
        <v/>
      </c>
      <c r="M58" s="503" t="str">
        <f>IF(終値!A58="","",IF(AND(安値!R58&lt;安値!Q58,安値!R58&lt;安値!P58,安値!R58&lt;安値!S58,安値!R58&lt;安値!T58),13,""))</f>
        <v/>
      </c>
      <c r="N58" s="503" t="str">
        <f>IF(終値!A58="","",IF(AND(安値!S58&lt;安値!R58,安値!S58&lt;安値!Q58,安値!S58&lt;安値!T58,安値!S58&lt;安値!U58),14,""))</f>
        <v/>
      </c>
      <c r="O58" s="503" t="str">
        <f>IF(終値!A58="","",IF(AND(安値!T58&lt;安値!S58,安値!T58&lt;安値!R58,安値!T58&lt;安値!U58,安値!T58&lt;安値!V58),15,""))</f>
        <v/>
      </c>
      <c r="P58" s="503">
        <f>IF(終値!A58="","",IF(AND(安値!U58&lt;安値!T58,安値!U58&lt;安値!S58,安値!U58&lt;安値!V58,安値!U58&lt;安値!W58),16,""))</f>
        <v>16</v>
      </c>
      <c r="Q58" s="503" t="str">
        <f>IF(終値!A58="","",IF(AND(安値!V58&lt;安値!U58,安値!V58&lt;安値!T58,安値!V58&lt;安値!W58,安値!V58&lt;安値!X58),17,""))</f>
        <v/>
      </c>
      <c r="R58" s="503" t="str">
        <f>IF(終値!A58="","",IF(AND(安値!W58&lt;安値!V58,安値!W58&lt;安値!U58,安値!W58&lt;安値!X58,安値!W58&lt;安値!Y58),18,""))</f>
        <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f>IF(終値!A58="","",IF(AND(安値!AC58&lt;安値!AB58,安値!AC58&lt;安値!AA58,安値!AC58&lt;安値!AD58,安値!AC58&lt;安値!AE58),24,""))</f>
        <v>24</v>
      </c>
      <c r="Y58" s="503" t="str">
        <f>IF(終値!A58="","",IF(AND(安値!AD58&lt;安値!AC58,安値!AD58&lt;安値!AB58,安値!AD58&lt;安値!AE58,安値!AD58&lt;安値!AF58),25,""))</f>
        <v/>
      </c>
      <c r="Z58" s="503" t="str">
        <f>IF(終値!A58="","",IF(AND(安値!AE58&lt;安値!AD58,安値!AE58&lt;安値!AC58,安値!AE58&lt;安値!AF58,安値!AE58&lt;安値!AG58),26,""))</f>
        <v/>
      </c>
      <c r="AA58" s="503">
        <f>IF(終値!A58="","",IF(AND(安値!AF58&lt;安値!AE58,安値!AF58&lt;安値!AD58,安値!AF58&lt;安値!AG58,安値!AF58&lt;安値!AH58),27,""))</f>
        <v>27</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f>IF(終値!A58="","",IF(AND(高値!I58&gt;高値!H58,高値!I58&gt;高値!G58,高値!I58&gt;高値!J58,高値!I58&gt;高値!K58),4,""))</f>
        <v>4</v>
      </c>
      <c r="AF58" s="503" t="str">
        <f>IF(終値!A58="","",IF(AND(高値!J58&gt;高値!I58,高値!J58&gt;高値!H58,高値!J58&gt;高値!K58,高値!J58&gt;高値!L58),5,""))</f>
        <v/>
      </c>
      <c r="AG58" s="503" t="str">
        <f>IF(終値!A58="","",IF(AND(高値!K58&gt;高値!J58,高値!K58&gt;高値!I58,高値!K58&gt;高値!L58,高値!K58&gt;高値!M58),6,""))</f>
        <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f>IF(終値!A58="","",IF(AND(高値!R58&gt;高値!Q58,高値!R58&gt;高値!P58,高値!R58&gt;高値!S58,高値!R58&gt;高値!T58),13,""))</f>
        <v>13</v>
      </c>
      <c r="AO58" s="503" t="str">
        <f>IF(終値!A58="","",IF(AND(高値!S58&gt;高値!R58,高値!S58&gt;高値!Q58,高値!S58&gt;高値!T58,高値!S58&gt;高値!U58),14,""))</f>
        <v/>
      </c>
      <c r="AP58" s="503" t="str">
        <f>IF(終値!A58="","",IF(AND(高値!T58&gt;高値!S58,高値!T58&gt;高値!R58,高値!T58&gt;高値!U58,高値!T58&gt;高値!V58),15,""))</f>
        <v/>
      </c>
      <c r="AQ58" s="503" t="str">
        <f>IF(終値!A58="","",IF(AND(高値!U58&gt;高値!T58,高値!U58&gt;高値!S58,高値!U58&gt;高値!V58,高値!U58&gt;高値!W58),16,""))</f>
        <v/>
      </c>
      <c r="AR58" s="503" t="str">
        <f>IF(終値!A58="","",IF(AND(高値!V58&gt;高値!U58,高値!V58&gt;高値!T58,高値!V58&gt;高値!W58,高値!V58&gt;高値!X58),17,""))</f>
        <v/>
      </c>
      <c r="AS58" s="503">
        <f>IF(終値!A58="","",IF(AND(高値!W58&gt;高値!V58,高値!W58&gt;高値!U58,高値!W58&gt;高値!X58,高値!W58&gt;高値!Y58),18,""))</f>
        <v>18</v>
      </c>
      <c r="AT58" s="503" t="str">
        <f>IF(終値!A58="","",IF(AND(高値!X58&gt;高値!W58,高値!X58&gt;高値!V58,高値!X58&gt;高値!Y58,高値!X58&gt;高値!Z58),19,""))</f>
        <v/>
      </c>
      <c r="AU58" s="503" t="str">
        <f>IF(終値!A58="","",IF(AND(高値!Y58&gt;高値!X58,高値!Y58&gt;高値!W58,高値!Y58&gt;高値!Z58,高値!Y58&gt;高値!AA58),20,""))</f>
        <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f>IF(終値!A58="","",IF(AND(高値!AE58&gt;高値!AD58,高値!AE58&gt;高値!AC58,高値!AE58&gt;高値!AF58,高値!AE58&gt;高値!AG58),26,""))</f>
        <v>26</v>
      </c>
      <c r="BB58" s="503" t="str">
        <f>IF(終値!A58="","",IF(AND(高値!AF58&gt;高値!AE58,高値!AF58&gt;高値!AD58,高値!AF58&gt;高値!AG58,高値!AF58&gt;高値!AH58),27,""))</f>
        <v/>
      </c>
      <c r="BC58" s="503" t="str">
        <f>IF(終値!A58="","",IF(AND(高値!AG58&gt;高値!AF58,高値!AG58&gt;高値!AE58,高値!AG58&gt;高値!AH58,高値!AG58&gt;高値!AI58),28,""))</f>
        <v/>
      </c>
      <c r="BD58" s="503">
        <f t="shared" si="0"/>
        <v>5</v>
      </c>
      <c r="BE58" s="503">
        <f t="shared" si="1"/>
        <v>7</v>
      </c>
      <c r="BF58" s="503">
        <f t="shared" si="2"/>
        <v>11</v>
      </c>
      <c r="BG58" s="503">
        <f>IF($BE58="","",INDEX(安値!$E58:$CZ58,1,$BE58+1))</f>
        <v>3975</v>
      </c>
      <c r="BH58" s="503">
        <f>IF($BF58="","",INDEX(安値!$E58:$CZ58,1,$BF58+1))</f>
        <v>3989</v>
      </c>
      <c r="BI58" s="503">
        <f>IF($BF58="","",MAX(INDEX(高値!$E58:$CZ58,1,$BE58+1):INDEX(高値!$E58:$CZ58,1,$BF58+1)))</f>
        <v>4148</v>
      </c>
      <c r="BJ58" s="503">
        <f>IF($BF58="","",AVERAGE(INDEX(終値!$E58:$CZ58,1,$BF58+1):INDEX(終値!$E58:$CZ58,1,$BF58+20))-2*STDEVP(INDEX(終値!$E58:$CZ58,1,$BF58+1):INDEX(終値!$E58:$CZ58,1,$BF58+20)))</f>
        <v>3771.3015833385562</v>
      </c>
      <c r="BK58" s="503">
        <f>IF($BE58="","",AVERAGE(INDEX(終値!$E58:$CZ58,1,$BE58+1):INDEX(終値!$E58:$CZ58,1,$BE58+20))-2*STDEVP(INDEX(終値!$E58:$CZ58,1,$BE58+1):INDEX(終値!$E58:$CZ58,1,$BE58+20)))</f>
        <v>3818.9752904290472</v>
      </c>
      <c r="BL58" s="503">
        <f t="shared" si="3"/>
        <v>4</v>
      </c>
      <c r="BM58" s="503">
        <f t="shared" si="4"/>
        <v>4</v>
      </c>
      <c r="BN58" s="503">
        <f t="shared" si="5"/>
        <v>13</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二番天井M▼</v>
      </c>
    </row>
    <row r="59" spans="2:72">
      <c r="B59" s="503" t="str">
        <f>IF(終値!A59="","",IF(AND(安値!G59&lt;安値!F59,安値!G59&lt;安値!E59,安値!G59&lt;安値!H59,安値!G59&lt;安値!I59),2,""))</f>
        <v/>
      </c>
      <c r="C59" s="503">
        <f>IF(終値!A59="","",IF(AND(安値!H59&lt;安値!G59,安値!H59&lt;安値!F59,安値!H59&lt;安値!I59,安値!H59&lt;安値!J59),3,""))</f>
        <v>3</v>
      </c>
      <c r="D59" s="503" t="str">
        <f>IF(終値!A59="","",IF(AND(安値!I59&lt;安値!H59,安値!I59&lt;安値!G59,安値!I59&lt;安値!J59,安値!I59&lt;安値!K59),4,""))</f>
        <v/>
      </c>
      <c r="E59" s="503" t="str">
        <f>IF(終値!A59="","",IF(AND(安値!J59&lt;安値!I59,安値!J59&lt;安値!H59,安値!J59&lt;安値!K59,安値!J59&lt;安値!L59),5,""))</f>
        <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f>IF(終値!A59="","",IF(AND(安値!O59&lt;安値!N59,安値!O59&lt;安値!M59,安値!O59&lt;安値!P59,安値!O59&lt;安値!Q59),10,""))</f>
        <v>10</v>
      </c>
      <c r="K59" s="503" t="str">
        <f>IF(終値!A59="","",IF(AND(安値!P59&lt;安値!O59,安値!P59&lt;安値!N59,安値!P59&lt;安値!Q59,安値!P59&lt;安値!R59),11,""))</f>
        <v/>
      </c>
      <c r="L59" s="503" t="str">
        <f>IF(終値!A59="","",IF(AND(安値!Q59&lt;安値!P59,安値!Q59&lt;安値!O59,安値!Q59&lt;安値!R59,安値!Q59&lt;安値!S59),12,""))</f>
        <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f>IF(終値!A59="","",IF(AND(安値!Y59&lt;安値!X59,安値!Y59&lt;安値!W59,安値!Y59&lt;安値!Z59,安値!Y59&lt;安値!AA59),20,""))</f>
        <v>20</v>
      </c>
      <c r="U59" s="503" t="str">
        <f>IF(終値!A59="","",IF(AND(安値!Z59&lt;安値!Y59,安値!Z59&lt;安値!X59,安値!Z59&lt;安値!AA59,安値!Z59&lt;安値!AB59),21,""))</f>
        <v/>
      </c>
      <c r="V59" s="503" t="str">
        <f>IF(終値!A59="","",IF(AND(安値!AA59&lt;安値!Z59,安値!AA59&lt;安値!Y59,安値!AA59&lt;安値!AB59,安値!AA59&lt;安値!AC59),22,""))</f>
        <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f>IF(終値!A59="","",IF(AND(安値!AF59&lt;安値!AE59,安値!AF59&lt;安値!AD59,安値!AF59&lt;安値!AG59,安値!AF59&lt;安値!AH59),27,""))</f>
        <v>27</v>
      </c>
      <c r="AB59" s="503" t="str">
        <f>IF(終値!A59="","",IF(AND(安値!AG59&lt;安値!AF59,安値!AG59&lt;安値!AE59,安値!AG59&lt;安値!AH59,安値!AG59&lt;安値!AI59),28,""))</f>
        <v/>
      </c>
      <c r="AC59" s="503">
        <f>IF(終値!A59="","",IF(AND(高値!G59&gt;高値!F59,高値!G59&gt;高値!E59,高値!G59&gt;高値!H59,高値!G59&gt;高値!I59),2,""))</f>
        <v>2</v>
      </c>
      <c r="AD59" s="503" t="str">
        <f>IF(終値!A59="","",IF(AND(高値!H59&gt;高値!G59,高値!H59&gt;高値!F59,高値!H59&gt;高値!I59,高値!H59&gt;高値!J59),3,""))</f>
        <v/>
      </c>
      <c r="AE59" s="503" t="str">
        <f>IF(終値!A59="","",IF(AND(高値!I59&gt;高値!H59,高値!I59&gt;高値!G59,高値!I59&gt;高値!J59,高値!I59&gt;高値!K59),4,""))</f>
        <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f>IF(終値!A59="","",IF(AND(高値!W59&gt;高値!V59,高値!W59&gt;高値!U59,高値!W59&gt;高値!X59,高値!W59&gt;高値!Y59),18,""))</f>
        <v>18</v>
      </c>
      <c r="AT59" s="503" t="str">
        <f>IF(終値!A59="","",IF(AND(高値!X59&gt;高値!W59,高値!X59&gt;高値!V59,高値!X59&gt;高値!Y59,高値!X59&gt;高値!Z59),19,""))</f>
        <v/>
      </c>
      <c r="AU59" s="503" t="str">
        <f>IF(終値!A59="","",IF(AND(高値!Y59&gt;高値!X59,高値!Y59&gt;高値!W59,高値!Y59&gt;高値!Z59,高値!Y59&gt;高値!AA59),20,""))</f>
        <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f>IF(終値!A59="","",IF(AND(高値!AG59&gt;高値!AF59,高値!AG59&gt;高値!AE59,高値!AG59&gt;高値!AH59,高値!AG59&gt;高値!AI59),28,""))</f>
        <v>28</v>
      </c>
      <c r="BD59" s="503">
        <f t="shared" si="0"/>
        <v>4</v>
      </c>
      <c r="BE59" s="503">
        <f t="shared" si="1"/>
        <v>3</v>
      </c>
      <c r="BF59" s="503">
        <f t="shared" si="2"/>
        <v>10</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3</v>
      </c>
      <c r="BM59" s="503">
        <f t="shared" si="4"/>
        <v>2</v>
      </c>
      <c r="BN59" s="503">
        <f t="shared" si="5"/>
        <v>18</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t="str">
        <f>IF(終値!A60="","",IF(AND(安値!H60&lt;安値!G60,安値!H60&lt;安値!F60,安値!H60&lt;安値!I60,安値!H60&lt;安値!J60),3,""))</f>
        <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f>IF(終値!A60="","",IF(AND(安値!L60&lt;安値!K60,安値!L60&lt;安値!J60,安値!L60&lt;安値!M60,安値!L60&lt;安値!N60),7,""))</f>
        <v>7</v>
      </c>
      <c r="H60" s="503" t="str">
        <f>IF(終値!A60="","",IF(AND(安値!M60&lt;安値!L60,安値!M60&lt;安値!K60,安値!M60&lt;安値!N60,安値!M60&lt;安値!O60),8,""))</f>
        <v/>
      </c>
      <c r="I60" s="503" t="str">
        <f>IF(終値!A60="","",IF(AND(安値!N60&lt;安値!M60,安値!N60&lt;安値!L60,安値!N60&lt;安値!O60,安値!N60&lt;安値!P60),9,""))</f>
        <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f>IF(終値!A60="","",IF(AND(安値!S60&lt;安値!R60,安値!S60&lt;安値!Q60,安値!S60&lt;安値!T60,安値!S60&lt;安値!U60),14,""))</f>
        <v>14</v>
      </c>
      <c r="O60" s="503" t="str">
        <f>IF(終値!A60="","",IF(AND(安値!T60&lt;安値!S60,安値!T60&lt;安値!R60,安値!T60&lt;安値!U60,安値!T60&lt;安値!V60),15,""))</f>
        <v/>
      </c>
      <c r="P60" s="503" t="str">
        <f>IF(終値!A60="","",IF(AND(安値!U60&lt;安値!T60,安値!U60&lt;安値!S60,安値!U60&lt;安値!V60,安値!U60&lt;安値!W60),16,""))</f>
        <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f>IF(終値!A60="","",IF(AND(安値!AA60&lt;安値!Z60,安値!AA60&lt;安値!Y60,安値!AA60&lt;安値!AB60,安値!AA60&lt;安値!AC60),22,""))</f>
        <v>22</v>
      </c>
      <c r="W60" s="503" t="str">
        <f>IF(終値!A60="","",IF(AND(安値!AB60&lt;安値!AA60,安値!AB60&lt;安値!Z60,安値!AB60&lt;安値!AC60,安値!AB60&lt;安値!AD60),23,""))</f>
        <v/>
      </c>
      <c r="X60" s="503" t="str">
        <f>IF(終値!A60="","",IF(AND(安値!AC60&lt;安値!AB60,安値!AC60&lt;安値!AA60,安値!AC60&lt;安値!AD60,安値!AC60&lt;安値!AE60),24,""))</f>
        <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f>IF(終値!A60="","",IF(AND(高値!H60&gt;高値!G60,高値!H60&gt;高値!F60,高値!H60&gt;高値!I60,高値!H60&gt;高値!J60),3,""))</f>
        <v>3</v>
      </c>
      <c r="AE60" s="503" t="str">
        <f>IF(終値!A60="","",IF(AND(高値!I60&gt;高値!H60,高値!I60&gt;高値!G60,高値!I60&gt;高値!J60,高値!I60&gt;高値!K60),4,""))</f>
        <v/>
      </c>
      <c r="AF60" s="503" t="str">
        <f>IF(終値!A60="","",IF(AND(高値!J60&gt;高値!I60,高値!J60&gt;高値!H60,高値!J60&gt;高値!K60,高値!J60&gt;高値!L60),5,""))</f>
        <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f>IF(終値!A60="","",IF(AND(高値!X60&gt;高値!W60,高値!X60&gt;高値!V60,高値!X60&gt;高値!Y60,高値!X60&gt;高値!Z60),19,""))</f>
        <v>19</v>
      </c>
      <c r="AU60" s="503" t="str">
        <f>IF(終値!A60="","",IF(AND(高値!Y60&gt;高値!X60,高値!Y60&gt;高値!W60,高値!Y60&gt;高値!Z60,高値!Y60&gt;高値!AA60),20,""))</f>
        <v/>
      </c>
      <c r="AV60" s="503" t="str">
        <f>IF(終値!A60="","",IF(AND(高値!Z60&gt;高値!Y60,高値!Z60&gt;高値!X60,高値!Z60&gt;高値!AA60,高値!Z60&gt;高値!AB60),21,""))</f>
        <v/>
      </c>
      <c r="AW60" s="503" t="str">
        <f>IF(終値!A60="","",IF(AND(高値!AA60&gt;高値!Z60,高値!AA60&gt;高値!Y60,高値!AA60&gt;高値!AB60,高値!AA60&gt;高値!AC60),22,""))</f>
        <v/>
      </c>
      <c r="AX60" s="503" t="str">
        <f>IF(終値!A60="","",IF(AND(高値!AB60&gt;高値!AA60,高値!AB60&gt;高値!Z60,高値!AB60&gt;高値!AC60,高値!AB60&gt;高値!AD60),23,""))</f>
        <v/>
      </c>
      <c r="AY60" s="503">
        <f>IF(終値!A60="","",IF(AND(高値!AC60&gt;高値!AB60,高値!AC60&gt;高値!AA60,高値!AC60&gt;高値!AD60,高値!AC60&gt;高値!AE60),24,""))</f>
        <v>24</v>
      </c>
      <c r="AZ60" s="503" t="str">
        <f>IF(終値!A60="","",IF(AND(高値!AD60&gt;高値!AC60,高値!AD60&gt;高値!AB60,高値!AD60&gt;高値!AE60,高値!AD60&gt;高値!AF60),25,""))</f>
        <v/>
      </c>
      <c r="BA60" s="503" t="str">
        <f>IF(終値!A60="","",IF(AND(高値!AE60&gt;高値!AD60,高値!AE60&gt;高値!AC60,高値!AE60&gt;高値!AF60,高値!AE60&gt;高値!AG60),26,""))</f>
        <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3</v>
      </c>
      <c r="BE60" s="503">
        <f t="shared" si="1"/>
        <v>7</v>
      </c>
      <c r="BF60" s="503">
        <f t="shared" si="2"/>
        <v>14</v>
      </c>
      <c r="BG60" s="503">
        <f>IF($BE60="","",INDEX(安値!$E60:$CZ60,1,$BE60+1))</f>
        <v>3424</v>
      </c>
      <c r="BH60" s="503">
        <f>IF($BF60="","",INDEX(安値!$E60:$CZ60,1,$BF60+1))</f>
        <v>3326</v>
      </c>
      <c r="BI60" s="503">
        <f>IF($BF60="","",MAX(INDEX(高値!$E60:$CZ60,1,$BE60+1):INDEX(高値!$E60:$CZ60,1,$BF60+1)))</f>
        <v>3512</v>
      </c>
      <c r="BJ60" s="503">
        <f>IF($BF60="","",AVERAGE(INDEX(終値!$E60:$CZ60,1,$BF60+1):INDEX(終値!$E60:$CZ60,1,$BF60+20))-2*STDEVP(INDEX(終値!$E60:$CZ60,1,$BF60+1):INDEX(終値!$E60:$CZ60,1,$BF60+20)))</f>
        <v>3282.8345456927136</v>
      </c>
      <c r="BK60" s="503">
        <f>IF($BE60="","",AVERAGE(INDEX(終値!$E60:$CZ60,1,$BE60+1):INDEX(終値!$E60:$CZ60,1,$BE60+20))-2*STDEVP(INDEX(終値!$E60:$CZ60,1,$BE60+1):INDEX(終値!$E60:$CZ60,1,$BE60+20)))</f>
        <v>3345.763889900049</v>
      </c>
      <c r="BL60" s="503">
        <f t="shared" si="3"/>
        <v>3</v>
      </c>
      <c r="BM60" s="503">
        <f t="shared" si="4"/>
        <v>3</v>
      </c>
      <c r="BN60" s="503">
        <f t="shared" si="5"/>
        <v>19</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二番天井M形成</v>
      </c>
    </row>
    <row r="61" spans="2:72">
      <c r="B61" s="503">
        <f>IF(終値!A61="","",IF(AND(安値!G61&lt;安値!F61,安値!G61&lt;安値!E61,安値!G61&lt;安値!H61,安値!G61&lt;安値!I61),2,""))</f>
        <v>2</v>
      </c>
      <c r="C61" s="503" t="str">
        <f>IF(終値!A61="","",IF(AND(安値!H61&lt;安値!G61,安値!H61&lt;安値!F61,安値!H61&lt;安値!I61,安値!H61&lt;安値!J61),3,""))</f>
        <v/>
      </c>
      <c r="D61" s="503" t="str">
        <f>IF(終値!A61="","",IF(AND(安値!I61&lt;安値!H61,安値!I61&lt;安値!G61,安値!I61&lt;安値!J61,安値!I61&lt;安値!K61),4,""))</f>
        <v/>
      </c>
      <c r="E61" s="503" t="str">
        <f>IF(終値!A61="","",IF(AND(安値!J61&lt;安値!I61,安値!J61&lt;安値!H61,安値!J61&lt;安値!K61,安値!J61&lt;安値!L61),5,""))</f>
        <v/>
      </c>
      <c r="F61" s="503" t="str">
        <f>IF(終値!A61="","",IF(AND(安値!K61&lt;安値!J61,安値!K61&lt;安値!I61,安値!K61&lt;安値!L61,安値!K61&lt;安値!M61),6,""))</f>
        <v/>
      </c>
      <c r="G61" s="503">
        <f>IF(終値!A61="","",IF(AND(安値!L61&lt;安値!K61,安値!L61&lt;安値!J61,安値!L61&lt;安値!M61,安値!L61&lt;安値!N61),7,""))</f>
        <v>7</v>
      </c>
      <c r="H61" s="503" t="str">
        <f>IF(終値!A61="","",IF(AND(安値!M61&lt;安値!L61,安値!M61&lt;安値!K61,安値!M61&lt;安値!N61,安値!M61&lt;安値!O61),8,""))</f>
        <v/>
      </c>
      <c r="I61" s="503" t="str">
        <f>IF(終値!A61="","",IF(AND(安値!N61&lt;安値!M61,安値!N61&lt;安値!L61,安値!N61&lt;安値!O61,安値!N61&lt;安値!P61),9,""))</f>
        <v/>
      </c>
      <c r="J61" s="503" t="str">
        <f>IF(終値!A61="","",IF(AND(安値!O61&lt;安値!N61,安値!O61&lt;安値!M61,安値!O61&lt;安値!P61,安値!O61&lt;安値!Q61),10,""))</f>
        <v/>
      </c>
      <c r="K61" s="503">
        <f>IF(終値!A61="","",IF(AND(安値!P61&lt;安値!O61,安値!P61&lt;安値!N61,安値!P61&lt;安値!Q61,安値!P61&lt;安値!R61),11,""))</f>
        <v>11</v>
      </c>
      <c r="L61" s="503" t="str">
        <f>IF(終値!A61="","",IF(AND(安値!Q61&lt;安値!P61,安値!Q61&lt;安値!O61,安値!Q61&lt;安値!R61,安値!Q61&lt;安値!S61),12,""))</f>
        <v/>
      </c>
      <c r="M61" s="503" t="str">
        <f>IF(終値!A61="","",IF(AND(安値!R61&lt;安値!Q61,安値!R61&lt;安値!P61,安値!R61&lt;安値!S61,安値!R61&lt;安値!T61),13,""))</f>
        <v/>
      </c>
      <c r="N61" s="503">
        <f>IF(終値!A61="","",IF(AND(安値!S61&lt;安値!R61,安値!S61&lt;安値!Q61,安値!S61&lt;安値!T61,安値!S61&lt;安値!U61),14,""))</f>
        <v>14</v>
      </c>
      <c r="O61" s="503" t="str">
        <f>IF(終値!A61="","",IF(AND(安値!T61&lt;安値!S61,安値!T61&lt;安値!R61,安値!T61&lt;安値!U61,安値!T61&lt;安値!V61),15,""))</f>
        <v/>
      </c>
      <c r="P61" s="503" t="str">
        <f>IF(終値!A61="","",IF(AND(安値!U61&lt;安値!T61,安値!U61&lt;安値!S61,安値!U61&lt;安値!V61,安値!U61&lt;安値!W61),16,""))</f>
        <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f>IF(終値!A61="","",IF(AND(安値!AC61&lt;安値!AB61,安値!AC61&lt;安値!AA61,安値!AC61&lt;安値!AD61,安値!AC61&lt;安値!AE61),24,""))</f>
        <v>24</v>
      </c>
      <c r="Y61" s="503" t="str">
        <f>IF(終値!A61="","",IF(AND(安値!AD61&lt;安値!AC61,安値!AD61&lt;安値!AB61,安値!AD61&lt;安値!AE61,安値!AD61&lt;安値!AF61),25,""))</f>
        <v/>
      </c>
      <c r="Z61" s="503" t="str">
        <f>IF(終値!A61="","",IF(AND(安値!AE61&lt;安値!AD61,安値!AE61&lt;安値!AC61,安値!AE61&lt;安値!AF61,安値!AE61&lt;安値!AG61),26,""))</f>
        <v/>
      </c>
      <c r="AA61" s="503">
        <f>IF(終値!A61="","",IF(AND(安値!AF61&lt;安値!AE61,安値!AF61&lt;安値!AD61,安値!AF61&lt;安値!AG61,安値!AF61&lt;安値!AH61),27,""))</f>
        <v>27</v>
      </c>
      <c r="AB61" s="503" t="str">
        <f>IF(終値!A61="","",IF(AND(安値!AG61&lt;安値!AF61,安値!AG61&lt;安値!AE61,安値!AG61&lt;安値!AH61,安値!AG61&lt;安値!AI61),28,""))</f>
        <v/>
      </c>
      <c r="AC61" s="503">
        <f>IF(終値!A61="","",IF(AND(高値!G61&gt;高値!F61,高値!G61&gt;高値!E61,高値!G61&gt;高値!H61,高値!G61&gt;高値!I61),2,""))</f>
        <v>2</v>
      </c>
      <c r="AD61" s="503" t="str">
        <f>IF(終値!A61="","",IF(AND(高値!H61&gt;高値!G61,高値!H61&gt;高値!F61,高値!H61&gt;高値!I61,高値!H61&gt;高値!J61),3,""))</f>
        <v/>
      </c>
      <c r="AE61" s="503" t="str">
        <f>IF(終値!A61="","",IF(AND(高値!I61&gt;高値!H61,高値!I61&gt;高値!G61,高値!I61&gt;高値!J61,高値!I61&gt;高値!K61),4,""))</f>
        <v/>
      </c>
      <c r="AF61" s="503">
        <f>IF(終値!A61="","",IF(AND(高値!J61&gt;高値!I61,高値!J61&gt;高値!H61,高値!J61&gt;高値!K61,高値!J61&gt;高値!L61),5,""))</f>
        <v>5</v>
      </c>
      <c r="AG61" s="503" t="str">
        <f>IF(終値!A61="","",IF(AND(高値!K61&gt;高値!J61,高値!K61&gt;高値!I61,高値!K61&gt;高値!L61,高値!K61&gt;高値!M61),6,""))</f>
        <v/>
      </c>
      <c r="AH61" s="503" t="str">
        <f>IF(終値!A61="","",IF(AND(高値!L61&gt;高値!K61,高値!L61&gt;高値!J61,高値!L61&gt;高値!M61,高値!L61&gt;高値!N61),7,""))</f>
        <v/>
      </c>
      <c r="AI61" s="503" t="str">
        <f>IF(終値!A61="","",IF(AND(高値!M61&gt;高値!L61,高値!M61&gt;高値!K61,高値!M61&gt;高値!N61,高値!M61&gt;高値!O61),8,""))</f>
        <v/>
      </c>
      <c r="AJ61" s="503">
        <f>IF(終値!A61="","",IF(AND(高値!N61&gt;高値!M61,高値!N61&gt;高値!L61,高値!N61&gt;高値!O61,高値!N61&gt;高値!P61),9,""))</f>
        <v>9</v>
      </c>
      <c r="AK61" s="503" t="str">
        <f>IF(終値!A61="","",IF(AND(高値!O61&gt;高値!N61,高値!O61&gt;高値!M61,高値!O61&gt;高値!P61,高値!O61&gt;高値!Q61),10,""))</f>
        <v/>
      </c>
      <c r="AL61" s="503" t="str">
        <f>IF(終値!A61="","",IF(AND(高値!P61&gt;高値!O61,高値!P61&gt;高値!N61,高値!P61&gt;高値!Q61,高値!P61&gt;高値!R61),11,""))</f>
        <v/>
      </c>
      <c r="AM61" s="503">
        <f>IF(終値!A61="","",IF(AND(高値!Q61&gt;高値!P61,高値!Q61&gt;高値!O61,高値!Q61&gt;高値!R61,高値!Q61&gt;高値!S61),12,""))</f>
        <v>12</v>
      </c>
      <c r="AN61" s="503" t="str">
        <f>IF(終値!A61="","",IF(AND(高値!R61&gt;高値!Q61,高値!R61&gt;高値!P61,高値!R61&gt;高値!S61,高値!R61&gt;高値!T61),13,""))</f>
        <v/>
      </c>
      <c r="AO61" s="503" t="str">
        <f>IF(終値!A61="","",IF(AND(高値!S61&gt;高値!R61,高値!S61&gt;高値!Q61,高値!S61&gt;高値!T61,高値!S61&gt;高値!U61),14,""))</f>
        <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f>IF(終値!A61="","",IF(AND(高値!Y61&gt;高値!X61,高値!Y61&gt;高値!W61,高値!Y61&gt;高値!Z61,高値!Y61&gt;高値!AA61),20,""))</f>
        <v>20</v>
      </c>
      <c r="AV61" s="503" t="str">
        <f>IF(終値!A61="","",IF(AND(高値!Z61&gt;高値!Y61,高値!Z61&gt;高値!X61,高値!Z61&gt;高値!AA61,高値!Z61&gt;高値!AB61),21,""))</f>
        <v/>
      </c>
      <c r="AW61" s="503" t="str">
        <f>IF(終値!A61="","",IF(AND(高値!AA61&gt;高値!Z61,高値!AA61&gt;高値!Y61,高値!AA61&gt;高値!AB61,高値!AA61&gt;高値!AC61),22,""))</f>
        <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f>IF(終値!A61="","",IF(AND(高値!AE61&gt;高値!AD61,高値!AE61&gt;高値!AC61,高値!AE61&gt;高値!AF61,高値!AE61&gt;高値!AG61),26,""))</f>
        <v>26</v>
      </c>
      <c r="BB61" s="503" t="str">
        <f>IF(終値!A61="","",IF(AND(高値!AF61&gt;高値!AE61,高値!AF61&gt;高値!AD61,高値!AF61&gt;高値!AG61,高値!AF61&gt;高値!AH61),27,""))</f>
        <v/>
      </c>
      <c r="BC61" s="503" t="str">
        <f>IF(終値!A61="","",IF(AND(高値!AG61&gt;高値!AF61,高値!AG61&gt;高値!AE61,高値!AG61&gt;高値!AH61,高値!AG61&gt;高値!AI61),28,""))</f>
        <v/>
      </c>
      <c r="BD61" s="503">
        <f t="shared" si="0"/>
        <v>6</v>
      </c>
      <c r="BE61" s="503">
        <f t="shared" si="1"/>
        <v>2</v>
      </c>
      <c r="BF61" s="503">
        <f t="shared" si="2"/>
        <v>7</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2</v>
      </c>
      <c r="BN61" s="503">
        <f t="shared" si="5"/>
        <v>5</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二番底W形成</v>
      </c>
    </row>
    <row r="62" spans="2:72">
      <c r="B62" s="503" t="str">
        <f>IF(終値!A62="","",IF(AND(安値!G62&lt;安値!F62,安値!G62&lt;安値!E62,安値!G62&lt;安値!H62,安値!G62&lt;安値!I62),2,""))</f>
        <v/>
      </c>
      <c r="C62" s="503" t="str">
        <f>IF(終値!A62="","",IF(AND(安値!H62&lt;安値!G62,安値!H62&lt;安値!F62,安値!H62&lt;安値!I62,安値!H62&lt;安値!J62),3,""))</f>
        <v/>
      </c>
      <c r="D62" s="503">
        <f>IF(終値!A62="","",IF(AND(安値!I62&lt;安値!H62,安値!I62&lt;安値!G62,安値!I62&lt;安値!J62,安値!I62&lt;安値!K62),4,""))</f>
        <v>4</v>
      </c>
      <c r="E62" s="503" t="str">
        <f>IF(終値!A62="","",IF(AND(安値!J62&lt;安値!I62,安値!J62&lt;安値!H62,安値!J62&lt;安値!K62,安値!J62&lt;安値!L62),5,""))</f>
        <v/>
      </c>
      <c r="F62" s="503" t="str">
        <f>IF(終値!A62="","",IF(AND(安値!K62&lt;安値!J62,安値!K62&lt;安値!I62,安値!K62&lt;安値!L62,安値!K62&lt;安値!M62),6,""))</f>
        <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f>IF(終値!A62="","",IF(AND(安値!P62&lt;安値!O62,安値!P62&lt;安値!N62,安値!P62&lt;安値!Q62,安値!P62&lt;安値!R62),11,""))</f>
        <v>11</v>
      </c>
      <c r="L62" s="503" t="str">
        <f>IF(終値!A62="","",IF(AND(安値!Q62&lt;安値!P62,安値!Q62&lt;安値!O62,安値!Q62&lt;安値!R62,安値!Q62&lt;安値!S62),12,""))</f>
        <v/>
      </c>
      <c r="M62" s="503" t="str">
        <f>IF(終値!A62="","",IF(AND(安値!R62&lt;安値!Q62,安値!R62&lt;安値!P62,安値!R62&lt;安値!S62,安値!R62&lt;安値!T62),13,""))</f>
        <v/>
      </c>
      <c r="N62" s="503" t="str">
        <f>IF(終値!A62="","",IF(AND(安値!S62&lt;安値!R62,安値!S62&lt;安値!Q62,安値!S62&lt;安値!T62,安値!S62&lt;安値!U62),14,""))</f>
        <v/>
      </c>
      <c r="O62" s="503" t="str">
        <f>IF(終値!A62="","",IF(AND(安値!T62&lt;安値!S62,安値!T62&lt;安値!R62,安値!T62&lt;安値!U62,安値!T62&lt;安値!V62),15,""))</f>
        <v/>
      </c>
      <c r="P62" s="503">
        <f>IF(終値!A62="","",IF(AND(安値!U62&lt;安値!T62,安値!U62&lt;安値!S62,安値!U62&lt;安値!V62,安値!U62&lt;安値!W62),16,""))</f>
        <v>16</v>
      </c>
      <c r="Q62" s="503" t="str">
        <f>IF(終値!A62="","",IF(AND(安値!V62&lt;安値!U62,安値!V62&lt;安値!T62,安値!V62&lt;安値!W62,安値!V62&lt;安値!X62),17,""))</f>
        <v/>
      </c>
      <c r="R62" s="503" t="str">
        <f>IF(終値!A62="","",IF(AND(安値!W62&lt;安値!V62,安値!W62&lt;安値!U62,安値!W62&lt;安値!X62,安値!W62&lt;安値!Y62),18,""))</f>
        <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f>IF(終値!A62="","",IF(AND(安値!AD62&lt;安値!AC62,安値!AD62&lt;安値!AB62,安値!AD62&lt;安値!AE62,安値!AD62&lt;安値!AF62),25,""))</f>
        <v>25</v>
      </c>
      <c r="Z62" s="503" t="str">
        <f>IF(終値!A62="","",IF(AND(安値!AE62&lt;安値!AD62,安値!AE62&lt;安値!AC62,安値!AE62&lt;安値!AF62,安値!AE62&lt;安値!AG62),26,""))</f>
        <v/>
      </c>
      <c r="AA62" s="503" t="str">
        <f>IF(終値!A62="","",IF(AND(安値!AF62&lt;安値!AE62,安値!AF62&lt;安値!AD62,安値!AF62&lt;安値!AG62,安値!AF62&lt;安値!AH62),27,""))</f>
        <v/>
      </c>
      <c r="AB62" s="503" t="str">
        <f>IF(終値!A62="","",IF(AND(安値!AG62&lt;安値!AF62,安値!AG62&lt;安値!AE62,安値!AG62&lt;安値!AH62,安値!AG62&lt;安値!AI62),28,""))</f>
        <v/>
      </c>
      <c r="AC62" s="503">
        <f>IF(終値!A62="","",IF(AND(高値!G62&gt;高値!F62,高値!G62&gt;高値!E62,高値!G62&gt;高値!H62,高値!G62&gt;高値!I62),2,""))</f>
        <v>2</v>
      </c>
      <c r="AD62" s="503" t="str">
        <f>IF(終値!A62="","",IF(AND(高値!H62&gt;高値!G62,高値!H62&gt;高値!F62,高値!H62&gt;高値!I62,高値!H62&gt;高値!J62),3,""))</f>
        <v/>
      </c>
      <c r="AE62" s="503" t="str">
        <f>IF(終値!A62="","",IF(AND(高値!I62&gt;高値!H62,高値!I62&gt;高値!G62,高値!I62&gt;高値!J62,高値!I62&gt;高値!K62),4,""))</f>
        <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f>IF(終値!A62="","",IF(AND(高値!M62&gt;高値!L62,高値!M62&gt;高値!K62,高値!M62&gt;高値!N62,高値!M62&gt;高値!O62),8,""))</f>
        <v>8</v>
      </c>
      <c r="AJ62" s="503" t="str">
        <f>IF(終値!A62="","",IF(AND(高値!N62&gt;高値!M62,高値!N62&gt;高値!L62,高値!N62&gt;高値!O62,高値!N62&gt;高値!P62),9,""))</f>
        <v/>
      </c>
      <c r="AK62" s="503" t="str">
        <f>IF(終値!A62="","",IF(AND(高値!O62&gt;高値!N62,高値!O62&gt;高値!M62,高値!O62&gt;高値!P62,高値!O62&gt;高値!Q62),10,""))</f>
        <v/>
      </c>
      <c r="AL62" s="503" t="str">
        <f>IF(終値!A62="","",IF(AND(高値!P62&gt;高値!O62,高値!P62&gt;高値!N62,高値!P62&gt;高値!Q62,高値!P62&gt;高値!R62),11,""))</f>
        <v/>
      </c>
      <c r="AM62" s="503">
        <f>IF(終値!A62="","",IF(AND(高値!Q62&gt;高値!P62,高値!Q62&gt;高値!O62,高値!Q62&gt;高値!R62,高値!Q62&gt;高値!S62),12,""))</f>
        <v>12</v>
      </c>
      <c r="AN62" s="503" t="str">
        <f>IF(終値!A62="","",IF(AND(高値!R62&gt;高値!Q62,高値!R62&gt;高値!P62,高値!R62&gt;高値!S62,高値!R62&gt;高値!T62),13,""))</f>
        <v/>
      </c>
      <c r="AO62" s="503" t="str">
        <f>IF(終値!A62="","",IF(AND(高値!S62&gt;高値!R62,高値!S62&gt;高値!Q62,高値!S62&gt;高値!T62,高値!S62&gt;高値!U62),14,""))</f>
        <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f>IF(終値!A62="","",IF(AND(高値!X62&gt;高値!W62,高値!X62&gt;高値!V62,高値!X62&gt;高値!Y62,高値!X62&gt;高値!Z62),19,""))</f>
        <v>19</v>
      </c>
      <c r="AU62" s="503" t="str">
        <f>IF(終値!A62="","",IF(AND(高値!Y62&gt;高値!X62,高値!Y62&gt;高値!W62,高値!Y62&gt;高値!Z62,高値!Y62&gt;高値!AA62),20,""))</f>
        <v/>
      </c>
      <c r="AV62" s="503" t="str">
        <f>IF(終値!A62="","",IF(AND(高値!Z62&gt;高値!Y62,高値!Z62&gt;高値!X62,高値!Z62&gt;高値!AA62,高値!Z62&gt;高値!AB62),21,""))</f>
        <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4</v>
      </c>
      <c r="BE62" s="503">
        <f t="shared" si="1"/>
        <v>4</v>
      </c>
      <c r="BF62" s="503">
        <f t="shared" si="2"/>
        <v>11</v>
      </c>
      <c r="BG62" s="503">
        <f>IF($BE62="","",INDEX(安値!$E62:$CZ62,1,$BE62+1))</f>
        <v>2947</v>
      </c>
      <c r="BH62" s="503">
        <f>IF($BF62="","",INDEX(安値!$E62:$CZ62,1,$BF62+1))</f>
        <v>2863</v>
      </c>
      <c r="BI62" s="503">
        <f>IF($BF62="","",MAX(INDEX(高値!$E62:$CZ62,1,$BE62+1):INDEX(高値!$E62:$CZ62,1,$BF62+1)))</f>
        <v>3160</v>
      </c>
      <c r="BJ62" s="503">
        <f>IF($BF62="","",AVERAGE(INDEX(終値!$E62:$CZ62,1,$BF62+1):INDEX(終値!$E62:$CZ62,1,$BF62+20))-2*STDEVP(INDEX(終値!$E62:$CZ62,1,$BF62+1):INDEX(終値!$E62:$CZ62,1,$BF62+20)))</f>
        <v>2816.5874939316459</v>
      </c>
      <c r="BK62" s="503">
        <f>IF($BE62="","",AVERAGE(INDEX(終値!$E62:$CZ62,1,$BE62+1):INDEX(終値!$E62:$CZ62,1,$BE62+20))-2*STDEVP(INDEX(終値!$E62:$CZ62,1,$BE62+1):INDEX(終値!$E62:$CZ62,1,$BE62+20)))</f>
        <v>2880.8494493403205</v>
      </c>
      <c r="BL62" s="503">
        <f t="shared" si="3"/>
        <v>4</v>
      </c>
      <c r="BM62" s="503">
        <f t="shared" si="4"/>
        <v>2</v>
      </c>
      <c r="BN62" s="503">
        <f t="shared" si="5"/>
        <v>8</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二番底W形成</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f>IF(終値!A63="","",IF(AND(安値!L63&lt;安値!K63,安値!L63&lt;安値!J63,安値!L63&lt;安値!M63,安値!L63&lt;安値!N63),7,""))</f>
        <v>7</v>
      </c>
      <c r="H63" s="503" t="str">
        <f>IF(終値!A63="","",IF(AND(安値!M63&lt;安値!L63,安値!M63&lt;安値!K63,安値!M63&lt;安値!N63,安値!M63&lt;安値!O63),8,""))</f>
        <v/>
      </c>
      <c r="I63" s="503" t="str">
        <f>IF(終値!A63="","",IF(AND(安値!N63&lt;安値!M63,安値!N63&lt;安値!L63,安値!N63&lt;安値!O63,安値!N63&lt;安値!P63),9,""))</f>
        <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f>IF(終値!A63="","",IF(AND(安値!S63&lt;安値!R63,安値!S63&lt;安値!Q63,安値!S63&lt;安値!T63,安値!S63&lt;安値!U63),14,""))</f>
        <v>14</v>
      </c>
      <c r="O63" s="503" t="str">
        <f>IF(終値!A63="","",IF(AND(安値!T63&lt;安値!S63,安値!T63&lt;安値!R63,安値!T63&lt;安値!U63,安値!T63&lt;安値!V63),15,""))</f>
        <v/>
      </c>
      <c r="P63" s="503" t="str">
        <f>IF(終値!A63="","",IF(AND(安値!U63&lt;安値!T63,安値!U63&lt;安値!S63,安値!U63&lt;安値!V63,安値!U63&lt;安値!W63),16,""))</f>
        <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f>IF(終値!A63="","",IF(AND(安値!AA63&lt;安値!Z63,安値!AA63&lt;安値!Y63,安値!AA63&lt;安値!AB63,安値!AA63&lt;安値!AC63),22,""))</f>
        <v>22</v>
      </c>
      <c r="W63" s="503" t="str">
        <f>IF(終値!A63="","",IF(AND(安値!AB63&lt;安値!AA63,安値!AB63&lt;安値!Z63,安値!AB63&lt;安値!AC63,安値!AB63&lt;安値!AD63),23,""))</f>
        <v/>
      </c>
      <c r="X63" s="503" t="str">
        <f>IF(終値!A63="","",IF(AND(安値!AC63&lt;安値!AB63,安値!AC63&lt;安値!AA63,安値!AC63&lt;安値!AD63,安値!AC63&lt;安値!AE63),24,""))</f>
        <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f>IF(終値!A63="","",IF(AND(安値!AG63&lt;安値!AF63,安値!AG63&lt;安値!AE63,安値!AG63&lt;安値!AH63,安値!AG63&lt;安値!AI63),28,""))</f>
        <v>28</v>
      </c>
      <c r="AC63" s="503" t="str">
        <f>IF(終値!A63="","",IF(AND(高値!G63&gt;高値!F63,高値!G63&gt;高値!E63,高値!G63&gt;高値!H63,高値!G63&gt;高値!I63),2,""))</f>
        <v/>
      </c>
      <c r="AD63" s="503" t="str">
        <f>IF(終値!A63="","",IF(AND(高値!H63&gt;高値!G63,高値!H63&gt;高値!F63,高値!H63&gt;高値!I63,高値!H63&gt;高値!J63),3,""))</f>
        <v/>
      </c>
      <c r="AE63" s="503">
        <f>IF(終値!A63="","",IF(AND(高値!I63&gt;高値!H63,高値!I63&gt;高値!G63,高値!I63&gt;高値!J63,高値!I63&gt;高値!K63),4,""))</f>
        <v>4</v>
      </c>
      <c r="AF63" s="503" t="str">
        <f>IF(終値!A63="","",IF(AND(高値!J63&gt;高値!I63,高値!J63&gt;高値!H63,高値!J63&gt;高値!K63,高値!J63&gt;高値!L63),5,""))</f>
        <v/>
      </c>
      <c r="AG63" s="503" t="str">
        <f>IF(終値!A63="","",IF(AND(高値!K63&gt;高値!J63,高値!K63&gt;高値!I63,高値!K63&gt;高値!L63,高値!K63&gt;高値!M63),6,""))</f>
        <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f>IF(終値!A63="","",IF(AND(高値!O63&gt;高値!N63,高値!O63&gt;高値!M63,高値!O63&gt;高値!P63,高値!O63&gt;高値!Q63),10,""))</f>
        <v>10</v>
      </c>
      <c r="AL63" s="503" t="str">
        <f>IF(終値!A63="","",IF(AND(高値!P63&gt;高値!O63,高値!P63&gt;高値!N63,高値!P63&gt;高値!Q63,高値!P63&gt;高値!R63),11,""))</f>
        <v/>
      </c>
      <c r="AM63" s="503" t="str">
        <f>IF(終値!A63="","",IF(AND(高値!Q63&gt;高値!P63,高値!Q63&gt;高値!O63,高値!Q63&gt;高値!R63,高値!Q63&gt;高値!S63),12,""))</f>
        <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f>IF(終値!A63="","",IF(AND(高値!W63&gt;高値!V63,高値!W63&gt;高値!U63,高値!W63&gt;高値!X63,高値!W63&gt;高値!Y63),18,""))</f>
        <v>18</v>
      </c>
      <c r="AT63" s="503" t="str">
        <f>IF(終値!A63="","",IF(AND(高値!X63&gt;高値!W63,高値!X63&gt;高値!V63,高値!X63&gt;高値!Y63,高値!X63&gt;高値!Z63),19,""))</f>
        <v/>
      </c>
      <c r="AU63" s="503" t="str">
        <f>IF(終値!A63="","",IF(AND(高値!Y63&gt;高値!X63,高値!Y63&gt;高値!W63,高値!Y63&gt;高値!Z63,高値!Y63&gt;高値!AA63),20,""))</f>
        <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f>IF(終値!A63="","",IF(AND(高値!AC63&gt;高値!AB63,高値!AC63&gt;高値!AA63,高値!AC63&gt;高値!AD63,高値!AC63&gt;高値!AE63),24,""))</f>
        <v>24</v>
      </c>
      <c r="AZ63" s="503" t="str">
        <f>IF(終値!A63="","",IF(AND(高値!AD63&gt;高値!AC63,高値!AD63&gt;高値!AB63,高値!AD63&gt;高値!AE63,高値!AD63&gt;高値!AF63),25,""))</f>
        <v/>
      </c>
      <c r="BA63" s="503" t="str">
        <f>IF(終値!A63="","",IF(AND(高値!AE63&gt;高値!AD63,高値!AE63&gt;高値!AC63,高値!AE63&gt;高値!AF63,高値!AE63&gt;高値!AG63),26,""))</f>
        <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4</v>
      </c>
      <c r="BE63" s="503">
        <f t="shared" si="1"/>
        <v>7</v>
      </c>
      <c r="BF63" s="503">
        <f t="shared" si="2"/>
        <v>14</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4</v>
      </c>
      <c r="BN63" s="503">
        <f t="shared" si="5"/>
        <v>10</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f>IF(終値!A64="","",IF(AND(安値!L64&lt;安値!K64,安値!L64&lt;安値!J64,安値!L64&lt;安値!M64,安値!L64&lt;安値!N64),7,""))</f>
        <v>7</v>
      </c>
      <c r="H64" s="503" t="str">
        <f>IF(終値!A64="","",IF(AND(安値!M64&lt;安値!L64,安値!M64&lt;安値!K64,安値!M64&lt;安値!N64,安値!M64&lt;安値!O64),8,""))</f>
        <v/>
      </c>
      <c r="I64" s="503" t="str">
        <f>IF(終値!A64="","",IF(AND(安値!N64&lt;安値!M64,安値!N64&lt;安値!L64,安値!N64&lt;安値!O64,安値!N64&lt;安値!P64),9,""))</f>
        <v/>
      </c>
      <c r="J64" s="503" t="str">
        <f>IF(終値!A64="","",IF(AND(安値!O64&lt;安値!N64,安値!O64&lt;安値!M64,安値!O64&lt;安値!P64,安値!O64&lt;安値!Q64),10,""))</f>
        <v/>
      </c>
      <c r="K64" s="503">
        <f>IF(終値!A64="","",IF(AND(安値!P64&lt;安値!O64,安値!P64&lt;安値!N64,安値!P64&lt;安値!Q64,安値!P64&lt;安値!R64),11,""))</f>
        <v>11</v>
      </c>
      <c r="L64" s="503" t="str">
        <f>IF(終値!A64="","",IF(AND(安値!Q64&lt;安値!P64,安値!Q64&lt;安値!O64,安値!Q64&lt;安値!R64,安値!Q64&lt;安値!S64),12,""))</f>
        <v/>
      </c>
      <c r="M64" s="503" t="str">
        <f>IF(終値!A64="","",IF(AND(安値!R64&lt;安値!Q64,安値!R64&lt;安値!P64,安値!R64&lt;安値!S64,安値!R64&lt;安値!T64),13,""))</f>
        <v/>
      </c>
      <c r="N64" s="503" t="str">
        <f>IF(終値!A64="","",IF(AND(安値!S64&lt;安値!R64,安値!S64&lt;安値!Q64,安値!S64&lt;安値!T64,安値!S64&lt;安値!U64),14,""))</f>
        <v/>
      </c>
      <c r="O64" s="503" t="str">
        <f>IF(終値!A64="","",IF(AND(安値!T64&lt;安値!S64,安値!T64&lt;安値!R64,安値!T64&lt;安値!U64,安値!T64&lt;安値!V64),15,""))</f>
        <v/>
      </c>
      <c r="P64" s="503">
        <f>IF(終値!A64="","",IF(AND(安値!U64&lt;安値!T64,安値!U64&lt;安値!S64,安値!U64&lt;安値!V64,安値!U64&lt;安値!W64),16,""))</f>
        <v>16</v>
      </c>
      <c r="Q64" s="503" t="str">
        <f>IF(終値!A64="","",IF(AND(安値!V64&lt;安値!U64,安値!V64&lt;安値!T64,安値!V64&lt;安値!W64,安値!V64&lt;安値!X64),17,""))</f>
        <v/>
      </c>
      <c r="R64" s="503" t="str">
        <f>IF(終値!A64="","",IF(AND(安値!W64&lt;安値!V64,安値!W64&lt;安値!U64,安値!W64&lt;安値!X64,安値!W64&lt;安値!Y64),18,""))</f>
        <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f>IF(終値!A64="","",IF(AND(安値!AA64&lt;安値!Z64,安値!AA64&lt;安値!Y64,安値!AA64&lt;安値!AB64,安値!AA64&lt;安値!AC64),22,""))</f>
        <v>22</v>
      </c>
      <c r="W64" s="503" t="str">
        <f>IF(終値!A64="","",IF(AND(安値!AB64&lt;安値!AA64,安値!AB64&lt;安値!Z64,安値!AB64&lt;安値!AC64,安値!AB64&lt;安値!AD64),23,""))</f>
        <v/>
      </c>
      <c r="X64" s="503" t="str">
        <f>IF(終値!A64="","",IF(AND(安値!AC64&lt;安値!AB64,安値!AC64&lt;安値!AA64,安値!AC64&lt;安値!AD64,安値!AC64&lt;安値!AE64),24,""))</f>
        <v/>
      </c>
      <c r="Y64" s="503" t="str">
        <f>IF(終値!A64="","",IF(AND(安値!AD64&lt;安値!AC64,安値!AD64&lt;安値!AB64,安値!AD64&lt;安値!AE64,安値!AD64&lt;安値!AF64),25,""))</f>
        <v/>
      </c>
      <c r="Z64" s="503">
        <f>IF(終値!A64="","",IF(AND(安値!AE64&lt;安値!AD64,安値!AE64&lt;安値!AC64,安値!AE64&lt;安値!AF64,安値!AE64&lt;安値!AG64),26,""))</f>
        <v>26</v>
      </c>
      <c r="AA64" s="503" t="str">
        <f>IF(終値!A64="","",IF(AND(安値!AF64&lt;安値!AE64,安値!AF64&lt;安値!AD64,安値!AF64&lt;安値!AG64,安値!AF64&lt;安値!AH64),27,""))</f>
        <v/>
      </c>
      <c r="AB64" s="503" t="str">
        <f>IF(終値!A64="","",IF(AND(安値!AG64&lt;安値!AF64,安値!AG64&lt;安値!AE64,安値!AG64&lt;安値!AH64,安値!AG64&lt;安値!AI64),28,""))</f>
        <v/>
      </c>
      <c r="AC64" s="503" t="str">
        <f>IF(終値!A64="","",IF(AND(高値!G64&gt;高値!F64,高値!G64&gt;高値!E64,高値!G64&gt;高値!H64,高値!G64&gt;高値!I64),2,""))</f>
        <v/>
      </c>
      <c r="AD64" s="503" t="str">
        <f>IF(終値!A64="","",IF(AND(高値!H64&gt;高値!G64,高値!H64&gt;高値!F64,高値!H64&gt;高値!I64,高値!H64&gt;高値!J64),3,""))</f>
        <v/>
      </c>
      <c r="AE64" s="503">
        <f>IF(終値!A64="","",IF(AND(高値!I64&gt;高値!H64,高値!I64&gt;高値!G64,高値!I64&gt;高値!J64,高値!I64&gt;高値!K64),4,""))</f>
        <v>4</v>
      </c>
      <c r="AF64" s="503" t="str">
        <f>IF(終値!A64="","",IF(AND(高値!J64&gt;高値!I64,高値!J64&gt;高値!H64,高値!J64&gt;高値!K64,高値!J64&gt;高値!L64),5,""))</f>
        <v/>
      </c>
      <c r="AG64" s="503" t="str">
        <f>IF(終値!A64="","",IF(AND(高値!K64&gt;高値!J64,高値!K64&gt;高値!I64,高値!K64&gt;高値!L64,高値!K64&gt;高値!M64),6,""))</f>
        <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f>IF(終値!A64="","",IF(AND(高値!O64&gt;高値!N64,高値!O64&gt;高値!M64,高値!O64&gt;高値!P64,高値!O64&gt;高値!Q64),10,""))</f>
        <v>10</v>
      </c>
      <c r="AL64" s="503" t="str">
        <f>IF(終値!A64="","",IF(AND(高値!P64&gt;高値!O64,高値!P64&gt;高値!N64,高値!P64&gt;高値!Q64,高値!P64&gt;高値!R64),11,""))</f>
        <v/>
      </c>
      <c r="AM64" s="503" t="str">
        <f>IF(終値!A64="","",IF(AND(高値!Q64&gt;高値!P64,高値!Q64&gt;高値!O64,高値!Q64&gt;高値!R64,高値!Q64&gt;高値!S64),12,""))</f>
        <v/>
      </c>
      <c r="AN64" s="503">
        <f>IF(終値!A64="","",IF(AND(高値!R64&gt;高値!Q64,高値!R64&gt;高値!P64,高値!R64&gt;高値!S64,高値!R64&gt;高値!T64),13,""))</f>
        <v>13</v>
      </c>
      <c r="AO64" s="503" t="str">
        <f>IF(終値!A64="","",IF(AND(高値!S64&gt;高値!R64,高値!S64&gt;高値!Q64,高値!S64&gt;高値!T64,高値!S64&gt;高値!U64),14,""))</f>
        <v/>
      </c>
      <c r="AP64" s="503" t="str">
        <f>IF(終値!A64="","",IF(AND(高値!T64&gt;高値!S64,高値!T64&gt;高値!R64,高値!T64&gt;高値!U64,高値!T64&gt;高値!V64),15,""))</f>
        <v/>
      </c>
      <c r="AQ64" s="503" t="str">
        <f>IF(終値!A64="","",IF(AND(高値!U64&gt;高値!T64,高値!U64&gt;高値!S64,高値!U64&gt;高値!V64,高値!U64&gt;高値!W64),16,""))</f>
        <v/>
      </c>
      <c r="AR64" s="503" t="str">
        <f>IF(終値!A64="","",IF(AND(高値!V64&gt;高値!U64,高値!V64&gt;高値!T64,高値!V64&gt;高値!W64,高値!V64&gt;高値!X64),17,""))</f>
        <v/>
      </c>
      <c r="AS64" s="503">
        <f>IF(終値!A64="","",IF(AND(高値!W64&gt;高値!V64,高値!W64&gt;高値!U64,高値!W64&gt;高値!X64,高値!W64&gt;高値!Y64),18,""))</f>
        <v>18</v>
      </c>
      <c r="AT64" s="503" t="str">
        <f>IF(終値!A64="","",IF(AND(高値!X64&gt;高値!W64,高値!X64&gt;高値!V64,高値!X64&gt;高値!Y64,高値!X64&gt;高値!Z64),19,""))</f>
        <v/>
      </c>
      <c r="AU64" s="503" t="str">
        <f>IF(終値!A64="","",IF(AND(高値!Y64&gt;高値!X64,高値!Y64&gt;高値!W64,高値!Y64&gt;高値!Z64,高値!Y64&gt;高値!AA64),20,""))</f>
        <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f>IF(終値!A64="","",IF(AND(高値!AF64&gt;高値!AE64,高値!AF64&gt;高値!AD64,高値!AF64&gt;高値!AG64,高値!AF64&gt;高値!AH64),27,""))</f>
        <v>27</v>
      </c>
      <c r="BC64" s="503" t="str">
        <f>IF(終値!A64="","",IF(AND(高値!AG64&gt;高値!AF64,高値!AG64&gt;高値!AE64,高値!AG64&gt;高値!AH64,高値!AG64&gt;高値!AI64),28,""))</f>
        <v/>
      </c>
      <c r="BD64" s="503">
        <f t="shared" si="0"/>
        <v>5</v>
      </c>
      <c r="BE64" s="503">
        <f t="shared" si="1"/>
        <v>7</v>
      </c>
      <c r="BF64" s="503">
        <f t="shared" si="2"/>
        <v>11</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5</v>
      </c>
      <c r="BM64" s="503">
        <f t="shared" si="4"/>
        <v>4</v>
      </c>
      <c r="BN64" s="503">
        <f t="shared" si="5"/>
        <v>10</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f>IF(終値!A65="","",IF(AND(安値!H65&lt;安値!G65,安値!H65&lt;安値!F65,安値!H65&lt;安値!I65,安値!H65&lt;安値!J65),3,""))</f>
        <v>3</v>
      </c>
      <c r="D65" s="503" t="str">
        <f>IF(終値!A65="","",IF(AND(安値!I65&lt;安値!H65,安値!I65&lt;安値!G65,安値!I65&lt;安値!J65,安値!I65&lt;安値!K65),4,""))</f>
        <v/>
      </c>
      <c r="E65" s="503" t="str">
        <f>IF(終値!A65="","",IF(AND(安値!J65&lt;安値!I65,安値!J65&lt;安値!H65,安値!J65&lt;安値!K65,安値!J65&lt;安値!L65),5,""))</f>
        <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f>IF(終値!A65="","",IF(AND(安値!P65&lt;安値!O65,安値!P65&lt;安値!N65,安値!P65&lt;安値!Q65,安値!P65&lt;安値!R65),11,""))</f>
        <v>11</v>
      </c>
      <c r="L65" s="503" t="str">
        <f>IF(終値!A65="","",IF(AND(安値!Q65&lt;安値!P65,安値!Q65&lt;安値!O65,安値!Q65&lt;安値!R65,安値!Q65&lt;安値!S65),12,""))</f>
        <v/>
      </c>
      <c r="M65" s="503" t="str">
        <f>IF(終値!A65="","",IF(AND(安値!R65&lt;安値!Q65,安値!R65&lt;安値!P65,安値!R65&lt;安値!S65,安値!R65&lt;安値!T65),13,""))</f>
        <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f>IF(終値!A65="","",IF(AND(安値!V65&lt;安値!U65,安値!V65&lt;安値!T65,安値!V65&lt;安値!W65,安値!V65&lt;安値!X65),17,""))</f>
        <v>17</v>
      </c>
      <c r="R65" s="503" t="str">
        <f>IF(終値!A65="","",IF(AND(安値!W65&lt;安値!V65,安値!W65&lt;安値!U65,安値!W65&lt;安値!X65,安値!W65&lt;安値!Y65),18,""))</f>
        <v/>
      </c>
      <c r="S65" s="503" t="str">
        <f>IF(終値!A65="","",IF(AND(安値!X65&lt;安値!W65,安値!X65&lt;安値!V65,安値!X65&lt;安値!Y65,安値!X65&lt;安値!Z65),19,""))</f>
        <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f>IF(終値!A65="","",IF(AND(安値!AB65&lt;安値!AA65,安値!AB65&lt;安値!Z65,安値!AB65&lt;安値!AC65,安値!AB65&lt;安値!AD65),23,""))</f>
        <v>23</v>
      </c>
      <c r="X65" s="503" t="str">
        <f>IF(終値!A65="","",IF(AND(安値!AC65&lt;安値!AB65,安値!AC65&lt;安値!AA65,安値!AC65&lt;安値!AD65,安値!AC65&lt;安値!AE65),24,""))</f>
        <v/>
      </c>
      <c r="Y65" s="503" t="str">
        <f>IF(終値!A65="","",IF(AND(安値!AD65&lt;安値!AC65,安値!AD65&lt;安値!AB65,安値!AD65&lt;安値!AE65,安値!AD65&lt;安値!AF65),25,""))</f>
        <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f>IF(終値!A65="","",IF(AND(高値!N65&gt;高値!M65,高値!N65&gt;高値!L65,高値!N65&gt;高値!O65,高値!N65&gt;高値!P65),9,""))</f>
        <v>9</v>
      </c>
      <c r="AK65" s="503" t="str">
        <f>IF(終値!A65="","",IF(AND(高値!O65&gt;高値!N65,高値!O65&gt;高値!M65,高値!O65&gt;高値!P65,高値!O65&gt;高値!Q65),10,""))</f>
        <v/>
      </c>
      <c r="AL65" s="503" t="str">
        <f>IF(終値!A65="","",IF(AND(高値!P65&gt;高値!O65,高値!P65&gt;高値!N65,高値!P65&gt;高値!Q65,高値!P65&gt;高値!R65),11,""))</f>
        <v/>
      </c>
      <c r="AM65" s="503">
        <f>IF(終値!A65="","",IF(AND(高値!Q65&gt;高値!P65,高値!Q65&gt;高値!O65,高値!Q65&gt;高値!R65,高値!Q65&gt;高値!S65),12,""))</f>
        <v>12</v>
      </c>
      <c r="AN65" s="503" t="str">
        <f>IF(終値!A65="","",IF(AND(高値!R65&gt;高値!Q65,高値!R65&gt;高値!P65,高値!R65&gt;高値!S65,高値!R65&gt;高値!T65),13,""))</f>
        <v/>
      </c>
      <c r="AO65" s="503" t="str">
        <f>IF(終値!A65="","",IF(AND(高値!S65&gt;高値!R65,高値!S65&gt;高値!Q65,高値!S65&gt;高値!T65,高値!S65&gt;高値!U65),14,""))</f>
        <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f>IF(終値!A65="","",IF(AND(高値!Z65&gt;高値!Y65,高値!Z65&gt;高値!X65,高値!Z65&gt;高値!AA65,高値!Z65&gt;高値!AB65),21,""))</f>
        <v>21</v>
      </c>
      <c r="AW65" s="503" t="str">
        <f>IF(終値!A65="","",IF(AND(高値!AA65&gt;高値!Z65,高値!AA65&gt;高値!Y65,高値!AA65&gt;高値!AB65,高値!AA65&gt;高値!AC65),22,""))</f>
        <v/>
      </c>
      <c r="AX65" s="503" t="str">
        <f>IF(終値!A65="","",IF(AND(高値!AB65&gt;高値!AA65,高値!AB65&gt;高値!Z65,高値!AB65&gt;高値!AC65,高値!AB65&gt;高値!AD65),23,""))</f>
        <v/>
      </c>
      <c r="AY65" s="503" t="str">
        <f>IF(終値!A65="","",IF(AND(高値!AC65&gt;高値!AB65,高値!AC65&gt;高値!AA65,高値!AC65&gt;高値!AD65,高値!AC65&gt;高値!AE65),24,""))</f>
        <v/>
      </c>
      <c r="AZ65" s="503" t="str">
        <f>IF(終値!A65="","",IF(AND(高値!AD65&gt;高値!AC65,高値!AD65&gt;高値!AB65,高値!AD65&gt;高値!AE65,高値!AD65&gt;高値!AF65),25,""))</f>
        <v/>
      </c>
      <c r="BA65" s="503">
        <f>IF(終値!A65="","",IF(AND(高値!AE65&gt;高値!AD65,高値!AE65&gt;高値!AC65,高値!AE65&gt;高値!AF65,高値!AE65&gt;高値!AG65),26,""))</f>
        <v>26</v>
      </c>
      <c r="BB65" s="503" t="str">
        <f>IF(終値!A65="","",IF(AND(高値!AF65&gt;高値!AE65,高値!AF65&gt;高値!AD65,高値!AF65&gt;高値!AG65,高値!AF65&gt;高値!AH65),27,""))</f>
        <v/>
      </c>
      <c r="BC65" s="503" t="str">
        <f>IF(終値!A65="","",IF(AND(高値!AG65&gt;高値!AF65,高値!AG65&gt;高値!AE65,高値!AG65&gt;高値!AH65,高値!AG65&gt;高値!AI65),28,""))</f>
        <v/>
      </c>
      <c r="BD65" s="503">
        <f t="shared" si="0"/>
        <v>4</v>
      </c>
      <c r="BE65" s="503">
        <f t="shared" si="1"/>
        <v>3</v>
      </c>
      <c r="BF65" s="503">
        <f t="shared" si="2"/>
        <v>11</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9</v>
      </c>
      <c r="BN65" s="503">
        <f t="shared" si="5"/>
        <v>12</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t="str">
        <f>IF(終値!A66="","",IF(AND(安値!H66&lt;安値!G66,安値!H66&lt;安値!F66,安値!H66&lt;安値!I66,安値!H66&lt;安値!J66),3,""))</f>
        <v/>
      </c>
      <c r="D66" s="503">
        <f>IF(終値!A66="","",IF(AND(安値!I66&lt;安値!H66,安値!I66&lt;安値!G66,安値!I66&lt;安値!J66,安値!I66&lt;安値!K66),4,""))</f>
        <v>4</v>
      </c>
      <c r="E66" s="503" t="str">
        <f>IF(終値!A66="","",IF(AND(安値!J66&lt;安値!I66,安値!J66&lt;安値!H66,安値!J66&lt;安値!K66,安値!J66&lt;安値!L66),5,""))</f>
        <v/>
      </c>
      <c r="F66" s="503" t="str">
        <f>IF(終値!A66="","",IF(AND(安値!K66&lt;安値!J66,安値!K66&lt;安値!I66,安値!K66&lt;安値!L66,安値!K66&lt;安値!M66),6,""))</f>
        <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f>IF(終値!A66="","",IF(AND(安値!P66&lt;安値!O66,安値!P66&lt;安値!N66,安値!P66&lt;安値!Q66,安値!P66&lt;安値!R66),11,""))</f>
        <v>11</v>
      </c>
      <c r="L66" s="503" t="str">
        <f>IF(終値!A66="","",IF(AND(安値!Q66&lt;安値!P66,安値!Q66&lt;安値!O66,安値!Q66&lt;安値!R66,安値!Q66&lt;安値!S66),12,""))</f>
        <v/>
      </c>
      <c r="M66" s="503" t="str">
        <f>IF(終値!A66="","",IF(AND(安値!R66&lt;安値!Q66,安値!R66&lt;安値!P66,安値!R66&lt;安値!S66,安値!R66&lt;安値!T66),13,""))</f>
        <v/>
      </c>
      <c r="N66" s="503" t="str">
        <f>IF(終値!A66="","",IF(AND(安値!S66&lt;安値!R66,安値!S66&lt;安値!Q66,安値!S66&lt;安値!T66,安値!S66&lt;安値!U66),14,""))</f>
        <v/>
      </c>
      <c r="O66" s="503" t="str">
        <f>IF(終値!A66="","",IF(AND(安値!T66&lt;安値!S66,安値!T66&lt;安値!R66,安値!T66&lt;安値!U66,安値!T66&lt;安値!V66),15,""))</f>
        <v/>
      </c>
      <c r="P66" s="503">
        <f>IF(終値!A66="","",IF(AND(安値!U66&lt;安値!T66,安値!U66&lt;安値!S66,安値!U66&lt;安値!V66,安値!U66&lt;安値!W66),16,""))</f>
        <v>16</v>
      </c>
      <c r="Q66" s="503" t="str">
        <f>IF(終値!A66="","",IF(AND(安値!V66&lt;安値!U66,安値!V66&lt;安値!T66,安値!V66&lt;安値!W66,安値!V66&lt;安値!X66),17,""))</f>
        <v/>
      </c>
      <c r="R66" s="503" t="str">
        <f>IF(終値!A66="","",IF(AND(安値!W66&lt;安値!V66,安値!W66&lt;安値!U66,安値!W66&lt;安値!X66,安値!W66&lt;安値!Y66),18,""))</f>
        <v/>
      </c>
      <c r="S66" s="503" t="str">
        <f>IF(終値!A66="","",IF(AND(安値!X66&lt;安値!W66,安値!X66&lt;安値!V66,安値!X66&lt;安値!Y66,安値!X66&lt;安値!Z66),19,""))</f>
        <v/>
      </c>
      <c r="T66" s="503">
        <f>IF(終値!A66="","",IF(AND(安値!Y66&lt;安値!X66,安値!Y66&lt;安値!W66,安値!Y66&lt;安値!Z66,安値!Y66&lt;安値!AA66),20,""))</f>
        <v>20</v>
      </c>
      <c r="U66" s="503" t="str">
        <f>IF(終値!A66="","",IF(AND(安値!Z66&lt;安値!Y66,安値!Z66&lt;安値!X66,安値!Z66&lt;安値!AA66,安値!Z66&lt;安値!AB66),21,""))</f>
        <v/>
      </c>
      <c r="V66" s="503" t="str">
        <f>IF(終値!A66="","",IF(AND(安値!AA66&lt;安値!Z66,安値!AA66&lt;安値!Y66,安値!AA66&lt;安値!AB66,安値!AA66&lt;安値!AC66),22,""))</f>
        <v/>
      </c>
      <c r="W66" s="503" t="str">
        <f>IF(終値!A66="","",IF(AND(安値!AB66&lt;安値!AA66,安値!AB66&lt;安値!Z66,安値!AB66&lt;安値!AC66,安値!AB66&lt;安値!AD66),23,""))</f>
        <v/>
      </c>
      <c r="X66" s="503">
        <f>IF(終値!A66="","",IF(AND(安値!AC66&lt;安値!AB66,安値!AC66&lt;安値!AA66,安値!AC66&lt;安値!AD66,安値!AC66&lt;安値!AE66),24,""))</f>
        <v>24</v>
      </c>
      <c r="Y66" s="503" t="str">
        <f>IF(終値!A66="","",IF(AND(安値!AD66&lt;安値!AC66,安値!AD66&lt;安値!AB66,安値!AD66&lt;安値!AE66,安値!AD66&lt;安値!AF66),25,""))</f>
        <v/>
      </c>
      <c r="Z66" s="503" t="str">
        <f>IF(終値!A66="","",IF(AND(安値!AE66&lt;安値!AD66,安値!AE66&lt;安値!AC66,安値!AE66&lt;安値!AF66,安値!AE66&lt;安値!AG66),26,""))</f>
        <v/>
      </c>
      <c r="AA66" s="503" t="str">
        <f>IF(終値!A66="","",IF(AND(安値!AF66&lt;安値!AE66,安値!AF66&lt;安値!AD66,安値!AF66&lt;安値!AG66,安値!AF66&lt;安値!AH66),27,""))</f>
        <v/>
      </c>
      <c r="AB66" s="503" t="str">
        <f>IF(終値!A66="","",IF(AND(安値!AG66&lt;安値!AF66,安値!AG66&lt;安値!AE66,安値!AG66&lt;安値!AH66,安値!AG66&lt;安値!AI66),28,""))</f>
        <v/>
      </c>
      <c r="AC66" s="503">
        <f>IF(終値!A66="","",IF(AND(高値!G66&gt;高値!F66,高値!G66&gt;高値!E66,高値!G66&gt;高値!H66,高値!G66&gt;高値!I66),2,""))</f>
        <v>2</v>
      </c>
      <c r="AD66" s="503" t="str">
        <f>IF(終値!A66="","",IF(AND(高値!H66&gt;高値!G66,高値!H66&gt;高値!F66,高値!H66&gt;高値!I66,高値!H66&gt;高値!J66),3,""))</f>
        <v/>
      </c>
      <c r="AE66" s="503" t="str">
        <f>IF(終値!A66="","",IF(AND(高値!I66&gt;高値!H66,高値!I66&gt;高値!G66,高値!I66&gt;高値!J66,高値!I66&gt;高値!K66),4,""))</f>
        <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f>IF(終値!A66="","",IF(AND(高値!N66&gt;高値!M66,高値!N66&gt;高値!L66,高値!N66&gt;高値!O66,高値!N66&gt;高値!P66),9,""))</f>
        <v>9</v>
      </c>
      <c r="AK66" s="503" t="str">
        <f>IF(終値!A66="","",IF(AND(高値!O66&gt;高値!N66,高値!O66&gt;高値!M66,高値!O66&gt;高値!P66,高値!O66&gt;高値!Q66),10,""))</f>
        <v/>
      </c>
      <c r="AL66" s="503" t="str">
        <f>IF(終値!A66="","",IF(AND(高値!P66&gt;高値!O66,高値!P66&gt;高値!N66,高値!P66&gt;高値!Q66,高値!P66&gt;高値!R66),11,""))</f>
        <v/>
      </c>
      <c r="AM66" s="503">
        <f>IF(終値!A66="","",IF(AND(高値!Q66&gt;高値!P66,高値!Q66&gt;高値!O66,高値!Q66&gt;高値!R66,高値!Q66&gt;高値!S66),12,""))</f>
        <v>12</v>
      </c>
      <c r="AN66" s="503" t="str">
        <f>IF(終値!A66="","",IF(AND(高値!R66&gt;高値!Q66,高値!R66&gt;高値!P66,高値!R66&gt;高値!S66,高値!R66&gt;高値!T66),13,""))</f>
        <v/>
      </c>
      <c r="AO66" s="503" t="str">
        <f>IF(終値!A66="","",IF(AND(高値!S66&gt;高値!R66,高値!S66&gt;高値!Q66,高値!S66&gt;高値!T66,高値!S66&gt;高値!U66),14,""))</f>
        <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f>IF(終値!A66="","",IF(AND(高値!W66&gt;高値!V66,高値!W66&gt;高値!U66,高値!W66&gt;高値!X66,高値!W66&gt;高値!Y66),18,""))</f>
        <v>18</v>
      </c>
      <c r="AT66" s="503" t="str">
        <f>IF(終値!A66="","",IF(AND(高値!X66&gt;高値!W66,高値!X66&gt;高値!V66,高値!X66&gt;高値!Y66,高値!X66&gt;高値!Z66),19,""))</f>
        <v/>
      </c>
      <c r="AU66" s="503" t="str">
        <f>IF(終値!A66="","",IF(AND(高値!Y66&gt;高値!X66,高値!Y66&gt;高値!W66,高値!Y66&gt;高値!Z66,高値!Y66&gt;高値!AA66),20,""))</f>
        <v/>
      </c>
      <c r="AV66" s="503" t="str">
        <f>IF(終値!A66="","",IF(AND(高値!Z66&gt;高値!Y66,高値!Z66&gt;高値!X66,高値!Z66&gt;高値!AA66,高値!Z66&gt;高値!AB66),21,""))</f>
        <v/>
      </c>
      <c r="AW66" s="503">
        <f>IF(終値!A66="","",IF(AND(高値!AA66&gt;高値!Z66,高値!AA66&gt;高値!Y66,高値!AA66&gt;高値!AB66,高値!AA66&gt;高値!AC66),22,""))</f>
        <v>22</v>
      </c>
      <c r="AX66" s="503" t="str">
        <f>IF(終値!A66="","",IF(AND(高値!AB66&gt;高値!AA66,高値!AB66&gt;高値!Z66,高値!AB66&gt;高値!AC66,高値!AB66&gt;高値!AD66),23,""))</f>
        <v/>
      </c>
      <c r="AY66" s="503" t="str">
        <f>IF(終値!A66="","",IF(AND(高値!AC66&gt;高値!AB66,高値!AC66&gt;高値!AA66,高値!AC66&gt;高値!AD66,高値!AC66&gt;高値!AE66),24,""))</f>
        <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5</v>
      </c>
      <c r="BE66" s="503">
        <f t="shared" si="1"/>
        <v>4</v>
      </c>
      <c r="BF66" s="503">
        <f t="shared" si="2"/>
        <v>11</v>
      </c>
      <c r="BG66" s="503">
        <f>IF($BE66="","",INDEX(安値!$E66:$CZ66,1,$BE66+1))</f>
        <v>5636</v>
      </c>
      <c r="BH66" s="503">
        <f>IF($BF66="","",INDEX(安値!$E66:$CZ66,1,$BF66+1))</f>
        <v>6984</v>
      </c>
      <c r="BI66" s="503">
        <f>IF($BF66="","",MAX(INDEX(高値!$E66:$CZ66,1,$BE66+1):INDEX(高値!$E66:$CZ66,1,$BF66+1)))</f>
        <v>7367</v>
      </c>
      <c r="BJ66" s="503">
        <f>IF($BF66="","",AVERAGE(INDEX(終値!$E66:$CZ66,1,$BF66+1):INDEX(終値!$E66:$CZ66,1,$BF66+20))-2*STDEVP(INDEX(終値!$E66:$CZ66,1,$BF66+1):INDEX(終値!$E66:$CZ66,1,$BF66+20)))</f>
        <v>6763.6257921756951</v>
      </c>
      <c r="BK66" s="503">
        <f>IF($BE66="","",AVERAGE(INDEX(終値!$E66:$CZ66,1,$BE66+1):INDEX(終値!$E66:$CZ66,1,$BE66+20))-2*STDEVP(INDEX(終値!$E66:$CZ66,1,$BE66+1):INDEX(終値!$E66:$CZ66,1,$BE66+20)))</f>
        <v>5964.4812937064307</v>
      </c>
      <c r="BL66" s="503">
        <f t="shared" si="3"/>
        <v>5</v>
      </c>
      <c r="BM66" s="503">
        <f t="shared" si="4"/>
        <v>2</v>
      </c>
      <c r="BN66" s="503">
        <f t="shared" si="5"/>
        <v>9</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v>
      </c>
    </row>
    <row r="67" spans="2:72">
      <c r="B67" s="503" t="str">
        <f>IF(終値!A67="","",IF(AND(安値!G67&lt;安値!F67,安値!G67&lt;安値!E67,安値!G67&lt;安値!H67,安値!G67&lt;安値!I67),2,""))</f>
        <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f>IF(終値!A67="","",IF(AND(安値!L67&lt;安値!K67,安値!L67&lt;安値!J67,安値!L67&lt;安値!M67,安値!L67&lt;安値!N67),7,""))</f>
        <v>7</v>
      </c>
      <c r="H67" s="503" t="str">
        <f>IF(終値!A67="","",IF(AND(安値!M67&lt;安値!L67,安値!M67&lt;安値!K67,安値!M67&lt;安値!N67,安値!M67&lt;安値!O67),8,""))</f>
        <v/>
      </c>
      <c r="I67" s="503" t="str">
        <f>IF(終値!A67="","",IF(AND(安値!N67&lt;安値!M67,安値!N67&lt;安値!L67,安値!N67&lt;安値!O67,安値!N67&lt;安値!P67),9,""))</f>
        <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f>IF(終値!A67="","",IF(AND(安値!AA67&lt;安値!Z67,安値!AA67&lt;安値!Y67,安値!AA67&lt;安値!AB67,安値!AA67&lt;安値!AC67),22,""))</f>
        <v>22</v>
      </c>
      <c r="W67" s="503" t="str">
        <f>IF(終値!A67="","",IF(AND(安値!AB67&lt;安値!AA67,安値!AB67&lt;安値!Z67,安値!AB67&lt;安値!AC67,安値!AB67&lt;安値!AD67),23,""))</f>
        <v/>
      </c>
      <c r="X67" s="503" t="str">
        <f>IF(終値!A67="","",IF(AND(安値!AC67&lt;安値!AB67,安値!AC67&lt;安値!AA67,安値!AC67&lt;安値!AD67,安値!AC67&lt;安値!AE67),24,""))</f>
        <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f>IF(終値!A67="","",IF(AND(高値!I67&gt;高値!H67,高値!I67&gt;高値!G67,高値!I67&gt;高値!J67,高値!I67&gt;高値!K67),4,""))</f>
        <v>4</v>
      </c>
      <c r="AF67" s="503" t="str">
        <f>IF(終値!A67="","",IF(AND(高値!J67&gt;高値!I67,高値!J67&gt;高値!H67,高値!J67&gt;高値!K67,高値!J67&gt;高値!L67),5,""))</f>
        <v/>
      </c>
      <c r="AG67" s="503" t="str">
        <f>IF(終値!A67="","",IF(AND(高値!K67&gt;高値!J67,高値!K67&gt;高値!I67,高値!K67&gt;高値!L67,高値!K67&gt;高値!M67),6,""))</f>
        <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f>IF(終値!A67="","",IF(AND(高値!Y67&gt;高値!X67,高値!Y67&gt;高値!W67,高値!Y67&gt;高値!Z67,高値!Y67&gt;高値!AA67),20,""))</f>
        <v>20</v>
      </c>
      <c r="AV67" s="503" t="str">
        <f>IF(終値!A67="","",IF(AND(高値!Z67&gt;高値!Y67,高値!Z67&gt;高値!X67,高値!Z67&gt;高値!AA67,高値!Z67&gt;高値!AB67),21,""))</f>
        <v/>
      </c>
      <c r="AW67" s="503" t="str">
        <f>IF(終値!A67="","",IF(AND(高値!AA67&gt;高値!Z67,高値!AA67&gt;高値!Y67,高値!AA67&gt;高値!AB67,高値!AA67&gt;高値!AC67),22,""))</f>
        <v/>
      </c>
      <c r="AX67" s="503" t="str">
        <f>IF(終値!A67="","",IF(AND(高値!AB67&gt;高値!AA67,高値!AB67&gt;高値!Z67,高値!AB67&gt;高値!AC67,高値!AB67&gt;高値!AD67),23,""))</f>
        <v/>
      </c>
      <c r="AY67" s="503">
        <f>IF(終値!A67="","",IF(AND(高値!AC67&gt;高値!AB67,高値!AC67&gt;高値!AA67,高値!AC67&gt;高値!AD67,高値!AC67&gt;高値!AE67),24,""))</f>
        <v>24</v>
      </c>
      <c r="AZ67" s="503" t="str">
        <f>IF(終値!A67="","",IF(AND(高値!AD67&gt;高値!AC67,高値!AD67&gt;高値!AB67,高値!AD67&gt;高値!AE67,高値!AD67&gt;高値!AF67),25,""))</f>
        <v/>
      </c>
      <c r="BA67" s="503" t="str">
        <f>IF(終値!A67="","",IF(AND(高値!AE67&gt;高値!AD67,高値!AE67&gt;高値!AC67,高値!AE67&gt;高値!AF67,高値!AE67&gt;高値!AG67),26,""))</f>
        <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2</v>
      </c>
      <c r="BE67" s="503">
        <f t="shared" si="1"/>
        <v>7</v>
      </c>
      <c r="BF67" s="503">
        <f t="shared" si="2"/>
        <v>22</v>
      </c>
      <c r="BG67" s="503">
        <f>IF($BE67="","",INDEX(安値!$E67:$CZ67,1,$BE67+1))</f>
        <v>0</v>
      </c>
      <c r="BH67" s="503">
        <f>IF($BF67="","",INDEX(安値!$E67:$CZ67,1,$BF67+1))</f>
        <v>2100</v>
      </c>
      <c r="BI67" s="503">
        <f>IF($BF67="","",MAX(INDEX(高値!$E67:$CZ67,1,$BE67+1):INDEX(高値!$E67:$CZ67,1,$BF67+1)))</f>
        <v>2254</v>
      </c>
      <c r="BJ67" s="503">
        <f>IF($BF67="","",AVERAGE(INDEX(終値!$E67:$CZ67,1,$BF67+1):INDEX(終値!$E67:$CZ67,1,$BF67+20))-2*STDEVP(INDEX(終値!$E67:$CZ67,1,$BF67+1):INDEX(終値!$E67:$CZ67,1,$BF67+20)))</f>
        <v>1776.3856193641527</v>
      </c>
      <c r="BK67" s="503">
        <f>IF($BE67="","",AVERAGE(INDEX(終値!$E67:$CZ67,1,$BE67+1):INDEX(終値!$E67:$CZ67,1,$BE67+20))-2*STDEVP(INDEX(終値!$E67:$CZ67,1,$BE67+1):INDEX(終値!$E67:$CZ67,1,$BE67+20)))</f>
        <v>1980.3496634385822</v>
      </c>
      <c r="BL67" s="503">
        <f t="shared" si="3"/>
        <v>3</v>
      </c>
      <c r="BM67" s="503">
        <f t="shared" si="4"/>
        <v>4</v>
      </c>
      <c r="BN67" s="503">
        <f t="shared" si="5"/>
        <v>20</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f>IF(終値!A68="","",IF(AND(安値!I68&lt;安値!H68,安値!I68&lt;安値!G68,安値!I68&lt;安値!J68,安値!I68&lt;安値!K68),4,""))</f>
        <v>4</v>
      </c>
      <c r="E68" s="503" t="str">
        <f>IF(終値!A68="","",IF(AND(安値!J68&lt;安値!I68,安値!J68&lt;安値!H68,安値!J68&lt;安値!K68,安値!J68&lt;安値!L68),5,""))</f>
        <v/>
      </c>
      <c r="F68" s="503" t="str">
        <f>IF(終値!A68="","",IF(AND(安値!K68&lt;安値!J68,安値!K68&lt;安値!I68,安値!K68&lt;安値!L68,安値!K68&lt;安値!M68),6,""))</f>
        <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f>IF(終値!A68="","",IF(AND(安値!P68&lt;安値!O68,安値!P68&lt;安値!N68,安値!P68&lt;安値!Q68,安値!P68&lt;安値!R68),11,""))</f>
        <v>11</v>
      </c>
      <c r="L68" s="503" t="str">
        <f>IF(終値!A68="","",IF(AND(安値!Q68&lt;安値!P68,安値!Q68&lt;安値!O68,安値!Q68&lt;安値!R68,安値!Q68&lt;安値!S68),12,""))</f>
        <v/>
      </c>
      <c r="M68" s="503" t="str">
        <f>IF(終値!A68="","",IF(AND(安値!R68&lt;安値!Q68,安値!R68&lt;安値!P68,安値!R68&lt;安値!S68,安値!R68&lt;安値!T68),13,""))</f>
        <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f>IF(終値!A68="","",IF(AND(安値!V68&lt;安値!U68,安値!V68&lt;安値!T68,安値!V68&lt;安値!W68,安値!V68&lt;安値!X68),17,""))</f>
        <v>17</v>
      </c>
      <c r="R68" s="503" t="str">
        <f>IF(終値!A68="","",IF(AND(安値!W68&lt;安値!V68,安値!W68&lt;安値!U68,安値!W68&lt;安値!X68,安値!W68&lt;安値!Y68),18,""))</f>
        <v/>
      </c>
      <c r="S68" s="503" t="str">
        <f>IF(終値!A68="","",IF(AND(安値!X68&lt;安値!W68,安値!X68&lt;安値!V68,安値!X68&lt;安値!Y68,安値!X68&lt;安値!Z68),19,""))</f>
        <v/>
      </c>
      <c r="T68" s="503">
        <f>IF(終値!A68="","",IF(AND(安値!Y68&lt;安値!X68,安値!Y68&lt;安値!W68,安値!Y68&lt;安値!Z68,安値!Y68&lt;安値!AA68),20,""))</f>
        <v>20</v>
      </c>
      <c r="U68" s="503" t="str">
        <f>IF(終値!A68="","",IF(AND(安値!Z68&lt;安値!Y68,安値!Z68&lt;安値!X68,安値!Z68&lt;安値!AA68,安値!Z68&lt;安値!AB68),21,""))</f>
        <v/>
      </c>
      <c r="V68" s="503" t="str">
        <f>IF(終値!A68="","",IF(AND(安値!AA68&lt;安値!Z68,安値!AA68&lt;安値!Y68,安値!AA68&lt;安値!AB68,安値!AA68&lt;安値!AC68),22,""))</f>
        <v/>
      </c>
      <c r="W68" s="503" t="str">
        <f>IF(終値!A68="","",IF(AND(安値!AB68&lt;安値!AA68,安値!AB68&lt;安値!Z68,安値!AB68&lt;安値!AC68,安値!AB68&lt;安値!AD68),23,""))</f>
        <v/>
      </c>
      <c r="X68" s="503">
        <f>IF(終値!A68="","",IF(AND(安値!AC68&lt;安値!AB68,安値!AC68&lt;安値!AA68,安値!AC68&lt;安値!AD68,安値!AC68&lt;安値!AE68),24,""))</f>
        <v>24</v>
      </c>
      <c r="Y68" s="503" t="str">
        <f>IF(終値!A68="","",IF(AND(安値!AD68&lt;安値!AC68,安値!AD68&lt;安値!AB68,安値!AD68&lt;安値!AE68,安値!AD68&lt;安値!AF68),25,""))</f>
        <v/>
      </c>
      <c r="Z68" s="503" t="str">
        <f>IF(終値!A68="","",IF(AND(安値!AE68&lt;安値!AD68,安値!AE68&lt;安値!AC68,安値!AE68&lt;安値!AF68,安値!AE68&lt;安値!AG68),26,""))</f>
        <v/>
      </c>
      <c r="AA68" s="503" t="str">
        <f>IF(終値!A68="","",IF(AND(安値!AF68&lt;安値!AE68,安値!AF68&lt;安値!AD68,安値!AF68&lt;安値!AG68,安値!AF68&lt;安値!AH68),27,""))</f>
        <v/>
      </c>
      <c r="AB68" s="503" t="str">
        <f>IF(終値!A68="","",IF(AND(安値!AG68&lt;安値!AF68,安値!AG68&lt;安値!AE68,安値!AG68&lt;安値!AH68,安値!AG68&lt;安値!AI68),28,""))</f>
        <v/>
      </c>
      <c r="AC68" s="503">
        <f>IF(終値!A68="","",IF(AND(高値!G68&gt;高値!F68,高値!G68&gt;高値!E68,高値!G68&gt;高値!H68,高値!G68&gt;高値!I68),2,""))</f>
        <v>2</v>
      </c>
      <c r="AD68" s="503" t="str">
        <f>IF(終値!A68="","",IF(AND(高値!H68&gt;高値!G68,高値!H68&gt;高値!F68,高値!H68&gt;高値!I68,高値!H68&gt;高値!J68),3,""))</f>
        <v/>
      </c>
      <c r="AE68" s="503" t="str">
        <f>IF(終値!A68="","",IF(AND(高値!I68&gt;高値!H68,高値!I68&gt;高値!G68,高値!I68&gt;高値!J68,高値!I68&gt;高値!K68),4,""))</f>
        <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f>IF(終値!A68="","",IF(AND(高値!N68&gt;高値!M68,高値!N68&gt;高値!L68,高値!N68&gt;高値!O68,高値!N68&gt;高値!P68),9,""))</f>
        <v>9</v>
      </c>
      <c r="AK68" s="503" t="str">
        <f>IF(終値!A68="","",IF(AND(高値!O68&gt;高値!N68,高値!O68&gt;高値!M68,高値!O68&gt;高値!P68,高値!O68&gt;高値!Q68),10,""))</f>
        <v/>
      </c>
      <c r="AL68" s="503" t="str">
        <f>IF(終値!A68="","",IF(AND(高値!P68&gt;高値!O68,高値!P68&gt;高値!N68,高値!P68&gt;高値!Q68,高値!P68&gt;高値!R68),11,""))</f>
        <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f>IF(終値!A68="","",IF(AND(高値!T68&gt;高値!S68,高値!T68&gt;高値!R68,高値!T68&gt;高値!U68,高値!T68&gt;高値!V68),15,""))</f>
        <v>15</v>
      </c>
      <c r="AQ68" s="503" t="str">
        <f>IF(終値!A68="","",IF(AND(高値!U68&gt;高値!T68,高値!U68&gt;高値!S68,高値!U68&gt;高値!V68,高値!U68&gt;高値!W68),16,""))</f>
        <v/>
      </c>
      <c r="AR68" s="503" t="str">
        <f>IF(終値!A68="","",IF(AND(高値!V68&gt;高値!U68,高値!V68&gt;高値!T68,高値!V68&gt;高値!W68,高値!V68&gt;高値!X68),17,""))</f>
        <v/>
      </c>
      <c r="AS68" s="503">
        <f>IF(終値!A68="","",IF(AND(高値!W68&gt;高値!V68,高値!W68&gt;高値!U68,高値!W68&gt;高値!X68,高値!W68&gt;高値!Y68),18,""))</f>
        <v>18</v>
      </c>
      <c r="AT68" s="503" t="str">
        <f>IF(終値!A68="","",IF(AND(高値!X68&gt;高値!W68,高値!X68&gt;高値!V68,高値!X68&gt;高値!Y68,高値!X68&gt;高値!Z68),19,""))</f>
        <v/>
      </c>
      <c r="AU68" s="503" t="str">
        <f>IF(終値!A68="","",IF(AND(高値!Y68&gt;高値!X68,高値!Y68&gt;高値!W68,高値!Y68&gt;高値!Z68,高値!Y68&gt;高値!AA68),20,""))</f>
        <v/>
      </c>
      <c r="AV68" s="503" t="str">
        <f>IF(終値!A68="","",IF(AND(高値!Z68&gt;高値!Y68,高値!Z68&gt;高値!X68,高値!Z68&gt;高値!AA68,高値!Z68&gt;高値!AB68),21,""))</f>
        <v/>
      </c>
      <c r="AW68" s="503">
        <f>IF(終値!A68="","",IF(AND(高値!AA68&gt;高値!Z68,高値!AA68&gt;高値!Y68,高値!AA68&gt;高値!AB68,高値!AA68&gt;高値!AC68),22,""))</f>
        <v>22</v>
      </c>
      <c r="AX68" s="503" t="str">
        <f>IF(終値!A68="","",IF(AND(高値!AB68&gt;高値!AA68,高値!AB68&gt;高値!Z68,高値!AB68&gt;高値!AC68,高値!AB68&gt;高値!AD68),23,""))</f>
        <v/>
      </c>
      <c r="AY68" s="503" t="str">
        <f>IF(終値!A68="","",IF(AND(高値!AC68&gt;高値!AB68,高値!AC68&gt;高値!AA68,高値!AC68&gt;高値!AD68,高値!AC68&gt;高値!AE68),24,""))</f>
        <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f>IF(終値!A68="","",IF(AND(高値!AG68&gt;高値!AF68,高値!AG68&gt;高値!AE68,高値!AG68&gt;高値!AH68,高値!AG68&gt;高値!AI68),28,""))</f>
        <v>28</v>
      </c>
      <c r="BD68" s="503">
        <f t="shared" si="0"/>
        <v>5</v>
      </c>
      <c r="BE68" s="503">
        <f t="shared" si="1"/>
        <v>4</v>
      </c>
      <c r="BF68" s="503">
        <f t="shared" si="2"/>
        <v>11</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6</v>
      </c>
      <c r="BM68" s="503">
        <f t="shared" si="4"/>
        <v>2</v>
      </c>
      <c r="BN68" s="503">
        <f t="shared" si="5"/>
        <v>9</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二番底W形成</v>
      </c>
    </row>
    <row r="69" spans="2:72">
      <c r="B69" s="503" t="str">
        <f>IF(終値!A69="","",IF(AND(安値!G69&lt;安値!F69,安値!G69&lt;安値!E69,安値!G69&lt;安値!H69,安値!G69&lt;安値!I69),2,""))</f>
        <v/>
      </c>
      <c r="C69" s="503" t="str">
        <f>IF(終値!A69="","",IF(AND(安値!H69&lt;安値!G69,安値!H69&lt;安値!F69,安値!H69&lt;安値!I69,安値!H69&lt;安値!J69),3,""))</f>
        <v/>
      </c>
      <c r="D69" s="503">
        <f>IF(終値!A69="","",IF(AND(安値!I69&lt;安値!H69,安値!I69&lt;安値!G69,安値!I69&lt;安値!J69,安値!I69&lt;安値!K69),4,""))</f>
        <v>4</v>
      </c>
      <c r="E69" s="503" t="str">
        <f>IF(終値!A69="","",IF(AND(安値!J69&lt;安値!I69,安値!J69&lt;安値!H69,安値!J69&lt;安値!K69,安値!J69&lt;安値!L69),5,""))</f>
        <v/>
      </c>
      <c r="F69" s="503" t="str">
        <f>IF(終値!A69="","",IF(AND(安値!K69&lt;安値!J69,安値!K69&lt;安値!I69,安値!K69&lt;安値!L69,安値!K69&lt;安値!M69),6,""))</f>
        <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f>IF(終値!A69="","",IF(AND(安値!P69&lt;安値!O69,安値!P69&lt;安値!N69,安値!P69&lt;安値!Q69,安値!P69&lt;安値!R69),11,""))</f>
        <v>11</v>
      </c>
      <c r="L69" s="503" t="str">
        <f>IF(終値!A69="","",IF(AND(安値!Q69&lt;安値!P69,安値!Q69&lt;安値!O69,安値!Q69&lt;安値!R69,安値!Q69&lt;安値!S69),12,""))</f>
        <v/>
      </c>
      <c r="M69" s="503" t="str">
        <f>IF(終値!A69="","",IF(AND(安値!R69&lt;安値!Q69,安値!R69&lt;安値!P69,安値!R69&lt;安値!S69,安値!R69&lt;安値!T69),13,""))</f>
        <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f>IF(終値!A69="","",IF(AND(安値!V69&lt;安値!U69,安値!V69&lt;安値!T69,安値!V69&lt;安値!W69,安値!V69&lt;安値!X69),17,""))</f>
        <v>17</v>
      </c>
      <c r="R69" s="503" t="str">
        <f>IF(終値!A69="","",IF(AND(安値!W69&lt;安値!V69,安値!W69&lt;安値!U69,安値!W69&lt;安値!X69,安値!W69&lt;安値!Y69),18,""))</f>
        <v/>
      </c>
      <c r="S69" s="503" t="str">
        <f>IF(終値!A69="","",IF(AND(安値!X69&lt;安値!W69,安値!X69&lt;安値!V69,安値!X69&lt;安値!Y69,安値!X69&lt;安値!Z69),19,""))</f>
        <v/>
      </c>
      <c r="T69" s="503">
        <f>IF(終値!A69="","",IF(AND(安値!Y69&lt;安値!X69,安値!Y69&lt;安値!W69,安値!Y69&lt;安値!Z69,安値!Y69&lt;安値!AA69),20,""))</f>
        <v>20</v>
      </c>
      <c r="U69" s="503" t="str">
        <f>IF(終値!A69="","",IF(AND(安値!Z69&lt;安値!Y69,安値!Z69&lt;安値!X69,安値!Z69&lt;安値!AA69,安値!Z69&lt;安値!AB69),21,""))</f>
        <v/>
      </c>
      <c r="V69" s="503" t="str">
        <f>IF(終値!A69="","",IF(AND(安値!AA69&lt;安値!Z69,安値!AA69&lt;安値!Y69,安値!AA69&lt;安値!AB69,安値!AA69&lt;安値!AC69),22,""))</f>
        <v/>
      </c>
      <c r="W69" s="503" t="str">
        <f>IF(終値!A69="","",IF(AND(安値!AB69&lt;安値!AA69,安値!AB69&lt;安値!Z69,安値!AB69&lt;安値!AC69,安値!AB69&lt;安値!AD69),23,""))</f>
        <v/>
      </c>
      <c r="X69" s="503">
        <f>IF(終値!A69="","",IF(AND(安値!AC69&lt;安値!AB69,安値!AC69&lt;安値!AA69,安値!AC69&lt;安値!AD69,安値!AC69&lt;安値!AE69),24,""))</f>
        <v>24</v>
      </c>
      <c r="Y69" s="503" t="str">
        <f>IF(終値!A69="","",IF(AND(安値!AD69&lt;安値!AC69,安値!AD69&lt;安値!AB69,安値!AD69&lt;安値!AE69,安値!AD69&lt;安値!AF69),25,""))</f>
        <v/>
      </c>
      <c r="Z69" s="503" t="str">
        <f>IF(終値!A69="","",IF(AND(安値!AE69&lt;安値!AD69,安値!AE69&lt;安値!AC69,安値!AE69&lt;安値!AF69,安値!AE69&lt;安値!AG69),26,""))</f>
        <v/>
      </c>
      <c r="AA69" s="503" t="str">
        <f>IF(終値!A69="","",IF(AND(安値!AF69&lt;安値!AE69,安値!AF69&lt;安値!AD69,安値!AF69&lt;安値!AG69,安値!AF69&lt;安値!AH69),27,""))</f>
        <v/>
      </c>
      <c r="AB69" s="503" t="str">
        <f>IF(終値!A69="","",IF(AND(安値!AG69&lt;安値!AF69,安値!AG69&lt;安値!AE69,安値!AG69&lt;安値!AH69,安値!AG69&lt;安値!AI69),28,""))</f>
        <v/>
      </c>
      <c r="AC69" s="503" t="str">
        <f>IF(終値!A69="","",IF(AND(高値!G69&gt;高値!F69,高値!G69&gt;高値!E69,高値!G69&gt;高値!H69,高値!G69&gt;高値!I69),2,""))</f>
        <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f>IF(終値!A69="","",IF(AND(高値!N69&gt;高値!M69,高値!N69&gt;高値!L69,高値!N69&gt;高値!O69,高値!N69&gt;高値!P69),9,""))</f>
        <v>9</v>
      </c>
      <c r="AK69" s="503" t="str">
        <f>IF(終値!A69="","",IF(AND(高値!O69&gt;高値!N69,高値!O69&gt;高値!M69,高値!O69&gt;高値!P69,高値!O69&gt;高値!Q69),10,""))</f>
        <v/>
      </c>
      <c r="AL69" s="503" t="str">
        <f>IF(終値!A69="","",IF(AND(高値!P69&gt;高値!O69,高値!P69&gt;高値!N69,高値!P69&gt;高値!Q69,高値!P69&gt;高値!R69),11,""))</f>
        <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f>IF(終値!A69="","",IF(AND(高値!T69&gt;高値!S69,高値!T69&gt;高値!R69,高値!T69&gt;高値!U69,高値!T69&gt;高値!V69),15,""))</f>
        <v>15</v>
      </c>
      <c r="AQ69" s="503" t="str">
        <f>IF(終値!A69="","",IF(AND(高値!U69&gt;高値!T69,高値!U69&gt;高値!S69,高値!U69&gt;高値!V69,高値!U69&gt;高値!W69),16,""))</f>
        <v/>
      </c>
      <c r="AR69" s="503" t="str">
        <f>IF(終値!A69="","",IF(AND(高値!V69&gt;高値!U69,高値!V69&gt;高値!T69,高値!V69&gt;高値!W69,高値!V69&gt;高値!X69),17,""))</f>
        <v/>
      </c>
      <c r="AS69" s="503" t="str">
        <f>IF(終値!A69="","",IF(AND(高値!W69&gt;高値!V69,高値!W69&gt;高値!U69,高値!W69&gt;高値!X69,高値!W69&gt;高値!Y69),18,""))</f>
        <v/>
      </c>
      <c r="AT69" s="503">
        <f>IF(終値!A69="","",IF(AND(高値!X69&gt;高値!W69,高値!X69&gt;高値!V69,高値!X69&gt;高値!Y69,高値!X69&gt;高値!Z69),19,""))</f>
        <v>19</v>
      </c>
      <c r="AU69" s="503" t="str">
        <f>IF(終値!A69="","",IF(AND(高値!Y69&gt;高値!X69,高値!Y69&gt;高値!W69,高値!Y69&gt;高値!Z69,高値!Y69&gt;高値!AA69),20,""))</f>
        <v/>
      </c>
      <c r="AV69" s="503" t="str">
        <f>IF(終値!A69="","",IF(AND(高値!Z69&gt;高値!Y69,高値!Z69&gt;高値!X69,高値!Z69&gt;高値!AA69,高値!Z69&gt;高値!AB69),21,""))</f>
        <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f>IF(終値!A69="","",IF(AND(高値!AF69&gt;高値!AE69,高値!AF69&gt;高値!AD69,高値!AF69&gt;高値!AG69,高値!AF69&gt;高値!AH69),27,""))</f>
        <v>27</v>
      </c>
      <c r="BC69" s="503" t="str">
        <f>IF(終値!A69="","",IF(AND(高値!AG69&gt;高値!AF69,高値!AG69&gt;高値!AE69,高値!AG69&gt;高値!AH69,高値!AG69&gt;高値!AI69),28,""))</f>
        <v/>
      </c>
      <c r="BD69" s="503">
        <f t="shared" si="0"/>
        <v>5</v>
      </c>
      <c r="BE69" s="503">
        <f t="shared" si="1"/>
        <v>4</v>
      </c>
      <c r="BF69" s="503">
        <f t="shared" si="2"/>
        <v>11</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9</v>
      </c>
      <c r="BN69" s="503">
        <f t="shared" si="5"/>
        <v>15</v>
      </c>
      <c r="BO69" s="503">
        <f>IF($BM69="","",INDEX(高値!$E69:$CZ69,1,$BM69+1))</f>
        <v>3814</v>
      </c>
      <c r="BP69" s="503">
        <f>IF($BN69="","",INDEX(高値!$E69:$CZ69,1,$BN69+1))</f>
        <v>4250</v>
      </c>
      <c r="BQ69" s="503">
        <f>IF($BN69="","",MIN(INDEX(安値!$E69:$CZ69,1,$BM69+1):INDEX(安値!$E69:$CZ69,1,$BN69+1)))</f>
        <v>3402</v>
      </c>
      <c r="BR69" s="503">
        <f>IF($BN69="","",AVERAGE(INDEX(終値!$E69:$CZ69,1,$BN69+1):INDEX(終値!$E69:$CZ69,1,$BN69+20))+2*STDEVP(INDEX(終値!$E69:$CZ69,1,$BN69+1):INDEX(終値!$E69:$CZ69,1,$BN69+20)))</f>
        <v>5111.4098282292825</v>
      </c>
      <c r="BS69" s="503">
        <f>IF($BM69="","",AVERAGE(INDEX(終値!$E69:$CZ69,1,$BM69+1):INDEX(終値!$E69:$CZ69,1,$BM69+20))+2*STDEVP(INDEX(終値!$E69:$CZ69,1,$BM69+1):INDEX(終値!$E69:$CZ69,1,$BM69+20)))</f>
        <v>4965.0265270909695</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f>IF(終値!A70="","",IF(AND(安値!H70&lt;安値!G70,安値!H70&lt;安値!F70,安値!H70&lt;安値!I70,安値!H70&lt;安値!J70),3,""))</f>
        <v>3</v>
      </c>
      <c r="D70" s="503" t="str">
        <f>IF(終値!A70="","",IF(AND(安値!I70&lt;安値!H70,安値!I70&lt;安値!G70,安値!I70&lt;安値!J70,安値!I70&lt;安値!K70),4,""))</f>
        <v/>
      </c>
      <c r="E70" s="503" t="str">
        <f>IF(終値!A70="","",IF(AND(安値!J70&lt;安値!I70,安値!J70&lt;安値!H70,安値!J70&lt;安値!K70,安値!J70&lt;安値!L70),5,""))</f>
        <v/>
      </c>
      <c r="F70" s="503" t="str">
        <f>IF(終値!A70="","",IF(AND(安値!K70&lt;安値!J70,安値!K70&lt;安値!I70,安値!K70&lt;安値!L70,安値!K70&lt;安値!M70),6,""))</f>
        <v/>
      </c>
      <c r="G70" s="503">
        <f>IF(終値!A70="","",IF(AND(安値!L70&lt;安値!K70,安値!L70&lt;安値!J70,安値!L70&lt;安値!M70,安値!L70&lt;安値!N70),7,""))</f>
        <v>7</v>
      </c>
      <c r="H70" s="503" t="str">
        <f>IF(終値!A70="","",IF(AND(安値!M70&lt;安値!L70,安値!M70&lt;安値!K70,安値!M70&lt;安値!N70,安値!M70&lt;安値!O70),8,""))</f>
        <v/>
      </c>
      <c r="I70" s="503" t="str">
        <f>IF(終値!A70="","",IF(AND(安値!N70&lt;安値!M70,安値!N70&lt;安値!L70,安値!N70&lt;安値!O70,安値!N70&lt;安値!P70),9,""))</f>
        <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f>IF(終値!A70="","",IF(AND(安値!AA70&lt;安値!Z70,安値!AA70&lt;安値!Y70,安値!AA70&lt;安値!AB70,安値!AA70&lt;安値!AC70),22,""))</f>
        <v>22</v>
      </c>
      <c r="W70" s="503" t="str">
        <f>IF(終値!A70="","",IF(AND(安値!AB70&lt;安値!AA70,安値!AB70&lt;安値!Z70,安値!AB70&lt;安値!AC70,安値!AB70&lt;安値!AD70),23,""))</f>
        <v/>
      </c>
      <c r="X70" s="503" t="str">
        <f>IF(終値!A70="","",IF(AND(安値!AC70&lt;安値!AB70,安値!AC70&lt;安値!AA70,安値!AC70&lt;安値!AD70,安値!AC70&lt;安値!AE70),24,""))</f>
        <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f>IF(終値!A70="","",IF(AND(高値!X70&gt;高値!W70,高値!X70&gt;高値!V70,高値!X70&gt;高値!Y70,高値!X70&gt;高値!Z70),19,""))</f>
        <v>19</v>
      </c>
      <c r="AU70" s="503" t="str">
        <f>IF(終値!A70="","",IF(AND(高値!Y70&gt;高値!X70,高値!Y70&gt;高値!W70,高値!Y70&gt;高値!Z70,高値!Y70&gt;高値!AA70),20,""))</f>
        <v/>
      </c>
      <c r="AV70" s="503" t="str">
        <f>IF(終値!A70="","",IF(AND(高値!Z70&gt;高値!Y70,高値!Z70&gt;高値!X70,高値!Z70&gt;高値!AA70,高値!Z70&gt;高値!AB70),21,""))</f>
        <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3</v>
      </c>
      <c r="BF70" s="503">
        <f t="shared" ref="BF70:BF133" si="8">IF($BD70&gt;=2,SMALL($B70:$AB70,2),"")</f>
        <v>7</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f>IF(終値!A71="","",IF(AND(安値!L71&lt;安値!K71,安値!L71&lt;安値!J71,安値!L71&lt;安値!M71,安値!L71&lt;安値!N71),7,""))</f>
        <v>7</v>
      </c>
      <c r="H71" s="503" t="str">
        <f>IF(終値!A71="","",IF(AND(安値!M71&lt;安値!L71,安値!M71&lt;安値!K71,安値!M71&lt;安値!N71,安値!M71&lt;安値!O71),8,""))</f>
        <v/>
      </c>
      <c r="I71" s="503" t="str">
        <f>IF(終値!A71="","",IF(AND(安値!N71&lt;安値!M71,安値!N71&lt;安値!L71,安値!N71&lt;安値!O71,安値!N71&lt;安値!P71),9,""))</f>
        <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f>IF(終値!A71="","",IF(AND(安値!AD71&lt;安値!AC71,安値!AD71&lt;安値!AB71,安値!AD71&lt;安値!AE71,安値!AD71&lt;安値!AF71),25,""))</f>
        <v>25</v>
      </c>
      <c r="Z71" s="503" t="str">
        <f>IF(終値!A71="","",IF(AND(安値!AE71&lt;安値!AD71,安値!AE71&lt;安値!AC71,安値!AE71&lt;安値!AF71,安値!AE71&lt;安値!AG71),26,""))</f>
        <v/>
      </c>
      <c r="AA71" s="503" t="str">
        <f>IF(終値!A71="","",IF(AND(安値!AF71&lt;安値!AE71,安値!AF71&lt;安値!AD71,安値!AF71&lt;安値!AG71,安値!AF71&lt;安値!AH71),27,""))</f>
        <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f>IF(終値!A71="","",IF(AND(高値!I71&gt;高値!H71,高値!I71&gt;高値!G71,高値!I71&gt;高値!J71,高値!I71&gt;高値!K71),4,""))</f>
        <v>4</v>
      </c>
      <c r="AF71" s="503" t="str">
        <f>IF(終値!A71="","",IF(AND(高値!J71&gt;高値!I71,高値!J71&gt;高値!H71,高値!J71&gt;高値!K71,高値!J71&gt;高値!L71),5,""))</f>
        <v/>
      </c>
      <c r="AG71" s="503" t="str">
        <f>IF(終値!A71="","",IF(AND(高値!K71&gt;高値!J71,高値!K71&gt;高値!I71,高値!K71&gt;高値!L71,高値!K71&gt;高値!M71),6,""))</f>
        <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f>IF(終値!A71="","",IF(AND(高値!V71&gt;高値!U71,高値!V71&gt;高値!T71,高値!V71&gt;高値!W71,高値!V71&gt;高値!X71),17,""))</f>
        <v>17</v>
      </c>
      <c r="AS71" s="503" t="str">
        <f>IF(終値!A71="","",IF(AND(高値!W71&gt;高値!V71,高値!W71&gt;高値!U71,高値!W71&gt;高値!X71,高値!W71&gt;高値!Y71),18,""))</f>
        <v/>
      </c>
      <c r="AT71" s="503" t="str">
        <f>IF(終値!A71="","",IF(AND(高値!X71&gt;高値!W71,高値!X71&gt;高値!V71,高値!X71&gt;高値!Y71,高値!X71&gt;高値!Z71),19,""))</f>
        <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f>IF(終値!A71="","",IF(AND(高値!AF71&gt;高値!AE71,高値!AF71&gt;高値!AD71,高値!AF71&gt;高値!AG71,高値!AF71&gt;高値!AH71),27,""))</f>
        <v>27</v>
      </c>
      <c r="BC71" s="503" t="str">
        <f>IF(終値!A71="","",IF(AND(高値!AG71&gt;高値!AF71,高値!AG71&gt;高値!AE71,高値!AG71&gt;高値!AH71,高値!AG71&gt;高値!AI71),28,""))</f>
        <v/>
      </c>
      <c r="BD71" s="503">
        <f t="shared" si="6"/>
        <v>2</v>
      </c>
      <c r="BE71" s="503">
        <f t="shared" si="7"/>
        <v>7</v>
      </c>
      <c r="BF71" s="503">
        <f t="shared" si="8"/>
        <v>25</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3</v>
      </c>
      <c r="BM71" s="503">
        <f t="shared" si="10"/>
        <v>4</v>
      </c>
      <c r="BN71" s="503">
        <f t="shared" si="11"/>
        <v>17</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t="str">
        <f>IF(終値!A72="","",IF(AND(安値!G72&lt;安値!F72,安値!G72&lt;安値!E72,安値!G72&lt;安値!H72,安値!G72&lt;安値!I72),2,""))</f>
        <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f>IF(終値!A72="","",IF(AND(安値!L72&lt;安値!K72,安値!L72&lt;安値!J72,安値!L72&lt;安値!M72,安値!L72&lt;安値!N72),7,""))</f>
        <v>7</v>
      </c>
      <c r="H72" s="503" t="str">
        <f>IF(終値!A72="","",IF(AND(安値!M72&lt;安値!L72,安値!M72&lt;安値!K72,安値!M72&lt;安値!N72,安値!M72&lt;安値!O72),8,""))</f>
        <v/>
      </c>
      <c r="I72" s="503" t="str">
        <f>IF(終値!A72="","",IF(AND(安値!N72&lt;安値!M72,安値!N72&lt;安値!L72,安値!N72&lt;安値!O72,安値!N72&lt;安値!P72),9,""))</f>
        <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f>IF(終値!A72="","",IF(AND(安値!R72&lt;安値!Q72,安値!R72&lt;安値!P72,安値!R72&lt;安値!S72,安値!R72&lt;安値!T72),13,""))</f>
        <v>13</v>
      </c>
      <c r="N72" s="503" t="str">
        <f>IF(終値!A72="","",IF(AND(安値!S72&lt;安値!R72,安値!S72&lt;安値!Q72,安値!S72&lt;安値!T72,安値!S72&lt;安値!U72),14,""))</f>
        <v/>
      </c>
      <c r="O72" s="503" t="str">
        <f>IF(終値!A72="","",IF(AND(安値!T72&lt;安値!S72,安値!T72&lt;安値!R72,安値!T72&lt;安値!U72,安値!T72&lt;安値!V72),15,""))</f>
        <v/>
      </c>
      <c r="P72" s="503">
        <f>IF(終値!A72="","",IF(AND(安値!U72&lt;安値!T72,安値!U72&lt;安値!S72,安値!U72&lt;安値!V72,安値!U72&lt;安値!W72),16,""))</f>
        <v>16</v>
      </c>
      <c r="Q72" s="503" t="str">
        <f>IF(終値!A72="","",IF(AND(安値!V72&lt;安値!U72,安値!V72&lt;安値!T72,安値!V72&lt;安値!W72,安値!V72&lt;安値!X72),17,""))</f>
        <v/>
      </c>
      <c r="R72" s="503" t="str">
        <f>IF(終値!A72="","",IF(AND(安値!W72&lt;安値!V72,安値!W72&lt;安値!U72,安値!W72&lt;安値!X72,安値!W72&lt;安値!Y72),18,""))</f>
        <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f>IF(終値!A72="","",IF(AND(安値!AE72&lt;安値!AD72,安値!AE72&lt;安値!AC72,安値!AE72&lt;安値!AF72,安値!AE72&lt;安値!AG72),26,""))</f>
        <v>26</v>
      </c>
      <c r="AA72" s="503" t="str">
        <f>IF(終値!A72="","",IF(AND(安値!AF72&lt;安値!AE72,安値!AF72&lt;安値!AD72,安値!AF72&lt;安値!AG72,安値!AF72&lt;安値!AH72),27,""))</f>
        <v/>
      </c>
      <c r="AB72" s="503" t="str">
        <f>IF(終値!A72="","",IF(AND(安値!AG72&lt;安値!AF72,安値!AG72&lt;安値!AE72,安値!AG72&lt;安値!AH72,安値!AG72&lt;安値!AI72),28,""))</f>
        <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f>IF(終値!A72="","",IF(AND(高値!Z72&gt;高値!Y72,高値!Z72&gt;高値!X72,高値!Z72&gt;高値!AA72,高値!Z72&gt;高値!AB72),21,""))</f>
        <v>21</v>
      </c>
      <c r="AW72" s="503" t="str">
        <f>IF(終値!A72="","",IF(AND(高値!AA72&gt;高値!Z72,高値!AA72&gt;高値!Y72,高値!AA72&gt;高値!AB72,高値!AA72&gt;高値!AC72),22,""))</f>
        <v/>
      </c>
      <c r="AX72" s="503" t="str">
        <f>IF(終値!A72="","",IF(AND(高値!AB72&gt;高値!AA72,高値!AB72&gt;高値!Z72,高値!AB72&gt;高値!AC72,高値!AB72&gt;高値!AD72),23,""))</f>
        <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4</v>
      </c>
      <c r="BE72" s="503">
        <f t="shared" si="7"/>
        <v>7</v>
      </c>
      <c r="BF72" s="503">
        <f t="shared" si="8"/>
        <v>13</v>
      </c>
      <c r="BG72" s="503">
        <f>IF($BE72="","",INDEX(安値!$E72:$CZ72,1,$BE72+1))</f>
        <v>2169</v>
      </c>
      <c r="BH72" s="503">
        <f>IF($BF72="","",INDEX(安値!$E72:$CZ72,1,$BF72+1))</f>
        <v>2350</v>
      </c>
      <c r="BI72" s="503">
        <f>IF($BF72="","",MAX(INDEX(高値!$E72:$CZ72,1,$BE72+1):INDEX(高値!$E72:$CZ72,1,$BF72+1)))</f>
        <v>2423</v>
      </c>
      <c r="BJ72" s="503">
        <f>IF($BF72="","",AVERAGE(INDEX(終値!$E72:$CZ72,1,$BF72+1):INDEX(終値!$E72:$CZ72,1,$BF72+20))-2*STDEVP(INDEX(終値!$E72:$CZ72,1,$BF72+1):INDEX(終値!$E72:$CZ72,1,$BF72+20)))</f>
        <v>1984.2212056354545</v>
      </c>
      <c r="BK72" s="503">
        <f>IF($BE72="","",AVERAGE(INDEX(終値!$E72:$CZ72,1,$BE72+1):INDEX(終値!$E72:$CZ72,1,$BE72+20))-2*STDEVP(INDEX(終値!$E72:$CZ72,1,$BE72+1):INDEX(終値!$E72:$CZ72,1,$BE72+20)))</f>
        <v>2082.4278122855521</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v>
      </c>
    </row>
    <row r="73" spans="2:72">
      <c r="B73" s="503" t="str">
        <f>IF(終値!A73="","",IF(AND(安値!G73&lt;安値!F73,安値!G73&lt;安値!E73,安値!G73&lt;安値!H73,安値!G73&lt;安値!I73),2,""))</f>
        <v/>
      </c>
      <c r="C73" s="503" t="str">
        <f>IF(終値!A73="","",IF(AND(安値!H73&lt;安値!G73,安値!H73&lt;安値!F73,安値!H73&lt;安値!I73,安値!H73&lt;安値!J73),3,""))</f>
        <v/>
      </c>
      <c r="D73" s="503">
        <f>IF(終値!A73="","",IF(AND(安値!I73&lt;安値!H73,安値!I73&lt;安値!G73,安値!I73&lt;安値!J73,安値!I73&lt;安値!K73),4,""))</f>
        <v>4</v>
      </c>
      <c r="E73" s="503" t="str">
        <f>IF(終値!A73="","",IF(AND(安値!J73&lt;安値!I73,安値!J73&lt;安値!H73,安値!J73&lt;安値!K73,安値!J73&lt;安値!L73),5,""))</f>
        <v/>
      </c>
      <c r="F73" s="503" t="str">
        <f>IF(終値!A73="","",IF(AND(安値!K73&lt;安値!J73,安値!K73&lt;安値!I73,安値!K73&lt;安値!L73,安値!K73&lt;安値!M73),6,""))</f>
        <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f>IF(終値!A73="","",IF(AND(安値!AD73&lt;安値!AC73,安値!AD73&lt;安値!AB73,安値!AD73&lt;安値!AE73,安値!AD73&lt;安値!AF73),25,""))</f>
        <v>25</v>
      </c>
      <c r="Z73" s="503" t="str">
        <f>IF(終値!A73="","",IF(AND(安値!AE73&lt;安値!AD73,安値!AE73&lt;安値!AC73,安値!AE73&lt;安値!AF73,安値!AE73&lt;安値!AG73),26,""))</f>
        <v/>
      </c>
      <c r="AA73" s="503" t="str">
        <f>IF(終値!A73="","",IF(AND(安値!AF73&lt;安値!AE73,安値!AF73&lt;安値!AD73,安値!AF73&lt;安値!AG73,安値!AF73&lt;安値!AH73),27,""))</f>
        <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f>IF(終値!A73="","",IF(AND(高値!O73&gt;高値!N73,高値!O73&gt;高値!M73,高値!O73&gt;高値!P73,高値!O73&gt;高値!Q73),10,""))</f>
        <v>10</v>
      </c>
      <c r="AL73" s="503" t="str">
        <f>IF(終値!A73="","",IF(AND(高値!P73&gt;高値!O73,高値!P73&gt;高値!N73,高値!P73&gt;高値!Q73,高値!P73&gt;高値!R73),11,""))</f>
        <v/>
      </c>
      <c r="AM73" s="503" t="str">
        <f>IF(終値!A73="","",IF(AND(高値!Q73&gt;高値!P73,高値!Q73&gt;高値!O73,高値!Q73&gt;高値!R73,高値!Q73&gt;高値!S73),12,""))</f>
        <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f>IF(終値!A73="","",IF(AND(高値!Y73&gt;高値!X73,高値!Y73&gt;高値!W73,高値!Y73&gt;高値!Z73,高値!Y73&gt;高値!AA73),20,""))</f>
        <v>20</v>
      </c>
      <c r="AV73" s="503" t="str">
        <f>IF(終値!A73="","",IF(AND(高値!Z73&gt;高値!Y73,高値!Z73&gt;高値!X73,高値!Z73&gt;高値!AA73,高値!Z73&gt;高値!AB73),21,""))</f>
        <v/>
      </c>
      <c r="AW73" s="503" t="str">
        <f>IF(終値!A73="","",IF(AND(高値!AA73&gt;高値!Z73,高値!AA73&gt;高値!Y73,高値!AA73&gt;高値!AB73,高値!AA73&gt;高値!AC73),22,""))</f>
        <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4</v>
      </c>
      <c r="BF73" s="503">
        <f t="shared" si="8"/>
        <v>25</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10</v>
      </c>
      <c r="BN73" s="503">
        <f t="shared" si="11"/>
        <v>20</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t="str">
        <f>IF(終値!A74="","",IF(AND(安値!H74&lt;安値!G74,安値!H74&lt;安値!F74,安値!H74&lt;安値!I74,安値!H74&lt;安値!J74),3,""))</f>
        <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f>IF(終値!A74="","",IF(AND(安値!L74&lt;安値!K74,安値!L74&lt;安値!J74,安値!L74&lt;安値!M74,安値!L74&lt;安値!N74),7,""))</f>
        <v>7</v>
      </c>
      <c r="H74" s="503" t="str">
        <f>IF(終値!A74="","",IF(AND(安値!M74&lt;安値!L74,安値!M74&lt;安値!K74,安値!M74&lt;安値!N74,安値!M74&lt;安値!O74),8,""))</f>
        <v/>
      </c>
      <c r="I74" s="503" t="str">
        <f>IF(終値!A74="","",IF(AND(安値!N74&lt;安値!M74,安値!N74&lt;安値!L74,安値!N74&lt;安値!O74,安値!N74&lt;安値!P74),9,""))</f>
        <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f>IF(終値!A74="","",IF(AND(安値!S74&lt;安値!R74,安値!S74&lt;安値!Q74,安値!S74&lt;安値!T74,安値!S74&lt;安値!U74),14,""))</f>
        <v>14</v>
      </c>
      <c r="O74" s="503" t="str">
        <f>IF(終値!A74="","",IF(AND(安値!T74&lt;安値!S74,安値!T74&lt;安値!R74,安値!T74&lt;安値!U74,安値!T74&lt;安値!V74),15,""))</f>
        <v/>
      </c>
      <c r="P74" s="503" t="str">
        <f>IF(終値!A74="","",IF(AND(安値!U74&lt;安値!T74,安値!U74&lt;安値!S74,安値!U74&lt;安値!V74,安値!U74&lt;安値!W74),16,""))</f>
        <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f>IF(終値!A74="","",IF(AND(安値!AA74&lt;安値!Z74,安値!AA74&lt;安値!Y74,安値!AA74&lt;安値!AB74,安値!AA74&lt;安値!AC74),22,""))</f>
        <v>22</v>
      </c>
      <c r="W74" s="503" t="str">
        <f>IF(終値!A74="","",IF(AND(安値!AB74&lt;安値!AA74,安値!AB74&lt;安値!Z74,安値!AB74&lt;安値!AC74,安値!AB74&lt;安値!AD74),23,""))</f>
        <v/>
      </c>
      <c r="X74" s="503" t="str">
        <f>IF(終値!A74="","",IF(AND(安値!AC74&lt;安値!AB74,安値!AC74&lt;安値!AA74,安値!AC74&lt;安値!AD74,安値!AC74&lt;安値!AE74),24,""))</f>
        <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f>IF(終値!A74="","",IF(AND(高値!H74&gt;高値!G74,高値!H74&gt;高値!F74,高値!H74&gt;高値!I74,高値!H74&gt;高値!J74),3,""))</f>
        <v>3</v>
      </c>
      <c r="AE74" s="503" t="str">
        <f>IF(終値!A74="","",IF(AND(高値!I74&gt;高値!H74,高値!I74&gt;高値!G74,高値!I74&gt;高値!J74,高値!I74&gt;高値!K74),4,""))</f>
        <v/>
      </c>
      <c r="AF74" s="503" t="str">
        <f>IF(終値!A74="","",IF(AND(高値!J74&gt;高値!I74,高値!J74&gt;高値!H74,高値!J74&gt;高値!K74,高値!J74&gt;高値!L74),5,""))</f>
        <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f>IF(終値!A74="","",IF(AND(高値!O74&gt;高値!N74,高値!O74&gt;高値!M74,高値!O74&gt;高値!P74,高値!O74&gt;高値!Q74),10,""))</f>
        <v>10</v>
      </c>
      <c r="AL74" s="503" t="str">
        <f>IF(終値!A74="","",IF(AND(高値!P74&gt;高値!O74,高値!P74&gt;高値!N74,高値!P74&gt;高値!Q74,高値!P74&gt;高値!R74),11,""))</f>
        <v/>
      </c>
      <c r="AM74" s="503" t="str">
        <f>IF(終値!A74="","",IF(AND(高値!Q74&gt;高値!P74,高値!Q74&gt;高値!O74,高値!Q74&gt;高値!R74,高値!Q74&gt;高値!S74),12,""))</f>
        <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f>IF(終値!A74="","",IF(AND(高値!W74&gt;高値!V74,高値!W74&gt;高値!U74,高値!W74&gt;高値!X74,高値!W74&gt;高値!Y74),18,""))</f>
        <v>18</v>
      </c>
      <c r="AT74" s="503" t="str">
        <f>IF(終値!A74="","",IF(AND(高値!X74&gt;高値!W74,高値!X74&gt;高値!V74,高値!X74&gt;高値!Y74,高値!X74&gt;高値!Z74),19,""))</f>
        <v/>
      </c>
      <c r="AU74" s="503" t="str">
        <f>IF(終値!A74="","",IF(AND(高値!Y74&gt;高値!X74,高値!Y74&gt;高値!W74,高値!Y74&gt;高値!Z74,高値!Y74&gt;高値!AA74),20,""))</f>
        <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f>IF(終値!A74="","",IF(AND(高値!AC74&gt;高値!AB74,高値!AC74&gt;高値!AA74,高値!AC74&gt;高値!AD74,高値!AC74&gt;高値!AE74),24,""))</f>
        <v>24</v>
      </c>
      <c r="AZ74" s="503" t="str">
        <f>IF(終値!A74="","",IF(AND(高値!AD74&gt;高値!AC74,高値!AD74&gt;高値!AB74,高値!AD74&gt;高値!AE74,高値!AD74&gt;高値!AF74),25,""))</f>
        <v/>
      </c>
      <c r="BA74" s="503" t="str">
        <f>IF(終値!A74="","",IF(AND(高値!AE74&gt;高値!AD74,高値!AE74&gt;高値!AC74,高値!AE74&gt;高値!AF74,高値!AE74&gt;高値!AG74),26,""))</f>
        <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3</v>
      </c>
      <c r="BE74" s="503">
        <f t="shared" si="7"/>
        <v>7</v>
      </c>
      <c r="BF74" s="503">
        <f t="shared" si="8"/>
        <v>14</v>
      </c>
      <c r="BG74" s="503">
        <f>IF($BE74="","",INDEX(安値!$E74:$CZ74,1,$BE74+1))</f>
        <v>2883</v>
      </c>
      <c r="BH74" s="503">
        <f>IF($BF74="","",INDEX(安値!$E74:$CZ74,1,$BF74+1))</f>
        <v>2991</v>
      </c>
      <c r="BI74" s="503">
        <f>IF($BF74="","",MAX(INDEX(高値!$E74:$CZ74,1,$BE74+1):INDEX(高値!$E74:$CZ74,1,$BF74+1)))</f>
        <v>3066</v>
      </c>
      <c r="BJ74" s="503">
        <f>IF($BF74="","",AVERAGE(INDEX(終値!$E74:$CZ74,1,$BF74+1):INDEX(終値!$E74:$CZ74,1,$BF74+20))-2*STDEVP(INDEX(終値!$E74:$CZ74,1,$BF74+1):INDEX(終値!$E74:$CZ74,1,$BF74+20)))</f>
        <v>2877.180450960097</v>
      </c>
      <c r="BK74" s="503">
        <f>IF($BE74="","",AVERAGE(INDEX(終値!$E74:$CZ74,1,$BE74+1):INDEX(終値!$E74:$CZ74,1,$BE74+20))-2*STDEVP(INDEX(終値!$E74:$CZ74,1,$BE74+1):INDEX(終値!$E74:$CZ74,1,$BE74+20)))</f>
        <v>2906.9766521182282</v>
      </c>
      <c r="BL74" s="503">
        <f t="shared" si="9"/>
        <v>4</v>
      </c>
      <c r="BM74" s="503">
        <f t="shared" si="10"/>
        <v>3</v>
      </c>
      <c r="BN74" s="503">
        <f t="shared" si="11"/>
        <v>10</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t="str">
        <f>IF(終値!A75="","",IF(AND(安値!N75&lt;安値!M75,安値!N75&lt;安値!L75,安値!N75&lt;安値!O75,安値!N75&lt;安値!P75),9,""))</f>
        <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t="str">
        <f>IF(終値!A75="","",IF(AND(安値!U75&lt;安値!T75,安値!U75&lt;安値!S75,安値!U75&lt;安値!V75,安値!U75&lt;安値!W75),16,""))</f>
        <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t="str">
        <f>IF(終値!A75="","",IF(AND(安値!AA75&lt;安値!Z75,安値!AA75&lt;安値!Y75,安値!AA75&lt;安値!AB75,安値!AA75&lt;安値!AC75),22,""))</f>
        <v/>
      </c>
      <c r="W75" s="503" t="str">
        <f>IF(終値!A75="","",IF(AND(安値!AB75&lt;安値!AA75,安値!AB75&lt;安値!Z75,安値!AB75&lt;安値!AC75,安値!AB75&lt;安値!AD75),23,""))</f>
        <v/>
      </c>
      <c r="X75" s="503" t="str">
        <f>IF(終値!A75="","",IF(AND(安値!AC75&lt;安値!AB75,安値!AC75&lt;安値!AA75,安値!AC75&lt;安値!AD75,安値!AC75&lt;安値!AE75),24,""))</f>
        <v/>
      </c>
      <c r="Y75" s="503" t="str">
        <f>IF(終値!A75="","",IF(AND(安値!AD75&lt;安値!AC75,安値!AD75&lt;安値!AB75,安値!AD75&lt;安値!AE75,安値!AD75&lt;安値!AF75),25,""))</f>
        <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t="str">
        <f>IF(終値!A75="","",IF(AND(高値!K75&gt;高値!J75,高値!K75&gt;高値!I75,高値!K75&gt;高値!L75,高値!K75&gt;高値!M75),6,""))</f>
        <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t="str">
        <f>IF(終値!A75="","",IF(AND(高値!R75&gt;高値!Q75,高値!R75&gt;高値!P75,高値!R75&gt;高値!S75,高値!R75&gt;高値!T75),13,""))</f>
        <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t="str">
        <f>IF(終値!A75="","",IF(AND(高値!W75&gt;高値!V75,高値!W75&gt;高値!U75,高値!W75&gt;高値!X75,高値!W75&gt;高値!Y75),18,""))</f>
        <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t="str">
        <f>IF(終値!A75="","",IF(AND(高値!AA75&gt;高値!Z75,高値!AA75&gt;高値!Y75,高値!AA75&gt;高値!AB75,高値!AA75&gt;高値!AC75),22,""))</f>
        <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t="str">
        <f>IF(終値!A75="","",IF(AND(高値!AF75&gt;高値!AE75,高値!AF75&gt;高値!AD75,高値!AF75&gt;高値!AG75,高値!AF75&gt;高値!AH75),27,""))</f>
        <v/>
      </c>
      <c r="BC75" s="503" t="str">
        <f>IF(終値!A75="","",IF(AND(高値!AG75&gt;高値!AF75,高値!AG75&gt;高値!AE75,高値!AG75&gt;高値!AH75,高値!AG75&gt;高値!AI75),28,""))</f>
        <v/>
      </c>
      <c r="BD75" s="503">
        <f t="shared" si="6"/>
        <v>0</v>
      </c>
      <c r="BE75" s="503" t="str">
        <f t="shared" si="7"/>
        <v/>
      </c>
      <c r="BF75" s="503" t="str">
        <f t="shared" si="8"/>
        <v/>
      </c>
      <c r="BG75" s="503" t="str">
        <f>IF($BE75="","",INDEX(安値!$E75:$CZ75,1,$BE75+1))</f>
        <v/>
      </c>
      <c r="BH75" s="503" t="str">
        <f>IF($BF75="","",INDEX(安値!$E75:$CZ75,1,$BF75+1))</f>
        <v/>
      </c>
      <c r="BI75" s="503" t="str">
        <f>IF($BF75="","",MAX(INDEX(高値!$E75:$CZ75,1,$BE75+1):INDEX(高値!$E75:$CZ75,1,$BF75+1)))</f>
        <v/>
      </c>
      <c r="BJ75" s="503" t="str">
        <f>IF($BF75="","",AVERAGE(INDEX(終値!$E75:$CZ75,1,$BF75+1):INDEX(終値!$E75:$CZ75,1,$BF75+20))-2*STDEVP(INDEX(終値!$E75:$CZ75,1,$BF75+1):INDEX(終値!$E75:$CZ75,1,$BF75+20)))</f>
        <v/>
      </c>
      <c r="BK75" s="503" t="str">
        <f>IF($BE75="","",AVERAGE(INDEX(終値!$E75:$CZ75,1,$BE75+1):INDEX(終値!$E75:$CZ75,1,$BE75+20))-2*STDEVP(INDEX(終値!$E75:$CZ75,1,$BE75+1):INDEX(終値!$E75:$CZ75,1,$BE75+20)))</f>
        <v/>
      </c>
      <c r="BL75" s="503">
        <f t="shared" si="9"/>
        <v>0</v>
      </c>
      <c r="BM75" s="503" t="str">
        <f t="shared" si="10"/>
        <v/>
      </c>
      <c r="BN75" s="503" t="str">
        <f t="shared" si="11"/>
        <v/>
      </c>
      <c r="BO75" s="503" t="str">
        <f>IF($BM75="","",INDEX(高値!$E75:$CZ75,1,$BM75+1))</f>
        <v/>
      </c>
      <c r="BP75" s="503" t="str">
        <f>IF($BN75="","",INDEX(高値!$E75:$CZ75,1,$BN75+1))</f>
        <v/>
      </c>
      <c r="BQ75" s="503" t="str">
        <f>IF($BN75="","",MIN(INDEX(安値!$E75:$CZ75,1,$BM75+1):INDEX(安値!$E75:$CZ75,1,$BN75+1)))</f>
        <v/>
      </c>
      <c r="BR75" s="503" t="str">
        <f>IF($BN75="","",AVERAGE(INDEX(終値!$E75:$CZ75,1,$BN75+1):INDEX(終値!$E75:$CZ75,1,$BN75+20))+2*STDEVP(INDEX(終値!$E75:$CZ75,1,$BN75+1):INDEX(終値!$E75:$CZ75,1,$BN75+20)))</f>
        <v/>
      </c>
      <c r="BS75" s="503" t="str">
        <f>IF($BM75="","",AVERAGE(INDEX(終値!$E75:$CZ75,1,$BM75+1):INDEX(終値!$E75:$CZ75,1,$BM75+20))+2*STDEVP(INDEX(終値!$E75:$CZ75,1,$BM75+1):INDEX(終値!$E75:$CZ75,1,$BM75+20)))</f>
        <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v>
      </c>
    </row>
    <row r="76" spans="2:72">
      <c r="B76" s="503" t="str">
        <f>IF(終値!A76="","",IF(AND(安値!G76&lt;安値!F76,安値!G76&lt;安値!E76,安値!G76&lt;安値!H76,安値!G76&lt;安値!I76),2,""))</f>
        <v/>
      </c>
      <c r="C76" s="503">
        <f>IF(終値!A76="","",IF(AND(安値!H76&lt;安値!G76,安値!H76&lt;安値!F76,安値!H76&lt;安値!I76,安値!H76&lt;安値!J76),3,""))</f>
        <v>3</v>
      </c>
      <c r="D76" s="503" t="str">
        <f>IF(終値!A76="","",IF(AND(安値!I76&lt;安値!H76,安値!I76&lt;安値!G76,安値!I76&lt;安値!J76,安値!I76&lt;安値!K76),4,""))</f>
        <v/>
      </c>
      <c r="E76" s="503" t="str">
        <f>IF(終値!A76="","",IF(AND(安値!J76&lt;安値!I76,安値!J76&lt;安値!H76,安値!J76&lt;安値!K76,安値!J76&lt;安値!L76),5,""))</f>
        <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f>IF(終値!A76="","",IF(AND(安値!P76&lt;安値!O76,安値!P76&lt;安値!N76,安値!P76&lt;安値!Q76,安値!P76&lt;安値!R76),11,""))</f>
        <v>11</v>
      </c>
      <c r="L76" s="503" t="str">
        <f>IF(終値!A76="","",IF(AND(安値!Q76&lt;安値!P76,安値!Q76&lt;安値!O76,安値!Q76&lt;安値!R76,安値!Q76&lt;安値!S76),12,""))</f>
        <v/>
      </c>
      <c r="M76" s="503" t="str">
        <f>IF(終値!A76="","",IF(AND(安値!R76&lt;安値!Q76,安値!R76&lt;安値!P76,安値!R76&lt;安値!S76,安値!R76&lt;安値!T76),13,""))</f>
        <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f>IF(終値!A76="","",IF(AND(安値!AF76&lt;安値!AE76,安値!AF76&lt;安値!AD76,安値!AF76&lt;安値!AG76,安値!AF76&lt;安値!AH76),27,""))</f>
        <v>27</v>
      </c>
      <c r="AB76" s="503" t="str">
        <f>IF(終値!A76="","",IF(AND(安値!AG76&lt;安値!AF76,安値!AG76&lt;安値!AE76,安値!AG76&lt;安値!AH76,安値!AG76&lt;安値!AI76),28,""))</f>
        <v/>
      </c>
      <c r="AC76" s="503">
        <f>IF(終値!A76="","",IF(AND(高値!G76&gt;高値!F76,高値!G76&gt;高値!E76,高値!G76&gt;高値!H76,高値!G76&gt;高値!I76),2,""))</f>
        <v>2</v>
      </c>
      <c r="AD76" s="503" t="str">
        <f>IF(終値!A76="","",IF(AND(高値!H76&gt;高値!G76,高値!H76&gt;高値!F76,高値!H76&gt;高値!I76,高値!H76&gt;高値!J76),3,""))</f>
        <v/>
      </c>
      <c r="AE76" s="503" t="str">
        <f>IF(終値!A76="","",IF(AND(高値!I76&gt;高値!H76,高値!I76&gt;高値!G76,高値!I76&gt;高値!J76,高値!I76&gt;高値!K76),4,""))</f>
        <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f>IF(終値!A76="","",IF(AND(高値!N76&gt;高値!M76,高値!N76&gt;高値!L76,高値!N76&gt;高値!O76,高値!N76&gt;高値!P76),9,""))</f>
        <v>9</v>
      </c>
      <c r="AK76" s="503" t="str">
        <f>IF(終値!A76="","",IF(AND(高値!O76&gt;高値!N76,高値!O76&gt;高値!M76,高値!O76&gt;高値!P76,高値!O76&gt;高値!Q76),10,""))</f>
        <v/>
      </c>
      <c r="AL76" s="503" t="str">
        <f>IF(終値!A76="","",IF(AND(高値!P76&gt;高値!O76,高値!P76&gt;高値!N76,高値!P76&gt;高値!Q76,高値!P76&gt;高値!R76),11,""))</f>
        <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f>IF(終値!A76="","",IF(AND(高値!X76&gt;高値!W76,高値!X76&gt;高値!V76,高値!X76&gt;高値!Y76,高値!X76&gt;高値!Z76),19,""))</f>
        <v>19</v>
      </c>
      <c r="AU76" s="503" t="str">
        <f>IF(終値!A76="","",IF(AND(高値!Y76&gt;高値!X76,高値!Y76&gt;高値!W76,高値!Y76&gt;高値!Z76,高値!Y76&gt;高値!AA76),20,""))</f>
        <v/>
      </c>
      <c r="AV76" s="503" t="str">
        <f>IF(終値!A76="","",IF(AND(高値!Z76&gt;高値!Y76,高値!Z76&gt;高値!X76,高値!Z76&gt;高値!AA76,高値!Z76&gt;高値!AB76),21,""))</f>
        <v/>
      </c>
      <c r="AW76" s="503">
        <f>IF(終値!A76="","",IF(AND(高値!AA76&gt;高値!Z76,高値!AA76&gt;高値!Y76,高値!AA76&gt;高値!AB76,高値!AA76&gt;高値!AC76),22,""))</f>
        <v>22</v>
      </c>
      <c r="AX76" s="503" t="str">
        <f>IF(終値!A76="","",IF(AND(高値!AB76&gt;高値!AA76,高値!AB76&gt;高値!Z76,高値!AB76&gt;高値!AC76,高値!AB76&gt;高値!AD76),23,""))</f>
        <v/>
      </c>
      <c r="AY76" s="503" t="str">
        <f>IF(終値!A76="","",IF(AND(高値!AC76&gt;高値!AB76,高値!AC76&gt;高値!AA76,高値!AC76&gt;高値!AD76,高値!AC76&gt;高値!AE76),24,""))</f>
        <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3</v>
      </c>
      <c r="BE76" s="503">
        <f t="shared" si="7"/>
        <v>3</v>
      </c>
      <c r="BF76" s="503">
        <f t="shared" si="8"/>
        <v>11</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2</v>
      </c>
      <c r="BN76" s="503">
        <f t="shared" si="11"/>
        <v>9</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f>IF(終値!A77="","",IF(AND(安値!L77&lt;安値!K77,安値!L77&lt;安値!J77,安値!L77&lt;安値!M77,安値!L77&lt;安値!N77),7,""))</f>
        <v>7</v>
      </c>
      <c r="H77" s="503" t="str">
        <f>IF(終値!A77="","",IF(AND(安値!M77&lt;安値!L77,安値!M77&lt;安値!K77,安値!M77&lt;安値!N77,安値!M77&lt;安値!O77),8,""))</f>
        <v/>
      </c>
      <c r="I77" s="503" t="str">
        <f>IF(終値!A77="","",IF(AND(安値!N77&lt;安値!M77,安値!N77&lt;安値!L77,安値!N77&lt;安値!O77,安値!N77&lt;安値!P77),9,""))</f>
        <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f>IF(終値!A77="","",IF(AND(安値!S77&lt;安値!R77,安値!S77&lt;安値!Q77,安値!S77&lt;安値!T77,安値!S77&lt;安値!U77),14,""))</f>
        <v>14</v>
      </c>
      <c r="O77" s="503" t="str">
        <f>IF(終値!A77="","",IF(AND(安値!T77&lt;安値!S77,安値!T77&lt;安値!R77,安値!T77&lt;安値!U77,安値!T77&lt;安値!V77),15,""))</f>
        <v/>
      </c>
      <c r="P77" s="503" t="str">
        <f>IF(終値!A77="","",IF(AND(安値!U77&lt;安値!T77,安値!U77&lt;安値!S77,安値!U77&lt;安値!V77,安値!U77&lt;安値!W77),16,""))</f>
        <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f>IF(終値!A77="","",IF(AND(安値!AF77&lt;安値!AE77,安値!AF77&lt;安値!AD77,安値!AF77&lt;安値!AG77,安値!AF77&lt;安値!AH77),27,""))</f>
        <v>27</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f>IF(終値!A77="","",IF(AND(高値!I77&gt;高値!H77,高値!I77&gt;高値!G77,高値!I77&gt;高値!J77,高値!I77&gt;高値!K77),4,""))</f>
        <v>4</v>
      </c>
      <c r="AF77" s="503" t="str">
        <f>IF(終値!A77="","",IF(AND(高値!J77&gt;高値!I77,高値!J77&gt;高値!H77,高値!J77&gt;高値!K77,高値!J77&gt;高値!L77),5,""))</f>
        <v/>
      </c>
      <c r="AG77" s="503" t="str">
        <f>IF(終値!A77="","",IF(AND(高値!K77&gt;高値!J77,高値!K77&gt;高値!I77,高値!K77&gt;高値!L77,高値!K77&gt;高値!M77),6,""))</f>
        <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f>IF(終値!A77="","",IF(AND(高値!O77&gt;高値!N77,高値!O77&gt;高値!M77,高値!O77&gt;高値!P77,高値!O77&gt;高値!Q77),10,""))</f>
        <v>10</v>
      </c>
      <c r="AL77" s="503" t="str">
        <f>IF(終値!A77="","",IF(AND(高値!P77&gt;高値!O77,高値!P77&gt;高値!N77,高値!P77&gt;高値!Q77,高値!P77&gt;高値!R77),11,""))</f>
        <v/>
      </c>
      <c r="AM77" s="503" t="str">
        <f>IF(終値!A77="","",IF(AND(高値!Q77&gt;高値!P77,高値!Q77&gt;高値!O77,高値!Q77&gt;高値!R77,高値!Q77&gt;高値!S77),12,""))</f>
        <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f>IF(終値!A77="","",IF(AND(高値!W77&gt;高値!V77,高値!W77&gt;高値!U77,高値!W77&gt;高値!X77,高値!W77&gt;高値!Y77),18,""))</f>
        <v>18</v>
      </c>
      <c r="AT77" s="503" t="str">
        <f>IF(終値!A77="","",IF(AND(高値!X77&gt;高値!W77,高値!X77&gt;高値!V77,高値!X77&gt;高値!Y77,高値!X77&gt;高値!Z77),19,""))</f>
        <v/>
      </c>
      <c r="AU77" s="503" t="str">
        <f>IF(終値!A77="","",IF(AND(高値!Y77&gt;高値!X77,高値!Y77&gt;高値!W77,高値!Y77&gt;高値!Z77,高値!Y77&gt;高値!AA77),20,""))</f>
        <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f>IF(終値!A77="","",IF(AND(高値!AC77&gt;高値!AB77,高値!AC77&gt;高値!AA77,高値!AC77&gt;高値!AD77,高値!AC77&gt;高値!AE77),24,""))</f>
        <v>24</v>
      </c>
      <c r="AZ77" s="503" t="str">
        <f>IF(終値!A77="","",IF(AND(高値!AD77&gt;高値!AC77,高値!AD77&gt;高値!AB77,高値!AD77&gt;高値!AE77,高値!AD77&gt;高値!AF77),25,""))</f>
        <v/>
      </c>
      <c r="BA77" s="503" t="str">
        <f>IF(終値!A77="","",IF(AND(高値!AE77&gt;高値!AD77,高値!AE77&gt;高値!AC77,高値!AE77&gt;高値!AF77,高値!AE77&gt;高値!AG77),26,""))</f>
        <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3</v>
      </c>
      <c r="BE77" s="503">
        <f t="shared" si="7"/>
        <v>7</v>
      </c>
      <c r="BF77" s="503">
        <f t="shared" si="8"/>
        <v>14</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4</v>
      </c>
      <c r="BN77" s="503">
        <f t="shared" si="11"/>
        <v>10</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二番底W形成</v>
      </c>
    </row>
    <row r="78" spans="2:72">
      <c r="B78" s="503" t="str">
        <f>IF(終値!A78="","",IF(AND(安値!G78&lt;安値!F78,安値!G78&lt;安値!E78,安値!G78&lt;安値!H78,安値!G78&lt;安値!I78),2,""))</f>
        <v/>
      </c>
      <c r="C78" s="503" t="str">
        <f>IF(終値!A78="","",IF(AND(安値!H78&lt;安値!G78,安値!H78&lt;安値!F78,安値!H78&lt;安値!I78,安値!H78&lt;安値!J78),3,""))</f>
        <v/>
      </c>
      <c r="D78" s="503">
        <f>IF(終値!A78="","",IF(AND(安値!I78&lt;安値!H78,安値!I78&lt;安値!G78,安値!I78&lt;安値!J78,安値!I78&lt;安値!K78),4,""))</f>
        <v>4</v>
      </c>
      <c r="E78" s="503" t="str">
        <f>IF(終値!A78="","",IF(AND(安値!J78&lt;安値!I78,安値!J78&lt;安値!H78,安値!J78&lt;安値!K78,安値!J78&lt;安値!L78),5,""))</f>
        <v/>
      </c>
      <c r="F78" s="503" t="str">
        <f>IF(終値!A78="","",IF(AND(安値!K78&lt;安値!J78,安値!K78&lt;安値!I78,安値!K78&lt;安値!L78,安値!K78&lt;安値!M78),6,""))</f>
        <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f>IF(終値!A78="","",IF(AND(安値!P78&lt;安値!O78,安値!P78&lt;安値!N78,安値!P78&lt;安値!Q78,安値!P78&lt;安値!R78),11,""))</f>
        <v>11</v>
      </c>
      <c r="L78" s="503" t="str">
        <f>IF(終値!A78="","",IF(AND(安値!Q78&lt;安値!P78,安値!Q78&lt;安値!O78,安値!Q78&lt;安値!R78,安値!Q78&lt;安値!S78),12,""))</f>
        <v/>
      </c>
      <c r="M78" s="503" t="str">
        <f>IF(終値!A78="","",IF(AND(安値!R78&lt;安値!Q78,安値!R78&lt;安値!P78,安値!R78&lt;安値!S78,安値!R78&lt;安値!T78),13,""))</f>
        <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f>IF(終値!A78="","",IF(AND(安値!V78&lt;安値!U78,安値!V78&lt;安値!T78,安値!V78&lt;安値!W78,安値!V78&lt;安値!X78),17,""))</f>
        <v>17</v>
      </c>
      <c r="R78" s="503" t="str">
        <f>IF(終値!A78="","",IF(AND(安値!W78&lt;安値!V78,安値!W78&lt;安値!U78,安値!W78&lt;安値!X78,安値!W78&lt;安値!Y78),18,""))</f>
        <v/>
      </c>
      <c r="S78" s="503" t="str">
        <f>IF(終値!A78="","",IF(AND(安値!X78&lt;安値!W78,安値!X78&lt;安値!V78,安値!X78&lt;安値!Y78,安値!X78&lt;安値!Z78),19,""))</f>
        <v/>
      </c>
      <c r="T78" s="503">
        <f>IF(終値!A78="","",IF(AND(安値!Y78&lt;安値!X78,安値!Y78&lt;安値!W78,安値!Y78&lt;安値!Z78,安値!Y78&lt;安値!AA78),20,""))</f>
        <v>20</v>
      </c>
      <c r="U78" s="503" t="str">
        <f>IF(終値!A78="","",IF(AND(安値!Z78&lt;安値!Y78,安値!Z78&lt;安値!X78,安値!Z78&lt;安値!AA78,安値!Z78&lt;安値!AB78),21,""))</f>
        <v/>
      </c>
      <c r="V78" s="503" t="str">
        <f>IF(終値!A78="","",IF(AND(安値!AA78&lt;安値!Z78,安値!AA78&lt;安値!Y78,安値!AA78&lt;安値!AB78,安値!AA78&lt;安値!AC78),22,""))</f>
        <v/>
      </c>
      <c r="W78" s="503" t="str">
        <f>IF(終値!A78="","",IF(AND(安値!AB78&lt;安値!AA78,安値!AB78&lt;安値!Z78,安値!AB78&lt;安値!AC78,安値!AB78&lt;安値!AD78),23,""))</f>
        <v/>
      </c>
      <c r="X78" s="503">
        <f>IF(終値!A78="","",IF(AND(安値!AC78&lt;安値!AB78,安値!AC78&lt;安値!AA78,安値!AC78&lt;安値!AD78,安値!AC78&lt;安値!AE78),24,""))</f>
        <v>24</v>
      </c>
      <c r="Y78" s="503" t="str">
        <f>IF(終値!A78="","",IF(AND(安値!AD78&lt;安値!AC78,安値!AD78&lt;安値!AB78,安値!AD78&lt;安値!AE78,安値!AD78&lt;安値!AF78),25,""))</f>
        <v/>
      </c>
      <c r="Z78" s="503" t="str">
        <f>IF(終値!A78="","",IF(AND(安値!AE78&lt;安値!AD78,安値!AE78&lt;安値!AC78,安値!AE78&lt;安値!AF78,安値!AE78&lt;安値!AG78),26,""))</f>
        <v/>
      </c>
      <c r="AA78" s="503" t="str">
        <f>IF(終値!A78="","",IF(AND(安値!AF78&lt;安値!AE78,安値!AF78&lt;安値!AD78,安値!AF78&lt;安値!AG78,安値!AF78&lt;安値!AH78),27,""))</f>
        <v/>
      </c>
      <c r="AB78" s="503" t="str">
        <f>IF(終値!A78="","",IF(AND(安値!AG78&lt;安値!AF78,安値!AG78&lt;安値!AE78,安値!AG78&lt;安値!AH78,安値!AG78&lt;安値!AI78),28,""))</f>
        <v/>
      </c>
      <c r="AC78" s="503">
        <f>IF(終値!A78="","",IF(AND(高値!G78&gt;高値!F78,高値!G78&gt;高値!E78,高値!G78&gt;高値!H78,高値!G78&gt;高値!I78),2,""))</f>
        <v>2</v>
      </c>
      <c r="AD78" s="503" t="str">
        <f>IF(終値!A78="","",IF(AND(高値!H78&gt;高値!G78,高値!H78&gt;高値!F78,高値!H78&gt;高値!I78,高値!H78&gt;高値!J78),3,""))</f>
        <v/>
      </c>
      <c r="AE78" s="503" t="str">
        <f>IF(終値!A78="","",IF(AND(高値!I78&gt;高値!H78,高値!I78&gt;高値!G78,高値!I78&gt;高値!J78,高値!I78&gt;高値!K78),4,""))</f>
        <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f>IF(終値!A78="","",IF(AND(高値!N78&gt;高値!M78,高値!N78&gt;高値!L78,高値!N78&gt;高値!O78,高値!N78&gt;高値!P78),9,""))</f>
        <v>9</v>
      </c>
      <c r="AK78" s="503" t="str">
        <f>IF(終値!A78="","",IF(AND(高値!O78&gt;高値!N78,高値!O78&gt;高値!M78,高値!O78&gt;高値!P78,高値!O78&gt;高値!Q78),10,""))</f>
        <v/>
      </c>
      <c r="AL78" s="503" t="str">
        <f>IF(終値!A78="","",IF(AND(高値!P78&gt;高値!O78,高値!P78&gt;高値!N78,高値!P78&gt;高値!Q78,高値!P78&gt;高値!R78),11,""))</f>
        <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f>IF(終値!A78="","",IF(AND(高値!T78&gt;高値!S78,高値!T78&gt;高値!R78,高値!T78&gt;高値!U78,高値!T78&gt;高値!V78),15,""))</f>
        <v>15</v>
      </c>
      <c r="AQ78" s="503" t="str">
        <f>IF(終値!A78="","",IF(AND(高値!U78&gt;高値!T78,高値!U78&gt;高値!S78,高値!U78&gt;高値!V78,高値!U78&gt;高値!W78),16,""))</f>
        <v/>
      </c>
      <c r="AR78" s="503" t="str">
        <f>IF(終値!A78="","",IF(AND(高値!V78&gt;高値!U78,高値!V78&gt;高値!T78,高値!V78&gt;高値!W78,高値!V78&gt;高値!X78),17,""))</f>
        <v/>
      </c>
      <c r="AS78" s="503" t="str">
        <f>IF(終値!A78="","",IF(AND(高値!W78&gt;高値!V78,高値!W78&gt;高値!U78,高値!W78&gt;高値!X78,高値!W78&gt;高値!Y78),18,""))</f>
        <v/>
      </c>
      <c r="AT78" s="503">
        <f>IF(終値!A78="","",IF(AND(高値!X78&gt;高値!W78,高値!X78&gt;高値!V78,高値!X78&gt;高値!Y78,高値!X78&gt;高値!Z78),19,""))</f>
        <v>19</v>
      </c>
      <c r="AU78" s="503" t="str">
        <f>IF(終値!A78="","",IF(AND(高値!Y78&gt;高値!X78,高値!Y78&gt;高値!W78,高値!Y78&gt;高値!Z78,高値!Y78&gt;高値!AA78),20,""))</f>
        <v/>
      </c>
      <c r="AV78" s="503" t="str">
        <f>IF(終値!A78="","",IF(AND(高値!Z78&gt;高値!Y78,高値!Z78&gt;高値!X78,高値!Z78&gt;高値!AA78,高値!Z78&gt;高値!AB78),21,""))</f>
        <v/>
      </c>
      <c r="AW78" s="503">
        <f>IF(終値!A78="","",IF(AND(高値!AA78&gt;高値!Z78,高値!AA78&gt;高値!Y78,高値!AA78&gt;高値!AB78,高値!AA78&gt;高値!AC78),22,""))</f>
        <v>22</v>
      </c>
      <c r="AX78" s="503" t="str">
        <f>IF(終値!A78="","",IF(AND(高値!AB78&gt;高値!AA78,高値!AB78&gt;高値!Z78,高値!AB78&gt;高値!AC78,高値!AB78&gt;高値!AD78),23,""))</f>
        <v/>
      </c>
      <c r="AY78" s="503" t="str">
        <f>IF(終値!A78="","",IF(AND(高値!AC78&gt;高値!AB78,高値!AC78&gt;高値!AA78,高値!AC78&gt;高値!AD78,高値!AC78&gt;高値!AE78),24,""))</f>
        <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5</v>
      </c>
      <c r="BE78" s="503">
        <f t="shared" si="7"/>
        <v>4</v>
      </c>
      <c r="BF78" s="503">
        <f t="shared" si="8"/>
        <v>11</v>
      </c>
      <c r="BG78" s="503">
        <f>IF($BE78="","",INDEX(安値!$E78:$CZ78,1,$BE78+1))</f>
        <v>6223</v>
      </c>
      <c r="BH78" s="503">
        <f>IF($BF78="","",INDEX(安値!$E78:$CZ78,1,$BF78+1))</f>
        <v>6394</v>
      </c>
      <c r="BI78" s="503">
        <f>IF($BF78="","",MAX(INDEX(高値!$E78:$CZ78,1,$BE78+1):INDEX(高値!$E78:$CZ78,1,$BF78+1)))</f>
        <v>7057</v>
      </c>
      <c r="BJ78" s="503">
        <f>IF($BF78="","",AVERAGE(INDEX(終値!$E78:$CZ78,1,$BF78+1):INDEX(終値!$E78:$CZ78,1,$BF78+20))-2*STDEVP(INDEX(終値!$E78:$CZ78,1,$BF78+1):INDEX(終値!$E78:$CZ78,1,$BF78+20)))</f>
        <v>6564.3473873496532</v>
      </c>
      <c r="BK78" s="503">
        <f>IF($BE78="","",AVERAGE(INDEX(終値!$E78:$CZ78,1,$BE78+1):INDEX(終値!$E78:$CZ78,1,$BE78+20))-2*STDEVP(INDEX(終値!$E78:$CZ78,1,$BE78+1):INDEX(終値!$E78:$CZ78,1,$BE78+20)))</f>
        <v>6323.2806849395656</v>
      </c>
      <c r="BL78" s="503">
        <f t="shared" si="9"/>
        <v>5</v>
      </c>
      <c r="BM78" s="503">
        <f t="shared" si="10"/>
        <v>2</v>
      </c>
      <c r="BN78" s="503">
        <f t="shared" si="11"/>
        <v>9</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v>
      </c>
    </row>
    <row r="79" spans="2:72">
      <c r="B79" s="503" t="str">
        <f>IF(終値!A79="","",IF(AND(安値!G79&lt;安値!F79,安値!G79&lt;安値!E79,安値!G79&lt;安値!H79,安値!G79&lt;安値!I79),2,""))</f>
        <v/>
      </c>
      <c r="C79" s="503" t="str">
        <f>IF(終値!A79="","",IF(AND(安値!H79&lt;安値!G79,安値!H79&lt;安値!F79,安値!H79&lt;安値!I79,安値!H79&lt;安値!J79),3,""))</f>
        <v/>
      </c>
      <c r="D79" s="503">
        <f>IF(終値!A79="","",IF(AND(安値!I79&lt;安値!H79,安値!I79&lt;安値!G79,安値!I79&lt;安値!J79,安値!I79&lt;安値!K79),4,""))</f>
        <v>4</v>
      </c>
      <c r="E79" s="503" t="str">
        <f>IF(終値!A79="","",IF(AND(安値!J79&lt;安値!I79,安値!J79&lt;安値!H79,安値!J79&lt;安値!K79,安値!J79&lt;安値!L79),5,""))</f>
        <v/>
      </c>
      <c r="F79" s="503" t="str">
        <f>IF(終値!A79="","",IF(AND(安値!K79&lt;安値!J79,安値!K79&lt;安値!I79,安値!K79&lt;安値!L79,安値!K79&lt;安値!M79),6,""))</f>
        <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f>IF(終値!A79="","",IF(AND(安値!P79&lt;安値!O79,安値!P79&lt;安値!N79,安値!P79&lt;安値!Q79,安値!P79&lt;安値!R79),11,""))</f>
        <v>11</v>
      </c>
      <c r="L79" s="503" t="str">
        <f>IF(終値!A79="","",IF(AND(安値!Q79&lt;安値!P79,安値!Q79&lt;安値!O79,安値!Q79&lt;安値!R79,安値!Q79&lt;安値!S79),12,""))</f>
        <v/>
      </c>
      <c r="M79" s="503" t="str">
        <f>IF(終値!A79="","",IF(AND(安値!R79&lt;安値!Q79,安値!R79&lt;安値!P79,安値!R79&lt;安値!S79,安値!R79&lt;安値!T79),13,""))</f>
        <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f>IF(終値!A79="","",IF(AND(安値!V79&lt;安値!U79,安値!V79&lt;安値!T79,安値!V79&lt;安値!W79,安値!V79&lt;安値!X79),17,""))</f>
        <v>17</v>
      </c>
      <c r="R79" s="503" t="str">
        <f>IF(終値!A79="","",IF(AND(安値!W79&lt;安値!V79,安値!W79&lt;安値!U79,安値!W79&lt;安値!X79,安値!W79&lt;安値!Y79),18,""))</f>
        <v/>
      </c>
      <c r="S79" s="503" t="str">
        <f>IF(終値!A79="","",IF(AND(安値!X79&lt;安値!W79,安値!X79&lt;安値!V79,安値!X79&lt;安値!Y79,安値!X79&lt;安値!Z79),19,""))</f>
        <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f>IF(終値!A79="","",IF(AND(安値!AC79&lt;安値!AB79,安値!AC79&lt;安値!AA79,安値!AC79&lt;安値!AD79,安値!AC79&lt;安値!AE79),24,""))</f>
        <v>24</v>
      </c>
      <c r="Y79" s="503" t="str">
        <f>IF(終値!A79="","",IF(AND(安値!AD79&lt;安値!AC79,安値!AD79&lt;安値!AB79,安値!AD79&lt;安値!AE79,安値!AD79&lt;安値!AF79),25,""))</f>
        <v/>
      </c>
      <c r="Z79" s="503" t="str">
        <f>IF(終値!A79="","",IF(AND(安値!AE79&lt;安値!AD79,安値!AE79&lt;安値!AC79,安値!AE79&lt;安値!AF79,安値!AE79&lt;安値!AG79),26,""))</f>
        <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f>IF(終値!A79="","",IF(AND(高値!N79&gt;高値!M79,高値!N79&gt;高値!L79,高値!N79&gt;高値!O79,高値!N79&gt;高値!P79),9,""))</f>
        <v>9</v>
      </c>
      <c r="AK79" s="503" t="str">
        <f>IF(終値!A79="","",IF(AND(高値!O79&gt;高値!N79,高値!O79&gt;高値!M79,高値!O79&gt;高値!P79,高値!O79&gt;高値!Q79),10,""))</f>
        <v/>
      </c>
      <c r="AL79" s="503" t="str">
        <f>IF(終値!A79="","",IF(AND(高値!P79&gt;高値!O79,高値!P79&gt;高値!N79,高値!P79&gt;高値!Q79,高値!P79&gt;高値!R79),11,""))</f>
        <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f>IF(終値!A79="","",IF(AND(高値!X79&gt;高値!W79,高値!X79&gt;高値!V79,高値!X79&gt;高値!Y79,高値!X79&gt;高値!Z79),19,""))</f>
        <v>19</v>
      </c>
      <c r="AU79" s="503" t="str">
        <f>IF(終値!A79="","",IF(AND(高値!Y79&gt;高値!X79,高値!Y79&gt;高値!W79,高値!Y79&gt;高値!Z79,高値!Y79&gt;高値!AA79),20,""))</f>
        <v/>
      </c>
      <c r="AV79" s="503" t="str">
        <f>IF(終値!A79="","",IF(AND(高値!Z79&gt;高値!Y79,高値!Z79&gt;高値!X79,高値!Z79&gt;高値!AA79,高値!Z79&gt;高値!AB79),21,""))</f>
        <v/>
      </c>
      <c r="AW79" s="503">
        <f>IF(終値!A79="","",IF(AND(高値!AA79&gt;高値!Z79,高値!AA79&gt;高値!Y79,高値!AA79&gt;高値!AB79,高値!AA79&gt;高値!AC79),22,""))</f>
        <v>22</v>
      </c>
      <c r="AX79" s="503" t="str">
        <f>IF(終値!A79="","",IF(AND(高値!AB79&gt;高値!AA79,高値!AB79&gt;高値!Z79,高値!AB79&gt;高値!AC79,高値!AB79&gt;高値!AD79),23,""))</f>
        <v/>
      </c>
      <c r="AY79" s="503" t="str">
        <f>IF(終値!A79="","",IF(AND(高値!AC79&gt;高値!AB79,高値!AC79&gt;高値!AA79,高値!AC79&gt;高値!AD79,高値!AC79&gt;高値!AE79),24,""))</f>
        <v/>
      </c>
      <c r="AZ79" s="503" t="str">
        <f>IF(終値!A79="","",IF(AND(高値!AD79&gt;高値!AC79,高値!AD79&gt;高値!AB79,高値!AD79&gt;高値!AE79,高値!AD79&gt;高値!AF79),25,""))</f>
        <v/>
      </c>
      <c r="BA79" s="503">
        <f>IF(終値!A79="","",IF(AND(高値!AE79&gt;高値!AD79,高値!AE79&gt;高値!AC79,高値!AE79&gt;高値!AF79,高値!AE79&gt;高値!AG79),26,""))</f>
        <v>26</v>
      </c>
      <c r="BB79" s="503" t="str">
        <f>IF(終値!A79="","",IF(AND(高値!AF79&gt;高値!AE79,高値!AF79&gt;高値!AD79,高値!AF79&gt;高値!AG79,高値!AF79&gt;高値!AH79),27,""))</f>
        <v/>
      </c>
      <c r="BC79" s="503" t="str">
        <f>IF(終値!A79="","",IF(AND(高値!AG79&gt;高値!AF79,高値!AG79&gt;高値!AE79,高値!AG79&gt;高値!AH79,高値!AG79&gt;高値!AI79),28,""))</f>
        <v/>
      </c>
      <c r="BD79" s="503">
        <f t="shared" si="6"/>
        <v>4</v>
      </c>
      <c r="BE79" s="503">
        <f t="shared" si="7"/>
        <v>4</v>
      </c>
      <c r="BF79" s="503">
        <f t="shared" si="8"/>
        <v>11</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9</v>
      </c>
      <c r="BN79" s="503">
        <f t="shared" si="11"/>
        <v>19</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t="str">
        <f>IF(終値!A80="","",IF(AND(安値!H80&lt;安値!G80,安値!H80&lt;安値!F80,安値!H80&lt;安値!I80,安値!H80&lt;安値!J80),3,""))</f>
        <v/>
      </c>
      <c r="D80" s="503">
        <f>IF(終値!A80="","",IF(AND(安値!I80&lt;安値!H80,安値!I80&lt;安値!G80,安値!I80&lt;安値!J80,安値!I80&lt;安値!K80),4,""))</f>
        <v>4</v>
      </c>
      <c r="E80" s="503" t="str">
        <f>IF(終値!A80="","",IF(AND(安値!J80&lt;安値!I80,安値!J80&lt;安値!H80,安値!J80&lt;安値!K80,安値!J80&lt;安値!L80),5,""))</f>
        <v/>
      </c>
      <c r="F80" s="503" t="str">
        <f>IF(終値!A80="","",IF(AND(安値!K80&lt;安値!J80,安値!K80&lt;安値!I80,安値!K80&lt;安値!L80,安値!K80&lt;安値!M80),6,""))</f>
        <v/>
      </c>
      <c r="G80" s="503">
        <f>IF(終値!A80="","",IF(AND(安値!L80&lt;安値!K80,安値!L80&lt;安値!J80,安値!L80&lt;安値!M80,安値!L80&lt;安値!N80),7,""))</f>
        <v>7</v>
      </c>
      <c r="H80" s="503" t="str">
        <f>IF(終値!A80="","",IF(AND(安値!M80&lt;安値!L80,安値!M80&lt;安値!K80,安値!M80&lt;安値!N80,安値!M80&lt;安値!O80),8,""))</f>
        <v/>
      </c>
      <c r="I80" s="503" t="str">
        <f>IF(終値!A80="","",IF(AND(安値!N80&lt;安値!M80,安値!N80&lt;安値!L80,安値!N80&lt;安値!O80,安値!N80&lt;安値!P80),9,""))</f>
        <v/>
      </c>
      <c r="J80" s="503" t="str">
        <f>IF(終値!A80="","",IF(AND(安値!O80&lt;安値!N80,安値!O80&lt;安値!M80,安値!O80&lt;安値!P80,安値!O80&lt;安値!Q80),10,""))</f>
        <v/>
      </c>
      <c r="K80" s="503">
        <f>IF(終値!A80="","",IF(AND(安値!P80&lt;安値!O80,安値!P80&lt;安値!N80,安値!P80&lt;安値!Q80,安値!P80&lt;安値!R80),11,""))</f>
        <v>11</v>
      </c>
      <c r="L80" s="503" t="str">
        <f>IF(終値!A80="","",IF(AND(安値!Q80&lt;安値!P80,安値!Q80&lt;安値!O80,安値!Q80&lt;安値!R80,安値!Q80&lt;安値!S80),12,""))</f>
        <v/>
      </c>
      <c r="M80" s="503" t="str">
        <f>IF(終値!A80="","",IF(AND(安値!R80&lt;安値!Q80,安値!R80&lt;安値!P80,安値!R80&lt;安値!S80,安値!R80&lt;安値!T80),13,""))</f>
        <v/>
      </c>
      <c r="N80" s="503">
        <f>IF(終値!A80="","",IF(AND(安値!S80&lt;安値!R80,安値!S80&lt;安値!Q80,安値!S80&lt;安値!T80,安値!S80&lt;安値!U80),14,""))</f>
        <v>14</v>
      </c>
      <c r="O80" s="503" t="str">
        <f>IF(終値!A80="","",IF(AND(安値!T80&lt;安値!S80,安値!T80&lt;安値!R80,安値!T80&lt;安値!U80,安値!T80&lt;安値!V80),15,""))</f>
        <v/>
      </c>
      <c r="P80" s="503" t="str">
        <f>IF(終値!A80="","",IF(AND(安値!U80&lt;安値!T80,安値!U80&lt;安値!S80,安値!U80&lt;安値!V80,安値!U80&lt;安値!W80),16,""))</f>
        <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f>IF(終値!A80="","",IF(AND(安値!AA80&lt;安値!Z80,安値!AA80&lt;安値!Y80,安値!AA80&lt;安値!AB80,安値!AA80&lt;安値!AC80),22,""))</f>
        <v>22</v>
      </c>
      <c r="W80" s="503" t="str">
        <f>IF(終値!A80="","",IF(AND(安値!AB80&lt;安値!AA80,安値!AB80&lt;安値!Z80,安値!AB80&lt;安値!AC80,安値!AB80&lt;安値!AD80),23,""))</f>
        <v/>
      </c>
      <c r="X80" s="503" t="str">
        <f>IF(終値!A80="","",IF(AND(安値!AC80&lt;安値!AB80,安値!AC80&lt;安値!AA80,安値!AC80&lt;安値!AD80,安値!AC80&lt;安値!AE80),24,""))</f>
        <v/>
      </c>
      <c r="Y80" s="503">
        <f>IF(終値!A80="","",IF(AND(安値!AD80&lt;安値!AC80,安値!AD80&lt;安値!AB80,安値!AD80&lt;安値!AE80,安値!AD80&lt;安値!AF80),25,""))</f>
        <v>25</v>
      </c>
      <c r="Z80" s="503" t="str">
        <f>IF(終値!A80="","",IF(AND(安値!AE80&lt;安値!AD80,安値!AE80&lt;安値!AC80,安値!AE80&lt;安値!AF80,安値!AE80&lt;安値!AG80),26,""))</f>
        <v/>
      </c>
      <c r="AA80" s="503" t="str">
        <f>IF(終値!A80="","",IF(AND(安値!AF80&lt;安値!AE80,安値!AF80&lt;安値!AD80,安値!AF80&lt;安値!AG80,安値!AF80&lt;安値!AH80),27,""))</f>
        <v/>
      </c>
      <c r="AB80" s="503" t="str">
        <f>IF(終値!A80="","",IF(AND(安値!AG80&lt;安値!AF80,安値!AG80&lt;安値!AE80,安値!AG80&lt;安値!AH80,安値!AG80&lt;安値!AI80),28,""))</f>
        <v/>
      </c>
      <c r="AC80" s="503" t="str">
        <f>IF(終値!A80="","",IF(AND(高値!G80&gt;高値!F80,高値!G80&gt;高値!E80,高値!G80&gt;高値!H80,高値!G80&gt;高値!I80),2,""))</f>
        <v/>
      </c>
      <c r="AD80" s="503" t="str">
        <f>IF(終値!A80="","",IF(AND(高値!H80&gt;高値!G80,高値!H80&gt;高値!F80,高値!H80&gt;高値!I80,高値!H80&gt;高値!J80),3,""))</f>
        <v/>
      </c>
      <c r="AE80" s="503">
        <f>IF(終値!A80="","",IF(AND(高値!I80&gt;高値!H80,高値!I80&gt;高値!G80,高値!I80&gt;高値!J80,高値!I80&gt;高値!K80),4,""))</f>
        <v>4</v>
      </c>
      <c r="AF80" s="503" t="str">
        <f>IF(終値!A80="","",IF(AND(高値!J80&gt;高値!I80,高値!J80&gt;高値!H80,高値!J80&gt;高値!K80,高値!J80&gt;高値!L80),5,""))</f>
        <v/>
      </c>
      <c r="AG80" s="503" t="str">
        <f>IF(終値!A80="","",IF(AND(高値!K80&gt;高値!J80,高値!K80&gt;高値!I80,高値!K80&gt;高値!L80,高値!K80&gt;高値!M80),6,""))</f>
        <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f>IF(終値!A80="","",IF(AND(高値!W80&gt;高値!V80,高値!W80&gt;高値!U80,高値!W80&gt;高値!X80,高値!W80&gt;高値!Y80),18,""))</f>
        <v>18</v>
      </c>
      <c r="AT80" s="503" t="str">
        <f>IF(終値!A80="","",IF(AND(高値!X80&gt;高値!W80,高値!X80&gt;高値!V80,高値!X80&gt;高値!Y80,高値!X80&gt;高値!Z80),19,""))</f>
        <v/>
      </c>
      <c r="AU80" s="503" t="str">
        <f>IF(終値!A80="","",IF(AND(高値!Y80&gt;高値!X80,高値!Y80&gt;高値!W80,高値!Y80&gt;高値!Z80,高値!Y80&gt;高値!AA80),20,""))</f>
        <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f>IF(終値!A80="","",IF(AND(高値!AC80&gt;高値!AB80,高値!AC80&gt;高値!AA80,高値!AC80&gt;高値!AD80,高値!AC80&gt;高値!AE80),24,""))</f>
        <v>24</v>
      </c>
      <c r="AZ80" s="503" t="str">
        <f>IF(終値!A80="","",IF(AND(高値!AD80&gt;高値!AC80,高値!AD80&gt;高値!AB80,高値!AD80&gt;高値!AE80,高値!AD80&gt;高値!AF80),25,""))</f>
        <v/>
      </c>
      <c r="BA80" s="503" t="str">
        <f>IF(終値!A80="","",IF(AND(高値!AE80&gt;高値!AD80,高値!AE80&gt;高値!AC80,高値!AE80&gt;高値!AF80,高値!AE80&gt;高値!AG80),26,""))</f>
        <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6</v>
      </c>
      <c r="BE80" s="503">
        <f t="shared" si="7"/>
        <v>4</v>
      </c>
      <c r="BF80" s="503">
        <f t="shared" si="8"/>
        <v>7</v>
      </c>
      <c r="BG80" s="503">
        <f>IF($BE80="","",INDEX(安値!$E80:$CZ80,1,$BE80+1))</f>
        <v>5710</v>
      </c>
      <c r="BH80" s="503">
        <f>IF($BF80="","",INDEX(安値!$E80:$CZ80,1,$BF80+1))</f>
        <v>0</v>
      </c>
      <c r="BI80" s="503">
        <f>IF($BF80="","",MAX(INDEX(高値!$E80:$CZ80,1,$BE80+1):INDEX(高値!$E80:$CZ80,1,$BF80+1)))</f>
        <v>5900</v>
      </c>
      <c r="BJ80" s="503">
        <f>IF($BF80="","",AVERAGE(INDEX(終値!$E80:$CZ80,1,$BF80+1):INDEX(終値!$E80:$CZ80,1,$BF80+20))-2*STDEVP(INDEX(終値!$E80:$CZ80,1,$BF80+1):INDEX(終値!$E80:$CZ80,1,$BF80+20)))</f>
        <v>5554.8478978841658</v>
      </c>
      <c r="BK80" s="503">
        <f>IF($BE80="","",AVERAGE(INDEX(終値!$E80:$CZ80,1,$BE80+1):INDEX(終値!$E80:$CZ80,1,$BE80+20))-2*STDEVP(INDEX(終値!$E80:$CZ80,1,$BE80+1):INDEX(終値!$E80:$CZ80,1,$BE80+20)))</f>
        <v>5534.9605957491849</v>
      </c>
      <c r="BL80" s="503">
        <f t="shared" si="9"/>
        <v>3</v>
      </c>
      <c r="BM80" s="503">
        <f t="shared" si="10"/>
        <v>4</v>
      </c>
      <c r="BN80" s="503">
        <f t="shared" si="11"/>
        <v>18</v>
      </c>
      <c r="BO80" s="503">
        <f>IF($BM80="","",INDEX(高値!$E80:$CZ80,1,$BM80+1))</f>
        <v>5900</v>
      </c>
      <c r="BP80" s="503">
        <f>IF($BN80="","",INDEX(高値!$E80:$CZ80,1,$BN80+1))</f>
        <v>5880</v>
      </c>
      <c r="BQ80" s="503">
        <f>IF($BN80="","",MIN(INDEX(安値!$E80:$CZ80,1,$BM80+1):INDEX(安値!$E80:$CZ80,1,$BN80+1)))</f>
        <v>5530</v>
      </c>
      <c r="BR80" s="503">
        <f>IF($BN80="","",AVERAGE(INDEX(終値!$E80:$CZ80,1,$BN80+1):INDEX(終値!$E80:$CZ80,1,$BN80+20))+2*STDEVP(INDEX(終値!$E80:$CZ80,1,$BN80+1):INDEX(終値!$E80:$CZ80,1,$BN80+20)))</f>
        <v>5815.4510405698402</v>
      </c>
      <c r="BS80" s="503">
        <f>IF($BM80="","",AVERAGE(INDEX(終値!$E80:$CZ80,1,$BM80+1):INDEX(終値!$E80:$CZ80,1,$BM80+20))+2*STDEVP(INDEX(終値!$E80:$CZ80,1,$BM80+1):INDEX(終値!$E80:$CZ80,1,$BM80+20)))</f>
        <v>5856.6183516192368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v>
      </c>
    </row>
    <row r="81" spans="2:72">
      <c r="B81" s="503" t="str">
        <f>IF(終値!A81="","",IF(AND(安値!G81&lt;安値!F81,安値!G81&lt;安値!E81,安値!G81&lt;安値!H81,安値!G81&lt;安値!I81),2,""))</f>
        <v/>
      </c>
      <c r="C81" s="503" t="str">
        <f>IF(終値!A81="","",IF(AND(安値!H81&lt;安値!G81,安値!H81&lt;安値!F81,安値!H81&lt;安値!I81,安値!H81&lt;安値!J81),3,""))</f>
        <v/>
      </c>
      <c r="D81" s="503">
        <f>IF(終値!A81="","",IF(AND(安値!I81&lt;安値!H81,安値!I81&lt;安値!G81,安値!I81&lt;安値!J81,安値!I81&lt;安値!K81),4,""))</f>
        <v>4</v>
      </c>
      <c r="E81" s="503" t="str">
        <f>IF(終値!A81="","",IF(AND(安値!J81&lt;安値!I81,安値!J81&lt;安値!H81,安値!J81&lt;安値!K81,安値!J81&lt;安値!L81),5,""))</f>
        <v/>
      </c>
      <c r="F81" s="503" t="str">
        <f>IF(終値!A81="","",IF(AND(安値!K81&lt;安値!J81,安値!K81&lt;安値!I81,安値!K81&lt;安値!L81,安値!K81&lt;安値!M81),6,""))</f>
        <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f>IF(終値!A81="","",IF(AND(安値!P81&lt;安値!O81,安値!P81&lt;安値!N81,安値!P81&lt;安値!Q81,安値!P81&lt;安値!R81),11,""))</f>
        <v>11</v>
      </c>
      <c r="L81" s="503" t="str">
        <f>IF(終値!A81="","",IF(AND(安値!Q81&lt;安値!P81,安値!Q81&lt;安値!O81,安値!Q81&lt;安値!R81,安値!Q81&lt;安値!S81),12,""))</f>
        <v/>
      </c>
      <c r="M81" s="503" t="str">
        <f>IF(終値!A81="","",IF(AND(安値!R81&lt;安値!Q81,安値!R81&lt;安値!P81,安値!R81&lt;安値!S81,安値!R81&lt;安値!T81),13,""))</f>
        <v/>
      </c>
      <c r="N81" s="503" t="str">
        <f>IF(終値!A81="","",IF(AND(安値!S81&lt;安値!R81,安値!S81&lt;安値!Q81,安値!S81&lt;安値!T81,安値!S81&lt;安値!U81),14,""))</f>
        <v/>
      </c>
      <c r="O81" s="503" t="str">
        <f>IF(終値!A81="","",IF(AND(安値!T81&lt;安値!S81,安値!T81&lt;安値!R81,安値!T81&lt;安値!U81,安値!T81&lt;安値!V81),15,""))</f>
        <v/>
      </c>
      <c r="P81" s="503">
        <f>IF(終値!A81="","",IF(AND(安値!U81&lt;安値!T81,安値!U81&lt;安値!S81,安値!U81&lt;安値!V81,安値!U81&lt;安値!W81),16,""))</f>
        <v>16</v>
      </c>
      <c r="Q81" s="503" t="str">
        <f>IF(終値!A81="","",IF(AND(安値!V81&lt;安値!U81,安値!V81&lt;安値!T81,安値!V81&lt;安値!W81,安値!V81&lt;安値!X81),17,""))</f>
        <v/>
      </c>
      <c r="R81" s="503" t="str">
        <f>IF(終値!A81="","",IF(AND(安値!W81&lt;安値!V81,安値!W81&lt;安値!U81,安値!W81&lt;安値!X81,安値!W81&lt;安値!Y81),18,""))</f>
        <v/>
      </c>
      <c r="S81" s="503" t="str">
        <f>IF(終値!A81="","",IF(AND(安値!X81&lt;安値!W81,安値!X81&lt;安値!V81,安値!X81&lt;安値!Y81,安値!X81&lt;安値!Z81),19,""))</f>
        <v/>
      </c>
      <c r="T81" s="503" t="str">
        <f>IF(終値!A81="","",IF(AND(安値!Y81&lt;安値!X81,安値!Y81&lt;安値!W81,安値!Y81&lt;安値!Z81,安値!Y81&lt;安値!AA81),20,""))</f>
        <v/>
      </c>
      <c r="U81" s="503">
        <f>IF(終値!A81="","",IF(AND(安値!Z81&lt;安値!Y81,安値!Z81&lt;安値!X81,安値!Z81&lt;安値!AA81,安値!Z81&lt;安値!AB81),21,""))</f>
        <v>21</v>
      </c>
      <c r="V81" s="503" t="str">
        <f>IF(終値!A81="","",IF(AND(安値!AA81&lt;安値!Z81,安値!AA81&lt;安値!Y81,安値!AA81&lt;安値!AB81,安値!AA81&lt;安値!AC81),22,""))</f>
        <v/>
      </c>
      <c r="W81" s="503" t="str">
        <f>IF(終値!A81="","",IF(AND(安値!AB81&lt;安値!AA81,安値!AB81&lt;安値!Z81,安値!AB81&lt;安値!AC81,安値!AB81&lt;安値!AD81),23,""))</f>
        <v/>
      </c>
      <c r="X81" s="503">
        <f>IF(終値!A81="","",IF(AND(安値!AC81&lt;安値!AB81,安値!AC81&lt;安値!AA81,安値!AC81&lt;安値!AD81,安値!AC81&lt;安値!AE81),24,""))</f>
        <v>24</v>
      </c>
      <c r="Y81" s="503" t="str">
        <f>IF(終値!A81="","",IF(AND(安値!AD81&lt;安値!AC81,安値!AD81&lt;安値!AB81,安値!AD81&lt;安値!AE81,安値!AD81&lt;安値!AF81),25,""))</f>
        <v/>
      </c>
      <c r="Z81" s="503" t="str">
        <f>IF(終値!A81="","",IF(AND(安値!AE81&lt;安値!AD81,安値!AE81&lt;安値!AC81,安値!AE81&lt;安値!AF81,安値!AE81&lt;安値!AG81),26,""))</f>
        <v/>
      </c>
      <c r="AA81" s="503" t="str">
        <f>IF(終値!A81="","",IF(AND(安値!AF81&lt;安値!AE81,安値!AF81&lt;安値!AD81,安値!AF81&lt;安値!AG81,安値!AF81&lt;安値!AH81),27,""))</f>
        <v/>
      </c>
      <c r="AB81" s="503" t="str">
        <f>IF(終値!A81="","",IF(AND(安値!AG81&lt;安値!AF81,安値!AG81&lt;安値!AE81,安値!AG81&lt;安値!AH81,安値!AG81&lt;安値!AI81),28,""))</f>
        <v/>
      </c>
      <c r="AC81" s="503" t="str">
        <f>IF(終値!A81="","",IF(AND(高値!G81&gt;高値!F81,高値!G81&gt;高値!E81,高値!G81&gt;高値!H81,高値!G81&gt;高値!I81),2,""))</f>
        <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f>IF(終値!A81="","",IF(AND(高値!K81&gt;高値!J81,高値!K81&gt;高値!I81,高値!K81&gt;高値!L81,高値!K81&gt;高値!M81),6,""))</f>
        <v>6</v>
      </c>
      <c r="AH81" s="503" t="str">
        <f>IF(終値!A81="","",IF(AND(高値!L81&gt;高値!K81,高値!L81&gt;高値!J81,高値!L81&gt;高値!M81,高値!L81&gt;高値!N81),7,""))</f>
        <v/>
      </c>
      <c r="AI81" s="503" t="str">
        <f>IF(終値!A81="","",IF(AND(高値!M81&gt;高値!L81,高値!M81&gt;高値!K81,高値!M81&gt;高値!N81,高値!M81&gt;高値!O81),8,""))</f>
        <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f>IF(終値!A81="","",IF(AND(高値!S81&gt;高値!R81,高値!S81&gt;高値!Q81,高値!S81&gt;高値!T81,高値!S81&gt;高値!U81),14,""))</f>
        <v>14</v>
      </c>
      <c r="AP81" s="503" t="str">
        <f>IF(終値!A81="","",IF(AND(高値!T81&gt;高値!S81,高値!T81&gt;高値!R81,高値!T81&gt;高値!U81,高値!T81&gt;高値!V81),15,""))</f>
        <v/>
      </c>
      <c r="AQ81" s="503" t="str">
        <f>IF(終値!A81="","",IF(AND(高値!U81&gt;高値!T81,高値!U81&gt;高値!S81,高値!U81&gt;高値!V81,高値!U81&gt;高値!W81),16,""))</f>
        <v/>
      </c>
      <c r="AR81" s="503" t="str">
        <f>IF(終値!A81="","",IF(AND(高値!V81&gt;高値!U81,高値!V81&gt;高値!T81,高値!V81&gt;高値!W81,高値!V81&gt;高値!X81),17,""))</f>
        <v/>
      </c>
      <c r="AS81" s="503" t="str">
        <f>IF(終値!A81="","",IF(AND(高値!W81&gt;高値!V81,高値!W81&gt;高値!U81,高値!W81&gt;高値!X81,高値!W81&gt;高値!Y81),18,""))</f>
        <v/>
      </c>
      <c r="AT81" s="503">
        <f>IF(終値!A81="","",IF(AND(高値!X81&gt;高値!W81,高値!X81&gt;高値!V81,高値!X81&gt;高値!Y81,高値!X81&gt;高値!Z81),19,""))</f>
        <v>19</v>
      </c>
      <c r="AU81" s="503" t="str">
        <f>IF(終値!A81="","",IF(AND(高値!Y81&gt;高値!X81,高値!Y81&gt;高値!W81,高値!Y81&gt;高値!Z81,高値!Y81&gt;高値!AA81),20,""))</f>
        <v/>
      </c>
      <c r="AV81" s="503" t="str">
        <f>IF(終値!A81="","",IF(AND(高値!Z81&gt;高値!Y81,高値!Z81&gt;高値!X81,高値!Z81&gt;高値!AA81,高値!Z81&gt;高値!AB81),21,""))</f>
        <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f>IF(終値!A81="","",IF(AND(高値!AG81&gt;高値!AF81,高値!AG81&gt;高値!AE81,高値!AG81&gt;高値!AH81,高値!AG81&gt;高値!AI81),28,""))</f>
        <v>28</v>
      </c>
      <c r="BD81" s="503">
        <f t="shared" si="6"/>
        <v>5</v>
      </c>
      <c r="BE81" s="503">
        <f t="shared" si="7"/>
        <v>4</v>
      </c>
      <c r="BF81" s="503">
        <f t="shared" si="8"/>
        <v>11</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6</v>
      </c>
      <c r="BN81" s="503">
        <f t="shared" si="11"/>
        <v>14</v>
      </c>
      <c r="BO81" s="503">
        <f>IF($BM81="","",INDEX(高値!$E81:$CZ81,1,$BM81+1))</f>
        <v>6022</v>
      </c>
      <c r="BP81" s="503">
        <f>IF($BN81="","",INDEX(高値!$E81:$CZ81,1,$BN81+1))</f>
        <v>5659</v>
      </c>
      <c r="BQ81" s="503">
        <f>IF($BN81="","",MIN(INDEX(安値!$E81:$CZ81,1,$BM81+1):INDEX(安値!$E81:$CZ81,1,$BN81+1)))</f>
        <v>5326</v>
      </c>
      <c r="BR81" s="503">
        <f>IF($BN81="","",AVERAGE(INDEX(終値!$E81:$CZ81,1,$BN81+1):INDEX(終値!$E81:$CZ81,1,$BN81+20))+2*STDEVP(INDEX(終値!$E81:$CZ81,1,$BN81+1):INDEX(終値!$E81:$CZ81,1,$BN81+20)))</f>
        <v>5849.7795693050521</v>
      </c>
      <c r="BS81" s="503">
        <f>IF($BM81="","",AVERAGE(INDEX(終値!$E81:$CZ81,1,$BM81+1):INDEX(終値!$E81:$CZ81,1,$BM81+20))+2*STDEVP(INDEX(終値!$E81:$CZ81,1,$BM81+1):INDEX(終値!$E81:$CZ81,1,$BM81+20)))</f>
        <v>5945.1224369974316</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二番底W▲</v>
      </c>
    </row>
    <row r="82" spans="2:72">
      <c r="B82" s="503" t="str">
        <f>IF(終値!A82="","",IF(AND(安値!G82&lt;安値!F82,安値!G82&lt;安値!E82,安値!G82&lt;安値!H82,安値!G82&lt;安値!I82),2,""))</f>
        <v/>
      </c>
      <c r="C82" s="503" t="str">
        <f>IF(終値!A82="","",IF(AND(安値!H82&lt;安値!G82,安値!H82&lt;安値!F82,安値!H82&lt;安値!I82,安値!H82&lt;安値!J82),3,""))</f>
        <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f>IF(終値!A82="","",IF(AND(安値!P82&lt;安値!O82,安値!P82&lt;安値!N82,安値!P82&lt;安値!Q82,安値!P82&lt;安値!R82),11,""))</f>
        <v>11</v>
      </c>
      <c r="L82" s="503" t="str">
        <f>IF(終値!A82="","",IF(AND(安値!Q82&lt;安値!P82,安値!Q82&lt;安値!O82,安値!Q82&lt;安値!R82,安値!Q82&lt;安値!S82),12,""))</f>
        <v/>
      </c>
      <c r="M82" s="503" t="str">
        <f>IF(終値!A82="","",IF(AND(安値!R82&lt;安値!Q82,安値!R82&lt;安値!P82,安値!R82&lt;安値!S82,安値!R82&lt;安値!T82),13,""))</f>
        <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f>IF(終値!A82="","",IF(AND(安値!AF82&lt;安値!AE82,安値!AF82&lt;安値!AD82,安値!AF82&lt;安値!AG82,安値!AF82&lt;安値!AH82),27,""))</f>
        <v>27</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f>IF(終値!A82="","",IF(AND(高値!K82&gt;高値!J82,高値!K82&gt;高値!I82,高値!K82&gt;高値!L82,高値!K82&gt;高値!M82),6,""))</f>
        <v>6</v>
      </c>
      <c r="AH82" s="503" t="str">
        <f>IF(終値!A82="","",IF(AND(高値!L82&gt;高値!K82,高値!L82&gt;高値!J82,高値!L82&gt;高値!M82,高値!L82&gt;高値!N82),7,""))</f>
        <v/>
      </c>
      <c r="AI82" s="503" t="str">
        <f>IF(終値!A82="","",IF(AND(高値!M82&gt;高値!L82,高値!M82&gt;高値!K82,高値!M82&gt;高値!N82,高値!M82&gt;高値!O82),8,""))</f>
        <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f>IF(終値!A82="","",IF(AND(高値!T82&gt;高値!S82,高値!T82&gt;高値!R82,高値!T82&gt;高値!U82,高値!T82&gt;高値!V82),15,""))</f>
        <v>15</v>
      </c>
      <c r="AQ82" s="503" t="str">
        <f>IF(終値!A82="","",IF(AND(高値!U82&gt;高値!T82,高値!U82&gt;高値!S82,高値!U82&gt;高値!V82,高値!U82&gt;高値!W82),16,""))</f>
        <v/>
      </c>
      <c r="AR82" s="503" t="str">
        <f>IF(終値!A82="","",IF(AND(高値!V82&gt;高値!U82,高値!V82&gt;高値!T82,高値!V82&gt;高値!W82,高値!V82&gt;高値!X82),17,""))</f>
        <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11</v>
      </c>
      <c r="BF82" s="503">
        <f t="shared" si="8"/>
        <v>27</v>
      </c>
      <c r="BG82" s="503">
        <f>IF($BE82="","",INDEX(安値!$E82:$CZ82,1,$BE82+1))</f>
        <v>1408</v>
      </c>
      <c r="BH82" s="503">
        <f>IF($BF82="","",INDEX(安値!$E82:$CZ82,1,$BF82+1))</f>
        <v>1375</v>
      </c>
      <c r="BI82" s="503">
        <f>IF($BF82="","",MAX(INDEX(高値!$E82:$CZ82,1,$BE82+1):INDEX(高値!$E82:$CZ82,1,$BF82+1)))</f>
        <v>1585.5</v>
      </c>
      <c r="BJ82" s="503">
        <f>IF($BF82="","",AVERAGE(INDEX(終値!$E82:$CZ82,1,$BF82+1):INDEX(終値!$E82:$CZ82,1,$BF82+20))-2*STDEVP(INDEX(終値!$E82:$CZ82,1,$BF82+1):INDEX(終値!$E82:$CZ82,1,$BF82+20)))</f>
        <v>1311.2807719653649</v>
      </c>
      <c r="BK82" s="503">
        <f>IF($BE82="","",AVERAGE(INDEX(終値!$E82:$CZ82,1,$BE82+1):INDEX(終値!$E82:$CZ82,1,$BE82+20))-2*STDEVP(INDEX(終値!$E82:$CZ82,1,$BE82+1):INDEX(終値!$E82:$CZ82,1,$BE82+20)))</f>
        <v>1344.5760406311954</v>
      </c>
      <c r="BL82" s="503">
        <f t="shared" si="9"/>
        <v>2</v>
      </c>
      <c r="BM82" s="503">
        <f t="shared" si="10"/>
        <v>6</v>
      </c>
      <c r="BN82" s="503">
        <f t="shared" si="11"/>
        <v>15</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二番底W形成</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f>IF(終値!A83="","",IF(AND(安値!L83&lt;安値!K83,安値!L83&lt;安値!J83,安値!L83&lt;安値!M83,安値!L83&lt;安値!N83),7,""))</f>
        <v>7</v>
      </c>
      <c r="H83" s="503" t="str">
        <f>IF(終値!A83="","",IF(AND(安値!M83&lt;安値!L83,安値!M83&lt;安値!K83,安値!M83&lt;安値!N83,安値!M83&lt;安値!O83),8,""))</f>
        <v/>
      </c>
      <c r="I83" s="503" t="str">
        <f>IF(終値!A83="","",IF(AND(安値!N83&lt;安値!M83,安値!N83&lt;安値!L83,安値!N83&lt;安値!O83,安値!N83&lt;安値!P83),9,""))</f>
        <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f>IF(終値!A83="","",IF(AND(安値!S83&lt;安値!R83,安値!S83&lt;安値!Q83,安値!S83&lt;安値!T83,安値!S83&lt;安値!U83),14,""))</f>
        <v>14</v>
      </c>
      <c r="O83" s="503" t="str">
        <f>IF(終値!A83="","",IF(AND(安値!T83&lt;安値!S83,安値!T83&lt;安値!R83,安値!T83&lt;安値!U83,安値!T83&lt;安値!V83),15,""))</f>
        <v/>
      </c>
      <c r="P83" s="503" t="str">
        <f>IF(終値!A83="","",IF(AND(安値!U83&lt;安値!T83,安値!U83&lt;安値!S83,安値!U83&lt;安値!V83,安値!U83&lt;安値!W83),16,""))</f>
        <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f>IF(終値!A83="","",IF(AND(安値!AA83&lt;安値!Z83,安値!AA83&lt;安値!Y83,安値!AA83&lt;安値!AB83,安値!AA83&lt;安値!AC83),22,""))</f>
        <v>22</v>
      </c>
      <c r="W83" s="503" t="str">
        <f>IF(終値!A83="","",IF(AND(安値!AB83&lt;安値!AA83,安値!AB83&lt;安値!Z83,安値!AB83&lt;安値!AC83,安値!AB83&lt;安値!AD83),23,""))</f>
        <v/>
      </c>
      <c r="X83" s="503" t="str">
        <f>IF(終値!A83="","",IF(AND(安値!AC83&lt;安値!AB83,安値!AC83&lt;安値!AA83,安値!AC83&lt;安値!AD83,安値!AC83&lt;安値!AE83),24,""))</f>
        <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f>IF(終値!A83="","",IF(AND(高値!I83&gt;高値!H83,高値!I83&gt;高値!G83,高値!I83&gt;高値!J83,高値!I83&gt;高値!K83),4,""))</f>
        <v>4</v>
      </c>
      <c r="AF83" s="503" t="str">
        <f>IF(終値!A83="","",IF(AND(高値!J83&gt;高値!I83,高値!J83&gt;高値!H83,高値!J83&gt;高値!K83,高値!J83&gt;高値!L83),5,""))</f>
        <v/>
      </c>
      <c r="AG83" s="503" t="str">
        <f>IF(終値!A83="","",IF(AND(高値!K83&gt;高値!J83,高値!K83&gt;高値!I83,高値!K83&gt;高値!L83,高値!K83&gt;高値!M83),6,""))</f>
        <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f>IF(終値!A83="","",IF(AND(高値!P83&gt;高値!O83,高値!P83&gt;高値!N83,高値!P83&gt;高値!Q83,高値!P83&gt;高値!R83),11,""))</f>
        <v>11</v>
      </c>
      <c r="AM83" s="503" t="str">
        <f>IF(終値!A83="","",IF(AND(高値!Q83&gt;高値!P83,高値!Q83&gt;高値!O83,高値!Q83&gt;高値!R83,高値!Q83&gt;高値!S83),12,""))</f>
        <v/>
      </c>
      <c r="AN83" s="503" t="str">
        <f>IF(終値!A83="","",IF(AND(高値!R83&gt;高値!Q83,高値!R83&gt;高値!P83,高値!R83&gt;高値!S83,高値!R83&gt;高値!T83),13,""))</f>
        <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f>IF(終値!A83="","",IF(AND(高値!AC83&gt;高値!AB83,高値!AC83&gt;高値!AA83,高値!AC83&gt;高値!AD83,高値!AC83&gt;高値!AE83),24,""))</f>
        <v>24</v>
      </c>
      <c r="AZ83" s="503" t="str">
        <f>IF(終値!A83="","",IF(AND(高値!AD83&gt;高値!AC83,高値!AD83&gt;高値!AB83,高値!AD83&gt;高値!AE83,高値!AD83&gt;高値!AF83),25,""))</f>
        <v/>
      </c>
      <c r="BA83" s="503" t="str">
        <f>IF(終値!A83="","",IF(AND(高値!AE83&gt;高値!AD83,高値!AE83&gt;高値!AC83,高値!AE83&gt;高値!AF83,高値!AE83&gt;高値!AG83),26,""))</f>
        <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7</v>
      </c>
      <c r="BF83" s="503">
        <f t="shared" si="8"/>
        <v>14</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4</v>
      </c>
      <c r="BN83" s="503">
        <f t="shared" si="11"/>
        <v>11</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t="str">
        <f>IF(終値!A84="","",IF(AND(安値!H84&lt;安値!G84,安値!H84&lt;安値!F84,安値!H84&lt;安値!I84,安値!H84&lt;安値!J84),3,""))</f>
        <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f>IF(終値!A84="","",IF(AND(安値!M84&lt;安値!L84,安値!M84&lt;安値!K84,安値!M84&lt;安値!N84,安値!M84&lt;安値!O84),8,""))</f>
        <v>8</v>
      </c>
      <c r="I84" s="503" t="str">
        <f>IF(終値!A84="","",IF(AND(安値!N84&lt;安値!M84,安値!N84&lt;安値!L84,安値!N84&lt;安値!O84,安値!N84&lt;安値!P84),9,""))</f>
        <v/>
      </c>
      <c r="J84" s="503" t="str">
        <f>IF(終値!A84="","",IF(AND(安値!O84&lt;安値!N84,安値!O84&lt;安値!M84,安値!O84&lt;安値!P84,安値!O84&lt;安値!Q84),10,""))</f>
        <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f>IF(終値!A84="","",IF(AND(安値!T84&lt;安値!S84,安値!T84&lt;安値!R84,安値!T84&lt;安値!U84,安値!T84&lt;安値!V84),15,""))</f>
        <v>15</v>
      </c>
      <c r="P84" s="503" t="str">
        <f>IF(終値!A84="","",IF(AND(安値!U84&lt;安値!T84,安値!U84&lt;安値!S84,安値!U84&lt;安値!V84,安値!U84&lt;安値!W84),16,""))</f>
        <v/>
      </c>
      <c r="Q84" s="503" t="str">
        <f>IF(終値!A84="","",IF(AND(安値!V84&lt;安値!U84,安値!V84&lt;安値!T84,安値!V84&lt;安値!W84,安値!V84&lt;安値!X84),17,""))</f>
        <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f>IF(終値!A84="","",IF(AND(安値!AD84&lt;安値!AC84,安値!AD84&lt;安値!AB84,安値!AD84&lt;安値!AE84,安値!AD84&lt;安値!AF84),25,""))</f>
        <v>25</v>
      </c>
      <c r="Z84" s="503" t="str">
        <f>IF(終値!A84="","",IF(AND(安値!AE84&lt;安値!AD84,安値!AE84&lt;安値!AC84,安値!AE84&lt;安値!AF84,安値!AE84&lt;安値!AG84),26,""))</f>
        <v/>
      </c>
      <c r="AA84" s="503" t="str">
        <f>IF(終値!A84="","",IF(AND(安値!AF84&lt;安値!AE84,安値!AF84&lt;安値!AD84,安値!AF84&lt;安値!AG84,安値!AF84&lt;安値!AH84),27,""))</f>
        <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f>IF(終値!A84="","",IF(AND(高値!I84&gt;高値!H84,高値!I84&gt;高値!G84,高値!I84&gt;高値!J84,高値!I84&gt;高値!K84),4,""))</f>
        <v>4</v>
      </c>
      <c r="AF84" s="503" t="str">
        <f>IF(終値!A84="","",IF(AND(高値!J84&gt;高値!I84,高値!J84&gt;高値!H84,高値!J84&gt;高値!K84,高値!J84&gt;高値!L84),5,""))</f>
        <v/>
      </c>
      <c r="AG84" s="503" t="str">
        <f>IF(終値!A84="","",IF(AND(高値!K84&gt;高値!J84,高値!K84&gt;高値!I84,高値!K84&gt;高値!L84,高値!K84&gt;高値!M84),6,""))</f>
        <v/>
      </c>
      <c r="AH84" s="503" t="str">
        <f>IF(終値!A84="","",IF(AND(高値!L84&gt;高値!K84,高値!L84&gt;高値!J84,高値!L84&gt;高値!M84,高値!L84&gt;高値!N84),7,""))</f>
        <v/>
      </c>
      <c r="AI84" s="503" t="str">
        <f>IF(終値!A84="","",IF(AND(高値!M84&gt;高値!L84,高値!M84&gt;高値!K84,高値!M84&gt;高値!N84,高値!M84&gt;高値!O84),8,""))</f>
        <v/>
      </c>
      <c r="AJ84" s="503">
        <f>IF(終値!A84="","",IF(AND(高値!N84&gt;高値!M84,高値!N84&gt;高値!L84,高値!N84&gt;高値!O84,高値!N84&gt;高値!P84),9,""))</f>
        <v>9</v>
      </c>
      <c r="AK84" s="503" t="str">
        <f>IF(終値!A84="","",IF(AND(高値!O84&gt;高値!N84,高値!O84&gt;高値!M84,高値!O84&gt;高値!P84,高値!O84&gt;高値!Q84),10,""))</f>
        <v/>
      </c>
      <c r="AL84" s="503" t="str">
        <f>IF(終値!A84="","",IF(AND(高値!P84&gt;高値!O84,高値!P84&gt;高値!N84,高値!P84&gt;高値!Q84,高値!P84&gt;高値!R84),11,""))</f>
        <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f>IF(終値!A84="","",IF(AND(高値!W84&gt;高値!V84,高値!W84&gt;高値!U84,高値!W84&gt;高値!X84,高値!W84&gt;高値!Y84),18,""))</f>
        <v>18</v>
      </c>
      <c r="AT84" s="503" t="str">
        <f>IF(終値!A84="","",IF(AND(高値!X84&gt;高値!W84,高値!X84&gt;高値!V84,高値!X84&gt;高値!Y84,高値!X84&gt;高値!Z84),19,""))</f>
        <v/>
      </c>
      <c r="AU84" s="503" t="str">
        <f>IF(終値!A84="","",IF(AND(高値!Y84&gt;高値!X84,高値!Y84&gt;高値!W84,高値!Y84&gt;高値!Z84,高値!Y84&gt;高値!AA84),20,""))</f>
        <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3</v>
      </c>
      <c r="BE84" s="503">
        <f t="shared" si="7"/>
        <v>8</v>
      </c>
      <c r="BF84" s="503">
        <f t="shared" si="8"/>
        <v>15</v>
      </c>
      <c r="BG84" s="503">
        <f>IF($BE84="","",INDEX(安値!$E84:$CZ84,1,$BE84+1))</f>
        <v>1699</v>
      </c>
      <c r="BH84" s="503">
        <f>IF($BF84="","",INDEX(安値!$E84:$CZ84,1,$BF84+1))</f>
        <v>1609</v>
      </c>
      <c r="BI84" s="503">
        <f>IF($BF84="","",MAX(INDEX(高値!$E84:$CZ84,1,$BE84+1):INDEX(高値!$E84:$CZ84,1,$BF84+1)))</f>
        <v>1747.5</v>
      </c>
      <c r="BJ84" s="503">
        <f>IF($BF84="","",AVERAGE(INDEX(終値!$E84:$CZ84,1,$BF84+1):INDEX(終値!$E84:$CZ84,1,$BF84+20))-2*STDEVP(INDEX(終値!$E84:$CZ84,1,$BF84+1):INDEX(終値!$E84:$CZ84,1,$BF84+20)))</f>
        <v>1523.0977932259007</v>
      </c>
      <c r="BK84" s="503">
        <f>IF($BE84="","",AVERAGE(INDEX(終値!$E84:$CZ84,1,$BE84+1):INDEX(終値!$E84:$CZ84,1,$BE84+20))-2*STDEVP(INDEX(終値!$E84:$CZ84,1,$BE84+1):INDEX(終値!$E84:$CZ84,1,$BE84+20)))</f>
        <v>1503.233108916517</v>
      </c>
      <c r="BL84" s="503">
        <f t="shared" si="9"/>
        <v>3</v>
      </c>
      <c r="BM84" s="503">
        <f t="shared" si="10"/>
        <v>4</v>
      </c>
      <c r="BN84" s="503">
        <f t="shared" si="11"/>
        <v>9</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v>
      </c>
    </row>
    <row r="85" spans="2:72">
      <c r="B85" s="503" t="str">
        <f>IF(終値!A85="","",IF(AND(安値!G85&lt;安値!F85,安値!G85&lt;安値!E85,安値!G85&lt;安値!H85,安値!G85&lt;安値!I85),2,""))</f>
        <v/>
      </c>
      <c r="C85" s="503" t="str">
        <f>IF(終値!A85="","",IF(AND(安値!H85&lt;安値!G85,安値!H85&lt;安値!F85,安値!H85&lt;安値!I85,安値!H85&lt;安値!J85),3,""))</f>
        <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f>IF(終値!A85="","",IF(AND(安値!P85&lt;安値!O85,安値!P85&lt;安値!N85,安値!P85&lt;安値!Q85,安値!P85&lt;安値!R85),11,""))</f>
        <v>11</v>
      </c>
      <c r="L85" s="503" t="str">
        <f>IF(終値!A85="","",IF(AND(安値!Q85&lt;安値!P85,安値!Q85&lt;安値!O85,安値!Q85&lt;安値!R85,安値!Q85&lt;安値!S85),12,""))</f>
        <v/>
      </c>
      <c r="M85" s="503" t="str">
        <f>IF(終値!A85="","",IF(AND(安値!R85&lt;安値!Q85,安値!R85&lt;安値!P85,安値!R85&lt;安値!S85,安値!R85&lt;安値!T85),13,""))</f>
        <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f>IF(終値!A85="","",IF(AND(安値!AC85&lt;安値!AB85,安値!AC85&lt;安値!AA85,安値!AC85&lt;安値!AD85,安値!AC85&lt;安値!AE85),24,""))</f>
        <v>24</v>
      </c>
      <c r="Y85" s="503" t="str">
        <f>IF(終値!A85="","",IF(AND(安値!AD85&lt;安値!AC85,安値!AD85&lt;安値!AB85,安値!AD85&lt;安値!AE85,安値!AD85&lt;安値!AF85),25,""))</f>
        <v/>
      </c>
      <c r="Z85" s="503" t="str">
        <f>IF(終値!A85="","",IF(AND(安値!AE85&lt;安値!AD85,安値!AE85&lt;安値!AC85,安値!AE85&lt;安値!AF85,安値!AE85&lt;安値!AG85),26,""))</f>
        <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f>IF(終値!A85="","",IF(AND(高値!L85&gt;高値!K85,高値!L85&gt;高値!J85,高値!L85&gt;高値!M85,高値!L85&gt;高値!N85),7,""))</f>
        <v>7</v>
      </c>
      <c r="AI85" s="503" t="str">
        <f>IF(終値!A85="","",IF(AND(高値!M85&gt;高値!L85,高値!M85&gt;高値!K85,高値!M85&gt;高値!N85,高値!M85&gt;高値!O85),8,""))</f>
        <v/>
      </c>
      <c r="AJ85" s="503" t="str">
        <f>IF(終値!A85="","",IF(AND(高値!N85&gt;高値!M85,高値!N85&gt;高値!L85,高値!N85&gt;高値!O85,高値!N85&gt;高値!P85),9,""))</f>
        <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f>IF(終値!A85="","",IF(AND(高値!S85&gt;高値!R85,高値!S85&gt;高値!Q85,高値!S85&gt;高値!T85,高値!S85&gt;高値!U85),14,""))</f>
        <v>14</v>
      </c>
      <c r="AP85" s="503" t="str">
        <f>IF(終値!A85="","",IF(AND(高値!T85&gt;高値!S85,高値!T85&gt;高値!R85,高値!T85&gt;高値!U85,高値!T85&gt;高値!V85),15,""))</f>
        <v/>
      </c>
      <c r="AQ85" s="503" t="str">
        <f>IF(終値!A85="","",IF(AND(高値!U85&gt;高値!T85,高値!U85&gt;高値!S85,高値!U85&gt;高値!V85,高値!U85&gt;高値!W85),16,""))</f>
        <v/>
      </c>
      <c r="AR85" s="503" t="str">
        <f>IF(終値!A85="","",IF(AND(高値!V85&gt;高値!U85,高値!V85&gt;高値!T85,高値!V85&gt;高値!W85,高値!V85&gt;高値!X85),17,""))</f>
        <v/>
      </c>
      <c r="AS85" s="503">
        <f>IF(終値!A85="","",IF(AND(高値!W85&gt;高値!V85,高値!W85&gt;高値!U85,高値!W85&gt;高値!X85,高値!W85&gt;高値!Y85),18,""))</f>
        <v>18</v>
      </c>
      <c r="AT85" s="503" t="str">
        <f>IF(終値!A85="","",IF(AND(高値!X85&gt;高値!W85,高値!X85&gt;高値!V85,高値!X85&gt;高値!Y85,高値!X85&gt;高値!Z85),19,""))</f>
        <v/>
      </c>
      <c r="AU85" s="503" t="str">
        <f>IF(終値!A85="","",IF(AND(高値!Y85&gt;高値!X85,高値!Y85&gt;高値!W85,高値!Y85&gt;高値!Z85,高値!Y85&gt;高値!AA85),20,""))</f>
        <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f>IF(終値!A85="","",IF(AND(高値!AG85&gt;高値!AF85,高値!AG85&gt;高値!AE85,高値!AG85&gt;高値!AH85,高値!AG85&gt;高値!AI85),28,""))</f>
        <v>28</v>
      </c>
      <c r="BD85" s="503">
        <f t="shared" si="6"/>
        <v>2</v>
      </c>
      <c r="BE85" s="503">
        <f t="shared" si="7"/>
        <v>11</v>
      </c>
      <c r="BF85" s="503">
        <f t="shared" si="8"/>
        <v>24</v>
      </c>
      <c r="BG85" s="503">
        <f>IF($BE85="","",INDEX(安値!$E85:$CZ85,1,$BE85+1))</f>
        <v>3096</v>
      </c>
      <c r="BH85" s="503">
        <f>IF($BF85="","",INDEX(安値!$E85:$CZ85,1,$BF85+1))</f>
        <v>3031</v>
      </c>
      <c r="BI85" s="503">
        <f>IF($BF85="","",MAX(INDEX(高値!$E85:$CZ85,1,$BE85+1):INDEX(高値!$E85:$CZ85,1,$BF85+1)))</f>
        <v>3402</v>
      </c>
      <c r="BJ85" s="503">
        <f>IF($BF85="","",AVERAGE(INDEX(終値!$E85:$CZ85,1,$BF85+1):INDEX(終値!$E85:$CZ85,1,$BF85+20))-2*STDEVP(INDEX(終値!$E85:$CZ85,1,$BF85+1):INDEX(終値!$E85:$CZ85,1,$BF85+20)))</f>
        <v>3014.2965268164362</v>
      </c>
      <c r="BK85" s="503">
        <f>IF($BE85="","",AVERAGE(INDEX(終値!$E85:$CZ85,1,$BE85+1):INDEX(終値!$E85:$CZ85,1,$BE85+20))-2*STDEVP(INDEX(終値!$E85:$CZ85,1,$BE85+1):INDEX(終値!$E85:$CZ85,1,$BE85+20)))</f>
        <v>3006.2285248487196</v>
      </c>
      <c r="BL85" s="503">
        <f t="shared" si="9"/>
        <v>4</v>
      </c>
      <c r="BM85" s="503">
        <f t="shared" si="10"/>
        <v>7</v>
      </c>
      <c r="BN85" s="503">
        <f t="shared" si="11"/>
        <v>14</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二番天井M▼</v>
      </c>
    </row>
    <row r="86" spans="2:72">
      <c r="B86" s="503" t="str">
        <f>IF(終値!A86="","",IF(AND(安値!G86&lt;安値!F86,安値!G86&lt;安値!E86,安値!G86&lt;安値!H86,安値!G86&lt;安値!I86),2,""))</f>
        <v/>
      </c>
      <c r="C86" s="503" t="str">
        <f>IF(終値!A86="","",IF(AND(安値!H86&lt;安値!G86,安値!H86&lt;安値!F86,安値!H86&lt;安値!I86,安値!H86&lt;安値!J86),3,""))</f>
        <v/>
      </c>
      <c r="D86" s="503">
        <f>IF(終値!A86="","",IF(AND(安値!I86&lt;安値!H86,安値!I86&lt;安値!G86,安値!I86&lt;安値!J86,安値!I86&lt;安値!K86),4,""))</f>
        <v>4</v>
      </c>
      <c r="E86" s="503" t="str">
        <f>IF(終値!A86="","",IF(AND(安値!J86&lt;安値!I86,安値!J86&lt;安値!H86,安値!J86&lt;安値!K86,安値!J86&lt;安値!L86),5,""))</f>
        <v/>
      </c>
      <c r="F86" s="503" t="str">
        <f>IF(終値!A86="","",IF(AND(安値!K86&lt;安値!J86,安値!K86&lt;安値!I86,安値!K86&lt;安値!L86,安値!K86&lt;安値!M86),6,""))</f>
        <v/>
      </c>
      <c r="G86" s="503">
        <f>IF(終値!A86="","",IF(AND(安値!L86&lt;安値!K86,安値!L86&lt;安値!J86,安値!L86&lt;安値!M86,安値!L86&lt;安値!N86),7,""))</f>
        <v>7</v>
      </c>
      <c r="H86" s="503" t="str">
        <f>IF(終値!A86="","",IF(AND(安値!M86&lt;安値!L86,安値!M86&lt;安値!K86,安値!M86&lt;安値!N86,安値!M86&lt;安値!O86),8,""))</f>
        <v/>
      </c>
      <c r="I86" s="503" t="str">
        <f>IF(終値!A86="","",IF(AND(安値!N86&lt;安値!M86,安値!N86&lt;安値!L86,安値!N86&lt;安値!O86,安値!N86&lt;安値!P86),9,""))</f>
        <v/>
      </c>
      <c r="J86" s="503" t="str">
        <f>IF(終値!A86="","",IF(AND(安値!O86&lt;安値!N86,安値!O86&lt;安値!M86,安値!O86&lt;安値!P86,安値!O86&lt;安値!Q86),10,""))</f>
        <v/>
      </c>
      <c r="K86" s="503">
        <f>IF(終値!A86="","",IF(AND(安値!P86&lt;安値!O86,安値!P86&lt;安値!N86,安値!P86&lt;安値!Q86,安値!P86&lt;安値!R86),11,""))</f>
        <v>11</v>
      </c>
      <c r="L86" s="503" t="str">
        <f>IF(終値!A86="","",IF(AND(安値!Q86&lt;安値!P86,安値!Q86&lt;安値!O86,安値!Q86&lt;安値!R86,安値!Q86&lt;安値!S86),12,""))</f>
        <v/>
      </c>
      <c r="M86" s="503" t="str">
        <f>IF(終値!A86="","",IF(AND(安値!R86&lt;安値!Q86,安値!R86&lt;安値!P86,安値!R86&lt;安値!S86,安値!R86&lt;安値!T86),13,""))</f>
        <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f>IF(終値!A86="","",IF(AND(安値!Y86&lt;安値!X86,安値!Y86&lt;安値!W86,安値!Y86&lt;安値!Z86,安値!Y86&lt;安値!AA86),20,""))</f>
        <v>20</v>
      </c>
      <c r="U86" s="503" t="str">
        <f>IF(終値!A86="","",IF(AND(安値!Z86&lt;安値!Y86,安値!Z86&lt;安値!X86,安値!Z86&lt;安値!AA86,安値!Z86&lt;安値!AB86),21,""))</f>
        <v/>
      </c>
      <c r="V86" s="503" t="str">
        <f>IF(終値!A86="","",IF(AND(安値!AA86&lt;安値!Z86,安値!AA86&lt;安値!Y86,安値!AA86&lt;安値!AB86,安値!AA86&lt;安値!AC86),22,""))</f>
        <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f>IF(終値!A86="","",IF(AND(高値!K86&gt;高値!J86,高値!K86&gt;高値!I86,高値!K86&gt;高値!L86,高値!K86&gt;高値!M86),6,""))</f>
        <v>6</v>
      </c>
      <c r="AH86" s="503" t="str">
        <f>IF(終値!A86="","",IF(AND(高値!L86&gt;高値!K86,高値!L86&gt;高値!J86,高値!L86&gt;高値!M86,高値!L86&gt;高値!N86),7,""))</f>
        <v/>
      </c>
      <c r="AI86" s="503" t="str">
        <f>IF(終値!A86="","",IF(AND(高値!M86&gt;高値!L86,高値!M86&gt;高値!K86,高値!M86&gt;高値!N86,高値!M86&gt;高値!O86),8,""))</f>
        <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f>IF(終値!A86="","",IF(AND(高値!S86&gt;高値!R86,高値!S86&gt;高値!Q86,高値!S86&gt;高値!T86,高値!S86&gt;高値!U86),14,""))</f>
        <v>14</v>
      </c>
      <c r="AP86" s="503" t="str">
        <f>IF(終値!A86="","",IF(AND(高値!T86&gt;高値!S86,高値!T86&gt;高値!R86,高値!T86&gt;高値!U86,高値!T86&gt;高値!V86),15,""))</f>
        <v/>
      </c>
      <c r="AQ86" s="503" t="str">
        <f>IF(終値!A86="","",IF(AND(高値!U86&gt;高値!T86,高値!U86&gt;高値!S86,高値!U86&gt;高値!V86,高値!U86&gt;高値!W86),16,""))</f>
        <v/>
      </c>
      <c r="AR86" s="503" t="str">
        <f>IF(終値!A86="","",IF(AND(高値!V86&gt;高値!U86,高値!V86&gt;高値!T86,高値!V86&gt;高値!W86,高値!V86&gt;高値!X86),17,""))</f>
        <v/>
      </c>
      <c r="AS86" s="503">
        <f>IF(終値!A86="","",IF(AND(高値!W86&gt;高値!V86,高値!W86&gt;高値!U86,高値!W86&gt;高値!X86,高値!W86&gt;高値!Y86),18,""))</f>
        <v>18</v>
      </c>
      <c r="AT86" s="503" t="str">
        <f>IF(終値!A86="","",IF(AND(高値!X86&gt;高値!W86,高値!X86&gt;高値!V86,高値!X86&gt;高値!Y86,高値!X86&gt;高値!Z86),19,""))</f>
        <v/>
      </c>
      <c r="AU86" s="503" t="str">
        <f>IF(終値!A86="","",IF(AND(高値!Y86&gt;高値!X86,高値!Y86&gt;高値!W86,高値!Y86&gt;高値!Z86,高値!Y86&gt;高値!AA86),20,""))</f>
        <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f>IF(終値!A86="","",IF(AND(高値!AC86&gt;高値!AB86,高値!AC86&gt;高値!AA86,高値!AC86&gt;高値!AD86,高値!AC86&gt;高値!AE86),24,""))</f>
        <v>24</v>
      </c>
      <c r="AZ86" s="503" t="str">
        <f>IF(終値!A86="","",IF(AND(高値!AD86&gt;高値!AC86,高値!AD86&gt;高値!AB86,高値!AD86&gt;高値!AE86,高値!AD86&gt;高値!AF86),25,""))</f>
        <v/>
      </c>
      <c r="BA86" s="503" t="str">
        <f>IF(終値!A86="","",IF(AND(高値!AE86&gt;高値!AD86,高値!AE86&gt;高値!AC86,高値!AE86&gt;高値!AF86,高値!AE86&gt;高値!AG86),26,""))</f>
        <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4</v>
      </c>
      <c r="BE86" s="503">
        <f t="shared" si="7"/>
        <v>4</v>
      </c>
      <c r="BF86" s="503">
        <f t="shared" si="8"/>
        <v>7</v>
      </c>
      <c r="BG86" s="503">
        <f>IF($BE86="","",INDEX(安値!$E86:$CZ86,1,$BE86+1))</f>
        <v>2184</v>
      </c>
      <c r="BH86" s="503">
        <f>IF($BF86="","",INDEX(安値!$E86:$CZ86,1,$BF86+1))</f>
        <v>0</v>
      </c>
      <c r="BI86" s="503">
        <f>IF($BF86="","",MAX(INDEX(高値!$E86:$CZ86,1,$BE86+1):INDEX(高値!$E86:$CZ86,1,$BF86+1)))</f>
        <v>2375</v>
      </c>
      <c r="BJ86" s="503">
        <f>IF($BF86="","",AVERAGE(INDEX(終値!$E86:$CZ86,1,$BF86+1):INDEX(終値!$E86:$CZ86,1,$BF86+20))-2*STDEVP(INDEX(終値!$E86:$CZ86,1,$BF86+1):INDEX(終値!$E86:$CZ86,1,$BF86+20)))</f>
        <v>2177.1697864922962</v>
      </c>
      <c r="BK86" s="503">
        <f>IF($BE86="","",AVERAGE(INDEX(終値!$E86:$CZ86,1,$BE86+1):INDEX(終値!$E86:$CZ86,1,$BE86+20))-2*STDEVP(INDEX(終値!$E86:$CZ86,1,$BE86+1):INDEX(終値!$E86:$CZ86,1,$BE86+20)))</f>
        <v>2160.3441652446859</v>
      </c>
      <c r="BL86" s="503">
        <f t="shared" si="9"/>
        <v>4</v>
      </c>
      <c r="BM86" s="503">
        <f t="shared" si="10"/>
        <v>6</v>
      </c>
      <c r="BN86" s="503">
        <f t="shared" si="11"/>
        <v>14</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f>IF(終値!A87="","",IF(AND(安値!S87&lt;安値!R87,安値!S87&lt;安値!Q87,安値!S87&lt;安値!T87,安値!S87&lt;安値!U87),14,""))</f>
        <v>14</v>
      </c>
      <c r="O87" s="503" t="str">
        <f>IF(終値!A87="","",IF(AND(安値!T87&lt;安値!S87,安値!T87&lt;安値!R87,安値!T87&lt;安値!U87,安値!T87&lt;安値!V87),15,""))</f>
        <v/>
      </c>
      <c r="P87" s="503" t="str">
        <f>IF(終値!A87="","",IF(AND(安値!U87&lt;安値!T87,安値!U87&lt;安値!S87,安値!U87&lt;安値!V87,安値!U87&lt;安値!W87),16,""))</f>
        <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f>IF(終値!A87="","",IF(AND(安値!AG87&lt;安値!AF87,安値!AG87&lt;安値!AE87,安値!AG87&lt;安値!AH87,安値!AG87&lt;安値!AI87),28,""))</f>
        <v>28</v>
      </c>
      <c r="AC87" s="503">
        <f>IF(終値!A87="","",IF(AND(高値!G87&gt;高値!F87,高値!G87&gt;高値!E87,高値!G87&gt;高値!H87,高値!G87&gt;高値!I87),2,""))</f>
        <v>2</v>
      </c>
      <c r="AD87" s="503" t="str">
        <f>IF(終値!A87="","",IF(AND(高値!H87&gt;高値!G87,高値!H87&gt;高値!F87,高値!H87&gt;高値!I87,高値!H87&gt;高値!J87),3,""))</f>
        <v/>
      </c>
      <c r="AE87" s="503" t="str">
        <f>IF(終値!A87="","",IF(AND(高値!I87&gt;高値!H87,高値!I87&gt;高値!G87,高値!I87&gt;高値!J87,高値!I87&gt;高値!K87),4,""))</f>
        <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f>IF(終値!A87="","",IF(AND(高値!V87&gt;高値!U87,高値!V87&gt;高値!T87,高値!V87&gt;高値!W87,高値!V87&gt;高値!X87),17,""))</f>
        <v>17</v>
      </c>
      <c r="AS87" s="503" t="str">
        <f>IF(終値!A87="","",IF(AND(高値!W87&gt;高値!V87,高値!W87&gt;高値!U87,高値!W87&gt;高値!X87,高値!W87&gt;高値!Y87),18,""))</f>
        <v/>
      </c>
      <c r="AT87" s="503" t="str">
        <f>IF(終値!A87="","",IF(AND(高値!X87&gt;高値!W87,高値!X87&gt;高値!V87,高値!X87&gt;高値!Y87,高値!X87&gt;高値!Z87),19,""))</f>
        <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f>IF(終値!A87="","",IF(AND(高値!AD87&gt;高値!AC87,高値!AD87&gt;高値!AB87,高値!AD87&gt;高値!AE87,高値!AD87&gt;高値!AF87),25,""))</f>
        <v>25</v>
      </c>
      <c r="BA87" s="503" t="str">
        <f>IF(終値!A87="","",IF(AND(高値!AE87&gt;高値!AD87,高値!AE87&gt;高値!AC87,高値!AE87&gt;高値!AF87,高値!AE87&gt;高値!AG87),26,""))</f>
        <v/>
      </c>
      <c r="BB87" s="503" t="str">
        <f>IF(終値!A87="","",IF(AND(高値!AF87&gt;高値!AE87,高値!AF87&gt;高値!AD87,高値!AF87&gt;高値!AG87,高値!AF87&gt;高値!AH87),27,""))</f>
        <v/>
      </c>
      <c r="BC87" s="503" t="str">
        <f>IF(終値!A87="","",IF(AND(高値!AG87&gt;高値!AF87,高値!AG87&gt;高値!AE87,高値!AG87&gt;高値!AH87,高値!AG87&gt;高値!AI87),28,""))</f>
        <v/>
      </c>
      <c r="BD87" s="503">
        <f t="shared" si="6"/>
        <v>2</v>
      </c>
      <c r="BE87" s="503">
        <f t="shared" si="7"/>
        <v>14</v>
      </c>
      <c r="BF87" s="503">
        <f t="shared" si="8"/>
        <v>28</v>
      </c>
      <c r="BG87" s="503">
        <f>IF($BE87="","",INDEX(安値!$E87:$CZ87,1,$BE87+1))</f>
        <v>6049</v>
      </c>
      <c r="BH87" s="503">
        <f>IF($BF87="","",INDEX(安値!$E87:$CZ87,1,$BF87+1))</f>
        <v>5893</v>
      </c>
      <c r="BI87" s="503">
        <f>IF($BF87="","",MAX(INDEX(高値!$E87:$CZ87,1,$BE87+1):INDEX(高値!$E87:$CZ87,1,$BF87+1)))</f>
        <v>6278</v>
      </c>
      <c r="BJ87" s="503">
        <f>IF($BF87="","",AVERAGE(INDEX(終値!$E87:$CZ87,1,$BF87+1):INDEX(終値!$E87:$CZ87,1,$BF87+20))-2*STDEVP(INDEX(終値!$E87:$CZ87,1,$BF87+1):INDEX(終値!$E87:$CZ87,1,$BF87+20)))</f>
        <v>5933.4541194138365</v>
      </c>
      <c r="BK87" s="503">
        <f>IF($BE87="","",AVERAGE(INDEX(終値!$E87:$CZ87,1,$BE87+1):INDEX(終値!$E87:$CZ87,1,$BE87+20))-2*STDEVP(INDEX(終値!$E87:$CZ87,1,$BE87+1):INDEX(終値!$E87:$CZ87,1,$BE87+20)))</f>
        <v>5896.6662500409548</v>
      </c>
      <c r="BL87" s="503">
        <f t="shared" si="9"/>
        <v>3</v>
      </c>
      <c r="BM87" s="503">
        <f t="shared" si="10"/>
        <v>2</v>
      </c>
      <c r="BN87" s="503">
        <f t="shared" si="11"/>
        <v>17</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二番底W▲</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f>IF(終値!A88="","",IF(AND(安値!L88&lt;安値!K88,安値!L88&lt;安値!J88,安値!L88&lt;安値!M88,安値!L88&lt;安値!N88),7,""))</f>
        <v>7</v>
      </c>
      <c r="H88" s="503" t="str">
        <f>IF(終値!A88="","",IF(AND(安値!M88&lt;安値!L88,安値!M88&lt;安値!K88,安値!M88&lt;安値!N88,安値!M88&lt;安値!O88),8,""))</f>
        <v/>
      </c>
      <c r="I88" s="503" t="str">
        <f>IF(終値!A88="","",IF(AND(安値!N88&lt;安値!M88,安値!N88&lt;安値!L88,安値!N88&lt;安値!O88,安値!N88&lt;安値!P88),9,""))</f>
        <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f>IF(終値!A88="","",IF(AND(安値!T88&lt;安値!S88,安値!T88&lt;安値!R88,安値!T88&lt;安値!U88,安値!T88&lt;安値!V88),15,""))</f>
        <v>15</v>
      </c>
      <c r="P88" s="503" t="str">
        <f>IF(終値!A88="","",IF(AND(安値!U88&lt;安値!T88,安値!U88&lt;安値!S88,安値!U88&lt;安値!V88,安値!U88&lt;安値!W88),16,""))</f>
        <v/>
      </c>
      <c r="Q88" s="503" t="str">
        <f>IF(終値!A88="","",IF(AND(安値!V88&lt;安値!U88,安値!V88&lt;安値!T88,安値!V88&lt;安値!W88,安値!V88&lt;安値!X88),17,""))</f>
        <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f>IF(終値!A88="","",IF(AND(安値!AA88&lt;安値!Z88,安値!AA88&lt;安値!Y88,安値!AA88&lt;安値!AB88,安値!AA88&lt;安値!AC88),22,""))</f>
        <v>22</v>
      </c>
      <c r="W88" s="503" t="str">
        <f>IF(終値!A88="","",IF(AND(安値!AB88&lt;安値!AA88,安値!AB88&lt;安値!Z88,安値!AB88&lt;安値!AC88,安値!AB88&lt;安値!AD88),23,""))</f>
        <v/>
      </c>
      <c r="X88" s="503" t="str">
        <f>IF(終値!A88="","",IF(AND(安値!AC88&lt;安値!AB88,安値!AC88&lt;安値!AA88,安値!AC88&lt;安値!AD88,安値!AC88&lt;安値!AE88),24,""))</f>
        <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f>IF(終値!A88="","",IF(AND(安値!AG88&lt;安値!AF88,安値!AG88&lt;安値!AE88,安値!AG88&lt;安値!AH88,安値!AG88&lt;安値!AI88),28,""))</f>
        <v>28</v>
      </c>
      <c r="AC88" s="503" t="str">
        <f>IF(終値!A88="","",IF(AND(高値!G88&gt;高値!F88,高値!G88&gt;高値!E88,高値!G88&gt;高値!H88,高値!G88&gt;高値!I88),2,""))</f>
        <v/>
      </c>
      <c r="AD88" s="503" t="str">
        <f>IF(終値!A88="","",IF(AND(高値!H88&gt;高値!G88,高値!H88&gt;高値!F88,高値!H88&gt;高値!I88,高値!H88&gt;高値!J88),3,""))</f>
        <v/>
      </c>
      <c r="AE88" s="503">
        <f>IF(終値!A88="","",IF(AND(高値!I88&gt;高値!H88,高値!I88&gt;高値!G88,高値!I88&gt;高値!J88,高値!I88&gt;高値!K88),4,""))</f>
        <v>4</v>
      </c>
      <c r="AF88" s="503" t="str">
        <f>IF(終値!A88="","",IF(AND(高値!J88&gt;高値!I88,高値!J88&gt;高値!H88,高値!J88&gt;高値!K88,高値!J88&gt;高値!L88),5,""))</f>
        <v/>
      </c>
      <c r="AG88" s="503" t="str">
        <f>IF(終値!A88="","",IF(AND(高値!K88&gt;高値!J88,高値!K88&gt;高値!I88,高値!K88&gt;高値!L88,高値!K88&gt;高値!M88),6,""))</f>
        <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f>IF(終値!A88="","",IF(AND(高値!O88&gt;高値!N88,高値!O88&gt;高値!M88,高値!O88&gt;高値!P88,高値!O88&gt;高値!Q88),10,""))</f>
        <v>10</v>
      </c>
      <c r="AL88" s="503" t="str">
        <f>IF(終値!A88="","",IF(AND(高値!P88&gt;高値!O88,高値!P88&gt;高値!N88,高値!P88&gt;高値!Q88,高値!P88&gt;高値!R88),11,""))</f>
        <v/>
      </c>
      <c r="AM88" s="503" t="str">
        <f>IF(終値!A88="","",IF(AND(高値!Q88&gt;高値!P88,高値!Q88&gt;高値!O88,高値!Q88&gt;高値!R88,高値!Q88&gt;高値!S88),12,""))</f>
        <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f>IF(終値!A88="","",IF(AND(高値!V88&gt;高値!U88,高値!V88&gt;高値!T88,高値!V88&gt;高値!W88,高値!V88&gt;高値!X88),17,""))</f>
        <v>17</v>
      </c>
      <c r="AS88" s="503" t="str">
        <f>IF(終値!A88="","",IF(AND(高値!W88&gt;高値!V88,高値!W88&gt;高値!U88,高値!W88&gt;高値!X88,高値!W88&gt;高値!Y88),18,""))</f>
        <v/>
      </c>
      <c r="AT88" s="503" t="str">
        <f>IF(終値!A88="","",IF(AND(高値!X88&gt;高値!W88,高値!X88&gt;高値!V88,高値!X88&gt;高値!Y88,高値!X88&gt;高値!Z88),19,""))</f>
        <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f>IF(終値!A88="","",IF(AND(高値!AB88&gt;高値!AA88,高値!AB88&gt;高値!Z88,高値!AB88&gt;高値!AC88,高値!AB88&gt;高値!AD88),23,""))</f>
        <v>23</v>
      </c>
      <c r="AY88" s="503" t="str">
        <f>IF(終値!A88="","",IF(AND(高値!AC88&gt;高値!AB88,高値!AC88&gt;高値!AA88,高値!AC88&gt;高値!AD88,高値!AC88&gt;高値!AE88),24,""))</f>
        <v/>
      </c>
      <c r="AZ88" s="503" t="str">
        <f>IF(終値!A88="","",IF(AND(高値!AD88&gt;高値!AC88,高値!AD88&gt;高値!AB88,高値!AD88&gt;高値!AE88,高値!AD88&gt;高値!AF88),25,""))</f>
        <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4</v>
      </c>
      <c r="BE88" s="503">
        <f t="shared" si="7"/>
        <v>7</v>
      </c>
      <c r="BF88" s="503">
        <f t="shared" si="8"/>
        <v>15</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4</v>
      </c>
      <c r="BN88" s="503">
        <f t="shared" si="11"/>
        <v>10</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f>IF(終値!A89="","",IF(AND(安値!L89&lt;安値!K89,安値!L89&lt;安値!J89,安値!L89&lt;安値!M89,安値!L89&lt;安値!N89),7,""))</f>
        <v>7</v>
      </c>
      <c r="H89" s="503" t="str">
        <f>IF(終値!A89="","",IF(AND(安値!M89&lt;安値!L89,安値!M89&lt;安値!K89,安値!M89&lt;安値!N89,安値!M89&lt;安値!O89),8,""))</f>
        <v/>
      </c>
      <c r="I89" s="503" t="str">
        <f>IF(終値!A89="","",IF(AND(安値!N89&lt;安値!M89,安値!N89&lt;安値!L89,安値!N89&lt;安値!O89,安値!N89&lt;安値!P89),9,""))</f>
        <v/>
      </c>
      <c r="J89" s="503" t="str">
        <f>IF(終値!A89="","",IF(AND(安値!O89&lt;安値!N89,安値!O89&lt;安値!M89,安値!O89&lt;安値!P89,安値!O89&lt;安値!Q89),10,""))</f>
        <v/>
      </c>
      <c r="K89" s="503">
        <f>IF(終値!A89="","",IF(AND(安値!P89&lt;安値!O89,安値!P89&lt;安値!N89,安値!P89&lt;安値!Q89,安値!P89&lt;安値!R89),11,""))</f>
        <v>11</v>
      </c>
      <c r="L89" s="503" t="str">
        <f>IF(終値!A89="","",IF(AND(安値!Q89&lt;安値!P89,安値!Q89&lt;安値!O89,安値!Q89&lt;安値!R89,安値!Q89&lt;安値!S89),12,""))</f>
        <v/>
      </c>
      <c r="M89" s="503" t="str">
        <f>IF(終値!A89="","",IF(AND(安値!R89&lt;安値!Q89,安値!R89&lt;安値!P89,安値!R89&lt;安値!S89,安値!R89&lt;安値!T89),13,""))</f>
        <v/>
      </c>
      <c r="N89" s="503" t="str">
        <f>IF(終値!A89="","",IF(AND(安値!S89&lt;安値!R89,安値!S89&lt;安値!Q89,安値!S89&lt;安値!T89,安値!S89&lt;安値!U89),14,""))</f>
        <v/>
      </c>
      <c r="O89" s="503" t="str">
        <f>IF(終値!A89="","",IF(AND(安値!T89&lt;安値!S89,安値!T89&lt;安値!R89,安値!T89&lt;安値!U89,安値!T89&lt;安値!V89),15,""))</f>
        <v/>
      </c>
      <c r="P89" s="503">
        <f>IF(終値!A89="","",IF(AND(安値!U89&lt;安値!T89,安値!U89&lt;安値!S89,安値!U89&lt;安値!V89,安値!U89&lt;安値!W89),16,""))</f>
        <v>16</v>
      </c>
      <c r="Q89" s="503" t="str">
        <f>IF(終値!A89="","",IF(AND(安値!V89&lt;安値!U89,安値!V89&lt;安値!T89,安値!V89&lt;安値!W89,安値!V89&lt;安値!X89),17,""))</f>
        <v/>
      </c>
      <c r="R89" s="503" t="str">
        <f>IF(終値!A89="","",IF(AND(安値!W89&lt;安値!V89,安値!W89&lt;安値!U89,安値!W89&lt;安値!X89,安値!W89&lt;安値!Y89),18,""))</f>
        <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f>IF(終値!A89="","",IF(AND(安値!AD89&lt;安値!AC89,安値!AD89&lt;安値!AB89,安値!AD89&lt;安値!AE89,安値!AD89&lt;安値!AF89),25,""))</f>
        <v>25</v>
      </c>
      <c r="Z89" s="503" t="str">
        <f>IF(終値!A89="","",IF(AND(安値!AE89&lt;安値!AD89,安値!AE89&lt;安値!AC89,安値!AE89&lt;安値!AF89,安値!AE89&lt;安値!AG89),26,""))</f>
        <v/>
      </c>
      <c r="AA89" s="503" t="str">
        <f>IF(終値!A89="","",IF(AND(安値!AF89&lt;安値!AE89,安値!AF89&lt;安値!AD89,安値!AF89&lt;安値!AG89,安値!AF89&lt;安値!AH89),27,""))</f>
        <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f>IF(終値!A89="","",IF(AND(高値!Q89&gt;高値!P89,高値!Q89&gt;高値!O89,高値!Q89&gt;高値!R89,高値!Q89&gt;高値!S89),12,""))</f>
        <v>12</v>
      </c>
      <c r="AN89" s="503" t="str">
        <f>IF(終値!A89="","",IF(AND(高値!R89&gt;高値!Q89,高値!R89&gt;高値!P89,高値!R89&gt;高値!S89,高値!R89&gt;高値!T89),13,""))</f>
        <v/>
      </c>
      <c r="AO89" s="503" t="str">
        <f>IF(終値!A89="","",IF(AND(高値!S89&gt;高値!R89,高値!S89&gt;高値!Q89,高値!S89&gt;高値!T89,高値!S89&gt;高値!U89),14,""))</f>
        <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f>IF(終値!A89="","",IF(AND(高値!X89&gt;高値!W89,高値!X89&gt;高値!V89,高値!X89&gt;高値!Y89,高値!X89&gt;高値!Z89),19,""))</f>
        <v>19</v>
      </c>
      <c r="AU89" s="503" t="str">
        <f>IF(終値!A89="","",IF(AND(高値!Y89&gt;高値!X89,高値!Y89&gt;高値!W89,高値!Y89&gt;高値!Z89,高値!Y89&gt;高値!AA89),20,""))</f>
        <v/>
      </c>
      <c r="AV89" s="503" t="str">
        <f>IF(終値!A89="","",IF(AND(高値!Z89&gt;高値!Y89,高値!Z89&gt;高値!X89,高値!Z89&gt;高値!AA89,高値!Z89&gt;高値!AB89),21,""))</f>
        <v/>
      </c>
      <c r="AW89" s="503" t="str">
        <f>IF(終値!A89="","",IF(AND(高値!AA89&gt;高値!Z89,高値!AA89&gt;高値!Y89,高値!AA89&gt;高値!AB89,高値!AA89&gt;高値!AC89),22,""))</f>
        <v/>
      </c>
      <c r="AX89" s="503" t="str">
        <f>IF(終値!A89="","",IF(AND(高値!AB89&gt;高値!AA89,高値!AB89&gt;高値!Z89,高値!AB89&gt;高値!AC89,高値!AB89&gt;高値!AD89),23,""))</f>
        <v/>
      </c>
      <c r="AY89" s="503">
        <f>IF(終値!A89="","",IF(AND(高値!AC89&gt;高値!AB89,高値!AC89&gt;高値!AA89,高値!AC89&gt;高値!AD89,高値!AC89&gt;高値!AE89),24,""))</f>
        <v>24</v>
      </c>
      <c r="AZ89" s="503" t="str">
        <f>IF(終値!A89="","",IF(AND(高値!AD89&gt;高値!AC89,高値!AD89&gt;高値!AB89,高値!AD89&gt;高値!AE89,高値!AD89&gt;高値!AF89),25,""))</f>
        <v/>
      </c>
      <c r="BA89" s="503" t="str">
        <f>IF(終値!A89="","",IF(AND(高値!AE89&gt;高値!AD89,高値!AE89&gt;高値!AC89,高値!AE89&gt;高値!AF89,高値!AE89&gt;高値!AG89),26,""))</f>
        <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7</v>
      </c>
      <c r="BF89" s="503">
        <f t="shared" si="8"/>
        <v>11</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12</v>
      </c>
      <c r="BN89" s="503">
        <f t="shared" si="11"/>
        <v>19</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f>IF(終値!A90="","",IF(AND(安値!H90&lt;安値!G90,安値!H90&lt;安値!F90,安値!H90&lt;安値!I90,安値!H90&lt;安値!J90),3,""))</f>
        <v>3</v>
      </c>
      <c r="D90" s="503" t="str">
        <f>IF(終値!A90="","",IF(AND(安値!I90&lt;安値!H90,安値!I90&lt;安値!G90,安値!I90&lt;安値!J90,安値!I90&lt;安値!K90),4,""))</f>
        <v/>
      </c>
      <c r="E90" s="503" t="str">
        <f>IF(終値!A90="","",IF(AND(安値!J90&lt;安値!I90,安値!J90&lt;安値!H90,安値!J90&lt;安値!K90,安値!J90&lt;安値!L90),5,""))</f>
        <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f>IF(終値!A90="","",IF(AND(安値!V90&lt;安値!U90,安値!V90&lt;安値!T90,安値!V90&lt;安値!W90,安値!V90&lt;安値!X90),17,""))</f>
        <v>17</v>
      </c>
      <c r="R90" s="503" t="str">
        <f>IF(終値!A90="","",IF(AND(安値!W90&lt;安値!V90,安値!W90&lt;安値!U90,安値!W90&lt;安値!X90,安値!W90&lt;安値!Y90),18,""))</f>
        <v/>
      </c>
      <c r="S90" s="503" t="str">
        <f>IF(終値!A90="","",IF(AND(安値!X90&lt;安値!W90,安値!X90&lt;安値!V90,安値!X90&lt;安値!Y90,安値!X90&lt;安値!Z90),19,""))</f>
        <v/>
      </c>
      <c r="T90" s="503">
        <f>IF(終値!A90="","",IF(AND(安値!Y90&lt;安値!X90,安値!Y90&lt;安値!W90,安値!Y90&lt;安値!Z90,安値!Y90&lt;安値!AA90),20,""))</f>
        <v>20</v>
      </c>
      <c r="U90" s="503" t="str">
        <f>IF(終値!A90="","",IF(AND(安値!Z90&lt;安値!Y90,安値!Z90&lt;安値!X90,安値!Z90&lt;安値!AA90,安値!Z90&lt;安値!AB90),21,""))</f>
        <v/>
      </c>
      <c r="V90" s="503" t="str">
        <f>IF(終値!A90="","",IF(AND(安値!AA90&lt;安値!Z90,安値!AA90&lt;安値!Y90,安値!AA90&lt;安値!AB90,安値!AA90&lt;安値!AC90),22,""))</f>
        <v/>
      </c>
      <c r="W90" s="503" t="str">
        <f>IF(終値!A90="","",IF(AND(安値!AB90&lt;安値!AA90,安値!AB90&lt;安値!Z90,安値!AB90&lt;安値!AC90,安値!AB90&lt;安値!AD90),23,""))</f>
        <v/>
      </c>
      <c r="X90" s="503">
        <f>IF(終値!A90="","",IF(AND(安値!AC90&lt;安値!AB90,安値!AC90&lt;安値!AA90,安値!AC90&lt;安値!AD90,安値!AC90&lt;安値!AE90),24,""))</f>
        <v>24</v>
      </c>
      <c r="Y90" s="503" t="str">
        <f>IF(終値!A90="","",IF(AND(安値!AD90&lt;安値!AC90,安値!AD90&lt;安値!AB90,安値!AD90&lt;安値!AE90,安値!AD90&lt;安値!AF90),25,""))</f>
        <v/>
      </c>
      <c r="Z90" s="503" t="str">
        <f>IF(終値!A90="","",IF(AND(安値!AE90&lt;安値!AD90,安値!AE90&lt;安値!AC90,安値!AE90&lt;安値!AF90,安値!AE90&lt;安値!AG90),26,""))</f>
        <v/>
      </c>
      <c r="AA90" s="503">
        <f>IF(終値!A90="","",IF(AND(安値!AF90&lt;安値!AE90,安値!AF90&lt;安値!AD90,安値!AF90&lt;安値!AG90,安値!AF90&lt;安値!AH90),27,""))</f>
        <v>27</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f>IF(終値!A90="","",IF(AND(高値!N90&gt;高値!M90,高値!N90&gt;高値!L90,高値!N90&gt;高値!O90,高値!N90&gt;高値!P90),9,""))</f>
        <v>9</v>
      </c>
      <c r="AK90" s="503" t="str">
        <f>IF(終値!A90="","",IF(AND(高値!O90&gt;高値!N90,高値!O90&gt;高値!M90,高値!O90&gt;高値!P90,高値!O90&gt;高値!Q90),10,""))</f>
        <v/>
      </c>
      <c r="AL90" s="503" t="str">
        <f>IF(終値!A90="","",IF(AND(高値!P90&gt;高値!O90,高値!P90&gt;高値!N90,高値!P90&gt;高値!Q90,高値!P90&gt;高値!R90),11,""))</f>
        <v/>
      </c>
      <c r="AM90" s="503">
        <f>IF(終値!A90="","",IF(AND(高値!Q90&gt;高値!P90,高値!Q90&gt;高値!O90,高値!Q90&gt;高値!R90,高値!Q90&gt;高値!S90),12,""))</f>
        <v>12</v>
      </c>
      <c r="AN90" s="503" t="str">
        <f>IF(終値!A90="","",IF(AND(高値!R90&gt;高値!Q90,高値!R90&gt;高値!P90,高値!R90&gt;高値!S90,高値!R90&gt;高値!T90),13,""))</f>
        <v/>
      </c>
      <c r="AO90" s="503" t="str">
        <f>IF(終値!A90="","",IF(AND(高値!S90&gt;高値!R90,高値!S90&gt;高値!Q90,高値!S90&gt;高値!T90,高値!S90&gt;高値!U90),14,""))</f>
        <v/>
      </c>
      <c r="AP90" s="503">
        <f>IF(終値!A90="","",IF(AND(高値!T90&gt;高値!S90,高値!T90&gt;高値!R90,高値!T90&gt;高値!U90,高値!T90&gt;高値!V90),15,""))</f>
        <v>15</v>
      </c>
      <c r="AQ90" s="503" t="str">
        <f>IF(終値!A90="","",IF(AND(高値!U90&gt;高値!T90,高値!U90&gt;高値!S90,高値!U90&gt;高値!V90,高値!U90&gt;高値!W90),16,""))</f>
        <v/>
      </c>
      <c r="AR90" s="503" t="str">
        <f>IF(終値!A90="","",IF(AND(高値!V90&gt;高値!U90,高値!V90&gt;高値!T90,高値!V90&gt;高値!W90,高値!V90&gt;高値!X90),17,""))</f>
        <v/>
      </c>
      <c r="AS90" s="503" t="str">
        <f>IF(終値!A90="","",IF(AND(高値!W90&gt;高値!V90,高値!W90&gt;高値!U90,高値!W90&gt;高値!X90,高値!W90&gt;高値!Y90),18,""))</f>
        <v/>
      </c>
      <c r="AT90" s="503">
        <f>IF(終値!A90="","",IF(AND(高値!X90&gt;高値!W90,高値!X90&gt;高値!V90,高値!X90&gt;高値!Y90,高値!X90&gt;高値!Z90),19,""))</f>
        <v>19</v>
      </c>
      <c r="AU90" s="503" t="str">
        <f>IF(終値!A90="","",IF(AND(高値!Y90&gt;高値!X90,高値!Y90&gt;高値!W90,高値!Y90&gt;高値!Z90,高値!Y90&gt;高値!AA90),20,""))</f>
        <v/>
      </c>
      <c r="AV90" s="503" t="str">
        <f>IF(終値!A90="","",IF(AND(高値!Z90&gt;高値!Y90,高値!Z90&gt;高値!X90,高値!Z90&gt;高値!AA90,高値!Z90&gt;高値!AB90),21,""))</f>
        <v/>
      </c>
      <c r="AW90" s="503">
        <f>IF(終値!A90="","",IF(AND(高値!AA90&gt;高値!Z90,高値!AA90&gt;高値!Y90,高値!AA90&gt;高値!AB90,高値!AA90&gt;高値!AC90),22,""))</f>
        <v>22</v>
      </c>
      <c r="AX90" s="503" t="str">
        <f>IF(終値!A90="","",IF(AND(高値!AB90&gt;高値!AA90,高値!AB90&gt;高値!Z90,高値!AB90&gt;高値!AC90,高値!AB90&gt;高値!AD90),23,""))</f>
        <v/>
      </c>
      <c r="AY90" s="503" t="str">
        <f>IF(終値!A90="","",IF(AND(高値!AC90&gt;高値!AB90,高値!AC90&gt;高値!AA90,高値!AC90&gt;高値!AD90,高値!AC90&gt;高値!AE90),24,""))</f>
        <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5</v>
      </c>
      <c r="BE90" s="503">
        <f t="shared" si="7"/>
        <v>3</v>
      </c>
      <c r="BF90" s="503">
        <f t="shared" si="8"/>
        <v>17</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9</v>
      </c>
      <c r="BN90" s="503">
        <f t="shared" si="11"/>
        <v>12</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f>IF(終値!A91="","",IF(AND(安値!P91&lt;安値!O91,安値!P91&lt;安値!N91,安値!P91&lt;安値!Q91,安値!P91&lt;安値!R91),11,""))</f>
        <v>11</v>
      </c>
      <c r="L91" s="503" t="str">
        <f>IF(終値!A91="","",IF(AND(安値!Q91&lt;安値!P91,安値!Q91&lt;安値!O91,安値!Q91&lt;安値!R91,安値!Q91&lt;安値!S91),12,""))</f>
        <v/>
      </c>
      <c r="M91" s="503" t="str">
        <f>IF(終値!A91="","",IF(AND(安値!R91&lt;安値!Q91,安値!R91&lt;安値!P91,安値!R91&lt;安値!S91,安値!R91&lt;安値!T91),13,""))</f>
        <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f>IF(終値!A91="","",IF(AND(安値!AB91&lt;安値!AA91,安値!AB91&lt;安値!Z91,安値!AB91&lt;安値!AC91,安値!AB91&lt;安値!AD91),23,""))</f>
        <v>23</v>
      </c>
      <c r="X91" s="503" t="str">
        <f>IF(終値!A91="","",IF(AND(安値!AC91&lt;安値!AB91,安値!AC91&lt;安値!AA91,安値!AC91&lt;安値!AD91,安値!AC91&lt;安値!AE91),24,""))</f>
        <v/>
      </c>
      <c r="Y91" s="503" t="str">
        <f>IF(終値!A91="","",IF(AND(安値!AD91&lt;安値!AC91,安値!AD91&lt;安値!AB91,安値!AD91&lt;安値!AE91,安値!AD91&lt;安値!AF91),25,""))</f>
        <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f>IF(終値!A91="","",IF(AND(高値!K91&gt;高値!J91,高値!K91&gt;高値!I91,高値!K91&gt;高値!L91,高値!K91&gt;高値!M91),6,""))</f>
        <v>6</v>
      </c>
      <c r="AH91" s="503" t="str">
        <f>IF(終値!A91="","",IF(AND(高値!L91&gt;高値!K91,高値!L91&gt;高値!J91,高値!L91&gt;高値!M91,高値!L91&gt;高値!N91),7,""))</f>
        <v/>
      </c>
      <c r="AI91" s="503" t="str">
        <f>IF(終値!A91="","",IF(AND(高値!M91&gt;高値!L91,高値!M91&gt;高値!K91,高値!M91&gt;高値!N91,高値!M91&gt;高値!O91),8,""))</f>
        <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f>IF(終値!A91="","",IF(AND(高値!R91&gt;高値!Q91,高値!R91&gt;高値!P91,高値!R91&gt;高値!S91,高値!R91&gt;高値!T91),13,""))</f>
        <v>13</v>
      </c>
      <c r="AO91" s="503" t="str">
        <f>IF(終値!A91="","",IF(AND(高値!S91&gt;高値!R91,高値!S91&gt;高値!Q91,高値!S91&gt;高値!T91,高値!S91&gt;高値!U91),14,""))</f>
        <v/>
      </c>
      <c r="AP91" s="503" t="str">
        <f>IF(終値!A91="","",IF(AND(高値!T91&gt;高値!S91,高値!T91&gt;高値!R91,高値!T91&gt;高値!U91,高値!T91&gt;高値!V91),15,""))</f>
        <v/>
      </c>
      <c r="AQ91" s="503" t="str">
        <f>IF(終値!A91="","",IF(AND(高値!U91&gt;高値!T91,高値!U91&gt;高値!S91,高値!U91&gt;高値!V91,高値!U91&gt;高値!W91),16,""))</f>
        <v/>
      </c>
      <c r="AR91" s="503" t="str">
        <f>IF(終値!A91="","",IF(AND(高値!V91&gt;高値!U91,高値!V91&gt;高値!T91,高値!V91&gt;高値!W91,高値!V91&gt;高値!X91),17,""))</f>
        <v/>
      </c>
      <c r="AS91" s="503">
        <f>IF(終値!A91="","",IF(AND(高値!W91&gt;高値!V91,高値!W91&gt;高値!U91,高値!W91&gt;高値!X91,高値!W91&gt;高値!Y91),18,""))</f>
        <v>18</v>
      </c>
      <c r="AT91" s="503" t="str">
        <f>IF(終値!A91="","",IF(AND(高値!X91&gt;高値!W91,高値!X91&gt;高値!V91,高値!X91&gt;高値!Y91,高値!X91&gt;高値!Z91),19,""))</f>
        <v/>
      </c>
      <c r="AU91" s="503" t="str">
        <f>IF(終値!A91="","",IF(AND(高値!Y91&gt;高値!X91,高値!Y91&gt;高値!W91,高値!Y91&gt;高値!Z91,高値!Y91&gt;高値!AA91),20,""))</f>
        <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f>IF(終値!A91="","",IF(AND(高値!AG91&gt;高値!AF91,高値!AG91&gt;高値!AE91,高値!AG91&gt;高値!AH91,高値!AG91&gt;高値!AI91),28,""))</f>
        <v>28</v>
      </c>
      <c r="BD91" s="503">
        <f t="shared" si="6"/>
        <v>2</v>
      </c>
      <c r="BE91" s="503">
        <f t="shared" si="7"/>
        <v>11</v>
      </c>
      <c r="BF91" s="503">
        <f t="shared" si="8"/>
        <v>23</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4</v>
      </c>
      <c r="BM91" s="503">
        <f t="shared" si="10"/>
        <v>6</v>
      </c>
      <c r="BN91" s="503">
        <f t="shared" si="11"/>
        <v>13</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f>IF(終値!A92="","",IF(AND(安値!I92&lt;安値!H92,安値!I92&lt;安値!G92,安値!I92&lt;安値!J92,安値!I92&lt;安値!K92),4,""))</f>
        <v>4</v>
      </c>
      <c r="E92" s="503" t="str">
        <f>IF(終値!A92="","",IF(AND(安値!J92&lt;安値!I92,安値!J92&lt;安値!H92,安値!J92&lt;安値!K92,安値!J92&lt;安値!L92),5,""))</f>
        <v/>
      </c>
      <c r="F92" s="503" t="str">
        <f>IF(終値!A92="","",IF(AND(安値!K92&lt;安値!J92,安値!K92&lt;安値!I92,安値!K92&lt;安値!L92,安値!K92&lt;安値!M92),6,""))</f>
        <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f>IF(終値!A92="","",IF(AND(安値!P92&lt;安値!O92,安値!P92&lt;安値!N92,安値!P92&lt;安値!Q92,安値!P92&lt;安値!R92),11,""))</f>
        <v>11</v>
      </c>
      <c r="L92" s="503" t="str">
        <f>IF(終値!A92="","",IF(AND(安値!Q92&lt;安値!P92,安値!Q92&lt;安値!O92,安値!Q92&lt;安値!R92,安値!Q92&lt;安値!S92),12,""))</f>
        <v/>
      </c>
      <c r="M92" s="503" t="str">
        <f>IF(終値!A92="","",IF(AND(安値!R92&lt;安値!Q92,安値!R92&lt;安値!P92,安値!R92&lt;安値!S92,安値!R92&lt;安値!T92),13,""))</f>
        <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f>IF(終値!A92="","",IF(AND(安値!V92&lt;安値!U92,安値!V92&lt;安値!T92,安値!V92&lt;安値!W92,安値!V92&lt;安値!X92),17,""))</f>
        <v>17</v>
      </c>
      <c r="R92" s="503" t="str">
        <f>IF(終値!A92="","",IF(AND(安値!W92&lt;安値!V92,安値!W92&lt;安値!U92,安値!W92&lt;安値!X92,安値!W92&lt;安値!Y92),18,""))</f>
        <v/>
      </c>
      <c r="S92" s="503" t="str">
        <f>IF(終値!A92="","",IF(AND(安値!X92&lt;安値!W92,安値!X92&lt;安値!V92,安値!X92&lt;安値!Y92,安値!X92&lt;安値!Z92),19,""))</f>
        <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f>IF(終値!A92="","",IF(AND(安値!AC92&lt;安値!AB92,安値!AC92&lt;安値!AA92,安値!AC92&lt;安値!AD92,安値!AC92&lt;安値!AE92),24,""))</f>
        <v>24</v>
      </c>
      <c r="Y92" s="503" t="str">
        <f>IF(終値!A92="","",IF(AND(安値!AD92&lt;安値!AC92,安値!AD92&lt;安値!AB92,安値!AD92&lt;安値!AE92,安値!AD92&lt;安値!AF92),25,""))</f>
        <v/>
      </c>
      <c r="Z92" s="503" t="str">
        <f>IF(終値!A92="","",IF(AND(安値!AE92&lt;安値!AD92,安値!AE92&lt;安値!AC92,安値!AE92&lt;安値!AF92,安値!AE92&lt;安値!AG92),26,""))</f>
        <v/>
      </c>
      <c r="AA92" s="503" t="str">
        <f>IF(終値!A92="","",IF(AND(安値!AF92&lt;安値!AE92,安値!AF92&lt;安値!AD92,安値!AF92&lt;安値!AG92,安値!AF92&lt;安値!AH92),27,""))</f>
        <v/>
      </c>
      <c r="AB92" s="503" t="str">
        <f>IF(終値!A92="","",IF(AND(安値!AG92&lt;安値!AF92,安値!AG92&lt;安値!AE92,安値!AG92&lt;安値!AH92,安値!AG92&lt;安値!AI92),28,""))</f>
        <v/>
      </c>
      <c r="AC92" s="503" t="str">
        <f>IF(終値!A92="","",IF(AND(高値!G92&gt;高値!F92,高値!G92&gt;高値!E92,高値!G92&gt;高値!H92,高値!G92&gt;高値!I92),2,""))</f>
        <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f>IF(終値!A92="","",IF(AND(高値!M92&gt;高値!L92,高値!M92&gt;高値!K92,高値!M92&gt;高値!N92,高値!M92&gt;高値!O92),8,""))</f>
        <v>8</v>
      </c>
      <c r="AJ92" s="503" t="str">
        <f>IF(終値!A92="","",IF(AND(高値!N92&gt;高値!M92,高値!N92&gt;高値!L92,高値!N92&gt;高値!O92,高値!N92&gt;高値!P92),9,""))</f>
        <v/>
      </c>
      <c r="AK92" s="503" t="str">
        <f>IF(終値!A92="","",IF(AND(高値!O92&gt;高値!N92,高値!O92&gt;高値!M92,高値!O92&gt;高値!P92,高値!O92&gt;高値!Q92),10,""))</f>
        <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f>IF(終値!A92="","",IF(AND(高値!T92&gt;高値!S92,高値!T92&gt;高値!R92,高値!T92&gt;高値!U92,高値!T92&gt;高値!V92),15,""))</f>
        <v>15</v>
      </c>
      <c r="AQ92" s="503" t="str">
        <f>IF(終値!A92="","",IF(AND(高値!U92&gt;高値!T92,高値!U92&gt;高値!S92,高値!U92&gt;高値!V92,高値!U92&gt;高値!W92),16,""))</f>
        <v/>
      </c>
      <c r="AR92" s="503" t="str">
        <f>IF(終値!A92="","",IF(AND(高値!V92&gt;高値!U92,高値!V92&gt;高値!T92,高値!V92&gt;高値!W92,高値!V92&gt;高値!X92),17,""))</f>
        <v/>
      </c>
      <c r="AS92" s="503" t="str">
        <f>IF(終値!A92="","",IF(AND(高値!W92&gt;高値!V92,高値!W92&gt;高値!U92,高値!W92&gt;高値!X92,高値!W92&gt;高値!Y92),18,""))</f>
        <v/>
      </c>
      <c r="AT92" s="503">
        <f>IF(終値!A92="","",IF(AND(高値!X92&gt;高値!W92,高値!X92&gt;高値!V92,高値!X92&gt;高値!Y92,高値!X92&gt;高値!Z92),19,""))</f>
        <v>19</v>
      </c>
      <c r="AU92" s="503" t="str">
        <f>IF(終値!A92="","",IF(AND(高値!Y92&gt;高値!X92,高値!Y92&gt;高値!W92,高値!Y92&gt;高値!Z92,高値!Y92&gt;高値!AA92),20,""))</f>
        <v/>
      </c>
      <c r="AV92" s="503" t="str">
        <f>IF(終値!A92="","",IF(AND(高値!Z92&gt;高値!Y92,高値!Z92&gt;高値!X92,高値!Z92&gt;高値!AA92,高値!Z92&gt;高値!AB92),21,""))</f>
        <v/>
      </c>
      <c r="AW92" s="503">
        <f>IF(終値!A92="","",IF(AND(高値!AA92&gt;高値!Z92,高値!AA92&gt;高値!Y92,高値!AA92&gt;高値!AB92,高値!AA92&gt;高値!AC92),22,""))</f>
        <v>22</v>
      </c>
      <c r="AX92" s="503" t="str">
        <f>IF(終値!A92="","",IF(AND(高値!AB92&gt;高値!AA92,高値!AB92&gt;高値!Z92,高値!AB92&gt;高値!AC92,高値!AB92&gt;高値!AD92),23,""))</f>
        <v/>
      </c>
      <c r="AY92" s="503" t="str">
        <f>IF(終値!A92="","",IF(AND(高値!AC92&gt;高値!AB92,高値!AC92&gt;高値!AA92,高値!AC92&gt;高値!AD92,高値!AC92&gt;高値!AE92),24,""))</f>
        <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4</v>
      </c>
      <c r="BF92" s="503">
        <f t="shared" si="8"/>
        <v>11</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4</v>
      </c>
      <c r="BM92" s="503">
        <f t="shared" si="10"/>
        <v>8</v>
      </c>
      <c r="BN92" s="503">
        <f t="shared" si="11"/>
        <v>15</v>
      </c>
      <c r="BO92" s="503">
        <f>IF($BM92="","",INDEX(高値!$E92:$CZ92,1,$BM92+1))</f>
        <v>7744</v>
      </c>
      <c r="BP92" s="503">
        <f>IF($BN92="","",INDEX(高値!$E92:$CZ92,1,$BN92+1))</f>
        <v>8474</v>
      </c>
      <c r="BQ92" s="503">
        <f>IF($BN92="","",MIN(INDEX(安値!$E92:$CZ92,1,$BM92+1):INDEX(安値!$E92:$CZ92,1,$BN92+1)))</f>
        <v>6933</v>
      </c>
      <c r="BR92" s="503">
        <f>IF($BN92="","",AVERAGE(INDEX(終値!$E92:$CZ92,1,$BN92+1):INDEX(終値!$E92:$CZ92,1,$BN92+20))+2*STDEVP(INDEX(終値!$E92:$CZ92,1,$BN92+1):INDEX(終値!$E92:$CZ92,1,$BN92+20)))</f>
        <v>8914.7484081943858</v>
      </c>
      <c r="BS92" s="503">
        <f>IF($BM92="","",AVERAGE(INDEX(終値!$E92:$CZ92,1,$BM92+1):INDEX(終値!$E92:$CZ92,1,$BM92+20))+2*STDEVP(INDEX(終値!$E92:$CZ92,1,$BM92+1):INDEX(終値!$E92:$CZ92,1,$BM92+20)))</f>
        <v>8940.2232547899093</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f>IF(終値!A93="","",IF(AND(安値!I93&lt;安値!H93,安値!I93&lt;安値!G93,安値!I93&lt;安値!J93,安値!I93&lt;安値!K93),4,""))</f>
        <v>4</v>
      </c>
      <c r="E93" s="503" t="str">
        <f>IF(終値!A93="","",IF(AND(安値!J93&lt;安値!I93,安値!J93&lt;安値!H93,安値!J93&lt;安値!K93,安値!J93&lt;安値!L93),5,""))</f>
        <v/>
      </c>
      <c r="F93" s="503" t="str">
        <f>IF(終値!A93="","",IF(AND(安値!K93&lt;安値!J93,安値!K93&lt;安値!I93,安値!K93&lt;安値!L93,安値!K93&lt;安値!M93),6,""))</f>
        <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f>IF(終値!A93="","",IF(AND(安値!O93&lt;安値!N93,安値!O93&lt;安値!M93,安値!O93&lt;安値!P93,安値!O93&lt;安値!Q93),10,""))</f>
        <v>10</v>
      </c>
      <c r="K93" s="503" t="str">
        <f>IF(終値!A93="","",IF(AND(安値!P93&lt;安値!O93,安値!P93&lt;安値!N93,安値!P93&lt;安値!Q93,安値!P93&lt;安値!R93),11,""))</f>
        <v/>
      </c>
      <c r="L93" s="503" t="str">
        <f>IF(終値!A93="","",IF(AND(安値!Q93&lt;安値!P93,安値!Q93&lt;安値!O93,安値!Q93&lt;安値!R93,安値!Q93&lt;安値!S93),12,""))</f>
        <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f>IF(終値!A93="","",IF(AND(安値!U93&lt;安値!T93,安値!U93&lt;安値!S93,安値!U93&lt;安値!V93,安値!U93&lt;安値!W93),16,""))</f>
        <v>16</v>
      </c>
      <c r="Q93" s="503" t="str">
        <f>IF(終値!A93="","",IF(AND(安値!V93&lt;安値!U93,安値!V93&lt;安値!T93,安値!V93&lt;安値!W93,安値!V93&lt;安値!X93),17,""))</f>
        <v/>
      </c>
      <c r="R93" s="503" t="str">
        <f>IF(終値!A93="","",IF(AND(安値!W93&lt;安値!V93,安値!W93&lt;安値!U93,安値!W93&lt;安値!X93,安値!W93&lt;安値!Y93),18,""))</f>
        <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f>IF(終値!A93="","",IF(AND(安値!AF93&lt;安値!AE93,安値!AF93&lt;安値!AD93,安値!AF93&lt;安値!AG93,安値!AF93&lt;安値!AH93),27,""))</f>
        <v>27</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f>IF(終値!A93="","",IF(AND(高値!L93&gt;高値!K93,高値!L93&gt;高値!J93,高値!L93&gt;高値!M93,高値!L93&gt;高値!N93),7,""))</f>
        <v>7</v>
      </c>
      <c r="AI93" s="503" t="str">
        <f>IF(終値!A93="","",IF(AND(高値!M93&gt;高値!L93,高値!M93&gt;高値!K93,高値!M93&gt;高値!N93,高値!M93&gt;高値!O93),8,""))</f>
        <v/>
      </c>
      <c r="AJ93" s="503" t="str">
        <f>IF(終値!A93="","",IF(AND(高値!N93&gt;高値!M93,高値!N93&gt;高値!L93,高値!N93&gt;高値!O93,高値!N93&gt;高値!P93),9,""))</f>
        <v/>
      </c>
      <c r="AK93" s="503">
        <f>IF(終値!A93="","",IF(AND(高値!O93&gt;高値!N93,高値!O93&gt;高値!M93,高値!O93&gt;高値!P93,高値!O93&gt;高値!Q93),10,""))</f>
        <v>10</v>
      </c>
      <c r="AL93" s="503" t="str">
        <f>IF(終値!A93="","",IF(AND(高値!P93&gt;高値!O93,高値!P93&gt;高値!N93,高値!P93&gt;高値!Q93,高値!P93&gt;高値!R93),11,""))</f>
        <v/>
      </c>
      <c r="AM93" s="503" t="str">
        <f>IF(終値!A93="","",IF(AND(高値!Q93&gt;高値!P93,高値!Q93&gt;高値!O93,高値!Q93&gt;高値!R93,高値!Q93&gt;高値!S93),12,""))</f>
        <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f>IF(終値!A93="","",IF(AND(高値!AC93&gt;高値!AB93,高値!AC93&gt;高値!AA93,高値!AC93&gt;高値!AD93,高値!AC93&gt;高値!AE93),24,""))</f>
        <v>24</v>
      </c>
      <c r="AZ93" s="503" t="str">
        <f>IF(終値!A93="","",IF(AND(高値!AD93&gt;高値!AC93,高値!AD93&gt;高値!AB93,高値!AD93&gt;高値!AE93,高値!AD93&gt;高値!AF93),25,""))</f>
        <v/>
      </c>
      <c r="BA93" s="503" t="str">
        <f>IF(終値!A93="","",IF(AND(高値!AE93&gt;高値!AD93,高値!AE93&gt;高値!AC93,高値!AE93&gt;高値!AF93,高値!AE93&gt;高値!AG93),26,""))</f>
        <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4</v>
      </c>
      <c r="BE93" s="503">
        <f t="shared" si="7"/>
        <v>4</v>
      </c>
      <c r="BF93" s="503">
        <f t="shared" si="8"/>
        <v>10</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7</v>
      </c>
      <c r="BN93" s="503">
        <f t="shared" si="11"/>
        <v>10</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t="str">
        <f>IF(終値!A94="","",IF(AND(安値!G94&lt;安値!F94,安値!G94&lt;安値!E94,安値!G94&lt;安値!H94,安値!G94&lt;安値!I94),2,""))</f>
        <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f>IF(終値!A94="","",IF(AND(安値!P94&lt;安値!O94,安値!P94&lt;安値!N94,安値!P94&lt;安値!Q94,安値!P94&lt;安値!R94),11,""))</f>
        <v>11</v>
      </c>
      <c r="L94" s="503" t="str">
        <f>IF(終値!A94="","",IF(AND(安値!Q94&lt;安値!P94,安値!Q94&lt;安値!O94,安値!Q94&lt;安値!R94,安値!Q94&lt;安値!S94),12,""))</f>
        <v/>
      </c>
      <c r="M94" s="503" t="str">
        <f>IF(終値!A94="","",IF(AND(安値!R94&lt;安値!Q94,安値!R94&lt;安値!P94,安値!R94&lt;安値!S94,安値!R94&lt;安値!T94),13,""))</f>
        <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f>IF(終値!A94="","",IF(AND(安値!Z94&lt;安値!Y94,安値!Z94&lt;安値!X94,安値!Z94&lt;安値!AA94,安値!Z94&lt;安値!AB94),21,""))</f>
        <v>21</v>
      </c>
      <c r="V94" s="503" t="str">
        <f>IF(終値!A94="","",IF(AND(安値!AA94&lt;安値!Z94,安値!AA94&lt;安値!Y94,安値!AA94&lt;安値!AB94,安値!AA94&lt;安値!AC94),22,""))</f>
        <v/>
      </c>
      <c r="W94" s="503" t="str">
        <f>IF(終値!A94="","",IF(AND(安値!AB94&lt;安値!AA94,安値!AB94&lt;安値!Z94,安値!AB94&lt;安値!AC94,安値!AB94&lt;安値!AD94),23,""))</f>
        <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f>IF(終値!A94="","",IF(AND(安値!AF94&lt;安値!AE94,安値!AF94&lt;安値!AD94,安値!AF94&lt;安値!AG94,安値!AF94&lt;安値!AH94),27,""))</f>
        <v>27</v>
      </c>
      <c r="AB94" s="503" t="str">
        <f>IF(終値!A94="","",IF(AND(安値!AG94&lt;安値!AF94,安値!AG94&lt;安値!AE94,安値!AG94&lt;安値!AH94,安値!AG94&lt;安値!AI94),28,""))</f>
        <v/>
      </c>
      <c r="AC94" s="503">
        <f>IF(終値!A94="","",IF(AND(高値!G94&gt;高値!F94,高値!G94&gt;高値!E94,高値!G94&gt;高値!H94,高値!G94&gt;高値!I94),2,""))</f>
        <v>2</v>
      </c>
      <c r="AD94" s="503" t="str">
        <f>IF(終値!A94="","",IF(AND(高値!H94&gt;高値!G94,高値!H94&gt;高値!F94,高値!H94&gt;高値!I94,高値!H94&gt;高値!J94),3,""))</f>
        <v/>
      </c>
      <c r="AE94" s="503" t="str">
        <f>IF(終値!A94="","",IF(AND(高値!I94&gt;高値!H94,高値!I94&gt;高値!G94,高値!I94&gt;高値!J94,高値!I94&gt;高値!K94),4,""))</f>
        <v/>
      </c>
      <c r="AF94" s="503" t="str">
        <f>IF(終値!A94="","",IF(AND(高値!J94&gt;高値!I94,高値!J94&gt;高値!H94,高値!J94&gt;高値!K94,高値!J94&gt;高値!L94),5,""))</f>
        <v/>
      </c>
      <c r="AG94" s="503">
        <f>IF(終値!A94="","",IF(AND(高値!K94&gt;高値!J94,高値!K94&gt;高値!I94,高値!K94&gt;高値!L94,高値!K94&gt;高値!M94),6,""))</f>
        <v>6</v>
      </c>
      <c r="AH94" s="503" t="str">
        <f>IF(終値!A94="","",IF(AND(高値!L94&gt;高値!K94,高値!L94&gt;高値!J94,高値!L94&gt;高値!M94,高値!L94&gt;高値!N94),7,""))</f>
        <v/>
      </c>
      <c r="AI94" s="503" t="str">
        <f>IF(終値!A94="","",IF(AND(高値!M94&gt;高値!L94,高値!M94&gt;高値!K94,高値!M94&gt;高値!N94,高値!M94&gt;高値!O94),8,""))</f>
        <v/>
      </c>
      <c r="AJ94" s="503">
        <f>IF(終値!A94="","",IF(AND(高値!N94&gt;高値!M94,高値!N94&gt;高値!L94,高値!N94&gt;高値!O94,高値!N94&gt;高値!P94),9,""))</f>
        <v>9</v>
      </c>
      <c r="AK94" s="503" t="str">
        <f>IF(終値!A94="","",IF(AND(高値!O94&gt;高値!N94,高値!O94&gt;高値!M94,高値!O94&gt;高値!P94,高値!O94&gt;高値!Q94),10,""))</f>
        <v/>
      </c>
      <c r="AL94" s="503" t="str">
        <f>IF(終値!A94="","",IF(AND(高値!P94&gt;高値!O94,高値!P94&gt;高値!N94,高値!P94&gt;高値!Q94,高値!P94&gt;高値!R94),11,""))</f>
        <v/>
      </c>
      <c r="AM94" s="503">
        <f>IF(終値!A94="","",IF(AND(高値!Q94&gt;高値!P94,高値!Q94&gt;高値!O94,高値!Q94&gt;高値!R94,高値!Q94&gt;高値!S94),12,""))</f>
        <v>12</v>
      </c>
      <c r="AN94" s="503" t="str">
        <f>IF(終値!A94="","",IF(AND(高値!R94&gt;高値!Q94,高値!R94&gt;高値!P94,高値!R94&gt;高値!S94,高値!R94&gt;高値!T94),13,""))</f>
        <v/>
      </c>
      <c r="AO94" s="503" t="str">
        <f>IF(終値!A94="","",IF(AND(高値!S94&gt;高値!R94,高値!S94&gt;高値!Q94,高値!S94&gt;高値!T94,高値!S94&gt;高値!U94),14,""))</f>
        <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f>IF(終値!A94="","",IF(AND(高値!X94&gt;高値!W94,高値!X94&gt;高値!V94,高値!X94&gt;高値!Y94,高値!X94&gt;高値!Z94),19,""))</f>
        <v>19</v>
      </c>
      <c r="AU94" s="503" t="str">
        <f>IF(終値!A94="","",IF(AND(高値!Y94&gt;高値!X94,高値!Y94&gt;高値!W94,高値!Y94&gt;高値!Z94,高値!Y94&gt;高値!AA94),20,""))</f>
        <v/>
      </c>
      <c r="AV94" s="503" t="str">
        <f>IF(終値!A94="","",IF(AND(高値!Z94&gt;高値!Y94,高値!Z94&gt;高値!X94,高値!Z94&gt;高値!AA94,高値!Z94&gt;高値!AB94),21,""))</f>
        <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f>IF(終値!A94="","",IF(AND(高値!AE94&gt;高値!AD94,高値!AE94&gt;高値!AC94,高値!AE94&gt;高値!AF94,高値!AE94&gt;高値!AG94),26,""))</f>
        <v>26</v>
      </c>
      <c r="BB94" s="503" t="str">
        <f>IF(終値!A94="","",IF(AND(高値!AF94&gt;高値!AE94,高値!AF94&gt;高値!AD94,高値!AF94&gt;高値!AG94,高値!AF94&gt;高値!AH94),27,""))</f>
        <v/>
      </c>
      <c r="BC94" s="503" t="str">
        <f>IF(終値!A94="","",IF(AND(高値!AG94&gt;高値!AF94,高値!AG94&gt;高値!AE94,高値!AG94&gt;高値!AH94,高値!AG94&gt;高値!AI94),28,""))</f>
        <v/>
      </c>
      <c r="BD94" s="503">
        <f t="shared" si="6"/>
        <v>3</v>
      </c>
      <c r="BE94" s="503">
        <f t="shared" si="7"/>
        <v>11</v>
      </c>
      <c r="BF94" s="503">
        <f t="shared" si="8"/>
        <v>21</v>
      </c>
      <c r="BG94" s="503">
        <f>IF($BE94="","",INDEX(安値!$E94:$CZ94,1,$BE94+1))</f>
        <v>1804</v>
      </c>
      <c r="BH94" s="503">
        <f>IF($BF94="","",INDEX(安値!$E94:$CZ94,1,$BF94+1))</f>
        <v>1761.5</v>
      </c>
      <c r="BI94" s="503">
        <f>IF($BF94="","",MAX(INDEX(高値!$E94:$CZ94,1,$BE94+1):INDEX(高値!$E94:$CZ94,1,$BF94+1)))</f>
        <v>1906</v>
      </c>
      <c r="BJ94" s="503">
        <f>IF($BF94="","",AVERAGE(INDEX(終値!$E94:$CZ94,1,$BF94+1):INDEX(終値!$E94:$CZ94,1,$BF94+20))-2*STDEVP(INDEX(終値!$E94:$CZ94,1,$BF94+1):INDEX(終値!$E94:$CZ94,1,$BF94+20)))</f>
        <v>1748.482002107914</v>
      </c>
      <c r="BK94" s="503">
        <f>IF($BE94="","",AVERAGE(INDEX(終値!$E94:$CZ94,1,$BE94+1):INDEX(終値!$E94:$CZ94,1,$BE94+20))-2*STDEVP(INDEX(終値!$E94:$CZ94,1,$BE94+1):INDEX(終値!$E94:$CZ94,1,$BE94+20)))</f>
        <v>1752.4623923675745</v>
      </c>
      <c r="BL94" s="503">
        <f t="shared" si="9"/>
        <v>6</v>
      </c>
      <c r="BM94" s="503">
        <f t="shared" si="10"/>
        <v>2</v>
      </c>
      <c r="BN94" s="503">
        <f t="shared" si="11"/>
        <v>6</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t="str">
        <f>IF(終値!A95="","",IF(AND(安値!H95&lt;安値!G95,安値!H95&lt;安値!F95,安値!H95&lt;安値!I95,安値!H95&lt;安値!J95),3,""))</f>
        <v/>
      </c>
      <c r="D95" s="503">
        <f>IF(終値!A95="","",IF(AND(安値!I95&lt;安値!H95,安値!I95&lt;安値!G95,安値!I95&lt;安値!J95,安値!I95&lt;安値!K95),4,""))</f>
        <v>4</v>
      </c>
      <c r="E95" s="503" t="str">
        <f>IF(終値!A95="","",IF(AND(安値!J95&lt;安値!I95,安値!J95&lt;安値!H95,安値!J95&lt;安値!K95,安値!J95&lt;安値!L95),5,""))</f>
        <v/>
      </c>
      <c r="F95" s="503" t="str">
        <f>IF(終値!A95="","",IF(AND(安値!K95&lt;安値!J95,安値!K95&lt;安値!I95,安値!K95&lt;安値!L95,安値!K95&lt;安値!M95),6,""))</f>
        <v/>
      </c>
      <c r="G95" s="503">
        <f>IF(終値!A95="","",IF(AND(安値!L95&lt;安値!K95,安値!L95&lt;安値!J95,安値!L95&lt;安値!M95,安値!L95&lt;安値!N95),7,""))</f>
        <v>7</v>
      </c>
      <c r="H95" s="503" t="str">
        <f>IF(終値!A95="","",IF(AND(安値!M95&lt;安値!L95,安値!M95&lt;安値!K95,安値!M95&lt;安値!N95,安値!M95&lt;安値!O95),8,""))</f>
        <v/>
      </c>
      <c r="I95" s="503" t="str">
        <f>IF(終値!A95="","",IF(AND(安値!N95&lt;安値!M95,安値!N95&lt;安値!L95,安値!N95&lt;安値!O95,安値!N95&lt;安値!P95),9,""))</f>
        <v/>
      </c>
      <c r="J95" s="503" t="str">
        <f>IF(終値!A95="","",IF(AND(安値!O95&lt;安値!N95,安値!O95&lt;安値!M95,安値!O95&lt;安値!P95,安値!O95&lt;安値!Q95),10,""))</f>
        <v/>
      </c>
      <c r="K95" s="503">
        <f>IF(終値!A95="","",IF(AND(安値!P95&lt;安値!O95,安値!P95&lt;安値!N95,安値!P95&lt;安値!Q95,安値!P95&lt;安値!R95),11,""))</f>
        <v>11</v>
      </c>
      <c r="L95" s="503" t="str">
        <f>IF(終値!A95="","",IF(AND(安値!Q95&lt;安値!P95,安値!Q95&lt;安値!O95,安値!Q95&lt;安値!R95,安値!Q95&lt;安値!S95),12,""))</f>
        <v/>
      </c>
      <c r="M95" s="503" t="str">
        <f>IF(終値!A95="","",IF(AND(安値!R95&lt;安値!Q95,安値!R95&lt;安値!P95,安値!R95&lt;安値!S95,安値!R95&lt;安値!T95),13,""))</f>
        <v/>
      </c>
      <c r="N95" s="503">
        <f>IF(終値!A95="","",IF(AND(安値!S95&lt;安値!R95,安値!S95&lt;安値!Q95,安値!S95&lt;安値!T95,安値!S95&lt;安値!U95),14,""))</f>
        <v>14</v>
      </c>
      <c r="O95" s="503" t="str">
        <f>IF(終値!A95="","",IF(AND(安値!T95&lt;安値!S95,安値!T95&lt;安値!R95,安値!T95&lt;安値!U95,安値!T95&lt;安値!V95),15,""))</f>
        <v/>
      </c>
      <c r="P95" s="503" t="str">
        <f>IF(終値!A95="","",IF(AND(安値!U95&lt;安値!T95,安値!U95&lt;安値!S95,安値!U95&lt;安値!V95,安値!U95&lt;安値!W95),16,""))</f>
        <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f>IF(終値!A95="","",IF(AND(安値!AB95&lt;安値!AA95,安値!AB95&lt;安値!Z95,安値!AB95&lt;安値!AC95,安値!AB95&lt;安値!AD95),23,""))</f>
        <v>23</v>
      </c>
      <c r="X95" s="503" t="str">
        <f>IF(終値!A95="","",IF(AND(安値!AC95&lt;安値!AB95,安値!AC95&lt;安値!AA95,安値!AC95&lt;安値!AD95,安値!AC95&lt;安値!AE95),24,""))</f>
        <v/>
      </c>
      <c r="Y95" s="503" t="str">
        <f>IF(終値!A95="","",IF(AND(安値!AD95&lt;安値!AC95,安値!AD95&lt;安値!AB95,安値!AD95&lt;安値!AE95,安値!AD95&lt;安値!AF95),25,""))</f>
        <v/>
      </c>
      <c r="Z95" s="503" t="str">
        <f>IF(終値!A95="","",IF(AND(安値!AE95&lt;安値!AD95,安値!AE95&lt;安値!AC95,安値!AE95&lt;安値!AF95,安値!AE95&lt;安値!AG95),26,""))</f>
        <v/>
      </c>
      <c r="AA95" s="503">
        <f>IF(終値!A95="","",IF(AND(安値!AF95&lt;安値!AE95,安値!AF95&lt;安値!AD95,安値!AF95&lt;安値!AG95,安値!AF95&lt;安値!AH95),27,""))</f>
        <v>27</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f>IF(終値!A95="","",IF(AND(高値!N95&gt;高値!M95,高値!N95&gt;高値!L95,高値!N95&gt;高値!O95,高値!N95&gt;高値!P95),9,""))</f>
        <v>9</v>
      </c>
      <c r="AK95" s="503" t="str">
        <f>IF(終値!A95="","",IF(AND(高値!O95&gt;高値!N95,高値!O95&gt;高値!M95,高値!O95&gt;高値!P95,高値!O95&gt;高値!Q95),10,""))</f>
        <v/>
      </c>
      <c r="AL95" s="503" t="str">
        <f>IF(終値!A95="","",IF(AND(高値!P95&gt;高値!O95,高値!P95&gt;高値!N95,高値!P95&gt;高値!Q95,高値!P95&gt;高値!R95),11,""))</f>
        <v/>
      </c>
      <c r="AM95" s="503">
        <f>IF(終値!A95="","",IF(AND(高値!Q95&gt;高値!P95,高値!Q95&gt;高値!O95,高値!Q95&gt;高値!R95,高値!Q95&gt;高値!S95),12,""))</f>
        <v>12</v>
      </c>
      <c r="AN95" s="503" t="str">
        <f>IF(終値!A95="","",IF(AND(高値!R95&gt;高値!Q95,高値!R95&gt;高値!P95,高値!R95&gt;高値!S95,高値!R95&gt;高値!T95),13,""))</f>
        <v/>
      </c>
      <c r="AO95" s="503" t="str">
        <f>IF(終値!A95="","",IF(AND(高値!S95&gt;高値!R95,高値!S95&gt;高値!Q95,高値!S95&gt;高値!T95,高値!S95&gt;高値!U95),14,""))</f>
        <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f>IF(終値!A95="","",IF(AND(高値!X95&gt;高値!W95,高値!X95&gt;高値!V95,高値!X95&gt;高値!Y95,高値!X95&gt;高値!Z95),19,""))</f>
        <v>19</v>
      </c>
      <c r="AU95" s="503" t="str">
        <f>IF(終値!A95="","",IF(AND(高値!Y95&gt;高値!X95,高値!Y95&gt;高値!W95,高値!Y95&gt;高値!Z95,高値!Y95&gt;高値!AA95),20,""))</f>
        <v/>
      </c>
      <c r="AV95" s="503" t="str">
        <f>IF(終値!A95="","",IF(AND(高値!Z95&gt;高値!Y95,高値!Z95&gt;高値!X95,高値!Z95&gt;高値!AA95,高値!Z95&gt;高値!AB95),21,""))</f>
        <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f>IF(終値!A95="","",IF(AND(高値!AD95&gt;高値!AC95,高値!AD95&gt;高値!AB95,高値!AD95&gt;高値!AE95,高値!AD95&gt;高値!AF95),25,""))</f>
        <v>25</v>
      </c>
      <c r="BA95" s="503" t="str">
        <f>IF(終値!A95="","",IF(AND(高値!AE95&gt;高値!AD95,高値!AE95&gt;高値!AC95,高値!AE95&gt;高値!AF95,高値!AE95&gt;高値!AG95),26,""))</f>
        <v/>
      </c>
      <c r="BB95" s="503" t="str">
        <f>IF(終値!A95="","",IF(AND(高値!AF95&gt;高値!AE95,高値!AF95&gt;高値!AD95,高値!AF95&gt;高値!AG95,高値!AF95&gt;高値!AH95),27,""))</f>
        <v/>
      </c>
      <c r="BC95" s="503" t="str">
        <f>IF(終値!A95="","",IF(AND(高値!AG95&gt;高値!AF95,高値!AG95&gt;高値!AE95,高値!AG95&gt;高値!AH95,高値!AG95&gt;高値!AI95),28,""))</f>
        <v/>
      </c>
      <c r="BD95" s="503">
        <f t="shared" si="6"/>
        <v>6</v>
      </c>
      <c r="BE95" s="503">
        <f t="shared" si="7"/>
        <v>4</v>
      </c>
      <c r="BF95" s="503">
        <f t="shared" si="8"/>
        <v>7</v>
      </c>
      <c r="BG95" s="503">
        <f>IF($BE95="","",INDEX(安値!$E95:$CZ95,1,$BE95+1))</f>
        <v>1195</v>
      </c>
      <c r="BH95" s="503">
        <f>IF($BF95="","",INDEX(安値!$E95:$CZ95,1,$BF95+1))</f>
        <v>0</v>
      </c>
      <c r="BI95" s="503">
        <f>IF($BF95="","",MAX(INDEX(高値!$E95:$CZ95,1,$BE95+1):INDEX(高値!$E95:$CZ95,1,$BF95+1)))</f>
        <v>1302</v>
      </c>
      <c r="BJ95" s="503">
        <f>IF($BF95="","",AVERAGE(INDEX(終値!$E95:$CZ95,1,$BF95+1):INDEX(終値!$E95:$CZ95,1,$BF95+20))-2*STDEVP(INDEX(終値!$E95:$CZ95,1,$BF95+1):INDEX(終値!$E95:$CZ95,1,$BF95+20)))</f>
        <v>1240.1370674397012</v>
      </c>
      <c r="BK95" s="503">
        <f>IF($BE95="","",AVERAGE(INDEX(終値!$E95:$CZ95,1,$BE95+1):INDEX(終値!$E95:$CZ95,1,$BE95+20))-2*STDEVP(INDEX(終値!$E95:$CZ95,1,$BE95+1):INDEX(終値!$E95:$CZ95,1,$BE95+20)))</f>
        <v>1218.8792056575858</v>
      </c>
      <c r="BL95" s="503">
        <f t="shared" si="9"/>
        <v>4</v>
      </c>
      <c r="BM95" s="503">
        <f t="shared" si="10"/>
        <v>9</v>
      </c>
      <c r="BN95" s="503">
        <f t="shared" si="11"/>
        <v>12</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v>
      </c>
    </row>
    <row r="96" spans="2:72">
      <c r="B96" s="503" t="str">
        <f>IF(終値!A96="","",IF(AND(安値!G96&lt;安値!F96,安値!G96&lt;安値!E96,安値!G96&lt;安値!H96,安値!G96&lt;安値!I96),2,""))</f>
        <v/>
      </c>
      <c r="C96" s="503" t="str">
        <f>IF(終値!A96="","",IF(AND(安値!H96&lt;安値!G96,安値!H96&lt;安値!F96,安値!H96&lt;安値!I96,安値!H96&lt;安値!J96),3,""))</f>
        <v/>
      </c>
      <c r="D96" s="503">
        <f>IF(終値!A96="","",IF(AND(安値!I96&lt;安値!H96,安値!I96&lt;安値!G96,安値!I96&lt;安値!J96,安値!I96&lt;安値!K96),4,""))</f>
        <v>4</v>
      </c>
      <c r="E96" s="503" t="str">
        <f>IF(終値!A96="","",IF(AND(安値!J96&lt;安値!I96,安値!J96&lt;安値!H96,安値!J96&lt;安値!K96,安値!J96&lt;安値!L96),5,""))</f>
        <v/>
      </c>
      <c r="F96" s="503" t="str">
        <f>IF(終値!A96="","",IF(AND(安値!K96&lt;安値!J96,安値!K96&lt;安値!I96,安値!K96&lt;安値!L96,安値!K96&lt;安値!M96),6,""))</f>
        <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f>IF(終値!A96="","",IF(AND(安値!P96&lt;安値!O96,安値!P96&lt;安値!N96,安値!P96&lt;安値!Q96,安値!P96&lt;安値!R96),11,""))</f>
        <v>11</v>
      </c>
      <c r="L96" s="503" t="str">
        <f>IF(終値!A96="","",IF(AND(安値!Q96&lt;安値!P96,安値!Q96&lt;安値!O96,安値!Q96&lt;安値!R96,安値!Q96&lt;安値!S96),12,""))</f>
        <v/>
      </c>
      <c r="M96" s="503" t="str">
        <f>IF(終値!A96="","",IF(AND(安値!R96&lt;安値!Q96,安値!R96&lt;安値!P96,安値!R96&lt;安値!S96,安値!R96&lt;安値!T96),13,""))</f>
        <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f>IF(終値!A96="","",IF(AND(安値!V96&lt;安値!U96,安値!V96&lt;安値!T96,安値!V96&lt;安値!W96,安値!V96&lt;安値!X96),17,""))</f>
        <v>17</v>
      </c>
      <c r="R96" s="503" t="str">
        <f>IF(終値!A96="","",IF(AND(安値!W96&lt;安値!V96,安値!W96&lt;安値!U96,安値!W96&lt;安値!X96,安値!W96&lt;安値!Y96),18,""))</f>
        <v/>
      </c>
      <c r="S96" s="503" t="str">
        <f>IF(終値!A96="","",IF(AND(安値!X96&lt;安値!W96,安値!X96&lt;安値!V96,安値!X96&lt;安値!Y96,安値!X96&lt;安値!Z96),19,""))</f>
        <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f>IF(終値!A96="","",IF(AND(安値!AC96&lt;安値!AB96,安値!AC96&lt;安値!AA96,安値!AC96&lt;安値!AD96,安値!AC96&lt;安値!AE96),24,""))</f>
        <v>24</v>
      </c>
      <c r="Y96" s="503" t="str">
        <f>IF(終値!A96="","",IF(AND(安値!AD96&lt;安値!AC96,安値!AD96&lt;安値!AB96,安値!AD96&lt;安値!AE96,安値!AD96&lt;安値!AF96),25,""))</f>
        <v/>
      </c>
      <c r="Z96" s="503" t="str">
        <f>IF(終値!A96="","",IF(AND(安値!AE96&lt;安値!AD96,安値!AE96&lt;安値!AC96,安値!AE96&lt;安値!AF96,安値!AE96&lt;安値!AG96),26,""))</f>
        <v/>
      </c>
      <c r="AA96" s="503">
        <f>IF(終値!A96="","",IF(AND(安値!AF96&lt;安値!AE96,安値!AF96&lt;安値!AD96,安値!AF96&lt;安値!AG96,安値!AF96&lt;安値!AH96),27,""))</f>
        <v>27</v>
      </c>
      <c r="AB96" s="503" t="str">
        <f>IF(終値!A96="","",IF(AND(安値!AG96&lt;安値!AF96,安値!AG96&lt;安値!AE96,安値!AG96&lt;安値!AH96,安値!AG96&lt;安値!AI96),28,""))</f>
        <v/>
      </c>
      <c r="AC96" s="503">
        <f>IF(終値!A96="","",IF(AND(高値!G96&gt;高値!F96,高値!G96&gt;高値!E96,高値!G96&gt;高値!H96,高値!G96&gt;高値!I96),2,""))</f>
        <v>2</v>
      </c>
      <c r="AD96" s="503" t="str">
        <f>IF(終値!A96="","",IF(AND(高値!H96&gt;高値!G96,高値!H96&gt;高値!F96,高値!H96&gt;高値!I96,高値!H96&gt;高値!J96),3,""))</f>
        <v/>
      </c>
      <c r="AE96" s="503" t="str">
        <f>IF(終値!A96="","",IF(AND(高値!I96&gt;高値!H96,高値!I96&gt;高値!G96,高値!I96&gt;高値!J96,高値!I96&gt;高値!K96),4,""))</f>
        <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f>IF(終値!A96="","",IF(AND(高値!N96&gt;高値!M96,高値!N96&gt;高値!L96,高値!N96&gt;高値!O96,高値!N96&gt;高値!P96),9,""))</f>
        <v>9</v>
      </c>
      <c r="AK96" s="503" t="str">
        <f>IF(終値!A96="","",IF(AND(高値!O96&gt;高値!N96,高値!O96&gt;高値!M96,高値!O96&gt;高値!P96,高値!O96&gt;高値!Q96),10,""))</f>
        <v/>
      </c>
      <c r="AL96" s="503" t="str">
        <f>IF(終値!A96="","",IF(AND(高値!P96&gt;高値!O96,高値!P96&gt;高値!N96,高値!P96&gt;高値!Q96,高値!P96&gt;高値!R96),11,""))</f>
        <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f>IF(終値!A96="","",IF(AND(高値!T96&gt;高値!S96,高値!T96&gt;高値!R96,高値!T96&gt;高値!U96,高値!T96&gt;高値!V96),15,""))</f>
        <v>15</v>
      </c>
      <c r="AQ96" s="503" t="str">
        <f>IF(終値!A96="","",IF(AND(高値!U96&gt;高値!T96,高値!U96&gt;高値!S96,高値!U96&gt;高値!V96,高値!U96&gt;高値!W96),16,""))</f>
        <v/>
      </c>
      <c r="AR96" s="503" t="str">
        <f>IF(終値!A96="","",IF(AND(高値!V96&gt;高値!U96,高値!V96&gt;高値!T96,高値!V96&gt;高値!W96,高値!V96&gt;高値!X96),17,""))</f>
        <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f>IF(終値!A96="","",IF(AND(高値!AA96&gt;高値!Z96,高値!AA96&gt;高値!Y96,高値!AA96&gt;高値!AB96,高値!AA96&gt;高値!AC96),22,""))</f>
        <v>22</v>
      </c>
      <c r="AX96" s="503" t="str">
        <f>IF(終値!A96="","",IF(AND(高値!AB96&gt;高値!AA96,高値!AB96&gt;高値!Z96,高値!AB96&gt;高値!AC96,高値!AB96&gt;高値!AD96),23,""))</f>
        <v/>
      </c>
      <c r="AY96" s="503" t="str">
        <f>IF(終値!A96="","",IF(AND(高値!AC96&gt;高値!AB96,高値!AC96&gt;高値!AA96,高値!AC96&gt;高値!AD96,高値!AC96&gt;高値!AE96),24,""))</f>
        <v/>
      </c>
      <c r="AZ96" s="503">
        <f>IF(終値!A96="","",IF(AND(高値!AD96&gt;高値!AC96,高値!AD96&gt;高値!AB96,高値!AD96&gt;高値!AE96,高値!AD96&gt;高値!AF96),25,""))</f>
        <v>25</v>
      </c>
      <c r="BA96" s="503" t="str">
        <f>IF(終値!A96="","",IF(AND(高値!AE96&gt;高値!AD96,高値!AE96&gt;高値!AC96,高値!AE96&gt;高値!AF96,高値!AE96&gt;高値!AG96),26,""))</f>
        <v/>
      </c>
      <c r="BB96" s="503" t="str">
        <f>IF(終値!A96="","",IF(AND(高値!AF96&gt;高値!AE96,高値!AF96&gt;高値!AD96,高値!AF96&gt;高値!AG96,高値!AF96&gt;高値!AH96),27,""))</f>
        <v/>
      </c>
      <c r="BC96" s="503" t="str">
        <f>IF(終値!A96="","",IF(AND(高値!AG96&gt;高値!AF96,高値!AG96&gt;高値!AE96,高値!AG96&gt;高値!AH96,高値!AG96&gt;高値!AI96),28,""))</f>
        <v/>
      </c>
      <c r="BD96" s="503">
        <f t="shared" si="6"/>
        <v>5</v>
      </c>
      <c r="BE96" s="503">
        <f t="shared" si="7"/>
        <v>4</v>
      </c>
      <c r="BF96" s="503">
        <f t="shared" si="8"/>
        <v>11</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2</v>
      </c>
      <c r="BN96" s="503">
        <f t="shared" si="11"/>
        <v>9</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f>IF(終値!A97="","",IF(AND(安値!H97&lt;安値!G97,安値!H97&lt;安値!F97,安値!H97&lt;安値!I97,安値!H97&lt;安値!J97),3,""))</f>
        <v>3</v>
      </c>
      <c r="D97" s="503" t="str">
        <f>IF(終値!A97="","",IF(AND(安値!I97&lt;安値!H97,安値!I97&lt;安値!G97,安値!I97&lt;安値!J97,安値!I97&lt;安値!K97),4,""))</f>
        <v/>
      </c>
      <c r="E97" s="503" t="str">
        <f>IF(終値!A97="","",IF(AND(安値!J97&lt;安値!I97,安値!J97&lt;安値!H97,安値!J97&lt;安値!K97,安値!J97&lt;安値!L97),5,""))</f>
        <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f>IF(終値!A97="","",IF(AND(安値!P97&lt;安値!O97,安値!P97&lt;安値!N97,安値!P97&lt;安値!Q97,安値!P97&lt;安値!R97),11,""))</f>
        <v>11</v>
      </c>
      <c r="L97" s="503" t="str">
        <f>IF(終値!A97="","",IF(AND(安値!Q97&lt;安値!P97,安値!Q97&lt;安値!O97,安値!Q97&lt;安値!R97,安値!Q97&lt;安値!S97),12,""))</f>
        <v/>
      </c>
      <c r="M97" s="503" t="str">
        <f>IF(終値!A97="","",IF(AND(安値!R97&lt;安値!Q97,安値!R97&lt;安値!P97,安値!R97&lt;安値!S97,安値!R97&lt;安値!T97),13,""))</f>
        <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f>IF(終値!A97="","",IF(AND(安値!V97&lt;安値!U97,安値!V97&lt;安値!T97,安値!V97&lt;安値!W97,安値!V97&lt;安値!X97),17,""))</f>
        <v>17</v>
      </c>
      <c r="R97" s="503" t="str">
        <f>IF(終値!A97="","",IF(AND(安値!W97&lt;安値!V97,安値!W97&lt;安値!U97,安値!W97&lt;安値!X97,安値!W97&lt;安値!Y97),18,""))</f>
        <v/>
      </c>
      <c r="S97" s="503" t="str">
        <f>IF(終値!A97="","",IF(AND(安値!X97&lt;安値!W97,安値!X97&lt;安値!V97,安値!X97&lt;安値!Y97,安値!X97&lt;安値!Z97),19,""))</f>
        <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f>IF(終値!A97="","",IF(AND(安値!AC97&lt;安値!AB97,安値!AC97&lt;安値!AA97,安値!AC97&lt;安値!AD97,安値!AC97&lt;安値!AE97),24,""))</f>
        <v>24</v>
      </c>
      <c r="Y97" s="503" t="str">
        <f>IF(終値!A97="","",IF(AND(安値!AD97&lt;安値!AC97,安値!AD97&lt;安値!AB97,安値!AD97&lt;安値!AE97,安値!AD97&lt;安値!AF97),25,""))</f>
        <v/>
      </c>
      <c r="Z97" s="503" t="str">
        <f>IF(終値!A97="","",IF(AND(安値!AE97&lt;安値!AD97,安値!AE97&lt;安値!AC97,安値!AE97&lt;安値!AF97,安値!AE97&lt;安値!AG97),26,""))</f>
        <v/>
      </c>
      <c r="AA97" s="503" t="str">
        <f>IF(終値!A97="","",IF(AND(安値!AF97&lt;安値!AE97,安値!AF97&lt;安値!AD97,安値!AF97&lt;安値!AG97,安値!AF97&lt;安値!AH97),27,""))</f>
        <v/>
      </c>
      <c r="AB97" s="503" t="str">
        <f>IF(終値!A97="","",IF(AND(安値!AG97&lt;安値!AF97,安値!AG97&lt;安値!AE97,安値!AG97&lt;安値!AH97,安値!AG97&lt;安値!AI97),28,""))</f>
        <v/>
      </c>
      <c r="AC97" s="503">
        <f>IF(終値!A97="","",IF(AND(高値!G97&gt;高値!F97,高値!G97&gt;高値!E97,高値!G97&gt;高値!H97,高値!G97&gt;高値!I97),2,""))</f>
        <v>2</v>
      </c>
      <c r="AD97" s="503" t="str">
        <f>IF(終値!A97="","",IF(AND(高値!H97&gt;高値!G97,高値!H97&gt;高値!F97,高値!H97&gt;高値!I97,高値!H97&gt;高値!J97),3,""))</f>
        <v/>
      </c>
      <c r="AE97" s="503" t="str">
        <f>IF(終値!A97="","",IF(AND(高値!I97&gt;高値!H97,高値!I97&gt;高値!G97,高値!I97&gt;高値!J97,高値!I97&gt;高値!K97),4,""))</f>
        <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f>IF(終値!A97="","",IF(AND(高値!N97&gt;高値!M97,高値!N97&gt;高値!L97,高値!N97&gt;高値!O97,高値!N97&gt;高値!P97),9,""))</f>
        <v>9</v>
      </c>
      <c r="AK97" s="503" t="str">
        <f>IF(終値!A97="","",IF(AND(高値!O97&gt;高値!N97,高値!O97&gt;高値!M97,高値!O97&gt;高値!P97,高値!O97&gt;高値!Q97),10,""))</f>
        <v/>
      </c>
      <c r="AL97" s="503" t="str">
        <f>IF(終値!A97="","",IF(AND(高値!P97&gt;高値!O97,高値!P97&gt;高値!N97,高値!P97&gt;高値!Q97,高値!P97&gt;高値!R97),11,""))</f>
        <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f>IF(終値!A97="","",IF(AND(高値!T97&gt;高値!S97,高値!T97&gt;高値!R97,高値!T97&gt;高値!U97,高値!T97&gt;高値!V97),15,""))</f>
        <v>15</v>
      </c>
      <c r="AQ97" s="503" t="str">
        <f>IF(終値!A97="","",IF(AND(高値!U97&gt;高値!T97,高値!U97&gt;高値!S97,高値!U97&gt;高値!V97,高値!U97&gt;高値!W97),16,""))</f>
        <v/>
      </c>
      <c r="AR97" s="503" t="str">
        <f>IF(終値!A97="","",IF(AND(高値!V97&gt;高値!U97,高値!V97&gt;高値!T97,高値!V97&gt;高値!W97,高値!V97&gt;高値!X97),17,""))</f>
        <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f>IF(終値!A97="","",IF(AND(高値!AA97&gt;高値!Z97,高値!AA97&gt;高値!Y97,高値!AA97&gt;高値!AB97,高値!AA97&gt;高値!AC97),22,""))</f>
        <v>22</v>
      </c>
      <c r="AX97" s="503" t="str">
        <f>IF(終値!A97="","",IF(AND(高値!AB97&gt;高値!AA97,高値!AB97&gt;高値!Z97,高値!AB97&gt;高値!AC97,高値!AB97&gt;高値!AD97),23,""))</f>
        <v/>
      </c>
      <c r="AY97" s="503" t="str">
        <f>IF(終値!A97="","",IF(AND(高値!AC97&gt;高値!AB97,高値!AC97&gt;高値!AA97,高値!AC97&gt;高値!AD97,高値!AC97&gt;高値!AE97),24,""))</f>
        <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3</v>
      </c>
      <c r="BF97" s="503">
        <f t="shared" si="8"/>
        <v>11</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2</v>
      </c>
      <c r="BN97" s="503">
        <f t="shared" si="11"/>
        <v>9</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t="str">
        <f>IF(終値!A98="","",IF(AND(安値!H98&lt;安値!G98,安値!H98&lt;安値!F98,安値!H98&lt;安値!I98,安値!H98&lt;安値!J98),3,""))</f>
        <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f>IF(終値!A98="","",IF(AND(安値!L98&lt;安値!K98,安値!L98&lt;安値!J98,安値!L98&lt;安値!M98,安値!L98&lt;安値!N98),7,""))</f>
        <v>7</v>
      </c>
      <c r="H98" s="503" t="str">
        <f>IF(終値!A98="","",IF(AND(安値!M98&lt;安値!L98,安値!M98&lt;安値!K98,安値!M98&lt;安値!N98,安値!M98&lt;安値!O98),8,""))</f>
        <v/>
      </c>
      <c r="I98" s="503" t="str">
        <f>IF(終値!A98="","",IF(AND(安値!N98&lt;安値!M98,安値!N98&lt;安値!L98,安値!N98&lt;安値!O98,安値!N98&lt;安値!P98),9,""))</f>
        <v/>
      </c>
      <c r="J98" s="503" t="str">
        <f>IF(終値!A98="","",IF(AND(安値!O98&lt;安値!N98,安値!O98&lt;安値!M98,安値!O98&lt;安値!P98,安値!O98&lt;安値!Q98),10,""))</f>
        <v/>
      </c>
      <c r="K98" s="503">
        <f>IF(終値!A98="","",IF(AND(安値!P98&lt;安値!O98,安値!P98&lt;安値!N98,安値!P98&lt;安値!Q98,安値!P98&lt;安値!R98),11,""))</f>
        <v>11</v>
      </c>
      <c r="L98" s="503" t="str">
        <f>IF(終値!A98="","",IF(AND(安値!Q98&lt;安値!P98,安値!Q98&lt;安値!O98,安値!Q98&lt;安値!R98,安値!Q98&lt;安値!S98),12,""))</f>
        <v/>
      </c>
      <c r="M98" s="503" t="str">
        <f>IF(終値!A98="","",IF(AND(安値!R98&lt;安値!Q98,安値!R98&lt;安値!P98,安値!R98&lt;安値!S98,安値!R98&lt;安値!T98),13,""))</f>
        <v/>
      </c>
      <c r="N98" s="503" t="str">
        <f>IF(終値!A98="","",IF(AND(安値!S98&lt;安値!R98,安値!S98&lt;安値!Q98,安値!S98&lt;安値!T98,安値!S98&lt;安値!U98),14,""))</f>
        <v/>
      </c>
      <c r="O98" s="503" t="str">
        <f>IF(終値!A98="","",IF(AND(安値!T98&lt;安値!S98,安値!T98&lt;安値!R98,安値!T98&lt;安値!U98,安値!T98&lt;安値!V98),15,""))</f>
        <v/>
      </c>
      <c r="P98" s="503">
        <f>IF(終値!A98="","",IF(AND(安値!U98&lt;安値!T98,安値!U98&lt;安値!S98,安値!U98&lt;安値!V98,安値!U98&lt;安値!W98),16,""))</f>
        <v>16</v>
      </c>
      <c r="Q98" s="503" t="str">
        <f>IF(終値!A98="","",IF(AND(安値!V98&lt;安値!U98,安値!V98&lt;安値!T98,安値!V98&lt;安値!W98,安値!V98&lt;安値!X98),17,""))</f>
        <v/>
      </c>
      <c r="R98" s="503" t="str">
        <f>IF(終値!A98="","",IF(AND(安値!W98&lt;安値!V98,安値!W98&lt;安値!U98,安値!W98&lt;安値!X98,安値!W98&lt;安値!Y98),18,""))</f>
        <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f>IF(終値!A98="","",IF(AND(安値!AF98&lt;安値!AE98,安値!AF98&lt;安値!AD98,安値!AF98&lt;安値!AG98,安値!AF98&lt;安値!AH98),27,""))</f>
        <v>27</v>
      </c>
      <c r="AB98" s="503" t="str">
        <f>IF(終値!A98="","",IF(AND(安値!AG98&lt;安値!AF98,安値!AG98&lt;安値!AE98,安値!AG98&lt;安値!AH98,安値!AG98&lt;安値!AI98),28,""))</f>
        <v/>
      </c>
      <c r="AC98" s="503">
        <f>IF(終値!A98="","",IF(AND(高値!G98&gt;高値!F98,高値!G98&gt;高値!E98,高値!G98&gt;高値!H98,高値!G98&gt;高値!I98),2,""))</f>
        <v>2</v>
      </c>
      <c r="AD98" s="503" t="str">
        <f>IF(終値!A98="","",IF(AND(高値!H98&gt;高値!G98,高値!H98&gt;高値!F98,高値!H98&gt;高値!I98,高値!H98&gt;高値!J98),3,""))</f>
        <v/>
      </c>
      <c r="AE98" s="503" t="str">
        <f>IF(終値!A98="","",IF(AND(高値!I98&gt;高値!H98,高値!I98&gt;高値!G98,高値!I98&gt;高値!J98,高値!I98&gt;高値!K98),4,""))</f>
        <v/>
      </c>
      <c r="AF98" s="503" t="str">
        <f>IF(終値!A98="","",IF(AND(高値!J98&gt;高値!I98,高値!J98&gt;高値!H98,高値!J98&gt;高値!K98,高値!J98&gt;高値!L98),5,""))</f>
        <v/>
      </c>
      <c r="AG98" s="503">
        <f>IF(終値!A98="","",IF(AND(高値!K98&gt;高値!J98,高値!K98&gt;高値!I98,高値!K98&gt;高値!L98,高値!K98&gt;高値!M98),6,""))</f>
        <v>6</v>
      </c>
      <c r="AH98" s="503" t="str">
        <f>IF(終値!A98="","",IF(AND(高値!L98&gt;高値!K98,高値!L98&gt;高値!J98,高値!L98&gt;高値!M98,高値!L98&gt;高値!N98),7,""))</f>
        <v/>
      </c>
      <c r="AI98" s="503" t="str">
        <f>IF(終値!A98="","",IF(AND(高値!M98&gt;高値!L98,高値!M98&gt;高値!K98,高値!M98&gt;高値!N98,高値!M98&gt;高値!O98),8,""))</f>
        <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f>IF(終値!A98="","",IF(AND(高値!Q98&gt;高値!P98,高値!Q98&gt;高値!O98,高値!Q98&gt;高値!R98,高値!Q98&gt;高値!S98),12,""))</f>
        <v>12</v>
      </c>
      <c r="AN98" s="503" t="str">
        <f>IF(終値!A98="","",IF(AND(高値!R98&gt;高値!Q98,高値!R98&gt;高値!P98,高値!R98&gt;高値!S98,高値!R98&gt;高値!T98),13,""))</f>
        <v/>
      </c>
      <c r="AO98" s="503" t="str">
        <f>IF(終値!A98="","",IF(AND(高値!S98&gt;高値!R98,高値!S98&gt;高値!Q98,高値!S98&gt;高値!T98,高値!S98&gt;高値!U98),14,""))</f>
        <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f>IF(終値!A98="","",IF(AND(高値!X98&gt;高値!W98,高値!X98&gt;高値!V98,高値!X98&gt;高値!Y98,高値!X98&gt;高値!Z98),19,""))</f>
        <v>19</v>
      </c>
      <c r="AU98" s="503" t="str">
        <f>IF(終値!A98="","",IF(AND(高値!Y98&gt;高値!X98,高値!Y98&gt;高値!W98,高値!Y98&gt;高値!Z98,高値!Y98&gt;高値!AA98),20,""))</f>
        <v/>
      </c>
      <c r="AV98" s="503" t="str">
        <f>IF(終値!A98="","",IF(AND(高値!Z98&gt;高値!Y98,高値!Z98&gt;高値!X98,高値!Z98&gt;高値!AA98,高値!Z98&gt;高値!AB98),21,""))</f>
        <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7</v>
      </c>
      <c r="BF98" s="503">
        <f t="shared" si="8"/>
        <v>11</v>
      </c>
      <c r="BG98" s="503">
        <f>IF($BE98="","",INDEX(安値!$E98:$CZ98,1,$BE98+1))</f>
        <v>0</v>
      </c>
      <c r="BH98" s="503">
        <f>IF($BF98="","",INDEX(安値!$E98:$CZ98,1,$BF98+1))</f>
        <v>1144.5</v>
      </c>
      <c r="BI98" s="503">
        <f>IF($BF98="","",MAX(INDEX(高値!$E98:$CZ98,1,$BE98+1):INDEX(高値!$E98:$CZ98,1,$BF98+1)))</f>
        <v>1222</v>
      </c>
      <c r="BJ98" s="503">
        <f>IF($BF98="","",AVERAGE(INDEX(終値!$E98:$CZ98,1,$BF98+1):INDEX(終値!$E98:$CZ98,1,$BF98+20))-2*STDEVP(INDEX(終値!$E98:$CZ98,1,$BF98+1):INDEX(終値!$E98:$CZ98,1,$BF98+20)))</f>
        <v>1058.30916958648</v>
      </c>
      <c r="BK98" s="503">
        <f>IF($BE98="","",AVERAGE(INDEX(終値!$E98:$CZ98,1,$BE98+1):INDEX(終値!$E98:$CZ98,1,$BE98+20))-2*STDEVP(INDEX(終値!$E98:$CZ98,1,$BE98+1):INDEX(終値!$E98:$CZ98,1,$BE98+20)))</f>
        <v>1087.5032850316891</v>
      </c>
      <c r="BL98" s="503">
        <f t="shared" si="9"/>
        <v>4</v>
      </c>
      <c r="BM98" s="503">
        <f t="shared" si="10"/>
        <v>2</v>
      </c>
      <c r="BN98" s="503">
        <f t="shared" si="11"/>
        <v>6</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二番天井M形成</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f>IF(終値!A99="","",IF(AND(安値!S99&lt;安値!R99,安値!S99&lt;安値!Q99,安値!S99&lt;安値!T99,安値!S99&lt;安値!U99),14,""))</f>
        <v>14</v>
      </c>
      <c r="O99" s="503" t="str">
        <f>IF(終値!A99="","",IF(AND(安値!T99&lt;安値!S99,安値!T99&lt;安値!R99,安値!T99&lt;安値!U99,安値!T99&lt;安値!V99),15,""))</f>
        <v/>
      </c>
      <c r="P99" s="503" t="str">
        <f>IF(終値!A99="","",IF(AND(安値!U99&lt;安値!T99,安値!U99&lt;安値!S99,安値!U99&lt;安値!V99,安値!U99&lt;安値!W99),16,""))</f>
        <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f>IF(終値!A99="","",IF(AND(高値!H99&gt;高値!G99,高値!H99&gt;高値!F99,高値!H99&gt;高値!I99,高値!H99&gt;高値!J99),3,""))</f>
        <v>3</v>
      </c>
      <c r="AE99" s="503" t="str">
        <f>IF(終値!A99="","",IF(AND(高値!I99&gt;高値!H99,高値!I99&gt;高値!G99,高値!I99&gt;高値!J99,高値!I99&gt;高値!K99),4,""))</f>
        <v/>
      </c>
      <c r="AF99" s="503" t="str">
        <f>IF(終値!A99="","",IF(AND(高値!J99&gt;高値!I99,高値!J99&gt;高値!H99,高値!J99&gt;高値!K99,高値!J99&gt;高値!L99),5,""))</f>
        <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f>IF(終値!A99="","",IF(AND(高値!V99&gt;高値!U99,高値!V99&gt;高値!T99,高値!V99&gt;高値!W99,高値!V99&gt;高値!X99),17,""))</f>
        <v>17</v>
      </c>
      <c r="AS99" s="503" t="str">
        <f>IF(終値!A99="","",IF(AND(高値!W99&gt;高値!V99,高値!W99&gt;高値!U99,高値!W99&gt;高値!X99,高値!W99&gt;高値!Y99),18,""))</f>
        <v/>
      </c>
      <c r="AT99" s="503" t="str">
        <f>IF(終値!A99="","",IF(AND(高値!X99&gt;高値!W99,高値!X99&gt;高値!V99,高値!X99&gt;高値!Y99,高値!X99&gt;高値!Z99),19,""))</f>
        <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3</v>
      </c>
      <c r="BN99" s="503">
        <f t="shared" si="11"/>
        <v>17</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f>IF(終値!A100="","",IF(AND(安値!L100&lt;安値!K100,安値!L100&lt;安値!J100,安値!L100&lt;安値!M100,安値!L100&lt;安値!N100),7,""))</f>
        <v>7</v>
      </c>
      <c r="H100" s="503" t="str">
        <f>IF(終値!A100="","",IF(AND(安値!M100&lt;安値!L100,安値!M100&lt;安値!K100,安値!M100&lt;安値!N100,安値!M100&lt;安値!O100),8,""))</f>
        <v/>
      </c>
      <c r="I100" s="503" t="str">
        <f>IF(終値!A100="","",IF(AND(安値!N100&lt;安値!M100,安値!N100&lt;安値!L100,安値!N100&lt;安値!O100,安値!N100&lt;安値!P100),9,""))</f>
        <v/>
      </c>
      <c r="J100" s="503" t="str">
        <f>IF(終値!A100="","",IF(AND(安値!O100&lt;安値!N100,安値!O100&lt;安値!M100,安値!O100&lt;安値!P100,安値!O100&lt;安値!Q100),10,""))</f>
        <v/>
      </c>
      <c r="K100" s="503">
        <f>IF(終値!A100="","",IF(AND(安値!P100&lt;安値!O100,安値!P100&lt;安値!N100,安値!P100&lt;安値!Q100,安値!P100&lt;安値!R100),11,""))</f>
        <v>11</v>
      </c>
      <c r="L100" s="503" t="str">
        <f>IF(終値!A100="","",IF(AND(安値!Q100&lt;安値!P100,安値!Q100&lt;安値!O100,安値!Q100&lt;安値!R100,安値!Q100&lt;安値!S100),12,""))</f>
        <v/>
      </c>
      <c r="M100" s="503" t="str">
        <f>IF(終値!A100="","",IF(AND(安値!R100&lt;安値!Q100,安値!R100&lt;安値!P100,安値!R100&lt;安値!S100,安値!R100&lt;安値!T100),13,""))</f>
        <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f>IF(終値!A100="","",IF(AND(安値!AA100&lt;安値!Z100,安値!AA100&lt;安値!Y100,安値!AA100&lt;安値!AB100,安値!AA100&lt;安値!AC100),22,""))</f>
        <v>22</v>
      </c>
      <c r="W100" s="503" t="str">
        <f>IF(終値!A100="","",IF(AND(安値!AB100&lt;安値!AA100,安値!AB100&lt;安値!Z100,安値!AB100&lt;安値!AC100,安値!AB100&lt;安値!AD100),23,""))</f>
        <v/>
      </c>
      <c r="X100" s="503" t="str">
        <f>IF(終値!A100="","",IF(AND(安値!AC100&lt;安値!AB100,安値!AC100&lt;安値!AA100,安値!AC100&lt;安値!AD100,安値!AC100&lt;安値!AE100),24,""))</f>
        <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f>IF(終値!A100="","",IF(AND(高値!I100&gt;高値!H100,高値!I100&gt;高値!G100,高値!I100&gt;高値!J100,高値!I100&gt;高値!K100),4,""))</f>
        <v>4</v>
      </c>
      <c r="AF100" s="503" t="str">
        <f>IF(終値!A100="","",IF(AND(高値!J100&gt;高値!I100,高値!J100&gt;高値!H100,高値!J100&gt;高値!K100,高値!J100&gt;高値!L100),5,""))</f>
        <v/>
      </c>
      <c r="AG100" s="503" t="str">
        <f>IF(終値!A100="","",IF(AND(高値!K100&gt;高値!J100,高値!K100&gt;高値!I100,高値!K100&gt;高値!L100,高値!K100&gt;高値!M100),6,""))</f>
        <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f>IF(終値!A100="","",IF(AND(高値!O100&gt;高値!N100,高値!O100&gt;高値!M100,高値!O100&gt;高値!P100,高値!O100&gt;高値!Q100),10,""))</f>
        <v>10</v>
      </c>
      <c r="AL100" s="503" t="str">
        <f>IF(終値!A100="","",IF(AND(高値!P100&gt;高値!O100,高値!P100&gt;高値!N100,高値!P100&gt;高値!Q100,高値!P100&gt;高値!R100),11,""))</f>
        <v/>
      </c>
      <c r="AM100" s="503" t="str">
        <f>IF(終値!A100="","",IF(AND(高値!Q100&gt;高値!P100,高値!Q100&gt;高値!O100,高値!Q100&gt;高値!R100,高値!Q100&gt;高値!S100),12,""))</f>
        <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f>IF(終値!A100="","",IF(AND(高値!U100&gt;高値!T100,高値!U100&gt;高値!S100,高値!U100&gt;高値!V100,高値!U100&gt;高値!W100),16,""))</f>
        <v>16</v>
      </c>
      <c r="AR100" s="503" t="str">
        <f>IF(終値!A100="","",IF(AND(高値!V100&gt;高値!U100,高値!V100&gt;高値!T100,高値!V100&gt;高値!W100,高値!V100&gt;高値!X100),17,""))</f>
        <v/>
      </c>
      <c r="AS100" s="503" t="str">
        <f>IF(終値!A100="","",IF(AND(高値!W100&gt;高値!V100,高値!W100&gt;高値!U100,高値!W100&gt;高値!X100,高値!W100&gt;高値!Y100),18,""))</f>
        <v/>
      </c>
      <c r="AT100" s="503" t="str">
        <f>IF(終値!A100="","",IF(AND(高値!X100&gt;高値!W100,高値!X100&gt;高値!V100,高値!X100&gt;高値!Y100,高値!X100&gt;高値!Z100),19,""))</f>
        <v/>
      </c>
      <c r="AU100" s="503">
        <f>IF(終値!A100="","",IF(AND(高値!Y100&gt;高値!X100,高値!Y100&gt;高値!W100,高値!Y100&gt;高値!Z100,高値!Y100&gt;高値!AA100),20,""))</f>
        <v>20</v>
      </c>
      <c r="AV100" s="503" t="str">
        <f>IF(終値!A100="","",IF(AND(高値!Z100&gt;高値!Y100,高値!Z100&gt;高値!X100,高値!Z100&gt;高値!AA100,高値!Z100&gt;高値!AB100),21,""))</f>
        <v/>
      </c>
      <c r="AW100" s="503" t="str">
        <f>IF(終値!A100="","",IF(AND(高値!AA100&gt;高値!Z100,高値!AA100&gt;高値!Y100,高値!AA100&gt;高値!AB100,高値!AA100&gt;高値!AC100),22,""))</f>
        <v/>
      </c>
      <c r="AX100" s="503">
        <f>IF(終値!A100="","",IF(AND(高値!AB100&gt;高値!AA100,高値!AB100&gt;高値!Z100,高値!AB100&gt;高値!AC100,高値!AB100&gt;高値!AD100),23,""))</f>
        <v>23</v>
      </c>
      <c r="AY100" s="503" t="str">
        <f>IF(終値!A100="","",IF(AND(高値!AC100&gt;高値!AB100,高値!AC100&gt;高値!AA100,高値!AC100&gt;高値!AD100,高値!AC100&gt;高値!AE100),24,""))</f>
        <v/>
      </c>
      <c r="AZ100" s="503" t="str">
        <f>IF(終値!A100="","",IF(AND(高値!AD100&gt;高値!AC100,高値!AD100&gt;高値!AB100,高値!AD100&gt;高値!AE100,高値!AD100&gt;高値!AF100),25,""))</f>
        <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7</v>
      </c>
      <c r="BF100" s="503">
        <f t="shared" si="8"/>
        <v>11</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4</v>
      </c>
      <c r="BN100" s="503">
        <f t="shared" si="11"/>
        <v>10</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f>IF(終値!A101="","",IF(AND(安値!L101&lt;安値!K101,安値!L101&lt;安値!J101,安値!L101&lt;安値!M101,安値!L101&lt;安値!N101),7,""))</f>
        <v>7</v>
      </c>
      <c r="H101" s="503" t="str">
        <f>IF(終値!A101="","",IF(AND(安値!M101&lt;安値!L101,安値!M101&lt;安値!K101,安値!M101&lt;安値!N101,安値!M101&lt;安値!O101),8,""))</f>
        <v/>
      </c>
      <c r="I101" s="503" t="str">
        <f>IF(終値!A101="","",IF(AND(安値!N101&lt;安値!M101,安値!N101&lt;安値!L101,安値!N101&lt;安値!O101,安値!N101&lt;安値!P101),9,""))</f>
        <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f>IF(終値!A101="","",IF(AND(高値!G101&gt;高値!F101,高値!G101&gt;高値!E101,高値!G101&gt;高値!H101,高値!G101&gt;高値!I101),2,""))</f>
        <v>2</v>
      </c>
      <c r="AD101" s="503" t="str">
        <f>IF(終値!A101="","",IF(AND(高値!H101&gt;高値!G101,高値!H101&gt;高値!F101,高値!H101&gt;高値!I101,高値!H101&gt;高値!J101),3,""))</f>
        <v/>
      </c>
      <c r="AE101" s="503" t="str">
        <f>IF(終値!A101="","",IF(AND(高値!I101&gt;高値!H101,高値!I101&gt;高値!G101,高値!I101&gt;高値!J101,高値!I101&gt;高値!K101),4,""))</f>
        <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f>IF(終値!A101="","",IF(AND(高値!O101&gt;高値!N101,高値!O101&gt;高値!M101,高値!O101&gt;高値!P101,高値!O101&gt;高値!Q101),10,""))</f>
        <v>10</v>
      </c>
      <c r="AL101" s="503" t="str">
        <f>IF(終値!A101="","",IF(AND(高値!P101&gt;高値!O101,高値!P101&gt;高値!N101,高値!P101&gt;高値!Q101,高値!P101&gt;高値!R101),11,""))</f>
        <v/>
      </c>
      <c r="AM101" s="503" t="str">
        <f>IF(終値!A101="","",IF(AND(高値!Q101&gt;高値!P101,高値!Q101&gt;高値!O101,高値!Q101&gt;高値!R101,高値!Q101&gt;高値!S101),12,""))</f>
        <v/>
      </c>
      <c r="AN101" s="503">
        <f>IF(終値!A101="","",IF(AND(高値!R101&gt;高値!Q101,高値!R101&gt;高値!P101,高値!R101&gt;高値!S101,高値!R101&gt;高値!T101),13,""))</f>
        <v>13</v>
      </c>
      <c r="AO101" s="503" t="str">
        <f>IF(終値!A101="","",IF(AND(高値!S101&gt;高値!R101,高値!S101&gt;高値!Q101,高値!S101&gt;高値!T101,高値!S101&gt;高値!U101),14,""))</f>
        <v/>
      </c>
      <c r="AP101" s="503" t="str">
        <f>IF(終値!A101="","",IF(AND(高値!T101&gt;高値!S101,高値!T101&gt;高値!R101,高値!T101&gt;高値!U101,高値!T101&gt;高値!V101),15,""))</f>
        <v/>
      </c>
      <c r="AQ101" s="503" t="str">
        <f>IF(終値!A101="","",IF(AND(高値!U101&gt;高値!T101,高値!U101&gt;高値!S101,高値!U101&gt;高値!V101,高値!U101&gt;高値!W101),16,""))</f>
        <v/>
      </c>
      <c r="AR101" s="503">
        <f>IF(終値!A101="","",IF(AND(高値!V101&gt;高値!U101,高値!V101&gt;高値!T101,高値!V101&gt;高値!W101,高値!V101&gt;高値!X101),17,""))</f>
        <v>17</v>
      </c>
      <c r="AS101" s="503" t="str">
        <f>IF(終値!A101="","",IF(AND(高値!W101&gt;高値!V101,高値!W101&gt;高値!U101,高値!W101&gt;高値!X101,高値!W101&gt;高値!Y101),18,""))</f>
        <v/>
      </c>
      <c r="AT101" s="503" t="str">
        <f>IF(終値!A101="","",IF(AND(高値!X101&gt;高値!W101,高値!X101&gt;高値!V101,高値!X101&gt;高値!Y101,高値!X101&gt;高値!Z101),19,""))</f>
        <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f>IF(終値!A101="","",IF(AND(高値!AB101&gt;高値!AA101,高値!AB101&gt;高値!Z101,高値!AB101&gt;高値!AC101,高値!AB101&gt;高値!AD101),23,""))</f>
        <v>23</v>
      </c>
      <c r="AY101" s="503" t="str">
        <f>IF(終値!A101="","",IF(AND(高値!AC101&gt;高値!AB101,高値!AC101&gt;高値!AA101,高値!AC101&gt;高値!AD101,高値!AC101&gt;高値!AE101),24,""))</f>
        <v/>
      </c>
      <c r="AZ101" s="503" t="str">
        <f>IF(終値!A101="","",IF(AND(高値!AD101&gt;高値!AC101,高値!AD101&gt;高値!AB101,高値!AD101&gt;高値!AE101,高値!AD101&gt;高値!AF101),25,""))</f>
        <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2</v>
      </c>
      <c r="BN101" s="503">
        <f t="shared" si="11"/>
        <v>10</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f>IF(終値!A103="","",IF(AND(安値!I103&lt;安値!H103,安値!I103&lt;安値!G103,安値!I103&lt;安値!J103,安値!I103&lt;安値!K103),4,""))</f>
        <v>4</v>
      </c>
      <c r="E103" s="503" t="str">
        <f>IF(終値!A103="","",IF(AND(安値!J103&lt;安値!I103,安値!J103&lt;安値!H103,安値!J103&lt;安値!K103,安値!J103&lt;安値!L103),5,""))</f>
        <v/>
      </c>
      <c r="F103" s="503" t="str">
        <f>IF(終値!A103="","",IF(AND(安値!K103&lt;安値!J103,安値!K103&lt;安値!I103,安値!K103&lt;安値!L103,安値!K103&lt;安値!M103),6,""))</f>
        <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f>IF(終値!A103="","",IF(AND(安値!P103&lt;安値!O103,安値!P103&lt;安値!N103,安値!P103&lt;安値!Q103,安値!P103&lt;安値!R103),11,""))</f>
        <v>11</v>
      </c>
      <c r="L103" s="503" t="str">
        <f>IF(終値!A103="","",IF(AND(安値!Q103&lt;安値!P103,安値!Q103&lt;安値!O103,安値!Q103&lt;安値!R103,安値!Q103&lt;安値!S103),12,""))</f>
        <v/>
      </c>
      <c r="M103" s="503" t="str">
        <f>IF(終値!A103="","",IF(AND(安値!R103&lt;安値!Q103,安値!R103&lt;安値!P103,安値!R103&lt;安値!S103,安値!R103&lt;安値!T103),13,""))</f>
        <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f>IF(終値!A103="","",IF(AND(安値!V103&lt;安値!U103,安値!V103&lt;安値!T103,安値!V103&lt;安値!W103,安値!V103&lt;安値!X103),17,""))</f>
        <v>17</v>
      </c>
      <c r="R103" s="503" t="str">
        <f>IF(終値!A103="","",IF(AND(安値!W103&lt;安値!V103,安値!W103&lt;安値!U103,安値!W103&lt;安値!X103,安値!W103&lt;安値!Y103),18,""))</f>
        <v/>
      </c>
      <c r="S103" s="503" t="str">
        <f>IF(終値!A103="","",IF(AND(安値!X103&lt;安値!W103,安値!X103&lt;安値!V103,安値!X103&lt;安値!Y103,安値!X103&lt;安値!Z103),19,""))</f>
        <v/>
      </c>
      <c r="T103" s="503">
        <f>IF(終値!A103="","",IF(AND(安値!Y103&lt;安値!X103,安値!Y103&lt;安値!W103,安値!Y103&lt;安値!Z103,安値!Y103&lt;安値!AA103),20,""))</f>
        <v>20</v>
      </c>
      <c r="U103" s="503" t="str">
        <f>IF(終値!A103="","",IF(AND(安値!Z103&lt;安値!Y103,安値!Z103&lt;安値!X103,安値!Z103&lt;安値!AA103,安値!Z103&lt;安値!AB103),21,""))</f>
        <v/>
      </c>
      <c r="V103" s="503" t="str">
        <f>IF(終値!A103="","",IF(AND(安値!AA103&lt;安値!Z103,安値!AA103&lt;安値!Y103,安値!AA103&lt;安値!AB103,安値!AA103&lt;安値!AC103),22,""))</f>
        <v/>
      </c>
      <c r="W103" s="503" t="str">
        <f>IF(終値!A103="","",IF(AND(安値!AB103&lt;安値!AA103,安値!AB103&lt;安値!Z103,安値!AB103&lt;安値!AC103,安値!AB103&lt;安値!AD103),23,""))</f>
        <v/>
      </c>
      <c r="X103" s="503">
        <f>IF(終値!A103="","",IF(AND(安値!AC103&lt;安値!AB103,安値!AC103&lt;安値!AA103,安値!AC103&lt;安値!AD103,安値!AC103&lt;安値!AE103),24,""))</f>
        <v>24</v>
      </c>
      <c r="Y103" s="503" t="str">
        <f>IF(終値!A103="","",IF(AND(安値!AD103&lt;安値!AC103,安値!AD103&lt;安値!AB103,安値!AD103&lt;安値!AE103,安値!AD103&lt;安値!AF103),25,""))</f>
        <v/>
      </c>
      <c r="Z103" s="503" t="str">
        <f>IF(終値!A103="","",IF(AND(安値!AE103&lt;安値!AD103,安値!AE103&lt;安値!AC103,安値!AE103&lt;安値!AF103,安値!AE103&lt;安値!AG103),26,""))</f>
        <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f>IF(終値!A103="","",IF(AND(高値!N103&gt;高値!M103,高値!N103&gt;高値!L103,高値!N103&gt;高値!O103,高値!N103&gt;高値!P103),9,""))</f>
        <v>9</v>
      </c>
      <c r="AK103" s="503" t="str">
        <f>IF(終値!A103="","",IF(AND(高値!O103&gt;高値!N103,高値!O103&gt;高値!M103,高値!O103&gt;高値!P103,高値!O103&gt;高値!Q103),10,""))</f>
        <v/>
      </c>
      <c r="AL103" s="503" t="str">
        <f>IF(終値!A103="","",IF(AND(高値!P103&gt;高値!O103,高値!P103&gt;高値!N103,高値!P103&gt;高値!Q103,高値!P103&gt;高値!R103),11,""))</f>
        <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f>IF(終値!A103="","",IF(AND(高値!T103&gt;高値!S103,高値!T103&gt;高値!R103,高値!T103&gt;高値!U103,高値!T103&gt;高値!V103),15,""))</f>
        <v>15</v>
      </c>
      <c r="AQ103" s="503" t="str">
        <f>IF(終値!A103="","",IF(AND(高値!U103&gt;高値!T103,高値!U103&gt;高値!S103,高値!U103&gt;高値!V103,高値!U103&gt;高値!W103),16,""))</f>
        <v/>
      </c>
      <c r="AR103" s="503" t="str">
        <f>IF(終値!A103="","",IF(AND(高値!V103&gt;高値!U103,高値!V103&gt;高値!T103,高値!V103&gt;高値!W103,高値!V103&gt;高値!X103),17,""))</f>
        <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f>IF(終値!A103="","",IF(AND(高値!AA103&gt;高値!Z103,高値!AA103&gt;高値!Y103,高値!AA103&gt;高値!AB103,高値!AA103&gt;高値!AC103),22,""))</f>
        <v>22</v>
      </c>
      <c r="AX103" s="503" t="str">
        <f>IF(終値!A103="","",IF(AND(高値!AB103&gt;高値!AA103,高値!AB103&gt;高値!Z103,高値!AB103&gt;高値!AC103,高値!AB103&gt;高値!AD103),23,""))</f>
        <v/>
      </c>
      <c r="AY103" s="503" t="str">
        <f>IF(終値!A103="","",IF(AND(高値!AC103&gt;高値!AB103,高値!AC103&gt;高値!AA103,高値!AC103&gt;高値!AD103,高値!AC103&gt;高値!AE103),24,""))</f>
        <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f>IF(終値!A103="","",IF(AND(高値!AG103&gt;高値!AF103,高値!AG103&gt;高値!AE103,高値!AG103&gt;高値!AH103,高値!AG103&gt;高値!AI103),28,""))</f>
        <v>28</v>
      </c>
      <c r="BD103" s="503">
        <f t="shared" si="6"/>
        <v>5</v>
      </c>
      <c r="BE103" s="503">
        <f t="shared" si="7"/>
        <v>4</v>
      </c>
      <c r="BF103" s="503">
        <f t="shared" si="8"/>
        <v>11</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4</v>
      </c>
      <c r="BM103" s="503">
        <f t="shared" si="10"/>
        <v>9</v>
      </c>
      <c r="BN103" s="503">
        <f t="shared" si="11"/>
        <v>15</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t="str">
        <f>IF(終値!A104="","",IF(AND(安値!H104&lt;安値!G104,安値!H104&lt;安値!F104,安値!H104&lt;安値!I104,安値!H104&lt;安値!J104),3,""))</f>
        <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f>IF(終値!A104="","",IF(AND(安値!P104&lt;安値!O104,安値!P104&lt;安値!N104,安値!P104&lt;安値!Q104,安値!P104&lt;安値!R104),11,""))</f>
        <v>11</v>
      </c>
      <c r="L104" s="503" t="str">
        <f>IF(終値!A104="","",IF(AND(安値!Q104&lt;安値!P104,安値!Q104&lt;安値!O104,安値!Q104&lt;安値!R104,安値!Q104&lt;安値!S104),12,""))</f>
        <v/>
      </c>
      <c r="M104" s="503" t="str">
        <f>IF(終値!A104="","",IF(AND(安値!R104&lt;安値!Q104,安値!R104&lt;安値!P104,安値!R104&lt;安値!S104,安値!R104&lt;安値!T104),13,""))</f>
        <v/>
      </c>
      <c r="N104" s="503" t="str">
        <f>IF(終値!A104="","",IF(AND(安値!S104&lt;安値!R104,安値!S104&lt;安値!Q104,安値!S104&lt;安値!T104,安値!S104&lt;安値!U104),14,""))</f>
        <v/>
      </c>
      <c r="O104" s="503">
        <f>IF(終値!A104="","",IF(AND(安値!T104&lt;安値!S104,安値!T104&lt;安値!R104,安値!T104&lt;安値!U104,安値!T104&lt;安値!V104),15,""))</f>
        <v>15</v>
      </c>
      <c r="P104" s="503" t="str">
        <f>IF(終値!A104="","",IF(AND(安値!U104&lt;安値!T104,安値!U104&lt;安値!S104,安値!U104&lt;安値!V104,安値!U104&lt;安値!W104),16,""))</f>
        <v/>
      </c>
      <c r="Q104" s="503" t="str">
        <f>IF(終値!A104="","",IF(AND(安値!V104&lt;安値!U104,安値!V104&lt;安値!T104,安値!V104&lt;安値!W104,安値!V104&lt;安値!X104),17,""))</f>
        <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f>IF(終値!A104="","",IF(AND(安値!AC104&lt;安値!AB104,安値!AC104&lt;安値!AA104,安値!AC104&lt;安値!AD104,安値!AC104&lt;安値!AE104),24,""))</f>
        <v>24</v>
      </c>
      <c r="Y104" s="503" t="str">
        <f>IF(終値!A104="","",IF(AND(安値!AD104&lt;安値!AC104,安値!AD104&lt;安値!AB104,安値!AD104&lt;安値!AE104,安値!AD104&lt;安値!AF104),25,""))</f>
        <v/>
      </c>
      <c r="Z104" s="503" t="str">
        <f>IF(終値!A104="","",IF(AND(安値!AE104&lt;安値!AD104,安値!AE104&lt;安値!AC104,安値!AE104&lt;安値!AF104,安値!AE104&lt;安値!AG104),26,""))</f>
        <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f>IF(終値!A104="","",IF(AND(高値!K104&gt;高値!J104,高値!K104&gt;高値!I104,高値!K104&gt;高値!L104,高値!K104&gt;高値!M104),6,""))</f>
        <v>6</v>
      </c>
      <c r="AH104" s="503" t="str">
        <f>IF(終値!A104="","",IF(AND(高値!L104&gt;高値!K104,高値!L104&gt;高値!J104,高値!L104&gt;高値!M104,高値!L104&gt;高値!N104),7,""))</f>
        <v/>
      </c>
      <c r="AI104" s="503" t="str">
        <f>IF(終値!A104="","",IF(AND(高値!M104&gt;高値!L104,高値!M104&gt;高値!K104,高値!M104&gt;高値!N104,高値!M104&gt;高値!O104),8,""))</f>
        <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f>IF(終値!A104="","",IF(AND(高値!V104&gt;高値!U104,高値!V104&gt;高値!T104,高値!V104&gt;高値!W104,高値!V104&gt;高値!X104),17,""))</f>
        <v>17</v>
      </c>
      <c r="AS104" s="503" t="str">
        <f>IF(終値!A104="","",IF(AND(高値!W104&gt;高値!V104,高値!W104&gt;高値!U104,高値!W104&gt;高値!X104,高値!W104&gt;高値!Y104),18,""))</f>
        <v/>
      </c>
      <c r="AT104" s="503" t="str">
        <f>IF(終値!A104="","",IF(AND(高値!X104&gt;高値!W104,高値!X104&gt;高値!V104,高値!X104&gt;高値!Y104,高値!X104&gt;高値!Z104),19,""))</f>
        <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f>IF(終値!A104="","",IF(AND(高値!AF104&gt;高値!AE104,高値!AF104&gt;高値!AD104,高値!AF104&gt;高値!AG104,高値!AF104&gt;高値!AH104),27,""))</f>
        <v>27</v>
      </c>
      <c r="BC104" s="503" t="str">
        <f>IF(終値!A104="","",IF(AND(高値!AG104&gt;高値!AF104,高値!AG104&gt;高値!AE104,高値!AG104&gt;高値!AH104,高値!AG104&gt;高値!AI104),28,""))</f>
        <v/>
      </c>
      <c r="BD104" s="503">
        <f t="shared" si="6"/>
        <v>3</v>
      </c>
      <c r="BE104" s="503">
        <f t="shared" si="7"/>
        <v>11</v>
      </c>
      <c r="BF104" s="503">
        <f t="shared" si="8"/>
        <v>15</v>
      </c>
      <c r="BG104" s="503">
        <f>IF($BE104="","",INDEX(安値!$E104:$CZ104,1,$BE104+1))</f>
        <v>2313.5</v>
      </c>
      <c r="BH104" s="503">
        <f>IF($BF104="","",INDEX(安値!$E104:$CZ104,1,$BF104+1))</f>
        <v>2218</v>
      </c>
      <c r="BI104" s="503">
        <f>IF($BF104="","",MAX(INDEX(高値!$E104:$CZ104,1,$BE104+1):INDEX(高値!$E104:$CZ104,1,$BF104+1)))</f>
        <v>2417</v>
      </c>
      <c r="BJ104" s="503">
        <f>IF($BF104="","",AVERAGE(INDEX(終値!$E104:$CZ104,1,$BF104+1):INDEX(終値!$E104:$CZ104,1,$BF104+20))-2*STDEVP(INDEX(終値!$E104:$CZ104,1,$BF104+1):INDEX(終値!$E104:$CZ104,1,$BF104+20)))</f>
        <v>2113.4153286110377</v>
      </c>
      <c r="BK104" s="503">
        <f>IF($BE104="","",AVERAGE(INDEX(終値!$E104:$CZ104,1,$BE104+1):INDEX(終値!$E104:$CZ104,1,$BE104+20))-2*STDEVP(INDEX(終値!$E104:$CZ104,1,$BE104+1):INDEX(終値!$E104:$CZ104,1,$BE104+20)))</f>
        <v>2111.186294777166</v>
      </c>
      <c r="BL104" s="503">
        <f t="shared" si="9"/>
        <v>3</v>
      </c>
      <c r="BM104" s="503">
        <f t="shared" si="10"/>
        <v>6</v>
      </c>
      <c r="BN104" s="503">
        <f t="shared" si="11"/>
        <v>17</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f>IF(終値!A105="","",IF(AND(安値!I105&lt;安値!H105,安値!I105&lt;安値!G105,安値!I105&lt;安値!J105,安値!I105&lt;安値!K105),4,""))</f>
        <v>4</v>
      </c>
      <c r="E105" s="503" t="str">
        <f>IF(終値!A105="","",IF(AND(安値!J105&lt;安値!I105,安値!J105&lt;安値!H105,安値!J105&lt;安値!K105,安値!J105&lt;安値!L105),5,""))</f>
        <v/>
      </c>
      <c r="F105" s="503" t="str">
        <f>IF(終値!A105="","",IF(AND(安値!K105&lt;安値!J105,安値!K105&lt;安値!I105,安値!K105&lt;安値!L105,安値!K105&lt;安値!M105),6,""))</f>
        <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f>IF(終値!A105="","",IF(AND(安値!P105&lt;安値!O105,安値!P105&lt;安値!N105,安値!P105&lt;安値!Q105,安値!P105&lt;安値!R105),11,""))</f>
        <v>11</v>
      </c>
      <c r="L105" s="503" t="str">
        <f>IF(終値!A105="","",IF(AND(安値!Q105&lt;安値!P105,安値!Q105&lt;安値!O105,安値!Q105&lt;安値!R105,安値!Q105&lt;安値!S105),12,""))</f>
        <v/>
      </c>
      <c r="M105" s="503" t="str">
        <f>IF(終値!A105="","",IF(AND(安値!R105&lt;安値!Q105,安値!R105&lt;安値!P105,安値!R105&lt;安値!S105,安値!R105&lt;安値!T105),13,""))</f>
        <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f>IF(終値!A105="","",IF(AND(安値!V105&lt;安値!U105,安値!V105&lt;安値!T105,安値!V105&lt;安値!W105,安値!V105&lt;安値!X105),17,""))</f>
        <v>17</v>
      </c>
      <c r="R105" s="503" t="str">
        <f>IF(終値!A105="","",IF(AND(安値!W105&lt;安値!V105,安値!W105&lt;安値!U105,安値!W105&lt;安値!X105,安値!W105&lt;安値!Y105),18,""))</f>
        <v/>
      </c>
      <c r="S105" s="503" t="str">
        <f>IF(終値!A105="","",IF(AND(安値!X105&lt;安値!W105,安値!X105&lt;安値!V105,安値!X105&lt;安値!Y105,安値!X105&lt;安値!Z105),19,""))</f>
        <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f>IF(終値!A105="","",IF(AND(安値!AC105&lt;安値!AB105,安値!AC105&lt;安値!AA105,安値!AC105&lt;安値!AD105,安値!AC105&lt;安値!AE105),24,""))</f>
        <v>24</v>
      </c>
      <c r="Y105" s="503" t="str">
        <f>IF(終値!A105="","",IF(AND(安値!AD105&lt;安値!AC105,安値!AD105&lt;安値!AB105,安値!AD105&lt;安値!AE105,安値!AD105&lt;安値!AF105),25,""))</f>
        <v/>
      </c>
      <c r="Z105" s="503" t="str">
        <f>IF(終値!A105="","",IF(AND(安値!AE105&lt;安値!AD105,安値!AE105&lt;安値!AC105,安値!AE105&lt;安値!AF105,安値!AE105&lt;安値!AG105),26,""))</f>
        <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f>IF(終値!A105="","",IF(AND(高値!M105&gt;高値!L105,高値!M105&gt;高値!K105,高値!M105&gt;高値!N105,高値!M105&gt;高値!O105),8,""))</f>
        <v>8</v>
      </c>
      <c r="AJ105" s="503" t="str">
        <f>IF(終値!A105="","",IF(AND(高値!N105&gt;高値!M105,高値!N105&gt;高値!L105,高値!N105&gt;高値!O105,高値!N105&gt;高値!P105),9,""))</f>
        <v/>
      </c>
      <c r="AK105" s="503" t="str">
        <f>IF(終値!A105="","",IF(AND(高値!O105&gt;高値!N105,高値!O105&gt;高値!M105,高値!O105&gt;高値!P105,高値!O105&gt;高値!Q105),10,""))</f>
        <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f>IF(終値!A105="","",IF(AND(高値!T105&gt;高値!S105,高値!T105&gt;高値!R105,高値!T105&gt;高値!U105,高値!T105&gt;高値!V105),15,""))</f>
        <v>15</v>
      </c>
      <c r="AQ105" s="503" t="str">
        <f>IF(終値!A105="","",IF(AND(高値!U105&gt;高値!T105,高値!U105&gt;高値!S105,高値!U105&gt;高値!V105,高値!U105&gt;高値!W105),16,""))</f>
        <v/>
      </c>
      <c r="AR105" s="503" t="str">
        <f>IF(終値!A105="","",IF(AND(高値!V105&gt;高値!U105,高値!V105&gt;高値!T105,高値!V105&gt;高値!W105,高値!V105&gt;高値!X105),17,""))</f>
        <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f>IF(終値!A105="","",IF(AND(高値!AA105&gt;高値!Z105,高値!AA105&gt;高値!Y105,高値!AA105&gt;高値!AB105,高値!AA105&gt;高値!AC105),22,""))</f>
        <v>22</v>
      </c>
      <c r="AX105" s="503" t="str">
        <f>IF(終値!A105="","",IF(AND(高値!AB105&gt;高値!AA105,高値!AB105&gt;高値!Z105,高値!AB105&gt;高値!AC105,高値!AB105&gt;高値!AD105),23,""))</f>
        <v/>
      </c>
      <c r="AY105" s="503" t="str">
        <f>IF(終値!A105="","",IF(AND(高値!AC105&gt;高値!AB105,高値!AC105&gt;高値!AA105,高値!AC105&gt;高値!AD105,高値!AC105&gt;高値!AE105),24,""))</f>
        <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4</v>
      </c>
      <c r="BF105" s="503">
        <f t="shared" si="8"/>
        <v>11</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8</v>
      </c>
      <c r="BN105" s="503">
        <f t="shared" si="11"/>
        <v>15</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f>IF(終値!A106="","",IF(AND(安値!G106&lt;安値!F106,安値!G106&lt;安値!E106,安値!G106&lt;安値!H106,安値!G106&lt;安値!I106),2,""))</f>
        <v>2</v>
      </c>
      <c r="C106" s="503" t="str">
        <f>IF(終値!A106="","",IF(AND(安値!H106&lt;安値!G106,安値!H106&lt;安値!F106,安値!H106&lt;安値!I106,安値!H106&lt;安値!J106),3,""))</f>
        <v/>
      </c>
      <c r="D106" s="503" t="str">
        <f>IF(終値!A106="","",IF(AND(安値!I106&lt;安値!H106,安値!I106&lt;安値!G106,安値!I106&lt;安値!J106,安値!I106&lt;安値!K106),4,""))</f>
        <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f>IF(終値!A106="","",IF(AND(高値!J106&gt;高値!I106,高値!J106&gt;高値!H106,高値!J106&gt;高値!K106,高値!J106&gt;高値!L106),5,""))</f>
        <v>5</v>
      </c>
      <c r="AG106" s="503" t="str">
        <f>IF(終値!A106="","",IF(AND(高値!K106&gt;高値!J106,高値!K106&gt;高値!I106,高値!K106&gt;高値!L106,高値!K106&gt;高値!M106),6,""))</f>
        <v/>
      </c>
      <c r="AH106" s="503" t="str">
        <f>IF(終値!A106="","",IF(AND(高値!L106&gt;高値!K106,高値!L106&gt;高値!J106,高値!L106&gt;高値!M106,高値!L106&gt;高値!N106),7,""))</f>
        <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f>IF(終値!A106="","",IF(AND(高値!AC106&gt;高値!AB106,高値!AC106&gt;高値!AA106,高値!AC106&gt;高値!AD106,高値!AC106&gt;高値!AE106),24,""))</f>
        <v>24</v>
      </c>
      <c r="AZ106" s="503" t="str">
        <f>IF(終値!A106="","",IF(AND(高値!AD106&gt;高値!AC106,高値!AD106&gt;高値!AB106,高値!AD106&gt;高値!AE106,高値!AD106&gt;高値!AF106),25,""))</f>
        <v/>
      </c>
      <c r="BA106" s="503" t="str">
        <f>IF(終値!A106="","",IF(AND(高値!AE106&gt;高値!AD106,高値!AE106&gt;高値!AC106,高値!AE106&gt;高値!AF106,高値!AE106&gt;高値!AG106),26,""))</f>
        <v/>
      </c>
      <c r="BB106" s="503" t="str">
        <f>IF(終値!A106="","",IF(AND(高値!AF106&gt;高値!AE106,高値!AF106&gt;高値!AD106,高値!AF106&gt;高値!AG106,高値!AF106&gt;高値!AH106),27,""))</f>
        <v/>
      </c>
      <c r="BC106" s="503">
        <f>IF(終値!A106="","",IF(AND(高値!AG106&gt;高値!AF106,高値!AG106&gt;高値!AE106,高値!AG106&gt;高値!AH106,高値!AG106&gt;高値!AI106),28,""))</f>
        <v>28</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3</v>
      </c>
      <c r="BM106" s="503">
        <f t="shared" si="10"/>
        <v>5</v>
      </c>
      <c r="BN106" s="503">
        <f t="shared" si="11"/>
        <v>24</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f>IF(終値!A107="","",IF(AND(安値!I107&lt;安値!H107,安値!I107&lt;安値!G107,安値!I107&lt;安値!J107,安値!I107&lt;安値!K107),4,""))</f>
        <v>4</v>
      </c>
      <c r="E107" s="503" t="str">
        <f>IF(終値!A107="","",IF(AND(安値!J107&lt;安値!I107,安値!J107&lt;安値!H107,安値!J107&lt;安値!K107,安値!J107&lt;安値!L107),5,""))</f>
        <v/>
      </c>
      <c r="F107" s="503" t="str">
        <f>IF(終値!A107="","",IF(AND(安値!K107&lt;安値!J107,安値!K107&lt;安値!I107,安値!K107&lt;安値!L107,安値!K107&lt;安値!M107),6,""))</f>
        <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f>IF(終値!A107="","",IF(AND(安値!P107&lt;安値!O107,安値!P107&lt;安値!N107,安値!P107&lt;安値!Q107,安値!P107&lt;安値!R107),11,""))</f>
        <v>11</v>
      </c>
      <c r="L107" s="503" t="str">
        <f>IF(終値!A107="","",IF(AND(安値!Q107&lt;安値!P107,安値!Q107&lt;安値!O107,安値!Q107&lt;安値!R107,安値!Q107&lt;安値!S107),12,""))</f>
        <v/>
      </c>
      <c r="M107" s="503" t="str">
        <f>IF(終値!A107="","",IF(AND(安値!R107&lt;安値!Q107,安値!R107&lt;安値!P107,安値!R107&lt;安値!S107,安値!R107&lt;安値!T107),13,""))</f>
        <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f>IF(終値!A107="","",IF(AND(安値!V107&lt;安値!U107,安値!V107&lt;安値!T107,安値!V107&lt;安値!W107,安値!V107&lt;安値!X107),17,""))</f>
        <v>17</v>
      </c>
      <c r="R107" s="503" t="str">
        <f>IF(終値!A107="","",IF(AND(安値!W107&lt;安値!V107,安値!W107&lt;安値!U107,安値!W107&lt;安値!X107,安値!W107&lt;安値!Y107),18,""))</f>
        <v/>
      </c>
      <c r="S107" s="503" t="str">
        <f>IF(終値!A107="","",IF(AND(安値!X107&lt;安値!W107,安値!X107&lt;安値!V107,安値!X107&lt;安値!Y107,安値!X107&lt;安値!Z107),19,""))</f>
        <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f>IF(終値!A107="","",IF(AND(安値!AC107&lt;安値!AB107,安値!AC107&lt;安値!AA107,安値!AC107&lt;安値!AD107,安値!AC107&lt;安値!AE107),24,""))</f>
        <v>24</v>
      </c>
      <c r="Y107" s="503" t="str">
        <f>IF(終値!A107="","",IF(AND(安値!AD107&lt;安値!AC107,安値!AD107&lt;安値!AB107,安値!AD107&lt;安値!AE107,安値!AD107&lt;安値!AF107),25,""))</f>
        <v/>
      </c>
      <c r="Z107" s="503" t="str">
        <f>IF(終値!A107="","",IF(AND(安値!AE107&lt;安値!AD107,安値!AE107&lt;安値!AC107,安値!AE107&lt;安値!AF107,安値!AE107&lt;安値!AG107),26,""))</f>
        <v/>
      </c>
      <c r="AA107" s="503">
        <f>IF(終値!A107="","",IF(AND(安値!AF107&lt;安値!AE107,安値!AF107&lt;安値!AD107,安値!AF107&lt;安値!AG107,安値!AF107&lt;安値!AH107),27,""))</f>
        <v>27</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f>IF(終値!A107="","",IF(AND(高値!N107&gt;高値!M107,高値!N107&gt;高値!L107,高値!N107&gt;高値!O107,高値!N107&gt;高値!P107),9,""))</f>
        <v>9</v>
      </c>
      <c r="AK107" s="503" t="str">
        <f>IF(終値!A107="","",IF(AND(高値!O107&gt;高値!N107,高値!O107&gt;高値!M107,高値!O107&gt;高値!P107,高値!O107&gt;高値!Q107),10,""))</f>
        <v/>
      </c>
      <c r="AL107" s="503" t="str">
        <f>IF(終値!A107="","",IF(AND(高値!P107&gt;高値!O107,高値!P107&gt;高値!N107,高値!P107&gt;高値!Q107,高値!P107&gt;高値!R107),11,""))</f>
        <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f>IF(終値!A107="","",IF(AND(高値!S107&gt;高値!R107,高値!S107&gt;高値!Q107,高値!S107&gt;高値!T107,高値!S107&gt;高値!U107),14,""))</f>
        <v>14</v>
      </c>
      <c r="AP107" s="503" t="str">
        <f>IF(終値!A107="","",IF(AND(高値!T107&gt;高値!S107,高値!T107&gt;高値!R107,高値!T107&gt;高値!U107,高値!T107&gt;高値!V107),15,""))</f>
        <v/>
      </c>
      <c r="AQ107" s="503" t="str">
        <f>IF(終値!A107="","",IF(AND(高値!U107&gt;高値!T107,高値!U107&gt;高値!S107,高値!U107&gt;高値!V107,高値!U107&gt;高値!W107),16,""))</f>
        <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f>IF(終値!A107="","",IF(AND(高値!AA107&gt;高値!Z107,高値!AA107&gt;高値!Y107,高値!AA107&gt;高値!AB107,高値!AA107&gt;高値!AC107),22,""))</f>
        <v>22</v>
      </c>
      <c r="AX107" s="503" t="str">
        <f>IF(終値!A107="","",IF(AND(高値!AB107&gt;高値!AA107,高値!AB107&gt;高値!Z107,高値!AB107&gt;高値!AC107,高値!AB107&gt;高値!AD107),23,""))</f>
        <v/>
      </c>
      <c r="AY107" s="503" t="str">
        <f>IF(終値!A107="","",IF(AND(高値!AC107&gt;高値!AB107,高値!AC107&gt;高値!AA107,高値!AC107&gt;高値!AD107,高値!AC107&gt;高値!AE107),24,""))</f>
        <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5</v>
      </c>
      <c r="BE107" s="503">
        <f t="shared" si="7"/>
        <v>4</v>
      </c>
      <c r="BF107" s="503">
        <f t="shared" si="8"/>
        <v>11</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9</v>
      </c>
      <c r="BN107" s="503">
        <f t="shared" si="11"/>
        <v>14</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f>IF(終値!A108="","",IF(AND(安値!L108&lt;安値!K108,安値!L108&lt;安値!J108,安値!L108&lt;安値!M108,安値!L108&lt;安値!N108),7,""))</f>
        <v>7</v>
      </c>
      <c r="H108" s="503" t="str">
        <f>IF(終値!A108="","",IF(AND(安値!M108&lt;安値!L108,安値!M108&lt;安値!K108,安値!M108&lt;安値!N108,安値!M108&lt;安値!O108),8,""))</f>
        <v/>
      </c>
      <c r="I108" s="503" t="str">
        <f>IF(終値!A108="","",IF(AND(安値!N108&lt;安値!M108,安値!N108&lt;安値!L108,安値!N108&lt;安値!O108,安値!N108&lt;安値!P108),9,""))</f>
        <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f>IF(終値!A108="","",IF(AND(安値!U108&lt;安値!T108,安値!U108&lt;安値!S108,安値!U108&lt;安値!V108,安値!U108&lt;安値!W108),16,""))</f>
        <v>16</v>
      </c>
      <c r="Q108" s="503" t="str">
        <f>IF(終値!A108="","",IF(AND(安値!V108&lt;安値!U108,安値!V108&lt;安値!T108,安値!V108&lt;安値!W108,安値!V108&lt;安値!X108),17,""))</f>
        <v/>
      </c>
      <c r="R108" s="503" t="str">
        <f>IF(終値!A108="","",IF(AND(安値!W108&lt;安値!V108,安値!W108&lt;安値!U108,安値!W108&lt;安値!X108,安値!W108&lt;安値!Y108),18,""))</f>
        <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f>IF(終値!A108="","",IF(AND(安値!AA108&lt;安値!Z108,安値!AA108&lt;安値!Y108,安値!AA108&lt;安値!AB108,安値!AA108&lt;安値!AC108),22,""))</f>
        <v>22</v>
      </c>
      <c r="W108" s="503" t="str">
        <f>IF(終値!A108="","",IF(AND(安値!AB108&lt;安値!AA108,安値!AB108&lt;安値!Z108,安値!AB108&lt;安値!AC108,安値!AB108&lt;安値!AD108),23,""))</f>
        <v/>
      </c>
      <c r="X108" s="503" t="str">
        <f>IF(終値!A108="","",IF(AND(安値!AC108&lt;安値!AB108,安値!AC108&lt;安値!AA108,安値!AC108&lt;安値!AD108,安値!AC108&lt;安値!AE108),24,""))</f>
        <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f>IF(終値!A108="","",IF(AND(安値!AG108&lt;安値!AF108,安値!AG108&lt;安値!AE108,安値!AG108&lt;安値!AH108,安値!AG108&lt;安値!AI108),28,""))</f>
        <v>28</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f>IF(終値!A108="","",IF(AND(高値!I108&gt;高値!H108,高値!I108&gt;高値!G108,高値!I108&gt;高値!J108,高値!I108&gt;高値!K108),4,""))</f>
        <v>4</v>
      </c>
      <c r="AF108" s="503" t="str">
        <f>IF(終値!A108="","",IF(AND(高値!J108&gt;高値!I108,高値!J108&gt;高値!H108,高値!J108&gt;高値!K108,高値!J108&gt;高値!L108),5,""))</f>
        <v/>
      </c>
      <c r="AG108" s="503" t="str">
        <f>IF(終値!A108="","",IF(AND(高値!K108&gt;高値!J108,高値!K108&gt;高値!I108,高値!K108&gt;高値!L108,高値!K108&gt;高値!M108),6,""))</f>
        <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f>IF(終値!A108="","",IF(AND(高値!O108&gt;高値!N108,高値!O108&gt;高値!M108,高値!O108&gt;高値!P108,高値!O108&gt;高値!Q108),10,""))</f>
        <v>10</v>
      </c>
      <c r="AL108" s="503" t="str">
        <f>IF(終値!A108="","",IF(AND(高値!P108&gt;高値!O108,高値!P108&gt;高値!N108,高値!P108&gt;高値!Q108,高値!P108&gt;高値!R108),11,""))</f>
        <v/>
      </c>
      <c r="AM108" s="503" t="str">
        <f>IF(終値!A108="","",IF(AND(高値!Q108&gt;高値!P108,高値!Q108&gt;高値!O108,高値!Q108&gt;高値!R108,高値!Q108&gt;高値!S108),12,""))</f>
        <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f>IF(終値!A108="","",IF(AND(高値!AC108&gt;高値!AB108,高値!AC108&gt;高値!AA108,高値!AC108&gt;高値!AD108,高値!AC108&gt;高値!AE108),24,""))</f>
        <v>24</v>
      </c>
      <c r="AZ108" s="503" t="str">
        <f>IF(終値!A108="","",IF(AND(高値!AD108&gt;高値!AC108,高値!AD108&gt;高値!AB108,高値!AD108&gt;高値!AE108,高値!AD108&gt;高値!AF108),25,""))</f>
        <v/>
      </c>
      <c r="BA108" s="503" t="str">
        <f>IF(終値!A108="","",IF(AND(高値!AE108&gt;高値!AD108,高値!AE108&gt;高値!AC108,高値!AE108&gt;高値!AF108,高値!AE108&gt;高値!AG108),26,""))</f>
        <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4</v>
      </c>
      <c r="BE108" s="503">
        <f t="shared" si="7"/>
        <v>7</v>
      </c>
      <c r="BF108" s="503">
        <f t="shared" si="8"/>
        <v>16</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4</v>
      </c>
      <c r="BN108" s="503">
        <f t="shared" si="11"/>
        <v>10</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f>IF(終値!A109="","",IF(AND(安値!L109&lt;安値!K109,安値!L109&lt;安値!J109,安値!L109&lt;安値!M109,安値!L109&lt;安値!N109),7,""))</f>
        <v>7</v>
      </c>
      <c r="H109" s="503" t="str">
        <f>IF(終値!A109="","",IF(AND(安値!M109&lt;安値!L109,安値!M109&lt;安値!K109,安値!M109&lt;安値!N109,安値!M109&lt;安値!O109),8,""))</f>
        <v/>
      </c>
      <c r="I109" s="503" t="str">
        <f>IF(終値!A109="","",IF(AND(安値!N109&lt;安値!M109,安値!N109&lt;安値!L109,安値!N109&lt;安値!O109,安値!N109&lt;安値!P109),9,""))</f>
        <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f>IF(終値!A109="","",IF(AND(安値!T109&lt;安値!S109,安値!T109&lt;安値!R109,安値!T109&lt;安値!U109,安値!T109&lt;安値!V109),15,""))</f>
        <v>15</v>
      </c>
      <c r="P109" s="503" t="str">
        <f>IF(終値!A109="","",IF(AND(安値!U109&lt;安値!T109,安値!U109&lt;安値!S109,安値!U109&lt;安値!V109,安値!U109&lt;安値!W109),16,""))</f>
        <v/>
      </c>
      <c r="Q109" s="503" t="str">
        <f>IF(終値!A109="","",IF(AND(安値!V109&lt;安値!U109,安値!V109&lt;安値!T109,安値!V109&lt;安値!W109,安値!V109&lt;安値!X109),17,""))</f>
        <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f>IF(終値!A109="","",IF(AND(安値!AA109&lt;安値!Z109,安値!AA109&lt;安値!Y109,安値!AA109&lt;安値!AB109,安値!AA109&lt;安値!AC109),22,""))</f>
        <v>22</v>
      </c>
      <c r="W109" s="503" t="str">
        <f>IF(終値!A109="","",IF(AND(安値!AB109&lt;安値!AA109,安値!AB109&lt;安値!Z109,安値!AB109&lt;安値!AC109,安値!AB109&lt;安値!AD109),23,""))</f>
        <v/>
      </c>
      <c r="X109" s="503" t="str">
        <f>IF(終値!A109="","",IF(AND(安値!AC109&lt;安値!AB109,安値!AC109&lt;安値!AA109,安値!AC109&lt;安値!AD109,安値!AC109&lt;安値!AE109),24,""))</f>
        <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f>IF(終値!A109="","",IF(AND(安値!AG109&lt;安値!AF109,安値!AG109&lt;安値!AE109,安値!AG109&lt;安値!AH109,安値!AG109&lt;安値!AI109),28,""))</f>
        <v>28</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f>IF(終値!A109="","",IF(AND(高値!I109&gt;高値!H109,高値!I109&gt;高値!G109,高値!I109&gt;高値!J109,高値!I109&gt;高値!K109),4,""))</f>
        <v>4</v>
      </c>
      <c r="AF109" s="503" t="str">
        <f>IF(終値!A109="","",IF(AND(高値!J109&gt;高値!I109,高値!J109&gt;高値!H109,高値!J109&gt;高値!K109,高値!J109&gt;高値!L109),5,""))</f>
        <v/>
      </c>
      <c r="AG109" s="503" t="str">
        <f>IF(終値!A109="","",IF(AND(高値!K109&gt;高値!J109,高値!K109&gt;高値!I109,高値!K109&gt;高値!L109,高値!K109&gt;高値!M109),6,""))</f>
        <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f>IF(終値!A109="","",IF(AND(高値!O109&gt;高値!N109,高値!O109&gt;高値!M109,高値!O109&gt;高値!P109,高値!O109&gt;高値!Q109),10,""))</f>
        <v>10</v>
      </c>
      <c r="AL109" s="503" t="str">
        <f>IF(終値!A109="","",IF(AND(高値!P109&gt;高値!O109,高値!P109&gt;高値!N109,高値!P109&gt;高値!Q109,高値!P109&gt;高値!R109),11,""))</f>
        <v/>
      </c>
      <c r="AM109" s="503" t="str">
        <f>IF(終値!A109="","",IF(AND(高値!Q109&gt;高値!P109,高値!Q109&gt;高値!O109,高値!Q109&gt;高値!R109,高値!Q109&gt;高値!S109),12,""))</f>
        <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f>IF(終値!A109="","",IF(AND(高値!V109&gt;高値!U109,高値!V109&gt;高値!T109,高値!V109&gt;高値!W109,高値!V109&gt;高値!X109),17,""))</f>
        <v>17</v>
      </c>
      <c r="AS109" s="503" t="str">
        <f>IF(終値!A109="","",IF(AND(高値!W109&gt;高値!V109,高値!W109&gt;高値!U109,高値!W109&gt;高値!X109,高値!W109&gt;高値!Y109),18,""))</f>
        <v/>
      </c>
      <c r="AT109" s="503" t="str">
        <f>IF(終値!A109="","",IF(AND(高値!X109&gt;高値!W109,高値!X109&gt;高値!V109,高値!X109&gt;高値!Y109,高値!X109&gt;高値!Z109),19,""))</f>
        <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f>IF(終値!A109="","",IF(AND(高値!AC109&gt;高値!AB109,高値!AC109&gt;高値!AA109,高値!AC109&gt;高値!AD109,高値!AC109&gt;高値!AE109),24,""))</f>
        <v>24</v>
      </c>
      <c r="AZ109" s="503" t="str">
        <f>IF(終値!A109="","",IF(AND(高値!AD109&gt;高値!AC109,高値!AD109&gt;高値!AB109,高値!AD109&gt;高値!AE109,高値!AD109&gt;高値!AF109),25,""))</f>
        <v/>
      </c>
      <c r="BA109" s="503" t="str">
        <f>IF(終値!A109="","",IF(AND(高値!AE109&gt;高値!AD109,高値!AE109&gt;高値!AC109,高値!AE109&gt;高値!AF109,高値!AE109&gt;高値!AG109),26,""))</f>
        <v/>
      </c>
      <c r="BB109" s="503">
        <f>IF(終値!A109="","",IF(AND(高値!AF109&gt;高値!AE109,高値!AF109&gt;高値!AD109,高値!AF109&gt;高値!AG109,高値!AF109&gt;高値!AH109),27,""))</f>
        <v>27</v>
      </c>
      <c r="BC109" s="503" t="str">
        <f>IF(終値!A109="","",IF(AND(高値!AG109&gt;高値!AF109,高値!AG109&gt;高値!AE109,高値!AG109&gt;高値!AH109,高値!AG109&gt;高値!AI109),28,""))</f>
        <v/>
      </c>
      <c r="BD109" s="503">
        <f t="shared" si="6"/>
        <v>4</v>
      </c>
      <c r="BE109" s="503">
        <f t="shared" si="7"/>
        <v>7</v>
      </c>
      <c r="BF109" s="503">
        <f t="shared" si="8"/>
        <v>15</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5</v>
      </c>
      <c r="BM109" s="503">
        <f t="shared" si="10"/>
        <v>4</v>
      </c>
      <c r="BN109" s="503">
        <f t="shared" si="11"/>
        <v>10</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t="str">
        <f>IF(終値!A110="","",IF(AND(安値!H110&lt;安値!G110,安値!H110&lt;安値!F110,安値!H110&lt;安値!I110,安値!H110&lt;安値!J110),3,""))</f>
        <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f>IF(終値!A110="","",IF(AND(安値!L110&lt;安値!K110,安値!L110&lt;安値!J110,安値!L110&lt;安値!M110,安値!L110&lt;安値!N110),7,""))</f>
        <v>7</v>
      </c>
      <c r="H110" s="503" t="str">
        <f>IF(終値!A110="","",IF(AND(安値!M110&lt;安値!L110,安値!M110&lt;安値!K110,安値!M110&lt;安値!N110,安値!M110&lt;安値!O110),8,""))</f>
        <v/>
      </c>
      <c r="I110" s="503" t="str">
        <f>IF(終値!A110="","",IF(AND(安値!N110&lt;安値!M110,安値!N110&lt;安値!L110,安値!N110&lt;安値!O110,安値!N110&lt;安値!P110),9,""))</f>
        <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f>IF(終値!A110="","",IF(AND(安値!AA110&lt;安値!Z110,安値!AA110&lt;安値!Y110,安値!AA110&lt;安値!AB110,安値!AA110&lt;安値!AC110),22,""))</f>
        <v>22</v>
      </c>
      <c r="W110" s="503" t="str">
        <f>IF(終値!A110="","",IF(AND(安値!AB110&lt;安値!AA110,安値!AB110&lt;安値!Z110,安値!AB110&lt;安値!AC110,安値!AB110&lt;安値!AD110),23,""))</f>
        <v/>
      </c>
      <c r="X110" s="503" t="str">
        <f>IF(終値!A110="","",IF(AND(安値!AC110&lt;安値!AB110,安値!AC110&lt;安値!AA110,安値!AC110&lt;安値!AD110,安値!AC110&lt;安値!AE110),24,""))</f>
        <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f>IF(終値!A110="","",IF(AND(安値!AF110&lt;安値!AE110,安値!AF110&lt;安値!AD110,安値!AF110&lt;安値!AG110,安値!AF110&lt;安値!AH110),27,""))</f>
        <v>27</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f>IF(終値!A110="","",IF(AND(高値!I110&gt;高値!H110,高値!I110&gt;高値!G110,高値!I110&gt;高値!J110,高値!I110&gt;高値!K110),4,""))</f>
        <v>4</v>
      </c>
      <c r="AF110" s="503" t="str">
        <f>IF(終値!A110="","",IF(AND(高値!J110&gt;高値!I110,高値!J110&gt;高値!H110,高値!J110&gt;高値!K110,高値!J110&gt;高値!L110),5,""))</f>
        <v/>
      </c>
      <c r="AG110" s="503" t="str">
        <f>IF(終値!A110="","",IF(AND(高値!K110&gt;高値!J110,高値!K110&gt;高値!I110,高値!K110&gt;高値!L110,高値!K110&gt;高値!M110),6,""))</f>
        <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f>IF(終値!A110="","",IF(AND(高値!O110&gt;高値!N110,高値!O110&gt;高値!M110,高値!O110&gt;高値!P110,高値!O110&gt;高値!Q110),10,""))</f>
        <v>10</v>
      </c>
      <c r="AL110" s="503" t="str">
        <f>IF(終値!A110="","",IF(AND(高値!P110&gt;高値!O110,高値!P110&gt;高値!N110,高値!P110&gt;高値!Q110,高値!P110&gt;高値!R110),11,""))</f>
        <v/>
      </c>
      <c r="AM110" s="503" t="str">
        <f>IF(終値!A110="","",IF(AND(高値!Q110&gt;高値!P110,高値!Q110&gt;高値!O110,高値!Q110&gt;高値!R110,高値!Q110&gt;高値!S110),12,""))</f>
        <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f>IF(終値!A110="","",IF(AND(高値!AB110&gt;高値!AA110,高値!AB110&gt;高値!Z110,高値!AB110&gt;高値!AC110,高値!AB110&gt;高値!AD110),23,""))</f>
        <v>23</v>
      </c>
      <c r="AY110" s="503" t="str">
        <f>IF(終値!A110="","",IF(AND(高値!AC110&gt;高値!AB110,高値!AC110&gt;高値!AA110,高値!AC110&gt;高値!AD110,高値!AC110&gt;高値!AE110),24,""))</f>
        <v/>
      </c>
      <c r="AZ110" s="503" t="str">
        <f>IF(終値!A110="","",IF(AND(高値!AD110&gt;高値!AC110,高値!AD110&gt;高値!AB110,高値!AD110&gt;高値!AE110,高値!AD110&gt;高値!AF110),25,""))</f>
        <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7</v>
      </c>
      <c r="BF110" s="503">
        <f t="shared" si="8"/>
        <v>22</v>
      </c>
      <c r="BG110" s="503">
        <f>IF($BE110="","",INDEX(安値!$E110:$CZ110,1,$BE110+1))</f>
        <v>2141</v>
      </c>
      <c r="BH110" s="503">
        <f>IF($BF110="","",INDEX(安値!$E110:$CZ110,1,$BF110+1))</f>
        <v>1899</v>
      </c>
      <c r="BI110" s="503">
        <f>IF($BF110="","",MAX(INDEX(高値!$E110:$CZ110,1,$BE110+1):INDEX(高値!$E110:$CZ110,1,$BF110+1)))</f>
        <v>2252.5</v>
      </c>
      <c r="BJ110" s="503">
        <f>IF($BF110="","",AVERAGE(INDEX(終値!$E110:$CZ110,1,$BF110+1):INDEX(終値!$E110:$CZ110,1,$BF110+20))-2*STDEVP(INDEX(終値!$E110:$CZ110,1,$BF110+1):INDEX(終値!$E110:$CZ110,1,$BF110+20)))</f>
        <v>1871.7283665066113</v>
      </c>
      <c r="BK110" s="503">
        <f>IF($BE110="","",AVERAGE(INDEX(終値!$E110:$CZ110,1,$BE110+1):INDEX(終値!$E110:$CZ110,1,$BE110+20))-2*STDEVP(INDEX(終値!$E110:$CZ110,1,$BE110+1):INDEX(終値!$E110:$CZ110,1,$BE110+20)))</f>
        <v>1828.6437166142016</v>
      </c>
      <c r="BL110" s="503">
        <f t="shared" si="9"/>
        <v>3</v>
      </c>
      <c r="BM110" s="503">
        <f t="shared" si="10"/>
        <v>4</v>
      </c>
      <c r="BN110" s="503">
        <f t="shared" si="11"/>
        <v>10</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二番天井M▼</v>
      </c>
    </row>
    <row r="111" spans="2:72">
      <c r="B111" s="503" t="str">
        <f>IF(終値!A111="","",IF(AND(安値!G111&lt;安値!F111,安値!G111&lt;安値!E111,安値!G111&lt;安値!H111,安値!G111&lt;安値!I111),2,""))</f>
        <v/>
      </c>
      <c r="C111" s="503" t="str">
        <f>IF(終値!A111="","",IF(AND(安値!H111&lt;安値!G111,安値!H111&lt;安値!F111,安値!H111&lt;安値!I111,安値!H111&lt;安値!J111),3,""))</f>
        <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f>IF(終値!A111="","",IF(AND(安値!L111&lt;安値!K111,安値!L111&lt;安値!J111,安値!L111&lt;安値!M111,安値!L111&lt;安値!N111),7,""))</f>
        <v>7</v>
      </c>
      <c r="H111" s="503" t="str">
        <f>IF(終値!A111="","",IF(AND(安値!M111&lt;安値!L111,安値!M111&lt;安値!K111,安値!M111&lt;安値!N111,安値!M111&lt;安値!O111),8,""))</f>
        <v/>
      </c>
      <c r="I111" s="503" t="str">
        <f>IF(終値!A111="","",IF(AND(安値!N111&lt;安値!M111,安値!N111&lt;安値!L111,安値!N111&lt;安値!O111,安値!N111&lt;安値!P111),9,""))</f>
        <v/>
      </c>
      <c r="J111" s="503" t="str">
        <f>IF(終値!A111="","",IF(AND(安値!O111&lt;安値!N111,安値!O111&lt;安値!M111,安値!O111&lt;安値!P111,安値!O111&lt;安値!Q111),10,""))</f>
        <v/>
      </c>
      <c r="K111" s="503">
        <f>IF(終値!A111="","",IF(AND(安値!P111&lt;安値!O111,安値!P111&lt;安値!N111,安値!P111&lt;安値!Q111,安値!P111&lt;安値!R111),11,""))</f>
        <v>11</v>
      </c>
      <c r="L111" s="503" t="str">
        <f>IF(終値!A111="","",IF(AND(安値!Q111&lt;安値!P111,安値!Q111&lt;安値!O111,安値!Q111&lt;安値!R111,安値!Q111&lt;安値!S111),12,""))</f>
        <v/>
      </c>
      <c r="M111" s="503" t="str">
        <f>IF(終値!A111="","",IF(AND(安値!R111&lt;安値!Q111,安値!R111&lt;安値!P111,安値!R111&lt;安値!S111,安値!R111&lt;安値!T111),13,""))</f>
        <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f>IF(終値!A111="","",IF(AND(安値!AC111&lt;安値!AB111,安値!AC111&lt;安値!AA111,安値!AC111&lt;安値!AD111,安値!AC111&lt;安値!AE111),24,""))</f>
        <v>24</v>
      </c>
      <c r="Y111" s="503" t="str">
        <f>IF(終値!A111="","",IF(AND(安値!AD111&lt;安値!AC111,安値!AD111&lt;安値!AB111,安値!AD111&lt;安値!AE111,安値!AD111&lt;安値!AF111),25,""))</f>
        <v/>
      </c>
      <c r="Z111" s="503" t="str">
        <f>IF(終値!A111="","",IF(AND(安値!AE111&lt;安値!AD111,安値!AE111&lt;安値!AC111,安値!AE111&lt;安値!AF111,安値!AE111&lt;安値!AG111),26,""))</f>
        <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f>IF(終値!A111="","",IF(AND(高値!H111&gt;高値!G111,高値!H111&gt;高値!F111,高値!H111&gt;高値!I111,高値!H111&gt;高値!J111),3,""))</f>
        <v>3</v>
      </c>
      <c r="AE111" s="503" t="str">
        <f>IF(終値!A111="","",IF(AND(高値!I111&gt;高値!H111,高値!I111&gt;高値!G111,高値!I111&gt;高値!J111,高値!I111&gt;高値!K111),4,""))</f>
        <v/>
      </c>
      <c r="AF111" s="503" t="str">
        <f>IF(終値!A111="","",IF(AND(高値!J111&gt;高値!I111,高値!J111&gt;高値!H111,高値!J111&gt;高値!K111,高値!J111&gt;高値!L111),5,""))</f>
        <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f>IF(終値!A111="","",IF(AND(高値!N111&gt;高値!M111,高値!N111&gt;高値!L111,高値!N111&gt;高値!O111,高値!N111&gt;高値!P111),9,""))</f>
        <v>9</v>
      </c>
      <c r="AK111" s="503" t="str">
        <f>IF(終値!A111="","",IF(AND(高値!O111&gt;高値!N111,高値!O111&gt;高値!M111,高値!O111&gt;高値!P111,高値!O111&gt;高値!Q111),10,""))</f>
        <v/>
      </c>
      <c r="AL111" s="503" t="str">
        <f>IF(終値!A111="","",IF(AND(高値!P111&gt;高値!O111,高値!P111&gt;高値!N111,高値!P111&gt;高値!Q111,高値!P111&gt;高値!R111),11,""))</f>
        <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f>IF(終値!A111="","",IF(AND(高値!W111&gt;高値!V111,高値!W111&gt;高値!U111,高値!W111&gt;高値!X111,高値!W111&gt;高値!Y111),18,""))</f>
        <v>18</v>
      </c>
      <c r="AT111" s="503" t="str">
        <f>IF(終値!A111="","",IF(AND(高値!X111&gt;高値!W111,高値!X111&gt;高値!V111,高値!X111&gt;高値!Y111,高値!X111&gt;高値!Z111),19,""))</f>
        <v/>
      </c>
      <c r="AU111" s="503" t="str">
        <f>IF(終値!A111="","",IF(AND(高値!Y111&gt;高値!X111,高値!Y111&gt;高値!W111,高値!Y111&gt;高値!Z111,高値!Y111&gt;高値!AA111),20,""))</f>
        <v/>
      </c>
      <c r="AV111" s="503" t="str">
        <f>IF(終値!A111="","",IF(AND(高値!Z111&gt;高値!Y111,高値!Z111&gt;高値!X111,高値!Z111&gt;高値!AA111,高値!Z111&gt;高値!AB111),21,""))</f>
        <v/>
      </c>
      <c r="AW111" s="503">
        <f>IF(終値!A111="","",IF(AND(高値!AA111&gt;高値!Z111,高値!AA111&gt;高値!Y111,高値!AA111&gt;高値!AB111,高値!AA111&gt;高値!AC111),22,""))</f>
        <v>22</v>
      </c>
      <c r="AX111" s="503" t="str">
        <f>IF(終値!A111="","",IF(AND(高値!AB111&gt;高値!AA111,高値!AB111&gt;高値!Z111,高値!AB111&gt;高値!AC111,高値!AB111&gt;高値!AD111),23,""))</f>
        <v/>
      </c>
      <c r="AY111" s="503" t="str">
        <f>IF(終値!A111="","",IF(AND(高値!AC111&gt;高値!AB111,高値!AC111&gt;高値!AA111,高値!AC111&gt;高値!AD111,高値!AC111&gt;高値!AE111),24,""))</f>
        <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3</v>
      </c>
      <c r="BE111" s="503">
        <f t="shared" si="7"/>
        <v>7</v>
      </c>
      <c r="BF111" s="503">
        <f t="shared" si="8"/>
        <v>11</v>
      </c>
      <c r="BG111" s="503">
        <f>IF($BE111="","",INDEX(安値!$E111:$CZ111,1,$BE111+1))</f>
        <v>0</v>
      </c>
      <c r="BH111" s="503">
        <f>IF($BF111="","",INDEX(安値!$E111:$CZ111,1,$BF111+1))</f>
        <v>753</v>
      </c>
      <c r="BI111" s="503">
        <f>IF($BF111="","",MAX(INDEX(高値!$E111:$CZ111,1,$BE111+1):INDEX(高値!$E111:$CZ111,1,$BF111+1)))</f>
        <v>831</v>
      </c>
      <c r="BJ111" s="503">
        <f>IF($BF111="","",AVERAGE(INDEX(終値!$E111:$CZ111,1,$BF111+1):INDEX(終値!$E111:$CZ111,1,$BF111+20))-2*STDEVP(INDEX(終値!$E111:$CZ111,1,$BF111+1):INDEX(終値!$E111:$CZ111,1,$BF111+20)))</f>
        <v>797.22773513255027</v>
      </c>
      <c r="BK111" s="503">
        <f>IF($BE111="","",AVERAGE(INDEX(終値!$E111:$CZ111,1,$BE111+1):INDEX(終値!$E111:$CZ111,1,$BE111+20))-2*STDEVP(INDEX(終値!$E111:$CZ111,1,$BE111+1):INDEX(終値!$E111:$CZ111,1,$BE111+20)))</f>
        <v>766.12952744984682</v>
      </c>
      <c r="BL111" s="503">
        <f t="shared" si="9"/>
        <v>4</v>
      </c>
      <c r="BM111" s="503">
        <f t="shared" si="10"/>
        <v>3</v>
      </c>
      <c r="BN111" s="503">
        <f t="shared" si="11"/>
        <v>9</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t="str">
        <f>IF(終値!A112="","",IF(AND(安値!H112&lt;安値!G112,安値!H112&lt;安値!F112,安値!H112&lt;安値!I112,安値!H112&lt;安値!J112),3,""))</f>
        <v/>
      </c>
      <c r="D112" s="503">
        <f>IF(終値!A112="","",IF(AND(安値!I112&lt;安値!H112,安値!I112&lt;安値!G112,安値!I112&lt;安値!J112,安値!I112&lt;安値!K112),4,""))</f>
        <v>4</v>
      </c>
      <c r="E112" s="503" t="str">
        <f>IF(終値!A112="","",IF(AND(安値!J112&lt;安値!I112,安値!J112&lt;安値!H112,安値!J112&lt;安値!K112,安値!J112&lt;安値!L112),5,""))</f>
        <v/>
      </c>
      <c r="F112" s="503" t="str">
        <f>IF(終値!A112="","",IF(AND(安値!K112&lt;安値!J112,安値!K112&lt;安値!I112,安値!K112&lt;安値!L112,安値!K112&lt;安値!M112),6,""))</f>
        <v/>
      </c>
      <c r="G112" s="503">
        <f>IF(終値!A112="","",IF(AND(安値!L112&lt;安値!K112,安値!L112&lt;安値!J112,安値!L112&lt;安値!M112,安値!L112&lt;安値!N112),7,""))</f>
        <v>7</v>
      </c>
      <c r="H112" s="503" t="str">
        <f>IF(終値!A112="","",IF(AND(安値!M112&lt;安値!L112,安値!M112&lt;安値!K112,安値!M112&lt;安値!N112,安値!M112&lt;安値!O112),8,""))</f>
        <v/>
      </c>
      <c r="I112" s="503" t="str">
        <f>IF(終値!A112="","",IF(AND(安値!N112&lt;安値!M112,安値!N112&lt;安値!L112,安値!N112&lt;安値!O112,安値!N112&lt;安値!P112),9,""))</f>
        <v/>
      </c>
      <c r="J112" s="503" t="str">
        <f>IF(終値!A112="","",IF(AND(安値!O112&lt;安値!N112,安値!O112&lt;安値!M112,安値!O112&lt;安値!P112,安値!O112&lt;安値!Q112),10,""))</f>
        <v/>
      </c>
      <c r="K112" s="503">
        <f>IF(終値!A112="","",IF(AND(安値!P112&lt;安値!O112,安値!P112&lt;安値!N112,安値!P112&lt;安値!Q112,安値!P112&lt;安値!R112),11,""))</f>
        <v>11</v>
      </c>
      <c r="L112" s="503" t="str">
        <f>IF(終値!A112="","",IF(AND(安値!Q112&lt;安値!P112,安値!Q112&lt;安値!O112,安値!Q112&lt;安値!R112,安値!Q112&lt;安値!S112),12,""))</f>
        <v/>
      </c>
      <c r="M112" s="503" t="str">
        <f>IF(終値!A112="","",IF(AND(安値!R112&lt;安値!Q112,安値!R112&lt;安値!P112,安値!R112&lt;安値!S112,安値!R112&lt;安値!T112),13,""))</f>
        <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f>IF(終値!A112="","",IF(AND(安値!V112&lt;安値!U112,安値!V112&lt;安値!T112,安値!V112&lt;安値!W112,安値!V112&lt;安値!X112),17,""))</f>
        <v>17</v>
      </c>
      <c r="R112" s="503" t="str">
        <f>IF(終値!A112="","",IF(AND(安値!W112&lt;安値!V112,安値!W112&lt;安値!U112,安値!W112&lt;安値!X112,安値!W112&lt;安値!Y112),18,""))</f>
        <v/>
      </c>
      <c r="S112" s="503" t="str">
        <f>IF(終値!A112="","",IF(AND(安値!X112&lt;安値!W112,安値!X112&lt;安値!V112,安値!X112&lt;安値!Y112,安値!X112&lt;安値!Z112),19,""))</f>
        <v/>
      </c>
      <c r="T112" s="503" t="str">
        <f>IF(終値!A112="","",IF(AND(安値!Y112&lt;安値!X112,安値!Y112&lt;安値!W112,安値!Y112&lt;安値!Z112,安値!Y112&lt;安値!AA112),20,""))</f>
        <v/>
      </c>
      <c r="U112" s="503">
        <f>IF(終値!A112="","",IF(AND(安値!Z112&lt;安値!Y112,安値!Z112&lt;安値!X112,安値!Z112&lt;安値!AA112,安値!Z112&lt;安値!AB112),21,""))</f>
        <v>21</v>
      </c>
      <c r="V112" s="503" t="str">
        <f>IF(終値!A112="","",IF(AND(安値!AA112&lt;安値!Z112,安値!AA112&lt;安値!Y112,安値!AA112&lt;安値!AB112,安値!AA112&lt;安値!AC112),22,""))</f>
        <v/>
      </c>
      <c r="W112" s="503" t="str">
        <f>IF(終値!A112="","",IF(AND(安値!AB112&lt;安値!AA112,安値!AB112&lt;安値!Z112,安値!AB112&lt;安値!AC112,安値!AB112&lt;安値!AD112),23,""))</f>
        <v/>
      </c>
      <c r="X112" s="503" t="str">
        <f>IF(終値!A112="","",IF(AND(安値!AC112&lt;安値!AB112,安値!AC112&lt;安値!AA112,安値!AC112&lt;安値!AD112,安値!AC112&lt;安値!AE112),24,""))</f>
        <v/>
      </c>
      <c r="Y112" s="503">
        <f>IF(終値!A112="","",IF(AND(安値!AD112&lt;安値!AC112,安値!AD112&lt;安値!AB112,安値!AD112&lt;安値!AE112,安値!AD112&lt;安値!AF112),25,""))</f>
        <v>25</v>
      </c>
      <c r="Z112" s="503" t="str">
        <f>IF(終値!A112="","",IF(AND(安値!AE112&lt;安値!AD112,安値!AE112&lt;安値!AC112,安値!AE112&lt;安値!AF112,安値!AE112&lt;安値!AG112),26,""))</f>
        <v/>
      </c>
      <c r="AA112" s="503" t="str">
        <f>IF(終値!A112="","",IF(AND(安値!AF112&lt;安値!AE112,安値!AF112&lt;安値!AD112,安値!AF112&lt;安値!AG112,安値!AF112&lt;安値!AH112),27,""))</f>
        <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f>IF(終値!A112="","",IF(AND(高値!H112&gt;高値!G112,高値!H112&gt;高値!F112,高値!H112&gt;高値!I112,高値!H112&gt;高値!J112),3,""))</f>
        <v>3</v>
      </c>
      <c r="AE112" s="503" t="str">
        <f>IF(終値!A112="","",IF(AND(高値!I112&gt;高値!H112,高値!I112&gt;高値!G112,高値!I112&gt;高値!J112,高値!I112&gt;高値!K112),4,""))</f>
        <v/>
      </c>
      <c r="AF112" s="503" t="str">
        <f>IF(終値!A112="","",IF(AND(高値!J112&gt;高値!I112,高値!J112&gt;高値!H112,高値!J112&gt;高値!K112,高値!J112&gt;高値!L112),5,""))</f>
        <v/>
      </c>
      <c r="AG112" s="503">
        <f>IF(終値!A112="","",IF(AND(高値!K112&gt;高値!J112,高値!K112&gt;高値!I112,高値!K112&gt;高値!L112,高値!K112&gt;高値!M112),6,""))</f>
        <v>6</v>
      </c>
      <c r="AH112" s="503" t="str">
        <f>IF(終値!A112="","",IF(AND(高値!L112&gt;高値!K112,高値!L112&gt;高値!J112,高値!L112&gt;高値!M112,高値!L112&gt;高値!N112),7,""))</f>
        <v/>
      </c>
      <c r="AI112" s="503" t="str">
        <f>IF(終値!A112="","",IF(AND(高値!M112&gt;高値!L112,高値!M112&gt;高値!K112,高値!M112&gt;高値!N112,高値!M112&gt;高値!O112),8,""))</f>
        <v/>
      </c>
      <c r="AJ112" s="503">
        <f>IF(終値!A112="","",IF(AND(高値!N112&gt;高値!M112,高値!N112&gt;高値!L112,高値!N112&gt;高値!O112,高値!N112&gt;高値!P112),9,""))</f>
        <v>9</v>
      </c>
      <c r="AK112" s="503" t="str">
        <f>IF(終値!A112="","",IF(AND(高値!O112&gt;高値!N112,高値!O112&gt;高値!M112,高値!O112&gt;高値!P112,高値!O112&gt;高値!Q112),10,""))</f>
        <v/>
      </c>
      <c r="AL112" s="503" t="str">
        <f>IF(終値!A112="","",IF(AND(高値!P112&gt;高値!O112,高値!P112&gt;高値!N112,高値!P112&gt;高値!Q112,高値!P112&gt;高値!R112),11,""))</f>
        <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f>IF(終値!A112="","",IF(AND(高値!U112&gt;高値!T112,高値!U112&gt;高値!S112,高値!U112&gt;高値!V112,高値!U112&gt;高値!W112),16,""))</f>
        <v>16</v>
      </c>
      <c r="AR112" s="503" t="str">
        <f>IF(終値!A112="","",IF(AND(高値!V112&gt;高値!U112,高値!V112&gt;高値!T112,高値!V112&gt;高値!W112,高値!V112&gt;高値!X112),17,""))</f>
        <v/>
      </c>
      <c r="AS112" s="503" t="str">
        <f>IF(終値!A112="","",IF(AND(高値!W112&gt;高値!V112,高値!W112&gt;高値!U112,高値!W112&gt;高値!X112,高値!W112&gt;高値!Y112),18,""))</f>
        <v/>
      </c>
      <c r="AT112" s="503">
        <f>IF(終値!A112="","",IF(AND(高値!X112&gt;高値!W112,高値!X112&gt;高値!V112,高値!X112&gt;高値!Y112,高値!X112&gt;高値!Z112),19,""))</f>
        <v>19</v>
      </c>
      <c r="AU112" s="503" t="str">
        <f>IF(終値!A112="","",IF(AND(高値!Y112&gt;高値!X112,高値!Y112&gt;高値!W112,高値!Y112&gt;高値!Z112,高値!Y112&gt;高値!AA112),20,""))</f>
        <v/>
      </c>
      <c r="AV112" s="503" t="str">
        <f>IF(終値!A112="","",IF(AND(高値!Z112&gt;高値!Y112,高値!Z112&gt;高値!X112,高値!Z112&gt;高値!AA112,高値!Z112&gt;高値!AB112),21,""))</f>
        <v/>
      </c>
      <c r="AW112" s="503" t="str">
        <f>IF(終値!A112="","",IF(AND(高値!AA112&gt;高値!Z112,高値!AA112&gt;高値!Y112,高値!AA112&gt;高値!AB112,高値!AA112&gt;高値!AC112),22,""))</f>
        <v/>
      </c>
      <c r="AX112" s="503">
        <f>IF(終値!A112="","",IF(AND(高値!AB112&gt;高値!AA112,高値!AB112&gt;高値!Z112,高値!AB112&gt;高値!AC112,高値!AB112&gt;高値!AD112),23,""))</f>
        <v>23</v>
      </c>
      <c r="AY112" s="503" t="str">
        <f>IF(終値!A112="","",IF(AND(高値!AC112&gt;高値!AB112,高値!AC112&gt;高値!AA112,高値!AC112&gt;高値!AD112,高値!AC112&gt;高値!AE112),24,""))</f>
        <v/>
      </c>
      <c r="AZ112" s="503" t="str">
        <f>IF(終値!A112="","",IF(AND(高値!AD112&gt;高値!AC112,高値!AD112&gt;高値!AB112,高値!AD112&gt;高値!AE112,高値!AD112&gt;高値!AF112),25,""))</f>
        <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6</v>
      </c>
      <c r="BE112" s="503">
        <f t="shared" si="7"/>
        <v>4</v>
      </c>
      <c r="BF112" s="503">
        <f t="shared" si="8"/>
        <v>7</v>
      </c>
      <c r="BG112" s="503">
        <f>IF($BE112="","",INDEX(安値!$E112:$CZ112,1,$BE112+1))</f>
        <v>397</v>
      </c>
      <c r="BH112" s="503">
        <f>IF($BF112="","",INDEX(安値!$E112:$CZ112,1,$BF112+1))</f>
        <v>0</v>
      </c>
      <c r="BI112" s="503">
        <f>IF($BF112="","",MAX(INDEX(高値!$E112:$CZ112,1,$BE112+1):INDEX(高値!$E112:$CZ112,1,$BF112+1)))</f>
        <v>420</v>
      </c>
      <c r="BJ112" s="503">
        <f>IF($BF112="","",AVERAGE(INDEX(終値!$E112:$CZ112,1,$BF112+1):INDEX(終値!$E112:$CZ112,1,$BF112+20))-2*STDEVP(INDEX(終値!$E112:$CZ112,1,$BF112+1):INDEX(終値!$E112:$CZ112,1,$BF112+20)))</f>
        <v>398.33333708362414</v>
      </c>
      <c r="BK112" s="503">
        <f>IF($BE112="","",AVERAGE(INDEX(終値!$E112:$CZ112,1,$BE112+1):INDEX(終値!$E112:$CZ112,1,$BE112+20))-2*STDEVP(INDEX(終値!$E112:$CZ112,1,$BE112+1):INDEX(終値!$E112:$CZ112,1,$BE112+20)))</f>
        <v>387.95515759683519</v>
      </c>
      <c r="BL112" s="503">
        <f t="shared" si="9"/>
        <v>6</v>
      </c>
      <c r="BM112" s="503">
        <f t="shared" si="10"/>
        <v>3</v>
      </c>
      <c r="BN112" s="503">
        <f t="shared" si="11"/>
        <v>6</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v>
      </c>
    </row>
    <row r="113" spans="2:72">
      <c r="B113" s="503" t="str">
        <f>IF(終値!A113="","",IF(AND(安値!G113&lt;安値!F113,安値!G113&lt;安値!E113,安値!G113&lt;安値!H113,安値!G113&lt;安値!I113),2,""))</f>
        <v/>
      </c>
      <c r="C113" s="503" t="str">
        <f>IF(終値!A113="","",IF(AND(安値!H113&lt;安値!G113,安値!H113&lt;安値!F113,安値!H113&lt;安値!I113,安値!H113&lt;安値!J113),3,""))</f>
        <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f>IF(終値!A113="","",IF(AND(安値!L113&lt;安値!K113,安値!L113&lt;安値!J113,安値!L113&lt;安値!M113,安値!L113&lt;安値!N113),7,""))</f>
        <v>7</v>
      </c>
      <c r="H113" s="503" t="str">
        <f>IF(終値!A113="","",IF(AND(安値!M113&lt;安値!L113,安値!M113&lt;安値!K113,安値!M113&lt;安値!N113,安値!M113&lt;安値!O113),8,""))</f>
        <v/>
      </c>
      <c r="I113" s="503" t="str">
        <f>IF(終値!A113="","",IF(AND(安値!N113&lt;安値!M113,安値!N113&lt;安値!L113,安値!N113&lt;安値!O113,安値!N113&lt;安値!P113),9,""))</f>
        <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f>IF(終値!A113="","",IF(AND(安値!AF113&lt;安値!AE113,安値!AF113&lt;安値!AD113,安値!AF113&lt;安値!AG113,安値!AF113&lt;安値!AH113),27,""))</f>
        <v>27</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f>IF(終値!A113="","",IF(AND(高値!H113&gt;高値!G113,高値!H113&gt;高値!F113,高値!H113&gt;高値!I113,高値!H113&gt;高値!J113),3,""))</f>
        <v>3</v>
      </c>
      <c r="AE113" s="503" t="str">
        <f>IF(終値!A113="","",IF(AND(高値!I113&gt;高値!H113,高値!I113&gt;高値!G113,高値!I113&gt;高値!J113,高値!I113&gt;高値!K113),4,""))</f>
        <v/>
      </c>
      <c r="AF113" s="503" t="str">
        <f>IF(終値!A113="","",IF(AND(高値!J113&gt;高値!I113,高値!J113&gt;高値!H113,高値!J113&gt;高値!K113,高値!J113&gt;高値!L113),5,""))</f>
        <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f>IF(終値!A113="","",IF(AND(高値!O113&gt;高値!N113,高値!O113&gt;高値!M113,高値!O113&gt;高値!P113,高値!O113&gt;高値!Q113),10,""))</f>
        <v>10</v>
      </c>
      <c r="AL113" s="503" t="str">
        <f>IF(終値!A113="","",IF(AND(高値!P113&gt;高値!O113,高値!P113&gt;高値!N113,高値!P113&gt;高値!Q113,高値!P113&gt;高値!R113),11,""))</f>
        <v/>
      </c>
      <c r="AM113" s="503" t="str">
        <f>IF(終値!A113="","",IF(AND(高値!Q113&gt;高値!P113,高値!Q113&gt;高値!O113,高値!Q113&gt;高値!R113,高値!Q113&gt;高値!S113),12,""))</f>
        <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f>IF(終値!A113="","",IF(AND(高値!AC113&gt;高値!AB113,高値!AC113&gt;高値!AA113,高値!AC113&gt;高値!AD113,高値!AC113&gt;高値!AE113),24,""))</f>
        <v>24</v>
      </c>
      <c r="AZ113" s="503" t="str">
        <f>IF(終値!A113="","",IF(AND(高値!AD113&gt;高値!AC113,高値!AD113&gt;高値!AB113,高値!AD113&gt;高値!AE113,高値!AD113&gt;高値!AF113),25,""))</f>
        <v/>
      </c>
      <c r="BA113" s="503" t="str">
        <f>IF(終値!A113="","",IF(AND(高値!AE113&gt;高値!AD113,高値!AE113&gt;高値!AC113,高値!AE113&gt;高値!AF113,高値!AE113&gt;高値!AG113),26,""))</f>
        <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7</v>
      </c>
      <c r="BF113" s="503">
        <f t="shared" si="8"/>
        <v>27</v>
      </c>
      <c r="BG113" s="503">
        <f>IF($BE113="","",INDEX(安値!$E113:$CZ113,1,$BE113+1))</f>
        <v>3860</v>
      </c>
      <c r="BH113" s="503">
        <f>IF($BF113="","",INDEX(安値!$E113:$CZ113,1,$BF113+1))</f>
        <v>3183</v>
      </c>
      <c r="BI113" s="503">
        <f>IF($BF113="","",MAX(INDEX(高値!$E113:$CZ113,1,$BE113+1):INDEX(高値!$E113:$CZ113,1,$BF113+1)))</f>
        <v>4127</v>
      </c>
      <c r="BJ113" s="503">
        <f>IF($BF113="","",AVERAGE(INDEX(終値!$E113:$CZ113,1,$BF113+1):INDEX(終値!$E113:$CZ113,1,$BF113+20))-2*STDEVP(INDEX(終値!$E113:$CZ113,1,$BF113+1):INDEX(終値!$E113:$CZ113,1,$BF113+20)))</f>
        <v>2966.7207287459728</v>
      </c>
      <c r="BK113" s="503">
        <f>IF($BE113="","",AVERAGE(INDEX(終値!$E113:$CZ113,1,$BE113+1):INDEX(終値!$E113:$CZ113,1,$BE113+20))-2*STDEVP(INDEX(終値!$E113:$CZ113,1,$BE113+1):INDEX(終値!$E113:$CZ113,1,$BE113+20)))</f>
        <v>3176.1037215776614</v>
      </c>
      <c r="BL113" s="503">
        <f t="shared" si="9"/>
        <v>3</v>
      </c>
      <c r="BM113" s="503">
        <f t="shared" si="10"/>
        <v>3</v>
      </c>
      <c r="BN113" s="503">
        <f t="shared" si="11"/>
        <v>10</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二番天井M形成</v>
      </c>
    </row>
    <row r="114" spans="2:72">
      <c r="B114" s="503" t="str">
        <f>IF(終値!A114="","",IF(AND(安値!G114&lt;安値!F114,安値!G114&lt;安値!E114,安値!G114&lt;安値!H114,安値!G114&lt;安値!I114),2,""))</f>
        <v/>
      </c>
      <c r="C114" s="503" t="str">
        <f>IF(終値!A114="","",IF(AND(安値!H114&lt;安値!G114,安値!H114&lt;安値!F114,安値!H114&lt;安値!I114,安値!H114&lt;安値!J114),3,""))</f>
        <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f>IF(終値!A114="","",IF(AND(安値!W114&lt;安値!V114,安値!W114&lt;安値!U114,安値!W114&lt;安値!X114,安値!W114&lt;安値!Y114),18,""))</f>
        <v>18</v>
      </c>
      <c r="S114" s="503" t="str">
        <f>IF(終値!A114="","",IF(AND(安値!X114&lt;安値!W114,安値!X114&lt;安値!V114,安値!X114&lt;安値!Y114,安値!X114&lt;安値!Z114),19,""))</f>
        <v/>
      </c>
      <c r="T114" s="503" t="str">
        <f>IF(終値!A114="","",IF(AND(安値!Y114&lt;安値!X114,安値!Y114&lt;安値!W114,安値!Y114&lt;安値!Z114,安値!Y114&lt;安値!AA114),20,""))</f>
        <v/>
      </c>
      <c r="U114" s="503" t="str">
        <f>IF(終値!A114="","",IF(AND(安値!Z114&lt;安値!Y114,安値!Z114&lt;安値!X114,安値!Z114&lt;安値!AA114,安値!Z114&lt;安値!AB114),21,""))</f>
        <v/>
      </c>
      <c r="V114" s="503">
        <f>IF(終値!A114="","",IF(AND(安値!AA114&lt;安値!Z114,安値!AA114&lt;安値!Y114,安値!AA114&lt;安値!AB114,安値!AA114&lt;安値!AC114),22,""))</f>
        <v>22</v>
      </c>
      <c r="W114" s="503" t="str">
        <f>IF(終値!A114="","",IF(AND(安値!AB114&lt;安値!AA114,安値!AB114&lt;安値!Z114,安値!AB114&lt;安値!AC114,安値!AB114&lt;安値!AD114),23,""))</f>
        <v/>
      </c>
      <c r="X114" s="503" t="str">
        <f>IF(終値!A114="","",IF(AND(安値!AC114&lt;安値!AB114,安値!AC114&lt;安値!AA114,安値!AC114&lt;安値!AD114,安値!AC114&lt;安値!AE114),24,""))</f>
        <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f>IF(終値!A114="","",IF(AND(安値!AF114&lt;安値!AE114,安値!AF114&lt;安値!AD114,安値!AF114&lt;安値!AG114,安値!AF114&lt;安値!AH114),27,""))</f>
        <v>27</v>
      </c>
      <c r="AB114" s="503" t="str">
        <f>IF(終値!A114="","",IF(AND(安値!AG114&lt;安値!AF114,安値!AG114&lt;安値!AE114,安値!AG114&lt;安値!AH114,安値!AG114&lt;安値!AI114),28,""))</f>
        <v/>
      </c>
      <c r="AC114" s="503">
        <f>IF(終値!A114="","",IF(AND(高値!G114&gt;高値!F114,高値!G114&gt;高値!E114,高値!G114&gt;高値!H114,高値!G114&gt;高値!I114),2,""))</f>
        <v>2</v>
      </c>
      <c r="AD114" s="503" t="str">
        <f>IF(終値!A114="","",IF(AND(高値!H114&gt;高値!G114,高値!H114&gt;高値!F114,高値!H114&gt;高値!I114,高値!H114&gt;高値!J114),3,""))</f>
        <v/>
      </c>
      <c r="AE114" s="503" t="str">
        <f>IF(終値!A114="","",IF(AND(高値!I114&gt;高値!H114,高値!I114&gt;高値!G114,高値!I114&gt;高値!J114,高値!I114&gt;高値!K114),4,""))</f>
        <v/>
      </c>
      <c r="AF114" s="503" t="str">
        <f>IF(終値!A114="","",IF(AND(高値!J114&gt;高値!I114,高値!J114&gt;高値!H114,高値!J114&gt;高値!K114,高値!J114&gt;高値!L114),5,""))</f>
        <v/>
      </c>
      <c r="AG114" s="503">
        <f>IF(終値!A114="","",IF(AND(高値!K114&gt;高値!J114,高値!K114&gt;高値!I114,高値!K114&gt;高値!L114,高値!K114&gt;高値!M114),6,""))</f>
        <v>6</v>
      </c>
      <c r="AH114" s="503" t="str">
        <f>IF(終値!A114="","",IF(AND(高値!L114&gt;高値!K114,高値!L114&gt;高値!J114,高値!L114&gt;高値!M114,高値!L114&gt;高値!N114),7,""))</f>
        <v/>
      </c>
      <c r="AI114" s="503" t="str">
        <f>IF(終値!A114="","",IF(AND(高値!M114&gt;高値!L114,高値!M114&gt;高値!K114,高値!M114&gt;高値!N114,高値!M114&gt;高値!O114),8,""))</f>
        <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f>IF(終値!A114="","",IF(AND(高値!AE114&gt;高値!AD114,高値!AE114&gt;高値!AC114,高値!AE114&gt;高値!AF114,高値!AE114&gt;高値!AG114),26,""))</f>
        <v>26</v>
      </c>
      <c r="BB114" s="503" t="str">
        <f>IF(終値!A114="","",IF(AND(高値!AF114&gt;高値!AE114,高値!AF114&gt;高値!AD114,高値!AF114&gt;高値!AG114,高値!AF114&gt;高値!AH114),27,""))</f>
        <v/>
      </c>
      <c r="BC114" s="503" t="str">
        <f>IF(終値!A114="","",IF(AND(高値!AG114&gt;高値!AF114,高値!AG114&gt;高値!AE114,高値!AG114&gt;高値!AH114,高値!AG114&gt;高値!AI114),28,""))</f>
        <v/>
      </c>
      <c r="BD114" s="503">
        <f t="shared" si="6"/>
        <v>3</v>
      </c>
      <c r="BE114" s="503">
        <f t="shared" si="7"/>
        <v>18</v>
      </c>
      <c r="BF114" s="503">
        <f t="shared" si="8"/>
        <v>22</v>
      </c>
      <c r="BG114" s="503">
        <f>IF($BE114="","",INDEX(安値!$E114:$CZ114,1,$BE114+1))</f>
        <v>456</v>
      </c>
      <c r="BH114" s="503">
        <f>IF($BF114="","",INDEX(安値!$E114:$CZ114,1,$BF114+1))</f>
        <v>442.8</v>
      </c>
      <c r="BI114" s="503">
        <f>IF($BF114="","",MAX(INDEX(高値!$E114:$CZ114,1,$BE114+1):INDEX(高値!$E114:$CZ114,1,$BF114+1)))</f>
        <v>475.5</v>
      </c>
      <c r="BJ114" s="503">
        <f>IF($BF114="","",AVERAGE(INDEX(終値!$E114:$CZ114,1,$BF114+1):INDEX(終値!$E114:$CZ114,1,$BF114+20))-2*STDEVP(INDEX(終値!$E114:$CZ114,1,$BF114+1):INDEX(終値!$E114:$CZ114,1,$BF114+20)))</f>
        <v>436.64051280244212</v>
      </c>
      <c r="BK114" s="503">
        <f>IF($BE114="","",AVERAGE(INDEX(終値!$E114:$CZ114,1,$BE114+1):INDEX(終値!$E114:$CZ114,1,$BE114+20))-2*STDEVP(INDEX(終値!$E114:$CZ114,1,$BE114+1):INDEX(終値!$E114:$CZ114,1,$BE114+20)))</f>
        <v>435.94587245105566</v>
      </c>
      <c r="BL114" s="503">
        <f t="shared" si="9"/>
        <v>3</v>
      </c>
      <c r="BM114" s="503">
        <f t="shared" si="10"/>
        <v>2</v>
      </c>
      <c r="BN114" s="503">
        <f t="shared" si="11"/>
        <v>6</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二番底W▲</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f>IF(終値!A115="","",IF(AND(安値!S115&lt;安値!R115,安値!S115&lt;安値!Q115,安値!S115&lt;安値!T115,安値!S115&lt;安値!U115),14,""))</f>
        <v>14</v>
      </c>
      <c r="O115" s="503" t="str">
        <f>IF(終値!A115="","",IF(AND(安値!T115&lt;安値!S115,安値!T115&lt;安値!R115,安値!T115&lt;安値!U115,安値!T115&lt;安値!V115),15,""))</f>
        <v/>
      </c>
      <c r="P115" s="503" t="str">
        <f>IF(終値!A115="","",IF(AND(安値!U115&lt;安値!T115,安値!U115&lt;安値!S115,安値!U115&lt;安値!V115,安値!U115&lt;安値!W115),16,""))</f>
        <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f>IF(終値!A115="","",IF(AND(安値!AA115&lt;安値!Z115,安値!AA115&lt;安値!Y115,安値!AA115&lt;安値!AB115,安値!AA115&lt;安値!AC115),22,""))</f>
        <v>22</v>
      </c>
      <c r="W115" s="503" t="str">
        <f>IF(終値!A115="","",IF(AND(安値!AB115&lt;安値!AA115,安値!AB115&lt;安値!Z115,安値!AB115&lt;安値!AC115,安値!AB115&lt;安値!AD115),23,""))</f>
        <v/>
      </c>
      <c r="X115" s="503" t="str">
        <f>IF(終値!A115="","",IF(AND(安値!AC115&lt;安値!AB115,安値!AC115&lt;安値!AA115,安値!AC115&lt;安値!AD115,安値!AC115&lt;安値!AE115),24,""))</f>
        <v/>
      </c>
      <c r="Y115" s="503">
        <f>IF(終値!A115="","",IF(AND(安値!AD115&lt;安値!AC115,安値!AD115&lt;安値!AB115,安値!AD115&lt;安値!AE115,安値!AD115&lt;安値!AF115),25,""))</f>
        <v>25</v>
      </c>
      <c r="Z115" s="503" t="str">
        <f>IF(終値!A115="","",IF(AND(安値!AE115&lt;安値!AD115,安値!AE115&lt;安値!AC115,安値!AE115&lt;安値!AF115,安値!AE115&lt;安値!AG115),26,""))</f>
        <v/>
      </c>
      <c r="AA115" s="503" t="str">
        <f>IF(終値!A115="","",IF(AND(安値!AF115&lt;安値!AE115,安値!AF115&lt;安値!AD115,安値!AF115&lt;安値!AG115,安値!AF115&lt;安値!AH115),27,""))</f>
        <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f>IF(終値!A115="","",IF(AND(高値!H115&gt;高値!G115,高値!H115&gt;高値!F115,高値!H115&gt;高値!I115,高値!H115&gt;高値!J115),3,""))</f>
        <v>3</v>
      </c>
      <c r="AE115" s="503" t="str">
        <f>IF(終値!A115="","",IF(AND(高値!I115&gt;高値!H115,高値!I115&gt;高値!G115,高値!I115&gt;高値!J115,高値!I115&gt;高値!K115),4,""))</f>
        <v/>
      </c>
      <c r="AF115" s="503" t="str">
        <f>IF(終値!A115="","",IF(AND(高値!J115&gt;高値!I115,高値!J115&gt;高値!H115,高値!J115&gt;高値!K115,高値!J115&gt;高値!L115),5,""))</f>
        <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f>IF(終値!A115="","",IF(AND(高値!O115&gt;高値!N115,高値!O115&gt;高値!M115,高値!O115&gt;高値!P115,高値!O115&gt;高値!Q115),10,""))</f>
        <v>10</v>
      </c>
      <c r="AL115" s="503" t="str">
        <f>IF(終値!A115="","",IF(AND(高値!P115&gt;高値!O115,高値!P115&gt;高値!N115,高値!P115&gt;高値!Q115,高値!P115&gt;高値!R115),11,""))</f>
        <v/>
      </c>
      <c r="AM115" s="503" t="str">
        <f>IF(終値!A115="","",IF(AND(高値!Q115&gt;高値!P115,高値!Q115&gt;高値!O115,高値!Q115&gt;高値!R115,高値!Q115&gt;高値!S115),12,""))</f>
        <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f>IF(終値!A115="","",IF(AND(高値!X115&gt;高値!W115,高値!X115&gt;高値!V115,高値!X115&gt;高値!Y115,高値!X115&gt;高値!Z115),19,""))</f>
        <v>19</v>
      </c>
      <c r="AU115" s="503" t="str">
        <f>IF(終値!A115="","",IF(AND(高値!Y115&gt;高値!X115,高値!Y115&gt;高値!W115,高値!Y115&gt;高値!Z115,高値!Y115&gt;高値!AA115),20,""))</f>
        <v/>
      </c>
      <c r="AV115" s="503" t="str">
        <f>IF(終値!A115="","",IF(AND(高値!Z115&gt;高値!Y115,高値!Z115&gt;高値!X115,高値!Z115&gt;高値!AA115,高値!Z115&gt;高値!AB115),21,""))</f>
        <v/>
      </c>
      <c r="AW115" s="503" t="str">
        <f>IF(終値!A115="","",IF(AND(高値!AA115&gt;高値!Z115,高値!AA115&gt;高値!Y115,高値!AA115&gt;高値!AB115,高値!AA115&gt;高値!AC115),22,""))</f>
        <v/>
      </c>
      <c r="AX115" s="503">
        <f>IF(終値!A115="","",IF(AND(高値!AB115&gt;高値!AA115,高値!AB115&gt;高値!Z115,高値!AB115&gt;高値!AC115,高値!AB115&gt;高値!AD115),23,""))</f>
        <v>23</v>
      </c>
      <c r="AY115" s="503" t="str">
        <f>IF(終値!A115="","",IF(AND(高値!AC115&gt;高値!AB115,高値!AC115&gt;高値!AA115,高値!AC115&gt;高値!AD115,高値!AC115&gt;高値!AE115),24,""))</f>
        <v/>
      </c>
      <c r="AZ115" s="503" t="str">
        <f>IF(終値!A115="","",IF(AND(高値!AD115&gt;高値!AC115,高値!AD115&gt;高値!AB115,高値!AD115&gt;高値!AE115,高値!AD115&gt;高値!AF115),25,""))</f>
        <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14</v>
      </c>
      <c r="BF115" s="503">
        <f t="shared" si="8"/>
        <v>22</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3</v>
      </c>
      <c r="BN115" s="503">
        <f t="shared" si="11"/>
        <v>10</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t="str">
        <f>IF(終値!A116="","",IF(AND(安値!H116&lt;安値!G116,安値!H116&lt;安値!F116,安値!H116&lt;安値!I116,安値!H116&lt;安値!J116),3,""))</f>
        <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f>IF(終値!A116="","",IF(AND(安値!L116&lt;安値!K116,安値!L116&lt;安値!J116,安値!L116&lt;安値!M116,安値!L116&lt;安値!N116),7,""))</f>
        <v>7</v>
      </c>
      <c r="H116" s="503" t="str">
        <f>IF(終値!A116="","",IF(AND(安値!M116&lt;安値!L116,安値!M116&lt;安値!K116,安値!M116&lt;安値!N116,安値!M116&lt;安値!O116),8,""))</f>
        <v/>
      </c>
      <c r="I116" s="503" t="str">
        <f>IF(終値!A116="","",IF(AND(安値!N116&lt;安値!M116,安値!N116&lt;安値!L116,安値!N116&lt;安値!O116,安値!N116&lt;安値!P116),9,""))</f>
        <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f>IF(終値!A116="","",IF(AND(安値!R116&lt;安値!Q116,安値!R116&lt;安値!P116,安値!R116&lt;安値!S116,安値!R116&lt;安値!T116),13,""))</f>
        <v>13</v>
      </c>
      <c r="N116" s="503" t="str">
        <f>IF(終値!A116="","",IF(AND(安値!S116&lt;安値!R116,安値!S116&lt;安値!Q116,安値!S116&lt;安値!T116,安値!S116&lt;安値!U116),14,""))</f>
        <v/>
      </c>
      <c r="O116" s="503" t="str">
        <f>IF(終値!A116="","",IF(AND(安値!T116&lt;安値!S116,安値!T116&lt;安値!R116,安値!T116&lt;安値!U116,安値!T116&lt;安値!V116),15,""))</f>
        <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f>IF(終値!A116="","",IF(AND(安値!AA116&lt;安値!Z116,安値!AA116&lt;安値!Y116,安値!AA116&lt;安値!AB116,安値!AA116&lt;安値!AC116),22,""))</f>
        <v>22</v>
      </c>
      <c r="W116" s="503" t="str">
        <f>IF(終値!A116="","",IF(AND(安値!AB116&lt;安値!AA116,安値!AB116&lt;安値!Z116,安値!AB116&lt;安値!AC116,安値!AB116&lt;安値!AD116),23,""))</f>
        <v/>
      </c>
      <c r="X116" s="503" t="str">
        <f>IF(終値!A116="","",IF(AND(安値!AC116&lt;安値!AB116,安値!AC116&lt;安値!AA116,安値!AC116&lt;安値!AD116,安値!AC116&lt;安値!AE116),24,""))</f>
        <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f>IF(終値!A116="","",IF(AND(安値!AF116&lt;安値!AE116,安値!AF116&lt;安値!AD116,安値!AF116&lt;安値!AG116,安値!AF116&lt;安値!AH116),27,""))</f>
        <v>27</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f>IF(終値!A116="","",IF(AND(高値!I116&gt;高値!H116,高値!I116&gt;高値!G116,高値!I116&gt;高値!J116,高値!I116&gt;高値!K116),4,""))</f>
        <v>4</v>
      </c>
      <c r="AF116" s="503" t="str">
        <f>IF(終値!A116="","",IF(AND(高値!J116&gt;高値!I116,高値!J116&gt;高値!H116,高値!J116&gt;高値!K116,高値!J116&gt;高値!L116),5,""))</f>
        <v/>
      </c>
      <c r="AG116" s="503" t="str">
        <f>IF(終値!A116="","",IF(AND(高値!K116&gt;高値!J116,高値!K116&gt;高値!I116,高値!K116&gt;高値!L116,高値!K116&gt;高値!M116),6,""))</f>
        <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f>IF(終値!A116="","",IF(AND(高値!O116&gt;高値!N116,高値!O116&gt;高値!M116,高値!O116&gt;高値!P116,高値!O116&gt;高値!Q116),10,""))</f>
        <v>10</v>
      </c>
      <c r="AL116" s="503" t="str">
        <f>IF(終値!A116="","",IF(AND(高値!P116&gt;高値!O116,高値!P116&gt;高値!N116,高値!P116&gt;高値!Q116,高値!P116&gt;高値!R116),11,""))</f>
        <v/>
      </c>
      <c r="AM116" s="503" t="str">
        <f>IF(終値!A116="","",IF(AND(高値!Q116&gt;高値!P116,高値!Q116&gt;高値!O116,高値!Q116&gt;高値!R116,高値!Q116&gt;高値!S116),12,""))</f>
        <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f>IF(終値!A116="","",IF(AND(高値!V116&gt;高値!U116,高値!V116&gt;高値!T116,高値!V116&gt;高値!W116,高値!V116&gt;高値!X116),17,""))</f>
        <v>17</v>
      </c>
      <c r="AS116" s="503" t="str">
        <f>IF(終値!A116="","",IF(AND(高値!W116&gt;高値!V116,高値!W116&gt;高値!U116,高値!W116&gt;高値!X116,高値!W116&gt;高値!Y116),18,""))</f>
        <v/>
      </c>
      <c r="AT116" s="503" t="str">
        <f>IF(終値!A116="","",IF(AND(高値!X116&gt;高値!W116,高値!X116&gt;高値!V116,高値!X116&gt;高値!Y116,高値!X116&gt;高値!Z116),19,""))</f>
        <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f>IF(終値!A116="","",IF(AND(高値!AC116&gt;高値!AB116,高値!AC116&gt;高値!AA116,高値!AC116&gt;高値!AD116,高値!AC116&gt;高値!AE116),24,""))</f>
        <v>24</v>
      </c>
      <c r="AZ116" s="503" t="str">
        <f>IF(終値!A116="","",IF(AND(高値!AD116&gt;高値!AC116,高値!AD116&gt;高値!AB116,高値!AD116&gt;高値!AE116,高値!AD116&gt;高値!AF116),25,""))</f>
        <v/>
      </c>
      <c r="BA116" s="503" t="str">
        <f>IF(終値!A116="","",IF(AND(高値!AE116&gt;高値!AD116,高値!AE116&gt;高値!AC116,高値!AE116&gt;高値!AF116,高値!AE116&gt;高値!AG116),26,""))</f>
        <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7</v>
      </c>
      <c r="BF116" s="503">
        <f t="shared" si="8"/>
        <v>13</v>
      </c>
      <c r="BG116" s="503">
        <f>IF($BE116="","",INDEX(安値!$E116:$CZ116,1,$BE116+1))</f>
        <v>1765</v>
      </c>
      <c r="BH116" s="503">
        <f>IF($BF116="","",INDEX(安値!$E116:$CZ116,1,$BF116+1))</f>
        <v>1805</v>
      </c>
      <c r="BI116" s="503">
        <f>IF($BF116="","",MAX(INDEX(高値!$E116:$CZ116,1,$BE116+1):INDEX(高値!$E116:$CZ116,1,$BF116+1)))</f>
        <v>1857</v>
      </c>
      <c r="BJ116" s="503">
        <f>IF($BF116="","",AVERAGE(INDEX(終値!$E116:$CZ116,1,$BF116+1):INDEX(終値!$E116:$CZ116,1,$BF116+20))-2*STDEVP(INDEX(終値!$E116:$CZ116,1,$BF116+1):INDEX(終値!$E116:$CZ116,1,$BF116+20)))</f>
        <v>1712.8842280413294</v>
      </c>
      <c r="BK116" s="503">
        <f>IF($BE116="","",AVERAGE(INDEX(終値!$E116:$CZ116,1,$BE116+1):INDEX(終値!$E116:$CZ116,1,$BE116+20))-2*STDEVP(INDEX(終値!$E116:$CZ116,1,$BE116+1):INDEX(終値!$E116:$CZ116,1,$BE116+20)))</f>
        <v>1740.2082016513853</v>
      </c>
      <c r="BL116" s="503">
        <f t="shared" si="9"/>
        <v>4</v>
      </c>
      <c r="BM116" s="503">
        <f t="shared" si="10"/>
        <v>4</v>
      </c>
      <c r="BN116" s="503">
        <f t="shared" si="11"/>
        <v>10</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二番天井M▼</v>
      </c>
    </row>
    <row r="117" spans="2:72">
      <c r="B117" s="503" t="str">
        <f>IF(終値!A117="","",IF(AND(安値!G117&lt;安値!F117,安値!G117&lt;安値!E117,安値!G117&lt;安値!H117,安値!G117&lt;安値!I117),2,""))</f>
        <v/>
      </c>
      <c r="C117" s="503" t="str">
        <f>IF(終値!A117="","",IF(AND(安値!H117&lt;安値!G117,安値!H117&lt;安値!F117,安値!H117&lt;安値!I117,安値!H117&lt;安値!J117),3,""))</f>
        <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f>IF(終値!A117="","",IF(AND(安値!P117&lt;安値!O117,安値!P117&lt;安値!N117,安値!P117&lt;安値!Q117,安値!P117&lt;安値!R117),11,""))</f>
        <v>11</v>
      </c>
      <c r="L117" s="503" t="str">
        <f>IF(終値!A117="","",IF(AND(安値!Q117&lt;安値!P117,安値!Q117&lt;安値!O117,安値!Q117&lt;安値!R117,安値!Q117&lt;安値!S117),12,""))</f>
        <v/>
      </c>
      <c r="M117" s="503" t="str">
        <f>IF(終値!A117="","",IF(AND(安値!R117&lt;安値!Q117,安値!R117&lt;安値!P117,安値!R117&lt;安値!S117,安値!R117&lt;安値!T117),13,""))</f>
        <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f>IF(終値!A117="","",IF(AND(安値!AE117&lt;安値!AD117,安値!AE117&lt;安値!AC117,安値!AE117&lt;安値!AF117,安値!AE117&lt;安値!AG117),26,""))</f>
        <v>26</v>
      </c>
      <c r="AA117" s="503" t="str">
        <f>IF(終値!A117="","",IF(AND(安値!AF117&lt;安値!AE117,安値!AF117&lt;安値!AD117,安値!AF117&lt;安値!AG117,安値!AF117&lt;安値!AH117),27,""))</f>
        <v/>
      </c>
      <c r="AB117" s="503" t="str">
        <f>IF(終値!A117="","",IF(AND(安値!AG117&lt;安値!AF117,安値!AG117&lt;安値!AE117,安値!AG117&lt;安値!AH117,安値!AG117&lt;安値!AI117),28,""))</f>
        <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f>IF(終値!A117="","",IF(AND(高値!M117&gt;高値!L117,高値!M117&gt;高値!K117,高値!M117&gt;高値!N117,高値!M117&gt;高値!O117),8,""))</f>
        <v>8</v>
      </c>
      <c r="AJ117" s="503" t="str">
        <f>IF(終値!A117="","",IF(AND(高値!N117&gt;高値!M117,高値!N117&gt;高値!L117,高値!N117&gt;高値!O117,高値!N117&gt;高値!P117),9,""))</f>
        <v/>
      </c>
      <c r="AK117" s="503" t="str">
        <f>IF(終値!A117="","",IF(AND(高値!O117&gt;高値!N117,高値!O117&gt;高値!M117,高値!O117&gt;高値!P117,高値!O117&gt;高値!Q117),10,""))</f>
        <v/>
      </c>
      <c r="AL117" s="503" t="str">
        <f>IF(終値!A117="","",IF(AND(高値!P117&gt;高値!O117,高値!P117&gt;高値!N117,高値!P117&gt;高値!Q117,高値!P117&gt;高値!R117),11,""))</f>
        <v/>
      </c>
      <c r="AM117" s="503">
        <f>IF(終値!A117="","",IF(AND(高値!Q117&gt;高値!P117,高値!Q117&gt;高値!O117,高値!Q117&gt;高値!R117,高値!Q117&gt;高値!S117),12,""))</f>
        <v>12</v>
      </c>
      <c r="AN117" s="503" t="str">
        <f>IF(終値!A117="","",IF(AND(高値!R117&gt;高値!Q117,高値!R117&gt;高値!P117,高値!R117&gt;高値!S117,高値!R117&gt;高値!T117),13,""))</f>
        <v/>
      </c>
      <c r="AO117" s="503" t="str">
        <f>IF(終値!A117="","",IF(AND(高値!S117&gt;高値!R117,高値!S117&gt;高値!Q117,高値!S117&gt;高値!T117,高値!S117&gt;高値!U117),14,""))</f>
        <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f>IF(終値!A117="","",IF(AND(高値!V117&gt;高値!U117,高値!V117&gt;高値!T117,高値!V117&gt;高値!W117,高値!V117&gt;高値!X117),17,""))</f>
        <v>17</v>
      </c>
      <c r="AS117" s="503" t="str">
        <f>IF(終値!A117="","",IF(AND(高値!W117&gt;高値!V117,高値!W117&gt;高値!U117,高値!W117&gt;高値!X117,高値!W117&gt;高値!Y117),18,""))</f>
        <v/>
      </c>
      <c r="AT117" s="503" t="str">
        <f>IF(終値!A117="","",IF(AND(高値!X117&gt;高値!W117,高値!X117&gt;高値!V117,高値!X117&gt;高値!Y117,高値!X117&gt;高値!Z117),19,""))</f>
        <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2</v>
      </c>
      <c r="BE117" s="503">
        <f t="shared" si="7"/>
        <v>11</v>
      </c>
      <c r="BF117" s="503">
        <f t="shared" si="8"/>
        <v>26</v>
      </c>
      <c r="BG117" s="503">
        <f>IF($BE117="","",INDEX(安値!$E117:$CZ117,1,$BE117+1))</f>
        <v>5173</v>
      </c>
      <c r="BH117" s="503">
        <f>IF($BF117="","",INDEX(安値!$E117:$CZ117,1,$BF117+1))</f>
        <v>4961</v>
      </c>
      <c r="BI117" s="503">
        <f>IF($BF117="","",MAX(INDEX(高値!$E117:$CZ117,1,$BE117+1):INDEX(高値!$E117:$CZ117,1,$BF117+1)))</f>
        <v>5947</v>
      </c>
      <c r="BJ117" s="503">
        <f>IF($BF117="","",AVERAGE(INDEX(終値!$E117:$CZ117,1,$BF117+1):INDEX(終値!$E117:$CZ117,1,$BF117+20))-2*STDEVP(INDEX(終値!$E117:$CZ117,1,$BF117+1):INDEX(終値!$E117:$CZ117,1,$BF117+20)))</f>
        <v>4590.2262308623422</v>
      </c>
      <c r="BK117" s="503">
        <f>IF($BE117="","",AVERAGE(INDEX(終値!$E117:$CZ117,1,$BE117+1):INDEX(終値!$E117:$CZ117,1,$BE117+20))-2*STDEVP(INDEX(終値!$E117:$CZ117,1,$BE117+1):INDEX(終値!$E117:$CZ117,1,$BE117+20)))</f>
        <v>4748.9234104749794</v>
      </c>
      <c r="BL117" s="503">
        <f t="shared" si="9"/>
        <v>3</v>
      </c>
      <c r="BM117" s="503">
        <f t="shared" si="10"/>
        <v>8</v>
      </c>
      <c r="BN117" s="503">
        <f t="shared" si="11"/>
        <v>12</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t="str">
        <f>IF(終値!A118="","",IF(AND(安値!H118&lt;安値!G118,安値!H118&lt;安値!F118,安値!H118&lt;安値!I118,安値!H118&lt;安値!J118),3,""))</f>
        <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f>IF(終値!A118="","",IF(AND(安値!P118&lt;安値!O118,安値!P118&lt;安値!N118,安値!P118&lt;安値!Q118,安値!P118&lt;安値!R118),11,""))</f>
        <v>11</v>
      </c>
      <c r="L118" s="503" t="str">
        <f>IF(終値!A118="","",IF(AND(安値!Q118&lt;安値!P118,安値!Q118&lt;安値!O118,安値!Q118&lt;安値!R118,安値!Q118&lt;安値!S118),12,""))</f>
        <v/>
      </c>
      <c r="M118" s="503" t="str">
        <f>IF(終値!A118="","",IF(AND(安値!R118&lt;安値!Q118,安値!R118&lt;安値!P118,安値!R118&lt;安値!S118,安値!R118&lt;安値!T118),13,""))</f>
        <v/>
      </c>
      <c r="N118" s="503" t="str">
        <f>IF(終値!A118="","",IF(AND(安値!S118&lt;安値!R118,安値!S118&lt;安値!Q118,安値!S118&lt;安値!T118,安値!S118&lt;安値!U118),14,""))</f>
        <v/>
      </c>
      <c r="O118" s="503">
        <f>IF(終値!A118="","",IF(AND(安値!T118&lt;安値!S118,安値!T118&lt;安値!R118,安値!T118&lt;安値!U118,安値!T118&lt;安値!V118),15,""))</f>
        <v>15</v>
      </c>
      <c r="P118" s="503" t="str">
        <f>IF(終値!A118="","",IF(AND(安値!U118&lt;安値!T118,安値!U118&lt;安値!S118,安値!U118&lt;安値!V118,安値!U118&lt;安値!W118),16,""))</f>
        <v/>
      </c>
      <c r="Q118" s="503" t="str">
        <f>IF(終値!A118="","",IF(AND(安値!V118&lt;安値!U118,安値!V118&lt;安値!T118,安値!V118&lt;安値!W118,安値!V118&lt;安値!X118),17,""))</f>
        <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f>IF(終値!A118="","",IF(AND(安値!AC118&lt;安値!AB118,安値!AC118&lt;安値!AA118,安値!AC118&lt;安値!AD118,安値!AC118&lt;安値!AE118),24,""))</f>
        <v>24</v>
      </c>
      <c r="Y118" s="503" t="str">
        <f>IF(終値!A118="","",IF(AND(安値!AD118&lt;安値!AC118,安値!AD118&lt;安値!AB118,安値!AD118&lt;安値!AE118,安値!AD118&lt;安値!AF118),25,""))</f>
        <v/>
      </c>
      <c r="Z118" s="503" t="str">
        <f>IF(終値!A118="","",IF(AND(安値!AE118&lt;安値!AD118,安値!AE118&lt;安値!AC118,安値!AE118&lt;安値!AF118,安値!AE118&lt;安値!AG118),26,""))</f>
        <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f>IF(終値!A118="","",IF(AND(高値!K118&gt;高値!J118,高値!K118&gt;高値!I118,高値!K118&gt;高値!L118,高値!K118&gt;高値!M118),6,""))</f>
        <v>6</v>
      </c>
      <c r="AH118" s="503" t="str">
        <f>IF(終値!A118="","",IF(AND(高値!L118&gt;高値!K118,高値!L118&gt;高値!J118,高値!L118&gt;高値!M118,高値!L118&gt;高値!N118),7,""))</f>
        <v/>
      </c>
      <c r="AI118" s="503" t="str">
        <f>IF(終値!A118="","",IF(AND(高値!M118&gt;高値!L118,高値!M118&gt;高値!K118,高値!M118&gt;高値!N118,高値!M118&gt;高値!O118),8,""))</f>
        <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f>IF(終値!A118="","",IF(AND(高値!Q118&gt;高値!P118,高値!Q118&gt;高値!O118,高値!Q118&gt;高値!R118,高値!Q118&gt;高値!S118),12,""))</f>
        <v>12</v>
      </c>
      <c r="AN118" s="503" t="str">
        <f>IF(終値!A118="","",IF(AND(高値!R118&gt;高値!Q118,高値!R118&gt;高値!P118,高値!R118&gt;高値!S118,高値!R118&gt;高値!T118),13,""))</f>
        <v/>
      </c>
      <c r="AO118" s="503" t="str">
        <f>IF(終値!A118="","",IF(AND(高値!S118&gt;高値!R118,高値!S118&gt;高値!Q118,高値!S118&gt;高値!T118,高値!S118&gt;高値!U118),14,""))</f>
        <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f>IF(終値!A118="","",IF(AND(高値!W118&gt;高値!V118,高値!W118&gt;高値!U118,高値!W118&gt;高値!X118,高値!W118&gt;高値!Y118),18,""))</f>
        <v>18</v>
      </c>
      <c r="AT118" s="503" t="str">
        <f>IF(終値!A118="","",IF(AND(高値!X118&gt;高値!W118,高値!X118&gt;高値!V118,高値!X118&gt;高値!Y118,高値!X118&gt;高値!Z118),19,""))</f>
        <v/>
      </c>
      <c r="AU118" s="503" t="str">
        <f>IF(終値!A118="","",IF(AND(高値!Y118&gt;高値!X118,高値!Y118&gt;高値!W118,高値!Y118&gt;高値!Z118,高値!Y118&gt;高値!AA118),20,""))</f>
        <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3</v>
      </c>
      <c r="BE118" s="503">
        <f t="shared" si="7"/>
        <v>11</v>
      </c>
      <c r="BF118" s="503">
        <f t="shared" si="8"/>
        <v>15</v>
      </c>
      <c r="BG118" s="503">
        <f>IF($BE118="","",INDEX(安値!$E118:$CZ118,1,$BE118+1))</f>
        <v>4300</v>
      </c>
      <c r="BH118" s="503">
        <f>IF($BF118="","",INDEX(安値!$E118:$CZ118,1,$BF118+1))</f>
        <v>4643</v>
      </c>
      <c r="BI118" s="503">
        <f>IF($BF118="","",MAX(INDEX(高値!$E118:$CZ118,1,$BE118+1):INDEX(高値!$E118:$CZ118,1,$BF118+1)))</f>
        <v>4783</v>
      </c>
      <c r="BJ118" s="503">
        <f>IF($BF118="","",AVERAGE(INDEX(終値!$E118:$CZ118,1,$BF118+1):INDEX(終値!$E118:$CZ118,1,$BF118+20))-2*STDEVP(INDEX(終値!$E118:$CZ118,1,$BF118+1):INDEX(終値!$E118:$CZ118,1,$BF118+20)))</f>
        <v>4419.5175445702034</v>
      </c>
      <c r="BK118" s="503">
        <f>IF($BE118="","",AVERAGE(INDEX(終値!$E118:$CZ118,1,$BE118+1):INDEX(終値!$E118:$CZ118,1,$BE118+20))-2*STDEVP(INDEX(終値!$E118:$CZ118,1,$BE118+1):INDEX(終値!$E118:$CZ118,1,$BE118+20)))</f>
        <v>4403.6441421568643</v>
      </c>
      <c r="BL118" s="503">
        <f t="shared" si="9"/>
        <v>3</v>
      </c>
      <c r="BM118" s="503">
        <f t="shared" si="10"/>
        <v>6</v>
      </c>
      <c r="BN118" s="503">
        <f t="shared" si="11"/>
        <v>12</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二番天井M形成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f>IF(終値!A119="","",IF(AND(安値!L119&lt;安値!K119,安値!L119&lt;安値!J119,安値!L119&lt;安値!M119,安値!L119&lt;安値!N119),7,""))</f>
        <v>7</v>
      </c>
      <c r="H119" s="503" t="str">
        <f>IF(終値!A119="","",IF(AND(安値!M119&lt;安値!L119,安値!M119&lt;安値!K119,安値!M119&lt;安値!N119,安値!M119&lt;安値!O119),8,""))</f>
        <v/>
      </c>
      <c r="I119" s="503" t="str">
        <f>IF(終値!A119="","",IF(AND(安値!N119&lt;安値!M119,安値!N119&lt;安値!L119,安値!N119&lt;安値!O119,安値!N119&lt;安値!P119),9,""))</f>
        <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f>IF(終値!A119="","",IF(AND(安値!Q119&lt;安値!P119,安値!Q119&lt;安値!O119,安値!Q119&lt;安値!R119,安値!Q119&lt;安値!S119),12,""))</f>
        <v>12</v>
      </c>
      <c r="M119" s="503" t="str">
        <f>IF(終値!A119="","",IF(AND(安値!R119&lt;安値!Q119,安値!R119&lt;安値!P119,安値!R119&lt;安値!S119,安値!R119&lt;安値!T119),13,""))</f>
        <v/>
      </c>
      <c r="N119" s="503" t="str">
        <f>IF(終値!A119="","",IF(AND(安値!S119&lt;安値!R119,安値!S119&lt;安値!Q119,安値!S119&lt;安値!T119,安値!S119&lt;安値!U119),14,""))</f>
        <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f>IF(終値!A119="","",IF(AND(安値!AD119&lt;安値!AC119,安値!AD119&lt;安値!AB119,安値!AD119&lt;安値!AE119,安値!AD119&lt;安値!AF119),25,""))</f>
        <v>25</v>
      </c>
      <c r="Z119" s="503" t="str">
        <f>IF(終値!A119="","",IF(AND(安値!AE119&lt;安値!AD119,安値!AE119&lt;安値!AC119,安値!AE119&lt;安値!AF119,安値!AE119&lt;安値!AG119),26,""))</f>
        <v/>
      </c>
      <c r="AA119" s="503" t="str">
        <f>IF(終値!A119="","",IF(AND(安値!AF119&lt;安値!AE119,安値!AF119&lt;安値!AD119,安値!AF119&lt;安値!AG119,安値!AF119&lt;安値!AH119),27,""))</f>
        <v/>
      </c>
      <c r="AB119" s="503">
        <f>IF(終値!A119="","",IF(AND(安値!AG119&lt;安値!AF119,安値!AG119&lt;安値!AE119,安値!AG119&lt;安値!AH119,安値!AG119&lt;安値!AI119),28,""))</f>
        <v>28</v>
      </c>
      <c r="AC119" s="503" t="str">
        <f>IF(終値!A119="","",IF(AND(高値!G119&gt;高値!F119,高値!G119&gt;高値!E119,高値!G119&gt;高値!H119,高値!G119&gt;高値!I119),2,""))</f>
        <v/>
      </c>
      <c r="AD119" s="503">
        <f>IF(終値!A119="","",IF(AND(高値!H119&gt;高値!G119,高値!H119&gt;高値!F119,高値!H119&gt;高値!I119,高値!H119&gt;高値!J119),3,""))</f>
        <v>3</v>
      </c>
      <c r="AE119" s="503" t="str">
        <f>IF(終値!A119="","",IF(AND(高値!I119&gt;高値!H119,高値!I119&gt;高値!G119,高値!I119&gt;高値!J119,高値!I119&gt;高値!K119),4,""))</f>
        <v/>
      </c>
      <c r="AF119" s="503" t="str">
        <f>IF(終値!A119="","",IF(AND(高値!J119&gt;高値!I119,高値!J119&gt;高値!H119,高値!J119&gt;高値!K119,高値!J119&gt;高値!L119),5,""))</f>
        <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f>IF(終値!A119="","",IF(AND(高値!P119&gt;高値!O119,高値!P119&gt;高値!N119,高値!P119&gt;高値!Q119,高値!P119&gt;高値!R119),11,""))</f>
        <v>11</v>
      </c>
      <c r="AM119" s="503" t="str">
        <f>IF(終値!A119="","",IF(AND(高値!Q119&gt;高値!P119,高値!Q119&gt;高値!O119,高値!Q119&gt;高値!R119,高値!Q119&gt;高値!S119),12,""))</f>
        <v/>
      </c>
      <c r="AN119" s="503" t="str">
        <f>IF(終値!A119="","",IF(AND(高値!R119&gt;高値!Q119,高値!R119&gt;高値!P119,高値!R119&gt;高値!S119,高値!R119&gt;高値!T119),13,""))</f>
        <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f>IF(終値!A119="","",IF(AND(高値!V119&gt;高値!U119,高値!V119&gt;高値!T119,高値!V119&gt;高値!W119,高値!V119&gt;高値!X119),17,""))</f>
        <v>17</v>
      </c>
      <c r="AS119" s="503" t="str">
        <f>IF(終値!A119="","",IF(AND(高値!W119&gt;高値!V119,高値!W119&gt;高値!U119,高値!W119&gt;高値!X119,高値!W119&gt;高値!Y119),18,""))</f>
        <v/>
      </c>
      <c r="AT119" s="503" t="str">
        <f>IF(終値!A119="","",IF(AND(高値!X119&gt;高値!W119,高値!X119&gt;高値!V119,高値!X119&gt;高値!Y119,高値!X119&gt;高値!Z119),19,""))</f>
        <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4</v>
      </c>
      <c r="BE119" s="503">
        <f t="shared" si="7"/>
        <v>7</v>
      </c>
      <c r="BF119" s="503">
        <f t="shared" si="8"/>
        <v>12</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3</v>
      </c>
      <c r="BN119" s="503">
        <f t="shared" si="11"/>
        <v>11</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二番天井M▼</v>
      </c>
    </row>
    <row r="120" spans="2:72">
      <c r="B120" s="503" t="str">
        <f>IF(終値!A120="","",IF(AND(安値!G120&lt;安値!F120,安値!G120&lt;安値!E120,安値!G120&lt;安値!H120,安値!G120&lt;安値!I120),2,""))</f>
        <v/>
      </c>
      <c r="C120" s="503">
        <f>IF(終値!A120="","",IF(AND(安値!H120&lt;安値!G120,安値!H120&lt;安値!F120,安値!H120&lt;安値!I120,安値!H120&lt;安値!J120),3,""))</f>
        <v>3</v>
      </c>
      <c r="D120" s="503" t="str">
        <f>IF(終値!A120="","",IF(AND(安値!I120&lt;安値!H120,安値!I120&lt;安値!G120,安値!I120&lt;安値!J120,安値!I120&lt;安値!K120),4,""))</f>
        <v/>
      </c>
      <c r="E120" s="503" t="str">
        <f>IF(終値!A120="","",IF(AND(安値!J120&lt;安値!I120,安値!J120&lt;安値!H120,安値!J120&lt;安値!K120,安値!J120&lt;安値!L120),5,""))</f>
        <v/>
      </c>
      <c r="F120" s="503" t="str">
        <f>IF(終値!A120="","",IF(AND(安値!K120&lt;安値!J120,安値!K120&lt;安値!I120,安値!K120&lt;安値!L120,安値!K120&lt;安値!M120),6,""))</f>
        <v/>
      </c>
      <c r="G120" s="503">
        <f>IF(終値!A120="","",IF(AND(安値!L120&lt;安値!K120,安値!L120&lt;安値!J120,安値!L120&lt;安値!M120,安値!L120&lt;安値!N120),7,""))</f>
        <v>7</v>
      </c>
      <c r="H120" s="503" t="str">
        <f>IF(終値!A120="","",IF(AND(安値!M120&lt;安値!L120,安値!M120&lt;安値!K120,安値!M120&lt;安値!N120,安値!M120&lt;安値!O120),8,""))</f>
        <v/>
      </c>
      <c r="I120" s="503" t="str">
        <f>IF(終値!A120="","",IF(AND(安値!N120&lt;安値!M120,安値!N120&lt;安値!L120,安値!N120&lt;安値!O120,安値!N120&lt;安値!P120),9,""))</f>
        <v/>
      </c>
      <c r="J120" s="503" t="str">
        <f>IF(終値!A120="","",IF(AND(安値!O120&lt;安値!N120,安値!O120&lt;安値!M120,安値!O120&lt;安値!P120,安値!O120&lt;安値!Q120),10,""))</f>
        <v/>
      </c>
      <c r="K120" s="503">
        <f>IF(終値!A120="","",IF(AND(安値!P120&lt;安値!O120,安値!P120&lt;安値!N120,安値!P120&lt;安値!Q120,安値!P120&lt;安値!R120),11,""))</f>
        <v>11</v>
      </c>
      <c r="L120" s="503" t="str">
        <f>IF(終値!A120="","",IF(AND(安値!Q120&lt;安値!P120,安値!Q120&lt;安値!O120,安値!Q120&lt;安値!R120,安値!Q120&lt;安値!S120),12,""))</f>
        <v/>
      </c>
      <c r="M120" s="503" t="str">
        <f>IF(終値!A120="","",IF(AND(安値!R120&lt;安値!Q120,安値!R120&lt;安値!P120,安値!R120&lt;安値!S120,安値!R120&lt;安値!T120),13,""))</f>
        <v/>
      </c>
      <c r="N120" s="503">
        <f>IF(終値!A120="","",IF(AND(安値!S120&lt;安値!R120,安値!S120&lt;安値!Q120,安値!S120&lt;安値!T120,安値!S120&lt;安値!U120),14,""))</f>
        <v>14</v>
      </c>
      <c r="O120" s="503" t="str">
        <f>IF(終値!A120="","",IF(AND(安値!T120&lt;安値!S120,安値!T120&lt;安値!R120,安値!T120&lt;安値!U120,安値!T120&lt;安値!V120),15,""))</f>
        <v/>
      </c>
      <c r="P120" s="503" t="str">
        <f>IF(終値!A120="","",IF(AND(安値!U120&lt;安値!T120,安値!U120&lt;安値!S120,安値!U120&lt;安値!V120,安値!U120&lt;安値!W120),16,""))</f>
        <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f>IF(終値!A120="","",IF(AND(安値!AA120&lt;安値!Z120,安値!AA120&lt;安値!Y120,安値!AA120&lt;安値!AB120,安値!AA120&lt;安値!AC120),22,""))</f>
        <v>22</v>
      </c>
      <c r="W120" s="503" t="str">
        <f>IF(終値!A120="","",IF(AND(安値!AB120&lt;安値!AA120,安値!AB120&lt;安値!Z120,安値!AB120&lt;安値!AC120,安値!AB120&lt;安値!AD120),23,""))</f>
        <v/>
      </c>
      <c r="X120" s="503" t="str">
        <f>IF(終値!A120="","",IF(AND(安値!AC120&lt;安値!AB120,安値!AC120&lt;安値!AA120,安値!AC120&lt;安値!AD120,安値!AC120&lt;安値!AE120),24,""))</f>
        <v/>
      </c>
      <c r="Y120" s="503">
        <f>IF(終値!A120="","",IF(AND(安値!AD120&lt;安値!AC120,安値!AD120&lt;安値!AB120,安値!AD120&lt;安値!AE120,安値!AD120&lt;安値!AF120),25,""))</f>
        <v>25</v>
      </c>
      <c r="Z120" s="503" t="str">
        <f>IF(終値!A120="","",IF(AND(安値!AE120&lt;安値!AD120,安値!AE120&lt;安値!AC120,安値!AE120&lt;安値!AF120,安値!AE120&lt;安値!AG120),26,""))</f>
        <v/>
      </c>
      <c r="AA120" s="503" t="str">
        <f>IF(終値!A120="","",IF(AND(安値!AF120&lt;安値!AE120,安値!AF120&lt;安値!AD120,安値!AF120&lt;安値!AG120,安値!AF120&lt;安値!AH120),27,""))</f>
        <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f>IF(終値!A120="","",IF(AND(高値!N120&gt;高値!M120,高値!N120&gt;高値!L120,高値!N120&gt;高値!O120,高値!N120&gt;高値!P120),9,""))</f>
        <v>9</v>
      </c>
      <c r="AK120" s="503" t="str">
        <f>IF(終値!A120="","",IF(AND(高値!O120&gt;高値!N120,高値!O120&gt;高値!M120,高値!O120&gt;高値!P120,高値!O120&gt;高値!Q120),10,""))</f>
        <v/>
      </c>
      <c r="AL120" s="503" t="str">
        <f>IF(終値!A120="","",IF(AND(高値!P120&gt;高値!O120,高値!P120&gt;高値!N120,高値!P120&gt;高値!Q120,高値!P120&gt;高値!R120),11,""))</f>
        <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f>IF(終値!A120="","",IF(AND(高値!W120&gt;高値!V120,高値!W120&gt;高値!U120,高値!W120&gt;高値!X120,高値!W120&gt;高値!Y120),18,""))</f>
        <v>18</v>
      </c>
      <c r="AT120" s="503" t="str">
        <f>IF(終値!A120="","",IF(AND(高値!X120&gt;高値!W120,高値!X120&gt;高値!V120,高値!X120&gt;高値!Y120,高値!X120&gt;高値!Z120),19,""))</f>
        <v/>
      </c>
      <c r="AU120" s="503" t="str">
        <f>IF(終値!A120="","",IF(AND(高値!Y120&gt;高値!X120,高値!Y120&gt;高値!W120,高値!Y120&gt;高値!Z120,高値!Y120&gt;高値!AA120),20,""))</f>
        <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f>IF(終値!A120="","",IF(AND(高値!AB120&gt;高値!AA120,高値!AB120&gt;高値!Z120,高値!AB120&gt;高値!AC120,高値!AB120&gt;高値!AD120),23,""))</f>
        <v>23</v>
      </c>
      <c r="AY120" s="503" t="str">
        <f>IF(終値!A120="","",IF(AND(高値!AC120&gt;高値!AB120,高値!AC120&gt;高値!AA120,高値!AC120&gt;高値!AD120,高値!AC120&gt;高値!AE120),24,""))</f>
        <v/>
      </c>
      <c r="AZ120" s="503" t="str">
        <f>IF(終値!A120="","",IF(AND(高値!AD120&gt;高値!AC120,高値!AD120&gt;高値!AB120,高値!AD120&gt;高値!AE120,高値!AD120&gt;高値!AF120),25,""))</f>
        <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3</v>
      </c>
      <c r="BF120" s="503">
        <f t="shared" si="8"/>
        <v>7</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9</v>
      </c>
      <c r="BN120" s="503">
        <f t="shared" si="11"/>
        <v>18</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f>IF(終値!A121="","",IF(AND(安値!L121&lt;安値!K121,安値!L121&lt;安値!J121,安値!L121&lt;安値!M121,安値!L121&lt;安値!N121),7,""))</f>
        <v>7</v>
      </c>
      <c r="H121" s="503" t="str">
        <f>IF(終値!A121="","",IF(AND(安値!M121&lt;安値!L121,安値!M121&lt;安値!K121,安値!M121&lt;安値!N121,安値!M121&lt;安値!O121),8,""))</f>
        <v/>
      </c>
      <c r="I121" s="503" t="str">
        <f>IF(終値!A121="","",IF(AND(安値!N121&lt;安値!M121,安値!N121&lt;安値!L121,安値!N121&lt;安値!O121,安値!N121&lt;安値!P121),9,""))</f>
        <v/>
      </c>
      <c r="J121" s="503">
        <f>IF(終値!A121="","",IF(AND(安値!O121&lt;安値!N121,安値!O121&lt;安値!M121,安値!O121&lt;安値!P121,安値!O121&lt;安値!Q121),10,""))</f>
        <v>10</v>
      </c>
      <c r="K121" s="503" t="str">
        <f>IF(終値!A121="","",IF(AND(安値!P121&lt;安値!O121,安値!P121&lt;安値!N121,安値!P121&lt;安値!Q121,安値!P121&lt;安値!R121),11,""))</f>
        <v/>
      </c>
      <c r="L121" s="503" t="str">
        <f>IF(終値!A121="","",IF(AND(安値!Q121&lt;安値!P121,安値!Q121&lt;安値!O121,安値!Q121&lt;安値!R121,安値!Q121&lt;安値!S121),12,""))</f>
        <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f>IF(終値!A121="","",IF(AND(安値!T121&lt;安値!S121,安値!T121&lt;安値!R121,安値!T121&lt;安値!U121,安値!T121&lt;安値!V121),15,""))</f>
        <v>15</v>
      </c>
      <c r="P121" s="503" t="str">
        <f>IF(終値!A121="","",IF(AND(安値!U121&lt;安値!T121,安値!U121&lt;安値!S121,安値!U121&lt;安値!V121,安値!U121&lt;安値!W121),16,""))</f>
        <v/>
      </c>
      <c r="Q121" s="503" t="str">
        <f>IF(終値!A121="","",IF(AND(安値!V121&lt;安値!U121,安値!V121&lt;安値!T121,安値!V121&lt;安値!W121,安値!V121&lt;安値!X121),17,""))</f>
        <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f>IF(終値!A121="","",IF(AND(安値!AB121&lt;安値!AA121,安値!AB121&lt;安値!Z121,安値!AB121&lt;安値!AC121,安値!AB121&lt;安値!AD121),23,""))</f>
        <v>23</v>
      </c>
      <c r="X121" s="503" t="str">
        <f>IF(終値!A121="","",IF(AND(安値!AC121&lt;安値!AB121,安値!AC121&lt;安値!AA121,安値!AC121&lt;安値!AD121,安値!AC121&lt;安値!AE121),24,""))</f>
        <v/>
      </c>
      <c r="Y121" s="503" t="str">
        <f>IF(終値!A121="","",IF(AND(安値!AD121&lt;安値!AC121,安値!AD121&lt;安値!AB121,安値!AD121&lt;安値!AE121,安値!AD121&lt;安値!AF121),25,""))</f>
        <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f>IF(終値!A121="","",IF(AND(高値!J121&gt;高値!I121,高値!J121&gt;高値!H121,高値!J121&gt;高値!K121,高値!J121&gt;高値!L121),5,""))</f>
        <v>5</v>
      </c>
      <c r="AG121" s="503" t="str">
        <f>IF(終値!A121="","",IF(AND(高値!K121&gt;高値!J121,高値!K121&gt;高値!I121,高値!K121&gt;高値!L121,高値!K121&gt;高値!M121),6,""))</f>
        <v/>
      </c>
      <c r="AH121" s="503" t="str">
        <f>IF(終値!A121="","",IF(AND(高値!L121&gt;高値!K121,高値!L121&gt;高値!J121,高値!L121&gt;高値!M121,高値!L121&gt;高値!N121),7,""))</f>
        <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f>IF(終値!A121="","",IF(AND(高値!U121&gt;高値!T121,高値!U121&gt;高値!S121,高値!U121&gt;高値!V121,高値!U121&gt;高値!W121),16,""))</f>
        <v>16</v>
      </c>
      <c r="AR121" s="503" t="str">
        <f>IF(終値!A121="","",IF(AND(高値!V121&gt;高値!U121,高値!V121&gt;高値!T121,高値!V121&gt;高値!W121,高値!V121&gt;高値!X121),17,""))</f>
        <v/>
      </c>
      <c r="AS121" s="503" t="str">
        <f>IF(終値!A121="","",IF(AND(高値!W121&gt;高値!V121,高値!W121&gt;高値!U121,高値!W121&gt;高値!X121,高値!W121&gt;高値!Y121),18,""))</f>
        <v/>
      </c>
      <c r="AT121" s="503" t="str">
        <f>IF(終値!A121="","",IF(AND(高値!X121&gt;高値!W121,高値!X121&gt;高値!V121,高値!X121&gt;高値!Y121,高値!X121&gt;高値!Z121),19,""))</f>
        <v/>
      </c>
      <c r="AU121" s="503">
        <f>IF(終値!A121="","",IF(AND(高値!Y121&gt;高値!X121,高値!Y121&gt;高値!W121,高値!Y121&gt;高値!Z121,高値!Y121&gt;高値!AA121),20,""))</f>
        <v>20</v>
      </c>
      <c r="AV121" s="503" t="str">
        <f>IF(終値!A121="","",IF(AND(高値!Z121&gt;高値!Y121,高値!Z121&gt;高値!X121,高値!Z121&gt;高値!AA121,高値!Z121&gt;高値!AB121),21,""))</f>
        <v/>
      </c>
      <c r="AW121" s="503" t="str">
        <f>IF(終値!A121="","",IF(AND(高値!AA121&gt;高値!Z121,高値!AA121&gt;高値!Y121,高値!AA121&gt;高値!AB121,高値!AA121&gt;高値!AC121),22,""))</f>
        <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f>IF(終値!A121="","",IF(AND(高値!AF121&gt;高値!AE121,高値!AF121&gt;高値!AD121,高値!AF121&gt;高値!AG121,高値!AF121&gt;高値!AH121),27,""))</f>
        <v>27</v>
      </c>
      <c r="BC121" s="503" t="str">
        <f>IF(終値!A121="","",IF(AND(高値!AG121&gt;高値!AF121,高値!AG121&gt;高値!AE121,高値!AG121&gt;高値!AH121,高値!AG121&gt;高値!AI121),28,""))</f>
        <v/>
      </c>
      <c r="BD121" s="503">
        <f t="shared" si="6"/>
        <v>4</v>
      </c>
      <c r="BE121" s="503">
        <f t="shared" si="7"/>
        <v>7</v>
      </c>
      <c r="BF121" s="503">
        <f t="shared" si="8"/>
        <v>10</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4</v>
      </c>
      <c r="BM121" s="503">
        <f t="shared" si="10"/>
        <v>5</v>
      </c>
      <c r="BN121" s="503">
        <f t="shared" si="11"/>
        <v>16</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t="str">
        <f>IF(終値!A122="","",IF(AND(安値!H122&lt;安値!G122,安値!H122&lt;安値!F122,安値!H122&lt;安値!I122,安値!H122&lt;安値!J122),3,""))</f>
        <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f>IF(終値!A122="","",IF(AND(安値!P122&lt;安値!O122,安値!P122&lt;安値!N122,安値!P122&lt;安値!Q122,安値!P122&lt;安値!R122),11,""))</f>
        <v>11</v>
      </c>
      <c r="L122" s="503" t="str">
        <f>IF(終値!A122="","",IF(AND(安値!Q122&lt;安値!P122,安値!Q122&lt;安値!O122,安値!Q122&lt;安値!R122,安値!Q122&lt;安値!S122),12,""))</f>
        <v/>
      </c>
      <c r="M122" s="503" t="str">
        <f>IF(終値!A122="","",IF(AND(安値!R122&lt;安値!Q122,安値!R122&lt;安値!P122,安値!R122&lt;安値!S122,安値!R122&lt;安値!T122),13,""))</f>
        <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f>IF(終値!A122="","",IF(AND(安値!AF122&lt;安値!AE122,安値!AF122&lt;安値!AD122,安値!AF122&lt;安値!AG122,安値!AF122&lt;安値!AH122),27,""))</f>
        <v>27</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f>IF(終値!A122="","",IF(AND(高値!K122&gt;高値!J122,高値!K122&gt;高値!I122,高値!K122&gt;高値!L122,高値!K122&gt;高値!M122),6,""))</f>
        <v>6</v>
      </c>
      <c r="AH122" s="503" t="str">
        <f>IF(終値!A122="","",IF(AND(高値!L122&gt;高値!K122,高値!L122&gt;高値!J122,高値!L122&gt;高値!M122,高値!L122&gt;高値!N122),7,""))</f>
        <v/>
      </c>
      <c r="AI122" s="503" t="str">
        <f>IF(終値!A122="","",IF(AND(高値!M122&gt;高値!L122,高値!M122&gt;高値!K122,高値!M122&gt;高値!N122,高値!M122&gt;高値!O122),8,""))</f>
        <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f>IF(終値!A122="","",IF(AND(高値!P122&gt;高値!O122,高値!P122&gt;高値!N122,高値!P122&gt;高値!Q122,高値!P122&gt;高値!R122),11,""))</f>
        <v>11</v>
      </c>
      <c r="AM122" s="503" t="str">
        <f>IF(終値!A122="","",IF(AND(高値!Q122&gt;高値!P122,高値!Q122&gt;高値!O122,高値!Q122&gt;高値!R122,高値!Q122&gt;高値!S122),12,""))</f>
        <v/>
      </c>
      <c r="AN122" s="503" t="str">
        <f>IF(終値!A122="","",IF(AND(高値!R122&gt;高値!Q122,高値!R122&gt;高値!P122,高値!R122&gt;高値!S122,高値!R122&gt;高値!T122),13,""))</f>
        <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11</v>
      </c>
      <c r="BF122" s="503">
        <f t="shared" si="8"/>
        <v>27</v>
      </c>
      <c r="BG122" s="503">
        <f>IF($BE122="","",INDEX(安値!$E122:$CZ122,1,$BE122+1))</f>
        <v>2407</v>
      </c>
      <c r="BH122" s="503">
        <f>IF($BF122="","",INDEX(安値!$E122:$CZ122,1,$BF122+1))</f>
        <v>2276</v>
      </c>
      <c r="BI122" s="503">
        <f>IF($BF122="","",MAX(INDEX(高値!$E122:$CZ122,1,$BE122+1):INDEX(高値!$E122:$CZ122,1,$BF122+1)))</f>
        <v>2629.5</v>
      </c>
      <c r="BJ122" s="503">
        <f>IF($BF122="","",AVERAGE(INDEX(終値!$E122:$CZ122,1,$BF122+1):INDEX(終値!$E122:$CZ122,1,$BF122+20))-2*STDEVP(INDEX(終値!$E122:$CZ122,1,$BF122+1):INDEX(終値!$E122:$CZ122,1,$BF122+20)))</f>
        <v>2186.7275569230737</v>
      </c>
      <c r="BK122" s="503">
        <f>IF($BE122="","",AVERAGE(INDEX(終値!$E122:$CZ122,1,$BE122+1):INDEX(終値!$E122:$CZ122,1,$BE122+20))-2*STDEVP(INDEX(終値!$E122:$CZ122,1,$BE122+1):INDEX(終値!$E122:$CZ122,1,$BE122+20)))</f>
        <v>2229.6826599319938</v>
      </c>
      <c r="BL122" s="503">
        <f t="shared" si="9"/>
        <v>2</v>
      </c>
      <c r="BM122" s="503">
        <f t="shared" si="10"/>
        <v>6</v>
      </c>
      <c r="BN122" s="503">
        <f t="shared" si="11"/>
        <v>11</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二番天井M▼</v>
      </c>
    </row>
    <row r="123" spans="2:72">
      <c r="B123" s="503" t="str">
        <f>IF(終値!A123="","",IF(AND(安値!G123&lt;安値!F123,安値!G123&lt;安値!E123,安値!G123&lt;安値!H123,安値!G123&lt;安値!I123),2,""))</f>
        <v/>
      </c>
      <c r="C123" s="503" t="str">
        <f>IF(終値!A123="","",IF(AND(安値!H123&lt;安値!G123,安値!H123&lt;安値!F123,安値!H123&lt;安値!I123,安値!H123&lt;安値!J123),3,""))</f>
        <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f>IF(終値!A123="","",IF(AND(安値!P123&lt;安値!O123,安値!P123&lt;安値!N123,安値!P123&lt;安値!Q123,安値!P123&lt;安値!R123),11,""))</f>
        <v>11</v>
      </c>
      <c r="L123" s="503" t="str">
        <f>IF(終値!A123="","",IF(AND(安値!Q123&lt;安値!P123,安値!Q123&lt;安値!O123,安値!Q123&lt;安値!R123,安値!Q123&lt;安値!S123),12,""))</f>
        <v/>
      </c>
      <c r="M123" s="503" t="str">
        <f>IF(終値!A123="","",IF(AND(安値!R123&lt;安値!Q123,安値!R123&lt;安値!P123,安値!R123&lt;安値!S123,安値!R123&lt;安値!T123),13,""))</f>
        <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f>IF(終値!A123="","",IF(AND(安値!U123&lt;安値!T123,安値!U123&lt;安値!S123,安値!U123&lt;安値!V123,安値!U123&lt;安値!W123),16,""))</f>
        <v>16</v>
      </c>
      <c r="Q123" s="503" t="str">
        <f>IF(終値!A123="","",IF(AND(安値!V123&lt;安値!U123,安値!V123&lt;安値!T123,安値!V123&lt;安値!W123,安値!V123&lt;安値!X123),17,""))</f>
        <v/>
      </c>
      <c r="R123" s="503" t="str">
        <f>IF(終値!A123="","",IF(AND(安値!W123&lt;安値!V123,安値!W123&lt;安値!U123,安値!W123&lt;安値!X123,安値!W123&lt;安値!Y123),18,""))</f>
        <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f>IF(終値!A123="","",IF(AND(安値!AE123&lt;安値!AD123,安値!AE123&lt;安値!AC123,安値!AE123&lt;安値!AF123,安値!AE123&lt;安値!AG123),26,""))</f>
        <v>26</v>
      </c>
      <c r="AA123" s="503" t="str">
        <f>IF(終値!A123="","",IF(AND(安値!AF123&lt;安値!AE123,安値!AF123&lt;安値!AD123,安値!AF123&lt;安値!AG123,安値!AF123&lt;安値!AH123),27,""))</f>
        <v/>
      </c>
      <c r="AB123" s="503" t="str">
        <f>IF(終値!A123="","",IF(AND(安値!AG123&lt;安値!AF123,安値!AG123&lt;安値!AE123,安値!AG123&lt;安値!AH123,安値!AG123&lt;安値!AI123),28,""))</f>
        <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f>IF(終値!A123="","",IF(AND(高値!K123&gt;高値!J123,高値!K123&gt;高値!I123,高値!K123&gt;高値!L123,高値!K123&gt;高値!M123),6,""))</f>
        <v>6</v>
      </c>
      <c r="AH123" s="503" t="str">
        <f>IF(終値!A123="","",IF(AND(高値!L123&gt;高値!K123,高値!L123&gt;高値!J123,高値!L123&gt;高値!M123,高値!L123&gt;高値!N123),7,""))</f>
        <v/>
      </c>
      <c r="AI123" s="503" t="str">
        <f>IF(終値!A123="","",IF(AND(高値!M123&gt;高値!L123,高値!M123&gt;高値!K123,高値!M123&gt;高値!N123,高値!M123&gt;高値!O123),8,""))</f>
        <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f>IF(終値!A123="","",IF(AND(高値!Q123&gt;高値!P123,高値!Q123&gt;高値!O123,高値!Q123&gt;高値!R123,高値!Q123&gt;高値!S123),12,""))</f>
        <v>12</v>
      </c>
      <c r="AN123" s="503" t="str">
        <f>IF(終値!A123="","",IF(AND(高値!R123&gt;高値!Q123,高値!R123&gt;高値!P123,高値!R123&gt;高値!S123,高値!R123&gt;高値!T123),13,""))</f>
        <v/>
      </c>
      <c r="AO123" s="503" t="str">
        <f>IF(終値!A123="","",IF(AND(高値!S123&gt;高値!R123,高値!S123&gt;高値!Q123,高値!S123&gt;高値!T123,高値!S123&gt;高値!U123),14,""))</f>
        <v/>
      </c>
      <c r="AP123" s="503">
        <f>IF(終値!A123="","",IF(AND(高値!T123&gt;高値!S123,高値!T123&gt;高値!R123,高値!T123&gt;高値!U123,高値!T123&gt;高値!V123),15,""))</f>
        <v>15</v>
      </c>
      <c r="AQ123" s="503" t="str">
        <f>IF(終値!A123="","",IF(AND(高値!U123&gt;高値!T123,高値!U123&gt;高値!S123,高値!U123&gt;高値!V123,高値!U123&gt;高値!W123),16,""))</f>
        <v/>
      </c>
      <c r="AR123" s="503" t="str">
        <f>IF(終値!A123="","",IF(AND(高値!V123&gt;高値!U123,高値!V123&gt;高値!T123,高値!V123&gt;高値!W123,高値!V123&gt;高値!X123),17,""))</f>
        <v/>
      </c>
      <c r="AS123" s="503">
        <f>IF(終値!A123="","",IF(AND(高値!W123&gt;高値!V123,高値!W123&gt;高値!U123,高値!W123&gt;高値!X123,高値!W123&gt;高値!Y123),18,""))</f>
        <v>18</v>
      </c>
      <c r="AT123" s="503" t="str">
        <f>IF(終値!A123="","",IF(AND(高値!X123&gt;高値!W123,高値!X123&gt;高値!V123,高値!X123&gt;高値!Y123,高値!X123&gt;高値!Z123),19,""))</f>
        <v/>
      </c>
      <c r="AU123" s="503" t="str">
        <f>IF(終値!A123="","",IF(AND(高値!Y123&gt;高値!X123,高値!Y123&gt;高値!W123,高値!Y123&gt;高値!Z123,高値!Y123&gt;高値!AA123),20,""))</f>
        <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f>IF(終値!A123="","",IF(AND(高値!AG123&gt;高値!AF123,高値!AG123&gt;高値!AE123,高値!AG123&gt;高値!AH123,高値!AG123&gt;高値!AI123),28,""))</f>
        <v>28</v>
      </c>
      <c r="BD123" s="503">
        <f t="shared" si="6"/>
        <v>3</v>
      </c>
      <c r="BE123" s="503">
        <f t="shared" si="7"/>
        <v>11</v>
      </c>
      <c r="BF123" s="503">
        <f t="shared" si="8"/>
        <v>16</v>
      </c>
      <c r="BG123" s="503">
        <f>IF($BE123="","",INDEX(安値!$E123:$CZ123,1,$BE123+1))</f>
        <v>2412.5</v>
      </c>
      <c r="BH123" s="503">
        <f>IF($BF123="","",INDEX(安値!$E123:$CZ123,1,$BF123+1))</f>
        <v>2544.5</v>
      </c>
      <c r="BI123" s="503">
        <f>IF($BF123="","",MAX(INDEX(高値!$E123:$CZ123,1,$BE123+1):INDEX(高値!$E123:$CZ123,1,$BF123+1)))</f>
        <v>2638.5</v>
      </c>
      <c r="BJ123" s="503">
        <f>IF($BF123="","",AVERAGE(INDEX(終値!$E123:$CZ123,1,$BF123+1):INDEX(終値!$E123:$CZ123,1,$BF123+20))-2*STDEVP(INDEX(終値!$E123:$CZ123,1,$BF123+1):INDEX(終値!$E123:$CZ123,1,$BF123+20)))</f>
        <v>2244.8600059866585</v>
      </c>
      <c r="BK123" s="503">
        <f>IF($BE123="","",AVERAGE(INDEX(終値!$E123:$CZ123,1,$BE123+1):INDEX(終値!$E123:$CZ123,1,$BE123+20))-2*STDEVP(INDEX(終値!$E123:$CZ123,1,$BE123+1):INDEX(終値!$E123:$CZ123,1,$BE123+20)))</f>
        <v>2287.9504883602849</v>
      </c>
      <c r="BL123" s="503">
        <f t="shared" si="9"/>
        <v>5</v>
      </c>
      <c r="BM123" s="503">
        <f t="shared" si="10"/>
        <v>6</v>
      </c>
      <c r="BN123" s="503">
        <f t="shared" si="11"/>
        <v>12</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二番天井M形成</v>
      </c>
    </row>
    <row r="124" spans="2:72">
      <c r="B124" s="503" t="str">
        <f>IF(終値!A124="","",IF(AND(安値!G124&lt;安値!F124,安値!G124&lt;安値!E124,安値!G124&lt;安値!H124,安値!G124&lt;安値!I124),2,""))</f>
        <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f>IF(終値!A124="","",IF(AND(安値!L124&lt;安値!K124,安値!L124&lt;安値!J124,安値!L124&lt;安値!M124,安値!L124&lt;安値!N124),7,""))</f>
        <v>7</v>
      </c>
      <c r="H124" s="503" t="str">
        <f>IF(終値!A124="","",IF(AND(安値!M124&lt;安値!L124,安値!M124&lt;安値!K124,安値!M124&lt;安値!N124,安値!M124&lt;安値!O124),8,""))</f>
        <v/>
      </c>
      <c r="I124" s="503" t="str">
        <f>IF(終値!A124="","",IF(AND(安値!N124&lt;安値!M124,安値!N124&lt;安値!L124,安値!N124&lt;安値!O124,安値!N124&lt;安値!P124),9,""))</f>
        <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f>IF(終値!A124="","",IF(AND(安値!AA124&lt;安値!Z124,安値!AA124&lt;安値!Y124,安値!AA124&lt;安値!AB124,安値!AA124&lt;安値!AC124),22,""))</f>
        <v>22</v>
      </c>
      <c r="W124" s="503" t="str">
        <f>IF(終値!A124="","",IF(AND(安値!AB124&lt;安値!AA124,安値!AB124&lt;安値!Z124,安値!AB124&lt;安値!AC124,安値!AB124&lt;安値!AD124),23,""))</f>
        <v/>
      </c>
      <c r="X124" s="503" t="str">
        <f>IF(終値!A124="","",IF(AND(安値!AC124&lt;安値!AB124,安値!AC124&lt;安値!AA124,安値!AC124&lt;安値!AD124,安値!AC124&lt;安値!AE124),24,""))</f>
        <v/>
      </c>
      <c r="Y124" s="503">
        <f>IF(終値!A124="","",IF(AND(安値!AD124&lt;安値!AC124,安値!AD124&lt;安値!AB124,安値!AD124&lt;安値!AE124,安値!AD124&lt;安値!AF124),25,""))</f>
        <v>25</v>
      </c>
      <c r="Z124" s="503" t="str">
        <f>IF(終値!A124="","",IF(AND(安値!AE124&lt;安値!AD124,安値!AE124&lt;安値!AC124,安値!AE124&lt;安値!AF124,安値!AE124&lt;安値!AG124),26,""))</f>
        <v/>
      </c>
      <c r="AA124" s="503" t="str">
        <f>IF(終値!A124="","",IF(AND(安値!AF124&lt;安値!AE124,安値!AF124&lt;安値!AD124,安値!AF124&lt;安値!AG124,安値!AF124&lt;安値!AH124),27,""))</f>
        <v/>
      </c>
      <c r="AB124" s="503">
        <f>IF(終値!A124="","",IF(AND(安値!AG124&lt;安値!AF124,安値!AG124&lt;安値!AE124,安値!AG124&lt;安値!AH124,安値!AG124&lt;安値!AI124),28,""))</f>
        <v>28</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f>IF(終値!A124="","",IF(AND(高値!I124&gt;高値!H124,高値!I124&gt;高値!G124,高値!I124&gt;高値!J124,高値!I124&gt;高値!K124),4,""))</f>
        <v>4</v>
      </c>
      <c r="AF124" s="503" t="str">
        <f>IF(終値!A124="","",IF(AND(高値!J124&gt;高値!I124,高値!J124&gt;高値!H124,高値!J124&gt;高値!K124,高値!J124&gt;高値!L124),5,""))</f>
        <v/>
      </c>
      <c r="AG124" s="503" t="str">
        <f>IF(終値!A124="","",IF(AND(高値!K124&gt;高値!J124,高値!K124&gt;高値!I124,高値!K124&gt;高値!L124,高値!K124&gt;高値!M124),6,""))</f>
        <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f>IF(終値!A124="","",IF(AND(高値!O124&gt;高値!N124,高値!O124&gt;高値!M124,高値!O124&gt;高値!P124,高値!O124&gt;高値!Q124),10,""))</f>
        <v>10</v>
      </c>
      <c r="AL124" s="503" t="str">
        <f>IF(終値!A124="","",IF(AND(高値!P124&gt;高値!O124,高値!P124&gt;高値!N124,高値!P124&gt;高値!Q124,高値!P124&gt;高値!R124),11,""))</f>
        <v/>
      </c>
      <c r="AM124" s="503" t="str">
        <f>IF(終値!A124="","",IF(AND(高値!Q124&gt;高値!P124,高値!Q124&gt;高値!O124,高値!Q124&gt;高値!R124,高値!Q124&gt;高値!S124),12,""))</f>
        <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f>IF(終値!A124="","",IF(AND(高値!W124&gt;高値!V124,高値!W124&gt;高値!U124,高値!W124&gt;高値!X124,高値!W124&gt;高値!Y124),18,""))</f>
        <v>18</v>
      </c>
      <c r="AT124" s="503" t="str">
        <f>IF(終値!A124="","",IF(AND(高値!X124&gt;高値!W124,高値!X124&gt;高値!V124,高値!X124&gt;高値!Y124,高値!X124&gt;高値!Z124),19,""))</f>
        <v/>
      </c>
      <c r="AU124" s="503" t="str">
        <f>IF(終値!A124="","",IF(AND(高値!Y124&gt;高値!X124,高値!Y124&gt;高値!W124,高値!Y124&gt;高値!Z124,高値!Y124&gt;高値!AA124),20,""))</f>
        <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f>IF(終値!A124="","",IF(AND(高値!AB124&gt;高値!AA124,高値!AB124&gt;高値!Z124,高値!AB124&gt;高値!AC124,高値!AB124&gt;高値!AD124),23,""))</f>
        <v>23</v>
      </c>
      <c r="AY124" s="503" t="str">
        <f>IF(終値!A124="","",IF(AND(高値!AC124&gt;高値!AB124,高値!AC124&gt;高値!AA124,高値!AC124&gt;高値!AD124,高値!AC124&gt;高値!AE124),24,""))</f>
        <v/>
      </c>
      <c r="AZ124" s="503" t="str">
        <f>IF(終値!A124="","",IF(AND(高値!AD124&gt;高値!AC124,高値!AD124&gt;高値!AB124,高値!AD124&gt;高値!AE124,高値!AD124&gt;高値!AF124),25,""))</f>
        <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7</v>
      </c>
      <c r="BF124" s="503">
        <f t="shared" si="8"/>
        <v>22</v>
      </c>
      <c r="BG124" s="503">
        <f>IF($BE124="","",INDEX(安値!$E124:$CZ124,1,$BE124+1))</f>
        <v>1526</v>
      </c>
      <c r="BH124" s="503">
        <f>IF($BF124="","",INDEX(安値!$E124:$CZ124,1,$BF124+1))</f>
        <v>1457</v>
      </c>
      <c r="BI124" s="503">
        <f>IF($BF124="","",MAX(INDEX(高値!$E124:$CZ124,1,$BE124+1):INDEX(高値!$E124:$CZ124,1,$BF124+1)))</f>
        <v>1592.5</v>
      </c>
      <c r="BJ124" s="503">
        <f>IF($BF124="","",AVERAGE(INDEX(終値!$E124:$CZ124,1,$BF124+1):INDEX(終値!$E124:$CZ124,1,$BF124+20))-2*STDEVP(INDEX(終値!$E124:$CZ124,1,$BF124+1):INDEX(終値!$E124:$CZ124,1,$BF124+20)))</f>
        <v>1434.103518334912</v>
      </c>
      <c r="BK124" s="503">
        <f>IF($BE124="","",AVERAGE(INDEX(終値!$E124:$CZ124,1,$BE124+1):INDEX(終値!$E124:$CZ124,1,$BE124+20))-2*STDEVP(INDEX(終値!$E124:$CZ124,1,$BE124+1):INDEX(終値!$E124:$CZ124,1,$BE124+20)))</f>
        <v>1471.1811166587981</v>
      </c>
      <c r="BL124" s="503">
        <f t="shared" si="9"/>
        <v>4</v>
      </c>
      <c r="BM124" s="503">
        <f t="shared" si="10"/>
        <v>4</v>
      </c>
      <c r="BN124" s="503">
        <f t="shared" si="11"/>
        <v>10</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二番天井M▼</v>
      </c>
    </row>
    <row r="125" spans="2:72">
      <c r="B125" s="503" t="str">
        <f>IF(終値!A125="","",IF(AND(安値!G125&lt;安値!F125,安値!G125&lt;安値!E125,安値!G125&lt;安値!H125,安値!G125&lt;安値!I125),2,""))</f>
        <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f>IF(終値!A125="","",IF(AND(安値!L125&lt;安値!K125,安値!L125&lt;安値!J125,安値!L125&lt;安値!M125,安値!L125&lt;安値!N125),7,""))</f>
        <v>7</v>
      </c>
      <c r="H125" s="503" t="str">
        <f>IF(終値!A125="","",IF(AND(安値!M125&lt;安値!L125,安値!M125&lt;安値!K125,安値!M125&lt;安値!N125,安値!M125&lt;安値!O125),8,""))</f>
        <v/>
      </c>
      <c r="I125" s="503" t="str">
        <f>IF(終値!A125="","",IF(AND(安値!N125&lt;安値!M125,安値!N125&lt;安値!L125,安値!N125&lt;安値!O125,安値!N125&lt;安値!P125),9,""))</f>
        <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f>IF(終値!A125="","",IF(AND(安値!S125&lt;安値!R125,安値!S125&lt;安値!Q125,安値!S125&lt;安値!T125,安値!S125&lt;安値!U125),14,""))</f>
        <v>14</v>
      </c>
      <c r="O125" s="503" t="str">
        <f>IF(終値!A125="","",IF(AND(安値!T125&lt;安値!S125,安値!T125&lt;安値!R125,安値!T125&lt;安値!U125,安値!T125&lt;安値!V125),15,""))</f>
        <v/>
      </c>
      <c r="P125" s="503" t="str">
        <f>IF(終値!A125="","",IF(AND(安値!U125&lt;安値!T125,安値!U125&lt;安値!S125,安値!U125&lt;安値!V125,安値!U125&lt;安値!W125),16,""))</f>
        <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f>IF(終値!A125="","",IF(AND(安値!AA125&lt;安値!Z125,安値!AA125&lt;安値!Y125,安値!AA125&lt;安値!AB125,安値!AA125&lt;安値!AC125),22,""))</f>
        <v>22</v>
      </c>
      <c r="W125" s="503" t="str">
        <f>IF(終値!A125="","",IF(AND(安値!AB125&lt;安値!AA125,安値!AB125&lt;安値!Z125,安値!AB125&lt;安値!AC125,安値!AB125&lt;安値!AD125),23,""))</f>
        <v/>
      </c>
      <c r="X125" s="503" t="str">
        <f>IF(終値!A125="","",IF(AND(安値!AC125&lt;安値!AB125,安値!AC125&lt;安値!AA125,安値!AC125&lt;安値!AD125,安値!AC125&lt;安値!AE125),24,""))</f>
        <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f>IF(終値!A125="","",IF(AND(安値!AG125&lt;安値!AF125,安値!AG125&lt;安値!AE125,安値!AG125&lt;安値!AH125,安値!AG125&lt;安値!AI125),28,""))</f>
        <v>28</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f>IF(終値!A125="","",IF(AND(高値!I125&gt;高値!H125,高値!I125&gt;高値!G125,高値!I125&gt;高値!J125,高値!I125&gt;高値!K125),4,""))</f>
        <v>4</v>
      </c>
      <c r="AF125" s="503" t="str">
        <f>IF(終値!A125="","",IF(AND(高値!J125&gt;高値!I125,高値!J125&gt;高値!H125,高値!J125&gt;高値!K125,高値!J125&gt;高値!L125),5,""))</f>
        <v/>
      </c>
      <c r="AG125" s="503" t="str">
        <f>IF(終値!A125="","",IF(AND(高値!K125&gt;高値!J125,高値!K125&gt;高値!I125,高値!K125&gt;高値!L125,高値!K125&gt;高値!M125),6,""))</f>
        <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f>IF(終値!A125="","",IF(AND(高値!P125&gt;高値!O125,高値!P125&gt;高値!N125,高値!P125&gt;高値!Q125,高値!P125&gt;高値!R125),11,""))</f>
        <v>11</v>
      </c>
      <c r="AM125" s="503" t="str">
        <f>IF(終値!A125="","",IF(AND(高値!Q125&gt;高値!P125,高値!Q125&gt;高値!O125,高値!Q125&gt;高値!R125,高値!Q125&gt;高値!S125),12,""))</f>
        <v/>
      </c>
      <c r="AN125" s="503" t="str">
        <f>IF(終値!A125="","",IF(AND(高値!R125&gt;高値!Q125,高値!R125&gt;高値!P125,高値!R125&gt;高値!S125,高値!R125&gt;高値!T125),13,""))</f>
        <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f>IF(終値!A125="","",IF(AND(高値!V125&gt;高値!U125,高値!V125&gt;高値!T125,高値!V125&gt;高値!W125,高値!V125&gt;高値!X125),17,""))</f>
        <v>17</v>
      </c>
      <c r="AS125" s="503" t="str">
        <f>IF(終値!A125="","",IF(AND(高値!W125&gt;高値!V125,高値!W125&gt;高値!U125,高値!W125&gt;高値!X125,高値!W125&gt;高値!Y125),18,""))</f>
        <v/>
      </c>
      <c r="AT125" s="503" t="str">
        <f>IF(終値!A125="","",IF(AND(高値!X125&gt;高値!W125,高値!X125&gt;高値!V125,高値!X125&gt;高値!Y125,高値!X125&gt;高値!Z125),19,""))</f>
        <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f>IF(終値!A125="","",IF(AND(高値!AB125&gt;高値!AA125,高値!AB125&gt;高値!Z125,高値!AB125&gt;高値!AC125,高値!AB125&gt;高値!AD125),23,""))</f>
        <v>23</v>
      </c>
      <c r="AY125" s="503" t="str">
        <f>IF(終値!A125="","",IF(AND(高値!AC125&gt;高値!AB125,高値!AC125&gt;高値!AA125,高値!AC125&gt;高値!AD125,高値!AC125&gt;高値!AE125),24,""))</f>
        <v/>
      </c>
      <c r="AZ125" s="503" t="str">
        <f>IF(終値!A125="","",IF(AND(高値!AD125&gt;高値!AC125,高値!AD125&gt;高値!AB125,高値!AD125&gt;高値!AE125,高値!AD125&gt;高値!AF125),25,""))</f>
        <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7</v>
      </c>
      <c r="BF125" s="503">
        <f t="shared" si="8"/>
        <v>14</v>
      </c>
      <c r="BG125" s="503">
        <f>IF($BE125="","",INDEX(安値!$E125:$CZ125,1,$BE125+1))</f>
        <v>2471</v>
      </c>
      <c r="BH125" s="503">
        <f>IF($BF125="","",INDEX(安値!$E125:$CZ125,1,$BF125+1))</f>
        <v>2461</v>
      </c>
      <c r="BI125" s="503">
        <f>IF($BF125="","",MAX(INDEX(高値!$E125:$CZ125,1,$BE125+1):INDEX(高値!$E125:$CZ125,1,$BF125+1)))</f>
        <v>2577</v>
      </c>
      <c r="BJ125" s="503">
        <f>IF($BF125="","",AVERAGE(INDEX(終値!$E125:$CZ125,1,$BF125+1):INDEX(終値!$E125:$CZ125,1,$BF125+20))-2*STDEVP(INDEX(終値!$E125:$CZ125,1,$BF125+1):INDEX(終値!$E125:$CZ125,1,$BF125+20)))</f>
        <v>2286.9676836445119</v>
      </c>
      <c r="BK125" s="503">
        <f>IF($BE125="","",AVERAGE(INDEX(終値!$E125:$CZ125,1,$BE125+1):INDEX(終値!$E125:$CZ125,1,$BE125+20))-2*STDEVP(INDEX(終値!$E125:$CZ125,1,$BE125+1):INDEX(終値!$E125:$CZ125,1,$BE125+20)))</f>
        <v>2371.6890319102517</v>
      </c>
      <c r="BL125" s="503">
        <f t="shared" si="9"/>
        <v>4</v>
      </c>
      <c r="BM125" s="503">
        <f t="shared" si="10"/>
        <v>4</v>
      </c>
      <c r="BN125" s="503">
        <f t="shared" si="11"/>
        <v>11</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二番天井M▼</v>
      </c>
    </row>
    <row r="126" spans="2:72">
      <c r="B126" s="503" t="str">
        <f>IF(終値!A126="","",IF(AND(安値!G126&lt;安値!F126,安値!G126&lt;安値!E126,安値!G126&lt;安値!H126,安値!G126&lt;安値!I126),2,""))</f>
        <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f>IF(終値!A126="","",IF(AND(安値!L126&lt;安値!K126,安値!L126&lt;安値!J126,安値!L126&lt;安値!M126,安値!L126&lt;安値!N126),7,""))</f>
        <v>7</v>
      </c>
      <c r="H126" s="503" t="str">
        <f>IF(終値!A126="","",IF(AND(安値!M126&lt;安値!L126,安値!M126&lt;安値!K126,安値!M126&lt;安値!N126,安値!M126&lt;安値!O126),8,""))</f>
        <v/>
      </c>
      <c r="I126" s="503" t="str">
        <f>IF(終値!A126="","",IF(AND(安値!N126&lt;安値!M126,安値!N126&lt;安値!L126,安値!N126&lt;安値!O126,安値!N126&lt;安値!P126),9,""))</f>
        <v/>
      </c>
      <c r="J126" s="503" t="str">
        <f>IF(終値!A126="","",IF(AND(安値!O126&lt;安値!N126,安値!O126&lt;安値!M126,安値!O126&lt;安値!P126,安値!O126&lt;安値!Q126),10,""))</f>
        <v/>
      </c>
      <c r="K126" s="503">
        <f>IF(終値!A126="","",IF(AND(安値!P126&lt;安値!O126,安値!P126&lt;安値!N126,安値!P126&lt;安値!Q126,安値!P126&lt;安値!R126),11,""))</f>
        <v>11</v>
      </c>
      <c r="L126" s="503" t="str">
        <f>IF(終値!A126="","",IF(AND(安値!Q126&lt;安値!P126,安値!Q126&lt;安値!O126,安値!Q126&lt;安値!R126,安値!Q126&lt;安値!S126),12,""))</f>
        <v/>
      </c>
      <c r="M126" s="503" t="str">
        <f>IF(終値!A126="","",IF(AND(安値!R126&lt;安値!Q126,安値!R126&lt;安値!P126,安値!R126&lt;安値!S126,安値!R126&lt;安値!T126),13,""))</f>
        <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f>IF(終値!A126="","",IF(AND(安値!U126&lt;安値!T126,安値!U126&lt;安値!S126,安値!U126&lt;安値!V126,安値!U126&lt;安値!W126),16,""))</f>
        <v>16</v>
      </c>
      <c r="Q126" s="503" t="str">
        <f>IF(終値!A126="","",IF(AND(安値!V126&lt;安値!U126,安値!V126&lt;安値!T126,安値!V126&lt;安値!W126,安値!V126&lt;安値!X126),17,""))</f>
        <v/>
      </c>
      <c r="R126" s="503" t="str">
        <f>IF(終値!A126="","",IF(AND(安値!W126&lt;安値!V126,安値!W126&lt;安値!U126,安値!W126&lt;安値!X126,安値!W126&lt;安値!Y126),18,""))</f>
        <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f>IF(終値!A126="","",IF(AND(安値!AA126&lt;安値!Z126,安値!AA126&lt;安値!Y126,安値!AA126&lt;安値!AB126,安値!AA126&lt;安値!AC126),22,""))</f>
        <v>22</v>
      </c>
      <c r="W126" s="503" t="str">
        <f>IF(終値!A126="","",IF(AND(安値!AB126&lt;安値!AA126,安値!AB126&lt;安値!Z126,安値!AB126&lt;安値!AC126,安値!AB126&lt;安値!AD126),23,""))</f>
        <v/>
      </c>
      <c r="X126" s="503" t="str">
        <f>IF(終値!A126="","",IF(AND(安値!AC126&lt;安値!AB126,安値!AC126&lt;安値!AA126,安値!AC126&lt;安値!AD126,安値!AC126&lt;安値!AE126),24,""))</f>
        <v/>
      </c>
      <c r="Y126" s="503">
        <f>IF(終値!A126="","",IF(AND(安値!AD126&lt;安値!AC126,安値!AD126&lt;安値!AB126,安値!AD126&lt;安値!AE126,安値!AD126&lt;安値!AF126),25,""))</f>
        <v>25</v>
      </c>
      <c r="Z126" s="503" t="str">
        <f>IF(終値!A126="","",IF(AND(安値!AE126&lt;安値!AD126,安値!AE126&lt;安値!AC126,安値!AE126&lt;安値!AF126,安値!AE126&lt;安値!AG126),26,""))</f>
        <v/>
      </c>
      <c r="AA126" s="503" t="str">
        <f>IF(終値!A126="","",IF(AND(安値!AF126&lt;安値!AE126,安値!AF126&lt;安値!AD126,安値!AF126&lt;安値!AG126,安値!AF126&lt;安値!AH126),27,""))</f>
        <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f>IF(終値!A126="","",IF(AND(高値!I126&gt;高値!H126,高値!I126&gt;高値!G126,高値!I126&gt;高値!J126,高値!I126&gt;高値!K126),4,""))</f>
        <v>4</v>
      </c>
      <c r="AF126" s="503" t="str">
        <f>IF(終値!A126="","",IF(AND(高値!J126&gt;高値!I126,高値!J126&gt;高値!H126,高値!J126&gt;高値!K126,高値!J126&gt;高値!L126),5,""))</f>
        <v/>
      </c>
      <c r="AG126" s="503" t="str">
        <f>IF(終値!A126="","",IF(AND(高値!K126&gt;高値!J126,高値!K126&gt;高値!I126,高値!K126&gt;高値!L126,高値!K126&gt;高値!M126),6,""))</f>
        <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f>IF(終値!A126="","",IF(AND(高値!R126&gt;高値!Q126,高値!R126&gt;高値!P126,高値!R126&gt;高値!S126,高値!R126&gt;高値!T126),13,""))</f>
        <v>13</v>
      </c>
      <c r="AO126" s="503" t="str">
        <f>IF(終値!A126="","",IF(AND(高値!S126&gt;高値!R126,高値!S126&gt;高値!Q126,高値!S126&gt;高値!T126,高値!S126&gt;高値!U126),14,""))</f>
        <v/>
      </c>
      <c r="AP126" s="503" t="str">
        <f>IF(終値!A126="","",IF(AND(高値!T126&gt;高値!S126,高値!T126&gt;高値!R126,高値!T126&gt;高値!U126,高値!T126&gt;高値!V126),15,""))</f>
        <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f>IF(終値!A126="","",IF(AND(高値!W126&gt;高値!V126,高値!W126&gt;高値!U126,高値!W126&gt;高値!X126,高値!W126&gt;高値!Y126),18,""))</f>
        <v>18</v>
      </c>
      <c r="AT126" s="503" t="str">
        <f>IF(終値!A126="","",IF(AND(高値!X126&gt;高値!W126,高値!X126&gt;高値!V126,高値!X126&gt;高値!Y126,高値!X126&gt;高値!Z126),19,""))</f>
        <v/>
      </c>
      <c r="AU126" s="503" t="str">
        <f>IF(終値!A126="","",IF(AND(高値!Y126&gt;高値!X126,高値!Y126&gt;高値!W126,高値!Y126&gt;高値!Z126,高値!Y126&gt;高値!AA126),20,""))</f>
        <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5</v>
      </c>
      <c r="BE126" s="503">
        <f t="shared" si="7"/>
        <v>7</v>
      </c>
      <c r="BF126" s="503">
        <f t="shared" si="8"/>
        <v>11</v>
      </c>
      <c r="BG126" s="503">
        <f>IF($BE126="","",INDEX(安値!$E126:$CZ126,1,$BE126+1))</f>
        <v>979</v>
      </c>
      <c r="BH126" s="503">
        <f>IF($BF126="","",INDEX(安値!$E126:$CZ126,1,$BF126+1))</f>
        <v>993</v>
      </c>
      <c r="BI126" s="503">
        <f>IF($BF126="","",MAX(INDEX(高値!$E126:$CZ126,1,$BE126+1):INDEX(高値!$E126:$CZ126,1,$BF126+1)))</f>
        <v>1016</v>
      </c>
      <c r="BJ126" s="503">
        <f>IF($BF126="","",AVERAGE(INDEX(終値!$E126:$CZ126,1,$BF126+1):INDEX(終値!$E126:$CZ126,1,$BF126+20))-2*STDEVP(INDEX(終値!$E126:$CZ126,1,$BF126+1):INDEX(終値!$E126:$CZ126,1,$BF126+20)))</f>
        <v>960.13743595046753</v>
      </c>
      <c r="BK126" s="503">
        <f>IF($BE126="","",AVERAGE(INDEX(終値!$E126:$CZ126,1,$BE126+1):INDEX(終値!$E126:$CZ126,1,$BE126+20))-2*STDEVP(INDEX(終値!$E126:$CZ126,1,$BE126+1):INDEX(終値!$E126:$CZ126,1,$BE126+20)))</f>
        <v>963.86070511620051</v>
      </c>
      <c r="BL126" s="503">
        <f t="shared" si="9"/>
        <v>3</v>
      </c>
      <c r="BM126" s="503">
        <f t="shared" si="10"/>
        <v>4</v>
      </c>
      <c r="BN126" s="503">
        <f t="shared" si="11"/>
        <v>13</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二番天井M形成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f>IF(終値!A127="","",IF(AND(安値!S127&lt;安値!R127,安値!S127&lt;安値!Q127,安値!S127&lt;安値!T127,安値!S127&lt;安値!U127),14,""))</f>
        <v>14</v>
      </c>
      <c r="O127" s="503" t="str">
        <f>IF(終値!A127="","",IF(AND(安値!T127&lt;安値!S127,安値!T127&lt;安値!R127,安値!T127&lt;安値!U127,安値!T127&lt;安値!V127),15,""))</f>
        <v/>
      </c>
      <c r="P127" s="503" t="str">
        <f>IF(終値!A127="","",IF(AND(安値!U127&lt;安値!T127,安値!U127&lt;安値!S127,安値!U127&lt;安値!V127,安値!U127&lt;安値!W127),16,""))</f>
        <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f>IF(終値!A127="","",IF(AND(安値!Z127&lt;安値!Y127,安値!Z127&lt;安値!X127,安値!Z127&lt;安値!AA127,安値!Z127&lt;安値!AB127),21,""))</f>
        <v>21</v>
      </c>
      <c r="V127" s="503" t="str">
        <f>IF(終値!A127="","",IF(AND(安値!AA127&lt;安値!Z127,安値!AA127&lt;安値!Y127,安値!AA127&lt;安値!AB127,安値!AA127&lt;安値!AC127),22,""))</f>
        <v/>
      </c>
      <c r="W127" s="503" t="str">
        <f>IF(終値!A127="","",IF(AND(安値!AB127&lt;安値!AA127,安値!AB127&lt;安値!Z127,安値!AB127&lt;安値!AC127,安値!AB127&lt;安値!AD127),23,""))</f>
        <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f>IF(終値!A127="","",IF(AND(安値!AE127&lt;安値!AD127,安値!AE127&lt;安値!AC127,安値!AE127&lt;安値!AF127,安値!AE127&lt;安値!AG127),26,""))</f>
        <v>26</v>
      </c>
      <c r="AA127" s="503" t="str">
        <f>IF(終値!A127="","",IF(AND(安値!AF127&lt;安値!AE127,安値!AF127&lt;安値!AD127,安値!AF127&lt;安値!AG127,安値!AF127&lt;安値!AH127),27,""))</f>
        <v/>
      </c>
      <c r="AB127" s="503" t="str">
        <f>IF(終値!A127="","",IF(AND(安値!AG127&lt;安値!AF127,安値!AG127&lt;安値!AE127,安値!AG127&lt;安値!AH127,安値!AG127&lt;安値!AI127),28,""))</f>
        <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f>IF(終値!A127="","",IF(AND(高値!I127&gt;高値!H127,高値!I127&gt;高値!G127,高値!I127&gt;高値!J127,高値!I127&gt;高値!K127),4,""))</f>
        <v>4</v>
      </c>
      <c r="AF127" s="503" t="str">
        <f>IF(終値!A127="","",IF(AND(高値!J127&gt;高値!I127,高値!J127&gt;高値!H127,高値!J127&gt;高値!K127,高値!J127&gt;高値!L127),5,""))</f>
        <v/>
      </c>
      <c r="AG127" s="503" t="str">
        <f>IF(終値!A127="","",IF(AND(高値!K127&gt;高値!J127,高値!K127&gt;高値!I127,高値!K127&gt;高値!L127,高値!K127&gt;高値!M127),6,""))</f>
        <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f>IF(終値!A127="","",IF(AND(高値!V127&gt;高値!U127,高値!V127&gt;高値!T127,高値!V127&gt;高値!W127,高値!V127&gt;高値!X127),17,""))</f>
        <v>17</v>
      </c>
      <c r="AS127" s="503" t="str">
        <f>IF(終値!A127="","",IF(AND(高値!W127&gt;高値!V127,高値!W127&gt;高値!U127,高値!W127&gt;高値!X127,高値!W127&gt;高値!Y127),18,""))</f>
        <v/>
      </c>
      <c r="AT127" s="503" t="str">
        <f>IF(終値!A127="","",IF(AND(高値!X127&gt;高値!W127,高値!X127&gt;高値!V127,高値!X127&gt;高値!Y127,高値!X127&gt;高値!Z127),19,""))</f>
        <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f>IF(終値!A127="","",IF(AND(高値!AB127&gt;高値!AA127,高値!AB127&gt;高値!Z127,高値!AB127&gt;高値!AC127,高値!AB127&gt;高値!AD127),23,""))</f>
        <v>23</v>
      </c>
      <c r="AY127" s="503" t="str">
        <f>IF(終値!A127="","",IF(AND(高値!AC127&gt;高値!AB127,高値!AC127&gt;高値!AA127,高値!AC127&gt;高値!AD127,高値!AC127&gt;高値!AE127),24,""))</f>
        <v/>
      </c>
      <c r="AZ127" s="503" t="str">
        <f>IF(終値!A127="","",IF(AND(高値!AD127&gt;高値!AC127,高値!AD127&gt;高値!AB127,高値!AD127&gt;高値!AE127,高値!AD127&gt;高値!AF127),25,""))</f>
        <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f>IF(終値!A127="","",IF(AND(高値!AG127&gt;高値!AF127,高値!AG127&gt;高値!AE127,高値!AG127&gt;高値!AH127,高値!AG127&gt;高値!AI127),28,""))</f>
        <v>28</v>
      </c>
      <c r="BD127" s="503">
        <f t="shared" si="6"/>
        <v>3</v>
      </c>
      <c r="BE127" s="503">
        <f t="shared" si="7"/>
        <v>14</v>
      </c>
      <c r="BF127" s="503">
        <f t="shared" si="8"/>
        <v>21</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4</v>
      </c>
      <c r="BM127" s="503">
        <f t="shared" si="10"/>
        <v>4</v>
      </c>
      <c r="BN127" s="503">
        <f t="shared" si="11"/>
        <v>17</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f>IF(終値!A128="","",IF(AND(安値!H128&lt;安値!G128,安値!H128&lt;安値!F128,安値!H128&lt;安値!I128,安値!H128&lt;安値!J128),3,""))</f>
        <v>3</v>
      </c>
      <c r="D128" s="503" t="str">
        <f>IF(終値!A128="","",IF(AND(安値!I128&lt;安値!H128,安値!I128&lt;安値!G128,安値!I128&lt;安値!J128,安値!I128&lt;安値!K128),4,""))</f>
        <v/>
      </c>
      <c r="E128" s="503" t="str">
        <f>IF(終値!A128="","",IF(AND(安値!J128&lt;安値!I128,安値!J128&lt;安値!H128,安値!J128&lt;安値!K128,安値!J128&lt;安値!L128),5,""))</f>
        <v/>
      </c>
      <c r="F128" s="503" t="str">
        <f>IF(終値!A128="","",IF(AND(安値!K128&lt;安値!J128,安値!K128&lt;安値!I128,安値!K128&lt;安値!L128,安値!K128&lt;安値!M128),6,""))</f>
        <v/>
      </c>
      <c r="G128" s="503">
        <f>IF(終値!A128="","",IF(AND(安値!L128&lt;安値!K128,安値!L128&lt;安値!J128,安値!L128&lt;安値!M128,安値!L128&lt;安値!N128),7,""))</f>
        <v>7</v>
      </c>
      <c r="H128" s="503" t="str">
        <f>IF(終値!A128="","",IF(AND(安値!M128&lt;安値!L128,安値!M128&lt;安値!K128,安値!M128&lt;安値!N128,安値!M128&lt;安値!O128),8,""))</f>
        <v/>
      </c>
      <c r="I128" s="503" t="str">
        <f>IF(終値!A128="","",IF(AND(安値!N128&lt;安値!M128,安値!N128&lt;安値!L128,安値!N128&lt;安値!O128,安値!N128&lt;安値!P128),9,""))</f>
        <v/>
      </c>
      <c r="J128" s="503" t="str">
        <f>IF(終値!A128="","",IF(AND(安値!O128&lt;安値!N128,安値!O128&lt;安値!M128,安値!O128&lt;安値!P128,安値!O128&lt;安値!Q128),10,""))</f>
        <v/>
      </c>
      <c r="K128" s="503">
        <f>IF(終値!A128="","",IF(AND(安値!P128&lt;安値!O128,安値!P128&lt;安値!N128,安値!P128&lt;安値!Q128,安値!P128&lt;安値!R128),11,""))</f>
        <v>11</v>
      </c>
      <c r="L128" s="503" t="str">
        <f>IF(終値!A128="","",IF(AND(安値!Q128&lt;安値!P128,安値!Q128&lt;安値!O128,安値!Q128&lt;安値!R128,安値!Q128&lt;安値!S128),12,""))</f>
        <v/>
      </c>
      <c r="M128" s="503" t="str">
        <f>IF(終値!A128="","",IF(AND(安値!R128&lt;安値!Q128,安値!R128&lt;安値!P128,安値!R128&lt;安値!S128,安値!R128&lt;安値!T128),13,""))</f>
        <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f>IF(終値!A128="","",IF(AND(安値!AA128&lt;安値!Z128,安値!AA128&lt;安値!Y128,安値!AA128&lt;安値!AB128,安値!AA128&lt;安値!AC128),22,""))</f>
        <v>22</v>
      </c>
      <c r="W128" s="503" t="str">
        <f>IF(終値!A128="","",IF(AND(安値!AB128&lt;安値!AA128,安値!AB128&lt;安値!Z128,安値!AB128&lt;安値!AC128,安値!AB128&lt;安値!AD128),23,""))</f>
        <v/>
      </c>
      <c r="X128" s="503" t="str">
        <f>IF(終値!A128="","",IF(AND(安値!AC128&lt;安値!AB128,安値!AC128&lt;安値!AA128,安値!AC128&lt;安値!AD128,安値!AC128&lt;安値!AE128),24,""))</f>
        <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f>IF(終値!A128="","",IF(AND(安値!AF128&lt;安値!AE128,安値!AF128&lt;安値!AD128,安値!AF128&lt;安値!AG128,安値!AF128&lt;安値!AH128),27,""))</f>
        <v>27</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f>IF(終値!A128="","",IF(AND(高値!K128&gt;高値!J128,高値!K128&gt;高値!I128,高値!K128&gt;高値!L128,高値!K128&gt;高値!M128),6,""))</f>
        <v>6</v>
      </c>
      <c r="AH128" s="503" t="str">
        <f>IF(終値!A128="","",IF(AND(高値!L128&gt;高値!K128,高値!L128&gt;高値!J128,高値!L128&gt;高値!M128,高値!L128&gt;高値!N128),7,""))</f>
        <v/>
      </c>
      <c r="AI128" s="503" t="str">
        <f>IF(終値!A128="","",IF(AND(高値!M128&gt;高値!L128,高値!M128&gt;高値!K128,高値!M128&gt;高値!N128,高値!M128&gt;高値!O128),8,""))</f>
        <v/>
      </c>
      <c r="AJ128" s="503">
        <f>IF(終値!A128="","",IF(AND(高値!N128&gt;高値!M128,高値!N128&gt;高値!L128,高値!N128&gt;高値!O128,高値!N128&gt;高値!P128),9,""))</f>
        <v>9</v>
      </c>
      <c r="AK128" s="503" t="str">
        <f>IF(終値!A128="","",IF(AND(高値!O128&gt;高値!N128,高値!O128&gt;高値!M128,高値!O128&gt;高値!P128,高値!O128&gt;高値!Q128),10,""))</f>
        <v/>
      </c>
      <c r="AL128" s="503" t="str">
        <f>IF(終値!A128="","",IF(AND(高値!P128&gt;高値!O128,高値!P128&gt;高値!N128,高値!P128&gt;高値!Q128,高値!P128&gt;高値!R128),11,""))</f>
        <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f>IF(終値!A128="","",IF(AND(高値!X128&gt;高値!W128,高値!X128&gt;高値!V128,高値!X128&gt;高値!Y128,高値!X128&gt;高値!Z128),19,""))</f>
        <v>19</v>
      </c>
      <c r="AU128" s="503" t="str">
        <f>IF(終値!A128="","",IF(AND(高値!Y128&gt;高値!X128,高値!Y128&gt;高値!W128,高値!Y128&gt;高値!Z128,高値!Y128&gt;高値!AA128),20,""))</f>
        <v/>
      </c>
      <c r="AV128" s="503" t="str">
        <f>IF(終値!A128="","",IF(AND(高値!Z128&gt;高値!Y128,高値!Z128&gt;高値!X128,高値!Z128&gt;高値!AA128,高値!Z128&gt;高値!AB128),21,""))</f>
        <v/>
      </c>
      <c r="AW128" s="503" t="str">
        <f>IF(終値!A128="","",IF(AND(高値!AA128&gt;高値!Z128,高値!AA128&gt;高値!Y128,高値!AA128&gt;高値!AB128,高値!AA128&gt;高値!AC128),22,""))</f>
        <v/>
      </c>
      <c r="AX128" s="503">
        <f>IF(終値!A128="","",IF(AND(高値!AB128&gt;高値!AA128,高値!AB128&gt;高値!Z128,高値!AB128&gt;高値!AC128,高値!AB128&gt;高値!AD128),23,""))</f>
        <v>23</v>
      </c>
      <c r="AY128" s="503" t="str">
        <f>IF(終値!A128="","",IF(AND(高値!AC128&gt;高値!AB128,高値!AC128&gt;高値!AA128,高値!AC128&gt;高値!AD128,高値!AC128&gt;高値!AE128),24,""))</f>
        <v/>
      </c>
      <c r="AZ128" s="503" t="str">
        <f>IF(終値!A128="","",IF(AND(高値!AD128&gt;高値!AC128,高値!AD128&gt;高値!AB128,高値!AD128&gt;高値!AE128,高値!AD128&gt;高値!AF128),25,""))</f>
        <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5</v>
      </c>
      <c r="BE128" s="503">
        <f t="shared" si="7"/>
        <v>3</v>
      </c>
      <c r="BF128" s="503">
        <f t="shared" si="8"/>
        <v>7</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6</v>
      </c>
      <c r="BN128" s="503">
        <f t="shared" si="11"/>
        <v>9</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f>IF(終値!A129="","",IF(AND(安値!I129&lt;安値!H129,安値!I129&lt;安値!G129,安値!I129&lt;安値!J129,安値!I129&lt;安値!K129),4,""))</f>
        <v>4</v>
      </c>
      <c r="E129" s="503" t="str">
        <f>IF(終値!A129="","",IF(AND(安値!J129&lt;安値!I129,安値!J129&lt;安値!H129,安値!J129&lt;安値!K129,安値!J129&lt;安値!L129),5,""))</f>
        <v/>
      </c>
      <c r="F129" s="503" t="str">
        <f>IF(終値!A129="","",IF(AND(安値!K129&lt;安値!J129,安値!K129&lt;安値!I129,安値!K129&lt;安値!L129,安値!K129&lt;安値!M129),6,""))</f>
        <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f>IF(終値!A129="","",IF(AND(安値!P129&lt;安値!O129,安値!P129&lt;安値!N129,安値!P129&lt;安値!Q129,安値!P129&lt;安値!R129),11,""))</f>
        <v>11</v>
      </c>
      <c r="L129" s="503" t="str">
        <f>IF(終値!A129="","",IF(AND(安値!Q129&lt;安値!P129,安値!Q129&lt;安値!O129,安値!Q129&lt;安値!R129,安値!Q129&lt;安値!S129),12,""))</f>
        <v/>
      </c>
      <c r="M129" s="503" t="str">
        <f>IF(終値!A129="","",IF(AND(安値!R129&lt;安値!Q129,安値!R129&lt;安値!P129,安値!R129&lt;安値!S129,安値!R129&lt;安値!T129),13,""))</f>
        <v/>
      </c>
      <c r="N129" s="503">
        <f>IF(終値!A129="","",IF(AND(安値!S129&lt;安値!R129,安値!S129&lt;安値!Q129,安値!S129&lt;安値!T129,安値!S129&lt;安値!U129),14,""))</f>
        <v>14</v>
      </c>
      <c r="O129" s="503" t="str">
        <f>IF(終値!A129="","",IF(AND(安値!T129&lt;安値!S129,安値!T129&lt;安値!R129,安値!T129&lt;安値!U129,安値!T129&lt;安値!V129),15,""))</f>
        <v/>
      </c>
      <c r="P129" s="503" t="str">
        <f>IF(終値!A129="","",IF(AND(安値!U129&lt;安値!T129,安値!U129&lt;安値!S129,安値!U129&lt;安値!V129,安値!U129&lt;安値!W129),16,""))</f>
        <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f>IF(終値!A129="","",IF(AND(安値!Y129&lt;安値!X129,安値!Y129&lt;安値!W129,安値!Y129&lt;安値!Z129,安値!Y129&lt;安値!AA129),20,""))</f>
        <v>20</v>
      </c>
      <c r="U129" s="503" t="str">
        <f>IF(終値!A129="","",IF(AND(安値!Z129&lt;安値!Y129,安値!Z129&lt;安値!X129,安値!Z129&lt;安値!AA129,安値!Z129&lt;安値!AB129),21,""))</f>
        <v/>
      </c>
      <c r="V129" s="503" t="str">
        <f>IF(終値!A129="","",IF(AND(安値!AA129&lt;安値!Z129,安値!AA129&lt;安値!Y129,安値!AA129&lt;安値!AB129,安値!AA129&lt;安値!AC129),22,""))</f>
        <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f>IF(終値!A129="","",IF(AND(高値!K129&gt;高値!J129,高値!K129&gt;高値!I129,高値!K129&gt;高値!L129,高値!K129&gt;高値!M129),6,""))</f>
        <v>6</v>
      </c>
      <c r="AH129" s="503" t="str">
        <f>IF(終値!A129="","",IF(AND(高値!L129&gt;高値!K129,高値!L129&gt;高値!J129,高値!L129&gt;高値!M129,高値!L129&gt;高値!N129),7,""))</f>
        <v/>
      </c>
      <c r="AI129" s="503" t="str">
        <f>IF(終値!A129="","",IF(AND(高値!M129&gt;高値!L129,高値!M129&gt;高値!K129,高値!M129&gt;高値!N129,高値!M129&gt;高値!O129),8,""))</f>
        <v/>
      </c>
      <c r="AJ129" s="503">
        <f>IF(終値!A129="","",IF(AND(高値!N129&gt;高値!M129,高値!N129&gt;高値!L129,高値!N129&gt;高値!O129,高値!N129&gt;高値!P129),9,""))</f>
        <v>9</v>
      </c>
      <c r="AK129" s="503" t="str">
        <f>IF(終値!A129="","",IF(AND(高値!O129&gt;高値!N129,高値!O129&gt;高値!M129,高値!O129&gt;高値!P129,高値!O129&gt;高値!Q129),10,""))</f>
        <v/>
      </c>
      <c r="AL129" s="503" t="str">
        <f>IF(終値!A129="","",IF(AND(高値!P129&gt;高値!O129,高値!P129&gt;高値!N129,高値!P129&gt;高値!Q129,高値!P129&gt;高値!R129),11,""))</f>
        <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f>IF(終値!A129="","",IF(AND(高値!X129&gt;高値!W129,高値!X129&gt;高値!V129,高値!X129&gt;高値!Y129,高値!X129&gt;高値!Z129),19,""))</f>
        <v>19</v>
      </c>
      <c r="AU129" s="503" t="str">
        <f>IF(終値!A129="","",IF(AND(高値!Y129&gt;高値!X129,高値!Y129&gt;高値!W129,高値!Y129&gt;高値!Z129,高値!Y129&gt;高値!AA129),20,""))</f>
        <v/>
      </c>
      <c r="AV129" s="503" t="str">
        <f>IF(終値!A129="","",IF(AND(高値!Z129&gt;高値!Y129,高値!Z129&gt;高値!X129,高値!Z129&gt;高値!AA129,高値!Z129&gt;高値!AB129),21,""))</f>
        <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f>IF(終値!A129="","",IF(AND(高値!AE129&gt;高値!AD129,高値!AE129&gt;高値!AC129,高値!AE129&gt;高値!AF129,高値!AE129&gt;高値!AG129),26,""))</f>
        <v>26</v>
      </c>
      <c r="BB129" s="503" t="str">
        <f>IF(終値!A129="","",IF(AND(高値!AF129&gt;高値!AE129,高値!AF129&gt;高値!AD129,高値!AF129&gt;高値!AG129,高値!AF129&gt;高値!AH129),27,""))</f>
        <v/>
      </c>
      <c r="BC129" s="503" t="str">
        <f>IF(終値!A129="","",IF(AND(高値!AG129&gt;高値!AF129,高値!AG129&gt;高値!AE129,高値!AG129&gt;高値!AH129,高値!AG129&gt;高値!AI129),28,""))</f>
        <v/>
      </c>
      <c r="BD129" s="503">
        <f t="shared" si="6"/>
        <v>4</v>
      </c>
      <c r="BE129" s="503">
        <f t="shared" si="7"/>
        <v>4</v>
      </c>
      <c r="BF129" s="503">
        <f t="shared" si="8"/>
        <v>11</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6</v>
      </c>
      <c r="BN129" s="503">
        <f t="shared" si="11"/>
        <v>9</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二番底W形成</v>
      </c>
    </row>
    <row r="130" spans="2:72">
      <c r="B130" s="503" t="str">
        <f>IF(終値!A130="","",IF(AND(安値!G130&lt;安値!F130,安値!G130&lt;安値!E130,安値!G130&lt;安値!H130,安値!G130&lt;安値!I130),2,""))</f>
        <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f>IF(終値!A130="","",IF(AND(安値!L130&lt;安値!K130,安値!L130&lt;安値!J130,安値!L130&lt;安値!M130,安値!L130&lt;安値!N130),7,""))</f>
        <v>7</v>
      </c>
      <c r="H130" s="503" t="str">
        <f>IF(終値!A130="","",IF(AND(安値!M130&lt;安値!L130,安値!M130&lt;安値!K130,安値!M130&lt;安値!N130,安値!M130&lt;安値!O130),8,""))</f>
        <v/>
      </c>
      <c r="I130" s="503" t="str">
        <f>IF(終値!A130="","",IF(AND(安値!N130&lt;安値!M130,安値!N130&lt;安値!L130,安値!N130&lt;安値!O130,安値!N130&lt;安値!P130),9,""))</f>
        <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f>IF(終値!A130="","",IF(AND(安値!Q130&lt;安値!P130,安値!Q130&lt;安値!O130,安値!Q130&lt;安値!R130,安値!Q130&lt;安値!S130),12,""))</f>
        <v>12</v>
      </c>
      <c r="M130" s="503" t="str">
        <f>IF(終値!A130="","",IF(AND(安値!R130&lt;安値!Q130,安値!R130&lt;安値!P130,安値!R130&lt;安値!S130,安値!R130&lt;安値!T130),13,""))</f>
        <v/>
      </c>
      <c r="N130" s="503" t="str">
        <f>IF(終値!A130="","",IF(AND(安値!S130&lt;安値!R130,安値!S130&lt;安値!Q130,安値!S130&lt;安値!T130,安値!S130&lt;安値!U130),14,""))</f>
        <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f>IF(終値!A130="","",IF(AND(安値!AA130&lt;安値!Z130,安値!AA130&lt;安値!Y130,安値!AA130&lt;安値!AB130,安値!AA130&lt;安値!AC130),22,""))</f>
        <v>22</v>
      </c>
      <c r="W130" s="503" t="str">
        <f>IF(終値!A130="","",IF(AND(安値!AB130&lt;安値!AA130,安値!AB130&lt;安値!Z130,安値!AB130&lt;安値!AC130,安値!AB130&lt;安値!AD130),23,""))</f>
        <v/>
      </c>
      <c r="X130" s="503" t="str">
        <f>IF(終値!A130="","",IF(AND(安値!AC130&lt;安値!AB130,安値!AC130&lt;安値!AA130,安値!AC130&lt;安値!AD130,安値!AC130&lt;安値!AE130),24,""))</f>
        <v/>
      </c>
      <c r="Y130" s="503">
        <f>IF(終値!A130="","",IF(AND(安値!AD130&lt;安値!AC130,安値!AD130&lt;安値!AB130,安値!AD130&lt;安値!AE130,安値!AD130&lt;安値!AF130),25,""))</f>
        <v>25</v>
      </c>
      <c r="Z130" s="503" t="str">
        <f>IF(終値!A130="","",IF(AND(安値!AE130&lt;安値!AD130,安値!AE130&lt;安値!AC130,安値!AE130&lt;安値!AF130,安値!AE130&lt;安値!AG130),26,""))</f>
        <v/>
      </c>
      <c r="AA130" s="503" t="str">
        <f>IF(終値!A130="","",IF(AND(安値!AF130&lt;安値!AE130,安値!AF130&lt;安値!AD130,安値!AF130&lt;安値!AG130,安値!AF130&lt;安値!AH130),27,""))</f>
        <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f>IF(終値!A130="","",IF(AND(高値!J130&gt;高値!I130,高値!J130&gt;高値!H130,高値!J130&gt;高値!K130,高値!J130&gt;高値!L130),5,""))</f>
        <v>5</v>
      </c>
      <c r="AG130" s="503" t="str">
        <f>IF(終値!A130="","",IF(AND(高値!K130&gt;高値!J130,高値!K130&gt;高値!I130,高値!K130&gt;高値!L130,高値!K130&gt;高値!M130),6,""))</f>
        <v/>
      </c>
      <c r="AH130" s="503" t="str">
        <f>IF(終値!A130="","",IF(AND(高値!L130&gt;高値!K130,高値!L130&gt;高値!J130,高値!L130&gt;高値!M130,高値!L130&gt;高値!N130),7,""))</f>
        <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f>IF(終値!A130="","",IF(AND(高値!O130&gt;高値!N130,高値!O130&gt;高値!M130,高値!O130&gt;高値!P130,高値!O130&gt;高値!Q130),10,""))</f>
        <v>10</v>
      </c>
      <c r="AL130" s="503" t="str">
        <f>IF(終値!A130="","",IF(AND(高値!P130&gt;高値!O130,高値!P130&gt;高値!N130,高値!P130&gt;高値!Q130,高値!P130&gt;高値!R130),11,""))</f>
        <v/>
      </c>
      <c r="AM130" s="503" t="str">
        <f>IF(終値!A130="","",IF(AND(高値!Q130&gt;高値!P130,高値!Q130&gt;高値!O130,高値!Q130&gt;高値!R130,高値!Q130&gt;高値!S130),12,""))</f>
        <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f>IF(終値!A130="","",IF(AND(高値!V130&gt;高値!U130,高値!V130&gt;高値!T130,高値!V130&gt;高値!W130,高値!V130&gt;高値!X130),17,""))</f>
        <v>17</v>
      </c>
      <c r="AS130" s="503" t="str">
        <f>IF(終値!A130="","",IF(AND(高値!W130&gt;高値!V130,高値!W130&gt;高値!U130,高値!W130&gt;高値!X130,高値!W130&gt;高値!Y130),18,""))</f>
        <v/>
      </c>
      <c r="AT130" s="503" t="str">
        <f>IF(終値!A130="","",IF(AND(高値!X130&gt;高値!W130,高値!X130&gt;高値!V130,高値!X130&gt;高値!Y130,高値!X130&gt;高値!Z130),19,""))</f>
        <v/>
      </c>
      <c r="AU130" s="503">
        <f>IF(終値!A130="","",IF(AND(高値!Y130&gt;高値!X130,高値!Y130&gt;高値!W130,高値!Y130&gt;高値!Z130,高値!Y130&gt;高値!AA130),20,""))</f>
        <v>20</v>
      </c>
      <c r="AV130" s="503" t="str">
        <f>IF(終値!A130="","",IF(AND(高値!Z130&gt;高値!Y130,高値!Z130&gt;高値!X130,高値!Z130&gt;高値!AA130,高値!Z130&gt;高値!AB130),21,""))</f>
        <v/>
      </c>
      <c r="AW130" s="503" t="str">
        <f>IF(終値!A130="","",IF(AND(高値!AA130&gt;高値!Z130,高値!AA130&gt;高値!Y130,高値!AA130&gt;高値!AB130,高値!AA130&gt;高値!AC130),22,""))</f>
        <v/>
      </c>
      <c r="AX130" s="503" t="str">
        <f>IF(終値!A130="","",IF(AND(高値!AB130&gt;高値!AA130,高値!AB130&gt;高値!Z130,高値!AB130&gt;高値!AC130,高値!AB130&gt;高値!AD130),23,""))</f>
        <v/>
      </c>
      <c r="AY130" s="503">
        <f>IF(終値!A130="","",IF(AND(高値!AC130&gt;高値!AB130,高値!AC130&gt;高値!AA130,高値!AC130&gt;高値!AD130,高値!AC130&gt;高値!AE130),24,""))</f>
        <v>24</v>
      </c>
      <c r="AZ130" s="503" t="str">
        <f>IF(終値!A130="","",IF(AND(高値!AD130&gt;高値!AC130,高値!AD130&gt;高値!AB130,高値!AD130&gt;高値!AE130,高値!AD130&gt;高値!AF130),25,""))</f>
        <v/>
      </c>
      <c r="BA130" s="503" t="str">
        <f>IF(終値!A130="","",IF(AND(高値!AE130&gt;高値!AD130,高値!AE130&gt;高値!AC130,高値!AE130&gt;高値!AF130,高値!AE130&gt;高値!AG130),26,""))</f>
        <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4</v>
      </c>
      <c r="BE130" s="503">
        <f t="shared" si="7"/>
        <v>7</v>
      </c>
      <c r="BF130" s="503">
        <f t="shared" si="8"/>
        <v>12</v>
      </c>
      <c r="BG130" s="503">
        <f>IF($BE130="","",INDEX(安値!$E130:$CZ130,1,$BE130+1))</f>
        <v>0</v>
      </c>
      <c r="BH130" s="503">
        <f>IF($BF130="","",INDEX(安値!$E130:$CZ130,1,$BF130+1))</f>
        <v>7105</v>
      </c>
      <c r="BI130" s="503">
        <f>IF($BF130="","",MAX(INDEX(高値!$E130:$CZ130,1,$BE130+1):INDEX(高値!$E130:$CZ130,1,$BF130+1)))</f>
        <v>7444</v>
      </c>
      <c r="BJ130" s="503">
        <f>IF($BF130="","",AVERAGE(INDEX(終値!$E130:$CZ130,1,$BF130+1):INDEX(終値!$E130:$CZ130,1,$BF130+20))-2*STDEVP(INDEX(終値!$E130:$CZ130,1,$BF130+1):INDEX(終値!$E130:$CZ130,1,$BF130+20)))</f>
        <v>7165.7144850087079</v>
      </c>
      <c r="BK130" s="503">
        <f>IF($BE130="","",AVERAGE(INDEX(終値!$E130:$CZ130,1,$BE130+1):INDEX(終値!$E130:$CZ130,1,$BE130+20))-2*STDEVP(INDEX(終値!$E130:$CZ130,1,$BE130+1):INDEX(終値!$E130:$CZ130,1,$BE130+20)))</f>
        <v>7108.4066883928908</v>
      </c>
      <c r="BL130" s="503">
        <f t="shared" si="9"/>
        <v>5</v>
      </c>
      <c r="BM130" s="503">
        <f t="shared" si="10"/>
        <v>5</v>
      </c>
      <c r="BN130" s="503">
        <f t="shared" si="11"/>
        <v>10</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二番天井M▼</v>
      </c>
    </row>
    <row r="131" spans="2:72">
      <c r="B131" s="503" t="str">
        <f>IF(終値!A131="","",IF(AND(安値!G131&lt;安値!F131,安値!G131&lt;安値!E131,安値!G131&lt;安値!H131,安値!G131&lt;安値!I131),2,""))</f>
        <v/>
      </c>
      <c r="C131" s="503">
        <f>IF(終値!A131="","",IF(AND(安値!H131&lt;安値!G131,安値!H131&lt;安値!F131,安値!H131&lt;安値!I131,安値!H131&lt;安値!J131),3,""))</f>
        <v>3</v>
      </c>
      <c r="D131" s="503" t="str">
        <f>IF(終値!A131="","",IF(AND(安値!I131&lt;安値!H131,安値!I131&lt;安値!G131,安値!I131&lt;安値!J131,安値!I131&lt;安値!K131),4,""))</f>
        <v/>
      </c>
      <c r="E131" s="503" t="str">
        <f>IF(終値!A131="","",IF(AND(安値!J131&lt;安値!I131,安値!J131&lt;安値!H131,安値!J131&lt;安値!K131,安値!J131&lt;安値!L131),5,""))</f>
        <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f>IF(終値!A131="","",IF(AND(安値!P131&lt;安値!O131,安値!P131&lt;安値!N131,安値!P131&lt;安値!Q131,安値!P131&lt;安値!R131),11,""))</f>
        <v>11</v>
      </c>
      <c r="L131" s="503" t="str">
        <f>IF(終値!A131="","",IF(AND(安値!Q131&lt;安値!P131,安値!Q131&lt;安値!O131,安値!Q131&lt;安値!R131,安値!Q131&lt;安値!S131),12,""))</f>
        <v/>
      </c>
      <c r="M131" s="503" t="str">
        <f>IF(終値!A131="","",IF(AND(安値!R131&lt;安値!Q131,安値!R131&lt;安値!P131,安値!R131&lt;安値!S131,安値!R131&lt;安値!T131),13,""))</f>
        <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f>IF(終値!A131="","",IF(AND(安値!AD131&lt;安値!AC131,安値!AD131&lt;安値!AB131,安値!AD131&lt;安値!AE131,安値!AD131&lt;安値!AF131),25,""))</f>
        <v>25</v>
      </c>
      <c r="Z131" s="503" t="str">
        <f>IF(終値!A131="","",IF(AND(安値!AE131&lt;安値!AD131,安値!AE131&lt;安値!AC131,安値!AE131&lt;安値!AF131,安値!AE131&lt;安値!AG131),26,""))</f>
        <v/>
      </c>
      <c r="AA131" s="503" t="str">
        <f>IF(終値!A131="","",IF(AND(安値!AF131&lt;安値!AE131,安値!AF131&lt;安値!AD131,安値!AF131&lt;安値!AG131,安値!AF131&lt;安値!AH131),27,""))</f>
        <v/>
      </c>
      <c r="AB131" s="503">
        <f>IF(終値!A131="","",IF(AND(安値!AG131&lt;安値!AF131,安値!AG131&lt;安値!AE131,安値!AG131&lt;安値!AH131,安値!AG131&lt;安値!AI131),28,""))</f>
        <v>28</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f>IF(終値!A131="","",IF(AND(高値!M131&gt;高値!L131,高値!M131&gt;高値!K131,高値!M131&gt;高値!N131,高値!M131&gt;高値!O131),8,""))</f>
        <v>8</v>
      </c>
      <c r="AJ131" s="503" t="str">
        <f>IF(終値!A131="","",IF(AND(高値!N131&gt;高値!M131,高値!N131&gt;高値!L131,高値!N131&gt;高値!O131,高値!N131&gt;高値!P131),9,""))</f>
        <v/>
      </c>
      <c r="AK131" s="503" t="str">
        <f>IF(終値!A131="","",IF(AND(高値!O131&gt;高値!N131,高値!O131&gt;高値!M131,高値!O131&gt;高値!P131,高値!O131&gt;高値!Q131),10,""))</f>
        <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f>IF(終値!A131="","",IF(AND(高値!Y131&gt;高値!X131,高値!Y131&gt;高値!W131,高値!Y131&gt;高値!Z131,高値!Y131&gt;高値!AA131),20,""))</f>
        <v>20</v>
      </c>
      <c r="AV131" s="503" t="str">
        <f>IF(終値!A131="","",IF(AND(高値!Z131&gt;高値!Y131,高値!Z131&gt;高値!X131,高値!Z131&gt;高値!AA131,高値!Z131&gt;高値!AB131),21,""))</f>
        <v/>
      </c>
      <c r="AW131" s="503" t="str">
        <f>IF(終値!A131="","",IF(AND(高値!AA131&gt;高値!Z131,高値!AA131&gt;高値!Y131,高値!AA131&gt;高値!AB131,高値!AA131&gt;高値!AC131),22,""))</f>
        <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4</v>
      </c>
      <c r="BE131" s="503">
        <f t="shared" si="7"/>
        <v>3</v>
      </c>
      <c r="BF131" s="503">
        <f t="shared" si="8"/>
        <v>11</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8</v>
      </c>
      <c r="BN131" s="503">
        <f t="shared" si="11"/>
        <v>20</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f>IF(終値!A132="","",IF(AND(安値!I132&lt;安値!H132,安値!I132&lt;安値!G132,安値!I132&lt;安値!J132,安値!I132&lt;安値!K132),4,""))</f>
        <v>4</v>
      </c>
      <c r="E132" s="503" t="str">
        <f>IF(終値!A132="","",IF(AND(安値!J132&lt;安値!I132,安値!J132&lt;安値!H132,安値!J132&lt;安値!K132,安値!J132&lt;安値!L132),5,""))</f>
        <v/>
      </c>
      <c r="F132" s="503" t="str">
        <f>IF(終値!A132="","",IF(AND(安値!K132&lt;安値!J132,安値!K132&lt;安値!I132,安値!K132&lt;安値!L132,安値!K132&lt;安値!M132),6,""))</f>
        <v/>
      </c>
      <c r="G132" s="503">
        <f>IF(終値!A132="","",IF(AND(安値!L132&lt;安値!K132,安値!L132&lt;安値!J132,安値!L132&lt;安値!M132,安値!L132&lt;安値!N132),7,""))</f>
        <v>7</v>
      </c>
      <c r="H132" s="503" t="str">
        <f>IF(終値!A132="","",IF(AND(安値!M132&lt;安値!L132,安値!M132&lt;安値!K132,安値!M132&lt;安値!N132,安値!M132&lt;安値!O132),8,""))</f>
        <v/>
      </c>
      <c r="I132" s="503" t="str">
        <f>IF(終値!A132="","",IF(AND(安値!N132&lt;安値!M132,安値!N132&lt;安値!L132,安値!N132&lt;安値!O132,安値!N132&lt;安値!P132),9,""))</f>
        <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f>IF(終値!A132="","",IF(AND(安値!V132&lt;安値!U132,安値!V132&lt;安値!T132,安値!V132&lt;安値!W132,安値!V132&lt;安値!X132),17,""))</f>
        <v>17</v>
      </c>
      <c r="R132" s="503" t="str">
        <f>IF(終値!A132="","",IF(AND(安値!W132&lt;安値!V132,安値!W132&lt;安値!U132,安値!W132&lt;安値!X132,安値!W132&lt;安値!Y132),18,""))</f>
        <v/>
      </c>
      <c r="S132" s="503" t="str">
        <f>IF(終値!A132="","",IF(AND(安値!X132&lt;安値!W132,安値!X132&lt;安値!V132,安値!X132&lt;安値!Y132,安値!X132&lt;安値!Z132),19,""))</f>
        <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f>IF(終値!A132="","",IF(AND(安値!AC132&lt;安値!AB132,安値!AC132&lt;安値!AA132,安値!AC132&lt;安値!AD132,安値!AC132&lt;安値!AE132),24,""))</f>
        <v>24</v>
      </c>
      <c r="Y132" s="503" t="str">
        <f>IF(終値!A132="","",IF(AND(安値!AD132&lt;安値!AC132,安値!AD132&lt;安値!AB132,安値!AD132&lt;安値!AE132,安値!AD132&lt;安値!AF132),25,""))</f>
        <v/>
      </c>
      <c r="Z132" s="503" t="str">
        <f>IF(終値!A132="","",IF(AND(安値!AE132&lt;安値!AD132,安値!AE132&lt;安値!AC132,安値!AE132&lt;安値!AF132,安値!AE132&lt;安値!AG132),26,""))</f>
        <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f>IF(終値!A132="","",IF(AND(高値!M132&gt;高値!L132,高値!M132&gt;高値!K132,高値!M132&gt;高値!N132,高値!M132&gt;高値!O132),8,""))</f>
        <v>8</v>
      </c>
      <c r="AJ132" s="503" t="str">
        <f>IF(終値!A132="","",IF(AND(高値!N132&gt;高値!M132,高値!N132&gt;高値!L132,高値!N132&gt;高値!O132,高値!N132&gt;高値!P132),9,""))</f>
        <v/>
      </c>
      <c r="AK132" s="503" t="str">
        <f>IF(終値!A132="","",IF(AND(高値!O132&gt;高値!N132,高値!O132&gt;高値!M132,高値!O132&gt;高値!P132,高値!O132&gt;高値!Q132),10,""))</f>
        <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f>IF(終値!A132="","",IF(AND(高値!R132&gt;高値!Q132,高値!R132&gt;高値!P132,高値!R132&gt;高値!S132,高値!R132&gt;高値!T132),13,""))</f>
        <v>13</v>
      </c>
      <c r="AO132" s="503" t="str">
        <f>IF(終値!A132="","",IF(AND(高値!S132&gt;高値!R132,高値!S132&gt;高値!Q132,高値!S132&gt;高値!T132,高値!S132&gt;高値!U132),14,""))</f>
        <v/>
      </c>
      <c r="AP132" s="503" t="str">
        <f>IF(終値!A132="","",IF(AND(高値!T132&gt;高値!S132,高値!T132&gt;高値!R132,高値!T132&gt;高値!U132,高値!T132&gt;高値!V132),15,""))</f>
        <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f>IF(終値!A132="","",IF(AND(高値!AA132&gt;高値!Z132,高値!AA132&gt;高値!Y132,高値!AA132&gt;高値!AB132,高値!AA132&gt;高値!AC132),22,""))</f>
        <v>22</v>
      </c>
      <c r="AX132" s="503" t="str">
        <f>IF(終値!A132="","",IF(AND(高値!AB132&gt;高値!AA132,高値!AB132&gt;高値!Z132,高値!AB132&gt;高値!AC132,高値!AB132&gt;高値!AD132),23,""))</f>
        <v/>
      </c>
      <c r="AY132" s="503" t="str">
        <f>IF(終値!A132="","",IF(AND(高値!AC132&gt;高値!AB132,高値!AC132&gt;高値!AA132,高値!AC132&gt;高値!AD132,高値!AC132&gt;高値!AE132),24,""))</f>
        <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4</v>
      </c>
      <c r="BF132" s="503">
        <f t="shared" si="8"/>
        <v>7</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8</v>
      </c>
      <c r="BN132" s="503">
        <f t="shared" si="11"/>
        <v>13</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f>IF(終値!A133="","",IF(AND(安値!L133&lt;安値!K133,安値!L133&lt;安値!J133,安値!L133&lt;安値!M133,安値!L133&lt;安値!N133),7,""))</f>
        <v>7</v>
      </c>
      <c r="H133" s="503" t="str">
        <f>IF(終値!A133="","",IF(AND(安値!M133&lt;安値!L133,安値!M133&lt;安値!K133,安値!M133&lt;安値!N133,安値!M133&lt;安値!O133),8,""))</f>
        <v/>
      </c>
      <c r="I133" s="503" t="str">
        <f>IF(終値!A133="","",IF(AND(安値!N133&lt;安値!M133,安値!N133&lt;安値!L133,安値!N133&lt;安値!O133,安値!N133&lt;安値!P133),9,""))</f>
        <v/>
      </c>
      <c r="J133" s="503">
        <f>IF(終値!A133="","",IF(AND(安値!O133&lt;安値!N133,安値!O133&lt;安値!M133,安値!O133&lt;安値!P133,安値!O133&lt;安値!Q133),10,""))</f>
        <v>10</v>
      </c>
      <c r="K133" s="503" t="str">
        <f>IF(終値!A133="","",IF(AND(安値!P133&lt;安値!O133,安値!P133&lt;安値!N133,安値!P133&lt;安値!Q133,安値!P133&lt;安値!R133),11,""))</f>
        <v/>
      </c>
      <c r="L133" s="503" t="str">
        <f>IF(終値!A133="","",IF(AND(安値!Q133&lt;安値!P133,安値!Q133&lt;安値!O133,安値!Q133&lt;安値!R133,安値!Q133&lt;安値!S133),12,""))</f>
        <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f>IF(終値!A133="","",IF(AND(安値!U133&lt;安値!T133,安値!U133&lt;安値!S133,安値!U133&lt;安値!V133,安値!U133&lt;安値!W133),16,""))</f>
        <v>16</v>
      </c>
      <c r="Q133" s="503" t="str">
        <f>IF(終値!A133="","",IF(AND(安値!V133&lt;安値!U133,安値!V133&lt;安値!T133,安値!V133&lt;安値!W133,安値!V133&lt;安値!X133),17,""))</f>
        <v/>
      </c>
      <c r="R133" s="503" t="str">
        <f>IF(終値!A133="","",IF(AND(安値!W133&lt;安値!V133,安値!W133&lt;安値!U133,安値!W133&lt;安値!X133,安値!W133&lt;安値!Y133),18,""))</f>
        <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f>IF(終値!A133="","",IF(AND(高値!G133&gt;高値!F133,高値!G133&gt;高値!E133,高値!G133&gt;高値!H133,高値!G133&gt;高値!I133),2,""))</f>
        <v>2</v>
      </c>
      <c r="AD133" s="503" t="str">
        <f>IF(終値!A133="","",IF(AND(高値!H133&gt;高値!G133,高値!H133&gt;高値!F133,高値!H133&gt;高値!I133,高値!H133&gt;高値!J133),3,""))</f>
        <v/>
      </c>
      <c r="AE133" s="503" t="str">
        <f>IF(終値!A133="","",IF(AND(高値!I133&gt;高値!H133,高値!I133&gt;高値!G133,高値!I133&gt;高値!J133,高値!I133&gt;高値!K133),4,""))</f>
        <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f>IF(終値!A133="","",IF(AND(高値!N133&gt;高値!M133,高値!N133&gt;高値!L133,高値!N133&gt;高値!O133,高値!N133&gt;高値!P133),9,""))</f>
        <v>9</v>
      </c>
      <c r="AK133" s="503" t="str">
        <f>IF(終値!A133="","",IF(AND(高値!O133&gt;高値!N133,高値!O133&gt;高値!M133,高値!O133&gt;高値!P133,高値!O133&gt;高値!Q133),10,""))</f>
        <v/>
      </c>
      <c r="AL133" s="503" t="str">
        <f>IF(終値!A133="","",IF(AND(高値!P133&gt;高値!O133,高値!P133&gt;高値!N133,高値!P133&gt;高値!Q133,高値!P133&gt;高値!R133),11,""))</f>
        <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f>IF(終値!A133="","",IF(AND(高値!S133&gt;高値!R133,高値!S133&gt;高値!Q133,高値!S133&gt;高値!T133,高値!S133&gt;高値!U133),14,""))</f>
        <v>14</v>
      </c>
      <c r="AP133" s="503" t="str">
        <f>IF(終値!A133="","",IF(AND(高値!T133&gt;高値!S133,高値!T133&gt;高値!R133,高値!T133&gt;高値!U133,高値!T133&gt;高値!V133),15,""))</f>
        <v/>
      </c>
      <c r="AQ133" s="503" t="str">
        <f>IF(終値!A133="","",IF(AND(高値!U133&gt;高値!T133,高値!U133&gt;高値!S133,高値!U133&gt;高値!V133,高値!U133&gt;高値!W133),16,""))</f>
        <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f>IF(終値!A133="","",IF(AND(高値!Z133&gt;高値!Y133,高値!Z133&gt;高値!X133,高値!Z133&gt;高値!AA133,高値!Z133&gt;高値!AB133),21,""))</f>
        <v>21</v>
      </c>
      <c r="AW133" s="503" t="str">
        <f>IF(終値!A133="","",IF(AND(高値!AA133&gt;高値!Z133,高値!AA133&gt;高値!Y133,高値!AA133&gt;高値!AB133,高値!AA133&gt;高値!AC133),22,""))</f>
        <v/>
      </c>
      <c r="AX133" s="503" t="str">
        <f>IF(終値!A133="","",IF(AND(高値!AB133&gt;高値!AA133,高値!AB133&gt;高値!Z133,高値!AB133&gt;高値!AC133,高値!AB133&gt;高値!AD133),23,""))</f>
        <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7</v>
      </c>
      <c r="BF133" s="503">
        <f t="shared" si="8"/>
        <v>10</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2</v>
      </c>
      <c r="BN133" s="503">
        <f t="shared" si="11"/>
        <v>9</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f>IF(終値!A135="","",IF(AND(安値!L135&lt;安値!K135,安値!L135&lt;安値!J135,安値!L135&lt;安値!M135,安値!L135&lt;安値!N135),7,""))</f>
        <v>7</v>
      </c>
      <c r="H135" s="503" t="str">
        <f>IF(終値!A135="","",IF(AND(安値!M135&lt;安値!L135,安値!M135&lt;安値!K135,安値!M135&lt;安値!N135,安値!M135&lt;安値!O135),8,""))</f>
        <v/>
      </c>
      <c r="I135" s="503" t="str">
        <f>IF(終値!A135="","",IF(AND(安値!N135&lt;安値!M135,安値!N135&lt;安値!L135,安値!N135&lt;安値!O135,安値!N135&lt;安値!P135),9,""))</f>
        <v/>
      </c>
      <c r="J135" s="503">
        <f>IF(終値!A135="","",IF(AND(安値!O135&lt;安値!N135,安値!O135&lt;安値!M135,安値!O135&lt;安値!P135,安値!O135&lt;安値!Q135),10,""))</f>
        <v>10</v>
      </c>
      <c r="K135" s="503" t="str">
        <f>IF(終値!A135="","",IF(AND(安値!P135&lt;安値!O135,安値!P135&lt;安値!N135,安値!P135&lt;安値!Q135,安値!P135&lt;安値!R135),11,""))</f>
        <v/>
      </c>
      <c r="L135" s="503" t="str">
        <f>IF(終値!A135="","",IF(AND(安値!Q135&lt;安値!P135,安値!Q135&lt;安値!O135,安値!Q135&lt;安値!R135,安値!Q135&lt;安値!S135),12,""))</f>
        <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f>IF(終値!A135="","",IF(AND(安値!U135&lt;安値!T135,安値!U135&lt;安値!S135,安値!U135&lt;安値!V135,安値!U135&lt;安値!W135),16,""))</f>
        <v>16</v>
      </c>
      <c r="Q135" s="503" t="str">
        <f>IF(終値!A135="","",IF(AND(安値!V135&lt;安値!U135,安値!V135&lt;安値!T135,安値!V135&lt;安値!W135,安値!V135&lt;安値!X135),17,""))</f>
        <v/>
      </c>
      <c r="R135" s="503" t="str">
        <f>IF(終値!A135="","",IF(AND(安値!W135&lt;安値!V135,安値!W135&lt;安値!U135,安値!W135&lt;安値!X135,安値!W135&lt;安値!Y135),18,""))</f>
        <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f>IF(終値!A135="","",IF(AND(高値!G135&gt;高値!F135,高値!G135&gt;高値!E135,高値!G135&gt;高値!H135,高値!G135&gt;高値!I135),2,""))</f>
        <v>2</v>
      </c>
      <c r="AD135" s="503" t="str">
        <f>IF(終値!A135="","",IF(AND(高値!H135&gt;高値!G135,高値!H135&gt;高値!F135,高値!H135&gt;高値!I135,高値!H135&gt;高値!J135),3,""))</f>
        <v/>
      </c>
      <c r="AE135" s="503" t="str">
        <f>IF(終値!A135="","",IF(AND(高値!I135&gt;高値!H135,高値!I135&gt;高値!G135,高値!I135&gt;高値!J135,高値!I135&gt;高値!K135),4,""))</f>
        <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f>IF(終値!A135="","",IF(AND(高値!N135&gt;高値!M135,高値!N135&gt;高値!L135,高値!N135&gt;高値!O135,高値!N135&gt;高値!P135),9,""))</f>
        <v>9</v>
      </c>
      <c r="AK135" s="503" t="str">
        <f>IF(終値!A135="","",IF(AND(高値!O135&gt;高値!N135,高値!O135&gt;高値!M135,高値!O135&gt;高値!P135,高値!O135&gt;高値!Q135),10,""))</f>
        <v/>
      </c>
      <c r="AL135" s="503" t="str">
        <f>IF(終値!A135="","",IF(AND(高値!P135&gt;高値!O135,高値!P135&gt;高値!N135,高値!P135&gt;高値!Q135,高値!P135&gt;高値!R135),11,""))</f>
        <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f>IF(終値!A135="","",IF(AND(高値!S135&gt;高値!R135,高値!S135&gt;高値!Q135,高値!S135&gt;高値!T135,高値!S135&gt;高値!U135),14,""))</f>
        <v>14</v>
      </c>
      <c r="AP135" s="503" t="str">
        <f>IF(終値!A135="","",IF(AND(高値!T135&gt;高値!S135,高値!T135&gt;高値!R135,高値!T135&gt;高値!U135,高値!T135&gt;高値!V135),15,""))</f>
        <v/>
      </c>
      <c r="AQ135" s="503" t="str">
        <f>IF(終値!A135="","",IF(AND(高値!U135&gt;高値!T135,高値!U135&gt;高値!S135,高値!U135&gt;高値!V135,高値!U135&gt;高値!W135),16,""))</f>
        <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f>IF(終値!A135="","",IF(AND(高値!Z135&gt;高値!Y135,高値!Z135&gt;高値!X135,高値!Z135&gt;高値!AA135,高値!Z135&gt;高値!AB135),21,""))</f>
        <v>21</v>
      </c>
      <c r="AW135" s="503" t="str">
        <f>IF(終値!A135="","",IF(AND(高値!AA135&gt;高値!Z135,高値!AA135&gt;高値!Y135,高値!AA135&gt;高値!AB135,高値!AA135&gt;高値!AC135),22,""))</f>
        <v/>
      </c>
      <c r="AX135" s="503" t="str">
        <f>IF(終値!A135="","",IF(AND(高値!AB135&gt;高値!AA135,高値!AB135&gt;高値!Z135,高値!AB135&gt;高値!AC135,高値!AB135&gt;高値!AD135),23,""))</f>
        <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7</v>
      </c>
      <c r="BF135" s="503">
        <f t="shared" si="14"/>
        <v>10</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2</v>
      </c>
      <c r="BN135" s="503">
        <f t="shared" si="17"/>
        <v>9</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f>IF(終値!A136="","",IF(AND(安値!H136&lt;安値!G136,安値!H136&lt;安値!F136,安値!H136&lt;安値!I136,安値!H136&lt;安値!J136),3,""))</f>
        <v>3</v>
      </c>
      <c r="D136" s="503" t="str">
        <f>IF(終値!A136="","",IF(AND(安値!I136&lt;安値!H136,安値!I136&lt;安値!G136,安値!I136&lt;安値!J136,安値!I136&lt;安値!K136),4,""))</f>
        <v/>
      </c>
      <c r="E136" s="503" t="str">
        <f>IF(終値!A136="","",IF(AND(安値!J136&lt;安値!I136,安値!J136&lt;安値!H136,安値!J136&lt;安値!K136,安値!J136&lt;安値!L136),5,""))</f>
        <v/>
      </c>
      <c r="F136" s="503" t="str">
        <f>IF(終値!A136="","",IF(AND(安値!K136&lt;安値!J136,安値!K136&lt;安値!I136,安値!K136&lt;安値!L136,安値!K136&lt;安値!M136),6,""))</f>
        <v/>
      </c>
      <c r="G136" s="503">
        <f>IF(終値!A136="","",IF(AND(安値!L136&lt;安値!K136,安値!L136&lt;安値!J136,安値!L136&lt;安値!M136,安値!L136&lt;安値!N136),7,""))</f>
        <v>7</v>
      </c>
      <c r="H136" s="503" t="str">
        <f>IF(終値!A136="","",IF(AND(安値!M136&lt;安値!L136,安値!M136&lt;安値!K136,安値!M136&lt;安値!N136,安値!M136&lt;安値!O136),8,""))</f>
        <v/>
      </c>
      <c r="I136" s="503" t="str">
        <f>IF(終値!A136="","",IF(AND(安値!N136&lt;安値!M136,安値!N136&lt;安値!L136,安値!N136&lt;安値!O136,安値!N136&lt;安値!P136),9,""))</f>
        <v/>
      </c>
      <c r="J136" s="503" t="str">
        <f>IF(終値!A136="","",IF(AND(安値!O136&lt;安値!N136,安値!O136&lt;安値!M136,安値!O136&lt;安値!P136,安値!O136&lt;安値!Q136),10,""))</f>
        <v/>
      </c>
      <c r="K136" s="503">
        <f>IF(終値!A136="","",IF(AND(安値!P136&lt;安値!O136,安値!P136&lt;安値!N136,安値!P136&lt;安値!Q136,安値!P136&lt;安値!R136),11,""))</f>
        <v>11</v>
      </c>
      <c r="L136" s="503" t="str">
        <f>IF(終値!A136="","",IF(AND(安値!Q136&lt;安値!P136,安値!Q136&lt;安値!O136,安値!Q136&lt;安値!R136,安値!Q136&lt;安値!S136),12,""))</f>
        <v/>
      </c>
      <c r="M136" s="503" t="str">
        <f>IF(終値!A136="","",IF(AND(安値!R136&lt;安値!Q136,安値!R136&lt;安値!P136,安値!R136&lt;安値!S136,安値!R136&lt;安値!T136),13,""))</f>
        <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f>IF(終値!A136="","",IF(AND(安値!AD136&lt;安値!AC136,安値!AD136&lt;安値!AB136,安値!AD136&lt;安値!AE136,安値!AD136&lt;安値!AF136),25,""))</f>
        <v>25</v>
      </c>
      <c r="Z136" s="503" t="str">
        <f>IF(終値!A136="","",IF(AND(安値!AE136&lt;安値!AD136,安値!AE136&lt;安値!AC136,安値!AE136&lt;安値!AF136,安値!AE136&lt;安値!AG136),26,""))</f>
        <v/>
      </c>
      <c r="AA136" s="503" t="str">
        <f>IF(終値!A136="","",IF(AND(安値!AF136&lt;安値!AE136,安値!AF136&lt;安値!AD136,安値!AF136&lt;安値!AG136,安値!AF136&lt;安値!AH136),27,""))</f>
        <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f>IF(終値!A136="","",IF(AND(高値!M136&gt;高値!L136,高値!M136&gt;高値!K136,高値!M136&gt;高値!N136,高値!M136&gt;高値!O136),8,""))</f>
        <v>8</v>
      </c>
      <c r="AJ136" s="503" t="str">
        <f>IF(終値!A136="","",IF(AND(高値!N136&gt;高値!M136,高値!N136&gt;高値!L136,高値!N136&gt;高値!O136,高値!N136&gt;高値!P136),9,""))</f>
        <v/>
      </c>
      <c r="AK136" s="503" t="str">
        <f>IF(終値!A136="","",IF(AND(高値!O136&gt;高値!N136,高値!O136&gt;高値!M136,高値!O136&gt;高値!P136,高値!O136&gt;高値!Q136),10,""))</f>
        <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f>IF(終値!A136="","",IF(AND(高値!X136&gt;高値!W136,高値!X136&gt;高値!V136,高値!X136&gt;高値!Y136,高値!X136&gt;高値!Z136),19,""))</f>
        <v>19</v>
      </c>
      <c r="AU136" s="503" t="str">
        <f>IF(終値!A136="","",IF(AND(高値!Y136&gt;高値!X136,高値!Y136&gt;高値!W136,高値!Y136&gt;高値!Z136,高値!Y136&gt;高値!AA136),20,""))</f>
        <v/>
      </c>
      <c r="AV136" s="503" t="str">
        <f>IF(終値!A136="","",IF(AND(高値!Z136&gt;高値!Y136,高値!Z136&gt;高値!X136,高値!Z136&gt;高値!AA136,高値!Z136&gt;高値!AB136),21,""))</f>
        <v/>
      </c>
      <c r="AW136" s="503" t="str">
        <f>IF(終値!A136="","",IF(AND(高値!AA136&gt;高値!Z136,高値!AA136&gt;高値!Y136,高値!AA136&gt;高値!AB136,高値!AA136&gt;高値!AC136),22,""))</f>
        <v/>
      </c>
      <c r="AX136" s="503">
        <f>IF(終値!A136="","",IF(AND(高値!AB136&gt;高値!AA136,高値!AB136&gt;高値!Z136,高値!AB136&gt;高値!AC136,高値!AB136&gt;高値!AD136),23,""))</f>
        <v>23</v>
      </c>
      <c r="AY136" s="503" t="str">
        <f>IF(終値!A136="","",IF(AND(高値!AC136&gt;高値!AB136,高値!AC136&gt;高値!AA136,高値!AC136&gt;高値!AD136,高値!AC136&gt;高値!AE136),24,""))</f>
        <v/>
      </c>
      <c r="AZ136" s="503" t="str">
        <f>IF(終値!A136="","",IF(AND(高値!AD136&gt;高値!AC136,高値!AD136&gt;高値!AB136,高値!AD136&gt;高値!AE136,高値!AD136&gt;高値!AF136),25,""))</f>
        <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3</v>
      </c>
      <c r="BF136" s="503">
        <f t="shared" si="14"/>
        <v>7</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8</v>
      </c>
      <c r="BN136" s="503">
        <f t="shared" si="17"/>
        <v>19</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t="str">
        <f>IF(終値!A137="","",IF(AND(安値!H137&lt;安値!G137,安値!H137&lt;安値!F137,安値!H137&lt;安値!I137,安値!H137&lt;安値!J137),3,""))</f>
        <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f>IF(終値!A137="","",IF(AND(安値!L137&lt;安値!K137,安値!L137&lt;安値!J137,安値!L137&lt;安値!M137,安値!L137&lt;安値!N137),7,""))</f>
        <v>7</v>
      </c>
      <c r="H137" s="503" t="str">
        <f>IF(終値!A137="","",IF(AND(安値!M137&lt;安値!L137,安値!M137&lt;安値!K137,安値!M137&lt;安値!N137,安値!M137&lt;安値!O137),8,""))</f>
        <v/>
      </c>
      <c r="I137" s="503" t="str">
        <f>IF(終値!A137="","",IF(AND(安値!N137&lt;安値!M137,安値!N137&lt;安値!L137,安値!N137&lt;安値!O137,安値!N137&lt;安値!P137),9,""))</f>
        <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f>IF(終値!A137="","",IF(AND(安値!Y137&lt;安値!X137,安値!Y137&lt;安値!W137,安値!Y137&lt;安値!Z137,安値!Y137&lt;安値!AA137),20,""))</f>
        <v>20</v>
      </c>
      <c r="U137" s="503" t="str">
        <f>IF(終値!A137="","",IF(AND(安値!Z137&lt;安値!Y137,安値!Z137&lt;安値!X137,安値!Z137&lt;安値!AA137,安値!Z137&lt;安値!AB137),21,""))</f>
        <v/>
      </c>
      <c r="V137" s="503" t="str">
        <f>IF(終値!A137="","",IF(AND(安値!AA137&lt;安値!Z137,安値!AA137&lt;安値!Y137,安値!AA137&lt;安値!AB137,安値!AA137&lt;安値!AC137),22,""))</f>
        <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f>IF(終値!A137="","",IF(AND(高値!G137&gt;高値!F137,高値!G137&gt;高値!E137,高値!G137&gt;高値!H137,高値!G137&gt;高値!I137),2,""))</f>
        <v>2</v>
      </c>
      <c r="AD137" s="503" t="str">
        <f>IF(終値!A137="","",IF(AND(高値!H137&gt;高値!G137,高値!H137&gt;高値!F137,高値!H137&gt;高値!I137,高値!H137&gt;高値!J137),3,""))</f>
        <v/>
      </c>
      <c r="AE137" s="503" t="str">
        <f>IF(終値!A137="","",IF(AND(高値!I137&gt;高値!H137,高値!I137&gt;高値!G137,高値!I137&gt;高値!J137,高値!I137&gt;高値!K137),4,""))</f>
        <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f>IF(終値!A137="","",IF(AND(高値!W137&gt;高値!V137,高値!W137&gt;高値!U137,高値!W137&gt;高値!X137,高値!W137&gt;高値!Y137),18,""))</f>
        <v>18</v>
      </c>
      <c r="AT137" s="503" t="str">
        <f>IF(終値!A137="","",IF(AND(高値!X137&gt;高値!W137,高値!X137&gt;高値!V137,高値!X137&gt;高値!Y137,高値!X137&gt;高値!Z137),19,""))</f>
        <v/>
      </c>
      <c r="AU137" s="503" t="str">
        <f>IF(終値!A137="","",IF(AND(高値!Y137&gt;高値!X137,高値!Y137&gt;高値!W137,高値!Y137&gt;高値!Z137,高値!Y137&gt;高値!AA137),20,""))</f>
        <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f>IF(終値!A137="","",IF(AND(高値!AC137&gt;高値!AB137,高値!AC137&gt;高値!AA137,高値!AC137&gt;高値!AD137,高値!AC137&gt;高値!AE137),24,""))</f>
        <v>24</v>
      </c>
      <c r="AZ137" s="503" t="str">
        <f>IF(終値!A137="","",IF(AND(高値!AD137&gt;高値!AC137,高値!AD137&gt;高値!AB137,高値!AD137&gt;高値!AE137,高値!AD137&gt;高値!AF137),25,""))</f>
        <v/>
      </c>
      <c r="BA137" s="503" t="str">
        <f>IF(終値!A137="","",IF(AND(高値!AE137&gt;高値!AD137,高値!AE137&gt;高値!AC137,高値!AE137&gt;高値!AF137,高値!AE137&gt;高値!AG137),26,""))</f>
        <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2</v>
      </c>
      <c r="BE137" s="503">
        <f t="shared" si="13"/>
        <v>7</v>
      </c>
      <c r="BF137" s="503">
        <f t="shared" si="14"/>
        <v>20</v>
      </c>
      <c r="BG137" s="503">
        <f>IF($BE137="","",INDEX(安値!$E137:$CZ137,1,$BE137+1))</f>
        <v>0</v>
      </c>
      <c r="BH137" s="503">
        <f>IF($BF137="","",INDEX(安値!$E137:$CZ137,1,$BF137+1))</f>
        <v>205</v>
      </c>
      <c r="BI137" s="503">
        <f>IF($BF137="","",MAX(INDEX(高値!$E137:$CZ137,1,$BE137+1):INDEX(高値!$E137:$CZ137,1,$BF137+1)))</f>
        <v>277</v>
      </c>
      <c r="BJ137" s="503">
        <f>IF($BF137="","",AVERAGE(INDEX(終値!$E137:$CZ137,1,$BF137+1):INDEX(終値!$E137:$CZ137,1,$BF137+20))-2*STDEVP(INDEX(終値!$E137:$CZ137,1,$BF137+1):INDEX(終値!$E137:$CZ137,1,$BF137+20)))</f>
        <v>215.77792968120792</v>
      </c>
      <c r="BK137" s="503">
        <f>IF($BE137="","",AVERAGE(INDEX(終値!$E137:$CZ137,1,$BE137+1):INDEX(終値!$E137:$CZ137,1,$BE137+20))-2*STDEVP(INDEX(終値!$E137:$CZ137,1,$BE137+1):INDEX(終値!$E137:$CZ137,1,$BE137+20)))</f>
        <v>120.69927065165939</v>
      </c>
      <c r="BL137" s="503">
        <f t="shared" si="15"/>
        <v>3</v>
      </c>
      <c r="BM137" s="503">
        <f t="shared" si="16"/>
        <v>2</v>
      </c>
      <c r="BN137" s="503">
        <f t="shared" si="17"/>
        <v>18</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f>IF(終値!A138="","",IF(AND(安値!H138&lt;安値!G138,安値!H138&lt;安値!F138,安値!H138&lt;安値!I138,安値!H138&lt;安値!J138),3,""))</f>
        <v>3</v>
      </c>
      <c r="D138" s="503" t="str">
        <f>IF(終値!A138="","",IF(AND(安値!I138&lt;安値!H138,安値!I138&lt;安値!G138,安値!I138&lt;安値!J138,安値!I138&lt;安値!K138),4,""))</f>
        <v/>
      </c>
      <c r="E138" s="503" t="str">
        <f>IF(終値!A138="","",IF(AND(安値!J138&lt;安値!I138,安値!J138&lt;安値!H138,安値!J138&lt;安値!K138,安値!J138&lt;安値!L138),5,""))</f>
        <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f>IF(終値!A138="","",IF(AND(安値!O138&lt;安値!N138,安値!O138&lt;安値!M138,安値!O138&lt;安値!P138,安値!O138&lt;安値!Q138),10,""))</f>
        <v>10</v>
      </c>
      <c r="K138" s="503" t="str">
        <f>IF(終値!A138="","",IF(AND(安値!P138&lt;安値!O138,安値!P138&lt;安値!N138,安値!P138&lt;安値!Q138,安値!P138&lt;安値!R138),11,""))</f>
        <v/>
      </c>
      <c r="L138" s="503" t="str">
        <f>IF(終値!A138="","",IF(AND(安値!Q138&lt;安値!P138,安値!Q138&lt;安値!O138,安値!Q138&lt;安値!R138,安値!Q138&lt;安値!S138),12,""))</f>
        <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f>IF(終値!A138="","",IF(AND(安値!Y138&lt;安値!X138,安値!Y138&lt;安値!W138,安値!Y138&lt;安値!Z138,安値!Y138&lt;安値!AA138),20,""))</f>
        <v>20</v>
      </c>
      <c r="U138" s="503" t="str">
        <f>IF(終値!A138="","",IF(AND(安値!Z138&lt;安値!Y138,安値!Z138&lt;安値!X138,安値!Z138&lt;安値!AA138,安値!Z138&lt;安値!AB138),21,""))</f>
        <v/>
      </c>
      <c r="V138" s="503" t="str">
        <f>IF(終値!A138="","",IF(AND(安値!AA138&lt;安値!Z138,安値!AA138&lt;安値!Y138,安値!AA138&lt;安値!AB138,安値!AA138&lt;安値!AC138),22,""))</f>
        <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f>IF(終値!A138="","",IF(AND(高値!Q138&gt;高値!P138,高値!Q138&gt;高値!O138,高値!Q138&gt;高値!R138,高値!Q138&gt;高値!S138),12,""))</f>
        <v>12</v>
      </c>
      <c r="AN138" s="503" t="str">
        <f>IF(終値!A138="","",IF(AND(高値!R138&gt;高値!Q138,高値!R138&gt;高値!P138,高値!R138&gt;高値!S138,高値!R138&gt;高値!T138),13,""))</f>
        <v/>
      </c>
      <c r="AO138" s="503" t="str">
        <f>IF(終値!A138="","",IF(AND(高値!S138&gt;高値!R138,高値!S138&gt;高値!Q138,高値!S138&gt;高値!T138,高値!S138&gt;高値!U138),14,""))</f>
        <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f>IF(終値!A138="","",IF(AND(高値!W138&gt;高値!V138,高値!W138&gt;高値!U138,高値!W138&gt;高値!X138,高値!W138&gt;高値!Y138),18,""))</f>
        <v>18</v>
      </c>
      <c r="AT138" s="503" t="str">
        <f>IF(終値!A138="","",IF(AND(高値!X138&gt;高値!W138,高値!X138&gt;高値!V138,高値!X138&gt;高値!Y138,高値!X138&gt;高値!Z138),19,""))</f>
        <v/>
      </c>
      <c r="AU138" s="503" t="str">
        <f>IF(終値!A138="","",IF(AND(高値!Y138&gt;高値!X138,高値!Y138&gt;高値!W138,高値!Y138&gt;高値!Z138,高値!Y138&gt;高値!AA138),20,""))</f>
        <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3</v>
      </c>
      <c r="BF138" s="503">
        <f t="shared" si="14"/>
        <v>10</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12</v>
      </c>
      <c r="BN138" s="503">
        <f t="shared" si="17"/>
        <v>18</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f>IF(終値!A139="","",IF(AND(安値!H139&lt;安値!G139,安値!H139&lt;安値!F139,安値!H139&lt;安値!I139,安値!H139&lt;安値!J139),3,""))</f>
        <v>3</v>
      </c>
      <c r="D139" s="503" t="str">
        <f>IF(終値!A139="","",IF(AND(安値!I139&lt;安値!H139,安値!I139&lt;安値!G139,安値!I139&lt;安値!J139,安値!I139&lt;安値!K139),4,""))</f>
        <v/>
      </c>
      <c r="E139" s="503" t="str">
        <f>IF(終値!A139="","",IF(AND(安値!J139&lt;安値!I139,安値!J139&lt;安値!H139,安値!J139&lt;安値!K139,安値!J139&lt;安値!L139),5,""))</f>
        <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f>IF(終値!A139="","",IF(AND(安値!P139&lt;安値!O139,安値!P139&lt;安値!N139,安値!P139&lt;安値!Q139,安値!P139&lt;安値!R139),11,""))</f>
        <v>11</v>
      </c>
      <c r="L139" s="503" t="str">
        <f>IF(終値!A139="","",IF(AND(安値!Q139&lt;安値!P139,安値!Q139&lt;安値!O139,安値!Q139&lt;安値!R139,安値!Q139&lt;安値!S139),12,""))</f>
        <v/>
      </c>
      <c r="M139" s="503" t="str">
        <f>IF(終値!A139="","",IF(AND(安値!R139&lt;安値!Q139,安値!R139&lt;安値!P139,安値!R139&lt;安値!S139,安値!R139&lt;安値!T139),13,""))</f>
        <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f>IF(終値!A139="","",IF(AND(安値!V139&lt;安値!U139,安値!V139&lt;安値!T139,安値!V139&lt;安値!W139,安値!V139&lt;安値!X139),17,""))</f>
        <v>17</v>
      </c>
      <c r="R139" s="503" t="str">
        <f>IF(終値!A139="","",IF(AND(安値!W139&lt;安値!V139,安値!W139&lt;安値!U139,安値!W139&lt;安値!X139,安値!W139&lt;安値!Y139),18,""))</f>
        <v/>
      </c>
      <c r="S139" s="503" t="str">
        <f>IF(終値!A139="","",IF(AND(安値!X139&lt;安値!W139,安値!X139&lt;安値!V139,安値!X139&lt;安値!Y139,安値!X139&lt;安値!Z139),19,""))</f>
        <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f>IF(終値!A139="","",IF(AND(安値!AA139&lt;安値!Z139,安値!AA139&lt;安値!Y139,安値!AA139&lt;安値!AB139,安値!AA139&lt;安値!AC139),22,""))</f>
        <v>22</v>
      </c>
      <c r="W139" s="503" t="str">
        <f>IF(終値!A139="","",IF(AND(安値!AB139&lt;安値!AA139,安値!AB139&lt;安値!Z139,安値!AB139&lt;安値!AC139,安値!AB139&lt;安値!AD139),23,""))</f>
        <v/>
      </c>
      <c r="X139" s="503" t="str">
        <f>IF(終値!A139="","",IF(AND(安値!AC139&lt;安値!AB139,安値!AC139&lt;安値!AA139,安値!AC139&lt;安値!AD139,安値!AC139&lt;安値!AE139),24,""))</f>
        <v/>
      </c>
      <c r="Y139" s="503" t="str">
        <f>IF(終値!A139="","",IF(AND(安値!AD139&lt;安値!AC139,安値!AD139&lt;安値!AB139,安値!AD139&lt;安値!AE139,安値!AD139&lt;安値!AF139),25,""))</f>
        <v/>
      </c>
      <c r="Z139" s="503">
        <f>IF(終値!A139="","",IF(AND(安値!AE139&lt;安値!AD139,安値!AE139&lt;安値!AC139,安値!AE139&lt;安値!AF139,安値!AE139&lt;安値!AG139),26,""))</f>
        <v>26</v>
      </c>
      <c r="AA139" s="503" t="str">
        <f>IF(終値!A139="","",IF(AND(安値!AF139&lt;安値!AE139,安値!AF139&lt;安値!AD139,安値!AF139&lt;安値!AG139,安値!AF139&lt;安値!AH139),27,""))</f>
        <v/>
      </c>
      <c r="AB139" s="503" t="str">
        <f>IF(終値!A139="","",IF(AND(安値!AG139&lt;安値!AF139,安値!AG139&lt;安値!AE139,安値!AG139&lt;安値!AH139,安値!AG139&lt;安値!AI139),28,""))</f>
        <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f>IF(終値!A139="","",IF(AND(高値!W139&gt;高値!V139,高値!W139&gt;高値!U139,高値!W139&gt;高値!X139,高値!W139&gt;高値!Y139),18,""))</f>
        <v>18</v>
      </c>
      <c r="AT139" s="503" t="str">
        <f>IF(終値!A139="","",IF(AND(高値!X139&gt;高値!W139,高値!X139&gt;高値!V139,高値!X139&gt;高値!Y139,高値!X139&gt;高値!Z139),19,""))</f>
        <v/>
      </c>
      <c r="AU139" s="503" t="str">
        <f>IF(終値!A139="","",IF(AND(高値!Y139&gt;高値!X139,高値!Y139&gt;高値!W139,高値!Y139&gt;高値!Z139,高値!Y139&gt;高値!AA139),20,""))</f>
        <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f>IF(終値!A139="","",IF(AND(高値!AC139&gt;高値!AB139,高値!AC139&gt;高値!AA139,高値!AC139&gt;高値!AD139,高値!AC139&gt;高値!AE139),24,""))</f>
        <v>24</v>
      </c>
      <c r="AZ139" s="503" t="str">
        <f>IF(終値!A139="","",IF(AND(高値!AD139&gt;高値!AC139,高値!AD139&gt;高値!AB139,高値!AD139&gt;高値!AE139,高値!AD139&gt;高値!AF139),25,""))</f>
        <v/>
      </c>
      <c r="BA139" s="503" t="str">
        <f>IF(終値!A139="","",IF(AND(高値!AE139&gt;高値!AD139,高値!AE139&gt;高値!AC139,高値!AE139&gt;高値!AF139,高値!AE139&gt;高値!AG139),26,""))</f>
        <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3</v>
      </c>
      <c r="BF139" s="503">
        <f t="shared" si="14"/>
        <v>11</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18</v>
      </c>
      <c r="BN139" s="503">
        <f t="shared" si="17"/>
        <v>24</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t="str">
        <f>IF(終値!A140="","",IF(AND(安値!G140&lt;安値!F140,安値!G140&lt;安値!E140,安値!G140&lt;安値!H140,安値!G140&lt;安値!I140),2,""))</f>
        <v/>
      </c>
      <c r="C140" s="503">
        <f>IF(終値!A140="","",IF(AND(安値!H140&lt;安値!G140,安値!H140&lt;安値!F140,安値!H140&lt;安値!I140,安値!H140&lt;安値!J140),3,""))</f>
        <v>3</v>
      </c>
      <c r="D140" s="503" t="str">
        <f>IF(終値!A140="","",IF(AND(安値!I140&lt;安値!H140,安値!I140&lt;安値!G140,安値!I140&lt;安値!J140,安値!I140&lt;安値!K140),4,""))</f>
        <v/>
      </c>
      <c r="E140" s="503" t="str">
        <f>IF(終値!A140="","",IF(AND(安値!J140&lt;安値!I140,安値!J140&lt;安値!H140,安値!J140&lt;安値!K140,安値!J140&lt;安値!L140),5,""))</f>
        <v/>
      </c>
      <c r="F140" s="503" t="str">
        <f>IF(終値!A140="","",IF(AND(安値!K140&lt;安値!J140,安値!K140&lt;安値!I140,安値!K140&lt;安値!L140,安値!K140&lt;安値!M140),6,""))</f>
        <v/>
      </c>
      <c r="G140" s="503">
        <f>IF(終値!A140="","",IF(AND(安値!L140&lt;安値!K140,安値!L140&lt;安値!J140,安値!L140&lt;安値!M140,安値!L140&lt;安値!N140),7,""))</f>
        <v>7</v>
      </c>
      <c r="H140" s="503" t="str">
        <f>IF(終値!A140="","",IF(AND(安値!M140&lt;安値!L140,安値!M140&lt;安値!K140,安値!M140&lt;安値!N140,安値!M140&lt;安値!O140),8,""))</f>
        <v/>
      </c>
      <c r="I140" s="503" t="str">
        <f>IF(終値!A140="","",IF(AND(安値!N140&lt;安値!M140,安値!N140&lt;安値!L140,安値!N140&lt;安値!O140,安値!N140&lt;安値!P140),9,""))</f>
        <v/>
      </c>
      <c r="J140" s="503" t="str">
        <f>IF(終値!A140="","",IF(AND(安値!O140&lt;安値!N140,安値!O140&lt;安値!M140,安値!O140&lt;安値!P140,安値!O140&lt;安値!Q140),10,""))</f>
        <v/>
      </c>
      <c r="K140" s="503">
        <f>IF(終値!A140="","",IF(AND(安値!P140&lt;安値!O140,安値!P140&lt;安値!N140,安値!P140&lt;安値!Q140,安値!P140&lt;安値!R140),11,""))</f>
        <v>11</v>
      </c>
      <c r="L140" s="503" t="str">
        <f>IF(終値!A140="","",IF(AND(安値!Q140&lt;安値!P140,安値!Q140&lt;安値!O140,安値!Q140&lt;安値!R140,安値!Q140&lt;安値!S140),12,""))</f>
        <v/>
      </c>
      <c r="M140" s="503" t="str">
        <f>IF(終値!A140="","",IF(AND(安値!R140&lt;安値!Q140,安値!R140&lt;安値!P140,安値!R140&lt;安値!S140,安値!R140&lt;安値!T140),13,""))</f>
        <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f>IF(終値!A140="","",IF(AND(高値!K140&gt;高値!J140,高値!K140&gt;高値!I140,高値!K140&gt;高値!L140,高値!K140&gt;高値!M140),6,""))</f>
        <v>6</v>
      </c>
      <c r="AH140" s="503" t="str">
        <f>IF(終値!A140="","",IF(AND(高値!L140&gt;高値!K140,高値!L140&gt;高値!J140,高値!L140&gt;高値!M140,高値!L140&gt;高値!N140),7,""))</f>
        <v/>
      </c>
      <c r="AI140" s="503" t="str">
        <f>IF(終値!A140="","",IF(AND(高値!M140&gt;高値!L140,高値!M140&gt;高値!K140,高値!M140&gt;高値!N140,高値!M140&gt;高値!O140),8,""))</f>
        <v/>
      </c>
      <c r="AJ140" s="503">
        <f>IF(終値!A140="","",IF(AND(高値!N140&gt;高値!M140,高値!N140&gt;高値!L140,高値!N140&gt;高値!O140,高値!N140&gt;高値!P140),9,""))</f>
        <v>9</v>
      </c>
      <c r="AK140" s="503" t="str">
        <f>IF(終値!A140="","",IF(AND(高値!O140&gt;高値!N140,高値!O140&gt;高値!M140,高値!O140&gt;高値!P140,高値!O140&gt;高値!Q140),10,""))</f>
        <v/>
      </c>
      <c r="AL140" s="503" t="str">
        <f>IF(終値!A140="","",IF(AND(高値!P140&gt;高値!O140,高値!P140&gt;高値!N140,高値!P140&gt;高値!Q140,高値!P140&gt;高値!R140),11,""))</f>
        <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f>IF(終値!A140="","",IF(AND(高値!T140&gt;高値!S140,高値!T140&gt;高値!R140,高値!T140&gt;高値!U140,高値!T140&gt;高値!V140),15,""))</f>
        <v>15</v>
      </c>
      <c r="AQ140" s="503" t="str">
        <f>IF(終値!A140="","",IF(AND(高値!U140&gt;高値!T140,高値!U140&gt;高値!S140,高値!U140&gt;高値!V140,高値!U140&gt;高値!W140),16,""))</f>
        <v/>
      </c>
      <c r="AR140" s="503" t="str">
        <f>IF(終値!A140="","",IF(AND(高値!V140&gt;高値!U140,高値!V140&gt;高値!T140,高値!V140&gt;高値!W140,高値!V140&gt;高値!X140),17,""))</f>
        <v/>
      </c>
      <c r="AS140" s="503" t="str">
        <f>IF(終値!A140="","",IF(AND(高値!W140&gt;高値!V140,高値!W140&gt;高値!U140,高値!W140&gt;高値!X140,高値!W140&gt;高値!Y140),18,""))</f>
        <v/>
      </c>
      <c r="AT140" s="503">
        <f>IF(終値!A140="","",IF(AND(高値!X140&gt;高値!W140,高値!X140&gt;高値!V140,高値!X140&gt;高値!Y140,高値!X140&gt;高値!Z140),19,""))</f>
        <v>19</v>
      </c>
      <c r="AU140" s="503" t="str">
        <f>IF(終値!A140="","",IF(AND(高値!Y140&gt;高値!X140,高値!Y140&gt;高値!W140,高値!Y140&gt;高値!Z140,高値!Y140&gt;高値!AA140),20,""))</f>
        <v/>
      </c>
      <c r="AV140" s="503" t="str">
        <f>IF(終値!A140="","",IF(AND(高値!Z140&gt;高値!Y140,高値!Z140&gt;高値!X140,高値!Z140&gt;高値!AA140,高値!Z140&gt;高値!AB140),21,""))</f>
        <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f>IF(終値!A140="","",IF(AND(高値!AE140&gt;高値!AD140,高値!AE140&gt;高値!AC140,高値!AE140&gt;高値!AF140,高値!AE140&gt;高値!AG140),26,""))</f>
        <v>26</v>
      </c>
      <c r="BB140" s="503" t="str">
        <f>IF(終値!A140="","",IF(AND(高値!AF140&gt;高値!AE140,高値!AF140&gt;高値!AD140,高値!AF140&gt;高値!AG140,高値!AF140&gt;高値!AH140),27,""))</f>
        <v/>
      </c>
      <c r="BC140" s="503" t="str">
        <f>IF(終値!A140="","",IF(AND(高値!AG140&gt;高値!AF140,高値!AG140&gt;高値!AE140,高値!AG140&gt;高値!AH140,高値!AG140&gt;高値!AI140),28,""))</f>
        <v/>
      </c>
      <c r="BD140" s="503">
        <f t="shared" si="12"/>
        <v>3</v>
      </c>
      <c r="BE140" s="503">
        <f t="shared" si="13"/>
        <v>3</v>
      </c>
      <c r="BF140" s="503">
        <f t="shared" si="14"/>
        <v>7</v>
      </c>
      <c r="BG140" s="503">
        <f>IF($BE140="","",INDEX(安値!$E140:$CZ140,1,$BE140+1))</f>
        <v>43</v>
      </c>
      <c r="BH140" s="503">
        <f>IF($BF140="","",INDEX(安値!$E140:$CZ140,1,$BF140+1))</f>
        <v>0</v>
      </c>
      <c r="BI140" s="503">
        <f>IF($BF140="","",MAX(INDEX(高値!$E140:$CZ140,1,$BE140+1):INDEX(高値!$E140:$CZ140,1,$BF140+1)))</f>
        <v>49</v>
      </c>
      <c r="BJ140" s="503">
        <f>IF($BF140="","",AVERAGE(INDEX(終値!$E140:$CZ140,1,$BF140+1):INDEX(終値!$E140:$CZ140,1,$BF140+20))-2*STDEVP(INDEX(終値!$E140:$CZ140,1,$BF140+1):INDEX(終値!$E140:$CZ140,1,$BF140+20)))</f>
        <v>44.581991289801309</v>
      </c>
      <c r="BK140" s="503">
        <f>IF($BE140="","",AVERAGE(INDEX(終値!$E140:$CZ140,1,$BE140+1):INDEX(終値!$E140:$CZ140,1,$BE140+20))-2*STDEVP(INDEX(終値!$E140:$CZ140,1,$BE140+1):INDEX(終値!$E140:$CZ140,1,$BE140+20)))</f>
        <v>43.70747354304045</v>
      </c>
      <c r="BL140" s="503">
        <f t="shared" si="15"/>
        <v>5</v>
      </c>
      <c r="BM140" s="503">
        <f t="shared" si="16"/>
        <v>6</v>
      </c>
      <c r="BN140" s="503">
        <f t="shared" si="17"/>
        <v>9</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f>IF(終値!A141="","",IF(AND(安値!I141&lt;安値!H141,安値!I141&lt;安値!G141,安値!I141&lt;安値!J141,安値!I141&lt;安値!K141),4,""))</f>
        <v>4</v>
      </c>
      <c r="E141" s="503" t="str">
        <f>IF(終値!A141="","",IF(AND(安値!J141&lt;安値!I141,安値!J141&lt;安値!H141,安値!J141&lt;安値!K141,安値!J141&lt;安値!L141),5,""))</f>
        <v/>
      </c>
      <c r="F141" s="503" t="str">
        <f>IF(終値!A141="","",IF(AND(安値!K141&lt;安値!J141,安値!K141&lt;安値!I141,安値!K141&lt;安値!L141,安値!K141&lt;安値!M141),6,""))</f>
        <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f>IF(終値!A141="","",IF(AND(安値!P141&lt;安値!O141,安値!P141&lt;安値!N141,安値!P141&lt;安値!Q141,安値!P141&lt;安値!R141),11,""))</f>
        <v>11</v>
      </c>
      <c r="L141" s="503" t="str">
        <f>IF(終値!A141="","",IF(AND(安値!Q141&lt;安値!P141,安値!Q141&lt;安値!O141,安値!Q141&lt;安値!R141,安値!Q141&lt;安値!S141),12,""))</f>
        <v/>
      </c>
      <c r="M141" s="503" t="str">
        <f>IF(終値!A141="","",IF(AND(安値!R141&lt;安値!Q141,安値!R141&lt;安値!P141,安値!R141&lt;安値!S141,安値!R141&lt;安値!T141),13,""))</f>
        <v/>
      </c>
      <c r="N141" s="503">
        <f>IF(終値!A141="","",IF(AND(安値!S141&lt;安値!R141,安値!S141&lt;安値!Q141,安値!S141&lt;安値!T141,安値!S141&lt;安値!U141),14,""))</f>
        <v>14</v>
      </c>
      <c r="O141" s="503" t="str">
        <f>IF(終値!A141="","",IF(AND(安値!T141&lt;安値!S141,安値!T141&lt;安値!R141,安値!T141&lt;安値!U141,安値!T141&lt;安値!V141),15,""))</f>
        <v/>
      </c>
      <c r="P141" s="503" t="str">
        <f>IF(終値!A141="","",IF(AND(安値!U141&lt;安値!T141,安値!U141&lt;安値!S141,安値!U141&lt;安値!V141,安値!U141&lt;安値!W141),16,""))</f>
        <v/>
      </c>
      <c r="Q141" s="503">
        <f>IF(終値!A141="","",IF(AND(安値!V141&lt;安値!U141,安値!V141&lt;安値!T141,安値!V141&lt;安値!W141,安値!V141&lt;安値!X141),17,""))</f>
        <v>17</v>
      </c>
      <c r="R141" s="503" t="str">
        <f>IF(終値!A141="","",IF(AND(安値!W141&lt;安値!V141,安値!W141&lt;安値!U141,安値!W141&lt;安値!X141,安値!W141&lt;安値!Y141),18,""))</f>
        <v/>
      </c>
      <c r="S141" s="503" t="str">
        <f>IF(終値!A141="","",IF(AND(安値!X141&lt;安値!W141,安値!X141&lt;安値!V141,安値!X141&lt;安値!Y141,安値!X141&lt;安値!Z141),19,""))</f>
        <v/>
      </c>
      <c r="T141" s="503">
        <f>IF(終値!A141="","",IF(AND(安値!Y141&lt;安値!X141,安値!Y141&lt;安値!W141,安値!Y141&lt;安値!Z141,安値!Y141&lt;安値!AA141),20,""))</f>
        <v>20</v>
      </c>
      <c r="U141" s="503" t="str">
        <f>IF(終値!A141="","",IF(AND(安値!Z141&lt;安値!Y141,安値!Z141&lt;安値!X141,安値!Z141&lt;安値!AA141,安値!Z141&lt;安値!AB141),21,""))</f>
        <v/>
      </c>
      <c r="V141" s="503" t="str">
        <f>IF(終値!A141="","",IF(AND(安値!AA141&lt;安値!Z141,安値!AA141&lt;安値!Y141,安値!AA141&lt;安値!AB141,安値!AA141&lt;安値!AC141),22,""))</f>
        <v/>
      </c>
      <c r="W141" s="503" t="str">
        <f>IF(終値!A141="","",IF(AND(安値!AB141&lt;安値!AA141,安値!AB141&lt;安値!Z141,安値!AB141&lt;安値!AC141,安値!AB141&lt;安値!AD141),23,""))</f>
        <v/>
      </c>
      <c r="X141" s="503">
        <f>IF(終値!A141="","",IF(AND(安値!AC141&lt;安値!AB141,安値!AC141&lt;安値!AA141,安値!AC141&lt;安値!AD141,安値!AC141&lt;安値!AE141),24,""))</f>
        <v>24</v>
      </c>
      <c r="Y141" s="503" t="str">
        <f>IF(終値!A141="","",IF(AND(安値!AD141&lt;安値!AC141,安値!AD141&lt;安値!AB141,安値!AD141&lt;安値!AE141,安値!AD141&lt;安値!AF141),25,""))</f>
        <v/>
      </c>
      <c r="Z141" s="503" t="str">
        <f>IF(終値!A141="","",IF(AND(安値!AE141&lt;安値!AD141,安値!AE141&lt;安値!AC141,安値!AE141&lt;安値!AF141,安値!AE141&lt;安値!AG141),26,""))</f>
        <v/>
      </c>
      <c r="AA141" s="503">
        <f>IF(終値!A141="","",IF(AND(安値!AF141&lt;安値!AE141,安値!AF141&lt;安値!AD141,安値!AF141&lt;安値!AG141,安値!AF141&lt;安値!AH141),27,""))</f>
        <v>27</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f>IF(終値!A141="","",IF(AND(高値!M141&gt;高値!L141,高値!M141&gt;高値!K141,高値!M141&gt;高値!N141,高値!M141&gt;高値!O141),8,""))</f>
        <v>8</v>
      </c>
      <c r="AJ141" s="503" t="str">
        <f>IF(終値!A141="","",IF(AND(高値!N141&gt;高値!M141,高値!N141&gt;高値!L141,高値!N141&gt;高値!O141,高値!N141&gt;高値!P141),9,""))</f>
        <v/>
      </c>
      <c r="AK141" s="503" t="str">
        <f>IF(終値!A141="","",IF(AND(高値!O141&gt;高値!N141,高値!O141&gt;高値!M141,高値!O141&gt;高値!P141,高値!O141&gt;高値!Q141),10,""))</f>
        <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f>IF(終値!A141="","",IF(AND(高値!S141&gt;高値!R141,高値!S141&gt;高値!Q141,高値!S141&gt;高値!T141,高値!S141&gt;高値!U141),14,""))</f>
        <v>14</v>
      </c>
      <c r="AP141" s="503" t="str">
        <f>IF(終値!A141="","",IF(AND(高値!T141&gt;高値!S141,高値!T141&gt;高値!R141,高値!T141&gt;高値!U141,高値!T141&gt;高値!V141),15,""))</f>
        <v/>
      </c>
      <c r="AQ141" s="503" t="str">
        <f>IF(終値!A141="","",IF(AND(高値!U141&gt;高値!T141,高値!U141&gt;高値!S141,高値!U141&gt;高値!V141,高値!U141&gt;高値!W141),16,""))</f>
        <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f>IF(終値!A141="","",IF(AND(高値!X141&gt;高値!W141,高値!X141&gt;高値!V141,高値!X141&gt;高値!Y141,高値!X141&gt;高値!Z141),19,""))</f>
        <v>19</v>
      </c>
      <c r="AU141" s="503" t="str">
        <f>IF(終値!A141="","",IF(AND(高値!Y141&gt;高値!X141,高値!Y141&gt;高値!W141,高値!Y141&gt;高値!Z141,高値!Y141&gt;高値!AA141),20,""))</f>
        <v/>
      </c>
      <c r="AV141" s="503" t="str">
        <f>IF(終値!A141="","",IF(AND(高値!Z141&gt;高値!Y141,高値!Z141&gt;高値!X141,高値!Z141&gt;高値!AA141,高値!Z141&gt;高値!AB141),21,""))</f>
        <v/>
      </c>
      <c r="AW141" s="503">
        <f>IF(終値!A141="","",IF(AND(高値!AA141&gt;高値!Z141,高値!AA141&gt;高値!Y141,高値!AA141&gt;高値!AB141,高値!AA141&gt;高値!AC141),22,""))</f>
        <v>22</v>
      </c>
      <c r="AX141" s="503" t="str">
        <f>IF(終値!A141="","",IF(AND(高値!AB141&gt;高値!AA141,高値!AB141&gt;高値!Z141,高値!AB141&gt;高値!AC141,高値!AB141&gt;高値!AD141),23,""))</f>
        <v/>
      </c>
      <c r="AY141" s="503" t="str">
        <f>IF(終値!A141="","",IF(AND(高値!AC141&gt;高値!AB141,高値!AC141&gt;高値!AA141,高値!AC141&gt;高値!AD141,高値!AC141&gt;高値!AE141),24,""))</f>
        <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f>IF(終値!A141="","",IF(AND(高値!AG141&gt;高値!AF141,高値!AG141&gt;高値!AE141,高値!AG141&gt;高値!AH141,高値!AG141&gt;高値!AI141),28,""))</f>
        <v>28</v>
      </c>
      <c r="BD141" s="503">
        <f t="shared" si="12"/>
        <v>7</v>
      </c>
      <c r="BE141" s="503">
        <f t="shared" si="13"/>
        <v>4</v>
      </c>
      <c r="BF141" s="503">
        <f t="shared" si="14"/>
        <v>11</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5</v>
      </c>
      <c r="BM141" s="503">
        <f t="shared" si="16"/>
        <v>8</v>
      </c>
      <c r="BN141" s="503">
        <f t="shared" si="17"/>
        <v>14</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t="str">
        <f>IF(終値!A142="","",IF(AND(安値!G142&lt;安値!F142,安値!G142&lt;安値!E142,安値!G142&lt;安値!H142,安値!G142&lt;安値!I142),2,""))</f>
        <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f>IF(終値!A142="","",IF(AND(安値!L142&lt;安値!K142,安値!L142&lt;安値!J142,安値!L142&lt;安値!M142,安値!L142&lt;安値!N142),7,""))</f>
        <v>7</v>
      </c>
      <c r="H142" s="503" t="str">
        <f>IF(終値!A142="","",IF(AND(安値!M142&lt;安値!L142,安値!M142&lt;安値!K142,安値!M142&lt;安値!N142,安値!M142&lt;安値!O142),8,""))</f>
        <v/>
      </c>
      <c r="I142" s="503" t="str">
        <f>IF(終値!A142="","",IF(AND(安値!N142&lt;安値!M142,安値!N142&lt;安値!L142,安値!N142&lt;安値!O142,安値!N142&lt;安値!P142),9,""))</f>
        <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f>IF(終値!A142="","",IF(AND(安値!Q142&lt;安値!P142,安値!Q142&lt;安値!O142,安値!Q142&lt;安値!R142,安値!Q142&lt;安値!S142),12,""))</f>
        <v>12</v>
      </c>
      <c r="M142" s="503" t="str">
        <f>IF(終値!A142="","",IF(AND(安値!R142&lt;安値!Q142,安値!R142&lt;安値!P142,安値!R142&lt;安値!S142,安値!R142&lt;安値!T142),13,""))</f>
        <v/>
      </c>
      <c r="N142" s="503" t="str">
        <f>IF(終値!A142="","",IF(AND(安値!S142&lt;安値!R142,安値!S142&lt;安値!Q142,安値!S142&lt;安値!T142,安値!S142&lt;安値!U142),14,""))</f>
        <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f>IF(終値!A142="","",IF(AND(安値!AF142&lt;安値!AE142,安値!AF142&lt;安値!AD142,安値!AF142&lt;安値!AG142,安値!AF142&lt;安値!AH142),27,""))</f>
        <v>27</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f>IF(終値!A142="","",IF(AND(高値!J142&gt;高値!I142,高値!J142&gt;高値!H142,高値!J142&gt;高値!K142,高値!J142&gt;高値!L142),5,""))</f>
        <v>5</v>
      </c>
      <c r="AG142" s="503" t="str">
        <f>IF(終値!A142="","",IF(AND(高値!K142&gt;高値!J142,高値!K142&gt;高値!I142,高値!K142&gt;高値!L142,高値!K142&gt;高値!M142),6,""))</f>
        <v/>
      </c>
      <c r="AH142" s="503" t="str">
        <f>IF(終値!A142="","",IF(AND(高値!L142&gt;高値!K142,高値!L142&gt;高値!J142,高値!L142&gt;高値!M142,高値!L142&gt;高値!N142),7,""))</f>
        <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f>IF(終値!A142="","",IF(AND(高値!O142&gt;高値!N142,高値!O142&gt;高値!M142,高値!O142&gt;高値!P142,高値!O142&gt;高値!Q142),10,""))</f>
        <v>10</v>
      </c>
      <c r="AL142" s="503" t="str">
        <f>IF(終値!A142="","",IF(AND(高値!P142&gt;高値!O142,高値!P142&gt;高値!N142,高値!P142&gt;高値!Q142,高値!P142&gt;高値!R142),11,""))</f>
        <v/>
      </c>
      <c r="AM142" s="503" t="str">
        <f>IF(終値!A142="","",IF(AND(高値!Q142&gt;高値!P142,高値!Q142&gt;高値!O142,高値!Q142&gt;高値!R142,高値!Q142&gt;高値!S142),12,""))</f>
        <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f>IF(終値!A142="","",IF(AND(高値!V142&gt;高値!U142,高値!V142&gt;高値!T142,高値!V142&gt;高値!W142,高値!V142&gt;高値!X142),17,""))</f>
        <v>17</v>
      </c>
      <c r="AS142" s="503" t="str">
        <f>IF(終値!A142="","",IF(AND(高値!W142&gt;高値!V142,高値!W142&gt;高値!U142,高値!W142&gt;高値!X142,高値!W142&gt;高値!Y142),18,""))</f>
        <v/>
      </c>
      <c r="AT142" s="503" t="str">
        <f>IF(終値!A142="","",IF(AND(高値!X142&gt;高値!W142,高値!X142&gt;高値!V142,高値!X142&gt;高値!Y142,高値!X142&gt;高値!Z142),19,""))</f>
        <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f>IF(終値!A142="","",IF(AND(高値!AC142&gt;高値!AB142,高値!AC142&gt;高値!AA142,高値!AC142&gt;高値!AD142,高値!AC142&gt;高値!AE142),24,""))</f>
        <v>24</v>
      </c>
      <c r="AZ142" s="503" t="str">
        <f>IF(終値!A142="","",IF(AND(高値!AD142&gt;高値!AC142,高値!AD142&gt;高値!AB142,高値!AD142&gt;高値!AE142,高値!AD142&gt;高値!AF142),25,""))</f>
        <v/>
      </c>
      <c r="BA142" s="503" t="str">
        <f>IF(終値!A142="","",IF(AND(高値!AE142&gt;高値!AD142,高値!AE142&gt;高値!AC142,高値!AE142&gt;高値!AF142,高値!AE142&gt;高値!AG142),26,""))</f>
        <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7</v>
      </c>
      <c r="BF142" s="503">
        <f t="shared" si="14"/>
        <v>12</v>
      </c>
      <c r="BG142" s="503">
        <f>IF($BE142="","",INDEX(安値!$E142:$CZ142,1,$BE142+1))</f>
        <v>2725.5</v>
      </c>
      <c r="BH142" s="503">
        <f>IF($BF142="","",INDEX(安値!$E142:$CZ142,1,$BF142+1))</f>
        <v>2636.5</v>
      </c>
      <c r="BI142" s="503">
        <f>IF($BF142="","",MAX(INDEX(高値!$E142:$CZ142,1,$BE142+1):INDEX(高値!$E142:$CZ142,1,$BF142+1)))</f>
        <v>2874</v>
      </c>
      <c r="BJ142" s="503">
        <f>IF($BF142="","",AVERAGE(INDEX(終値!$E142:$CZ142,1,$BF142+1):INDEX(終値!$E142:$CZ142,1,$BF142+20))-2*STDEVP(INDEX(終値!$E142:$CZ142,1,$BF142+1):INDEX(終値!$E142:$CZ142,1,$BF142+20)))</f>
        <v>2479.7947090946627</v>
      </c>
      <c r="BK142" s="503">
        <f>IF($BE142="","",AVERAGE(INDEX(終値!$E142:$CZ142,1,$BE142+1):INDEX(終値!$E142:$CZ142,1,$BE142+20))-2*STDEVP(INDEX(終値!$E142:$CZ142,1,$BE142+1):INDEX(終値!$E142:$CZ142,1,$BE142+20)))</f>
        <v>2532.8662777021609</v>
      </c>
      <c r="BL142" s="503">
        <f t="shared" si="15"/>
        <v>4</v>
      </c>
      <c r="BM142" s="503">
        <f t="shared" si="16"/>
        <v>5</v>
      </c>
      <c r="BN142" s="503">
        <f t="shared" si="17"/>
        <v>10</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t="str">
        <f>IF(終値!A143="","",IF(AND(安値!H143&lt;安値!G143,安値!H143&lt;安値!F143,安値!H143&lt;安値!I143,安値!H143&lt;安値!J143),3,""))</f>
        <v/>
      </c>
      <c r="D143" s="503" t="str">
        <f>IF(終値!A143="","",IF(AND(安値!I143&lt;安値!H143,安値!I143&lt;安値!G143,安値!I143&lt;安値!J143,安値!I143&lt;安値!K143),4,""))</f>
        <v/>
      </c>
      <c r="E143" s="503">
        <f>IF(終値!A143="","",IF(AND(安値!J143&lt;安値!I143,安値!J143&lt;安値!H143,安値!J143&lt;安値!K143,安値!J143&lt;安値!L143),5,""))</f>
        <v>5</v>
      </c>
      <c r="F143" s="503" t="str">
        <f>IF(終値!A143="","",IF(AND(安値!K143&lt;安値!J143,安値!K143&lt;安値!I143,安値!K143&lt;安値!L143,安値!K143&lt;安値!M143),6,""))</f>
        <v/>
      </c>
      <c r="G143" s="503" t="str">
        <f>IF(終値!A143="","",IF(AND(安値!L143&lt;安値!K143,安値!L143&lt;安値!J143,安値!L143&lt;安値!M143,安値!L143&lt;安値!N143),7,""))</f>
        <v/>
      </c>
      <c r="H143" s="503" t="str">
        <f>IF(終値!A143="","",IF(AND(安値!M143&lt;安値!L143,安値!M143&lt;安値!K143,安値!M143&lt;安値!N143,安値!M143&lt;安値!O143),8,""))</f>
        <v/>
      </c>
      <c r="I143" s="503" t="str">
        <f>IF(終値!A143="","",IF(AND(安値!N143&lt;安値!M143,安値!N143&lt;安値!L143,安値!N143&lt;安値!O143,安値!N143&lt;安値!P143),9,""))</f>
        <v/>
      </c>
      <c r="J143" s="503">
        <f>IF(終値!A143="","",IF(AND(安値!O143&lt;安値!N143,安値!O143&lt;安値!M143,安値!O143&lt;安値!P143,安値!O143&lt;安値!Q143),10,""))</f>
        <v>10</v>
      </c>
      <c r="K143" s="503" t="str">
        <f>IF(終値!A143="","",IF(AND(安値!P143&lt;安値!O143,安値!P143&lt;安値!N143,安値!P143&lt;安値!Q143,安値!P143&lt;安値!R143),11,""))</f>
        <v/>
      </c>
      <c r="L143" s="503" t="str">
        <f>IF(終値!A143="","",IF(AND(安値!Q143&lt;安値!P143,安値!Q143&lt;安値!O143,安値!Q143&lt;安値!R143,安値!Q143&lt;安値!S143),12,""))</f>
        <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f>IF(終値!A143="","",IF(AND(安値!AD143&lt;安値!AC143,安値!AD143&lt;安値!AB143,安値!AD143&lt;安値!AE143,安値!AD143&lt;安値!AF143),25,""))</f>
        <v>25</v>
      </c>
      <c r="Z143" s="503" t="str">
        <f>IF(終値!A143="","",IF(AND(安値!AE143&lt;安値!AD143,安値!AE143&lt;安値!AC143,安値!AE143&lt;安値!AF143,安値!AE143&lt;安値!AG143),26,""))</f>
        <v/>
      </c>
      <c r="AA143" s="503" t="str">
        <f>IF(終値!A143="","",IF(AND(安値!AF143&lt;安値!AE143,安値!AF143&lt;安値!AD143,安値!AF143&lt;安値!AG143,安値!AF143&lt;安値!AH143),27,""))</f>
        <v/>
      </c>
      <c r="AB143" s="503" t="str">
        <f>IF(終値!A143="","",IF(AND(安値!AG143&lt;安値!AF143,安値!AG143&lt;安値!AE143,安値!AG143&lt;安値!AH143,安値!AG143&lt;安値!AI143),28,""))</f>
        <v/>
      </c>
      <c r="AC143" s="503" t="str">
        <f>IF(終値!A143="","",IF(AND(高値!G143&gt;高値!F143,高値!G143&gt;高値!E143,高値!G143&gt;高値!H143,高値!G143&gt;高値!I143),2,""))</f>
        <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f>IF(終値!A143="","",IF(AND(高値!L143&gt;高値!K143,高値!L143&gt;高値!J143,高値!L143&gt;高値!M143,高値!L143&gt;高値!N143),7,""))</f>
        <v>7</v>
      </c>
      <c r="AI143" s="503" t="str">
        <f>IF(終値!A143="","",IF(AND(高値!M143&gt;高値!L143,高値!M143&gt;高値!K143,高値!M143&gt;高値!N143,高値!M143&gt;高値!O143),8,""))</f>
        <v/>
      </c>
      <c r="AJ143" s="503" t="str">
        <f>IF(終値!A143="","",IF(AND(高値!N143&gt;高値!M143,高値!N143&gt;高値!L143,高値!N143&gt;高値!O143,高値!N143&gt;高値!P143),9,""))</f>
        <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f>IF(終値!A143="","",IF(AND(高値!S143&gt;高値!R143,高値!S143&gt;高値!Q143,高値!S143&gt;高値!T143,高値!S143&gt;高値!U143),14,""))</f>
        <v>14</v>
      </c>
      <c r="AP143" s="503" t="str">
        <f>IF(終値!A143="","",IF(AND(高値!T143&gt;高値!S143,高値!T143&gt;高値!R143,高値!T143&gt;高値!U143,高値!T143&gt;高値!V143),15,""))</f>
        <v/>
      </c>
      <c r="AQ143" s="503" t="str">
        <f>IF(終値!A143="","",IF(AND(高値!U143&gt;高値!T143,高値!U143&gt;高値!S143,高値!U143&gt;高値!V143,高値!U143&gt;高値!W143),16,""))</f>
        <v/>
      </c>
      <c r="AR143" s="503">
        <f>IF(終値!A143="","",IF(AND(高値!V143&gt;高値!U143,高値!V143&gt;高値!T143,高値!V143&gt;高値!W143,高値!V143&gt;高値!X143),17,""))</f>
        <v>17</v>
      </c>
      <c r="AS143" s="503" t="str">
        <f>IF(終値!A143="","",IF(AND(高値!W143&gt;高値!V143,高値!W143&gt;高値!U143,高値!W143&gt;高値!X143,高値!W143&gt;高値!Y143),18,""))</f>
        <v/>
      </c>
      <c r="AT143" s="503" t="str">
        <f>IF(終値!A143="","",IF(AND(高値!X143&gt;高値!W143,高値!X143&gt;高値!V143,高値!X143&gt;高値!Y143,高値!X143&gt;高値!Z143),19,""))</f>
        <v/>
      </c>
      <c r="AU143" s="503">
        <f>IF(終値!A143="","",IF(AND(高値!Y143&gt;高値!X143,高値!Y143&gt;高値!W143,高値!Y143&gt;高値!Z143,高値!Y143&gt;高値!AA143),20,""))</f>
        <v>20</v>
      </c>
      <c r="AV143" s="503" t="str">
        <f>IF(終値!A143="","",IF(AND(高値!Z143&gt;高値!Y143,高値!Z143&gt;高値!X143,高値!Z143&gt;高値!AA143,高値!Z143&gt;高値!AB143),21,""))</f>
        <v/>
      </c>
      <c r="AW143" s="503" t="str">
        <f>IF(終値!A143="","",IF(AND(高値!AA143&gt;高値!Z143,高値!AA143&gt;高値!Y143,高値!AA143&gt;高値!AB143,高値!AA143&gt;高値!AC143),22,""))</f>
        <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3</v>
      </c>
      <c r="BE143" s="503">
        <f t="shared" si="13"/>
        <v>5</v>
      </c>
      <c r="BF143" s="503">
        <f t="shared" si="14"/>
        <v>10</v>
      </c>
      <c r="BG143" s="503">
        <f>IF($BE143="","",INDEX(安値!$E143:$CZ143,1,$BE143+1))</f>
        <v>1422</v>
      </c>
      <c r="BH143" s="503">
        <f>IF($BF143="","",INDEX(安値!$E143:$CZ143,1,$BF143+1))</f>
        <v>1228</v>
      </c>
      <c r="BI143" s="503">
        <f>IF($BF143="","",MAX(INDEX(高値!$E143:$CZ143,1,$BE143+1):INDEX(高値!$E143:$CZ143,1,$BF143+1)))</f>
        <v>1874</v>
      </c>
      <c r="BJ143" s="503">
        <f>IF($BF143="","",AVERAGE(INDEX(終値!$E143:$CZ143,1,$BF143+1):INDEX(終値!$E143:$CZ143,1,$BF143+20))-2*STDEVP(INDEX(終値!$E143:$CZ143,1,$BF143+1):INDEX(終値!$E143:$CZ143,1,$BF143+20)))</f>
        <v>730.97501207305311</v>
      </c>
      <c r="BK143" s="503">
        <f>IF($BE143="","",AVERAGE(INDEX(終値!$E143:$CZ143,1,$BE143+1):INDEX(終値!$E143:$CZ143,1,$BE143+20))-2*STDEVP(INDEX(終値!$E143:$CZ143,1,$BE143+1):INDEX(終値!$E143:$CZ143,1,$BE143+20)))</f>
        <v>1061.5621508010204</v>
      </c>
      <c r="BL143" s="503">
        <f t="shared" si="15"/>
        <v>4</v>
      </c>
      <c r="BM143" s="503">
        <f t="shared" si="16"/>
        <v>7</v>
      </c>
      <c r="BN143" s="503">
        <f t="shared" si="17"/>
        <v>14</v>
      </c>
      <c r="BO143" s="503">
        <f>IF($BM143="","",INDEX(高値!$E143:$CZ143,1,$BM143+1))</f>
        <v>1874</v>
      </c>
      <c r="BP143" s="503">
        <f>IF($BN143="","",INDEX(高値!$E143:$CZ143,1,$BN143+1))</f>
        <v>2379</v>
      </c>
      <c r="BQ143" s="503">
        <f>IF($BN143="","",MIN(INDEX(安値!$E143:$CZ143,1,$BM143+1):INDEX(安値!$E143:$CZ143,1,$BN143+1)))</f>
        <v>1228</v>
      </c>
      <c r="BR143" s="503">
        <f>IF($BN143="","",AVERAGE(INDEX(終値!$E143:$CZ143,1,$BN143+1):INDEX(終値!$E143:$CZ143,1,$BN143+20))+2*STDEVP(INDEX(終値!$E143:$CZ143,1,$BN143+1):INDEX(終値!$E143:$CZ143,1,$BN143+20)))</f>
        <v>2454.4445158294538</v>
      </c>
      <c r="BS143" s="503">
        <f>IF($BM143="","",AVERAGE(INDEX(終値!$E143:$CZ143,1,$BM143+1):INDEX(終値!$E143:$CZ143,1,$BM143+20))+2*STDEVP(INDEX(終値!$E143:$CZ143,1,$BM143+1):INDEX(終値!$E143:$CZ143,1,$BM143+20)))</f>
        <v>2421.9618390902669</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f>IF(終値!A144="","",IF(AND(安値!I144&lt;安値!H144,安値!I144&lt;安値!G144,安値!I144&lt;安値!J144,安値!I144&lt;安値!K144),4,""))</f>
        <v>4</v>
      </c>
      <c r="E144" s="503" t="str">
        <f>IF(終値!A144="","",IF(AND(安値!J144&lt;安値!I144,安値!J144&lt;安値!H144,安値!J144&lt;安値!K144,安値!J144&lt;安値!L144),5,""))</f>
        <v/>
      </c>
      <c r="F144" s="503" t="str">
        <f>IF(終値!A144="","",IF(AND(安値!K144&lt;安値!J144,安値!K144&lt;安値!I144,安値!K144&lt;安値!L144,安値!K144&lt;安値!M144),6,""))</f>
        <v/>
      </c>
      <c r="G144" s="503">
        <f>IF(終値!A144="","",IF(AND(安値!L144&lt;安値!K144,安値!L144&lt;安値!J144,安値!L144&lt;安値!M144,安値!L144&lt;安値!N144),7,""))</f>
        <v>7</v>
      </c>
      <c r="H144" s="503" t="str">
        <f>IF(終値!A144="","",IF(AND(安値!M144&lt;安値!L144,安値!M144&lt;安値!K144,安値!M144&lt;安値!N144,安値!M144&lt;安値!O144),8,""))</f>
        <v/>
      </c>
      <c r="I144" s="503" t="str">
        <f>IF(終値!A144="","",IF(AND(安値!N144&lt;安値!M144,安値!N144&lt;安値!L144,安値!N144&lt;安値!O144,安値!N144&lt;安値!P144),9,""))</f>
        <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f>IF(終値!A144="","",IF(AND(安値!V144&lt;安値!U144,安値!V144&lt;安値!T144,安値!V144&lt;安値!W144,安値!V144&lt;安値!X144),17,""))</f>
        <v>17</v>
      </c>
      <c r="R144" s="503" t="str">
        <f>IF(終値!A144="","",IF(AND(安値!W144&lt;安値!V144,安値!W144&lt;安値!U144,安値!W144&lt;安値!X144,安値!W144&lt;安値!Y144),18,""))</f>
        <v/>
      </c>
      <c r="S144" s="503" t="str">
        <f>IF(終値!A144="","",IF(AND(安値!X144&lt;安値!W144,安値!X144&lt;安値!V144,安値!X144&lt;安値!Y144,安値!X144&lt;安値!Z144),19,""))</f>
        <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f>IF(終値!A144="","",IF(AND(安値!AC144&lt;安値!AB144,安値!AC144&lt;安値!AA144,安値!AC144&lt;安値!AD144,安値!AC144&lt;安値!AE144),24,""))</f>
        <v>24</v>
      </c>
      <c r="Y144" s="503" t="str">
        <f>IF(終値!A144="","",IF(AND(安値!AD144&lt;安値!AC144,安値!AD144&lt;安値!AB144,安値!AD144&lt;安値!AE144,安値!AD144&lt;安値!AF144),25,""))</f>
        <v/>
      </c>
      <c r="Z144" s="503" t="str">
        <f>IF(終値!A144="","",IF(AND(安値!AE144&lt;安値!AD144,安値!AE144&lt;安値!AC144,安値!AE144&lt;安値!AF144,安値!AE144&lt;安値!AG144),26,""))</f>
        <v/>
      </c>
      <c r="AA144" s="503">
        <f>IF(終値!A144="","",IF(AND(安値!AF144&lt;安値!AE144,安値!AF144&lt;安値!AD144,安値!AF144&lt;安値!AG144,安値!AF144&lt;安値!AH144),27,""))</f>
        <v>27</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f>IF(終値!A144="","",IF(AND(高値!N144&gt;高値!M144,高値!N144&gt;高値!L144,高値!N144&gt;高値!O144,高値!N144&gt;高値!P144),9,""))</f>
        <v>9</v>
      </c>
      <c r="AK144" s="503" t="str">
        <f>IF(終値!A144="","",IF(AND(高値!O144&gt;高値!N144,高値!O144&gt;高値!M144,高値!O144&gt;高値!P144,高値!O144&gt;高値!Q144),10,""))</f>
        <v/>
      </c>
      <c r="AL144" s="503" t="str">
        <f>IF(終値!A144="","",IF(AND(高値!P144&gt;高値!O144,高値!P144&gt;高値!N144,高値!P144&gt;高値!Q144,高値!P144&gt;高値!R144),11,""))</f>
        <v/>
      </c>
      <c r="AM144" s="503">
        <f>IF(終値!A144="","",IF(AND(高値!Q144&gt;高値!P144,高値!Q144&gt;高値!O144,高値!Q144&gt;高値!R144,高値!Q144&gt;高値!S144),12,""))</f>
        <v>12</v>
      </c>
      <c r="AN144" s="503" t="str">
        <f>IF(終値!A144="","",IF(AND(高値!R144&gt;高値!Q144,高値!R144&gt;高値!P144,高値!R144&gt;高値!S144,高値!R144&gt;高値!T144),13,""))</f>
        <v/>
      </c>
      <c r="AO144" s="503" t="str">
        <f>IF(終値!A144="","",IF(AND(高値!S144&gt;高値!R144,高値!S144&gt;高値!Q144,高値!S144&gt;高値!T144,高値!S144&gt;高値!U144),14,""))</f>
        <v/>
      </c>
      <c r="AP144" s="503">
        <f>IF(終値!A144="","",IF(AND(高値!T144&gt;高値!S144,高値!T144&gt;高値!R144,高値!T144&gt;高値!U144,高値!T144&gt;高値!V144),15,""))</f>
        <v>15</v>
      </c>
      <c r="AQ144" s="503" t="str">
        <f>IF(終値!A144="","",IF(AND(高値!U144&gt;高値!T144,高値!U144&gt;高値!S144,高値!U144&gt;高値!V144,高値!U144&gt;高値!W144),16,""))</f>
        <v/>
      </c>
      <c r="AR144" s="503" t="str">
        <f>IF(終値!A144="","",IF(AND(高値!V144&gt;高値!U144,高値!V144&gt;高値!T144,高値!V144&gt;高値!W144,高値!V144&gt;高値!X144),17,""))</f>
        <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f>IF(終値!A144="","",IF(AND(高値!AA144&gt;高値!Z144,高値!AA144&gt;高値!Y144,高値!AA144&gt;高値!AB144,高値!AA144&gt;高値!AC144),22,""))</f>
        <v>22</v>
      </c>
      <c r="AX144" s="503" t="str">
        <f>IF(終値!A144="","",IF(AND(高値!AB144&gt;高値!AA144,高値!AB144&gt;高値!Z144,高値!AB144&gt;高値!AC144,高値!AB144&gt;高値!AD144),23,""))</f>
        <v/>
      </c>
      <c r="AY144" s="503" t="str">
        <f>IF(終値!A144="","",IF(AND(高値!AC144&gt;高値!AB144,高値!AC144&gt;高値!AA144,高値!AC144&gt;高値!AD144,高値!AC144&gt;高値!AE144),24,""))</f>
        <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f>IF(終値!A144="","",IF(AND(高値!AG144&gt;高値!AF144,高値!AG144&gt;高値!AE144,高値!AG144&gt;高値!AH144,高値!AG144&gt;高値!AI144),28,""))</f>
        <v>28</v>
      </c>
      <c r="BD144" s="503">
        <f t="shared" si="12"/>
        <v>5</v>
      </c>
      <c r="BE144" s="503">
        <f t="shared" si="13"/>
        <v>4</v>
      </c>
      <c r="BF144" s="503">
        <f t="shared" si="14"/>
        <v>7</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5</v>
      </c>
      <c r="BM144" s="503">
        <f t="shared" si="16"/>
        <v>9</v>
      </c>
      <c r="BN144" s="503">
        <f t="shared" si="17"/>
        <v>12</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f>IF(終値!A145="","",IF(AND(安値!I145&lt;安値!H145,安値!I145&lt;安値!G145,安値!I145&lt;安値!J145,安値!I145&lt;安値!K145),4,""))</f>
        <v>4</v>
      </c>
      <c r="E145" s="503" t="str">
        <f>IF(終値!A145="","",IF(AND(安値!J145&lt;安値!I145,安値!J145&lt;安値!H145,安値!J145&lt;安値!K145,安値!J145&lt;安値!L145),5,""))</f>
        <v/>
      </c>
      <c r="F145" s="503" t="str">
        <f>IF(終値!A145="","",IF(AND(安値!K145&lt;安値!J145,安値!K145&lt;安値!I145,安値!K145&lt;安値!L145,安値!K145&lt;安値!M145),6,""))</f>
        <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f>IF(終値!A145="","",IF(AND(安値!P145&lt;安値!O145,安値!P145&lt;安値!N145,安値!P145&lt;安値!Q145,安値!P145&lt;安値!R145),11,""))</f>
        <v>11</v>
      </c>
      <c r="L145" s="503" t="str">
        <f>IF(終値!A145="","",IF(AND(安値!Q145&lt;安値!P145,安値!Q145&lt;安値!O145,安値!Q145&lt;安値!R145,安値!Q145&lt;安値!S145),12,""))</f>
        <v/>
      </c>
      <c r="M145" s="503" t="str">
        <f>IF(終値!A145="","",IF(AND(安値!R145&lt;安値!Q145,安値!R145&lt;安値!P145,安値!R145&lt;安値!S145,安値!R145&lt;安値!T145),13,""))</f>
        <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f>IF(終値!A145="","",IF(AND(安値!V145&lt;安値!U145,安値!V145&lt;安値!T145,安値!V145&lt;安値!W145,安値!V145&lt;安値!X145),17,""))</f>
        <v>17</v>
      </c>
      <c r="R145" s="503" t="str">
        <f>IF(終値!A145="","",IF(AND(安値!W145&lt;安値!V145,安値!W145&lt;安値!U145,安値!W145&lt;安値!X145,安値!W145&lt;安値!Y145),18,""))</f>
        <v/>
      </c>
      <c r="S145" s="503" t="str">
        <f>IF(終値!A145="","",IF(AND(安値!X145&lt;安値!W145,安値!X145&lt;安値!V145,安値!X145&lt;安値!Y145,安値!X145&lt;安値!Z145),19,""))</f>
        <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f>IF(終値!A145="","",IF(AND(安値!AD145&lt;安値!AC145,安値!AD145&lt;安値!AB145,安値!AD145&lt;安値!AE145,安値!AD145&lt;安値!AF145),25,""))</f>
        <v>25</v>
      </c>
      <c r="Z145" s="503" t="str">
        <f>IF(終値!A145="","",IF(AND(安値!AE145&lt;安値!AD145,安値!AE145&lt;安値!AC145,安値!AE145&lt;安値!AF145,安値!AE145&lt;安値!AG145),26,""))</f>
        <v/>
      </c>
      <c r="AA145" s="503" t="str">
        <f>IF(終値!A145="","",IF(AND(安値!AF145&lt;安値!AE145,安値!AF145&lt;安値!AD145,安値!AF145&lt;安値!AG145,安値!AF145&lt;安値!AH145),27,""))</f>
        <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f>IF(終値!A145="","",IF(AND(高値!N145&gt;高値!M145,高値!N145&gt;高値!L145,高値!N145&gt;高値!O145,高値!N145&gt;高値!P145),9,""))</f>
        <v>9</v>
      </c>
      <c r="AK145" s="503" t="str">
        <f>IF(終値!A145="","",IF(AND(高値!O145&gt;高値!N145,高値!O145&gt;高値!M145,高値!O145&gt;高値!P145,高値!O145&gt;高値!Q145),10,""))</f>
        <v/>
      </c>
      <c r="AL145" s="503" t="str">
        <f>IF(終値!A145="","",IF(AND(高値!P145&gt;高値!O145,高値!P145&gt;高値!N145,高値!P145&gt;高値!Q145,高値!P145&gt;高値!R145),11,""))</f>
        <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f>IF(終値!A145="","",IF(AND(高値!S145&gt;高値!R145,高値!S145&gt;高値!Q145,高値!S145&gt;高値!T145,高値!S145&gt;高値!U145),14,""))</f>
        <v>14</v>
      </c>
      <c r="AP145" s="503" t="str">
        <f>IF(終値!A145="","",IF(AND(高値!T145&gt;高値!S145,高値!T145&gt;高値!R145,高値!T145&gt;高値!U145,高値!T145&gt;高値!V145),15,""))</f>
        <v/>
      </c>
      <c r="AQ145" s="503" t="str">
        <f>IF(終値!A145="","",IF(AND(高値!U145&gt;高値!T145,高値!U145&gt;高値!S145,高値!U145&gt;高値!V145,高値!U145&gt;高値!W145),16,""))</f>
        <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f>IF(終値!A145="","",IF(AND(高値!AB145&gt;高値!AA145,高値!AB145&gt;高値!Z145,高値!AB145&gt;高値!AC145,高値!AB145&gt;高値!AD145),23,""))</f>
        <v>23</v>
      </c>
      <c r="AY145" s="503" t="str">
        <f>IF(終値!A145="","",IF(AND(高値!AC145&gt;高値!AB145,高値!AC145&gt;高値!AA145,高値!AC145&gt;高値!AD145,高値!AC145&gt;高値!AE145),24,""))</f>
        <v/>
      </c>
      <c r="AZ145" s="503" t="str">
        <f>IF(終値!A145="","",IF(AND(高値!AD145&gt;高値!AC145,高値!AD145&gt;高値!AB145,高値!AD145&gt;高値!AE145,高値!AD145&gt;高値!AF145),25,""))</f>
        <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4</v>
      </c>
      <c r="BF145" s="503">
        <f t="shared" si="14"/>
        <v>11</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9</v>
      </c>
      <c r="BN145" s="503">
        <f t="shared" si="17"/>
        <v>14</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f>IF(終値!A146="","",IF(AND(安値!H146&lt;安値!G146,安値!H146&lt;安値!F146,安値!H146&lt;安値!I146,安値!H146&lt;安値!J146),3,""))</f>
        <v>3</v>
      </c>
      <c r="D146" s="503" t="str">
        <f>IF(終値!A146="","",IF(AND(安値!I146&lt;安値!H146,安値!I146&lt;安値!G146,安値!I146&lt;安値!J146,安値!I146&lt;安値!K146),4,""))</f>
        <v/>
      </c>
      <c r="E146" s="503" t="str">
        <f>IF(終値!A146="","",IF(AND(安値!J146&lt;安値!I146,安値!J146&lt;安値!H146,安値!J146&lt;安値!K146,安値!J146&lt;安値!L146),5,""))</f>
        <v/>
      </c>
      <c r="F146" s="503" t="str">
        <f>IF(終値!A146="","",IF(AND(安値!K146&lt;安値!J146,安値!K146&lt;安値!I146,安値!K146&lt;安値!L146,安値!K146&lt;安値!M146),6,""))</f>
        <v/>
      </c>
      <c r="G146" s="503">
        <f>IF(終値!A146="","",IF(AND(安値!L146&lt;安値!K146,安値!L146&lt;安値!J146,安値!L146&lt;安値!M146,安値!L146&lt;安値!N146),7,""))</f>
        <v>7</v>
      </c>
      <c r="H146" s="503" t="str">
        <f>IF(終値!A146="","",IF(AND(安値!M146&lt;安値!L146,安値!M146&lt;安値!K146,安値!M146&lt;安値!N146,安値!M146&lt;安値!O146),8,""))</f>
        <v/>
      </c>
      <c r="I146" s="503" t="str">
        <f>IF(終値!A146="","",IF(AND(安値!N146&lt;安値!M146,安値!N146&lt;安値!L146,安値!N146&lt;安値!O146,安値!N146&lt;安値!P146),9,""))</f>
        <v/>
      </c>
      <c r="J146" s="503" t="str">
        <f>IF(終値!A146="","",IF(AND(安値!O146&lt;安値!N146,安値!O146&lt;安値!M146,安値!O146&lt;安値!P146,安値!O146&lt;安値!Q146),10,""))</f>
        <v/>
      </c>
      <c r="K146" s="503">
        <f>IF(終値!A146="","",IF(AND(安値!P146&lt;安値!O146,安値!P146&lt;安値!N146,安値!P146&lt;安値!Q146,安値!P146&lt;安値!R146),11,""))</f>
        <v>11</v>
      </c>
      <c r="L146" s="503" t="str">
        <f>IF(終値!A146="","",IF(AND(安値!Q146&lt;安値!P146,安値!Q146&lt;安値!O146,安値!Q146&lt;安値!R146,安値!Q146&lt;安値!S146),12,""))</f>
        <v/>
      </c>
      <c r="M146" s="503" t="str">
        <f>IF(終値!A146="","",IF(AND(安値!R146&lt;安値!Q146,安値!R146&lt;安値!P146,安値!R146&lt;安値!S146,安値!R146&lt;安値!T146),13,""))</f>
        <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f>IF(終値!A146="","",IF(AND(安値!V146&lt;安値!U146,安値!V146&lt;安値!T146,安値!V146&lt;安値!W146,安値!V146&lt;安値!X146),17,""))</f>
        <v>17</v>
      </c>
      <c r="R146" s="503" t="str">
        <f>IF(終値!A146="","",IF(AND(安値!W146&lt;安値!V146,安値!W146&lt;安値!U146,安値!W146&lt;安値!X146,安値!W146&lt;安値!Y146),18,""))</f>
        <v/>
      </c>
      <c r="S146" s="503" t="str">
        <f>IF(終値!A146="","",IF(AND(安値!X146&lt;安値!W146,安値!X146&lt;安値!V146,安値!X146&lt;安値!Y146,安値!X146&lt;安値!Z146),19,""))</f>
        <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f>IF(終値!A146="","",IF(AND(安値!AA146&lt;安値!Z146,安値!AA146&lt;安値!Y146,安値!AA146&lt;安値!AB146,安値!AA146&lt;安値!AC146),22,""))</f>
        <v>22</v>
      </c>
      <c r="W146" s="503" t="str">
        <f>IF(終値!A146="","",IF(AND(安値!AB146&lt;安値!AA146,安値!AB146&lt;安値!Z146,安値!AB146&lt;安値!AC146,安値!AB146&lt;安値!AD146),23,""))</f>
        <v/>
      </c>
      <c r="X146" s="503" t="str">
        <f>IF(終値!A146="","",IF(AND(安値!AC146&lt;安値!AB146,安値!AC146&lt;安値!AA146,安値!AC146&lt;安値!AD146,安値!AC146&lt;安値!AE146),24,""))</f>
        <v/>
      </c>
      <c r="Y146" s="503">
        <f>IF(終値!A146="","",IF(AND(安値!AD146&lt;安値!AC146,安値!AD146&lt;安値!AB146,安値!AD146&lt;安値!AE146,安値!AD146&lt;安値!AF146),25,""))</f>
        <v>25</v>
      </c>
      <c r="Z146" s="503" t="str">
        <f>IF(終値!A146="","",IF(AND(安値!AE146&lt;安値!AD146,安値!AE146&lt;安値!AC146,安値!AE146&lt;安値!AF146,安値!AE146&lt;安値!AG146),26,""))</f>
        <v/>
      </c>
      <c r="AA146" s="503" t="str">
        <f>IF(終値!A146="","",IF(AND(安値!AF146&lt;安値!AE146,安値!AF146&lt;安値!AD146,安値!AF146&lt;安値!AG146,安値!AF146&lt;安値!AH146),27,""))</f>
        <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f>IF(終値!A146="","",IF(AND(高値!J146&gt;高値!I146,高値!J146&gt;高値!H146,高値!J146&gt;高値!K146,高値!J146&gt;高値!L146),5,""))</f>
        <v>5</v>
      </c>
      <c r="AG146" s="503" t="str">
        <f>IF(終値!A146="","",IF(AND(高値!K146&gt;高値!J146,高値!K146&gt;高値!I146,高値!K146&gt;高値!L146,高値!K146&gt;高値!M146),6,""))</f>
        <v/>
      </c>
      <c r="AH146" s="503" t="str">
        <f>IF(終値!A146="","",IF(AND(高値!L146&gt;高値!K146,高値!L146&gt;高値!J146,高値!L146&gt;高値!M146,高値!L146&gt;高値!N146),7,""))</f>
        <v/>
      </c>
      <c r="AI146" s="503" t="str">
        <f>IF(終値!A146="","",IF(AND(高値!M146&gt;高値!L146,高値!M146&gt;高値!K146,高値!M146&gt;高値!N146,高値!M146&gt;高値!O146),8,""))</f>
        <v/>
      </c>
      <c r="AJ146" s="503">
        <f>IF(終値!A146="","",IF(AND(高値!N146&gt;高値!M146,高値!N146&gt;高値!L146,高値!N146&gt;高値!O146,高値!N146&gt;高値!P146),9,""))</f>
        <v>9</v>
      </c>
      <c r="AK146" s="503" t="str">
        <f>IF(終値!A146="","",IF(AND(高値!O146&gt;高値!N146,高値!O146&gt;高値!M146,高値!O146&gt;高値!P146,高値!O146&gt;高値!Q146),10,""))</f>
        <v/>
      </c>
      <c r="AL146" s="503" t="str">
        <f>IF(終値!A146="","",IF(AND(高値!P146&gt;高値!O146,高値!P146&gt;高値!N146,高値!P146&gt;高値!Q146,高値!P146&gt;高値!R146),11,""))</f>
        <v/>
      </c>
      <c r="AM146" s="503">
        <f>IF(終値!A146="","",IF(AND(高値!Q146&gt;高値!P146,高値!Q146&gt;高値!O146,高値!Q146&gt;高値!R146,高値!Q146&gt;高値!S146),12,""))</f>
        <v>12</v>
      </c>
      <c r="AN146" s="503" t="str">
        <f>IF(終値!A146="","",IF(AND(高値!R146&gt;高値!Q146,高値!R146&gt;高値!P146,高値!R146&gt;高値!S146,高値!R146&gt;高値!T146),13,""))</f>
        <v/>
      </c>
      <c r="AO146" s="503" t="str">
        <f>IF(終値!A146="","",IF(AND(高値!S146&gt;高値!R146,高値!S146&gt;高値!Q146,高値!S146&gt;高値!T146,高値!S146&gt;高値!U146),14,""))</f>
        <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f>IF(終値!A146="","",IF(AND(高値!X146&gt;高値!W146,高値!X146&gt;高値!V146,高値!X146&gt;高値!Y146,高値!X146&gt;高値!Z146),19,""))</f>
        <v>19</v>
      </c>
      <c r="AU146" s="503" t="str">
        <f>IF(終値!A146="","",IF(AND(高値!Y146&gt;高値!X146,高値!Y146&gt;高値!W146,高値!Y146&gt;高値!Z146,高値!Y146&gt;高値!AA146),20,""))</f>
        <v/>
      </c>
      <c r="AV146" s="503" t="str">
        <f>IF(終値!A146="","",IF(AND(高値!Z146&gt;高値!Y146,高値!Z146&gt;高値!X146,高値!Z146&gt;高値!AA146,高値!Z146&gt;高値!AB146),21,""))</f>
        <v/>
      </c>
      <c r="AW146" s="503" t="str">
        <f>IF(終値!A146="","",IF(AND(高値!AA146&gt;高値!Z146,高値!AA146&gt;高値!Y146,高値!AA146&gt;高値!AB146,高値!AA146&gt;高値!AC146),22,""))</f>
        <v/>
      </c>
      <c r="AX146" s="503">
        <f>IF(終値!A146="","",IF(AND(高値!AB146&gt;高値!AA146,高値!AB146&gt;高値!Z146,高値!AB146&gt;高値!AC146,高値!AB146&gt;高値!AD146),23,""))</f>
        <v>23</v>
      </c>
      <c r="AY146" s="503" t="str">
        <f>IF(終値!A146="","",IF(AND(高値!AC146&gt;高値!AB146,高値!AC146&gt;高値!AA146,高値!AC146&gt;高値!AD146,高値!AC146&gt;高値!AE146),24,""))</f>
        <v/>
      </c>
      <c r="AZ146" s="503" t="str">
        <f>IF(終値!A146="","",IF(AND(高値!AD146&gt;高値!AC146,高値!AD146&gt;高値!AB146,高値!AD146&gt;高値!AE146,高値!AD146&gt;高値!AF146),25,""))</f>
        <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3</v>
      </c>
      <c r="BF146" s="503">
        <f t="shared" si="14"/>
        <v>7</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5</v>
      </c>
      <c r="BN146" s="503">
        <f t="shared" si="17"/>
        <v>9</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f>IF(終値!A147="","",IF(AND(安値!H147&lt;安値!G147,安値!H147&lt;安値!F147,安値!H147&lt;安値!I147,安値!H147&lt;安値!J147),3,""))</f>
        <v>3</v>
      </c>
      <c r="D147" s="503" t="str">
        <f>IF(終値!A147="","",IF(AND(安値!I147&lt;安値!H147,安値!I147&lt;安値!G147,安値!I147&lt;安値!J147,安値!I147&lt;安値!K147),4,""))</f>
        <v/>
      </c>
      <c r="E147" s="503" t="str">
        <f>IF(終値!A147="","",IF(AND(安値!J147&lt;安値!I147,安値!J147&lt;安値!H147,安値!J147&lt;安値!K147,安値!J147&lt;安値!L147),5,""))</f>
        <v/>
      </c>
      <c r="F147" s="503" t="str">
        <f>IF(終値!A147="","",IF(AND(安値!K147&lt;安値!J147,安値!K147&lt;安値!I147,安値!K147&lt;安値!L147,安値!K147&lt;安値!M147),6,""))</f>
        <v/>
      </c>
      <c r="G147" s="503">
        <f>IF(終値!A147="","",IF(AND(安値!L147&lt;安値!K147,安値!L147&lt;安値!J147,安値!L147&lt;安値!M147,安値!L147&lt;安値!N147),7,""))</f>
        <v>7</v>
      </c>
      <c r="H147" s="503" t="str">
        <f>IF(終値!A147="","",IF(AND(安値!M147&lt;安値!L147,安値!M147&lt;安値!K147,安値!M147&lt;安値!N147,安値!M147&lt;安値!O147),8,""))</f>
        <v/>
      </c>
      <c r="I147" s="503" t="str">
        <f>IF(終値!A147="","",IF(AND(安値!N147&lt;安値!M147,安値!N147&lt;安値!L147,安値!N147&lt;安値!O147,安値!N147&lt;安値!P147),9,""))</f>
        <v/>
      </c>
      <c r="J147" s="503" t="str">
        <f>IF(終値!A147="","",IF(AND(安値!O147&lt;安値!N147,安値!O147&lt;安値!M147,安値!O147&lt;安値!P147,安値!O147&lt;安値!Q147),10,""))</f>
        <v/>
      </c>
      <c r="K147" s="503">
        <f>IF(終値!A147="","",IF(AND(安値!P147&lt;安値!O147,安値!P147&lt;安値!N147,安値!P147&lt;安値!Q147,安値!P147&lt;安値!R147),11,""))</f>
        <v>11</v>
      </c>
      <c r="L147" s="503" t="str">
        <f>IF(終値!A147="","",IF(AND(安値!Q147&lt;安値!P147,安値!Q147&lt;安値!O147,安値!Q147&lt;安値!R147,安値!Q147&lt;安値!S147),12,""))</f>
        <v/>
      </c>
      <c r="M147" s="503" t="str">
        <f>IF(終値!A147="","",IF(AND(安値!R147&lt;安値!Q147,安値!R147&lt;安値!P147,安値!R147&lt;安値!S147,安値!R147&lt;安値!T147),13,""))</f>
        <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f>IF(終値!A147="","",IF(AND(安値!V147&lt;安値!U147,安値!V147&lt;安値!T147,安値!V147&lt;安値!W147,安値!V147&lt;安値!X147),17,""))</f>
        <v>17</v>
      </c>
      <c r="R147" s="503" t="str">
        <f>IF(終値!A147="","",IF(AND(安値!W147&lt;安値!V147,安値!W147&lt;安値!U147,安値!W147&lt;安値!X147,安値!W147&lt;安値!Y147),18,""))</f>
        <v/>
      </c>
      <c r="S147" s="503" t="str">
        <f>IF(終値!A147="","",IF(AND(安値!X147&lt;安値!W147,安値!X147&lt;安値!V147,安値!X147&lt;安値!Y147,安値!X147&lt;安値!Z147),19,""))</f>
        <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f>IF(終値!A147="","",IF(AND(安値!AC147&lt;安値!AB147,安値!AC147&lt;安値!AA147,安値!AC147&lt;安値!AD147,安値!AC147&lt;安値!AE147),24,""))</f>
        <v>24</v>
      </c>
      <c r="Y147" s="503" t="str">
        <f>IF(終値!A147="","",IF(AND(安値!AD147&lt;安値!AC147,安値!AD147&lt;安値!AB147,安値!AD147&lt;安値!AE147,安値!AD147&lt;安値!AF147),25,""))</f>
        <v/>
      </c>
      <c r="Z147" s="503" t="str">
        <f>IF(終値!A147="","",IF(AND(安値!AE147&lt;安値!AD147,安値!AE147&lt;安値!AC147,安値!AE147&lt;安値!AF147,安値!AE147&lt;安値!AG147),26,""))</f>
        <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f>IF(終値!A147="","",IF(AND(高値!N147&gt;高値!M147,高値!N147&gt;高値!L147,高値!N147&gt;高値!O147,高値!N147&gt;高値!P147),9,""))</f>
        <v>9</v>
      </c>
      <c r="AK147" s="503" t="str">
        <f>IF(終値!A147="","",IF(AND(高値!O147&gt;高値!N147,高値!O147&gt;高値!M147,高値!O147&gt;高値!P147,高値!O147&gt;高値!Q147),10,""))</f>
        <v/>
      </c>
      <c r="AL147" s="503" t="str">
        <f>IF(終値!A147="","",IF(AND(高値!P147&gt;高値!O147,高値!P147&gt;高値!N147,高値!P147&gt;高値!Q147,高値!P147&gt;高値!R147),11,""))</f>
        <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f>IF(終値!A147="","",IF(AND(高値!T147&gt;高値!S147,高値!T147&gt;高値!R147,高値!T147&gt;高値!U147,高値!T147&gt;高値!V147),15,""))</f>
        <v>15</v>
      </c>
      <c r="AQ147" s="503" t="str">
        <f>IF(終値!A147="","",IF(AND(高値!U147&gt;高値!T147,高値!U147&gt;高値!S147,高値!U147&gt;高値!V147,高値!U147&gt;高値!W147),16,""))</f>
        <v/>
      </c>
      <c r="AR147" s="503" t="str">
        <f>IF(終値!A147="","",IF(AND(高値!V147&gt;高値!U147,高値!V147&gt;高値!T147,高値!V147&gt;高値!W147,高値!V147&gt;高値!X147),17,""))</f>
        <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f>IF(終値!A147="","",IF(AND(高値!AA147&gt;高値!Z147,高値!AA147&gt;高値!Y147,高値!AA147&gt;高値!AB147,高値!AA147&gt;高値!AC147),22,""))</f>
        <v>22</v>
      </c>
      <c r="AX147" s="503" t="str">
        <f>IF(終値!A147="","",IF(AND(高値!AB147&gt;高値!AA147,高値!AB147&gt;高値!Z147,高値!AB147&gt;高値!AC147,高値!AB147&gt;高値!AD147),23,""))</f>
        <v/>
      </c>
      <c r="AY147" s="503" t="str">
        <f>IF(終値!A147="","",IF(AND(高値!AC147&gt;高値!AB147,高値!AC147&gt;高値!AA147,高値!AC147&gt;高値!AD147,高値!AC147&gt;高値!AE147),24,""))</f>
        <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3</v>
      </c>
      <c r="BF147" s="503">
        <f t="shared" si="14"/>
        <v>7</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9</v>
      </c>
      <c r="BN147" s="503">
        <f t="shared" si="17"/>
        <v>15</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f>IF(終値!A148="","",IF(AND(安値!I148&lt;安値!H148,安値!I148&lt;安値!G148,安値!I148&lt;安値!J148,安値!I148&lt;安値!K148),4,""))</f>
        <v>4</v>
      </c>
      <c r="E148" s="503" t="str">
        <f>IF(終値!A148="","",IF(AND(安値!J148&lt;安値!I148,安値!J148&lt;安値!H148,安値!J148&lt;安値!K148,安値!J148&lt;安値!L148),5,""))</f>
        <v/>
      </c>
      <c r="F148" s="503" t="str">
        <f>IF(終値!A148="","",IF(AND(安値!K148&lt;安値!J148,安値!K148&lt;安値!I148,安値!K148&lt;安値!L148,安値!K148&lt;安値!M148),6,""))</f>
        <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f>IF(終値!A148="","",IF(AND(安値!P148&lt;安値!O148,安値!P148&lt;安値!N148,安値!P148&lt;安値!Q148,安値!P148&lt;安値!R148),11,""))</f>
        <v>11</v>
      </c>
      <c r="L148" s="503" t="str">
        <f>IF(終値!A148="","",IF(AND(安値!Q148&lt;安値!P148,安値!Q148&lt;安値!O148,安値!Q148&lt;安値!R148,安値!Q148&lt;安値!S148),12,""))</f>
        <v/>
      </c>
      <c r="M148" s="503" t="str">
        <f>IF(終値!A148="","",IF(AND(安値!R148&lt;安値!Q148,安値!R148&lt;安値!P148,安値!R148&lt;安値!S148,安値!R148&lt;安値!T148),13,""))</f>
        <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f>IF(終値!A148="","",IF(AND(安値!AF148&lt;安値!AE148,安値!AF148&lt;安値!AD148,安値!AF148&lt;安値!AG148,安値!AF148&lt;安値!AH148),27,""))</f>
        <v>27</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f>IF(終値!A148="","",IF(AND(高値!N148&gt;高値!M148,高値!N148&gt;高値!L148,高値!N148&gt;高値!O148,高値!N148&gt;高値!P148),9,""))</f>
        <v>9</v>
      </c>
      <c r="AK148" s="503" t="str">
        <f>IF(終値!A148="","",IF(AND(高値!O148&gt;高値!N148,高値!O148&gt;高値!M148,高値!O148&gt;高値!P148,高値!O148&gt;高値!Q148),10,""))</f>
        <v/>
      </c>
      <c r="AL148" s="503" t="str">
        <f>IF(終値!A148="","",IF(AND(高値!P148&gt;高値!O148,高値!P148&gt;高値!N148,高値!P148&gt;高値!Q148,高値!P148&gt;高値!R148),11,""))</f>
        <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f>IF(終値!A148="","",IF(AND(高値!X148&gt;高値!W148,高値!X148&gt;高値!V148,高値!X148&gt;高値!Y148,高値!X148&gt;高値!Z148),19,""))</f>
        <v>19</v>
      </c>
      <c r="AU148" s="503" t="str">
        <f>IF(終値!A148="","",IF(AND(高値!Y148&gt;高値!X148,高値!Y148&gt;高値!W148,高値!Y148&gt;高値!Z148,高値!Y148&gt;高値!AA148),20,""))</f>
        <v/>
      </c>
      <c r="AV148" s="503" t="str">
        <f>IF(終値!A148="","",IF(AND(高値!Z148&gt;高値!Y148,高値!Z148&gt;高値!X148,高値!Z148&gt;高値!AA148,高値!Z148&gt;高値!AB148),21,""))</f>
        <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f>IF(終値!A148="","",IF(AND(高値!AE148&gt;高値!AD148,高値!AE148&gt;高値!AC148,高値!AE148&gt;高値!AF148,高値!AE148&gt;高値!AG148),26,""))</f>
        <v>26</v>
      </c>
      <c r="BB148" s="503" t="str">
        <f>IF(終値!A148="","",IF(AND(高値!AF148&gt;高値!AE148,高値!AF148&gt;高値!AD148,高値!AF148&gt;高値!AG148,高値!AF148&gt;高値!AH148),27,""))</f>
        <v/>
      </c>
      <c r="BC148" s="503" t="str">
        <f>IF(終値!A148="","",IF(AND(高値!AG148&gt;高値!AF148,高値!AG148&gt;高値!AE148,高値!AG148&gt;高値!AH148,高値!AG148&gt;高値!AI148),28,""))</f>
        <v/>
      </c>
      <c r="BD148" s="503">
        <f t="shared" si="12"/>
        <v>3</v>
      </c>
      <c r="BE148" s="503">
        <f t="shared" si="13"/>
        <v>4</v>
      </c>
      <c r="BF148" s="503">
        <f t="shared" si="14"/>
        <v>11</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9</v>
      </c>
      <c r="BN148" s="503">
        <f t="shared" si="17"/>
        <v>19</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f>IF(終値!A150="","",IF(AND(安値!M150&lt;安値!L150,安値!M150&lt;安値!K150,安値!M150&lt;安値!N150,安値!M150&lt;安値!O150),8,""))</f>
        <v>8</v>
      </c>
      <c r="I150" s="503" t="str">
        <f>IF(終値!A150="","",IF(AND(安値!N150&lt;安値!M150,安値!N150&lt;安値!L150,安値!N150&lt;安値!O150,安値!N150&lt;安値!P150),9,""))</f>
        <v/>
      </c>
      <c r="J150" s="503" t="str">
        <f>IF(終値!A150="","",IF(AND(安値!O150&lt;安値!N150,安値!O150&lt;安値!M150,安値!O150&lt;安値!P150,安値!O150&lt;安値!Q150),10,""))</f>
        <v/>
      </c>
      <c r="K150" s="503" t="str">
        <f>IF(終値!A150="","",IF(AND(安値!P150&lt;安値!O150,安値!P150&lt;安値!N150,安値!P150&lt;安値!Q150,安値!P150&lt;安値!R150),11,""))</f>
        <v/>
      </c>
      <c r="L150" s="503">
        <f>IF(終値!A150="","",IF(AND(安値!Q150&lt;安値!P150,安値!Q150&lt;安値!O150,安値!Q150&lt;安値!R150,安値!Q150&lt;安値!S150),12,""))</f>
        <v>12</v>
      </c>
      <c r="M150" s="503" t="str">
        <f>IF(終値!A150="","",IF(AND(安値!R150&lt;安値!Q150,安値!R150&lt;安値!P150,安値!R150&lt;安値!S150,安値!R150&lt;安値!T150),13,""))</f>
        <v/>
      </c>
      <c r="N150" s="503" t="str">
        <f>IF(終値!A150="","",IF(AND(安値!S150&lt;安値!R150,安値!S150&lt;安値!Q150,安値!S150&lt;安値!T150,安値!S150&lt;安値!U150),14,""))</f>
        <v/>
      </c>
      <c r="O150" s="503" t="str">
        <f>IF(終値!A150="","",IF(AND(安値!T150&lt;安値!S150,安値!T150&lt;安値!R150,安値!T150&lt;安値!U150,安値!T150&lt;安値!V150),15,""))</f>
        <v/>
      </c>
      <c r="P150" s="503">
        <f>IF(終値!A150="","",IF(AND(安値!U150&lt;安値!T150,安値!U150&lt;安値!S150,安値!U150&lt;安値!V150,安値!U150&lt;安値!W150),16,""))</f>
        <v>16</v>
      </c>
      <c r="Q150" s="503" t="str">
        <f>IF(終値!A150="","",IF(AND(安値!V150&lt;安値!U150,安値!V150&lt;安値!T150,安値!V150&lt;安値!W150,安値!V150&lt;安値!X150),17,""))</f>
        <v/>
      </c>
      <c r="R150" s="503" t="str">
        <f>IF(終値!A150="","",IF(AND(安値!W150&lt;安値!V150,安値!W150&lt;安値!U150,安値!W150&lt;安値!X150,安値!W150&lt;安値!Y150),18,""))</f>
        <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f>IF(終値!A150="","",IF(AND(安値!AD150&lt;安値!AC150,安値!AD150&lt;安値!AB150,安値!AD150&lt;安値!AE150,安値!AD150&lt;安値!AF150),25,""))</f>
        <v>25</v>
      </c>
      <c r="Z150" s="503" t="str">
        <f>IF(終値!A150="","",IF(AND(安値!AE150&lt;安値!AD150,安値!AE150&lt;安値!AC150,安値!AE150&lt;安値!AF150,安値!AE150&lt;安値!AG150),26,""))</f>
        <v/>
      </c>
      <c r="AA150" s="503" t="str">
        <f>IF(終値!A150="","",IF(AND(安値!AF150&lt;安値!AE150,安値!AF150&lt;安値!AD150,安値!AF150&lt;安値!AG150,安値!AF150&lt;安値!AH150),27,""))</f>
        <v/>
      </c>
      <c r="AB150" s="503">
        <f>IF(終値!A150="","",IF(AND(安値!AG150&lt;安値!AF150,安値!AG150&lt;安値!AE150,安値!AG150&lt;安値!AH150,安値!AG150&lt;安値!AI150),28,""))</f>
        <v>28</v>
      </c>
      <c r="AC150" s="503" t="str">
        <f>IF(終値!A150="","",IF(AND(高値!G150&gt;高値!F150,高値!G150&gt;高値!E150,高値!G150&gt;高値!H150,高値!G150&gt;高値!I150),2,""))</f>
        <v/>
      </c>
      <c r="AD150" s="503">
        <f>IF(終値!A150="","",IF(AND(高値!H150&gt;高値!G150,高値!H150&gt;高値!F150,高値!H150&gt;高値!I150,高値!H150&gt;高値!J150),3,""))</f>
        <v>3</v>
      </c>
      <c r="AE150" s="503" t="str">
        <f>IF(終値!A150="","",IF(AND(高値!I150&gt;高値!H150,高値!I150&gt;高値!G150,高値!I150&gt;高値!J150,高値!I150&gt;高値!K150),4,""))</f>
        <v/>
      </c>
      <c r="AF150" s="503" t="str">
        <f>IF(終値!A150="","",IF(AND(高値!J150&gt;高値!I150,高値!J150&gt;高値!H150,高値!J150&gt;高値!K150,高値!J150&gt;高値!L150),5,""))</f>
        <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f>IF(終値!A150="","",IF(AND(高値!R150&gt;高値!Q150,高値!R150&gt;高値!P150,高値!R150&gt;高値!S150,高値!R150&gt;高値!T150),13,""))</f>
        <v>13</v>
      </c>
      <c r="AO150" s="503" t="str">
        <f>IF(終値!A150="","",IF(AND(高値!S150&gt;高値!R150,高値!S150&gt;高値!Q150,高値!S150&gt;高値!T150,高値!S150&gt;高値!U150),14,""))</f>
        <v/>
      </c>
      <c r="AP150" s="503" t="str">
        <f>IF(終値!A150="","",IF(AND(高値!T150&gt;高値!S150,高値!T150&gt;高値!R150,高値!T150&gt;高値!U150,高値!T150&gt;高値!V150),15,""))</f>
        <v/>
      </c>
      <c r="AQ150" s="503" t="str">
        <f>IF(終値!A150="","",IF(AND(高値!U150&gt;高値!T150,高値!U150&gt;高値!S150,高値!U150&gt;高値!V150,高値!U150&gt;高値!W150),16,""))</f>
        <v/>
      </c>
      <c r="AR150" s="503">
        <f>IF(終値!A150="","",IF(AND(高値!V150&gt;高値!U150,高値!V150&gt;高値!T150,高値!V150&gt;高値!W150,高値!V150&gt;高値!X150),17,""))</f>
        <v>17</v>
      </c>
      <c r="AS150" s="503" t="str">
        <f>IF(終値!A150="","",IF(AND(高値!W150&gt;高値!V150,高値!W150&gt;高値!U150,高値!W150&gt;高値!X150,高値!W150&gt;高値!Y150),18,""))</f>
        <v/>
      </c>
      <c r="AT150" s="503" t="str">
        <f>IF(終値!A150="","",IF(AND(高値!X150&gt;高値!W150,高値!X150&gt;高値!V150,高値!X150&gt;高値!Y150,高値!X150&gt;高値!Z150),19,""))</f>
        <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f>IF(終値!A150="","",IF(AND(高値!AC150&gt;高値!AB150,高値!AC150&gt;高値!AA150,高値!AC150&gt;高値!AD150,高値!AC150&gt;高値!AE150),24,""))</f>
        <v>24</v>
      </c>
      <c r="AZ150" s="503" t="str">
        <f>IF(終値!A150="","",IF(AND(高値!AD150&gt;高値!AC150,高値!AD150&gt;高値!AB150,高値!AD150&gt;高値!AE150,高値!AD150&gt;高値!AF150),25,""))</f>
        <v/>
      </c>
      <c r="BA150" s="503" t="str">
        <f>IF(終値!A150="","",IF(AND(高値!AE150&gt;高値!AD150,高値!AE150&gt;高値!AC150,高値!AE150&gt;高値!AF150,高値!AE150&gt;高値!AG150),26,""))</f>
        <v/>
      </c>
      <c r="BB150" s="503">
        <f>IF(終値!A150="","",IF(AND(高値!AF150&gt;高値!AE150,高値!AF150&gt;高値!AD150,高値!AF150&gt;高値!AG150,高値!AF150&gt;高値!AH150),27,""))</f>
        <v>27</v>
      </c>
      <c r="BC150" s="503" t="str">
        <f>IF(終値!A150="","",IF(AND(高値!AG150&gt;高値!AF150,高値!AG150&gt;高値!AE150,高値!AG150&gt;高値!AH150,高値!AG150&gt;高値!AI150),28,""))</f>
        <v/>
      </c>
      <c r="BD150" s="503">
        <f t="shared" si="12"/>
        <v>5</v>
      </c>
      <c r="BE150" s="503">
        <f t="shared" si="13"/>
        <v>8</v>
      </c>
      <c r="BF150" s="503">
        <f t="shared" si="14"/>
        <v>12</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5</v>
      </c>
      <c r="BM150" s="503">
        <f t="shared" si="16"/>
        <v>3</v>
      </c>
      <c r="BN150" s="503">
        <f t="shared" si="17"/>
        <v>13</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f>IF(終値!A151="","",IF(AND(安値!H151&lt;安値!G151,安値!H151&lt;安値!F151,安値!H151&lt;安値!I151,安値!H151&lt;安値!J151),3,""))</f>
        <v>3</v>
      </c>
      <c r="D151" s="503" t="str">
        <f>IF(終値!A151="","",IF(AND(安値!I151&lt;安値!H151,安値!I151&lt;安値!G151,安値!I151&lt;安値!J151,安値!I151&lt;安値!K151),4,""))</f>
        <v/>
      </c>
      <c r="E151" s="503" t="str">
        <f>IF(終値!A151="","",IF(AND(安値!J151&lt;安値!I151,安値!J151&lt;安値!H151,安値!J151&lt;安値!K151,安値!J151&lt;安値!L151),5,""))</f>
        <v/>
      </c>
      <c r="F151" s="503" t="str">
        <f>IF(終値!A151="","",IF(AND(安値!K151&lt;安値!J151,安値!K151&lt;安値!I151,安値!K151&lt;安値!L151,安値!K151&lt;安値!M151),6,""))</f>
        <v/>
      </c>
      <c r="G151" s="503">
        <f>IF(終値!A151="","",IF(AND(安値!L151&lt;安値!K151,安値!L151&lt;安値!J151,安値!L151&lt;安値!M151,安値!L151&lt;安値!N151),7,""))</f>
        <v>7</v>
      </c>
      <c r="H151" s="503" t="str">
        <f>IF(終値!A151="","",IF(AND(安値!M151&lt;安値!L151,安値!M151&lt;安値!K151,安値!M151&lt;安値!N151,安値!M151&lt;安値!O151),8,""))</f>
        <v/>
      </c>
      <c r="I151" s="503" t="str">
        <f>IF(終値!A151="","",IF(AND(安値!N151&lt;安値!M151,安値!N151&lt;安値!L151,安値!N151&lt;安値!O151,安値!N151&lt;安値!P151),9,""))</f>
        <v/>
      </c>
      <c r="J151" s="503" t="str">
        <f>IF(終値!A151="","",IF(AND(安値!O151&lt;安値!N151,安値!O151&lt;安値!M151,安値!O151&lt;安値!P151,安値!O151&lt;安値!Q151),10,""))</f>
        <v/>
      </c>
      <c r="K151" s="503">
        <f>IF(終値!A151="","",IF(AND(安値!P151&lt;安値!O151,安値!P151&lt;安値!N151,安値!P151&lt;安値!Q151,安値!P151&lt;安値!R151),11,""))</f>
        <v>11</v>
      </c>
      <c r="L151" s="503" t="str">
        <f>IF(終値!A151="","",IF(AND(安値!Q151&lt;安値!P151,安値!Q151&lt;安値!O151,安値!Q151&lt;安値!R151,安値!Q151&lt;安値!S151),12,""))</f>
        <v/>
      </c>
      <c r="M151" s="503" t="str">
        <f>IF(終値!A151="","",IF(AND(安値!R151&lt;安値!Q151,安値!R151&lt;安値!P151,安値!R151&lt;安値!S151,安値!R151&lt;安値!T151),13,""))</f>
        <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f>IF(終値!A151="","",IF(AND(安値!U151&lt;安値!T151,安値!U151&lt;安値!S151,安値!U151&lt;安値!V151,安値!U151&lt;安値!W151),16,""))</f>
        <v>16</v>
      </c>
      <c r="Q151" s="503" t="str">
        <f>IF(終値!A151="","",IF(AND(安値!V151&lt;安値!U151,安値!V151&lt;安値!T151,安値!V151&lt;安値!W151,安値!V151&lt;安値!X151),17,""))</f>
        <v/>
      </c>
      <c r="R151" s="503" t="str">
        <f>IF(終値!A151="","",IF(AND(安値!W151&lt;安値!V151,安値!W151&lt;安値!U151,安値!W151&lt;安値!X151,安値!W151&lt;安値!Y151),18,""))</f>
        <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f>IF(終値!A151="","",IF(AND(高値!H151&gt;高値!G151,高値!H151&gt;高値!F151,高値!H151&gt;高値!I151,高値!H151&gt;高値!J151),3,""))</f>
        <v>3</v>
      </c>
      <c r="AE151" s="503" t="str">
        <f>IF(終値!A151="","",IF(AND(高値!I151&gt;高値!H151,高値!I151&gt;高値!G151,高値!I151&gt;高値!J151,高値!I151&gt;高値!K151),4,""))</f>
        <v/>
      </c>
      <c r="AF151" s="503" t="str">
        <f>IF(終値!A151="","",IF(AND(高値!J151&gt;高値!I151,高値!J151&gt;高値!H151,高値!J151&gt;高値!K151,高値!J151&gt;高値!L151),5,""))</f>
        <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f>IF(終値!A151="","",IF(AND(高値!N151&gt;高値!M151,高値!N151&gt;高値!L151,高値!N151&gt;高値!O151,高値!N151&gt;高値!P151),9,""))</f>
        <v>9</v>
      </c>
      <c r="AK151" s="503" t="str">
        <f>IF(終値!A151="","",IF(AND(高値!O151&gt;高値!N151,高値!O151&gt;高値!M151,高値!O151&gt;高値!P151,高値!O151&gt;高値!Q151),10,""))</f>
        <v/>
      </c>
      <c r="AL151" s="503" t="str">
        <f>IF(終値!A151="","",IF(AND(高値!P151&gt;高値!O151,高値!P151&gt;高値!N151,高値!P151&gt;高値!Q151,高値!P151&gt;高値!R151),11,""))</f>
        <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f>IF(終値!A151="","",IF(AND(高値!T151&gt;高値!S151,高値!T151&gt;高値!R151,高値!T151&gt;高値!U151,高値!T151&gt;高値!V151),15,""))</f>
        <v>15</v>
      </c>
      <c r="AQ151" s="503" t="str">
        <f>IF(終値!A151="","",IF(AND(高値!U151&gt;高値!T151,高値!U151&gt;高値!S151,高値!U151&gt;高値!V151,高値!U151&gt;高値!W151),16,""))</f>
        <v/>
      </c>
      <c r="AR151" s="503" t="str">
        <f>IF(終値!A151="","",IF(AND(高値!V151&gt;高値!U151,高値!V151&gt;高値!T151,高値!V151&gt;高値!W151,高値!V151&gt;高値!X151),17,""))</f>
        <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f>IF(終値!A151="","",IF(AND(高値!AG151&gt;高値!AF151,高値!AG151&gt;高値!AE151,高値!AG151&gt;高値!AH151,高値!AG151&gt;高値!AI151),28,""))</f>
        <v>28</v>
      </c>
      <c r="BD151" s="503">
        <f t="shared" si="12"/>
        <v>4</v>
      </c>
      <c r="BE151" s="503">
        <f t="shared" si="13"/>
        <v>3</v>
      </c>
      <c r="BF151" s="503">
        <f t="shared" si="14"/>
        <v>7</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4</v>
      </c>
      <c r="BM151" s="503">
        <f t="shared" si="16"/>
        <v>3</v>
      </c>
      <c r="BN151" s="503">
        <f t="shared" si="17"/>
        <v>9</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f>IF(終値!A152="","",IF(AND(安値!H152&lt;安値!G152,安値!H152&lt;安値!F152,安値!H152&lt;安値!I152,安値!H152&lt;安値!J152),3,""))</f>
        <v>3</v>
      </c>
      <c r="D152" s="503" t="str">
        <f>IF(終値!A152="","",IF(AND(安値!I152&lt;安値!H152,安値!I152&lt;安値!G152,安値!I152&lt;安値!J152,安値!I152&lt;安値!K152),4,""))</f>
        <v/>
      </c>
      <c r="E152" s="503" t="str">
        <f>IF(終値!A152="","",IF(AND(安値!J152&lt;安値!I152,安値!J152&lt;安値!H152,安値!J152&lt;安値!K152,安値!J152&lt;安値!L152),5,""))</f>
        <v/>
      </c>
      <c r="F152" s="503" t="str">
        <f>IF(終値!A152="","",IF(AND(安値!K152&lt;安値!J152,安値!K152&lt;安値!I152,安値!K152&lt;安値!L152,安値!K152&lt;安値!M152),6,""))</f>
        <v/>
      </c>
      <c r="G152" s="503">
        <f>IF(終値!A152="","",IF(AND(安値!L152&lt;安値!K152,安値!L152&lt;安値!J152,安値!L152&lt;安値!M152,安値!L152&lt;安値!N152),7,""))</f>
        <v>7</v>
      </c>
      <c r="H152" s="503" t="str">
        <f>IF(終値!A152="","",IF(AND(安値!M152&lt;安値!L152,安値!M152&lt;安値!K152,安値!M152&lt;安値!N152,安値!M152&lt;安値!O152),8,""))</f>
        <v/>
      </c>
      <c r="I152" s="503" t="str">
        <f>IF(終値!A152="","",IF(AND(安値!N152&lt;安値!M152,安値!N152&lt;安値!L152,安値!N152&lt;安値!O152,安値!N152&lt;安値!P152),9,""))</f>
        <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f>IF(終値!A152="","",IF(AND(安値!T152&lt;安値!S152,安値!T152&lt;安値!R152,安値!T152&lt;安値!U152,安値!T152&lt;安値!V152),15,""))</f>
        <v>15</v>
      </c>
      <c r="P152" s="503" t="str">
        <f>IF(終値!A152="","",IF(AND(安値!U152&lt;安値!T152,安値!U152&lt;安値!S152,安値!U152&lt;安値!V152,安値!U152&lt;安値!W152),16,""))</f>
        <v/>
      </c>
      <c r="Q152" s="503" t="str">
        <f>IF(終値!A152="","",IF(AND(安値!V152&lt;安値!U152,安値!V152&lt;安値!T152,安値!V152&lt;安値!W152,安値!V152&lt;安値!X152),17,""))</f>
        <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f>IF(終値!A152="","",IF(AND(安値!Y152&lt;安値!X152,安値!Y152&lt;安値!W152,安値!Y152&lt;安値!Z152,安値!Y152&lt;安値!AA152),20,""))</f>
        <v>20</v>
      </c>
      <c r="U152" s="503" t="str">
        <f>IF(終値!A152="","",IF(AND(安値!Z152&lt;安値!Y152,安値!Z152&lt;安値!X152,安値!Z152&lt;安値!AA152,安値!Z152&lt;安値!AB152),21,""))</f>
        <v/>
      </c>
      <c r="V152" s="503" t="str">
        <f>IF(終値!A152="","",IF(AND(安値!AA152&lt;安値!Z152,安値!AA152&lt;安値!Y152,安値!AA152&lt;安値!AB152,安値!AA152&lt;安値!AC152),22,""))</f>
        <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f>IF(終値!A152="","",IF(AND(安値!AF152&lt;安値!AE152,安値!AF152&lt;安値!AD152,安値!AF152&lt;安値!AG152,安値!AF152&lt;安値!AH152),27,""))</f>
        <v>27</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f>IF(終値!A152="","",IF(AND(高値!K152&gt;高値!J152,高値!K152&gt;高値!I152,高値!K152&gt;高値!L152,高値!K152&gt;高値!M152),6,""))</f>
        <v>6</v>
      </c>
      <c r="AH152" s="503" t="str">
        <f>IF(終値!A152="","",IF(AND(高値!L152&gt;高値!K152,高値!L152&gt;高値!J152,高値!L152&gt;高値!M152,高値!L152&gt;高値!N152),7,""))</f>
        <v/>
      </c>
      <c r="AI152" s="503" t="str">
        <f>IF(終値!A152="","",IF(AND(高値!M152&gt;高値!L152,高値!M152&gt;高値!K152,高値!M152&gt;高値!N152,高値!M152&gt;高値!O152),8,""))</f>
        <v/>
      </c>
      <c r="AJ152" s="503">
        <f>IF(終値!A152="","",IF(AND(高値!N152&gt;高値!M152,高値!N152&gt;高値!L152,高値!N152&gt;高値!O152,高値!N152&gt;高値!P152),9,""))</f>
        <v>9</v>
      </c>
      <c r="AK152" s="503" t="str">
        <f>IF(終値!A152="","",IF(AND(高値!O152&gt;高値!N152,高値!O152&gt;高値!M152,高値!O152&gt;高値!P152,高値!O152&gt;高値!Q152),10,""))</f>
        <v/>
      </c>
      <c r="AL152" s="503" t="str">
        <f>IF(終値!A152="","",IF(AND(高値!P152&gt;高値!O152,高値!P152&gt;高値!N152,高値!P152&gt;高値!Q152,高値!P152&gt;高値!R152),11,""))</f>
        <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f>IF(終値!A152="","",IF(AND(高値!V152&gt;高値!U152,高値!V152&gt;高値!T152,高値!V152&gt;高値!W152,高値!V152&gt;高値!X152),17,""))</f>
        <v>17</v>
      </c>
      <c r="AS152" s="503" t="str">
        <f>IF(終値!A152="","",IF(AND(高値!W152&gt;高値!V152,高値!W152&gt;高値!U152,高値!W152&gt;高値!X152,高値!W152&gt;高値!Y152),18,""))</f>
        <v/>
      </c>
      <c r="AT152" s="503" t="str">
        <f>IF(終値!A152="","",IF(AND(高値!X152&gt;高値!W152,高値!X152&gt;高値!V152,高値!X152&gt;高値!Y152,高値!X152&gt;高値!Z152),19,""))</f>
        <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5</v>
      </c>
      <c r="BE152" s="503">
        <f t="shared" si="13"/>
        <v>3</v>
      </c>
      <c r="BF152" s="503">
        <f t="shared" si="14"/>
        <v>7</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6</v>
      </c>
      <c r="BN152" s="503">
        <f t="shared" si="17"/>
        <v>9</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二番天井M▼</v>
      </c>
    </row>
    <row r="153" spans="2:72">
      <c r="B153" s="503" t="str">
        <f>IF(終値!A153="","",IF(AND(安値!G153&lt;安値!F153,安値!G153&lt;安値!E153,安値!G153&lt;安値!H153,安値!G153&lt;安値!I153),2,""))</f>
        <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f>IF(終値!A153="","",IF(AND(安値!M153&lt;安値!L153,安値!M153&lt;安値!K153,安値!M153&lt;安値!N153,安値!M153&lt;安値!O153),8,""))</f>
        <v>8</v>
      </c>
      <c r="I153" s="503" t="str">
        <f>IF(終値!A153="","",IF(AND(安値!N153&lt;安値!M153,安値!N153&lt;安値!L153,安値!N153&lt;安値!O153,安値!N153&lt;安値!P153),9,""))</f>
        <v/>
      </c>
      <c r="J153" s="503" t="str">
        <f>IF(終値!A153="","",IF(AND(安値!O153&lt;安値!N153,安値!O153&lt;安値!M153,安値!O153&lt;安値!P153,安値!O153&lt;安値!Q153),10,""))</f>
        <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f>IF(終値!A153="","",IF(AND(安値!S153&lt;安値!R153,安値!S153&lt;安値!Q153,安値!S153&lt;安値!T153,安値!S153&lt;安値!U153),14,""))</f>
        <v>14</v>
      </c>
      <c r="O153" s="503" t="str">
        <f>IF(終値!A153="","",IF(AND(安値!T153&lt;安値!S153,安値!T153&lt;安値!R153,安値!T153&lt;安値!U153,安値!T153&lt;安値!V153),15,""))</f>
        <v/>
      </c>
      <c r="P153" s="503" t="str">
        <f>IF(終値!A153="","",IF(AND(安値!U153&lt;安値!T153,安値!U153&lt;安値!S153,安値!U153&lt;安値!V153,安値!U153&lt;安値!W153),16,""))</f>
        <v/>
      </c>
      <c r="Q153" s="503">
        <f>IF(終値!A153="","",IF(AND(安値!V153&lt;安値!U153,安値!V153&lt;安値!T153,安値!V153&lt;安値!W153,安値!V153&lt;安値!X153),17,""))</f>
        <v>17</v>
      </c>
      <c r="R153" s="503" t="str">
        <f>IF(終値!A153="","",IF(AND(安値!W153&lt;安値!V153,安値!W153&lt;安値!U153,安値!W153&lt;安値!X153,安値!W153&lt;安値!Y153),18,""))</f>
        <v/>
      </c>
      <c r="S153" s="503" t="str">
        <f>IF(終値!A153="","",IF(AND(安値!X153&lt;安値!W153,安値!X153&lt;安値!V153,安値!X153&lt;安値!Y153,安値!X153&lt;安値!Z153),19,""))</f>
        <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f>IF(終値!A153="","",IF(AND(安値!AG153&lt;安値!AF153,安値!AG153&lt;安値!AE153,安値!AG153&lt;安値!AH153,安値!AG153&lt;安値!AI153),28,""))</f>
        <v>28</v>
      </c>
      <c r="AC153" s="503">
        <f>IF(終値!A153="","",IF(AND(高値!G153&gt;高値!F153,高値!G153&gt;高値!E153,高値!G153&gt;高値!H153,高値!G153&gt;高値!I153),2,""))</f>
        <v>2</v>
      </c>
      <c r="AD153" s="503" t="str">
        <f>IF(終値!A153="","",IF(AND(高値!H153&gt;高値!G153,高値!H153&gt;高値!F153,高値!H153&gt;高値!I153,高値!H153&gt;高値!J153),3,""))</f>
        <v/>
      </c>
      <c r="AE153" s="503" t="str">
        <f>IF(終値!A153="","",IF(AND(高値!I153&gt;高値!H153,高値!I153&gt;高値!G153,高値!I153&gt;高値!J153,高値!I153&gt;高値!K153),4,""))</f>
        <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f>IF(終値!A153="","",IF(AND(高値!P153&gt;高値!O153,高値!P153&gt;高値!N153,高値!P153&gt;高値!Q153,高値!P153&gt;高値!R153),11,""))</f>
        <v>11</v>
      </c>
      <c r="AM153" s="503" t="str">
        <f>IF(終値!A153="","",IF(AND(高値!Q153&gt;高値!P153,高値!Q153&gt;高値!O153,高値!Q153&gt;高値!R153,高値!Q153&gt;高値!S153),12,""))</f>
        <v/>
      </c>
      <c r="AN153" s="503" t="str">
        <f>IF(終値!A153="","",IF(AND(高値!R153&gt;高値!Q153,高値!R153&gt;高値!P153,高値!R153&gt;高値!S153,高値!R153&gt;高値!T153),13,""))</f>
        <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f>IF(終値!A153="","",IF(AND(高値!Y153&gt;高値!X153,高値!Y153&gt;高値!W153,高値!Y153&gt;高値!Z153,高値!Y153&gt;高値!AA153),20,""))</f>
        <v>20</v>
      </c>
      <c r="AV153" s="503" t="str">
        <f>IF(終値!A153="","",IF(AND(高値!Z153&gt;高値!Y153,高値!Z153&gt;高値!X153,高値!Z153&gt;高値!AA153,高値!Z153&gt;高値!AB153),21,""))</f>
        <v/>
      </c>
      <c r="AW153" s="503" t="str">
        <f>IF(終値!A153="","",IF(AND(高値!AA153&gt;高値!Z153,高値!AA153&gt;高値!Y153,高値!AA153&gt;高値!AB153,高値!AA153&gt;高値!AC153),22,""))</f>
        <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8</v>
      </c>
      <c r="BF153" s="503">
        <f t="shared" si="14"/>
        <v>14</v>
      </c>
      <c r="BG153" s="503">
        <f>IF($BE153="","",INDEX(安値!$E153:$CZ153,1,$BE153+1))</f>
        <v>4075</v>
      </c>
      <c r="BH153" s="503">
        <f>IF($BF153="","",INDEX(安値!$E153:$CZ153,1,$BF153+1))</f>
        <v>3840</v>
      </c>
      <c r="BI153" s="503">
        <f>IF($BF153="","",MAX(INDEX(高値!$E153:$CZ153,1,$BE153+1):INDEX(高値!$E153:$CZ153,1,$BF153+1)))</f>
        <v>4500</v>
      </c>
      <c r="BJ153" s="503">
        <f>IF($BF153="","",AVERAGE(INDEX(終値!$E153:$CZ153,1,$BF153+1):INDEX(終値!$E153:$CZ153,1,$BF153+20))-2*STDEVP(INDEX(終値!$E153:$CZ153,1,$BF153+1):INDEX(終値!$E153:$CZ153,1,$BF153+20)))</f>
        <v>2845.8848992200556</v>
      </c>
      <c r="BK153" s="503">
        <f>IF($BE153="","",AVERAGE(INDEX(終値!$E153:$CZ153,1,$BE153+1):INDEX(終値!$E153:$CZ153,1,$BE153+20))-2*STDEVP(INDEX(終値!$E153:$CZ153,1,$BE153+1):INDEX(終値!$E153:$CZ153,1,$BE153+20)))</f>
        <v>3265.894413390582</v>
      </c>
      <c r="BL153" s="503">
        <f t="shared" si="15"/>
        <v>3</v>
      </c>
      <c r="BM153" s="503">
        <f t="shared" si="16"/>
        <v>2</v>
      </c>
      <c r="BN153" s="503">
        <f t="shared" si="17"/>
        <v>11</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二番天井M形成</v>
      </c>
    </row>
    <row r="154" spans="2:72">
      <c r="B154" s="503" t="str">
        <f>IF(終値!A154="","",IF(AND(安値!G154&lt;安値!F154,安値!G154&lt;安値!E154,安値!G154&lt;安値!H154,安値!G154&lt;安値!I154),2,""))</f>
        <v/>
      </c>
      <c r="C154" s="503" t="str">
        <f>IF(終値!A154="","",IF(AND(安値!H154&lt;安値!G154,安値!H154&lt;安値!F154,安値!H154&lt;安値!I154,安値!H154&lt;安値!J154),3,""))</f>
        <v/>
      </c>
      <c r="D154" s="503">
        <f>IF(終値!A154="","",IF(AND(安値!I154&lt;安値!H154,安値!I154&lt;安値!G154,安値!I154&lt;安値!J154,安値!I154&lt;安値!K154),4,""))</f>
        <v>4</v>
      </c>
      <c r="E154" s="503" t="str">
        <f>IF(終値!A154="","",IF(AND(安値!J154&lt;安値!I154,安値!J154&lt;安値!H154,安値!J154&lt;安値!K154,安値!J154&lt;安値!L154),5,""))</f>
        <v/>
      </c>
      <c r="F154" s="503" t="str">
        <f>IF(終値!A154="","",IF(AND(安値!K154&lt;安値!J154,安値!K154&lt;安値!I154,安値!K154&lt;安値!L154,安値!K154&lt;安値!M154),6,""))</f>
        <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f>IF(終値!A154="","",IF(AND(安値!P154&lt;安値!O154,安値!P154&lt;安値!N154,安値!P154&lt;安値!Q154,安値!P154&lt;安値!R154),11,""))</f>
        <v>11</v>
      </c>
      <c r="L154" s="503" t="str">
        <f>IF(終値!A154="","",IF(AND(安値!Q154&lt;安値!P154,安値!Q154&lt;安値!O154,安値!Q154&lt;安値!R154,安値!Q154&lt;安値!S154),12,""))</f>
        <v/>
      </c>
      <c r="M154" s="503" t="str">
        <f>IF(終値!A154="","",IF(AND(安値!R154&lt;安値!Q154,安値!R154&lt;安値!P154,安値!R154&lt;安値!S154,安値!R154&lt;安値!T154),13,""))</f>
        <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f>IF(終値!A154="","",IF(AND(安値!V154&lt;安値!U154,安値!V154&lt;安値!T154,安値!V154&lt;安値!W154,安値!V154&lt;安値!X154),17,""))</f>
        <v>17</v>
      </c>
      <c r="R154" s="503" t="str">
        <f>IF(終値!A154="","",IF(AND(安値!W154&lt;安値!V154,安値!W154&lt;安値!U154,安値!W154&lt;安値!X154,安値!W154&lt;安値!Y154),18,""))</f>
        <v/>
      </c>
      <c r="S154" s="503" t="str">
        <f>IF(終値!A154="","",IF(AND(安値!X154&lt;安値!W154,安値!X154&lt;安値!V154,安値!X154&lt;安値!Y154,安値!X154&lt;安値!Z154),19,""))</f>
        <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f>IF(終値!A154="","",IF(AND(安値!AC154&lt;安値!AB154,安値!AC154&lt;安値!AA154,安値!AC154&lt;安値!AD154,安値!AC154&lt;安値!AE154),24,""))</f>
        <v>24</v>
      </c>
      <c r="Y154" s="503" t="str">
        <f>IF(終値!A154="","",IF(AND(安値!AD154&lt;安値!AC154,安値!AD154&lt;安値!AB154,安値!AD154&lt;安値!AE154,安値!AD154&lt;安値!AF154),25,""))</f>
        <v/>
      </c>
      <c r="Z154" s="503" t="str">
        <f>IF(終値!A154="","",IF(AND(安値!AE154&lt;安値!AD154,安値!AE154&lt;安値!AC154,安値!AE154&lt;安値!AF154,安値!AE154&lt;安値!AG154),26,""))</f>
        <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f>IF(終値!A154="","",IF(AND(高値!M154&gt;高値!L154,高値!M154&gt;高値!K154,高値!M154&gt;高値!N154,高値!M154&gt;高値!O154),8,""))</f>
        <v>8</v>
      </c>
      <c r="AJ154" s="503" t="str">
        <f>IF(終値!A154="","",IF(AND(高値!N154&gt;高値!M154,高値!N154&gt;高値!L154,高値!N154&gt;高値!O154,高値!N154&gt;高値!P154),9,""))</f>
        <v/>
      </c>
      <c r="AK154" s="503" t="str">
        <f>IF(終値!A154="","",IF(AND(高値!O154&gt;高値!N154,高値!O154&gt;高値!M154,高値!O154&gt;高値!P154,高値!O154&gt;高値!Q154),10,""))</f>
        <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f>IF(終値!A154="","",IF(AND(高値!T154&gt;高値!S154,高値!T154&gt;高値!R154,高値!T154&gt;高値!U154,高値!T154&gt;高値!V154),15,""))</f>
        <v>15</v>
      </c>
      <c r="AQ154" s="503" t="str">
        <f>IF(終値!A154="","",IF(AND(高値!U154&gt;高値!T154,高値!U154&gt;高値!S154,高値!U154&gt;高値!V154,高値!U154&gt;高値!W154),16,""))</f>
        <v/>
      </c>
      <c r="AR154" s="503" t="str">
        <f>IF(終値!A154="","",IF(AND(高値!V154&gt;高値!U154,高値!V154&gt;高値!T154,高値!V154&gt;高値!W154,高値!V154&gt;高値!X154),17,""))</f>
        <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f>IF(終値!A154="","",IF(AND(高値!AA154&gt;高値!Z154,高値!AA154&gt;高値!Y154,高値!AA154&gt;高値!AB154,高値!AA154&gt;高値!AC154),22,""))</f>
        <v>22</v>
      </c>
      <c r="AX154" s="503" t="str">
        <f>IF(終値!A154="","",IF(AND(高値!AB154&gt;高値!AA154,高値!AB154&gt;高値!Z154,高値!AB154&gt;高値!AC154,高値!AB154&gt;高値!AD154),23,""))</f>
        <v/>
      </c>
      <c r="AY154" s="503" t="str">
        <f>IF(終値!A154="","",IF(AND(高値!AC154&gt;高値!AB154,高値!AC154&gt;高値!AA154,高値!AC154&gt;高値!AD154,高値!AC154&gt;高値!AE154),24,""))</f>
        <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4</v>
      </c>
      <c r="BE154" s="503">
        <f t="shared" si="13"/>
        <v>4</v>
      </c>
      <c r="BF154" s="503">
        <f t="shared" si="14"/>
        <v>11</v>
      </c>
      <c r="BG154" s="503">
        <f>IF($BE154="","",INDEX(安値!$E154:$CZ154,1,$BE154+1))</f>
        <v>5861</v>
      </c>
      <c r="BH154" s="503">
        <f>IF($BF154="","",INDEX(安値!$E154:$CZ154,1,$BF154+1))</f>
        <v>7270</v>
      </c>
      <c r="BI154" s="503">
        <f>IF($BF154="","",MAX(INDEX(高値!$E154:$CZ154,1,$BE154+1):INDEX(高値!$E154:$CZ154,1,$BF154+1)))</f>
        <v>8817</v>
      </c>
      <c r="BJ154" s="503">
        <f>IF($BF154="","",AVERAGE(INDEX(終値!$E154:$CZ154,1,$BF154+1):INDEX(終値!$E154:$CZ154,1,$BF154+20))-2*STDEVP(INDEX(終値!$E154:$CZ154,1,$BF154+1):INDEX(終値!$E154:$CZ154,1,$BF154+20)))</f>
        <v>7939.4837357884971</v>
      </c>
      <c r="BK154" s="503">
        <f>IF($BE154="","",AVERAGE(INDEX(終値!$E154:$CZ154,1,$BE154+1):INDEX(終値!$E154:$CZ154,1,$BE154+20))-2*STDEVP(INDEX(終値!$E154:$CZ154,1,$BE154+1):INDEX(終値!$E154:$CZ154,1,$BE154+20)))</f>
        <v>6298.9574316786548</v>
      </c>
      <c r="BL154" s="503">
        <f t="shared" si="15"/>
        <v>3</v>
      </c>
      <c r="BM154" s="503">
        <f t="shared" si="16"/>
        <v>8</v>
      </c>
      <c r="BN154" s="503">
        <f t="shared" si="17"/>
        <v>15</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f>IF(終値!A155="","",IF(AND(安値!I155&lt;安値!H155,安値!I155&lt;安値!G155,安値!I155&lt;安値!J155,安値!I155&lt;安値!K155),4,""))</f>
        <v>4</v>
      </c>
      <c r="E155" s="503" t="str">
        <f>IF(終値!A155="","",IF(AND(安値!J155&lt;安値!I155,安値!J155&lt;安値!H155,安値!J155&lt;安値!K155,安値!J155&lt;安値!L155),5,""))</f>
        <v/>
      </c>
      <c r="F155" s="503" t="str">
        <f>IF(終値!A155="","",IF(AND(安値!K155&lt;安値!J155,安値!K155&lt;安値!I155,安値!K155&lt;安値!L155,安値!K155&lt;安値!M155),6,""))</f>
        <v/>
      </c>
      <c r="G155" s="503">
        <f>IF(終値!A155="","",IF(AND(安値!L155&lt;安値!K155,安値!L155&lt;安値!J155,安値!L155&lt;安値!M155,安値!L155&lt;安値!N155),7,""))</f>
        <v>7</v>
      </c>
      <c r="H155" s="503" t="str">
        <f>IF(終値!A155="","",IF(AND(安値!M155&lt;安値!L155,安値!M155&lt;安値!K155,安値!M155&lt;安値!N155,安値!M155&lt;安値!O155),8,""))</f>
        <v/>
      </c>
      <c r="I155" s="503" t="str">
        <f>IF(終値!A155="","",IF(AND(安値!N155&lt;安値!M155,安値!N155&lt;安値!L155,安値!N155&lt;安値!O155,安値!N155&lt;安値!P155),9,""))</f>
        <v/>
      </c>
      <c r="J155" s="503" t="str">
        <f>IF(終値!A155="","",IF(AND(安値!O155&lt;安値!N155,安値!O155&lt;安値!M155,安値!O155&lt;安値!P155,安値!O155&lt;安値!Q155),10,""))</f>
        <v/>
      </c>
      <c r="K155" s="503">
        <f>IF(終値!A155="","",IF(AND(安値!P155&lt;安値!O155,安値!P155&lt;安値!N155,安値!P155&lt;安値!Q155,安値!P155&lt;安値!R155),11,""))</f>
        <v>11</v>
      </c>
      <c r="L155" s="503" t="str">
        <f>IF(終値!A155="","",IF(AND(安値!Q155&lt;安値!P155,安値!Q155&lt;安値!O155,安値!Q155&lt;安値!R155,安値!Q155&lt;安値!S155),12,""))</f>
        <v/>
      </c>
      <c r="M155" s="503" t="str">
        <f>IF(終値!A155="","",IF(AND(安値!R155&lt;安値!Q155,安値!R155&lt;安値!P155,安値!R155&lt;安値!S155,安値!R155&lt;安値!T155),13,""))</f>
        <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f>IF(終値!A155="","",IF(AND(安値!V155&lt;安値!U155,安値!V155&lt;安値!T155,安値!V155&lt;安値!W155,安値!V155&lt;安値!X155),17,""))</f>
        <v>17</v>
      </c>
      <c r="R155" s="503" t="str">
        <f>IF(終値!A155="","",IF(AND(安値!W155&lt;安値!V155,安値!W155&lt;安値!U155,安値!W155&lt;安値!X155,安値!W155&lt;安値!Y155),18,""))</f>
        <v/>
      </c>
      <c r="S155" s="503" t="str">
        <f>IF(終値!A155="","",IF(AND(安値!X155&lt;安値!W155,安値!X155&lt;安値!V155,安値!X155&lt;安値!Y155,安値!X155&lt;安値!Z155),19,""))</f>
        <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f>IF(終値!A155="","",IF(AND(安値!AC155&lt;安値!AB155,安値!AC155&lt;安値!AA155,安値!AC155&lt;安値!AD155,安値!AC155&lt;安値!AE155),24,""))</f>
        <v>24</v>
      </c>
      <c r="Y155" s="503" t="str">
        <f>IF(終値!A155="","",IF(AND(安値!AD155&lt;安値!AC155,安値!AD155&lt;安値!AB155,安値!AD155&lt;安値!AE155,安値!AD155&lt;安値!AF155),25,""))</f>
        <v/>
      </c>
      <c r="Z155" s="503" t="str">
        <f>IF(終値!A155="","",IF(AND(安値!AE155&lt;安値!AD155,安値!AE155&lt;安値!AC155,安値!AE155&lt;安値!AF155,安値!AE155&lt;安値!AG155),26,""))</f>
        <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f>IF(終値!A155="","",IF(AND(高値!G155&gt;高値!F155,高値!G155&gt;高値!E155,高値!G155&gt;高値!H155,高値!G155&gt;高値!I155),2,""))</f>
        <v>2</v>
      </c>
      <c r="AD155" s="503" t="str">
        <f>IF(終値!A155="","",IF(AND(高値!H155&gt;高値!G155,高値!H155&gt;高値!F155,高値!H155&gt;高値!I155,高値!H155&gt;高値!J155),3,""))</f>
        <v/>
      </c>
      <c r="AE155" s="503" t="str">
        <f>IF(終値!A155="","",IF(AND(高値!I155&gt;高値!H155,高値!I155&gt;高値!G155,高値!I155&gt;高値!J155,高値!I155&gt;高値!K155),4,""))</f>
        <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f>IF(終値!A155="","",IF(AND(高値!N155&gt;高値!M155,高値!N155&gt;高値!L155,高値!N155&gt;高値!O155,高値!N155&gt;高値!P155),9,""))</f>
        <v>9</v>
      </c>
      <c r="AK155" s="503" t="str">
        <f>IF(終値!A155="","",IF(AND(高値!O155&gt;高値!N155,高値!O155&gt;高値!M155,高値!O155&gt;高値!P155,高値!O155&gt;高値!Q155),10,""))</f>
        <v/>
      </c>
      <c r="AL155" s="503" t="str">
        <f>IF(終値!A155="","",IF(AND(高値!P155&gt;高値!O155,高値!P155&gt;高値!N155,高値!P155&gt;高値!Q155,高値!P155&gt;高値!R155),11,""))</f>
        <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f>IF(終値!A155="","",IF(AND(高値!T155&gt;高値!S155,高値!T155&gt;高値!R155,高値!T155&gt;高値!U155,高値!T155&gt;高値!V155),15,""))</f>
        <v>15</v>
      </c>
      <c r="AQ155" s="503" t="str">
        <f>IF(終値!A155="","",IF(AND(高値!U155&gt;高値!T155,高値!U155&gt;高値!S155,高値!U155&gt;高値!V155,高値!U155&gt;高値!W155),16,""))</f>
        <v/>
      </c>
      <c r="AR155" s="503" t="str">
        <f>IF(終値!A155="","",IF(AND(高値!V155&gt;高値!U155,高値!V155&gt;高値!T155,高値!V155&gt;高値!W155,高値!V155&gt;高値!X155),17,""))</f>
        <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f>IF(終値!A155="","",IF(AND(高値!AA155&gt;高値!Z155,高値!AA155&gt;高値!Y155,高値!AA155&gt;高値!AB155,高値!AA155&gt;高値!AC155),22,""))</f>
        <v>22</v>
      </c>
      <c r="AX155" s="503" t="str">
        <f>IF(終値!A155="","",IF(AND(高値!AB155&gt;高値!AA155,高値!AB155&gt;高値!Z155,高値!AB155&gt;高値!AC155,高値!AB155&gt;高値!AD155),23,""))</f>
        <v/>
      </c>
      <c r="AY155" s="503" t="str">
        <f>IF(終値!A155="","",IF(AND(高値!AC155&gt;高値!AB155,高値!AC155&gt;高値!AA155,高値!AC155&gt;高値!AD155,高値!AC155&gt;高値!AE155),24,""))</f>
        <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f>IF(終値!A155="","",IF(AND(高値!AG155&gt;高値!AF155,高値!AG155&gt;高値!AE155,高値!AG155&gt;高値!AH155,高値!AG155&gt;高値!AI155),28,""))</f>
        <v>28</v>
      </c>
      <c r="BD155" s="503">
        <f t="shared" si="12"/>
        <v>5</v>
      </c>
      <c r="BE155" s="503">
        <f t="shared" si="13"/>
        <v>4</v>
      </c>
      <c r="BF155" s="503">
        <f t="shared" si="14"/>
        <v>7</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5</v>
      </c>
      <c r="BM155" s="503">
        <f t="shared" si="16"/>
        <v>2</v>
      </c>
      <c r="BN155" s="503">
        <f t="shared" si="17"/>
        <v>9</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t="str">
        <f>IF(終値!A156="","",IF(AND(安値!H156&lt;安値!G156,安値!H156&lt;安値!F156,安値!H156&lt;安値!I156,安値!H156&lt;安値!J156),3,""))</f>
        <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f>IF(終値!A156="","",IF(AND(安値!O156&lt;安値!N156,安値!O156&lt;安値!M156,安値!O156&lt;安値!P156,安値!O156&lt;安値!Q156),10,""))</f>
        <v>10</v>
      </c>
      <c r="K156" s="503" t="str">
        <f>IF(終値!A156="","",IF(AND(安値!P156&lt;安値!O156,安値!P156&lt;安値!N156,安値!P156&lt;安値!Q156,安値!P156&lt;安値!R156),11,""))</f>
        <v/>
      </c>
      <c r="L156" s="503" t="str">
        <f>IF(終値!A156="","",IF(AND(安値!Q156&lt;安値!P156,安値!Q156&lt;安値!O156,安値!Q156&lt;安値!R156,安値!Q156&lt;安値!S156),12,""))</f>
        <v/>
      </c>
      <c r="M156" s="503" t="str">
        <f>IF(終値!A156="","",IF(AND(安値!R156&lt;安値!Q156,安値!R156&lt;安値!P156,安値!R156&lt;安値!S156,安値!R156&lt;安値!T156),13,""))</f>
        <v/>
      </c>
      <c r="N156" s="503">
        <f>IF(終値!A156="","",IF(AND(安値!S156&lt;安値!R156,安値!S156&lt;安値!Q156,安値!S156&lt;安値!T156,安値!S156&lt;安値!U156),14,""))</f>
        <v>14</v>
      </c>
      <c r="O156" s="503" t="str">
        <f>IF(終値!A156="","",IF(AND(安値!T156&lt;安値!S156,安値!T156&lt;安値!R156,安値!T156&lt;安値!U156,安値!T156&lt;安値!V156),15,""))</f>
        <v/>
      </c>
      <c r="P156" s="503" t="str">
        <f>IF(終値!A156="","",IF(AND(安値!U156&lt;安値!T156,安値!U156&lt;安値!S156,安値!U156&lt;安値!V156,安値!U156&lt;安値!W156),16,""))</f>
        <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f>IF(終値!A156="","",IF(AND(安値!Y156&lt;安値!X156,安値!Y156&lt;安値!W156,安値!Y156&lt;安値!Z156,安値!Y156&lt;安値!AA156),20,""))</f>
        <v>20</v>
      </c>
      <c r="U156" s="503" t="str">
        <f>IF(終値!A156="","",IF(AND(安値!Z156&lt;安値!Y156,安値!Z156&lt;安値!X156,安値!Z156&lt;安値!AA156,安値!Z156&lt;安値!AB156),21,""))</f>
        <v/>
      </c>
      <c r="V156" s="503" t="str">
        <f>IF(終値!A156="","",IF(AND(安値!AA156&lt;安値!Z156,安値!AA156&lt;安値!Y156,安値!AA156&lt;安値!AB156,安値!AA156&lt;安値!AC156),22,""))</f>
        <v/>
      </c>
      <c r="W156" s="503" t="str">
        <f>IF(終値!A156="","",IF(AND(安値!AB156&lt;安値!AA156,安値!AB156&lt;安値!Z156,安値!AB156&lt;安値!AC156,安値!AB156&lt;安値!AD156),23,""))</f>
        <v/>
      </c>
      <c r="X156" s="503">
        <f>IF(終値!A156="","",IF(AND(安値!AC156&lt;安値!AB156,安値!AC156&lt;安値!AA156,安値!AC156&lt;安値!AD156,安値!AC156&lt;安値!AE156),24,""))</f>
        <v>24</v>
      </c>
      <c r="Y156" s="503" t="str">
        <f>IF(終値!A156="","",IF(AND(安値!AD156&lt;安値!AC156,安値!AD156&lt;安値!AB156,安値!AD156&lt;安値!AE156,安値!AD156&lt;安値!AF156),25,""))</f>
        <v/>
      </c>
      <c r="Z156" s="503" t="str">
        <f>IF(終値!A156="","",IF(AND(安値!AE156&lt;安値!AD156,安値!AE156&lt;安値!AC156,安値!AE156&lt;安値!AF156,安値!AE156&lt;安値!AG156),26,""))</f>
        <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f>IF(終値!A156="","",IF(AND(高値!J156&gt;高値!I156,高値!J156&gt;高値!H156,高値!J156&gt;高値!K156,高値!J156&gt;高値!L156),5,""))</f>
        <v>5</v>
      </c>
      <c r="AG156" s="503" t="str">
        <f>IF(終値!A156="","",IF(AND(高値!K156&gt;高値!J156,高値!K156&gt;高値!I156,高値!K156&gt;高値!L156,高値!K156&gt;高値!M156),6,""))</f>
        <v/>
      </c>
      <c r="AH156" s="503" t="str">
        <f>IF(終値!A156="","",IF(AND(高値!L156&gt;高値!K156,高値!L156&gt;高値!J156,高値!L156&gt;高値!M156,高値!L156&gt;高値!N156),7,""))</f>
        <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f>IF(終値!A156="","",IF(AND(高値!Y156&gt;高値!X156,高値!Y156&gt;高値!W156,高値!Y156&gt;高値!Z156,高値!Y156&gt;高値!AA156),20,""))</f>
        <v>20</v>
      </c>
      <c r="AV156" s="503" t="str">
        <f>IF(終値!A156="","",IF(AND(高値!Z156&gt;高値!Y156,高値!Z156&gt;高値!X156,高値!Z156&gt;高値!AA156,高値!Z156&gt;高値!AB156),21,""))</f>
        <v/>
      </c>
      <c r="AW156" s="503" t="str">
        <f>IF(終値!A156="","",IF(AND(高値!AA156&gt;高値!Z156,高値!AA156&gt;高値!Y156,高値!AA156&gt;高値!AB156,高値!AA156&gt;高値!AC156),22,""))</f>
        <v/>
      </c>
      <c r="AX156" s="503">
        <f>IF(終値!A156="","",IF(AND(高値!AB156&gt;高値!AA156,高値!AB156&gt;高値!Z156,高値!AB156&gt;高値!AC156,高値!AB156&gt;高値!AD156),23,""))</f>
        <v>23</v>
      </c>
      <c r="AY156" s="503" t="str">
        <f>IF(終値!A156="","",IF(AND(高値!AC156&gt;高値!AB156,高値!AC156&gt;高値!AA156,高値!AC156&gt;高値!AD156,高値!AC156&gt;高値!AE156),24,""))</f>
        <v/>
      </c>
      <c r="AZ156" s="503" t="str">
        <f>IF(終値!A156="","",IF(AND(高値!AD156&gt;高値!AC156,高値!AD156&gt;高値!AB156,高値!AD156&gt;高値!AE156,高値!AD156&gt;高値!AF156),25,""))</f>
        <v/>
      </c>
      <c r="BA156" s="503">
        <f>IF(終値!A156="","",IF(AND(高値!AE156&gt;高値!AD156,高値!AE156&gt;高値!AC156,高値!AE156&gt;高値!AF156,高値!AE156&gt;高値!AG156),26,""))</f>
        <v>26</v>
      </c>
      <c r="BB156" s="503" t="str">
        <f>IF(終値!A156="","",IF(AND(高値!AF156&gt;高値!AE156,高値!AF156&gt;高値!AD156,高値!AF156&gt;高値!AG156,高値!AF156&gt;高値!AH156),27,""))</f>
        <v/>
      </c>
      <c r="BC156" s="503" t="str">
        <f>IF(終値!A156="","",IF(AND(高値!AG156&gt;高値!AF156,高値!AG156&gt;高値!AE156,高値!AG156&gt;高値!AH156,高値!AG156&gt;高値!AI156),28,""))</f>
        <v/>
      </c>
      <c r="BD156" s="503">
        <f t="shared" si="12"/>
        <v>4</v>
      </c>
      <c r="BE156" s="503">
        <f t="shared" si="13"/>
        <v>10</v>
      </c>
      <c r="BF156" s="503">
        <f t="shared" si="14"/>
        <v>14</v>
      </c>
      <c r="BG156" s="503">
        <f>IF($BE156="","",INDEX(安値!$E156:$CZ156,1,$BE156+1))</f>
        <v>2480</v>
      </c>
      <c r="BH156" s="503">
        <f>IF($BF156="","",INDEX(安値!$E156:$CZ156,1,$BF156+1))</f>
        <v>2501</v>
      </c>
      <c r="BI156" s="503">
        <f>IF($BF156="","",MAX(INDEX(高値!$E156:$CZ156,1,$BE156+1):INDEX(高値!$E156:$CZ156,1,$BF156+1)))</f>
        <v>2588</v>
      </c>
      <c r="BJ156" s="503">
        <f>IF($BF156="","",AVERAGE(INDEX(終値!$E156:$CZ156,1,$BF156+1):INDEX(終値!$E156:$CZ156,1,$BF156+20))-2*STDEVP(INDEX(終値!$E156:$CZ156,1,$BF156+1):INDEX(終値!$E156:$CZ156,1,$BF156+20)))</f>
        <v>2410.418447637077</v>
      </c>
      <c r="BK156" s="503">
        <f>IF($BE156="","",AVERAGE(INDEX(終値!$E156:$CZ156,1,$BE156+1):INDEX(終値!$E156:$CZ156,1,$BE156+20))-2*STDEVP(INDEX(終値!$E156:$CZ156,1,$BE156+1):INDEX(終値!$E156:$CZ156,1,$BE156+20)))</f>
        <v>2456.1918031483719</v>
      </c>
      <c r="BL156" s="503">
        <f t="shared" si="15"/>
        <v>4</v>
      </c>
      <c r="BM156" s="503">
        <f t="shared" si="16"/>
        <v>5</v>
      </c>
      <c r="BN156" s="503">
        <f t="shared" si="17"/>
        <v>20</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t="str">
        <f>IF(終値!A157="","",IF(AND(安値!H157&lt;安値!G157,安値!H157&lt;安値!F157,安値!H157&lt;安値!I157,安値!H157&lt;安値!J157),3,""))</f>
        <v/>
      </c>
      <c r="D157" s="503">
        <f>IF(終値!A157="","",IF(AND(安値!I157&lt;安値!H157,安値!I157&lt;安値!G157,安値!I157&lt;安値!J157,安値!I157&lt;安値!K157),4,""))</f>
        <v>4</v>
      </c>
      <c r="E157" s="503" t="str">
        <f>IF(終値!A157="","",IF(AND(安値!J157&lt;安値!I157,安値!J157&lt;安値!H157,安値!J157&lt;安値!K157,安値!J157&lt;安値!L157),5,""))</f>
        <v/>
      </c>
      <c r="F157" s="503" t="str">
        <f>IF(終値!A157="","",IF(AND(安値!K157&lt;安値!J157,安値!K157&lt;安値!I157,安値!K157&lt;安値!L157,安値!K157&lt;安値!M157),6,""))</f>
        <v/>
      </c>
      <c r="G157" s="503">
        <f>IF(終値!A157="","",IF(AND(安値!L157&lt;安値!K157,安値!L157&lt;安値!J157,安値!L157&lt;安値!M157,安値!L157&lt;安値!N157),7,""))</f>
        <v>7</v>
      </c>
      <c r="H157" s="503" t="str">
        <f>IF(終値!A157="","",IF(AND(安値!M157&lt;安値!L157,安値!M157&lt;安値!K157,安値!M157&lt;安値!N157,安値!M157&lt;安値!O157),8,""))</f>
        <v/>
      </c>
      <c r="I157" s="503" t="str">
        <f>IF(終値!A157="","",IF(AND(安値!N157&lt;安値!M157,安値!N157&lt;安値!L157,安値!N157&lt;安値!O157,安値!N157&lt;安値!P157),9,""))</f>
        <v/>
      </c>
      <c r="J157" s="503" t="str">
        <f>IF(終値!A157="","",IF(AND(安値!O157&lt;安値!N157,安値!O157&lt;安値!M157,安値!O157&lt;安値!P157,安値!O157&lt;安値!Q157),10,""))</f>
        <v/>
      </c>
      <c r="K157" s="503">
        <f>IF(終値!A157="","",IF(AND(安値!P157&lt;安値!O157,安値!P157&lt;安値!N157,安値!P157&lt;安値!Q157,安値!P157&lt;安値!R157),11,""))</f>
        <v>11</v>
      </c>
      <c r="L157" s="503" t="str">
        <f>IF(終値!A157="","",IF(AND(安値!Q157&lt;安値!P157,安値!Q157&lt;安値!O157,安値!Q157&lt;安値!R157,安値!Q157&lt;安値!S157),12,""))</f>
        <v/>
      </c>
      <c r="M157" s="503" t="str">
        <f>IF(終値!A157="","",IF(AND(安値!R157&lt;安値!Q157,安値!R157&lt;安値!P157,安値!R157&lt;安値!S157,安値!R157&lt;安値!T157),13,""))</f>
        <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f>IF(終値!A157="","",IF(AND(高値!K157&gt;高値!J157,高値!K157&gt;高値!I157,高値!K157&gt;高値!L157,高値!K157&gt;高値!M157),6,""))</f>
        <v>6</v>
      </c>
      <c r="AH157" s="503" t="str">
        <f>IF(終値!A157="","",IF(AND(高値!L157&gt;高値!K157,高値!L157&gt;高値!J157,高値!L157&gt;高値!M157,高値!L157&gt;高値!N157),7,""))</f>
        <v/>
      </c>
      <c r="AI157" s="503" t="str">
        <f>IF(終値!A157="","",IF(AND(高値!M157&gt;高値!L157,高値!M157&gt;高値!K157,高値!M157&gt;高値!N157,高値!M157&gt;高値!O157),8,""))</f>
        <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f>IF(終値!A157="","",IF(AND(高値!P157&gt;高値!O157,高値!P157&gt;高値!N157,高値!P157&gt;高値!Q157,高値!P157&gt;高値!R157),11,""))</f>
        <v>11</v>
      </c>
      <c r="AM157" s="503" t="str">
        <f>IF(終値!A157="","",IF(AND(高値!Q157&gt;高値!P157,高値!Q157&gt;高値!O157,高値!Q157&gt;高値!R157,高値!Q157&gt;高値!S157),12,""))</f>
        <v/>
      </c>
      <c r="AN157" s="503" t="str">
        <f>IF(終値!A157="","",IF(AND(高値!R157&gt;高値!Q157,高値!R157&gt;高値!P157,高値!R157&gt;高値!S157,高値!R157&gt;高値!T157),13,""))</f>
        <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f>IF(終値!A157="","",IF(AND(高値!X157&gt;高値!W157,高値!X157&gt;高値!V157,高値!X157&gt;高値!Y157,高値!X157&gt;高値!Z157),19,""))</f>
        <v>19</v>
      </c>
      <c r="AU157" s="503" t="str">
        <f>IF(終値!A157="","",IF(AND(高値!Y157&gt;高値!X157,高値!Y157&gt;高値!W157,高値!Y157&gt;高値!Z157,高値!Y157&gt;高値!AA157),20,""))</f>
        <v/>
      </c>
      <c r="AV157" s="503" t="str">
        <f>IF(終値!A157="","",IF(AND(高値!Z157&gt;高値!Y157,高値!Z157&gt;高値!X157,高値!Z157&gt;高値!AA157,高値!Z157&gt;高値!AB157),21,""))</f>
        <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f>IF(終値!A157="","",IF(AND(高値!AG157&gt;高値!AF157,高値!AG157&gt;高値!AE157,高値!AG157&gt;高値!AH157,高値!AG157&gt;高値!AI157),28,""))</f>
        <v>28</v>
      </c>
      <c r="BD157" s="503">
        <f t="shared" si="12"/>
        <v>3</v>
      </c>
      <c r="BE157" s="503">
        <f t="shared" si="13"/>
        <v>4</v>
      </c>
      <c r="BF157" s="503">
        <f t="shared" si="14"/>
        <v>7</v>
      </c>
      <c r="BG157" s="503">
        <f>IF($BE157="","",INDEX(安値!$E157:$CZ157,1,$BE157+1))</f>
        <v>5616</v>
      </c>
      <c r="BH157" s="503">
        <f>IF($BF157="","",INDEX(安値!$E157:$CZ157,1,$BF157+1))</f>
        <v>5772</v>
      </c>
      <c r="BI157" s="503">
        <f>IF($BF157="","",MAX(INDEX(高値!$E157:$CZ157,1,$BE157+1):INDEX(高値!$E157:$CZ157,1,$BF157+1)))</f>
        <v>6120</v>
      </c>
      <c r="BJ157" s="503">
        <f>IF($BF157="","",AVERAGE(INDEX(終値!$E157:$CZ157,1,$BF157+1):INDEX(終値!$E157:$CZ157,1,$BF157+20))-2*STDEVP(INDEX(終値!$E157:$CZ157,1,$BF157+1):INDEX(終値!$E157:$CZ157,1,$BF157+20)))</f>
        <v>5754.6374100058902</v>
      </c>
      <c r="BK157" s="503">
        <f>IF($BE157="","",AVERAGE(INDEX(終値!$E157:$CZ157,1,$BE157+1):INDEX(終値!$E157:$CZ157,1,$BE157+20))-2*STDEVP(INDEX(終値!$E157:$CZ157,1,$BE157+1):INDEX(終値!$E157:$CZ157,1,$BE157+20)))</f>
        <v>5791.9636853325128</v>
      </c>
      <c r="BL157" s="503">
        <f t="shared" si="15"/>
        <v>4</v>
      </c>
      <c r="BM157" s="503">
        <f t="shared" si="16"/>
        <v>6</v>
      </c>
      <c r="BN157" s="503">
        <f t="shared" si="17"/>
        <v>11</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t="str">
        <f>IF(終値!A158="","",IF(AND(安値!G158&lt;安値!F158,安値!G158&lt;安値!E158,安値!G158&lt;安値!H158,安値!G158&lt;安値!I158),2,""))</f>
        <v/>
      </c>
      <c r="C158" s="503" t="str">
        <f>IF(終値!A158="","",IF(AND(安値!H158&lt;安値!G158,安値!H158&lt;安値!F158,安値!H158&lt;安値!I158,安値!H158&lt;安値!J158),3,""))</f>
        <v/>
      </c>
      <c r="D158" s="503">
        <f>IF(終値!A158="","",IF(AND(安値!I158&lt;安値!H158,安値!I158&lt;安値!G158,安値!I158&lt;安値!J158,安値!I158&lt;安値!K158),4,""))</f>
        <v>4</v>
      </c>
      <c r="E158" s="503" t="str">
        <f>IF(終値!A158="","",IF(AND(安値!J158&lt;安値!I158,安値!J158&lt;安値!H158,安値!J158&lt;安値!K158,安値!J158&lt;安値!L158),5,""))</f>
        <v/>
      </c>
      <c r="F158" s="503" t="str">
        <f>IF(終値!A158="","",IF(AND(安値!K158&lt;安値!J158,安値!K158&lt;安値!I158,安値!K158&lt;安値!L158,安値!K158&lt;安値!M158),6,""))</f>
        <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f>IF(終値!A158="","",IF(AND(安値!P158&lt;安値!O158,安値!P158&lt;安値!N158,安値!P158&lt;安値!Q158,安値!P158&lt;安値!R158),11,""))</f>
        <v>11</v>
      </c>
      <c r="L158" s="503" t="str">
        <f>IF(終値!A158="","",IF(AND(安値!Q158&lt;安値!P158,安値!Q158&lt;安値!O158,安値!Q158&lt;安値!R158,安値!Q158&lt;安値!S158),12,""))</f>
        <v/>
      </c>
      <c r="M158" s="503" t="str">
        <f>IF(終値!A158="","",IF(AND(安値!R158&lt;安値!Q158,安値!R158&lt;安値!P158,安値!R158&lt;安値!S158,安値!R158&lt;安値!T158),13,""))</f>
        <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f>IF(終値!A158="","",IF(AND(安値!V158&lt;安値!U158,安値!V158&lt;安値!T158,安値!V158&lt;安値!W158,安値!V158&lt;安値!X158),17,""))</f>
        <v>17</v>
      </c>
      <c r="R158" s="503" t="str">
        <f>IF(終値!A158="","",IF(AND(安値!W158&lt;安値!V158,安値!W158&lt;安値!U158,安値!W158&lt;安値!X158,安値!W158&lt;安値!Y158),18,""))</f>
        <v/>
      </c>
      <c r="S158" s="503" t="str">
        <f>IF(終値!A158="","",IF(AND(安値!X158&lt;安値!W158,安値!X158&lt;安値!V158,安値!X158&lt;安値!Y158,安値!X158&lt;安値!Z158),19,""))</f>
        <v/>
      </c>
      <c r="T158" s="503">
        <f>IF(終値!A158="","",IF(AND(安値!Y158&lt;安値!X158,安値!Y158&lt;安値!W158,安値!Y158&lt;安値!Z158,安値!Y158&lt;安値!AA158),20,""))</f>
        <v>20</v>
      </c>
      <c r="U158" s="503" t="str">
        <f>IF(終値!A158="","",IF(AND(安値!Z158&lt;安値!Y158,安値!Z158&lt;安値!X158,安値!Z158&lt;安値!AA158,安値!Z158&lt;安値!AB158),21,""))</f>
        <v/>
      </c>
      <c r="V158" s="503" t="str">
        <f>IF(終値!A158="","",IF(AND(安値!AA158&lt;安値!Z158,安値!AA158&lt;安値!Y158,安値!AA158&lt;安値!AB158,安値!AA158&lt;安値!AC158),22,""))</f>
        <v/>
      </c>
      <c r="W158" s="503" t="str">
        <f>IF(終値!A158="","",IF(AND(安値!AB158&lt;安値!AA158,安値!AB158&lt;安値!Z158,安値!AB158&lt;安値!AC158,安値!AB158&lt;安値!AD158),23,""))</f>
        <v/>
      </c>
      <c r="X158" s="503">
        <f>IF(終値!A158="","",IF(AND(安値!AC158&lt;安値!AB158,安値!AC158&lt;安値!AA158,安値!AC158&lt;安値!AD158,安値!AC158&lt;安値!AE158),24,""))</f>
        <v>24</v>
      </c>
      <c r="Y158" s="503" t="str">
        <f>IF(終値!A158="","",IF(AND(安値!AD158&lt;安値!AC158,安値!AD158&lt;安値!AB158,安値!AD158&lt;安値!AE158,安値!AD158&lt;安値!AF158),25,""))</f>
        <v/>
      </c>
      <c r="Z158" s="503" t="str">
        <f>IF(終値!A158="","",IF(AND(安値!AE158&lt;安値!AD158,安値!AE158&lt;安値!AC158,安値!AE158&lt;安値!AF158,安値!AE158&lt;安値!AG158),26,""))</f>
        <v/>
      </c>
      <c r="AA158" s="503">
        <f>IF(終値!A158="","",IF(AND(安値!AF158&lt;安値!AE158,安値!AF158&lt;安値!AD158,安値!AF158&lt;安値!AG158,安値!AF158&lt;安値!AH158),27,""))</f>
        <v>27</v>
      </c>
      <c r="AB158" s="503" t="str">
        <f>IF(終値!A158="","",IF(AND(安値!AG158&lt;安値!AF158,安値!AG158&lt;安値!AE158,安値!AG158&lt;安値!AH158,安値!AG158&lt;安値!AI158),28,""))</f>
        <v/>
      </c>
      <c r="AC158" s="503">
        <f>IF(終値!A158="","",IF(AND(高値!G158&gt;高値!F158,高値!G158&gt;高値!E158,高値!G158&gt;高値!H158,高値!G158&gt;高値!I158),2,""))</f>
        <v>2</v>
      </c>
      <c r="AD158" s="503" t="str">
        <f>IF(終値!A158="","",IF(AND(高値!H158&gt;高値!G158,高値!H158&gt;高値!F158,高値!H158&gt;高値!I158,高値!H158&gt;高値!J158),3,""))</f>
        <v/>
      </c>
      <c r="AE158" s="503" t="str">
        <f>IF(終値!A158="","",IF(AND(高値!I158&gt;高値!H158,高値!I158&gt;高値!G158,高値!I158&gt;高値!J158,高値!I158&gt;高値!K158),4,""))</f>
        <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f>IF(終値!A158="","",IF(AND(高値!N158&gt;高値!M158,高値!N158&gt;高値!L158,高値!N158&gt;高値!O158,高値!N158&gt;高値!P158),9,""))</f>
        <v>9</v>
      </c>
      <c r="AK158" s="503" t="str">
        <f>IF(終値!A158="","",IF(AND(高値!O158&gt;高値!N158,高値!O158&gt;高値!M158,高値!O158&gt;高値!P158,高値!O158&gt;高値!Q158),10,""))</f>
        <v/>
      </c>
      <c r="AL158" s="503" t="str">
        <f>IF(終値!A158="","",IF(AND(高値!P158&gt;高値!O158,高値!P158&gt;高値!N158,高値!P158&gt;高値!Q158,高値!P158&gt;高値!R158),11,""))</f>
        <v/>
      </c>
      <c r="AM158" s="503">
        <f>IF(終値!A158="","",IF(AND(高値!Q158&gt;高値!P158,高値!Q158&gt;高値!O158,高値!Q158&gt;高値!R158,高値!Q158&gt;高値!S158),12,""))</f>
        <v>12</v>
      </c>
      <c r="AN158" s="503" t="str">
        <f>IF(終値!A158="","",IF(AND(高値!R158&gt;高値!Q158,高値!R158&gt;高値!P158,高値!R158&gt;高値!S158,高値!R158&gt;高値!T158),13,""))</f>
        <v/>
      </c>
      <c r="AO158" s="503" t="str">
        <f>IF(終値!A158="","",IF(AND(高値!S158&gt;高値!R158,高値!S158&gt;高値!Q158,高値!S158&gt;高値!T158,高値!S158&gt;高値!U158),14,""))</f>
        <v/>
      </c>
      <c r="AP158" s="503">
        <f>IF(終値!A158="","",IF(AND(高値!T158&gt;高値!S158,高値!T158&gt;高値!R158,高値!T158&gt;高値!U158,高値!T158&gt;高値!V158),15,""))</f>
        <v>15</v>
      </c>
      <c r="AQ158" s="503" t="str">
        <f>IF(終値!A158="","",IF(AND(高値!U158&gt;高値!T158,高値!U158&gt;高値!S158,高値!U158&gt;高値!V158,高値!U158&gt;高値!W158),16,""))</f>
        <v/>
      </c>
      <c r="AR158" s="503" t="str">
        <f>IF(終値!A158="","",IF(AND(高値!V158&gt;高値!U158,高値!V158&gt;高値!T158,高値!V158&gt;高値!W158,高値!V158&gt;高値!X158),17,""))</f>
        <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f>IF(終値!A158="","",IF(AND(高値!AA158&gt;高値!Z158,高値!AA158&gt;高値!Y158,高値!AA158&gt;高値!AB158,高値!AA158&gt;高値!AC158),22,""))</f>
        <v>22</v>
      </c>
      <c r="AX158" s="503" t="str">
        <f>IF(終値!A158="","",IF(AND(高値!AB158&gt;高値!AA158,高値!AB158&gt;高値!Z158,高値!AB158&gt;高値!AC158,高値!AB158&gt;高値!AD158),23,""))</f>
        <v/>
      </c>
      <c r="AY158" s="503" t="str">
        <f>IF(終値!A158="","",IF(AND(高値!AC158&gt;高値!AB158,高値!AC158&gt;高値!AA158,高値!AC158&gt;高値!AD158,高値!AC158&gt;高値!AE158),24,""))</f>
        <v/>
      </c>
      <c r="AZ158" s="503" t="str">
        <f>IF(終値!A158="","",IF(AND(高値!AD158&gt;高値!AC158,高値!AD158&gt;高値!AB158,高値!AD158&gt;高値!AE158,高値!AD158&gt;高値!AF158),25,""))</f>
        <v/>
      </c>
      <c r="BA158" s="503">
        <f>IF(終値!A158="","",IF(AND(高値!AE158&gt;高値!AD158,高値!AE158&gt;高値!AC158,高値!AE158&gt;高値!AF158,高値!AE158&gt;高値!AG158),26,""))</f>
        <v>26</v>
      </c>
      <c r="BB158" s="503" t="str">
        <f>IF(終値!A158="","",IF(AND(高値!AF158&gt;高値!AE158,高値!AF158&gt;高値!AD158,高値!AF158&gt;高値!AG158,高値!AF158&gt;高値!AH158),27,""))</f>
        <v/>
      </c>
      <c r="BC158" s="503" t="str">
        <f>IF(終値!A158="","",IF(AND(高値!AG158&gt;高値!AF158,高値!AG158&gt;高値!AE158,高値!AG158&gt;高値!AH158,高値!AG158&gt;高値!AI158),28,""))</f>
        <v/>
      </c>
      <c r="BD158" s="503">
        <f t="shared" si="12"/>
        <v>6</v>
      </c>
      <c r="BE158" s="503">
        <f t="shared" si="13"/>
        <v>4</v>
      </c>
      <c r="BF158" s="503">
        <f t="shared" si="14"/>
        <v>11</v>
      </c>
      <c r="BG158" s="503">
        <f>IF($BE158="","",INDEX(安値!$E158:$CZ158,1,$BE158+1))</f>
        <v>24135</v>
      </c>
      <c r="BH158" s="503">
        <f>IF($BF158="","",INDEX(安値!$E158:$CZ158,1,$BF158+1))</f>
        <v>26000</v>
      </c>
      <c r="BI158" s="503">
        <f>IF($BF158="","",MAX(INDEX(高値!$E158:$CZ158,1,$BE158+1):INDEX(高値!$E158:$CZ158,1,$BF158+1)))</f>
        <v>31580</v>
      </c>
      <c r="BJ158" s="503">
        <f>IF($BF158="","",AVERAGE(INDEX(終値!$E158:$CZ158,1,$BF158+1):INDEX(終値!$E158:$CZ158,1,$BF158+20))-2*STDEVP(INDEX(終値!$E158:$CZ158,1,$BF158+1):INDEX(終値!$E158:$CZ158,1,$BF158+20)))</f>
        <v>26645.365654567722</v>
      </c>
      <c r="BK158" s="503">
        <f>IF($BE158="","",AVERAGE(INDEX(終値!$E158:$CZ158,1,$BE158+1):INDEX(終値!$E158:$CZ158,1,$BE158+20))-2*STDEVP(INDEX(終値!$E158:$CZ158,1,$BE158+1):INDEX(終値!$E158:$CZ158,1,$BE158+20)))</f>
        <v>25604.829021845417</v>
      </c>
      <c r="BL158" s="503">
        <f t="shared" si="15"/>
        <v>6</v>
      </c>
      <c r="BM158" s="503">
        <f t="shared" si="16"/>
        <v>2</v>
      </c>
      <c r="BN158" s="503">
        <f t="shared" si="17"/>
        <v>9</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f>IF(終値!A159="","",IF(AND(安値!I159&lt;安値!H159,安値!I159&lt;安値!G159,安値!I159&lt;安値!J159,安値!I159&lt;安値!K159),4,""))</f>
        <v>4</v>
      </c>
      <c r="E159" s="503" t="str">
        <f>IF(終値!A159="","",IF(AND(安値!J159&lt;安値!I159,安値!J159&lt;安値!H159,安値!J159&lt;安値!K159,安値!J159&lt;安値!L159),5,""))</f>
        <v/>
      </c>
      <c r="F159" s="503" t="str">
        <f>IF(終値!A159="","",IF(AND(安値!K159&lt;安値!J159,安値!K159&lt;安値!I159,安値!K159&lt;安値!L159,安値!K159&lt;安値!M159),6,""))</f>
        <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f>IF(終値!A159="","",IF(AND(安値!P159&lt;安値!O159,安値!P159&lt;安値!N159,安値!P159&lt;安値!Q159,安値!P159&lt;安値!R159),11,""))</f>
        <v>11</v>
      </c>
      <c r="L159" s="503" t="str">
        <f>IF(終値!A159="","",IF(AND(安値!Q159&lt;安値!P159,安値!Q159&lt;安値!O159,安値!Q159&lt;安値!R159,安値!Q159&lt;安値!S159),12,""))</f>
        <v/>
      </c>
      <c r="M159" s="503" t="str">
        <f>IF(終値!A159="","",IF(AND(安値!R159&lt;安値!Q159,安値!R159&lt;安値!P159,安値!R159&lt;安値!S159,安値!R159&lt;安値!T159),13,""))</f>
        <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f>IF(終値!A159="","",IF(AND(安値!AC159&lt;安値!AB159,安値!AC159&lt;安値!AA159,安値!AC159&lt;安値!AD159,安値!AC159&lt;安値!AE159),24,""))</f>
        <v>24</v>
      </c>
      <c r="Y159" s="503" t="str">
        <f>IF(終値!A159="","",IF(AND(安値!AD159&lt;安値!AC159,安値!AD159&lt;安値!AB159,安値!AD159&lt;安値!AE159,安値!AD159&lt;安値!AF159),25,""))</f>
        <v/>
      </c>
      <c r="Z159" s="503" t="str">
        <f>IF(終値!A159="","",IF(AND(安値!AE159&lt;安値!AD159,安値!AE159&lt;安値!AC159,安値!AE159&lt;安値!AF159,安値!AE159&lt;安値!AG159),26,""))</f>
        <v/>
      </c>
      <c r="AA159" s="503">
        <f>IF(終値!A159="","",IF(AND(安値!AF159&lt;安値!AE159,安値!AF159&lt;安値!AD159,安値!AF159&lt;安値!AG159,安値!AF159&lt;安値!AH159),27,""))</f>
        <v>27</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f>IF(終値!A159="","",IF(AND(高値!N159&gt;高値!M159,高値!N159&gt;高値!L159,高値!N159&gt;高値!O159,高値!N159&gt;高値!P159),9,""))</f>
        <v>9</v>
      </c>
      <c r="AK159" s="503" t="str">
        <f>IF(終値!A159="","",IF(AND(高値!O159&gt;高値!N159,高値!O159&gt;高値!M159,高値!O159&gt;高値!P159,高値!O159&gt;高値!Q159),10,""))</f>
        <v/>
      </c>
      <c r="AL159" s="503" t="str">
        <f>IF(終値!A159="","",IF(AND(高値!P159&gt;高値!O159,高値!P159&gt;高値!N159,高値!P159&gt;高値!Q159,高値!P159&gt;高値!R159),11,""))</f>
        <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f>IF(終値!A159="","",IF(AND(高値!AA159&gt;高値!Z159,高値!AA159&gt;高値!Y159,高値!AA159&gt;高値!AB159,高値!AA159&gt;高値!AC159),22,""))</f>
        <v>22</v>
      </c>
      <c r="AX159" s="503" t="str">
        <f>IF(終値!A159="","",IF(AND(高値!AB159&gt;高値!AA159,高値!AB159&gt;高値!Z159,高値!AB159&gt;高値!AC159,高値!AB159&gt;高値!AD159),23,""))</f>
        <v/>
      </c>
      <c r="AY159" s="503" t="str">
        <f>IF(終値!A159="","",IF(AND(高値!AC159&gt;高値!AB159,高値!AC159&gt;高値!AA159,高値!AC159&gt;高値!AD159,高値!AC159&gt;高値!AE159),24,""))</f>
        <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4</v>
      </c>
      <c r="BE159" s="503">
        <f t="shared" si="13"/>
        <v>4</v>
      </c>
      <c r="BF159" s="503">
        <f t="shared" si="14"/>
        <v>11</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9</v>
      </c>
      <c r="BN159" s="503">
        <f t="shared" si="17"/>
        <v>22</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f>IF(終値!A160="","",IF(AND(安値!M160&lt;安値!L160,安値!M160&lt;安値!K160,安値!M160&lt;安値!N160,安値!M160&lt;安値!O160),8,""))</f>
        <v>8</v>
      </c>
      <c r="I160" s="503" t="str">
        <f>IF(終値!A160="","",IF(AND(安値!N160&lt;安値!M160,安値!N160&lt;安値!L160,安値!N160&lt;安値!O160,安値!N160&lt;安値!P160),9,""))</f>
        <v/>
      </c>
      <c r="J160" s="503" t="str">
        <f>IF(終値!A160="","",IF(AND(安値!O160&lt;安値!N160,安値!O160&lt;安値!M160,安値!O160&lt;安値!P160,安値!O160&lt;安値!Q160),10,""))</f>
        <v/>
      </c>
      <c r="K160" s="503" t="str">
        <f>IF(終値!A160="","",IF(AND(安値!P160&lt;安値!O160,安値!P160&lt;安値!N160,安値!P160&lt;安値!Q160,安値!P160&lt;安値!R160),11,""))</f>
        <v/>
      </c>
      <c r="L160" s="503">
        <f>IF(終値!A160="","",IF(AND(安値!Q160&lt;安値!P160,安値!Q160&lt;安値!O160,安値!Q160&lt;安値!R160,安値!Q160&lt;安値!S160),12,""))</f>
        <v>12</v>
      </c>
      <c r="M160" s="503" t="str">
        <f>IF(終値!A160="","",IF(AND(安値!R160&lt;安値!Q160,安値!R160&lt;安値!P160,安値!R160&lt;安値!S160,安値!R160&lt;安値!T160),13,""))</f>
        <v/>
      </c>
      <c r="N160" s="503" t="str">
        <f>IF(終値!A160="","",IF(AND(安値!S160&lt;安値!R160,安値!S160&lt;安値!Q160,安値!S160&lt;安値!T160,安値!S160&lt;安値!U160),14,""))</f>
        <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f>IF(終値!A160="","",IF(AND(安値!AF160&lt;安値!AE160,安値!AF160&lt;安値!AD160,安値!AF160&lt;安値!AG160,安値!AF160&lt;安値!AH160),27,""))</f>
        <v>27</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f>IF(終値!A160="","",IF(AND(高値!H160&gt;高値!G160,高値!H160&gt;高値!F160,高値!H160&gt;高値!I160,高値!H160&gt;高値!J160),3,""))</f>
        <v>3</v>
      </c>
      <c r="AE160" s="503" t="str">
        <f>IF(終値!A160="","",IF(AND(高値!I160&gt;高値!H160,高値!I160&gt;高値!G160,高値!I160&gt;高値!J160,高値!I160&gt;高値!K160),4,""))</f>
        <v/>
      </c>
      <c r="AF160" s="503" t="str">
        <f>IF(終値!A160="","",IF(AND(高値!J160&gt;高値!I160,高値!J160&gt;高値!H160,高値!J160&gt;高値!K160,高値!J160&gt;高値!L160),5,""))</f>
        <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f>IF(終値!A160="","",IF(AND(高値!O160&gt;高値!N160,高値!O160&gt;高値!M160,高値!O160&gt;高値!P160,高値!O160&gt;高値!Q160),10,""))</f>
        <v>10</v>
      </c>
      <c r="AL160" s="503" t="str">
        <f>IF(終値!A160="","",IF(AND(高値!P160&gt;高値!O160,高値!P160&gt;高値!N160,高値!P160&gt;高値!Q160,高値!P160&gt;高値!R160),11,""))</f>
        <v/>
      </c>
      <c r="AM160" s="503" t="str">
        <f>IF(終値!A160="","",IF(AND(高値!Q160&gt;高値!P160,高値!Q160&gt;高値!O160,高値!Q160&gt;高値!R160,高値!Q160&gt;高値!S160),12,""))</f>
        <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f>IF(終値!A160="","",IF(AND(高値!V160&gt;高値!U160,高値!V160&gt;高値!T160,高値!V160&gt;高値!W160,高値!V160&gt;高値!X160),17,""))</f>
        <v>17</v>
      </c>
      <c r="AS160" s="503" t="str">
        <f>IF(終値!A160="","",IF(AND(高値!W160&gt;高値!V160,高値!W160&gt;高値!U160,高値!W160&gt;高値!X160,高値!W160&gt;高値!Y160),18,""))</f>
        <v/>
      </c>
      <c r="AT160" s="503" t="str">
        <f>IF(終値!A160="","",IF(AND(高値!X160&gt;高値!W160,高値!X160&gt;高値!V160,高値!X160&gt;高値!Y160,高値!X160&gt;高値!Z160),19,""))</f>
        <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f>IF(終値!A160="","",IF(AND(高値!AC160&gt;高値!AB160,高値!AC160&gt;高値!AA160,高値!AC160&gt;高値!AD160,高値!AC160&gt;高値!AE160),24,""))</f>
        <v>24</v>
      </c>
      <c r="AZ160" s="503" t="str">
        <f>IF(終値!A160="","",IF(AND(高値!AD160&gt;高値!AC160,高値!AD160&gt;高値!AB160,高値!AD160&gt;高値!AE160,高値!AD160&gt;高値!AF160),25,""))</f>
        <v/>
      </c>
      <c r="BA160" s="503" t="str">
        <f>IF(終値!A160="","",IF(AND(高値!AE160&gt;高値!AD160,高値!AE160&gt;高値!AC160,高値!AE160&gt;高値!AF160,高値!AE160&gt;高値!AG160),26,""))</f>
        <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3</v>
      </c>
      <c r="BE160" s="503">
        <f t="shared" si="13"/>
        <v>8</v>
      </c>
      <c r="BF160" s="503">
        <f t="shared" si="14"/>
        <v>12</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3</v>
      </c>
      <c r="BN160" s="503">
        <f t="shared" si="17"/>
        <v>10</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t="str">
        <f>IF(終値!A161="","",IF(AND(安値!H161&lt;安値!G161,安値!H161&lt;安値!F161,安値!H161&lt;安値!I161,安値!H161&lt;安値!J161),3,""))</f>
        <v/>
      </c>
      <c r="D161" s="503">
        <f>IF(終値!A161="","",IF(AND(安値!I161&lt;安値!H161,安値!I161&lt;安値!G161,安値!I161&lt;安値!J161,安値!I161&lt;安値!K161),4,""))</f>
        <v>4</v>
      </c>
      <c r="E161" s="503" t="str">
        <f>IF(終値!A161="","",IF(AND(安値!J161&lt;安値!I161,安値!J161&lt;安値!H161,安値!J161&lt;安値!K161,安値!J161&lt;安値!L161),5,""))</f>
        <v/>
      </c>
      <c r="F161" s="503" t="str">
        <f>IF(終値!A161="","",IF(AND(安値!K161&lt;安値!J161,安値!K161&lt;安値!I161,安値!K161&lt;安値!L161,安値!K161&lt;安値!M161),6,""))</f>
        <v/>
      </c>
      <c r="G161" s="503">
        <f>IF(終値!A161="","",IF(AND(安値!L161&lt;安値!K161,安値!L161&lt;安値!J161,安値!L161&lt;安値!M161,安値!L161&lt;安値!N161),7,""))</f>
        <v>7</v>
      </c>
      <c r="H161" s="503" t="str">
        <f>IF(終値!A161="","",IF(AND(安値!M161&lt;安値!L161,安値!M161&lt;安値!K161,安値!M161&lt;安値!N161,安値!M161&lt;安値!O161),8,""))</f>
        <v/>
      </c>
      <c r="I161" s="503" t="str">
        <f>IF(終値!A161="","",IF(AND(安値!N161&lt;安値!M161,安値!N161&lt;安値!L161,安値!N161&lt;安値!O161,安値!N161&lt;安値!P161),9,""))</f>
        <v/>
      </c>
      <c r="J161" s="503" t="str">
        <f>IF(終値!A161="","",IF(AND(安値!O161&lt;安値!N161,安値!O161&lt;安値!M161,安値!O161&lt;安値!P161,安値!O161&lt;安値!Q161),10,""))</f>
        <v/>
      </c>
      <c r="K161" s="503">
        <f>IF(終値!A161="","",IF(AND(安値!P161&lt;安値!O161,安値!P161&lt;安値!N161,安値!P161&lt;安値!Q161,安値!P161&lt;安値!R161),11,""))</f>
        <v>11</v>
      </c>
      <c r="L161" s="503" t="str">
        <f>IF(終値!A161="","",IF(AND(安値!Q161&lt;安値!P161,安値!Q161&lt;安値!O161,安値!Q161&lt;安値!R161,安値!Q161&lt;安値!S161),12,""))</f>
        <v/>
      </c>
      <c r="M161" s="503" t="str">
        <f>IF(終値!A161="","",IF(AND(安値!R161&lt;安値!Q161,安値!R161&lt;安値!P161,安値!R161&lt;安値!S161,安値!R161&lt;安値!T161),13,""))</f>
        <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f>IF(終値!A161="","",IF(AND(安値!AF161&lt;安値!AE161,安値!AF161&lt;安値!AD161,安値!AF161&lt;安値!AG161,安値!AF161&lt;安値!AH161),27,""))</f>
        <v>27</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f>IF(終値!A161="","",IF(AND(高値!J161&gt;高値!I161,高値!J161&gt;高値!H161,高値!J161&gt;高値!K161,高値!J161&gt;高値!L161),5,""))</f>
        <v>5</v>
      </c>
      <c r="AG161" s="503" t="str">
        <f>IF(終値!A161="","",IF(AND(高値!K161&gt;高値!J161,高値!K161&gt;高値!I161,高値!K161&gt;高値!L161,高値!K161&gt;高値!M161),6,""))</f>
        <v/>
      </c>
      <c r="AH161" s="503" t="str">
        <f>IF(終値!A161="","",IF(AND(高値!L161&gt;高値!K161,高値!L161&gt;高値!J161,高値!L161&gt;高値!M161,高値!L161&gt;高値!N161),7,""))</f>
        <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f>IF(終値!A161="","",IF(AND(高値!S161&gt;高値!R161,高値!S161&gt;高値!Q161,高値!S161&gt;高値!T161,高値!S161&gt;高値!U161),14,""))</f>
        <v>14</v>
      </c>
      <c r="AP161" s="503" t="str">
        <f>IF(終値!A161="","",IF(AND(高値!T161&gt;高値!S161,高値!T161&gt;高値!R161,高値!T161&gt;高値!U161,高値!T161&gt;高値!V161),15,""))</f>
        <v/>
      </c>
      <c r="AQ161" s="503" t="str">
        <f>IF(終値!A161="","",IF(AND(高値!U161&gt;高値!T161,高値!U161&gt;高値!S161,高値!U161&gt;高値!V161,高値!U161&gt;高値!W161),16,""))</f>
        <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4</v>
      </c>
      <c r="BF161" s="503">
        <f t="shared" si="14"/>
        <v>7</v>
      </c>
      <c r="BG161" s="503">
        <f>IF($BE161="","",INDEX(安値!$E161:$CZ161,1,$BE161+1))</f>
        <v>1060</v>
      </c>
      <c r="BH161" s="503">
        <f>IF($BF161="","",INDEX(安値!$E161:$CZ161,1,$BF161+1))</f>
        <v>0</v>
      </c>
      <c r="BI161" s="503">
        <f>IF($BF161="","",MAX(INDEX(高値!$E161:$CZ161,1,$BE161+1):INDEX(高値!$E161:$CZ161,1,$BF161+1)))</f>
        <v>1129</v>
      </c>
      <c r="BJ161" s="503">
        <f>IF($BF161="","",AVERAGE(INDEX(終値!$E161:$CZ161,1,$BF161+1):INDEX(終値!$E161:$CZ161,1,$BF161+20))-2*STDEVP(INDEX(終値!$E161:$CZ161,1,$BF161+1):INDEX(終値!$E161:$CZ161,1,$BF161+20)))</f>
        <v>1059.0646918891985</v>
      </c>
      <c r="BK161" s="503">
        <f>IF($BE161="","",AVERAGE(INDEX(終値!$E161:$CZ161,1,$BE161+1):INDEX(終値!$E161:$CZ161,1,$BE161+20))-2*STDEVP(INDEX(終値!$E161:$CZ161,1,$BE161+1):INDEX(終値!$E161:$CZ161,1,$BE161+20)))</f>
        <v>1077.9249127104511</v>
      </c>
      <c r="BL161" s="503">
        <f t="shared" si="15"/>
        <v>2</v>
      </c>
      <c r="BM161" s="503">
        <f t="shared" si="16"/>
        <v>5</v>
      </c>
      <c r="BN161" s="503">
        <f t="shared" si="17"/>
        <v>14</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f>IF(終値!A162="","",IF(AND(安値!L162&lt;安値!K162,安値!L162&lt;安値!J162,安値!L162&lt;安値!M162,安値!L162&lt;安値!N162),7,""))</f>
        <v>7</v>
      </c>
      <c r="H162" s="503" t="str">
        <f>IF(終値!A162="","",IF(AND(安値!M162&lt;安値!L162,安値!M162&lt;安値!K162,安値!M162&lt;安値!N162,安値!M162&lt;安値!O162),8,""))</f>
        <v/>
      </c>
      <c r="I162" s="503" t="str">
        <f>IF(終値!A162="","",IF(AND(安値!N162&lt;安値!M162,安値!N162&lt;安値!L162,安値!N162&lt;安値!O162,安値!N162&lt;安値!P162),9,""))</f>
        <v/>
      </c>
      <c r="J162" s="503" t="str">
        <f>IF(終値!A162="","",IF(AND(安値!O162&lt;安値!N162,安値!O162&lt;安値!M162,安値!O162&lt;安値!P162,安値!O162&lt;安値!Q162),10,""))</f>
        <v/>
      </c>
      <c r="K162" s="503">
        <f>IF(終値!A162="","",IF(AND(安値!P162&lt;安値!O162,安値!P162&lt;安値!N162,安値!P162&lt;安値!Q162,安値!P162&lt;安値!R162),11,""))</f>
        <v>11</v>
      </c>
      <c r="L162" s="503" t="str">
        <f>IF(終値!A162="","",IF(AND(安値!Q162&lt;安値!P162,安値!Q162&lt;安値!O162,安値!Q162&lt;安値!R162,安値!Q162&lt;安値!S162),12,""))</f>
        <v/>
      </c>
      <c r="M162" s="503" t="str">
        <f>IF(終値!A162="","",IF(AND(安値!R162&lt;安値!Q162,安値!R162&lt;安値!P162,安値!R162&lt;安値!S162,安値!R162&lt;安値!T162),13,""))</f>
        <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f>IF(終値!A162="","",IF(AND(安値!W162&lt;安値!V162,安値!W162&lt;安値!U162,安値!W162&lt;安値!X162,安値!W162&lt;安値!Y162),18,""))</f>
        <v>18</v>
      </c>
      <c r="S162" s="503" t="str">
        <f>IF(終値!A162="","",IF(AND(安値!X162&lt;安値!W162,安値!X162&lt;安値!V162,安値!X162&lt;安値!Y162,安値!X162&lt;安値!Z162),19,""))</f>
        <v/>
      </c>
      <c r="T162" s="503" t="str">
        <f>IF(終値!A162="","",IF(AND(安値!Y162&lt;安値!X162,安値!Y162&lt;安値!W162,安値!Y162&lt;安値!Z162,安値!Y162&lt;安値!AA162),20,""))</f>
        <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f>IF(終値!A162="","",IF(AND(安値!AB162&lt;安値!AA162,安値!AB162&lt;安値!Z162,安値!AB162&lt;安値!AC162,安値!AB162&lt;安値!AD162),23,""))</f>
        <v>23</v>
      </c>
      <c r="X162" s="503" t="str">
        <f>IF(終値!A162="","",IF(AND(安値!AC162&lt;安値!AB162,安値!AC162&lt;安値!AA162,安値!AC162&lt;安値!AD162,安値!AC162&lt;安値!AE162),24,""))</f>
        <v/>
      </c>
      <c r="Y162" s="503" t="str">
        <f>IF(終値!A162="","",IF(AND(安値!AD162&lt;安値!AC162,安値!AD162&lt;安値!AB162,安値!AD162&lt;安値!AE162,安値!AD162&lt;安値!AF162),25,""))</f>
        <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f>IF(終値!A162="","",IF(AND(高値!K162&gt;高値!J162,高値!K162&gt;高値!I162,高値!K162&gt;高値!L162,高値!K162&gt;高値!M162),6,""))</f>
        <v>6</v>
      </c>
      <c r="AH162" s="503" t="str">
        <f>IF(終値!A162="","",IF(AND(高値!L162&gt;高値!K162,高値!L162&gt;高値!J162,高値!L162&gt;高値!M162,高値!L162&gt;高値!N162),7,""))</f>
        <v/>
      </c>
      <c r="AI162" s="503" t="str">
        <f>IF(終値!A162="","",IF(AND(高値!M162&gt;高値!L162,高値!M162&gt;高値!K162,高値!M162&gt;高値!N162,高値!M162&gt;高値!O162),8,""))</f>
        <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f>IF(終値!A162="","",IF(AND(高値!R162&gt;高値!Q162,高値!R162&gt;高値!P162,高値!R162&gt;高値!S162,高値!R162&gt;高値!T162),13,""))</f>
        <v>13</v>
      </c>
      <c r="AO162" s="503" t="str">
        <f>IF(終値!A162="","",IF(AND(高値!S162&gt;高値!R162,高値!S162&gt;高値!Q162,高値!S162&gt;高値!T162,高値!S162&gt;高値!U162),14,""))</f>
        <v/>
      </c>
      <c r="AP162" s="503" t="str">
        <f>IF(終値!A162="","",IF(AND(高値!T162&gt;高値!S162,高値!T162&gt;高値!R162,高値!T162&gt;高値!U162,高値!T162&gt;高値!V162),15,""))</f>
        <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f>IF(終値!A162="","",IF(AND(高値!AE162&gt;高値!AD162,高値!AE162&gt;高値!AC162,高値!AE162&gt;高値!AF162,高値!AE162&gt;高値!AG162),26,""))</f>
        <v>26</v>
      </c>
      <c r="BB162" s="503" t="str">
        <f>IF(終値!A162="","",IF(AND(高値!AF162&gt;高値!AE162,高値!AF162&gt;高値!AD162,高値!AF162&gt;高値!AG162,高値!AF162&gt;高値!AH162),27,""))</f>
        <v/>
      </c>
      <c r="BC162" s="503" t="str">
        <f>IF(終値!A162="","",IF(AND(高値!AG162&gt;高値!AF162,高値!AG162&gt;高値!AE162,高値!AG162&gt;高値!AH162,高値!AG162&gt;高値!AI162),28,""))</f>
        <v/>
      </c>
      <c r="BD162" s="503">
        <f t="shared" si="12"/>
        <v>4</v>
      </c>
      <c r="BE162" s="503">
        <f t="shared" si="13"/>
        <v>7</v>
      </c>
      <c r="BF162" s="503">
        <f t="shared" si="14"/>
        <v>11</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6</v>
      </c>
      <c r="BN162" s="503">
        <f t="shared" si="17"/>
        <v>13</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f>IF(終値!A163="","",IF(AND(安値!H163&lt;安値!G163,安値!H163&lt;安値!F163,安値!H163&lt;安値!I163,安値!H163&lt;安値!J163),3,""))</f>
        <v>3</v>
      </c>
      <c r="D163" s="503" t="str">
        <f>IF(終値!A163="","",IF(AND(安値!I163&lt;安値!H163,安値!I163&lt;安値!G163,安値!I163&lt;安値!J163,安値!I163&lt;安値!K163),4,""))</f>
        <v/>
      </c>
      <c r="E163" s="503" t="str">
        <f>IF(終値!A163="","",IF(AND(安値!J163&lt;安値!I163,安値!J163&lt;安値!H163,安値!J163&lt;安値!K163,安値!J163&lt;安値!L163),5,""))</f>
        <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f>IF(終値!A163="","",IF(AND(安値!P163&lt;安値!O163,安値!P163&lt;安値!N163,安値!P163&lt;安値!Q163,安値!P163&lt;安値!R163),11,""))</f>
        <v>11</v>
      </c>
      <c r="L163" s="503" t="str">
        <f>IF(終値!A163="","",IF(AND(安値!Q163&lt;安値!P163,安値!Q163&lt;安値!O163,安値!Q163&lt;安値!R163,安値!Q163&lt;安値!S163),12,""))</f>
        <v/>
      </c>
      <c r="M163" s="503" t="str">
        <f>IF(終値!A163="","",IF(AND(安値!R163&lt;安値!Q163,安値!R163&lt;安値!P163,安値!R163&lt;安値!S163,安値!R163&lt;安値!T163),13,""))</f>
        <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f>IF(終値!A163="","",IF(AND(安値!AB163&lt;安値!AA163,安値!AB163&lt;安値!Z163,安値!AB163&lt;安値!AC163,安値!AB163&lt;安値!AD163),23,""))</f>
        <v>23</v>
      </c>
      <c r="X163" s="503" t="str">
        <f>IF(終値!A163="","",IF(AND(安値!AC163&lt;安値!AB163,安値!AC163&lt;安値!AA163,安値!AC163&lt;安値!AD163,安値!AC163&lt;安値!AE163),24,""))</f>
        <v/>
      </c>
      <c r="Y163" s="503" t="str">
        <f>IF(終値!A163="","",IF(AND(安値!AD163&lt;安値!AC163,安値!AD163&lt;安値!AB163,安値!AD163&lt;安値!AE163,安値!AD163&lt;安値!AF163),25,""))</f>
        <v/>
      </c>
      <c r="Z163" s="503" t="str">
        <f>IF(終値!A163="","",IF(AND(安値!AE163&lt;安値!AD163,安値!AE163&lt;安値!AC163,安値!AE163&lt;安値!AF163,安値!AE163&lt;安値!AG163),26,""))</f>
        <v/>
      </c>
      <c r="AA163" s="503">
        <f>IF(終値!A163="","",IF(AND(安値!AF163&lt;安値!AE163,安値!AF163&lt;安値!AD163,安値!AF163&lt;安値!AG163,安値!AF163&lt;安値!AH163),27,""))</f>
        <v>27</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f>IF(終値!A163="","",IF(AND(高値!J163&gt;高値!I163,高値!J163&gt;高値!H163,高値!J163&gt;高値!K163,高値!J163&gt;高値!L163),5,""))</f>
        <v>5</v>
      </c>
      <c r="AG163" s="503" t="str">
        <f>IF(終値!A163="","",IF(AND(高値!K163&gt;高値!J163,高値!K163&gt;高値!I163,高値!K163&gt;高値!L163,高値!K163&gt;高値!M163),6,""))</f>
        <v/>
      </c>
      <c r="AH163" s="503" t="str">
        <f>IF(終値!A163="","",IF(AND(高値!L163&gt;高値!K163,高値!L163&gt;高値!J163,高値!L163&gt;高値!M163,高値!L163&gt;高値!N163),7,""))</f>
        <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f>IF(終値!A163="","",IF(AND(高値!T163&gt;高値!S163,高値!T163&gt;高値!R163,高値!T163&gt;高値!U163,高値!T163&gt;高値!V163),15,""))</f>
        <v>15</v>
      </c>
      <c r="AQ163" s="503" t="str">
        <f>IF(終値!A163="","",IF(AND(高値!U163&gt;高値!T163,高値!U163&gt;高値!S163,高値!U163&gt;高値!V163,高値!U163&gt;高値!W163),16,""))</f>
        <v/>
      </c>
      <c r="AR163" s="503" t="str">
        <f>IF(終値!A163="","",IF(AND(高値!V163&gt;高値!U163,高値!V163&gt;高値!T163,高値!V163&gt;高値!W163,高値!V163&gt;高値!X163),17,""))</f>
        <v/>
      </c>
      <c r="AS163" s="503">
        <f>IF(終値!A163="","",IF(AND(高値!W163&gt;高値!V163,高値!W163&gt;高値!U163,高値!W163&gt;高値!X163,高値!W163&gt;高値!Y163),18,""))</f>
        <v>18</v>
      </c>
      <c r="AT163" s="503" t="str">
        <f>IF(終値!A163="","",IF(AND(高値!X163&gt;高値!W163,高値!X163&gt;高値!V163,高値!X163&gt;高値!Y163,高値!X163&gt;高値!Z163),19,""))</f>
        <v/>
      </c>
      <c r="AU163" s="503" t="str">
        <f>IF(終値!A163="","",IF(AND(高値!Y163&gt;高値!X163,高値!Y163&gt;高値!W163,高値!Y163&gt;高値!Z163,高値!Y163&gt;高値!AA163),20,""))</f>
        <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f>IF(終値!A163="","",IF(AND(高値!AC163&gt;高値!AB163,高値!AC163&gt;高値!AA163,高値!AC163&gt;高値!AD163,高値!AC163&gt;高値!AE163),24,""))</f>
        <v>24</v>
      </c>
      <c r="AZ163" s="503" t="str">
        <f>IF(終値!A163="","",IF(AND(高値!AD163&gt;高値!AC163,高値!AD163&gt;高値!AB163,高値!AD163&gt;高値!AE163,高値!AD163&gt;高値!AF163),25,""))</f>
        <v/>
      </c>
      <c r="BA163" s="503" t="str">
        <f>IF(終値!A163="","",IF(AND(高値!AE163&gt;高値!AD163,高値!AE163&gt;高値!AC163,高値!AE163&gt;高値!AF163,高値!AE163&gt;高値!AG163),26,""))</f>
        <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4</v>
      </c>
      <c r="BE163" s="503">
        <f t="shared" si="13"/>
        <v>3</v>
      </c>
      <c r="BF163" s="503">
        <f t="shared" si="14"/>
        <v>11</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5</v>
      </c>
      <c r="BN163" s="503">
        <f t="shared" si="17"/>
        <v>15</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f>IF(終値!A164="","",IF(AND(安値!H164&lt;安値!G164,安値!H164&lt;安値!F164,安値!H164&lt;安値!I164,安値!H164&lt;安値!J164),3,""))</f>
        <v>3</v>
      </c>
      <c r="D164" s="503" t="str">
        <f>IF(終値!A164="","",IF(AND(安値!I164&lt;安値!H164,安値!I164&lt;安値!G164,安値!I164&lt;安値!J164,安値!I164&lt;安値!K164),4,""))</f>
        <v/>
      </c>
      <c r="E164" s="503" t="str">
        <f>IF(終値!A164="","",IF(AND(安値!J164&lt;安値!I164,安値!J164&lt;安値!H164,安値!J164&lt;安値!K164,安値!J164&lt;安値!L164),5,""))</f>
        <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f>IF(終値!A164="","",IF(AND(安値!P164&lt;安値!O164,安値!P164&lt;安値!N164,安値!P164&lt;安値!Q164,安値!P164&lt;安値!R164),11,""))</f>
        <v>11</v>
      </c>
      <c r="L164" s="503" t="str">
        <f>IF(終値!A164="","",IF(AND(安値!Q164&lt;安値!P164,安値!Q164&lt;安値!O164,安値!Q164&lt;安値!R164,安値!Q164&lt;安値!S164),12,""))</f>
        <v/>
      </c>
      <c r="M164" s="503" t="str">
        <f>IF(終値!A164="","",IF(AND(安値!R164&lt;安値!Q164,安値!R164&lt;安値!P164,安値!R164&lt;安値!S164,安値!R164&lt;安値!T164),13,""))</f>
        <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f>IF(終値!A164="","",IF(AND(安値!U164&lt;安値!T164,安値!U164&lt;安値!S164,安値!U164&lt;安値!V164,安値!U164&lt;安値!W164),16,""))</f>
        <v>16</v>
      </c>
      <c r="Q164" s="503" t="str">
        <f>IF(終値!A164="","",IF(AND(安値!V164&lt;安値!U164,安値!V164&lt;安値!T164,安値!V164&lt;安値!W164,安値!V164&lt;安値!X164),17,""))</f>
        <v/>
      </c>
      <c r="R164" s="503" t="str">
        <f>IF(終値!A164="","",IF(AND(安値!W164&lt;安値!V164,安値!W164&lt;安値!U164,安値!W164&lt;安値!X164,安値!W164&lt;安値!Y164),18,""))</f>
        <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f>IF(終値!A164="","",IF(AND(安値!AC164&lt;安値!AB164,安値!AC164&lt;安値!AA164,安値!AC164&lt;安値!AD164,安値!AC164&lt;安値!AE164),24,""))</f>
        <v>24</v>
      </c>
      <c r="Y164" s="503" t="str">
        <f>IF(終値!A164="","",IF(AND(安値!AD164&lt;安値!AC164,安値!AD164&lt;安値!AB164,安値!AD164&lt;安値!AE164,安値!AD164&lt;安値!AF164),25,""))</f>
        <v/>
      </c>
      <c r="Z164" s="503" t="str">
        <f>IF(終値!A164="","",IF(AND(安値!AE164&lt;安値!AD164,安値!AE164&lt;安値!AC164,安値!AE164&lt;安値!AF164,安値!AE164&lt;安値!AG164),26,""))</f>
        <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f>IF(終値!A164="","",IF(AND(高値!M164&gt;高値!L164,高値!M164&gt;高値!K164,高値!M164&gt;高値!N164,高値!M164&gt;高値!O164),8,""))</f>
        <v>8</v>
      </c>
      <c r="AJ164" s="503" t="str">
        <f>IF(終値!A164="","",IF(AND(高値!N164&gt;高値!M164,高値!N164&gt;高値!L164,高値!N164&gt;高値!O164,高値!N164&gt;高値!P164),9,""))</f>
        <v/>
      </c>
      <c r="AK164" s="503" t="str">
        <f>IF(終値!A164="","",IF(AND(高値!O164&gt;高値!N164,高値!O164&gt;高値!M164,高値!O164&gt;高値!P164,高値!O164&gt;高値!Q164),10,""))</f>
        <v/>
      </c>
      <c r="AL164" s="503" t="str">
        <f>IF(終値!A164="","",IF(AND(高値!P164&gt;高値!O164,高値!P164&gt;高値!N164,高値!P164&gt;高値!Q164,高値!P164&gt;高値!R164),11,""))</f>
        <v/>
      </c>
      <c r="AM164" s="503">
        <f>IF(終値!A164="","",IF(AND(高値!Q164&gt;高値!P164,高値!Q164&gt;高値!O164,高値!Q164&gt;高値!R164,高値!Q164&gt;高値!S164),12,""))</f>
        <v>12</v>
      </c>
      <c r="AN164" s="503" t="str">
        <f>IF(終値!A164="","",IF(AND(高値!R164&gt;高値!Q164,高値!R164&gt;高値!P164,高値!R164&gt;高値!S164,高値!R164&gt;高値!T164),13,""))</f>
        <v/>
      </c>
      <c r="AO164" s="503" t="str">
        <f>IF(終値!A164="","",IF(AND(高値!S164&gt;高値!R164,高値!S164&gt;高値!Q164,高値!S164&gt;高値!T164,高値!S164&gt;高値!U164),14,""))</f>
        <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f>IF(終値!A164="","",IF(AND(高値!W164&gt;高値!V164,高値!W164&gt;高値!U164,高値!W164&gt;高値!X164,高値!W164&gt;高値!Y164),18,""))</f>
        <v>18</v>
      </c>
      <c r="AT164" s="503" t="str">
        <f>IF(終値!A164="","",IF(AND(高値!X164&gt;高値!W164,高値!X164&gt;高値!V164,高値!X164&gt;高値!Y164,高値!X164&gt;高値!Z164),19,""))</f>
        <v/>
      </c>
      <c r="AU164" s="503" t="str">
        <f>IF(終値!A164="","",IF(AND(高値!Y164&gt;高値!X164,高値!Y164&gt;高値!W164,高値!Y164&gt;高値!Z164,高値!Y164&gt;高値!AA164),20,""))</f>
        <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f>IF(終値!A164="","",IF(AND(高値!AG164&gt;高値!AF164,高値!AG164&gt;高値!AE164,高値!AG164&gt;高値!AH164,高値!AG164&gt;高値!AI164),28,""))</f>
        <v>28</v>
      </c>
      <c r="BD164" s="503">
        <f t="shared" si="12"/>
        <v>4</v>
      </c>
      <c r="BE164" s="503">
        <f t="shared" si="13"/>
        <v>3</v>
      </c>
      <c r="BF164" s="503">
        <f t="shared" si="14"/>
        <v>11</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4</v>
      </c>
      <c r="BM164" s="503">
        <f t="shared" si="16"/>
        <v>8</v>
      </c>
      <c r="BN164" s="503">
        <f t="shared" si="17"/>
        <v>12</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t="str">
        <f>IF(終値!A165="","",IF(AND(安値!G165&lt;安値!F165,安値!G165&lt;安値!E165,安値!G165&lt;安値!H165,安値!G165&lt;安値!I165),2,""))</f>
        <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f>IF(終値!A165="","",IF(AND(安値!N165&lt;安値!M165,安値!N165&lt;安値!L165,安値!N165&lt;安値!O165,安値!N165&lt;安値!P165),9,""))</f>
        <v>9</v>
      </c>
      <c r="J165" s="503" t="str">
        <f>IF(終値!A165="","",IF(AND(安値!O165&lt;安値!N165,安値!O165&lt;安値!M165,安値!O165&lt;安値!P165,安値!O165&lt;安値!Q165),10,""))</f>
        <v/>
      </c>
      <c r="K165" s="503" t="str">
        <f>IF(終値!A165="","",IF(AND(安値!P165&lt;安値!O165,安値!P165&lt;安値!N165,安値!P165&lt;安値!Q165,安値!P165&lt;安値!R165),11,""))</f>
        <v/>
      </c>
      <c r="L165" s="503">
        <f>IF(終値!A165="","",IF(AND(安値!Q165&lt;安値!P165,安値!Q165&lt;安値!O165,安値!Q165&lt;安値!R165,安値!Q165&lt;安値!S165),12,""))</f>
        <v>12</v>
      </c>
      <c r="M165" s="503" t="str">
        <f>IF(終値!A165="","",IF(AND(安値!R165&lt;安値!Q165,安値!R165&lt;安値!P165,安値!R165&lt;安値!S165,安値!R165&lt;安値!T165),13,""))</f>
        <v/>
      </c>
      <c r="N165" s="503" t="str">
        <f>IF(終値!A165="","",IF(AND(安値!S165&lt;安値!R165,安値!S165&lt;安値!Q165,安値!S165&lt;安値!T165,安値!S165&lt;安値!U165),14,""))</f>
        <v/>
      </c>
      <c r="O165" s="503" t="str">
        <f>IF(終値!A165="","",IF(AND(安値!T165&lt;安値!S165,安値!T165&lt;安値!R165,安値!T165&lt;安値!U165,安値!T165&lt;安値!V165),15,""))</f>
        <v/>
      </c>
      <c r="P165" s="503">
        <f>IF(終値!A165="","",IF(AND(安値!U165&lt;安値!T165,安値!U165&lt;安値!S165,安値!U165&lt;安値!V165,安値!U165&lt;安値!W165),16,""))</f>
        <v>16</v>
      </c>
      <c r="Q165" s="503" t="str">
        <f>IF(終値!A165="","",IF(AND(安値!V165&lt;安値!U165,安値!V165&lt;安値!T165,安値!V165&lt;安値!W165,安値!V165&lt;安値!X165),17,""))</f>
        <v/>
      </c>
      <c r="R165" s="503" t="str">
        <f>IF(終値!A165="","",IF(AND(安値!W165&lt;安値!V165,安値!W165&lt;安値!U165,安値!W165&lt;安値!X165,安値!W165&lt;安値!Y165),18,""))</f>
        <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f>IF(終値!A165="","",IF(AND(安値!AA165&lt;安値!Z165,安値!AA165&lt;安値!Y165,安値!AA165&lt;安値!AB165,安値!AA165&lt;安値!AC165),22,""))</f>
        <v>22</v>
      </c>
      <c r="W165" s="503" t="str">
        <f>IF(終値!A165="","",IF(AND(安値!AB165&lt;安値!AA165,安値!AB165&lt;安値!Z165,安値!AB165&lt;安値!AC165,安値!AB165&lt;安値!AD165),23,""))</f>
        <v/>
      </c>
      <c r="X165" s="503" t="str">
        <f>IF(終値!A165="","",IF(AND(安値!AC165&lt;安値!AB165,安値!AC165&lt;安値!AA165,安値!AC165&lt;安値!AD165,安値!AC165&lt;安値!AE165),24,""))</f>
        <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f>IF(終値!A165="","",IF(AND(安値!AG165&lt;安値!AF165,安値!AG165&lt;安値!AE165,安値!AG165&lt;安値!AH165,安値!AG165&lt;安値!AI165),28,""))</f>
        <v>28</v>
      </c>
      <c r="AC165" s="503" t="str">
        <f>IF(終値!A165="","",IF(AND(高値!G165&gt;高値!F165,高値!G165&gt;高値!E165,高値!G165&gt;高値!H165,高値!G165&gt;高値!I165),2,""))</f>
        <v/>
      </c>
      <c r="AD165" s="503">
        <f>IF(終値!A165="","",IF(AND(高値!H165&gt;高値!G165,高値!H165&gt;高値!F165,高値!H165&gt;高値!I165,高値!H165&gt;高値!J165),3,""))</f>
        <v>3</v>
      </c>
      <c r="AE165" s="503" t="str">
        <f>IF(終値!A165="","",IF(AND(高値!I165&gt;高値!H165,高値!I165&gt;高値!G165,高値!I165&gt;高値!J165,高値!I165&gt;高値!K165),4,""))</f>
        <v/>
      </c>
      <c r="AF165" s="503" t="str">
        <f>IF(終値!A165="","",IF(AND(高値!J165&gt;高値!I165,高値!J165&gt;高値!H165,高値!J165&gt;高値!K165,高値!J165&gt;高値!L165),5,""))</f>
        <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f>IF(終値!A165="","",IF(AND(高値!R165&gt;高値!Q165,高値!R165&gt;高値!P165,高値!R165&gt;高値!S165,高値!R165&gt;高値!T165),13,""))</f>
        <v>13</v>
      </c>
      <c r="AO165" s="503" t="str">
        <f>IF(終値!A165="","",IF(AND(高値!S165&gt;高値!R165,高値!S165&gt;高値!Q165,高値!S165&gt;高値!T165,高値!S165&gt;高値!U165),14,""))</f>
        <v/>
      </c>
      <c r="AP165" s="503" t="str">
        <f>IF(終値!A165="","",IF(AND(高値!T165&gt;高値!S165,高値!T165&gt;高値!R165,高値!T165&gt;高値!U165,高値!T165&gt;高値!V165),15,""))</f>
        <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f>IF(終値!A165="","",IF(AND(高値!W165&gt;高値!V165,高値!W165&gt;高値!U165,高値!W165&gt;高値!X165,高値!W165&gt;高値!Y165),18,""))</f>
        <v>18</v>
      </c>
      <c r="AT165" s="503" t="str">
        <f>IF(終値!A165="","",IF(AND(高値!X165&gt;高値!W165,高値!X165&gt;高値!V165,高値!X165&gt;高値!Y165,高値!X165&gt;高値!Z165),19,""))</f>
        <v/>
      </c>
      <c r="AU165" s="503" t="str">
        <f>IF(終値!A165="","",IF(AND(高値!Y165&gt;高値!X165,高値!Y165&gt;高値!W165,高値!Y165&gt;高値!Z165,高値!Y165&gt;高値!AA165),20,""))</f>
        <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f>IF(終値!A165="","",IF(AND(高値!AF165&gt;高値!AE165,高値!AF165&gt;高値!AD165,高値!AF165&gt;高値!AG165,高値!AF165&gt;高値!AH165),27,""))</f>
        <v>27</v>
      </c>
      <c r="BC165" s="503" t="str">
        <f>IF(終値!A165="","",IF(AND(高値!AG165&gt;高値!AF165,高値!AG165&gt;高値!AE165,高値!AG165&gt;高値!AH165,高値!AG165&gt;高値!AI165),28,""))</f>
        <v/>
      </c>
      <c r="BD165" s="503">
        <f t="shared" si="12"/>
        <v>5</v>
      </c>
      <c r="BE165" s="503">
        <f t="shared" si="13"/>
        <v>9</v>
      </c>
      <c r="BF165" s="503">
        <f t="shared" si="14"/>
        <v>12</v>
      </c>
      <c r="BG165" s="503">
        <f>IF($BE165="","",INDEX(安値!$E165:$CZ165,1,$BE165+1))</f>
        <v>6455</v>
      </c>
      <c r="BH165" s="503">
        <f>IF($BF165="","",INDEX(安値!$E165:$CZ165,1,$BF165+1))</f>
        <v>6411</v>
      </c>
      <c r="BI165" s="503">
        <f>IF($BF165="","",MAX(INDEX(高値!$E165:$CZ165,1,$BE165+1):INDEX(高値!$E165:$CZ165,1,$BF165+1)))</f>
        <v>7183</v>
      </c>
      <c r="BJ165" s="503">
        <f>IF($BF165="","",AVERAGE(INDEX(終値!$E165:$CZ165,1,$BF165+1):INDEX(終値!$E165:$CZ165,1,$BF165+20))-2*STDEVP(INDEX(終値!$E165:$CZ165,1,$BF165+1):INDEX(終値!$E165:$CZ165,1,$BF165+20)))</f>
        <v>5467.6136746444208</v>
      </c>
      <c r="BK165" s="503">
        <f>IF($BE165="","",AVERAGE(INDEX(終値!$E165:$CZ165,1,$BE165+1):INDEX(終値!$E165:$CZ165,1,$BE165+20))-2*STDEVP(INDEX(終値!$E165:$CZ165,1,$BE165+1):INDEX(終値!$E165:$CZ165,1,$BE165+20)))</f>
        <v>5632.606396556379</v>
      </c>
      <c r="BL165" s="503">
        <f t="shared" si="15"/>
        <v>4</v>
      </c>
      <c r="BM165" s="503">
        <f t="shared" si="16"/>
        <v>3</v>
      </c>
      <c r="BN165" s="503">
        <f t="shared" si="17"/>
        <v>13</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二番底W▲</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f>IF(終値!A166="","",IF(AND(安値!L166&lt;安値!K166,安値!L166&lt;安値!J166,安値!L166&lt;安値!M166,安値!L166&lt;安値!N166),7,""))</f>
        <v>7</v>
      </c>
      <c r="H166" s="503" t="str">
        <f>IF(終値!A166="","",IF(AND(安値!M166&lt;安値!L166,安値!M166&lt;安値!K166,安値!M166&lt;安値!N166,安値!M166&lt;安値!O166),8,""))</f>
        <v/>
      </c>
      <c r="I166" s="503" t="str">
        <f>IF(終値!A166="","",IF(AND(安値!N166&lt;安値!M166,安値!N166&lt;安値!L166,安値!N166&lt;安値!O166,安値!N166&lt;安値!P166),9,""))</f>
        <v/>
      </c>
      <c r="J166" s="503" t="str">
        <f>IF(終値!A166="","",IF(AND(安値!O166&lt;安値!N166,安値!O166&lt;安値!M166,安値!O166&lt;安値!P166,安値!O166&lt;安値!Q166),10,""))</f>
        <v/>
      </c>
      <c r="K166" s="503">
        <f>IF(終値!A166="","",IF(AND(安値!P166&lt;安値!O166,安値!P166&lt;安値!N166,安値!P166&lt;安値!Q166,安値!P166&lt;安値!R166),11,""))</f>
        <v>11</v>
      </c>
      <c r="L166" s="503" t="str">
        <f>IF(終値!A166="","",IF(AND(安値!Q166&lt;安値!P166,安値!Q166&lt;安値!O166,安値!Q166&lt;安値!R166,安値!Q166&lt;安値!S166),12,""))</f>
        <v/>
      </c>
      <c r="M166" s="503" t="str">
        <f>IF(終値!A166="","",IF(AND(安値!R166&lt;安値!Q166,安値!R166&lt;安値!P166,安値!R166&lt;安値!S166,安値!R166&lt;安値!T166),13,""))</f>
        <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f>IF(終値!A166="","",IF(AND(高値!G166&gt;高値!F166,高値!G166&gt;高値!E166,高値!G166&gt;高値!H166,高値!G166&gt;高値!I166),2,""))</f>
        <v>2</v>
      </c>
      <c r="AD166" s="503" t="str">
        <f>IF(終値!A166="","",IF(AND(高値!H166&gt;高値!G166,高値!H166&gt;高値!F166,高値!H166&gt;高値!I166,高値!H166&gt;高値!J166),3,""))</f>
        <v/>
      </c>
      <c r="AE166" s="503" t="str">
        <f>IF(終値!A166="","",IF(AND(高値!I166&gt;高値!H166,高値!I166&gt;高値!G166,高値!I166&gt;高値!J166,高値!I166&gt;高値!K166),4,""))</f>
        <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f>IF(終値!A166="","",IF(AND(高値!N166&gt;高値!M166,高値!N166&gt;高値!L166,高値!N166&gt;高値!O166,高値!N166&gt;高値!P166),9,""))</f>
        <v>9</v>
      </c>
      <c r="AK166" s="503" t="str">
        <f>IF(終値!A166="","",IF(AND(高値!O166&gt;高値!N166,高値!O166&gt;高値!M166,高値!O166&gt;高値!P166,高値!O166&gt;高値!Q166),10,""))</f>
        <v/>
      </c>
      <c r="AL166" s="503" t="str">
        <f>IF(終値!A166="","",IF(AND(高値!P166&gt;高値!O166,高値!P166&gt;高値!N166,高値!P166&gt;高値!Q166,高値!P166&gt;高値!R166),11,""))</f>
        <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f>IF(終値!A166="","",IF(AND(高値!S166&gt;高値!R166,高値!S166&gt;高値!Q166,高値!S166&gt;高値!T166,高値!S166&gt;高値!U166),14,""))</f>
        <v>14</v>
      </c>
      <c r="AP166" s="503" t="str">
        <f>IF(終値!A166="","",IF(AND(高値!T166&gt;高値!S166,高値!T166&gt;高値!R166,高値!T166&gt;高値!U166,高値!T166&gt;高値!V166),15,""))</f>
        <v/>
      </c>
      <c r="AQ166" s="503" t="str">
        <f>IF(終値!A166="","",IF(AND(高値!U166&gt;高値!T166,高値!U166&gt;高値!S166,高値!U166&gt;高値!V166,高値!U166&gt;高値!W166),16,""))</f>
        <v/>
      </c>
      <c r="AR166" s="503" t="str">
        <f>IF(終値!A166="","",IF(AND(高値!V166&gt;高値!U166,高値!V166&gt;高値!T166,高値!V166&gt;高値!W166,高値!V166&gt;高値!X166),17,""))</f>
        <v/>
      </c>
      <c r="AS166" s="503">
        <f>IF(終値!A166="","",IF(AND(高値!W166&gt;高値!V166,高値!W166&gt;高値!U166,高値!W166&gt;高値!X166,高値!W166&gt;高値!Y166),18,""))</f>
        <v>18</v>
      </c>
      <c r="AT166" s="503" t="str">
        <f>IF(終値!A166="","",IF(AND(高値!X166&gt;高値!W166,高値!X166&gt;高値!V166,高値!X166&gt;高値!Y166,高値!X166&gt;高値!Z166),19,""))</f>
        <v/>
      </c>
      <c r="AU166" s="503" t="str">
        <f>IF(終値!A166="","",IF(AND(高値!Y166&gt;高値!X166,高値!Y166&gt;高値!W166,高値!Y166&gt;高値!Z166,高値!Y166&gt;高値!AA166),20,""))</f>
        <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7</v>
      </c>
      <c r="BF166" s="503">
        <f t="shared" si="14"/>
        <v>11</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2</v>
      </c>
      <c r="BN166" s="503">
        <f t="shared" si="17"/>
        <v>9</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f>IF(終値!A167="","",IF(AND(安値!H167&lt;安値!G167,安値!H167&lt;安値!F167,安値!H167&lt;安値!I167,安値!H167&lt;安値!J167),3,""))</f>
        <v>3</v>
      </c>
      <c r="D167" s="503" t="str">
        <f>IF(終値!A167="","",IF(AND(安値!I167&lt;安値!H167,安値!I167&lt;安値!G167,安値!I167&lt;安値!J167,安値!I167&lt;安値!K167),4,""))</f>
        <v/>
      </c>
      <c r="E167" s="503" t="str">
        <f>IF(終値!A167="","",IF(AND(安値!J167&lt;安値!I167,安値!J167&lt;安値!H167,安値!J167&lt;安値!K167,安値!J167&lt;安値!L167),5,""))</f>
        <v/>
      </c>
      <c r="F167" s="503" t="str">
        <f>IF(終値!A167="","",IF(AND(安値!K167&lt;安値!J167,安値!K167&lt;安値!I167,安値!K167&lt;安値!L167,安値!K167&lt;安値!M167),6,""))</f>
        <v/>
      </c>
      <c r="G167" s="503">
        <f>IF(終値!A167="","",IF(AND(安値!L167&lt;安値!K167,安値!L167&lt;安値!J167,安値!L167&lt;安値!M167,安値!L167&lt;安値!N167),7,""))</f>
        <v>7</v>
      </c>
      <c r="H167" s="503" t="str">
        <f>IF(終値!A167="","",IF(AND(安値!M167&lt;安値!L167,安値!M167&lt;安値!K167,安値!M167&lt;安値!N167,安値!M167&lt;安値!O167),8,""))</f>
        <v/>
      </c>
      <c r="I167" s="503" t="str">
        <f>IF(終値!A167="","",IF(AND(安値!N167&lt;安値!M167,安値!N167&lt;安値!L167,安値!N167&lt;安値!O167,安値!N167&lt;安値!P167),9,""))</f>
        <v/>
      </c>
      <c r="J167" s="503" t="str">
        <f>IF(終値!A167="","",IF(AND(安値!O167&lt;安値!N167,安値!O167&lt;安値!M167,安値!O167&lt;安値!P167,安値!O167&lt;安値!Q167),10,""))</f>
        <v/>
      </c>
      <c r="K167" s="503">
        <f>IF(終値!A167="","",IF(AND(安値!P167&lt;安値!O167,安値!P167&lt;安値!N167,安値!P167&lt;安値!Q167,安値!P167&lt;安値!R167),11,""))</f>
        <v>11</v>
      </c>
      <c r="L167" s="503" t="str">
        <f>IF(終値!A167="","",IF(AND(安値!Q167&lt;安値!P167,安値!Q167&lt;安値!O167,安値!Q167&lt;安値!R167,安値!Q167&lt;安値!S167),12,""))</f>
        <v/>
      </c>
      <c r="M167" s="503" t="str">
        <f>IF(終値!A167="","",IF(AND(安値!R167&lt;安値!Q167,安値!R167&lt;安値!P167,安値!R167&lt;安値!S167,安値!R167&lt;安値!T167),13,""))</f>
        <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f>IF(終値!A167="","",IF(AND(安値!V167&lt;安値!U167,安値!V167&lt;安値!T167,安値!V167&lt;安値!W167,安値!V167&lt;安値!X167),17,""))</f>
        <v>17</v>
      </c>
      <c r="R167" s="503" t="str">
        <f>IF(終値!A167="","",IF(AND(安値!W167&lt;安値!V167,安値!W167&lt;安値!U167,安値!W167&lt;安値!X167,安値!W167&lt;安値!Y167),18,""))</f>
        <v/>
      </c>
      <c r="S167" s="503" t="str">
        <f>IF(終値!A167="","",IF(AND(安値!X167&lt;安値!W167,安値!X167&lt;安値!V167,安値!X167&lt;安値!Y167,安値!X167&lt;安値!Z167),19,""))</f>
        <v/>
      </c>
      <c r="T167" s="503">
        <f>IF(終値!A167="","",IF(AND(安値!Y167&lt;安値!X167,安値!Y167&lt;安値!W167,安値!Y167&lt;安値!Z167,安値!Y167&lt;安値!AA167),20,""))</f>
        <v>20</v>
      </c>
      <c r="U167" s="503" t="str">
        <f>IF(終値!A167="","",IF(AND(安値!Z167&lt;安値!Y167,安値!Z167&lt;安値!X167,安値!Z167&lt;安値!AA167,安値!Z167&lt;安値!AB167),21,""))</f>
        <v/>
      </c>
      <c r="V167" s="503" t="str">
        <f>IF(終値!A167="","",IF(AND(安値!AA167&lt;安値!Z167,安値!AA167&lt;安値!Y167,安値!AA167&lt;安値!AB167,安値!AA167&lt;安値!AC167),22,""))</f>
        <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f>IF(終値!A167="","",IF(AND(安値!AF167&lt;安値!AE167,安値!AF167&lt;安値!AD167,安値!AF167&lt;安値!AG167,安値!AF167&lt;安値!AH167),27,""))</f>
        <v>27</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f>IF(終値!A167="","",IF(AND(高値!N167&gt;高値!M167,高値!N167&gt;高値!L167,高値!N167&gt;高値!O167,高値!N167&gt;高値!P167),9,""))</f>
        <v>9</v>
      </c>
      <c r="AK167" s="503" t="str">
        <f>IF(終値!A167="","",IF(AND(高値!O167&gt;高値!N167,高値!O167&gt;高値!M167,高値!O167&gt;高値!P167,高値!O167&gt;高値!Q167),10,""))</f>
        <v/>
      </c>
      <c r="AL167" s="503" t="str">
        <f>IF(終値!A167="","",IF(AND(高値!P167&gt;高値!O167,高値!P167&gt;高値!N167,高値!P167&gt;高値!Q167,高値!P167&gt;高値!R167),11,""))</f>
        <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f>IF(終値!A167="","",IF(AND(高値!T167&gt;高値!S167,高値!T167&gt;高値!R167,高値!T167&gt;高値!U167,高値!T167&gt;高値!V167),15,""))</f>
        <v>15</v>
      </c>
      <c r="AQ167" s="503" t="str">
        <f>IF(終値!A167="","",IF(AND(高値!U167&gt;高値!T167,高値!U167&gt;高値!S167,高値!U167&gt;高値!V167,高値!U167&gt;高値!W167),16,""))</f>
        <v/>
      </c>
      <c r="AR167" s="503" t="str">
        <f>IF(終値!A167="","",IF(AND(高値!V167&gt;高値!U167,高値!V167&gt;高値!T167,高値!V167&gt;高値!W167,高値!V167&gt;高値!X167),17,""))</f>
        <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f>IF(終値!A167="","",IF(AND(高値!AE167&gt;高値!AD167,高値!AE167&gt;高値!AC167,高値!AE167&gt;高値!AF167,高値!AE167&gt;高値!AG167),26,""))</f>
        <v>26</v>
      </c>
      <c r="BB167" s="503" t="str">
        <f>IF(終値!A167="","",IF(AND(高値!AF167&gt;高値!AE167,高値!AF167&gt;高値!AD167,高値!AF167&gt;高値!AG167,高値!AF167&gt;高値!AH167),27,""))</f>
        <v/>
      </c>
      <c r="BC167" s="503" t="str">
        <f>IF(終値!A167="","",IF(AND(高値!AG167&gt;高値!AF167,高値!AG167&gt;高値!AE167,高値!AG167&gt;高値!AH167,高値!AG167&gt;高値!AI167),28,""))</f>
        <v/>
      </c>
      <c r="BD167" s="503">
        <f t="shared" si="12"/>
        <v>6</v>
      </c>
      <c r="BE167" s="503">
        <f t="shared" si="13"/>
        <v>3</v>
      </c>
      <c r="BF167" s="503">
        <f t="shared" si="14"/>
        <v>7</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9</v>
      </c>
      <c r="BN167" s="503">
        <f t="shared" si="17"/>
        <v>15</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t="str">
        <f>IF(終値!A168="","",IF(AND(安値!H168&lt;安値!G168,安値!H168&lt;安値!F168,安値!H168&lt;安値!I168,安値!H168&lt;安値!J168),3,""))</f>
        <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f>IF(終値!A168="","",IF(AND(安値!L168&lt;安値!K168,安値!L168&lt;安値!J168,安値!L168&lt;安値!M168,安値!L168&lt;安値!N168),7,""))</f>
        <v>7</v>
      </c>
      <c r="H168" s="503" t="str">
        <f>IF(終値!A168="","",IF(AND(安値!M168&lt;安値!L168,安値!M168&lt;安値!K168,安値!M168&lt;安値!N168,安値!M168&lt;安値!O168),8,""))</f>
        <v/>
      </c>
      <c r="I168" s="503" t="str">
        <f>IF(終値!A168="","",IF(AND(安値!N168&lt;安値!M168,安値!N168&lt;安値!L168,安値!N168&lt;安値!O168,安値!N168&lt;安値!P168),9,""))</f>
        <v/>
      </c>
      <c r="J168" s="503" t="str">
        <f>IF(終値!A168="","",IF(AND(安値!O168&lt;安値!N168,安値!O168&lt;安値!M168,安値!O168&lt;安値!P168,安値!O168&lt;安値!Q168),10,""))</f>
        <v/>
      </c>
      <c r="K168" s="503">
        <f>IF(終値!A168="","",IF(AND(安値!P168&lt;安値!O168,安値!P168&lt;安値!N168,安値!P168&lt;安値!Q168,安値!P168&lt;安値!R168),11,""))</f>
        <v>11</v>
      </c>
      <c r="L168" s="503" t="str">
        <f>IF(終値!A168="","",IF(AND(安値!Q168&lt;安値!P168,安値!Q168&lt;安値!O168,安値!Q168&lt;安値!R168,安値!Q168&lt;安値!S168),12,""))</f>
        <v/>
      </c>
      <c r="M168" s="503" t="str">
        <f>IF(終値!A168="","",IF(AND(安値!R168&lt;安値!Q168,安値!R168&lt;安値!P168,安値!R168&lt;安値!S168,安値!R168&lt;安値!T168),13,""))</f>
        <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f>IF(終値!A168="","",IF(AND(安値!U168&lt;安値!T168,安値!U168&lt;安値!S168,安値!U168&lt;安値!V168,安値!U168&lt;安値!W168),16,""))</f>
        <v>16</v>
      </c>
      <c r="Q168" s="503" t="str">
        <f>IF(終値!A168="","",IF(AND(安値!V168&lt;安値!U168,安値!V168&lt;安値!T168,安値!V168&lt;安値!W168,安値!V168&lt;安値!X168),17,""))</f>
        <v/>
      </c>
      <c r="R168" s="503" t="str">
        <f>IF(終値!A168="","",IF(AND(安値!W168&lt;安値!V168,安値!W168&lt;安値!U168,安値!W168&lt;安値!X168,安値!W168&lt;安値!Y168),18,""))</f>
        <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f>IF(終値!A168="","",IF(AND(安値!AA168&lt;安値!Z168,安値!AA168&lt;安値!Y168,安値!AA168&lt;安値!AB168,安値!AA168&lt;安値!AC168),22,""))</f>
        <v>22</v>
      </c>
      <c r="W168" s="503" t="str">
        <f>IF(終値!A168="","",IF(AND(安値!AB168&lt;安値!AA168,安値!AB168&lt;安値!Z168,安値!AB168&lt;安値!AC168,安値!AB168&lt;安値!AD168),23,""))</f>
        <v/>
      </c>
      <c r="X168" s="503" t="str">
        <f>IF(終値!A168="","",IF(AND(安値!AC168&lt;安値!AB168,安値!AC168&lt;安値!AA168,安値!AC168&lt;安値!AD168,安値!AC168&lt;安値!AE168),24,""))</f>
        <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f>IF(終値!A168="","",IF(AND(高値!W168&gt;高値!V168,高値!W168&gt;高値!U168,高値!W168&gt;高値!X168,高値!W168&gt;高値!Y168),18,""))</f>
        <v>18</v>
      </c>
      <c r="AT168" s="503" t="str">
        <f>IF(終値!A168="","",IF(AND(高値!X168&gt;高値!W168,高値!X168&gt;高値!V168,高値!X168&gt;高値!Y168,高値!X168&gt;高値!Z168),19,""))</f>
        <v/>
      </c>
      <c r="AU168" s="503" t="str">
        <f>IF(終値!A168="","",IF(AND(高値!Y168&gt;高値!X168,高値!Y168&gt;高値!W168,高値!Y168&gt;高値!Z168,高値!Y168&gt;高値!AA168),20,""))</f>
        <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f>IF(終値!A168="","",IF(AND(高値!AC168&gt;高値!AB168,高値!AC168&gt;高値!AA168,高値!AC168&gt;高値!AD168,高値!AC168&gt;高値!AE168),24,""))</f>
        <v>24</v>
      </c>
      <c r="AZ168" s="503" t="str">
        <f>IF(終値!A168="","",IF(AND(高値!AD168&gt;高値!AC168,高値!AD168&gt;高値!AB168,高値!AD168&gt;高値!AE168,高値!AD168&gt;高値!AF168),25,""))</f>
        <v/>
      </c>
      <c r="BA168" s="503" t="str">
        <f>IF(終値!A168="","",IF(AND(高値!AE168&gt;高値!AD168,高値!AE168&gt;高値!AC168,高値!AE168&gt;高値!AF168,高値!AE168&gt;高値!AG168),26,""))</f>
        <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4</v>
      </c>
      <c r="BE168" s="503">
        <f t="shared" si="13"/>
        <v>7</v>
      </c>
      <c r="BF168" s="503">
        <f t="shared" si="14"/>
        <v>11</v>
      </c>
      <c r="BG168" s="503">
        <f>IF($BE168="","",INDEX(安値!$E168:$CZ168,1,$BE168+1))</f>
        <v>0</v>
      </c>
      <c r="BH168" s="503">
        <f>IF($BF168="","",INDEX(安値!$E168:$CZ168,1,$BF168+1))</f>
        <v>1966</v>
      </c>
      <c r="BI168" s="503">
        <f>IF($BF168="","",MAX(INDEX(高値!$E168:$CZ168,1,$BE168+1):INDEX(高値!$E168:$CZ168,1,$BF168+1)))</f>
        <v>2007</v>
      </c>
      <c r="BJ168" s="503">
        <f>IF($BF168="","",AVERAGE(INDEX(終値!$E168:$CZ168,1,$BF168+1):INDEX(終値!$E168:$CZ168,1,$BF168+20))-2*STDEVP(INDEX(終値!$E168:$CZ168,1,$BF168+1):INDEX(終値!$E168:$CZ168,1,$BF168+20)))</f>
        <v>1917.5206306130965</v>
      </c>
      <c r="BK168" s="503">
        <f>IF($BE168="","",AVERAGE(INDEX(終値!$E168:$CZ168,1,$BE168+1):INDEX(終値!$E168:$CZ168,1,$BE168+20))-2*STDEVP(INDEX(終値!$E168:$CZ168,1,$BE168+1):INDEX(終値!$E168:$CZ168,1,$BE168+20)))</f>
        <v>1922.3023224583285</v>
      </c>
      <c r="BL168" s="503">
        <f t="shared" si="15"/>
        <v>2</v>
      </c>
      <c r="BM168" s="503">
        <f t="shared" si="16"/>
        <v>18</v>
      </c>
      <c r="BN168" s="503">
        <f t="shared" si="17"/>
        <v>24</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t="str">
        <f>IF(終値!A169="","",IF(AND(安値!H169&lt;安値!G169,安値!H169&lt;安値!F169,安値!H169&lt;安値!I169,安値!H169&lt;安値!J169),3,""))</f>
        <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f>IF(終値!A169="","",IF(AND(安値!L169&lt;安値!K169,安値!L169&lt;安値!J169,安値!L169&lt;安値!M169,安値!L169&lt;安値!N169),7,""))</f>
        <v>7</v>
      </c>
      <c r="H169" s="503" t="str">
        <f>IF(終値!A169="","",IF(AND(安値!M169&lt;安値!L169,安値!M169&lt;安値!K169,安値!M169&lt;安値!N169,安値!M169&lt;安値!O169),8,""))</f>
        <v/>
      </c>
      <c r="I169" s="503" t="str">
        <f>IF(終値!A169="","",IF(AND(安値!N169&lt;安値!M169,安値!N169&lt;安値!L169,安値!N169&lt;安値!O169,安値!N169&lt;安値!P169),9,""))</f>
        <v/>
      </c>
      <c r="J169" s="503" t="str">
        <f>IF(終値!A169="","",IF(AND(安値!O169&lt;安値!N169,安値!O169&lt;安値!M169,安値!O169&lt;安値!P169,安値!O169&lt;安値!Q169),10,""))</f>
        <v/>
      </c>
      <c r="K169" s="503">
        <f>IF(終値!A169="","",IF(AND(安値!P169&lt;安値!O169,安値!P169&lt;安値!N169,安値!P169&lt;安値!Q169,安値!P169&lt;安値!R169),11,""))</f>
        <v>11</v>
      </c>
      <c r="L169" s="503" t="str">
        <f>IF(終値!A169="","",IF(AND(安値!Q169&lt;安値!P169,安値!Q169&lt;安値!O169,安値!Q169&lt;安値!R169,安値!Q169&lt;安値!S169),12,""))</f>
        <v/>
      </c>
      <c r="M169" s="503" t="str">
        <f>IF(終値!A169="","",IF(AND(安値!R169&lt;安値!Q169,安値!R169&lt;安値!P169,安値!R169&lt;安値!S169,安値!R169&lt;安値!T169),13,""))</f>
        <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f>IF(終値!A169="","",IF(AND(安値!AF169&lt;安値!AE169,安値!AF169&lt;安値!AD169,安値!AF169&lt;安値!AG169,安値!AF169&lt;安値!AH169),27,""))</f>
        <v>27</v>
      </c>
      <c r="AB169" s="503" t="str">
        <f>IF(終値!A169="","",IF(AND(安値!AG169&lt;安値!AF169,安値!AG169&lt;安値!AE169,安値!AG169&lt;安値!AH169,安値!AG169&lt;安値!AI169),28,""))</f>
        <v/>
      </c>
      <c r="AC169" s="503">
        <f>IF(終値!A169="","",IF(AND(高値!G169&gt;高値!F169,高値!G169&gt;高値!E169,高値!G169&gt;高値!H169,高値!G169&gt;高値!I169),2,""))</f>
        <v>2</v>
      </c>
      <c r="AD169" s="503" t="str">
        <f>IF(終値!A169="","",IF(AND(高値!H169&gt;高値!G169,高値!H169&gt;高値!F169,高値!H169&gt;高値!I169,高値!H169&gt;高値!J169),3,""))</f>
        <v/>
      </c>
      <c r="AE169" s="503" t="str">
        <f>IF(終値!A169="","",IF(AND(高値!I169&gt;高値!H169,高値!I169&gt;高値!G169,高値!I169&gt;高値!J169,高値!I169&gt;高値!K169),4,""))</f>
        <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f>IF(終値!A169="","",IF(AND(高値!S169&gt;高値!R169,高値!S169&gt;高値!Q169,高値!S169&gt;高値!T169,高値!S169&gt;高値!U169),14,""))</f>
        <v>14</v>
      </c>
      <c r="AP169" s="503" t="str">
        <f>IF(終値!A169="","",IF(AND(高値!T169&gt;高値!S169,高値!T169&gt;高値!R169,高値!T169&gt;高値!U169,高値!T169&gt;高値!V169),15,""))</f>
        <v/>
      </c>
      <c r="AQ169" s="503" t="str">
        <f>IF(終値!A169="","",IF(AND(高値!U169&gt;高値!T169,高値!U169&gt;高値!S169,高値!U169&gt;高値!V169,高値!U169&gt;高値!W169),16,""))</f>
        <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7</v>
      </c>
      <c r="BF169" s="503">
        <f t="shared" si="14"/>
        <v>11</v>
      </c>
      <c r="BG169" s="503">
        <f>IF($BE169="","",INDEX(安値!$E169:$CZ169,1,$BE169+1))</f>
        <v>900</v>
      </c>
      <c r="BH169" s="503">
        <f>IF($BF169="","",INDEX(安値!$E169:$CZ169,1,$BF169+1))</f>
        <v>889</v>
      </c>
      <c r="BI169" s="503">
        <f>IF($BF169="","",MAX(INDEX(高値!$E169:$CZ169,1,$BE169+1):INDEX(高値!$E169:$CZ169,1,$BF169+1)))</f>
        <v>918</v>
      </c>
      <c r="BJ169" s="503">
        <f>IF($BF169="","",AVERAGE(INDEX(終値!$E169:$CZ169,1,$BF169+1):INDEX(終値!$E169:$CZ169,1,$BF169+20))-2*STDEVP(INDEX(終値!$E169:$CZ169,1,$BF169+1):INDEX(終値!$E169:$CZ169,1,$BF169+20)))</f>
        <v>851.58621913703655</v>
      </c>
      <c r="BK169" s="503">
        <f>IF($BE169="","",AVERAGE(INDEX(終値!$E169:$CZ169,1,$BE169+1):INDEX(終値!$E169:$CZ169,1,$BE169+20))-2*STDEVP(INDEX(終値!$E169:$CZ169,1,$BE169+1):INDEX(終値!$E169:$CZ169,1,$BE169+20)))</f>
        <v>866.18774886328299</v>
      </c>
      <c r="BL169" s="503">
        <f t="shared" si="15"/>
        <v>2</v>
      </c>
      <c r="BM169" s="503">
        <f t="shared" si="16"/>
        <v>2</v>
      </c>
      <c r="BN169" s="503">
        <f t="shared" si="17"/>
        <v>14</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二番天井M形成</v>
      </c>
    </row>
    <row r="170" spans="2:72">
      <c r="B170" s="503">
        <f>IF(終値!A170="","",IF(AND(安値!G170&lt;安値!F170,安値!G170&lt;安値!E170,安値!G170&lt;安値!H170,安値!G170&lt;安値!I170),2,""))</f>
        <v>2</v>
      </c>
      <c r="C170" s="503" t="str">
        <f>IF(終値!A170="","",IF(AND(安値!H170&lt;安値!G170,安値!H170&lt;安値!F170,安値!H170&lt;安値!I170,安値!H170&lt;安値!J170),3,""))</f>
        <v/>
      </c>
      <c r="D170" s="503" t="str">
        <f>IF(終値!A170="","",IF(AND(安値!I170&lt;安値!H170,安値!I170&lt;安値!G170,安値!I170&lt;安値!J170,安値!I170&lt;安値!K170),4,""))</f>
        <v/>
      </c>
      <c r="E170" s="503" t="str">
        <f>IF(終値!A170="","",IF(AND(安値!J170&lt;安値!I170,安値!J170&lt;安値!H170,安値!J170&lt;安値!K170,安値!J170&lt;安値!L170),5,""))</f>
        <v/>
      </c>
      <c r="F170" s="503" t="str">
        <f>IF(終値!A170="","",IF(AND(安値!K170&lt;安値!J170,安値!K170&lt;安値!I170,安値!K170&lt;安値!L170,安値!K170&lt;安値!M170),6,""))</f>
        <v/>
      </c>
      <c r="G170" s="503">
        <f>IF(終値!A170="","",IF(AND(安値!L170&lt;安値!K170,安値!L170&lt;安値!J170,安値!L170&lt;安値!M170,安値!L170&lt;安値!N170),7,""))</f>
        <v>7</v>
      </c>
      <c r="H170" s="503" t="str">
        <f>IF(終値!A170="","",IF(AND(安値!M170&lt;安値!L170,安値!M170&lt;安値!K170,安値!M170&lt;安値!N170,安値!M170&lt;安値!O170),8,""))</f>
        <v/>
      </c>
      <c r="I170" s="503" t="str">
        <f>IF(終値!A170="","",IF(AND(安値!N170&lt;安値!M170,安値!N170&lt;安値!L170,安値!N170&lt;安値!O170,安値!N170&lt;安値!P170),9,""))</f>
        <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f>IF(終値!A170="","",IF(AND(安値!AA170&lt;安値!Z170,安値!AA170&lt;安値!Y170,安値!AA170&lt;安値!AB170,安値!AA170&lt;安値!AC170),22,""))</f>
        <v>22</v>
      </c>
      <c r="W170" s="503" t="str">
        <f>IF(終値!A170="","",IF(AND(安値!AB170&lt;安値!AA170,安値!AB170&lt;安値!Z170,安値!AB170&lt;安値!AC170,安値!AB170&lt;安値!AD170),23,""))</f>
        <v/>
      </c>
      <c r="X170" s="503" t="str">
        <f>IF(終値!A170="","",IF(AND(安値!AC170&lt;安値!AB170,安値!AC170&lt;安値!AA170,安値!AC170&lt;安値!AD170,安値!AC170&lt;安値!AE170),24,""))</f>
        <v/>
      </c>
      <c r="Y170" s="503" t="str">
        <f>IF(終値!A170="","",IF(AND(安値!AD170&lt;安値!AC170,安値!AD170&lt;安値!AB170,安値!AD170&lt;安値!AE170,安値!AD170&lt;安値!AF170),25,""))</f>
        <v/>
      </c>
      <c r="Z170" s="503">
        <f>IF(終値!A170="","",IF(AND(安値!AE170&lt;安値!AD170,安値!AE170&lt;安値!AC170,安値!AE170&lt;安値!AF170,安値!AE170&lt;安値!AG170),26,""))</f>
        <v>26</v>
      </c>
      <c r="AA170" s="503" t="str">
        <f>IF(終値!A170="","",IF(AND(安値!AF170&lt;安値!AE170,安値!AF170&lt;安値!AD170,安値!AF170&lt;安値!AG170,安値!AF170&lt;安値!AH170),27,""))</f>
        <v/>
      </c>
      <c r="AB170" s="503" t="str">
        <f>IF(終値!A170="","",IF(AND(安値!AG170&lt;安値!AF170,安値!AG170&lt;安値!AE170,安値!AG170&lt;安値!AH170,安値!AG170&lt;安値!AI170),28,""))</f>
        <v/>
      </c>
      <c r="AC170" s="503" t="str">
        <f>IF(終値!A170="","",IF(AND(高値!G170&gt;高値!F170,高値!G170&gt;高値!E170,高値!G170&gt;高値!H170,高値!G170&gt;高値!I170),2,""))</f>
        <v/>
      </c>
      <c r="AD170" s="503">
        <f>IF(終値!A170="","",IF(AND(高値!H170&gt;高値!G170,高値!H170&gt;高値!F170,高値!H170&gt;高値!I170,高値!H170&gt;高値!J170),3,""))</f>
        <v>3</v>
      </c>
      <c r="AE170" s="503" t="str">
        <f>IF(終値!A170="","",IF(AND(高値!I170&gt;高値!H170,高値!I170&gt;高値!G170,高値!I170&gt;高値!J170,高値!I170&gt;高値!K170),4,""))</f>
        <v/>
      </c>
      <c r="AF170" s="503" t="str">
        <f>IF(終値!A170="","",IF(AND(高値!J170&gt;高値!I170,高値!J170&gt;高値!H170,高値!J170&gt;高値!K170,高値!J170&gt;高値!L170),5,""))</f>
        <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f>IF(終値!A170="","",IF(AND(高値!O170&gt;高値!N170,高値!O170&gt;高値!M170,高値!O170&gt;高値!P170,高値!O170&gt;高値!Q170),10,""))</f>
        <v>10</v>
      </c>
      <c r="AL170" s="503" t="str">
        <f>IF(終値!A170="","",IF(AND(高値!P170&gt;高値!O170,高値!P170&gt;高値!N170,高値!P170&gt;高値!Q170,高値!P170&gt;高値!R170),11,""))</f>
        <v/>
      </c>
      <c r="AM170" s="503" t="str">
        <f>IF(終値!A170="","",IF(AND(高値!Q170&gt;高値!P170,高値!Q170&gt;高値!O170,高値!Q170&gt;高値!R170,高値!Q170&gt;高値!S170),12,""))</f>
        <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f>IF(終値!A170="","",IF(AND(高値!Z170&gt;高値!Y170,高値!Z170&gt;高値!X170,高値!Z170&gt;高値!AA170,高値!Z170&gt;高値!AB170),21,""))</f>
        <v>21</v>
      </c>
      <c r="AW170" s="503" t="str">
        <f>IF(終値!A170="","",IF(AND(高値!AA170&gt;高値!Z170,高値!AA170&gt;高値!Y170,高値!AA170&gt;高値!AB170,高値!AA170&gt;高値!AC170),22,""))</f>
        <v/>
      </c>
      <c r="AX170" s="503" t="str">
        <f>IF(終値!A170="","",IF(AND(高値!AB170&gt;高値!AA170,高値!AB170&gt;高値!Z170,高値!AB170&gt;高値!AC170,高値!AB170&gt;高値!AD170),23,""))</f>
        <v/>
      </c>
      <c r="AY170" s="503">
        <f>IF(終値!A170="","",IF(AND(高値!AC170&gt;高値!AB170,高値!AC170&gt;高値!AA170,高値!AC170&gt;高値!AD170,高値!AC170&gt;高値!AE170),24,""))</f>
        <v>24</v>
      </c>
      <c r="AZ170" s="503" t="str">
        <f>IF(終値!A170="","",IF(AND(高値!AD170&gt;高値!AC170,高値!AD170&gt;高値!AB170,高値!AD170&gt;高値!AE170,高値!AD170&gt;高値!AF170),25,""))</f>
        <v/>
      </c>
      <c r="BA170" s="503" t="str">
        <f>IF(終値!A170="","",IF(AND(高値!AE170&gt;高値!AD170,高値!AE170&gt;高値!AC170,高値!AE170&gt;高値!AF170,高値!AE170&gt;高値!AG170),26,""))</f>
        <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2</v>
      </c>
      <c r="BF170" s="503">
        <f t="shared" si="14"/>
        <v>7</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3</v>
      </c>
      <c r="BN170" s="503">
        <f t="shared" si="17"/>
        <v>10</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t="str">
        <f>IF(終値!A171="","",IF(AND(安値!H171&lt;安値!G171,安値!H171&lt;安値!F171,安値!H171&lt;安値!I171,安値!H171&lt;安値!J171),3,""))</f>
        <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f>IF(終値!A171="","",IF(AND(安値!P171&lt;安値!O171,安値!P171&lt;安値!N171,安値!P171&lt;安値!Q171,安値!P171&lt;安値!R171),11,""))</f>
        <v>11</v>
      </c>
      <c r="L171" s="503" t="str">
        <f>IF(終値!A171="","",IF(AND(安値!Q171&lt;安値!P171,安値!Q171&lt;安値!O171,安値!Q171&lt;安値!R171,安値!Q171&lt;安値!S171),12,""))</f>
        <v/>
      </c>
      <c r="M171" s="503" t="str">
        <f>IF(終値!A171="","",IF(AND(安値!R171&lt;安値!Q171,安値!R171&lt;安値!P171,安値!R171&lt;安値!S171,安値!R171&lt;安値!T171),13,""))</f>
        <v/>
      </c>
      <c r="N171" s="503" t="str">
        <f>IF(終値!A171="","",IF(AND(安値!S171&lt;安値!R171,安値!S171&lt;安値!Q171,安値!S171&lt;安値!T171,安値!S171&lt;安値!U171),14,""))</f>
        <v/>
      </c>
      <c r="O171" s="503">
        <f>IF(終値!A171="","",IF(AND(安値!T171&lt;安値!S171,安値!T171&lt;安値!R171,安値!T171&lt;安値!U171,安値!T171&lt;安値!V171),15,""))</f>
        <v>15</v>
      </c>
      <c r="P171" s="503" t="str">
        <f>IF(終値!A171="","",IF(AND(安値!U171&lt;安値!T171,安値!U171&lt;安値!S171,安値!U171&lt;安値!V171,安値!U171&lt;安値!W171),16,""))</f>
        <v/>
      </c>
      <c r="Q171" s="503" t="str">
        <f>IF(終値!A171="","",IF(AND(安値!V171&lt;安値!U171,安値!V171&lt;安値!T171,安値!V171&lt;安値!W171,安値!V171&lt;安値!X171),17,""))</f>
        <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f>IF(終値!A171="","",IF(AND(高値!H171&gt;高値!G171,高値!H171&gt;高値!F171,高値!H171&gt;高値!I171,高値!H171&gt;高値!J171),3,""))</f>
        <v>3</v>
      </c>
      <c r="AE171" s="503" t="str">
        <f>IF(終値!A171="","",IF(AND(高値!I171&gt;高値!H171,高値!I171&gt;高値!G171,高値!I171&gt;高値!J171,高値!I171&gt;高値!K171),4,""))</f>
        <v/>
      </c>
      <c r="AF171" s="503" t="str">
        <f>IF(終値!A171="","",IF(AND(高値!J171&gt;高値!I171,高値!J171&gt;高値!H171,高値!J171&gt;高値!K171,高値!J171&gt;高値!L171),5,""))</f>
        <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f>IF(終値!A171="","",IF(AND(高値!Q171&gt;高値!P171,高値!Q171&gt;高値!O171,高値!Q171&gt;高値!R171,高値!Q171&gt;高値!S171),12,""))</f>
        <v>12</v>
      </c>
      <c r="AN171" s="503" t="str">
        <f>IF(終値!A171="","",IF(AND(高値!R171&gt;高値!Q171,高値!R171&gt;高値!P171,高値!R171&gt;高値!S171,高値!R171&gt;高値!T171),13,""))</f>
        <v/>
      </c>
      <c r="AO171" s="503" t="str">
        <f>IF(終値!A171="","",IF(AND(高値!S171&gt;高値!R171,高値!S171&gt;高値!Q171,高値!S171&gt;高値!T171,高値!S171&gt;高値!U171),14,""))</f>
        <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f>IF(終値!A171="","",IF(AND(高値!W171&gt;高値!V171,高値!W171&gt;高値!U171,高値!W171&gt;高値!X171,高値!W171&gt;高値!Y171),18,""))</f>
        <v>18</v>
      </c>
      <c r="AT171" s="503" t="str">
        <f>IF(終値!A171="","",IF(AND(高値!X171&gt;高値!W171,高値!X171&gt;高値!V171,高値!X171&gt;高値!Y171,高値!X171&gt;高値!Z171),19,""))</f>
        <v/>
      </c>
      <c r="AU171" s="503" t="str">
        <f>IF(終値!A171="","",IF(AND(高値!Y171&gt;高値!X171,高値!Y171&gt;高値!W171,高値!Y171&gt;高値!Z171,高値!Y171&gt;高値!AA171),20,""))</f>
        <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f>IF(終値!A171="","",IF(AND(高値!AE171&gt;高値!AD171,高値!AE171&gt;高値!AC171,高値!AE171&gt;高値!AF171,高値!AE171&gt;高値!AG171),26,""))</f>
        <v>26</v>
      </c>
      <c r="BB171" s="503" t="str">
        <f>IF(終値!A171="","",IF(AND(高値!AF171&gt;高値!AE171,高値!AF171&gt;高値!AD171,高値!AF171&gt;高値!AG171,高値!AF171&gt;高値!AH171),27,""))</f>
        <v/>
      </c>
      <c r="BC171" s="503" t="str">
        <f>IF(終値!A171="","",IF(AND(高値!AG171&gt;高値!AF171,高値!AG171&gt;高値!AE171,高値!AG171&gt;高値!AH171,高値!AG171&gt;高値!AI171),28,""))</f>
        <v/>
      </c>
      <c r="BD171" s="503">
        <f t="shared" si="12"/>
        <v>2</v>
      </c>
      <c r="BE171" s="503">
        <f t="shared" si="13"/>
        <v>11</v>
      </c>
      <c r="BF171" s="503">
        <f t="shared" si="14"/>
        <v>15</v>
      </c>
      <c r="BG171" s="503">
        <f>IF($BE171="","",INDEX(安値!$E171:$CZ171,1,$BE171+1))</f>
        <v>3020</v>
      </c>
      <c r="BH171" s="503">
        <f>IF($BF171="","",INDEX(安値!$E171:$CZ171,1,$BF171+1))</f>
        <v>3030</v>
      </c>
      <c r="BI171" s="503">
        <f>IF($BF171="","",MAX(INDEX(高値!$E171:$CZ171,1,$BE171+1):INDEX(高値!$E171:$CZ171,1,$BF171+1)))</f>
        <v>3130</v>
      </c>
      <c r="BJ171" s="503">
        <f>IF($BF171="","",AVERAGE(INDEX(終値!$E171:$CZ171,1,$BF171+1):INDEX(終値!$E171:$CZ171,1,$BF171+20))-2*STDEVP(INDEX(終値!$E171:$CZ171,1,$BF171+1):INDEX(終値!$E171:$CZ171,1,$BF171+20)))</f>
        <v>2991.1011401275605</v>
      </c>
      <c r="BK171" s="503">
        <f>IF($BE171="","",AVERAGE(INDEX(終値!$E171:$CZ171,1,$BE171+1):INDEX(終値!$E171:$CZ171,1,$BE171+20))-2*STDEVP(INDEX(終値!$E171:$CZ171,1,$BE171+1):INDEX(終値!$E171:$CZ171,1,$BE171+20)))</f>
        <v>3022.4161863612644</v>
      </c>
      <c r="BL171" s="503">
        <f t="shared" si="15"/>
        <v>4</v>
      </c>
      <c r="BM171" s="503">
        <f t="shared" si="16"/>
        <v>3</v>
      </c>
      <c r="BN171" s="503">
        <f t="shared" si="17"/>
        <v>12</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v>
      </c>
    </row>
    <row r="172" spans="2:72">
      <c r="B172" s="503">
        <f>IF(終値!A172="","",IF(AND(安値!G172&lt;安値!F172,安値!G172&lt;安値!E172,安値!G172&lt;安値!H172,安値!G172&lt;安値!I172),2,""))</f>
        <v>2</v>
      </c>
      <c r="C172" s="503" t="str">
        <f>IF(終値!A172="","",IF(AND(安値!H172&lt;安値!G172,安値!H172&lt;安値!F172,安値!H172&lt;安値!I172,安値!H172&lt;安値!J172),3,""))</f>
        <v/>
      </c>
      <c r="D172" s="503" t="str">
        <f>IF(終値!A172="","",IF(AND(安値!I172&lt;安値!H172,安値!I172&lt;安値!G172,安値!I172&lt;安値!J172,安値!I172&lt;安値!K172),4,""))</f>
        <v/>
      </c>
      <c r="E172" s="503" t="str">
        <f>IF(終値!A172="","",IF(AND(安値!J172&lt;安値!I172,安値!J172&lt;安値!H172,安値!J172&lt;安値!K172,安値!J172&lt;安値!L172),5,""))</f>
        <v/>
      </c>
      <c r="F172" s="503" t="str">
        <f>IF(終値!A172="","",IF(AND(安値!K172&lt;安値!J172,安値!K172&lt;安値!I172,安値!K172&lt;安値!L172,安値!K172&lt;安値!M172),6,""))</f>
        <v/>
      </c>
      <c r="G172" s="503">
        <f>IF(終値!A172="","",IF(AND(安値!L172&lt;安値!K172,安値!L172&lt;安値!J172,安値!L172&lt;安値!M172,安値!L172&lt;安値!N172),7,""))</f>
        <v>7</v>
      </c>
      <c r="H172" s="503" t="str">
        <f>IF(終値!A172="","",IF(AND(安値!M172&lt;安値!L172,安値!M172&lt;安値!K172,安値!M172&lt;安値!N172,安値!M172&lt;安値!O172),8,""))</f>
        <v/>
      </c>
      <c r="I172" s="503" t="str">
        <f>IF(終値!A172="","",IF(AND(安値!N172&lt;安値!M172,安値!N172&lt;安値!L172,安値!N172&lt;安値!O172,安値!N172&lt;安値!P172),9,""))</f>
        <v/>
      </c>
      <c r="J172" s="503" t="str">
        <f>IF(終値!A172="","",IF(AND(安値!O172&lt;安値!N172,安値!O172&lt;安値!M172,安値!O172&lt;安値!P172,安値!O172&lt;安値!Q172),10,""))</f>
        <v/>
      </c>
      <c r="K172" s="503">
        <f>IF(終値!A172="","",IF(AND(安値!P172&lt;安値!O172,安値!P172&lt;安値!N172,安値!P172&lt;安値!Q172,安値!P172&lt;安値!R172),11,""))</f>
        <v>11</v>
      </c>
      <c r="L172" s="503" t="str">
        <f>IF(終値!A172="","",IF(AND(安値!Q172&lt;安値!P172,安値!Q172&lt;安値!O172,安値!Q172&lt;安値!R172,安値!Q172&lt;安値!S172),12,""))</f>
        <v/>
      </c>
      <c r="M172" s="503" t="str">
        <f>IF(終値!A172="","",IF(AND(安値!R172&lt;安値!Q172,安値!R172&lt;安値!P172,安値!R172&lt;安値!S172,安値!R172&lt;安値!T172),13,""))</f>
        <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f>IF(終値!A172="","",IF(AND(安値!U172&lt;安値!T172,安値!U172&lt;安値!S172,安値!U172&lt;安値!V172,安値!U172&lt;安値!W172),16,""))</f>
        <v>16</v>
      </c>
      <c r="Q172" s="503" t="str">
        <f>IF(終値!A172="","",IF(AND(安値!V172&lt;安値!U172,安値!V172&lt;安値!T172,安値!V172&lt;安値!W172,安値!V172&lt;安値!X172),17,""))</f>
        <v/>
      </c>
      <c r="R172" s="503" t="str">
        <f>IF(終値!A172="","",IF(AND(安値!W172&lt;安値!V172,安値!W172&lt;安値!U172,安値!W172&lt;安値!X172,安値!W172&lt;安値!Y172),18,""))</f>
        <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f>IF(終値!A172="","",IF(AND(安値!AA172&lt;安値!Z172,安値!AA172&lt;安値!Y172,安値!AA172&lt;安値!AB172,安値!AA172&lt;安値!AC172),22,""))</f>
        <v>22</v>
      </c>
      <c r="W172" s="503" t="str">
        <f>IF(終値!A172="","",IF(AND(安値!AB172&lt;安値!AA172,安値!AB172&lt;安値!Z172,安値!AB172&lt;安値!AC172,安値!AB172&lt;安値!AD172),23,""))</f>
        <v/>
      </c>
      <c r="X172" s="503" t="str">
        <f>IF(終値!A172="","",IF(AND(安値!AC172&lt;安値!AB172,安値!AC172&lt;安値!AA172,安値!AC172&lt;安値!AD172,安値!AC172&lt;安値!AE172),24,""))</f>
        <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f>IF(終値!A172="","",IF(AND(高値!G172&gt;高値!F172,高値!G172&gt;高値!E172,高値!G172&gt;高値!H172,高値!G172&gt;高値!I172),2,""))</f>
        <v>2</v>
      </c>
      <c r="AD172" s="503" t="str">
        <f>IF(終値!A172="","",IF(AND(高値!H172&gt;高値!G172,高値!H172&gt;高値!F172,高値!H172&gt;高値!I172,高値!H172&gt;高値!J172),3,""))</f>
        <v/>
      </c>
      <c r="AE172" s="503" t="str">
        <f>IF(終値!A172="","",IF(AND(高値!I172&gt;高値!H172,高値!I172&gt;高値!G172,高値!I172&gt;高値!J172,高値!I172&gt;高値!K172),4,""))</f>
        <v/>
      </c>
      <c r="AF172" s="503">
        <f>IF(終値!A172="","",IF(AND(高値!J172&gt;高値!I172,高値!J172&gt;高値!H172,高値!J172&gt;高値!K172,高値!J172&gt;高値!L172),5,""))</f>
        <v>5</v>
      </c>
      <c r="AG172" s="503" t="str">
        <f>IF(終値!A172="","",IF(AND(高値!K172&gt;高値!J172,高値!K172&gt;高値!I172,高値!K172&gt;高値!L172,高値!K172&gt;高値!M172),6,""))</f>
        <v/>
      </c>
      <c r="AH172" s="503" t="str">
        <f>IF(終値!A172="","",IF(AND(高値!L172&gt;高値!K172,高値!L172&gt;高値!J172,高値!L172&gt;高値!M172,高値!L172&gt;高値!N172),7,""))</f>
        <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f>IF(終値!A172="","",IF(AND(高値!Q172&gt;高値!P172,高値!Q172&gt;高値!O172,高値!Q172&gt;高値!R172,高値!Q172&gt;高値!S172),12,""))</f>
        <v>12</v>
      </c>
      <c r="AN172" s="503" t="str">
        <f>IF(終値!A172="","",IF(AND(高値!R172&gt;高値!Q172,高値!R172&gt;高値!P172,高値!R172&gt;高値!S172,高値!R172&gt;高値!T172),13,""))</f>
        <v/>
      </c>
      <c r="AO172" s="503" t="str">
        <f>IF(終値!A172="","",IF(AND(高値!S172&gt;高値!R172,高値!S172&gt;高値!Q172,高値!S172&gt;高値!T172,高値!S172&gt;高値!U172),14,""))</f>
        <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f>IF(終値!A172="","",IF(AND(高値!W172&gt;高値!V172,高値!W172&gt;高値!U172,高値!W172&gt;高値!X172,高値!W172&gt;高値!Y172),18,""))</f>
        <v>18</v>
      </c>
      <c r="AT172" s="503" t="str">
        <f>IF(終値!A172="","",IF(AND(高値!X172&gt;高値!W172,高値!X172&gt;高値!V172,高値!X172&gt;高値!Y172,高値!X172&gt;高値!Z172),19,""))</f>
        <v/>
      </c>
      <c r="AU172" s="503" t="str">
        <f>IF(終値!A172="","",IF(AND(高値!Y172&gt;高値!X172,高値!Y172&gt;高値!W172,高値!Y172&gt;高値!Z172,高値!Y172&gt;高値!AA172),20,""))</f>
        <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f>IF(終値!A172="","",IF(AND(高値!AE172&gt;高値!AD172,高値!AE172&gt;高値!AC172,高値!AE172&gt;高値!AF172,高値!AE172&gt;高値!AG172),26,""))</f>
        <v>26</v>
      </c>
      <c r="BB172" s="503" t="str">
        <f>IF(終値!A172="","",IF(AND(高値!AF172&gt;高値!AE172,高値!AF172&gt;高値!AD172,高値!AF172&gt;高値!AG172,高値!AF172&gt;高値!AH172),27,""))</f>
        <v/>
      </c>
      <c r="BC172" s="503" t="str">
        <f>IF(終値!A172="","",IF(AND(高値!AG172&gt;高値!AF172,高値!AG172&gt;高値!AE172,高値!AG172&gt;高値!AH172,高値!AG172&gt;高値!AI172),28,""))</f>
        <v/>
      </c>
      <c r="BD172" s="503">
        <f t="shared" si="12"/>
        <v>5</v>
      </c>
      <c r="BE172" s="503">
        <f t="shared" si="13"/>
        <v>2</v>
      </c>
      <c r="BF172" s="503">
        <f t="shared" si="14"/>
        <v>7</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2</v>
      </c>
      <c r="BN172" s="503">
        <f t="shared" si="17"/>
        <v>5</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二番底W形成</v>
      </c>
    </row>
    <row r="173" spans="2:72">
      <c r="B173" s="503" t="str">
        <f>IF(終値!A173="","",IF(AND(安値!G173&lt;安値!F173,安値!G173&lt;安値!E173,安値!G173&lt;安値!H173,安値!G173&lt;安値!I173),2,""))</f>
        <v/>
      </c>
      <c r="C173" s="503" t="str">
        <f>IF(終値!A173="","",IF(AND(安値!H173&lt;安値!G173,安値!H173&lt;安値!F173,安値!H173&lt;安値!I173,安値!H173&lt;安値!J173),3,""))</f>
        <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f>IF(終値!A173="","",IF(AND(安値!L173&lt;安値!K173,安値!L173&lt;安値!J173,安値!L173&lt;安値!M173,安値!L173&lt;安値!N173),7,""))</f>
        <v>7</v>
      </c>
      <c r="H173" s="503" t="str">
        <f>IF(終値!A173="","",IF(AND(安値!M173&lt;安値!L173,安値!M173&lt;安値!K173,安値!M173&lt;安値!N173,安値!M173&lt;安値!O173),8,""))</f>
        <v/>
      </c>
      <c r="I173" s="503" t="str">
        <f>IF(終値!A173="","",IF(AND(安値!N173&lt;安値!M173,安値!N173&lt;安値!L173,安値!N173&lt;安値!O173,安値!N173&lt;安値!P173),9,""))</f>
        <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f>IF(終値!A173="","",IF(AND(安値!S173&lt;安値!R173,安値!S173&lt;安値!Q173,安値!S173&lt;安値!T173,安値!S173&lt;安値!U173),14,""))</f>
        <v>14</v>
      </c>
      <c r="O173" s="503" t="str">
        <f>IF(終値!A173="","",IF(AND(安値!T173&lt;安値!S173,安値!T173&lt;安値!R173,安値!T173&lt;安値!U173,安値!T173&lt;安値!V173),15,""))</f>
        <v/>
      </c>
      <c r="P173" s="503" t="str">
        <f>IF(終値!A173="","",IF(AND(安値!U173&lt;安値!T173,安値!U173&lt;安値!S173,安値!U173&lt;安値!V173,安値!U173&lt;安値!W173),16,""))</f>
        <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f>IF(終値!A173="","",IF(AND(安値!Z173&lt;安値!Y173,安値!Z173&lt;安値!X173,安値!Z173&lt;安値!AA173,安値!Z173&lt;安値!AB173),21,""))</f>
        <v>21</v>
      </c>
      <c r="V173" s="503" t="str">
        <f>IF(終値!A173="","",IF(AND(安値!AA173&lt;安値!Z173,安値!AA173&lt;安値!Y173,安値!AA173&lt;安値!AB173,安値!AA173&lt;安値!AC173),22,""))</f>
        <v/>
      </c>
      <c r="W173" s="503" t="str">
        <f>IF(終値!A173="","",IF(AND(安値!AB173&lt;安値!AA173,安値!AB173&lt;安値!Z173,安値!AB173&lt;安値!AC173,安値!AB173&lt;安値!AD173),23,""))</f>
        <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f>IF(終値!A173="","",IF(AND(安値!AG173&lt;安値!AF173,安値!AG173&lt;安値!AE173,安値!AG173&lt;安値!AH173,安値!AG173&lt;安値!AI173),28,""))</f>
        <v>28</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f>IF(終値!A173="","",IF(AND(高値!K173&gt;高値!J173,高値!K173&gt;高値!I173,高値!K173&gt;高値!L173,高値!K173&gt;高値!M173),6,""))</f>
        <v>6</v>
      </c>
      <c r="AH173" s="503" t="str">
        <f>IF(終値!A173="","",IF(AND(高値!L173&gt;高値!K173,高値!L173&gt;高値!J173,高値!L173&gt;高値!M173,高値!L173&gt;高値!N173),7,""))</f>
        <v/>
      </c>
      <c r="AI173" s="503" t="str">
        <f>IF(終値!A173="","",IF(AND(高値!M173&gt;高値!L173,高値!M173&gt;高値!K173,高値!M173&gt;高値!N173,高値!M173&gt;高値!O173),8,""))</f>
        <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f>IF(終値!A173="","",IF(AND(高値!Q173&gt;高値!P173,高値!Q173&gt;高値!O173,高値!Q173&gt;高値!R173,高値!Q173&gt;高値!S173),12,""))</f>
        <v>12</v>
      </c>
      <c r="AN173" s="503" t="str">
        <f>IF(終値!A173="","",IF(AND(高値!R173&gt;高値!Q173,高値!R173&gt;高値!P173,高値!R173&gt;高値!S173,高値!R173&gt;高値!T173),13,""))</f>
        <v/>
      </c>
      <c r="AO173" s="503" t="str">
        <f>IF(終値!A173="","",IF(AND(高値!S173&gt;高値!R173,高値!S173&gt;高値!Q173,高値!S173&gt;高値!T173,高値!S173&gt;高値!U173),14,""))</f>
        <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f>IF(終値!A173="","",IF(AND(高値!W173&gt;高値!V173,高値!W173&gt;高値!U173,高値!W173&gt;高値!X173,高値!W173&gt;高値!Y173),18,""))</f>
        <v>18</v>
      </c>
      <c r="AT173" s="503" t="str">
        <f>IF(終値!A173="","",IF(AND(高値!X173&gt;高値!W173,高値!X173&gt;高値!V173,高値!X173&gt;高値!Y173,高値!X173&gt;高値!Z173),19,""))</f>
        <v/>
      </c>
      <c r="AU173" s="503" t="str">
        <f>IF(終値!A173="","",IF(AND(高値!Y173&gt;高値!X173,高値!Y173&gt;高値!W173,高値!Y173&gt;高値!Z173,高値!Y173&gt;高値!AA173),20,""))</f>
        <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f>IF(終値!A173="","",IF(AND(高値!AC173&gt;高値!AB173,高値!AC173&gt;高値!AA173,高値!AC173&gt;高値!AD173,高値!AC173&gt;高値!AE173),24,""))</f>
        <v>24</v>
      </c>
      <c r="AZ173" s="503" t="str">
        <f>IF(終値!A173="","",IF(AND(高値!AD173&gt;高値!AC173,高値!AD173&gt;高値!AB173,高値!AD173&gt;高値!AE173,高値!AD173&gt;高値!AF173),25,""))</f>
        <v/>
      </c>
      <c r="BA173" s="503" t="str">
        <f>IF(終値!A173="","",IF(AND(高値!AE173&gt;高値!AD173,高値!AE173&gt;高値!AC173,高値!AE173&gt;高値!AF173,高値!AE173&gt;高値!AG173),26,""))</f>
        <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7</v>
      </c>
      <c r="BF173" s="503">
        <f t="shared" si="14"/>
        <v>14</v>
      </c>
      <c r="BG173" s="503">
        <f>IF($BE173="","",INDEX(安値!$E173:$CZ173,1,$BE173+1))</f>
        <v>0</v>
      </c>
      <c r="BH173" s="503">
        <f>IF($BF173="","",INDEX(安値!$E173:$CZ173,1,$BF173+1))</f>
        <v>690</v>
      </c>
      <c r="BI173" s="503">
        <f>IF($BF173="","",MAX(INDEX(高値!$E173:$CZ173,1,$BE173+1):INDEX(高値!$E173:$CZ173,1,$BF173+1)))</f>
        <v>731</v>
      </c>
      <c r="BJ173" s="503">
        <f>IF($BF173="","",AVERAGE(INDEX(終値!$E173:$CZ173,1,$BF173+1):INDEX(終値!$E173:$CZ173,1,$BF173+20))-2*STDEVP(INDEX(終値!$E173:$CZ173,1,$BF173+1):INDEX(終値!$E173:$CZ173,1,$BF173+20)))</f>
        <v>669.91075372439605</v>
      </c>
      <c r="BK173" s="503">
        <f>IF($BE173="","",AVERAGE(INDEX(終値!$E173:$CZ173,1,$BE173+1):INDEX(終値!$E173:$CZ173,1,$BE173+20))-2*STDEVP(INDEX(終値!$E173:$CZ173,1,$BE173+1):INDEX(終値!$E173:$CZ173,1,$BE173+20)))</f>
        <v>684.2233626027197</v>
      </c>
      <c r="BL173" s="503">
        <f t="shared" si="15"/>
        <v>4</v>
      </c>
      <c r="BM173" s="503">
        <f t="shared" si="16"/>
        <v>6</v>
      </c>
      <c r="BN173" s="503">
        <f t="shared" si="17"/>
        <v>12</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f>IF(終値!A174="","",IF(AND(安値!M174&lt;安値!L174,安値!M174&lt;安値!K174,安値!M174&lt;安値!N174,安値!M174&lt;安値!O174),8,""))</f>
        <v>8</v>
      </c>
      <c r="I174" s="503" t="str">
        <f>IF(終値!A174="","",IF(AND(安値!N174&lt;安値!M174,安値!N174&lt;安値!L174,安値!N174&lt;安値!O174,安値!N174&lt;安値!P174),9,""))</f>
        <v/>
      </c>
      <c r="J174" s="503" t="str">
        <f>IF(終値!A174="","",IF(AND(安値!O174&lt;安値!N174,安値!O174&lt;安値!M174,安値!O174&lt;安値!P174,安値!O174&lt;安値!Q174),10,""))</f>
        <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f>IF(終値!A174="","",IF(AND(安値!U174&lt;安値!T174,安値!U174&lt;安値!S174,安値!U174&lt;安値!V174,安値!U174&lt;安値!W174),16,""))</f>
        <v>16</v>
      </c>
      <c r="Q174" s="503" t="str">
        <f>IF(終値!A174="","",IF(AND(安値!V174&lt;安値!U174,安値!V174&lt;安値!T174,安値!V174&lt;安値!W174,安値!V174&lt;安値!X174),17,""))</f>
        <v/>
      </c>
      <c r="R174" s="503" t="str">
        <f>IF(終値!A174="","",IF(AND(安値!W174&lt;安値!V174,安値!W174&lt;安値!U174,安値!W174&lt;安値!X174,安値!W174&lt;安値!Y174),18,""))</f>
        <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f>IF(終値!A174="","",IF(AND(高値!I174&gt;高値!H174,高値!I174&gt;高値!G174,高値!I174&gt;高値!J174,高値!I174&gt;高値!K174),4,""))</f>
        <v>4</v>
      </c>
      <c r="AF174" s="503" t="str">
        <f>IF(終値!A174="","",IF(AND(高値!J174&gt;高値!I174,高値!J174&gt;高値!H174,高値!J174&gt;高値!K174,高値!J174&gt;高値!L174),5,""))</f>
        <v/>
      </c>
      <c r="AG174" s="503" t="str">
        <f>IF(終値!A174="","",IF(AND(高値!K174&gt;高値!J174,高値!K174&gt;高値!I174,高値!K174&gt;高値!L174,高値!K174&gt;高値!M174),6,""))</f>
        <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f>IF(終値!A174="","",IF(AND(高値!O174&gt;高値!N174,高値!O174&gt;高値!M174,高値!O174&gt;高値!P174,高値!O174&gt;高値!Q174),10,""))</f>
        <v>10</v>
      </c>
      <c r="AL174" s="503" t="str">
        <f>IF(終値!A174="","",IF(AND(高値!P174&gt;高値!O174,高値!P174&gt;高値!N174,高値!P174&gt;高値!Q174,高値!P174&gt;高値!R174),11,""))</f>
        <v/>
      </c>
      <c r="AM174" s="503" t="str">
        <f>IF(終値!A174="","",IF(AND(高値!Q174&gt;高値!P174,高値!Q174&gt;高値!O174,高値!Q174&gt;高値!R174,高値!Q174&gt;高値!S174),12,""))</f>
        <v/>
      </c>
      <c r="AN174" s="503">
        <f>IF(終値!A174="","",IF(AND(高値!R174&gt;高値!Q174,高値!R174&gt;高値!P174,高値!R174&gt;高値!S174,高値!R174&gt;高値!T174),13,""))</f>
        <v>13</v>
      </c>
      <c r="AO174" s="503" t="str">
        <f>IF(終値!A174="","",IF(AND(高値!S174&gt;高値!R174,高値!S174&gt;高値!Q174,高値!S174&gt;高値!T174,高値!S174&gt;高値!U174),14,""))</f>
        <v/>
      </c>
      <c r="AP174" s="503" t="str">
        <f>IF(終値!A174="","",IF(AND(高値!T174&gt;高値!S174,高値!T174&gt;高値!R174,高値!T174&gt;高値!U174,高値!T174&gt;高値!V174),15,""))</f>
        <v/>
      </c>
      <c r="AQ174" s="503" t="str">
        <f>IF(終値!A174="","",IF(AND(高値!U174&gt;高値!T174,高値!U174&gt;高値!S174,高値!U174&gt;高値!V174,高値!U174&gt;高値!W174),16,""))</f>
        <v/>
      </c>
      <c r="AR174" s="503">
        <f>IF(終値!A174="","",IF(AND(高値!V174&gt;高値!U174,高値!V174&gt;高値!T174,高値!V174&gt;高値!W174,高値!V174&gt;高値!X174),17,""))</f>
        <v>17</v>
      </c>
      <c r="AS174" s="503" t="str">
        <f>IF(終値!A174="","",IF(AND(高値!W174&gt;高値!V174,高値!W174&gt;高値!U174,高値!W174&gt;高値!X174,高値!W174&gt;高値!Y174),18,""))</f>
        <v/>
      </c>
      <c r="AT174" s="503" t="str">
        <f>IF(終値!A174="","",IF(AND(高値!X174&gt;高値!W174,高値!X174&gt;高値!V174,高値!X174&gt;高値!Y174,高値!X174&gt;高値!Z174),19,""))</f>
        <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8</v>
      </c>
      <c r="BF174" s="503">
        <f t="shared" si="14"/>
        <v>16</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4</v>
      </c>
      <c r="BN174" s="503">
        <f t="shared" si="17"/>
        <v>10</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f>IF(終値!A175="","",IF(AND(安値!G175&lt;安値!F175,安値!G175&lt;安値!E175,安値!G175&lt;安値!H175,安値!G175&lt;安値!I175),2,""))</f>
        <v>2</v>
      </c>
      <c r="C175" s="503" t="str">
        <f>IF(終値!A175="","",IF(AND(安値!H175&lt;安値!G175,安値!H175&lt;安値!F175,安値!H175&lt;安値!I175,安値!H175&lt;安値!J175),3,""))</f>
        <v/>
      </c>
      <c r="D175" s="503" t="str">
        <f>IF(終値!A175="","",IF(AND(安値!I175&lt;安値!H175,安値!I175&lt;安値!G175,安値!I175&lt;安値!J175,安値!I175&lt;安値!K175),4,""))</f>
        <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f>IF(終値!A175="","",IF(AND(安値!P175&lt;安値!O175,安値!P175&lt;安値!N175,安値!P175&lt;安値!Q175,安値!P175&lt;安値!R175),11,""))</f>
        <v>11</v>
      </c>
      <c r="L175" s="503" t="str">
        <f>IF(終値!A175="","",IF(AND(安値!Q175&lt;安値!P175,安値!Q175&lt;安値!O175,安値!Q175&lt;安値!R175,安値!Q175&lt;安値!S175),12,""))</f>
        <v/>
      </c>
      <c r="M175" s="503" t="str">
        <f>IF(終値!A175="","",IF(AND(安値!R175&lt;安値!Q175,安値!R175&lt;安値!P175,安値!R175&lt;安値!S175,安値!R175&lt;安値!T175),13,""))</f>
        <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f>IF(終値!A175="","",IF(AND(安値!Z175&lt;安値!Y175,安値!Z175&lt;安値!X175,安値!Z175&lt;安値!AA175,安値!Z175&lt;安値!AB175),21,""))</f>
        <v>21</v>
      </c>
      <c r="V175" s="503" t="str">
        <f>IF(終値!A175="","",IF(AND(安値!AA175&lt;安値!Z175,安値!AA175&lt;安値!Y175,安値!AA175&lt;安値!AB175,安値!AA175&lt;安値!AC175),22,""))</f>
        <v/>
      </c>
      <c r="W175" s="503" t="str">
        <f>IF(終値!A175="","",IF(AND(安値!AB175&lt;安値!AA175,安値!AB175&lt;安値!Z175,安値!AB175&lt;安値!AC175,安値!AB175&lt;安値!AD175),23,""))</f>
        <v/>
      </c>
      <c r="X175" s="503" t="str">
        <f>IF(終値!A175="","",IF(AND(安値!AC175&lt;安値!AB175,安値!AC175&lt;安値!AA175,安値!AC175&lt;安値!AD175,安値!AC175&lt;安値!AE175),24,""))</f>
        <v/>
      </c>
      <c r="Y175" s="503">
        <f>IF(終値!A175="","",IF(AND(安値!AD175&lt;安値!AC175,安値!AD175&lt;安値!AB175,安値!AD175&lt;安値!AE175,安値!AD175&lt;安値!AF175),25,""))</f>
        <v>25</v>
      </c>
      <c r="Z175" s="503" t="str">
        <f>IF(終値!A175="","",IF(AND(安値!AE175&lt;安値!AD175,安値!AE175&lt;安値!AC175,安値!AE175&lt;安値!AF175,安値!AE175&lt;安値!AG175),26,""))</f>
        <v/>
      </c>
      <c r="AA175" s="503" t="str">
        <f>IF(終値!A175="","",IF(AND(安値!AF175&lt;安値!AE175,安値!AF175&lt;安値!AD175,安値!AF175&lt;安値!AG175,安値!AF175&lt;安値!AH175),27,""))</f>
        <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f>IF(終値!A175="","",IF(AND(高値!K175&gt;高値!J175,高値!K175&gt;高値!I175,高値!K175&gt;高値!L175,高値!K175&gt;高値!M175),6,""))</f>
        <v>6</v>
      </c>
      <c r="AH175" s="503" t="str">
        <f>IF(終値!A175="","",IF(AND(高値!L175&gt;高値!K175,高値!L175&gt;高値!J175,高値!L175&gt;高値!M175,高値!L175&gt;高値!N175),7,""))</f>
        <v/>
      </c>
      <c r="AI175" s="503" t="str">
        <f>IF(終値!A175="","",IF(AND(高値!M175&gt;高値!L175,高値!M175&gt;高値!K175,高値!M175&gt;高値!N175,高値!M175&gt;高値!O175),8,""))</f>
        <v/>
      </c>
      <c r="AJ175" s="503">
        <f>IF(終値!A175="","",IF(AND(高値!N175&gt;高値!M175,高値!N175&gt;高値!L175,高値!N175&gt;高値!O175,高値!N175&gt;高値!P175),9,""))</f>
        <v>9</v>
      </c>
      <c r="AK175" s="503" t="str">
        <f>IF(終値!A175="","",IF(AND(高値!O175&gt;高値!N175,高値!O175&gt;高値!M175,高値!O175&gt;高値!P175,高値!O175&gt;高値!Q175),10,""))</f>
        <v/>
      </c>
      <c r="AL175" s="503" t="str">
        <f>IF(終値!A175="","",IF(AND(高値!P175&gt;高値!O175,高値!P175&gt;高値!N175,高値!P175&gt;高値!Q175,高値!P175&gt;高値!R175),11,""))</f>
        <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f>IF(終値!A175="","",IF(AND(高値!W175&gt;高値!V175,高値!W175&gt;高値!U175,高値!W175&gt;高値!X175,高値!W175&gt;高値!Y175),18,""))</f>
        <v>18</v>
      </c>
      <c r="AT175" s="503" t="str">
        <f>IF(終値!A175="","",IF(AND(高値!X175&gt;高値!W175,高値!X175&gt;高値!V175,高値!X175&gt;高値!Y175,高値!X175&gt;高値!Z175),19,""))</f>
        <v/>
      </c>
      <c r="AU175" s="503" t="str">
        <f>IF(終値!A175="","",IF(AND(高値!Y175&gt;高値!X175,高値!Y175&gt;高値!W175,高値!Y175&gt;高値!Z175,高値!Y175&gt;高値!AA175),20,""))</f>
        <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f>IF(終値!A175="","",IF(AND(高値!AB175&gt;高値!AA175,高値!AB175&gt;高値!Z175,高値!AB175&gt;高値!AC175,高値!AB175&gt;高値!AD175),23,""))</f>
        <v>23</v>
      </c>
      <c r="AY175" s="503" t="str">
        <f>IF(終値!A175="","",IF(AND(高値!AC175&gt;高値!AB175,高値!AC175&gt;高値!AA175,高値!AC175&gt;高値!AD175,高値!AC175&gt;高値!AE175),24,""))</f>
        <v/>
      </c>
      <c r="AZ175" s="503" t="str">
        <f>IF(終値!A175="","",IF(AND(高値!AD175&gt;高値!AC175,高値!AD175&gt;高値!AB175,高値!AD175&gt;高値!AE175,高値!AD175&gt;高値!AF175),25,""))</f>
        <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2</v>
      </c>
      <c r="BF175" s="503">
        <f t="shared" si="14"/>
        <v>11</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6</v>
      </c>
      <c r="BN175" s="503">
        <f t="shared" si="17"/>
        <v>9</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t="str">
        <f>IF(終値!A176="","",IF(AND(安値!H176&lt;安値!G176,安値!H176&lt;安値!F176,安値!H176&lt;安値!I176,安値!H176&lt;安値!J176),3,""))</f>
        <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f>IF(終値!A176="","",IF(AND(安値!P176&lt;安値!O176,安値!P176&lt;安値!N176,安値!P176&lt;安値!Q176,安値!P176&lt;安値!R176),11,""))</f>
        <v>11</v>
      </c>
      <c r="L176" s="503" t="str">
        <f>IF(終値!A176="","",IF(AND(安値!Q176&lt;安値!P176,安値!Q176&lt;安値!O176,安値!Q176&lt;安値!R176,安値!Q176&lt;安値!S176),12,""))</f>
        <v/>
      </c>
      <c r="M176" s="503" t="str">
        <f>IF(終値!A176="","",IF(AND(安値!R176&lt;安値!Q176,安値!R176&lt;安値!P176,安値!R176&lt;安値!S176,安値!R176&lt;安値!T176),13,""))</f>
        <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f>IF(終値!A176="","",IF(AND(安値!Z176&lt;安値!Y176,安値!Z176&lt;安値!X176,安値!Z176&lt;安値!AA176,安値!Z176&lt;安値!AB176),21,""))</f>
        <v>21</v>
      </c>
      <c r="V176" s="503" t="str">
        <f>IF(終値!A176="","",IF(AND(安値!AA176&lt;安値!Z176,安値!AA176&lt;安値!Y176,安値!AA176&lt;安値!AB176,安値!AA176&lt;安値!AC176),22,""))</f>
        <v/>
      </c>
      <c r="W176" s="503" t="str">
        <f>IF(終値!A176="","",IF(AND(安値!AB176&lt;安値!AA176,安値!AB176&lt;安値!Z176,安値!AB176&lt;安値!AC176,安値!AB176&lt;安値!AD176),23,""))</f>
        <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f>IF(終値!A176="","",IF(AND(安値!AE176&lt;安値!AD176,安値!AE176&lt;安値!AC176,安値!AE176&lt;安値!AF176,安値!AE176&lt;安値!AG176),26,""))</f>
        <v>26</v>
      </c>
      <c r="AA176" s="503" t="str">
        <f>IF(終値!A176="","",IF(AND(安値!AF176&lt;安値!AE176,安値!AF176&lt;安値!AD176,安値!AF176&lt;安値!AG176,安値!AF176&lt;安値!AH176),27,""))</f>
        <v/>
      </c>
      <c r="AB176" s="503" t="str">
        <f>IF(終値!A176="","",IF(AND(安値!AG176&lt;安値!AF176,安値!AG176&lt;安値!AE176,安値!AG176&lt;安値!AH176,安値!AG176&lt;安値!AI176),28,""))</f>
        <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f>IF(終値!A176="","",IF(AND(高値!N176&gt;高値!M176,高値!N176&gt;高値!L176,高値!N176&gt;高値!O176,高値!N176&gt;高値!P176),9,""))</f>
        <v>9</v>
      </c>
      <c r="AK176" s="503" t="str">
        <f>IF(終値!A176="","",IF(AND(高値!O176&gt;高値!N176,高値!O176&gt;高値!M176,高値!O176&gt;高値!P176,高値!O176&gt;高値!Q176),10,""))</f>
        <v/>
      </c>
      <c r="AL176" s="503" t="str">
        <f>IF(終値!A176="","",IF(AND(高値!P176&gt;高値!O176,高値!P176&gt;高値!N176,高値!P176&gt;高値!Q176,高値!P176&gt;高値!R176),11,""))</f>
        <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f>IF(終値!A176="","",IF(AND(高値!S176&gt;高値!R176,高値!S176&gt;高値!Q176,高値!S176&gt;高値!T176,高値!S176&gt;高値!U176),14,""))</f>
        <v>14</v>
      </c>
      <c r="AP176" s="503" t="str">
        <f>IF(終値!A176="","",IF(AND(高値!T176&gt;高値!S176,高値!T176&gt;高値!R176,高値!T176&gt;高値!U176,高値!T176&gt;高値!V176),15,""))</f>
        <v/>
      </c>
      <c r="AQ176" s="503" t="str">
        <f>IF(終値!A176="","",IF(AND(高値!U176&gt;高値!T176,高値!U176&gt;高値!S176,高値!U176&gt;高値!V176,高値!U176&gt;高値!W176),16,""))</f>
        <v/>
      </c>
      <c r="AR176" s="503" t="str">
        <f>IF(終値!A176="","",IF(AND(高値!V176&gt;高値!U176,高値!V176&gt;高値!T176,高値!V176&gt;高値!W176,高値!V176&gt;高値!X176),17,""))</f>
        <v/>
      </c>
      <c r="AS176" s="503">
        <f>IF(終値!A176="","",IF(AND(高値!W176&gt;高値!V176,高値!W176&gt;高値!U176,高値!W176&gt;高値!X176,高値!W176&gt;高値!Y176),18,""))</f>
        <v>18</v>
      </c>
      <c r="AT176" s="503" t="str">
        <f>IF(終値!A176="","",IF(AND(高値!X176&gt;高値!W176,高値!X176&gt;高値!V176,高値!X176&gt;高値!Y176,高値!X176&gt;高値!Z176),19,""))</f>
        <v/>
      </c>
      <c r="AU176" s="503" t="str">
        <f>IF(終値!A176="","",IF(AND(高値!Y176&gt;高値!X176,高値!Y176&gt;高値!W176,高値!Y176&gt;高値!Z176,高値!Y176&gt;高値!AA176),20,""))</f>
        <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f>IF(終値!A176="","",IF(AND(高値!AC176&gt;高値!AB176,高値!AC176&gt;高値!AA176,高値!AC176&gt;高値!AD176,高値!AC176&gt;高値!AE176),24,""))</f>
        <v>24</v>
      </c>
      <c r="AZ176" s="503" t="str">
        <f>IF(終値!A176="","",IF(AND(高値!AD176&gt;高値!AC176,高値!AD176&gt;高値!AB176,高値!AD176&gt;高値!AE176,高値!AD176&gt;高値!AF176),25,""))</f>
        <v/>
      </c>
      <c r="BA176" s="503" t="str">
        <f>IF(終値!A176="","",IF(AND(高値!AE176&gt;高値!AD176,高値!AE176&gt;高値!AC176,高値!AE176&gt;高値!AF176,高値!AE176&gt;高値!AG176),26,""))</f>
        <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3</v>
      </c>
      <c r="BE176" s="503">
        <f t="shared" si="13"/>
        <v>11</v>
      </c>
      <c r="BF176" s="503">
        <f t="shared" si="14"/>
        <v>21</v>
      </c>
      <c r="BG176" s="503">
        <f>IF($BE176="","",INDEX(安値!$E176:$CZ176,1,$BE176+1))</f>
        <v>2422</v>
      </c>
      <c r="BH176" s="503">
        <f>IF($BF176="","",INDEX(安値!$E176:$CZ176,1,$BF176+1))</f>
        <v>2646</v>
      </c>
      <c r="BI176" s="503">
        <f>IF($BF176="","",MAX(INDEX(高値!$E176:$CZ176,1,$BE176+1):INDEX(高値!$E176:$CZ176,1,$BF176+1)))</f>
        <v>2784</v>
      </c>
      <c r="BJ176" s="503">
        <f>IF($BF176="","",AVERAGE(INDEX(終値!$E176:$CZ176,1,$BF176+1):INDEX(終値!$E176:$CZ176,1,$BF176+20))-2*STDEVP(INDEX(終値!$E176:$CZ176,1,$BF176+1):INDEX(終値!$E176:$CZ176,1,$BF176+20)))</f>
        <v>2637.0939225584029</v>
      </c>
      <c r="BK176" s="503">
        <f>IF($BE176="","",AVERAGE(INDEX(終値!$E176:$CZ176,1,$BE176+1):INDEX(終値!$E176:$CZ176,1,$BE176+20))-2*STDEVP(INDEX(終値!$E176:$CZ176,1,$BE176+1):INDEX(終値!$E176:$CZ176,1,$BE176+20)))</f>
        <v>2490.8612331066197</v>
      </c>
      <c r="BL176" s="503">
        <f t="shared" si="15"/>
        <v>4</v>
      </c>
      <c r="BM176" s="503">
        <f t="shared" si="16"/>
        <v>9</v>
      </c>
      <c r="BN176" s="503">
        <f t="shared" si="17"/>
        <v>14</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二番天井M形成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f>IF(終値!A178="","",IF(AND(安値!L178&lt;安値!K178,安値!L178&lt;安値!J178,安値!L178&lt;安値!M178,安値!L178&lt;安値!N178),7,""))</f>
        <v>7</v>
      </c>
      <c r="H178" s="503" t="str">
        <f>IF(終値!A178="","",IF(AND(安値!M178&lt;安値!L178,安値!M178&lt;安値!K178,安値!M178&lt;安値!N178,安値!M178&lt;安値!O178),8,""))</f>
        <v/>
      </c>
      <c r="I178" s="503" t="str">
        <f>IF(終値!A178="","",IF(AND(安値!N178&lt;安値!M178,安値!N178&lt;安値!L178,安値!N178&lt;安値!O178,安値!N178&lt;安値!P178),9,""))</f>
        <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f>IF(終値!A178="","",IF(AND(安値!S178&lt;安値!R178,安値!S178&lt;安値!Q178,安値!S178&lt;安値!T178,安値!S178&lt;安値!U178),14,""))</f>
        <v>14</v>
      </c>
      <c r="O178" s="503" t="str">
        <f>IF(終値!A178="","",IF(AND(安値!T178&lt;安値!S178,安値!T178&lt;安値!R178,安値!T178&lt;安値!U178,安値!T178&lt;安値!V178),15,""))</f>
        <v/>
      </c>
      <c r="P178" s="503" t="str">
        <f>IF(終値!A178="","",IF(AND(安値!U178&lt;安値!T178,安値!U178&lt;安値!S178,安値!U178&lt;安値!V178,安値!U178&lt;安値!W178),16,""))</f>
        <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t="str">
        <f>IF(終値!A178="","",IF(AND(高値!H178&gt;高値!G178,高値!H178&gt;高値!F178,高値!H178&gt;高値!I178,高値!H178&gt;高値!J178),3,""))</f>
        <v/>
      </c>
      <c r="AE178" s="503" t="str">
        <f>IF(終値!A178="","",IF(AND(高値!I178&gt;高値!H178,高値!I178&gt;高値!G178,高値!I178&gt;高値!J178,高値!I178&gt;高値!K178),4,""))</f>
        <v/>
      </c>
      <c r="AF178" s="503">
        <f>IF(終値!A178="","",IF(AND(高値!J178&gt;高値!I178,高値!J178&gt;高値!H178,高値!J178&gt;高値!K178,高値!J178&gt;高値!L178),5,""))</f>
        <v>5</v>
      </c>
      <c r="AG178" s="503" t="str">
        <f>IF(終値!A178="","",IF(AND(高値!K178&gt;高値!J178,高値!K178&gt;高値!I178,高値!K178&gt;高値!L178,高値!K178&gt;高値!M178),6,""))</f>
        <v/>
      </c>
      <c r="AH178" s="503" t="str">
        <f>IF(終値!A178="","",IF(AND(高値!L178&gt;高値!K178,高値!L178&gt;高値!J178,高値!L178&gt;高値!M178,高値!L178&gt;高値!N178),7,""))</f>
        <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f>IF(終値!A178="","",IF(AND(高値!O178&gt;高値!N178,高値!O178&gt;高値!M178,高値!O178&gt;高値!P178,高値!O178&gt;高値!Q178),10,""))</f>
        <v>10</v>
      </c>
      <c r="AL178" s="503" t="str">
        <f>IF(終値!A178="","",IF(AND(高値!P178&gt;高値!O178,高値!P178&gt;高値!N178,高値!P178&gt;高値!Q178,高値!P178&gt;高値!R178),11,""))</f>
        <v/>
      </c>
      <c r="AM178" s="503" t="str">
        <f>IF(終値!A178="","",IF(AND(高値!Q178&gt;高値!P178,高値!Q178&gt;高値!O178,高値!Q178&gt;高値!R178,高値!Q178&gt;高値!S178),12,""))</f>
        <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f>IF(終値!A178="","",IF(AND(高値!AC178&gt;高値!AB178,高値!AC178&gt;高値!AA178,高値!AC178&gt;高値!AD178,高値!AC178&gt;高値!AE178),24,""))</f>
        <v>24</v>
      </c>
      <c r="AZ178" s="503" t="str">
        <f>IF(終値!A178="","",IF(AND(高値!AD178&gt;高値!AC178,高値!AD178&gt;高値!AB178,高値!AD178&gt;高値!AE178,高値!AD178&gt;高値!AF178),25,""))</f>
        <v/>
      </c>
      <c r="BA178" s="503" t="str">
        <f>IF(終値!A178="","",IF(AND(高値!AE178&gt;高値!AD178,高値!AE178&gt;高値!AC178,高値!AE178&gt;高値!AF178,高値!AE178&gt;高値!AG178),26,""))</f>
        <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7</v>
      </c>
      <c r="BF178" s="503">
        <f t="shared" si="14"/>
        <v>14</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3</v>
      </c>
      <c r="BM178" s="503">
        <f t="shared" si="16"/>
        <v>5</v>
      </c>
      <c r="BN178" s="503">
        <f t="shared" si="17"/>
        <v>10</v>
      </c>
      <c r="BO178" s="503">
        <f>IF($BM178="","",INDEX(高値!$E178:$CZ178,1,$BM178+1))</f>
        <v>4077</v>
      </c>
      <c r="BP178" s="503">
        <f>IF($BN178="","",INDEX(高値!$E178:$CZ178,1,$BN178+1))</f>
        <v>3880</v>
      </c>
      <c r="BQ178" s="503">
        <f>IF($BN178="","",MIN(INDEX(安値!$E178:$CZ178,1,$BM178+1):INDEX(安値!$E178:$CZ178,1,$BN178+1)))</f>
        <v>3672</v>
      </c>
      <c r="BR178" s="503">
        <f>IF($BN178="","",AVERAGE(INDEX(終値!$E178:$CZ178,1,$BN178+1):INDEX(終値!$E178:$CZ178,1,$BN178+20))+2*STDEVP(INDEX(終値!$E178:$CZ178,1,$BN178+1):INDEX(終値!$E178:$CZ178,1,$BN178+20)))</f>
        <v>3844.90339669994</v>
      </c>
      <c r="BS178" s="503">
        <f>IF($BM178="","",AVERAGE(INDEX(終値!$E178:$CZ178,1,$BM178+1):INDEX(終値!$E178:$CZ178,1,$BM178+20))+2*STDEVP(INDEX(終値!$E178:$CZ178,1,$BM178+1):INDEX(終値!$E178:$CZ178,1,$BM178+20)))</f>
        <v>3937.8646071013409</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v>
      </c>
    </row>
    <row r="179" spans="2:72">
      <c r="B179" s="503">
        <f>IF(終値!A179="","",IF(AND(安値!G179&lt;安値!F179,安値!G179&lt;安値!E179,安値!G179&lt;安値!H179,安値!G179&lt;安値!I179),2,""))</f>
        <v>2</v>
      </c>
      <c r="C179" s="503" t="str">
        <f>IF(終値!A179="","",IF(AND(安値!H179&lt;安値!G179,安値!H179&lt;安値!F179,安値!H179&lt;安値!I179,安値!H179&lt;安値!J179),3,""))</f>
        <v/>
      </c>
      <c r="D179" s="503" t="str">
        <f>IF(終値!A179="","",IF(AND(安値!I179&lt;安値!H179,安値!I179&lt;安値!G179,安値!I179&lt;安値!J179,安値!I179&lt;安値!K179),4,""))</f>
        <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f>IF(終値!A179="","",IF(AND(安値!P179&lt;安値!O179,安値!P179&lt;安値!N179,安値!P179&lt;安値!Q179,安値!P179&lt;安値!R179),11,""))</f>
        <v>11</v>
      </c>
      <c r="L179" s="503" t="str">
        <f>IF(終値!A179="","",IF(AND(安値!Q179&lt;安値!P179,安値!Q179&lt;安値!O179,安値!Q179&lt;安値!R179,安値!Q179&lt;安値!S179),12,""))</f>
        <v/>
      </c>
      <c r="M179" s="503" t="str">
        <f>IF(終値!A179="","",IF(AND(安値!R179&lt;安値!Q179,安値!R179&lt;安値!P179,安値!R179&lt;安値!S179,安値!R179&lt;安値!T179),13,""))</f>
        <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f>IF(終値!A179="","",IF(AND(安値!U179&lt;安値!T179,安値!U179&lt;安値!S179,安値!U179&lt;安値!V179,安値!U179&lt;安値!W179),16,""))</f>
        <v>16</v>
      </c>
      <c r="Q179" s="503" t="str">
        <f>IF(終値!A179="","",IF(AND(安値!V179&lt;安値!U179,安値!V179&lt;安値!T179,安値!V179&lt;安値!W179,安値!V179&lt;安値!X179),17,""))</f>
        <v/>
      </c>
      <c r="R179" s="503" t="str">
        <f>IF(終値!A179="","",IF(AND(安値!W179&lt;安値!V179,安値!W179&lt;安値!U179,安値!W179&lt;安値!X179,安値!W179&lt;安値!Y179),18,""))</f>
        <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f>IF(終値!A179="","",IF(AND(安値!AA179&lt;安値!Z179,安値!AA179&lt;安値!Y179,安値!AA179&lt;安値!AB179,安値!AA179&lt;安値!AC179),22,""))</f>
        <v>22</v>
      </c>
      <c r="W179" s="503" t="str">
        <f>IF(終値!A179="","",IF(AND(安値!AB179&lt;安値!AA179,安値!AB179&lt;安値!Z179,安値!AB179&lt;安値!AC179,安値!AB179&lt;安値!AD179),23,""))</f>
        <v/>
      </c>
      <c r="X179" s="503" t="str">
        <f>IF(終値!A179="","",IF(AND(安値!AC179&lt;安値!AB179,安値!AC179&lt;安値!AA179,安値!AC179&lt;安値!AD179,安値!AC179&lt;安値!AE179),24,""))</f>
        <v/>
      </c>
      <c r="Y179" s="503">
        <f>IF(終値!A179="","",IF(AND(安値!AD179&lt;安値!AC179,安値!AD179&lt;安値!AB179,安値!AD179&lt;安値!AE179,安値!AD179&lt;安値!AF179),25,""))</f>
        <v>25</v>
      </c>
      <c r="Z179" s="503" t="str">
        <f>IF(終値!A179="","",IF(AND(安値!AE179&lt;安値!AD179,安値!AE179&lt;安値!AC179,安値!AE179&lt;安値!AF179,安値!AE179&lt;安値!AG179),26,""))</f>
        <v/>
      </c>
      <c r="AA179" s="503" t="str">
        <f>IF(終値!A179="","",IF(AND(安値!AF179&lt;安値!AE179,安値!AF179&lt;安値!AD179,安値!AF179&lt;安値!AG179,安値!AF179&lt;安値!AH179),27,""))</f>
        <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f>IF(終値!A179="","",IF(AND(高値!I179&gt;高値!H179,高値!I179&gt;高値!G179,高値!I179&gt;高値!J179,高値!I179&gt;高値!K179),4,""))</f>
        <v>4</v>
      </c>
      <c r="AF179" s="503" t="str">
        <f>IF(終値!A179="","",IF(AND(高値!J179&gt;高値!I179,高値!J179&gt;高値!H179,高値!J179&gt;高値!K179,高値!J179&gt;高値!L179),5,""))</f>
        <v/>
      </c>
      <c r="AG179" s="503" t="str">
        <f>IF(終値!A179="","",IF(AND(高値!K179&gt;高値!J179,高値!K179&gt;高値!I179,高値!K179&gt;高値!L179,高値!K179&gt;高値!M179),6,""))</f>
        <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f>IF(終値!A179="","",IF(AND(高値!S179&gt;高値!R179,高値!S179&gt;高値!Q179,高値!S179&gt;高値!T179,高値!S179&gt;高値!U179),14,""))</f>
        <v>14</v>
      </c>
      <c r="AP179" s="503" t="str">
        <f>IF(終値!A179="","",IF(AND(高値!T179&gt;高値!S179,高値!T179&gt;高値!R179,高値!T179&gt;高値!U179,高値!T179&gt;高値!V179),15,""))</f>
        <v/>
      </c>
      <c r="AQ179" s="503" t="str">
        <f>IF(終値!A179="","",IF(AND(高値!U179&gt;高値!T179,高値!U179&gt;高値!S179,高値!U179&gt;高値!V179,高値!U179&gt;高値!W179),16,""))</f>
        <v/>
      </c>
      <c r="AR179" s="503" t="str">
        <f>IF(終値!A179="","",IF(AND(高値!V179&gt;高値!U179,高値!V179&gt;高値!T179,高値!V179&gt;高値!W179,高値!V179&gt;高値!X179),17,""))</f>
        <v/>
      </c>
      <c r="AS179" s="503">
        <f>IF(終値!A179="","",IF(AND(高値!W179&gt;高値!V179,高値!W179&gt;高値!U179,高値!W179&gt;高値!X179,高値!W179&gt;高値!Y179),18,""))</f>
        <v>18</v>
      </c>
      <c r="AT179" s="503" t="str">
        <f>IF(終値!A179="","",IF(AND(高値!X179&gt;高値!W179,高値!X179&gt;高値!V179,高値!X179&gt;高値!Y179,高値!X179&gt;高値!Z179),19,""))</f>
        <v/>
      </c>
      <c r="AU179" s="503" t="str">
        <f>IF(終値!A179="","",IF(AND(高値!Y179&gt;高値!X179,高値!Y179&gt;高値!W179,高値!Y179&gt;高値!Z179,高値!Y179&gt;高値!AA179),20,""))</f>
        <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f>IF(終値!A179="","",IF(AND(高値!AB179&gt;高値!AA179,高値!AB179&gt;高値!Z179,高値!AB179&gt;高値!AC179,高値!AB179&gt;高値!AD179),23,""))</f>
        <v>23</v>
      </c>
      <c r="AY179" s="503" t="str">
        <f>IF(終値!A179="","",IF(AND(高値!AC179&gt;高値!AB179,高値!AC179&gt;高値!AA179,高値!AC179&gt;高値!AD179,高値!AC179&gt;高値!AE179),24,""))</f>
        <v/>
      </c>
      <c r="AZ179" s="503" t="str">
        <f>IF(終値!A179="","",IF(AND(高値!AD179&gt;高値!AC179,高値!AD179&gt;高値!AB179,高値!AD179&gt;高値!AE179,高値!AD179&gt;高値!AF179),25,""))</f>
        <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2</v>
      </c>
      <c r="BF179" s="503">
        <f t="shared" si="14"/>
        <v>11</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4</v>
      </c>
      <c r="BN179" s="503">
        <f t="shared" si="17"/>
        <v>14</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t="str">
        <f>IF(終値!A180="","",IF(AND(安値!H180&lt;安値!G180,安値!H180&lt;安値!F180,安値!H180&lt;安値!I180,安値!H180&lt;安値!J180),3,""))</f>
        <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f>IF(終値!A180="","",IF(AND(安値!L180&lt;安値!K180,安値!L180&lt;安値!J180,安値!L180&lt;安値!M180,安値!L180&lt;安値!N180),7,""))</f>
        <v>7</v>
      </c>
      <c r="H180" s="503" t="str">
        <f>IF(終値!A180="","",IF(AND(安値!M180&lt;安値!L180,安値!M180&lt;安値!K180,安値!M180&lt;安値!N180,安値!M180&lt;安値!O180),8,""))</f>
        <v/>
      </c>
      <c r="I180" s="503" t="str">
        <f>IF(終値!A180="","",IF(AND(安値!N180&lt;安値!M180,安値!N180&lt;安値!L180,安値!N180&lt;安値!O180,安値!N180&lt;安値!P180),9,""))</f>
        <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f>IF(終値!A180="","",IF(AND(安値!U180&lt;安値!T180,安値!U180&lt;安値!S180,安値!U180&lt;安値!V180,安値!U180&lt;安値!W180),16,""))</f>
        <v>16</v>
      </c>
      <c r="Q180" s="503" t="str">
        <f>IF(終値!A180="","",IF(AND(安値!V180&lt;安値!U180,安値!V180&lt;安値!T180,安値!V180&lt;安値!W180,安値!V180&lt;安値!X180),17,""))</f>
        <v/>
      </c>
      <c r="R180" s="503" t="str">
        <f>IF(終値!A180="","",IF(AND(安値!W180&lt;安値!V180,安値!W180&lt;安値!U180,安値!W180&lt;安値!X180,安値!W180&lt;安値!Y180),18,""))</f>
        <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f>IF(終値!A180="","",IF(AND(安値!AA180&lt;安値!Z180,安値!AA180&lt;安値!Y180,安値!AA180&lt;安値!AB180,安値!AA180&lt;安値!AC180),22,""))</f>
        <v>22</v>
      </c>
      <c r="W180" s="503" t="str">
        <f>IF(終値!A180="","",IF(AND(安値!AB180&lt;安値!AA180,安値!AB180&lt;安値!Z180,安値!AB180&lt;安値!AC180,安値!AB180&lt;安値!AD180),23,""))</f>
        <v/>
      </c>
      <c r="X180" s="503" t="str">
        <f>IF(終値!A180="","",IF(AND(安値!AC180&lt;安値!AB180,安値!AC180&lt;安値!AA180,安値!AC180&lt;安値!AD180,安値!AC180&lt;安値!AE180),24,""))</f>
        <v/>
      </c>
      <c r="Y180" s="503">
        <f>IF(終値!A180="","",IF(AND(安値!AD180&lt;安値!AC180,安値!AD180&lt;安値!AB180,安値!AD180&lt;安値!AE180,安値!AD180&lt;安値!AF180),25,""))</f>
        <v>25</v>
      </c>
      <c r="Z180" s="503" t="str">
        <f>IF(終値!A180="","",IF(AND(安値!AE180&lt;安値!AD180,安値!AE180&lt;安値!AC180,安値!AE180&lt;安値!AF180,安値!AE180&lt;安値!AG180),26,""))</f>
        <v/>
      </c>
      <c r="AA180" s="503" t="str">
        <f>IF(終値!A180="","",IF(AND(安値!AF180&lt;安値!AE180,安値!AF180&lt;安値!AD180,安値!AF180&lt;安値!AG180,安値!AF180&lt;安値!AH180),27,""))</f>
        <v/>
      </c>
      <c r="AB180" s="503" t="str">
        <f>IF(終値!A180="","",IF(AND(安値!AG180&lt;安値!AF180,安値!AG180&lt;安値!AE180,安値!AG180&lt;安値!AH180,安値!AG180&lt;安値!AI180),28,""))</f>
        <v/>
      </c>
      <c r="AC180" s="503">
        <f>IF(終値!A180="","",IF(AND(高値!G180&gt;高値!F180,高値!G180&gt;高値!E180,高値!G180&gt;高値!H180,高値!G180&gt;高値!I180),2,""))</f>
        <v>2</v>
      </c>
      <c r="AD180" s="503" t="str">
        <f>IF(終値!A180="","",IF(AND(高値!H180&gt;高値!G180,高値!H180&gt;高値!F180,高値!H180&gt;高値!I180,高値!H180&gt;高値!J180),3,""))</f>
        <v/>
      </c>
      <c r="AE180" s="503" t="str">
        <f>IF(終値!A180="","",IF(AND(高値!I180&gt;高値!H180,高値!I180&gt;高値!G180,高値!I180&gt;高値!J180,高値!I180&gt;高値!K180),4,""))</f>
        <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f>IF(終値!A180="","",IF(AND(高値!W180&gt;高値!V180,高値!W180&gt;高値!U180,高値!W180&gt;高値!X180,高値!W180&gt;高値!Y180),18,""))</f>
        <v>18</v>
      </c>
      <c r="AT180" s="503" t="str">
        <f>IF(終値!A180="","",IF(AND(高値!X180&gt;高値!W180,高値!X180&gt;高値!V180,高値!X180&gt;高値!Y180,高値!X180&gt;高値!Z180),19,""))</f>
        <v/>
      </c>
      <c r="AU180" s="503" t="str">
        <f>IF(終値!A180="","",IF(AND(高値!Y180&gt;高値!X180,高値!Y180&gt;高値!W180,高値!Y180&gt;高値!Z180,高値!Y180&gt;高値!AA180),20,""))</f>
        <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f>IF(終値!A180="","",IF(AND(高値!AC180&gt;高値!AB180,高値!AC180&gt;高値!AA180,高値!AC180&gt;高値!AD180,高値!AC180&gt;高値!AE180),24,""))</f>
        <v>24</v>
      </c>
      <c r="AZ180" s="503" t="str">
        <f>IF(終値!A180="","",IF(AND(高値!AD180&gt;高値!AC180,高値!AD180&gt;高値!AB180,高値!AD180&gt;高値!AE180,高値!AD180&gt;高値!AF180),25,""))</f>
        <v/>
      </c>
      <c r="BA180" s="503" t="str">
        <f>IF(終値!A180="","",IF(AND(高値!AE180&gt;高値!AD180,高値!AE180&gt;高値!AC180,高値!AE180&gt;高値!AF180,高値!AE180&gt;高値!AG180),26,""))</f>
        <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4</v>
      </c>
      <c r="BE180" s="503">
        <f t="shared" si="13"/>
        <v>7</v>
      </c>
      <c r="BF180" s="503">
        <f t="shared" si="14"/>
        <v>16</v>
      </c>
      <c r="BG180" s="503">
        <f>IF($BE180="","",INDEX(安値!$E180:$CZ180,1,$BE180+1))</f>
        <v>0</v>
      </c>
      <c r="BH180" s="503">
        <f>IF($BF180="","",INDEX(安値!$E180:$CZ180,1,$BF180+1))</f>
        <v>1781</v>
      </c>
      <c r="BI180" s="503">
        <f>IF($BF180="","",MAX(INDEX(高値!$E180:$CZ180,1,$BE180+1):INDEX(高値!$E180:$CZ180,1,$BF180+1)))</f>
        <v>1903</v>
      </c>
      <c r="BJ180" s="503">
        <f>IF($BF180="","",AVERAGE(INDEX(終値!$E180:$CZ180,1,$BF180+1):INDEX(終値!$E180:$CZ180,1,$BF180+20))-2*STDEVP(INDEX(終値!$E180:$CZ180,1,$BF180+1):INDEX(終値!$E180:$CZ180,1,$BF180+20)))</f>
        <v>1696.9570271007519</v>
      </c>
      <c r="BK180" s="503">
        <f>IF($BE180="","",AVERAGE(INDEX(終値!$E180:$CZ180,1,$BE180+1):INDEX(終値!$E180:$CZ180,1,$BE180+20))-2*STDEVP(INDEX(終値!$E180:$CZ180,1,$BE180+1):INDEX(終値!$E180:$CZ180,1,$BE180+20)))</f>
        <v>1691.6574836545738</v>
      </c>
      <c r="BL180" s="503">
        <f t="shared" si="15"/>
        <v>3</v>
      </c>
      <c r="BM180" s="503">
        <f t="shared" si="16"/>
        <v>2</v>
      </c>
      <c r="BN180" s="503">
        <f t="shared" si="17"/>
        <v>18</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f>IF(終値!A181="","",IF(AND(安値!S181&lt;安値!R181,安値!S181&lt;安値!Q181,安値!S181&lt;安値!T181,安値!S181&lt;安値!U181),14,""))</f>
        <v>14</v>
      </c>
      <c r="O181" s="503" t="str">
        <f>IF(終値!A181="","",IF(AND(安値!T181&lt;安値!S181,安値!T181&lt;安値!R181,安値!T181&lt;安値!U181,安値!T181&lt;安値!V181),15,""))</f>
        <v/>
      </c>
      <c r="P181" s="503" t="str">
        <f>IF(終値!A181="","",IF(AND(安値!U181&lt;安値!T181,安値!U181&lt;安値!S181,安値!U181&lt;安値!V181,安値!U181&lt;安値!W181),16,""))</f>
        <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f>IF(終値!A181="","",IF(AND(安値!AA181&lt;安値!Z181,安値!AA181&lt;安値!Y181,安値!AA181&lt;安値!AB181,安値!AA181&lt;安値!AC181),22,""))</f>
        <v>22</v>
      </c>
      <c r="W181" s="503" t="str">
        <f>IF(終値!A181="","",IF(AND(安値!AB181&lt;安値!AA181,安値!AB181&lt;安値!Z181,安値!AB181&lt;安値!AC181,安値!AB181&lt;安値!AD181),23,""))</f>
        <v/>
      </c>
      <c r="X181" s="503" t="str">
        <f>IF(終値!A181="","",IF(AND(安値!AC181&lt;安値!AB181,安値!AC181&lt;安値!AA181,安値!AC181&lt;安値!AD181,安値!AC181&lt;安値!AE181),24,""))</f>
        <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f>IF(終値!A181="","",IF(AND(高値!H181&gt;高値!G181,高値!H181&gt;高値!F181,高値!H181&gt;高値!I181,高値!H181&gt;高値!J181),3,""))</f>
        <v>3</v>
      </c>
      <c r="AE181" s="503" t="str">
        <f>IF(終値!A181="","",IF(AND(高値!I181&gt;高値!H181,高値!I181&gt;高値!G181,高値!I181&gt;高値!J181,高値!I181&gt;高値!K181),4,""))</f>
        <v/>
      </c>
      <c r="AF181" s="503" t="str">
        <f>IF(終値!A181="","",IF(AND(高値!J181&gt;高値!I181,高値!J181&gt;高値!H181,高値!J181&gt;高値!K181,高値!J181&gt;高値!L181),5,""))</f>
        <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f>IF(終値!A181="","",IF(AND(高値!X181&gt;高値!W181,高値!X181&gt;高値!V181,高値!X181&gt;高値!Y181,高値!X181&gt;高値!Z181),19,""))</f>
        <v>19</v>
      </c>
      <c r="AU181" s="503" t="str">
        <f>IF(終値!A181="","",IF(AND(高値!Y181&gt;高値!X181,高値!Y181&gt;高値!W181,高値!Y181&gt;高値!Z181,高値!Y181&gt;高値!AA181),20,""))</f>
        <v/>
      </c>
      <c r="AV181" s="503" t="str">
        <f>IF(終値!A181="","",IF(AND(高値!Z181&gt;高値!Y181,高値!Z181&gt;高値!X181,高値!Z181&gt;高値!AA181,高値!Z181&gt;高値!AB181),21,""))</f>
        <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14</v>
      </c>
      <c r="BF181" s="503">
        <f t="shared" si="14"/>
        <v>22</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3</v>
      </c>
      <c r="BN181" s="503">
        <f t="shared" si="17"/>
        <v>19</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f>IF(終値!A182="","",IF(AND(安値!U182&lt;安値!T182,安値!U182&lt;安値!S182,安値!U182&lt;安値!V182,安値!U182&lt;安値!W182),16,""))</f>
        <v>16</v>
      </c>
      <c r="Q182" s="503" t="str">
        <f>IF(終値!A182="","",IF(AND(安値!V182&lt;安値!U182,安値!V182&lt;安値!T182,安値!V182&lt;安値!W182,安値!V182&lt;安値!X182),17,""))</f>
        <v/>
      </c>
      <c r="R182" s="503" t="str">
        <f>IF(終値!A182="","",IF(AND(安値!W182&lt;安値!V182,安値!W182&lt;安値!U182,安値!W182&lt;安値!X182,安値!W182&lt;安値!Y182),18,""))</f>
        <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f>IF(終値!A182="","",IF(AND(安値!AA182&lt;安値!Z182,安値!AA182&lt;安値!Y182,安値!AA182&lt;安値!AB182,安値!AA182&lt;安値!AC182),22,""))</f>
        <v>22</v>
      </c>
      <c r="W182" s="503" t="str">
        <f>IF(終値!A182="","",IF(AND(安値!AB182&lt;安値!AA182,安値!AB182&lt;安値!Z182,安値!AB182&lt;安値!AC182,安値!AB182&lt;安値!AD182),23,""))</f>
        <v/>
      </c>
      <c r="X182" s="503" t="str">
        <f>IF(終値!A182="","",IF(AND(安値!AC182&lt;安値!AB182,安値!AC182&lt;安値!AA182,安値!AC182&lt;安値!AD182,安値!AC182&lt;安値!AE182),24,""))</f>
        <v/>
      </c>
      <c r="Y182" s="503">
        <f>IF(終値!A182="","",IF(AND(安値!AD182&lt;安値!AC182,安値!AD182&lt;安値!AB182,安値!AD182&lt;安値!AE182,安値!AD182&lt;安値!AF182),25,""))</f>
        <v>25</v>
      </c>
      <c r="Z182" s="503" t="str">
        <f>IF(終値!A182="","",IF(AND(安値!AE182&lt;安値!AD182,安値!AE182&lt;安値!AC182,安値!AE182&lt;安値!AF182,安値!AE182&lt;安値!AG182),26,""))</f>
        <v/>
      </c>
      <c r="AA182" s="503" t="str">
        <f>IF(終値!A182="","",IF(AND(安値!AF182&lt;安値!AE182,安値!AF182&lt;安値!AD182,安値!AF182&lt;安値!AG182,安値!AF182&lt;安値!AH182),27,""))</f>
        <v/>
      </c>
      <c r="AB182" s="503" t="str">
        <f>IF(終値!A182="","",IF(AND(安値!AG182&lt;安値!AF182,安値!AG182&lt;安値!AE182,安値!AG182&lt;安値!AH182,安値!AG182&lt;安値!AI182),28,""))</f>
        <v/>
      </c>
      <c r="AC182" s="503">
        <f>IF(終値!A182="","",IF(AND(高値!G182&gt;高値!F182,高値!G182&gt;高値!E182,高値!G182&gt;高値!H182,高値!G182&gt;高値!I182),2,""))</f>
        <v>2</v>
      </c>
      <c r="AD182" s="503" t="str">
        <f>IF(終値!A182="","",IF(AND(高値!H182&gt;高値!G182,高値!H182&gt;高値!F182,高値!H182&gt;高値!I182,高値!H182&gt;高値!J182),3,""))</f>
        <v/>
      </c>
      <c r="AE182" s="503" t="str">
        <f>IF(終値!A182="","",IF(AND(高値!I182&gt;高値!H182,高値!I182&gt;高値!G182,高値!I182&gt;高値!J182,高値!I182&gt;高値!K182),4,""))</f>
        <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f>IF(終値!A182="","",IF(AND(高値!N182&gt;高値!M182,高値!N182&gt;高値!L182,高値!N182&gt;高値!O182,高値!N182&gt;高値!P182),9,""))</f>
        <v>9</v>
      </c>
      <c r="AK182" s="503" t="str">
        <f>IF(終値!A182="","",IF(AND(高値!O182&gt;高値!N182,高値!O182&gt;高値!M182,高値!O182&gt;高値!P182,高値!O182&gt;高値!Q182),10,""))</f>
        <v/>
      </c>
      <c r="AL182" s="503" t="str">
        <f>IF(終値!A182="","",IF(AND(高値!P182&gt;高値!O182,高値!P182&gt;高値!N182,高値!P182&gt;高値!Q182,高値!P182&gt;高値!R182),11,""))</f>
        <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f>IF(終値!A182="","",IF(AND(高値!W182&gt;高値!V182,高値!W182&gt;高値!U182,高値!W182&gt;高値!X182,高値!W182&gt;高値!Y182),18,""))</f>
        <v>18</v>
      </c>
      <c r="AT182" s="503" t="str">
        <f>IF(終値!A182="","",IF(AND(高値!X182&gt;高値!W182,高値!X182&gt;高値!V182,高値!X182&gt;高値!Y182,高値!X182&gt;高値!Z182),19,""))</f>
        <v/>
      </c>
      <c r="AU182" s="503" t="str">
        <f>IF(終値!A182="","",IF(AND(高値!Y182&gt;高値!X182,高値!Y182&gt;高値!W182,高値!Y182&gt;高値!Z182,高値!Y182&gt;高値!AA182),20,""))</f>
        <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f>IF(終値!A182="","",IF(AND(高値!AE182&gt;高値!AD182,高値!AE182&gt;高値!AC182,高値!AE182&gt;高値!AF182,高値!AE182&gt;高値!AG182),26,""))</f>
        <v>26</v>
      </c>
      <c r="BB182" s="503" t="str">
        <f>IF(終値!A182="","",IF(AND(高値!AF182&gt;高値!AE182,高値!AF182&gt;高値!AD182,高値!AF182&gt;高値!AG182,高値!AF182&gt;高値!AH182),27,""))</f>
        <v/>
      </c>
      <c r="BC182" s="503" t="str">
        <f>IF(終値!A182="","",IF(AND(高値!AG182&gt;高値!AF182,高値!AG182&gt;高値!AE182,高値!AG182&gt;高値!AH182,高値!AG182&gt;高値!AI182),28,""))</f>
        <v/>
      </c>
      <c r="BD182" s="503">
        <f t="shared" si="12"/>
        <v>3</v>
      </c>
      <c r="BE182" s="503">
        <f t="shared" si="13"/>
        <v>16</v>
      </c>
      <c r="BF182" s="503">
        <f t="shared" si="14"/>
        <v>22</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2</v>
      </c>
      <c r="BN182" s="503">
        <f t="shared" si="17"/>
        <v>9</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f>IF(終値!A183="","",IF(AND(安値!I183&lt;安値!H183,安値!I183&lt;安値!G183,安値!I183&lt;安値!J183,安値!I183&lt;安値!K183),4,""))</f>
        <v>4</v>
      </c>
      <c r="E183" s="503" t="str">
        <f>IF(終値!A183="","",IF(AND(安値!J183&lt;安値!I183,安値!J183&lt;安値!H183,安値!J183&lt;安値!K183,安値!J183&lt;安値!L183),5,""))</f>
        <v/>
      </c>
      <c r="F183" s="503" t="str">
        <f>IF(終値!A183="","",IF(AND(安値!K183&lt;安値!J183,安値!K183&lt;安値!I183,安値!K183&lt;安値!L183,安値!K183&lt;安値!M183),6,""))</f>
        <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f>IF(終値!A183="","",IF(AND(安値!P183&lt;安値!O183,安値!P183&lt;安値!N183,安値!P183&lt;安値!Q183,安値!P183&lt;安値!R183),11,""))</f>
        <v>11</v>
      </c>
      <c r="L183" s="503" t="str">
        <f>IF(終値!A183="","",IF(AND(安値!Q183&lt;安値!P183,安値!Q183&lt;安値!O183,安値!Q183&lt;安値!R183,安値!Q183&lt;安値!S183),12,""))</f>
        <v/>
      </c>
      <c r="M183" s="503" t="str">
        <f>IF(終値!A183="","",IF(AND(安値!R183&lt;安値!Q183,安値!R183&lt;安値!P183,安値!R183&lt;安値!S183,安値!R183&lt;安値!T183),13,""))</f>
        <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f>IF(終値!A183="","",IF(AND(安値!V183&lt;安値!U183,安値!V183&lt;安値!T183,安値!V183&lt;安値!W183,安値!V183&lt;安値!X183),17,""))</f>
        <v>17</v>
      </c>
      <c r="R183" s="503" t="str">
        <f>IF(終値!A183="","",IF(AND(安値!W183&lt;安値!V183,安値!W183&lt;安値!U183,安値!W183&lt;安値!X183,安値!W183&lt;安値!Y183),18,""))</f>
        <v/>
      </c>
      <c r="S183" s="503" t="str">
        <f>IF(終値!A183="","",IF(AND(安値!X183&lt;安値!W183,安値!X183&lt;安値!V183,安値!X183&lt;安値!Y183,安値!X183&lt;安値!Z183),19,""))</f>
        <v/>
      </c>
      <c r="T183" s="503">
        <f>IF(終値!A183="","",IF(AND(安値!Y183&lt;安値!X183,安値!Y183&lt;安値!W183,安値!Y183&lt;安値!Z183,安値!Y183&lt;安値!AA183),20,""))</f>
        <v>20</v>
      </c>
      <c r="U183" s="503" t="str">
        <f>IF(終値!A183="","",IF(AND(安値!Z183&lt;安値!Y183,安値!Z183&lt;安値!X183,安値!Z183&lt;安値!AA183,安値!Z183&lt;安値!AB183),21,""))</f>
        <v/>
      </c>
      <c r="V183" s="503" t="str">
        <f>IF(終値!A183="","",IF(AND(安値!AA183&lt;安値!Z183,安値!AA183&lt;安値!Y183,安値!AA183&lt;安値!AB183,安値!AA183&lt;安値!AC183),22,""))</f>
        <v/>
      </c>
      <c r="W183" s="503" t="str">
        <f>IF(終値!A183="","",IF(AND(安値!AB183&lt;安値!AA183,安値!AB183&lt;安値!Z183,安値!AB183&lt;安値!AC183,安値!AB183&lt;安値!AD183),23,""))</f>
        <v/>
      </c>
      <c r="X183" s="503">
        <f>IF(終値!A183="","",IF(AND(安値!AC183&lt;安値!AB183,安値!AC183&lt;安値!AA183,安値!AC183&lt;安値!AD183,安値!AC183&lt;安値!AE183),24,""))</f>
        <v>24</v>
      </c>
      <c r="Y183" s="503" t="str">
        <f>IF(終値!A183="","",IF(AND(安値!AD183&lt;安値!AC183,安値!AD183&lt;安値!AB183,安値!AD183&lt;安値!AE183,安値!AD183&lt;安値!AF183),25,""))</f>
        <v/>
      </c>
      <c r="Z183" s="503" t="str">
        <f>IF(終値!A183="","",IF(AND(安値!AE183&lt;安値!AD183,安値!AE183&lt;安値!AC183,安値!AE183&lt;安値!AF183,安値!AE183&lt;安値!AG183),26,""))</f>
        <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f>IF(終値!A183="","",IF(AND(高値!N183&gt;高値!M183,高値!N183&gt;高値!L183,高値!N183&gt;高値!O183,高値!N183&gt;高値!P183),9,""))</f>
        <v>9</v>
      </c>
      <c r="AK183" s="503" t="str">
        <f>IF(終値!A183="","",IF(AND(高値!O183&gt;高値!N183,高値!O183&gt;高値!M183,高値!O183&gt;高値!P183,高値!O183&gt;高値!Q183),10,""))</f>
        <v/>
      </c>
      <c r="AL183" s="503" t="str">
        <f>IF(終値!A183="","",IF(AND(高値!P183&gt;高値!O183,高値!P183&gt;高値!N183,高値!P183&gt;高値!Q183,高値!P183&gt;高値!R183),11,""))</f>
        <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f>IF(終値!A183="","",IF(AND(高値!T183&gt;高値!S183,高値!T183&gt;高値!R183,高値!T183&gt;高値!U183,高値!T183&gt;高値!V183),15,""))</f>
        <v>15</v>
      </c>
      <c r="AQ183" s="503" t="str">
        <f>IF(終値!A183="","",IF(AND(高値!U183&gt;高値!T183,高値!U183&gt;高値!S183,高値!U183&gt;高値!V183,高値!U183&gt;高値!W183),16,""))</f>
        <v/>
      </c>
      <c r="AR183" s="503" t="str">
        <f>IF(終値!A183="","",IF(AND(高値!V183&gt;高値!U183,高値!V183&gt;高値!T183,高値!V183&gt;高値!W183,高値!V183&gt;高値!X183),17,""))</f>
        <v/>
      </c>
      <c r="AS183" s="503">
        <f>IF(終値!A183="","",IF(AND(高値!W183&gt;高値!V183,高値!W183&gt;高値!U183,高値!W183&gt;高値!X183,高値!W183&gt;高値!Y183),18,""))</f>
        <v>18</v>
      </c>
      <c r="AT183" s="503" t="str">
        <f>IF(終値!A183="","",IF(AND(高値!X183&gt;高値!W183,高値!X183&gt;高値!V183,高値!X183&gt;高値!Y183,高値!X183&gt;高値!Z183),19,""))</f>
        <v/>
      </c>
      <c r="AU183" s="503" t="str">
        <f>IF(終値!A183="","",IF(AND(高値!Y183&gt;高値!X183,高値!Y183&gt;高値!W183,高値!Y183&gt;高値!Z183,高値!Y183&gt;高値!AA183),20,""))</f>
        <v/>
      </c>
      <c r="AV183" s="503" t="str">
        <f>IF(終値!A183="","",IF(AND(高値!Z183&gt;高値!Y183,高値!Z183&gt;高値!X183,高値!Z183&gt;高値!AA183,高値!Z183&gt;高値!AB183),21,""))</f>
        <v/>
      </c>
      <c r="AW183" s="503">
        <f>IF(終値!A183="","",IF(AND(高値!AA183&gt;高値!Z183,高値!AA183&gt;高値!Y183,高値!AA183&gt;高値!AB183,高値!AA183&gt;高値!AC183),22,""))</f>
        <v>22</v>
      </c>
      <c r="AX183" s="503" t="str">
        <f>IF(終値!A183="","",IF(AND(高値!AB183&gt;高値!AA183,高値!AB183&gt;高値!Z183,高値!AB183&gt;高値!AC183,高値!AB183&gt;高値!AD183),23,""))</f>
        <v/>
      </c>
      <c r="AY183" s="503" t="str">
        <f>IF(終値!A183="","",IF(AND(高値!AC183&gt;高値!AB183,高値!AC183&gt;高値!AA183,高値!AC183&gt;高値!AD183,高値!AC183&gt;高値!AE183),24,""))</f>
        <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f>IF(終値!A183="","",IF(AND(高値!AG183&gt;高値!AF183,高値!AG183&gt;高値!AE183,高値!AG183&gt;高値!AH183,高値!AG183&gt;高値!AI183),28,""))</f>
        <v>28</v>
      </c>
      <c r="BD183" s="503">
        <f t="shared" si="12"/>
        <v>5</v>
      </c>
      <c r="BE183" s="503">
        <f t="shared" si="13"/>
        <v>4</v>
      </c>
      <c r="BF183" s="503">
        <f t="shared" si="14"/>
        <v>11</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5</v>
      </c>
      <c r="BM183" s="503">
        <f t="shared" si="16"/>
        <v>9</v>
      </c>
      <c r="BN183" s="503">
        <f t="shared" si="17"/>
        <v>15</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f>IF(終値!A184="","",IF(AND(安値!AA184&lt;安値!Z184,安値!AA184&lt;安値!Y184,安値!AA184&lt;安値!AB184,安値!AA184&lt;安値!AC184),22,""))</f>
        <v>22</v>
      </c>
      <c r="W184" s="503" t="str">
        <f>IF(終値!A184="","",IF(AND(安値!AB184&lt;安値!AA184,安値!AB184&lt;安値!Z184,安値!AB184&lt;安値!AC184,安値!AB184&lt;安値!AD184),23,""))</f>
        <v/>
      </c>
      <c r="X184" s="503" t="str">
        <f>IF(終値!A184="","",IF(AND(安値!AC184&lt;安値!AB184,安値!AC184&lt;安値!AA184,安値!AC184&lt;安値!AD184,安値!AC184&lt;安値!AE184),24,""))</f>
        <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f>IF(終値!A184="","",IF(AND(高値!I184&gt;高値!H184,高値!I184&gt;高値!G184,高値!I184&gt;高値!J184,高値!I184&gt;高値!K184),4,""))</f>
        <v>4</v>
      </c>
      <c r="AF184" s="503" t="str">
        <f>IF(終値!A184="","",IF(AND(高値!J184&gt;高値!I184,高値!J184&gt;高値!H184,高値!J184&gt;高値!K184,高値!J184&gt;高値!L184),5,""))</f>
        <v/>
      </c>
      <c r="AG184" s="503" t="str">
        <f>IF(終値!A184="","",IF(AND(高値!K184&gt;高値!J184,高値!K184&gt;高値!I184,高値!K184&gt;高値!L184,高値!K184&gt;高値!M184),6,""))</f>
        <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f>IF(終値!A184="","",IF(AND(高値!O184&gt;高値!N184,高値!O184&gt;高値!M184,高値!O184&gt;高値!P184,高値!O184&gt;高値!Q184),10,""))</f>
        <v>10</v>
      </c>
      <c r="AL184" s="503" t="str">
        <f>IF(終値!A184="","",IF(AND(高値!P184&gt;高値!O184,高値!P184&gt;高値!N184,高値!P184&gt;高値!Q184,高値!P184&gt;高値!R184),11,""))</f>
        <v/>
      </c>
      <c r="AM184" s="503" t="str">
        <f>IF(終値!A184="","",IF(AND(高値!Q184&gt;高値!P184,高値!Q184&gt;高値!O184,高値!Q184&gt;高値!R184,高値!Q184&gt;高値!S184),12,""))</f>
        <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f>IF(終値!A184="","",IF(AND(高値!W184&gt;高値!V184,高値!W184&gt;高値!U184,高値!W184&gt;高値!X184,高値!W184&gt;高値!Y184),18,""))</f>
        <v>18</v>
      </c>
      <c r="AT184" s="503" t="str">
        <f>IF(終値!A184="","",IF(AND(高値!X184&gt;高値!W184,高値!X184&gt;高値!V184,高値!X184&gt;高値!Y184,高値!X184&gt;高値!Z184),19,""))</f>
        <v/>
      </c>
      <c r="AU184" s="503" t="str">
        <f>IF(終値!A184="","",IF(AND(高値!Y184&gt;高値!X184,高値!Y184&gt;高値!W184,高値!Y184&gt;高値!Z184,高値!Y184&gt;高値!AA184),20,""))</f>
        <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4</v>
      </c>
      <c r="BN184" s="503">
        <f t="shared" si="17"/>
        <v>10</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f>IF(終値!A185="","",IF(AND(安値!I185&lt;安値!H185,安値!I185&lt;安値!G185,安値!I185&lt;安値!J185,安値!I185&lt;安値!K185),4,""))</f>
        <v>4</v>
      </c>
      <c r="E185" s="503" t="str">
        <f>IF(終値!A185="","",IF(AND(安値!J185&lt;安値!I185,安値!J185&lt;安値!H185,安値!J185&lt;安値!K185,安値!J185&lt;安値!L185),5,""))</f>
        <v/>
      </c>
      <c r="F185" s="503" t="str">
        <f>IF(終値!A185="","",IF(AND(安値!K185&lt;安値!J185,安値!K185&lt;安値!I185,安値!K185&lt;安値!L185,安値!K185&lt;安値!M185),6,""))</f>
        <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f>IF(終値!A185="","",IF(AND(安値!P185&lt;安値!O185,安値!P185&lt;安値!N185,安値!P185&lt;安値!Q185,安値!P185&lt;安値!R185),11,""))</f>
        <v>11</v>
      </c>
      <c r="L185" s="503" t="str">
        <f>IF(終値!A185="","",IF(AND(安値!Q185&lt;安値!P185,安値!Q185&lt;安値!O185,安値!Q185&lt;安値!R185,安値!Q185&lt;安値!S185),12,""))</f>
        <v/>
      </c>
      <c r="M185" s="503" t="str">
        <f>IF(終値!A185="","",IF(AND(安値!R185&lt;安値!Q185,安値!R185&lt;安値!P185,安値!R185&lt;安値!S185,安値!R185&lt;安値!T185),13,""))</f>
        <v/>
      </c>
      <c r="N185" s="503">
        <f>IF(終値!A185="","",IF(AND(安値!S185&lt;安値!R185,安値!S185&lt;安値!Q185,安値!S185&lt;安値!T185,安値!S185&lt;安値!U185),14,""))</f>
        <v>14</v>
      </c>
      <c r="O185" s="503" t="str">
        <f>IF(終値!A185="","",IF(AND(安値!T185&lt;安値!S185,安値!T185&lt;安値!R185,安値!T185&lt;安値!U185,安値!T185&lt;安値!V185),15,""))</f>
        <v/>
      </c>
      <c r="P185" s="503" t="str">
        <f>IF(終値!A185="","",IF(AND(安値!U185&lt;安値!T185,安値!U185&lt;安値!S185,安値!U185&lt;安値!V185,安値!U185&lt;安値!W185),16,""))</f>
        <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f>IF(終値!A185="","",IF(AND(安値!AA185&lt;安値!Z185,安値!AA185&lt;安値!Y185,安値!AA185&lt;安値!AB185,安値!AA185&lt;安値!AC185),22,""))</f>
        <v>22</v>
      </c>
      <c r="W185" s="503" t="str">
        <f>IF(終値!A185="","",IF(AND(安値!AB185&lt;安値!AA185,安値!AB185&lt;安値!Z185,安値!AB185&lt;安値!AC185,安値!AB185&lt;安値!AD185),23,""))</f>
        <v/>
      </c>
      <c r="X185" s="503" t="str">
        <f>IF(終値!A185="","",IF(AND(安値!AC185&lt;安値!AB185,安値!AC185&lt;安値!AA185,安値!AC185&lt;安値!AD185,安値!AC185&lt;安値!AE185),24,""))</f>
        <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f>IF(終値!A185="","",IF(AND(安値!AG185&lt;安値!AF185,安値!AG185&lt;安値!AE185,安値!AG185&lt;安値!AH185,安値!AG185&lt;安値!AI185),28,""))</f>
        <v>28</v>
      </c>
      <c r="AC185" s="503" t="str">
        <f>IF(終値!A185="","",IF(AND(高値!G185&gt;高値!F185,高値!G185&gt;高値!E185,高値!G185&gt;高値!H185,高値!G185&gt;高値!I185),2,""))</f>
        <v/>
      </c>
      <c r="AD185" s="503" t="str">
        <f>IF(終値!A185="","",IF(AND(高値!H185&gt;高値!G185,高値!H185&gt;高値!F185,高値!H185&gt;高値!I185,高値!H185&gt;高値!J185),3,""))</f>
        <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f>IF(終値!A185="","",IF(AND(高値!K185&gt;高値!J185,高値!K185&gt;高値!I185,高値!K185&gt;高値!L185,高値!K185&gt;高値!M185),6,""))</f>
        <v>6</v>
      </c>
      <c r="AH185" s="503" t="str">
        <f>IF(終値!A185="","",IF(AND(高値!L185&gt;高値!K185,高値!L185&gt;高値!J185,高値!L185&gt;高値!M185,高値!L185&gt;高値!N185),7,""))</f>
        <v/>
      </c>
      <c r="AI185" s="503" t="str">
        <f>IF(終値!A185="","",IF(AND(高値!M185&gt;高値!L185,高値!M185&gt;高値!K185,高値!M185&gt;高値!N185,高値!M185&gt;高値!O185),8,""))</f>
        <v/>
      </c>
      <c r="AJ185" s="503">
        <f>IF(終値!A185="","",IF(AND(高値!N185&gt;高値!M185,高値!N185&gt;高値!L185,高値!N185&gt;高値!O185,高値!N185&gt;高値!P185),9,""))</f>
        <v>9</v>
      </c>
      <c r="AK185" s="503" t="str">
        <f>IF(終値!A185="","",IF(AND(高値!O185&gt;高値!N185,高値!O185&gt;高値!M185,高値!O185&gt;高値!P185,高値!O185&gt;高値!Q185),10,""))</f>
        <v/>
      </c>
      <c r="AL185" s="503" t="str">
        <f>IF(終値!A185="","",IF(AND(高値!P185&gt;高値!O185,高値!P185&gt;高値!N185,高値!P185&gt;高値!Q185,高値!P185&gt;高値!R185),11,""))</f>
        <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f>IF(終値!A185="","",IF(AND(高値!V185&gt;高値!U185,高値!V185&gt;高値!T185,高値!V185&gt;高値!W185,高値!V185&gt;高値!X185),17,""))</f>
        <v>17</v>
      </c>
      <c r="AS185" s="503" t="str">
        <f>IF(終値!A185="","",IF(AND(高値!W185&gt;高値!V185,高値!W185&gt;高値!U185,高値!W185&gt;高値!X185,高値!W185&gt;高値!Y185),18,""))</f>
        <v/>
      </c>
      <c r="AT185" s="503" t="str">
        <f>IF(終値!A185="","",IF(AND(高値!X185&gt;高値!W185,高値!X185&gt;高値!V185,高値!X185&gt;高値!Y185,高値!X185&gt;高値!Z185),19,""))</f>
        <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f>IF(終値!A185="","",IF(AND(高値!AC185&gt;高値!AB185,高値!AC185&gt;高値!AA185,高値!AC185&gt;高値!AD185,高値!AC185&gt;高値!AE185),24,""))</f>
        <v>24</v>
      </c>
      <c r="AZ185" s="503" t="str">
        <f>IF(終値!A185="","",IF(AND(高値!AD185&gt;高値!AC185,高値!AD185&gt;高値!AB185,高値!AD185&gt;高値!AE185,高値!AD185&gt;高値!AF185),25,""))</f>
        <v/>
      </c>
      <c r="BA185" s="503" t="str">
        <f>IF(終値!A185="","",IF(AND(高値!AE185&gt;高値!AD185,高値!AE185&gt;高値!AC185,高値!AE185&gt;高値!AF185,高値!AE185&gt;高値!AG185),26,""))</f>
        <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5</v>
      </c>
      <c r="BE185" s="503">
        <f t="shared" si="13"/>
        <v>4</v>
      </c>
      <c r="BF185" s="503">
        <f t="shared" si="14"/>
        <v>11</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4</v>
      </c>
      <c r="BM185" s="503">
        <f t="shared" si="16"/>
        <v>6</v>
      </c>
      <c r="BN185" s="503">
        <f t="shared" si="17"/>
        <v>9</v>
      </c>
      <c r="BO185" s="503">
        <f>IF($BM185="","",INDEX(高値!$E185:$CZ185,1,$BM185+1))</f>
        <v>2393</v>
      </c>
      <c r="BP185" s="503">
        <f>IF($BN185="","",INDEX(高値!$E185:$CZ185,1,$BN185+1))</f>
        <v>2369</v>
      </c>
      <c r="BQ185" s="503">
        <f>IF($BN185="","",MIN(INDEX(安値!$E185:$CZ185,1,$BM185+1):INDEX(安値!$E185:$CZ185,1,$BN185+1)))</f>
        <v>2328</v>
      </c>
      <c r="BR185" s="503">
        <f>IF($BN185="","",AVERAGE(INDEX(終値!$E185:$CZ185,1,$BN185+1):INDEX(終値!$E185:$CZ185,1,$BN185+20))+2*STDEVP(INDEX(終値!$E185:$CZ185,1,$BN185+1):INDEX(終値!$E185:$CZ185,1,$BN185+20)))</f>
        <v>2389.6952865781523</v>
      </c>
      <c r="BS185" s="503">
        <f>IF($BM185="","",AVERAGE(INDEX(終値!$E185:$CZ185,1,$BM185+1):INDEX(終値!$E185:$CZ185,1,$BM185+20))+2*STDEVP(INDEX(終値!$E185:$CZ185,1,$BM185+1):INDEX(終値!$E185:$CZ185,1,$BM185+20)))</f>
        <v>2407.7936603262197</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t="str">
        <f>IF(終値!A186="","",IF(AND(安値!H186&lt;安値!G186,安値!H186&lt;安値!F186,安値!H186&lt;安値!I186,安値!H186&lt;安値!J186),3,""))</f>
        <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f>IF(終値!A186="","",IF(AND(安値!S186&lt;安値!R186,安値!S186&lt;安値!Q186,安値!S186&lt;安値!T186,安値!S186&lt;安値!U186),14,""))</f>
        <v>14</v>
      </c>
      <c r="O186" s="503" t="str">
        <f>IF(終値!A186="","",IF(AND(安値!T186&lt;安値!S186,安値!T186&lt;安値!R186,安値!T186&lt;安値!U186,安値!T186&lt;安値!V186),15,""))</f>
        <v/>
      </c>
      <c r="P186" s="503" t="str">
        <f>IF(終値!A186="","",IF(AND(安値!U186&lt;安値!T186,安値!U186&lt;安値!S186,安値!U186&lt;安値!V186,安値!U186&lt;安値!W186),16,""))</f>
        <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f>IF(終値!A186="","",IF(AND(安値!AF186&lt;安値!AE186,安値!AF186&lt;安値!AD186,安値!AF186&lt;安値!AG186,安値!AF186&lt;安値!AH186),27,""))</f>
        <v>27</v>
      </c>
      <c r="AB186" s="503" t="str">
        <f>IF(終値!A186="","",IF(AND(安値!AG186&lt;安値!AF186,安値!AG186&lt;安値!AE186,安値!AG186&lt;安値!AH186,安値!AG186&lt;安値!AI186),28,""))</f>
        <v/>
      </c>
      <c r="AC186" s="503" t="str">
        <f>IF(終値!A186="","",IF(AND(高値!G186&gt;高値!F186,高値!G186&gt;高値!E186,高値!G186&gt;高値!H186,高値!G186&gt;高値!I186),2,""))</f>
        <v/>
      </c>
      <c r="AD186" s="503" t="str">
        <f>IF(終値!A186="","",IF(AND(高値!H186&gt;高値!G186,高値!H186&gt;高値!F186,高値!H186&gt;高値!I186,高値!H186&gt;高値!J186),3,""))</f>
        <v/>
      </c>
      <c r="AE186" s="503">
        <f>IF(終値!A186="","",IF(AND(高値!I186&gt;高値!H186,高値!I186&gt;高値!G186,高値!I186&gt;高値!J186,高値!I186&gt;高値!K186),4,""))</f>
        <v>4</v>
      </c>
      <c r="AF186" s="503" t="str">
        <f>IF(終値!A186="","",IF(AND(高値!J186&gt;高値!I186,高値!J186&gt;高値!H186,高値!J186&gt;高値!K186,高値!J186&gt;高値!L186),5,""))</f>
        <v/>
      </c>
      <c r="AG186" s="503" t="str">
        <f>IF(終値!A186="","",IF(AND(高値!K186&gt;高値!J186,高値!K186&gt;高値!I186,高値!K186&gt;高値!L186,高値!K186&gt;高値!M186),6,""))</f>
        <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f>IF(終値!A186="","",IF(AND(高値!O186&gt;高値!N186,高値!O186&gt;高値!M186,高値!O186&gt;高値!P186,高値!O186&gt;高値!Q186),10,""))</f>
        <v>10</v>
      </c>
      <c r="AL186" s="503" t="str">
        <f>IF(終値!A186="","",IF(AND(高値!P186&gt;高値!O186,高値!P186&gt;高値!N186,高値!P186&gt;高値!Q186,高値!P186&gt;高値!R186),11,""))</f>
        <v/>
      </c>
      <c r="AM186" s="503" t="str">
        <f>IF(終値!A186="","",IF(AND(高値!Q186&gt;高値!P186,高値!Q186&gt;高値!O186,高値!Q186&gt;高値!R186,高値!Q186&gt;高値!S186),12,""))</f>
        <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f>IF(終値!A186="","",IF(AND(高値!U186&gt;高値!T186,高値!U186&gt;高値!S186,高値!U186&gt;高値!V186,高値!U186&gt;高値!W186),16,""))</f>
        <v>16</v>
      </c>
      <c r="AR186" s="503" t="str">
        <f>IF(終値!A186="","",IF(AND(高値!V186&gt;高値!U186,高値!V186&gt;高値!T186,高値!V186&gt;高値!W186,高値!V186&gt;高値!X186),17,""))</f>
        <v/>
      </c>
      <c r="AS186" s="503" t="str">
        <f>IF(終値!A186="","",IF(AND(高値!W186&gt;高値!V186,高値!W186&gt;高値!U186,高値!W186&gt;高値!X186,高値!W186&gt;高値!Y186),18,""))</f>
        <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14</v>
      </c>
      <c r="BF186" s="503">
        <f t="shared" si="14"/>
        <v>27</v>
      </c>
      <c r="BG186" s="503">
        <f>IF($BE186="","",INDEX(安値!$E186:$CZ186,1,$BE186+1))</f>
        <v>1077</v>
      </c>
      <c r="BH186" s="503">
        <f>IF($BF186="","",INDEX(安値!$E186:$CZ186,1,$BF186+1))</f>
        <v>1027.5</v>
      </c>
      <c r="BI186" s="503">
        <f>IF($BF186="","",MAX(INDEX(高値!$E186:$CZ186,1,$BE186+1):INDEX(高値!$E186:$CZ186,1,$BF186+1)))</f>
        <v>1109.5</v>
      </c>
      <c r="BJ186" s="503">
        <f>IF($BF186="","",AVERAGE(INDEX(終値!$E186:$CZ186,1,$BF186+1):INDEX(終値!$E186:$CZ186,1,$BF186+20))-2*STDEVP(INDEX(終値!$E186:$CZ186,1,$BF186+1):INDEX(終値!$E186:$CZ186,1,$BF186+20)))</f>
        <v>975.30363991402078</v>
      </c>
      <c r="BK186" s="503">
        <f>IF($BE186="","",AVERAGE(INDEX(終値!$E186:$CZ186,1,$BE186+1):INDEX(終値!$E186:$CZ186,1,$BE186+20))-2*STDEVP(INDEX(終値!$E186:$CZ186,1,$BE186+1):INDEX(終値!$E186:$CZ186,1,$BE186+20)))</f>
        <v>1017.6971962846202</v>
      </c>
      <c r="BL186" s="503">
        <f t="shared" si="15"/>
        <v>3</v>
      </c>
      <c r="BM186" s="503">
        <f t="shared" si="16"/>
        <v>4</v>
      </c>
      <c r="BN186" s="503">
        <f t="shared" si="17"/>
        <v>10</v>
      </c>
      <c r="BO186" s="503">
        <f>IF($BM186="","",INDEX(高値!$E186:$CZ186,1,$BM186+1))</f>
        <v>1210</v>
      </c>
      <c r="BP186" s="503">
        <f>IF($BN186="","",INDEX(高値!$E186:$CZ186,1,$BN186+1))</f>
        <v>1159.5</v>
      </c>
      <c r="BQ186" s="503">
        <f>IF($BN186="","",MIN(INDEX(安値!$E186:$CZ186,1,$BM186+1):INDEX(安値!$E186:$CZ186,1,$BN186+1)))</f>
        <v>1126.5</v>
      </c>
      <c r="BR186" s="503">
        <f>IF($BN186="","",AVERAGE(INDEX(終値!$E186:$CZ186,1,$BN186+1):INDEX(終値!$E186:$CZ186,1,$BN186+20))+2*STDEVP(INDEX(終値!$E186:$CZ186,1,$BN186+1):INDEX(終値!$E186:$CZ186,1,$BN186+20)))</f>
        <v>1142.6597183011477</v>
      </c>
      <c r="BS186" s="503">
        <f>IF($BM186="","",AVERAGE(INDEX(終値!$E186:$CZ186,1,$BM186+1):INDEX(終値!$E186:$CZ186,1,$BM186+20))+2*STDEVP(INDEX(終値!$E186:$CZ186,1,$BM186+1):INDEX(終値!$E186:$CZ186,1,$BM186+20)))</f>
        <v>1190.5500651041391</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二番底W▲</v>
      </c>
    </row>
    <row r="187" spans="2:72">
      <c r="B187" s="503">
        <f>IF(終値!A187="","",IF(AND(安値!G187&lt;安値!F187,安値!G187&lt;安値!E187,安値!G187&lt;安値!H187,安値!G187&lt;安値!I187),2,""))</f>
        <v>2</v>
      </c>
      <c r="C187" s="503" t="str">
        <f>IF(終値!A187="","",IF(AND(安値!H187&lt;安値!G187,安値!H187&lt;安値!F187,安値!H187&lt;安値!I187,安値!H187&lt;安値!J187),3,""))</f>
        <v/>
      </c>
      <c r="D187" s="503" t="str">
        <f>IF(終値!A187="","",IF(AND(安値!I187&lt;安値!H187,安値!I187&lt;安値!G187,安値!I187&lt;安値!J187,安値!I187&lt;安値!K187),4,""))</f>
        <v/>
      </c>
      <c r="E187" s="503" t="str">
        <f>IF(終値!A187="","",IF(AND(安値!J187&lt;安値!I187,安値!J187&lt;安値!H187,安値!J187&lt;安値!K187,安値!J187&lt;安値!L187),5,""))</f>
        <v/>
      </c>
      <c r="F187" s="503" t="str">
        <f>IF(終値!A187="","",IF(AND(安値!K187&lt;安値!J187,安値!K187&lt;安値!I187,安値!K187&lt;安値!L187,安値!K187&lt;安値!M187),6,""))</f>
        <v/>
      </c>
      <c r="G187" s="503">
        <f>IF(終値!A187="","",IF(AND(安値!L187&lt;安値!K187,安値!L187&lt;安値!J187,安値!L187&lt;安値!M187,安値!L187&lt;安値!N187),7,""))</f>
        <v>7</v>
      </c>
      <c r="H187" s="503" t="str">
        <f>IF(終値!A187="","",IF(AND(安値!M187&lt;安値!L187,安値!M187&lt;安値!K187,安値!M187&lt;安値!N187,安値!M187&lt;安値!O187),8,""))</f>
        <v/>
      </c>
      <c r="I187" s="503" t="str">
        <f>IF(終値!A187="","",IF(AND(安値!N187&lt;安値!M187,安値!N187&lt;安値!L187,安値!N187&lt;安値!O187,安値!N187&lt;安値!P187),9,""))</f>
        <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f>IF(終値!A187="","",IF(AND(安値!S187&lt;安値!R187,安値!S187&lt;安値!Q187,安値!S187&lt;安値!T187,安値!S187&lt;安値!U187),14,""))</f>
        <v>14</v>
      </c>
      <c r="O187" s="503" t="str">
        <f>IF(終値!A187="","",IF(AND(安値!T187&lt;安値!S187,安値!T187&lt;安値!R187,安値!T187&lt;安値!U187,安値!T187&lt;安値!V187),15,""))</f>
        <v/>
      </c>
      <c r="P187" s="503" t="str">
        <f>IF(終値!A187="","",IF(AND(安値!U187&lt;安値!T187,安値!U187&lt;安値!S187,安値!U187&lt;安値!V187,安値!U187&lt;安値!W187),16,""))</f>
        <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f>IF(終値!A187="","",IF(AND(安値!AD187&lt;安値!AC187,安値!AD187&lt;安値!AB187,安値!AD187&lt;安値!AE187,安値!AD187&lt;安値!AF187),25,""))</f>
        <v>25</v>
      </c>
      <c r="Z187" s="503" t="str">
        <f>IF(終値!A187="","",IF(AND(安値!AE187&lt;安値!AD187,安値!AE187&lt;安値!AC187,安値!AE187&lt;安値!AF187,安値!AE187&lt;安値!AG187),26,""))</f>
        <v/>
      </c>
      <c r="AA187" s="503" t="str">
        <f>IF(終値!A187="","",IF(AND(安値!AF187&lt;安値!AE187,安値!AF187&lt;安値!AD187,安値!AF187&lt;安値!AG187,安値!AF187&lt;安値!AH187),27,""))</f>
        <v/>
      </c>
      <c r="AB187" s="503" t="str">
        <f>IF(終値!A187="","",IF(AND(安値!AG187&lt;安値!AF187,安値!AG187&lt;安値!AE187,安値!AG187&lt;安値!AH187,安値!AG187&lt;安値!AI187),28,""))</f>
        <v/>
      </c>
      <c r="AC187" s="503" t="str">
        <f>IF(終値!A187="","",IF(AND(高値!G187&gt;高値!F187,高値!G187&gt;高値!E187,高値!G187&gt;高値!H187,高値!G187&gt;高値!I187),2,""))</f>
        <v/>
      </c>
      <c r="AD187" s="503">
        <f>IF(終値!A187="","",IF(AND(高値!H187&gt;高値!G187,高値!H187&gt;高値!F187,高値!H187&gt;高値!I187,高値!H187&gt;高値!J187),3,""))</f>
        <v>3</v>
      </c>
      <c r="AE187" s="503" t="str">
        <f>IF(終値!A187="","",IF(AND(高値!I187&gt;高値!H187,高値!I187&gt;高値!G187,高値!I187&gt;高値!J187,高値!I187&gt;高値!K187),4,""))</f>
        <v/>
      </c>
      <c r="AF187" s="503" t="str">
        <f>IF(終値!A187="","",IF(AND(高値!J187&gt;高値!I187,高値!J187&gt;高値!H187,高値!J187&gt;高値!K187,高値!J187&gt;高値!L187),5,""))</f>
        <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f>IF(終値!A187="","",IF(AND(高値!R187&gt;高値!Q187,高値!R187&gt;高値!P187,高値!R187&gt;高値!S187,高値!R187&gt;高値!T187),13,""))</f>
        <v>13</v>
      </c>
      <c r="AO187" s="503" t="str">
        <f>IF(終値!A187="","",IF(AND(高値!S187&gt;高値!R187,高値!S187&gt;高値!Q187,高値!S187&gt;高値!T187,高値!S187&gt;高値!U187),14,""))</f>
        <v/>
      </c>
      <c r="AP187" s="503" t="str">
        <f>IF(終値!A187="","",IF(AND(高値!T187&gt;高値!S187,高値!T187&gt;高値!R187,高値!T187&gt;高値!U187,高値!T187&gt;高値!V187),15,""))</f>
        <v/>
      </c>
      <c r="AQ187" s="503" t="str">
        <f>IF(終値!A187="","",IF(AND(高値!U187&gt;高値!T187,高値!U187&gt;高値!S187,高値!U187&gt;高値!V187,高値!U187&gt;高値!W187),16,""))</f>
        <v/>
      </c>
      <c r="AR187" s="503">
        <f>IF(終値!A187="","",IF(AND(高値!V187&gt;高値!U187,高値!V187&gt;高値!T187,高値!V187&gt;高値!W187,高値!V187&gt;高値!X187),17,""))</f>
        <v>17</v>
      </c>
      <c r="AS187" s="503" t="str">
        <f>IF(終値!A187="","",IF(AND(高値!W187&gt;高値!V187,高値!W187&gt;高値!U187,高値!W187&gt;高値!X187,高値!W187&gt;高値!Y187),18,""))</f>
        <v/>
      </c>
      <c r="AT187" s="503" t="str">
        <f>IF(終値!A187="","",IF(AND(高値!X187&gt;高値!W187,高値!X187&gt;高値!V187,高値!X187&gt;高値!Y187,高値!X187&gt;高値!Z187),19,""))</f>
        <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2</v>
      </c>
      <c r="BF187" s="503">
        <f t="shared" si="14"/>
        <v>7</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3</v>
      </c>
      <c r="BM187" s="503">
        <f t="shared" si="16"/>
        <v>3</v>
      </c>
      <c r="BN187" s="503">
        <f t="shared" si="17"/>
        <v>13</v>
      </c>
      <c r="BO187" s="503">
        <f>IF($BM187="","",INDEX(高値!$E187:$CZ187,1,$BM187+1))</f>
        <v>714.9</v>
      </c>
      <c r="BP187" s="503">
        <f>IF($BN187="","",INDEX(高値!$E187:$CZ187,1,$BN187+1))</f>
        <v>685.1</v>
      </c>
      <c r="BQ187" s="503">
        <f>IF($BN187="","",MIN(INDEX(安値!$E187:$CZ187,1,$BM187+1):INDEX(安値!$E187:$CZ187,1,$BN187+1)))</f>
        <v>653.9</v>
      </c>
      <c r="BR187" s="503">
        <f>IF($BN187="","",AVERAGE(INDEX(終値!$E187:$CZ187,1,$BN187+1):INDEX(終値!$E187:$CZ187,1,$BN187+20))+2*STDEVP(INDEX(終値!$E187:$CZ187,1,$BN187+1):INDEX(終値!$E187:$CZ187,1,$BN187+20)))</f>
        <v>696.9110154709565</v>
      </c>
      <c r="BS187" s="503">
        <f>IF($BM187="","",AVERAGE(INDEX(終値!$E187:$CZ187,1,$BM187+1):INDEX(終値!$E187:$CZ187,1,$BM187+20))+2*STDEVP(INDEX(終値!$E187:$CZ187,1,$BM187+1):INDEX(終値!$E187:$CZ187,1,$BM187+20)))</f>
        <v>703.85565123265928</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二番天井M▼</v>
      </c>
    </row>
    <row r="188" spans="2:72">
      <c r="B188" s="503">
        <f>IF(終値!A188="","",IF(AND(安値!G188&lt;安値!F188,安値!G188&lt;安値!E188,安値!G188&lt;安値!H188,安値!G188&lt;安値!I188),2,""))</f>
        <v>2</v>
      </c>
      <c r="C188" s="503" t="str">
        <f>IF(終値!A188="","",IF(AND(安値!H188&lt;安値!G188,安値!H188&lt;安値!F188,安値!H188&lt;安値!I188,安値!H188&lt;安値!J188),3,""))</f>
        <v/>
      </c>
      <c r="D188" s="503" t="str">
        <f>IF(終値!A188="","",IF(AND(安値!I188&lt;安値!H188,安値!I188&lt;安値!G188,安値!I188&lt;安値!J188,安値!I188&lt;安値!K188),4,""))</f>
        <v/>
      </c>
      <c r="E188" s="503" t="str">
        <f>IF(終値!A188="","",IF(AND(安値!J188&lt;安値!I188,安値!J188&lt;安値!H188,安値!J188&lt;安値!K188,安値!J188&lt;安値!L188),5,""))</f>
        <v/>
      </c>
      <c r="F188" s="503" t="str">
        <f>IF(終値!A188="","",IF(AND(安値!K188&lt;安値!J188,安値!K188&lt;安値!I188,安値!K188&lt;安値!L188,安値!K188&lt;安値!M188),6,""))</f>
        <v/>
      </c>
      <c r="G188" s="503">
        <f>IF(終値!A188="","",IF(AND(安値!L188&lt;安値!K188,安値!L188&lt;安値!J188,安値!L188&lt;安値!M188,安値!L188&lt;安値!N188),7,""))</f>
        <v>7</v>
      </c>
      <c r="H188" s="503" t="str">
        <f>IF(終値!A188="","",IF(AND(安値!M188&lt;安値!L188,安値!M188&lt;安値!K188,安値!M188&lt;安値!N188,安値!M188&lt;安値!O188),8,""))</f>
        <v/>
      </c>
      <c r="I188" s="503" t="str">
        <f>IF(終値!A188="","",IF(AND(安値!N188&lt;安値!M188,安値!N188&lt;安値!L188,安値!N188&lt;安値!O188,安値!N188&lt;安値!P188),9,""))</f>
        <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f>IF(終値!A188="","",IF(AND(安値!X188&lt;安値!W188,安値!X188&lt;安値!V188,安値!X188&lt;安値!Y188,安値!X188&lt;安値!Z188),19,""))</f>
        <v>19</v>
      </c>
      <c r="T188" s="503" t="str">
        <f>IF(終値!A188="","",IF(AND(安値!Y188&lt;安値!X188,安値!Y188&lt;安値!W188,安値!Y188&lt;安値!Z188,安値!Y188&lt;安値!AA188),20,""))</f>
        <v/>
      </c>
      <c r="U188" s="503" t="str">
        <f>IF(終値!A188="","",IF(AND(安値!Z188&lt;安値!Y188,安値!Z188&lt;安値!X188,安値!Z188&lt;安値!AA188,安値!Z188&lt;安値!AB188),21,""))</f>
        <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f>IF(終値!A188="","",IF(AND(高値!H188&gt;高値!G188,高値!H188&gt;高値!F188,高値!H188&gt;高値!I188,高値!H188&gt;高値!J188),3,""))</f>
        <v>3</v>
      </c>
      <c r="AE188" s="503" t="str">
        <f>IF(終値!A188="","",IF(AND(高値!I188&gt;高値!H188,高値!I188&gt;高値!G188,高値!I188&gt;高値!J188,高値!I188&gt;高値!K188),4,""))</f>
        <v/>
      </c>
      <c r="AF188" s="503" t="str">
        <f>IF(終値!A188="","",IF(AND(高値!J188&gt;高値!I188,高値!J188&gt;高値!H188,高値!J188&gt;高値!K188,高値!J188&gt;高値!L188),5,""))</f>
        <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f>IF(終値!A188="","",IF(AND(高値!Q188&gt;高値!P188,高値!Q188&gt;高値!O188,高値!Q188&gt;高値!R188,高値!Q188&gt;高値!S188),12,""))</f>
        <v>12</v>
      </c>
      <c r="AN188" s="503" t="str">
        <f>IF(終値!A188="","",IF(AND(高値!R188&gt;高値!Q188,高値!R188&gt;高値!P188,高値!R188&gt;高値!S188,高値!R188&gt;高値!T188),13,""))</f>
        <v/>
      </c>
      <c r="AO188" s="503" t="str">
        <f>IF(終値!A188="","",IF(AND(高値!S188&gt;高値!R188,高値!S188&gt;高値!Q188,高値!S188&gt;高値!T188,高値!S188&gt;高値!U188),14,""))</f>
        <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f>IF(終値!A188="","",IF(AND(高値!W188&gt;高値!V188,高値!W188&gt;高値!U188,高値!W188&gt;高値!X188,高値!W188&gt;高値!Y188),18,""))</f>
        <v>18</v>
      </c>
      <c r="AT188" s="503" t="str">
        <f>IF(終値!A188="","",IF(AND(高値!X188&gt;高値!W188,高値!X188&gt;高値!V188,高値!X188&gt;高値!Y188,高値!X188&gt;高値!Z188),19,""))</f>
        <v/>
      </c>
      <c r="AU188" s="503" t="str">
        <f>IF(終値!A188="","",IF(AND(高値!Y188&gt;高値!X188,高値!Y188&gt;高値!W188,高値!Y188&gt;高値!Z188,高値!Y188&gt;高値!AA188),20,""))</f>
        <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f>IF(終値!A188="","",IF(AND(高値!AB188&gt;高値!AA188,高値!AB188&gt;高値!Z188,高値!AB188&gt;高値!AC188,高値!AB188&gt;高値!AD188),23,""))</f>
        <v>23</v>
      </c>
      <c r="AY188" s="503" t="str">
        <f>IF(終値!A188="","",IF(AND(高値!AC188&gt;高値!AB188,高値!AC188&gt;高値!AA188,高値!AC188&gt;高値!AD188,高値!AC188&gt;高値!AE188),24,""))</f>
        <v/>
      </c>
      <c r="AZ188" s="503" t="str">
        <f>IF(終値!A188="","",IF(AND(高値!AD188&gt;高値!AC188,高値!AD188&gt;高値!AB188,高値!AD188&gt;高値!AE188,高値!AD188&gt;高値!AF188),25,""))</f>
        <v/>
      </c>
      <c r="BA188" s="503" t="str">
        <f>IF(終値!A188="","",IF(AND(高値!AE188&gt;高値!AD188,高値!AE188&gt;高値!AC188,高値!AE188&gt;高値!AF188,高値!AE188&gt;高値!AG188),26,""))</f>
        <v/>
      </c>
      <c r="BB188" s="503">
        <f>IF(終値!A188="","",IF(AND(高値!AF188&gt;高値!AE188,高値!AF188&gt;高値!AD188,高値!AF188&gt;高値!AG188,高値!AF188&gt;高値!AH188),27,""))</f>
        <v>27</v>
      </c>
      <c r="BC188" s="503" t="str">
        <f>IF(終値!A188="","",IF(AND(高値!AG188&gt;高値!AF188,高値!AG188&gt;高値!AE188,高値!AG188&gt;高値!AH188,高値!AG188&gt;高値!AI188),28,""))</f>
        <v/>
      </c>
      <c r="BD188" s="503">
        <f t="shared" si="12"/>
        <v>3</v>
      </c>
      <c r="BE188" s="503">
        <f t="shared" si="13"/>
        <v>2</v>
      </c>
      <c r="BF188" s="503">
        <f t="shared" si="14"/>
        <v>7</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5</v>
      </c>
      <c r="BM188" s="503">
        <f t="shared" si="16"/>
        <v>3</v>
      </c>
      <c r="BN188" s="503">
        <f t="shared" si="17"/>
        <v>12</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f>IF(終値!A189="","",IF(AND(安値!N189&lt;安値!M189,安値!N189&lt;安値!L189,安値!N189&lt;安値!O189,安値!N189&lt;安値!P189),9,""))</f>
        <v>9</v>
      </c>
      <c r="J189" s="503" t="str">
        <f>IF(終値!A189="","",IF(AND(安値!O189&lt;安値!N189,安値!O189&lt;安値!M189,安値!O189&lt;安値!P189,安値!O189&lt;安値!Q189),10,""))</f>
        <v/>
      </c>
      <c r="K189" s="503" t="str">
        <f>IF(終値!A189="","",IF(AND(安値!P189&lt;安値!O189,安値!P189&lt;安値!N189,安値!P189&lt;安値!Q189,安値!P189&lt;安値!R189),11,""))</f>
        <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f>IF(終値!A189="","",IF(AND(安値!T189&lt;安値!S189,安値!T189&lt;安値!R189,安値!T189&lt;安値!U189,安値!T189&lt;安値!V189),15,""))</f>
        <v>15</v>
      </c>
      <c r="P189" s="503" t="str">
        <f>IF(終値!A189="","",IF(AND(安値!U189&lt;安値!T189,安値!U189&lt;安値!S189,安値!U189&lt;安値!V189,安値!U189&lt;安値!W189),16,""))</f>
        <v/>
      </c>
      <c r="Q189" s="503" t="str">
        <f>IF(終値!A189="","",IF(AND(安値!V189&lt;安値!U189,安値!V189&lt;安値!T189,安値!V189&lt;安値!W189,安値!V189&lt;安値!X189),17,""))</f>
        <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f>IF(終値!A189="","",IF(AND(高値!H189&gt;高値!G189,高値!H189&gt;高値!F189,高値!H189&gt;高値!I189,高値!H189&gt;高値!J189),3,""))</f>
        <v>3</v>
      </c>
      <c r="AE189" s="503" t="str">
        <f>IF(終値!A189="","",IF(AND(高値!I189&gt;高値!H189,高値!I189&gt;高値!G189,高値!I189&gt;高値!J189,高値!I189&gt;高値!K189),4,""))</f>
        <v/>
      </c>
      <c r="AF189" s="503" t="str">
        <f>IF(終値!A189="","",IF(AND(高値!J189&gt;高値!I189,高値!J189&gt;高値!H189,高値!J189&gt;高値!K189,高値!J189&gt;高値!L189),5,""))</f>
        <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f>IF(終値!A189="","",IF(AND(高値!O189&gt;高値!N189,高値!O189&gt;高値!M189,高値!O189&gt;高値!P189,高値!O189&gt;高値!Q189),10,""))</f>
        <v>10</v>
      </c>
      <c r="AL189" s="503" t="str">
        <f>IF(終値!A189="","",IF(AND(高値!P189&gt;高値!O189,高値!P189&gt;高値!N189,高値!P189&gt;高値!Q189,高値!P189&gt;高値!R189),11,""))</f>
        <v/>
      </c>
      <c r="AM189" s="503" t="str">
        <f>IF(終値!A189="","",IF(AND(高値!Q189&gt;高値!P189,高値!Q189&gt;高値!O189,高値!Q189&gt;高値!R189,高値!Q189&gt;高値!S189),12,""))</f>
        <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f>IF(終値!A189="","",IF(AND(高値!X189&gt;高値!W189,高値!X189&gt;高値!V189,高値!X189&gt;高値!Y189,高値!X189&gt;高値!Z189),19,""))</f>
        <v>19</v>
      </c>
      <c r="AU189" s="503" t="str">
        <f>IF(終値!A189="","",IF(AND(高値!Y189&gt;高値!X189,高値!Y189&gt;高値!W189,高値!Y189&gt;高値!Z189,高値!Y189&gt;高値!AA189),20,""))</f>
        <v/>
      </c>
      <c r="AV189" s="503" t="str">
        <f>IF(終値!A189="","",IF(AND(高値!Z189&gt;高値!Y189,高値!Z189&gt;高値!X189,高値!Z189&gt;高値!AA189,高値!Z189&gt;高値!AB189),21,""))</f>
        <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f>IF(終値!A189="","",IF(AND(高値!AC189&gt;高値!AB189,高値!AC189&gt;高値!AA189,高値!AC189&gt;高値!AD189,高値!AC189&gt;高値!AE189),24,""))</f>
        <v>24</v>
      </c>
      <c r="AZ189" s="503" t="str">
        <f>IF(終値!A189="","",IF(AND(高値!AD189&gt;高値!AC189,高値!AD189&gt;高値!AB189,高値!AD189&gt;高値!AE189,高値!AD189&gt;高値!AF189),25,""))</f>
        <v/>
      </c>
      <c r="BA189" s="503" t="str">
        <f>IF(終値!A189="","",IF(AND(高値!AE189&gt;高値!AD189,高値!AE189&gt;高値!AC189,高値!AE189&gt;高値!AF189,高値!AE189&gt;高値!AG189),26,""))</f>
        <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9</v>
      </c>
      <c r="BF189" s="503">
        <f t="shared" si="14"/>
        <v>15</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3</v>
      </c>
      <c r="BN189" s="503">
        <f t="shared" si="17"/>
        <v>10</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t="str">
        <f>IF(終値!A190="","",IF(AND(安値!G190&lt;安値!F190,安値!G190&lt;安値!E190,安値!G190&lt;安値!H190,安値!G190&lt;安値!I190),2,""))</f>
        <v/>
      </c>
      <c r="C190" s="503" t="str">
        <f>IF(終値!A190="","",IF(AND(安値!H190&lt;安値!G190,安値!H190&lt;安値!F190,安値!H190&lt;安値!I190,安値!H190&lt;安値!J190),3,""))</f>
        <v/>
      </c>
      <c r="D190" s="503">
        <f>IF(終値!A190="","",IF(AND(安値!I190&lt;安値!H190,安値!I190&lt;安値!G190,安値!I190&lt;安値!J190,安値!I190&lt;安値!K190),4,""))</f>
        <v>4</v>
      </c>
      <c r="E190" s="503" t="str">
        <f>IF(終値!A190="","",IF(AND(安値!J190&lt;安値!I190,安値!J190&lt;安値!H190,安値!J190&lt;安値!K190,安値!J190&lt;安値!L190),5,""))</f>
        <v/>
      </c>
      <c r="F190" s="503" t="str">
        <f>IF(終値!A190="","",IF(AND(安値!K190&lt;安値!J190,安値!K190&lt;安値!I190,安値!K190&lt;安値!L190,安値!K190&lt;安値!M190),6,""))</f>
        <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f>IF(終値!A190="","",IF(AND(安値!P190&lt;安値!O190,安値!P190&lt;安値!N190,安値!P190&lt;安値!Q190,安値!P190&lt;安値!R190),11,""))</f>
        <v>11</v>
      </c>
      <c r="L190" s="503" t="str">
        <f>IF(終値!A190="","",IF(AND(安値!Q190&lt;安値!P190,安値!Q190&lt;安値!O190,安値!Q190&lt;安値!R190,安値!Q190&lt;安値!S190),12,""))</f>
        <v/>
      </c>
      <c r="M190" s="503" t="str">
        <f>IF(終値!A190="","",IF(AND(安値!R190&lt;安値!Q190,安値!R190&lt;安値!P190,安値!R190&lt;安値!S190,安値!R190&lt;安値!T190),13,""))</f>
        <v/>
      </c>
      <c r="N190" s="503" t="str">
        <f>IF(終値!A190="","",IF(AND(安値!S190&lt;安値!R190,安値!S190&lt;安値!Q190,安値!S190&lt;安値!T190,安値!S190&lt;安値!U190),14,""))</f>
        <v/>
      </c>
      <c r="O190" s="503">
        <f>IF(終値!A190="","",IF(AND(安値!T190&lt;安値!S190,安値!T190&lt;安値!R190,安値!T190&lt;安値!U190,安値!T190&lt;安値!V190),15,""))</f>
        <v>15</v>
      </c>
      <c r="P190" s="503" t="str">
        <f>IF(終値!A190="","",IF(AND(安値!U190&lt;安値!T190,安値!U190&lt;安値!S190,安値!U190&lt;安値!V190,安値!U190&lt;安値!W190),16,""))</f>
        <v/>
      </c>
      <c r="Q190" s="503" t="str">
        <f>IF(終値!A190="","",IF(AND(安値!V190&lt;安値!U190,安値!V190&lt;安値!T190,安値!V190&lt;安値!W190,安値!V190&lt;安値!X190),17,""))</f>
        <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f>IF(終値!A190="","",IF(AND(安値!AD190&lt;安値!AC190,安値!AD190&lt;安値!AB190,安値!AD190&lt;安値!AE190,安値!AD190&lt;安値!AF190),25,""))</f>
        <v>25</v>
      </c>
      <c r="Z190" s="503" t="str">
        <f>IF(終値!A190="","",IF(AND(安値!AE190&lt;安値!AD190,安値!AE190&lt;安値!AC190,安値!AE190&lt;安値!AF190,安値!AE190&lt;安値!AG190),26,""))</f>
        <v/>
      </c>
      <c r="AA190" s="503" t="str">
        <f>IF(終値!A190="","",IF(AND(安値!AF190&lt;安値!AE190,安値!AF190&lt;安値!AD190,安値!AF190&lt;安値!AG190,安値!AF190&lt;安値!AH190),27,""))</f>
        <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f>IF(終値!A190="","",IF(AND(高値!K190&gt;高値!J190,高値!K190&gt;高値!I190,高値!K190&gt;高値!L190,高値!K190&gt;高値!M190),6,""))</f>
        <v>6</v>
      </c>
      <c r="AH190" s="503" t="str">
        <f>IF(終値!A190="","",IF(AND(高値!L190&gt;高値!K190,高値!L190&gt;高値!J190,高値!L190&gt;高値!M190,高値!L190&gt;高値!N190),7,""))</f>
        <v/>
      </c>
      <c r="AI190" s="503" t="str">
        <f>IF(終値!A190="","",IF(AND(高値!M190&gt;高値!L190,高値!M190&gt;高値!K190,高値!M190&gt;高値!N190,高値!M190&gt;高値!O190),8,""))</f>
        <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f>IF(終値!A190="","",IF(AND(高値!W190&gt;高値!V190,高値!W190&gt;高値!U190,高値!W190&gt;高値!X190,高値!W190&gt;高値!Y190),18,""))</f>
        <v>18</v>
      </c>
      <c r="AT190" s="503" t="str">
        <f>IF(終値!A190="","",IF(AND(高値!X190&gt;高値!W190,高値!X190&gt;高値!V190,高値!X190&gt;高値!Y190,高値!X190&gt;高値!Z190),19,""))</f>
        <v/>
      </c>
      <c r="AU190" s="503" t="str">
        <f>IF(終値!A190="","",IF(AND(高値!Y190&gt;高値!X190,高値!Y190&gt;高値!W190,高値!Y190&gt;高値!Z190,高値!Y190&gt;高値!AA190),20,""))</f>
        <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f>IF(終値!A190="","",IF(AND(高値!AF190&gt;高値!AE190,高値!AF190&gt;高値!AD190,高値!AF190&gt;高値!AG190,高値!AF190&gt;高値!AH190),27,""))</f>
        <v>27</v>
      </c>
      <c r="BC190" s="503" t="str">
        <f>IF(終値!A190="","",IF(AND(高値!AG190&gt;高値!AF190,高値!AG190&gt;高値!AE190,高値!AG190&gt;高値!AH190,高値!AG190&gt;高値!AI190),28,""))</f>
        <v/>
      </c>
      <c r="BD190" s="503">
        <f t="shared" si="12"/>
        <v>4</v>
      </c>
      <c r="BE190" s="503">
        <f t="shared" si="13"/>
        <v>4</v>
      </c>
      <c r="BF190" s="503">
        <f t="shared" si="14"/>
        <v>11</v>
      </c>
      <c r="BG190" s="503">
        <f>IF($BE190="","",INDEX(安値!$E190:$CZ190,1,$BE190+1))</f>
        <v>1732</v>
      </c>
      <c r="BH190" s="503">
        <f>IF($BF190="","",INDEX(安値!$E190:$CZ190,1,$BF190+1))</f>
        <v>1597</v>
      </c>
      <c r="BI190" s="503">
        <f>IF($BF190="","",MAX(INDEX(高値!$E190:$CZ190,1,$BE190+1):INDEX(高値!$E190:$CZ190,1,$BF190+1)))</f>
        <v>1797.5</v>
      </c>
      <c r="BJ190" s="503">
        <f>IF($BF190="","",AVERAGE(INDEX(終値!$E190:$CZ190,1,$BF190+1):INDEX(終値!$E190:$CZ190,1,$BF190+20))-2*STDEVP(INDEX(終値!$E190:$CZ190,1,$BF190+1):INDEX(終値!$E190:$CZ190,1,$BF190+20)))</f>
        <v>1441.7956089272379</v>
      </c>
      <c r="BK190" s="503">
        <f>IF($BE190="","",AVERAGE(INDEX(終値!$E190:$CZ190,1,$BE190+1):INDEX(終値!$E190:$CZ190,1,$BE190+20))-2*STDEVP(INDEX(終値!$E190:$CZ190,1,$BE190+1):INDEX(終値!$E190:$CZ190,1,$BE190+20)))</f>
        <v>1509.7204538781243</v>
      </c>
      <c r="BL190" s="503">
        <f t="shared" si="15"/>
        <v>3</v>
      </c>
      <c r="BM190" s="503">
        <f t="shared" si="16"/>
        <v>6</v>
      </c>
      <c r="BN190" s="503">
        <f t="shared" si="17"/>
        <v>18</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v>
      </c>
    </row>
    <row r="191" spans="2:72">
      <c r="B191" s="503" t="str">
        <f>IF(終値!A191="","",IF(AND(安値!G191&lt;安値!F191,安値!G191&lt;安値!E191,安値!G191&lt;安値!H191,安値!G191&lt;安値!I191),2,""))</f>
        <v/>
      </c>
      <c r="C191" s="503" t="str">
        <f>IF(終値!A191="","",IF(AND(安値!H191&lt;安値!G191,安値!H191&lt;安値!F191,安値!H191&lt;安値!I191,安値!H191&lt;安値!J191),3,""))</f>
        <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f>IF(終値!A191="","",IF(AND(安値!P191&lt;安値!O191,安値!P191&lt;安値!N191,安値!P191&lt;安値!Q191,安値!P191&lt;安値!R191),11,""))</f>
        <v>11</v>
      </c>
      <c r="L191" s="503" t="str">
        <f>IF(終値!A191="","",IF(AND(安値!Q191&lt;安値!P191,安値!Q191&lt;安値!O191,安値!Q191&lt;安値!R191,安値!Q191&lt;安値!S191),12,""))</f>
        <v/>
      </c>
      <c r="M191" s="503" t="str">
        <f>IF(終値!A191="","",IF(AND(安値!R191&lt;安値!Q191,安値!R191&lt;安値!P191,安値!R191&lt;安値!S191,安値!R191&lt;安値!T191),13,""))</f>
        <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f>IF(終値!A191="","",IF(AND(安値!V191&lt;安値!U191,安値!V191&lt;安値!T191,安値!V191&lt;安値!W191,安値!V191&lt;安値!X191),17,""))</f>
        <v>17</v>
      </c>
      <c r="R191" s="503" t="str">
        <f>IF(終値!A191="","",IF(AND(安値!W191&lt;安値!V191,安値!W191&lt;安値!U191,安値!W191&lt;安値!X191,安値!W191&lt;安値!Y191),18,""))</f>
        <v/>
      </c>
      <c r="S191" s="503" t="str">
        <f>IF(終値!A191="","",IF(AND(安値!X191&lt;安値!W191,安値!X191&lt;安値!V191,安値!X191&lt;安値!Y191,安値!X191&lt;安値!Z191),19,""))</f>
        <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f>IF(終値!A191="","",IF(AND(安値!AG191&lt;安値!AF191,安値!AG191&lt;安値!AE191,安値!AG191&lt;安値!AH191,安値!AG191&lt;安値!AI191),28,""))</f>
        <v>28</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f>IF(終値!A191="","",IF(AND(高値!K191&gt;高値!J191,高値!K191&gt;高値!I191,高値!K191&gt;高値!L191,高値!K191&gt;高値!M191),6,""))</f>
        <v>6</v>
      </c>
      <c r="AH191" s="503" t="str">
        <f>IF(終値!A191="","",IF(AND(高値!L191&gt;高値!K191,高値!L191&gt;高値!J191,高値!L191&gt;高値!M191,高値!L191&gt;高値!N191),7,""))</f>
        <v/>
      </c>
      <c r="AI191" s="503" t="str">
        <f>IF(終値!A191="","",IF(AND(高値!M191&gt;高値!L191,高値!M191&gt;高値!K191,高値!M191&gt;高値!N191,高値!M191&gt;高値!O191),8,""))</f>
        <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f>IF(終値!A191="","",IF(AND(高値!S191&gt;高値!R191,高値!S191&gt;高値!Q191,高値!S191&gt;高値!T191,高値!S191&gt;高値!U191),14,""))</f>
        <v>14</v>
      </c>
      <c r="AP191" s="503" t="str">
        <f>IF(終値!A191="","",IF(AND(高値!T191&gt;高値!S191,高値!T191&gt;高値!R191,高値!T191&gt;高値!U191,高値!T191&gt;高値!V191),15,""))</f>
        <v/>
      </c>
      <c r="AQ191" s="503" t="str">
        <f>IF(終値!A191="","",IF(AND(高値!U191&gt;高値!T191,高値!U191&gt;高値!S191,高値!U191&gt;高値!V191,高値!U191&gt;高値!W191),16,""))</f>
        <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f>IF(終値!A191="","",IF(AND(高値!Y191&gt;高値!X191,高値!Y191&gt;高値!W191,高値!Y191&gt;高値!Z191,高値!Y191&gt;高値!AA191),20,""))</f>
        <v>20</v>
      </c>
      <c r="AV191" s="503" t="str">
        <f>IF(終値!A191="","",IF(AND(高値!Z191&gt;高値!Y191,高値!Z191&gt;高値!X191,高値!Z191&gt;高値!AA191,高値!Z191&gt;高値!AB191),21,""))</f>
        <v/>
      </c>
      <c r="AW191" s="503" t="str">
        <f>IF(終値!A191="","",IF(AND(高値!AA191&gt;高値!Z191,高値!AA191&gt;高値!Y191,高値!AA191&gt;高値!AB191,高値!AA191&gt;高値!AC191),22,""))</f>
        <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11</v>
      </c>
      <c r="BF191" s="503">
        <f t="shared" si="14"/>
        <v>17</v>
      </c>
      <c r="BG191" s="503">
        <f>IF($BE191="","",INDEX(安値!$E191:$CZ191,1,$BE191+1))</f>
        <v>1519</v>
      </c>
      <c r="BH191" s="503">
        <f>IF($BF191="","",INDEX(安値!$E191:$CZ191,1,$BF191+1))</f>
        <v>1506</v>
      </c>
      <c r="BI191" s="503">
        <f>IF($BF191="","",MAX(INDEX(高値!$E191:$CZ191,1,$BE191+1):INDEX(高値!$E191:$CZ191,1,$BF191+1)))</f>
        <v>1579</v>
      </c>
      <c r="BJ191" s="503">
        <f>IF($BF191="","",AVERAGE(INDEX(終値!$E191:$CZ191,1,$BF191+1):INDEX(終値!$E191:$CZ191,1,$BF191+20))-2*STDEVP(INDEX(終値!$E191:$CZ191,1,$BF191+1):INDEX(終値!$E191:$CZ191,1,$BF191+20)))</f>
        <v>1409.5047981348289</v>
      </c>
      <c r="BK191" s="503">
        <f>IF($BE191="","",AVERAGE(INDEX(終値!$E191:$CZ191,1,$BE191+1):INDEX(終値!$E191:$CZ191,1,$BE191+20))-2*STDEVP(INDEX(終値!$E191:$CZ191,1,$BE191+1):INDEX(終値!$E191:$CZ191,1,$BE191+20)))</f>
        <v>1452.5626818686178</v>
      </c>
      <c r="BL191" s="503">
        <f t="shared" si="15"/>
        <v>3</v>
      </c>
      <c r="BM191" s="503">
        <f t="shared" si="16"/>
        <v>6</v>
      </c>
      <c r="BN191" s="503">
        <f t="shared" si="17"/>
        <v>14</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二番底W形成</v>
      </c>
    </row>
    <row r="192" spans="2:72">
      <c r="B192" s="503" t="str">
        <f>IF(終値!A192="","",IF(AND(安値!G192&lt;安値!F192,安値!G192&lt;安値!E192,安値!G192&lt;安値!H192,安値!G192&lt;安値!I192),2,""))</f>
        <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f>IF(終値!A192="","",IF(AND(安値!L192&lt;安値!K192,安値!L192&lt;安値!J192,安値!L192&lt;安値!M192,安値!L192&lt;安値!N192),7,""))</f>
        <v>7</v>
      </c>
      <c r="H192" s="503" t="str">
        <f>IF(終値!A192="","",IF(AND(安値!M192&lt;安値!L192,安値!M192&lt;安値!K192,安値!M192&lt;安値!N192,安値!M192&lt;安値!O192),8,""))</f>
        <v/>
      </c>
      <c r="I192" s="503" t="str">
        <f>IF(終値!A192="","",IF(AND(安値!N192&lt;安値!M192,安値!N192&lt;安値!L192,安値!N192&lt;安値!O192,安値!N192&lt;安値!P192),9,""))</f>
        <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f>IF(終値!A192="","",IF(AND(安値!AD192&lt;安値!AC192,安値!AD192&lt;安値!AB192,安値!AD192&lt;安値!AE192,安値!AD192&lt;安値!AF192),25,""))</f>
        <v>25</v>
      </c>
      <c r="Z192" s="503" t="str">
        <f>IF(終値!A192="","",IF(AND(安値!AE192&lt;安値!AD192,安値!AE192&lt;安値!AC192,安値!AE192&lt;安値!AF192,安値!AE192&lt;安値!AG192),26,""))</f>
        <v/>
      </c>
      <c r="AA192" s="503" t="str">
        <f>IF(終値!A192="","",IF(AND(安値!AF192&lt;安値!AE192,安値!AF192&lt;安値!AD192,安値!AF192&lt;安値!AG192,安値!AF192&lt;安値!AH192),27,""))</f>
        <v/>
      </c>
      <c r="AB192" s="503">
        <f>IF(終値!A192="","",IF(AND(安値!AG192&lt;安値!AF192,安値!AG192&lt;安値!AE192,安値!AG192&lt;安値!AH192,安値!AG192&lt;安値!AI192),28,""))</f>
        <v>28</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f>IF(終値!A192="","",IF(AND(高値!I192&gt;高値!H192,高値!I192&gt;高値!G192,高値!I192&gt;高値!J192,高値!I192&gt;高値!K192),4,""))</f>
        <v>4</v>
      </c>
      <c r="AF192" s="503" t="str">
        <f>IF(終値!A192="","",IF(AND(高値!J192&gt;高値!I192,高値!J192&gt;高値!H192,高値!J192&gt;高値!K192,高値!J192&gt;高値!L192),5,""))</f>
        <v/>
      </c>
      <c r="AG192" s="503" t="str">
        <f>IF(終値!A192="","",IF(AND(高値!K192&gt;高値!J192,高値!K192&gt;高値!I192,高値!K192&gt;高値!L192,高値!K192&gt;高値!M192),6,""))</f>
        <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f>IF(終値!A192="","",IF(AND(高値!O192&gt;高値!N192,高値!O192&gt;高値!M192,高値!O192&gt;高値!P192,高値!O192&gt;高値!Q192),10,""))</f>
        <v>10</v>
      </c>
      <c r="AL192" s="503" t="str">
        <f>IF(終値!A192="","",IF(AND(高値!P192&gt;高値!O192,高値!P192&gt;高値!N192,高値!P192&gt;高値!Q192,高値!P192&gt;高値!R192),11,""))</f>
        <v/>
      </c>
      <c r="AM192" s="503" t="str">
        <f>IF(終値!A192="","",IF(AND(高値!Q192&gt;高値!P192,高値!Q192&gt;高値!O192,高値!Q192&gt;高値!R192,高値!Q192&gt;高値!S192),12,""))</f>
        <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f>IF(終値!A192="","",IF(AND(高値!X192&gt;高値!W192,高値!X192&gt;高値!V192,高値!X192&gt;高値!Y192,高値!X192&gt;高値!Z192),19,""))</f>
        <v>19</v>
      </c>
      <c r="AU192" s="503" t="str">
        <f>IF(終値!A192="","",IF(AND(高値!Y192&gt;高値!X192,高値!Y192&gt;高値!W192,高値!Y192&gt;高値!Z192,高値!Y192&gt;高値!AA192),20,""))</f>
        <v/>
      </c>
      <c r="AV192" s="503" t="str">
        <f>IF(終値!A192="","",IF(AND(高値!Z192&gt;高値!Y192,高値!Z192&gt;高値!X192,高値!Z192&gt;高値!AA192,高値!Z192&gt;高値!AB192),21,""))</f>
        <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7</v>
      </c>
      <c r="BF192" s="503">
        <f t="shared" si="14"/>
        <v>25</v>
      </c>
      <c r="BG192" s="503">
        <f>IF($BE192="","",INDEX(安値!$E192:$CZ192,1,$BE192+1))</f>
        <v>1645</v>
      </c>
      <c r="BH192" s="503">
        <f>IF($BF192="","",INDEX(安値!$E192:$CZ192,1,$BF192+1))</f>
        <v>1591</v>
      </c>
      <c r="BI192" s="503">
        <f>IF($BF192="","",MAX(INDEX(高値!$E192:$CZ192,1,$BE192+1):INDEX(高値!$E192:$CZ192,1,$BF192+1)))</f>
        <v>1758.5</v>
      </c>
      <c r="BJ192" s="503">
        <f>IF($BF192="","",AVERAGE(INDEX(終値!$E192:$CZ192,1,$BF192+1):INDEX(終値!$E192:$CZ192,1,$BF192+20))-2*STDEVP(INDEX(終値!$E192:$CZ192,1,$BF192+1):INDEX(終値!$E192:$CZ192,1,$BF192+20)))</f>
        <v>1610.6375779515195</v>
      </c>
      <c r="BK192" s="503">
        <f>IF($BE192="","",AVERAGE(INDEX(終値!$E192:$CZ192,1,$BE192+1):INDEX(終値!$E192:$CZ192,1,$BE192+20))-2*STDEVP(INDEX(終値!$E192:$CZ192,1,$BE192+1):INDEX(終値!$E192:$CZ192,1,$BE192+20)))</f>
        <v>1626.3144823353941</v>
      </c>
      <c r="BL192" s="503">
        <f t="shared" si="15"/>
        <v>3</v>
      </c>
      <c r="BM192" s="503">
        <f t="shared" si="16"/>
        <v>4</v>
      </c>
      <c r="BN192" s="503">
        <f t="shared" si="17"/>
        <v>10</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二番天井M▼</v>
      </c>
    </row>
    <row r="193" spans="2:72">
      <c r="B193" s="503" t="str">
        <f>IF(終値!A193="","",IF(AND(安値!G193&lt;安値!F193,安値!G193&lt;安値!E193,安値!G193&lt;安値!H193,安値!G193&lt;安値!I193),2,""))</f>
        <v/>
      </c>
      <c r="C193" s="503" t="str">
        <f>IF(終値!A193="","",IF(AND(安値!H193&lt;安値!G193,安値!H193&lt;安値!F193,安値!H193&lt;安値!I193,安値!H193&lt;安値!J193),3,""))</f>
        <v/>
      </c>
      <c r="D193" s="503">
        <f>IF(終値!A193="","",IF(AND(安値!I193&lt;安値!H193,安値!I193&lt;安値!G193,安値!I193&lt;安値!J193,安値!I193&lt;安値!K193),4,""))</f>
        <v>4</v>
      </c>
      <c r="E193" s="503" t="str">
        <f>IF(終値!A193="","",IF(AND(安値!J193&lt;安値!I193,安値!J193&lt;安値!H193,安値!J193&lt;安値!K193,安値!J193&lt;安値!L193),5,""))</f>
        <v/>
      </c>
      <c r="F193" s="503" t="str">
        <f>IF(終値!A193="","",IF(AND(安値!K193&lt;安値!J193,安値!K193&lt;安値!I193,安値!K193&lt;安値!L193,安値!K193&lt;安値!M193),6,""))</f>
        <v/>
      </c>
      <c r="G193" s="503" t="str">
        <f>IF(終値!A193="","",IF(AND(安値!L193&lt;安値!K193,安値!L193&lt;安値!J193,安値!L193&lt;安値!M193,安値!L193&lt;安値!N193),7,""))</f>
        <v/>
      </c>
      <c r="H193" s="503">
        <f>IF(終値!A193="","",IF(AND(安値!M193&lt;安値!L193,安値!M193&lt;安値!K193,安値!M193&lt;安値!N193,安値!M193&lt;安値!O193),8,""))</f>
        <v>8</v>
      </c>
      <c r="I193" s="503" t="str">
        <f>IF(終値!A193="","",IF(AND(安値!N193&lt;安値!M193,安値!N193&lt;安値!L193,安値!N193&lt;安値!O193,安値!N193&lt;安値!P193),9,""))</f>
        <v/>
      </c>
      <c r="J193" s="503" t="str">
        <f>IF(終値!A193="","",IF(AND(安値!O193&lt;安値!N193,安値!O193&lt;安値!M193,安値!O193&lt;安値!P193,安値!O193&lt;安値!Q193),10,""))</f>
        <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f>IF(終値!A193="","",IF(AND(安値!U193&lt;安値!T193,安値!U193&lt;安値!S193,安値!U193&lt;安値!V193,安値!U193&lt;安値!W193),16,""))</f>
        <v>16</v>
      </c>
      <c r="Q193" s="503" t="str">
        <f>IF(終値!A193="","",IF(AND(安値!V193&lt;安値!U193,安値!V193&lt;安値!T193,安値!V193&lt;安値!W193,安値!V193&lt;安値!X193),17,""))</f>
        <v/>
      </c>
      <c r="R193" s="503" t="str">
        <f>IF(終値!A193="","",IF(AND(安値!W193&lt;安値!V193,安値!W193&lt;安値!U193,安値!W193&lt;安値!X193,安値!W193&lt;安値!Y193),18,""))</f>
        <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f>IF(終値!A193="","",IF(AND(安値!AD193&lt;安値!AC193,安値!AD193&lt;安値!AB193,安値!AD193&lt;安値!AE193,安値!AD193&lt;安値!AF193),25,""))</f>
        <v>25</v>
      </c>
      <c r="Z193" s="503" t="str">
        <f>IF(終値!A193="","",IF(AND(安値!AE193&lt;安値!AD193,安値!AE193&lt;安値!AC193,安値!AE193&lt;安値!AF193,安値!AE193&lt;安値!AG193),26,""))</f>
        <v/>
      </c>
      <c r="AA193" s="503" t="str">
        <f>IF(終値!A193="","",IF(AND(安値!AF193&lt;安値!AE193,安値!AF193&lt;安値!AD193,安値!AF193&lt;安値!AG193,安値!AF193&lt;安値!AH193),27,""))</f>
        <v/>
      </c>
      <c r="AB193" s="503" t="str">
        <f>IF(終値!A193="","",IF(AND(安値!AG193&lt;安値!AF193,安値!AG193&lt;安値!AE193,安値!AG193&lt;安値!AH193,安値!AG193&lt;安値!AI193),28,""))</f>
        <v/>
      </c>
      <c r="AC193" s="503">
        <f>IF(終値!A193="","",IF(AND(高値!G193&gt;高値!F193,高値!G193&gt;高値!E193,高値!G193&gt;高値!H193,高値!G193&gt;高値!I193),2,""))</f>
        <v>2</v>
      </c>
      <c r="AD193" s="503" t="str">
        <f>IF(終値!A193="","",IF(AND(高値!H193&gt;高値!G193,高値!H193&gt;高値!F193,高値!H193&gt;高値!I193,高値!H193&gt;高値!J193),3,""))</f>
        <v/>
      </c>
      <c r="AE193" s="503" t="str">
        <f>IF(終値!A193="","",IF(AND(高値!I193&gt;高値!H193,高値!I193&gt;高値!G193,高値!I193&gt;高値!J193,高値!I193&gt;高値!K193),4,""))</f>
        <v/>
      </c>
      <c r="AF193" s="503">
        <f>IF(終値!A193="","",IF(AND(高値!J193&gt;高値!I193,高値!J193&gt;高値!H193,高値!J193&gt;高値!K193,高値!J193&gt;高値!L193),5,""))</f>
        <v>5</v>
      </c>
      <c r="AG193" s="503" t="str">
        <f>IF(終値!A193="","",IF(AND(高値!K193&gt;高値!J193,高値!K193&gt;高値!I193,高値!K193&gt;高値!L193,高値!K193&gt;高値!M193),6,""))</f>
        <v/>
      </c>
      <c r="AH193" s="503" t="str">
        <f>IF(終値!A193="","",IF(AND(高値!L193&gt;高値!K193,高値!L193&gt;高値!J193,高値!L193&gt;高値!M193,高値!L193&gt;高値!N193),7,""))</f>
        <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f>IF(終値!A193="","",IF(AND(高値!V193&gt;高値!U193,高値!V193&gt;高値!T193,高値!V193&gt;高値!W193,高値!V193&gt;高値!X193),17,""))</f>
        <v>17</v>
      </c>
      <c r="AS193" s="503" t="str">
        <f>IF(終値!A193="","",IF(AND(高値!W193&gt;高値!V193,高値!W193&gt;高値!U193,高値!W193&gt;高値!X193,高値!W193&gt;高値!Y193),18,""))</f>
        <v/>
      </c>
      <c r="AT193" s="503" t="str">
        <f>IF(終値!A193="","",IF(AND(高値!X193&gt;高値!W193,高値!X193&gt;高値!V193,高値!X193&gt;高値!Y193,高値!X193&gt;高値!Z193),19,""))</f>
        <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4</v>
      </c>
      <c r="BE193" s="503">
        <f t="shared" si="13"/>
        <v>4</v>
      </c>
      <c r="BF193" s="503">
        <f t="shared" si="14"/>
        <v>8</v>
      </c>
      <c r="BG193" s="503">
        <f>IF($BE193="","",INDEX(安値!$E193:$CZ193,1,$BE193+1))</f>
        <v>1990</v>
      </c>
      <c r="BH193" s="503">
        <f>IF($BF193="","",INDEX(安値!$E193:$CZ193,1,$BF193+1))</f>
        <v>1875</v>
      </c>
      <c r="BI193" s="503">
        <f>IF($BF193="","",MAX(INDEX(高値!$E193:$CZ193,1,$BE193+1):INDEX(高値!$E193:$CZ193,1,$BF193+1)))</f>
        <v>2199</v>
      </c>
      <c r="BJ193" s="503">
        <f>IF($BF193="","",AVERAGE(INDEX(終値!$E193:$CZ193,1,$BF193+1):INDEX(終値!$E193:$CZ193,1,$BF193+20))-2*STDEVP(INDEX(終値!$E193:$CZ193,1,$BF193+1):INDEX(終値!$E193:$CZ193,1,$BF193+20)))</f>
        <v>1685.7175899930903</v>
      </c>
      <c r="BK193" s="503">
        <f>IF($BE193="","",AVERAGE(INDEX(終値!$E193:$CZ193,1,$BE193+1):INDEX(終値!$E193:$CZ193,1,$BE193+20))-2*STDEVP(INDEX(終値!$E193:$CZ193,1,$BE193+1):INDEX(終値!$E193:$CZ193,1,$BE193+20)))</f>
        <v>1866.8437041924597</v>
      </c>
      <c r="BL193" s="503">
        <f t="shared" si="15"/>
        <v>3</v>
      </c>
      <c r="BM193" s="503">
        <f t="shared" si="16"/>
        <v>2</v>
      </c>
      <c r="BN193" s="503">
        <f t="shared" si="17"/>
        <v>5</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二番天井M形成</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f>IF(終値!A194="","",IF(AND(安値!L194&lt;安値!K194,安値!L194&lt;安値!J194,安値!L194&lt;安値!M194,安値!L194&lt;安値!N194),7,""))</f>
        <v>7</v>
      </c>
      <c r="H194" s="503" t="str">
        <f>IF(終値!A194="","",IF(AND(安値!M194&lt;安値!L194,安値!M194&lt;安値!K194,安値!M194&lt;安値!N194,安値!M194&lt;安値!O194),8,""))</f>
        <v/>
      </c>
      <c r="I194" s="503" t="str">
        <f>IF(終値!A194="","",IF(AND(安値!N194&lt;安値!M194,安値!N194&lt;安値!L194,安値!N194&lt;安値!O194,安値!N194&lt;安値!P194),9,""))</f>
        <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f>IF(終値!A194="","",IF(AND(安値!AA194&lt;安値!Z194,安値!AA194&lt;安値!Y194,安値!AA194&lt;安値!AB194,安値!AA194&lt;安値!AC194),22,""))</f>
        <v>22</v>
      </c>
      <c r="W194" s="503" t="str">
        <f>IF(終値!A194="","",IF(AND(安値!AB194&lt;安値!AA194,安値!AB194&lt;安値!Z194,安値!AB194&lt;安値!AC194,安値!AB194&lt;安値!AD194),23,""))</f>
        <v/>
      </c>
      <c r="X194" s="503" t="str">
        <f>IF(終値!A194="","",IF(AND(安値!AC194&lt;安値!AB194,安値!AC194&lt;安値!AA194,安値!AC194&lt;安値!AD194,安値!AC194&lt;安値!AE194),24,""))</f>
        <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f>IF(終値!A194="","",IF(AND(安値!AG194&lt;安値!AF194,安値!AG194&lt;安値!AE194,安値!AG194&lt;安値!AH194,安値!AG194&lt;安値!AI194),28,""))</f>
        <v>28</v>
      </c>
      <c r="AC194" s="503">
        <f>IF(終値!A194="","",IF(AND(高値!G194&gt;高値!F194,高値!G194&gt;高値!E194,高値!G194&gt;高値!H194,高値!G194&gt;高値!I194),2,""))</f>
        <v>2</v>
      </c>
      <c r="AD194" s="503" t="str">
        <f>IF(終値!A194="","",IF(AND(高値!H194&gt;高値!G194,高値!H194&gt;高値!F194,高値!H194&gt;高値!I194,高値!H194&gt;高値!J194),3,""))</f>
        <v/>
      </c>
      <c r="AE194" s="503" t="str">
        <f>IF(終値!A194="","",IF(AND(高値!I194&gt;高値!H194,高値!I194&gt;高値!G194,高値!I194&gt;高値!J194,高値!I194&gt;高値!K194),4,""))</f>
        <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f>IF(終値!A194="","",IF(AND(高値!O194&gt;高値!N194,高値!O194&gt;高値!M194,高値!O194&gt;高値!P194,高値!O194&gt;高値!Q194),10,""))</f>
        <v>10</v>
      </c>
      <c r="AL194" s="503" t="str">
        <f>IF(終値!A194="","",IF(AND(高値!P194&gt;高値!O194,高値!P194&gt;高値!N194,高値!P194&gt;高値!Q194,高値!P194&gt;高値!R194),11,""))</f>
        <v/>
      </c>
      <c r="AM194" s="503" t="str">
        <f>IF(終値!A194="","",IF(AND(高値!Q194&gt;高値!P194,高値!Q194&gt;高値!O194,高値!Q194&gt;高値!R194,高値!Q194&gt;高値!S194),12,""))</f>
        <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f>IF(終値!A194="","",IF(AND(高値!U194&gt;高値!T194,高値!U194&gt;高値!S194,高値!U194&gt;高値!V194,高値!U194&gt;高値!W194),16,""))</f>
        <v>16</v>
      </c>
      <c r="AR194" s="503" t="str">
        <f>IF(終値!A194="","",IF(AND(高値!V194&gt;高値!U194,高値!V194&gt;高値!T194,高値!V194&gt;高値!W194,高値!V194&gt;高値!X194),17,""))</f>
        <v/>
      </c>
      <c r="AS194" s="503" t="str">
        <f>IF(終値!A194="","",IF(AND(高値!W194&gt;高値!V194,高値!W194&gt;高値!U194,高値!W194&gt;高値!X194,高値!W194&gt;高値!Y194),18,""))</f>
        <v/>
      </c>
      <c r="AT194" s="503" t="str">
        <f>IF(終値!A194="","",IF(AND(高値!X194&gt;高値!W194,高値!X194&gt;高値!V194,高値!X194&gt;高値!Y194,高値!X194&gt;高値!Z194),19,""))</f>
        <v/>
      </c>
      <c r="AU194" s="503">
        <f>IF(終値!A194="","",IF(AND(高値!Y194&gt;高値!X194,高値!Y194&gt;高値!W194,高値!Y194&gt;高値!Z194,高値!Y194&gt;高値!AA194),20,""))</f>
        <v>20</v>
      </c>
      <c r="AV194" s="503" t="str">
        <f>IF(終値!A194="","",IF(AND(高値!Z194&gt;高値!Y194,高値!Z194&gt;高値!X194,高値!Z194&gt;高値!AA194,高値!Z194&gt;高値!AB194),21,""))</f>
        <v/>
      </c>
      <c r="AW194" s="503" t="str">
        <f>IF(終値!A194="","",IF(AND(高値!AA194&gt;高値!Z194,高値!AA194&gt;高値!Y194,高値!AA194&gt;高値!AB194,高値!AA194&gt;高値!AC194),22,""))</f>
        <v/>
      </c>
      <c r="AX194" s="503">
        <f>IF(終値!A194="","",IF(AND(高値!AB194&gt;高値!AA194,高値!AB194&gt;高値!Z194,高値!AB194&gt;高値!AC194,高値!AB194&gt;高値!AD194),23,""))</f>
        <v>23</v>
      </c>
      <c r="AY194" s="503" t="str">
        <f>IF(終値!A194="","",IF(AND(高値!AC194&gt;高値!AB194,高値!AC194&gt;高値!AA194,高値!AC194&gt;高値!AD194,高値!AC194&gt;高値!AE194),24,""))</f>
        <v/>
      </c>
      <c r="AZ194" s="503" t="str">
        <f>IF(終値!A194="","",IF(AND(高値!AD194&gt;高値!AC194,高値!AD194&gt;高値!AB194,高値!AD194&gt;高値!AE194,高値!AD194&gt;高値!AF194),25,""))</f>
        <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3</v>
      </c>
      <c r="BE194" s="503">
        <f t="shared" si="13"/>
        <v>7</v>
      </c>
      <c r="BF194" s="503">
        <f t="shared" si="14"/>
        <v>22</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2</v>
      </c>
      <c r="BN194" s="503">
        <f t="shared" si="17"/>
        <v>10</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f>IF(終値!A195="","",IF(AND(安値!I195&lt;安値!H195,安値!I195&lt;安値!G195,安値!I195&lt;安値!J195,安値!I195&lt;安値!K195),4,""))</f>
        <v>4</v>
      </c>
      <c r="E195" s="503" t="str">
        <f>IF(終値!A195="","",IF(AND(安値!J195&lt;安値!I195,安値!J195&lt;安値!H195,安値!J195&lt;安値!K195,安値!J195&lt;安値!L195),5,""))</f>
        <v/>
      </c>
      <c r="F195" s="503" t="str">
        <f>IF(終値!A195="","",IF(AND(安値!K195&lt;安値!J195,安値!K195&lt;安値!I195,安値!K195&lt;安値!L195,安値!K195&lt;安値!M195),6,""))</f>
        <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f>IF(終値!A195="","",IF(AND(安値!P195&lt;安値!O195,安値!P195&lt;安値!N195,安値!P195&lt;安値!Q195,安値!P195&lt;安値!R195),11,""))</f>
        <v>11</v>
      </c>
      <c r="L195" s="503" t="str">
        <f>IF(終値!A195="","",IF(AND(安値!Q195&lt;安値!P195,安値!Q195&lt;安値!O195,安値!Q195&lt;安値!R195,安値!Q195&lt;安値!S195),12,""))</f>
        <v/>
      </c>
      <c r="M195" s="503" t="str">
        <f>IF(終値!A195="","",IF(AND(安値!R195&lt;安値!Q195,安値!R195&lt;安値!P195,安値!R195&lt;安値!S195,安値!R195&lt;安値!T195),13,""))</f>
        <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f>IF(終値!A195="","",IF(AND(安値!V195&lt;安値!U195,安値!V195&lt;安値!T195,安値!V195&lt;安値!W195,安値!V195&lt;安値!X195),17,""))</f>
        <v>17</v>
      </c>
      <c r="R195" s="503" t="str">
        <f>IF(終値!A195="","",IF(AND(安値!W195&lt;安値!V195,安値!W195&lt;安値!U195,安値!W195&lt;安値!X195,安値!W195&lt;安値!Y195),18,""))</f>
        <v/>
      </c>
      <c r="S195" s="503" t="str">
        <f>IF(終値!A195="","",IF(AND(安値!X195&lt;安値!W195,安値!X195&lt;安値!V195,安値!X195&lt;安値!Y195,安値!X195&lt;安値!Z195),19,""))</f>
        <v/>
      </c>
      <c r="T195" s="503">
        <f>IF(終値!A195="","",IF(AND(安値!Y195&lt;安値!X195,安値!Y195&lt;安値!W195,安値!Y195&lt;安値!Z195,安値!Y195&lt;安値!AA195),20,""))</f>
        <v>20</v>
      </c>
      <c r="U195" s="503" t="str">
        <f>IF(終値!A195="","",IF(AND(安値!Z195&lt;安値!Y195,安値!Z195&lt;安値!X195,安値!Z195&lt;安値!AA195,安値!Z195&lt;安値!AB195),21,""))</f>
        <v/>
      </c>
      <c r="V195" s="503" t="str">
        <f>IF(終値!A195="","",IF(AND(安値!AA195&lt;安値!Z195,安値!AA195&lt;安値!Y195,安値!AA195&lt;安値!AB195,安値!AA195&lt;安値!AC195),22,""))</f>
        <v/>
      </c>
      <c r="W195" s="503" t="str">
        <f>IF(終値!A195="","",IF(AND(安値!AB195&lt;安値!AA195,安値!AB195&lt;安値!Z195,安値!AB195&lt;安値!AC195,安値!AB195&lt;安値!AD195),23,""))</f>
        <v/>
      </c>
      <c r="X195" s="503">
        <f>IF(終値!A195="","",IF(AND(安値!AC195&lt;安値!AB195,安値!AC195&lt;安値!AA195,安値!AC195&lt;安値!AD195,安値!AC195&lt;安値!AE195),24,""))</f>
        <v>24</v>
      </c>
      <c r="Y195" s="503" t="str">
        <f>IF(終値!A195="","",IF(AND(安値!AD195&lt;安値!AC195,安値!AD195&lt;安値!AB195,安値!AD195&lt;安値!AE195,安値!AD195&lt;安値!AF195),25,""))</f>
        <v/>
      </c>
      <c r="Z195" s="503" t="str">
        <f>IF(終値!A195="","",IF(AND(安値!AE195&lt;安値!AD195,安値!AE195&lt;安値!AC195,安値!AE195&lt;安値!AF195,安値!AE195&lt;安値!AG195),26,""))</f>
        <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f>IF(終値!A195="","",IF(AND(高値!L195&gt;高値!K195,高値!L195&gt;高値!J195,高値!L195&gt;高値!M195,高値!L195&gt;高値!N195),7,""))</f>
        <v>7</v>
      </c>
      <c r="AI195" s="503" t="str">
        <f>IF(終値!A195="","",IF(AND(高値!M195&gt;高値!L195,高値!M195&gt;高値!K195,高値!M195&gt;高値!N195,高値!M195&gt;高値!O195),8,""))</f>
        <v/>
      </c>
      <c r="AJ195" s="503" t="str">
        <f>IF(終値!A195="","",IF(AND(高値!N195&gt;高値!M195,高値!N195&gt;高値!L195,高値!N195&gt;高値!O195,高値!N195&gt;高値!P195),9,""))</f>
        <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f>IF(終値!A195="","",IF(AND(高値!S195&gt;高値!R195,高値!S195&gt;高値!Q195,高値!S195&gt;高値!T195,高値!S195&gt;高値!U195),14,""))</f>
        <v>14</v>
      </c>
      <c r="AP195" s="503" t="str">
        <f>IF(終値!A195="","",IF(AND(高値!T195&gt;高値!S195,高値!T195&gt;高値!R195,高値!T195&gt;高値!U195,高値!T195&gt;高値!V195),15,""))</f>
        <v/>
      </c>
      <c r="AQ195" s="503" t="str">
        <f>IF(終値!A195="","",IF(AND(高値!U195&gt;高値!T195,高値!U195&gt;高値!S195,高値!U195&gt;高値!V195,高値!U195&gt;高値!W195),16,""))</f>
        <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f>IF(終値!A195="","",IF(AND(高値!AA195&gt;高値!Z195,高値!AA195&gt;高値!Y195,高値!AA195&gt;高値!AB195,高値!AA195&gt;高値!AC195),22,""))</f>
        <v>22</v>
      </c>
      <c r="AX195" s="503" t="str">
        <f>IF(終値!A195="","",IF(AND(高値!AB195&gt;高値!AA195,高値!AB195&gt;高値!Z195,高値!AB195&gt;高値!AC195,高値!AB195&gt;高値!AD195),23,""))</f>
        <v/>
      </c>
      <c r="AY195" s="503" t="str">
        <f>IF(終値!A195="","",IF(AND(高値!AC195&gt;高値!AB195,高値!AC195&gt;高値!AA195,高値!AC195&gt;高値!AD195,高値!AC195&gt;高値!AE195),24,""))</f>
        <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4</v>
      </c>
      <c r="BF195" s="503">
        <f t="shared" si="14"/>
        <v>11</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7</v>
      </c>
      <c r="BN195" s="503">
        <f t="shared" si="17"/>
        <v>14</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f>IF(終値!A196="","",IF(AND(安値!I196&lt;安値!H196,安値!I196&lt;安値!G196,安値!I196&lt;安値!J196,安値!I196&lt;安値!K196),4,""))</f>
        <v>4</v>
      </c>
      <c r="E196" s="503" t="str">
        <f>IF(終値!A196="","",IF(AND(安値!J196&lt;安値!I196,安値!J196&lt;安値!H196,安値!J196&lt;安値!K196,安値!J196&lt;安値!L196),5,""))</f>
        <v/>
      </c>
      <c r="F196" s="503" t="str">
        <f>IF(終値!A196="","",IF(AND(安値!K196&lt;安値!J196,安値!K196&lt;安値!I196,安値!K196&lt;安値!L196,安値!K196&lt;安値!M196),6,""))</f>
        <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f>IF(終値!A196="","",IF(AND(安値!P196&lt;安値!O196,安値!P196&lt;安値!N196,安値!P196&lt;安値!Q196,安値!P196&lt;安値!R196),11,""))</f>
        <v>11</v>
      </c>
      <c r="L196" s="503" t="str">
        <f>IF(終値!A196="","",IF(AND(安値!Q196&lt;安値!P196,安値!Q196&lt;安値!O196,安値!Q196&lt;安値!R196,安値!Q196&lt;安値!S196),12,""))</f>
        <v/>
      </c>
      <c r="M196" s="503" t="str">
        <f>IF(終値!A196="","",IF(AND(安値!R196&lt;安値!Q196,安値!R196&lt;安値!P196,安値!R196&lt;安値!S196,安値!R196&lt;安値!T196),13,""))</f>
        <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f>IF(終値!A196="","",IF(AND(安値!V196&lt;安値!U196,安値!V196&lt;安値!T196,安値!V196&lt;安値!W196,安値!V196&lt;安値!X196),17,""))</f>
        <v>17</v>
      </c>
      <c r="R196" s="503" t="str">
        <f>IF(終値!A196="","",IF(AND(安値!W196&lt;安値!V196,安値!W196&lt;安値!U196,安値!W196&lt;安値!X196,安値!W196&lt;安値!Y196),18,""))</f>
        <v/>
      </c>
      <c r="S196" s="503" t="str">
        <f>IF(終値!A196="","",IF(AND(安値!X196&lt;安値!W196,安値!X196&lt;安値!V196,安値!X196&lt;安値!Y196,安値!X196&lt;安値!Z196),19,""))</f>
        <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f>IF(終値!A196="","",IF(AND(安値!AC196&lt;安値!AB196,安値!AC196&lt;安値!AA196,安値!AC196&lt;安値!AD196,安値!AC196&lt;安値!AE196),24,""))</f>
        <v>24</v>
      </c>
      <c r="Y196" s="503" t="str">
        <f>IF(終値!A196="","",IF(AND(安値!AD196&lt;安値!AC196,安値!AD196&lt;安値!AB196,安値!AD196&lt;安値!AE196,安値!AD196&lt;安値!AF196),25,""))</f>
        <v/>
      </c>
      <c r="Z196" s="503" t="str">
        <f>IF(終値!A196="","",IF(AND(安値!AE196&lt;安値!AD196,安値!AE196&lt;安値!AC196,安値!AE196&lt;安値!AF196,安値!AE196&lt;安値!AG196),26,""))</f>
        <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f>IF(終値!A196="","",IF(AND(高値!N196&gt;高値!M196,高値!N196&gt;高値!L196,高値!N196&gt;高値!O196,高値!N196&gt;高値!P196),9,""))</f>
        <v>9</v>
      </c>
      <c r="AK196" s="503" t="str">
        <f>IF(終値!A196="","",IF(AND(高値!O196&gt;高値!N196,高値!O196&gt;高値!M196,高値!O196&gt;高値!P196,高値!O196&gt;高値!Q196),10,""))</f>
        <v/>
      </c>
      <c r="AL196" s="503" t="str">
        <f>IF(終値!A196="","",IF(AND(高値!P196&gt;高値!O196,高値!P196&gt;高値!N196,高値!P196&gt;高値!Q196,高値!P196&gt;高値!R196),11,""))</f>
        <v/>
      </c>
      <c r="AM196" s="503">
        <f>IF(終値!A196="","",IF(AND(高値!Q196&gt;高値!P196,高値!Q196&gt;高値!O196,高値!Q196&gt;高値!R196,高値!Q196&gt;高値!S196),12,""))</f>
        <v>12</v>
      </c>
      <c r="AN196" s="503" t="str">
        <f>IF(終値!A196="","",IF(AND(高値!R196&gt;高値!Q196,高値!R196&gt;高値!P196,高値!R196&gt;高値!S196,高値!R196&gt;高値!T196),13,""))</f>
        <v/>
      </c>
      <c r="AO196" s="503" t="str">
        <f>IF(終値!A196="","",IF(AND(高値!S196&gt;高値!R196,高値!S196&gt;高値!Q196,高値!S196&gt;高値!T196,高値!S196&gt;高値!U196),14,""))</f>
        <v/>
      </c>
      <c r="AP196" s="503">
        <f>IF(終値!A196="","",IF(AND(高値!T196&gt;高値!S196,高値!T196&gt;高値!R196,高値!T196&gt;高値!U196,高値!T196&gt;高値!V196),15,""))</f>
        <v>15</v>
      </c>
      <c r="AQ196" s="503" t="str">
        <f>IF(終値!A196="","",IF(AND(高値!U196&gt;高値!T196,高値!U196&gt;高値!S196,高値!U196&gt;高値!V196,高値!U196&gt;高値!W196),16,""))</f>
        <v/>
      </c>
      <c r="AR196" s="503" t="str">
        <f>IF(終値!A196="","",IF(AND(高値!V196&gt;高値!U196,高値!V196&gt;高値!T196,高値!V196&gt;高値!W196,高値!V196&gt;高値!X196),17,""))</f>
        <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f>IF(終値!A196="","",IF(AND(高値!AA196&gt;高値!Z196,高値!AA196&gt;高値!Y196,高値!AA196&gt;高値!AB196,高値!AA196&gt;高値!AC196),22,""))</f>
        <v>22</v>
      </c>
      <c r="AX196" s="503" t="str">
        <f>IF(終値!A196="","",IF(AND(高値!AB196&gt;高値!AA196,高値!AB196&gt;高値!Z196,高値!AB196&gt;高値!AC196,高値!AB196&gt;高値!AD196),23,""))</f>
        <v/>
      </c>
      <c r="AY196" s="503" t="str">
        <f>IF(終値!A196="","",IF(AND(高値!AC196&gt;高値!AB196,高値!AC196&gt;高値!AA196,高値!AC196&gt;高値!AD196,高値!AC196&gt;高値!AE196),24,""))</f>
        <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4</v>
      </c>
      <c r="BF196" s="503">
        <f t="shared" si="14"/>
        <v>11</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9</v>
      </c>
      <c r="BN196" s="503">
        <f t="shared" si="17"/>
        <v>12</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f>IF(終値!A197="","",IF(AND(安値!H197&lt;安値!G197,安値!H197&lt;安値!F197,安値!H197&lt;安値!I197,安値!H197&lt;安値!J197),3,""))</f>
        <v>3</v>
      </c>
      <c r="D197" s="503" t="str">
        <f>IF(終値!A197="","",IF(AND(安値!I197&lt;安値!H197,安値!I197&lt;安値!G197,安値!I197&lt;安値!J197,安値!I197&lt;安値!K197),4,""))</f>
        <v/>
      </c>
      <c r="E197" s="503" t="str">
        <f>IF(終値!A197="","",IF(AND(安値!J197&lt;安値!I197,安値!J197&lt;安値!H197,安値!J197&lt;安値!K197,安値!J197&lt;安値!L197),5,""))</f>
        <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f>IF(終値!A197="","",IF(AND(安値!P197&lt;安値!O197,安値!P197&lt;安値!N197,安値!P197&lt;安値!Q197,安値!P197&lt;安値!R197),11,""))</f>
        <v>11</v>
      </c>
      <c r="L197" s="503" t="str">
        <f>IF(終値!A197="","",IF(AND(安値!Q197&lt;安値!P197,安値!Q197&lt;安値!O197,安値!Q197&lt;安値!R197,安値!Q197&lt;安値!S197),12,""))</f>
        <v/>
      </c>
      <c r="M197" s="503" t="str">
        <f>IF(終値!A197="","",IF(AND(安値!R197&lt;安値!Q197,安値!R197&lt;安値!P197,安値!R197&lt;安値!S197,安値!R197&lt;安値!T197),13,""))</f>
        <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f>IF(終値!A197="","",IF(AND(安値!V197&lt;安値!U197,安値!V197&lt;安値!T197,安値!V197&lt;安値!W197,安値!V197&lt;安値!X197),17,""))</f>
        <v>17</v>
      </c>
      <c r="R197" s="503" t="str">
        <f>IF(終値!A197="","",IF(AND(安値!W197&lt;安値!V197,安値!W197&lt;安値!U197,安値!W197&lt;安値!X197,安値!W197&lt;安値!Y197),18,""))</f>
        <v/>
      </c>
      <c r="S197" s="503" t="str">
        <f>IF(終値!A197="","",IF(AND(安値!X197&lt;安値!W197,安値!X197&lt;安値!V197,安値!X197&lt;安値!Y197,安値!X197&lt;安値!Z197),19,""))</f>
        <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f>IF(終値!A197="","",IF(AND(安値!AC197&lt;安値!AB197,安値!AC197&lt;安値!AA197,安値!AC197&lt;安値!AD197,安値!AC197&lt;安値!AE197),24,""))</f>
        <v>24</v>
      </c>
      <c r="Y197" s="503" t="str">
        <f>IF(終値!A197="","",IF(AND(安値!AD197&lt;安値!AC197,安値!AD197&lt;安値!AB197,安値!AD197&lt;安値!AE197,安値!AD197&lt;安値!AF197),25,""))</f>
        <v/>
      </c>
      <c r="Z197" s="503" t="str">
        <f>IF(終値!A197="","",IF(AND(安値!AE197&lt;安値!AD197,安値!AE197&lt;安値!AC197,安値!AE197&lt;安値!AF197,安値!AE197&lt;安値!AG197),26,""))</f>
        <v/>
      </c>
      <c r="AA197" s="503">
        <f>IF(終値!A197="","",IF(AND(安値!AF197&lt;安値!AE197,安値!AF197&lt;安値!AD197,安値!AF197&lt;安値!AG197,安値!AF197&lt;安値!AH197),27,""))</f>
        <v>27</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f>IF(終値!A197="","",IF(AND(高値!M197&gt;高値!L197,高値!M197&gt;高値!K197,高値!M197&gt;高値!N197,高値!M197&gt;高値!O197),8,""))</f>
        <v>8</v>
      </c>
      <c r="AJ197" s="503" t="str">
        <f>IF(終値!A197="","",IF(AND(高値!N197&gt;高値!M197,高値!N197&gt;高値!L197,高値!N197&gt;高値!O197,高値!N197&gt;高値!P197),9,""))</f>
        <v/>
      </c>
      <c r="AK197" s="503" t="str">
        <f>IF(終値!A197="","",IF(AND(高値!O197&gt;高値!N197,高値!O197&gt;高値!M197,高値!O197&gt;高値!P197,高値!O197&gt;高値!Q197),10,""))</f>
        <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f>IF(終値!A197="","",IF(AND(高値!S197&gt;高値!R197,高値!S197&gt;高値!Q197,高値!S197&gt;高値!T197,高値!S197&gt;高値!U197),14,""))</f>
        <v>14</v>
      </c>
      <c r="AP197" s="503" t="str">
        <f>IF(終値!A197="","",IF(AND(高値!T197&gt;高値!S197,高値!T197&gt;高値!R197,高値!T197&gt;高値!U197,高値!T197&gt;高値!V197),15,""))</f>
        <v/>
      </c>
      <c r="AQ197" s="503" t="str">
        <f>IF(終値!A197="","",IF(AND(高値!U197&gt;高値!T197,高値!U197&gt;高値!S197,高値!U197&gt;高値!V197,高値!U197&gt;高値!W197),16,""))</f>
        <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f>IF(終値!A197="","",IF(AND(高値!AA197&gt;高値!Z197,高値!AA197&gt;高値!Y197,高値!AA197&gt;高値!AB197,高値!AA197&gt;高値!AC197),22,""))</f>
        <v>22</v>
      </c>
      <c r="AX197" s="503" t="str">
        <f>IF(終値!A197="","",IF(AND(高値!AB197&gt;高値!AA197,高値!AB197&gt;高値!Z197,高値!AB197&gt;高値!AC197,高値!AB197&gt;高値!AD197),23,""))</f>
        <v/>
      </c>
      <c r="AY197" s="503" t="str">
        <f>IF(終値!A197="","",IF(AND(高値!AC197&gt;高値!AB197,高値!AC197&gt;高値!AA197,高値!AC197&gt;高値!AD197,高値!AC197&gt;高値!AE197),24,""))</f>
        <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f>IF(終値!A197="","",IF(AND(高値!AG197&gt;高値!AF197,高値!AG197&gt;高値!AE197,高値!AG197&gt;高値!AH197,高値!AG197&gt;高値!AI197),28,""))</f>
        <v>28</v>
      </c>
      <c r="BD197" s="503">
        <f t="shared" si="12"/>
        <v>5</v>
      </c>
      <c r="BE197" s="503">
        <f t="shared" si="13"/>
        <v>3</v>
      </c>
      <c r="BF197" s="503">
        <f t="shared" si="14"/>
        <v>11</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4</v>
      </c>
      <c r="BM197" s="503">
        <f t="shared" si="16"/>
        <v>8</v>
      </c>
      <c r="BN197" s="503">
        <f t="shared" si="17"/>
        <v>14</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f>IF(終値!A198="","",IF(AND(安値!I198&lt;安値!H198,安値!I198&lt;安値!G198,安値!I198&lt;安値!J198,安値!I198&lt;安値!K198),4,""))</f>
        <v>4</v>
      </c>
      <c r="E198" s="503" t="str">
        <f>IF(終値!A198="","",IF(AND(安値!J198&lt;安値!I198,安値!J198&lt;安値!H198,安値!J198&lt;安値!K198,安値!J198&lt;安値!L198),5,""))</f>
        <v/>
      </c>
      <c r="F198" s="503" t="str">
        <f>IF(終値!A198="","",IF(AND(安値!K198&lt;安値!J198,安値!K198&lt;安値!I198,安値!K198&lt;安値!L198,安値!K198&lt;安値!M198),6,""))</f>
        <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f>IF(終値!A198="","",IF(AND(安値!P198&lt;安値!O198,安値!P198&lt;安値!N198,安値!P198&lt;安値!Q198,安値!P198&lt;安値!R198),11,""))</f>
        <v>11</v>
      </c>
      <c r="L198" s="503" t="str">
        <f>IF(終値!A198="","",IF(AND(安値!Q198&lt;安値!P198,安値!Q198&lt;安値!O198,安値!Q198&lt;安値!R198,安値!Q198&lt;安値!S198),12,""))</f>
        <v/>
      </c>
      <c r="M198" s="503" t="str">
        <f>IF(終値!A198="","",IF(AND(安値!R198&lt;安値!Q198,安値!R198&lt;安値!P198,安値!R198&lt;安値!S198,安値!R198&lt;安値!T198),13,""))</f>
        <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f>IF(終値!A198="","",IF(AND(安値!V198&lt;安値!U198,安値!V198&lt;安値!T198,安値!V198&lt;安値!W198,安値!V198&lt;安値!X198),17,""))</f>
        <v>17</v>
      </c>
      <c r="R198" s="503" t="str">
        <f>IF(終値!A198="","",IF(AND(安値!W198&lt;安値!V198,安値!W198&lt;安値!U198,安値!W198&lt;安値!X198,安値!W198&lt;安値!Y198),18,""))</f>
        <v/>
      </c>
      <c r="S198" s="503" t="str">
        <f>IF(終値!A198="","",IF(AND(安値!X198&lt;安値!W198,安値!X198&lt;安値!V198,安値!X198&lt;安値!Y198,安値!X198&lt;安値!Z198),19,""))</f>
        <v/>
      </c>
      <c r="T198" s="503">
        <f>IF(終値!A198="","",IF(AND(安値!Y198&lt;安値!X198,安値!Y198&lt;安値!W198,安値!Y198&lt;安値!Z198,安値!Y198&lt;安値!AA198),20,""))</f>
        <v>20</v>
      </c>
      <c r="U198" s="503" t="str">
        <f>IF(終値!A198="","",IF(AND(安値!Z198&lt;安値!Y198,安値!Z198&lt;安値!X198,安値!Z198&lt;安値!AA198,安値!Z198&lt;安値!AB198),21,""))</f>
        <v/>
      </c>
      <c r="V198" s="503" t="str">
        <f>IF(終値!A198="","",IF(AND(安値!AA198&lt;安値!Z198,安値!AA198&lt;安値!Y198,安値!AA198&lt;安値!AB198,安値!AA198&lt;安値!AC198),22,""))</f>
        <v/>
      </c>
      <c r="W198" s="503" t="str">
        <f>IF(終値!A198="","",IF(AND(安値!AB198&lt;安値!AA198,安値!AB198&lt;安値!Z198,安値!AB198&lt;安値!AC198,安値!AB198&lt;安値!AD198),23,""))</f>
        <v/>
      </c>
      <c r="X198" s="503">
        <f>IF(終値!A198="","",IF(AND(安値!AC198&lt;安値!AB198,安値!AC198&lt;安値!AA198,安値!AC198&lt;安値!AD198,安値!AC198&lt;安値!AE198),24,""))</f>
        <v>24</v>
      </c>
      <c r="Y198" s="503" t="str">
        <f>IF(終値!A198="","",IF(AND(安値!AD198&lt;安値!AC198,安値!AD198&lt;安値!AB198,安値!AD198&lt;安値!AE198,安値!AD198&lt;安値!AF198),25,""))</f>
        <v/>
      </c>
      <c r="Z198" s="503" t="str">
        <f>IF(終値!A198="","",IF(AND(安値!AE198&lt;安値!AD198,安値!AE198&lt;安値!AC198,安値!AE198&lt;安値!AF198,安値!AE198&lt;安値!AG198),26,""))</f>
        <v/>
      </c>
      <c r="AA198" s="503">
        <f>IF(終値!A198="","",IF(AND(安値!AF198&lt;安値!AE198,安値!AF198&lt;安値!AD198,安値!AF198&lt;安値!AG198,安値!AF198&lt;安値!AH198),27,""))</f>
        <v>27</v>
      </c>
      <c r="AB198" s="503" t="str">
        <f>IF(終値!A198="","",IF(AND(安値!AG198&lt;安値!AF198,安値!AG198&lt;安値!AE198,安値!AG198&lt;安値!AH198,安値!AG198&lt;安値!AI198),28,""))</f>
        <v/>
      </c>
      <c r="AC198" s="503">
        <f>IF(終値!A198="","",IF(AND(高値!G198&gt;高値!F198,高値!G198&gt;高値!E198,高値!G198&gt;高値!H198,高値!G198&gt;高値!I198),2,""))</f>
        <v>2</v>
      </c>
      <c r="AD198" s="503" t="str">
        <f>IF(終値!A198="","",IF(AND(高値!H198&gt;高値!G198,高値!H198&gt;高値!F198,高値!H198&gt;高値!I198,高値!H198&gt;高値!J198),3,""))</f>
        <v/>
      </c>
      <c r="AE198" s="503" t="str">
        <f>IF(終値!A198="","",IF(AND(高値!I198&gt;高値!H198,高値!I198&gt;高値!G198,高値!I198&gt;高値!J198,高値!I198&gt;高値!K198),4,""))</f>
        <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f>IF(終値!A198="","",IF(AND(高値!N198&gt;高値!M198,高値!N198&gt;高値!L198,高値!N198&gt;高値!O198,高値!N198&gt;高値!P198),9,""))</f>
        <v>9</v>
      </c>
      <c r="AK198" s="503" t="str">
        <f>IF(終値!A198="","",IF(AND(高値!O198&gt;高値!N198,高値!O198&gt;高値!M198,高値!O198&gt;高値!P198,高値!O198&gt;高値!Q198),10,""))</f>
        <v/>
      </c>
      <c r="AL198" s="503" t="str">
        <f>IF(終値!A198="","",IF(AND(高値!P198&gt;高値!O198,高値!P198&gt;高値!N198,高値!P198&gt;高値!Q198,高値!P198&gt;高値!R198),11,""))</f>
        <v/>
      </c>
      <c r="AM198" s="503">
        <f>IF(終値!A198="","",IF(AND(高値!Q198&gt;高値!P198,高値!Q198&gt;高値!O198,高値!Q198&gt;高値!R198,高値!Q198&gt;高値!S198),12,""))</f>
        <v>12</v>
      </c>
      <c r="AN198" s="503" t="str">
        <f>IF(終値!A198="","",IF(AND(高値!R198&gt;高値!Q198,高値!R198&gt;高値!P198,高値!R198&gt;高値!S198,高値!R198&gt;高値!T198),13,""))</f>
        <v/>
      </c>
      <c r="AO198" s="503" t="str">
        <f>IF(終値!A198="","",IF(AND(高値!S198&gt;高値!R198,高値!S198&gt;高値!Q198,高値!S198&gt;高値!T198,高値!S198&gt;高値!U198),14,""))</f>
        <v/>
      </c>
      <c r="AP198" s="503">
        <f>IF(終値!A198="","",IF(AND(高値!T198&gt;高値!S198,高値!T198&gt;高値!R198,高値!T198&gt;高値!U198,高値!T198&gt;高値!V198),15,""))</f>
        <v>15</v>
      </c>
      <c r="AQ198" s="503" t="str">
        <f>IF(終値!A198="","",IF(AND(高値!U198&gt;高値!T198,高値!U198&gt;高値!S198,高値!U198&gt;高値!V198,高値!U198&gt;高値!W198),16,""))</f>
        <v/>
      </c>
      <c r="AR198" s="503" t="str">
        <f>IF(終値!A198="","",IF(AND(高値!V198&gt;高値!U198,高値!V198&gt;高値!T198,高値!V198&gt;高値!W198,高値!V198&gt;高値!X198),17,""))</f>
        <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f>IF(終値!A198="","",IF(AND(高値!AA198&gt;高値!Z198,高値!AA198&gt;高値!Y198,高値!AA198&gt;高値!AB198,高値!AA198&gt;高値!AC198),22,""))</f>
        <v>22</v>
      </c>
      <c r="AX198" s="503" t="str">
        <f>IF(終値!A198="","",IF(AND(高値!AB198&gt;高値!AA198,高値!AB198&gt;高値!Z198,高値!AB198&gt;高値!AC198,高値!AB198&gt;高値!AD198),23,""))</f>
        <v/>
      </c>
      <c r="AY198" s="503" t="str">
        <f>IF(終値!A198="","",IF(AND(高値!AC198&gt;高値!AB198,高値!AC198&gt;高値!AA198,高値!AC198&gt;高値!AD198,高値!AC198&gt;高値!AE198),24,""))</f>
        <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f>IF(終値!A198="","",IF(AND(高値!AG198&gt;高値!AF198,高値!AG198&gt;高値!AE198,高値!AG198&gt;高値!AH198,高値!AG198&gt;高値!AI198),28,""))</f>
        <v>28</v>
      </c>
      <c r="BD198" s="503">
        <f t="shared" ref="BD198:BD261" si="18">COUNT($B198:$AB198)</f>
        <v>6</v>
      </c>
      <c r="BE198" s="503">
        <f t="shared" ref="BE198:BE261" si="19">IF($BD198&gt;=2,MIN($B198:$AB198),"")</f>
        <v>4</v>
      </c>
      <c r="BF198" s="503">
        <f t="shared" ref="BF198:BF261" si="20">IF($BD198&gt;=2,SMALL($B198:$AB198,2),"")</f>
        <v>11</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6</v>
      </c>
      <c r="BM198" s="503">
        <f t="shared" ref="BM198:BM261" si="22">IF($BL198&gt;=2,MIN($AC198:$BC198),"")</f>
        <v>2</v>
      </c>
      <c r="BN198" s="503">
        <f t="shared" ref="BN198:BN261" si="23">IF($BL198&gt;=2,SMALL($AC198:$BC198,2),"")</f>
        <v>9</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f>IF(終値!A199="","",IF(AND(安値!H199&lt;安値!G199,安値!H199&lt;安値!F199,安値!H199&lt;安値!I199,安値!H199&lt;安値!J199),3,""))</f>
        <v>3</v>
      </c>
      <c r="D199" s="503" t="str">
        <f>IF(終値!A199="","",IF(AND(安値!I199&lt;安値!H199,安値!I199&lt;安値!G199,安値!I199&lt;安値!J199,安値!I199&lt;安値!K199),4,""))</f>
        <v/>
      </c>
      <c r="E199" s="503" t="str">
        <f>IF(終値!A199="","",IF(AND(安値!J199&lt;安値!I199,安値!J199&lt;安値!H199,安値!J199&lt;安値!K199,安値!J199&lt;安値!L199),5,""))</f>
        <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f>IF(終値!A199="","",IF(AND(安値!P199&lt;安値!O199,安値!P199&lt;安値!N199,安値!P199&lt;安値!Q199,安値!P199&lt;安値!R199),11,""))</f>
        <v>11</v>
      </c>
      <c r="L199" s="503" t="str">
        <f>IF(終値!A199="","",IF(AND(安値!Q199&lt;安値!P199,安値!Q199&lt;安値!O199,安値!Q199&lt;安値!R199,安値!Q199&lt;安値!S199),12,""))</f>
        <v/>
      </c>
      <c r="M199" s="503" t="str">
        <f>IF(終値!A199="","",IF(AND(安値!R199&lt;安値!Q199,安値!R199&lt;安値!P199,安値!R199&lt;安値!S199,安値!R199&lt;安値!T199),13,""))</f>
        <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f>IF(終値!A199="","",IF(AND(安値!U199&lt;安値!T199,安値!U199&lt;安値!S199,安値!U199&lt;安値!V199,安値!U199&lt;安値!W199),16,""))</f>
        <v>16</v>
      </c>
      <c r="Q199" s="503" t="str">
        <f>IF(終値!A199="","",IF(AND(安値!V199&lt;安値!U199,安値!V199&lt;安値!T199,安値!V199&lt;安値!W199,安値!V199&lt;安値!X199),17,""))</f>
        <v/>
      </c>
      <c r="R199" s="503" t="str">
        <f>IF(終値!A199="","",IF(AND(安値!W199&lt;安値!V199,安値!W199&lt;安値!U199,安値!W199&lt;安値!X199,安値!W199&lt;安値!Y199),18,""))</f>
        <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f>IF(終値!A199="","",IF(AND(安値!AC199&lt;安値!AB199,安値!AC199&lt;安値!AA199,安値!AC199&lt;安値!AD199,安値!AC199&lt;安値!AE199),24,""))</f>
        <v>24</v>
      </c>
      <c r="Y199" s="503" t="str">
        <f>IF(終値!A199="","",IF(AND(安値!AD199&lt;安値!AC199,安値!AD199&lt;安値!AB199,安値!AD199&lt;安値!AE199,安値!AD199&lt;安値!AF199),25,""))</f>
        <v/>
      </c>
      <c r="Z199" s="503" t="str">
        <f>IF(終値!A199="","",IF(AND(安値!AE199&lt;安値!AD199,安値!AE199&lt;安値!AC199,安値!AE199&lt;安値!AF199,安値!AE199&lt;安値!AG199),26,""))</f>
        <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f>IF(終値!A199="","",IF(AND(高値!M199&gt;高値!L199,高値!M199&gt;高値!K199,高値!M199&gt;高値!N199,高値!M199&gt;高値!O199),8,""))</f>
        <v>8</v>
      </c>
      <c r="AJ199" s="503" t="str">
        <f>IF(終値!A199="","",IF(AND(高値!N199&gt;高値!M199,高値!N199&gt;高値!L199,高値!N199&gt;高値!O199,高値!N199&gt;高値!P199),9,""))</f>
        <v/>
      </c>
      <c r="AK199" s="503" t="str">
        <f>IF(終値!A199="","",IF(AND(高値!O199&gt;高値!N199,高値!O199&gt;高値!M199,高値!O199&gt;高値!P199,高値!O199&gt;高値!Q199),10,""))</f>
        <v/>
      </c>
      <c r="AL199" s="503" t="str">
        <f>IF(終値!A199="","",IF(AND(高値!P199&gt;高値!O199,高値!P199&gt;高値!N199,高値!P199&gt;高値!Q199,高値!P199&gt;高値!R199),11,""))</f>
        <v/>
      </c>
      <c r="AM199" s="503">
        <f>IF(終値!A199="","",IF(AND(高値!Q199&gt;高値!P199,高値!Q199&gt;高値!O199,高値!Q199&gt;高値!R199,高値!Q199&gt;高値!S199),12,""))</f>
        <v>12</v>
      </c>
      <c r="AN199" s="503" t="str">
        <f>IF(終値!A199="","",IF(AND(高値!R199&gt;高値!Q199,高値!R199&gt;高値!P199,高値!R199&gt;高値!S199,高値!R199&gt;高値!T199),13,""))</f>
        <v/>
      </c>
      <c r="AO199" s="503" t="str">
        <f>IF(終値!A199="","",IF(AND(高値!S199&gt;高値!R199,高値!S199&gt;高値!Q199,高値!S199&gt;高値!T199,高値!S199&gt;高値!U199),14,""))</f>
        <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f>IF(終値!A199="","",IF(AND(高値!AA199&gt;高値!Z199,高値!AA199&gt;高値!Y199,高値!AA199&gt;高値!AB199,高値!AA199&gt;高値!AC199),22,""))</f>
        <v>22</v>
      </c>
      <c r="AX199" s="503" t="str">
        <f>IF(終値!A199="","",IF(AND(高値!AB199&gt;高値!AA199,高値!AB199&gt;高値!Z199,高値!AB199&gt;高値!AC199,高値!AB199&gt;高値!AD199),23,""))</f>
        <v/>
      </c>
      <c r="AY199" s="503" t="str">
        <f>IF(終値!A199="","",IF(AND(高値!AC199&gt;高値!AB199,高値!AC199&gt;高値!AA199,高値!AC199&gt;高値!AD199,高値!AC199&gt;高値!AE199),24,""))</f>
        <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3</v>
      </c>
      <c r="BF199" s="503">
        <f t="shared" si="20"/>
        <v>11</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8</v>
      </c>
      <c r="BN199" s="503">
        <f t="shared" si="23"/>
        <v>12</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f>IF(終値!A200="","",IF(AND(安値!I200&lt;安値!H200,安値!I200&lt;安値!G200,安値!I200&lt;安値!J200,安値!I200&lt;安値!K200),4,""))</f>
        <v>4</v>
      </c>
      <c r="E200" s="503" t="str">
        <f>IF(終値!A200="","",IF(AND(安値!J200&lt;安値!I200,安値!J200&lt;安値!H200,安値!J200&lt;安値!K200,安値!J200&lt;安値!L200),5,""))</f>
        <v/>
      </c>
      <c r="F200" s="503" t="str">
        <f>IF(終値!A200="","",IF(AND(安値!K200&lt;安値!J200,安値!K200&lt;安値!I200,安値!K200&lt;安値!L200,安値!K200&lt;安値!M200),6,""))</f>
        <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f>IF(終値!A200="","",IF(AND(安値!P200&lt;安値!O200,安値!P200&lt;安値!N200,安値!P200&lt;安値!Q200,安値!P200&lt;安値!R200),11,""))</f>
        <v>11</v>
      </c>
      <c r="L200" s="503" t="str">
        <f>IF(終値!A200="","",IF(AND(安値!Q200&lt;安値!P200,安値!Q200&lt;安値!O200,安値!Q200&lt;安値!R200,安値!Q200&lt;安値!S200),12,""))</f>
        <v/>
      </c>
      <c r="M200" s="503" t="str">
        <f>IF(終値!A200="","",IF(AND(安値!R200&lt;安値!Q200,安値!R200&lt;安値!P200,安値!R200&lt;安値!S200,安値!R200&lt;安値!T200),13,""))</f>
        <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f>IF(終値!A200="","",IF(AND(安値!V200&lt;安値!U200,安値!V200&lt;安値!T200,安値!V200&lt;安値!W200,安値!V200&lt;安値!X200),17,""))</f>
        <v>17</v>
      </c>
      <c r="R200" s="503" t="str">
        <f>IF(終値!A200="","",IF(AND(安値!W200&lt;安値!V200,安値!W200&lt;安値!U200,安値!W200&lt;安値!X200,安値!W200&lt;安値!Y200),18,""))</f>
        <v/>
      </c>
      <c r="S200" s="503" t="str">
        <f>IF(終値!A200="","",IF(AND(安値!X200&lt;安値!W200,安値!X200&lt;安値!V200,安値!X200&lt;安値!Y200,安値!X200&lt;安値!Z200),19,""))</f>
        <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f>IF(終値!A200="","",IF(AND(高値!N200&gt;高値!M200,高値!N200&gt;高値!L200,高値!N200&gt;高値!O200,高値!N200&gt;高値!P200),9,""))</f>
        <v>9</v>
      </c>
      <c r="AK200" s="503" t="str">
        <f>IF(終値!A200="","",IF(AND(高値!O200&gt;高値!N200,高値!O200&gt;高値!M200,高値!O200&gt;高値!P200,高値!O200&gt;高値!Q200),10,""))</f>
        <v/>
      </c>
      <c r="AL200" s="503" t="str">
        <f>IF(終値!A200="","",IF(AND(高値!P200&gt;高値!O200,高値!P200&gt;高値!N200,高値!P200&gt;高値!Q200,高値!P200&gt;高値!R200),11,""))</f>
        <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f>IF(終値!A200="","",IF(AND(高値!S200&gt;高値!R200,高値!S200&gt;高値!Q200,高値!S200&gt;高値!T200,高値!S200&gt;高値!U200),14,""))</f>
        <v>14</v>
      </c>
      <c r="AP200" s="503" t="str">
        <f>IF(終値!A200="","",IF(AND(高値!T200&gt;高値!S200,高値!T200&gt;高値!R200,高値!T200&gt;高値!U200,高値!T200&gt;高値!V200),15,""))</f>
        <v/>
      </c>
      <c r="AQ200" s="503" t="str">
        <f>IF(終値!A200="","",IF(AND(高値!U200&gt;高値!T200,高値!U200&gt;高値!S200,高値!U200&gt;高値!V200,高値!U200&gt;高値!W200),16,""))</f>
        <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f>IF(終値!A200="","",IF(AND(高値!AA200&gt;高値!Z200,高値!AA200&gt;高値!Y200,高値!AA200&gt;高値!AB200,高値!AA200&gt;高値!AC200),22,""))</f>
        <v>22</v>
      </c>
      <c r="AX200" s="503" t="str">
        <f>IF(終値!A200="","",IF(AND(高値!AB200&gt;高値!AA200,高値!AB200&gt;高値!Z200,高値!AB200&gt;高値!AC200,高値!AB200&gt;高値!AD200),23,""))</f>
        <v/>
      </c>
      <c r="AY200" s="503" t="str">
        <f>IF(終値!A200="","",IF(AND(高値!AC200&gt;高値!AB200,高値!AC200&gt;高値!AA200,高値!AC200&gt;高値!AD200,高値!AC200&gt;高値!AE200),24,""))</f>
        <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4</v>
      </c>
      <c r="BF200" s="503">
        <f t="shared" si="20"/>
        <v>11</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9</v>
      </c>
      <c r="BN200" s="503">
        <f t="shared" si="23"/>
        <v>14</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f>IF(終値!A201="","",IF(AND(安値!I201&lt;安値!H201,安値!I201&lt;安値!G201,安値!I201&lt;安値!J201,安値!I201&lt;安値!K201),4,""))</f>
        <v>4</v>
      </c>
      <c r="E201" s="503" t="str">
        <f>IF(終値!A201="","",IF(AND(安値!J201&lt;安値!I201,安値!J201&lt;安値!H201,安値!J201&lt;安値!K201,安値!J201&lt;安値!L201),5,""))</f>
        <v/>
      </c>
      <c r="F201" s="503" t="str">
        <f>IF(終値!A201="","",IF(AND(安値!K201&lt;安値!J201,安値!K201&lt;安値!I201,安値!K201&lt;安値!L201,安値!K201&lt;安値!M201),6,""))</f>
        <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f>IF(終値!A201="","",IF(AND(安値!P201&lt;安値!O201,安値!P201&lt;安値!N201,安値!P201&lt;安値!Q201,安値!P201&lt;安値!R201),11,""))</f>
        <v>11</v>
      </c>
      <c r="L201" s="503" t="str">
        <f>IF(終値!A201="","",IF(AND(安値!Q201&lt;安値!P201,安値!Q201&lt;安値!O201,安値!Q201&lt;安値!R201,安値!Q201&lt;安値!S201),12,""))</f>
        <v/>
      </c>
      <c r="M201" s="503" t="str">
        <f>IF(終値!A201="","",IF(AND(安値!R201&lt;安値!Q201,安値!R201&lt;安値!P201,安値!R201&lt;安値!S201,安値!R201&lt;安値!T201),13,""))</f>
        <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f>IF(終値!A201="","",IF(AND(安値!V201&lt;安値!U201,安値!V201&lt;安値!T201,安値!V201&lt;安値!W201,安値!V201&lt;安値!X201),17,""))</f>
        <v>17</v>
      </c>
      <c r="R201" s="503" t="str">
        <f>IF(終値!A201="","",IF(AND(安値!W201&lt;安値!V201,安値!W201&lt;安値!U201,安値!W201&lt;安値!X201,安値!W201&lt;安値!Y201),18,""))</f>
        <v/>
      </c>
      <c r="S201" s="503" t="str">
        <f>IF(終値!A201="","",IF(AND(安値!X201&lt;安値!W201,安値!X201&lt;安値!V201,安値!X201&lt;安値!Y201,安値!X201&lt;安値!Z201),19,""))</f>
        <v/>
      </c>
      <c r="T201" s="503">
        <f>IF(終値!A201="","",IF(AND(安値!Y201&lt;安値!X201,安値!Y201&lt;安値!W201,安値!Y201&lt;安値!Z201,安値!Y201&lt;安値!AA201),20,""))</f>
        <v>20</v>
      </c>
      <c r="U201" s="503" t="str">
        <f>IF(終値!A201="","",IF(AND(安値!Z201&lt;安値!Y201,安値!Z201&lt;安値!X201,安値!Z201&lt;安値!AA201,安値!Z201&lt;安値!AB201),21,""))</f>
        <v/>
      </c>
      <c r="V201" s="503" t="str">
        <f>IF(終値!A201="","",IF(AND(安値!AA201&lt;安値!Z201,安値!AA201&lt;安値!Y201,安値!AA201&lt;安値!AB201,安値!AA201&lt;安値!AC201),22,""))</f>
        <v/>
      </c>
      <c r="W201" s="503" t="str">
        <f>IF(終値!A201="","",IF(AND(安値!AB201&lt;安値!AA201,安値!AB201&lt;安値!Z201,安値!AB201&lt;安値!AC201,安値!AB201&lt;安値!AD201),23,""))</f>
        <v/>
      </c>
      <c r="X201" s="503">
        <f>IF(終値!A201="","",IF(AND(安値!AC201&lt;安値!AB201,安値!AC201&lt;安値!AA201,安値!AC201&lt;安値!AD201,安値!AC201&lt;安値!AE201),24,""))</f>
        <v>24</v>
      </c>
      <c r="Y201" s="503" t="str">
        <f>IF(終値!A201="","",IF(AND(安値!AD201&lt;安値!AC201,安値!AD201&lt;安値!AB201,安値!AD201&lt;安値!AE201,安値!AD201&lt;安値!AF201),25,""))</f>
        <v/>
      </c>
      <c r="Z201" s="503" t="str">
        <f>IF(終値!A201="","",IF(AND(安値!AE201&lt;安値!AD201,安値!AE201&lt;安値!AC201,安値!AE201&lt;安値!AF201,安値!AE201&lt;安値!AG201),26,""))</f>
        <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f>IF(終値!A201="","",IF(AND(高値!M201&gt;高値!L201,高値!M201&gt;高値!K201,高値!M201&gt;高値!N201,高値!M201&gt;高値!O201),8,""))</f>
        <v>8</v>
      </c>
      <c r="AJ201" s="503" t="str">
        <f>IF(終値!A201="","",IF(AND(高値!N201&gt;高値!M201,高値!N201&gt;高値!L201,高値!N201&gt;高値!O201,高値!N201&gt;高値!P201),9,""))</f>
        <v/>
      </c>
      <c r="AK201" s="503" t="str">
        <f>IF(終値!A201="","",IF(AND(高値!O201&gt;高値!N201,高値!O201&gt;高値!M201,高値!O201&gt;高値!P201,高値!O201&gt;高値!Q201),10,""))</f>
        <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f>IF(終値!A201="","",IF(AND(高値!T201&gt;高値!S201,高値!T201&gt;高値!R201,高値!T201&gt;高値!U201,高値!T201&gt;高値!V201),15,""))</f>
        <v>15</v>
      </c>
      <c r="AQ201" s="503" t="str">
        <f>IF(終値!A201="","",IF(AND(高値!U201&gt;高値!T201,高値!U201&gt;高値!S201,高値!U201&gt;高値!V201,高値!U201&gt;高値!W201),16,""))</f>
        <v/>
      </c>
      <c r="AR201" s="503" t="str">
        <f>IF(終値!A201="","",IF(AND(高値!V201&gt;高値!U201,高値!V201&gt;高値!T201,高値!V201&gt;高値!W201,高値!V201&gt;高値!X201),17,""))</f>
        <v/>
      </c>
      <c r="AS201" s="503" t="str">
        <f>IF(終値!A201="","",IF(AND(高値!W201&gt;高値!V201,高値!W201&gt;高値!U201,高値!W201&gt;高値!X201,高値!W201&gt;高値!Y201),18,""))</f>
        <v/>
      </c>
      <c r="AT201" s="503">
        <f>IF(終値!A201="","",IF(AND(高値!X201&gt;高値!W201,高値!X201&gt;高値!V201,高値!X201&gt;高値!Y201,高値!X201&gt;高値!Z201),19,""))</f>
        <v>19</v>
      </c>
      <c r="AU201" s="503" t="str">
        <f>IF(終値!A201="","",IF(AND(高値!Y201&gt;高値!X201,高値!Y201&gt;高値!W201,高値!Y201&gt;高値!Z201,高値!Y201&gt;高値!AA201),20,""))</f>
        <v/>
      </c>
      <c r="AV201" s="503" t="str">
        <f>IF(終値!A201="","",IF(AND(高値!Z201&gt;高値!Y201,高値!Z201&gt;高値!X201,高値!Z201&gt;高値!AA201,高値!Z201&gt;高値!AB201),21,""))</f>
        <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f>IF(終値!A201="","",IF(AND(高値!AD201&gt;高値!AC201,高値!AD201&gt;高値!AB201,高値!AD201&gt;高値!AE201,高値!AD201&gt;高値!AF201),25,""))</f>
        <v>25</v>
      </c>
      <c r="BA201" s="503" t="str">
        <f>IF(終値!A201="","",IF(AND(高値!AE201&gt;高値!AD201,高値!AE201&gt;高値!AC201,高値!AE201&gt;高値!AF201,高値!AE201&gt;高値!AG201),26,""))</f>
        <v/>
      </c>
      <c r="BB201" s="503" t="str">
        <f>IF(終値!A201="","",IF(AND(高値!AF201&gt;高値!AE201,高値!AF201&gt;高値!AD201,高値!AF201&gt;高値!AG201,高値!AF201&gt;高値!AH201),27,""))</f>
        <v/>
      </c>
      <c r="BC201" s="503" t="str">
        <f>IF(終値!A201="","",IF(AND(高値!AG201&gt;高値!AF201,高値!AG201&gt;高値!AE201,高値!AG201&gt;高値!AH201,高値!AG201&gt;高値!AI201),28,""))</f>
        <v/>
      </c>
      <c r="BD201" s="503">
        <f t="shared" si="18"/>
        <v>5</v>
      </c>
      <c r="BE201" s="503">
        <f t="shared" si="19"/>
        <v>4</v>
      </c>
      <c r="BF201" s="503">
        <f t="shared" si="20"/>
        <v>11</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8</v>
      </c>
      <c r="BN201" s="503">
        <f t="shared" si="23"/>
        <v>15</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t="str">
        <f>IF(終値!A202="","",IF(AND(安値!H202&lt;安値!G202,安値!H202&lt;安値!F202,安値!H202&lt;安値!I202,安値!H202&lt;安値!J202),3,""))</f>
        <v/>
      </c>
      <c r="D202" s="503">
        <f>IF(終値!A202="","",IF(AND(安値!I202&lt;安値!H202,安値!I202&lt;安値!G202,安値!I202&lt;安値!J202,安値!I202&lt;安値!K202),4,""))</f>
        <v>4</v>
      </c>
      <c r="E202" s="503" t="str">
        <f>IF(終値!A202="","",IF(AND(安値!J202&lt;安値!I202,安値!J202&lt;安値!H202,安値!J202&lt;安値!K202,安値!J202&lt;安値!L202),5,""))</f>
        <v/>
      </c>
      <c r="F202" s="503" t="str">
        <f>IF(終値!A202="","",IF(AND(安値!K202&lt;安値!J202,安値!K202&lt;安値!I202,安値!K202&lt;安値!L202,安値!K202&lt;安値!M202),6,""))</f>
        <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f>IF(終値!A202="","",IF(AND(安値!P202&lt;安値!O202,安値!P202&lt;安値!N202,安値!P202&lt;安値!Q202,安値!P202&lt;安値!R202),11,""))</f>
        <v>11</v>
      </c>
      <c r="L202" s="503" t="str">
        <f>IF(終値!A202="","",IF(AND(安値!Q202&lt;安値!P202,安値!Q202&lt;安値!O202,安値!Q202&lt;安値!R202,安値!Q202&lt;安値!S202),12,""))</f>
        <v/>
      </c>
      <c r="M202" s="503" t="str">
        <f>IF(終値!A202="","",IF(AND(安値!R202&lt;安値!Q202,安値!R202&lt;安値!P202,安値!R202&lt;安値!S202,安値!R202&lt;安値!T202),13,""))</f>
        <v/>
      </c>
      <c r="N202" s="503">
        <f>IF(終値!A202="","",IF(AND(安値!S202&lt;安値!R202,安値!S202&lt;安値!Q202,安値!S202&lt;安値!T202,安値!S202&lt;安値!U202),14,""))</f>
        <v>14</v>
      </c>
      <c r="O202" s="503" t="str">
        <f>IF(終値!A202="","",IF(AND(安値!T202&lt;安値!S202,安値!T202&lt;安値!R202,安値!T202&lt;安値!U202,安値!T202&lt;安値!V202),15,""))</f>
        <v/>
      </c>
      <c r="P202" s="503" t="str">
        <f>IF(終値!A202="","",IF(AND(安値!U202&lt;安値!T202,安値!U202&lt;安値!S202,安値!U202&lt;安値!V202,安値!U202&lt;安値!W202),16,""))</f>
        <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f>IF(終値!A202="","",IF(AND(安値!AA202&lt;安値!Z202,安値!AA202&lt;安値!Y202,安値!AA202&lt;安値!AB202,安値!AA202&lt;安値!AC202),22,""))</f>
        <v>22</v>
      </c>
      <c r="W202" s="503" t="str">
        <f>IF(終値!A202="","",IF(AND(安値!AB202&lt;安値!AA202,安値!AB202&lt;安値!Z202,安値!AB202&lt;安値!AC202,安値!AB202&lt;安値!AD202),23,""))</f>
        <v/>
      </c>
      <c r="X202" s="503" t="str">
        <f>IF(終値!A202="","",IF(AND(安値!AC202&lt;安値!AB202,安値!AC202&lt;安値!AA202,安値!AC202&lt;安値!AD202,安値!AC202&lt;安値!AE202),24,""))</f>
        <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f>IF(終値!A202="","",IF(AND(安値!AF202&lt;安値!AE202,安値!AF202&lt;安値!AD202,安値!AF202&lt;安値!AG202,安値!AF202&lt;安値!AH202),27,""))</f>
        <v>27</v>
      </c>
      <c r="AB202" s="503" t="str">
        <f>IF(終値!A202="","",IF(AND(安値!AG202&lt;安値!AF202,安値!AG202&lt;安値!AE202,安値!AG202&lt;安値!AH202,安値!AG202&lt;安値!AI202),28,""))</f>
        <v/>
      </c>
      <c r="AC202" s="503">
        <f>IF(終値!A202="","",IF(AND(高値!G202&gt;高値!F202,高値!G202&gt;高値!E202,高値!G202&gt;高値!H202,高値!G202&gt;高値!I202),2,""))</f>
        <v>2</v>
      </c>
      <c r="AD202" s="503" t="str">
        <f>IF(終値!A202="","",IF(AND(高値!H202&gt;高値!G202,高値!H202&gt;高値!F202,高値!H202&gt;高値!I202,高値!H202&gt;高値!J202),3,""))</f>
        <v/>
      </c>
      <c r="AE202" s="503" t="str">
        <f>IF(終値!A202="","",IF(AND(高値!I202&gt;高値!H202,高値!I202&gt;高値!G202,高値!I202&gt;高値!J202,高値!I202&gt;高値!K202),4,""))</f>
        <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f>IF(終値!A202="","",IF(AND(高値!M202&gt;高値!L202,高値!M202&gt;高値!K202,高値!M202&gt;高値!N202,高値!M202&gt;高値!O202),8,""))</f>
        <v>8</v>
      </c>
      <c r="AJ202" s="503" t="str">
        <f>IF(終値!A202="","",IF(AND(高値!N202&gt;高値!M202,高値!N202&gt;高値!L202,高値!N202&gt;高値!O202,高値!N202&gt;高値!P202),9,""))</f>
        <v/>
      </c>
      <c r="AK202" s="503" t="str">
        <f>IF(終値!A202="","",IF(AND(高値!O202&gt;高値!N202,高値!O202&gt;高値!M202,高値!O202&gt;高値!P202,高値!O202&gt;高値!Q202),10,""))</f>
        <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f>IF(終値!A202="","",IF(AND(高値!W202&gt;高値!V202,高値!W202&gt;高値!U202,高値!W202&gt;高値!X202,高値!W202&gt;高値!Y202),18,""))</f>
        <v>18</v>
      </c>
      <c r="AT202" s="503" t="str">
        <f>IF(終値!A202="","",IF(AND(高値!X202&gt;高値!W202,高値!X202&gt;高値!V202,高値!X202&gt;高値!Y202,高値!X202&gt;高値!Z202),19,""))</f>
        <v/>
      </c>
      <c r="AU202" s="503" t="str">
        <f>IF(終値!A202="","",IF(AND(高値!Y202&gt;高値!X202,高値!Y202&gt;高値!W202,高値!Y202&gt;高値!Z202,高値!Y202&gt;高値!AA202),20,""))</f>
        <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4</v>
      </c>
      <c r="BF202" s="503">
        <f t="shared" si="20"/>
        <v>11</v>
      </c>
      <c r="BG202" s="503">
        <f>IF($BE202="","",INDEX(安値!$E202:$CZ202,1,$BE202+1))</f>
        <v>5243</v>
      </c>
      <c r="BH202" s="503">
        <f>IF($BF202="","",INDEX(安値!$E202:$CZ202,1,$BF202+1))</f>
        <v>4996</v>
      </c>
      <c r="BI202" s="503">
        <f>IF($BF202="","",MAX(INDEX(高値!$E202:$CZ202,1,$BE202+1):INDEX(高値!$E202:$CZ202,1,$BF202+1)))</f>
        <v>5507</v>
      </c>
      <c r="BJ202" s="503">
        <f>IF($BF202="","",AVERAGE(INDEX(終値!$E202:$CZ202,1,$BF202+1):INDEX(終値!$E202:$CZ202,1,$BF202+20))-2*STDEVP(INDEX(終値!$E202:$CZ202,1,$BF202+1):INDEX(終値!$E202:$CZ202,1,$BF202+20)))</f>
        <v>5052.1849766965934</v>
      </c>
      <c r="BK202" s="503">
        <f>IF($BE202="","",AVERAGE(INDEX(終値!$E202:$CZ202,1,$BE202+1):INDEX(終値!$E202:$CZ202,1,$BE202+20))-2*STDEVP(INDEX(終値!$E202:$CZ202,1,$BE202+1):INDEX(終値!$E202:$CZ202,1,$BE202+20)))</f>
        <v>5003.7732948141638</v>
      </c>
      <c r="BL202" s="503">
        <f t="shared" si="21"/>
        <v>3</v>
      </c>
      <c r="BM202" s="503">
        <f t="shared" si="22"/>
        <v>2</v>
      </c>
      <c r="BN202" s="503">
        <f t="shared" si="23"/>
        <v>8</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二番天井M▼</v>
      </c>
    </row>
    <row r="203" spans="2:72">
      <c r="B203" s="503" t="str">
        <f>IF(終値!A203="","",IF(AND(安値!G203&lt;安値!F203,安値!G203&lt;安値!E203,安値!G203&lt;安値!H203,安値!G203&lt;安値!I203),2,""))</f>
        <v/>
      </c>
      <c r="C203" s="503" t="str">
        <f>IF(終値!A203="","",IF(AND(安値!H203&lt;安値!G203,安値!H203&lt;安値!F203,安値!H203&lt;安値!I203,安値!H203&lt;安値!J203),3,""))</f>
        <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f>IF(終値!A203="","",IF(AND(安値!P203&lt;安値!O203,安値!P203&lt;安値!N203,安値!P203&lt;安値!Q203,安値!P203&lt;安値!R203),11,""))</f>
        <v>11</v>
      </c>
      <c r="L203" s="503" t="str">
        <f>IF(終値!A203="","",IF(AND(安値!Q203&lt;安値!P203,安値!Q203&lt;安値!O203,安値!Q203&lt;安値!R203,安値!Q203&lt;安値!S203),12,""))</f>
        <v/>
      </c>
      <c r="M203" s="503" t="str">
        <f>IF(終値!A203="","",IF(AND(安値!R203&lt;安値!Q203,安値!R203&lt;安値!P203,安値!R203&lt;安値!S203,安値!R203&lt;安値!T203),13,""))</f>
        <v/>
      </c>
      <c r="N203" s="503">
        <f>IF(終値!A203="","",IF(AND(安値!S203&lt;安値!R203,安値!S203&lt;安値!Q203,安値!S203&lt;安値!T203,安値!S203&lt;安値!U203),14,""))</f>
        <v>14</v>
      </c>
      <c r="O203" s="503" t="str">
        <f>IF(終値!A203="","",IF(AND(安値!T203&lt;安値!S203,安値!T203&lt;安値!R203,安値!T203&lt;安値!U203,安値!T203&lt;安値!V203),15,""))</f>
        <v/>
      </c>
      <c r="P203" s="503" t="str">
        <f>IF(終値!A203="","",IF(AND(安値!U203&lt;安値!T203,安値!U203&lt;安値!S203,安値!U203&lt;安値!V203,安値!U203&lt;安値!W203),16,""))</f>
        <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f>IF(終値!A203="","",IF(AND(安値!Z203&lt;安値!Y203,安値!Z203&lt;安値!X203,安値!Z203&lt;安値!AA203,安値!Z203&lt;安値!AB203),21,""))</f>
        <v>21</v>
      </c>
      <c r="V203" s="503" t="str">
        <f>IF(終値!A203="","",IF(AND(安値!AA203&lt;安値!Z203,安値!AA203&lt;安値!Y203,安値!AA203&lt;安値!AB203,安値!AA203&lt;安値!AC203),22,""))</f>
        <v/>
      </c>
      <c r="W203" s="503" t="str">
        <f>IF(終値!A203="","",IF(AND(安値!AB203&lt;安値!AA203,安値!AB203&lt;安値!Z203,安値!AB203&lt;安値!AC203,安値!AB203&lt;安値!AD203),23,""))</f>
        <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f>IF(終値!A203="","",IF(AND(安値!AF203&lt;安値!AE203,安値!AF203&lt;安値!AD203,安値!AF203&lt;安値!AG203,安値!AF203&lt;安値!AH203),27,""))</f>
        <v>27</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f>IF(終値!A203="","",IF(AND(高値!I203&gt;高値!H203,高値!I203&gt;高値!G203,高値!I203&gt;高値!J203,高値!I203&gt;高値!K203),4,""))</f>
        <v>4</v>
      </c>
      <c r="AF203" s="503" t="str">
        <f>IF(終値!A203="","",IF(AND(高値!J203&gt;高値!I203,高値!J203&gt;高値!H203,高値!J203&gt;高値!K203,高値!J203&gt;高値!L203),5,""))</f>
        <v/>
      </c>
      <c r="AG203" s="503" t="str">
        <f>IF(終値!A203="","",IF(AND(高値!K203&gt;高値!J203,高値!K203&gt;高値!I203,高値!K203&gt;高値!L203,高値!K203&gt;高値!M203),6,""))</f>
        <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f>IF(終値!A203="","",IF(AND(高値!Q203&gt;高値!P203,高値!Q203&gt;高値!O203,高値!Q203&gt;高値!R203,高値!Q203&gt;高値!S203),12,""))</f>
        <v>12</v>
      </c>
      <c r="AN203" s="503" t="str">
        <f>IF(終値!A203="","",IF(AND(高値!R203&gt;高値!Q203,高値!R203&gt;高値!P203,高値!R203&gt;高値!S203,高値!R203&gt;高値!T203),13,""))</f>
        <v/>
      </c>
      <c r="AO203" s="503" t="str">
        <f>IF(終値!A203="","",IF(AND(高値!S203&gt;高値!R203,高値!S203&gt;高値!Q203,高値!S203&gt;高値!T203,高値!S203&gt;高値!U203),14,""))</f>
        <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f>IF(終値!A203="","",IF(AND(高値!X203&gt;高値!W203,高値!X203&gt;高値!V203,高値!X203&gt;高値!Y203,高値!X203&gt;高値!Z203),19,""))</f>
        <v>19</v>
      </c>
      <c r="AU203" s="503" t="str">
        <f>IF(終値!A203="","",IF(AND(高値!Y203&gt;高値!X203,高値!Y203&gt;高値!W203,高値!Y203&gt;高値!Z203,高値!Y203&gt;高値!AA203),20,""))</f>
        <v/>
      </c>
      <c r="AV203" s="503" t="str">
        <f>IF(終値!A203="","",IF(AND(高値!Z203&gt;高値!Y203,高値!Z203&gt;高値!X203,高値!Z203&gt;高値!AA203,高値!Z203&gt;高値!AB203),21,""))</f>
        <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f>IF(終値!A203="","",IF(AND(高値!AG203&gt;高値!AF203,高値!AG203&gt;高値!AE203,高値!AG203&gt;高値!AH203,高値!AG203&gt;高値!AI203),28,""))</f>
        <v>28</v>
      </c>
      <c r="BD203" s="503">
        <f t="shared" si="18"/>
        <v>4</v>
      </c>
      <c r="BE203" s="503">
        <f t="shared" si="19"/>
        <v>11</v>
      </c>
      <c r="BF203" s="503">
        <f t="shared" si="20"/>
        <v>14</v>
      </c>
      <c r="BG203" s="503">
        <f>IF($BE203="","",INDEX(安値!$E203:$CZ203,1,$BE203+1))</f>
        <v>5042</v>
      </c>
      <c r="BH203" s="503">
        <f>IF($BF203="","",INDEX(安値!$E203:$CZ203,1,$BF203+1))</f>
        <v>5136</v>
      </c>
      <c r="BI203" s="503">
        <f>IF($BF203="","",MAX(INDEX(高値!$E203:$CZ203,1,$BE203+1):INDEX(高値!$E203:$CZ203,1,$BF203+1)))</f>
        <v>5341</v>
      </c>
      <c r="BJ203" s="503">
        <f>IF($BF203="","",AVERAGE(INDEX(終値!$E203:$CZ203,1,$BF203+1):INDEX(終値!$E203:$CZ203,1,$BF203+20))-2*STDEVP(INDEX(終値!$E203:$CZ203,1,$BF203+1):INDEX(終値!$E203:$CZ203,1,$BF203+20)))</f>
        <v>5151.1090166314389</v>
      </c>
      <c r="BK203" s="503">
        <f>IF($BE203="","",AVERAGE(INDEX(終値!$E203:$CZ203,1,$BE203+1):INDEX(終値!$E203:$CZ203,1,$BE203+20))-2*STDEVP(INDEX(終値!$E203:$CZ203,1,$BE203+1):INDEX(終値!$E203:$CZ203,1,$BE203+20)))</f>
        <v>5115.991011880018</v>
      </c>
      <c r="BL203" s="503">
        <f t="shared" si="21"/>
        <v>4</v>
      </c>
      <c r="BM203" s="503">
        <f t="shared" si="22"/>
        <v>4</v>
      </c>
      <c r="BN203" s="503">
        <f t="shared" si="23"/>
        <v>12</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二番底W形成</v>
      </c>
    </row>
    <row r="204" spans="2:72">
      <c r="B204" s="503" t="str">
        <f>IF(終値!A204="","",IF(AND(安値!G204&lt;安値!F204,安値!G204&lt;安値!E204,安値!G204&lt;安値!H204,安値!G204&lt;安値!I204),2,""))</f>
        <v/>
      </c>
      <c r="C204" s="503" t="str">
        <f>IF(終値!A204="","",IF(AND(安値!H204&lt;安値!G204,安値!H204&lt;安値!F204,安値!H204&lt;安値!I204,安値!H204&lt;安値!J204),3,""))</f>
        <v/>
      </c>
      <c r="D204" s="503" t="str">
        <f>IF(終値!A204="","",IF(AND(安値!I204&lt;安値!H204,安値!I204&lt;安値!G204,安値!I204&lt;安値!J204,安値!I204&lt;安値!K204),4,""))</f>
        <v/>
      </c>
      <c r="E204" s="503">
        <f>IF(終値!A204="","",IF(AND(安値!J204&lt;安値!I204,安値!J204&lt;安値!H204,安値!J204&lt;安値!K204,安値!J204&lt;安値!L204),5,""))</f>
        <v>5</v>
      </c>
      <c r="F204" s="503" t="str">
        <f>IF(終値!A204="","",IF(AND(安値!K204&lt;安値!J204,安値!K204&lt;安値!I204,安値!K204&lt;安値!L204,安値!K204&lt;安値!M204),6,""))</f>
        <v/>
      </c>
      <c r="G204" s="503" t="str">
        <f>IF(終値!A204="","",IF(AND(安値!L204&lt;安値!K204,安値!L204&lt;安値!J204,安値!L204&lt;安値!M204,安値!L204&lt;安値!N204),7,""))</f>
        <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f>IF(終値!A204="","",IF(AND(安値!P204&lt;安値!O204,安値!P204&lt;安値!N204,安値!P204&lt;安値!Q204,安値!P204&lt;安値!R204),11,""))</f>
        <v>11</v>
      </c>
      <c r="L204" s="503" t="str">
        <f>IF(終値!A204="","",IF(AND(安値!Q204&lt;安値!P204,安値!Q204&lt;安値!O204,安値!Q204&lt;安値!R204,安値!Q204&lt;安値!S204),12,""))</f>
        <v/>
      </c>
      <c r="M204" s="503" t="str">
        <f>IF(終値!A204="","",IF(AND(安値!R204&lt;安値!Q204,安値!R204&lt;安値!P204,安値!R204&lt;安値!S204,安値!R204&lt;安値!T204),13,""))</f>
        <v/>
      </c>
      <c r="N204" s="503">
        <f>IF(終値!A204="","",IF(AND(安値!S204&lt;安値!R204,安値!S204&lt;安値!Q204,安値!S204&lt;安値!T204,安値!S204&lt;安値!U204),14,""))</f>
        <v>14</v>
      </c>
      <c r="O204" s="503" t="str">
        <f>IF(終値!A204="","",IF(AND(安値!T204&lt;安値!S204,安値!T204&lt;安値!R204,安値!T204&lt;安値!U204,安値!T204&lt;安値!V204),15,""))</f>
        <v/>
      </c>
      <c r="P204" s="503" t="str">
        <f>IF(終値!A204="","",IF(AND(安値!U204&lt;安値!T204,安値!U204&lt;安値!S204,安値!U204&lt;安値!V204,安値!U204&lt;安値!W204),16,""))</f>
        <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f>IF(終値!A204="","",IF(AND(安値!AC204&lt;安値!AB204,安値!AC204&lt;安値!AA204,安値!AC204&lt;安値!AD204,安値!AC204&lt;安値!AE204),24,""))</f>
        <v>24</v>
      </c>
      <c r="Y204" s="503" t="str">
        <f>IF(終値!A204="","",IF(AND(安値!AD204&lt;安値!AC204,安値!AD204&lt;安値!AB204,安値!AD204&lt;安値!AE204,安値!AD204&lt;安値!AF204),25,""))</f>
        <v/>
      </c>
      <c r="Z204" s="503" t="str">
        <f>IF(終値!A204="","",IF(AND(安値!AE204&lt;安値!AD204,安値!AE204&lt;安値!AC204,安値!AE204&lt;安値!AF204,安値!AE204&lt;安値!AG204),26,""))</f>
        <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f>IF(終値!A204="","",IF(AND(高値!G204&gt;高値!F204,高値!G204&gt;高値!E204,高値!G204&gt;高値!H204,高値!G204&gt;高値!I204),2,""))</f>
        <v>2</v>
      </c>
      <c r="AD204" s="503" t="str">
        <f>IF(終値!A204="","",IF(AND(高値!H204&gt;高値!G204,高値!H204&gt;高値!F204,高値!H204&gt;高値!I204,高値!H204&gt;高値!J204),3,""))</f>
        <v/>
      </c>
      <c r="AE204" s="503" t="str">
        <f>IF(終値!A204="","",IF(AND(高値!I204&gt;高値!H204,高値!I204&gt;高値!G204,高値!I204&gt;高値!J204,高値!I204&gt;高値!K204),4,""))</f>
        <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f>IF(終値!A204="","",IF(AND(高値!M204&gt;高値!L204,高値!M204&gt;高値!K204,高値!M204&gt;高値!N204,高値!M204&gt;高値!O204),8,""))</f>
        <v>8</v>
      </c>
      <c r="AJ204" s="503" t="str">
        <f>IF(終値!A204="","",IF(AND(高値!N204&gt;高値!M204,高値!N204&gt;高値!L204,高値!N204&gt;高値!O204,高値!N204&gt;高値!P204),9,""))</f>
        <v/>
      </c>
      <c r="AK204" s="503" t="str">
        <f>IF(終値!A204="","",IF(AND(高値!O204&gt;高値!N204,高値!O204&gt;高値!M204,高値!O204&gt;高値!P204,高値!O204&gt;高値!Q204),10,""))</f>
        <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f>IF(終値!A204="","",IF(AND(高値!W204&gt;高値!V204,高値!W204&gt;高値!U204,高値!W204&gt;高値!X204,高値!W204&gt;高値!Y204),18,""))</f>
        <v>18</v>
      </c>
      <c r="AT204" s="503" t="str">
        <f>IF(終値!A204="","",IF(AND(高値!X204&gt;高値!W204,高値!X204&gt;高値!V204,高値!X204&gt;高値!Y204,高値!X204&gt;高値!Z204),19,""))</f>
        <v/>
      </c>
      <c r="AU204" s="503" t="str">
        <f>IF(終値!A204="","",IF(AND(高値!Y204&gt;高値!X204,高値!Y204&gt;高値!W204,高値!Y204&gt;高値!Z204,高値!Y204&gt;高値!AA204),20,""))</f>
        <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f>IF(終値!A204="","",IF(AND(高値!AG204&gt;高値!AF204,高値!AG204&gt;高値!AE204,高値!AG204&gt;高値!AH204,高値!AG204&gt;高値!AI204),28,""))</f>
        <v>28</v>
      </c>
      <c r="BD204" s="503">
        <f t="shared" si="18"/>
        <v>4</v>
      </c>
      <c r="BE204" s="503">
        <f t="shared" si="19"/>
        <v>5</v>
      </c>
      <c r="BF204" s="503">
        <f t="shared" si="20"/>
        <v>11</v>
      </c>
      <c r="BG204" s="503">
        <f>IF($BE204="","",INDEX(安値!$E204:$CZ204,1,$BE204+1))</f>
        <v>6336</v>
      </c>
      <c r="BH204" s="503">
        <f>IF($BF204="","",INDEX(安値!$E204:$CZ204,1,$BF204+1))</f>
        <v>5939</v>
      </c>
      <c r="BI204" s="503">
        <f>IF($BF204="","",MAX(INDEX(高値!$E204:$CZ204,1,$BE204+1):INDEX(高値!$E204:$CZ204,1,$BF204+1)))</f>
        <v>6613</v>
      </c>
      <c r="BJ204" s="503">
        <f>IF($BF204="","",AVERAGE(INDEX(終値!$E204:$CZ204,1,$BF204+1):INDEX(終値!$E204:$CZ204,1,$BF204+20))-2*STDEVP(INDEX(終値!$E204:$CZ204,1,$BF204+1):INDEX(終値!$E204:$CZ204,1,$BF204+20)))</f>
        <v>5909.2228950017497</v>
      </c>
      <c r="BK204" s="503">
        <f>IF($BE204="","",AVERAGE(INDEX(終値!$E204:$CZ204,1,$BE204+1):INDEX(終値!$E204:$CZ204,1,$BE204+20))-2*STDEVP(INDEX(終値!$E204:$CZ204,1,$BE204+1):INDEX(終値!$E204:$CZ204,1,$BE204+20)))</f>
        <v>5826.7942697039152</v>
      </c>
      <c r="BL204" s="503">
        <f t="shared" si="21"/>
        <v>4</v>
      </c>
      <c r="BM204" s="503">
        <f t="shared" si="22"/>
        <v>2</v>
      </c>
      <c r="BN204" s="503">
        <f t="shared" si="23"/>
        <v>8</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二番天井M形成</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f>IF(終値!A206="","",IF(AND(安値!T206&lt;安値!S206,安値!T206&lt;安値!R206,安値!T206&lt;安値!U206,安値!T206&lt;安値!V206),15,""))</f>
        <v>15</v>
      </c>
      <c r="P206" s="503" t="str">
        <f>IF(終値!A206="","",IF(AND(安値!U206&lt;安値!T206,安値!U206&lt;安値!S206,安値!U206&lt;安値!V206,安値!U206&lt;安値!W206),16,""))</f>
        <v/>
      </c>
      <c r="Q206" s="503" t="str">
        <f>IF(終値!A206="","",IF(AND(安値!V206&lt;安値!U206,安値!V206&lt;安値!T206,安値!V206&lt;安値!W206,安値!V206&lt;安値!X206),17,""))</f>
        <v/>
      </c>
      <c r="R206" s="503">
        <f>IF(終値!A206="","",IF(AND(安値!W206&lt;安値!V206,安値!W206&lt;安値!U206,安値!W206&lt;安値!X206,安値!W206&lt;安値!Y206),18,""))</f>
        <v>18</v>
      </c>
      <c r="S206" s="503" t="str">
        <f>IF(終値!A206="","",IF(AND(安値!X206&lt;安値!W206,安値!X206&lt;安値!V206,安値!X206&lt;安値!Y206,安値!X206&lt;安値!Z206),19,""))</f>
        <v/>
      </c>
      <c r="T206" s="503" t="str">
        <f>IF(終値!A206="","",IF(AND(安値!Y206&lt;安値!X206,安値!Y206&lt;安値!W206,安値!Y206&lt;安値!Z206,安値!Y206&lt;安値!AA206),20,""))</f>
        <v/>
      </c>
      <c r="U206" s="503" t="str">
        <f>IF(終値!A206="","",IF(AND(安値!Z206&lt;安値!Y206,安値!Z206&lt;安値!X206,安値!Z206&lt;安値!AA206,安値!Z206&lt;安値!AB206),21,""))</f>
        <v/>
      </c>
      <c r="V206" s="503">
        <f>IF(終値!A206="","",IF(AND(安値!AA206&lt;安値!Z206,安値!AA206&lt;安値!Y206,安値!AA206&lt;安値!AB206,安値!AA206&lt;安値!AC206),22,""))</f>
        <v>22</v>
      </c>
      <c r="W206" s="503" t="str">
        <f>IF(終値!A206="","",IF(AND(安値!AB206&lt;安値!AA206,安値!AB206&lt;安値!Z206,安値!AB206&lt;安値!AC206,安値!AB206&lt;安値!AD206),23,""))</f>
        <v/>
      </c>
      <c r="X206" s="503" t="str">
        <f>IF(終値!A206="","",IF(AND(安値!AC206&lt;安値!AB206,安値!AC206&lt;安値!AA206,安値!AC206&lt;安値!AD206,安値!AC206&lt;安値!AE206),24,""))</f>
        <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f>IF(終値!A206="","",IF(AND(高値!H206&gt;高値!G206,高値!H206&gt;高値!F206,高値!H206&gt;高値!I206,高値!H206&gt;高値!J206),3,""))</f>
        <v>3</v>
      </c>
      <c r="AE206" s="503" t="str">
        <f>IF(終値!A206="","",IF(AND(高値!I206&gt;高値!H206,高値!I206&gt;高値!G206,高値!I206&gt;高値!J206,高値!I206&gt;高値!K206),4,""))</f>
        <v/>
      </c>
      <c r="AF206" s="503" t="str">
        <f>IF(終値!A206="","",IF(AND(高値!J206&gt;高値!I206,高値!J206&gt;高値!H206,高値!J206&gt;高値!K206,高値!J206&gt;高値!L206),5,""))</f>
        <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f>IF(終値!A206="","",IF(AND(高値!U206&gt;高値!T206,高値!U206&gt;高値!S206,高値!U206&gt;高値!V206,高値!U206&gt;高値!W206),16,""))</f>
        <v>16</v>
      </c>
      <c r="AR206" s="503" t="str">
        <f>IF(終値!A206="","",IF(AND(高値!V206&gt;高値!U206,高値!V206&gt;高値!T206,高値!V206&gt;高値!W206,高値!V206&gt;高値!X206),17,""))</f>
        <v/>
      </c>
      <c r="AS206" s="503" t="str">
        <f>IF(終値!A206="","",IF(AND(高値!W206&gt;高値!V206,高値!W206&gt;高値!U206,高値!W206&gt;高値!X206,高値!W206&gt;高値!Y206),18,""))</f>
        <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f>IF(終値!A206="","",IF(AND(高値!AE206&gt;高値!AD206,高値!AE206&gt;高値!AC206,高値!AE206&gt;高値!AF206,高値!AE206&gt;高値!AG206),26,""))</f>
        <v>26</v>
      </c>
      <c r="BB206" s="503" t="str">
        <f>IF(終値!A206="","",IF(AND(高値!AF206&gt;高値!AE206,高値!AF206&gt;高値!AD206,高値!AF206&gt;高値!AG206,高値!AF206&gt;高値!AH206),27,""))</f>
        <v/>
      </c>
      <c r="BC206" s="503" t="str">
        <f>IF(終値!A206="","",IF(AND(高値!AG206&gt;高値!AF206,高値!AG206&gt;高値!AE206,高値!AG206&gt;高値!AH206,高値!AG206&gt;高値!AI206),28,""))</f>
        <v/>
      </c>
      <c r="BD206" s="503">
        <f t="shared" si="18"/>
        <v>3</v>
      </c>
      <c r="BE206" s="503">
        <f t="shared" si="19"/>
        <v>15</v>
      </c>
      <c r="BF206" s="503">
        <f t="shared" si="20"/>
        <v>18</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3</v>
      </c>
      <c r="BN206" s="503">
        <f t="shared" si="23"/>
        <v>16</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t="str">
        <f>IF(終値!A207="","",IF(AND(安値!H207&lt;安値!G207,安値!H207&lt;安値!F207,安値!H207&lt;安値!I207,安値!H207&lt;安値!J207),3,""))</f>
        <v/>
      </c>
      <c r="D207" s="503">
        <f>IF(終値!A207="","",IF(AND(安値!I207&lt;安値!H207,安値!I207&lt;安値!G207,安値!I207&lt;安値!J207,安値!I207&lt;安値!K207),4,""))</f>
        <v>4</v>
      </c>
      <c r="E207" s="503" t="str">
        <f>IF(終値!A207="","",IF(AND(安値!J207&lt;安値!I207,安値!J207&lt;安値!H207,安値!J207&lt;安値!K207,安値!J207&lt;安値!L207),5,""))</f>
        <v/>
      </c>
      <c r="F207" s="503" t="str">
        <f>IF(終値!A207="","",IF(AND(安値!K207&lt;安値!J207,安値!K207&lt;安値!I207,安値!K207&lt;安値!L207,安値!K207&lt;安値!M207),6,""))</f>
        <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f>IF(終値!A207="","",IF(AND(安値!P207&lt;安値!O207,安値!P207&lt;安値!N207,安値!P207&lt;安値!Q207,安値!P207&lt;安値!R207),11,""))</f>
        <v>11</v>
      </c>
      <c r="L207" s="503" t="str">
        <f>IF(終値!A207="","",IF(AND(安値!Q207&lt;安値!P207,安値!Q207&lt;安値!O207,安値!Q207&lt;安値!R207,安値!Q207&lt;安値!S207),12,""))</f>
        <v/>
      </c>
      <c r="M207" s="503" t="str">
        <f>IF(終値!A207="","",IF(AND(安値!R207&lt;安値!Q207,安値!R207&lt;安値!P207,安値!R207&lt;安値!S207,安値!R207&lt;安値!T207),13,""))</f>
        <v/>
      </c>
      <c r="N207" s="503">
        <f>IF(終値!A207="","",IF(AND(安値!S207&lt;安値!R207,安値!S207&lt;安値!Q207,安値!S207&lt;安値!T207,安値!S207&lt;安値!U207),14,""))</f>
        <v>14</v>
      </c>
      <c r="O207" s="503" t="str">
        <f>IF(終値!A207="","",IF(AND(安値!T207&lt;安値!S207,安値!T207&lt;安値!R207,安値!T207&lt;安値!U207,安値!T207&lt;安値!V207),15,""))</f>
        <v/>
      </c>
      <c r="P207" s="503" t="str">
        <f>IF(終値!A207="","",IF(AND(安値!U207&lt;安値!T207,安値!U207&lt;安値!S207,安値!U207&lt;安値!V207,安値!U207&lt;安値!W207),16,""))</f>
        <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f>IF(終値!A207="","",IF(AND(安値!AD207&lt;安値!AC207,安値!AD207&lt;安値!AB207,安値!AD207&lt;安値!AE207,安値!AD207&lt;安値!AF207),25,""))</f>
        <v>25</v>
      </c>
      <c r="Z207" s="503" t="str">
        <f>IF(終値!A207="","",IF(AND(安値!AE207&lt;安値!AD207,安値!AE207&lt;安値!AC207,安値!AE207&lt;安値!AF207,安値!AE207&lt;安値!AG207),26,""))</f>
        <v/>
      </c>
      <c r="AA207" s="503" t="str">
        <f>IF(終値!A207="","",IF(AND(安値!AF207&lt;安値!AE207,安値!AF207&lt;安値!AD207,安値!AF207&lt;安値!AG207,安値!AF207&lt;安値!AH207),27,""))</f>
        <v/>
      </c>
      <c r="AB207" s="503" t="str">
        <f>IF(終値!A207="","",IF(AND(安値!AG207&lt;安値!AF207,安値!AG207&lt;安値!AE207,安値!AG207&lt;安値!AH207,安値!AG207&lt;安値!AI207),28,""))</f>
        <v/>
      </c>
      <c r="AC207" s="503" t="str">
        <f>IF(終値!A207="","",IF(AND(高値!G207&gt;高値!F207,高値!G207&gt;高値!E207,高値!G207&gt;高値!H207,高値!G207&gt;高値!I207),2,""))</f>
        <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f>IF(終値!A207="","",IF(AND(高値!L207&gt;高値!K207,高値!L207&gt;高値!J207,高値!L207&gt;高値!M207,高値!L207&gt;高値!N207),7,""))</f>
        <v>7</v>
      </c>
      <c r="AI207" s="503" t="str">
        <f>IF(終値!A207="","",IF(AND(高値!M207&gt;高値!L207,高値!M207&gt;高値!K207,高値!M207&gt;高値!N207,高値!M207&gt;高値!O207),8,""))</f>
        <v/>
      </c>
      <c r="AJ207" s="503" t="str">
        <f>IF(終値!A207="","",IF(AND(高値!N207&gt;高値!M207,高値!N207&gt;高値!L207,高値!N207&gt;高値!O207,高値!N207&gt;高値!P207),9,""))</f>
        <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f>IF(終値!A207="","",IF(AND(高値!W207&gt;高値!V207,高値!W207&gt;高値!U207,高値!W207&gt;高値!X207,高値!W207&gt;高値!Y207),18,""))</f>
        <v>18</v>
      </c>
      <c r="AT207" s="503" t="str">
        <f>IF(終値!A207="","",IF(AND(高値!X207&gt;高値!W207,高値!X207&gt;高値!V207,高値!X207&gt;高値!Y207,高値!X207&gt;高値!Z207),19,""))</f>
        <v/>
      </c>
      <c r="AU207" s="503" t="str">
        <f>IF(終値!A207="","",IF(AND(高値!Y207&gt;高値!X207,高値!Y207&gt;高値!W207,高値!Y207&gt;高値!Z207,高値!Y207&gt;高値!AA207),20,""))</f>
        <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4</v>
      </c>
      <c r="BE207" s="503">
        <f t="shared" si="19"/>
        <v>4</v>
      </c>
      <c r="BF207" s="503">
        <f t="shared" si="20"/>
        <v>11</v>
      </c>
      <c r="BG207" s="503">
        <f>IF($BE207="","",INDEX(安値!$E207:$CZ207,1,$BE207+1))</f>
        <v>3701</v>
      </c>
      <c r="BH207" s="503">
        <f>IF($BF207="","",INDEX(安値!$E207:$CZ207,1,$BF207+1))</f>
        <v>3626</v>
      </c>
      <c r="BI207" s="503">
        <f>IF($BF207="","",MAX(INDEX(高値!$E207:$CZ207,1,$BE207+1):INDEX(高値!$E207:$CZ207,1,$BF207+1)))</f>
        <v>4007</v>
      </c>
      <c r="BJ207" s="503">
        <f>IF($BF207="","",AVERAGE(INDEX(終値!$E207:$CZ207,1,$BF207+1):INDEX(終値!$E207:$CZ207,1,$BF207+20))-2*STDEVP(INDEX(終値!$E207:$CZ207,1,$BF207+1):INDEX(終値!$E207:$CZ207,1,$BF207+20)))</f>
        <v>3532.3066268905231</v>
      </c>
      <c r="BK207" s="503">
        <f>IF($BE207="","",AVERAGE(INDEX(終値!$E207:$CZ207,1,$BE207+1):INDEX(終値!$E207:$CZ207,1,$BE207+20))-2*STDEVP(INDEX(終値!$E207:$CZ207,1,$BE207+1):INDEX(終値!$E207:$CZ207,1,$BE207+20)))</f>
        <v>3618.6752137635235</v>
      </c>
      <c r="BL207" s="503">
        <f t="shared" si="21"/>
        <v>2</v>
      </c>
      <c r="BM207" s="503">
        <f t="shared" si="22"/>
        <v>7</v>
      </c>
      <c r="BN207" s="503">
        <f t="shared" si="23"/>
        <v>18</v>
      </c>
      <c r="BO207" s="503">
        <f>IF($BM207="","",INDEX(高値!$E207:$CZ207,1,$BM207+1))</f>
        <v>4007</v>
      </c>
      <c r="BP207" s="503">
        <f>IF($BN207="","",INDEX(高値!$E207:$CZ207,1,$BN207+1))</f>
        <v>4146</v>
      </c>
      <c r="BQ207" s="503">
        <f>IF($BN207="","",MIN(INDEX(安値!$E207:$CZ207,1,$BM207+1):INDEX(安値!$E207:$CZ207,1,$BN207+1)))</f>
        <v>3626</v>
      </c>
      <c r="BR207" s="503">
        <f>IF($BN207="","",AVERAGE(INDEX(終値!$E207:$CZ207,1,$BN207+1):INDEX(終値!$E207:$CZ207,1,$BN207+20))+2*STDEVP(INDEX(終値!$E207:$CZ207,1,$BN207+1):INDEX(終値!$E207:$CZ207,1,$BN207+20)))</f>
        <v>4083.6200262455095</v>
      </c>
      <c r="BS207" s="503">
        <f>IF($BM207="","",AVERAGE(INDEX(終値!$E207:$CZ207,1,$BM207+1):INDEX(終値!$E207:$CZ207,1,$BM207+20))+2*STDEVP(INDEX(終値!$E207:$CZ207,1,$BM207+1):INDEX(終値!$E207:$CZ207,1,$BM207+20)))</f>
        <v>4061.8604706936535</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f>IF(終値!A208="","",IF(AND(安値!P208&lt;安値!O208,安値!P208&lt;安値!N208,安値!P208&lt;安値!Q208,安値!P208&lt;安値!R208),11,""))</f>
        <v>11</v>
      </c>
      <c r="L208" s="503" t="str">
        <f>IF(終値!A208="","",IF(AND(安値!Q208&lt;安値!P208,安値!Q208&lt;安値!O208,安値!Q208&lt;安値!R208,安値!Q208&lt;安値!S208),12,""))</f>
        <v/>
      </c>
      <c r="M208" s="503" t="str">
        <f>IF(終値!A208="","",IF(AND(安値!R208&lt;安値!Q208,安値!R208&lt;安値!P208,安値!R208&lt;安値!S208,安値!R208&lt;安値!T208),13,""))</f>
        <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f>IF(終値!A208="","",IF(AND(安値!AE208&lt;安値!AD208,安値!AE208&lt;安値!AC208,安値!AE208&lt;安値!AF208,安値!AE208&lt;安値!AG208),26,""))</f>
        <v>26</v>
      </c>
      <c r="AA208" s="503" t="str">
        <f>IF(終値!A208="","",IF(AND(安値!AF208&lt;安値!AE208,安値!AF208&lt;安値!AD208,安値!AF208&lt;安値!AG208,安値!AF208&lt;安値!AH208),27,""))</f>
        <v/>
      </c>
      <c r="AB208" s="503" t="str">
        <f>IF(終値!A208="","",IF(AND(安値!AG208&lt;安値!AF208,安値!AG208&lt;安値!AE208,安値!AG208&lt;安値!AH208,安値!AG208&lt;安値!AI208),28,""))</f>
        <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f>IF(終値!A208="","",IF(AND(高値!K208&gt;高値!J208,高値!K208&gt;高値!I208,高値!K208&gt;高値!L208,高値!K208&gt;高値!M208),6,""))</f>
        <v>6</v>
      </c>
      <c r="AH208" s="503" t="str">
        <f>IF(終値!A208="","",IF(AND(高値!L208&gt;高値!K208,高値!L208&gt;高値!J208,高値!L208&gt;高値!M208,高値!L208&gt;高値!N208),7,""))</f>
        <v/>
      </c>
      <c r="AI208" s="503" t="str">
        <f>IF(終値!A208="","",IF(AND(高値!M208&gt;高値!L208,高値!M208&gt;高値!K208,高値!M208&gt;高値!N208,高値!M208&gt;高値!O208),8,""))</f>
        <v/>
      </c>
      <c r="AJ208" s="503">
        <f>IF(終値!A208="","",IF(AND(高値!N208&gt;高値!M208,高値!N208&gt;高値!L208,高値!N208&gt;高値!O208,高値!N208&gt;高値!P208),9,""))</f>
        <v>9</v>
      </c>
      <c r="AK208" s="503" t="str">
        <f>IF(終値!A208="","",IF(AND(高値!O208&gt;高値!N208,高値!O208&gt;高値!M208,高値!O208&gt;高値!P208,高値!O208&gt;高値!Q208),10,""))</f>
        <v/>
      </c>
      <c r="AL208" s="503" t="str">
        <f>IF(終値!A208="","",IF(AND(高値!P208&gt;高値!O208,高値!P208&gt;高値!N208,高値!P208&gt;高値!Q208,高値!P208&gt;高値!R208),11,""))</f>
        <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f>IF(終値!A208="","",IF(AND(高値!X208&gt;高値!W208,高値!X208&gt;高値!V208,高値!X208&gt;高値!Y208,高値!X208&gt;高値!Z208),19,""))</f>
        <v>19</v>
      </c>
      <c r="AU208" s="503" t="str">
        <f>IF(終値!A208="","",IF(AND(高値!Y208&gt;高値!X208,高値!Y208&gt;高値!W208,高値!Y208&gt;高値!Z208,高値!Y208&gt;高値!AA208),20,""))</f>
        <v/>
      </c>
      <c r="AV208" s="503" t="str">
        <f>IF(終値!A208="","",IF(AND(高値!Z208&gt;高値!Y208,高値!Z208&gt;高値!X208,高値!Z208&gt;高値!AA208,高値!Z208&gt;高値!AB208),21,""))</f>
        <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f>IF(終値!A208="","",IF(AND(高値!AG208&gt;高値!AF208,高値!AG208&gt;高値!AE208,高値!AG208&gt;高値!AH208,高値!AG208&gt;高値!AI208),28,""))</f>
        <v>28</v>
      </c>
      <c r="BD208" s="503">
        <f t="shared" si="18"/>
        <v>2</v>
      </c>
      <c r="BE208" s="503">
        <f t="shared" si="19"/>
        <v>11</v>
      </c>
      <c r="BF208" s="503">
        <f t="shared" si="20"/>
        <v>26</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4</v>
      </c>
      <c r="BM208" s="503">
        <f t="shared" si="22"/>
        <v>6</v>
      </c>
      <c r="BN208" s="503">
        <f t="shared" si="23"/>
        <v>9</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f>IF(終値!A209="","",IF(AND(安値!J209&lt;安値!I209,安値!J209&lt;安値!H209,安値!J209&lt;安値!K209,安値!J209&lt;安値!L209),5,""))</f>
        <v>5</v>
      </c>
      <c r="F209" s="503" t="str">
        <f>IF(終値!A209="","",IF(AND(安値!K209&lt;安値!J209,安値!K209&lt;安値!I209,安値!K209&lt;安値!L209,安値!K209&lt;安値!M209),6,""))</f>
        <v/>
      </c>
      <c r="G209" s="503" t="str">
        <f>IF(終値!A209="","",IF(AND(安値!L209&lt;安値!K209,安値!L209&lt;安値!J209,安値!L209&lt;安値!M209,安値!L209&lt;安値!N209),7,""))</f>
        <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f>IF(終値!A209="","",IF(AND(安値!P209&lt;安値!O209,安値!P209&lt;安値!N209,安値!P209&lt;安値!Q209,安値!P209&lt;安値!R209),11,""))</f>
        <v>11</v>
      </c>
      <c r="L209" s="503" t="str">
        <f>IF(終値!A209="","",IF(AND(安値!Q209&lt;安値!P209,安値!Q209&lt;安値!O209,安値!Q209&lt;安値!R209,安値!Q209&lt;安値!S209),12,""))</f>
        <v/>
      </c>
      <c r="M209" s="503" t="str">
        <f>IF(終値!A209="","",IF(AND(安値!R209&lt;安値!Q209,安値!R209&lt;安値!P209,安値!R209&lt;安値!S209,安値!R209&lt;安値!T209),13,""))</f>
        <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f>IF(終値!A209="","",IF(AND(安値!V209&lt;安値!U209,安値!V209&lt;安値!T209,安値!V209&lt;安値!W209,安値!V209&lt;安値!X209),17,""))</f>
        <v>17</v>
      </c>
      <c r="R209" s="503" t="str">
        <f>IF(終値!A209="","",IF(AND(安値!W209&lt;安値!V209,安値!W209&lt;安値!U209,安値!W209&lt;安値!X209,安値!W209&lt;安値!Y209),18,""))</f>
        <v/>
      </c>
      <c r="S209" s="503" t="str">
        <f>IF(終値!A209="","",IF(AND(安値!X209&lt;安値!W209,安値!X209&lt;安値!V209,安値!X209&lt;安値!Y209,安値!X209&lt;安値!Z209),19,""))</f>
        <v/>
      </c>
      <c r="T209" s="503">
        <f>IF(終値!A209="","",IF(AND(安値!Y209&lt;安値!X209,安値!Y209&lt;安値!W209,安値!Y209&lt;安値!Z209,安値!Y209&lt;安値!AA209),20,""))</f>
        <v>20</v>
      </c>
      <c r="U209" s="503" t="str">
        <f>IF(終値!A209="","",IF(AND(安値!Z209&lt;安値!Y209,安値!Z209&lt;安値!X209,安値!Z209&lt;安値!AA209,安値!Z209&lt;安値!AB209),21,""))</f>
        <v/>
      </c>
      <c r="V209" s="503" t="str">
        <f>IF(終値!A209="","",IF(AND(安値!AA209&lt;安値!Z209,安値!AA209&lt;安値!Y209,安値!AA209&lt;安値!AB209,安値!AA209&lt;安値!AC209),22,""))</f>
        <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f>IF(終値!A209="","",IF(AND(安値!AF209&lt;安値!AE209,安値!AF209&lt;安値!AD209,安値!AF209&lt;安値!AG209,安値!AF209&lt;安値!AH209),27,""))</f>
        <v>27</v>
      </c>
      <c r="AB209" s="503" t="str">
        <f>IF(終値!A209="","",IF(AND(安値!AG209&lt;安値!AF209,安値!AG209&lt;安値!AE209,安値!AG209&lt;安値!AH209,安値!AG209&lt;安値!AI209),28,""))</f>
        <v/>
      </c>
      <c r="AC209" s="503">
        <f>IF(終値!A209="","",IF(AND(高値!G209&gt;高値!F209,高値!G209&gt;高値!E209,高値!G209&gt;高値!H209,高値!G209&gt;高値!I209),2,""))</f>
        <v>2</v>
      </c>
      <c r="AD209" s="503" t="str">
        <f>IF(終値!A209="","",IF(AND(高値!H209&gt;高値!G209,高値!H209&gt;高値!F209,高値!H209&gt;高値!I209,高値!H209&gt;高値!J209),3,""))</f>
        <v/>
      </c>
      <c r="AE209" s="503" t="str">
        <f>IF(終値!A209="","",IF(AND(高値!I209&gt;高値!H209,高値!I209&gt;高値!G209,高値!I209&gt;高値!J209,高値!I209&gt;高値!K209),4,""))</f>
        <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f>IF(終値!A209="","",IF(AND(高値!N209&gt;高値!M209,高値!N209&gt;高値!L209,高値!N209&gt;高値!O209,高値!N209&gt;高値!P209),9,""))</f>
        <v>9</v>
      </c>
      <c r="AK209" s="503" t="str">
        <f>IF(終値!A209="","",IF(AND(高値!O209&gt;高値!N209,高値!O209&gt;高値!M209,高値!O209&gt;高値!P209,高値!O209&gt;高値!Q209),10,""))</f>
        <v/>
      </c>
      <c r="AL209" s="503" t="str">
        <f>IF(終値!A209="","",IF(AND(高値!P209&gt;高値!O209,高値!P209&gt;高値!N209,高値!P209&gt;高値!Q209,高値!P209&gt;高値!R209),11,""))</f>
        <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f>IF(終値!A209="","",IF(AND(高値!T209&gt;高値!S209,高値!T209&gt;高値!R209,高値!T209&gt;高値!U209,高値!T209&gt;高値!V209),15,""))</f>
        <v>15</v>
      </c>
      <c r="AQ209" s="503" t="str">
        <f>IF(終値!A209="","",IF(AND(高値!U209&gt;高値!T209,高値!U209&gt;高値!S209,高値!U209&gt;高値!V209,高値!U209&gt;高値!W209),16,""))</f>
        <v/>
      </c>
      <c r="AR209" s="503" t="str">
        <f>IF(終値!A209="","",IF(AND(高値!V209&gt;高値!U209,高値!V209&gt;高値!T209,高値!V209&gt;高値!W209,高値!V209&gt;高値!X209),17,""))</f>
        <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f>IF(終値!A209="","",IF(AND(高値!AA209&gt;高値!Z209,高値!AA209&gt;高値!Y209,高値!AA209&gt;高値!AB209,高値!AA209&gt;高値!AC209),22,""))</f>
        <v>22</v>
      </c>
      <c r="AX209" s="503" t="str">
        <f>IF(終値!A209="","",IF(AND(高値!AB209&gt;高値!AA209,高値!AB209&gt;高値!Z209,高値!AB209&gt;高値!AC209,高値!AB209&gt;高値!AD209),23,""))</f>
        <v/>
      </c>
      <c r="AY209" s="503" t="str">
        <f>IF(終値!A209="","",IF(AND(高値!AC209&gt;高値!AB209,高値!AC209&gt;高値!AA209,高値!AC209&gt;高値!AD209,高値!AC209&gt;高値!AE209),24,""))</f>
        <v/>
      </c>
      <c r="AZ209" s="503" t="str">
        <f>IF(終値!A209="","",IF(AND(高値!AD209&gt;高値!AC209,高値!AD209&gt;高値!AB209,高値!AD209&gt;高値!AE209,高値!AD209&gt;高値!AF209),25,""))</f>
        <v/>
      </c>
      <c r="BA209" s="503">
        <f>IF(終値!A209="","",IF(AND(高値!AE209&gt;高値!AD209,高値!AE209&gt;高値!AC209,高値!AE209&gt;高値!AF209,高値!AE209&gt;高値!AG209),26,""))</f>
        <v>26</v>
      </c>
      <c r="BB209" s="503" t="str">
        <f>IF(終値!A209="","",IF(AND(高値!AF209&gt;高値!AE209,高値!AF209&gt;高値!AD209,高値!AF209&gt;高値!AG209,高値!AF209&gt;高値!AH209),27,""))</f>
        <v/>
      </c>
      <c r="BC209" s="503" t="str">
        <f>IF(終値!A209="","",IF(AND(高値!AG209&gt;高値!AF209,高値!AG209&gt;高値!AE209,高値!AG209&gt;高値!AH209,高値!AG209&gt;高値!AI209),28,""))</f>
        <v/>
      </c>
      <c r="BD209" s="503">
        <f t="shared" si="18"/>
        <v>5</v>
      </c>
      <c r="BE209" s="503">
        <f t="shared" si="19"/>
        <v>5</v>
      </c>
      <c r="BF209" s="503">
        <f t="shared" si="20"/>
        <v>11</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2</v>
      </c>
      <c r="BN209" s="503">
        <f t="shared" si="23"/>
        <v>9</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f>IF(終値!A210="","",IF(AND(安値!I210&lt;安値!H210,安値!I210&lt;安値!G210,安値!I210&lt;安値!J210,安値!I210&lt;安値!K210),4,""))</f>
        <v>4</v>
      </c>
      <c r="E210" s="503" t="str">
        <f>IF(終値!A210="","",IF(AND(安値!J210&lt;安値!I210,安値!J210&lt;安値!H210,安値!J210&lt;安値!K210,安値!J210&lt;安値!L210),5,""))</f>
        <v/>
      </c>
      <c r="F210" s="503" t="str">
        <f>IF(終値!A210="","",IF(AND(安値!K210&lt;安値!J210,安値!K210&lt;安値!I210,安値!K210&lt;安値!L210,安値!K210&lt;安値!M210),6,""))</f>
        <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f>IF(終値!A210="","",IF(AND(安値!O210&lt;安値!N210,安値!O210&lt;安値!M210,安値!O210&lt;安値!P210,安値!O210&lt;安値!Q210),10,""))</f>
        <v>10</v>
      </c>
      <c r="K210" s="503" t="str">
        <f>IF(終値!A210="","",IF(AND(安値!P210&lt;安値!O210,安値!P210&lt;安値!N210,安値!P210&lt;安値!Q210,安値!P210&lt;安値!R210),11,""))</f>
        <v/>
      </c>
      <c r="L210" s="503" t="str">
        <f>IF(終値!A210="","",IF(AND(安値!Q210&lt;安値!P210,安値!Q210&lt;安値!O210,安値!Q210&lt;安値!R210,安値!Q210&lt;安値!S210),12,""))</f>
        <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f>IF(終値!A210="","",IF(AND(安値!Y210&lt;安値!X210,安値!Y210&lt;安値!W210,安値!Y210&lt;安値!Z210,安値!Y210&lt;安値!AA210),20,""))</f>
        <v>20</v>
      </c>
      <c r="U210" s="503" t="str">
        <f>IF(終値!A210="","",IF(AND(安値!Z210&lt;安値!Y210,安値!Z210&lt;安値!X210,安値!Z210&lt;安値!AA210,安値!Z210&lt;安値!AB210),21,""))</f>
        <v/>
      </c>
      <c r="V210" s="503" t="str">
        <f>IF(終値!A210="","",IF(AND(安値!AA210&lt;安値!Z210,安値!AA210&lt;安値!Y210,安値!AA210&lt;安値!AB210,安値!AA210&lt;安値!AC210),22,""))</f>
        <v/>
      </c>
      <c r="W210" s="503" t="str">
        <f>IF(終値!A210="","",IF(AND(安値!AB210&lt;安値!AA210,安値!AB210&lt;安値!Z210,安値!AB210&lt;安値!AC210,安値!AB210&lt;安値!AD210),23,""))</f>
        <v/>
      </c>
      <c r="X210" s="503">
        <f>IF(終値!A210="","",IF(AND(安値!AC210&lt;安値!AB210,安値!AC210&lt;安値!AA210,安値!AC210&lt;安値!AD210,安値!AC210&lt;安値!AE210),24,""))</f>
        <v>24</v>
      </c>
      <c r="Y210" s="503" t="str">
        <f>IF(終値!A210="","",IF(AND(安値!AD210&lt;安値!AC210,安値!AD210&lt;安値!AB210,安値!AD210&lt;安値!AE210,安値!AD210&lt;安値!AF210),25,""))</f>
        <v/>
      </c>
      <c r="Z210" s="503" t="str">
        <f>IF(終値!A210="","",IF(AND(安値!AE210&lt;安値!AD210,安値!AE210&lt;安値!AC210,安値!AE210&lt;安値!AF210,安値!AE210&lt;安値!AG210),26,""))</f>
        <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f>IF(終値!A210="","",IF(AND(高値!N210&gt;高値!M210,高値!N210&gt;高値!L210,高値!N210&gt;高値!O210,高値!N210&gt;高値!P210),9,""))</f>
        <v>9</v>
      </c>
      <c r="AK210" s="503" t="str">
        <f>IF(終値!A210="","",IF(AND(高値!O210&gt;高値!N210,高値!O210&gt;高値!M210,高値!O210&gt;高値!P210,高値!O210&gt;高値!Q210),10,""))</f>
        <v/>
      </c>
      <c r="AL210" s="503" t="str">
        <f>IF(終値!A210="","",IF(AND(高値!P210&gt;高値!O210,高値!P210&gt;高値!N210,高値!P210&gt;高値!Q210,高値!P210&gt;高値!R210),11,""))</f>
        <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f>IF(終値!A210="","",IF(AND(高値!T210&gt;高値!S210,高値!T210&gt;高値!R210,高値!T210&gt;高値!U210,高値!T210&gt;高値!V210),15,""))</f>
        <v>15</v>
      </c>
      <c r="AQ210" s="503" t="str">
        <f>IF(終値!A210="","",IF(AND(高値!U210&gt;高値!T210,高値!U210&gt;高値!S210,高値!U210&gt;高値!V210,高値!U210&gt;高値!W210),16,""))</f>
        <v/>
      </c>
      <c r="AR210" s="503" t="str">
        <f>IF(終値!A210="","",IF(AND(高値!V210&gt;高値!U210,高値!V210&gt;高値!T210,高値!V210&gt;高値!W210,高値!V210&gt;高値!X210),17,""))</f>
        <v/>
      </c>
      <c r="AS210" s="503" t="str">
        <f>IF(終値!A210="","",IF(AND(高値!W210&gt;高値!V210,高値!W210&gt;高値!U210,高値!W210&gt;高値!X210,高値!W210&gt;高値!Y210),18,""))</f>
        <v/>
      </c>
      <c r="AT210" s="503">
        <f>IF(終値!A210="","",IF(AND(高値!X210&gt;高値!W210,高値!X210&gt;高値!V210,高値!X210&gt;高値!Y210,高値!X210&gt;高値!Z210),19,""))</f>
        <v>19</v>
      </c>
      <c r="AU210" s="503" t="str">
        <f>IF(終値!A210="","",IF(AND(高値!Y210&gt;高値!X210,高値!Y210&gt;高値!W210,高値!Y210&gt;高値!Z210,高値!Y210&gt;高値!AA210),20,""))</f>
        <v/>
      </c>
      <c r="AV210" s="503" t="str">
        <f>IF(終値!A210="","",IF(AND(高値!Z210&gt;高値!Y210,高値!Z210&gt;高値!X210,高値!Z210&gt;高値!AA210,高値!Z210&gt;高値!AB210),21,""))</f>
        <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4</v>
      </c>
      <c r="BF210" s="503">
        <f t="shared" si="20"/>
        <v>10</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9</v>
      </c>
      <c r="BN210" s="503">
        <f t="shared" si="23"/>
        <v>15</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f>IF(終値!A211="","",IF(AND(安値!I211&lt;安値!H211,安値!I211&lt;安値!G211,安値!I211&lt;安値!J211,安値!I211&lt;安値!K211),4,""))</f>
        <v>4</v>
      </c>
      <c r="E211" s="503" t="str">
        <f>IF(終値!A211="","",IF(AND(安値!J211&lt;安値!I211,安値!J211&lt;安値!H211,安値!J211&lt;安値!K211,安値!J211&lt;安値!L211),5,""))</f>
        <v/>
      </c>
      <c r="F211" s="503" t="str">
        <f>IF(終値!A211="","",IF(AND(安値!K211&lt;安値!J211,安値!K211&lt;安値!I211,安値!K211&lt;安値!L211,安値!K211&lt;安値!M211),6,""))</f>
        <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f>IF(終値!A211="","",IF(AND(安値!P211&lt;安値!O211,安値!P211&lt;安値!N211,安値!P211&lt;安値!Q211,安値!P211&lt;安値!R211),11,""))</f>
        <v>11</v>
      </c>
      <c r="L211" s="503" t="str">
        <f>IF(終値!A211="","",IF(AND(安値!Q211&lt;安値!P211,安値!Q211&lt;安値!O211,安値!Q211&lt;安値!R211,安値!Q211&lt;安値!S211),12,""))</f>
        <v/>
      </c>
      <c r="M211" s="503" t="str">
        <f>IF(終値!A211="","",IF(AND(安値!R211&lt;安値!Q211,安値!R211&lt;安値!P211,安値!R211&lt;安値!S211,安値!R211&lt;安値!T211),13,""))</f>
        <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f>IF(終値!A211="","",IF(AND(安値!V211&lt;安値!U211,安値!V211&lt;安値!T211,安値!V211&lt;安値!W211,安値!V211&lt;安値!X211),17,""))</f>
        <v>17</v>
      </c>
      <c r="R211" s="503" t="str">
        <f>IF(終値!A211="","",IF(AND(安値!W211&lt;安値!V211,安値!W211&lt;安値!U211,安値!W211&lt;安値!X211,安値!W211&lt;安値!Y211),18,""))</f>
        <v/>
      </c>
      <c r="S211" s="503" t="str">
        <f>IF(終値!A211="","",IF(AND(安値!X211&lt;安値!W211,安値!X211&lt;安値!V211,安値!X211&lt;安値!Y211,安値!X211&lt;安値!Z211),19,""))</f>
        <v/>
      </c>
      <c r="T211" s="503">
        <f>IF(終値!A211="","",IF(AND(安値!Y211&lt;安値!X211,安値!Y211&lt;安値!W211,安値!Y211&lt;安値!Z211,安値!Y211&lt;安値!AA211),20,""))</f>
        <v>20</v>
      </c>
      <c r="U211" s="503" t="str">
        <f>IF(終値!A211="","",IF(AND(安値!Z211&lt;安値!Y211,安値!Z211&lt;安値!X211,安値!Z211&lt;安値!AA211,安値!Z211&lt;安値!AB211),21,""))</f>
        <v/>
      </c>
      <c r="V211" s="503" t="str">
        <f>IF(終値!A211="","",IF(AND(安値!AA211&lt;安値!Z211,安値!AA211&lt;安値!Y211,安値!AA211&lt;安値!AB211,安値!AA211&lt;安値!AC211),22,""))</f>
        <v/>
      </c>
      <c r="W211" s="503" t="str">
        <f>IF(終値!A211="","",IF(AND(安値!AB211&lt;安値!AA211,安値!AB211&lt;安値!Z211,安値!AB211&lt;安値!AC211,安値!AB211&lt;安値!AD211),23,""))</f>
        <v/>
      </c>
      <c r="X211" s="503">
        <f>IF(終値!A211="","",IF(AND(安値!AC211&lt;安値!AB211,安値!AC211&lt;安値!AA211,安値!AC211&lt;安値!AD211,安値!AC211&lt;安値!AE211),24,""))</f>
        <v>24</v>
      </c>
      <c r="Y211" s="503" t="str">
        <f>IF(終値!A211="","",IF(AND(安値!AD211&lt;安値!AC211,安値!AD211&lt;安値!AB211,安値!AD211&lt;安値!AE211,安値!AD211&lt;安値!AF211),25,""))</f>
        <v/>
      </c>
      <c r="Z211" s="503" t="str">
        <f>IF(終値!A211="","",IF(AND(安値!AE211&lt;安値!AD211,安値!AE211&lt;安値!AC211,安値!AE211&lt;安値!AF211,安値!AE211&lt;安値!AG211),26,""))</f>
        <v/>
      </c>
      <c r="AA211" s="503">
        <f>IF(終値!A211="","",IF(AND(安値!AF211&lt;安値!AE211,安値!AF211&lt;安値!AD211,安値!AF211&lt;安値!AG211,安値!AF211&lt;安値!AH211),27,""))</f>
        <v>27</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f>IF(終値!A211="","",IF(AND(高値!M211&gt;高値!L211,高値!M211&gt;高値!K211,高値!M211&gt;高値!N211,高値!M211&gt;高値!O211),8,""))</f>
        <v>8</v>
      </c>
      <c r="AJ211" s="503" t="str">
        <f>IF(終値!A211="","",IF(AND(高値!N211&gt;高値!M211,高値!N211&gt;高値!L211,高値!N211&gt;高値!O211,高値!N211&gt;高値!P211),9,""))</f>
        <v/>
      </c>
      <c r="AK211" s="503" t="str">
        <f>IF(終値!A211="","",IF(AND(高値!O211&gt;高値!N211,高値!O211&gt;高値!M211,高値!O211&gt;高値!P211,高値!O211&gt;高値!Q211),10,""))</f>
        <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f>IF(終値!A211="","",IF(AND(高値!S211&gt;高値!R211,高値!S211&gt;高値!Q211,高値!S211&gt;高値!T211,高値!S211&gt;高値!U211),14,""))</f>
        <v>14</v>
      </c>
      <c r="AP211" s="503" t="str">
        <f>IF(終値!A211="","",IF(AND(高値!T211&gt;高値!S211,高値!T211&gt;高値!R211,高値!T211&gt;高値!U211,高値!T211&gt;高値!V211),15,""))</f>
        <v/>
      </c>
      <c r="AQ211" s="503" t="str">
        <f>IF(終値!A211="","",IF(AND(高値!U211&gt;高値!T211,高値!U211&gt;高値!S211,高値!U211&gt;高値!V211,高値!U211&gt;高値!W211),16,""))</f>
        <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f>IF(終値!A211="","",IF(AND(高値!X211&gt;高値!W211,高値!X211&gt;高値!V211,高値!X211&gt;高値!Y211,高値!X211&gt;高値!Z211),19,""))</f>
        <v>19</v>
      </c>
      <c r="AU211" s="503" t="str">
        <f>IF(終値!A211="","",IF(AND(高値!Y211&gt;高値!X211,高値!Y211&gt;高値!W211,高値!Y211&gt;高値!Z211,高値!Y211&gt;高値!AA211),20,""))</f>
        <v/>
      </c>
      <c r="AV211" s="503" t="str">
        <f>IF(終値!A211="","",IF(AND(高値!Z211&gt;高値!Y211,高値!Z211&gt;高値!X211,高値!Z211&gt;高値!AA211,高値!Z211&gt;高値!AB211),21,""))</f>
        <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6</v>
      </c>
      <c r="BE211" s="503">
        <f t="shared" si="19"/>
        <v>4</v>
      </c>
      <c r="BF211" s="503">
        <f t="shared" si="20"/>
        <v>11</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8</v>
      </c>
      <c r="BN211" s="503">
        <f t="shared" si="23"/>
        <v>14</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f>IF(終値!A212="","",IF(AND(安値!M212&lt;安値!L212,安値!M212&lt;安値!K212,安値!M212&lt;安値!N212,安値!M212&lt;安値!O212),8,""))</f>
        <v>8</v>
      </c>
      <c r="I212" s="503" t="str">
        <f>IF(終値!A212="","",IF(AND(安値!N212&lt;安値!M212,安値!N212&lt;安値!L212,安値!N212&lt;安値!O212,安値!N212&lt;安値!P212),9,""))</f>
        <v/>
      </c>
      <c r="J212" s="503" t="str">
        <f>IF(終値!A212="","",IF(AND(安値!O212&lt;安値!N212,安値!O212&lt;安値!M212,安値!O212&lt;安値!P212,安値!O212&lt;安値!Q212),10,""))</f>
        <v/>
      </c>
      <c r="K212" s="503" t="str">
        <f>IF(終値!A212="","",IF(AND(安値!P212&lt;安値!O212,安値!P212&lt;安値!N212,安値!P212&lt;安値!Q212,安値!P212&lt;安値!R212),11,""))</f>
        <v/>
      </c>
      <c r="L212" s="503">
        <f>IF(終値!A212="","",IF(AND(安値!Q212&lt;安値!P212,安値!Q212&lt;安値!O212,安値!Q212&lt;安値!R212,安値!Q212&lt;安値!S212),12,""))</f>
        <v>12</v>
      </c>
      <c r="M212" s="503" t="str">
        <f>IF(終値!A212="","",IF(AND(安値!R212&lt;安値!Q212,安値!R212&lt;安値!P212,安値!R212&lt;安値!S212,安値!R212&lt;安値!T212),13,""))</f>
        <v/>
      </c>
      <c r="N212" s="503" t="str">
        <f>IF(終値!A212="","",IF(AND(安値!S212&lt;安値!R212,安値!S212&lt;安値!Q212,安値!S212&lt;安値!T212,安値!S212&lt;安値!U212),14,""))</f>
        <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f>IF(終値!A212="","",IF(AND(高値!I212&gt;高値!H212,高値!I212&gt;高値!G212,高値!I212&gt;高値!J212,高値!I212&gt;高値!K212),4,""))</f>
        <v>4</v>
      </c>
      <c r="AF212" s="503" t="str">
        <f>IF(終値!A212="","",IF(AND(高値!J212&gt;高値!I212,高値!J212&gt;高値!H212,高値!J212&gt;高値!K212,高値!J212&gt;高値!L212),5,""))</f>
        <v/>
      </c>
      <c r="AG212" s="503" t="str">
        <f>IF(終値!A212="","",IF(AND(高値!K212&gt;高値!J212,高値!K212&gt;高値!I212,高値!K212&gt;高値!L212,高値!K212&gt;高値!M212),6,""))</f>
        <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f>IF(終値!A212="","",IF(AND(高値!O212&gt;高値!N212,高値!O212&gt;高値!M212,高値!O212&gt;高値!P212,高値!O212&gt;高値!Q212),10,""))</f>
        <v>10</v>
      </c>
      <c r="AL212" s="503" t="str">
        <f>IF(終値!A212="","",IF(AND(高値!P212&gt;高値!O212,高値!P212&gt;高値!N212,高値!P212&gt;高値!Q212,高値!P212&gt;高値!R212),11,""))</f>
        <v/>
      </c>
      <c r="AM212" s="503" t="str">
        <f>IF(終値!A212="","",IF(AND(高値!Q212&gt;高値!P212,高値!Q212&gt;高値!O212,高値!Q212&gt;高値!R212,高値!Q212&gt;高値!S212),12,""))</f>
        <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f>IF(終値!A212="","",IF(AND(高値!V212&gt;高値!U212,高値!V212&gt;高値!T212,高値!V212&gt;高値!W212,高値!V212&gt;高値!X212),17,""))</f>
        <v>17</v>
      </c>
      <c r="AS212" s="503" t="str">
        <f>IF(終値!A212="","",IF(AND(高値!W212&gt;高値!V212,高値!W212&gt;高値!U212,高値!W212&gt;高値!X212,高値!W212&gt;高値!Y212),18,""))</f>
        <v/>
      </c>
      <c r="AT212" s="503" t="str">
        <f>IF(終値!A212="","",IF(AND(高値!X212&gt;高値!W212,高値!X212&gt;高値!V212,高値!X212&gt;高値!Y212,高値!X212&gt;高値!Z212),19,""))</f>
        <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f>IF(終値!A212="","",IF(AND(高値!AF212&gt;高値!AE212,高値!AF212&gt;高値!AD212,高値!AF212&gt;高値!AG212,高値!AF212&gt;高値!AH212),27,""))</f>
        <v>27</v>
      </c>
      <c r="BC212" s="503" t="str">
        <f>IF(終値!A212="","",IF(AND(高値!AG212&gt;高値!AF212,高値!AG212&gt;高値!AE212,高値!AG212&gt;高値!AH212,高値!AG212&gt;高値!AI212),28,""))</f>
        <v/>
      </c>
      <c r="BD212" s="503">
        <f t="shared" si="18"/>
        <v>2</v>
      </c>
      <c r="BE212" s="503">
        <f t="shared" si="19"/>
        <v>8</v>
      </c>
      <c r="BF212" s="503">
        <f t="shared" si="20"/>
        <v>12</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4</v>
      </c>
      <c r="BM212" s="503">
        <f t="shared" si="22"/>
        <v>4</v>
      </c>
      <c r="BN212" s="503">
        <f t="shared" si="23"/>
        <v>10</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f>IF(終値!A213="","",IF(AND(安値!H213&lt;安値!G213,安値!H213&lt;安値!F213,安値!H213&lt;安値!I213,安値!H213&lt;安値!J213),3,""))</f>
        <v>3</v>
      </c>
      <c r="D213" s="503" t="str">
        <f>IF(終値!A213="","",IF(AND(安値!I213&lt;安値!H213,安値!I213&lt;安値!G213,安値!I213&lt;安値!J213,安値!I213&lt;安値!K213),4,""))</f>
        <v/>
      </c>
      <c r="E213" s="503" t="str">
        <f>IF(終値!A213="","",IF(AND(安値!J213&lt;安値!I213,安値!J213&lt;安値!H213,安値!J213&lt;安値!K213,安値!J213&lt;安値!L213),5,""))</f>
        <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f>IF(終値!A213="","",IF(AND(安値!P213&lt;安値!O213,安値!P213&lt;安値!N213,安値!P213&lt;安値!Q213,安値!P213&lt;安値!R213),11,""))</f>
        <v>11</v>
      </c>
      <c r="L213" s="503" t="str">
        <f>IF(終値!A213="","",IF(AND(安値!Q213&lt;安値!P213,安値!Q213&lt;安値!O213,安値!Q213&lt;安値!R213,安値!Q213&lt;安値!S213),12,""))</f>
        <v/>
      </c>
      <c r="M213" s="503" t="str">
        <f>IF(終値!A213="","",IF(AND(安値!R213&lt;安値!Q213,安値!R213&lt;安値!P213,安値!R213&lt;安値!S213,安値!R213&lt;安値!T213),13,""))</f>
        <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f>IF(終値!A213="","",IF(AND(安値!V213&lt;安値!U213,安値!V213&lt;安値!T213,安値!V213&lt;安値!W213,安値!V213&lt;安値!X213),17,""))</f>
        <v>17</v>
      </c>
      <c r="R213" s="503" t="str">
        <f>IF(終値!A213="","",IF(AND(安値!W213&lt;安値!V213,安値!W213&lt;安値!U213,安値!W213&lt;安値!X213,安値!W213&lt;安値!Y213),18,""))</f>
        <v/>
      </c>
      <c r="S213" s="503" t="str">
        <f>IF(終値!A213="","",IF(AND(安値!X213&lt;安値!W213,安値!X213&lt;安値!V213,安値!X213&lt;安値!Y213,安値!X213&lt;安値!Z213),19,""))</f>
        <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f>IF(終値!A213="","",IF(AND(安値!AC213&lt;安値!AB213,安値!AC213&lt;安値!AA213,安値!AC213&lt;安値!AD213,安値!AC213&lt;安値!AE213),24,""))</f>
        <v>24</v>
      </c>
      <c r="Y213" s="503" t="str">
        <f>IF(終値!A213="","",IF(AND(安値!AD213&lt;安値!AC213,安値!AD213&lt;安値!AB213,安値!AD213&lt;安値!AE213,安値!AD213&lt;安値!AF213),25,""))</f>
        <v/>
      </c>
      <c r="Z213" s="503" t="str">
        <f>IF(終値!A213="","",IF(AND(安値!AE213&lt;安値!AD213,安値!AE213&lt;安値!AC213,安値!AE213&lt;安値!AF213,安値!AE213&lt;安値!AG213),26,""))</f>
        <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f>IF(終値!A213="","",IF(AND(高値!N213&gt;高値!M213,高値!N213&gt;高値!L213,高値!N213&gt;高値!O213,高値!N213&gt;高値!P213),9,""))</f>
        <v>9</v>
      </c>
      <c r="AK213" s="503" t="str">
        <f>IF(終値!A213="","",IF(AND(高値!O213&gt;高値!N213,高値!O213&gt;高値!M213,高値!O213&gt;高値!P213,高値!O213&gt;高値!Q213),10,""))</f>
        <v/>
      </c>
      <c r="AL213" s="503" t="str">
        <f>IF(終値!A213="","",IF(AND(高値!P213&gt;高値!O213,高値!P213&gt;高値!N213,高値!P213&gt;高値!Q213,高値!P213&gt;高値!R213),11,""))</f>
        <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f>IF(終値!A213="","",IF(AND(高値!S213&gt;高値!R213,高値!S213&gt;高値!Q213,高値!S213&gt;高値!T213,高値!S213&gt;高値!U213),14,""))</f>
        <v>14</v>
      </c>
      <c r="AP213" s="503" t="str">
        <f>IF(終値!A213="","",IF(AND(高値!T213&gt;高値!S213,高値!T213&gt;高値!R213,高値!T213&gt;高値!U213,高値!T213&gt;高値!V213),15,""))</f>
        <v/>
      </c>
      <c r="AQ213" s="503" t="str">
        <f>IF(終値!A213="","",IF(AND(高値!U213&gt;高値!T213,高値!U213&gt;高値!S213,高値!U213&gt;高値!V213,高値!U213&gt;高値!W213),16,""))</f>
        <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f>IF(終値!A213="","",IF(AND(高値!AA213&gt;高値!Z213,高値!AA213&gt;高値!Y213,高値!AA213&gt;高値!AB213,高値!AA213&gt;高値!AC213),22,""))</f>
        <v>22</v>
      </c>
      <c r="AX213" s="503" t="str">
        <f>IF(終値!A213="","",IF(AND(高値!AB213&gt;高値!AA213,高値!AB213&gt;高値!Z213,高値!AB213&gt;高値!AC213,高値!AB213&gt;高値!AD213),23,""))</f>
        <v/>
      </c>
      <c r="AY213" s="503" t="str">
        <f>IF(終値!A213="","",IF(AND(高値!AC213&gt;高値!AB213,高値!AC213&gt;高値!AA213,高値!AC213&gt;高値!AD213,高値!AC213&gt;高値!AE213),24,""))</f>
        <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3</v>
      </c>
      <c r="BF213" s="503">
        <f t="shared" si="20"/>
        <v>11</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9</v>
      </c>
      <c r="BN213" s="503">
        <f t="shared" si="23"/>
        <v>14</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t="str">
        <f>IF(終値!A214="","",IF(AND(安値!H214&lt;安値!G214,安値!H214&lt;安値!F214,安値!H214&lt;安値!I214,安値!H214&lt;安値!J214),3,""))</f>
        <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f>IF(終値!A214="","",IF(AND(安値!M214&lt;安値!L214,安値!M214&lt;安値!K214,安値!M214&lt;安値!N214,安値!M214&lt;安値!O214),8,""))</f>
        <v>8</v>
      </c>
      <c r="I214" s="503" t="str">
        <f>IF(終値!A214="","",IF(AND(安値!N214&lt;安値!M214,安値!N214&lt;安値!L214,安値!N214&lt;安値!O214,安値!N214&lt;安値!P214),9,""))</f>
        <v/>
      </c>
      <c r="J214" s="503" t="str">
        <f>IF(終値!A214="","",IF(AND(安値!O214&lt;安値!N214,安値!O214&lt;安値!M214,安値!O214&lt;安値!P214,安値!O214&lt;安値!Q214),10,""))</f>
        <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f>IF(終値!A214="","",IF(AND(安値!S214&lt;安値!R214,安値!S214&lt;安値!Q214,安値!S214&lt;安値!T214,安値!S214&lt;安値!U214),14,""))</f>
        <v>14</v>
      </c>
      <c r="O214" s="503" t="str">
        <f>IF(終値!A214="","",IF(AND(安値!T214&lt;安値!S214,安値!T214&lt;安値!R214,安値!T214&lt;安値!U214,安値!T214&lt;安値!V214),15,""))</f>
        <v/>
      </c>
      <c r="P214" s="503" t="str">
        <f>IF(終値!A214="","",IF(AND(安値!U214&lt;安値!T214,安値!U214&lt;安値!S214,安値!U214&lt;安値!V214,安値!U214&lt;安値!W214),16,""))</f>
        <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f>IF(終値!A214="","",IF(AND(安値!AE214&lt;安値!AD214,安値!AE214&lt;安値!AC214,安値!AE214&lt;安値!AF214,安値!AE214&lt;安値!AG214),26,""))</f>
        <v>26</v>
      </c>
      <c r="AA214" s="503" t="str">
        <f>IF(終値!A214="","",IF(AND(安値!AF214&lt;安値!AE214,安値!AF214&lt;安値!AD214,安値!AF214&lt;安値!AG214,安値!AF214&lt;安値!AH214),27,""))</f>
        <v/>
      </c>
      <c r="AB214" s="503" t="str">
        <f>IF(終値!A214="","",IF(AND(安値!AG214&lt;安値!AF214,安値!AG214&lt;安値!AE214,安値!AG214&lt;安値!AH214,安値!AG214&lt;安値!AI214),28,""))</f>
        <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f>IF(終値!A214="","",IF(AND(高値!K214&gt;高値!J214,高値!K214&gt;高値!I214,高値!K214&gt;高値!L214,高値!K214&gt;高値!M214),6,""))</f>
        <v>6</v>
      </c>
      <c r="AH214" s="503" t="str">
        <f>IF(終値!A214="","",IF(AND(高値!L214&gt;高値!K214,高値!L214&gt;高値!J214,高値!L214&gt;高値!M214,高値!L214&gt;高値!N214),7,""))</f>
        <v/>
      </c>
      <c r="AI214" s="503" t="str">
        <f>IF(終値!A214="","",IF(AND(高値!M214&gt;高値!L214,高値!M214&gt;高値!K214,高値!M214&gt;高値!N214,高値!M214&gt;高値!O214),8,""))</f>
        <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f>IF(終値!A214="","",IF(AND(高値!Q214&gt;高値!P214,高値!Q214&gt;高値!O214,高値!Q214&gt;高値!R214,高値!Q214&gt;高値!S214),12,""))</f>
        <v>12</v>
      </c>
      <c r="AN214" s="503" t="str">
        <f>IF(終値!A214="","",IF(AND(高値!R214&gt;高値!Q214,高値!R214&gt;高値!P214,高値!R214&gt;高値!S214,高値!R214&gt;高値!T214),13,""))</f>
        <v/>
      </c>
      <c r="AO214" s="503" t="str">
        <f>IF(終値!A214="","",IF(AND(高値!S214&gt;高値!R214,高値!S214&gt;高値!Q214,高値!S214&gt;高値!T214,高値!S214&gt;高値!U214),14,""))</f>
        <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f>IF(終値!A214="","",IF(AND(高値!X214&gt;高値!W214,高値!X214&gt;高値!V214,高値!X214&gt;高値!Y214,高値!X214&gt;高値!Z214),19,""))</f>
        <v>19</v>
      </c>
      <c r="AU214" s="503" t="str">
        <f>IF(終値!A214="","",IF(AND(高値!Y214&gt;高値!X214,高値!Y214&gt;高値!W214,高値!Y214&gt;高値!Z214,高値!Y214&gt;高値!AA214),20,""))</f>
        <v/>
      </c>
      <c r="AV214" s="503" t="str">
        <f>IF(終値!A214="","",IF(AND(高値!Z214&gt;高値!Y214,高値!Z214&gt;高値!X214,高値!Z214&gt;高値!AA214,高値!Z214&gt;高値!AB214),21,""))</f>
        <v/>
      </c>
      <c r="AW214" s="503" t="str">
        <f>IF(終値!A214="","",IF(AND(高値!AA214&gt;高値!Z214,高値!AA214&gt;高値!Y214,高値!AA214&gt;高値!AB214,高値!AA214&gt;高値!AC214),22,""))</f>
        <v/>
      </c>
      <c r="AX214" s="503">
        <f>IF(終値!A214="","",IF(AND(高値!AB214&gt;高値!AA214,高値!AB214&gt;高値!Z214,高値!AB214&gt;高値!AC214,高値!AB214&gt;高値!AD214),23,""))</f>
        <v>23</v>
      </c>
      <c r="AY214" s="503" t="str">
        <f>IF(終値!A214="","",IF(AND(高値!AC214&gt;高値!AB214,高値!AC214&gt;高値!AA214,高値!AC214&gt;高値!AD214,高値!AC214&gt;高値!AE214),24,""))</f>
        <v/>
      </c>
      <c r="AZ214" s="503" t="str">
        <f>IF(終値!A214="","",IF(AND(高値!AD214&gt;高値!AC214,高値!AD214&gt;高値!AB214,高値!AD214&gt;高値!AE214,高値!AD214&gt;高値!AF214),25,""))</f>
        <v/>
      </c>
      <c r="BA214" s="503" t="str">
        <f>IF(終値!A214="","",IF(AND(高値!AE214&gt;高値!AD214,高値!AE214&gt;高値!AC214,高値!AE214&gt;高値!AF214,高値!AE214&gt;高値!AG214),26,""))</f>
        <v/>
      </c>
      <c r="BB214" s="503">
        <f>IF(終値!A214="","",IF(AND(高値!AF214&gt;高値!AE214,高値!AF214&gt;高値!AD214,高値!AF214&gt;高値!AG214,高値!AF214&gt;高値!AH214),27,""))</f>
        <v>27</v>
      </c>
      <c r="BC214" s="503" t="str">
        <f>IF(終値!A214="","",IF(AND(高値!AG214&gt;高値!AF214,高値!AG214&gt;高値!AE214,高値!AG214&gt;高値!AH214,高値!AG214&gt;高値!AI214),28,""))</f>
        <v/>
      </c>
      <c r="BD214" s="503">
        <f t="shared" si="18"/>
        <v>3</v>
      </c>
      <c r="BE214" s="503">
        <f t="shared" si="19"/>
        <v>8</v>
      </c>
      <c r="BF214" s="503">
        <f t="shared" si="20"/>
        <v>14</v>
      </c>
      <c r="BG214" s="503">
        <f>IF($BE214="","",INDEX(安値!$E214:$CZ214,1,$BE214+1))</f>
        <v>965</v>
      </c>
      <c r="BH214" s="503">
        <f>IF($BF214="","",INDEX(安値!$E214:$CZ214,1,$BF214+1))</f>
        <v>910</v>
      </c>
      <c r="BI214" s="503">
        <f>IF($BF214="","",MAX(INDEX(高値!$E214:$CZ214,1,$BE214+1):INDEX(高値!$E214:$CZ214,1,$BF214+1)))</f>
        <v>1046</v>
      </c>
      <c r="BJ214" s="503">
        <f>IF($BF214="","",AVERAGE(INDEX(終値!$E214:$CZ214,1,$BF214+1):INDEX(終値!$E214:$CZ214,1,$BF214+20))-2*STDEVP(INDEX(終値!$E214:$CZ214,1,$BF214+1):INDEX(終値!$E214:$CZ214,1,$BF214+20)))</f>
        <v>827.01115796520514</v>
      </c>
      <c r="BK214" s="503">
        <f>IF($BE214="","",AVERAGE(INDEX(終値!$E214:$CZ214,1,$BE214+1):INDEX(終値!$E214:$CZ214,1,$BE214+20))-2*STDEVP(INDEX(終値!$E214:$CZ214,1,$BE214+1):INDEX(終値!$E214:$CZ214,1,$BE214+20)))</f>
        <v>891.32550035600673</v>
      </c>
      <c r="BL214" s="503">
        <f t="shared" si="21"/>
        <v>5</v>
      </c>
      <c r="BM214" s="503">
        <f t="shared" si="22"/>
        <v>6</v>
      </c>
      <c r="BN214" s="503">
        <f t="shared" si="23"/>
        <v>12</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t="str">
        <f>IF(終値!A215="","",IF(AND(安値!G215&lt;安値!F215,安値!G215&lt;安値!E215,安値!G215&lt;安値!H215,安値!G215&lt;安値!I215),2,""))</f>
        <v/>
      </c>
      <c r="C215" s="503">
        <f>IF(終値!A215="","",IF(AND(安値!H215&lt;安値!G215,安値!H215&lt;安値!F215,安値!H215&lt;安値!I215,安値!H215&lt;安値!J215),3,""))</f>
        <v>3</v>
      </c>
      <c r="D215" s="503" t="str">
        <f>IF(終値!A215="","",IF(AND(安値!I215&lt;安値!H215,安値!I215&lt;安値!G215,安値!I215&lt;安値!J215,安値!I215&lt;安値!K215),4,""))</f>
        <v/>
      </c>
      <c r="E215" s="503" t="str">
        <f>IF(終値!A215="","",IF(AND(安値!J215&lt;安値!I215,安値!J215&lt;安値!H215,安値!J215&lt;安値!K215,安値!J215&lt;安値!L215),5,""))</f>
        <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f>IF(終値!A215="","",IF(AND(安値!P215&lt;安値!O215,安値!P215&lt;安値!N215,安値!P215&lt;安値!Q215,安値!P215&lt;安値!R215),11,""))</f>
        <v>11</v>
      </c>
      <c r="L215" s="503" t="str">
        <f>IF(終値!A215="","",IF(AND(安値!Q215&lt;安値!P215,安値!Q215&lt;安値!O215,安値!Q215&lt;安値!R215,安値!Q215&lt;安値!S215),12,""))</f>
        <v/>
      </c>
      <c r="M215" s="503" t="str">
        <f>IF(終値!A215="","",IF(AND(安値!R215&lt;安値!Q215,安値!R215&lt;安値!P215,安値!R215&lt;安値!S215,安値!R215&lt;安値!T215),13,""))</f>
        <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f>IF(終値!A215="","",IF(AND(安値!V215&lt;安値!U215,安値!V215&lt;安値!T215,安値!V215&lt;安値!W215,安値!V215&lt;安値!X215),17,""))</f>
        <v>17</v>
      </c>
      <c r="R215" s="503" t="str">
        <f>IF(終値!A215="","",IF(AND(安値!W215&lt;安値!V215,安値!W215&lt;安値!U215,安値!W215&lt;安値!X215,安値!W215&lt;安値!Y215),18,""))</f>
        <v/>
      </c>
      <c r="S215" s="503" t="str">
        <f>IF(終値!A215="","",IF(AND(安値!X215&lt;安値!W215,安値!X215&lt;安値!V215,安値!X215&lt;安値!Y215,安値!X215&lt;安値!Z215),19,""))</f>
        <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f>IF(終値!A215="","",IF(AND(安値!AC215&lt;安値!AB215,安値!AC215&lt;安値!AA215,安値!AC215&lt;安値!AD215,安値!AC215&lt;安値!AE215),24,""))</f>
        <v>24</v>
      </c>
      <c r="Y215" s="503" t="str">
        <f>IF(終値!A215="","",IF(AND(安値!AD215&lt;安値!AC215,安値!AD215&lt;安値!AB215,安値!AD215&lt;安値!AE215,安値!AD215&lt;安値!AF215),25,""))</f>
        <v/>
      </c>
      <c r="Z215" s="503" t="str">
        <f>IF(終値!A215="","",IF(AND(安値!AE215&lt;安値!AD215,安値!AE215&lt;安値!AC215,安値!AE215&lt;安値!AF215,安値!AE215&lt;安値!AG215),26,""))</f>
        <v/>
      </c>
      <c r="AA215" s="503">
        <f>IF(終値!A215="","",IF(AND(安値!AF215&lt;安値!AE215,安値!AF215&lt;安値!AD215,安値!AF215&lt;安値!AG215,安値!AF215&lt;安値!AH215),27,""))</f>
        <v>27</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f>IF(終値!A215="","",IF(AND(高値!N215&gt;高値!M215,高値!N215&gt;高値!L215,高値!N215&gt;高値!O215,高値!N215&gt;高値!P215),9,""))</f>
        <v>9</v>
      </c>
      <c r="AK215" s="503" t="str">
        <f>IF(終値!A215="","",IF(AND(高値!O215&gt;高値!N215,高値!O215&gt;高値!M215,高値!O215&gt;高値!P215,高値!O215&gt;高値!Q215),10,""))</f>
        <v/>
      </c>
      <c r="AL215" s="503" t="str">
        <f>IF(終値!A215="","",IF(AND(高値!P215&gt;高値!O215,高値!P215&gt;高値!N215,高値!P215&gt;高値!Q215,高値!P215&gt;高値!R215),11,""))</f>
        <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f>IF(終値!A215="","",IF(AND(高値!S215&gt;高値!R215,高値!S215&gt;高値!Q215,高値!S215&gt;高値!T215,高値!S215&gt;高値!U215),14,""))</f>
        <v>14</v>
      </c>
      <c r="AP215" s="503" t="str">
        <f>IF(終値!A215="","",IF(AND(高値!T215&gt;高値!S215,高値!T215&gt;高値!R215,高値!T215&gt;高値!U215,高値!T215&gt;高値!V215),15,""))</f>
        <v/>
      </c>
      <c r="AQ215" s="503" t="str">
        <f>IF(終値!A215="","",IF(AND(高値!U215&gt;高値!T215,高値!U215&gt;高値!S215,高値!U215&gt;高値!V215,高値!U215&gt;高値!W215),16,""))</f>
        <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f>IF(終値!A215="","",IF(AND(高値!AA215&gt;高値!Z215,高値!AA215&gt;高値!Y215,高値!AA215&gt;高値!AB215,高値!AA215&gt;高値!AC215),22,""))</f>
        <v>22</v>
      </c>
      <c r="AX215" s="503" t="str">
        <f>IF(終値!A215="","",IF(AND(高値!AB215&gt;高値!AA215,高値!AB215&gt;高値!Z215,高値!AB215&gt;高値!AC215,高値!AB215&gt;高値!AD215),23,""))</f>
        <v/>
      </c>
      <c r="AY215" s="503" t="str">
        <f>IF(終値!A215="","",IF(AND(高値!AC215&gt;高値!AB215,高値!AC215&gt;高値!AA215,高値!AC215&gt;高値!AD215,高値!AC215&gt;高値!AE215),24,""))</f>
        <v/>
      </c>
      <c r="AZ215" s="503">
        <f>IF(終値!A215="","",IF(AND(高値!AD215&gt;高値!AC215,高値!AD215&gt;高値!AB215,高値!AD215&gt;高値!AE215,高値!AD215&gt;高値!AF215),25,""))</f>
        <v>25</v>
      </c>
      <c r="BA215" s="503" t="str">
        <f>IF(終値!A215="","",IF(AND(高値!AE215&gt;高値!AD215,高値!AE215&gt;高値!AC215,高値!AE215&gt;高値!AF215,高値!AE215&gt;高値!AG215),26,""))</f>
        <v/>
      </c>
      <c r="BB215" s="503" t="str">
        <f>IF(終値!A215="","",IF(AND(高値!AF215&gt;高値!AE215,高値!AF215&gt;高値!AD215,高値!AF215&gt;高値!AG215,高値!AF215&gt;高値!AH215),27,""))</f>
        <v/>
      </c>
      <c r="BC215" s="503" t="str">
        <f>IF(終値!A215="","",IF(AND(高値!AG215&gt;高値!AF215,高値!AG215&gt;高値!AE215,高値!AG215&gt;高値!AH215,高値!AG215&gt;高値!AI215),28,""))</f>
        <v/>
      </c>
      <c r="BD215" s="503">
        <f t="shared" si="18"/>
        <v>5</v>
      </c>
      <c r="BE215" s="503">
        <f t="shared" si="19"/>
        <v>3</v>
      </c>
      <c r="BF215" s="503">
        <f t="shared" si="20"/>
        <v>11</v>
      </c>
      <c r="BG215" s="503">
        <f>IF($BE215="","",INDEX(安値!$E215:$CZ215,1,$BE215+1))</f>
        <v>3364</v>
      </c>
      <c r="BH215" s="503">
        <f>IF($BF215="","",INDEX(安値!$E215:$CZ215,1,$BF215+1))</f>
        <v>3900</v>
      </c>
      <c r="BI215" s="503">
        <f>IF($BF215="","",MAX(INDEX(高値!$E215:$CZ215,1,$BE215+1):INDEX(高値!$E215:$CZ215,1,$BF215+1)))</f>
        <v>4257</v>
      </c>
      <c r="BJ215" s="503">
        <f>IF($BF215="","",AVERAGE(INDEX(終値!$E215:$CZ215,1,$BF215+1):INDEX(終値!$E215:$CZ215,1,$BF215+20))-2*STDEVP(INDEX(終値!$E215:$CZ215,1,$BF215+1):INDEX(終値!$E215:$CZ215,1,$BF215+20)))</f>
        <v>4099.9173430119508</v>
      </c>
      <c r="BK215" s="503">
        <f>IF($BE215="","",AVERAGE(INDEX(終値!$E215:$CZ215,1,$BE215+1):INDEX(終値!$E215:$CZ215,1,$BE215+20))-2*STDEVP(INDEX(終値!$E215:$CZ215,1,$BE215+1):INDEX(終値!$E215:$CZ215,1,$BE215+20)))</f>
        <v>3480.660898527909</v>
      </c>
      <c r="BL215" s="503">
        <f t="shared" si="21"/>
        <v>4</v>
      </c>
      <c r="BM215" s="503">
        <f t="shared" si="22"/>
        <v>9</v>
      </c>
      <c r="BN215" s="503">
        <f t="shared" si="23"/>
        <v>14</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f>IF(終値!A216="","",IF(AND(安値!H216&lt;安値!G216,安値!H216&lt;安値!F216,安値!H216&lt;安値!I216,安値!H216&lt;安値!J216),3,""))</f>
        <v>3</v>
      </c>
      <c r="D216" s="503" t="str">
        <f>IF(終値!A216="","",IF(AND(安値!I216&lt;安値!H216,安値!I216&lt;安値!G216,安値!I216&lt;安値!J216,安値!I216&lt;安値!K216),4,""))</f>
        <v/>
      </c>
      <c r="E216" s="503" t="str">
        <f>IF(終値!A216="","",IF(AND(安値!J216&lt;安値!I216,安値!J216&lt;安値!H216,安値!J216&lt;安値!K216,安値!J216&lt;安値!L216),5,""))</f>
        <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f>IF(終値!A216="","",IF(AND(安値!P216&lt;安値!O216,安値!P216&lt;安値!N216,安値!P216&lt;安値!Q216,安値!P216&lt;安値!R216),11,""))</f>
        <v>11</v>
      </c>
      <c r="L216" s="503" t="str">
        <f>IF(終値!A216="","",IF(AND(安値!Q216&lt;安値!P216,安値!Q216&lt;安値!O216,安値!Q216&lt;安値!R216,安値!Q216&lt;安値!S216),12,""))</f>
        <v/>
      </c>
      <c r="M216" s="503" t="str">
        <f>IF(終値!A216="","",IF(AND(安値!R216&lt;安値!Q216,安値!R216&lt;安値!P216,安値!R216&lt;安値!S216,安値!R216&lt;安値!T216),13,""))</f>
        <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f>IF(終値!A216="","",IF(AND(安値!V216&lt;安値!U216,安値!V216&lt;安値!T216,安値!V216&lt;安値!W216,安値!V216&lt;安値!X216),17,""))</f>
        <v>17</v>
      </c>
      <c r="R216" s="503" t="str">
        <f>IF(終値!A216="","",IF(AND(安値!W216&lt;安値!V216,安値!W216&lt;安値!U216,安値!W216&lt;安値!X216,安値!W216&lt;安値!Y216),18,""))</f>
        <v/>
      </c>
      <c r="S216" s="503" t="str">
        <f>IF(終値!A216="","",IF(AND(安値!X216&lt;安値!W216,安値!X216&lt;安値!V216,安値!X216&lt;安値!Y216,安値!X216&lt;安値!Z216),19,""))</f>
        <v/>
      </c>
      <c r="T216" s="503">
        <f>IF(終値!A216="","",IF(AND(安値!Y216&lt;安値!X216,安値!Y216&lt;安値!W216,安値!Y216&lt;安値!Z216,安値!Y216&lt;安値!AA216),20,""))</f>
        <v>20</v>
      </c>
      <c r="U216" s="503" t="str">
        <f>IF(終値!A216="","",IF(AND(安値!Z216&lt;安値!Y216,安値!Z216&lt;安値!X216,安値!Z216&lt;安値!AA216,安値!Z216&lt;安値!AB216),21,""))</f>
        <v/>
      </c>
      <c r="V216" s="503" t="str">
        <f>IF(終値!A216="","",IF(AND(安値!AA216&lt;安値!Z216,安値!AA216&lt;安値!Y216,安値!AA216&lt;安値!AB216,安値!AA216&lt;安値!AC216),22,""))</f>
        <v/>
      </c>
      <c r="W216" s="503" t="str">
        <f>IF(終値!A216="","",IF(AND(安値!AB216&lt;安値!AA216,安値!AB216&lt;安値!Z216,安値!AB216&lt;安値!AC216,安値!AB216&lt;安値!AD216),23,""))</f>
        <v/>
      </c>
      <c r="X216" s="503">
        <f>IF(終値!A216="","",IF(AND(安値!AC216&lt;安値!AB216,安値!AC216&lt;安値!AA216,安値!AC216&lt;安値!AD216,安値!AC216&lt;安値!AE216),24,""))</f>
        <v>24</v>
      </c>
      <c r="Y216" s="503" t="str">
        <f>IF(終値!A216="","",IF(AND(安値!AD216&lt;安値!AC216,安値!AD216&lt;安値!AB216,安値!AD216&lt;安値!AE216,安値!AD216&lt;安値!AF216),25,""))</f>
        <v/>
      </c>
      <c r="Z216" s="503" t="str">
        <f>IF(終値!A216="","",IF(AND(安値!AE216&lt;安値!AD216,安値!AE216&lt;安値!AC216,安値!AE216&lt;安値!AF216,安値!AE216&lt;安値!AG216),26,""))</f>
        <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f>IF(終値!A216="","",IF(AND(高値!N216&gt;高値!M216,高値!N216&gt;高値!L216,高値!N216&gt;高値!O216,高値!N216&gt;高値!P216),9,""))</f>
        <v>9</v>
      </c>
      <c r="AK216" s="503" t="str">
        <f>IF(終値!A216="","",IF(AND(高値!O216&gt;高値!N216,高値!O216&gt;高値!M216,高値!O216&gt;高値!P216,高値!O216&gt;高値!Q216),10,""))</f>
        <v/>
      </c>
      <c r="AL216" s="503" t="str">
        <f>IF(終値!A216="","",IF(AND(高値!P216&gt;高値!O216,高値!P216&gt;高値!N216,高値!P216&gt;高値!Q216,高値!P216&gt;高値!R216),11,""))</f>
        <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f>IF(終値!A216="","",IF(AND(高値!T216&gt;高値!S216,高値!T216&gt;高値!R216,高値!T216&gt;高値!U216,高値!T216&gt;高値!V216),15,""))</f>
        <v>15</v>
      </c>
      <c r="AQ216" s="503" t="str">
        <f>IF(終値!A216="","",IF(AND(高値!U216&gt;高値!T216,高値!U216&gt;高値!S216,高値!U216&gt;高値!V216,高値!U216&gt;高値!W216),16,""))</f>
        <v/>
      </c>
      <c r="AR216" s="503" t="str">
        <f>IF(終値!A216="","",IF(AND(高値!V216&gt;高値!U216,高値!V216&gt;高値!T216,高値!V216&gt;高値!W216,高値!V216&gt;高値!X216),17,""))</f>
        <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f>IF(終値!A216="","",IF(AND(高値!AA216&gt;高値!Z216,高値!AA216&gt;高値!Y216,高値!AA216&gt;高値!AB216,高値!AA216&gt;高値!AC216),22,""))</f>
        <v>22</v>
      </c>
      <c r="AX216" s="503" t="str">
        <f>IF(終値!A216="","",IF(AND(高値!AB216&gt;高値!AA216,高値!AB216&gt;高値!Z216,高値!AB216&gt;高値!AC216,高値!AB216&gt;高値!AD216),23,""))</f>
        <v/>
      </c>
      <c r="AY216" s="503" t="str">
        <f>IF(終値!A216="","",IF(AND(高値!AC216&gt;高値!AB216,高値!AC216&gt;高値!AA216,高値!AC216&gt;高値!AD216,高値!AC216&gt;高値!AE216),24,""))</f>
        <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f>IF(終値!A216="","",IF(AND(高値!AG216&gt;高値!AF216,高値!AG216&gt;高値!AE216,高値!AG216&gt;高値!AH216,高値!AG216&gt;高値!AI216),28,""))</f>
        <v>28</v>
      </c>
      <c r="BD216" s="503">
        <f t="shared" si="18"/>
        <v>5</v>
      </c>
      <c r="BE216" s="503">
        <f t="shared" si="19"/>
        <v>3</v>
      </c>
      <c r="BF216" s="503">
        <f t="shared" si="20"/>
        <v>11</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4</v>
      </c>
      <c r="BM216" s="503">
        <f t="shared" si="22"/>
        <v>9</v>
      </c>
      <c r="BN216" s="503">
        <f t="shared" si="23"/>
        <v>15</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t="str">
        <f>IF(終値!A217="","",IF(AND(安値!H217&lt;安値!G217,安値!H217&lt;安値!F217,安値!H217&lt;安値!I217,安値!H217&lt;安値!J217),3,""))</f>
        <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f>IF(終値!A217="","",IF(AND(安値!M217&lt;安値!L217,安値!M217&lt;安値!K217,安値!M217&lt;安値!N217,安値!M217&lt;安値!O217),8,""))</f>
        <v>8</v>
      </c>
      <c r="I217" s="503" t="str">
        <f>IF(終値!A217="","",IF(AND(安値!N217&lt;安値!M217,安値!N217&lt;安値!L217,安値!N217&lt;安値!O217,安値!N217&lt;安値!P217),9,""))</f>
        <v/>
      </c>
      <c r="J217" s="503" t="str">
        <f>IF(終値!A217="","",IF(AND(安値!O217&lt;安値!N217,安値!O217&lt;安値!M217,安値!O217&lt;安値!P217,安値!O217&lt;安値!Q217),10,""))</f>
        <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f>IF(終値!A217="","",IF(AND(安値!T217&lt;安値!S217,安値!T217&lt;安値!R217,安値!T217&lt;安値!U217,安値!T217&lt;安値!V217),15,""))</f>
        <v>15</v>
      </c>
      <c r="P217" s="503" t="str">
        <f>IF(終値!A217="","",IF(AND(安値!U217&lt;安値!T217,安値!U217&lt;安値!S217,安値!U217&lt;安値!V217,安値!U217&lt;安値!W217),16,""))</f>
        <v/>
      </c>
      <c r="Q217" s="503" t="str">
        <f>IF(終値!A217="","",IF(AND(安値!V217&lt;安値!U217,安値!V217&lt;安値!T217,安値!V217&lt;安値!W217,安値!V217&lt;安値!X217),17,""))</f>
        <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f>IF(終値!A217="","",IF(AND(安値!AD217&lt;安値!AC217,安値!AD217&lt;安値!AB217,安値!AD217&lt;安値!AE217,安値!AD217&lt;安値!AF217),25,""))</f>
        <v>25</v>
      </c>
      <c r="Z217" s="503" t="str">
        <f>IF(終値!A217="","",IF(AND(安値!AE217&lt;安値!AD217,安値!AE217&lt;安値!AC217,安値!AE217&lt;安値!AF217,安値!AE217&lt;安値!AG217),26,""))</f>
        <v/>
      </c>
      <c r="AA217" s="503" t="str">
        <f>IF(終値!A217="","",IF(AND(安値!AF217&lt;安値!AE217,安値!AF217&lt;安値!AD217,安値!AF217&lt;安値!AG217,安値!AF217&lt;安値!AH217),27,""))</f>
        <v/>
      </c>
      <c r="AB217" s="503" t="str">
        <f>IF(終値!A217="","",IF(AND(安値!AG217&lt;安値!AF217,安値!AG217&lt;安値!AE217,安値!AG217&lt;安値!AH217,安値!AG217&lt;安値!AI217),28,""))</f>
        <v/>
      </c>
      <c r="AC217" s="503" t="str">
        <f>IF(終値!A217="","",IF(AND(高値!G217&gt;高値!F217,高値!G217&gt;高値!E217,高値!G217&gt;高値!H217,高値!G217&gt;高値!I217),2,""))</f>
        <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f>IF(終値!A217="","",IF(AND(高値!K217&gt;高値!J217,高値!K217&gt;高値!I217,高値!K217&gt;高値!L217,高値!K217&gt;高値!M217),6,""))</f>
        <v>6</v>
      </c>
      <c r="AH217" s="503" t="str">
        <f>IF(終値!A217="","",IF(AND(高値!L217&gt;高値!K217,高値!L217&gt;高値!J217,高値!L217&gt;高値!M217,高値!L217&gt;高値!N217),7,""))</f>
        <v/>
      </c>
      <c r="AI217" s="503" t="str">
        <f>IF(終値!A217="","",IF(AND(高値!M217&gt;高値!L217,高値!M217&gt;高値!K217,高値!M217&gt;高値!N217,高値!M217&gt;高値!O217),8,""))</f>
        <v/>
      </c>
      <c r="AJ217" s="503" t="str">
        <f>IF(終値!A217="","",IF(AND(高値!N217&gt;高値!M217,高値!N217&gt;高値!L217,高値!N217&gt;高値!O217,高値!N217&gt;高値!P217),9,""))</f>
        <v/>
      </c>
      <c r="AK217" s="503">
        <f>IF(終値!A217="","",IF(AND(高値!O217&gt;高値!N217,高値!O217&gt;高値!M217,高値!O217&gt;高値!P217,高値!O217&gt;高値!Q217),10,""))</f>
        <v>10</v>
      </c>
      <c r="AL217" s="503" t="str">
        <f>IF(終値!A217="","",IF(AND(高値!P217&gt;高値!O217,高値!P217&gt;高値!N217,高値!P217&gt;高値!Q217,高値!P217&gt;高値!R217),11,""))</f>
        <v/>
      </c>
      <c r="AM217" s="503" t="str">
        <f>IF(終値!A217="","",IF(AND(高値!Q217&gt;高値!P217,高値!Q217&gt;高値!O217,高値!Q217&gt;高値!R217,高値!Q217&gt;高値!S217),12,""))</f>
        <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f>IF(終値!A217="","",IF(AND(高値!X217&gt;高値!W217,高値!X217&gt;高値!V217,高値!X217&gt;高値!Y217,高値!X217&gt;高値!Z217),19,""))</f>
        <v>19</v>
      </c>
      <c r="AU217" s="503" t="str">
        <f>IF(終値!A217="","",IF(AND(高値!Y217&gt;高値!X217,高値!Y217&gt;高値!W217,高値!Y217&gt;高値!Z217,高値!Y217&gt;高値!AA217),20,""))</f>
        <v/>
      </c>
      <c r="AV217" s="503" t="str">
        <f>IF(終値!A217="","",IF(AND(高値!Z217&gt;高値!Y217,高値!Z217&gt;高値!X217,高値!Z217&gt;高値!AA217,高値!Z217&gt;高値!AB217),21,""))</f>
        <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f>IF(終値!A217="","",IF(AND(高値!AC217&gt;高値!AB217,高値!AC217&gt;高値!AA217,高値!AC217&gt;高値!AD217,高値!AC217&gt;高値!AE217),24,""))</f>
        <v>24</v>
      </c>
      <c r="AZ217" s="503" t="str">
        <f>IF(終値!A217="","",IF(AND(高値!AD217&gt;高値!AC217,高値!AD217&gt;高値!AB217,高値!AD217&gt;高値!AE217,高値!AD217&gt;高値!AF217),25,""))</f>
        <v/>
      </c>
      <c r="BA217" s="503" t="str">
        <f>IF(終値!A217="","",IF(AND(高値!AE217&gt;高値!AD217,高値!AE217&gt;高値!AC217,高値!AE217&gt;高値!AF217,高値!AE217&gt;高値!AG217),26,""))</f>
        <v/>
      </c>
      <c r="BB217" s="503">
        <f>IF(終値!A217="","",IF(AND(高値!AF217&gt;高値!AE217,高値!AF217&gt;高値!AD217,高値!AF217&gt;高値!AG217,高値!AF217&gt;高値!AH217),27,""))</f>
        <v>27</v>
      </c>
      <c r="BC217" s="503" t="str">
        <f>IF(終値!A217="","",IF(AND(高値!AG217&gt;高値!AF217,高値!AG217&gt;高値!AE217,高値!AG217&gt;高値!AH217,高値!AG217&gt;高値!AI217),28,""))</f>
        <v/>
      </c>
      <c r="BD217" s="503">
        <f t="shared" si="18"/>
        <v>3</v>
      </c>
      <c r="BE217" s="503">
        <f t="shared" si="19"/>
        <v>8</v>
      </c>
      <c r="BF217" s="503">
        <f t="shared" si="20"/>
        <v>15</v>
      </c>
      <c r="BG217" s="503">
        <f>IF($BE217="","",INDEX(安値!$E217:$CZ217,1,$BE217+1))</f>
        <v>2560</v>
      </c>
      <c r="BH217" s="503">
        <f>IF($BF217="","",INDEX(安値!$E217:$CZ217,1,$BF217+1))</f>
        <v>2134</v>
      </c>
      <c r="BI217" s="503">
        <f>IF($BF217="","",MAX(INDEX(高値!$E217:$CZ217,1,$BE217+1):INDEX(高値!$E217:$CZ217,1,$BF217+1)))</f>
        <v>2938</v>
      </c>
      <c r="BJ217" s="503">
        <f>IF($BF217="","",AVERAGE(INDEX(終値!$E217:$CZ217,1,$BF217+1):INDEX(終値!$E217:$CZ217,1,$BF217+20))-2*STDEVP(INDEX(終値!$E217:$CZ217,1,$BF217+1):INDEX(終値!$E217:$CZ217,1,$BF217+20)))</f>
        <v>2171.8024874051448</v>
      </c>
      <c r="BK217" s="503">
        <f>IF($BE217="","",AVERAGE(INDEX(終値!$E217:$CZ217,1,$BE217+1):INDEX(終値!$E217:$CZ217,1,$BE217+20))-2*STDEVP(INDEX(終値!$E217:$CZ217,1,$BE217+1):INDEX(終値!$E217:$CZ217,1,$BE217+20)))</f>
        <v>2017.1224993855431</v>
      </c>
      <c r="BL217" s="503">
        <f t="shared" si="21"/>
        <v>5</v>
      </c>
      <c r="BM217" s="503">
        <f t="shared" si="22"/>
        <v>6</v>
      </c>
      <c r="BN217" s="503">
        <f t="shared" si="23"/>
        <v>10</v>
      </c>
      <c r="BO217" s="503">
        <f>IF($BM217="","",INDEX(高値!$E217:$CZ217,1,$BM217+1))</f>
        <v>2894</v>
      </c>
      <c r="BP217" s="503">
        <f>IF($BN217="","",INDEX(高値!$E217:$CZ217,1,$BN217+1))</f>
        <v>2938</v>
      </c>
      <c r="BQ217" s="503">
        <f>IF($BN217="","",MIN(INDEX(安値!$E217:$CZ217,1,$BM217+1):INDEX(安値!$E217:$CZ217,1,$BN217+1)))</f>
        <v>2560</v>
      </c>
      <c r="BR217" s="503">
        <f>IF($BN217="","",AVERAGE(INDEX(終値!$E217:$CZ217,1,$BN217+1):INDEX(終値!$E217:$CZ217,1,$BN217+20))+2*STDEVP(INDEX(終値!$E217:$CZ217,1,$BN217+1):INDEX(終値!$E217:$CZ217,1,$BN217+20)))</f>
        <v>2755.2536928185123</v>
      </c>
      <c r="BS217" s="503">
        <f>IF($BM217="","",AVERAGE(INDEX(終値!$E217:$CZ217,1,$BM217+1):INDEX(終値!$E217:$CZ217,1,$BM217+20))+2*STDEVP(INDEX(終値!$E217:$CZ217,1,$BM217+1):INDEX(終値!$E217:$CZ217,1,$BM217+20)))</f>
        <v>2917.5307884233498</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二番天井M▼</v>
      </c>
    </row>
    <row r="218" spans="2:72">
      <c r="B218" s="503" t="str">
        <f>IF(終値!A218="","",IF(AND(安値!G218&lt;安値!F218,安値!G218&lt;安値!E218,安値!G218&lt;安値!H218,安値!G218&lt;安値!I218),2,""))</f>
        <v/>
      </c>
      <c r="C218" s="503">
        <f>IF(終値!A218="","",IF(AND(安値!H218&lt;安値!G218,安値!H218&lt;安値!F218,安値!H218&lt;安値!I218,安値!H218&lt;安値!J218),3,""))</f>
        <v>3</v>
      </c>
      <c r="D218" s="503" t="str">
        <f>IF(終値!A218="","",IF(AND(安値!I218&lt;安値!H218,安値!I218&lt;安値!G218,安値!I218&lt;安値!J218,安値!I218&lt;安値!K218),4,""))</f>
        <v/>
      </c>
      <c r="E218" s="503" t="str">
        <f>IF(終値!A218="","",IF(AND(安値!J218&lt;安値!I218,安値!J218&lt;安値!H218,安値!J218&lt;安値!K218,安値!J218&lt;安値!L218),5,""))</f>
        <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f>IF(終値!A218="","",IF(AND(安値!O218&lt;安値!N218,安値!O218&lt;安値!M218,安値!O218&lt;安値!P218,安値!O218&lt;安値!Q218),10,""))</f>
        <v>10</v>
      </c>
      <c r="K218" s="503" t="str">
        <f>IF(終値!A218="","",IF(AND(安値!P218&lt;安値!O218,安値!P218&lt;安値!N218,安値!P218&lt;安値!Q218,安値!P218&lt;安値!R218),11,""))</f>
        <v/>
      </c>
      <c r="L218" s="503" t="str">
        <f>IF(終値!A218="","",IF(AND(安値!Q218&lt;安値!P218,安値!Q218&lt;安値!O218,安値!Q218&lt;安値!R218,安値!Q218&lt;安値!S218),12,""))</f>
        <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f>IF(終値!A218="","",IF(AND(安値!V218&lt;安値!U218,安値!V218&lt;安値!T218,安値!V218&lt;安値!W218,安値!V218&lt;安値!X218),17,""))</f>
        <v>17</v>
      </c>
      <c r="R218" s="503" t="str">
        <f>IF(終値!A218="","",IF(AND(安値!W218&lt;安値!V218,安値!W218&lt;安値!U218,安値!W218&lt;安値!X218,安値!W218&lt;安値!Y218),18,""))</f>
        <v/>
      </c>
      <c r="S218" s="503" t="str">
        <f>IF(終値!A218="","",IF(AND(安値!X218&lt;安値!W218,安値!X218&lt;安値!V218,安値!X218&lt;安値!Y218,安値!X218&lt;安値!Z218),19,""))</f>
        <v/>
      </c>
      <c r="T218" s="503">
        <f>IF(終値!A218="","",IF(AND(安値!Y218&lt;安値!X218,安値!Y218&lt;安値!W218,安値!Y218&lt;安値!Z218,安値!Y218&lt;安値!AA218),20,""))</f>
        <v>20</v>
      </c>
      <c r="U218" s="503" t="str">
        <f>IF(終値!A218="","",IF(AND(安値!Z218&lt;安値!Y218,安値!Z218&lt;安値!X218,安値!Z218&lt;安値!AA218,安値!Z218&lt;安値!AB218),21,""))</f>
        <v/>
      </c>
      <c r="V218" s="503" t="str">
        <f>IF(終値!A218="","",IF(AND(安値!AA218&lt;安値!Z218,安値!AA218&lt;安値!Y218,安値!AA218&lt;安値!AB218,安値!AA218&lt;安値!AC218),22,""))</f>
        <v/>
      </c>
      <c r="W218" s="503" t="str">
        <f>IF(終値!A218="","",IF(AND(安値!AB218&lt;安値!AA218,安値!AB218&lt;安値!Z218,安値!AB218&lt;安値!AC218,安値!AB218&lt;安値!AD218),23,""))</f>
        <v/>
      </c>
      <c r="X218" s="503">
        <f>IF(終値!A218="","",IF(AND(安値!AC218&lt;安値!AB218,安値!AC218&lt;安値!AA218,安値!AC218&lt;安値!AD218,安値!AC218&lt;安値!AE218),24,""))</f>
        <v>24</v>
      </c>
      <c r="Y218" s="503" t="str">
        <f>IF(終値!A218="","",IF(AND(安値!AD218&lt;安値!AC218,安値!AD218&lt;安値!AB218,安値!AD218&lt;安値!AE218,安値!AD218&lt;安値!AF218),25,""))</f>
        <v/>
      </c>
      <c r="Z218" s="503" t="str">
        <f>IF(終値!A218="","",IF(AND(安値!AE218&lt;安値!AD218,安値!AE218&lt;安値!AC218,安値!AE218&lt;安値!AF218,安値!AE218&lt;安値!AG218),26,""))</f>
        <v/>
      </c>
      <c r="AA218" s="503">
        <f>IF(終値!A218="","",IF(AND(安値!AF218&lt;安値!AE218,安値!AF218&lt;安値!AD218,安値!AF218&lt;安値!AG218,安値!AF218&lt;安値!AH218),27,""))</f>
        <v>27</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f>IF(終値!A218="","",IF(AND(高値!N218&gt;高値!M218,高値!N218&gt;高値!L218,高値!N218&gt;高値!O218,高値!N218&gt;高値!P218),9,""))</f>
        <v>9</v>
      </c>
      <c r="AK218" s="503" t="str">
        <f>IF(終値!A218="","",IF(AND(高値!O218&gt;高値!N218,高値!O218&gt;高値!M218,高値!O218&gt;高値!P218,高値!O218&gt;高値!Q218),10,""))</f>
        <v/>
      </c>
      <c r="AL218" s="503" t="str">
        <f>IF(終値!A218="","",IF(AND(高値!P218&gt;高値!O218,高値!P218&gt;高値!N218,高値!P218&gt;高値!Q218,高値!P218&gt;高値!R218),11,""))</f>
        <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f>IF(終値!A218="","",IF(AND(高値!T218&gt;高値!S218,高値!T218&gt;高値!R218,高値!T218&gt;高値!U218,高値!T218&gt;高値!V218),15,""))</f>
        <v>15</v>
      </c>
      <c r="AQ218" s="503" t="str">
        <f>IF(終値!A218="","",IF(AND(高値!U218&gt;高値!T218,高値!U218&gt;高値!S218,高値!U218&gt;高値!V218,高値!U218&gt;高値!W218),16,""))</f>
        <v/>
      </c>
      <c r="AR218" s="503" t="str">
        <f>IF(終値!A218="","",IF(AND(高値!V218&gt;高値!U218,高値!V218&gt;高値!T218,高値!V218&gt;高値!W218,高値!V218&gt;高値!X218),17,""))</f>
        <v/>
      </c>
      <c r="AS218" s="503" t="str">
        <f>IF(終値!A218="","",IF(AND(高値!W218&gt;高値!V218,高値!W218&gt;高値!U218,高値!W218&gt;高値!X218,高値!W218&gt;高値!Y218),18,""))</f>
        <v/>
      </c>
      <c r="AT218" s="503">
        <f>IF(終値!A218="","",IF(AND(高値!X218&gt;高値!W218,高値!X218&gt;高値!V218,高値!X218&gt;高値!Y218,高値!X218&gt;高値!Z218),19,""))</f>
        <v>19</v>
      </c>
      <c r="AU218" s="503" t="str">
        <f>IF(終値!A218="","",IF(AND(高値!Y218&gt;高値!X218,高値!Y218&gt;高値!W218,高値!Y218&gt;高値!Z218,高値!Y218&gt;高値!AA218),20,""))</f>
        <v/>
      </c>
      <c r="AV218" s="503" t="str">
        <f>IF(終値!A218="","",IF(AND(高値!Z218&gt;高値!Y218,高値!Z218&gt;高値!X218,高値!Z218&gt;高値!AA218,高値!Z218&gt;高値!AB218),21,""))</f>
        <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6</v>
      </c>
      <c r="BE218" s="503">
        <f t="shared" si="19"/>
        <v>3</v>
      </c>
      <c r="BF218" s="503">
        <f t="shared" si="20"/>
        <v>10</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9</v>
      </c>
      <c r="BN218" s="503">
        <f t="shared" si="23"/>
        <v>15</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f>IF(終値!A219="","",IF(AND(安値!L219&lt;安値!K219,安値!L219&lt;安値!J219,安値!L219&lt;安値!M219,安値!L219&lt;安値!N219),7,""))</f>
        <v>7</v>
      </c>
      <c r="H219" s="503" t="str">
        <f>IF(終値!A219="","",IF(AND(安値!M219&lt;安値!L219,安値!M219&lt;安値!K219,安値!M219&lt;安値!N219,安値!M219&lt;安値!O219),8,""))</f>
        <v/>
      </c>
      <c r="I219" s="503" t="str">
        <f>IF(終値!A219="","",IF(AND(安値!N219&lt;安値!M219,安値!N219&lt;安値!L219,安値!N219&lt;安値!O219,安値!N219&lt;安値!P219),9,""))</f>
        <v/>
      </c>
      <c r="J219" s="503" t="str">
        <f>IF(終値!A219="","",IF(AND(安値!O219&lt;安値!N219,安値!O219&lt;安値!M219,安値!O219&lt;安値!P219,安値!O219&lt;安値!Q219),10,""))</f>
        <v/>
      </c>
      <c r="K219" s="503">
        <f>IF(終値!A219="","",IF(AND(安値!P219&lt;安値!O219,安値!P219&lt;安値!N219,安値!P219&lt;安値!Q219,安値!P219&lt;安値!R219),11,""))</f>
        <v>11</v>
      </c>
      <c r="L219" s="503" t="str">
        <f>IF(終値!A219="","",IF(AND(安値!Q219&lt;安値!P219,安値!Q219&lt;安値!O219,安値!Q219&lt;安値!R219,安値!Q219&lt;安値!S219),12,""))</f>
        <v/>
      </c>
      <c r="M219" s="503" t="str">
        <f>IF(終値!A219="","",IF(AND(安値!R219&lt;安値!Q219,安値!R219&lt;安値!P219,安値!R219&lt;安値!S219,安値!R219&lt;安値!T219),13,""))</f>
        <v/>
      </c>
      <c r="N219" s="503">
        <f>IF(終値!A219="","",IF(AND(安値!S219&lt;安値!R219,安値!S219&lt;安値!Q219,安値!S219&lt;安値!T219,安値!S219&lt;安値!U219),14,""))</f>
        <v>14</v>
      </c>
      <c r="O219" s="503" t="str">
        <f>IF(終値!A219="","",IF(AND(安値!T219&lt;安値!S219,安値!T219&lt;安値!R219,安値!T219&lt;安値!U219,安値!T219&lt;安値!V219),15,""))</f>
        <v/>
      </c>
      <c r="P219" s="503" t="str">
        <f>IF(終値!A219="","",IF(AND(安値!U219&lt;安値!T219,安値!U219&lt;安値!S219,安値!U219&lt;安値!V219,安値!U219&lt;安値!W219),16,""))</f>
        <v/>
      </c>
      <c r="Q219" s="503">
        <f>IF(終値!A219="","",IF(AND(安値!V219&lt;安値!U219,安値!V219&lt;安値!T219,安値!V219&lt;安値!W219,安値!V219&lt;安値!X219),17,""))</f>
        <v>17</v>
      </c>
      <c r="R219" s="503" t="str">
        <f>IF(終値!A219="","",IF(AND(安値!W219&lt;安値!V219,安値!W219&lt;安値!U219,安値!W219&lt;安値!X219,安値!W219&lt;安値!Y219),18,""))</f>
        <v/>
      </c>
      <c r="S219" s="503" t="str">
        <f>IF(終値!A219="","",IF(AND(安値!X219&lt;安値!W219,安値!X219&lt;安値!V219,安値!X219&lt;安値!Y219,安値!X219&lt;安値!Z219),19,""))</f>
        <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f>IF(終値!A219="","",IF(AND(安値!AA219&lt;安値!Z219,安値!AA219&lt;安値!Y219,安値!AA219&lt;安値!AB219,安値!AA219&lt;安値!AC219),22,""))</f>
        <v>22</v>
      </c>
      <c r="W219" s="503" t="str">
        <f>IF(終値!A219="","",IF(AND(安値!AB219&lt;安値!AA219,安値!AB219&lt;安値!Z219,安値!AB219&lt;安値!AC219,安値!AB219&lt;安値!AD219),23,""))</f>
        <v/>
      </c>
      <c r="X219" s="503" t="str">
        <f>IF(終値!A219="","",IF(AND(安値!AC219&lt;安値!AB219,安値!AC219&lt;安値!AA219,安値!AC219&lt;安値!AD219,安値!AC219&lt;安値!AE219),24,""))</f>
        <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f>IF(終値!A219="","",IF(AND(高値!R219&gt;高値!Q219,高値!R219&gt;高値!P219,高値!R219&gt;高値!S219,高値!R219&gt;高値!T219),13,""))</f>
        <v>13</v>
      </c>
      <c r="AO219" s="503" t="str">
        <f>IF(終値!A219="","",IF(AND(高値!S219&gt;高値!R219,高値!S219&gt;高値!Q219,高値!S219&gt;高値!T219,高値!S219&gt;高値!U219),14,""))</f>
        <v/>
      </c>
      <c r="AP219" s="503" t="str">
        <f>IF(終値!A219="","",IF(AND(高値!T219&gt;高値!S219,高値!T219&gt;高値!R219,高値!T219&gt;高値!U219,高値!T219&gt;高値!V219),15,""))</f>
        <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f>IF(終値!A219="","",IF(AND(高値!W219&gt;高値!V219,高値!W219&gt;高値!U219,高値!W219&gt;高値!X219,高値!W219&gt;高値!Y219),18,""))</f>
        <v>18</v>
      </c>
      <c r="AT219" s="503" t="str">
        <f>IF(終値!A219="","",IF(AND(高値!X219&gt;高値!W219,高値!X219&gt;高値!V219,高値!X219&gt;高値!Y219,高値!X219&gt;高値!Z219),19,""))</f>
        <v/>
      </c>
      <c r="AU219" s="503" t="str">
        <f>IF(終値!A219="","",IF(AND(高値!Y219&gt;高値!X219,高値!Y219&gt;高値!W219,高値!Y219&gt;高値!Z219,高値!Y219&gt;高値!AA219),20,""))</f>
        <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f>IF(終値!A219="","",IF(AND(高値!AB219&gt;高値!AA219,高値!AB219&gt;高値!Z219,高値!AB219&gt;高値!AC219,高値!AB219&gt;高値!AD219),23,""))</f>
        <v>23</v>
      </c>
      <c r="AY219" s="503" t="str">
        <f>IF(終値!A219="","",IF(AND(高値!AC219&gt;高値!AB219,高値!AC219&gt;高値!AA219,高値!AC219&gt;高値!AD219,高値!AC219&gt;高値!AE219),24,""))</f>
        <v/>
      </c>
      <c r="AZ219" s="503" t="str">
        <f>IF(終値!A219="","",IF(AND(高値!AD219&gt;高値!AC219,高値!AD219&gt;高値!AB219,高値!AD219&gt;高値!AE219,高値!AD219&gt;高値!AF219),25,""))</f>
        <v/>
      </c>
      <c r="BA219" s="503">
        <f>IF(終値!A219="","",IF(AND(高値!AE219&gt;高値!AD219,高値!AE219&gt;高値!AC219,高値!AE219&gt;高値!AF219,高値!AE219&gt;高値!AG219),26,""))</f>
        <v>26</v>
      </c>
      <c r="BB219" s="503" t="str">
        <f>IF(終値!A219="","",IF(AND(高値!AF219&gt;高値!AE219,高値!AF219&gt;高値!AD219,高値!AF219&gt;高値!AG219,高値!AF219&gt;高値!AH219),27,""))</f>
        <v/>
      </c>
      <c r="BC219" s="503" t="str">
        <f>IF(終値!A219="","",IF(AND(高値!AG219&gt;高値!AF219,高値!AG219&gt;高値!AE219,高値!AG219&gt;高値!AH219,高値!AG219&gt;高値!AI219),28,""))</f>
        <v/>
      </c>
      <c r="BD219" s="503">
        <f t="shared" si="18"/>
        <v>5</v>
      </c>
      <c r="BE219" s="503">
        <f t="shared" si="19"/>
        <v>7</v>
      </c>
      <c r="BF219" s="503">
        <f t="shared" si="20"/>
        <v>11</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13</v>
      </c>
      <c r="BN219" s="503">
        <f t="shared" si="23"/>
        <v>18</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f>IF(終値!A220="","",IF(AND(安値!I220&lt;安値!H220,安値!I220&lt;安値!G220,安値!I220&lt;安値!J220,安値!I220&lt;安値!K220),4,""))</f>
        <v>4</v>
      </c>
      <c r="E220" s="503" t="str">
        <f>IF(終値!A220="","",IF(AND(安値!J220&lt;安値!I220,安値!J220&lt;安値!H220,安値!J220&lt;安値!K220,安値!J220&lt;安値!L220),5,""))</f>
        <v/>
      </c>
      <c r="F220" s="503" t="str">
        <f>IF(終値!A220="","",IF(AND(安値!K220&lt;安値!J220,安値!K220&lt;安値!I220,安値!K220&lt;安値!L220,安値!K220&lt;安値!M220),6,""))</f>
        <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f>IF(終値!A220="","",IF(AND(安値!P220&lt;安値!O220,安値!P220&lt;安値!N220,安値!P220&lt;安値!Q220,安値!P220&lt;安値!R220),11,""))</f>
        <v>11</v>
      </c>
      <c r="L220" s="503" t="str">
        <f>IF(終値!A220="","",IF(AND(安値!Q220&lt;安値!P220,安値!Q220&lt;安値!O220,安値!Q220&lt;安値!R220,安値!Q220&lt;安値!S220),12,""))</f>
        <v/>
      </c>
      <c r="M220" s="503" t="str">
        <f>IF(終値!A220="","",IF(AND(安値!R220&lt;安値!Q220,安値!R220&lt;安値!P220,安値!R220&lt;安値!S220,安値!R220&lt;安値!T220),13,""))</f>
        <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f>IF(終値!A220="","",IF(AND(安値!U220&lt;安値!T220,安値!U220&lt;安値!S220,安値!U220&lt;安値!V220,安値!U220&lt;安値!W220),16,""))</f>
        <v>16</v>
      </c>
      <c r="Q220" s="503" t="str">
        <f>IF(終値!A220="","",IF(AND(安値!V220&lt;安値!U220,安値!V220&lt;安値!T220,安値!V220&lt;安値!W220,安値!V220&lt;安値!X220),17,""))</f>
        <v/>
      </c>
      <c r="R220" s="503" t="str">
        <f>IF(終値!A220="","",IF(AND(安値!W220&lt;安値!V220,安値!W220&lt;安値!U220,安値!W220&lt;安値!X220,安値!W220&lt;安値!Y220),18,""))</f>
        <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f>IF(終値!A220="","",IF(AND(安値!AC220&lt;安値!AB220,安値!AC220&lt;安値!AA220,安値!AC220&lt;安値!AD220,安値!AC220&lt;安値!AE220),24,""))</f>
        <v>24</v>
      </c>
      <c r="Y220" s="503" t="str">
        <f>IF(終値!A220="","",IF(AND(安値!AD220&lt;安値!AC220,安値!AD220&lt;安値!AB220,安値!AD220&lt;安値!AE220,安値!AD220&lt;安値!AF220),25,""))</f>
        <v/>
      </c>
      <c r="Z220" s="503" t="str">
        <f>IF(終値!A220="","",IF(AND(安値!AE220&lt;安値!AD220,安値!AE220&lt;安値!AC220,安値!AE220&lt;安値!AF220,安値!AE220&lt;安値!AG220),26,""))</f>
        <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f>IF(終値!A220="","",IF(AND(高値!N220&gt;高値!M220,高値!N220&gt;高値!L220,高値!N220&gt;高値!O220,高値!N220&gt;高値!P220),9,""))</f>
        <v>9</v>
      </c>
      <c r="AK220" s="503" t="str">
        <f>IF(終値!A220="","",IF(AND(高値!O220&gt;高値!N220,高値!O220&gt;高値!M220,高値!O220&gt;高値!P220,高値!O220&gt;高値!Q220),10,""))</f>
        <v/>
      </c>
      <c r="AL220" s="503" t="str">
        <f>IF(終値!A220="","",IF(AND(高値!P220&gt;高値!O220,高値!P220&gt;高値!N220,高値!P220&gt;高値!Q220,高値!P220&gt;高値!R220),11,""))</f>
        <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f>IF(終値!A220="","",IF(AND(高値!S220&gt;高値!R220,高値!S220&gt;高値!Q220,高値!S220&gt;高値!T220,高値!S220&gt;高値!U220),14,""))</f>
        <v>14</v>
      </c>
      <c r="AP220" s="503" t="str">
        <f>IF(終値!A220="","",IF(AND(高値!T220&gt;高値!S220,高値!T220&gt;高値!R220,高値!T220&gt;高値!U220,高値!T220&gt;高値!V220),15,""))</f>
        <v/>
      </c>
      <c r="AQ220" s="503" t="str">
        <f>IF(終値!A220="","",IF(AND(高値!U220&gt;高値!T220,高値!U220&gt;高値!S220,高値!U220&gt;高値!V220,高値!U220&gt;高値!W220),16,""))</f>
        <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f>IF(終値!A220="","",IF(AND(高値!X220&gt;高値!W220,高値!X220&gt;高値!V220,高値!X220&gt;高値!Y220,高値!X220&gt;高値!Z220),19,""))</f>
        <v>19</v>
      </c>
      <c r="AU220" s="503" t="str">
        <f>IF(終値!A220="","",IF(AND(高値!Y220&gt;高値!X220,高値!Y220&gt;高値!W220,高値!Y220&gt;高値!Z220,高値!Y220&gt;高値!AA220),20,""))</f>
        <v/>
      </c>
      <c r="AV220" s="503" t="str">
        <f>IF(終値!A220="","",IF(AND(高値!Z220&gt;高値!Y220,高値!Z220&gt;高値!X220,高値!Z220&gt;高値!AA220,高値!Z220&gt;高値!AB220),21,""))</f>
        <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4</v>
      </c>
      <c r="BF220" s="503">
        <f t="shared" si="20"/>
        <v>11</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9</v>
      </c>
      <c r="BN220" s="503">
        <f t="shared" si="23"/>
        <v>14</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f>IF(終値!A222="","",IF(AND(安値!I222&lt;安値!H222,安値!I222&lt;安値!G222,安値!I222&lt;安値!J222,安値!I222&lt;安値!K222),4,""))</f>
        <v>4</v>
      </c>
      <c r="E222" s="503" t="str">
        <f>IF(終値!A222="","",IF(AND(安値!J222&lt;安値!I222,安値!J222&lt;安値!H222,安値!J222&lt;安値!K222,安値!J222&lt;安値!L222),5,""))</f>
        <v/>
      </c>
      <c r="F222" s="503" t="str">
        <f>IF(終値!A222="","",IF(AND(安値!K222&lt;安値!J222,安値!K222&lt;安値!I222,安値!K222&lt;安値!L222,安値!K222&lt;安値!M222),6,""))</f>
        <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f>IF(終値!A222="","",IF(AND(安値!P222&lt;安値!O222,安値!P222&lt;安値!N222,安値!P222&lt;安値!Q222,安値!P222&lt;安値!R222),11,""))</f>
        <v>11</v>
      </c>
      <c r="L222" s="503" t="str">
        <f>IF(終値!A222="","",IF(AND(安値!Q222&lt;安値!P222,安値!Q222&lt;安値!O222,安値!Q222&lt;安値!R222,安値!Q222&lt;安値!S222),12,""))</f>
        <v/>
      </c>
      <c r="M222" s="503" t="str">
        <f>IF(終値!A222="","",IF(AND(安値!R222&lt;安値!Q222,安値!R222&lt;安値!P222,安値!R222&lt;安値!S222,安値!R222&lt;安値!T222),13,""))</f>
        <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f>IF(終値!A222="","",IF(AND(安値!V222&lt;安値!U222,安値!V222&lt;安値!T222,安値!V222&lt;安値!W222,安値!V222&lt;安値!X222),17,""))</f>
        <v>17</v>
      </c>
      <c r="R222" s="503" t="str">
        <f>IF(終値!A222="","",IF(AND(安値!W222&lt;安値!V222,安値!W222&lt;安値!U222,安値!W222&lt;安値!X222,安値!W222&lt;安値!Y222),18,""))</f>
        <v/>
      </c>
      <c r="S222" s="503" t="str">
        <f>IF(終値!A222="","",IF(AND(安値!X222&lt;安値!W222,安値!X222&lt;安値!V222,安値!X222&lt;安値!Y222,安値!X222&lt;安値!Z222),19,""))</f>
        <v/>
      </c>
      <c r="T222" s="503">
        <f>IF(終値!A222="","",IF(AND(安値!Y222&lt;安値!X222,安値!Y222&lt;安値!W222,安値!Y222&lt;安値!Z222,安値!Y222&lt;安値!AA222),20,""))</f>
        <v>20</v>
      </c>
      <c r="U222" s="503" t="str">
        <f>IF(終値!A222="","",IF(AND(安値!Z222&lt;安値!Y222,安値!Z222&lt;安値!X222,安値!Z222&lt;安値!AA222,安値!Z222&lt;安値!AB222),21,""))</f>
        <v/>
      </c>
      <c r="V222" s="503" t="str">
        <f>IF(終値!A222="","",IF(AND(安値!AA222&lt;安値!Z222,安値!AA222&lt;安値!Y222,安値!AA222&lt;安値!AB222,安値!AA222&lt;安値!AC222),22,""))</f>
        <v/>
      </c>
      <c r="W222" s="503" t="str">
        <f>IF(終値!A222="","",IF(AND(安値!AB222&lt;安値!AA222,安値!AB222&lt;安値!Z222,安値!AB222&lt;安値!AC222,安値!AB222&lt;安値!AD222),23,""))</f>
        <v/>
      </c>
      <c r="X222" s="503">
        <f>IF(終値!A222="","",IF(AND(安値!AC222&lt;安値!AB222,安値!AC222&lt;安値!AA222,安値!AC222&lt;安値!AD222,安値!AC222&lt;安値!AE222),24,""))</f>
        <v>24</v>
      </c>
      <c r="Y222" s="503" t="str">
        <f>IF(終値!A222="","",IF(AND(安値!AD222&lt;安値!AC222,安値!AD222&lt;安値!AB222,安値!AD222&lt;安値!AE222,安値!AD222&lt;安値!AF222),25,""))</f>
        <v/>
      </c>
      <c r="Z222" s="503" t="str">
        <f>IF(終値!A222="","",IF(AND(安値!AE222&lt;安値!AD222,安値!AE222&lt;安値!AC222,安値!AE222&lt;安値!AF222,安値!AE222&lt;安値!AG222),26,""))</f>
        <v/>
      </c>
      <c r="AA222" s="503">
        <f>IF(終値!A222="","",IF(AND(安値!AF222&lt;安値!AE222,安値!AF222&lt;安値!AD222,安値!AF222&lt;安値!AG222,安値!AF222&lt;安値!AH222),27,""))</f>
        <v>27</v>
      </c>
      <c r="AB222" s="503" t="str">
        <f>IF(終値!A222="","",IF(AND(安値!AG222&lt;安値!AF222,安値!AG222&lt;安値!AE222,安値!AG222&lt;安値!AH222,安値!AG222&lt;安値!AI222),28,""))</f>
        <v/>
      </c>
      <c r="AC222" s="503">
        <f>IF(終値!A222="","",IF(AND(高値!G222&gt;高値!F222,高値!G222&gt;高値!E222,高値!G222&gt;高値!H222,高値!G222&gt;高値!I222),2,""))</f>
        <v>2</v>
      </c>
      <c r="AD222" s="503" t="str">
        <f>IF(終値!A222="","",IF(AND(高値!H222&gt;高値!G222,高値!H222&gt;高値!F222,高値!H222&gt;高値!I222,高値!H222&gt;高値!J222),3,""))</f>
        <v/>
      </c>
      <c r="AE222" s="503" t="str">
        <f>IF(終値!A222="","",IF(AND(高値!I222&gt;高値!H222,高値!I222&gt;高値!G222,高値!I222&gt;高値!J222,高値!I222&gt;高値!K222),4,""))</f>
        <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f>IF(終値!A222="","",IF(AND(高値!N222&gt;高値!M222,高値!N222&gt;高値!L222,高値!N222&gt;高値!O222,高値!N222&gt;高値!P222),9,""))</f>
        <v>9</v>
      </c>
      <c r="AK222" s="503" t="str">
        <f>IF(終値!A222="","",IF(AND(高値!O222&gt;高値!N222,高値!O222&gt;高値!M222,高値!O222&gt;高値!P222,高値!O222&gt;高値!Q222),10,""))</f>
        <v/>
      </c>
      <c r="AL222" s="503" t="str">
        <f>IF(終値!A222="","",IF(AND(高値!P222&gt;高値!O222,高値!P222&gt;高値!N222,高値!P222&gt;高値!Q222,高値!P222&gt;高値!R222),11,""))</f>
        <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f>IF(終値!A222="","",IF(AND(高値!T222&gt;高値!S222,高値!T222&gt;高値!R222,高値!T222&gt;高値!U222,高値!T222&gt;高値!V222),15,""))</f>
        <v>15</v>
      </c>
      <c r="AQ222" s="503" t="str">
        <f>IF(終値!A222="","",IF(AND(高値!U222&gt;高値!T222,高値!U222&gt;高値!S222,高値!U222&gt;高値!V222,高値!U222&gt;高値!W222),16,""))</f>
        <v/>
      </c>
      <c r="AR222" s="503" t="str">
        <f>IF(終値!A222="","",IF(AND(高値!V222&gt;高値!U222,高値!V222&gt;高値!T222,高値!V222&gt;高値!W222,高値!V222&gt;高値!X222),17,""))</f>
        <v/>
      </c>
      <c r="AS222" s="503" t="str">
        <f>IF(終値!A222="","",IF(AND(高値!W222&gt;高値!V222,高値!W222&gt;高値!U222,高値!W222&gt;高値!X222,高値!W222&gt;高値!Y222),18,""))</f>
        <v/>
      </c>
      <c r="AT222" s="503">
        <f>IF(終値!A222="","",IF(AND(高値!X222&gt;高値!W222,高値!X222&gt;高値!V222,高値!X222&gt;高値!Y222,高値!X222&gt;高値!Z222),19,""))</f>
        <v>19</v>
      </c>
      <c r="AU222" s="503" t="str">
        <f>IF(終値!A222="","",IF(AND(高値!Y222&gt;高値!X222,高値!Y222&gt;高値!W222,高値!Y222&gt;高値!Z222,高値!Y222&gt;高値!AA222),20,""))</f>
        <v/>
      </c>
      <c r="AV222" s="503" t="str">
        <f>IF(終値!A222="","",IF(AND(高値!Z222&gt;高値!Y222,高値!Z222&gt;高値!X222,高値!Z222&gt;高値!AA222,高値!Z222&gt;高値!AB222),21,""))</f>
        <v/>
      </c>
      <c r="AW222" s="503">
        <f>IF(終値!A222="","",IF(AND(高値!AA222&gt;高値!Z222,高値!AA222&gt;高値!Y222,高値!AA222&gt;高値!AB222,高値!AA222&gt;高値!AC222),22,""))</f>
        <v>22</v>
      </c>
      <c r="AX222" s="503" t="str">
        <f>IF(終値!A222="","",IF(AND(高値!AB222&gt;高値!AA222,高値!AB222&gt;高値!Z222,高値!AB222&gt;高値!AC222,高値!AB222&gt;高値!AD222),23,""))</f>
        <v/>
      </c>
      <c r="AY222" s="503" t="str">
        <f>IF(終値!A222="","",IF(AND(高値!AC222&gt;高値!AB222,高値!AC222&gt;高値!AA222,高値!AC222&gt;高値!AD222,高値!AC222&gt;高値!AE222),24,""))</f>
        <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6</v>
      </c>
      <c r="BE222" s="503">
        <f t="shared" si="19"/>
        <v>4</v>
      </c>
      <c r="BF222" s="503">
        <f t="shared" si="20"/>
        <v>11</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2</v>
      </c>
      <c r="BN222" s="503">
        <f t="shared" si="23"/>
        <v>9</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f>IF(終値!A223="","",IF(AND(安値!G223&lt;安値!F223,安値!G223&lt;安値!E223,安値!G223&lt;安値!H223,安値!G223&lt;安値!I223),2,""))</f>
        <v>2</v>
      </c>
      <c r="C223" s="503" t="str">
        <f>IF(終値!A223="","",IF(AND(安値!H223&lt;安値!G223,安値!H223&lt;安値!F223,安値!H223&lt;安値!I223,安値!H223&lt;安値!J223),3,""))</f>
        <v/>
      </c>
      <c r="D223" s="503" t="str">
        <f>IF(終値!A223="","",IF(AND(安値!I223&lt;安値!H223,安値!I223&lt;安値!G223,安値!I223&lt;安値!J223,安値!I223&lt;安値!K223),4,""))</f>
        <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f>IF(終値!A223="","",IF(AND(安値!P223&lt;安値!O223,安値!P223&lt;安値!N223,安値!P223&lt;安値!Q223,安値!P223&lt;安値!R223),11,""))</f>
        <v>11</v>
      </c>
      <c r="L223" s="503" t="str">
        <f>IF(終値!A223="","",IF(AND(安値!Q223&lt;安値!P223,安値!Q223&lt;安値!O223,安値!Q223&lt;安値!R223,安値!Q223&lt;安値!S223),12,""))</f>
        <v/>
      </c>
      <c r="M223" s="503" t="str">
        <f>IF(終値!A223="","",IF(AND(安値!R223&lt;安値!Q223,安値!R223&lt;安値!P223,安値!R223&lt;安値!S223,安値!R223&lt;安値!T223),13,""))</f>
        <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f>IF(終値!A223="","",IF(AND(安値!U223&lt;安値!T223,安値!U223&lt;安値!S223,安値!U223&lt;安値!V223,安値!U223&lt;安値!W223),16,""))</f>
        <v>16</v>
      </c>
      <c r="Q223" s="503" t="str">
        <f>IF(終値!A223="","",IF(AND(安値!V223&lt;安値!U223,安値!V223&lt;安値!T223,安値!V223&lt;安値!W223,安値!V223&lt;安値!X223),17,""))</f>
        <v/>
      </c>
      <c r="R223" s="503" t="str">
        <f>IF(終値!A223="","",IF(AND(安値!W223&lt;安値!V223,安値!W223&lt;安値!U223,安値!W223&lt;安値!X223,安値!W223&lt;安値!Y223),18,""))</f>
        <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f>IF(終値!A223="","",IF(AND(安値!AB223&lt;安値!AA223,安値!AB223&lt;安値!Z223,安値!AB223&lt;安値!AC223,安値!AB223&lt;安値!AD223),23,""))</f>
        <v>23</v>
      </c>
      <c r="X223" s="503" t="str">
        <f>IF(終値!A223="","",IF(AND(安値!AC223&lt;安値!AB223,安値!AC223&lt;安値!AA223,安値!AC223&lt;安値!AD223,安値!AC223&lt;安値!AE223),24,""))</f>
        <v/>
      </c>
      <c r="Y223" s="503" t="str">
        <f>IF(終値!A223="","",IF(AND(安値!AD223&lt;安値!AC223,安値!AD223&lt;安値!AB223,安値!AD223&lt;安値!AE223,安値!AD223&lt;安値!AF223),25,""))</f>
        <v/>
      </c>
      <c r="Z223" s="503" t="str">
        <f>IF(終値!A223="","",IF(AND(安値!AE223&lt;安値!AD223,安値!AE223&lt;安値!AC223,安値!AE223&lt;安値!AF223,安値!AE223&lt;安値!AG223),26,""))</f>
        <v/>
      </c>
      <c r="AA223" s="503">
        <f>IF(終値!A223="","",IF(AND(安値!AF223&lt;安値!AE223,安値!AF223&lt;安値!AD223,安値!AF223&lt;安値!AG223,安値!AF223&lt;安値!AH223),27,""))</f>
        <v>27</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f>IF(終値!A223="","",IF(AND(高値!L223&gt;高値!K223,高値!L223&gt;高値!J223,高値!L223&gt;高値!M223,高値!L223&gt;高値!N223),7,""))</f>
        <v>7</v>
      </c>
      <c r="AI223" s="503" t="str">
        <f>IF(終値!A223="","",IF(AND(高値!M223&gt;高値!L223,高値!M223&gt;高値!K223,高値!M223&gt;高値!N223,高値!M223&gt;高値!O223),8,""))</f>
        <v/>
      </c>
      <c r="AJ223" s="503" t="str">
        <f>IF(終値!A223="","",IF(AND(高値!N223&gt;高値!M223,高値!N223&gt;高値!L223,高値!N223&gt;高値!O223,高値!N223&gt;高値!P223),9,""))</f>
        <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f>IF(終値!A223="","",IF(AND(高値!T223&gt;高値!S223,高値!T223&gt;高値!R223,高値!T223&gt;高値!U223,高値!T223&gt;高値!V223),15,""))</f>
        <v>15</v>
      </c>
      <c r="AQ223" s="503" t="str">
        <f>IF(終値!A223="","",IF(AND(高値!U223&gt;高値!T223,高値!U223&gt;高値!S223,高値!U223&gt;高値!V223,高値!U223&gt;高値!W223),16,""))</f>
        <v/>
      </c>
      <c r="AR223" s="503" t="str">
        <f>IF(終値!A223="","",IF(AND(高値!V223&gt;高値!U223,高値!V223&gt;高値!T223,高値!V223&gt;高値!W223,高値!V223&gt;高値!X223),17,""))</f>
        <v/>
      </c>
      <c r="AS223" s="503" t="str">
        <f>IF(終値!A223="","",IF(AND(高値!W223&gt;高値!V223,高値!W223&gt;高値!U223,高値!W223&gt;高値!X223,高値!W223&gt;高値!Y223),18,""))</f>
        <v/>
      </c>
      <c r="AT223" s="503">
        <f>IF(終値!A223="","",IF(AND(高値!X223&gt;高値!W223,高値!X223&gt;高値!V223,高値!X223&gt;高値!Y223,高値!X223&gt;高値!Z223),19,""))</f>
        <v>19</v>
      </c>
      <c r="AU223" s="503" t="str">
        <f>IF(終値!A223="","",IF(AND(高値!Y223&gt;高値!X223,高値!Y223&gt;高値!W223,高値!Y223&gt;高値!Z223,高値!Y223&gt;高値!AA223),20,""))</f>
        <v/>
      </c>
      <c r="AV223" s="503" t="str">
        <f>IF(終値!A223="","",IF(AND(高値!Z223&gt;高値!Y223,高値!Z223&gt;高値!X223,高値!Z223&gt;高値!AA223,高値!Z223&gt;高値!AB223),21,""))</f>
        <v/>
      </c>
      <c r="AW223" s="503">
        <f>IF(終値!A223="","",IF(AND(高値!AA223&gt;高値!Z223,高値!AA223&gt;高値!Y223,高値!AA223&gt;高値!AB223,高値!AA223&gt;高値!AC223),22,""))</f>
        <v>22</v>
      </c>
      <c r="AX223" s="503" t="str">
        <f>IF(終値!A223="","",IF(AND(高値!AB223&gt;高値!AA223,高値!AB223&gt;高値!Z223,高値!AB223&gt;高値!AC223,高値!AB223&gt;高値!AD223),23,""))</f>
        <v/>
      </c>
      <c r="AY223" s="503" t="str">
        <f>IF(終値!A223="","",IF(AND(高値!AC223&gt;高値!AB223,高値!AC223&gt;高値!AA223,高値!AC223&gt;高値!AD223,高値!AC223&gt;高値!AE223),24,""))</f>
        <v/>
      </c>
      <c r="AZ223" s="503" t="str">
        <f>IF(終値!A223="","",IF(AND(高値!AD223&gt;高値!AC223,高値!AD223&gt;高値!AB223,高値!AD223&gt;高値!AE223,高値!AD223&gt;高値!AF223),25,""))</f>
        <v/>
      </c>
      <c r="BA223" s="503">
        <f>IF(終値!A223="","",IF(AND(高値!AE223&gt;高値!AD223,高値!AE223&gt;高値!AC223,高値!AE223&gt;高値!AF223,高値!AE223&gt;高値!AG223),26,""))</f>
        <v>26</v>
      </c>
      <c r="BB223" s="503" t="str">
        <f>IF(終値!A223="","",IF(AND(高値!AF223&gt;高値!AE223,高値!AF223&gt;高値!AD223,高値!AF223&gt;高値!AG223,高値!AF223&gt;高値!AH223),27,""))</f>
        <v/>
      </c>
      <c r="BC223" s="503" t="str">
        <f>IF(終値!A223="","",IF(AND(高値!AG223&gt;高値!AF223,高値!AG223&gt;高値!AE223,高値!AG223&gt;高値!AH223,高値!AG223&gt;高値!AI223),28,""))</f>
        <v/>
      </c>
      <c r="BD223" s="503">
        <f t="shared" si="18"/>
        <v>5</v>
      </c>
      <c r="BE223" s="503">
        <f t="shared" si="19"/>
        <v>2</v>
      </c>
      <c r="BF223" s="503">
        <f t="shared" si="20"/>
        <v>11</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7</v>
      </c>
      <c r="BN223" s="503">
        <f t="shared" si="23"/>
        <v>15</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二番天井M形成</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f>IF(終値!A224="","",IF(AND(安値!I224&lt;安値!H224,安値!I224&lt;安値!G224,安値!I224&lt;安値!J224,安値!I224&lt;安値!K224),4,""))</f>
        <v>4</v>
      </c>
      <c r="E224" s="503" t="str">
        <f>IF(終値!A224="","",IF(AND(安値!J224&lt;安値!I224,安値!J224&lt;安値!H224,安値!J224&lt;安値!K224,安値!J224&lt;安値!L224),5,""))</f>
        <v/>
      </c>
      <c r="F224" s="503" t="str">
        <f>IF(終値!A224="","",IF(AND(安値!K224&lt;安値!J224,安値!K224&lt;安値!I224,安値!K224&lt;安値!L224,安値!K224&lt;安値!M224),6,""))</f>
        <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f>IF(終値!A224="","",IF(AND(安値!P224&lt;安値!O224,安値!P224&lt;安値!N224,安値!P224&lt;安値!Q224,安値!P224&lt;安値!R224),11,""))</f>
        <v>11</v>
      </c>
      <c r="L224" s="503" t="str">
        <f>IF(終値!A224="","",IF(AND(安値!Q224&lt;安値!P224,安値!Q224&lt;安値!O224,安値!Q224&lt;安値!R224,安値!Q224&lt;安値!S224),12,""))</f>
        <v/>
      </c>
      <c r="M224" s="503" t="str">
        <f>IF(終値!A224="","",IF(AND(安値!R224&lt;安値!Q224,安値!R224&lt;安値!P224,安値!R224&lt;安値!S224,安値!R224&lt;安値!T224),13,""))</f>
        <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f>IF(終値!A224="","",IF(AND(安値!Y224&lt;安値!X224,安値!Y224&lt;安値!W224,安値!Y224&lt;安値!Z224,安値!Y224&lt;安値!AA224),20,""))</f>
        <v>20</v>
      </c>
      <c r="U224" s="503" t="str">
        <f>IF(終値!A224="","",IF(AND(安値!Z224&lt;安値!Y224,安値!Z224&lt;安値!X224,安値!Z224&lt;安値!AA224,安値!Z224&lt;安値!AB224),21,""))</f>
        <v/>
      </c>
      <c r="V224" s="503" t="str">
        <f>IF(終値!A224="","",IF(AND(安値!AA224&lt;安値!Z224,安値!AA224&lt;安値!Y224,安値!AA224&lt;安値!AB224,安値!AA224&lt;安値!AC224),22,""))</f>
        <v/>
      </c>
      <c r="W224" s="503" t="str">
        <f>IF(終値!A224="","",IF(AND(安値!AB224&lt;安値!AA224,安値!AB224&lt;安値!Z224,安値!AB224&lt;安値!AC224,安値!AB224&lt;安値!AD224),23,""))</f>
        <v/>
      </c>
      <c r="X224" s="503">
        <f>IF(終値!A224="","",IF(AND(安値!AC224&lt;安値!AB224,安値!AC224&lt;安値!AA224,安値!AC224&lt;安値!AD224,安値!AC224&lt;安値!AE224),24,""))</f>
        <v>24</v>
      </c>
      <c r="Y224" s="503" t="str">
        <f>IF(終値!A224="","",IF(AND(安値!AD224&lt;安値!AC224,安値!AD224&lt;安値!AB224,安値!AD224&lt;安値!AE224,安値!AD224&lt;安値!AF224),25,""))</f>
        <v/>
      </c>
      <c r="Z224" s="503" t="str">
        <f>IF(終値!A224="","",IF(AND(安値!AE224&lt;安値!AD224,安値!AE224&lt;安値!AC224,安値!AE224&lt;安値!AF224,安値!AE224&lt;安値!AG224),26,""))</f>
        <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f>IF(終値!A224="","",IF(AND(高値!N224&gt;高値!M224,高値!N224&gt;高値!L224,高値!N224&gt;高値!O224,高値!N224&gt;高値!P224),9,""))</f>
        <v>9</v>
      </c>
      <c r="AK224" s="503" t="str">
        <f>IF(終値!A224="","",IF(AND(高値!O224&gt;高値!N224,高値!O224&gt;高値!M224,高値!O224&gt;高値!P224,高値!O224&gt;高値!Q224),10,""))</f>
        <v/>
      </c>
      <c r="AL224" s="503" t="str">
        <f>IF(終値!A224="","",IF(AND(高値!P224&gt;高値!O224,高値!P224&gt;高値!N224,高値!P224&gt;高値!Q224,高値!P224&gt;高値!R224),11,""))</f>
        <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f>IF(終値!A224="","",IF(AND(高値!T224&gt;高値!S224,高値!T224&gt;高値!R224,高値!T224&gt;高値!U224,高値!T224&gt;高値!V224),15,""))</f>
        <v>15</v>
      </c>
      <c r="AQ224" s="503" t="str">
        <f>IF(終値!A224="","",IF(AND(高値!U224&gt;高値!T224,高値!U224&gt;高値!S224,高値!U224&gt;高値!V224,高値!U224&gt;高値!W224),16,""))</f>
        <v/>
      </c>
      <c r="AR224" s="503" t="str">
        <f>IF(終値!A224="","",IF(AND(高値!V224&gt;高値!U224,高値!V224&gt;高値!T224,高値!V224&gt;高値!W224,高値!V224&gt;高値!X224),17,""))</f>
        <v/>
      </c>
      <c r="AS224" s="503">
        <f>IF(終値!A224="","",IF(AND(高値!W224&gt;高値!V224,高値!W224&gt;高値!U224,高値!W224&gt;高値!X224,高値!W224&gt;高値!Y224),18,""))</f>
        <v>18</v>
      </c>
      <c r="AT224" s="503" t="str">
        <f>IF(終値!A224="","",IF(AND(高値!X224&gt;高値!W224,高値!X224&gt;高値!V224,高値!X224&gt;高値!Y224,高値!X224&gt;高値!Z224),19,""))</f>
        <v/>
      </c>
      <c r="AU224" s="503" t="str">
        <f>IF(終値!A224="","",IF(AND(高値!Y224&gt;高値!X224,高値!Y224&gt;高値!W224,高値!Y224&gt;高値!Z224,高値!Y224&gt;高値!AA224),20,""))</f>
        <v/>
      </c>
      <c r="AV224" s="503" t="str">
        <f>IF(終値!A224="","",IF(AND(高値!Z224&gt;高値!Y224,高値!Z224&gt;高値!X224,高値!Z224&gt;高値!AA224,高値!Z224&gt;高値!AB224),21,""))</f>
        <v/>
      </c>
      <c r="AW224" s="503">
        <f>IF(終値!A224="","",IF(AND(高値!AA224&gt;高値!Z224,高値!AA224&gt;高値!Y224,高値!AA224&gt;高値!AB224,高値!AA224&gt;高値!AC224),22,""))</f>
        <v>22</v>
      </c>
      <c r="AX224" s="503" t="str">
        <f>IF(終値!A224="","",IF(AND(高値!AB224&gt;高値!AA224,高値!AB224&gt;高値!Z224,高値!AB224&gt;高値!AC224,高値!AB224&gt;高値!AD224),23,""))</f>
        <v/>
      </c>
      <c r="AY224" s="503" t="str">
        <f>IF(終値!A224="","",IF(AND(高値!AC224&gt;高値!AB224,高値!AC224&gt;高値!AA224,高値!AC224&gt;高値!AD224,高値!AC224&gt;高値!AE224),24,""))</f>
        <v/>
      </c>
      <c r="AZ224" s="503" t="str">
        <f>IF(終値!A224="","",IF(AND(高値!AD224&gt;高値!AC224,高値!AD224&gt;高値!AB224,高値!AD224&gt;高値!AE224,高値!AD224&gt;高値!AF224),25,""))</f>
        <v/>
      </c>
      <c r="BA224" s="503">
        <f>IF(終値!A224="","",IF(AND(高値!AE224&gt;高値!AD224,高値!AE224&gt;高値!AC224,高値!AE224&gt;高値!AF224,高値!AE224&gt;高値!AG224),26,""))</f>
        <v>26</v>
      </c>
      <c r="BB224" s="503" t="str">
        <f>IF(終値!A224="","",IF(AND(高値!AF224&gt;高値!AE224,高値!AF224&gt;高値!AD224,高値!AF224&gt;高値!AG224,高値!AF224&gt;高値!AH224),27,""))</f>
        <v/>
      </c>
      <c r="BC224" s="503" t="str">
        <f>IF(終値!A224="","",IF(AND(高値!AG224&gt;高値!AF224,高値!AG224&gt;高値!AE224,高値!AG224&gt;高値!AH224,高値!AG224&gt;高値!AI224),28,""))</f>
        <v/>
      </c>
      <c r="BD224" s="503">
        <f t="shared" si="18"/>
        <v>4</v>
      </c>
      <c r="BE224" s="503">
        <f t="shared" si="19"/>
        <v>4</v>
      </c>
      <c r="BF224" s="503">
        <f t="shared" si="20"/>
        <v>11</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9</v>
      </c>
      <c r="BN224" s="503">
        <f t="shared" si="23"/>
        <v>15</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f>IF(終値!A225="","",IF(AND(安値!I225&lt;安値!H225,安値!I225&lt;安値!G225,安値!I225&lt;安値!J225,安値!I225&lt;安値!K225),4,""))</f>
        <v>4</v>
      </c>
      <c r="E225" s="503" t="str">
        <f>IF(終値!A225="","",IF(AND(安値!J225&lt;安値!I225,安値!J225&lt;安値!H225,安値!J225&lt;安値!K225,安値!J225&lt;安値!L225),5,""))</f>
        <v/>
      </c>
      <c r="F225" s="503" t="str">
        <f>IF(終値!A225="","",IF(AND(安値!K225&lt;安値!J225,安値!K225&lt;安値!I225,安値!K225&lt;安値!L225,安値!K225&lt;安値!M225),6,""))</f>
        <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f>IF(終値!A225="","",IF(AND(安値!P225&lt;安値!O225,安値!P225&lt;安値!N225,安値!P225&lt;安値!Q225,安値!P225&lt;安値!R225),11,""))</f>
        <v>11</v>
      </c>
      <c r="L225" s="503" t="str">
        <f>IF(終値!A225="","",IF(AND(安値!Q225&lt;安値!P225,安値!Q225&lt;安値!O225,安値!Q225&lt;安値!R225,安値!Q225&lt;安値!S225),12,""))</f>
        <v/>
      </c>
      <c r="M225" s="503" t="str">
        <f>IF(終値!A225="","",IF(AND(安値!R225&lt;安値!Q225,安値!R225&lt;安値!P225,安値!R225&lt;安値!S225,安値!R225&lt;安値!T225),13,""))</f>
        <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f>IF(終値!A225="","",IF(AND(安値!V225&lt;安値!U225,安値!V225&lt;安値!T225,安値!V225&lt;安値!W225,安値!V225&lt;安値!X225),17,""))</f>
        <v>17</v>
      </c>
      <c r="R225" s="503" t="str">
        <f>IF(終値!A225="","",IF(AND(安値!W225&lt;安値!V225,安値!W225&lt;安値!U225,安値!W225&lt;安値!X225,安値!W225&lt;安値!Y225),18,""))</f>
        <v/>
      </c>
      <c r="S225" s="503" t="str">
        <f>IF(終値!A225="","",IF(AND(安値!X225&lt;安値!W225,安値!X225&lt;安値!V225,安値!X225&lt;安値!Y225,安値!X225&lt;安値!Z225),19,""))</f>
        <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f>IF(終値!A225="","",IF(AND(安値!AC225&lt;安値!AB225,安値!AC225&lt;安値!AA225,安値!AC225&lt;安値!AD225,安値!AC225&lt;安値!AE225),24,""))</f>
        <v>24</v>
      </c>
      <c r="Y225" s="503" t="str">
        <f>IF(終値!A225="","",IF(AND(安値!AD225&lt;安値!AC225,安値!AD225&lt;安値!AB225,安値!AD225&lt;安値!AE225,安値!AD225&lt;安値!AF225),25,""))</f>
        <v/>
      </c>
      <c r="Z225" s="503" t="str">
        <f>IF(終値!A225="","",IF(AND(安値!AE225&lt;安値!AD225,安値!AE225&lt;安値!AC225,安値!AE225&lt;安値!AF225,安値!AE225&lt;安値!AG225),26,""))</f>
        <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f>IF(終値!A225="","",IF(AND(高値!M225&gt;高値!L225,高値!M225&gt;高値!K225,高値!M225&gt;高値!N225,高値!M225&gt;高値!O225),8,""))</f>
        <v>8</v>
      </c>
      <c r="AJ225" s="503" t="str">
        <f>IF(終値!A225="","",IF(AND(高値!N225&gt;高値!M225,高値!N225&gt;高値!L225,高値!N225&gt;高値!O225,高値!N225&gt;高値!P225),9,""))</f>
        <v/>
      </c>
      <c r="AK225" s="503" t="str">
        <f>IF(終値!A225="","",IF(AND(高値!O225&gt;高値!N225,高値!O225&gt;高値!M225,高値!O225&gt;高値!P225,高値!O225&gt;高値!Q225),10,""))</f>
        <v/>
      </c>
      <c r="AL225" s="503" t="str">
        <f>IF(終値!A225="","",IF(AND(高値!P225&gt;高値!O225,高値!P225&gt;高値!N225,高値!P225&gt;高値!Q225,高値!P225&gt;高値!R225),11,""))</f>
        <v/>
      </c>
      <c r="AM225" s="503">
        <f>IF(終値!A225="","",IF(AND(高値!Q225&gt;高値!P225,高値!Q225&gt;高値!O225,高値!Q225&gt;高値!R225,高値!Q225&gt;高値!S225),12,""))</f>
        <v>12</v>
      </c>
      <c r="AN225" s="503" t="str">
        <f>IF(終値!A225="","",IF(AND(高値!R225&gt;高値!Q225,高値!R225&gt;高値!P225,高値!R225&gt;高値!S225,高値!R225&gt;高値!T225),13,""))</f>
        <v/>
      </c>
      <c r="AO225" s="503" t="str">
        <f>IF(終値!A225="","",IF(AND(高値!S225&gt;高値!R225,高値!S225&gt;高値!Q225,高値!S225&gt;高値!T225,高値!S225&gt;高値!U225),14,""))</f>
        <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f>IF(終値!A225="","",IF(AND(高値!X225&gt;高値!W225,高値!X225&gt;高値!V225,高値!X225&gt;高値!Y225,高値!X225&gt;高値!Z225),19,""))</f>
        <v>19</v>
      </c>
      <c r="AU225" s="503" t="str">
        <f>IF(終値!A225="","",IF(AND(高値!Y225&gt;高値!X225,高値!Y225&gt;高値!W225,高値!Y225&gt;高値!Z225,高値!Y225&gt;高値!AA225),20,""))</f>
        <v/>
      </c>
      <c r="AV225" s="503" t="str">
        <f>IF(終値!A225="","",IF(AND(高値!Z225&gt;高値!Y225,高値!Z225&gt;高値!X225,高値!Z225&gt;高値!AA225,高値!Z225&gt;高値!AB225),21,""))</f>
        <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f>IF(終値!A225="","",IF(AND(高値!AE225&gt;高値!AD225,高値!AE225&gt;高値!AC225,高値!AE225&gt;高値!AF225,高値!AE225&gt;高値!AG225),26,""))</f>
        <v>26</v>
      </c>
      <c r="BB225" s="503" t="str">
        <f>IF(終値!A225="","",IF(AND(高値!AF225&gt;高値!AE225,高値!AF225&gt;高値!AD225,高値!AF225&gt;高値!AG225,高値!AF225&gt;高値!AH225),27,""))</f>
        <v/>
      </c>
      <c r="BC225" s="503" t="str">
        <f>IF(終値!A225="","",IF(AND(高値!AG225&gt;高値!AF225,高値!AG225&gt;高値!AE225,高値!AG225&gt;高値!AH225,高値!AG225&gt;高値!AI225),28,""))</f>
        <v/>
      </c>
      <c r="BD225" s="503">
        <f t="shared" si="18"/>
        <v>4</v>
      </c>
      <c r="BE225" s="503">
        <f t="shared" si="19"/>
        <v>4</v>
      </c>
      <c r="BF225" s="503">
        <f t="shared" si="20"/>
        <v>11</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8</v>
      </c>
      <c r="BN225" s="503">
        <f t="shared" si="23"/>
        <v>12</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f>IF(終値!A226="","",IF(AND(安値!G226&lt;安値!F226,安値!G226&lt;安値!E226,安値!G226&lt;安値!H226,安値!G226&lt;安値!I226),2,""))</f>
        <v>2</v>
      </c>
      <c r="C226" s="503" t="str">
        <f>IF(終値!A226="","",IF(AND(安値!H226&lt;安値!G226,安値!H226&lt;安値!F226,安値!H226&lt;安値!I226,安値!H226&lt;安値!J226),3,""))</f>
        <v/>
      </c>
      <c r="D226" s="503" t="str">
        <f>IF(終値!A226="","",IF(AND(安値!I226&lt;安値!H226,安値!I226&lt;安値!G226,安値!I226&lt;安値!J226,安値!I226&lt;安値!K226),4,""))</f>
        <v/>
      </c>
      <c r="E226" s="503" t="str">
        <f>IF(終値!A226="","",IF(AND(安値!J226&lt;安値!I226,安値!J226&lt;安値!H226,安値!J226&lt;安値!K226,安値!J226&lt;安値!L226),5,""))</f>
        <v/>
      </c>
      <c r="F226" s="503" t="str">
        <f>IF(終値!A226="","",IF(AND(安値!K226&lt;安値!J226,安値!K226&lt;安値!I226,安値!K226&lt;安値!L226,安値!K226&lt;安値!M226),6,""))</f>
        <v/>
      </c>
      <c r="G226" s="503">
        <f>IF(終値!A226="","",IF(AND(安値!L226&lt;安値!K226,安値!L226&lt;安値!J226,安値!L226&lt;安値!M226,安値!L226&lt;安値!N226),7,""))</f>
        <v>7</v>
      </c>
      <c r="H226" s="503" t="str">
        <f>IF(終値!A226="","",IF(AND(安値!M226&lt;安値!L226,安値!M226&lt;安値!K226,安値!M226&lt;安値!N226,安値!M226&lt;安値!O226),8,""))</f>
        <v/>
      </c>
      <c r="I226" s="503" t="str">
        <f>IF(終値!A226="","",IF(AND(安値!N226&lt;安値!M226,安値!N226&lt;安値!L226,安値!N226&lt;安値!O226,安値!N226&lt;安値!P226),9,""))</f>
        <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f>IF(終値!A226="","",IF(AND(安値!T226&lt;安値!S226,安値!T226&lt;安値!R226,安値!T226&lt;安値!U226,安値!T226&lt;安値!V226),15,""))</f>
        <v>15</v>
      </c>
      <c r="P226" s="503" t="str">
        <f>IF(終値!A226="","",IF(AND(安値!U226&lt;安値!T226,安値!U226&lt;安値!S226,安値!U226&lt;安値!V226,安値!U226&lt;安値!W226),16,""))</f>
        <v/>
      </c>
      <c r="Q226" s="503" t="str">
        <f>IF(終値!A226="","",IF(AND(安値!V226&lt;安値!U226,安値!V226&lt;安値!T226,安値!V226&lt;安値!W226,安値!V226&lt;安値!X226),17,""))</f>
        <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f>IF(終値!A226="","",IF(AND(安値!AA226&lt;安値!Z226,安値!AA226&lt;安値!Y226,安値!AA226&lt;安値!AB226,安値!AA226&lt;安値!AC226),22,""))</f>
        <v>22</v>
      </c>
      <c r="W226" s="503" t="str">
        <f>IF(終値!A226="","",IF(AND(安値!AB226&lt;安値!AA226,安値!AB226&lt;安値!Z226,安値!AB226&lt;安値!AC226,安値!AB226&lt;安値!AD226),23,""))</f>
        <v/>
      </c>
      <c r="X226" s="503" t="str">
        <f>IF(終値!A226="","",IF(AND(安値!AC226&lt;安値!AB226,安値!AC226&lt;安値!AA226,安値!AC226&lt;安値!AD226,安値!AC226&lt;安値!AE226),24,""))</f>
        <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f>IF(終値!A226="","",IF(AND(高値!I226&gt;高値!H226,高値!I226&gt;高値!G226,高値!I226&gt;高値!J226,高値!I226&gt;高値!K226),4,""))</f>
        <v>4</v>
      </c>
      <c r="AF226" s="503" t="str">
        <f>IF(終値!A226="","",IF(AND(高値!J226&gt;高値!I226,高値!J226&gt;高値!H226,高値!J226&gt;高値!K226,高値!J226&gt;高値!L226),5,""))</f>
        <v/>
      </c>
      <c r="AG226" s="503" t="str">
        <f>IF(終値!A226="","",IF(AND(高値!K226&gt;高値!J226,高値!K226&gt;高値!I226,高値!K226&gt;高値!L226,高値!K226&gt;高値!M226),6,""))</f>
        <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f>IF(終値!A226="","",IF(AND(高値!O226&gt;高値!N226,高値!O226&gt;高値!M226,高値!O226&gt;高値!P226,高値!O226&gt;高値!Q226),10,""))</f>
        <v>10</v>
      </c>
      <c r="AL226" s="503" t="str">
        <f>IF(終値!A226="","",IF(AND(高値!P226&gt;高値!O226,高値!P226&gt;高値!N226,高値!P226&gt;高値!Q226,高値!P226&gt;高値!R226),11,""))</f>
        <v/>
      </c>
      <c r="AM226" s="503" t="str">
        <f>IF(終値!A226="","",IF(AND(高値!Q226&gt;高値!P226,高値!Q226&gt;高値!O226,高値!Q226&gt;高値!R226,高値!Q226&gt;高値!S226),12,""))</f>
        <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f>IF(終値!A226="","",IF(AND(高値!V226&gt;高値!U226,高値!V226&gt;高値!T226,高値!V226&gt;高値!W226,高値!V226&gt;高値!X226),17,""))</f>
        <v>17</v>
      </c>
      <c r="AS226" s="503" t="str">
        <f>IF(終値!A226="","",IF(AND(高値!W226&gt;高値!V226,高値!W226&gt;高値!U226,高値!W226&gt;高値!X226,高値!W226&gt;高値!Y226),18,""))</f>
        <v/>
      </c>
      <c r="AT226" s="503" t="str">
        <f>IF(終値!A226="","",IF(AND(高値!X226&gt;高値!W226,高値!X226&gt;高値!V226,高値!X226&gt;高値!Y226,高値!X226&gt;高値!Z226),19,""))</f>
        <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f>IF(終値!A226="","",IF(AND(高値!AC226&gt;高値!AB226,高値!AC226&gt;高値!AA226,高値!AC226&gt;高値!AD226,高値!AC226&gt;高値!AE226),24,""))</f>
        <v>24</v>
      </c>
      <c r="AZ226" s="503" t="str">
        <f>IF(終値!A226="","",IF(AND(高値!AD226&gt;高値!AC226,高値!AD226&gt;高値!AB226,高値!AD226&gt;高値!AE226,高値!AD226&gt;高値!AF226),25,""))</f>
        <v/>
      </c>
      <c r="BA226" s="503" t="str">
        <f>IF(終値!A226="","",IF(AND(高値!AE226&gt;高値!AD226,高値!AE226&gt;高値!AC226,高値!AE226&gt;高値!AF226,高値!AE226&gt;高値!AG226),26,""))</f>
        <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2</v>
      </c>
      <c r="BF226" s="503">
        <f t="shared" si="20"/>
        <v>7</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4</v>
      </c>
      <c r="BN226" s="503">
        <f t="shared" si="23"/>
        <v>10</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t="str">
        <f>IF(終値!A227="","",IF(AND(安値!H227&lt;安値!G227,安値!H227&lt;安値!F227,安値!H227&lt;安値!I227,安値!H227&lt;安値!J227),3,""))</f>
        <v/>
      </c>
      <c r="D227" s="503">
        <f>IF(終値!A227="","",IF(AND(安値!I227&lt;安値!H227,安値!I227&lt;安値!G227,安値!I227&lt;安値!J227,安値!I227&lt;安値!K227),4,""))</f>
        <v>4</v>
      </c>
      <c r="E227" s="503" t="str">
        <f>IF(終値!A227="","",IF(AND(安値!J227&lt;安値!I227,安値!J227&lt;安値!H227,安値!J227&lt;安値!K227,安値!J227&lt;安値!L227),5,""))</f>
        <v/>
      </c>
      <c r="F227" s="503" t="str">
        <f>IF(終値!A227="","",IF(AND(安値!K227&lt;安値!J227,安値!K227&lt;安値!I227,安値!K227&lt;安値!L227,安値!K227&lt;安値!M227),6,""))</f>
        <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f>IF(終値!A227="","",IF(AND(安値!P227&lt;安値!O227,安値!P227&lt;安値!N227,安値!P227&lt;安値!Q227,安値!P227&lt;安値!R227),11,""))</f>
        <v>11</v>
      </c>
      <c r="L227" s="503" t="str">
        <f>IF(終値!A227="","",IF(AND(安値!Q227&lt;安値!P227,安値!Q227&lt;安値!O227,安値!Q227&lt;安値!R227,安値!Q227&lt;安値!S227),12,""))</f>
        <v/>
      </c>
      <c r="M227" s="503" t="str">
        <f>IF(終値!A227="","",IF(AND(安値!R227&lt;安値!Q227,安値!R227&lt;安値!P227,安値!R227&lt;安値!S227,安値!R227&lt;安値!T227),13,""))</f>
        <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f>IF(終値!A227="","",IF(AND(安値!Z227&lt;安値!Y227,安値!Z227&lt;安値!X227,安値!Z227&lt;安値!AA227,安値!Z227&lt;安値!AB227),21,""))</f>
        <v>21</v>
      </c>
      <c r="V227" s="503" t="str">
        <f>IF(終値!A227="","",IF(AND(安値!AA227&lt;安値!Z227,安値!AA227&lt;安値!Y227,安値!AA227&lt;安値!AB227,安値!AA227&lt;安値!AC227),22,""))</f>
        <v/>
      </c>
      <c r="W227" s="503" t="str">
        <f>IF(終値!A227="","",IF(AND(安値!AB227&lt;安値!AA227,安値!AB227&lt;安値!Z227,安値!AB227&lt;安値!AC227,安値!AB227&lt;安値!AD227),23,""))</f>
        <v/>
      </c>
      <c r="X227" s="503">
        <f>IF(終値!A227="","",IF(AND(安値!AC227&lt;安値!AB227,安値!AC227&lt;安値!AA227,安値!AC227&lt;安値!AD227,安値!AC227&lt;安値!AE227),24,""))</f>
        <v>24</v>
      </c>
      <c r="Y227" s="503" t="str">
        <f>IF(終値!A227="","",IF(AND(安値!AD227&lt;安値!AC227,安値!AD227&lt;安値!AB227,安値!AD227&lt;安値!AE227,安値!AD227&lt;安値!AF227),25,""))</f>
        <v/>
      </c>
      <c r="Z227" s="503" t="str">
        <f>IF(終値!A227="","",IF(AND(安値!AE227&lt;安値!AD227,安値!AE227&lt;安値!AC227,安値!AE227&lt;安値!AF227,安値!AE227&lt;安値!AG227),26,""))</f>
        <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f>IF(終値!A227="","",IF(AND(高値!H227&gt;高値!G227,高値!H227&gt;高値!F227,高値!H227&gt;高値!I227,高値!H227&gt;高値!J227),3,""))</f>
        <v>3</v>
      </c>
      <c r="AE227" s="503" t="str">
        <f>IF(終値!A227="","",IF(AND(高値!I227&gt;高値!H227,高値!I227&gt;高値!G227,高値!I227&gt;高値!J227,高値!I227&gt;高値!K227),4,""))</f>
        <v/>
      </c>
      <c r="AF227" s="503" t="str">
        <f>IF(終値!A227="","",IF(AND(高値!J227&gt;高値!I227,高値!J227&gt;高値!H227,高値!J227&gt;高値!K227,高値!J227&gt;高値!L227),5,""))</f>
        <v/>
      </c>
      <c r="AG227" s="503" t="str">
        <f>IF(終値!A227="","",IF(AND(高値!K227&gt;高値!J227,高値!K227&gt;高値!I227,高値!K227&gt;高値!L227,高値!K227&gt;高値!M227),6,""))</f>
        <v/>
      </c>
      <c r="AH227" s="503">
        <f>IF(終値!A227="","",IF(AND(高値!L227&gt;高値!K227,高値!L227&gt;高値!J227,高値!L227&gt;高値!M227,高値!L227&gt;高値!N227),7,""))</f>
        <v>7</v>
      </c>
      <c r="AI227" s="503" t="str">
        <f>IF(終値!A227="","",IF(AND(高値!M227&gt;高値!L227,高値!M227&gt;高値!K227,高値!M227&gt;高値!N227,高値!M227&gt;高値!O227),8,""))</f>
        <v/>
      </c>
      <c r="AJ227" s="503" t="str">
        <f>IF(終値!A227="","",IF(AND(高値!N227&gt;高値!M227,高値!N227&gt;高値!L227,高値!N227&gt;高値!O227,高値!N227&gt;高値!P227),9,""))</f>
        <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f>IF(終値!A227="","",IF(AND(高値!S227&gt;高値!R227,高値!S227&gt;高値!Q227,高値!S227&gt;高値!T227,高値!S227&gt;高値!U227),14,""))</f>
        <v>14</v>
      </c>
      <c r="AP227" s="503" t="str">
        <f>IF(終値!A227="","",IF(AND(高値!T227&gt;高値!S227,高値!T227&gt;高値!R227,高値!T227&gt;高値!U227,高値!T227&gt;高値!V227),15,""))</f>
        <v/>
      </c>
      <c r="AQ227" s="503" t="str">
        <f>IF(終値!A227="","",IF(AND(高値!U227&gt;高値!T227,高値!U227&gt;高値!S227,高値!U227&gt;高値!V227,高値!U227&gt;高値!W227),16,""))</f>
        <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4</v>
      </c>
      <c r="BE227" s="503">
        <f t="shared" si="19"/>
        <v>4</v>
      </c>
      <c r="BF227" s="503">
        <f t="shared" si="20"/>
        <v>11</v>
      </c>
      <c r="BG227" s="503">
        <f>IF($BE227="","",INDEX(安値!$E227:$CZ227,1,$BE227+1))</f>
        <v>32870</v>
      </c>
      <c r="BH227" s="503">
        <f>IF($BF227="","",INDEX(安値!$E227:$CZ227,1,$BF227+1))</f>
        <v>31540</v>
      </c>
      <c r="BI227" s="503">
        <f>IF($BF227="","",MAX(INDEX(高値!$E227:$CZ227,1,$BE227+1):INDEX(高値!$E227:$CZ227,1,$BF227+1)))</f>
        <v>34680</v>
      </c>
      <c r="BJ227" s="503">
        <f>IF($BF227="","",AVERAGE(INDEX(終値!$E227:$CZ227,1,$BF227+1):INDEX(終値!$E227:$CZ227,1,$BF227+20))-2*STDEVP(INDEX(終値!$E227:$CZ227,1,$BF227+1):INDEX(終値!$E227:$CZ227,1,$BF227+20)))</f>
        <v>30827.625059366757</v>
      </c>
      <c r="BK227" s="503">
        <f>IF($BE227="","",AVERAGE(INDEX(終値!$E227:$CZ227,1,$BE227+1):INDEX(終値!$E227:$CZ227,1,$BE227+20))-2*STDEVP(INDEX(終値!$E227:$CZ227,1,$BE227+1):INDEX(終値!$E227:$CZ227,1,$BE227+20)))</f>
        <v>30759.350086061968</v>
      </c>
      <c r="BL227" s="503">
        <f t="shared" si="21"/>
        <v>3</v>
      </c>
      <c r="BM227" s="503">
        <f t="shared" si="22"/>
        <v>3</v>
      </c>
      <c r="BN227" s="503">
        <f t="shared" si="23"/>
        <v>7</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二番天井M▼</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f>IF(終値!A229="","",IF(AND(安値!H229&lt;安値!G229,安値!H229&lt;安値!F229,安値!H229&lt;安値!I229,安値!H229&lt;安値!J229),3,""))</f>
        <v>3</v>
      </c>
      <c r="D229" s="503" t="str">
        <f>IF(終値!A229="","",IF(AND(安値!I229&lt;安値!H229,安値!I229&lt;安値!G229,安値!I229&lt;安値!J229,安値!I229&lt;安値!K229),4,""))</f>
        <v/>
      </c>
      <c r="E229" s="503" t="str">
        <f>IF(終値!A229="","",IF(AND(安値!J229&lt;安値!I229,安値!J229&lt;安値!H229,安値!J229&lt;安値!K229,安値!J229&lt;安値!L229),5,""))</f>
        <v/>
      </c>
      <c r="F229" s="503" t="str">
        <f>IF(終値!A229="","",IF(AND(安値!K229&lt;安値!J229,安値!K229&lt;安値!I229,安値!K229&lt;安値!L229,安値!K229&lt;安値!M229),6,""))</f>
        <v/>
      </c>
      <c r="G229" s="503">
        <f>IF(終値!A229="","",IF(AND(安値!L229&lt;安値!K229,安値!L229&lt;安値!J229,安値!L229&lt;安値!M229,安値!L229&lt;安値!N229),7,""))</f>
        <v>7</v>
      </c>
      <c r="H229" s="503" t="str">
        <f>IF(終値!A229="","",IF(AND(安値!M229&lt;安値!L229,安値!M229&lt;安値!K229,安値!M229&lt;安値!N229,安値!M229&lt;安値!O229),8,""))</f>
        <v/>
      </c>
      <c r="I229" s="503" t="str">
        <f>IF(終値!A229="","",IF(AND(安値!N229&lt;安値!M229,安値!N229&lt;安値!L229,安値!N229&lt;安値!O229,安値!N229&lt;安値!P229),9,""))</f>
        <v/>
      </c>
      <c r="J229" s="503" t="str">
        <f>IF(終値!A229="","",IF(AND(安値!O229&lt;安値!N229,安値!O229&lt;安値!M229,安値!O229&lt;安値!P229,安値!O229&lt;安値!Q229),10,""))</f>
        <v/>
      </c>
      <c r="K229" s="503">
        <f>IF(終値!A229="","",IF(AND(安値!P229&lt;安値!O229,安値!P229&lt;安値!N229,安値!P229&lt;安値!Q229,安値!P229&lt;安値!R229),11,""))</f>
        <v>11</v>
      </c>
      <c r="L229" s="503" t="str">
        <f>IF(終値!A229="","",IF(AND(安値!Q229&lt;安値!P229,安値!Q229&lt;安値!O229,安値!Q229&lt;安値!R229,安値!Q229&lt;安値!S229),12,""))</f>
        <v/>
      </c>
      <c r="M229" s="503" t="str">
        <f>IF(終値!A229="","",IF(AND(安値!R229&lt;安値!Q229,安値!R229&lt;安値!P229,安値!R229&lt;安値!S229,安値!R229&lt;安値!T229),13,""))</f>
        <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f>IF(終値!A229="","",IF(AND(安値!U229&lt;安値!T229,安値!U229&lt;安値!S229,安値!U229&lt;安値!V229,安値!U229&lt;安値!W229),16,""))</f>
        <v>16</v>
      </c>
      <c r="Q229" s="503" t="str">
        <f>IF(終値!A229="","",IF(AND(安値!V229&lt;安値!U229,安値!V229&lt;安値!T229,安値!V229&lt;安値!W229,安値!V229&lt;安値!X229),17,""))</f>
        <v/>
      </c>
      <c r="R229" s="503" t="str">
        <f>IF(終値!A229="","",IF(AND(安値!W229&lt;安値!V229,安値!W229&lt;安値!U229,安値!W229&lt;安値!X229,安値!W229&lt;安値!Y229),18,""))</f>
        <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f>IF(終値!A229="","",IF(AND(安値!AB229&lt;安値!AA229,安値!AB229&lt;安値!Z229,安値!AB229&lt;安値!AC229,安値!AB229&lt;安値!AD229),23,""))</f>
        <v>23</v>
      </c>
      <c r="X229" s="503" t="str">
        <f>IF(終値!A229="","",IF(AND(安値!AC229&lt;安値!AB229,安値!AC229&lt;安値!AA229,安値!AC229&lt;安値!AD229,安値!AC229&lt;安値!AE229),24,""))</f>
        <v/>
      </c>
      <c r="Y229" s="503" t="str">
        <f>IF(終値!A229="","",IF(AND(安値!AD229&lt;安値!AC229,安値!AD229&lt;安値!AB229,安値!AD229&lt;安値!AE229,安値!AD229&lt;安値!AF229),25,""))</f>
        <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f>IF(終値!A229="","",IF(AND(高値!N229&gt;高値!M229,高値!N229&gt;高値!L229,高値!N229&gt;高値!O229,高値!N229&gt;高値!P229),9,""))</f>
        <v>9</v>
      </c>
      <c r="AK229" s="503" t="str">
        <f>IF(終値!A229="","",IF(AND(高値!O229&gt;高値!N229,高値!O229&gt;高値!M229,高値!O229&gt;高値!P229,高値!O229&gt;高値!Q229),10,""))</f>
        <v/>
      </c>
      <c r="AL229" s="503" t="str">
        <f>IF(終値!A229="","",IF(AND(高値!P229&gt;高値!O229,高値!P229&gt;高値!N229,高値!P229&gt;高値!Q229,高値!P229&gt;高値!R229),11,""))</f>
        <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f>IF(終値!A229="","",IF(AND(高値!S229&gt;高値!R229,高値!S229&gt;高値!Q229,高値!S229&gt;高値!T229,高値!S229&gt;高値!U229),14,""))</f>
        <v>14</v>
      </c>
      <c r="AP229" s="503" t="str">
        <f>IF(終値!A229="","",IF(AND(高値!T229&gt;高値!S229,高値!T229&gt;高値!R229,高値!T229&gt;高値!U229,高値!T229&gt;高値!V229),15,""))</f>
        <v/>
      </c>
      <c r="AQ229" s="503" t="str">
        <f>IF(終値!A229="","",IF(AND(高値!U229&gt;高値!T229,高値!U229&gt;高値!S229,高値!U229&gt;高値!V229,高値!U229&gt;高値!W229),16,""))</f>
        <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f>IF(終値!A229="","",IF(AND(高値!X229&gt;高値!W229,高値!X229&gt;高値!V229,高値!X229&gt;高値!Y229,高値!X229&gt;高値!Z229),19,""))</f>
        <v>19</v>
      </c>
      <c r="AU229" s="503" t="str">
        <f>IF(終値!A229="","",IF(AND(高値!Y229&gt;高値!X229,高値!Y229&gt;高値!W229,高値!Y229&gt;高値!Z229,高値!Y229&gt;高値!AA229),20,""))</f>
        <v/>
      </c>
      <c r="AV229" s="503" t="str">
        <f>IF(終値!A229="","",IF(AND(高値!Z229&gt;高値!Y229,高値!Z229&gt;高値!X229,高値!Z229&gt;高値!AA229,高値!Z229&gt;高値!AB229),21,""))</f>
        <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3</v>
      </c>
      <c r="BF229" s="503">
        <f t="shared" si="20"/>
        <v>7</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9</v>
      </c>
      <c r="BN229" s="503">
        <f t="shared" si="23"/>
        <v>14</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f>IF(終値!A231="","",IF(AND(安値!L231&lt;安値!K231,安値!L231&lt;安値!J231,安値!L231&lt;安値!M231,安値!L231&lt;安値!N231),7,""))</f>
        <v>7</v>
      </c>
      <c r="H231" s="503" t="str">
        <f>IF(終値!A231="","",IF(AND(安値!M231&lt;安値!L231,安値!M231&lt;安値!K231,安値!M231&lt;安値!N231,安値!M231&lt;安値!O231),8,""))</f>
        <v/>
      </c>
      <c r="I231" s="503" t="str">
        <f>IF(終値!A231="","",IF(AND(安値!N231&lt;安値!M231,安値!N231&lt;安値!L231,安値!N231&lt;安値!O231,安値!N231&lt;安値!P231),9,""))</f>
        <v/>
      </c>
      <c r="J231" s="503" t="str">
        <f>IF(終値!A231="","",IF(AND(安値!O231&lt;安値!N231,安値!O231&lt;安値!M231,安値!O231&lt;安値!P231,安値!O231&lt;安値!Q231),10,""))</f>
        <v/>
      </c>
      <c r="K231" s="503">
        <f>IF(終値!A231="","",IF(AND(安値!P231&lt;安値!O231,安値!P231&lt;安値!N231,安値!P231&lt;安値!Q231,安値!P231&lt;安値!R231),11,""))</f>
        <v>11</v>
      </c>
      <c r="L231" s="503" t="str">
        <f>IF(終値!A231="","",IF(AND(安値!Q231&lt;安値!P231,安値!Q231&lt;安値!O231,安値!Q231&lt;安値!R231,安値!Q231&lt;安値!S231),12,""))</f>
        <v/>
      </c>
      <c r="M231" s="503" t="str">
        <f>IF(終値!A231="","",IF(AND(安値!R231&lt;安値!Q231,安値!R231&lt;安値!P231,安値!R231&lt;安値!S231,安値!R231&lt;安値!T231),13,""))</f>
        <v/>
      </c>
      <c r="N231" s="503">
        <f>IF(終値!A231="","",IF(AND(安値!S231&lt;安値!R231,安値!S231&lt;安値!Q231,安値!S231&lt;安値!T231,安値!S231&lt;安値!U231),14,""))</f>
        <v>14</v>
      </c>
      <c r="O231" s="503" t="str">
        <f>IF(終値!A231="","",IF(AND(安値!T231&lt;安値!S231,安値!T231&lt;安値!R231,安値!T231&lt;安値!U231,安値!T231&lt;安値!V231),15,""))</f>
        <v/>
      </c>
      <c r="P231" s="503" t="str">
        <f>IF(終値!A231="","",IF(AND(安値!U231&lt;安値!T231,安値!U231&lt;安値!S231,安値!U231&lt;安値!V231,安値!U231&lt;安値!W231),16,""))</f>
        <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f>IF(終値!A231="","",IF(AND(安値!AA231&lt;安値!Z231,安値!AA231&lt;安値!Y231,安値!AA231&lt;安値!AB231,安値!AA231&lt;安値!AC231),22,""))</f>
        <v>22</v>
      </c>
      <c r="W231" s="503" t="str">
        <f>IF(終値!A231="","",IF(AND(安値!AB231&lt;安値!AA231,安値!AB231&lt;安値!Z231,安値!AB231&lt;安値!AC231,安値!AB231&lt;安値!AD231),23,""))</f>
        <v/>
      </c>
      <c r="X231" s="503" t="str">
        <f>IF(終値!A231="","",IF(AND(安値!AC231&lt;安値!AB231,安値!AC231&lt;安値!AA231,安値!AC231&lt;安値!AD231,安値!AC231&lt;安値!AE231),24,""))</f>
        <v/>
      </c>
      <c r="Y231" s="503">
        <f>IF(終値!A231="","",IF(AND(安値!AD231&lt;安値!AC231,安値!AD231&lt;安値!AB231,安値!AD231&lt;安値!AE231,安値!AD231&lt;安値!AF231),25,""))</f>
        <v>25</v>
      </c>
      <c r="Z231" s="503" t="str">
        <f>IF(終値!A231="","",IF(AND(安値!AE231&lt;安値!AD231,安値!AE231&lt;安値!AC231,安値!AE231&lt;安値!AF231,安値!AE231&lt;安値!AG231),26,""))</f>
        <v/>
      </c>
      <c r="AA231" s="503" t="str">
        <f>IF(終値!A231="","",IF(AND(安値!AF231&lt;安値!AE231,安値!AF231&lt;安値!AD231,安値!AF231&lt;安値!AG231,安値!AF231&lt;安値!AH231),27,""))</f>
        <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f>IF(終値!A231="","",IF(AND(高値!M231&gt;高値!L231,高値!M231&gt;高値!K231,高値!M231&gt;高値!N231,高値!M231&gt;高値!O231),8,""))</f>
        <v>8</v>
      </c>
      <c r="AJ231" s="503" t="str">
        <f>IF(終値!A231="","",IF(AND(高値!N231&gt;高値!M231,高値!N231&gt;高値!L231,高値!N231&gt;高値!O231,高値!N231&gt;高値!P231),9,""))</f>
        <v/>
      </c>
      <c r="AK231" s="503" t="str">
        <f>IF(終値!A231="","",IF(AND(高値!O231&gt;高値!N231,高値!O231&gt;高値!M231,高値!O231&gt;高値!P231,高値!O231&gt;高値!Q231),10,""))</f>
        <v/>
      </c>
      <c r="AL231" s="503">
        <f>IF(終値!A231="","",IF(AND(高値!P231&gt;高値!O231,高値!P231&gt;高値!N231,高値!P231&gt;高値!Q231,高値!P231&gt;高値!R231),11,""))</f>
        <v>11</v>
      </c>
      <c r="AM231" s="503" t="str">
        <f>IF(終値!A231="","",IF(AND(高値!Q231&gt;高値!P231,高値!Q231&gt;高値!O231,高値!Q231&gt;高値!R231,高値!Q231&gt;高値!S231),12,""))</f>
        <v/>
      </c>
      <c r="AN231" s="503" t="str">
        <f>IF(終値!A231="","",IF(AND(高値!R231&gt;高値!Q231,高値!R231&gt;高値!P231,高値!R231&gt;高値!S231,高値!R231&gt;高値!T231),13,""))</f>
        <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f>IF(終値!A231="","",IF(AND(高値!W231&gt;高値!V231,高値!W231&gt;高値!U231,高値!W231&gt;高値!X231,高値!W231&gt;高値!Y231),18,""))</f>
        <v>18</v>
      </c>
      <c r="AT231" s="503" t="str">
        <f>IF(終値!A231="","",IF(AND(高値!X231&gt;高値!W231,高値!X231&gt;高値!V231,高値!X231&gt;高値!Y231,高値!X231&gt;高値!Z231),19,""))</f>
        <v/>
      </c>
      <c r="AU231" s="503" t="str">
        <f>IF(終値!A231="","",IF(AND(高値!Y231&gt;高値!X231,高値!Y231&gt;高値!W231,高値!Y231&gt;高値!Z231,高値!Y231&gt;高値!AA231),20,""))</f>
        <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7</v>
      </c>
      <c r="BF231" s="503">
        <f t="shared" si="20"/>
        <v>11</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8</v>
      </c>
      <c r="BN231" s="503">
        <f t="shared" si="23"/>
        <v>11</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t="str">
        <f>IF(終値!A232="","",IF(AND(安値!H232&lt;安値!G232,安値!H232&lt;安値!F232,安値!H232&lt;安値!I232,安値!H232&lt;安値!J232),3,""))</f>
        <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f>IF(終値!A232="","",IF(AND(安値!L232&lt;安値!K232,安値!L232&lt;安値!J232,安値!L232&lt;安値!M232,安値!L232&lt;安値!N232),7,""))</f>
        <v>7</v>
      </c>
      <c r="H232" s="503" t="str">
        <f>IF(終値!A232="","",IF(AND(安値!M232&lt;安値!L232,安値!M232&lt;安値!K232,安値!M232&lt;安値!N232,安値!M232&lt;安値!O232),8,""))</f>
        <v/>
      </c>
      <c r="I232" s="503" t="str">
        <f>IF(終値!A232="","",IF(AND(安値!N232&lt;安値!M232,安値!N232&lt;安値!L232,安値!N232&lt;安値!O232,安値!N232&lt;安値!P232),9,""))</f>
        <v/>
      </c>
      <c r="J232" s="503" t="str">
        <f>IF(終値!A232="","",IF(AND(安値!O232&lt;安値!N232,安値!O232&lt;安値!M232,安値!O232&lt;安値!P232,安値!O232&lt;安値!Q232),10,""))</f>
        <v/>
      </c>
      <c r="K232" s="503">
        <f>IF(終値!A232="","",IF(AND(安値!P232&lt;安値!O232,安値!P232&lt;安値!N232,安値!P232&lt;安値!Q232,安値!P232&lt;安値!R232),11,""))</f>
        <v>11</v>
      </c>
      <c r="L232" s="503" t="str">
        <f>IF(終値!A232="","",IF(AND(安値!Q232&lt;安値!P232,安値!Q232&lt;安値!O232,安値!Q232&lt;安値!R232,安値!Q232&lt;安値!S232),12,""))</f>
        <v/>
      </c>
      <c r="M232" s="503" t="str">
        <f>IF(終値!A232="","",IF(AND(安値!R232&lt;安値!Q232,安値!R232&lt;安値!P232,安値!R232&lt;安値!S232,安値!R232&lt;安値!T232),13,""))</f>
        <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f>IF(終値!A232="","",IF(AND(安値!U232&lt;安値!T232,安値!U232&lt;安値!S232,安値!U232&lt;安値!V232,安値!U232&lt;安値!W232),16,""))</f>
        <v>16</v>
      </c>
      <c r="Q232" s="503" t="str">
        <f>IF(終値!A232="","",IF(AND(安値!V232&lt;安値!U232,安値!V232&lt;安値!T232,安値!V232&lt;安値!W232,安値!V232&lt;安値!X232),17,""))</f>
        <v/>
      </c>
      <c r="R232" s="503" t="str">
        <f>IF(終値!A232="","",IF(AND(安値!W232&lt;安値!V232,安値!W232&lt;安値!U232,安値!W232&lt;安値!X232,安値!W232&lt;安値!Y232),18,""))</f>
        <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f>IF(終値!A232="","",IF(AND(安値!AC232&lt;安値!AB232,安値!AC232&lt;安値!AA232,安値!AC232&lt;安値!AD232,安値!AC232&lt;安値!AE232),24,""))</f>
        <v>24</v>
      </c>
      <c r="Y232" s="503" t="str">
        <f>IF(終値!A232="","",IF(AND(安値!AD232&lt;安値!AC232,安値!AD232&lt;安値!AB232,安値!AD232&lt;安値!AE232,安値!AD232&lt;安値!AF232),25,""))</f>
        <v/>
      </c>
      <c r="Z232" s="503" t="str">
        <f>IF(終値!A232="","",IF(AND(安値!AE232&lt;安値!AD232,安値!AE232&lt;安値!AC232,安値!AE232&lt;安値!AF232,安値!AE232&lt;安値!AG232),26,""))</f>
        <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f>IF(終値!A232="","",IF(AND(高値!N232&gt;高値!M232,高値!N232&gt;高値!L232,高値!N232&gt;高値!O232,高値!N232&gt;高値!P232),9,""))</f>
        <v>9</v>
      </c>
      <c r="AK232" s="503" t="str">
        <f>IF(終値!A232="","",IF(AND(高値!O232&gt;高値!N232,高値!O232&gt;高値!M232,高値!O232&gt;高値!P232,高値!O232&gt;高値!Q232),10,""))</f>
        <v/>
      </c>
      <c r="AL232" s="503" t="str">
        <f>IF(終値!A232="","",IF(AND(高値!P232&gt;高値!O232,高値!P232&gt;高値!N232,高値!P232&gt;高値!Q232,高値!P232&gt;高値!R232),11,""))</f>
        <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f>IF(終値!A232="","",IF(AND(高値!S232&gt;高値!R232,高値!S232&gt;高値!Q232,高値!S232&gt;高値!T232,高値!S232&gt;高値!U232),14,""))</f>
        <v>14</v>
      </c>
      <c r="AP232" s="503" t="str">
        <f>IF(終値!A232="","",IF(AND(高値!T232&gt;高値!S232,高値!T232&gt;高値!R232,高値!T232&gt;高値!U232,高値!T232&gt;高値!V232),15,""))</f>
        <v/>
      </c>
      <c r="AQ232" s="503" t="str">
        <f>IF(終値!A232="","",IF(AND(高値!U232&gt;高値!T232,高値!U232&gt;高値!S232,高値!U232&gt;高値!V232,高値!U232&gt;高値!W232),16,""))</f>
        <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4</v>
      </c>
      <c r="BE232" s="503">
        <f t="shared" si="19"/>
        <v>7</v>
      </c>
      <c r="BF232" s="503">
        <f t="shared" si="20"/>
        <v>11</v>
      </c>
      <c r="BG232" s="503">
        <f>IF($BE232="","",INDEX(安値!$E232:$CZ232,1,$BE232+1))</f>
        <v>4050</v>
      </c>
      <c r="BH232" s="503">
        <f>IF($BF232="","",INDEX(安値!$E232:$CZ232,1,$BF232+1))</f>
        <v>3990</v>
      </c>
      <c r="BI232" s="503">
        <f>IF($BF232="","",MAX(INDEX(高値!$E232:$CZ232,1,$BE232+1):INDEX(高値!$E232:$CZ232,1,$BF232+1)))</f>
        <v>4125</v>
      </c>
      <c r="BJ232" s="503">
        <f>IF($BF232="","",AVERAGE(INDEX(終値!$E232:$CZ232,1,$BF232+1):INDEX(終値!$E232:$CZ232,1,$BF232+20))-2*STDEVP(INDEX(終値!$E232:$CZ232,1,$BF232+1):INDEX(終値!$E232:$CZ232,1,$BF232+20)))</f>
        <v>3928.8371212709667</v>
      </c>
      <c r="BK232" s="503">
        <f>IF($BE232="","",AVERAGE(INDEX(終値!$E232:$CZ232,1,$BE232+1):INDEX(終値!$E232:$CZ232,1,$BE232+20))-2*STDEVP(INDEX(終値!$E232:$CZ232,1,$BE232+1):INDEX(終値!$E232:$CZ232,1,$BE232+20)))</f>
        <v>3935.5282290196674</v>
      </c>
      <c r="BL232" s="503">
        <f t="shared" si="21"/>
        <v>2</v>
      </c>
      <c r="BM232" s="503">
        <f t="shared" si="22"/>
        <v>9</v>
      </c>
      <c r="BN232" s="503">
        <f t="shared" si="23"/>
        <v>14</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二番天井M▼</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f>IF(終値!A233="","",IF(AND(安値!I233&lt;安値!H233,安値!I233&lt;安値!G233,安値!I233&lt;安値!J233,安値!I233&lt;安値!K233),4,""))</f>
        <v>4</v>
      </c>
      <c r="E233" s="503" t="str">
        <f>IF(終値!A233="","",IF(AND(安値!J233&lt;安値!I233,安値!J233&lt;安値!H233,安値!J233&lt;安値!K233,安値!J233&lt;安値!L233),5,""))</f>
        <v/>
      </c>
      <c r="F233" s="503" t="str">
        <f>IF(終値!A233="","",IF(AND(安値!K233&lt;安値!J233,安値!K233&lt;安値!I233,安値!K233&lt;安値!L233,安値!K233&lt;安値!M233),6,""))</f>
        <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f>IF(終値!A233="","",IF(AND(安値!P233&lt;安値!O233,安値!P233&lt;安値!N233,安値!P233&lt;安値!Q233,安値!P233&lt;安値!R233),11,""))</f>
        <v>11</v>
      </c>
      <c r="L233" s="503" t="str">
        <f>IF(終値!A233="","",IF(AND(安値!Q233&lt;安値!P233,安値!Q233&lt;安値!O233,安値!Q233&lt;安値!R233,安値!Q233&lt;安値!S233),12,""))</f>
        <v/>
      </c>
      <c r="M233" s="503" t="str">
        <f>IF(終値!A233="","",IF(AND(安値!R233&lt;安値!Q233,安値!R233&lt;安値!P233,安値!R233&lt;安値!S233,安値!R233&lt;安値!T233),13,""))</f>
        <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f>IF(終値!A233="","",IF(AND(安値!V233&lt;安値!U233,安値!V233&lt;安値!T233,安値!V233&lt;安値!W233,安値!V233&lt;安値!X233),17,""))</f>
        <v>17</v>
      </c>
      <c r="R233" s="503" t="str">
        <f>IF(終値!A233="","",IF(AND(安値!W233&lt;安値!V233,安値!W233&lt;安値!U233,安値!W233&lt;安値!X233,安値!W233&lt;安値!Y233),18,""))</f>
        <v/>
      </c>
      <c r="S233" s="503" t="str">
        <f>IF(終値!A233="","",IF(AND(安値!X233&lt;安値!W233,安値!X233&lt;安値!V233,安値!X233&lt;安値!Y233,安値!X233&lt;安値!Z233),19,""))</f>
        <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f>IF(終値!A233="","",IF(AND(安値!AF233&lt;安値!AE233,安値!AF233&lt;安値!AD233,安値!AF233&lt;安値!AG233,安値!AF233&lt;安値!AH233),27,""))</f>
        <v>27</v>
      </c>
      <c r="AB233" s="503" t="str">
        <f>IF(終値!A233="","",IF(AND(安値!AG233&lt;安値!AF233,安値!AG233&lt;安値!AE233,安値!AG233&lt;安値!AH233,安値!AG233&lt;安値!AI233),28,""))</f>
        <v/>
      </c>
      <c r="AC233" s="503" t="str">
        <f>IF(終値!A233="","",IF(AND(高値!G233&gt;高値!F233,高値!G233&gt;高値!E233,高値!G233&gt;高値!H233,高値!G233&gt;高値!I233),2,""))</f>
        <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f>IF(終値!A233="","",IF(AND(高値!N233&gt;高値!M233,高値!N233&gt;高値!L233,高値!N233&gt;高値!O233,高値!N233&gt;高値!P233),9,""))</f>
        <v>9</v>
      </c>
      <c r="AK233" s="503" t="str">
        <f>IF(終値!A233="","",IF(AND(高値!O233&gt;高値!N233,高値!O233&gt;高値!M233,高値!O233&gt;高値!P233,高値!O233&gt;高値!Q233),10,""))</f>
        <v/>
      </c>
      <c r="AL233" s="503" t="str">
        <f>IF(終値!A233="","",IF(AND(高値!P233&gt;高値!O233,高値!P233&gt;高値!N233,高値!P233&gt;高値!Q233,高値!P233&gt;高値!R233),11,""))</f>
        <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f>IF(終値!A233="","",IF(AND(高値!T233&gt;高値!S233,高値!T233&gt;高値!R233,高値!T233&gt;高値!U233,高値!T233&gt;高値!V233),15,""))</f>
        <v>15</v>
      </c>
      <c r="AQ233" s="503" t="str">
        <f>IF(終値!A233="","",IF(AND(高値!U233&gt;高値!T233,高値!U233&gt;高値!S233,高値!U233&gt;高値!V233,高値!U233&gt;高値!W233),16,""))</f>
        <v/>
      </c>
      <c r="AR233" s="503" t="str">
        <f>IF(終値!A233="","",IF(AND(高値!V233&gt;高値!U233,高値!V233&gt;高値!T233,高値!V233&gt;高値!W233,高値!V233&gt;高値!X233),17,""))</f>
        <v/>
      </c>
      <c r="AS233" s="503" t="str">
        <f>IF(終値!A233="","",IF(AND(高値!W233&gt;高値!V233,高値!W233&gt;高値!U233,高値!W233&gt;高値!X233,高値!W233&gt;高値!Y233),18,""))</f>
        <v/>
      </c>
      <c r="AT233" s="503">
        <f>IF(終値!A233="","",IF(AND(高値!X233&gt;高値!W233,高値!X233&gt;高値!V233,高値!X233&gt;高値!Y233,高値!X233&gt;高値!Z233),19,""))</f>
        <v>19</v>
      </c>
      <c r="AU233" s="503" t="str">
        <f>IF(終値!A233="","",IF(AND(高値!Y233&gt;高値!X233,高値!Y233&gt;高値!W233,高値!Y233&gt;高値!Z233,高値!Y233&gt;高値!AA233),20,""))</f>
        <v/>
      </c>
      <c r="AV233" s="503" t="str">
        <f>IF(終値!A233="","",IF(AND(高値!Z233&gt;高値!Y233,高値!Z233&gt;高値!X233,高値!Z233&gt;高値!AA233,高値!Z233&gt;高値!AB233),21,""))</f>
        <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4</v>
      </c>
      <c r="BE233" s="503">
        <f t="shared" si="19"/>
        <v>4</v>
      </c>
      <c r="BF233" s="503">
        <f t="shared" si="20"/>
        <v>11</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3</v>
      </c>
      <c r="BM233" s="503">
        <f t="shared" si="22"/>
        <v>9</v>
      </c>
      <c r="BN233" s="503">
        <f t="shared" si="23"/>
        <v>15</v>
      </c>
      <c r="BO233" s="503">
        <f>IF($BM233="","",INDEX(高値!$E233:$CZ233,1,$BM233+1))</f>
        <v>3801</v>
      </c>
      <c r="BP233" s="503">
        <f>IF($BN233="","",INDEX(高値!$E233:$CZ233,1,$BN233+1))</f>
        <v>4099</v>
      </c>
      <c r="BQ233" s="503">
        <f>IF($BN233="","",MIN(INDEX(安値!$E233:$CZ233,1,$BM233+1):INDEX(安値!$E233:$CZ233,1,$BN233+1)))</f>
        <v>3515</v>
      </c>
      <c r="BR233" s="503">
        <f>IF($BN233="","",AVERAGE(INDEX(終値!$E233:$CZ233,1,$BN233+1):INDEX(終値!$E233:$CZ233,1,$BN233+20))+2*STDEVP(INDEX(終値!$E233:$CZ233,1,$BN233+1):INDEX(終値!$E233:$CZ233,1,$BN233+20)))</f>
        <v>4164.465553158414</v>
      </c>
      <c r="BS233" s="503">
        <f>IF($BM233="","",AVERAGE(INDEX(終値!$E233:$CZ233,1,$BM233+1):INDEX(終値!$E233:$CZ233,1,$BM233+20))+2*STDEVP(INDEX(終値!$E233:$CZ233,1,$BM233+1):INDEX(終値!$E233:$CZ233,1,$BM233+20)))</f>
        <v>4188.3585636898752</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f>IF(終値!A234="","",IF(AND(安値!I234&lt;安値!H234,安値!I234&lt;安値!G234,安値!I234&lt;安値!J234,安値!I234&lt;安値!K234),4,""))</f>
        <v>4</v>
      </c>
      <c r="E234" s="503" t="str">
        <f>IF(終値!A234="","",IF(AND(安値!J234&lt;安値!I234,安値!J234&lt;安値!H234,安値!J234&lt;安値!K234,安値!J234&lt;安値!L234),5,""))</f>
        <v/>
      </c>
      <c r="F234" s="503" t="str">
        <f>IF(終値!A234="","",IF(AND(安値!K234&lt;安値!J234,安値!K234&lt;安値!I234,安値!K234&lt;安値!L234,安値!K234&lt;安値!M234),6,""))</f>
        <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f>IF(終値!A234="","",IF(AND(安値!P234&lt;安値!O234,安値!P234&lt;安値!N234,安値!P234&lt;安値!Q234,安値!P234&lt;安値!R234),11,""))</f>
        <v>11</v>
      </c>
      <c r="L234" s="503" t="str">
        <f>IF(終値!A234="","",IF(AND(安値!Q234&lt;安値!P234,安値!Q234&lt;安値!O234,安値!Q234&lt;安値!R234,安値!Q234&lt;安値!S234),12,""))</f>
        <v/>
      </c>
      <c r="M234" s="503" t="str">
        <f>IF(終値!A234="","",IF(AND(安値!R234&lt;安値!Q234,安値!R234&lt;安値!P234,安値!R234&lt;安値!S234,安値!R234&lt;安値!T234),13,""))</f>
        <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f>IF(終値!A234="","",IF(AND(安値!V234&lt;安値!U234,安値!V234&lt;安値!T234,安値!V234&lt;安値!W234,安値!V234&lt;安値!X234),17,""))</f>
        <v>17</v>
      </c>
      <c r="R234" s="503" t="str">
        <f>IF(終値!A234="","",IF(AND(安値!W234&lt;安値!V234,安値!W234&lt;安値!U234,安値!W234&lt;安値!X234,安値!W234&lt;安値!Y234),18,""))</f>
        <v/>
      </c>
      <c r="S234" s="503" t="str">
        <f>IF(終値!A234="","",IF(AND(安値!X234&lt;安値!W234,安値!X234&lt;安値!V234,安値!X234&lt;安値!Y234,安値!X234&lt;安値!Z234),19,""))</f>
        <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f>IF(終値!A234="","",IF(AND(安値!AC234&lt;安値!AB234,安値!AC234&lt;安値!AA234,安値!AC234&lt;安値!AD234,安値!AC234&lt;安値!AE234),24,""))</f>
        <v>24</v>
      </c>
      <c r="Y234" s="503" t="str">
        <f>IF(終値!A234="","",IF(AND(安値!AD234&lt;安値!AC234,安値!AD234&lt;安値!AB234,安値!AD234&lt;安値!AE234,安値!AD234&lt;安値!AF234),25,""))</f>
        <v/>
      </c>
      <c r="Z234" s="503" t="str">
        <f>IF(終値!A234="","",IF(AND(安値!AE234&lt;安値!AD234,安値!AE234&lt;安値!AC234,安値!AE234&lt;安値!AF234,安値!AE234&lt;安値!AG234),26,""))</f>
        <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t="str">
        <f>IF(終値!A234="","",IF(AND(高値!H234&gt;高値!G234,高値!H234&gt;高値!F234,高値!H234&gt;高値!I234,高値!H234&gt;高値!J234),3,""))</f>
        <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f>IF(終値!A234="","",IF(AND(高値!M234&gt;高値!L234,高値!M234&gt;高値!K234,高値!M234&gt;高値!N234,高値!M234&gt;高値!O234),8,""))</f>
        <v>8</v>
      </c>
      <c r="AJ234" s="503" t="str">
        <f>IF(終値!A234="","",IF(AND(高値!N234&gt;高値!M234,高値!N234&gt;高値!L234,高値!N234&gt;高値!O234,高値!N234&gt;高値!P234),9,""))</f>
        <v/>
      </c>
      <c r="AK234" s="503" t="str">
        <f>IF(終値!A234="","",IF(AND(高値!O234&gt;高値!N234,高値!O234&gt;高値!M234,高値!O234&gt;高値!P234,高値!O234&gt;高値!Q234),10,""))</f>
        <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f>IF(終値!A234="","",IF(AND(高値!T234&gt;高値!S234,高値!T234&gt;高値!R234,高値!T234&gt;高値!U234,高値!T234&gt;高値!V234),15,""))</f>
        <v>15</v>
      </c>
      <c r="AQ234" s="503" t="str">
        <f>IF(終値!A234="","",IF(AND(高値!U234&gt;高値!T234,高値!U234&gt;高値!S234,高値!U234&gt;高値!V234,高値!U234&gt;高値!W234),16,""))</f>
        <v/>
      </c>
      <c r="AR234" s="503" t="str">
        <f>IF(終値!A234="","",IF(AND(高値!V234&gt;高値!U234,高値!V234&gt;高値!T234,高値!V234&gt;高値!W234,高値!V234&gt;高値!X234),17,""))</f>
        <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f>IF(終値!A234="","",IF(AND(高値!Z234&gt;高値!Y234,高値!Z234&gt;高値!X234,高値!Z234&gt;高値!AA234,高値!Z234&gt;高値!AB234),21,""))</f>
        <v>21</v>
      </c>
      <c r="AW234" s="503" t="str">
        <f>IF(終値!A234="","",IF(AND(高値!AA234&gt;高値!Z234,高値!AA234&gt;高値!Y234,高値!AA234&gt;高値!AB234,高値!AA234&gt;高値!AC234),22,""))</f>
        <v/>
      </c>
      <c r="AX234" s="503" t="str">
        <f>IF(終値!A234="","",IF(AND(高値!AB234&gt;高値!AA234,高値!AB234&gt;高値!Z234,高値!AB234&gt;高値!AC234,高値!AB234&gt;高値!AD234),23,""))</f>
        <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f>IF(終値!A234="","",IF(AND(高値!AG234&gt;高値!AF234,高値!AG234&gt;高値!AE234,高値!AG234&gt;高値!AH234,高値!AG234&gt;高値!AI234),28,""))</f>
        <v>28</v>
      </c>
      <c r="BD234" s="503">
        <f t="shared" si="18"/>
        <v>4</v>
      </c>
      <c r="BE234" s="503">
        <f t="shared" si="19"/>
        <v>4</v>
      </c>
      <c r="BF234" s="503">
        <f t="shared" si="20"/>
        <v>11</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8</v>
      </c>
      <c r="BN234" s="503">
        <f t="shared" si="23"/>
        <v>15</v>
      </c>
      <c r="BO234" s="503">
        <f>IF($BM234="","",INDEX(高値!$E234:$CZ234,1,$BM234+1))</f>
        <v>3196</v>
      </c>
      <c r="BP234" s="503">
        <f>IF($BN234="","",INDEX(高値!$E234:$CZ234,1,$BN234+1))</f>
        <v>3460</v>
      </c>
      <c r="BQ234" s="503">
        <f>IF($BN234="","",MIN(INDEX(安値!$E234:$CZ234,1,$BM234+1):INDEX(安値!$E234:$CZ234,1,$BN234+1)))</f>
        <v>2847</v>
      </c>
      <c r="BR234" s="503">
        <f>IF($BN234="","",AVERAGE(INDEX(終値!$E234:$CZ234,1,$BN234+1):INDEX(終値!$E234:$CZ234,1,$BN234+20))+2*STDEVP(INDEX(終値!$E234:$CZ234,1,$BN234+1):INDEX(終値!$E234:$CZ234,1,$BN234+20)))</f>
        <v>4122.3759312249131</v>
      </c>
      <c r="BS234" s="503">
        <f>IF($BM234="","",AVERAGE(INDEX(終値!$E234:$CZ234,1,$BM234+1):INDEX(終値!$E234:$CZ234,1,$BM234+20))+2*STDEVP(INDEX(終値!$E234:$CZ234,1,$BM234+1):INDEX(終値!$E234:$CZ234,1,$BM234+20)))</f>
        <v>3937.4626133290553</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v>
      </c>
    </row>
    <row r="235" spans="2:72">
      <c r="B235" s="503" t="str">
        <f>IF(終値!A235="","",IF(AND(安値!G235&lt;安値!F235,安値!G235&lt;安値!E235,安値!G235&lt;安値!H235,安値!G235&lt;安値!I235),2,""))</f>
        <v/>
      </c>
      <c r="C235" s="503">
        <f>IF(終値!A235="","",IF(AND(安値!H235&lt;安値!G235,安値!H235&lt;安値!F235,安値!H235&lt;安値!I235,安値!H235&lt;安値!J235),3,""))</f>
        <v>3</v>
      </c>
      <c r="D235" s="503" t="str">
        <f>IF(終値!A235="","",IF(AND(安値!I235&lt;安値!H235,安値!I235&lt;安値!G235,安値!I235&lt;安値!J235,安値!I235&lt;安値!K235),4,""))</f>
        <v/>
      </c>
      <c r="E235" s="503" t="str">
        <f>IF(終値!A235="","",IF(AND(安値!J235&lt;安値!I235,安値!J235&lt;安値!H235,安値!J235&lt;安値!K235,安値!J235&lt;安値!L235),5,""))</f>
        <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f>IF(終値!A235="","",IF(AND(安値!R235&lt;安値!Q235,安値!R235&lt;安値!P235,安値!R235&lt;安値!S235,安値!R235&lt;安値!T235),13,""))</f>
        <v>13</v>
      </c>
      <c r="N235" s="503" t="str">
        <f>IF(終値!A235="","",IF(AND(安値!S235&lt;安値!R235,安値!S235&lt;安値!Q235,安値!S235&lt;安値!T235,安値!S235&lt;安値!U235),14,""))</f>
        <v/>
      </c>
      <c r="O235" s="503" t="str">
        <f>IF(終値!A235="","",IF(AND(安値!T235&lt;安値!S235,安値!T235&lt;安値!R235,安値!T235&lt;安値!U235,安値!T235&lt;安値!V235),15,""))</f>
        <v/>
      </c>
      <c r="P235" s="503" t="str">
        <f>IF(終値!A235="","",IF(AND(安値!U235&lt;安値!T235,安値!U235&lt;安値!S235,安値!U235&lt;安値!V235,安値!U235&lt;安値!W235),16,""))</f>
        <v/>
      </c>
      <c r="Q235" s="503">
        <f>IF(終値!A235="","",IF(AND(安値!V235&lt;安値!U235,安値!V235&lt;安値!T235,安値!V235&lt;安値!W235,安値!V235&lt;安値!X235),17,""))</f>
        <v>17</v>
      </c>
      <c r="R235" s="503" t="str">
        <f>IF(終値!A235="","",IF(AND(安値!W235&lt;安値!V235,安値!W235&lt;安値!U235,安値!W235&lt;安値!X235,安値!W235&lt;安値!Y235),18,""))</f>
        <v/>
      </c>
      <c r="S235" s="503" t="str">
        <f>IF(終値!A235="","",IF(AND(安値!X235&lt;安値!W235,安値!X235&lt;安値!V235,安値!X235&lt;安値!Y235,安値!X235&lt;安値!Z235),19,""))</f>
        <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f>IF(終値!A235="","",IF(AND(安値!AB235&lt;安値!AA235,安値!AB235&lt;安値!Z235,安値!AB235&lt;安値!AC235,安値!AB235&lt;安値!AD235),23,""))</f>
        <v>23</v>
      </c>
      <c r="X235" s="503" t="str">
        <f>IF(終値!A235="","",IF(AND(安値!AC235&lt;安値!AB235,安値!AC235&lt;安値!AA235,安値!AC235&lt;安値!AD235,安値!AC235&lt;安値!AE235),24,""))</f>
        <v/>
      </c>
      <c r="Y235" s="503" t="str">
        <f>IF(終値!A235="","",IF(AND(安値!AD235&lt;安値!AC235,安値!AD235&lt;安値!AB235,安値!AD235&lt;安値!AE235,安値!AD235&lt;安値!AF235),25,""))</f>
        <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f>IF(終値!A235="","",IF(AND(安値!AG235&lt;安値!AF235,安値!AG235&lt;安値!AE235,安値!AG235&lt;安値!AH235,安値!AG235&lt;安値!AI235),28,""))</f>
        <v>28</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f>IF(終値!A235="","",IF(AND(高値!N235&gt;高値!M235,高値!N235&gt;高値!L235,高値!N235&gt;高値!O235,高値!N235&gt;高値!P235),9,""))</f>
        <v>9</v>
      </c>
      <c r="AK235" s="503" t="str">
        <f>IF(終値!A235="","",IF(AND(高値!O235&gt;高値!N235,高値!O235&gt;高値!M235,高値!O235&gt;高値!P235,高値!O235&gt;高値!Q235),10,""))</f>
        <v/>
      </c>
      <c r="AL235" s="503" t="str">
        <f>IF(終値!A235="","",IF(AND(高値!P235&gt;高値!O235,高値!P235&gt;高値!N235,高値!P235&gt;高値!Q235,高値!P235&gt;高値!R235),11,""))</f>
        <v/>
      </c>
      <c r="AM235" s="503">
        <f>IF(終値!A235="","",IF(AND(高値!Q235&gt;高値!P235,高値!Q235&gt;高値!O235,高値!Q235&gt;高値!R235,高値!Q235&gt;高値!S235),12,""))</f>
        <v>12</v>
      </c>
      <c r="AN235" s="503" t="str">
        <f>IF(終値!A235="","",IF(AND(高値!R235&gt;高値!Q235,高値!R235&gt;高値!P235,高値!R235&gt;高値!S235,高値!R235&gt;高値!T235),13,""))</f>
        <v/>
      </c>
      <c r="AO235" s="503" t="str">
        <f>IF(終値!A235="","",IF(AND(高値!S235&gt;高値!R235,高値!S235&gt;高値!Q235,高値!S235&gt;高値!T235,高値!S235&gt;高値!U235),14,""))</f>
        <v/>
      </c>
      <c r="AP235" s="503">
        <f>IF(終値!A235="","",IF(AND(高値!T235&gt;高値!S235,高値!T235&gt;高値!R235,高値!T235&gt;高値!U235,高値!T235&gt;高値!V235),15,""))</f>
        <v>15</v>
      </c>
      <c r="AQ235" s="503" t="str">
        <f>IF(終値!A235="","",IF(AND(高値!U235&gt;高値!T235,高値!U235&gt;高値!S235,高値!U235&gt;高値!V235,高値!U235&gt;高値!W235),16,""))</f>
        <v/>
      </c>
      <c r="AR235" s="503" t="str">
        <f>IF(終値!A235="","",IF(AND(高値!V235&gt;高値!U235,高値!V235&gt;高値!T235,高値!V235&gt;高値!W235,高値!V235&gt;高値!X235),17,""))</f>
        <v/>
      </c>
      <c r="AS235" s="503" t="str">
        <f>IF(終値!A235="","",IF(AND(高値!W235&gt;高値!V235,高値!W235&gt;高値!U235,高値!W235&gt;高値!X235,高値!W235&gt;高値!Y235),18,""))</f>
        <v/>
      </c>
      <c r="AT235" s="503">
        <f>IF(終値!A235="","",IF(AND(高値!X235&gt;高値!W235,高値!X235&gt;高値!V235,高値!X235&gt;高値!Y235,高値!X235&gt;高値!Z235),19,""))</f>
        <v>19</v>
      </c>
      <c r="AU235" s="503" t="str">
        <f>IF(終値!A235="","",IF(AND(高値!Y235&gt;高値!X235,高値!Y235&gt;高値!W235,高値!Y235&gt;高値!Z235,高値!Y235&gt;高値!AA235),20,""))</f>
        <v/>
      </c>
      <c r="AV235" s="503" t="str">
        <f>IF(終値!A235="","",IF(AND(高値!Z235&gt;高値!Y235,高値!Z235&gt;高値!X235,高値!Z235&gt;高値!AA235,高値!Z235&gt;高値!AB235),21,""))</f>
        <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f>IF(終値!A235="","",IF(AND(高値!AE235&gt;高値!AD235,高値!AE235&gt;高値!AC235,高値!AE235&gt;高値!AF235,高値!AE235&gt;高値!AG235),26,""))</f>
        <v>26</v>
      </c>
      <c r="BB235" s="503" t="str">
        <f>IF(終値!A235="","",IF(AND(高値!AF235&gt;高値!AE235,高値!AF235&gt;高値!AD235,高値!AF235&gt;高値!AG235,高値!AF235&gt;高値!AH235),27,""))</f>
        <v/>
      </c>
      <c r="BC235" s="503" t="str">
        <f>IF(終値!A235="","",IF(AND(高値!AG235&gt;高値!AF235,高値!AG235&gt;高値!AE235,高値!AG235&gt;高値!AH235,高値!AG235&gt;高値!AI235),28,""))</f>
        <v/>
      </c>
      <c r="BD235" s="503">
        <f t="shared" si="18"/>
        <v>5</v>
      </c>
      <c r="BE235" s="503">
        <f t="shared" si="19"/>
        <v>3</v>
      </c>
      <c r="BF235" s="503">
        <f t="shared" si="20"/>
        <v>13</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9</v>
      </c>
      <c r="BN235" s="503">
        <f t="shared" si="23"/>
        <v>12</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f>IF(終値!A236="","",IF(AND(安値!G236&lt;安値!F236,安値!G236&lt;安値!E236,安値!G236&lt;安値!H236,安値!G236&lt;安値!I236),2,""))</f>
        <v>2</v>
      </c>
      <c r="C236" s="503" t="str">
        <f>IF(終値!A236="","",IF(AND(安値!H236&lt;安値!G236,安値!H236&lt;安値!F236,安値!H236&lt;安値!I236,安値!H236&lt;安値!J236),3,""))</f>
        <v/>
      </c>
      <c r="D236" s="503" t="str">
        <f>IF(終値!A236="","",IF(AND(安値!I236&lt;安値!H236,安値!I236&lt;安値!G236,安値!I236&lt;安値!J236,安値!I236&lt;安値!K236),4,""))</f>
        <v/>
      </c>
      <c r="E236" s="503" t="str">
        <f>IF(終値!A236="","",IF(AND(安値!J236&lt;安値!I236,安値!J236&lt;安値!H236,安値!J236&lt;安値!K236,安値!J236&lt;安値!L236),5,""))</f>
        <v/>
      </c>
      <c r="F236" s="503">
        <f>IF(終値!A236="","",IF(AND(安値!K236&lt;安値!J236,安値!K236&lt;安値!I236,安値!K236&lt;安値!L236,安値!K236&lt;安値!M236),6,""))</f>
        <v>6</v>
      </c>
      <c r="G236" s="503" t="str">
        <f>IF(終値!A236="","",IF(AND(安値!L236&lt;安値!K236,安値!L236&lt;安値!J236,安値!L236&lt;安値!M236,安値!L236&lt;安値!N236),7,""))</f>
        <v/>
      </c>
      <c r="H236" s="503" t="str">
        <f>IF(終値!A236="","",IF(AND(安値!M236&lt;安値!L236,安値!M236&lt;安値!K236,安値!M236&lt;安値!N236,安値!M236&lt;安値!O236),8,""))</f>
        <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f>IF(終値!A236="","",IF(AND(安値!P236&lt;安値!O236,安値!P236&lt;安値!N236,安値!P236&lt;安値!Q236,安値!P236&lt;安値!R236),11,""))</f>
        <v>11</v>
      </c>
      <c r="L236" s="503" t="str">
        <f>IF(終値!A236="","",IF(AND(安値!Q236&lt;安値!P236,安値!Q236&lt;安値!O236,安値!Q236&lt;安値!R236,安値!Q236&lt;安値!S236),12,""))</f>
        <v/>
      </c>
      <c r="M236" s="503" t="str">
        <f>IF(終値!A236="","",IF(AND(安値!R236&lt;安値!Q236,安値!R236&lt;安値!P236,安値!R236&lt;安値!S236,安値!R236&lt;安値!T236),13,""))</f>
        <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f>IF(終値!A236="","",IF(AND(安値!AA236&lt;安値!Z236,安値!AA236&lt;安値!Y236,安値!AA236&lt;安値!AB236,安値!AA236&lt;安値!AC236),22,""))</f>
        <v>22</v>
      </c>
      <c r="W236" s="503" t="str">
        <f>IF(終値!A236="","",IF(AND(安値!AB236&lt;安値!AA236,安値!AB236&lt;安値!Z236,安値!AB236&lt;安値!AC236,安値!AB236&lt;安値!AD236),23,""))</f>
        <v/>
      </c>
      <c r="X236" s="503" t="str">
        <f>IF(終値!A236="","",IF(AND(安値!AC236&lt;安値!AB236,安値!AC236&lt;安値!AA236,安値!AC236&lt;安値!AD236,安値!AC236&lt;安値!AE236),24,""))</f>
        <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t="str">
        <f>IF(終値!A236="","",IF(AND(高値!G236&gt;高値!F236,高値!G236&gt;高値!E236,高値!G236&gt;高値!H236,高値!G236&gt;高値!I236),2,""))</f>
        <v/>
      </c>
      <c r="AD236" s="503" t="str">
        <f>IF(終値!A236="","",IF(AND(高値!H236&gt;高値!G236,高値!H236&gt;高値!F236,高値!H236&gt;高値!I236,高値!H236&gt;高値!J236),3,""))</f>
        <v/>
      </c>
      <c r="AE236" s="503">
        <f>IF(終値!A236="","",IF(AND(高値!I236&gt;高値!H236,高値!I236&gt;高値!G236,高値!I236&gt;高値!J236,高値!I236&gt;高値!K236),4,""))</f>
        <v>4</v>
      </c>
      <c r="AF236" s="503" t="str">
        <f>IF(終値!A236="","",IF(AND(高値!J236&gt;高値!I236,高値!J236&gt;高値!H236,高値!J236&gt;高値!K236,高値!J236&gt;高値!L236),5,""))</f>
        <v/>
      </c>
      <c r="AG236" s="503" t="str">
        <f>IF(終値!A236="","",IF(AND(高値!K236&gt;高値!J236,高値!K236&gt;高値!I236,高値!K236&gt;高値!L236,高値!K236&gt;高値!M236),6,""))</f>
        <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f>IF(終値!A236="","",IF(AND(高値!N236&gt;高値!M236,高値!N236&gt;高値!L236,高値!N236&gt;高値!O236,高値!N236&gt;高値!P236),9,""))</f>
        <v>9</v>
      </c>
      <c r="AK236" s="503" t="str">
        <f>IF(終値!A236="","",IF(AND(高値!O236&gt;高値!N236,高値!O236&gt;高値!M236,高値!O236&gt;高値!P236,高値!O236&gt;高値!Q236),10,""))</f>
        <v/>
      </c>
      <c r="AL236" s="503" t="str">
        <f>IF(終値!A236="","",IF(AND(高値!P236&gt;高値!O236,高値!P236&gt;高値!N236,高値!P236&gt;高値!Q236,高値!P236&gt;高値!R236),11,""))</f>
        <v/>
      </c>
      <c r="AM236" s="503">
        <f>IF(終値!A236="","",IF(AND(高値!Q236&gt;高値!P236,高値!Q236&gt;高値!O236,高値!Q236&gt;高値!R236,高値!Q236&gt;高値!S236),12,""))</f>
        <v>12</v>
      </c>
      <c r="AN236" s="503" t="str">
        <f>IF(終値!A236="","",IF(AND(高値!R236&gt;高値!Q236,高値!R236&gt;高値!P236,高値!R236&gt;高値!S236,高値!R236&gt;高値!T236),13,""))</f>
        <v/>
      </c>
      <c r="AO236" s="503" t="str">
        <f>IF(終値!A236="","",IF(AND(高値!S236&gt;高値!R236,高値!S236&gt;高値!Q236,高値!S236&gt;高値!T236,高値!S236&gt;高値!U236),14,""))</f>
        <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f>IF(終値!A236="","",IF(AND(高値!V236&gt;高値!U236,高値!V236&gt;高値!T236,高値!V236&gt;高値!W236,高値!V236&gt;高値!X236),17,""))</f>
        <v>17</v>
      </c>
      <c r="AS236" s="503" t="str">
        <f>IF(終値!A236="","",IF(AND(高値!W236&gt;高値!V236,高値!W236&gt;高値!U236,高値!W236&gt;高値!X236,高値!W236&gt;高値!Y236),18,""))</f>
        <v/>
      </c>
      <c r="AT236" s="503" t="str">
        <f>IF(終値!A236="","",IF(AND(高値!X236&gt;高値!W236,高値!X236&gt;高値!V236,高値!X236&gt;高値!Y236,高値!X236&gt;高値!Z236),19,""))</f>
        <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f>IF(終値!A236="","",IF(AND(高値!AC236&gt;高値!AB236,高値!AC236&gt;高値!AA236,高値!AC236&gt;高値!AD236,高値!AC236&gt;高値!AE236),24,""))</f>
        <v>24</v>
      </c>
      <c r="AZ236" s="503" t="str">
        <f>IF(終値!A236="","",IF(AND(高値!AD236&gt;高値!AC236,高値!AD236&gt;高値!AB236,高値!AD236&gt;高値!AE236,高値!AD236&gt;高値!AF236),25,""))</f>
        <v/>
      </c>
      <c r="BA236" s="503" t="str">
        <f>IF(終値!A236="","",IF(AND(高値!AE236&gt;高値!AD236,高値!AE236&gt;高値!AC236,高値!AE236&gt;高値!AF236,高値!AE236&gt;高値!AG236),26,""))</f>
        <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2</v>
      </c>
      <c r="BF236" s="503">
        <f t="shared" si="20"/>
        <v>6</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5</v>
      </c>
      <c r="BM236" s="503">
        <f t="shared" si="22"/>
        <v>4</v>
      </c>
      <c r="BN236" s="503">
        <f t="shared" si="23"/>
        <v>9</v>
      </c>
      <c r="BO236" s="503">
        <f>IF($BM236="","",INDEX(高値!$E236:$CZ236,1,$BM236+1))</f>
        <v>1744</v>
      </c>
      <c r="BP236" s="503">
        <f>IF($BN236="","",INDEX(高値!$E236:$CZ236,1,$BN236+1))</f>
        <v>1744</v>
      </c>
      <c r="BQ236" s="503">
        <f>IF($BN236="","",MIN(INDEX(安値!$E236:$CZ236,1,$BM236+1):INDEX(安値!$E236:$CZ236,1,$BN236+1)))</f>
        <v>1688</v>
      </c>
      <c r="BR236" s="503">
        <f>IF($BN236="","",AVERAGE(INDEX(終値!$E236:$CZ236,1,$BN236+1):INDEX(終値!$E236:$CZ236,1,$BN236+20))+2*STDEVP(INDEX(終値!$E236:$CZ236,1,$BN236+1):INDEX(終値!$E236:$CZ236,1,$BN236+20)))</f>
        <v>1771.2536407010011</v>
      </c>
      <c r="BS236" s="503">
        <f>IF($BM236="","",AVERAGE(INDEX(終値!$E236:$CZ236,1,$BM236+1):INDEX(終値!$E236:$CZ236,1,$BM236+20))+2*STDEVP(INDEX(終値!$E236:$CZ236,1,$BM236+1):INDEX(終値!$E236:$CZ236,1,$BM236+20)))</f>
        <v>1771.6397992432333</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f>IF(終値!A237="","",IF(AND(安値!G237&lt;安値!F237,安値!G237&lt;安値!E237,安値!G237&lt;安値!H237,安値!G237&lt;安値!I237),2,""))</f>
        <v>2</v>
      </c>
      <c r="C237" s="503" t="str">
        <f>IF(終値!A237="","",IF(AND(安値!H237&lt;安値!G237,安値!H237&lt;安値!F237,安値!H237&lt;安値!I237,安値!H237&lt;安値!J237),3,""))</f>
        <v/>
      </c>
      <c r="D237" s="503" t="str">
        <f>IF(終値!A237="","",IF(AND(安値!I237&lt;安値!H237,安値!I237&lt;安値!G237,安値!I237&lt;安値!J237,安値!I237&lt;安値!K237),4,""))</f>
        <v/>
      </c>
      <c r="E237" s="503" t="str">
        <f>IF(終値!A237="","",IF(AND(安値!J237&lt;安値!I237,安値!J237&lt;安値!H237,安値!J237&lt;安値!K237,安値!J237&lt;安値!L237),5,""))</f>
        <v/>
      </c>
      <c r="F237" s="503" t="str">
        <f>IF(終値!A237="","",IF(AND(安値!K237&lt;安値!J237,安値!K237&lt;安値!I237,安値!K237&lt;安値!L237,安値!K237&lt;安値!M237),6,""))</f>
        <v/>
      </c>
      <c r="G237" s="503">
        <f>IF(終値!A237="","",IF(AND(安値!L237&lt;安値!K237,安値!L237&lt;安値!J237,安値!L237&lt;安値!M237,安値!L237&lt;安値!N237),7,""))</f>
        <v>7</v>
      </c>
      <c r="H237" s="503" t="str">
        <f>IF(終値!A237="","",IF(AND(安値!M237&lt;安値!L237,安値!M237&lt;安値!K237,安値!M237&lt;安値!N237,安値!M237&lt;安値!O237),8,""))</f>
        <v/>
      </c>
      <c r="I237" s="503" t="str">
        <f>IF(終値!A237="","",IF(AND(安値!N237&lt;安値!M237,安値!N237&lt;安値!L237,安値!N237&lt;安値!O237,安値!N237&lt;安値!P237),9,""))</f>
        <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f>IF(終値!A237="","",IF(AND(安値!V237&lt;安値!U237,安値!V237&lt;安値!T237,安値!V237&lt;安値!W237,安値!V237&lt;安値!X237),17,""))</f>
        <v>17</v>
      </c>
      <c r="R237" s="503" t="str">
        <f>IF(終値!A237="","",IF(AND(安値!W237&lt;安値!V237,安値!W237&lt;安値!U237,安値!W237&lt;安値!X237,安値!W237&lt;安値!Y237),18,""))</f>
        <v/>
      </c>
      <c r="S237" s="503" t="str">
        <f>IF(終値!A237="","",IF(AND(安値!X237&lt;安値!W237,安値!X237&lt;安値!V237,安値!X237&lt;安値!Y237,安値!X237&lt;安値!Z237),19,""))</f>
        <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f>IF(終値!A237="","",IF(AND(安値!AA237&lt;安値!Z237,安値!AA237&lt;安値!Y237,安値!AA237&lt;安値!AB237,安値!AA237&lt;安値!AC237),22,""))</f>
        <v>22</v>
      </c>
      <c r="W237" s="503" t="str">
        <f>IF(終値!A237="","",IF(AND(安値!AB237&lt;安値!AA237,安値!AB237&lt;安値!Z237,安値!AB237&lt;安値!AC237,安値!AB237&lt;安値!AD237),23,""))</f>
        <v/>
      </c>
      <c r="X237" s="503" t="str">
        <f>IF(終値!A237="","",IF(AND(安値!AC237&lt;安値!AB237,安値!AC237&lt;安値!AA237,安値!AC237&lt;安値!AD237,安値!AC237&lt;安値!AE237),24,""))</f>
        <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f>IF(終値!A237="","",IF(AND(安値!AF237&lt;安値!AE237,安値!AF237&lt;安値!AD237,安値!AF237&lt;安値!AG237,安値!AF237&lt;安値!AH237),27,""))</f>
        <v>27</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f>IF(終値!A237="","",IF(AND(高値!O237&gt;高値!N237,高値!O237&gt;高値!M237,高値!O237&gt;高値!P237,高値!O237&gt;高値!Q237),10,""))</f>
        <v>10</v>
      </c>
      <c r="AL237" s="503" t="str">
        <f>IF(終値!A237="","",IF(AND(高値!P237&gt;高値!O237,高値!P237&gt;高値!N237,高値!P237&gt;高値!Q237,高値!P237&gt;高値!R237),11,""))</f>
        <v/>
      </c>
      <c r="AM237" s="503" t="str">
        <f>IF(終値!A237="","",IF(AND(高値!Q237&gt;高値!P237,高値!Q237&gt;高値!O237,高値!Q237&gt;高値!R237,高値!Q237&gt;高値!S237),12,""))</f>
        <v/>
      </c>
      <c r="AN237" s="503">
        <f>IF(終値!A237="","",IF(AND(高値!R237&gt;高値!Q237,高値!R237&gt;高値!P237,高値!R237&gt;高値!S237,高値!R237&gt;高値!T237),13,""))</f>
        <v>13</v>
      </c>
      <c r="AO237" s="503" t="str">
        <f>IF(終値!A237="","",IF(AND(高値!S237&gt;高値!R237,高値!S237&gt;高値!Q237,高値!S237&gt;高値!T237,高値!S237&gt;高値!U237),14,""))</f>
        <v/>
      </c>
      <c r="AP237" s="503" t="str">
        <f>IF(終値!A237="","",IF(AND(高値!T237&gt;高値!S237,高値!T237&gt;高値!R237,高値!T237&gt;高値!U237,高値!T237&gt;高値!V237),15,""))</f>
        <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5</v>
      </c>
      <c r="BE237" s="503">
        <f t="shared" si="19"/>
        <v>2</v>
      </c>
      <c r="BF237" s="503">
        <f t="shared" si="20"/>
        <v>7</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10</v>
      </c>
      <c r="BN237" s="503">
        <f t="shared" si="23"/>
        <v>13</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t="str">
        <f>IF(終値!A238="","",IF(AND(安値!H238&lt;安値!G238,安値!H238&lt;安値!F238,安値!H238&lt;安値!I238,安値!H238&lt;安値!J238),3,""))</f>
        <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f>IF(終値!A238="","",IF(AND(安値!L238&lt;安値!K238,安値!L238&lt;安値!J238,安値!L238&lt;安値!M238,安値!L238&lt;安値!N238),7,""))</f>
        <v>7</v>
      </c>
      <c r="H238" s="503" t="str">
        <f>IF(終値!A238="","",IF(AND(安値!M238&lt;安値!L238,安値!M238&lt;安値!K238,安値!M238&lt;安値!N238,安値!M238&lt;安値!O238),8,""))</f>
        <v/>
      </c>
      <c r="I238" s="503" t="str">
        <f>IF(終値!A238="","",IF(AND(安値!N238&lt;安値!M238,安値!N238&lt;安値!L238,安値!N238&lt;安値!O238,安値!N238&lt;安値!P238),9,""))</f>
        <v/>
      </c>
      <c r="J238" s="503" t="str">
        <f>IF(終値!A238="","",IF(AND(安値!O238&lt;安値!N238,安値!O238&lt;安値!M238,安値!O238&lt;安値!P238,安値!O238&lt;安値!Q238),10,""))</f>
        <v/>
      </c>
      <c r="K238" s="503">
        <f>IF(終値!A238="","",IF(AND(安値!P238&lt;安値!O238,安値!P238&lt;安値!N238,安値!P238&lt;安値!Q238,安値!P238&lt;安値!R238),11,""))</f>
        <v>11</v>
      </c>
      <c r="L238" s="503" t="str">
        <f>IF(終値!A238="","",IF(AND(安値!Q238&lt;安値!P238,安値!Q238&lt;安値!O238,安値!Q238&lt;安値!R238,安値!Q238&lt;安値!S238),12,""))</f>
        <v/>
      </c>
      <c r="M238" s="503" t="str">
        <f>IF(終値!A238="","",IF(AND(安値!R238&lt;安値!Q238,安値!R238&lt;安値!P238,安値!R238&lt;安値!S238,安値!R238&lt;安値!T238),13,""))</f>
        <v/>
      </c>
      <c r="N238" s="503">
        <f>IF(終値!A238="","",IF(AND(安値!S238&lt;安値!R238,安値!S238&lt;安値!Q238,安値!S238&lt;安値!T238,安値!S238&lt;安値!U238),14,""))</f>
        <v>14</v>
      </c>
      <c r="O238" s="503" t="str">
        <f>IF(終値!A238="","",IF(AND(安値!T238&lt;安値!S238,安値!T238&lt;安値!R238,安値!T238&lt;安値!U238,安値!T238&lt;安値!V238),15,""))</f>
        <v/>
      </c>
      <c r="P238" s="503" t="str">
        <f>IF(終値!A238="","",IF(AND(安値!U238&lt;安値!T238,安値!U238&lt;安値!S238,安値!U238&lt;安値!V238,安値!U238&lt;安値!W238),16,""))</f>
        <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f>IF(終値!A238="","",IF(AND(安値!AA238&lt;安値!Z238,安値!AA238&lt;安値!Y238,安値!AA238&lt;安値!AB238,安値!AA238&lt;安値!AC238),22,""))</f>
        <v>22</v>
      </c>
      <c r="W238" s="503" t="str">
        <f>IF(終値!A238="","",IF(AND(安値!AB238&lt;安値!AA238,安値!AB238&lt;安値!Z238,安値!AB238&lt;安値!AC238,安値!AB238&lt;安値!AD238),23,""))</f>
        <v/>
      </c>
      <c r="X238" s="503" t="str">
        <f>IF(終値!A238="","",IF(AND(安値!AC238&lt;安値!AB238,安値!AC238&lt;安値!AA238,安値!AC238&lt;安値!AD238,安値!AC238&lt;安値!AE238),24,""))</f>
        <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f>IF(終値!A238="","",IF(AND(高値!N238&gt;高値!M238,高値!N238&gt;高値!L238,高値!N238&gt;高値!O238,高値!N238&gt;高値!P238),9,""))</f>
        <v>9</v>
      </c>
      <c r="AK238" s="503" t="str">
        <f>IF(終値!A238="","",IF(AND(高値!O238&gt;高値!N238,高値!O238&gt;高値!M238,高値!O238&gt;高値!P238,高値!O238&gt;高値!Q238),10,""))</f>
        <v/>
      </c>
      <c r="AL238" s="503" t="str">
        <f>IF(終値!A238="","",IF(AND(高値!P238&gt;高値!O238,高値!P238&gt;高値!N238,高値!P238&gt;高値!Q238,高値!P238&gt;高値!R238),11,""))</f>
        <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f>IF(終値!A238="","",IF(AND(高値!W238&gt;高値!V238,高値!W238&gt;高値!U238,高値!W238&gt;高値!X238,高値!W238&gt;高値!Y238),18,""))</f>
        <v>18</v>
      </c>
      <c r="AT238" s="503" t="str">
        <f>IF(終値!A238="","",IF(AND(高値!X238&gt;高値!W238,高値!X238&gt;高値!V238,高値!X238&gt;高値!Y238,高値!X238&gt;高値!Z238),19,""))</f>
        <v/>
      </c>
      <c r="AU238" s="503" t="str">
        <f>IF(終値!A238="","",IF(AND(高値!Y238&gt;高値!X238,高値!Y238&gt;高値!W238,高値!Y238&gt;高値!Z238,高値!Y238&gt;高値!AA238),20,""))</f>
        <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f>IF(終値!A238="","",IF(AND(高値!AC238&gt;高値!AB238,高値!AC238&gt;高値!AA238,高値!AC238&gt;高値!AD238,高値!AC238&gt;高値!AE238),24,""))</f>
        <v>24</v>
      </c>
      <c r="AZ238" s="503" t="str">
        <f>IF(終値!A238="","",IF(AND(高値!AD238&gt;高値!AC238,高値!AD238&gt;高値!AB238,高値!AD238&gt;高値!AE238,高値!AD238&gt;高値!AF238),25,""))</f>
        <v/>
      </c>
      <c r="BA238" s="503" t="str">
        <f>IF(終値!A238="","",IF(AND(高値!AE238&gt;高値!AD238,高値!AE238&gt;高値!AC238,高値!AE238&gt;高値!AF238,高値!AE238&gt;高値!AG238),26,""))</f>
        <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4</v>
      </c>
      <c r="BE238" s="503">
        <f t="shared" si="19"/>
        <v>7</v>
      </c>
      <c r="BF238" s="503">
        <f t="shared" si="20"/>
        <v>11</v>
      </c>
      <c r="BG238" s="503">
        <f>IF($BE238="","",INDEX(安値!$E238:$CZ238,1,$BE238+1))</f>
        <v>0</v>
      </c>
      <c r="BH238" s="503">
        <f>IF($BF238="","",INDEX(安値!$E238:$CZ238,1,$BF238+1))</f>
        <v>1561</v>
      </c>
      <c r="BI238" s="503">
        <f>IF($BF238="","",MAX(INDEX(高値!$E238:$CZ238,1,$BE238+1):INDEX(高値!$E238:$CZ238,1,$BF238+1)))</f>
        <v>1634</v>
      </c>
      <c r="BJ238" s="503">
        <f>IF($BF238="","",AVERAGE(INDEX(終値!$E238:$CZ238,1,$BF238+1):INDEX(終値!$E238:$CZ238,1,$BF238+20))-2*STDEVP(INDEX(終値!$E238:$CZ238,1,$BF238+1):INDEX(終値!$E238:$CZ238,1,$BF238+20)))</f>
        <v>1532.7155003714163</v>
      </c>
      <c r="BK238" s="503">
        <f>IF($BE238="","",AVERAGE(INDEX(終値!$E238:$CZ238,1,$BE238+1):INDEX(終値!$E238:$CZ238,1,$BE238+20))-2*STDEVP(INDEX(終値!$E238:$CZ238,1,$BE238+1):INDEX(終値!$E238:$CZ238,1,$BE238+20)))</f>
        <v>1548.4288949657391</v>
      </c>
      <c r="BL238" s="503">
        <f t="shared" si="21"/>
        <v>3</v>
      </c>
      <c r="BM238" s="503">
        <f t="shared" si="22"/>
        <v>9</v>
      </c>
      <c r="BN238" s="503">
        <f t="shared" si="23"/>
        <v>18</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二番天井M▼</v>
      </c>
    </row>
    <row r="239" spans="2:72">
      <c r="B239" s="503" t="str">
        <f>IF(終値!A239="","",IF(AND(安値!G239&lt;安値!F239,安値!G239&lt;安値!E239,安値!G239&lt;安値!H239,安値!G239&lt;安値!I239),2,""))</f>
        <v/>
      </c>
      <c r="C239" s="503" t="str">
        <f>IF(終値!A239="","",IF(AND(安値!H239&lt;安値!G239,安値!H239&lt;安値!F239,安値!H239&lt;安値!I239,安値!H239&lt;安値!J239),3,""))</f>
        <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f>IF(終値!A239="","",IF(AND(安値!L239&lt;安値!K239,安値!L239&lt;安値!J239,安値!L239&lt;安値!M239,安値!L239&lt;安値!N239),7,""))</f>
        <v>7</v>
      </c>
      <c r="H239" s="503" t="str">
        <f>IF(終値!A239="","",IF(AND(安値!M239&lt;安値!L239,安値!M239&lt;安値!K239,安値!M239&lt;安値!N239,安値!M239&lt;安値!O239),8,""))</f>
        <v/>
      </c>
      <c r="I239" s="503" t="str">
        <f>IF(終値!A239="","",IF(AND(安値!N239&lt;安値!M239,安値!N239&lt;安値!L239,安値!N239&lt;安値!O239,安値!N239&lt;安値!P239),9,""))</f>
        <v/>
      </c>
      <c r="J239" s="503" t="str">
        <f>IF(終値!A239="","",IF(AND(安値!O239&lt;安値!N239,安値!O239&lt;安値!M239,安値!O239&lt;安値!P239,安値!O239&lt;安値!Q239),10,""))</f>
        <v/>
      </c>
      <c r="K239" s="503">
        <f>IF(終値!A239="","",IF(AND(安値!P239&lt;安値!O239,安値!P239&lt;安値!N239,安値!P239&lt;安値!Q239,安値!P239&lt;安値!R239),11,""))</f>
        <v>11</v>
      </c>
      <c r="L239" s="503" t="str">
        <f>IF(終値!A239="","",IF(AND(安値!Q239&lt;安値!P239,安値!Q239&lt;安値!O239,安値!Q239&lt;安値!R239,安値!Q239&lt;安値!S239),12,""))</f>
        <v/>
      </c>
      <c r="M239" s="503" t="str">
        <f>IF(終値!A239="","",IF(AND(安値!R239&lt;安値!Q239,安値!R239&lt;安値!P239,安値!R239&lt;安値!S239,安値!R239&lt;安値!T239),13,""))</f>
        <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f>IF(終値!A239="","",IF(AND(安値!U239&lt;安値!T239,安値!U239&lt;安値!S239,安値!U239&lt;安値!V239,安値!U239&lt;安値!W239),16,""))</f>
        <v>16</v>
      </c>
      <c r="Q239" s="503" t="str">
        <f>IF(終値!A239="","",IF(AND(安値!V239&lt;安値!U239,安値!V239&lt;安値!T239,安値!V239&lt;安値!W239,安値!V239&lt;安値!X239),17,""))</f>
        <v/>
      </c>
      <c r="R239" s="503" t="str">
        <f>IF(終値!A239="","",IF(AND(安値!W239&lt;安値!V239,安値!W239&lt;安値!U239,安値!W239&lt;安値!X239,安値!W239&lt;安値!Y239),18,""))</f>
        <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f>IF(終値!A239="","",IF(AND(安値!AC239&lt;安値!AB239,安値!AC239&lt;安値!AA239,安値!AC239&lt;安値!AD239,安値!AC239&lt;安値!AE239),24,""))</f>
        <v>24</v>
      </c>
      <c r="Y239" s="503" t="str">
        <f>IF(終値!A239="","",IF(AND(安値!AD239&lt;安値!AC239,安値!AD239&lt;安値!AB239,安値!AD239&lt;安値!AE239,安値!AD239&lt;安値!AF239),25,""))</f>
        <v/>
      </c>
      <c r="Z239" s="503" t="str">
        <f>IF(終値!A239="","",IF(AND(安値!AE239&lt;安値!AD239,安値!AE239&lt;安値!AC239,安値!AE239&lt;安値!AF239,安値!AE239&lt;安値!AG239),26,""))</f>
        <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f>IF(終値!A239="","",IF(AND(高値!G239&gt;高値!F239,高値!G239&gt;高値!E239,高値!G239&gt;高値!H239,高値!G239&gt;高値!I239),2,""))</f>
        <v>2</v>
      </c>
      <c r="AD239" s="503" t="str">
        <f>IF(終値!A239="","",IF(AND(高値!H239&gt;高値!G239,高値!H239&gt;高値!F239,高値!H239&gt;高値!I239,高値!H239&gt;高値!J239),3,""))</f>
        <v/>
      </c>
      <c r="AE239" s="503" t="str">
        <f>IF(終値!A239="","",IF(AND(高値!I239&gt;高値!H239,高値!I239&gt;高値!G239,高値!I239&gt;高値!J239,高値!I239&gt;高値!K239),4,""))</f>
        <v/>
      </c>
      <c r="AF239" s="503">
        <f>IF(終値!A239="","",IF(AND(高値!J239&gt;高値!I239,高値!J239&gt;高値!H239,高値!J239&gt;高値!K239,高値!J239&gt;高値!L239),5,""))</f>
        <v>5</v>
      </c>
      <c r="AG239" s="503" t="str">
        <f>IF(終値!A239="","",IF(AND(高値!K239&gt;高値!J239,高値!K239&gt;高値!I239,高値!K239&gt;高値!L239,高値!K239&gt;高値!M239),6,""))</f>
        <v/>
      </c>
      <c r="AH239" s="503" t="str">
        <f>IF(終値!A239="","",IF(AND(高値!L239&gt;高値!K239,高値!L239&gt;高値!J239,高値!L239&gt;高値!M239,高値!L239&gt;高値!N239),7,""))</f>
        <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f>IF(終値!A239="","",IF(AND(高値!Q239&gt;高値!P239,高値!Q239&gt;高値!O239,高値!Q239&gt;高値!R239,高値!Q239&gt;高値!S239),12,""))</f>
        <v>12</v>
      </c>
      <c r="AN239" s="503" t="str">
        <f>IF(終値!A239="","",IF(AND(高値!R239&gt;高値!Q239,高値!R239&gt;高値!P239,高値!R239&gt;高値!S239,高値!R239&gt;高値!T239),13,""))</f>
        <v/>
      </c>
      <c r="AO239" s="503" t="str">
        <f>IF(終値!A239="","",IF(AND(高値!S239&gt;高値!R239,高値!S239&gt;高値!Q239,高値!S239&gt;高値!T239,高値!S239&gt;高値!U239),14,""))</f>
        <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f>IF(終値!A239="","",IF(AND(高値!X239&gt;高値!W239,高値!X239&gt;高値!V239,高値!X239&gt;高値!Y239,高値!X239&gt;高値!Z239),19,""))</f>
        <v>19</v>
      </c>
      <c r="AU239" s="503" t="str">
        <f>IF(終値!A239="","",IF(AND(高値!Y239&gt;高値!X239,高値!Y239&gt;高値!W239,高値!Y239&gt;高値!Z239,高値!Y239&gt;高値!AA239),20,""))</f>
        <v/>
      </c>
      <c r="AV239" s="503" t="str">
        <f>IF(終値!A239="","",IF(AND(高値!Z239&gt;高値!Y239,高値!Z239&gt;高値!X239,高値!Z239&gt;高値!AA239,高値!Z239&gt;高値!AB239),21,""))</f>
        <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4</v>
      </c>
      <c r="BE239" s="503">
        <f t="shared" si="19"/>
        <v>7</v>
      </c>
      <c r="BF239" s="503">
        <f t="shared" si="20"/>
        <v>11</v>
      </c>
      <c r="BG239" s="503">
        <f>IF($BE239="","",INDEX(安値!$E239:$CZ239,1,$BE239+1))</f>
        <v>0</v>
      </c>
      <c r="BH239" s="503">
        <f>IF($BF239="","",INDEX(安値!$E239:$CZ239,1,$BF239+1))</f>
        <v>1761</v>
      </c>
      <c r="BI239" s="503">
        <f>IF($BF239="","",MAX(INDEX(高値!$E239:$CZ239,1,$BE239+1):INDEX(高値!$E239:$CZ239,1,$BF239+1)))</f>
        <v>1822</v>
      </c>
      <c r="BJ239" s="503">
        <f>IF($BF239="","",AVERAGE(INDEX(終値!$E239:$CZ239,1,$BF239+1):INDEX(終値!$E239:$CZ239,1,$BF239+20))-2*STDEVP(INDEX(終値!$E239:$CZ239,1,$BF239+1):INDEX(終値!$E239:$CZ239,1,$BF239+20)))</f>
        <v>1596.561148978157</v>
      </c>
      <c r="BK239" s="503">
        <f>IF($BE239="","",AVERAGE(INDEX(終値!$E239:$CZ239,1,$BE239+1):INDEX(終値!$E239:$CZ239,1,$BE239+20))-2*STDEVP(INDEX(終値!$E239:$CZ239,1,$BE239+1):INDEX(終値!$E239:$CZ239,1,$BE239+20)))</f>
        <v>1603.5997939150511</v>
      </c>
      <c r="BL239" s="503">
        <f t="shared" si="21"/>
        <v>4</v>
      </c>
      <c r="BM239" s="503">
        <f t="shared" si="22"/>
        <v>2</v>
      </c>
      <c r="BN239" s="503">
        <f t="shared" si="23"/>
        <v>5</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二番天井M形成</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f>IF(終値!A240="","",IF(AND(安値!L240&lt;安値!K240,安値!L240&lt;安値!J240,安値!L240&lt;安値!M240,安値!L240&lt;安値!N240),7,""))</f>
        <v>7</v>
      </c>
      <c r="H240" s="503" t="str">
        <f>IF(終値!A240="","",IF(AND(安値!M240&lt;安値!L240,安値!M240&lt;安値!K240,安値!M240&lt;安値!N240,安値!M240&lt;安値!O240),8,""))</f>
        <v/>
      </c>
      <c r="I240" s="503" t="str">
        <f>IF(終値!A240="","",IF(AND(安値!N240&lt;安値!M240,安値!N240&lt;安値!L240,安値!N240&lt;安値!O240,安値!N240&lt;安値!P240),9,""))</f>
        <v/>
      </c>
      <c r="J240" s="503" t="str">
        <f>IF(終値!A240="","",IF(AND(安値!O240&lt;安値!N240,安値!O240&lt;安値!M240,安値!O240&lt;安値!P240,安値!O240&lt;安値!Q240),10,""))</f>
        <v/>
      </c>
      <c r="K240" s="503">
        <f>IF(終値!A240="","",IF(AND(安値!P240&lt;安値!O240,安値!P240&lt;安値!N240,安値!P240&lt;安値!Q240,安値!P240&lt;安値!R240),11,""))</f>
        <v>11</v>
      </c>
      <c r="L240" s="503" t="str">
        <f>IF(終値!A240="","",IF(AND(安値!Q240&lt;安値!P240,安値!Q240&lt;安値!O240,安値!Q240&lt;安値!R240,安値!Q240&lt;安値!S240),12,""))</f>
        <v/>
      </c>
      <c r="M240" s="503" t="str">
        <f>IF(終値!A240="","",IF(AND(安値!R240&lt;安値!Q240,安値!R240&lt;安値!P240,安値!R240&lt;安値!S240,安値!R240&lt;安値!T240),13,""))</f>
        <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f>IF(終値!A240="","",IF(AND(安値!V240&lt;安値!U240,安値!V240&lt;安値!T240,安値!V240&lt;安値!W240,安値!V240&lt;安値!X240),17,""))</f>
        <v>17</v>
      </c>
      <c r="R240" s="503" t="str">
        <f>IF(終値!A240="","",IF(AND(安値!W240&lt;安値!V240,安値!W240&lt;安値!U240,安値!W240&lt;安値!X240,安値!W240&lt;安値!Y240),18,""))</f>
        <v/>
      </c>
      <c r="S240" s="503" t="str">
        <f>IF(終値!A240="","",IF(AND(安値!X240&lt;安値!W240,安値!X240&lt;安値!V240,安値!X240&lt;安値!Y240,安値!X240&lt;安値!Z240),19,""))</f>
        <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f>IF(終値!A240="","",IF(AND(安値!AC240&lt;安値!AB240,安値!AC240&lt;安値!AA240,安値!AC240&lt;安値!AD240,安値!AC240&lt;安値!AE240),24,""))</f>
        <v>24</v>
      </c>
      <c r="Y240" s="503" t="str">
        <f>IF(終値!A240="","",IF(AND(安値!AD240&lt;安値!AC240,安値!AD240&lt;安値!AB240,安値!AD240&lt;安値!AE240,安値!AD240&lt;安値!AF240),25,""))</f>
        <v/>
      </c>
      <c r="Z240" s="503" t="str">
        <f>IF(終値!A240="","",IF(AND(安値!AE240&lt;安値!AD240,安値!AE240&lt;安値!AC240,安値!AE240&lt;安値!AF240,安値!AE240&lt;安値!AG240),26,""))</f>
        <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f>IF(終値!A240="","",IF(AND(高値!N240&gt;高値!M240,高値!N240&gt;高値!L240,高値!N240&gt;高値!O240,高値!N240&gt;高値!P240),9,""))</f>
        <v>9</v>
      </c>
      <c r="AK240" s="503" t="str">
        <f>IF(終値!A240="","",IF(AND(高値!O240&gt;高値!N240,高値!O240&gt;高値!M240,高値!O240&gt;高値!P240,高値!O240&gt;高値!Q240),10,""))</f>
        <v/>
      </c>
      <c r="AL240" s="503" t="str">
        <f>IF(終値!A240="","",IF(AND(高値!P240&gt;高値!O240,高値!P240&gt;高値!N240,高値!P240&gt;高値!Q240,高値!P240&gt;高値!R240),11,""))</f>
        <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f>IF(終値!A240="","",IF(AND(高値!S240&gt;高値!R240,高値!S240&gt;高値!Q240,高値!S240&gt;高値!T240,高値!S240&gt;高値!U240),14,""))</f>
        <v>14</v>
      </c>
      <c r="AP240" s="503" t="str">
        <f>IF(終値!A240="","",IF(AND(高値!T240&gt;高値!S240,高値!T240&gt;高値!R240,高値!T240&gt;高値!U240,高値!T240&gt;高値!V240),15,""))</f>
        <v/>
      </c>
      <c r="AQ240" s="503" t="str">
        <f>IF(終値!A240="","",IF(AND(高値!U240&gt;高値!T240,高値!U240&gt;高値!S240,高値!U240&gt;高値!V240,高値!U240&gt;高値!W240),16,""))</f>
        <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f>IF(終値!A240="","",IF(AND(高値!AA240&gt;高値!Z240,高値!AA240&gt;高値!Y240,高値!AA240&gt;高値!AB240,高値!AA240&gt;高値!AC240),22,""))</f>
        <v>22</v>
      </c>
      <c r="AX240" s="503" t="str">
        <f>IF(終値!A240="","",IF(AND(高値!AB240&gt;高値!AA240,高値!AB240&gt;高値!Z240,高値!AB240&gt;高値!AC240,高値!AB240&gt;高値!AD240),23,""))</f>
        <v/>
      </c>
      <c r="AY240" s="503" t="str">
        <f>IF(終値!A240="","",IF(AND(高値!AC240&gt;高値!AB240,高値!AC240&gt;高値!AA240,高値!AC240&gt;高値!AD240,高値!AC240&gt;高値!AE240),24,""))</f>
        <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7</v>
      </c>
      <c r="BF240" s="503">
        <f t="shared" si="20"/>
        <v>11</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9</v>
      </c>
      <c r="BN240" s="503">
        <f t="shared" si="23"/>
        <v>14</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f>IF(終値!A241="","",IF(AND(安値!H241&lt;安値!G241,安値!H241&lt;安値!F241,安値!H241&lt;安値!I241,安値!H241&lt;安値!J241),3,""))</f>
        <v>3</v>
      </c>
      <c r="D241" s="503" t="str">
        <f>IF(終値!A241="","",IF(AND(安値!I241&lt;安値!H241,安値!I241&lt;安値!G241,安値!I241&lt;安値!J241,安値!I241&lt;安値!K241),4,""))</f>
        <v/>
      </c>
      <c r="E241" s="503" t="str">
        <f>IF(終値!A241="","",IF(AND(安値!J241&lt;安値!I241,安値!J241&lt;安値!H241,安値!J241&lt;安値!K241,安値!J241&lt;安値!L241),5,""))</f>
        <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f>IF(終値!A241="","",IF(AND(安値!O241&lt;安値!N241,安値!O241&lt;安値!M241,安値!O241&lt;安値!P241,安値!O241&lt;安値!Q241),10,""))</f>
        <v>10</v>
      </c>
      <c r="K241" s="503" t="str">
        <f>IF(終値!A241="","",IF(AND(安値!P241&lt;安値!O241,安値!P241&lt;安値!N241,安値!P241&lt;安値!Q241,安値!P241&lt;安値!R241),11,""))</f>
        <v/>
      </c>
      <c r="L241" s="503" t="str">
        <f>IF(終値!A241="","",IF(AND(安値!Q241&lt;安値!P241,安値!Q241&lt;安値!O241,安値!Q241&lt;安値!R241,安値!Q241&lt;安値!S241),12,""))</f>
        <v/>
      </c>
      <c r="M241" s="503" t="str">
        <f>IF(終値!A241="","",IF(AND(安値!R241&lt;安値!Q241,安値!R241&lt;安値!P241,安値!R241&lt;安値!S241,安値!R241&lt;安値!T241),13,""))</f>
        <v/>
      </c>
      <c r="N241" s="503">
        <f>IF(終値!A241="","",IF(AND(安値!S241&lt;安値!R241,安値!S241&lt;安値!Q241,安値!S241&lt;安値!T241,安値!S241&lt;安値!U241),14,""))</f>
        <v>14</v>
      </c>
      <c r="O241" s="503" t="str">
        <f>IF(終値!A241="","",IF(AND(安値!T241&lt;安値!S241,安値!T241&lt;安値!R241,安値!T241&lt;安値!U241,安値!T241&lt;安値!V241),15,""))</f>
        <v/>
      </c>
      <c r="P241" s="503" t="str">
        <f>IF(終値!A241="","",IF(AND(安値!U241&lt;安値!T241,安値!U241&lt;安値!S241,安値!U241&lt;安値!V241,安値!U241&lt;安値!W241),16,""))</f>
        <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f>IF(終値!A241="","",IF(AND(安値!AA241&lt;安値!Z241,安値!AA241&lt;安値!Y241,安値!AA241&lt;安値!AB241,安値!AA241&lt;安値!AC241),22,""))</f>
        <v>22</v>
      </c>
      <c r="W241" s="503" t="str">
        <f>IF(終値!A241="","",IF(AND(安値!AB241&lt;安値!AA241,安値!AB241&lt;安値!Z241,安値!AB241&lt;安値!AC241,安値!AB241&lt;安値!AD241),23,""))</f>
        <v/>
      </c>
      <c r="X241" s="503" t="str">
        <f>IF(終値!A241="","",IF(AND(安値!AC241&lt;安値!AB241,安値!AC241&lt;安値!AA241,安値!AC241&lt;安値!AD241,安値!AC241&lt;安値!AE241),24,""))</f>
        <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f>IF(終値!A241="","",IF(AND(高値!G241&gt;高値!F241,高値!G241&gt;高値!E241,高値!G241&gt;高値!H241,高値!G241&gt;高値!I241),2,""))</f>
        <v>2</v>
      </c>
      <c r="AD241" s="503" t="str">
        <f>IF(終値!A241="","",IF(AND(高値!H241&gt;高値!G241,高値!H241&gt;高値!F241,高値!H241&gt;高値!I241,高値!H241&gt;高値!J241),3,""))</f>
        <v/>
      </c>
      <c r="AE241" s="503" t="str">
        <f>IF(終値!A241="","",IF(AND(高値!I241&gt;高値!H241,高値!I241&gt;高値!G241,高値!I241&gt;高値!J241,高値!I241&gt;高値!K241),4,""))</f>
        <v/>
      </c>
      <c r="AF241" s="503">
        <f>IF(終値!A241="","",IF(AND(高値!J241&gt;高値!I241,高値!J241&gt;高値!H241,高値!J241&gt;高値!K241,高値!J241&gt;高値!L241),5,""))</f>
        <v>5</v>
      </c>
      <c r="AG241" s="503" t="str">
        <f>IF(終値!A241="","",IF(AND(高値!K241&gt;高値!J241,高値!K241&gt;高値!I241,高値!K241&gt;高値!L241,高値!K241&gt;高値!M241),6,""))</f>
        <v/>
      </c>
      <c r="AH241" s="503" t="str">
        <f>IF(終値!A241="","",IF(AND(高値!L241&gt;高値!K241,高値!L241&gt;高値!J241,高値!L241&gt;高値!M241,高値!L241&gt;高値!N241),7,""))</f>
        <v/>
      </c>
      <c r="AI241" s="503" t="str">
        <f>IF(終値!A241="","",IF(AND(高値!M241&gt;高値!L241,高値!M241&gt;高値!K241,高値!M241&gt;高値!N241,高値!M241&gt;高値!O241),8,""))</f>
        <v/>
      </c>
      <c r="AJ241" s="503">
        <f>IF(終値!A241="","",IF(AND(高値!N241&gt;高値!M241,高値!N241&gt;高値!L241,高値!N241&gt;高値!O241,高値!N241&gt;高値!P241),9,""))</f>
        <v>9</v>
      </c>
      <c r="AK241" s="503" t="str">
        <f>IF(終値!A241="","",IF(AND(高値!O241&gt;高値!N241,高値!O241&gt;高値!M241,高値!O241&gt;高値!P241,高値!O241&gt;高値!Q241),10,""))</f>
        <v/>
      </c>
      <c r="AL241" s="503" t="str">
        <f>IF(終値!A241="","",IF(AND(高値!P241&gt;高値!O241,高値!P241&gt;高値!N241,高値!P241&gt;高値!Q241,高値!P241&gt;高値!R241),11,""))</f>
        <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f>IF(終値!A241="","",IF(AND(高値!V241&gt;高値!U241,高値!V241&gt;高値!T241,高値!V241&gt;高値!W241,高値!V241&gt;高値!X241),17,""))</f>
        <v>17</v>
      </c>
      <c r="AS241" s="503" t="str">
        <f>IF(終値!A241="","",IF(AND(高値!W241&gt;高値!V241,高値!W241&gt;高値!U241,高値!W241&gt;高値!X241,高値!W241&gt;高値!Y241),18,""))</f>
        <v/>
      </c>
      <c r="AT241" s="503" t="str">
        <f>IF(終値!A241="","",IF(AND(高値!X241&gt;高値!W241,高値!X241&gt;高値!V241,高値!X241&gt;高値!Y241,高値!X241&gt;高値!Z241),19,""))</f>
        <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f>IF(終値!A241="","",IF(AND(高値!AB241&gt;高値!AA241,高値!AB241&gt;高値!Z241,高値!AB241&gt;高値!AC241,高値!AB241&gt;高値!AD241),23,""))</f>
        <v>23</v>
      </c>
      <c r="AY241" s="503" t="str">
        <f>IF(終値!A241="","",IF(AND(高値!AC241&gt;高値!AB241,高値!AC241&gt;高値!AA241,高値!AC241&gt;高値!AD241,高値!AC241&gt;高値!AE241),24,""))</f>
        <v/>
      </c>
      <c r="AZ241" s="503" t="str">
        <f>IF(終値!A241="","",IF(AND(高値!AD241&gt;高値!AC241,高値!AD241&gt;高値!AB241,高値!AD241&gt;高値!AE241,高値!AD241&gt;高値!AF241),25,""))</f>
        <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3</v>
      </c>
      <c r="BF241" s="503">
        <f t="shared" si="20"/>
        <v>10</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2</v>
      </c>
      <c r="BN241" s="503">
        <f t="shared" si="23"/>
        <v>5</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f>IF(終値!A242="","",IF(AND(安値!H242&lt;安値!G242,安値!H242&lt;安値!F242,安値!H242&lt;安値!I242,安値!H242&lt;安値!J242),3,""))</f>
        <v>3</v>
      </c>
      <c r="D242" s="503" t="str">
        <f>IF(終値!A242="","",IF(AND(安値!I242&lt;安値!H242,安値!I242&lt;安値!G242,安値!I242&lt;安値!J242,安値!I242&lt;安値!K242),4,""))</f>
        <v/>
      </c>
      <c r="E242" s="503" t="str">
        <f>IF(終値!A242="","",IF(AND(安値!J242&lt;安値!I242,安値!J242&lt;安値!H242,安値!J242&lt;安値!K242,安値!J242&lt;安値!L242),5,""))</f>
        <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f>IF(終値!A242="","",IF(AND(安値!P242&lt;安値!O242,安値!P242&lt;安値!N242,安値!P242&lt;安値!Q242,安値!P242&lt;安値!R242),11,""))</f>
        <v>11</v>
      </c>
      <c r="L242" s="503" t="str">
        <f>IF(終値!A242="","",IF(AND(安値!Q242&lt;安値!P242,安値!Q242&lt;安値!O242,安値!Q242&lt;安値!R242,安値!Q242&lt;安値!S242),12,""))</f>
        <v/>
      </c>
      <c r="M242" s="503" t="str">
        <f>IF(終値!A242="","",IF(AND(安値!R242&lt;安値!Q242,安値!R242&lt;安値!P242,安値!R242&lt;安値!S242,安値!R242&lt;安値!T242),13,""))</f>
        <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f>IF(終値!A242="","",IF(AND(安値!V242&lt;安値!U242,安値!V242&lt;安値!T242,安値!V242&lt;安値!W242,安値!V242&lt;安値!X242),17,""))</f>
        <v>17</v>
      </c>
      <c r="R242" s="503" t="str">
        <f>IF(終値!A242="","",IF(AND(安値!W242&lt;安値!V242,安値!W242&lt;安値!U242,安値!W242&lt;安値!X242,安値!W242&lt;安値!Y242),18,""))</f>
        <v/>
      </c>
      <c r="S242" s="503" t="str">
        <f>IF(終値!A242="","",IF(AND(安値!X242&lt;安値!W242,安値!X242&lt;安値!V242,安値!X242&lt;安値!Y242,安値!X242&lt;安値!Z242),19,""))</f>
        <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f>IF(終値!A242="","",IF(AND(高値!S242&gt;高値!R242,高値!S242&gt;高値!Q242,高値!S242&gt;高値!T242,高値!S242&gt;高値!U242),14,""))</f>
        <v>14</v>
      </c>
      <c r="AP242" s="503" t="str">
        <f>IF(終値!A242="","",IF(AND(高値!T242&gt;高値!S242,高値!T242&gt;高値!R242,高値!T242&gt;高値!U242,高値!T242&gt;高値!V242),15,""))</f>
        <v/>
      </c>
      <c r="AQ242" s="503" t="str">
        <f>IF(終値!A242="","",IF(AND(高値!U242&gt;高値!T242,高値!U242&gt;高値!S242,高値!U242&gt;高値!V242,高値!U242&gt;高値!W242),16,""))</f>
        <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f>IF(終値!A242="","",IF(AND(高値!AA242&gt;高値!Z242,高値!AA242&gt;高値!Y242,高値!AA242&gt;高値!AB242,高値!AA242&gt;高値!AC242),22,""))</f>
        <v>22</v>
      </c>
      <c r="AX242" s="503" t="str">
        <f>IF(終値!A242="","",IF(AND(高値!AB242&gt;高値!AA242,高値!AB242&gt;高値!Z242,高値!AB242&gt;高値!AC242,高値!AB242&gt;高値!AD242),23,""))</f>
        <v/>
      </c>
      <c r="AY242" s="503" t="str">
        <f>IF(終値!A242="","",IF(AND(高値!AC242&gt;高値!AB242,高値!AC242&gt;高値!AA242,高値!AC242&gt;高値!AD242,高値!AC242&gt;高値!AE242),24,""))</f>
        <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f>IF(終値!A242="","",IF(AND(高値!AF242&gt;高値!AE242,高値!AF242&gt;高値!AD242,高値!AF242&gt;高値!AG242,高値!AF242&gt;高値!AH242),27,""))</f>
        <v>27</v>
      </c>
      <c r="BC242" s="503" t="str">
        <f>IF(終値!A242="","",IF(AND(高値!AG242&gt;高値!AF242,高値!AG242&gt;高値!AE242,高値!AG242&gt;高値!AH242,高値!AG242&gt;高値!AI242),28,""))</f>
        <v/>
      </c>
      <c r="BD242" s="503">
        <f t="shared" si="18"/>
        <v>3</v>
      </c>
      <c r="BE242" s="503">
        <f t="shared" si="19"/>
        <v>3</v>
      </c>
      <c r="BF242" s="503">
        <f t="shared" si="20"/>
        <v>11</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3</v>
      </c>
      <c r="BM242" s="503">
        <f t="shared" si="22"/>
        <v>14</v>
      </c>
      <c r="BN242" s="503">
        <f t="shared" si="23"/>
        <v>22</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t="str">
        <f>IF(終値!A243="","",IF(AND(安値!H243&lt;安値!G243,安値!H243&lt;安値!F243,安値!H243&lt;安値!I243,安値!H243&lt;安値!J243),3,""))</f>
        <v/>
      </c>
      <c r="D243" s="503">
        <f>IF(終値!A243="","",IF(AND(安値!I243&lt;安値!H243,安値!I243&lt;安値!G243,安値!I243&lt;安値!J243,安値!I243&lt;安値!K243),4,""))</f>
        <v>4</v>
      </c>
      <c r="E243" s="503" t="str">
        <f>IF(終値!A243="","",IF(AND(安値!J243&lt;安値!I243,安値!J243&lt;安値!H243,安値!J243&lt;安値!K243,安値!J243&lt;安値!L243),5,""))</f>
        <v/>
      </c>
      <c r="F243" s="503" t="str">
        <f>IF(終値!A243="","",IF(AND(安値!K243&lt;安値!J243,安値!K243&lt;安値!I243,安値!K243&lt;安値!L243,安値!K243&lt;安値!M243),6,""))</f>
        <v/>
      </c>
      <c r="G243" s="503">
        <f>IF(終値!A243="","",IF(AND(安値!L243&lt;安値!K243,安値!L243&lt;安値!J243,安値!L243&lt;安値!M243,安値!L243&lt;安値!N243),7,""))</f>
        <v>7</v>
      </c>
      <c r="H243" s="503" t="str">
        <f>IF(終値!A243="","",IF(AND(安値!M243&lt;安値!L243,安値!M243&lt;安値!K243,安値!M243&lt;安値!N243,安値!M243&lt;安値!O243),8,""))</f>
        <v/>
      </c>
      <c r="I243" s="503" t="str">
        <f>IF(終値!A243="","",IF(AND(安値!N243&lt;安値!M243,安値!N243&lt;安値!L243,安値!N243&lt;安値!O243,安値!N243&lt;安値!P243),9,""))</f>
        <v/>
      </c>
      <c r="J243" s="503" t="str">
        <f>IF(終値!A243="","",IF(AND(安値!O243&lt;安値!N243,安値!O243&lt;安値!M243,安値!O243&lt;安値!P243,安値!O243&lt;安値!Q243),10,""))</f>
        <v/>
      </c>
      <c r="K243" s="503">
        <f>IF(終値!A243="","",IF(AND(安値!P243&lt;安値!O243,安値!P243&lt;安値!N243,安値!P243&lt;安値!Q243,安値!P243&lt;安値!R243),11,""))</f>
        <v>11</v>
      </c>
      <c r="L243" s="503" t="str">
        <f>IF(終値!A243="","",IF(AND(安値!Q243&lt;安値!P243,安値!Q243&lt;安値!O243,安値!Q243&lt;安値!R243,安値!Q243&lt;安値!S243),12,""))</f>
        <v/>
      </c>
      <c r="M243" s="503" t="str">
        <f>IF(終値!A243="","",IF(AND(安値!R243&lt;安値!Q243,安値!R243&lt;安値!P243,安値!R243&lt;安値!S243,安値!R243&lt;安値!T243),13,""))</f>
        <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f>IF(終値!A243="","",IF(AND(安値!V243&lt;安値!U243,安値!V243&lt;安値!T243,安値!V243&lt;安値!W243,安値!V243&lt;安値!X243),17,""))</f>
        <v>17</v>
      </c>
      <c r="R243" s="503" t="str">
        <f>IF(終値!A243="","",IF(AND(安値!W243&lt;安値!V243,安値!W243&lt;安値!U243,安値!W243&lt;安値!X243,安値!W243&lt;安値!Y243),18,""))</f>
        <v/>
      </c>
      <c r="S243" s="503" t="str">
        <f>IF(終値!A243="","",IF(AND(安値!X243&lt;安値!W243,安値!X243&lt;安値!V243,安値!X243&lt;安値!Y243,安値!X243&lt;安値!Z243),19,""))</f>
        <v/>
      </c>
      <c r="T243" s="503">
        <f>IF(終値!A243="","",IF(AND(安値!Y243&lt;安値!X243,安値!Y243&lt;安値!W243,安値!Y243&lt;安値!Z243,安値!Y243&lt;安値!AA243),20,""))</f>
        <v>20</v>
      </c>
      <c r="U243" s="503" t="str">
        <f>IF(終値!A243="","",IF(AND(安値!Z243&lt;安値!Y243,安値!Z243&lt;安値!X243,安値!Z243&lt;安値!AA243,安値!Z243&lt;安値!AB243),21,""))</f>
        <v/>
      </c>
      <c r="V243" s="503" t="str">
        <f>IF(終値!A243="","",IF(AND(安値!AA243&lt;安値!Z243,安値!AA243&lt;安値!Y243,安値!AA243&lt;安値!AB243,安値!AA243&lt;安値!AC243),22,""))</f>
        <v/>
      </c>
      <c r="W243" s="503">
        <f>IF(終値!A243="","",IF(AND(安値!AB243&lt;安値!AA243,安値!AB243&lt;安値!Z243,安値!AB243&lt;安値!AC243,安値!AB243&lt;安値!AD243),23,""))</f>
        <v>23</v>
      </c>
      <c r="X243" s="503" t="str">
        <f>IF(終値!A243="","",IF(AND(安値!AC243&lt;安値!AB243,安値!AC243&lt;安値!AA243,安値!AC243&lt;安値!AD243,安値!AC243&lt;安値!AE243),24,""))</f>
        <v/>
      </c>
      <c r="Y243" s="503" t="str">
        <f>IF(終値!A243="","",IF(AND(安値!AD243&lt;安値!AC243,安値!AD243&lt;安値!AB243,安値!AD243&lt;安値!AE243,安値!AD243&lt;安値!AF243),25,""))</f>
        <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f>IF(終値!A243="","",IF(AND(高値!N243&gt;高値!M243,高値!N243&gt;高値!L243,高値!N243&gt;高値!O243,高値!N243&gt;高値!P243),9,""))</f>
        <v>9</v>
      </c>
      <c r="AK243" s="503" t="str">
        <f>IF(終値!A243="","",IF(AND(高値!O243&gt;高値!N243,高値!O243&gt;高値!M243,高値!O243&gt;高値!P243,高値!O243&gt;高値!Q243),10,""))</f>
        <v/>
      </c>
      <c r="AL243" s="503" t="str">
        <f>IF(終値!A243="","",IF(AND(高値!P243&gt;高値!O243,高値!P243&gt;高値!N243,高値!P243&gt;高値!Q243,高値!P243&gt;高値!R243),11,""))</f>
        <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f>IF(終値!A243="","",IF(AND(高値!T243&gt;高値!S243,高値!T243&gt;高値!R243,高値!T243&gt;高値!U243,高値!T243&gt;高値!V243),15,""))</f>
        <v>15</v>
      </c>
      <c r="AQ243" s="503" t="str">
        <f>IF(終値!A243="","",IF(AND(高値!U243&gt;高値!T243,高値!U243&gt;高値!S243,高値!U243&gt;高値!V243,高値!U243&gt;高値!W243),16,""))</f>
        <v/>
      </c>
      <c r="AR243" s="503" t="str">
        <f>IF(終値!A243="","",IF(AND(高値!V243&gt;高値!U243,高値!V243&gt;高値!T243,高値!V243&gt;高値!W243,高値!V243&gt;高値!X243),17,""))</f>
        <v/>
      </c>
      <c r="AS243" s="503" t="str">
        <f>IF(終値!A243="","",IF(AND(高値!W243&gt;高値!V243,高値!W243&gt;高値!U243,高値!W243&gt;高値!X243,高値!W243&gt;高値!Y243),18,""))</f>
        <v/>
      </c>
      <c r="AT243" s="503">
        <f>IF(終値!A243="","",IF(AND(高値!X243&gt;高値!W243,高値!X243&gt;高値!V243,高値!X243&gt;高値!Y243,高値!X243&gt;高値!Z243),19,""))</f>
        <v>19</v>
      </c>
      <c r="AU243" s="503" t="str">
        <f>IF(終値!A243="","",IF(AND(高値!Y243&gt;高値!X243,高値!Y243&gt;高値!W243,高値!Y243&gt;高値!Z243,高値!Y243&gt;高値!AA243),20,""))</f>
        <v/>
      </c>
      <c r="AV243" s="503" t="str">
        <f>IF(終値!A243="","",IF(AND(高値!Z243&gt;高値!Y243,高値!Z243&gt;高値!X243,高値!Z243&gt;高値!AA243,高値!Z243&gt;高値!AB243),21,""))</f>
        <v/>
      </c>
      <c r="AW243" s="503">
        <f>IF(終値!A243="","",IF(AND(高値!AA243&gt;高値!Z243,高値!AA243&gt;高値!Y243,高値!AA243&gt;高値!AB243,高値!AA243&gt;高値!AC243),22,""))</f>
        <v>22</v>
      </c>
      <c r="AX243" s="503" t="str">
        <f>IF(終値!A243="","",IF(AND(高値!AB243&gt;高値!AA243,高値!AB243&gt;高値!Z243,高値!AB243&gt;高値!AC243,高値!AB243&gt;高値!AD243),23,""))</f>
        <v/>
      </c>
      <c r="AY243" s="503" t="str">
        <f>IF(終値!A243="","",IF(AND(高値!AC243&gt;高値!AB243,高値!AC243&gt;高値!AA243,高値!AC243&gt;高値!AD243,高値!AC243&gt;高値!AE243),24,""))</f>
        <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6</v>
      </c>
      <c r="BE243" s="503">
        <f t="shared" si="19"/>
        <v>4</v>
      </c>
      <c r="BF243" s="503">
        <f t="shared" si="20"/>
        <v>7</v>
      </c>
      <c r="BG243" s="503">
        <f>IF($BE243="","",INDEX(安値!$E243:$CZ243,1,$BE243+1))</f>
        <v>1670</v>
      </c>
      <c r="BH243" s="503">
        <f>IF($BF243="","",INDEX(安値!$E243:$CZ243,1,$BF243+1))</f>
        <v>1678</v>
      </c>
      <c r="BI243" s="503">
        <f>IF($BF243="","",MAX(INDEX(高値!$E243:$CZ243,1,$BE243+1):INDEX(高値!$E243:$CZ243,1,$BF243+1)))</f>
        <v>1717</v>
      </c>
      <c r="BJ243" s="503">
        <f>IF($BF243="","",AVERAGE(INDEX(終値!$E243:$CZ243,1,$BF243+1):INDEX(終値!$E243:$CZ243,1,$BF243+20))-2*STDEVP(INDEX(終値!$E243:$CZ243,1,$BF243+1):INDEX(終値!$E243:$CZ243,1,$BF243+20)))</f>
        <v>1681.1427057686035</v>
      </c>
      <c r="BK243" s="503">
        <f>IF($BE243="","",AVERAGE(INDEX(終値!$E243:$CZ243,1,$BE243+1):INDEX(終値!$E243:$CZ243,1,$BE243+20))-2*STDEVP(INDEX(終値!$E243:$CZ243,1,$BE243+1):INDEX(終値!$E243:$CZ243,1,$BE243+20)))</f>
        <v>1680.7045663052588</v>
      </c>
      <c r="BL243" s="503">
        <f t="shared" si="21"/>
        <v>4</v>
      </c>
      <c r="BM243" s="503">
        <f t="shared" si="22"/>
        <v>9</v>
      </c>
      <c r="BN243" s="503">
        <f t="shared" si="23"/>
        <v>15</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v>
      </c>
    </row>
    <row r="244" spans="2:72">
      <c r="B244" s="503" t="str">
        <f>IF(終値!A244="","",IF(AND(安値!G244&lt;安値!F244,安値!G244&lt;安値!E244,安値!G244&lt;安値!H244,安値!G244&lt;安値!I244),2,""))</f>
        <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f>IF(終値!A244="","",IF(AND(安値!L244&lt;安値!K244,安値!L244&lt;安値!J244,安値!L244&lt;安値!M244,安値!L244&lt;安値!N244),7,""))</f>
        <v>7</v>
      </c>
      <c r="H244" s="503" t="str">
        <f>IF(終値!A244="","",IF(AND(安値!M244&lt;安値!L244,安値!M244&lt;安値!K244,安値!M244&lt;安値!N244,安値!M244&lt;安値!O244),8,""))</f>
        <v/>
      </c>
      <c r="I244" s="503" t="str">
        <f>IF(終値!A244="","",IF(AND(安値!N244&lt;安値!M244,安値!N244&lt;安値!L244,安値!N244&lt;安値!O244,安値!N244&lt;安値!P244),9,""))</f>
        <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f>IF(終値!A244="","",IF(AND(安値!AA244&lt;安値!Z244,安値!AA244&lt;安値!Y244,安値!AA244&lt;安値!AB244,安値!AA244&lt;安値!AC244),22,""))</f>
        <v>22</v>
      </c>
      <c r="W244" s="503" t="str">
        <f>IF(終値!A244="","",IF(AND(安値!AB244&lt;安値!AA244,安値!AB244&lt;安値!Z244,安値!AB244&lt;安値!AC244,安値!AB244&lt;安値!AD244),23,""))</f>
        <v/>
      </c>
      <c r="X244" s="503" t="str">
        <f>IF(終値!A244="","",IF(AND(安値!AC244&lt;安値!AB244,安値!AC244&lt;安値!AA244,安値!AC244&lt;安値!AD244,安値!AC244&lt;安値!AE244),24,""))</f>
        <v/>
      </c>
      <c r="Y244" s="503" t="str">
        <f>IF(終値!A244="","",IF(AND(安値!AD244&lt;安値!AC244,安値!AD244&lt;安値!AB244,安値!AD244&lt;安値!AE244,安値!AD244&lt;安値!AF244),25,""))</f>
        <v/>
      </c>
      <c r="Z244" s="503">
        <f>IF(終値!A244="","",IF(AND(安値!AE244&lt;安値!AD244,安値!AE244&lt;安値!AC244,安値!AE244&lt;安値!AF244,安値!AE244&lt;安値!AG244),26,""))</f>
        <v>26</v>
      </c>
      <c r="AA244" s="503" t="str">
        <f>IF(終値!A244="","",IF(AND(安値!AF244&lt;安値!AE244,安値!AF244&lt;安値!AD244,安値!AF244&lt;安値!AG244,安値!AF244&lt;安値!AH244),27,""))</f>
        <v/>
      </c>
      <c r="AB244" s="503" t="str">
        <f>IF(終値!A244="","",IF(AND(安値!AG244&lt;安値!AF244,安値!AG244&lt;安値!AE244,安値!AG244&lt;安値!AH244,安値!AG244&lt;安値!AI244),28,""))</f>
        <v/>
      </c>
      <c r="AC244" s="503" t="str">
        <f>IF(終値!A244="","",IF(AND(高値!G244&gt;高値!F244,高値!G244&gt;高値!E244,高値!G244&gt;高値!H244,高値!G244&gt;高値!I244),2,""))</f>
        <v/>
      </c>
      <c r="AD244" s="503">
        <f>IF(終値!A244="","",IF(AND(高値!H244&gt;高値!G244,高値!H244&gt;高値!F244,高値!H244&gt;高値!I244,高値!H244&gt;高値!J244),3,""))</f>
        <v>3</v>
      </c>
      <c r="AE244" s="503" t="str">
        <f>IF(終値!A244="","",IF(AND(高値!I244&gt;高値!H244,高値!I244&gt;高値!G244,高値!I244&gt;高値!J244,高値!I244&gt;高値!K244),4,""))</f>
        <v/>
      </c>
      <c r="AF244" s="503" t="str">
        <f>IF(終値!A244="","",IF(AND(高値!J244&gt;高値!I244,高値!J244&gt;高値!H244,高値!J244&gt;高値!K244,高値!J244&gt;高値!L244),5,""))</f>
        <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f>IF(終値!A244="","",IF(AND(高値!O244&gt;高値!N244,高値!O244&gt;高値!M244,高値!O244&gt;高値!P244,高値!O244&gt;高値!Q244),10,""))</f>
        <v>10</v>
      </c>
      <c r="AL244" s="503" t="str">
        <f>IF(終値!A244="","",IF(AND(高値!P244&gt;高値!O244,高値!P244&gt;高値!N244,高値!P244&gt;高値!Q244,高値!P244&gt;高値!R244),11,""))</f>
        <v/>
      </c>
      <c r="AM244" s="503" t="str">
        <f>IF(終値!A244="","",IF(AND(高値!Q244&gt;高値!P244,高値!Q244&gt;高値!O244,高値!Q244&gt;高値!R244,高値!Q244&gt;高値!S244),12,""))</f>
        <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f>IF(終値!A244="","",IF(AND(高値!W244&gt;高値!V244,高値!W244&gt;高値!U244,高値!W244&gt;高値!X244,高値!W244&gt;高値!Y244),18,""))</f>
        <v>18</v>
      </c>
      <c r="AT244" s="503" t="str">
        <f>IF(終値!A244="","",IF(AND(高値!X244&gt;高値!W244,高値!X244&gt;高値!V244,高値!X244&gt;高値!Y244,高値!X244&gt;高値!Z244),19,""))</f>
        <v/>
      </c>
      <c r="AU244" s="503" t="str">
        <f>IF(終値!A244="","",IF(AND(高値!Y244&gt;高値!X244,高値!Y244&gt;高値!W244,高値!Y244&gt;高値!Z244,高値!Y244&gt;高値!AA244),20,""))</f>
        <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3</v>
      </c>
      <c r="BE244" s="503">
        <f t="shared" si="19"/>
        <v>7</v>
      </c>
      <c r="BF244" s="503">
        <f t="shared" si="20"/>
        <v>22</v>
      </c>
      <c r="BG244" s="503">
        <f>IF($BE244="","",INDEX(安値!$E244:$CZ244,1,$BE244+1))</f>
        <v>1963.5</v>
      </c>
      <c r="BH244" s="503">
        <f>IF($BF244="","",INDEX(安値!$E244:$CZ244,1,$BF244+1))</f>
        <v>1844.5</v>
      </c>
      <c r="BI244" s="503">
        <f>IF($BF244="","",MAX(INDEX(高値!$E244:$CZ244,1,$BE244+1):INDEX(高値!$E244:$CZ244,1,$BF244+1)))</f>
        <v>2018</v>
      </c>
      <c r="BJ244" s="503">
        <f>IF($BF244="","",AVERAGE(INDEX(終値!$E244:$CZ244,1,$BF244+1):INDEX(終値!$E244:$CZ244,1,$BF244+20))-2*STDEVP(INDEX(終値!$E244:$CZ244,1,$BF244+1):INDEX(終値!$E244:$CZ244,1,$BF244+20)))</f>
        <v>1840.424064635007</v>
      </c>
      <c r="BK244" s="503">
        <f>IF($BE244="","",AVERAGE(INDEX(終値!$E244:$CZ244,1,$BE244+1):INDEX(終値!$E244:$CZ244,1,$BE244+20))-2*STDEVP(INDEX(終値!$E244:$CZ244,1,$BE244+1):INDEX(終値!$E244:$CZ244,1,$BE244+20)))</f>
        <v>1852.0169751907774</v>
      </c>
      <c r="BL244" s="503">
        <f t="shared" si="21"/>
        <v>3</v>
      </c>
      <c r="BM244" s="503">
        <f t="shared" si="22"/>
        <v>3</v>
      </c>
      <c r="BN244" s="503">
        <f t="shared" si="23"/>
        <v>10</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f>IF(終値!A246="","",IF(AND(安値!I246&lt;安値!H246,安値!I246&lt;安値!G246,安値!I246&lt;安値!J246,安値!I246&lt;安値!K246),4,""))</f>
        <v>4</v>
      </c>
      <c r="E246" s="503" t="str">
        <f>IF(終値!A246="","",IF(AND(安値!J246&lt;安値!I246,安値!J246&lt;安値!H246,安値!J246&lt;安値!K246,安値!J246&lt;安値!L246),5,""))</f>
        <v/>
      </c>
      <c r="F246" s="503" t="str">
        <f>IF(終値!A246="","",IF(AND(安値!K246&lt;安値!J246,安値!K246&lt;安値!I246,安値!K246&lt;安値!L246,安値!K246&lt;安値!M246),6,""))</f>
        <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f>IF(終値!A246="","",IF(AND(安値!V246&lt;安値!U246,安値!V246&lt;安値!T246,安値!V246&lt;安値!W246,安値!V246&lt;安値!X246),17,""))</f>
        <v>17</v>
      </c>
      <c r="R246" s="503" t="str">
        <f>IF(終値!A246="","",IF(AND(安値!W246&lt;安値!V246,安値!W246&lt;安値!U246,安値!W246&lt;安値!X246,安値!W246&lt;安値!Y246),18,""))</f>
        <v/>
      </c>
      <c r="S246" s="503" t="str">
        <f>IF(終値!A246="","",IF(AND(安値!X246&lt;安値!W246,安値!X246&lt;安値!V246,安値!X246&lt;安値!Y246,安値!X246&lt;安値!Z246),19,""))</f>
        <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f>IF(終値!A246="","",IF(AND(高値!T246&gt;高値!S246,高値!T246&gt;高値!R246,高値!T246&gt;高値!U246,高値!T246&gt;高値!V246),15,""))</f>
        <v>15</v>
      </c>
      <c r="AQ246" s="503" t="str">
        <f>IF(終値!A246="","",IF(AND(高値!U246&gt;高値!T246,高値!U246&gt;高値!S246,高値!U246&gt;高値!V246,高値!U246&gt;高値!W246),16,""))</f>
        <v/>
      </c>
      <c r="AR246" s="503" t="str">
        <f>IF(終値!A246="","",IF(AND(高値!V246&gt;高値!U246,高値!V246&gt;高値!T246,高値!V246&gt;高値!W246,高値!V246&gt;高値!X246),17,""))</f>
        <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4</v>
      </c>
      <c r="BF246" s="503">
        <f t="shared" si="20"/>
        <v>17</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f>IF(終値!A247="","",IF(AND(安値!I247&lt;安値!H247,安値!I247&lt;安値!G247,安値!I247&lt;安値!J247,安値!I247&lt;安値!K247),4,""))</f>
        <v>4</v>
      </c>
      <c r="E247" s="503" t="str">
        <f>IF(終値!A247="","",IF(AND(安値!J247&lt;安値!I247,安値!J247&lt;安値!H247,安値!J247&lt;安値!K247,安値!J247&lt;安値!L247),5,""))</f>
        <v/>
      </c>
      <c r="F247" s="503" t="str">
        <f>IF(終値!A247="","",IF(AND(安値!K247&lt;安値!J247,安値!K247&lt;安値!I247,安値!K247&lt;安値!L247,安値!K247&lt;安値!M247),6,""))</f>
        <v/>
      </c>
      <c r="G247" s="503">
        <f>IF(終値!A247="","",IF(AND(安値!L247&lt;安値!K247,安値!L247&lt;安値!J247,安値!L247&lt;安値!M247,安値!L247&lt;安値!N247),7,""))</f>
        <v>7</v>
      </c>
      <c r="H247" s="503" t="str">
        <f>IF(終値!A247="","",IF(AND(安値!M247&lt;安値!L247,安値!M247&lt;安値!K247,安値!M247&lt;安値!N247,安値!M247&lt;安値!O247),8,""))</f>
        <v/>
      </c>
      <c r="I247" s="503" t="str">
        <f>IF(終値!A247="","",IF(AND(安値!N247&lt;安値!M247,安値!N247&lt;安値!L247,安値!N247&lt;安値!O247,安値!N247&lt;安値!P247),9,""))</f>
        <v/>
      </c>
      <c r="J247" s="503" t="str">
        <f>IF(終値!A247="","",IF(AND(安値!O247&lt;安値!N247,安値!O247&lt;安値!M247,安値!O247&lt;安値!P247,安値!O247&lt;安値!Q247),10,""))</f>
        <v/>
      </c>
      <c r="K247" s="503">
        <f>IF(終値!A247="","",IF(AND(安値!P247&lt;安値!O247,安値!P247&lt;安値!N247,安値!P247&lt;安値!Q247,安値!P247&lt;安値!R247),11,""))</f>
        <v>11</v>
      </c>
      <c r="L247" s="503" t="str">
        <f>IF(終値!A247="","",IF(AND(安値!Q247&lt;安値!P247,安値!Q247&lt;安値!O247,安値!Q247&lt;安値!R247,安値!Q247&lt;安値!S247),12,""))</f>
        <v/>
      </c>
      <c r="M247" s="503" t="str">
        <f>IF(終値!A247="","",IF(AND(安値!R247&lt;安値!Q247,安値!R247&lt;安値!P247,安値!R247&lt;安値!S247,安値!R247&lt;安値!T247),13,""))</f>
        <v/>
      </c>
      <c r="N247" s="503">
        <f>IF(終値!A247="","",IF(AND(安値!S247&lt;安値!R247,安値!S247&lt;安値!Q247,安値!S247&lt;安値!T247,安値!S247&lt;安値!U247),14,""))</f>
        <v>14</v>
      </c>
      <c r="O247" s="503" t="str">
        <f>IF(終値!A247="","",IF(AND(安値!T247&lt;安値!S247,安値!T247&lt;安値!R247,安値!T247&lt;安値!U247,安値!T247&lt;安値!V247),15,""))</f>
        <v/>
      </c>
      <c r="P247" s="503" t="str">
        <f>IF(終値!A247="","",IF(AND(安値!U247&lt;安値!T247,安値!U247&lt;安値!S247,安値!U247&lt;安値!V247,安値!U247&lt;安値!W247),16,""))</f>
        <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f>IF(終値!A247="","",IF(AND(安値!Z247&lt;安値!Y247,安値!Z247&lt;安値!X247,安値!Z247&lt;安値!AA247,安値!Z247&lt;安値!AB247),21,""))</f>
        <v>21</v>
      </c>
      <c r="V247" s="503" t="str">
        <f>IF(終値!A247="","",IF(AND(安値!AA247&lt;安値!Z247,安値!AA247&lt;安値!Y247,安値!AA247&lt;安値!AB247,安値!AA247&lt;安値!AC247),22,""))</f>
        <v/>
      </c>
      <c r="W247" s="503" t="str">
        <f>IF(終値!A247="","",IF(AND(安値!AB247&lt;安値!AA247,安値!AB247&lt;安値!Z247,安値!AB247&lt;安値!AC247,安値!AB247&lt;安値!AD247),23,""))</f>
        <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f>IF(終値!A247="","",IF(AND(高値!K247&gt;高値!J247,高値!K247&gt;高値!I247,高値!K247&gt;高値!L247,高値!K247&gt;高値!M247),6,""))</f>
        <v>6</v>
      </c>
      <c r="AH247" s="503" t="str">
        <f>IF(終値!A247="","",IF(AND(高値!L247&gt;高値!K247,高値!L247&gt;高値!J247,高値!L247&gt;高値!M247,高値!L247&gt;高値!N247),7,""))</f>
        <v/>
      </c>
      <c r="AI247" s="503" t="str">
        <f>IF(終値!A247="","",IF(AND(高値!M247&gt;高値!L247,高値!M247&gt;高値!K247,高値!M247&gt;高値!N247,高値!M247&gt;高値!O247),8,""))</f>
        <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f>IF(終値!A247="","",IF(AND(高値!Q247&gt;高値!P247,高値!Q247&gt;高値!O247,高値!Q247&gt;高値!R247,高値!Q247&gt;高値!S247),12,""))</f>
        <v>12</v>
      </c>
      <c r="AN247" s="503" t="str">
        <f>IF(終値!A247="","",IF(AND(高値!R247&gt;高値!Q247,高値!R247&gt;高値!P247,高値!R247&gt;高値!S247,高値!R247&gt;高値!T247),13,""))</f>
        <v/>
      </c>
      <c r="AO247" s="503" t="str">
        <f>IF(終値!A247="","",IF(AND(高値!S247&gt;高値!R247,高値!S247&gt;高値!Q247,高値!S247&gt;高値!T247,高値!S247&gt;高値!U247),14,""))</f>
        <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f>IF(終値!A247="","",IF(AND(高値!X247&gt;高値!W247,高値!X247&gt;高値!V247,高値!X247&gt;高値!Y247,高値!X247&gt;高値!Z247),19,""))</f>
        <v>19</v>
      </c>
      <c r="AU247" s="503" t="str">
        <f>IF(終値!A247="","",IF(AND(高値!Y247&gt;高値!X247,高値!Y247&gt;高値!W247,高値!Y247&gt;高値!Z247,高値!Y247&gt;高値!AA247),20,""))</f>
        <v/>
      </c>
      <c r="AV247" s="503" t="str">
        <f>IF(終値!A247="","",IF(AND(高値!Z247&gt;高値!Y247,高値!Z247&gt;高値!X247,高値!Z247&gt;高値!AA247,高値!Z247&gt;高値!AB247),21,""))</f>
        <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f>IF(終値!A247="","",IF(AND(高値!AG247&gt;高値!AF247,高値!AG247&gt;高値!AE247,高値!AG247&gt;高値!AH247,高値!AG247&gt;高値!AI247),28,""))</f>
        <v>28</v>
      </c>
      <c r="BD247" s="503">
        <f t="shared" si="18"/>
        <v>5</v>
      </c>
      <c r="BE247" s="503">
        <f t="shared" si="19"/>
        <v>4</v>
      </c>
      <c r="BF247" s="503">
        <f t="shared" si="20"/>
        <v>7</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4</v>
      </c>
      <c r="BM247" s="503">
        <f t="shared" si="22"/>
        <v>6</v>
      </c>
      <c r="BN247" s="503">
        <f t="shared" si="23"/>
        <v>12</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t="str">
        <f>IF(終値!A248="","",IF(AND(安値!H248&lt;安値!G248,安値!H248&lt;安値!F248,安値!H248&lt;安値!I248,安値!H248&lt;安値!J248),3,""))</f>
        <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f>IF(終値!A248="","",IF(AND(安値!L248&lt;安値!K248,安値!L248&lt;安値!J248,安値!L248&lt;安値!M248,安値!L248&lt;安値!N248),7,""))</f>
        <v>7</v>
      </c>
      <c r="H248" s="503" t="str">
        <f>IF(終値!A248="","",IF(AND(安値!M248&lt;安値!L248,安値!M248&lt;安値!K248,安値!M248&lt;安値!N248,安値!M248&lt;安値!O248),8,""))</f>
        <v/>
      </c>
      <c r="I248" s="503" t="str">
        <f>IF(終値!A248="","",IF(AND(安値!N248&lt;安値!M248,安値!N248&lt;安値!L248,安値!N248&lt;安値!O248,安値!N248&lt;安値!P248),9,""))</f>
        <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f>IF(終値!A248="","",IF(AND(安値!S248&lt;安値!R248,安値!S248&lt;安値!Q248,安値!S248&lt;安値!T248,安値!S248&lt;安値!U248),14,""))</f>
        <v>14</v>
      </c>
      <c r="O248" s="503" t="str">
        <f>IF(終値!A248="","",IF(AND(安値!T248&lt;安値!S248,安値!T248&lt;安値!R248,安値!T248&lt;安値!U248,安値!T248&lt;安値!V248),15,""))</f>
        <v/>
      </c>
      <c r="P248" s="503" t="str">
        <f>IF(終値!A248="","",IF(AND(安値!U248&lt;安値!T248,安値!U248&lt;安値!S248,安値!U248&lt;安値!V248,安値!U248&lt;安値!W248),16,""))</f>
        <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f>IF(終値!A248="","",IF(AND(高値!H248&gt;高値!G248,高値!H248&gt;高値!F248,高値!H248&gt;高値!I248,高値!H248&gt;高値!J248),3,""))</f>
        <v>3</v>
      </c>
      <c r="AE248" s="503" t="str">
        <f>IF(終値!A248="","",IF(AND(高値!I248&gt;高値!H248,高値!I248&gt;高値!G248,高値!I248&gt;高値!J248,高値!I248&gt;高値!K248),4,""))</f>
        <v/>
      </c>
      <c r="AF248" s="503" t="str">
        <f>IF(終値!A248="","",IF(AND(高値!J248&gt;高値!I248,高値!J248&gt;高値!H248,高値!J248&gt;高値!K248,高値!J248&gt;高値!L248),5,""))</f>
        <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f>IF(終値!A248="","",IF(AND(高値!O248&gt;高値!N248,高値!O248&gt;高値!M248,高値!O248&gt;高値!P248,高値!O248&gt;高値!Q248),10,""))</f>
        <v>10</v>
      </c>
      <c r="AL248" s="503" t="str">
        <f>IF(終値!A248="","",IF(AND(高値!P248&gt;高値!O248,高値!P248&gt;高値!N248,高値!P248&gt;高値!Q248,高値!P248&gt;高値!R248),11,""))</f>
        <v/>
      </c>
      <c r="AM248" s="503" t="str">
        <f>IF(終値!A248="","",IF(AND(高値!Q248&gt;高値!P248,高値!Q248&gt;高値!O248,高値!Q248&gt;高値!R248,高値!Q248&gt;高値!S248),12,""))</f>
        <v/>
      </c>
      <c r="AN248" s="503">
        <f>IF(終値!A248="","",IF(AND(高値!R248&gt;高値!Q248,高値!R248&gt;高値!P248,高値!R248&gt;高値!S248,高値!R248&gt;高値!T248),13,""))</f>
        <v>13</v>
      </c>
      <c r="AO248" s="503" t="str">
        <f>IF(終値!A248="","",IF(AND(高値!S248&gt;高値!R248,高値!S248&gt;高値!Q248,高値!S248&gt;高値!T248,高値!S248&gt;高値!U248),14,""))</f>
        <v/>
      </c>
      <c r="AP248" s="503" t="str">
        <f>IF(終値!A248="","",IF(AND(高値!T248&gt;高値!S248,高値!T248&gt;高値!R248,高値!T248&gt;高値!U248,高値!T248&gt;高値!V248),15,""))</f>
        <v/>
      </c>
      <c r="AQ248" s="503">
        <f>IF(終値!A248="","",IF(AND(高値!U248&gt;高値!T248,高値!U248&gt;高値!S248,高値!U248&gt;高値!V248,高値!U248&gt;高値!W248),16,""))</f>
        <v>16</v>
      </c>
      <c r="AR248" s="503" t="str">
        <f>IF(終値!A248="","",IF(AND(高値!V248&gt;高値!U248,高値!V248&gt;高値!T248,高値!V248&gt;高値!W248,高値!V248&gt;高値!X248),17,""))</f>
        <v/>
      </c>
      <c r="AS248" s="503" t="str">
        <f>IF(終値!A248="","",IF(AND(高値!W248&gt;高値!V248,高値!W248&gt;高値!U248,高値!W248&gt;高値!X248,高値!W248&gt;高値!Y248),18,""))</f>
        <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f>IF(終値!A248="","",IF(AND(高値!AE248&gt;高値!AD248,高値!AE248&gt;高値!AC248,高値!AE248&gt;高値!AF248,高値!AE248&gt;高値!AG248),26,""))</f>
        <v>26</v>
      </c>
      <c r="BB248" s="503" t="str">
        <f>IF(終値!A248="","",IF(AND(高値!AF248&gt;高値!AE248,高値!AF248&gt;高値!AD248,高値!AF248&gt;高値!AG248,高値!AF248&gt;高値!AH248),27,""))</f>
        <v/>
      </c>
      <c r="BC248" s="503" t="str">
        <f>IF(終値!A248="","",IF(AND(高値!AG248&gt;高値!AF248,高値!AG248&gt;高値!AE248,高値!AG248&gt;高値!AH248,高値!AG248&gt;高値!AI248),28,""))</f>
        <v/>
      </c>
      <c r="BD248" s="503">
        <f t="shared" si="18"/>
        <v>2</v>
      </c>
      <c r="BE248" s="503">
        <f t="shared" si="19"/>
        <v>7</v>
      </c>
      <c r="BF248" s="503">
        <f t="shared" si="20"/>
        <v>14</v>
      </c>
      <c r="BG248" s="503">
        <f>IF($BE248="","",INDEX(安値!$E248:$CZ248,1,$BE248+1))</f>
        <v>11905</v>
      </c>
      <c r="BH248" s="503">
        <f>IF($BF248="","",INDEX(安値!$E248:$CZ248,1,$BF248+1))</f>
        <v>11990</v>
      </c>
      <c r="BI248" s="503">
        <f>IF($BF248="","",MAX(INDEX(高値!$E248:$CZ248,1,$BE248+1):INDEX(高値!$E248:$CZ248,1,$BF248+1)))</f>
        <v>12920</v>
      </c>
      <c r="BJ248" s="503">
        <f>IF($BF248="","",AVERAGE(INDEX(終値!$E248:$CZ248,1,$BF248+1):INDEX(終値!$E248:$CZ248,1,$BF248+20))-2*STDEVP(INDEX(終値!$E248:$CZ248,1,$BF248+1):INDEX(終値!$E248:$CZ248,1,$BF248+20)))</f>
        <v>10363.001447455579</v>
      </c>
      <c r="BK248" s="503">
        <f>IF($BE248="","",AVERAGE(INDEX(終値!$E248:$CZ248,1,$BE248+1):INDEX(終値!$E248:$CZ248,1,$BE248+20))-2*STDEVP(INDEX(終値!$E248:$CZ248,1,$BE248+1):INDEX(終値!$E248:$CZ248,1,$BE248+20)))</f>
        <v>10978.183086392139</v>
      </c>
      <c r="BL248" s="503">
        <f t="shared" si="21"/>
        <v>5</v>
      </c>
      <c r="BM248" s="503">
        <f t="shared" si="22"/>
        <v>3</v>
      </c>
      <c r="BN248" s="503">
        <f t="shared" si="23"/>
        <v>10</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f>IF(終値!A249="","",IF(AND(安値!I249&lt;安値!H249,安値!I249&lt;安値!G249,安値!I249&lt;安値!J249,安値!I249&lt;安値!K249),4,""))</f>
        <v>4</v>
      </c>
      <c r="E249" s="503" t="str">
        <f>IF(終値!A249="","",IF(AND(安値!J249&lt;安値!I249,安値!J249&lt;安値!H249,安値!J249&lt;安値!K249,安値!J249&lt;安値!L249),5,""))</f>
        <v/>
      </c>
      <c r="F249" s="503" t="str">
        <f>IF(終値!A249="","",IF(AND(安値!K249&lt;安値!J249,安値!K249&lt;安値!I249,安値!K249&lt;安値!L249,安値!K249&lt;安値!M249),6,""))</f>
        <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f>IF(終値!A249="","",IF(AND(安値!P249&lt;安値!O249,安値!P249&lt;安値!N249,安値!P249&lt;安値!Q249,安値!P249&lt;安値!R249),11,""))</f>
        <v>11</v>
      </c>
      <c r="L249" s="503" t="str">
        <f>IF(終値!A249="","",IF(AND(安値!Q249&lt;安値!P249,安値!Q249&lt;安値!O249,安値!Q249&lt;安値!R249,安値!Q249&lt;安値!S249),12,""))</f>
        <v/>
      </c>
      <c r="M249" s="503" t="str">
        <f>IF(終値!A249="","",IF(AND(安値!R249&lt;安値!Q249,安値!R249&lt;安値!P249,安値!R249&lt;安値!S249,安値!R249&lt;安値!T249),13,""))</f>
        <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f>IF(終値!A249="","",IF(AND(安値!V249&lt;安値!U249,安値!V249&lt;安値!T249,安値!V249&lt;安値!W249,安値!V249&lt;安値!X249),17,""))</f>
        <v>17</v>
      </c>
      <c r="R249" s="503" t="str">
        <f>IF(終値!A249="","",IF(AND(安値!W249&lt;安値!V249,安値!W249&lt;安値!U249,安値!W249&lt;安値!X249,安値!W249&lt;安値!Y249),18,""))</f>
        <v/>
      </c>
      <c r="S249" s="503" t="str">
        <f>IF(終値!A249="","",IF(AND(安値!X249&lt;安値!W249,安値!X249&lt;安値!V249,安値!X249&lt;安値!Y249,安値!X249&lt;安値!Z249),19,""))</f>
        <v/>
      </c>
      <c r="T249" s="503">
        <f>IF(終値!A249="","",IF(AND(安値!Y249&lt;安値!X249,安値!Y249&lt;安値!W249,安値!Y249&lt;安値!Z249,安値!Y249&lt;安値!AA249),20,""))</f>
        <v>20</v>
      </c>
      <c r="U249" s="503" t="str">
        <f>IF(終値!A249="","",IF(AND(安値!Z249&lt;安値!Y249,安値!Z249&lt;安値!X249,安値!Z249&lt;安値!AA249,安値!Z249&lt;安値!AB249),21,""))</f>
        <v/>
      </c>
      <c r="V249" s="503" t="str">
        <f>IF(終値!A249="","",IF(AND(安値!AA249&lt;安値!Z249,安値!AA249&lt;安値!Y249,安値!AA249&lt;安値!AB249,安値!AA249&lt;安値!AC249),22,""))</f>
        <v/>
      </c>
      <c r="W249" s="503" t="str">
        <f>IF(終値!A249="","",IF(AND(安値!AB249&lt;安値!AA249,安値!AB249&lt;安値!Z249,安値!AB249&lt;安値!AC249,安値!AB249&lt;安値!AD249),23,""))</f>
        <v/>
      </c>
      <c r="X249" s="503">
        <f>IF(終値!A249="","",IF(AND(安値!AC249&lt;安値!AB249,安値!AC249&lt;安値!AA249,安値!AC249&lt;安値!AD249,安値!AC249&lt;安値!AE249),24,""))</f>
        <v>24</v>
      </c>
      <c r="Y249" s="503" t="str">
        <f>IF(終値!A249="","",IF(AND(安値!AD249&lt;安値!AC249,安値!AD249&lt;安値!AB249,安値!AD249&lt;安値!AE249,安値!AD249&lt;安値!AF249),25,""))</f>
        <v/>
      </c>
      <c r="Z249" s="503" t="str">
        <f>IF(終値!A249="","",IF(AND(安値!AE249&lt;安値!AD249,安値!AE249&lt;安値!AC249,安値!AE249&lt;安値!AF249,安値!AE249&lt;安値!AG249),26,""))</f>
        <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f>IF(終値!A249="","",IF(AND(高値!N249&gt;高値!M249,高値!N249&gt;高値!L249,高値!N249&gt;高値!O249,高値!N249&gt;高値!P249),9,""))</f>
        <v>9</v>
      </c>
      <c r="AK249" s="503" t="str">
        <f>IF(終値!A249="","",IF(AND(高値!O249&gt;高値!N249,高値!O249&gt;高値!M249,高値!O249&gt;高値!P249,高値!O249&gt;高値!Q249),10,""))</f>
        <v/>
      </c>
      <c r="AL249" s="503" t="str">
        <f>IF(終値!A249="","",IF(AND(高値!P249&gt;高値!O249,高値!P249&gt;高値!N249,高値!P249&gt;高値!Q249,高値!P249&gt;高値!R249),11,""))</f>
        <v/>
      </c>
      <c r="AM249" s="503">
        <f>IF(終値!A249="","",IF(AND(高値!Q249&gt;高値!P249,高値!Q249&gt;高値!O249,高値!Q249&gt;高値!R249,高値!Q249&gt;高値!S249),12,""))</f>
        <v>12</v>
      </c>
      <c r="AN249" s="503" t="str">
        <f>IF(終値!A249="","",IF(AND(高値!R249&gt;高値!Q249,高値!R249&gt;高値!P249,高値!R249&gt;高値!S249,高値!R249&gt;高値!T249),13,""))</f>
        <v/>
      </c>
      <c r="AO249" s="503" t="str">
        <f>IF(終値!A249="","",IF(AND(高値!S249&gt;高値!R249,高値!S249&gt;高値!Q249,高値!S249&gt;高値!T249,高値!S249&gt;高値!U249),14,""))</f>
        <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f>IF(終値!A249="","",IF(AND(高値!W249&gt;高値!V249,高値!W249&gt;高値!U249,高値!W249&gt;高値!X249,高値!W249&gt;高値!Y249),18,""))</f>
        <v>18</v>
      </c>
      <c r="AT249" s="503" t="str">
        <f>IF(終値!A249="","",IF(AND(高値!X249&gt;高値!W249,高値!X249&gt;高値!V249,高値!X249&gt;高値!Y249,高値!X249&gt;高値!Z249),19,""))</f>
        <v/>
      </c>
      <c r="AU249" s="503" t="str">
        <f>IF(終値!A249="","",IF(AND(高値!Y249&gt;高値!X249,高値!Y249&gt;高値!W249,高値!Y249&gt;高値!Z249,高値!Y249&gt;高値!AA249),20,""))</f>
        <v/>
      </c>
      <c r="AV249" s="503" t="str">
        <f>IF(終値!A249="","",IF(AND(高値!Z249&gt;高値!Y249,高値!Z249&gt;高値!X249,高値!Z249&gt;高値!AA249,高値!Z249&gt;高値!AB249),21,""))</f>
        <v/>
      </c>
      <c r="AW249" s="503">
        <f>IF(終値!A249="","",IF(AND(高値!AA249&gt;高値!Z249,高値!AA249&gt;高値!Y249,高値!AA249&gt;高値!AB249,高値!AA249&gt;高値!AC249),22,""))</f>
        <v>22</v>
      </c>
      <c r="AX249" s="503" t="str">
        <f>IF(終値!A249="","",IF(AND(高値!AB249&gt;高値!AA249,高値!AB249&gt;高値!Z249,高値!AB249&gt;高値!AC249,高値!AB249&gt;高値!AD249),23,""))</f>
        <v/>
      </c>
      <c r="AY249" s="503" t="str">
        <f>IF(終値!A249="","",IF(AND(高値!AC249&gt;高値!AB249,高値!AC249&gt;高値!AA249,高値!AC249&gt;高値!AD249,高値!AC249&gt;高値!AE249),24,""))</f>
        <v/>
      </c>
      <c r="AZ249" s="503">
        <f>IF(終値!A249="","",IF(AND(高値!AD249&gt;高値!AC249,高値!AD249&gt;高値!AB249,高値!AD249&gt;高値!AE249,高値!AD249&gt;高値!AF249),25,""))</f>
        <v>25</v>
      </c>
      <c r="BA249" s="503" t="str">
        <f>IF(終値!A249="","",IF(AND(高値!AE249&gt;高値!AD249,高値!AE249&gt;高値!AC249,高値!AE249&gt;高値!AF249,高値!AE249&gt;高値!AG249),26,""))</f>
        <v/>
      </c>
      <c r="BB249" s="503" t="str">
        <f>IF(終値!A249="","",IF(AND(高値!AF249&gt;高値!AE249,高値!AF249&gt;高値!AD249,高値!AF249&gt;高値!AG249,高値!AF249&gt;高値!AH249),27,""))</f>
        <v/>
      </c>
      <c r="BC249" s="503" t="str">
        <f>IF(終値!A249="","",IF(AND(高値!AG249&gt;高値!AF249,高値!AG249&gt;高値!AE249,高値!AG249&gt;高値!AH249,高値!AG249&gt;高値!AI249),28,""))</f>
        <v/>
      </c>
      <c r="BD249" s="503">
        <f t="shared" si="18"/>
        <v>5</v>
      </c>
      <c r="BE249" s="503">
        <f t="shared" si="19"/>
        <v>4</v>
      </c>
      <c r="BF249" s="503">
        <f t="shared" si="20"/>
        <v>11</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9</v>
      </c>
      <c r="BN249" s="503">
        <f t="shared" si="23"/>
        <v>12</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t="str">
        <f>IF(終値!A250="","",IF(AND(安値!H250&lt;安値!G250,安値!H250&lt;安値!F250,安値!H250&lt;安値!I250,安値!H250&lt;安値!J250),3,""))</f>
        <v/>
      </c>
      <c r="D250" s="503">
        <f>IF(終値!A250="","",IF(AND(安値!I250&lt;安値!H250,安値!I250&lt;安値!G250,安値!I250&lt;安値!J250,安値!I250&lt;安値!K250),4,""))</f>
        <v>4</v>
      </c>
      <c r="E250" s="503" t="str">
        <f>IF(終値!A250="","",IF(AND(安値!J250&lt;安値!I250,安値!J250&lt;安値!H250,安値!J250&lt;安値!K250,安値!J250&lt;安値!L250),5,""))</f>
        <v/>
      </c>
      <c r="F250" s="503" t="str">
        <f>IF(終値!A250="","",IF(AND(安値!K250&lt;安値!J250,安値!K250&lt;安値!I250,安値!K250&lt;安値!L250,安値!K250&lt;安値!M250),6,""))</f>
        <v/>
      </c>
      <c r="G250" s="503">
        <f>IF(終値!A250="","",IF(AND(安値!L250&lt;安値!K250,安値!L250&lt;安値!J250,安値!L250&lt;安値!M250,安値!L250&lt;安値!N250),7,""))</f>
        <v>7</v>
      </c>
      <c r="H250" s="503" t="str">
        <f>IF(終値!A250="","",IF(AND(安値!M250&lt;安値!L250,安値!M250&lt;安値!K250,安値!M250&lt;安値!N250,安値!M250&lt;安値!O250),8,""))</f>
        <v/>
      </c>
      <c r="I250" s="503" t="str">
        <f>IF(終値!A250="","",IF(AND(安値!N250&lt;安値!M250,安値!N250&lt;安値!L250,安値!N250&lt;安値!O250,安値!N250&lt;安値!P250),9,""))</f>
        <v/>
      </c>
      <c r="J250" s="503" t="str">
        <f>IF(終値!A250="","",IF(AND(安値!O250&lt;安値!N250,安値!O250&lt;安値!M250,安値!O250&lt;安値!P250,安値!O250&lt;安値!Q250),10,""))</f>
        <v/>
      </c>
      <c r="K250" s="503">
        <f>IF(終値!A250="","",IF(AND(安値!P250&lt;安値!O250,安値!P250&lt;安値!N250,安値!P250&lt;安値!Q250,安値!P250&lt;安値!R250),11,""))</f>
        <v>11</v>
      </c>
      <c r="L250" s="503" t="str">
        <f>IF(終値!A250="","",IF(AND(安値!Q250&lt;安値!P250,安値!Q250&lt;安値!O250,安値!Q250&lt;安値!R250,安値!Q250&lt;安値!S250),12,""))</f>
        <v/>
      </c>
      <c r="M250" s="503" t="str">
        <f>IF(終値!A250="","",IF(AND(安値!R250&lt;安値!Q250,安値!R250&lt;安値!P250,安値!R250&lt;安値!S250,安値!R250&lt;安値!T250),13,""))</f>
        <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f>IF(終値!A250="","",IF(AND(安値!U250&lt;安値!T250,安値!U250&lt;安値!S250,安値!U250&lt;安値!V250,安値!U250&lt;安値!W250),16,""))</f>
        <v>16</v>
      </c>
      <c r="Q250" s="503" t="str">
        <f>IF(終値!A250="","",IF(AND(安値!V250&lt;安値!U250,安値!V250&lt;安値!T250,安値!V250&lt;安値!W250,安値!V250&lt;安値!X250),17,""))</f>
        <v/>
      </c>
      <c r="R250" s="503" t="str">
        <f>IF(終値!A250="","",IF(AND(安値!W250&lt;安値!V250,安値!W250&lt;安値!U250,安値!W250&lt;安値!X250,安値!W250&lt;安値!Y250),18,""))</f>
        <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f>IF(終値!A250="","",IF(AND(安値!AF250&lt;安値!AE250,安値!AF250&lt;安値!AD250,安値!AF250&lt;安値!AG250,安値!AF250&lt;安値!AH250),27,""))</f>
        <v>27</v>
      </c>
      <c r="AB250" s="503" t="str">
        <f>IF(終値!A250="","",IF(AND(安値!AG250&lt;安値!AF250,安値!AG250&lt;安値!AE250,安値!AG250&lt;安値!AH250,安値!AG250&lt;安値!AI250),28,""))</f>
        <v/>
      </c>
      <c r="AC250" s="503">
        <f>IF(終値!A250="","",IF(AND(高値!G250&gt;高値!F250,高値!G250&gt;高値!E250,高値!G250&gt;高値!H250,高値!G250&gt;高値!I250),2,""))</f>
        <v>2</v>
      </c>
      <c r="AD250" s="503" t="str">
        <f>IF(終値!A250="","",IF(AND(高値!H250&gt;高値!G250,高値!H250&gt;高値!F250,高値!H250&gt;高値!I250,高値!H250&gt;高値!J250),3,""))</f>
        <v/>
      </c>
      <c r="AE250" s="503" t="str">
        <f>IF(終値!A250="","",IF(AND(高値!I250&gt;高値!H250,高値!I250&gt;高値!G250,高値!I250&gt;高値!J250,高値!I250&gt;高値!K250),4,""))</f>
        <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f>IF(終値!A250="","",IF(AND(高値!R250&gt;高値!Q250,高値!R250&gt;高値!P250,高値!R250&gt;高値!S250,高値!R250&gt;高値!T250),13,""))</f>
        <v>13</v>
      </c>
      <c r="AO250" s="503" t="str">
        <f>IF(終値!A250="","",IF(AND(高値!S250&gt;高値!R250,高値!S250&gt;高値!Q250,高値!S250&gt;高値!T250,高値!S250&gt;高値!U250),14,""))</f>
        <v/>
      </c>
      <c r="AP250" s="503" t="str">
        <f>IF(終値!A250="","",IF(AND(高値!T250&gt;高値!S250,高値!T250&gt;高値!R250,高値!T250&gt;高値!U250,高値!T250&gt;高値!V250),15,""))</f>
        <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f>IF(終値!A250="","",IF(AND(高値!X250&gt;高値!W250,高値!X250&gt;高値!V250,高値!X250&gt;高値!Y250,高値!X250&gt;高値!Z250),19,""))</f>
        <v>19</v>
      </c>
      <c r="AU250" s="503" t="str">
        <f>IF(終値!A250="","",IF(AND(高値!Y250&gt;高値!X250,高値!Y250&gt;高値!W250,高値!Y250&gt;高値!Z250,高値!Y250&gt;高値!AA250),20,""))</f>
        <v/>
      </c>
      <c r="AV250" s="503" t="str">
        <f>IF(終値!A250="","",IF(AND(高値!Z250&gt;高値!Y250,高値!Z250&gt;高値!X250,高値!Z250&gt;高値!AA250,高値!Z250&gt;高値!AB250),21,""))</f>
        <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4</v>
      </c>
      <c r="BF250" s="503">
        <f t="shared" si="20"/>
        <v>7</v>
      </c>
      <c r="BG250" s="503">
        <f>IF($BE250="","",INDEX(安値!$E250:$CZ250,1,$BE250+1))</f>
        <v>807</v>
      </c>
      <c r="BH250" s="503">
        <f>IF($BF250="","",INDEX(安値!$E250:$CZ250,1,$BF250+1))</f>
        <v>0</v>
      </c>
      <c r="BI250" s="503">
        <f>IF($BF250="","",MAX(INDEX(高値!$E250:$CZ250,1,$BE250+1):INDEX(高値!$E250:$CZ250,1,$BF250+1)))</f>
        <v>863</v>
      </c>
      <c r="BJ250" s="503">
        <f>IF($BF250="","",AVERAGE(INDEX(終値!$E250:$CZ250,1,$BF250+1):INDEX(終値!$E250:$CZ250,1,$BF250+20))-2*STDEVP(INDEX(終値!$E250:$CZ250,1,$BF250+1):INDEX(終値!$E250:$CZ250,1,$BF250+20)))</f>
        <v>836.54502546424339</v>
      </c>
      <c r="BK250" s="503">
        <f>IF($BE250="","",AVERAGE(INDEX(終値!$E250:$CZ250,1,$BE250+1):INDEX(終値!$E250:$CZ250,1,$BE250+20))-2*STDEVP(INDEX(終値!$E250:$CZ250,1,$BE250+1):INDEX(終値!$E250:$CZ250,1,$BE250+20)))</f>
        <v>821.81932006690408</v>
      </c>
      <c r="BL250" s="503">
        <f t="shared" si="21"/>
        <v>3</v>
      </c>
      <c r="BM250" s="503">
        <f t="shared" si="22"/>
        <v>2</v>
      </c>
      <c r="BN250" s="503">
        <f t="shared" si="23"/>
        <v>13</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f>IF(終値!A251="","",IF(AND(安値!I251&lt;安値!H251,安値!I251&lt;安値!G251,安値!I251&lt;安値!J251,安値!I251&lt;安値!K251),4,""))</f>
        <v>4</v>
      </c>
      <c r="E251" s="503" t="str">
        <f>IF(終値!A251="","",IF(AND(安値!J251&lt;安値!I251,安値!J251&lt;安値!H251,安値!J251&lt;安値!K251,安値!J251&lt;安値!L251),5,""))</f>
        <v/>
      </c>
      <c r="F251" s="503" t="str">
        <f>IF(終値!A251="","",IF(AND(安値!K251&lt;安値!J251,安値!K251&lt;安値!I251,安値!K251&lt;安値!L251,安値!K251&lt;安値!M251),6,""))</f>
        <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f>IF(終値!A251="","",IF(AND(安値!U251&lt;安値!T251,安値!U251&lt;安値!S251,安値!U251&lt;安値!V251,安値!U251&lt;安値!W251),16,""))</f>
        <v>16</v>
      </c>
      <c r="Q251" s="503" t="str">
        <f>IF(終値!A251="","",IF(AND(安値!V251&lt;安値!U251,安値!V251&lt;安値!T251,安値!V251&lt;安値!W251,安値!V251&lt;安値!X251),17,""))</f>
        <v/>
      </c>
      <c r="R251" s="503" t="str">
        <f>IF(終値!A251="","",IF(AND(安値!W251&lt;安値!V251,安値!W251&lt;安値!U251,安値!W251&lt;安値!X251,安値!W251&lt;安値!Y251),18,""))</f>
        <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f>IF(終値!A251="","",IF(AND(安値!AD251&lt;安値!AC251,安値!AD251&lt;安値!AB251,安値!AD251&lt;安値!AE251,安値!AD251&lt;安値!AF251),25,""))</f>
        <v>25</v>
      </c>
      <c r="Z251" s="503" t="str">
        <f>IF(終値!A251="","",IF(AND(安値!AE251&lt;安値!AD251,安値!AE251&lt;安値!AC251,安値!AE251&lt;安値!AF251,安値!AE251&lt;安値!AG251),26,""))</f>
        <v/>
      </c>
      <c r="AA251" s="503" t="str">
        <f>IF(終値!A251="","",IF(AND(安値!AF251&lt;安値!AE251,安値!AF251&lt;安値!AD251,安値!AF251&lt;安値!AG251,安値!AF251&lt;安値!AH251),27,""))</f>
        <v/>
      </c>
      <c r="AB251" s="503" t="str">
        <f>IF(終値!A251="","",IF(AND(安値!AG251&lt;安値!AF251,安値!AG251&lt;安値!AE251,安値!AG251&lt;安値!AH251,安値!AG251&lt;安値!AI251),28,""))</f>
        <v/>
      </c>
      <c r="AC251" s="503" t="str">
        <f>IF(終値!A251="","",IF(AND(高値!G251&gt;高値!F251,高値!G251&gt;高値!E251,高値!G251&gt;高値!H251,高値!G251&gt;高値!I251),2,""))</f>
        <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f>IF(終値!A251="","",IF(AND(高値!N251&gt;高値!M251,高値!N251&gt;高値!L251,高値!N251&gt;高値!O251,高値!N251&gt;高値!P251),9,""))</f>
        <v>9</v>
      </c>
      <c r="AK251" s="503" t="str">
        <f>IF(終値!A251="","",IF(AND(高値!O251&gt;高値!N251,高値!O251&gt;高値!M251,高値!O251&gt;高値!P251,高値!O251&gt;高値!Q251),10,""))</f>
        <v/>
      </c>
      <c r="AL251" s="503" t="str">
        <f>IF(終値!A251="","",IF(AND(高値!P251&gt;高値!O251,高値!P251&gt;高値!N251,高値!P251&gt;高値!Q251,高値!P251&gt;高値!R251),11,""))</f>
        <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f>IF(終値!A251="","",IF(AND(高値!W251&gt;高値!V251,高値!W251&gt;高値!U251,高値!W251&gt;高値!X251,高値!W251&gt;高値!Y251),18,""))</f>
        <v>18</v>
      </c>
      <c r="AT251" s="503" t="str">
        <f>IF(終値!A251="","",IF(AND(高値!X251&gt;高値!W251,高値!X251&gt;高値!V251,高値!X251&gt;高値!Y251,高値!X251&gt;高値!Z251),19,""))</f>
        <v/>
      </c>
      <c r="AU251" s="503" t="str">
        <f>IF(終値!A251="","",IF(AND(高値!Y251&gt;高値!X251,高値!Y251&gt;高値!W251,高値!Y251&gt;高値!Z251,高値!Y251&gt;高値!AA251),20,""))</f>
        <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4</v>
      </c>
      <c r="BF251" s="503">
        <f t="shared" si="20"/>
        <v>16</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2</v>
      </c>
      <c r="BM251" s="503">
        <f t="shared" si="22"/>
        <v>9</v>
      </c>
      <c r="BN251" s="503">
        <f t="shared" si="23"/>
        <v>18</v>
      </c>
      <c r="BO251" s="503">
        <f>IF($BM251="","",INDEX(高値!$E251:$CZ251,1,$BM251+1))</f>
        <v>16560</v>
      </c>
      <c r="BP251" s="503">
        <f>IF($BN251="","",INDEX(高値!$E251:$CZ251,1,$BN251+1))</f>
        <v>10030</v>
      </c>
      <c r="BQ251" s="503">
        <f>IF($BN251="","",MIN(INDEX(安値!$E251:$CZ251,1,$BM251+1):INDEX(安値!$E251:$CZ251,1,$BN251+1)))</f>
        <v>8610</v>
      </c>
      <c r="BR251" s="503">
        <f>IF($BN251="","",AVERAGE(INDEX(終値!$E251:$CZ251,1,$BN251+1):INDEX(終値!$E251:$CZ251,1,$BN251+20))+2*STDEVP(INDEX(終値!$E251:$CZ251,1,$BN251+1):INDEX(終値!$E251:$CZ251,1,$BN251+20)))</f>
        <v>9534.8386505695053</v>
      </c>
      <c r="BS251" s="503">
        <f>IF($BM251="","",AVERAGE(INDEX(終値!$E251:$CZ251,1,$BM251+1):INDEX(終値!$E251:$CZ251,1,$BM251+20))+2*STDEVP(INDEX(終値!$E251:$CZ251,1,$BM251+1):INDEX(終値!$E251:$CZ251,1,$BM251+20)))</f>
        <v>15022.603289394487</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f>IF(終値!A252="","",IF(AND(安値!L252&lt;安値!K252,安値!L252&lt;安値!J252,安値!L252&lt;安値!M252,安値!L252&lt;安値!N252),7,""))</f>
        <v>7</v>
      </c>
      <c r="H252" s="503" t="str">
        <f>IF(終値!A252="","",IF(AND(安値!M252&lt;安値!L252,安値!M252&lt;安値!K252,安値!M252&lt;安値!N252,安値!M252&lt;安値!O252),8,""))</f>
        <v/>
      </c>
      <c r="I252" s="503" t="str">
        <f>IF(終値!A252="","",IF(AND(安値!N252&lt;安値!M252,安値!N252&lt;安値!L252,安値!N252&lt;安値!O252,安値!N252&lt;安値!P252),9,""))</f>
        <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f>IF(終値!A252="","",IF(AND(安値!Q252&lt;安値!P252,安値!Q252&lt;安値!O252,安値!Q252&lt;安値!R252,安値!Q252&lt;安値!S252),12,""))</f>
        <v>12</v>
      </c>
      <c r="M252" s="503" t="str">
        <f>IF(終値!A252="","",IF(AND(安値!R252&lt;安値!Q252,安値!R252&lt;安値!P252,安値!R252&lt;安値!S252,安値!R252&lt;安値!T252),13,""))</f>
        <v/>
      </c>
      <c r="N252" s="503" t="str">
        <f>IF(終値!A252="","",IF(AND(安値!S252&lt;安値!R252,安値!S252&lt;安値!Q252,安値!S252&lt;安値!T252,安値!S252&lt;安値!U252),14,""))</f>
        <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f>IF(終値!A252="","",IF(AND(安値!AF252&lt;安値!AE252,安値!AF252&lt;安値!AD252,安値!AF252&lt;安値!AG252,安値!AF252&lt;安値!AH252),27,""))</f>
        <v>27</v>
      </c>
      <c r="AB252" s="503" t="str">
        <f>IF(終値!A252="","",IF(AND(安値!AG252&lt;安値!AF252,安値!AG252&lt;安値!AE252,安値!AG252&lt;安値!AH252,安値!AG252&lt;安値!AI252),28,""))</f>
        <v/>
      </c>
      <c r="AC252" s="503">
        <f>IF(終値!A252="","",IF(AND(高値!G252&gt;高値!F252,高値!G252&gt;高値!E252,高値!G252&gt;高値!H252,高値!G252&gt;高値!I252),2,""))</f>
        <v>2</v>
      </c>
      <c r="AD252" s="503" t="str">
        <f>IF(終値!A252="","",IF(AND(高値!H252&gt;高値!G252,高値!H252&gt;高値!F252,高値!H252&gt;高値!I252,高値!H252&gt;高値!J252),3,""))</f>
        <v/>
      </c>
      <c r="AE252" s="503" t="str">
        <f>IF(終値!A252="","",IF(AND(高値!I252&gt;高値!H252,高値!I252&gt;高値!G252,高値!I252&gt;高値!J252,高値!I252&gt;高値!K252),4,""))</f>
        <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f>IF(終値!A252="","",IF(AND(高値!M252&gt;高値!L252,高値!M252&gt;高値!K252,高値!M252&gt;高値!N252,高値!M252&gt;高値!O252),8,""))</f>
        <v>8</v>
      </c>
      <c r="AJ252" s="503" t="str">
        <f>IF(終値!A252="","",IF(AND(高値!N252&gt;高値!M252,高値!N252&gt;高値!L252,高値!N252&gt;高値!O252,高値!N252&gt;高値!P252),9,""))</f>
        <v/>
      </c>
      <c r="AK252" s="503" t="str">
        <f>IF(終値!A252="","",IF(AND(高値!O252&gt;高値!N252,高値!O252&gt;高値!M252,高値!O252&gt;高値!P252,高値!O252&gt;高値!Q252),10,""))</f>
        <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f>IF(終値!A252="","",IF(AND(高値!T252&gt;高値!S252,高値!T252&gt;高値!R252,高値!T252&gt;高値!U252,高値!T252&gt;高値!V252),15,""))</f>
        <v>15</v>
      </c>
      <c r="AQ252" s="503" t="str">
        <f>IF(終値!A252="","",IF(AND(高値!U252&gt;高値!T252,高値!U252&gt;高値!S252,高値!U252&gt;高値!V252,高値!U252&gt;高値!W252),16,""))</f>
        <v/>
      </c>
      <c r="AR252" s="503" t="str">
        <f>IF(終値!A252="","",IF(AND(高値!V252&gt;高値!U252,高値!V252&gt;高値!T252,高値!V252&gt;高値!W252,高値!V252&gt;高値!X252),17,""))</f>
        <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f>IF(終値!A252="","",IF(AND(高値!Z252&gt;高値!Y252,高値!Z252&gt;高値!X252,高値!Z252&gt;高値!AA252,高値!Z252&gt;高値!AB252),21,""))</f>
        <v>21</v>
      </c>
      <c r="AW252" s="503" t="str">
        <f>IF(終値!A252="","",IF(AND(高値!AA252&gt;高値!Z252,高値!AA252&gt;高値!Y252,高値!AA252&gt;高値!AB252,高値!AA252&gt;高値!AC252),22,""))</f>
        <v/>
      </c>
      <c r="AX252" s="503" t="str">
        <f>IF(終値!A252="","",IF(AND(高値!AB252&gt;高値!AA252,高値!AB252&gt;高値!Z252,高値!AB252&gt;高値!AC252,高値!AB252&gt;高値!AD252),23,""))</f>
        <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3</v>
      </c>
      <c r="BE252" s="503">
        <f t="shared" si="19"/>
        <v>7</v>
      </c>
      <c r="BF252" s="503">
        <f t="shared" si="20"/>
        <v>12</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2</v>
      </c>
      <c r="BN252" s="503">
        <f t="shared" si="23"/>
        <v>8</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二番天井M形成</v>
      </c>
    </row>
    <row r="253" spans="2:72">
      <c r="B253" s="503" t="str">
        <f>IF(終値!A253="","",IF(AND(安値!G253&lt;安値!F253,安値!G253&lt;安値!E253,安値!G253&lt;安値!H253,安値!G253&lt;安値!I253),2,""))</f>
        <v/>
      </c>
      <c r="C253" s="503" t="str">
        <f>IF(終値!A253="","",IF(AND(安値!H253&lt;安値!G253,安値!H253&lt;安値!F253,安値!H253&lt;安値!I253,安値!H253&lt;安値!J253),3,""))</f>
        <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f>IF(終値!A253="","",IF(AND(安値!L253&lt;安値!K253,安値!L253&lt;安値!J253,安値!L253&lt;安値!M253,安値!L253&lt;安値!N253),7,""))</f>
        <v>7</v>
      </c>
      <c r="H253" s="503" t="str">
        <f>IF(終値!A253="","",IF(AND(安値!M253&lt;安値!L253,安値!M253&lt;安値!K253,安値!M253&lt;安値!N253,安値!M253&lt;安値!O253),8,""))</f>
        <v/>
      </c>
      <c r="I253" s="503" t="str">
        <f>IF(終値!A253="","",IF(AND(安値!N253&lt;安値!M253,安値!N253&lt;安値!L253,安値!N253&lt;安値!O253,安値!N253&lt;安値!P253),9,""))</f>
        <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f>IF(終値!A253="","",IF(AND(安値!Q253&lt;安値!P253,安値!Q253&lt;安値!O253,安値!Q253&lt;安値!R253,安値!Q253&lt;安値!S253),12,""))</f>
        <v>12</v>
      </c>
      <c r="M253" s="503" t="str">
        <f>IF(終値!A253="","",IF(AND(安値!R253&lt;安値!Q253,安値!R253&lt;安値!P253,安値!R253&lt;安値!S253,安値!R253&lt;安値!T253),13,""))</f>
        <v/>
      </c>
      <c r="N253" s="503" t="str">
        <f>IF(終値!A253="","",IF(AND(安値!S253&lt;安値!R253,安値!S253&lt;安値!Q253,安値!S253&lt;安値!T253,安値!S253&lt;安値!U253),14,""))</f>
        <v/>
      </c>
      <c r="O253" s="503" t="str">
        <f>IF(終値!A253="","",IF(AND(安値!T253&lt;安値!S253,安値!T253&lt;安値!R253,安値!T253&lt;安値!U253,安値!T253&lt;安値!V253),15,""))</f>
        <v/>
      </c>
      <c r="P253" s="503">
        <f>IF(終値!A253="","",IF(AND(安値!U253&lt;安値!T253,安値!U253&lt;安値!S253,安値!U253&lt;安値!V253,安値!U253&lt;安値!W253),16,""))</f>
        <v>16</v>
      </c>
      <c r="Q253" s="503" t="str">
        <f>IF(終値!A253="","",IF(AND(安値!V253&lt;安値!U253,安値!V253&lt;安値!T253,安値!V253&lt;安値!W253,安値!V253&lt;安値!X253),17,""))</f>
        <v/>
      </c>
      <c r="R253" s="503" t="str">
        <f>IF(終値!A253="","",IF(AND(安値!W253&lt;安値!V253,安値!W253&lt;安値!U253,安値!W253&lt;安値!X253,安値!W253&lt;安値!Y253),18,""))</f>
        <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f>IF(終値!A253="","",IF(AND(安値!AA253&lt;安値!Z253,安値!AA253&lt;安値!Y253,安値!AA253&lt;安値!AB253,安値!AA253&lt;安値!AC253),22,""))</f>
        <v>22</v>
      </c>
      <c r="W253" s="503" t="str">
        <f>IF(終値!A253="","",IF(AND(安値!AB253&lt;安値!AA253,安値!AB253&lt;安値!Z253,安値!AB253&lt;安値!AC253,安値!AB253&lt;安値!AD253),23,""))</f>
        <v/>
      </c>
      <c r="X253" s="503" t="str">
        <f>IF(終値!A253="","",IF(AND(安値!AC253&lt;安値!AB253,安値!AC253&lt;安値!AA253,安値!AC253&lt;安値!AD253,安値!AC253&lt;安値!AE253),24,""))</f>
        <v/>
      </c>
      <c r="Y253" s="503">
        <f>IF(終値!A253="","",IF(AND(安値!AD253&lt;安値!AC253,安値!AD253&lt;安値!AB253,安値!AD253&lt;安値!AE253,安値!AD253&lt;安値!AF253),25,""))</f>
        <v>25</v>
      </c>
      <c r="Z253" s="503" t="str">
        <f>IF(終値!A253="","",IF(AND(安値!AE253&lt;安値!AD253,安値!AE253&lt;安値!AC253,安値!AE253&lt;安値!AF253,安値!AE253&lt;安値!AG253),26,""))</f>
        <v/>
      </c>
      <c r="AA253" s="503" t="str">
        <f>IF(終値!A253="","",IF(AND(安値!AF253&lt;安値!AE253,安値!AF253&lt;安値!AD253,安値!AF253&lt;安値!AG253,安値!AF253&lt;安値!AH253),27,""))</f>
        <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f>IF(終値!A253="","",IF(AND(高値!H253&gt;高値!G253,高値!H253&gt;高値!F253,高値!H253&gt;高値!I253,高値!H253&gt;高値!J253),3,""))</f>
        <v>3</v>
      </c>
      <c r="AE253" s="503" t="str">
        <f>IF(終値!A253="","",IF(AND(高値!I253&gt;高値!H253,高値!I253&gt;高値!G253,高値!I253&gt;高値!J253,高値!I253&gt;高値!K253),4,""))</f>
        <v/>
      </c>
      <c r="AF253" s="503" t="str">
        <f>IF(終値!A253="","",IF(AND(高値!J253&gt;高値!I253,高値!J253&gt;高値!H253,高値!J253&gt;高値!K253,高値!J253&gt;高値!L253),5,""))</f>
        <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f>IF(終値!A253="","",IF(AND(高値!T253&gt;高値!S253,高値!T253&gt;高値!R253,高値!T253&gt;高値!U253,高値!T253&gt;高値!V253),15,""))</f>
        <v>15</v>
      </c>
      <c r="AQ253" s="503" t="str">
        <f>IF(終値!A253="","",IF(AND(高値!U253&gt;高値!T253,高値!U253&gt;高値!S253,高値!U253&gt;高値!V253,高値!U253&gt;高値!W253),16,""))</f>
        <v/>
      </c>
      <c r="AR253" s="503" t="str">
        <f>IF(終値!A253="","",IF(AND(高値!V253&gt;高値!U253,高値!V253&gt;高値!T253,高値!V253&gt;高値!W253,高値!V253&gt;高値!X253),17,""))</f>
        <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f>IF(終値!A253="","",IF(AND(高値!AC253&gt;高値!AB253,高値!AC253&gt;高値!AA253,高値!AC253&gt;高値!AD253,高値!AC253&gt;高値!AE253),24,""))</f>
        <v>24</v>
      </c>
      <c r="AZ253" s="503" t="str">
        <f>IF(終値!A253="","",IF(AND(高値!AD253&gt;高値!AC253,高値!AD253&gt;高値!AB253,高値!AD253&gt;高値!AE253,高値!AD253&gt;高値!AF253),25,""))</f>
        <v/>
      </c>
      <c r="BA253" s="503" t="str">
        <f>IF(終値!A253="","",IF(AND(高値!AE253&gt;高値!AD253,高値!AE253&gt;高値!AC253,高値!AE253&gt;高値!AF253,高値!AE253&gt;高値!AG253),26,""))</f>
        <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5</v>
      </c>
      <c r="BE253" s="503">
        <f t="shared" si="19"/>
        <v>7</v>
      </c>
      <c r="BF253" s="503">
        <f t="shared" si="20"/>
        <v>12</v>
      </c>
      <c r="BG253" s="503">
        <f>IF($BE253="","",INDEX(安値!$E253:$CZ253,1,$BE253+1))</f>
        <v>2431</v>
      </c>
      <c r="BH253" s="503">
        <f>IF($BF253="","",INDEX(安値!$E253:$CZ253,1,$BF253+1))</f>
        <v>2514</v>
      </c>
      <c r="BI253" s="503">
        <f>IF($BF253="","",MAX(INDEX(高値!$E253:$CZ253,1,$BE253+1):INDEX(高値!$E253:$CZ253,1,$BF253+1)))</f>
        <v>2645</v>
      </c>
      <c r="BJ253" s="503">
        <f>IF($BF253="","",AVERAGE(INDEX(終値!$E253:$CZ253,1,$BF253+1):INDEX(終値!$E253:$CZ253,1,$BF253+20))-2*STDEVP(INDEX(終値!$E253:$CZ253,1,$BF253+1):INDEX(終値!$E253:$CZ253,1,$BF253+20)))</f>
        <v>2083.4779900125513</v>
      </c>
      <c r="BK253" s="503">
        <f>IF($BE253="","",AVERAGE(INDEX(終値!$E253:$CZ253,1,$BE253+1):INDEX(終値!$E253:$CZ253,1,$BE253+20))-2*STDEVP(INDEX(終値!$E253:$CZ253,1,$BE253+1):INDEX(終値!$E253:$CZ253,1,$BE253+20)))</f>
        <v>2174.425172547627</v>
      </c>
      <c r="BL253" s="503">
        <f t="shared" si="21"/>
        <v>3</v>
      </c>
      <c r="BM253" s="503">
        <f t="shared" si="22"/>
        <v>3</v>
      </c>
      <c r="BN253" s="503">
        <f t="shared" si="23"/>
        <v>15</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二番底W▲</v>
      </c>
    </row>
    <row r="254" spans="2:72">
      <c r="B254" s="503" t="str">
        <f>IF(終値!A254="","",IF(AND(安値!G254&lt;安値!F254,安値!G254&lt;安値!E254,安値!G254&lt;安値!H254,安値!G254&lt;安値!I254),2,""))</f>
        <v/>
      </c>
      <c r="C254" s="503" t="str">
        <f>IF(終値!A254="","",IF(AND(安値!H254&lt;安値!G254,安値!H254&lt;安値!F254,安値!H254&lt;安値!I254,安値!H254&lt;安値!J254),3,""))</f>
        <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f>IF(終値!A254="","",IF(AND(安値!L254&lt;安値!K254,安値!L254&lt;安値!J254,安値!L254&lt;安値!M254,安値!L254&lt;安値!N254),7,""))</f>
        <v>7</v>
      </c>
      <c r="H254" s="503" t="str">
        <f>IF(終値!A254="","",IF(AND(安値!M254&lt;安値!L254,安値!M254&lt;安値!K254,安値!M254&lt;安値!N254,安値!M254&lt;安値!O254),8,""))</f>
        <v/>
      </c>
      <c r="I254" s="503" t="str">
        <f>IF(終値!A254="","",IF(AND(安値!N254&lt;安値!M254,安値!N254&lt;安値!L254,安値!N254&lt;安値!O254,安値!N254&lt;安値!P254),9,""))</f>
        <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f>IF(終値!A254="","",IF(AND(安値!S254&lt;安値!R254,安値!S254&lt;安値!Q254,安値!S254&lt;安値!T254,安値!S254&lt;安値!U254),14,""))</f>
        <v>14</v>
      </c>
      <c r="O254" s="503" t="str">
        <f>IF(終値!A254="","",IF(AND(安値!T254&lt;安値!S254,安値!T254&lt;安値!R254,安値!T254&lt;安値!U254,安値!T254&lt;安値!V254),15,""))</f>
        <v/>
      </c>
      <c r="P254" s="503" t="str">
        <f>IF(終値!A254="","",IF(AND(安値!U254&lt;安値!T254,安値!U254&lt;安値!S254,安値!U254&lt;安値!V254,安値!U254&lt;安値!W254),16,""))</f>
        <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f>IF(終値!A254="","",IF(AND(安値!AD254&lt;安値!AC254,安値!AD254&lt;安値!AB254,安値!AD254&lt;安値!AE254,安値!AD254&lt;安値!AF254),25,""))</f>
        <v>25</v>
      </c>
      <c r="Z254" s="503" t="str">
        <f>IF(終値!A254="","",IF(AND(安値!AE254&lt;安値!AD254,安値!AE254&lt;安値!AC254,安値!AE254&lt;安値!AF254,安値!AE254&lt;安値!AG254),26,""))</f>
        <v/>
      </c>
      <c r="AA254" s="503" t="str">
        <f>IF(終値!A254="","",IF(AND(安値!AF254&lt;安値!AE254,安値!AF254&lt;安値!AD254,安値!AF254&lt;安値!AG254,安値!AF254&lt;安値!AH254),27,""))</f>
        <v/>
      </c>
      <c r="AB254" s="503">
        <f>IF(終値!A254="","",IF(AND(安値!AG254&lt;安値!AF254,安値!AG254&lt;安値!AE254,安値!AG254&lt;安値!AH254,安値!AG254&lt;安値!AI254),28,""))</f>
        <v>28</v>
      </c>
      <c r="AC254" s="503" t="str">
        <f>IF(終値!A254="","",IF(AND(高値!G254&gt;高値!F254,高値!G254&gt;高値!E254,高値!G254&gt;高値!H254,高値!G254&gt;高値!I254),2,""))</f>
        <v/>
      </c>
      <c r="AD254" s="503">
        <f>IF(終値!A254="","",IF(AND(高値!H254&gt;高値!G254,高値!H254&gt;高値!F254,高値!H254&gt;高値!I254,高値!H254&gt;高値!J254),3,""))</f>
        <v>3</v>
      </c>
      <c r="AE254" s="503" t="str">
        <f>IF(終値!A254="","",IF(AND(高値!I254&gt;高値!H254,高値!I254&gt;高値!G254,高値!I254&gt;高値!J254,高値!I254&gt;高値!K254),4,""))</f>
        <v/>
      </c>
      <c r="AF254" s="503" t="str">
        <f>IF(終値!A254="","",IF(AND(高値!J254&gt;高値!I254,高値!J254&gt;高値!H254,高値!J254&gt;高値!K254,高値!J254&gt;高値!L254),5,""))</f>
        <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f>IF(終値!A254="","",IF(AND(高値!P254&gt;高値!O254,高値!P254&gt;高値!N254,高値!P254&gt;高値!Q254,高値!P254&gt;高値!R254),11,""))</f>
        <v>11</v>
      </c>
      <c r="AM254" s="503" t="str">
        <f>IF(終値!A254="","",IF(AND(高値!Q254&gt;高値!P254,高値!Q254&gt;高値!O254,高値!Q254&gt;高値!R254,高値!Q254&gt;高値!S254),12,""))</f>
        <v/>
      </c>
      <c r="AN254" s="503" t="str">
        <f>IF(終値!A254="","",IF(AND(高値!R254&gt;高値!Q254,高値!R254&gt;高値!P254,高値!R254&gt;高値!S254,高値!R254&gt;高値!T254),13,""))</f>
        <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f>IF(終値!A254="","",IF(AND(高値!Y254&gt;高値!X254,高値!Y254&gt;高値!W254,高値!Y254&gt;高値!Z254,高値!Y254&gt;高値!AA254),20,""))</f>
        <v>20</v>
      </c>
      <c r="AV254" s="503" t="str">
        <f>IF(終値!A254="","",IF(AND(高値!Z254&gt;高値!Y254,高値!Z254&gt;高値!X254,高値!Z254&gt;高値!AA254,高値!Z254&gt;高値!AB254),21,""))</f>
        <v/>
      </c>
      <c r="AW254" s="503" t="str">
        <f>IF(終値!A254="","",IF(AND(高値!AA254&gt;高値!Z254,高値!AA254&gt;高値!Y254,高値!AA254&gt;高値!AB254,高値!AA254&gt;高値!AC254),22,""))</f>
        <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7</v>
      </c>
      <c r="BF254" s="503">
        <f t="shared" si="20"/>
        <v>14</v>
      </c>
      <c r="BG254" s="503">
        <f>IF($BE254="","",INDEX(安値!$E254:$CZ254,1,$BE254+1))</f>
        <v>6121</v>
      </c>
      <c r="BH254" s="503">
        <f>IF($BF254="","",INDEX(安値!$E254:$CZ254,1,$BF254+1))</f>
        <v>6127</v>
      </c>
      <c r="BI254" s="503">
        <f>IF($BF254="","",MAX(INDEX(高値!$E254:$CZ254,1,$BE254+1):INDEX(高値!$E254:$CZ254,1,$BF254+1)))</f>
        <v>6657</v>
      </c>
      <c r="BJ254" s="503">
        <f>IF($BF254="","",AVERAGE(INDEX(終値!$E254:$CZ254,1,$BF254+1):INDEX(終値!$E254:$CZ254,1,$BF254+20))-2*STDEVP(INDEX(終値!$E254:$CZ254,1,$BF254+1):INDEX(終値!$E254:$CZ254,1,$BF254+20)))</f>
        <v>5385.7788881271117</v>
      </c>
      <c r="BK254" s="503">
        <f>IF($BE254="","",AVERAGE(INDEX(終値!$E254:$CZ254,1,$BE254+1):INDEX(終値!$E254:$CZ254,1,$BE254+20))-2*STDEVP(INDEX(終値!$E254:$CZ254,1,$BE254+1):INDEX(終値!$E254:$CZ254,1,$BE254+20)))</f>
        <v>5734.8707457347336</v>
      </c>
      <c r="BL254" s="503">
        <f t="shared" si="21"/>
        <v>3</v>
      </c>
      <c r="BM254" s="503">
        <f t="shared" si="22"/>
        <v>3</v>
      </c>
      <c r="BN254" s="503">
        <f t="shared" si="23"/>
        <v>11</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f>IF(終値!A255="","",IF(AND(安値!I255&lt;安値!H255,安値!I255&lt;安値!G255,安値!I255&lt;安値!J255,安値!I255&lt;安値!K255),4,""))</f>
        <v>4</v>
      </c>
      <c r="E255" s="503" t="str">
        <f>IF(終値!A255="","",IF(AND(安値!J255&lt;安値!I255,安値!J255&lt;安値!H255,安値!J255&lt;安値!K255,安値!J255&lt;安値!L255),5,""))</f>
        <v/>
      </c>
      <c r="F255" s="503" t="str">
        <f>IF(終値!A255="","",IF(AND(安値!K255&lt;安値!J255,安値!K255&lt;安値!I255,安値!K255&lt;安値!L255,安値!K255&lt;安値!M255),6,""))</f>
        <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f>IF(終値!A255="","",IF(AND(安値!P255&lt;安値!O255,安値!P255&lt;安値!N255,安値!P255&lt;安値!Q255,安値!P255&lt;安値!R255),11,""))</f>
        <v>11</v>
      </c>
      <c r="L255" s="503" t="str">
        <f>IF(終値!A255="","",IF(AND(安値!Q255&lt;安値!P255,安値!Q255&lt;安値!O255,安値!Q255&lt;安値!R255,安値!Q255&lt;安値!S255),12,""))</f>
        <v/>
      </c>
      <c r="M255" s="503" t="str">
        <f>IF(終値!A255="","",IF(AND(安値!R255&lt;安値!Q255,安値!R255&lt;安値!P255,安値!R255&lt;安値!S255,安値!R255&lt;安値!T255),13,""))</f>
        <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f>IF(終値!A255="","",IF(AND(安値!V255&lt;安値!U255,安値!V255&lt;安値!T255,安値!V255&lt;安値!W255,安値!V255&lt;安値!X255),17,""))</f>
        <v>17</v>
      </c>
      <c r="R255" s="503" t="str">
        <f>IF(終値!A255="","",IF(AND(安値!W255&lt;安値!V255,安値!W255&lt;安値!U255,安値!W255&lt;安値!X255,安値!W255&lt;安値!Y255),18,""))</f>
        <v/>
      </c>
      <c r="S255" s="503" t="str">
        <f>IF(終値!A255="","",IF(AND(安値!X255&lt;安値!W255,安値!X255&lt;安値!V255,安値!X255&lt;安値!Y255,安値!X255&lt;安値!Z255),19,""))</f>
        <v/>
      </c>
      <c r="T255" s="503">
        <f>IF(終値!A255="","",IF(AND(安値!Y255&lt;安値!X255,安値!Y255&lt;安値!W255,安値!Y255&lt;安値!Z255,安値!Y255&lt;安値!AA255),20,""))</f>
        <v>20</v>
      </c>
      <c r="U255" s="503" t="str">
        <f>IF(終値!A255="","",IF(AND(安値!Z255&lt;安値!Y255,安値!Z255&lt;安値!X255,安値!Z255&lt;安値!AA255,安値!Z255&lt;安値!AB255),21,""))</f>
        <v/>
      </c>
      <c r="V255" s="503" t="str">
        <f>IF(終値!A255="","",IF(AND(安値!AA255&lt;安値!Z255,安値!AA255&lt;安値!Y255,安値!AA255&lt;安値!AB255,安値!AA255&lt;安値!AC255),22,""))</f>
        <v/>
      </c>
      <c r="W255" s="503" t="str">
        <f>IF(終値!A255="","",IF(AND(安値!AB255&lt;安値!AA255,安値!AB255&lt;安値!Z255,安値!AB255&lt;安値!AC255,安値!AB255&lt;安値!AD255),23,""))</f>
        <v/>
      </c>
      <c r="X255" s="503">
        <f>IF(終値!A255="","",IF(AND(安値!AC255&lt;安値!AB255,安値!AC255&lt;安値!AA255,安値!AC255&lt;安値!AD255,安値!AC255&lt;安値!AE255),24,""))</f>
        <v>24</v>
      </c>
      <c r="Y255" s="503" t="str">
        <f>IF(終値!A255="","",IF(AND(安値!AD255&lt;安値!AC255,安値!AD255&lt;安値!AB255,安値!AD255&lt;安値!AE255,安値!AD255&lt;安値!AF255),25,""))</f>
        <v/>
      </c>
      <c r="Z255" s="503" t="str">
        <f>IF(終値!A255="","",IF(AND(安値!AE255&lt;安値!AD255,安値!AE255&lt;安値!AC255,安値!AE255&lt;安値!AF255,安値!AE255&lt;安値!AG255),26,""))</f>
        <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f>IF(終値!A255="","",IF(AND(高値!N255&gt;高値!M255,高値!N255&gt;高値!L255,高値!N255&gt;高値!O255,高値!N255&gt;高値!P255),9,""))</f>
        <v>9</v>
      </c>
      <c r="AK255" s="503" t="str">
        <f>IF(終値!A255="","",IF(AND(高値!O255&gt;高値!N255,高値!O255&gt;高値!M255,高値!O255&gt;高値!P255,高値!O255&gt;高値!Q255),10,""))</f>
        <v/>
      </c>
      <c r="AL255" s="503" t="str">
        <f>IF(終値!A255="","",IF(AND(高値!P255&gt;高値!O255,高値!P255&gt;高値!N255,高値!P255&gt;高値!Q255,高値!P255&gt;高値!R255),11,""))</f>
        <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f>IF(終値!A255="","",IF(AND(高値!S255&gt;高値!R255,高値!S255&gt;高値!Q255,高値!S255&gt;高値!T255,高値!S255&gt;高値!U255),14,""))</f>
        <v>14</v>
      </c>
      <c r="AP255" s="503" t="str">
        <f>IF(終値!A255="","",IF(AND(高値!T255&gt;高値!S255,高値!T255&gt;高値!R255,高値!T255&gt;高値!U255,高値!T255&gt;高値!V255),15,""))</f>
        <v/>
      </c>
      <c r="AQ255" s="503" t="str">
        <f>IF(終値!A255="","",IF(AND(高値!U255&gt;高値!T255,高値!U255&gt;高値!S255,高値!U255&gt;高値!V255,高値!U255&gt;高値!W255),16,""))</f>
        <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f>IF(終値!A255="","",IF(AND(高値!X255&gt;高値!W255,高値!X255&gt;高値!V255,高値!X255&gt;高値!Y255,高値!X255&gt;高値!Z255),19,""))</f>
        <v>19</v>
      </c>
      <c r="AU255" s="503" t="str">
        <f>IF(終値!A255="","",IF(AND(高値!Y255&gt;高値!X255,高値!Y255&gt;高値!W255,高値!Y255&gt;高値!Z255,高値!Y255&gt;高値!AA255),20,""))</f>
        <v/>
      </c>
      <c r="AV255" s="503" t="str">
        <f>IF(終値!A255="","",IF(AND(高値!Z255&gt;高値!Y255,高値!Z255&gt;高値!X255,高値!Z255&gt;高値!AA255,高値!Z255&gt;高値!AB255),21,""))</f>
        <v/>
      </c>
      <c r="AW255" s="503">
        <f>IF(終値!A255="","",IF(AND(高値!AA255&gt;高値!Z255,高値!AA255&gt;高値!Y255,高値!AA255&gt;高値!AB255,高値!AA255&gt;高値!AC255),22,""))</f>
        <v>22</v>
      </c>
      <c r="AX255" s="503" t="str">
        <f>IF(終値!A255="","",IF(AND(高値!AB255&gt;高値!AA255,高値!AB255&gt;高値!Z255,高値!AB255&gt;高値!AC255,高値!AB255&gt;高値!AD255),23,""))</f>
        <v/>
      </c>
      <c r="AY255" s="503" t="str">
        <f>IF(終値!A255="","",IF(AND(高値!AC255&gt;高値!AB255,高値!AC255&gt;高値!AA255,高値!AC255&gt;高値!AD255,高値!AC255&gt;高値!AE255),24,""))</f>
        <v/>
      </c>
      <c r="AZ255" s="503" t="str">
        <f>IF(終値!A255="","",IF(AND(高値!AD255&gt;高値!AC255,高値!AD255&gt;高値!AB255,高値!AD255&gt;高値!AE255,高値!AD255&gt;高値!AF255),25,""))</f>
        <v/>
      </c>
      <c r="BA255" s="503">
        <f>IF(終値!A255="","",IF(AND(高値!AE255&gt;高値!AD255,高値!AE255&gt;高値!AC255,高値!AE255&gt;高値!AF255,高値!AE255&gt;高値!AG255),26,""))</f>
        <v>26</v>
      </c>
      <c r="BB255" s="503" t="str">
        <f>IF(終値!A255="","",IF(AND(高値!AF255&gt;高値!AE255,高値!AF255&gt;高値!AD255,高値!AF255&gt;高値!AG255,高値!AF255&gt;高値!AH255),27,""))</f>
        <v/>
      </c>
      <c r="BC255" s="503" t="str">
        <f>IF(終値!A255="","",IF(AND(高値!AG255&gt;高値!AF255,高値!AG255&gt;高値!AE255,高値!AG255&gt;高値!AH255,高値!AG255&gt;高値!AI255),28,""))</f>
        <v/>
      </c>
      <c r="BD255" s="503">
        <f t="shared" si="18"/>
        <v>5</v>
      </c>
      <c r="BE255" s="503">
        <f t="shared" si="19"/>
        <v>4</v>
      </c>
      <c r="BF255" s="503">
        <f t="shared" si="20"/>
        <v>11</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9</v>
      </c>
      <c r="BN255" s="503">
        <f t="shared" si="23"/>
        <v>14</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t="str">
        <f>IF(終値!A256="","",IF(AND(安値!H256&lt;安値!G256,安値!H256&lt;安値!F256,安値!H256&lt;安値!I256,安値!H256&lt;安値!J256),3,""))</f>
        <v/>
      </c>
      <c r="D256" s="503">
        <f>IF(終値!A256="","",IF(AND(安値!I256&lt;安値!H256,安値!I256&lt;安値!G256,安値!I256&lt;安値!J256,安値!I256&lt;安値!K256),4,""))</f>
        <v>4</v>
      </c>
      <c r="E256" s="503" t="str">
        <f>IF(終値!A256="","",IF(AND(安値!J256&lt;安値!I256,安値!J256&lt;安値!H256,安値!J256&lt;安値!K256,安値!J256&lt;安値!L256),5,""))</f>
        <v/>
      </c>
      <c r="F256" s="503" t="str">
        <f>IF(終値!A256="","",IF(AND(安値!K256&lt;安値!J256,安値!K256&lt;安値!I256,安値!K256&lt;安値!L256,安値!K256&lt;安値!M256),6,""))</f>
        <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f>IF(終値!A256="","",IF(AND(安値!P256&lt;安値!O256,安値!P256&lt;安値!N256,安値!P256&lt;安値!Q256,安値!P256&lt;安値!R256),11,""))</f>
        <v>11</v>
      </c>
      <c r="L256" s="503" t="str">
        <f>IF(終値!A256="","",IF(AND(安値!Q256&lt;安値!P256,安値!Q256&lt;安値!O256,安値!Q256&lt;安値!R256,安値!Q256&lt;安値!S256),12,""))</f>
        <v/>
      </c>
      <c r="M256" s="503" t="str">
        <f>IF(終値!A256="","",IF(AND(安値!R256&lt;安値!Q256,安値!R256&lt;安値!P256,安値!R256&lt;安値!S256,安値!R256&lt;安値!T256),13,""))</f>
        <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f>IF(終値!A256="","",IF(AND(安値!U256&lt;安値!T256,安値!U256&lt;安値!S256,安値!U256&lt;安値!V256,安値!U256&lt;安値!W256),16,""))</f>
        <v>16</v>
      </c>
      <c r="Q256" s="503" t="str">
        <f>IF(終値!A256="","",IF(AND(安値!V256&lt;安値!U256,安値!V256&lt;安値!T256,安値!V256&lt;安値!W256,安値!V256&lt;安値!X256),17,""))</f>
        <v/>
      </c>
      <c r="R256" s="503" t="str">
        <f>IF(終値!A256="","",IF(AND(安値!W256&lt;安値!V256,安値!W256&lt;安値!U256,安値!W256&lt;安値!X256,安値!W256&lt;安値!Y256),18,""))</f>
        <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f>IF(終値!A256="","",IF(AND(安値!AA256&lt;安値!Z256,安値!AA256&lt;安値!Y256,安値!AA256&lt;安値!AB256,安値!AA256&lt;安値!AC256),22,""))</f>
        <v>22</v>
      </c>
      <c r="W256" s="503" t="str">
        <f>IF(終値!A256="","",IF(AND(安値!AB256&lt;安値!AA256,安値!AB256&lt;安値!Z256,安値!AB256&lt;安値!AC256,安値!AB256&lt;安値!AD256),23,""))</f>
        <v/>
      </c>
      <c r="X256" s="503" t="str">
        <f>IF(終値!A256="","",IF(AND(安値!AC256&lt;安値!AB256,安値!AC256&lt;安値!AA256,安値!AC256&lt;安値!AD256,安値!AC256&lt;安値!AE256),24,""))</f>
        <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f>IF(終値!A256="","",IF(AND(高値!G256&gt;高値!F256,高値!G256&gt;高値!E256,高値!G256&gt;高値!H256,高値!G256&gt;高値!I256),2,""))</f>
        <v>2</v>
      </c>
      <c r="AD256" s="503" t="str">
        <f>IF(終値!A256="","",IF(AND(高値!H256&gt;高値!G256,高値!H256&gt;高値!F256,高値!H256&gt;高値!I256,高値!H256&gt;高値!J256),3,""))</f>
        <v/>
      </c>
      <c r="AE256" s="503" t="str">
        <f>IF(終値!A256="","",IF(AND(高値!I256&gt;高値!H256,高値!I256&gt;高値!G256,高値!I256&gt;高値!J256,高値!I256&gt;高値!K256),4,""))</f>
        <v/>
      </c>
      <c r="AF256" s="503">
        <f>IF(終値!A256="","",IF(AND(高値!J256&gt;高値!I256,高値!J256&gt;高値!H256,高値!J256&gt;高値!K256,高値!J256&gt;高値!L256),5,""))</f>
        <v>5</v>
      </c>
      <c r="AG256" s="503" t="str">
        <f>IF(終値!A256="","",IF(AND(高値!K256&gt;高値!J256,高値!K256&gt;高値!I256,高値!K256&gt;高値!L256,高値!K256&gt;高値!M256),6,""))</f>
        <v/>
      </c>
      <c r="AH256" s="503" t="str">
        <f>IF(終値!A256="","",IF(AND(高値!L256&gt;高値!K256,高値!L256&gt;高値!J256,高値!L256&gt;高値!M256,高値!L256&gt;高値!N256),7,""))</f>
        <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f>IF(終値!A256="","",IF(AND(高値!Q256&gt;高値!P256,高値!Q256&gt;高値!O256,高値!Q256&gt;高値!R256,高値!Q256&gt;高値!S256),12,""))</f>
        <v>12</v>
      </c>
      <c r="AN256" s="503" t="str">
        <f>IF(終値!A256="","",IF(AND(高値!R256&gt;高値!Q256,高値!R256&gt;高値!P256,高値!R256&gt;高値!S256,高値!R256&gt;高値!T256),13,""))</f>
        <v/>
      </c>
      <c r="AO256" s="503" t="str">
        <f>IF(終値!A256="","",IF(AND(高値!S256&gt;高値!R256,高値!S256&gt;高値!Q256,高値!S256&gt;高値!T256,高値!S256&gt;高値!U256),14,""))</f>
        <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f>IF(終値!A256="","",IF(AND(高値!W256&gt;高値!V256,高値!W256&gt;高値!U256,高値!W256&gt;高値!X256,高値!W256&gt;高値!Y256),18,""))</f>
        <v>18</v>
      </c>
      <c r="AT256" s="503" t="str">
        <f>IF(終値!A256="","",IF(AND(高値!X256&gt;高値!W256,高値!X256&gt;高値!V256,高値!X256&gt;高値!Y256,高値!X256&gt;高値!Z256),19,""))</f>
        <v/>
      </c>
      <c r="AU256" s="503" t="str">
        <f>IF(終値!A256="","",IF(AND(高値!Y256&gt;高値!X256,高値!Y256&gt;高値!W256,高値!Y256&gt;高値!Z256,高値!Y256&gt;高値!AA256),20,""))</f>
        <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f>IF(終値!A256="","",IF(AND(高値!AG256&gt;高値!AF256,高値!AG256&gt;高値!AE256,高値!AG256&gt;高値!AH256,高値!AG256&gt;高値!AI256),28,""))</f>
        <v>28</v>
      </c>
      <c r="BD256" s="503">
        <f t="shared" si="18"/>
        <v>4</v>
      </c>
      <c r="BE256" s="503">
        <f t="shared" si="19"/>
        <v>4</v>
      </c>
      <c r="BF256" s="503">
        <f t="shared" si="20"/>
        <v>11</v>
      </c>
      <c r="BG256" s="503">
        <f>IF($BE256="","",INDEX(安値!$E256:$CZ256,1,$BE256+1))</f>
        <v>3995</v>
      </c>
      <c r="BH256" s="503">
        <f>IF($BF256="","",INDEX(安値!$E256:$CZ256,1,$BF256+1))</f>
        <v>3650</v>
      </c>
      <c r="BI256" s="503">
        <f>IF($BF256="","",MAX(INDEX(高値!$E256:$CZ256,1,$BE256+1):INDEX(高値!$E256:$CZ256,1,$BF256+1)))</f>
        <v>4605</v>
      </c>
      <c r="BJ256" s="503">
        <f>IF($BF256="","",AVERAGE(INDEX(終値!$E256:$CZ256,1,$BF256+1):INDEX(終値!$E256:$CZ256,1,$BF256+20))-2*STDEVP(INDEX(終値!$E256:$CZ256,1,$BF256+1):INDEX(終値!$E256:$CZ256,1,$BF256+20)))</f>
        <v>3401.3489609796598</v>
      </c>
      <c r="BK256" s="503">
        <f>IF($BE256="","",AVERAGE(INDEX(終値!$E256:$CZ256,1,$BE256+1):INDEX(終値!$E256:$CZ256,1,$BE256+20))-2*STDEVP(INDEX(終値!$E256:$CZ256,1,$BE256+1):INDEX(終値!$E256:$CZ256,1,$BE256+20)))</f>
        <v>3399.5914421748284</v>
      </c>
      <c r="BL256" s="503">
        <f t="shared" si="21"/>
        <v>5</v>
      </c>
      <c r="BM256" s="503">
        <f t="shared" si="22"/>
        <v>2</v>
      </c>
      <c r="BN256" s="503">
        <f t="shared" si="23"/>
        <v>5</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二番天井M▼</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f>IF(終値!A257="","",IF(AND(安値!I257&lt;安値!H257,安値!I257&lt;安値!G257,安値!I257&lt;安値!J257,安値!I257&lt;安値!K257),4,""))</f>
        <v>4</v>
      </c>
      <c r="E257" s="503" t="str">
        <f>IF(終値!A257="","",IF(AND(安値!J257&lt;安値!I257,安値!J257&lt;安値!H257,安値!J257&lt;安値!K257,安値!J257&lt;安値!L257),5,""))</f>
        <v/>
      </c>
      <c r="F257" s="503" t="str">
        <f>IF(終値!A257="","",IF(AND(安値!K257&lt;安値!J257,安値!K257&lt;安値!I257,安値!K257&lt;安値!L257,安値!K257&lt;安値!M257),6,""))</f>
        <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f>IF(終値!A257="","",IF(AND(安値!P257&lt;安値!O257,安値!P257&lt;安値!N257,安値!P257&lt;安値!Q257,安値!P257&lt;安値!R257),11,""))</f>
        <v>11</v>
      </c>
      <c r="L257" s="503" t="str">
        <f>IF(終値!A257="","",IF(AND(安値!Q257&lt;安値!P257,安値!Q257&lt;安値!O257,安値!Q257&lt;安値!R257,安値!Q257&lt;安値!S257),12,""))</f>
        <v/>
      </c>
      <c r="M257" s="503" t="str">
        <f>IF(終値!A257="","",IF(AND(安値!R257&lt;安値!Q257,安値!R257&lt;安値!P257,安値!R257&lt;安値!S257,安値!R257&lt;安値!T257),13,""))</f>
        <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f>IF(終値!A257="","",IF(AND(安値!V257&lt;安値!U257,安値!V257&lt;安値!T257,安値!V257&lt;安値!W257,安値!V257&lt;安値!X257),17,""))</f>
        <v>17</v>
      </c>
      <c r="R257" s="503" t="str">
        <f>IF(終値!A257="","",IF(AND(安値!W257&lt;安値!V257,安値!W257&lt;安値!U257,安値!W257&lt;安値!X257,安値!W257&lt;安値!Y257),18,""))</f>
        <v/>
      </c>
      <c r="S257" s="503" t="str">
        <f>IF(終値!A257="","",IF(AND(安値!X257&lt;安値!W257,安値!X257&lt;安値!V257,安値!X257&lt;安値!Y257,安値!X257&lt;安値!Z257),19,""))</f>
        <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f>IF(終値!A257="","",IF(AND(安値!AC257&lt;安値!AB257,安値!AC257&lt;安値!AA257,安値!AC257&lt;安値!AD257,安値!AC257&lt;安値!AE257),24,""))</f>
        <v>24</v>
      </c>
      <c r="Y257" s="503" t="str">
        <f>IF(終値!A257="","",IF(AND(安値!AD257&lt;安値!AC257,安値!AD257&lt;安値!AB257,安値!AD257&lt;安値!AE257,安値!AD257&lt;安値!AF257),25,""))</f>
        <v/>
      </c>
      <c r="Z257" s="503" t="str">
        <f>IF(終値!A257="","",IF(AND(安値!AE257&lt;安値!AD257,安値!AE257&lt;安値!AC257,安値!AE257&lt;安値!AF257,安値!AE257&lt;安値!AG257),26,""))</f>
        <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f>IF(終値!A257="","",IF(AND(高値!N257&gt;高値!M257,高値!N257&gt;高値!L257,高値!N257&gt;高値!O257,高値!N257&gt;高値!P257),9,""))</f>
        <v>9</v>
      </c>
      <c r="AK257" s="503" t="str">
        <f>IF(終値!A257="","",IF(AND(高値!O257&gt;高値!N257,高値!O257&gt;高値!M257,高値!O257&gt;高値!P257,高値!O257&gt;高値!Q257),10,""))</f>
        <v/>
      </c>
      <c r="AL257" s="503" t="str">
        <f>IF(終値!A257="","",IF(AND(高値!P257&gt;高値!O257,高値!P257&gt;高値!N257,高値!P257&gt;高値!Q257,高値!P257&gt;高値!R257),11,""))</f>
        <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f>IF(終値!A257="","",IF(AND(高値!AA257&gt;高値!Z257,高値!AA257&gt;高値!Y257,高値!AA257&gt;高値!AB257,高値!AA257&gt;高値!AC257),22,""))</f>
        <v>22</v>
      </c>
      <c r="AX257" s="503" t="str">
        <f>IF(終値!A257="","",IF(AND(高値!AB257&gt;高値!AA257,高値!AB257&gt;高値!Z257,高値!AB257&gt;高値!AC257,高値!AB257&gt;高値!AD257),23,""))</f>
        <v/>
      </c>
      <c r="AY257" s="503" t="str">
        <f>IF(終値!A257="","",IF(AND(高値!AC257&gt;高値!AB257,高値!AC257&gt;高値!AA257,高値!AC257&gt;高値!AD257,高値!AC257&gt;高値!AE257),24,""))</f>
        <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4</v>
      </c>
      <c r="BF257" s="503">
        <f t="shared" si="20"/>
        <v>11</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9</v>
      </c>
      <c r="BN257" s="503">
        <f t="shared" si="23"/>
        <v>22</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t="str">
        <f>IF(終値!A258="","",IF(AND(安値!H258&lt;安値!G258,安値!H258&lt;安値!F258,安値!H258&lt;安値!I258,安値!H258&lt;安値!J258),3,""))</f>
        <v/>
      </c>
      <c r="D258" s="503">
        <f>IF(終値!A258="","",IF(AND(安値!I258&lt;安値!H258,安値!I258&lt;安値!G258,安値!I258&lt;安値!J258,安値!I258&lt;安値!K258),4,""))</f>
        <v>4</v>
      </c>
      <c r="E258" s="503" t="str">
        <f>IF(終値!A258="","",IF(AND(安値!J258&lt;安値!I258,安値!J258&lt;安値!H258,安値!J258&lt;安値!K258,安値!J258&lt;安値!L258),5,""))</f>
        <v/>
      </c>
      <c r="F258" s="503" t="str">
        <f>IF(終値!A258="","",IF(AND(安値!K258&lt;安値!J258,安値!K258&lt;安値!I258,安値!K258&lt;安値!L258,安値!K258&lt;安値!M258),6,""))</f>
        <v/>
      </c>
      <c r="G258" s="503">
        <f>IF(終値!A258="","",IF(AND(安値!L258&lt;安値!K258,安値!L258&lt;安値!J258,安値!L258&lt;安値!M258,安値!L258&lt;安値!N258),7,""))</f>
        <v>7</v>
      </c>
      <c r="H258" s="503" t="str">
        <f>IF(終値!A258="","",IF(AND(安値!M258&lt;安値!L258,安値!M258&lt;安値!K258,安値!M258&lt;安値!N258,安値!M258&lt;安値!O258),8,""))</f>
        <v/>
      </c>
      <c r="I258" s="503" t="str">
        <f>IF(終値!A258="","",IF(AND(安値!N258&lt;安値!M258,安値!N258&lt;安値!L258,安値!N258&lt;安値!O258,安値!N258&lt;安値!P258),9,""))</f>
        <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f>IF(終値!A258="","",IF(AND(安値!U258&lt;安値!T258,安値!U258&lt;安値!S258,安値!U258&lt;安値!V258,安値!U258&lt;安値!W258),16,""))</f>
        <v>16</v>
      </c>
      <c r="Q258" s="503" t="str">
        <f>IF(終値!A258="","",IF(AND(安値!V258&lt;安値!U258,安値!V258&lt;安値!T258,安値!V258&lt;安値!W258,安値!V258&lt;安値!X258),17,""))</f>
        <v/>
      </c>
      <c r="R258" s="503" t="str">
        <f>IF(終値!A258="","",IF(AND(安値!W258&lt;安値!V258,安値!W258&lt;安値!U258,安値!W258&lt;安値!X258,安値!W258&lt;安値!Y258),18,""))</f>
        <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f>IF(終値!A258="","",IF(AND(安値!AD258&lt;安値!AC258,安値!AD258&lt;安値!AB258,安値!AD258&lt;安値!AE258,安値!AD258&lt;安値!AF258),25,""))</f>
        <v>25</v>
      </c>
      <c r="Z258" s="503" t="str">
        <f>IF(終値!A258="","",IF(AND(安値!AE258&lt;安値!AD258,安値!AE258&lt;安値!AC258,安値!AE258&lt;安値!AF258,安値!AE258&lt;安値!AG258),26,""))</f>
        <v/>
      </c>
      <c r="AA258" s="503" t="str">
        <f>IF(終値!A258="","",IF(AND(安値!AF258&lt;安値!AE258,安値!AF258&lt;安値!AD258,安値!AF258&lt;安値!AG258,安値!AF258&lt;安値!AH258),27,""))</f>
        <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f>IF(終値!A258="","",IF(AND(高値!J258&gt;高値!I258,高値!J258&gt;高値!H258,高値!J258&gt;高値!K258,高値!J258&gt;高値!L258),5,""))</f>
        <v>5</v>
      </c>
      <c r="AG258" s="503" t="str">
        <f>IF(終値!A258="","",IF(AND(高値!K258&gt;高値!J258,高値!K258&gt;高値!I258,高値!K258&gt;高値!L258,高値!K258&gt;高値!M258),6,""))</f>
        <v/>
      </c>
      <c r="AH258" s="503" t="str">
        <f>IF(終値!A258="","",IF(AND(高値!L258&gt;高値!K258,高値!L258&gt;高値!J258,高値!L258&gt;高値!M258,高値!L258&gt;高値!N258),7,""))</f>
        <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f>IF(終値!A258="","",IF(AND(高値!O258&gt;高値!N258,高値!O258&gt;高値!M258,高値!O258&gt;高値!P258,高値!O258&gt;高値!Q258),10,""))</f>
        <v>10</v>
      </c>
      <c r="AL258" s="503" t="str">
        <f>IF(終値!A258="","",IF(AND(高値!P258&gt;高値!O258,高値!P258&gt;高値!N258,高値!P258&gt;高値!Q258,高値!P258&gt;高値!R258),11,""))</f>
        <v/>
      </c>
      <c r="AM258" s="503" t="str">
        <f>IF(終値!A258="","",IF(AND(高値!Q258&gt;高値!P258,高値!Q258&gt;高値!O258,高値!Q258&gt;高値!R258,高値!Q258&gt;高値!S258),12,""))</f>
        <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f>IF(終値!A258="","",IF(AND(高値!V258&gt;高値!U258,高値!V258&gt;高値!T258,高値!V258&gt;高値!W258,高値!V258&gt;高値!X258),17,""))</f>
        <v>17</v>
      </c>
      <c r="AS258" s="503" t="str">
        <f>IF(終値!A258="","",IF(AND(高値!W258&gt;高値!V258,高値!W258&gt;高値!U258,高値!W258&gt;高値!X258,高値!W258&gt;高値!Y258),18,""))</f>
        <v/>
      </c>
      <c r="AT258" s="503" t="str">
        <f>IF(終値!A258="","",IF(AND(高値!X258&gt;高値!W258,高値!X258&gt;高値!V258,高値!X258&gt;高値!Y258,高値!X258&gt;高値!Z258),19,""))</f>
        <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4</v>
      </c>
      <c r="BE258" s="503">
        <f t="shared" si="19"/>
        <v>4</v>
      </c>
      <c r="BF258" s="503">
        <f t="shared" si="20"/>
        <v>7</v>
      </c>
      <c r="BG258" s="503">
        <f>IF($BE258="","",INDEX(安値!$E258:$CZ258,1,$BE258+1))</f>
        <v>1452</v>
      </c>
      <c r="BH258" s="503">
        <f>IF($BF258="","",INDEX(安値!$E258:$CZ258,1,$BF258+1))</f>
        <v>0</v>
      </c>
      <c r="BI258" s="503">
        <f>IF($BF258="","",MAX(INDEX(高値!$E258:$CZ258,1,$BE258+1):INDEX(高値!$E258:$CZ258,1,$BF258+1)))</f>
        <v>1700</v>
      </c>
      <c r="BJ258" s="503">
        <f>IF($BF258="","",AVERAGE(INDEX(終値!$E258:$CZ258,1,$BF258+1):INDEX(終値!$E258:$CZ258,1,$BF258+20))-2*STDEVP(INDEX(終値!$E258:$CZ258,1,$BF258+1):INDEX(終値!$E258:$CZ258,1,$BF258+20)))</f>
        <v>1212.8858145205256</v>
      </c>
      <c r="BK258" s="503">
        <f>IF($BE258="","",AVERAGE(INDEX(終値!$E258:$CZ258,1,$BE258+1):INDEX(終値!$E258:$CZ258,1,$BE258+20))-2*STDEVP(INDEX(終値!$E258:$CZ258,1,$BE258+1):INDEX(終値!$E258:$CZ258,1,$BE258+20)))</f>
        <v>1393.3168426774105</v>
      </c>
      <c r="BL258" s="503">
        <f t="shared" si="21"/>
        <v>3</v>
      </c>
      <c r="BM258" s="503">
        <f t="shared" si="22"/>
        <v>5</v>
      </c>
      <c r="BN258" s="503">
        <f t="shared" si="23"/>
        <v>10</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v>
      </c>
    </row>
    <row r="259" spans="2:72">
      <c r="B259" s="503" t="str">
        <f>IF(終値!A259="","",IF(AND(安値!G259&lt;安値!F259,安値!G259&lt;安値!E259,安値!G259&lt;安値!H259,安値!G259&lt;安値!I259),2,""))</f>
        <v/>
      </c>
      <c r="C259" s="503" t="str">
        <f>IF(終値!A259="","",IF(AND(安値!H259&lt;安値!G259,安値!H259&lt;安値!F259,安値!H259&lt;安値!I259,安値!H259&lt;安値!J259),3,""))</f>
        <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f>IF(終値!A259="","",IF(AND(安値!T259&lt;安値!S259,安値!T259&lt;安値!R259,安値!T259&lt;安値!U259,安値!T259&lt;安値!V259),15,""))</f>
        <v>15</v>
      </c>
      <c r="P259" s="503" t="str">
        <f>IF(終値!A259="","",IF(AND(安値!U259&lt;安値!T259,安値!U259&lt;安値!S259,安値!U259&lt;安値!V259,安値!U259&lt;安値!W259),16,""))</f>
        <v/>
      </c>
      <c r="Q259" s="503" t="str">
        <f>IF(終値!A259="","",IF(AND(安値!V259&lt;安値!U259,安値!V259&lt;安値!T259,安値!V259&lt;安値!W259,安値!V259&lt;安値!X259),17,""))</f>
        <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f>IF(終値!A259="","",IF(AND(安値!AA259&lt;安値!Z259,安値!AA259&lt;安値!Y259,安値!AA259&lt;安値!AB259,安値!AA259&lt;安値!AC259),22,""))</f>
        <v>22</v>
      </c>
      <c r="W259" s="503" t="str">
        <f>IF(終値!A259="","",IF(AND(安値!AB259&lt;安値!AA259,安値!AB259&lt;安値!Z259,安値!AB259&lt;安値!AC259,安値!AB259&lt;安値!AD259),23,""))</f>
        <v/>
      </c>
      <c r="X259" s="503" t="str">
        <f>IF(終値!A259="","",IF(AND(安値!AC259&lt;安値!AB259,安値!AC259&lt;安値!AA259,安値!AC259&lt;安値!AD259,安値!AC259&lt;安値!AE259),24,""))</f>
        <v/>
      </c>
      <c r="Y259" s="503">
        <f>IF(終値!A259="","",IF(AND(安値!AD259&lt;安値!AC259,安値!AD259&lt;安値!AB259,安値!AD259&lt;安値!AE259,安値!AD259&lt;安値!AF259),25,""))</f>
        <v>25</v>
      </c>
      <c r="Z259" s="503" t="str">
        <f>IF(終値!A259="","",IF(AND(安値!AE259&lt;安値!AD259,安値!AE259&lt;安値!AC259,安値!AE259&lt;安値!AF259,安値!AE259&lt;安値!AG259),26,""))</f>
        <v/>
      </c>
      <c r="AA259" s="503" t="str">
        <f>IF(終値!A259="","",IF(AND(安値!AF259&lt;安値!AE259,安値!AF259&lt;安値!AD259,安値!AF259&lt;安値!AG259,安値!AF259&lt;安値!AH259),27,""))</f>
        <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f>IF(終値!A259="","",IF(AND(高値!K259&gt;高値!J259,高値!K259&gt;高値!I259,高値!K259&gt;高値!L259,高値!K259&gt;高値!M259),6,""))</f>
        <v>6</v>
      </c>
      <c r="AH259" s="503" t="str">
        <f>IF(終値!A259="","",IF(AND(高値!L259&gt;高値!K259,高値!L259&gt;高値!J259,高値!L259&gt;高値!M259,高値!L259&gt;高値!N259),7,""))</f>
        <v/>
      </c>
      <c r="AI259" s="503" t="str">
        <f>IF(終値!A259="","",IF(AND(高値!M259&gt;高値!L259,高値!M259&gt;高値!K259,高値!M259&gt;高値!N259,高値!M259&gt;高値!O259),8,""))</f>
        <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f>IF(終値!A259="","",IF(AND(高値!U259&gt;高値!T259,高値!U259&gt;高値!S259,高値!U259&gt;高値!V259,高値!U259&gt;高値!W259),16,""))</f>
        <v>16</v>
      </c>
      <c r="AR259" s="503" t="str">
        <f>IF(終値!A259="","",IF(AND(高値!V259&gt;高値!U259,高値!V259&gt;高値!T259,高値!V259&gt;高値!W259,高値!V259&gt;高値!X259),17,""))</f>
        <v/>
      </c>
      <c r="AS259" s="503" t="str">
        <f>IF(終値!A259="","",IF(AND(高値!W259&gt;高値!V259,高値!W259&gt;高値!U259,高値!W259&gt;高値!X259,高値!W259&gt;高値!Y259),18,""))</f>
        <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f>IF(終値!A259="","",IF(AND(高値!AF259&gt;高値!AE259,高値!AF259&gt;高値!AD259,高値!AF259&gt;高値!AG259,高値!AF259&gt;高値!AH259),27,""))</f>
        <v>27</v>
      </c>
      <c r="BC259" s="503" t="str">
        <f>IF(終値!A259="","",IF(AND(高値!AG259&gt;高値!AF259,高値!AG259&gt;高値!AE259,高値!AG259&gt;高値!AH259,高値!AG259&gt;高値!AI259),28,""))</f>
        <v/>
      </c>
      <c r="BD259" s="503">
        <f t="shared" si="18"/>
        <v>3</v>
      </c>
      <c r="BE259" s="503">
        <f t="shared" si="19"/>
        <v>15</v>
      </c>
      <c r="BF259" s="503">
        <f t="shared" si="20"/>
        <v>22</v>
      </c>
      <c r="BG259" s="503">
        <f>IF($BE259="","",INDEX(安値!$E259:$CZ259,1,$BE259+1))</f>
        <v>5318</v>
      </c>
      <c r="BH259" s="503">
        <f>IF($BF259="","",INDEX(安値!$E259:$CZ259,1,$BF259+1))</f>
        <v>5010</v>
      </c>
      <c r="BI259" s="503">
        <f>IF($BF259="","",MAX(INDEX(高値!$E259:$CZ259,1,$BE259+1):INDEX(高値!$E259:$CZ259,1,$BF259+1)))</f>
        <v>5550</v>
      </c>
      <c r="BJ259" s="503">
        <f>IF($BF259="","",AVERAGE(INDEX(終値!$E259:$CZ259,1,$BF259+1):INDEX(終値!$E259:$CZ259,1,$BF259+20))-2*STDEVP(INDEX(終値!$E259:$CZ259,1,$BF259+1):INDEX(終値!$E259:$CZ259,1,$BF259+20)))</f>
        <v>5005.8786851984205</v>
      </c>
      <c r="BK259" s="503">
        <f>IF($BE259="","",AVERAGE(INDEX(終値!$E259:$CZ259,1,$BE259+1):INDEX(終値!$E259:$CZ259,1,$BE259+20))-2*STDEVP(INDEX(終値!$E259:$CZ259,1,$BE259+1):INDEX(終値!$E259:$CZ259,1,$BE259+20)))</f>
        <v>5033.30350276832</v>
      </c>
      <c r="BL259" s="503">
        <f t="shared" si="21"/>
        <v>3</v>
      </c>
      <c r="BM259" s="503">
        <f t="shared" si="22"/>
        <v>6</v>
      </c>
      <c r="BN259" s="503">
        <f t="shared" si="23"/>
        <v>16</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f>IF(終値!A260="","",IF(AND(安値!H260&lt;安値!G260,安値!H260&lt;安値!F260,安値!H260&lt;安値!I260,安値!H260&lt;安値!J260),3,""))</f>
        <v>3</v>
      </c>
      <c r="D260" s="503" t="str">
        <f>IF(終値!A260="","",IF(AND(安値!I260&lt;安値!H260,安値!I260&lt;安値!G260,安値!I260&lt;安値!J260,安値!I260&lt;安値!K260),4,""))</f>
        <v/>
      </c>
      <c r="E260" s="503" t="str">
        <f>IF(終値!A260="","",IF(AND(安値!J260&lt;安値!I260,安値!J260&lt;安値!H260,安値!J260&lt;安値!K260,安値!J260&lt;安値!L260),5,""))</f>
        <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f>IF(終値!A260="","",IF(AND(安値!P260&lt;安値!O260,安値!P260&lt;安値!N260,安値!P260&lt;安値!Q260,安値!P260&lt;安値!R260),11,""))</f>
        <v>11</v>
      </c>
      <c r="L260" s="503" t="str">
        <f>IF(終値!A260="","",IF(AND(安値!Q260&lt;安値!P260,安値!Q260&lt;安値!O260,安値!Q260&lt;安値!R260,安値!Q260&lt;安値!S260),12,""))</f>
        <v/>
      </c>
      <c r="M260" s="503" t="str">
        <f>IF(終値!A260="","",IF(AND(安値!R260&lt;安値!Q260,安値!R260&lt;安値!P260,安値!R260&lt;安値!S260,安値!R260&lt;安値!T260),13,""))</f>
        <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f>IF(終値!A260="","",IF(AND(安値!AA260&lt;安値!Z260,安値!AA260&lt;安値!Y260,安値!AA260&lt;安値!AB260,安値!AA260&lt;安値!AC260),22,""))</f>
        <v>22</v>
      </c>
      <c r="W260" s="503" t="str">
        <f>IF(終値!A260="","",IF(AND(安値!AB260&lt;安値!AA260,安値!AB260&lt;安値!Z260,安値!AB260&lt;安値!AC260,安値!AB260&lt;安値!AD260),23,""))</f>
        <v/>
      </c>
      <c r="X260" s="503" t="str">
        <f>IF(終値!A260="","",IF(AND(安値!AC260&lt;安値!AB260,安値!AC260&lt;安値!AA260,安値!AC260&lt;安値!AD260,安値!AC260&lt;安値!AE260),24,""))</f>
        <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f>IF(終値!A260="","",IF(AND(高値!J260&gt;高値!I260,高値!J260&gt;高値!H260,高値!J260&gt;高値!K260,高値!J260&gt;高値!L260),5,""))</f>
        <v>5</v>
      </c>
      <c r="AG260" s="503" t="str">
        <f>IF(終値!A260="","",IF(AND(高値!K260&gt;高値!J260,高値!K260&gt;高値!I260,高値!K260&gt;高値!L260,高値!K260&gt;高値!M260),6,""))</f>
        <v/>
      </c>
      <c r="AH260" s="503" t="str">
        <f>IF(終値!A260="","",IF(AND(高値!L260&gt;高値!K260,高値!L260&gt;高値!J260,高値!L260&gt;高値!M260,高値!L260&gt;高値!N260),7,""))</f>
        <v/>
      </c>
      <c r="AI260" s="503" t="str">
        <f>IF(終値!A260="","",IF(AND(高値!M260&gt;高値!L260,高値!M260&gt;高値!K260,高値!M260&gt;高値!N260,高値!M260&gt;高値!O260),8,""))</f>
        <v/>
      </c>
      <c r="AJ260" s="503">
        <f>IF(終値!A260="","",IF(AND(高値!N260&gt;高値!M260,高値!N260&gt;高値!L260,高値!N260&gt;高値!O260,高値!N260&gt;高値!P260),9,""))</f>
        <v>9</v>
      </c>
      <c r="AK260" s="503" t="str">
        <f>IF(終値!A260="","",IF(AND(高値!O260&gt;高値!N260,高値!O260&gt;高値!M260,高値!O260&gt;高値!P260,高値!O260&gt;高値!Q260),10,""))</f>
        <v/>
      </c>
      <c r="AL260" s="503" t="str">
        <f>IF(終値!A260="","",IF(AND(高値!P260&gt;高値!O260,高値!P260&gt;高値!N260,高値!P260&gt;高値!Q260,高値!P260&gt;高値!R260),11,""))</f>
        <v/>
      </c>
      <c r="AM260" s="503">
        <f>IF(終値!A260="","",IF(AND(高値!Q260&gt;高値!P260,高値!Q260&gt;高値!O260,高値!Q260&gt;高値!R260,高値!Q260&gt;高値!S260),12,""))</f>
        <v>12</v>
      </c>
      <c r="AN260" s="503" t="str">
        <f>IF(終値!A260="","",IF(AND(高値!R260&gt;高値!Q260,高値!R260&gt;高値!P260,高値!R260&gt;高値!S260,高値!R260&gt;高値!T260),13,""))</f>
        <v/>
      </c>
      <c r="AO260" s="503" t="str">
        <f>IF(終値!A260="","",IF(AND(高値!S260&gt;高値!R260,高値!S260&gt;高値!Q260,高値!S260&gt;高値!T260,高値!S260&gt;高値!U260),14,""))</f>
        <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f>IF(終値!A260="","",IF(AND(高値!W260&gt;高値!V260,高値!W260&gt;高値!U260,高値!W260&gt;高値!X260,高値!W260&gt;高値!Y260),18,""))</f>
        <v>18</v>
      </c>
      <c r="AT260" s="503" t="str">
        <f>IF(終値!A260="","",IF(AND(高値!X260&gt;高値!W260,高値!X260&gt;高値!V260,高値!X260&gt;高値!Y260,高値!X260&gt;高値!Z260),19,""))</f>
        <v/>
      </c>
      <c r="AU260" s="503" t="str">
        <f>IF(終値!A260="","",IF(AND(高値!Y260&gt;高値!X260,高値!Y260&gt;高値!W260,高値!Y260&gt;高値!Z260,高値!Y260&gt;高値!AA260),20,""))</f>
        <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3</v>
      </c>
      <c r="BF260" s="503">
        <f t="shared" si="20"/>
        <v>11</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5</v>
      </c>
      <c r="BN260" s="503">
        <f t="shared" si="23"/>
        <v>9</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f>IF(終値!A261="","",IF(AND(安値!I261&lt;安値!H261,安値!I261&lt;安値!G261,安値!I261&lt;安値!J261,安値!I261&lt;安値!K261),4,""))</f>
        <v>4</v>
      </c>
      <c r="E261" s="503" t="str">
        <f>IF(終値!A261="","",IF(AND(安値!J261&lt;安値!I261,安値!J261&lt;安値!H261,安値!J261&lt;安値!K261,安値!J261&lt;安値!L261),5,""))</f>
        <v/>
      </c>
      <c r="F261" s="503" t="str">
        <f>IF(終値!A261="","",IF(AND(安値!K261&lt;安値!J261,安値!K261&lt;安値!I261,安値!K261&lt;安値!L261,安値!K261&lt;安値!M261),6,""))</f>
        <v/>
      </c>
      <c r="G261" s="503">
        <f>IF(終値!A261="","",IF(AND(安値!L261&lt;安値!K261,安値!L261&lt;安値!J261,安値!L261&lt;安値!M261,安値!L261&lt;安値!N261),7,""))</f>
        <v>7</v>
      </c>
      <c r="H261" s="503" t="str">
        <f>IF(終値!A261="","",IF(AND(安値!M261&lt;安値!L261,安値!M261&lt;安値!K261,安値!M261&lt;安値!N261,安値!M261&lt;安値!O261),8,""))</f>
        <v/>
      </c>
      <c r="I261" s="503" t="str">
        <f>IF(終値!A261="","",IF(AND(安値!N261&lt;安値!M261,安値!N261&lt;安値!L261,安値!N261&lt;安値!O261,安値!N261&lt;安値!P261),9,""))</f>
        <v/>
      </c>
      <c r="J261" s="503">
        <f>IF(終値!A261="","",IF(AND(安値!O261&lt;安値!N261,安値!O261&lt;安値!M261,安値!O261&lt;安値!P261,安値!O261&lt;安値!Q261),10,""))</f>
        <v>10</v>
      </c>
      <c r="K261" s="503" t="str">
        <f>IF(終値!A261="","",IF(AND(安値!P261&lt;安値!O261,安値!P261&lt;安値!N261,安値!P261&lt;安値!Q261,安値!P261&lt;安値!R261),11,""))</f>
        <v/>
      </c>
      <c r="L261" s="503" t="str">
        <f>IF(終値!A261="","",IF(AND(安値!Q261&lt;安値!P261,安値!Q261&lt;安値!O261,安値!Q261&lt;安値!R261,安値!Q261&lt;安値!S261),12,""))</f>
        <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f>IF(終値!A261="","",IF(AND(安値!V261&lt;安値!U261,安値!V261&lt;安値!T261,安値!V261&lt;安値!W261,安値!V261&lt;安値!X261),17,""))</f>
        <v>17</v>
      </c>
      <c r="R261" s="503" t="str">
        <f>IF(終値!A261="","",IF(AND(安値!W261&lt;安値!V261,安値!W261&lt;安値!U261,安値!W261&lt;安値!X261,安値!W261&lt;安値!Y261),18,""))</f>
        <v/>
      </c>
      <c r="S261" s="503" t="str">
        <f>IF(終値!A261="","",IF(AND(安値!X261&lt;安値!W261,安値!X261&lt;安値!V261,安値!X261&lt;安値!Y261,安値!X261&lt;安値!Z261),19,""))</f>
        <v/>
      </c>
      <c r="T261" s="503">
        <f>IF(終値!A261="","",IF(AND(安値!Y261&lt;安値!X261,安値!Y261&lt;安値!W261,安値!Y261&lt;安値!Z261,安値!Y261&lt;安値!AA261),20,""))</f>
        <v>20</v>
      </c>
      <c r="U261" s="503" t="str">
        <f>IF(終値!A261="","",IF(AND(安値!Z261&lt;安値!Y261,安値!Z261&lt;安値!X261,安値!Z261&lt;安値!AA261,安値!Z261&lt;安値!AB261),21,""))</f>
        <v/>
      </c>
      <c r="V261" s="503" t="str">
        <f>IF(終値!A261="","",IF(AND(安値!AA261&lt;安値!Z261,安値!AA261&lt;安値!Y261,安値!AA261&lt;安値!AB261,安値!AA261&lt;安値!AC261),22,""))</f>
        <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f>IF(終値!A261="","",IF(AND(高値!Q261&gt;高値!P261,高値!Q261&gt;高値!O261,高値!Q261&gt;高値!R261,高値!Q261&gt;高値!S261),12,""))</f>
        <v>12</v>
      </c>
      <c r="AN261" s="503" t="str">
        <f>IF(終値!A261="","",IF(AND(高値!R261&gt;高値!Q261,高値!R261&gt;高値!P261,高値!R261&gt;高値!S261,高値!R261&gt;高値!T261),13,""))</f>
        <v/>
      </c>
      <c r="AO261" s="503" t="str">
        <f>IF(終値!A261="","",IF(AND(高値!S261&gt;高値!R261,高値!S261&gt;高値!Q261,高値!S261&gt;高値!T261,高値!S261&gt;高値!U261),14,""))</f>
        <v/>
      </c>
      <c r="AP261" s="503">
        <f>IF(終値!A261="","",IF(AND(高値!T261&gt;高値!S261,高値!T261&gt;高値!R261,高値!T261&gt;高値!U261,高値!T261&gt;高値!V261),15,""))</f>
        <v>15</v>
      </c>
      <c r="AQ261" s="503" t="str">
        <f>IF(終値!A261="","",IF(AND(高値!U261&gt;高値!T261,高値!U261&gt;高値!S261,高値!U261&gt;高値!V261,高値!U261&gt;高値!W261),16,""))</f>
        <v/>
      </c>
      <c r="AR261" s="503" t="str">
        <f>IF(終値!A261="","",IF(AND(高値!V261&gt;高値!U261,高値!V261&gt;高値!T261,高値!V261&gt;高値!W261,高値!V261&gt;高値!X261),17,""))</f>
        <v/>
      </c>
      <c r="AS261" s="503" t="str">
        <f>IF(終値!A261="","",IF(AND(高値!W261&gt;高値!V261,高値!W261&gt;高値!U261,高値!W261&gt;高値!X261,高値!W261&gt;高値!Y261),18,""))</f>
        <v/>
      </c>
      <c r="AT261" s="503">
        <f>IF(終値!A261="","",IF(AND(高値!X261&gt;高値!W261,高値!X261&gt;高値!V261,高値!X261&gt;高値!Y261,高値!X261&gt;高値!Z261),19,""))</f>
        <v>19</v>
      </c>
      <c r="AU261" s="503" t="str">
        <f>IF(終値!A261="","",IF(AND(高値!Y261&gt;高値!X261,高値!Y261&gt;高値!W261,高値!Y261&gt;高値!Z261,高値!Y261&gt;高値!AA261),20,""))</f>
        <v/>
      </c>
      <c r="AV261" s="503" t="str">
        <f>IF(終値!A261="","",IF(AND(高値!Z261&gt;高値!Y261,高値!Z261&gt;高値!X261,高値!Z261&gt;高値!AA261,高値!Z261&gt;高値!AB261),21,""))</f>
        <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4</v>
      </c>
      <c r="BF261" s="503">
        <f t="shared" si="20"/>
        <v>7</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12</v>
      </c>
      <c r="BN261" s="503">
        <f t="shared" si="23"/>
        <v>15</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f>IF(終値!A262="","",IF(AND(安値!H262&lt;安値!G262,安値!H262&lt;安値!F262,安値!H262&lt;安値!I262,安値!H262&lt;安値!J262),3,""))</f>
        <v>3</v>
      </c>
      <c r="D262" s="503" t="str">
        <f>IF(終値!A262="","",IF(AND(安値!I262&lt;安値!H262,安値!I262&lt;安値!G262,安値!I262&lt;安値!J262,安値!I262&lt;安値!K262),4,""))</f>
        <v/>
      </c>
      <c r="E262" s="503" t="str">
        <f>IF(終値!A262="","",IF(AND(安値!J262&lt;安値!I262,安値!J262&lt;安値!H262,安値!J262&lt;安値!K262,安値!J262&lt;安値!L262),5,""))</f>
        <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f>IF(終値!A262="","",IF(AND(安値!P262&lt;安値!O262,安値!P262&lt;安値!N262,安値!P262&lt;安値!Q262,安値!P262&lt;安値!R262),11,""))</f>
        <v>11</v>
      </c>
      <c r="L262" s="503" t="str">
        <f>IF(終値!A262="","",IF(AND(安値!Q262&lt;安値!P262,安値!Q262&lt;安値!O262,安値!Q262&lt;安値!R262,安値!Q262&lt;安値!S262),12,""))</f>
        <v/>
      </c>
      <c r="M262" s="503" t="str">
        <f>IF(終値!A262="","",IF(AND(安値!R262&lt;安値!Q262,安値!R262&lt;安値!P262,安値!R262&lt;安値!S262,安値!R262&lt;安値!T262),13,""))</f>
        <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f>IF(終値!A262="","",IF(AND(安値!V262&lt;安値!U262,安値!V262&lt;安値!T262,安値!V262&lt;安値!W262,安値!V262&lt;安値!X262),17,""))</f>
        <v>17</v>
      </c>
      <c r="R262" s="503" t="str">
        <f>IF(終値!A262="","",IF(AND(安値!W262&lt;安値!V262,安値!W262&lt;安値!U262,安値!W262&lt;安値!X262,安値!W262&lt;安値!Y262),18,""))</f>
        <v/>
      </c>
      <c r="S262" s="503" t="str">
        <f>IF(終値!A262="","",IF(AND(安値!X262&lt;安値!W262,安値!X262&lt;安値!V262,安値!X262&lt;安値!Y262,安値!X262&lt;安値!Z262),19,""))</f>
        <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f>IF(終値!A262="","",IF(AND(安値!AB262&lt;安値!AA262,安値!AB262&lt;安値!Z262,安値!AB262&lt;安値!AC262,安値!AB262&lt;安値!AD262),23,""))</f>
        <v>23</v>
      </c>
      <c r="X262" s="503" t="str">
        <f>IF(終値!A262="","",IF(AND(安値!AC262&lt;安値!AB262,安値!AC262&lt;安値!AA262,安値!AC262&lt;安値!AD262,安値!AC262&lt;安値!AE262),24,""))</f>
        <v/>
      </c>
      <c r="Y262" s="503" t="str">
        <f>IF(終値!A262="","",IF(AND(安値!AD262&lt;安値!AC262,安値!AD262&lt;安値!AB262,安値!AD262&lt;安値!AE262,安値!AD262&lt;安値!AF262),25,""))</f>
        <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t="str">
        <f>IF(終値!A262="","",IF(AND(高値!H262&gt;高値!G262,高値!H262&gt;高値!F262,高値!H262&gt;高値!I262,高値!H262&gt;高値!J262),3,""))</f>
        <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f>IF(終値!A262="","",IF(AND(高値!Q262&gt;高値!P262,高値!Q262&gt;高値!O262,高値!Q262&gt;高値!R262,高値!Q262&gt;高値!S262),12,""))</f>
        <v>12</v>
      </c>
      <c r="AN262" s="503" t="str">
        <f>IF(終値!A262="","",IF(AND(高値!R262&gt;高値!Q262,高値!R262&gt;高値!P262,高値!R262&gt;高値!S262,高値!R262&gt;高値!T262),13,""))</f>
        <v/>
      </c>
      <c r="AO262" s="503" t="str">
        <f>IF(終値!A262="","",IF(AND(高値!S262&gt;高値!R262,高値!S262&gt;高値!Q262,高値!S262&gt;高値!T262,高値!S262&gt;高値!U262),14,""))</f>
        <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f>IF(終値!A262="","",IF(AND(高値!X262&gt;高値!W262,高値!X262&gt;高値!V262,高値!X262&gt;高値!Y262,高値!X262&gt;高値!Z262),19,""))</f>
        <v>19</v>
      </c>
      <c r="AU262" s="503" t="str">
        <f>IF(終値!A262="","",IF(AND(高値!Y262&gt;高値!X262,高値!Y262&gt;高値!W262,高値!Y262&gt;高値!Z262,高値!Y262&gt;高値!AA262),20,""))</f>
        <v/>
      </c>
      <c r="AV262" s="503" t="str">
        <f>IF(終値!A262="","",IF(AND(高値!Z262&gt;高値!Y262,高値!Z262&gt;高値!X262,高値!Z262&gt;高値!AA262,高値!Z262&gt;高値!AB262),21,""))</f>
        <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f>IF(終値!A262="","",IF(AND(高値!AC262&gt;高値!AB262,高値!AC262&gt;高値!AA262,高値!AC262&gt;高値!AD262,高値!AC262&gt;高値!AE262),24,""))</f>
        <v>24</v>
      </c>
      <c r="AZ262" s="503" t="str">
        <f>IF(終値!A262="","",IF(AND(高値!AD262&gt;高値!AC262,高値!AD262&gt;高値!AB262,高値!AD262&gt;高値!AE262,高値!AD262&gt;高値!AF262),25,""))</f>
        <v/>
      </c>
      <c r="BA262" s="503" t="str">
        <f>IF(終値!A262="","",IF(AND(高値!AE262&gt;高値!AD262,高値!AE262&gt;高値!AC262,高値!AE262&gt;高値!AF262,高値!AE262&gt;高値!AG262),26,""))</f>
        <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3</v>
      </c>
      <c r="BF262" s="503">
        <f t="shared" ref="BF262:BF325" si="26">IF($BD262&gt;=2,SMALL($B262:$AB262,2),"")</f>
        <v>11</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3</v>
      </c>
      <c r="BM262" s="503">
        <f t="shared" ref="BM262:BM325" si="28">IF($BL262&gt;=2,MIN($AC262:$BC262),"")</f>
        <v>12</v>
      </c>
      <c r="BN262" s="503">
        <f t="shared" ref="BN262:BN325" si="29">IF($BL262&gt;=2,SMALL($AC262:$BC262,2),"")</f>
        <v>19</v>
      </c>
      <c r="BO262" s="503">
        <f>IF($BM262="","",INDEX(高値!$E262:$CZ262,1,$BM262+1))</f>
        <v>593</v>
      </c>
      <c r="BP262" s="503">
        <f>IF($BN262="","",INDEX(高値!$E262:$CZ262,1,$BN262+1))</f>
        <v>586</v>
      </c>
      <c r="BQ262" s="503">
        <f>IF($BN262="","",MIN(INDEX(安値!$E262:$CZ262,1,$BM262+1):INDEX(安値!$E262:$CZ262,1,$BN262+1)))</f>
        <v>549</v>
      </c>
      <c r="BR262" s="503">
        <f>IF($BN262="","",AVERAGE(INDEX(終値!$E262:$CZ262,1,$BN262+1):INDEX(終値!$E262:$CZ262,1,$BN262+20))+2*STDEVP(INDEX(終値!$E262:$CZ262,1,$BN262+1):INDEX(終値!$E262:$CZ262,1,$BN262+20)))</f>
        <v>575.57683574361693</v>
      </c>
      <c r="BS262" s="503">
        <f>IF($BM262="","",AVERAGE(INDEX(終値!$E262:$CZ262,1,$BM262+1):INDEX(終値!$E262:$CZ262,1,$BM262+20))+2*STDEVP(INDEX(終値!$E262:$CZ262,1,$BM262+1):INDEX(終値!$E262:$CZ262,1,$BM262+20)))</f>
        <v>593.37591960931138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f>IF(終値!A263="","",IF(AND(安値!I263&lt;安値!H263,安値!I263&lt;安値!G263,安値!I263&lt;安値!J263,安値!I263&lt;安値!K263),4,""))</f>
        <v>4</v>
      </c>
      <c r="E263" s="503" t="str">
        <f>IF(終値!A263="","",IF(AND(安値!J263&lt;安値!I263,安値!J263&lt;安値!H263,安値!J263&lt;安値!K263,安値!J263&lt;安値!L263),5,""))</f>
        <v/>
      </c>
      <c r="F263" s="503" t="str">
        <f>IF(終値!A263="","",IF(AND(安値!K263&lt;安値!J263,安値!K263&lt;安値!I263,安値!K263&lt;安値!L263,安値!K263&lt;安値!M263),6,""))</f>
        <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f>IF(終値!A263="","",IF(AND(安値!P263&lt;安値!O263,安値!P263&lt;安値!N263,安値!P263&lt;安値!Q263,安値!P263&lt;安値!R263),11,""))</f>
        <v>11</v>
      </c>
      <c r="L263" s="503" t="str">
        <f>IF(終値!A263="","",IF(AND(安値!Q263&lt;安値!P263,安値!Q263&lt;安値!O263,安値!Q263&lt;安値!R263,安値!Q263&lt;安値!S263),12,""))</f>
        <v/>
      </c>
      <c r="M263" s="503" t="str">
        <f>IF(終値!A263="","",IF(AND(安値!R263&lt;安値!Q263,安値!R263&lt;安値!P263,安値!R263&lt;安値!S263,安値!R263&lt;安値!T263),13,""))</f>
        <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f>IF(終値!A263="","",IF(AND(安値!AB263&lt;安値!AA263,安値!AB263&lt;安値!Z263,安値!AB263&lt;安値!AC263,安値!AB263&lt;安値!AD263),23,""))</f>
        <v>23</v>
      </c>
      <c r="X263" s="503" t="str">
        <f>IF(終値!A263="","",IF(AND(安値!AC263&lt;安値!AB263,安値!AC263&lt;安値!AA263,安値!AC263&lt;安値!AD263,安値!AC263&lt;安値!AE263),24,""))</f>
        <v/>
      </c>
      <c r="Y263" s="503" t="str">
        <f>IF(終値!A263="","",IF(AND(安値!AD263&lt;安値!AC263,安値!AD263&lt;安値!AB263,安値!AD263&lt;安値!AE263,安値!AD263&lt;安値!AF263),25,""))</f>
        <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f>IF(終値!A263="","",IF(AND(高値!K263&gt;高値!J263,高値!K263&gt;高値!I263,高値!K263&gt;高値!L263,高値!K263&gt;高値!M263),6,""))</f>
        <v>6</v>
      </c>
      <c r="AH263" s="503" t="str">
        <f>IF(終値!A263="","",IF(AND(高値!L263&gt;高値!K263,高値!L263&gt;高値!J263,高値!L263&gt;高値!M263,高値!L263&gt;高値!N263),7,""))</f>
        <v/>
      </c>
      <c r="AI263" s="503" t="str">
        <f>IF(終値!A263="","",IF(AND(高値!M263&gt;高値!L263,高値!M263&gt;高値!K263,高値!M263&gt;高値!N263,高値!M263&gt;高値!O263),8,""))</f>
        <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f>IF(終値!A263="","",IF(AND(高値!W263&gt;高値!V263,高値!W263&gt;高値!U263,高値!W263&gt;高値!X263,高値!W263&gt;高値!Y263),18,""))</f>
        <v>18</v>
      </c>
      <c r="AT263" s="503" t="str">
        <f>IF(終値!A263="","",IF(AND(高値!X263&gt;高値!W263,高値!X263&gt;高値!V263,高値!X263&gt;高値!Y263,高値!X263&gt;高値!Z263),19,""))</f>
        <v/>
      </c>
      <c r="AU263" s="503" t="str">
        <f>IF(終値!A263="","",IF(AND(高値!Y263&gt;高値!X263,高値!Y263&gt;高値!W263,高値!Y263&gt;高値!Z263,高値!Y263&gt;高値!AA263),20,""))</f>
        <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4</v>
      </c>
      <c r="BF263" s="503">
        <f t="shared" si="26"/>
        <v>11</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6</v>
      </c>
      <c r="BN263" s="503">
        <f t="shared" si="29"/>
        <v>18</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f>IF(終値!A264="","",IF(AND(安値!I264&lt;安値!H264,安値!I264&lt;安値!G264,安値!I264&lt;安値!J264,安値!I264&lt;安値!K264),4,""))</f>
        <v>4</v>
      </c>
      <c r="E264" s="503" t="str">
        <f>IF(終値!A264="","",IF(AND(安値!J264&lt;安値!I264,安値!J264&lt;安値!H264,安値!J264&lt;安値!K264,安値!J264&lt;安値!L264),5,""))</f>
        <v/>
      </c>
      <c r="F264" s="503" t="str">
        <f>IF(終値!A264="","",IF(AND(安値!K264&lt;安値!J264,安値!K264&lt;安値!I264,安値!K264&lt;安値!L264,安値!K264&lt;安値!M264),6,""))</f>
        <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f>IF(終値!A264="","",IF(AND(安値!P264&lt;安値!O264,安値!P264&lt;安値!N264,安値!P264&lt;安値!Q264,安値!P264&lt;安値!R264),11,""))</f>
        <v>11</v>
      </c>
      <c r="L264" s="503" t="str">
        <f>IF(終値!A264="","",IF(AND(安値!Q264&lt;安値!P264,安値!Q264&lt;安値!O264,安値!Q264&lt;安値!R264,安値!Q264&lt;安値!S264),12,""))</f>
        <v/>
      </c>
      <c r="M264" s="503" t="str">
        <f>IF(終値!A264="","",IF(AND(安値!R264&lt;安値!Q264,安値!R264&lt;安値!P264,安値!R264&lt;安値!S264,安値!R264&lt;安値!T264),13,""))</f>
        <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f>IF(終値!A264="","",IF(AND(安値!AB264&lt;安値!AA264,安値!AB264&lt;安値!Z264,安値!AB264&lt;安値!AC264,安値!AB264&lt;安値!AD264),23,""))</f>
        <v>23</v>
      </c>
      <c r="X264" s="503" t="str">
        <f>IF(終値!A264="","",IF(AND(安値!AC264&lt;安値!AB264,安値!AC264&lt;安値!AA264,安値!AC264&lt;安値!AD264,安値!AC264&lt;安値!AE264),24,""))</f>
        <v/>
      </c>
      <c r="Y264" s="503" t="str">
        <f>IF(終値!A264="","",IF(AND(安値!AD264&lt;安値!AC264,安値!AD264&lt;安値!AB264,安値!AD264&lt;安値!AE264,安値!AD264&lt;安値!AF264),25,""))</f>
        <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f>IF(終値!A264="","",IF(AND(高値!N264&gt;高値!M264,高値!N264&gt;高値!L264,高値!N264&gt;高値!O264,高値!N264&gt;高値!P264),9,""))</f>
        <v>9</v>
      </c>
      <c r="AK264" s="503" t="str">
        <f>IF(終値!A264="","",IF(AND(高値!O264&gt;高値!N264,高値!O264&gt;高値!M264,高値!O264&gt;高値!P264,高値!O264&gt;高値!Q264),10,""))</f>
        <v/>
      </c>
      <c r="AL264" s="503" t="str">
        <f>IF(終値!A264="","",IF(AND(高値!P264&gt;高値!O264,高値!P264&gt;高値!N264,高値!P264&gt;高値!Q264,高値!P264&gt;高値!R264),11,""))</f>
        <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f>IF(終値!A264="","",IF(AND(高値!X264&gt;高値!W264,高値!X264&gt;高値!V264,高値!X264&gt;高値!Y264,高値!X264&gt;高値!Z264),19,""))</f>
        <v>19</v>
      </c>
      <c r="AU264" s="503" t="str">
        <f>IF(終値!A264="","",IF(AND(高値!Y264&gt;高値!X264,高値!Y264&gt;高値!W264,高値!Y264&gt;高値!Z264,高値!Y264&gt;高値!AA264),20,""))</f>
        <v/>
      </c>
      <c r="AV264" s="503" t="str">
        <f>IF(終値!A264="","",IF(AND(高値!Z264&gt;高値!Y264,高値!Z264&gt;高値!X264,高値!Z264&gt;高値!AA264,高値!Z264&gt;高値!AB264),21,""))</f>
        <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4</v>
      </c>
      <c r="BF264" s="503">
        <f t="shared" si="26"/>
        <v>11</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9</v>
      </c>
      <c r="BN264" s="503">
        <f t="shared" si="29"/>
        <v>19</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f>IF(終値!A265="","",IF(AND(安値!H265&lt;安値!G265,安値!H265&lt;安値!F265,安値!H265&lt;安値!I265,安値!H265&lt;安値!J265),3,""))</f>
        <v>3</v>
      </c>
      <c r="D265" s="503" t="str">
        <f>IF(終値!A265="","",IF(AND(安値!I265&lt;安値!H265,安値!I265&lt;安値!G265,安値!I265&lt;安値!J265,安値!I265&lt;安値!K265),4,""))</f>
        <v/>
      </c>
      <c r="E265" s="503" t="str">
        <f>IF(終値!A265="","",IF(AND(安値!J265&lt;安値!I265,安値!J265&lt;安値!H265,安値!J265&lt;安値!K265,安値!J265&lt;安値!L265),5,""))</f>
        <v/>
      </c>
      <c r="F265" s="503" t="str">
        <f>IF(終値!A265="","",IF(AND(安値!K265&lt;安値!J265,安値!K265&lt;安値!I265,安値!K265&lt;安値!L265,安値!K265&lt;安値!M265),6,""))</f>
        <v/>
      </c>
      <c r="G265" s="503">
        <f>IF(終値!A265="","",IF(AND(安値!L265&lt;安値!K265,安値!L265&lt;安値!J265,安値!L265&lt;安値!M265,安値!L265&lt;安値!N265),7,""))</f>
        <v>7</v>
      </c>
      <c r="H265" s="503" t="str">
        <f>IF(終値!A265="","",IF(AND(安値!M265&lt;安値!L265,安値!M265&lt;安値!K265,安値!M265&lt;安値!N265,安値!M265&lt;安値!O265),8,""))</f>
        <v/>
      </c>
      <c r="I265" s="503" t="str">
        <f>IF(終値!A265="","",IF(AND(安値!N265&lt;安値!M265,安値!N265&lt;安値!L265,安値!N265&lt;安値!O265,安値!N265&lt;安値!P265),9,""))</f>
        <v/>
      </c>
      <c r="J265" s="503" t="str">
        <f>IF(終値!A265="","",IF(AND(安値!O265&lt;安値!N265,安値!O265&lt;安値!M265,安値!O265&lt;安値!P265,安値!O265&lt;安値!Q265),10,""))</f>
        <v/>
      </c>
      <c r="K265" s="503">
        <f>IF(終値!A265="","",IF(AND(安値!P265&lt;安値!O265,安値!P265&lt;安値!N265,安値!P265&lt;安値!Q265,安値!P265&lt;安値!R265),11,""))</f>
        <v>11</v>
      </c>
      <c r="L265" s="503" t="str">
        <f>IF(終値!A265="","",IF(AND(安値!Q265&lt;安値!P265,安値!Q265&lt;安値!O265,安値!Q265&lt;安値!R265,安値!Q265&lt;安値!S265),12,""))</f>
        <v/>
      </c>
      <c r="M265" s="503" t="str">
        <f>IF(終値!A265="","",IF(AND(安値!R265&lt;安値!Q265,安値!R265&lt;安値!P265,安値!R265&lt;安値!S265,安値!R265&lt;安値!T265),13,""))</f>
        <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f>IF(終値!A265="","",IF(AND(安値!U265&lt;安値!T265,安値!U265&lt;安値!S265,安値!U265&lt;安値!V265,安値!U265&lt;安値!W265),16,""))</f>
        <v>16</v>
      </c>
      <c r="Q265" s="503" t="str">
        <f>IF(終値!A265="","",IF(AND(安値!V265&lt;安値!U265,安値!V265&lt;安値!T265,安値!V265&lt;安値!W265,安値!V265&lt;安値!X265),17,""))</f>
        <v/>
      </c>
      <c r="R265" s="503" t="str">
        <f>IF(終値!A265="","",IF(AND(安値!W265&lt;安値!V265,安値!W265&lt;安値!U265,安値!W265&lt;安値!X265,安値!W265&lt;安値!Y265),18,""))</f>
        <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f>IF(終値!A265="","",IF(AND(高値!G265&gt;高値!F265,高値!G265&gt;高値!E265,高値!G265&gt;高値!H265,高値!G265&gt;高値!I265),2,""))</f>
        <v>2</v>
      </c>
      <c r="AD265" s="503" t="str">
        <f>IF(終値!A265="","",IF(AND(高値!H265&gt;高値!G265,高値!H265&gt;高値!F265,高値!H265&gt;高値!I265,高値!H265&gt;高値!J265),3,""))</f>
        <v/>
      </c>
      <c r="AE265" s="503" t="str">
        <f>IF(終値!A265="","",IF(AND(高値!I265&gt;高値!H265,高値!I265&gt;高値!G265,高値!I265&gt;高値!J265,高値!I265&gt;高値!K265),4,""))</f>
        <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f>IF(終値!A265="","",IF(AND(高値!N265&gt;高値!M265,高値!N265&gt;高値!L265,高値!N265&gt;高値!O265,高値!N265&gt;高値!P265),9,""))</f>
        <v>9</v>
      </c>
      <c r="AK265" s="503" t="str">
        <f>IF(終値!A265="","",IF(AND(高値!O265&gt;高値!N265,高値!O265&gt;高値!M265,高値!O265&gt;高値!P265,高値!O265&gt;高値!Q265),10,""))</f>
        <v/>
      </c>
      <c r="AL265" s="503" t="str">
        <f>IF(終値!A265="","",IF(AND(高値!P265&gt;高値!O265,高値!P265&gt;高値!N265,高値!P265&gt;高値!Q265,高値!P265&gt;高値!R265),11,""))</f>
        <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f>IF(終値!A265="","",IF(AND(高値!S265&gt;高値!R265,高値!S265&gt;高値!Q265,高値!S265&gt;高値!T265,高値!S265&gt;高値!U265),14,""))</f>
        <v>14</v>
      </c>
      <c r="AP265" s="503" t="str">
        <f>IF(終値!A265="","",IF(AND(高値!T265&gt;高値!S265,高値!T265&gt;高値!R265,高値!T265&gt;高値!U265,高値!T265&gt;高値!V265),15,""))</f>
        <v/>
      </c>
      <c r="AQ265" s="503" t="str">
        <f>IF(終値!A265="","",IF(AND(高値!U265&gt;高値!T265,高値!U265&gt;高値!S265,高値!U265&gt;高値!V265,高値!U265&gt;高値!W265),16,""))</f>
        <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f>IF(終値!A265="","",IF(AND(高値!AG265&gt;高値!AF265,高値!AG265&gt;高値!AE265,高値!AG265&gt;高値!AH265,高値!AG265&gt;高値!AI265),28,""))</f>
        <v>28</v>
      </c>
      <c r="BD265" s="503">
        <f t="shared" si="24"/>
        <v>4</v>
      </c>
      <c r="BE265" s="503">
        <f t="shared" si="25"/>
        <v>3</v>
      </c>
      <c r="BF265" s="503">
        <f t="shared" si="26"/>
        <v>7</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4</v>
      </c>
      <c r="BM265" s="503">
        <f t="shared" si="28"/>
        <v>2</v>
      </c>
      <c r="BN265" s="503">
        <f t="shared" si="29"/>
        <v>9</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f>IF(終値!A266="","",IF(AND(安値!H266&lt;安値!G266,安値!H266&lt;安値!F266,安値!H266&lt;安値!I266,安値!H266&lt;安値!J266),3,""))</f>
        <v>3</v>
      </c>
      <c r="D266" s="503" t="str">
        <f>IF(終値!A266="","",IF(AND(安値!I266&lt;安値!H266,安値!I266&lt;安値!G266,安値!I266&lt;安値!J266,安値!I266&lt;安値!K266),4,""))</f>
        <v/>
      </c>
      <c r="E266" s="503" t="str">
        <f>IF(終値!A266="","",IF(AND(安値!J266&lt;安値!I266,安値!J266&lt;安値!H266,安値!J266&lt;安値!K266,安値!J266&lt;安値!L266),5,""))</f>
        <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f>IF(終値!A266="","",IF(AND(安値!P266&lt;安値!O266,安値!P266&lt;安値!N266,安値!P266&lt;安値!Q266,安値!P266&lt;安値!R266),11,""))</f>
        <v>11</v>
      </c>
      <c r="L266" s="503" t="str">
        <f>IF(終値!A266="","",IF(AND(安値!Q266&lt;安値!P266,安値!Q266&lt;安値!O266,安値!Q266&lt;安値!R266,安値!Q266&lt;安値!S266),12,""))</f>
        <v/>
      </c>
      <c r="M266" s="503" t="str">
        <f>IF(終値!A266="","",IF(AND(安値!R266&lt;安値!Q266,安値!R266&lt;安値!P266,安値!R266&lt;安値!S266,安値!R266&lt;安値!T266),13,""))</f>
        <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f>IF(終値!A266="","",IF(AND(安値!U266&lt;安値!T266,安値!U266&lt;安値!S266,安値!U266&lt;安値!V266,安値!U266&lt;安値!W266),16,""))</f>
        <v>16</v>
      </c>
      <c r="Q266" s="503" t="str">
        <f>IF(終値!A266="","",IF(AND(安値!V266&lt;安値!U266,安値!V266&lt;安値!T266,安値!V266&lt;安値!W266,安値!V266&lt;安値!X266),17,""))</f>
        <v/>
      </c>
      <c r="R266" s="503" t="str">
        <f>IF(終値!A266="","",IF(AND(安値!W266&lt;安値!V266,安値!W266&lt;安値!U266,安値!W266&lt;安値!X266,安値!W266&lt;安値!Y266),18,""))</f>
        <v/>
      </c>
      <c r="S266" s="503" t="str">
        <f>IF(終値!A266="","",IF(AND(安値!X266&lt;安値!W266,安値!X266&lt;安値!V266,安値!X266&lt;安値!Y266,安値!X266&lt;安値!Z266),19,""))</f>
        <v/>
      </c>
      <c r="T266" s="503">
        <f>IF(終値!A266="","",IF(AND(安値!Y266&lt;安値!X266,安値!Y266&lt;安値!W266,安値!Y266&lt;安値!Z266,安値!Y266&lt;安値!AA266),20,""))</f>
        <v>20</v>
      </c>
      <c r="U266" s="503" t="str">
        <f>IF(終値!A266="","",IF(AND(安値!Z266&lt;安値!Y266,安値!Z266&lt;安値!X266,安値!Z266&lt;安値!AA266,安値!Z266&lt;安値!AB266),21,""))</f>
        <v/>
      </c>
      <c r="V266" s="503" t="str">
        <f>IF(終値!A266="","",IF(AND(安値!AA266&lt;安値!Z266,安値!AA266&lt;安値!Y266,安値!AA266&lt;安値!AB266,安値!AA266&lt;安値!AC266),22,""))</f>
        <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f>IF(終値!A266="","",IF(AND(安値!AD266&lt;安値!AC266,安値!AD266&lt;安値!AB266,安値!AD266&lt;安値!AE266,安値!AD266&lt;安値!AF266),25,""))</f>
        <v>25</v>
      </c>
      <c r="Z266" s="503" t="str">
        <f>IF(終値!A266="","",IF(AND(安値!AE266&lt;安値!AD266,安値!AE266&lt;安値!AC266,安値!AE266&lt;安値!AF266,安値!AE266&lt;安値!AG266),26,""))</f>
        <v/>
      </c>
      <c r="AA266" s="503" t="str">
        <f>IF(終値!A266="","",IF(AND(安値!AF266&lt;安値!AE266,安値!AF266&lt;安値!AD266,安値!AF266&lt;安値!AG266,安値!AF266&lt;安値!AH266),27,""))</f>
        <v/>
      </c>
      <c r="AB266" s="503" t="str">
        <f>IF(終値!A266="","",IF(AND(安値!AG266&lt;安値!AF266,安値!AG266&lt;安値!AE266,安値!AG266&lt;安値!AH266,安値!AG266&lt;安値!AI266),28,""))</f>
        <v/>
      </c>
      <c r="AC266" s="503" t="str">
        <f>IF(終値!A266="","",IF(AND(高値!G266&gt;高値!F266,高値!G266&gt;高値!E266,高値!G266&gt;高値!H266,高値!G266&gt;高値!I266),2,""))</f>
        <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f>IF(終値!A266="","",IF(AND(高値!L266&gt;高値!K266,高値!L266&gt;高値!J266,高値!L266&gt;高値!M266,高値!L266&gt;高値!N266),7,""))</f>
        <v>7</v>
      </c>
      <c r="AI266" s="503" t="str">
        <f>IF(終値!A266="","",IF(AND(高値!M266&gt;高値!L266,高値!M266&gt;高値!K266,高値!M266&gt;高値!N266,高値!M266&gt;高値!O266),8,""))</f>
        <v/>
      </c>
      <c r="AJ266" s="503" t="str">
        <f>IF(終値!A266="","",IF(AND(高値!N266&gt;高値!M266,高値!N266&gt;高値!L266,高値!N266&gt;高値!O266,高値!N266&gt;高値!P266),9,""))</f>
        <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f>IF(終値!A266="","",IF(AND(高値!S266&gt;高値!R266,高値!S266&gt;高値!Q266,高値!S266&gt;高値!T266,高値!S266&gt;高値!U266),14,""))</f>
        <v>14</v>
      </c>
      <c r="AP266" s="503" t="str">
        <f>IF(終値!A266="","",IF(AND(高値!T266&gt;高値!S266,高値!T266&gt;高値!R266,高値!T266&gt;高値!U266,高値!T266&gt;高値!V266),15,""))</f>
        <v/>
      </c>
      <c r="AQ266" s="503" t="str">
        <f>IF(終値!A266="","",IF(AND(高値!U266&gt;高値!T266,高値!U266&gt;高値!S266,高値!U266&gt;高値!V266,高値!U266&gt;高値!W266),16,""))</f>
        <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f>IF(終値!A266="","",IF(AND(高値!AE266&gt;高値!AD266,高値!AE266&gt;高値!AC266,高値!AE266&gt;高値!AF266,高値!AE266&gt;高値!AG266),26,""))</f>
        <v>26</v>
      </c>
      <c r="BB266" s="503" t="str">
        <f>IF(終値!A266="","",IF(AND(高値!AF266&gt;高値!AE266,高値!AF266&gt;高値!AD266,高値!AF266&gt;高値!AG266,高値!AF266&gt;高値!AH266),27,""))</f>
        <v/>
      </c>
      <c r="BC266" s="503" t="str">
        <f>IF(終値!A266="","",IF(AND(高値!AG266&gt;高値!AF266,高値!AG266&gt;高値!AE266,高値!AG266&gt;高値!AH266,高値!AG266&gt;高値!AI266),28,""))</f>
        <v/>
      </c>
      <c r="BD266" s="503">
        <f t="shared" si="24"/>
        <v>5</v>
      </c>
      <c r="BE266" s="503">
        <f t="shared" si="25"/>
        <v>3</v>
      </c>
      <c r="BF266" s="503">
        <f t="shared" si="26"/>
        <v>11</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3</v>
      </c>
      <c r="BM266" s="503">
        <f t="shared" si="28"/>
        <v>7</v>
      </c>
      <c r="BN266" s="503">
        <f t="shared" si="29"/>
        <v>14</v>
      </c>
      <c r="BO266" s="503">
        <f>IF($BM266="","",INDEX(高値!$E266:$CZ266,1,$BM266+1))</f>
        <v>529</v>
      </c>
      <c r="BP266" s="503">
        <f>IF($BN266="","",INDEX(高値!$E266:$CZ266,1,$BN266+1))</f>
        <v>538</v>
      </c>
      <c r="BQ266" s="503">
        <f>IF($BN266="","",MIN(INDEX(安値!$E266:$CZ266,1,$BM266+1):INDEX(安値!$E266:$CZ266,1,$BN266+1)))</f>
        <v>442</v>
      </c>
      <c r="BR266" s="503">
        <f>IF($BN266="","",AVERAGE(INDEX(終値!$E266:$CZ266,1,$BN266+1):INDEX(終値!$E266:$CZ266,1,$BN266+20))+2*STDEVP(INDEX(終値!$E266:$CZ266,1,$BN266+1):INDEX(終値!$E266:$CZ266,1,$BN266+20)))</f>
        <v>759.19985528212396</v>
      </c>
      <c r="BS266" s="503">
        <f>IF($BM266="","",AVERAGE(INDEX(終値!$E266:$CZ266,1,$BM266+1):INDEX(終値!$E266:$CZ266,1,$BM266+20))+2*STDEVP(INDEX(終値!$E266:$CZ266,1,$BM266+1):INDEX(終値!$E266:$CZ266,1,$BM266+20)))</f>
        <v>748.34299380246125</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二番天井M形成</v>
      </c>
    </row>
    <row r="267" spans="2:72">
      <c r="B267" s="503" t="str">
        <f>IF(終値!A267="","",IF(AND(安値!G267&lt;安値!F267,安値!G267&lt;安値!E267,安値!G267&lt;安値!H267,安値!G267&lt;安値!I267),2,""))</f>
        <v/>
      </c>
      <c r="C267" s="503">
        <f>IF(終値!A267="","",IF(AND(安値!H267&lt;安値!G267,安値!H267&lt;安値!F267,安値!H267&lt;安値!I267,安値!H267&lt;安値!J267),3,""))</f>
        <v>3</v>
      </c>
      <c r="D267" s="503" t="str">
        <f>IF(終値!A267="","",IF(AND(安値!I267&lt;安値!H267,安値!I267&lt;安値!G267,安値!I267&lt;安値!J267,安値!I267&lt;安値!K267),4,""))</f>
        <v/>
      </c>
      <c r="E267" s="503" t="str">
        <f>IF(終値!A267="","",IF(AND(安値!J267&lt;安値!I267,安値!J267&lt;安値!H267,安値!J267&lt;安値!K267,安値!J267&lt;安値!L267),5,""))</f>
        <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f>IF(終値!A267="","",IF(AND(安値!O267&lt;安値!N267,安値!O267&lt;安値!M267,安値!O267&lt;安値!P267,安値!O267&lt;安値!Q267),10,""))</f>
        <v>10</v>
      </c>
      <c r="K267" s="503" t="str">
        <f>IF(終値!A267="","",IF(AND(安値!P267&lt;安値!O267,安値!P267&lt;安値!N267,安値!P267&lt;安値!Q267,安値!P267&lt;安値!R267),11,""))</f>
        <v/>
      </c>
      <c r="L267" s="503" t="str">
        <f>IF(終値!A267="","",IF(AND(安値!Q267&lt;安値!P267,安値!Q267&lt;安値!O267,安値!Q267&lt;安値!R267,安値!Q267&lt;安値!S267),12,""))</f>
        <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f>IF(終値!A267="","",IF(AND(安値!U267&lt;安値!T267,安値!U267&lt;安値!S267,安値!U267&lt;安値!V267,安値!U267&lt;安値!W267),16,""))</f>
        <v>16</v>
      </c>
      <c r="Q267" s="503" t="str">
        <f>IF(終値!A267="","",IF(AND(安値!V267&lt;安値!U267,安値!V267&lt;安値!T267,安値!V267&lt;安値!W267,安値!V267&lt;安値!X267),17,""))</f>
        <v/>
      </c>
      <c r="R267" s="503" t="str">
        <f>IF(終値!A267="","",IF(AND(安値!W267&lt;安値!V267,安値!W267&lt;安値!U267,安値!W267&lt;安値!X267,安値!W267&lt;安値!Y267),18,""))</f>
        <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f>IF(終値!A267="","",IF(AND(安値!Z267&lt;安値!Y267,安値!Z267&lt;安値!X267,安値!Z267&lt;安値!AA267,安値!Z267&lt;安値!AB267),21,""))</f>
        <v>21</v>
      </c>
      <c r="V267" s="503" t="str">
        <f>IF(終値!A267="","",IF(AND(安値!AA267&lt;安値!Z267,安値!AA267&lt;安値!Y267,安値!AA267&lt;安値!AB267,安値!AA267&lt;安値!AC267),22,""))</f>
        <v/>
      </c>
      <c r="W267" s="503" t="str">
        <f>IF(終値!A267="","",IF(AND(安値!AB267&lt;安値!AA267,安値!AB267&lt;安値!Z267,安値!AB267&lt;安値!AC267,安値!AB267&lt;安値!AD267),23,""))</f>
        <v/>
      </c>
      <c r="X267" s="503" t="str">
        <f>IF(終値!A267="","",IF(AND(安値!AC267&lt;安値!AB267,安値!AC267&lt;安値!AA267,安値!AC267&lt;安値!AD267,安値!AC267&lt;安値!AE267),24,""))</f>
        <v/>
      </c>
      <c r="Y267" s="503">
        <f>IF(終値!A267="","",IF(AND(安値!AD267&lt;安値!AC267,安値!AD267&lt;安値!AB267,安値!AD267&lt;安値!AE267,安値!AD267&lt;安値!AF267),25,""))</f>
        <v>25</v>
      </c>
      <c r="Z267" s="503" t="str">
        <f>IF(終値!A267="","",IF(AND(安値!AE267&lt;安値!AD267,安値!AE267&lt;安値!AC267,安値!AE267&lt;安値!AF267,安値!AE267&lt;安値!AG267),26,""))</f>
        <v/>
      </c>
      <c r="AA267" s="503" t="str">
        <f>IF(終値!A267="","",IF(AND(安値!AF267&lt;安値!AE267,安値!AF267&lt;安値!AD267,安値!AF267&lt;安値!AG267,安値!AF267&lt;安値!AH267),27,""))</f>
        <v/>
      </c>
      <c r="AB267" s="503">
        <f>IF(終値!A267="","",IF(AND(安値!AG267&lt;安値!AF267,安値!AG267&lt;安値!AE267,安値!AG267&lt;安値!AH267,安値!AG267&lt;安値!AI267),28,""))</f>
        <v>28</v>
      </c>
      <c r="AC267" s="503">
        <f>IF(終値!A267="","",IF(AND(高値!G267&gt;高値!F267,高値!G267&gt;高値!E267,高値!G267&gt;高値!H267,高値!G267&gt;高値!I267),2,""))</f>
        <v>2</v>
      </c>
      <c r="AD267" s="503" t="str">
        <f>IF(終値!A267="","",IF(AND(高値!H267&gt;高値!G267,高値!H267&gt;高値!F267,高値!H267&gt;高値!I267,高値!H267&gt;高値!J267),3,""))</f>
        <v/>
      </c>
      <c r="AE267" s="503" t="str">
        <f>IF(終値!A267="","",IF(AND(高値!I267&gt;高値!H267,高値!I267&gt;高値!G267,高値!I267&gt;高値!J267,高値!I267&gt;高値!K267),4,""))</f>
        <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f>IF(終値!A267="","",IF(AND(高値!Q267&gt;高値!P267,高値!Q267&gt;高値!O267,高値!Q267&gt;高値!R267,高値!Q267&gt;高値!S267),12,""))</f>
        <v>12</v>
      </c>
      <c r="AN267" s="503" t="str">
        <f>IF(終値!A267="","",IF(AND(高値!R267&gt;高値!Q267,高値!R267&gt;高値!P267,高値!R267&gt;高値!S267,高値!R267&gt;高値!T267),13,""))</f>
        <v/>
      </c>
      <c r="AO267" s="503" t="str">
        <f>IF(終値!A267="","",IF(AND(高値!S267&gt;高値!R267,高値!S267&gt;高値!Q267,高値!S267&gt;高値!T267,高値!S267&gt;高値!U267),14,""))</f>
        <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f>IF(終値!A267="","",IF(AND(高値!X267&gt;高値!W267,高値!X267&gt;高値!V267,高値!X267&gt;高値!Y267,高値!X267&gt;高値!Z267),19,""))</f>
        <v>19</v>
      </c>
      <c r="AU267" s="503" t="str">
        <f>IF(終値!A267="","",IF(AND(高値!Y267&gt;高値!X267,高値!Y267&gt;高値!W267,高値!Y267&gt;高値!Z267,高値!Y267&gt;高値!AA267),20,""))</f>
        <v/>
      </c>
      <c r="AV267" s="503" t="str">
        <f>IF(終値!A267="","",IF(AND(高値!Z267&gt;高値!Y267,高値!Z267&gt;高値!X267,高値!Z267&gt;高値!AA267,高値!Z267&gt;高値!AB267),21,""))</f>
        <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f>IF(終値!A267="","",IF(AND(高値!AC267&gt;高値!AB267,高値!AC267&gt;高値!AA267,高値!AC267&gt;高値!AD267,高値!AC267&gt;高値!AE267),24,""))</f>
        <v>24</v>
      </c>
      <c r="AZ267" s="503" t="str">
        <f>IF(終値!A267="","",IF(AND(高値!AD267&gt;高値!AC267,高値!AD267&gt;高値!AB267,高値!AD267&gt;高値!AE267,高値!AD267&gt;高値!AF267),25,""))</f>
        <v/>
      </c>
      <c r="BA267" s="503" t="str">
        <f>IF(終値!A267="","",IF(AND(高値!AE267&gt;高値!AD267,高値!AE267&gt;高値!AC267,高値!AE267&gt;高値!AF267,高値!AE267&gt;高値!AG267),26,""))</f>
        <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6</v>
      </c>
      <c r="BE267" s="503">
        <f t="shared" si="25"/>
        <v>3</v>
      </c>
      <c r="BF267" s="503">
        <f t="shared" si="26"/>
        <v>10</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2</v>
      </c>
      <c r="BN267" s="503">
        <f t="shared" si="29"/>
        <v>12</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f>IF(終値!A268="","",IF(AND(安値!L268&lt;安値!K268,安値!L268&lt;安値!J268,安値!L268&lt;安値!M268,安値!L268&lt;安値!N268),7,""))</f>
        <v>7</v>
      </c>
      <c r="H268" s="503" t="str">
        <f>IF(終値!A268="","",IF(AND(安値!M268&lt;安値!L268,安値!M268&lt;安値!K268,安値!M268&lt;安値!N268,安値!M268&lt;安値!O268),8,""))</f>
        <v/>
      </c>
      <c r="I268" s="503" t="str">
        <f>IF(終値!A268="","",IF(AND(安値!N268&lt;安値!M268,安値!N268&lt;安値!L268,安値!N268&lt;安値!O268,安値!N268&lt;安値!P268),9,""))</f>
        <v/>
      </c>
      <c r="J268" s="503" t="str">
        <f>IF(終値!A268="","",IF(AND(安値!O268&lt;安値!N268,安値!O268&lt;安値!M268,安値!O268&lt;安値!P268,安値!O268&lt;安値!Q268),10,""))</f>
        <v/>
      </c>
      <c r="K268" s="503">
        <f>IF(終値!A268="","",IF(AND(安値!P268&lt;安値!O268,安値!P268&lt;安値!N268,安値!P268&lt;安値!Q268,安値!P268&lt;安値!R268),11,""))</f>
        <v>11</v>
      </c>
      <c r="L268" s="503" t="str">
        <f>IF(終値!A268="","",IF(AND(安値!Q268&lt;安値!P268,安値!Q268&lt;安値!O268,安値!Q268&lt;安値!R268,安値!Q268&lt;安値!S268),12,""))</f>
        <v/>
      </c>
      <c r="M268" s="503" t="str">
        <f>IF(終値!A268="","",IF(AND(安値!R268&lt;安値!Q268,安値!R268&lt;安値!P268,安値!R268&lt;安値!S268,安値!R268&lt;安値!T268),13,""))</f>
        <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f>IF(終値!A268="","",IF(AND(安値!U268&lt;安値!T268,安値!U268&lt;安値!S268,安値!U268&lt;安値!V268,安値!U268&lt;安値!W268),16,""))</f>
        <v>16</v>
      </c>
      <c r="Q268" s="503" t="str">
        <f>IF(終値!A268="","",IF(AND(安値!V268&lt;安値!U268,安値!V268&lt;安値!T268,安値!V268&lt;安値!W268,安値!V268&lt;安値!X268),17,""))</f>
        <v/>
      </c>
      <c r="R268" s="503" t="str">
        <f>IF(終値!A268="","",IF(AND(安値!W268&lt;安値!V268,安値!W268&lt;安値!U268,安値!W268&lt;安値!X268,安値!W268&lt;安値!Y268),18,""))</f>
        <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f>IF(終値!A268="","",IF(AND(安値!Z268&lt;安値!Y268,安値!Z268&lt;安値!X268,安値!Z268&lt;安値!AA268,安値!Z268&lt;安値!AB268),21,""))</f>
        <v>21</v>
      </c>
      <c r="V268" s="503" t="str">
        <f>IF(終値!A268="","",IF(AND(安値!AA268&lt;安値!Z268,安値!AA268&lt;安値!Y268,安値!AA268&lt;安値!AB268,安値!AA268&lt;安値!AC268),22,""))</f>
        <v/>
      </c>
      <c r="W268" s="503" t="str">
        <f>IF(終値!A268="","",IF(AND(安値!AB268&lt;安値!AA268,安値!AB268&lt;安値!Z268,安値!AB268&lt;安値!AC268,安値!AB268&lt;安値!AD268),23,""))</f>
        <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f>IF(終値!A268="","",IF(AND(高値!M268&gt;高値!L268,高値!M268&gt;高値!K268,高値!M268&gt;高値!N268,高値!M268&gt;高値!O268),8,""))</f>
        <v>8</v>
      </c>
      <c r="AJ268" s="503" t="str">
        <f>IF(終値!A268="","",IF(AND(高値!N268&gt;高値!M268,高値!N268&gt;高値!L268,高値!N268&gt;高値!O268,高値!N268&gt;高値!P268),9,""))</f>
        <v/>
      </c>
      <c r="AK268" s="503" t="str">
        <f>IF(終値!A268="","",IF(AND(高値!O268&gt;高値!N268,高値!O268&gt;高値!M268,高値!O268&gt;高値!P268,高値!O268&gt;高値!Q268),10,""))</f>
        <v/>
      </c>
      <c r="AL268" s="503" t="str">
        <f>IF(終値!A268="","",IF(AND(高値!P268&gt;高値!O268,高値!P268&gt;高値!N268,高値!P268&gt;高値!Q268,高値!P268&gt;高値!R268),11,""))</f>
        <v/>
      </c>
      <c r="AM268" s="503">
        <f>IF(終値!A268="","",IF(AND(高値!Q268&gt;高値!P268,高値!Q268&gt;高値!O268,高値!Q268&gt;高値!R268,高値!Q268&gt;高値!S268),12,""))</f>
        <v>12</v>
      </c>
      <c r="AN268" s="503" t="str">
        <f>IF(終値!A268="","",IF(AND(高値!R268&gt;高値!Q268,高値!R268&gt;高値!P268,高値!R268&gt;高値!S268,高値!R268&gt;高値!T268),13,""))</f>
        <v/>
      </c>
      <c r="AO268" s="503" t="str">
        <f>IF(終値!A268="","",IF(AND(高値!S268&gt;高値!R268,高値!S268&gt;高値!Q268,高値!S268&gt;高値!T268,高値!S268&gt;高値!U268),14,""))</f>
        <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f>IF(終値!A268="","",IF(AND(高値!W268&gt;高値!V268,高値!W268&gt;高値!U268,高値!W268&gt;高値!X268,高値!W268&gt;高値!Y268),18,""))</f>
        <v>18</v>
      </c>
      <c r="AT268" s="503" t="str">
        <f>IF(終値!A268="","",IF(AND(高値!X268&gt;高値!W268,高値!X268&gt;高値!V268,高値!X268&gt;高値!Y268,高値!X268&gt;高値!Z268),19,""))</f>
        <v/>
      </c>
      <c r="AU268" s="503" t="str">
        <f>IF(終値!A268="","",IF(AND(高値!Y268&gt;高値!X268,高値!Y268&gt;高値!W268,高値!Y268&gt;高値!Z268,高値!Y268&gt;高値!AA268),20,""))</f>
        <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7</v>
      </c>
      <c r="BF268" s="503">
        <f t="shared" si="26"/>
        <v>11</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8</v>
      </c>
      <c r="BN268" s="503">
        <f t="shared" si="29"/>
        <v>12</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f>IF(終値!A269="","",IF(AND(安値!I269&lt;安値!H269,安値!I269&lt;安値!G269,安値!I269&lt;安値!J269,安値!I269&lt;安値!K269),4,""))</f>
        <v>4</v>
      </c>
      <c r="E269" s="503" t="str">
        <f>IF(終値!A269="","",IF(AND(安値!J269&lt;安値!I269,安値!J269&lt;安値!H269,安値!J269&lt;安値!K269,安値!J269&lt;安値!L269),5,""))</f>
        <v/>
      </c>
      <c r="F269" s="503" t="str">
        <f>IF(終値!A269="","",IF(AND(安値!K269&lt;安値!J269,安値!K269&lt;安値!I269,安値!K269&lt;安値!L269,安値!K269&lt;安値!M269),6,""))</f>
        <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f>IF(終値!A269="","",IF(AND(安値!R269&lt;安値!Q269,安値!R269&lt;安値!P269,安値!R269&lt;安値!S269,安値!R269&lt;安値!T269),13,""))</f>
        <v>13</v>
      </c>
      <c r="N269" s="503" t="str">
        <f>IF(終値!A269="","",IF(AND(安値!S269&lt;安値!R269,安値!S269&lt;安値!Q269,安値!S269&lt;安値!T269,安値!S269&lt;安値!U269),14,""))</f>
        <v/>
      </c>
      <c r="O269" s="503" t="str">
        <f>IF(終値!A269="","",IF(AND(安値!T269&lt;安値!S269,安値!T269&lt;安値!R269,安値!T269&lt;安値!U269,安値!T269&lt;安値!V269),15,""))</f>
        <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f>IF(終値!A269="","",IF(AND(高値!N269&gt;高値!M269,高値!N269&gt;高値!L269,高値!N269&gt;高値!O269,高値!N269&gt;高値!P269),9,""))</f>
        <v>9</v>
      </c>
      <c r="AK269" s="503" t="str">
        <f>IF(終値!A269="","",IF(AND(高値!O269&gt;高値!N269,高値!O269&gt;高値!M269,高値!O269&gt;高値!P269,高値!O269&gt;高値!Q269),10,""))</f>
        <v/>
      </c>
      <c r="AL269" s="503" t="str">
        <f>IF(終値!A269="","",IF(AND(高値!P269&gt;高値!O269,高値!P269&gt;高値!N269,高値!P269&gt;高値!Q269,高値!P269&gt;高値!R269),11,""))</f>
        <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f>IF(終値!A269="","",IF(AND(高値!X269&gt;高値!W269,高値!X269&gt;高値!V269,高値!X269&gt;高値!Y269,高値!X269&gt;高値!Z269),19,""))</f>
        <v>19</v>
      </c>
      <c r="AU269" s="503" t="str">
        <f>IF(終値!A269="","",IF(AND(高値!Y269&gt;高値!X269,高値!Y269&gt;高値!W269,高値!Y269&gt;高値!Z269,高値!Y269&gt;高値!AA269),20,""))</f>
        <v/>
      </c>
      <c r="AV269" s="503" t="str">
        <f>IF(終値!A269="","",IF(AND(高値!Z269&gt;高値!Y269,高値!Z269&gt;高値!X269,高値!Z269&gt;高値!AA269,高値!Z269&gt;高値!AB269),21,""))</f>
        <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f>IF(終値!A269="","",IF(AND(高値!AD269&gt;高値!AC269,高値!AD269&gt;高値!AB269,高値!AD269&gt;高値!AE269,高値!AD269&gt;高値!AF269),25,""))</f>
        <v>25</v>
      </c>
      <c r="BA269" s="503" t="str">
        <f>IF(終値!A269="","",IF(AND(高値!AE269&gt;高値!AD269,高値!AE269&gt;高値!AC269,高値!AE269&gt;高値!AF269,高値!AE269&gt;高値!AG269),26,""))</f>
        <v/>
      </c>
      <c r="BB269" s="503" t="str">
        <f>IF(終値!A269="","",IF(AND(高値!AF269&gt;高値!AE269,高値!AF269&gt;高値!AD269,高値!AF269&gt;高値!AG269,高値!AF269&gt;高値!AH269),27,""))</f>
        <v/>
      </c>
      <c r="BC269" s="503" t="str">
        <f>IF(終値!A269="","",IF(AND(高値!AG269&gt;高値!AF269,高値!AG269&gt;高値!AE269,高値!AG269&gt;高値!AH269,高値!AG269&gt;高値!AI269),28,""))</f>
        <v/>
      </c>
      <c r="BD269" s="503">
        <f t="shared" si="24"/>
        <v>2</v>
      </c>
      <c r="BE269" s="503">
        <f t="shared" si="25"/>
        <v>4</v>
      </c>
      <c r="BF269" s="503">
        <f t="shared" si="26"/>
        <v>13</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9</v>
      </c>
      <c r="BN269" s="503">
        <f t="shared" si="29"/>
        <v>19</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f>IF(終値!A270="","",IF(AND(安値!H270&lt;安値!G270,安値!H270&lt;安値!F270,安値!H270&lt;安値!I270,安値!H270&lt;安値!J270),3,""))</f>
        <v>3</v>
      </c>
      <c r="D270" s="503" t="str">
        <f>IF(終値!A270="","",IF(AND(安値!I270&lt;安値!H270,安値!I270&lt;安値!G270,安値!I270&lt;安値!J270,安値!I270&lt;安値!K270),4,""))</f>
        <v/>
      </c>
      <c r="E270" s="503" t="str">
        <f>IF(終値!A270="","",IF(AND(安値!J270&lt;安値!I270,安値!J270&lt;安値!H270,安値!J270&lt;安値!K270,安値!J270&lt;安値!L270),5,""))</f>
        <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f>IF(終値!A270="","",IF(AND(安値!P270&lt;安値!O270,安値!P270&lt;安値!N270,安値!P270&lt;安値!Q270,安値!P270&lt;安値!R270),11,""))</f>
        <v>11</v>
      </c>
      <c r="L270" s="503" t="str">
        <f>IF(終値!A270="","",IF(AND(安値!Q270&lt;安値!P270,安値!Q270&lt;安値!O270,安値!Q270&lt;安値!R270,安値!Q270&lt;安値!S270),12,""))</f>
        <v/>
      </c>
      <c r="M270" s="503" t="str">
        <f>IF(終値!A270="","",IF(AND(安値!R270&lt;安値!Q270,安値!R270&lt;安値!P270,安値!R270&lt;安値!S270,安値!R270&lt;安値!T270),13,""))</f>
        <v/>
      </c>
      <c r="N270" s="503" t="str">
        <f>IF(終値!A270="","",IF(AND(安値!S270&lt;安値!R270,安値!S270&lt;安値!Q270,安値!S270&lt;安値!T270,安値!S270&lt;安値!U270),14,""))</f>
        <v/>
      </c>
      <c r="O270" s="503">
        <f>IF(終値!A270="","",IF(AND(安値!T270&lt;安値!S270,安値!T270&lt;安値!R270,安値!T270&lt;安値!U270,安値!T270&lt;安値!V270),15,""))</f>
        <v>15</v>
      </c>
      <c r="P270" s="503" t="str">
        <f>IF(終値!A270="","",IF(AND(安値!U270&lt;安値!T270,安値!U270&lt;安値!S270,安値!U270&lt;安値!V270,安値!U270&lt;安値!W270),16,""))</f>
        <v/>
      </c>
      <c r="Q270" s="503" t="str">
        <f>IF(終値!A270="","",IF(AND(安値!V270&lt;安値!U270,安値!V270&lt;安値!T270,安値!V270&lt;安値!W270,安値!V270&lt;安値!X270),17,""))</f>
        <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f>IF(終値!A270="","",IF(AND(高値!K270&gt;高値!J270,高値!K270&gt;高値!I270,高値!K270&gt;高値!L270,高値!K270&gt;高値!M270),6,""))</f>
        <v>6</v>
      </c>
      <c r="AH270" s="503" t="str">
        <f>IF(終値!A270="","",IF(AND(高値!L270&gt;高値!K270,高値!L270&gt;高値!J270,高値!L270&gt;高値!M270,高値!L270&gt;高値!N270),7,""))</f>
        <v/>
      </c>
      <c r="AI270" s="503" t="str">
        <f>IF(終値!A270="","",IF(AND(高値!M270&gt;高値!L270,高値!M270&gt;高値!K270,高値!M270&gt;高値!N270,高値!M270&gt;高値!O270),8,""))</f>
        <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f>IF(終値!A270="","",IF(AND(高値!Q270&gt;高値!P270,高値!Q270&gt;高値!O270,高値!Q270&gt;高値!R270,高値!Q270&gt;高値!S270),12,""))</f>
        <v>12</v>
      </c>
      <c r="AN270" s="503" t="str">
        <f>IF(終値!A270="","",IF(AND(高値!R270&gt;高値!Q270,高値!R270&gt;高値!P270,高値!R270&gt;高値!S270,高値!R270&gt;高値!T270),13,""))</f>
        <v/>
      </c>
      <c r="AO270" s="503" t="str">
        <f>IF(終値!A270="","",IF(AND(高値!S270&gt;高値!R270,高値!S270&gt;高値!Q270,高値!S270&gt;高値!T270,高値!S270&gt;高値!U270),14,""))</f>
        <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f>IF(終値!A270="","",IF(AND(高値!X270&gt;高値!W270,高値!X270&gt;高値!V270,高値!X270&gt;高値!Y270,高値!X270&gt;高値!Z270),19,""))</f>
        <v>19</v>
      </c>
      <c r="AU270" s="503" t="str">
        <f>IF(終値!A270="","",IF(AND(高値!Y270&gt;高値!X270,高値!Y270&gt;高値!W270,高値!Y270&gt;高値!Z270,高値!Y270&gt;高値!AA270),20,""))</f>
        <v/>
      </c>
      <c r="AV270" s="503" t="str">
        <f>IF(終値!A270="","",IF(AND(高値!Z270&gt;高値!Y270,高値!Z270&gt;高値!X270,高値!Z270&gt;高値!AA270,高値!Z270&gt;高値!AB270),21,""))</f>
        <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f>IF(終値!A270="","",IF(AND(高値!AC270&gt;高値!AB270,高値!AC270&gt;高値!AA270,高値!AC270&gt;高値!AD270,高値!AC270&gt;高値!AE270),24,""))</f>
        <v>24</v>
      </c>
      <c r="AZ270" s="503" t="str">
        <f>IF(終値!A270="","",IF(AND(高値!AD270&gt;高値!AC270,高値!AD270&gt;高値!AB270,高値!AD270&gt;高値!AE270,高値!AD270&gt;高値!AF270),25,""))</f>
        <v/>
      </c>
      <c r="BA270" s="503" t="str">
        <f>IF(終値!A270="","",IF(AND(高値!AE270&gt;高値!AD270,高値!AE270&gt;高値!AC270,高値!AE270&gt;高値!AF270,高値!AE270&gt;高値!AG270),26,""))</f>
        <v/>
      </c>
      <c r="BB270" s="503" t="str">
        <f>IF(終値!A270="","",IF(AND(高値!AF270&gt;高値!AE270,高値!AF270&gt;高値!AD270,高値!AF270&gt;高値!AG270,高値!AF270&gt;高値!AH270),27,""))</f>
        <v/>
      </c>
      <c r="BC270" s="503">
        <f>IF(終値!A270="","",IF(AND(高値!AG270&gt;高値!AF270,高値!AG270&gt;高値!AE270,高値!AG270&gt;高値!AH270,高値!AG270&gt;高値!AI270),28,""))</f>
        <v>28</v>
      </c>
      <c r="BD270" s="503">
        <f t="shared" si="24"/>
        <v>3</v>
      </c>
      <c r="BE270" s="503">
        <f t="shared" si="25"/>
        <v>3</v>
      </c>
      <c r="BF270" s="503">
        <f t="shared" si="26"/>
        <v>11</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5</v>
      </c>
      <c r="BM270" s="503">
        <f t="shared" si="28"/>
        <v>6</v>
      </c>
      <c r="BN270" s="503">
        <f t="shared" si="29"/>
        <v>12</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f>IF(終値!A271="","",IF(AND(安値!H271&lt;安値!G271,安値!H271&lt;安値!F271,安値!H271&lt;安値!I271,安値!H271&lt;安値!J271),3,""))</f>
        <v>3</v>
      </c>
      <c r="D271" s="503" t="str">
        <f>IF(終値!A271="","",IF(AND(安値!I271&lt;安値!H271,安値!I271&lt;安値!G271,安値!I271&lt;安値!J271,安値!I271&lt;安値!K271),4,""))</f>
        <v/>
      </c>
      <c r="E271" s="503" t="str">
        <f>IF(終値!A271="","",IF(AND(安値!J271&lt;安値!I271,安値!J271&lt;安値!H271,安値!J271&lt;安値!K271,安値!J271&lt;安値!L271),5,""))</f>
        <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f>IF(終値!A271="","",IF(AND(安値!U271&lt;安値!T271,安値!U271&lt;安値!S271,安値!U271&lt;安値!V271,安値!U271&lt;安値!W271),16,""))</f>
        <v>16</v>
      </c>
      <c r="Q271" s="503" t="str">
        <f>IF(終値!A271="","",IF(AND(安値!V271&lt;安値!U271,安値!V271&lt;安値!T271,安値!V271&lt;安値!W271,安値!V271&lt;安値!X271),17,""))</f>
        <v/>
      </c>
      <c r="R271" s="503" t="str">
        <f>IF(終値!A271="","",IF(AND(安値!W271&lt;安値!V271,安値!W271&lt;安値!U271,安値!W271&lt;安値!X271,安値!W271&lt;安値!Y271),18,""))</f>
        <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f>IF(終値!A271="","",IF(AND(安値!Z271&lt;安値!Y271,安値!Z271&lt;安値!X271,安値!Z271&lt;安値!AA271,安値!Z271&lt;安値!AB271),21,""))</f>
        <v>21</v>
      </c>
      <c r="V271" s="503" t="str">
        <f>IF(終値!A271="","",IF(AND(安値!AA271&lt;安値!Z271,安値!AA271&lt;安値!Y271,安値!AA271&lt;安値!AB271,安値!AA271&lt;安値!AC271),22,""))</f>
        <v/>
      </c>
      <c r="W271" s="503" t="str">
        <f>IF(終値!A271="","",IF(AND(安値!AB271&lt;安値!AA271,安値!AB271&lt;安値!Z271,安値!AB271&lt;安値!AC271,安値!AB271&lt;安値!AD271),23,""))</f>
        <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f>IF(終値!A271="","",IF(AND(安値!AF271&lt;安値!AE271,安値!AF271&lt;安値!AD271,安値!AF271&lt;安値!AG271,安値!AF271&lt;安値!AH271),27,""))</f>
        <v>27</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f>IF(終値!A271="","",IF(AND(高値!O271&gt;高値!N271,高値!O271&gt;高値!M271,高値!O271&gt;高値!P271,高値!O271&gt;高値!Q271),10,""))</f>
        <v>10</v>
      </c>
      <c r="AL271" s="503" t="str">
        <f>IF(終値!A271="","",IF(AND(高値!P271&gt;高値!O271,高値!P271&gt;高値!N271,高値!P271&gt;高値!Q271,高値!P271&gt;高値!R271),11,""))</f>
        <v/>
      </c>
      <c r="AM271" s="503" t="str">
        <f>IF(終値!A271="","",IF(AND(高値!Q271&gt;高値!P271,高値!Q271&gt;高値!O271,高値!Q271&gt;高値!R271,高値!Q271&gt;高値!S271),12,""))</f>
        <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f>IF(終値!A271="","",IF(AND(高値!X271&gt;高値!W271,高値!X271&gt;高値!V271,高値!X271&gt;高値!Y271,高値!X271&gt;高値!Z271),19,""))</f>
        <v>19</v>
      </c>
      <c r="AU271" s="503" t="str">
        <f>IF(終値!A271="","",IF(AND(高値!Y271&gt;高値!X271,高値!Y271&gt;高値!W271,高値!Y271&gt;高値!Z271,高値!Y271&gt;高値!AA271),20,""))</f>
        <v/>
      </c>
      <c r="AV271" s="503" t="str">
        <f>IF(終値!A271="","",IF(AND(高値!Z271&gt;高値!Y271,高値!Z271&gt;高値!X271,高値!Z271&gt;高値!AA271,高値!Z271&gt;高値!AB271),21,""))</f>
        <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f>IF(終値!A271="","",IF(AND(高値!AD271&gt;高値!AC271,高値!AD271&gt;高値!AB271,高値!AD271&gt;高値!AE271,高値!AD271&gt;高値!AF271),25,""))</f>
        <v>25</v>
      </c>
      <c r="BA271" s="503" t="str">
        <f>IF(終値!A271="","",IF(AND(高値!AE271&gt;高値!AD271,高値!AE271&gt;高値!AC271,高値!AE271&gt;高値!AF271,高値!AE271&gt;高値!AG271),26,""))</f>
        <v/>
      </c>
      <c r="BB271" s="503" t="str">
        <f>IF(終値!A271="","",IF(AND(高値!AF271&gt;高値!AE271,高値!AF271&gt;高値!AD271,高値!AF271&gt;高値!AG271,高値!AF271&gt;高値!AH271),27,""))</f>
        <v/>
      </c>
      <c r="BC271" s="503" t="str">
        <f>IF(終値!A271="","",IF(AND(高値!AG271&gt;高値!AF271,高値!AG271&gt;高値!AE271,高値!AG271&gt;高値!AH271,高値!AG271&gt;高値!AI271),28,""))</f>
        <v/>
      </c>
      <c r="BD271" s="503">
        <f t="shared" si="24"/>
        <v>4</v>
      </c>
      <c r="BE271" s="503">
        <f t="shared" si="25"/>
        <v>3</v>
      </c>
      <c r="BF271" s="503">
        <f t="shared" si="26"/>
        <v>16</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10</v>
      </c>
      <c r="BN271" s="503">
        <f t="shared" si="29"/>
        <v>19</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f>IF(終値!A272="","",IF(AND(安値!I272&lt;安値!H272,安値!I272&lt;安値!G272,安値!I272&lt;安値!J272,安値!I272&lt;安値!K272),4,""))</f>
        <v>4</v>
      </c>
      <c r="E272" s="503" t="str">
        <f>IF(終値!A272="","",IF(AND(安値!J272&lt;安値!I272,安値!J272&lt;安値!H272,安値!J272&lt;安値!K272,安値!J272&lt;安値!L272),5,""))</f>
        <v/>
      </c>
      <c r="F272" s="503" t="str">
        <f>IF(終値!A272="","",IF(AND(安値!K272&lt;安値!J272,安値!K272&lt;安値!I272,安値!K272&lt;安値!L272,安値!K272&lt;安値!M272),6,""))</f>
        <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f>IF(終値!A272="","",IF(AND(安値!O272&lt;安値!N272,安値!O272&lt;安値!M272,安値!O272&lt;安値!P272,安値!O272&lt;安値!Q272),10,""))</f>
        <v>10</v>
      </c>
      <c r="K272" s="503" t="str">
        <f>IF(終値!A272="","",IF(AND(安値!P272&lt;安値!O272,安値!P272&lt;安値!N272,安値!P272&lt;安値!Q272,安値!P272&lt;安値!R272),11,""))</f>
        <v/>
      </c>
      <c r="L272" s="503" t="str">
        <f>IF(終値!A272="","",IF(AND(安値!Q272&lt;安値!P272,安値!Q272&lt;安値!O272,安値!Q272&lt;安値!R272,安値!Q272&lt;安値!S272),12,""))</f>
        <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f>IF(終値!A272="","",IF(AND(安値!AF272&lt;安値!AE272,安値!AF272&lt;安値!AD272,安値!AF272&lt;安値!AG272,安値!AF272&lt;安値!AH272),27,""))</f>
        <v>27</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f>IF(終値!A272="","",IF(AND(高値!N272&gt;高値!M272,高値!N272&gt;高値!L272,高値!N272&gt;高値!O272,高値!N272&gt;高値!P272),9,""))</f>
        <v>9</v>
      </c>
      <c r="AK272" s="503" t="str">
        <f>IF(終値!A272="","",IF(AND(高値!O272&gt;高値!N272,高値!O272&gt;高値!M272,高値!O272&gt;高値!P272,高値!O272&gt;高値!Q272),10,""))</f>
        <v/>
      </c>
      <c r="AL272" s="503" t="str">
        <f>IF(終値!A272="","",IF(AND(高値!P272&gt;高値!O272,高値!P272&gt;高値!N272,高値!P272&gt;高値!Q272,高値!P272&gt;高値!R272),11,""))</f>
        <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f>IF(終値!A272="","",IF(AND(高値!AA272&gt;高値!Z272,高値!AA272&gt;高値!Y272,高値!AA272&gt;高値!AB272,高値!AA272&gt;高値!AC272),22,""))</f>
        <v>22</v>
      </c>
      <c r="AX272" s="503" t="str">
        <f>IF(終値!A272="","",IF(AND(高値!AB272&gt;高値!AA272,高値!AB272&gt;高値!Z272,高値!AB272&gt;高値!AC272,高値!AB272&gt;高値!AD272),23,""))</f>
        <v/>
      </c>
      <c r="AY272" s="503" t="str">
        <f>IF(終値!A272="","",IF(AND(高値!AC272&gt;高値!AB272,高値!AC272&gt;高値!AA272,高値!AC272&gt;高値!AD272,高値!AC272&gt;高値!AE272),24,""))</f>
        <v/>
      </c>
      <c r="AZ272" s="503" t="str">
        <f>IF(終値!A272="","",IF(AND(高値!AD272&gt;高値!AC272,高値!AD272&gt;高値!AB272,高値!AD272&gt;高値!AE272,高値!AD272&gt;高値!AF272),25,""))</f>
        <v/>
      </c>
      <c r="BA272" s="503">
        <f>IF(終値!A272="","",IF(AND(高値!AE272&gt;高値!AD272,高値!AE272&gt;高値!AC272,高値!AE272&gt;高値!AF272,高値!AE272&gt;高値!AG272),26,""))</f>
        <v>26</v>
      </c>
      <c r="BB272" s="503" t="str">
        <f>IF(終値!A272="","",IF(AND(高値!AF272&gt;高値!AE272,高値!AF272&gt;高値!AD272,高値!AF272&gt;高値!AG272,高値!AF272&gt;高値!AH272),27,""))</f>
        <v/>
      </c>
      <c r="BC272" s="503" t="str">
        <f>IF(終値!A272="","",IF(AND(高値!AG272&gt;高値!AF272,高値!AG272&gt;高値!AE272,高値!AG272&gt;高値!AH272,高値!AG272&gt;高値!AI272),28,""))</f>
        <v/>
      </c>
      <c r="BD272" s="503">
        <f t="shared" si="24"/>
        <v>3</v>
      </c>
      <c r="BE272" s="503">
        <f t="shared" si="25"/>
        <v>4</v>
      </c>
      <c r="BF272" s="503">
        <f t="shared" si="26"/>
        <v>10</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9</v>
      </c>
      <c r="BN272" s="503">
        <f t="shared" si="29"/>
        <v>22</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t="str">
        <f>IF(終値!A273="","",IF(AND(安値!H273&lt;安値!G273,安値!H273&lt;安値!F273,安値!H273&lt;安値!I273,安値!H273&lt;安値!J273),3,""))</f>
        <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f>IF(終値!A273="","",IF(AND(安値!L273&lt;安値!K273,安値!L273&lt;安値!J273,安値!L273&lt;安値!M273,安値!L273&lt;安値!N273),7,""))</f>
        <v>7</v>
      </c>
      <c r="H273" s="503" t="str">
        <f>IF(終値!A273="","",IF(AND(安値!M273&lt;安値!L273,安値!M273&lt;安値!K273,安値!M273&lt;安値!N273,安値!M273&lt;安値!O273),8,""))</f>
        <v/>
      </c>
      <c r="I273" s="503" t="str">
        <f>IF(終値!A273="","",IF(AND(安値!N273&lt;安値!M273,安値!N273&lt;安値!L273,安値!N273&lt;安値!O273,安値!N273&lt;安値!P273),9,""))</f>
        <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f>IF(終値!A273="","",IF(AND(安値!AE273&lt;安値!AD273,安値!AE273&lt;安値!AC273,安値!AE273&lt;安値!AF273,安値!AE273&lt;安値!AG273),26,""))</f>
        <v>26</v>
      </c>
      <c r="AA273" s="503" t="str">
        <f>IF(終値!A273="","",IF(AND(安値!AF273&lt;安値!AE273,安値!AF273&lt;安値!AD273,安値!AF273&lt;安値!AG273,安値!AF273&lt;安値!AH273),27,""))</f>
        <v/>
      </c>
      <c r="AB273" s="503" t="str">
        <f>IF(終値!A273="","",IF(AND(安値!AG273&lt;安値!AF273,安値!AG273&lt;安値!AE273,安値!AG273&lt;安値!AH273,安値!AG273&lt;安値!AI273),28,""))</f>
        <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f>IF(終値!A273="","",IF(AND(高値!I273&gt;高値!H273,高値!I273&gt;高値!G273,高値!I273&gt;高値!J273,高値!I273&gt;高値!K273),4,""))</f>
        <v>4</v>
      </c>
      <c r="AF273" s="503" t="str">
        <f>IF(終値!A273="","",IF(AND(高値!J273&gt;高値!I273,高値!J273&gt;高値!H273,高値!J273&gt;高値!K273,高値!J273&gt;高値!L273),5,""))</f>
        <v/>
      </c>
      <c r="AG273" s="503" t="str">
        <f>IF(終値!A273="","",IF(AND(高値!K273&gt;高値!J273,高値!K273&gt;高値!I273,高値!K273&gt;高値!L273,高値!K273&gt;高値!M273),6,""))</f>
        <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f>IF(終値!A273="","",IF(AND(高値!P273&gt;高値!O273,高値!P273&gt;高値!N273,高値!P273&gt;高値!Q273,高値!P273&gt;高値!R273),11,""))</f>
        <v>11</v>
      </c>
      <c r="AM273" s="503" t="str">
        <f>IF(終値!A273="","",IF(AND(高値!Q273&gt;高値!P273,高値!Q273&gt;高値!O273,高値!Q273&gt;高値!R273,高値!Q273&gt;高値!S273),12,""))</f>
        <v/>
      </c>
      <c r="AN273" s="503" t="str">
        <f>IF(終値!A273="","",IF(AND(高値!R273&gt;高値!Q273,高値!R273&gt;高値!P273,高値!R273&gt;高値!S273,高値!R273&gt;高値!T273),13,""))</f>
        <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f>IF(終値!A273="","",IF(AND(高値!V273&gt;高値!U273,高値!V273&gt;高値!T273,高値!V273&gt;高値!W273,高値!V273&gt;高値!X273),17,""))</f>
        <v>17</v>
      </c>
      <c r="AS273" s="503" t="str">
        <f>IF(終値!A273="","",IF(AND(高値!W273&gt;高値!V273,高値!W273&gt;高値!U273,高値!W273&gt;高値!X273,高値!W273&gt;高値!Y273),18,""))</f>
        <v/>
      </c>
      <c r="AT273" s="503" t="str">
        <f>IF(終値!A273="","",IF(AND(高値!X273&gt;高値!W273,高値!X273&gt;高値!V273,高値!X273&gt;高値!Y273,高値!X273&gt;高値!Z273),19,""))</f>
        <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f>IF(終値!A273="","",IF(AND(高値!AC273&gt;高値!AB273,高値!AC273&gt;高値!AA273,高値!AC273&gt;高値!AD273,高値!AC273&gt;高値!AE273),24,""))</f>
        <v>24</v>
      </c>
      <c r="AZ273" s="503" t="str">
        <f>IF(終値!A273="","",IF(AND(高値!AD273&gt;高値!AC273,高値!AD273&gt;高値!AB273,高値!AD273&gt;高値!AE273,高値!AD273&gt;高値!AF273),25,""))</f>
        <v/>
      </c>
      <c r="BA273" s="503" t="str">
        <f>IF(終値!A273="","",IF(AND(高値!AE273&gt;高値!AD273,高値!AE273&gt;高値!AC273,高値!AE273&gt;高値!AF273,高値!AE273&gt;高値!AG273),26,""))</f>
        <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2</v>
      </c>
      <c r="BE273" s="503">
        <f t="shared" si="25"/>
        <v>7</v>
      </c>
      <c r="BF273" s="503">
        <f t="shared" si="26"/>
        <v>26</v>
      </c>
      <c r="BG273" s="503">
        <f>IF($BE273="","",INDEX(安値!$E273:$CZ273,1,$BE273+1))</f>
        <v>3273</v>
      </c>
      <c r="BH273" s="503">
        <f>IF($BF273="","",INDEX(安値!$E273:$CZ273,1,$BF273+1))</f>
        <v>3124</v>
      </c>
      <c r="BI273" s="503">
        <f>IF($BF273="","",MAX(INDEX(高値!$E273:$CZ273,1,$BE273+1):INDEX(高値!$E273:$CZ273,1,$BF273+1)))</f>
        <v>3523</v>
      </c>
      <c r="BJ273" s="503">
        <f>IF($BF273="","",AVERAGE(INDEX(終値!$E273:$CZ273,1,$BF273+1):INDEX(終値!$E273:$CZ273,1,$BF273+20))-2*STDEVP(INDEX(終値!$E273:$CZ273,1,$BF273+1):INDEX(終値!$E273:$CZ273,1,$BF273+20)))</f>
        <v>3029.6740674790312</v>
      </c>
      <c r="BK273" s="503">
        <f>IF($BE273="","",AVERAGE(INDEX(終値!$E273:$CZ273,1,$BE273+1):INDEX(終値!$E273:$CZ273,1,$BE273+20))-2*STDEVP(INDEX(終値!$E273:$CZ273,1,$BE273+1):INDEX(終値!$E273:$CZ273,1,$BE273+20)))</f>
        <v>3211.9814359935917</v>
      </c>
      <c r="BL273" s="503">
        <f t="shared" si="27"/>
        <v>4</v>
      </c>
      <c r="BM273" s="503">
        <f t="shared" si="28"/>
        <v>4</v>
      </c>
      <c r="BN273" s="503">
        <f t="shared" si="29"/>
        <v>11</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t="str">
        <f>IF(終値!A274="","",IF(AND(安値!G274&lt;安値!F274,安値!G274&lt;安値!E274,安値!G274&lt;安値!H274,安値!G274&lt;安値!I274),2,""))</f>
        <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f>IF(終値!A274="","",IF(AND(安値!L274&lt;安値!K274,安値!L274&lt;安値!J274,安値!L274&lt;安値!M274,安値!L274&lt;安値!N274),7,""))</f>
        <v>7</v>
      </c>
      <c r="H274" s="503" t="str">
        <f>IF(終値!A274="","",IF(AND(安値!M274&lt;安値!L274,安値!M274&lt;安値!K274,安値!M274&lt;安値!N274,安値!M274&lt;安値!O274),8,""))</f>
        <v/>
      </c>
      <c r="I274" s="503" t="str">
        <f>IF(終値!A274="","",IF(AND(安値!N274&lt;安値!M274,安値!N274&lt;安値!L274,安値!N274&lt;安値!O274,安値!N274&lt;安値!P274),9,""))</f>
        <v/>
      </c>
      <c r="J274" s="503" t="str">
        <f>IF(終値!A274="","",IF(AND(安値!O274&lt;安値!N274,安値!O274&lt;安値!M274,安値!O274&lt;安値!P274,安値!O274&lt;安値!Q274),10,""))</f>
        <v/>
      </c>
      <c r="K274" s="503">
        <f>IF(終値!A274="","",IF(AND(安値!P274&lt;安値!O274,安値!P274&lt;安値!N274,安値!P274&lt;安値!Q274,安値!P274&lt;安値!R274),11,""))</f>
        <v>11</v>
      </c>
      <c r="L274" s="503" t="str">
        <f>IF(終値!A274="","",IF(AND(安値!Q274&lt;安値!P274,安値!Q274&lt;安値!O274,安値!Q274&lt;安値!R274,安値!Q274&lt;安値!S274),12,""))</f>
        <v/>
      </c>
      <c r="M274" s="503" t="str">
        <f>IF(終値!A274="","",IF(AND(安値!R274&lt;安値!Q274,安値!R274&lt;安値!P274,安値!R274&lt;安値!S274,安値!R274&lt;安値!T274),13,""))</f>
        <v/>
      </c>
      <c r="N274" s="503">
        <f>IF(終値!A274="","",IF(AND(安値!S274&lt;安値!R274,安値!S274&lt;安値!Q274,安値!S274&lt;安値!T274,安値!S274&lt;安値!U274),14,""))</f>
        <v>14</v>
      </c>
      <c r="O274" s="503" t="str">
        <f>IF(終値!A274="","",IF(AND(安値!T274&lt;安値!S274,安値!T274&lt;安値!R274,安値!T274&lt;安値!U274,安値!T274&lt;安値!V274),15,""))</f>
        <v/>
      </c>
      <c r="P274" s="503" t="str">
        <f>IF(終値!A274="","",IF(AND(安値!U274&lt;安値!T274,安値!U274&lt;安値!S274,安値!U274&lt;安値!V274,安値!U274&lt;安値!W274),16,""))</f>
        <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f>IF(終値!A274="","",IF(AND(安値!Z274&lt;安値!Y274,安値!Z274&lt;安値!X274,安値!Z274&lt;安値!AA274,安値!Z274&lt;安値!AB274),21,""))</f>
        <v>21</v>
      </c>
      <c r="V274" s="503" t="str">
        <f>IF(終値!A274="","",IF(AND(安値!AA274&lt;安値!Z274,安値!AA274&lt;安値!Y274,安値!AA274&lt;安値!AB274,安値!AA274&lt;安値!AC274),22,""))</f>
        <v/>
      </c>
      <c r="W274" s="503" t="str">
        <f>IF(終値!A274="","",IF(AND(安値!AB274&lt;安値!AA274,安値!AB274&lt;安値!Z274,安値!AB274&lt;安値!AC274,安値!AB274&lt;安値!AD274),23,""))</f>
        <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f>IF(終値!A274="","",IF(AND(安値!AF274&lt;安値!AE274,安値!AF274&lt;安値!AD274,安値!AF274&lt;安値!AG274,安値!AF274&lt;安値!AH274),27,""))</f>
        <v>27</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f>IF(終値!A274="","",IF(AND(高値!K274&gt;高値!J274,高値!K274&gt;高値!I274,高値!K274&gt;高値!L274,高値!K274&gt;高値!M274),6,""))</f>
        <v>6</v>
      </c>
      <c r="AH274" s="503" t="str">
        <f>IF(終値!A274="","",IF(AND(高値!L274&gt;高値!K274,高値!L274&gt;高値!J274,高値!L274&gt;高値!M274,高値!L274&gt;高値!N274),7,""))</f>
        <v/>
      </c>
      <c r="AI274" s="503" t="str">
        <f>IF(終値!A274="","",IF(AND(高値!M274&gt;高値!L274,高値!M274&gt;高値!K274,高値!M274&gt;高値!N274,高値!M274&gt;高値!O274),8,""))</f>
        <v/>
      </c>
      <c r="AJ274" s="503">
        <f>IF(終値!A274="","",IF(AND(高値!N274&gt;高値!M274,高値!N274&gt;高値!L274,高値!N274&gt;高値!O274,高値!N274&gt;高値!P274),9,""))</f>
        <v>9</v>
      </c>
      <c r="AK274" s="503" t="str">
        <f>IF(終値!A274="","",IF(AND(高値!O274&gt;高値!N274,高値!O274&gt;高値!M274,高値!O274&gt;高値!P274,高値!O274&gt;高値!Q274),10,""))</f>
        <v/>
      </c>
      <c r="AL274" s="503" t="str">
        <f>IF(終値!A274="","",IF(AND(高値!P274&gt;高値!O274,高値!P274&gt;高値!N274,高値!P274&gt;高値!Q274,高値!P274&gt;高値!R274),11,""))</f>
        <v/>
      </c>
      <c r="AM274" s="503" t="str">
        <f>IF(終値!A274="","",IF(AND(高値!Q274&gt;高値!P274,高値!Q274&gt;高値!O274,高値!Q274&gt;高値!R274,高値!Q274&gt;高値!S274),12,""))</f>
        <v/>
      </c>
      <c r="AN274" s="503">
        <f>IF(終値!A274="","",IF(AND(高値!R274&gt;高値!Q274,高値!R274&gt;高値!P274,高値!R274&gt;高値!S274,高値!R274&gt;高値!T274),13,""))</f>
        <v>13</v>
      </c>
      <c r="AO274" s="503" t="str">
        <f>IF(終値!A274="","",IF(AND(高値!S274&gt;高値!R274,高値!S274&gt;高値!Q274,高値!S274&gt;高値!T274,高値!S274&gt;高値!U274),14,""))</f>
        <v/>
      </c>
      <c r="AP274" s="503" t="str">
        <f>IF(終値!A274="","",IF(AND(高値!T274&gt;高値!S274,高値!T274&gt;高値!R274,高値!T274&gt;高値!U274,高値!T274&gt;高値!V274),15,""))</f>
        <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f>IF(終値!A274="","",IF(AND(高値!AB274&gt;高値!AA274,高値!AB274&gt;高値!Z274,高値!AB274&gt;高値!AC274,高値!AB274&gt;高値!AD274),23,""))</f>
        <v>23</v>
      </c>
      <c r="AY274" s="503" t="str">
        <f>IF(終値!A274="","",IF(AND(高値!AC274&gt;高値!AB274,高値!AC274&gt;高値!AA274,高値!AC274&gt;高値!AD274,高値!AC274&gt;高値!AE274),24,""))</f>
        <v/>
      </c>
      <c r="AZ274" s="503" t="str">
        <f>IF(終値!A274="","",IF(AND(高値!AD274&gt;高値!AC274,高値!AD274&gt;高値!AB274,高値!AD274&gt;高値!AE274,高値!AD274&gt;高値!AF274),25,""))</f>
        <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7</v>
      </c>
      <c r="BF274" s="503">
        <f t="shared" si="26"/>
        <v>11</v>
      </c>
      <c r="BG274" s="503">
        <f>IF($BE274="","",INDEX(安値!$E274:$CZ274,1,$BE274+1))</f>
        <v>0</v>
      </c>
      <c r="BH274" s="503">
        <f>IF($BF274="","",INDEX(安値!$E274:$CZ274,1,$BF274+1))</f>
        <v>850</v>
      </c>
      <c r="BI274" s="503">
        <f>IF($BF274="","",MAX(INDEX(高値!$E274:$CZ274,1,$BE274+1):INDEX(高値!$E274:$CZ274,1,$BF274+1)))</f>
        <v>858</v>
      </c>
      <c r="BJ274" s="503">
        <f>IF($BF274="","",AVERAGE(INDEX(終値!$E274:$CZ274,1,$BF274+1):INDEX(終値!$E274:$CZ274,1,$BF274+20))-2*STDEVP(INDEX(終値!$E274:$CZ274,1,$BF274+1):INDEX(終値!$E274:$CZ274,1,$BF274+20)))</f>
        <v>841.9374298804762</v>
      </c>
      <c r="BK274" s="503">
        <f>IF($BE274="","",AVERAGE(INDEX(終値!$E274:$CZ274,1,$BE274+1):INDEX(終値!$E274:$CZ274,1,$BE274+20))-2*STDEVP(INDEX(終値!$E274:$CZ274,1,$BE274+1):INDEX(終値!$E274:$CZ274,1,$BE274+20)))</f>
        <v>845.32071722735827</v>
      </c>
      <c r="BL274" s="503">
        <f t="shared" si="27"/>
        <v>4</v>
      </c>
      <c r="BM274" s="503">
        <f t="shared" si="28"/>
        <v>6</v>
      </c>
      <c r="BN274" s="503">
        <f t="shared" si="29"/>
        <v>9</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f>IF(終値!A275="","",IF(AND(安値!I275&lt;安値!H275,安値!I275&lt;安値!G275,安値!I275&lt;安値!J275,安値!I275&lt;安値!K275),4,""))</f>
        <v>4</v>
      </c>
      <c r="E275" s="503" t="str">
        <f>IF(終値!A275="","",IF(AND(安値!J275&lt;安値!I275,安値!J275&lt;安値!H275,安値!J275&lt;安値!K275,安値!J275&lt;安値!L275),5,""))</f>
        <v/>
      </c>
      <c r="F275" s="503" t="str">
        <f>IF(終値!A275="","",IF(AND(安値!K275&lt;安値!J275,安値!K275&lt;安値!I275,安値!K275&lt;安値!L275,安値!K275&lt;安値!M275),6,""))</f>
        <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f>IF(終値!A275="","",IF(AND(安値!P275&lt;安値!O275,安値!P275&lt;安値!N275,安値!P275&lt;安値!Q275,安値!P275&lt;安値!R275),11,""))</f>
        <v>11</v>
      </c>
      <c r="L275" s="503" t="str">
        <f>IF(終値!A275="","",IF(AND(安値!Q275&lt;安値!P275,安値!Q275&lt;安値!O275,安値!Q275&lt;安値!R275,安値!Q275&lt;安値!S275),12,""))</f>
        <v/>
      </c>
      <c r="M275" s="503" t="str">
        <f>IF(終値!A275="","",IF(AND(安値!R275&lt;安値!Q275,安値!R275&lt;安値!P275,安値!R275&lt;安値!S275,安値!R275&lt;安値!T275),13,""))</f>
        <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f>IF(終値!A275="","",IF(AND(安値!U275&lt;安値!T275,安値!U275&lt;安値!S275,安値!U275&lt;安値!V275,安値!U275&lt;安値!W275),16,""))</f>
        <v>16</v>
      </c>
      <c r="Q275" s="503" t="str">
        <f>IF(終値!A275="","",IF(AND(安値!V275&lt;安値!U275,安値!V275&lt;安値!T275,安値!V275&lt;安値!W275,安値!V275&lt;安値!X275),17,""))</f>
        <v/>
      </c>
      <c r="R275" s="503" t="str">
        <f>IF(終値!A275="","",IF(AND(安値!W275&lt;安値!V275,安値!W275&lt;安値!U275,安値!W275&lt;安値!X275,安値!W275&lt;安値!Y275),18,""))</f>
        <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f>IF(終値!A275="","",IF(AND(安値!AC275&lt;安値!AB275,安値!AC275&lt;安値!AA275,安値!AC275&lt;安値!AD275,安値!AC275&lt;安値!AE275),24,""))</f>
        <v>24</v>
      </c>
      <c r="Y275" s="503" t="str">
        <f>IF(終値!A275="","",IF(AND(安値!AD275&lt;安値!AC275,安値!AD275&lt;安値!AB275,安値!AD275&lt;安値!AE275,安値!AD275&lt;安値!AF275),25,""))</f>
        <v/>
      </c>
      <c r="Z275" s="503" t="str">
        <f>IF(終値!A275="","",IF(AND(安値!AE275&lt;安値!AD275,安値!AE275&lt;安値!AC275,安値!AE275&lt;安値!AF275,安値!AE275&lt;安値!AG275),26,""))</f>
        <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f>IF(終値!A275="","",IF(AND(高値!M275&gt;高値!L275,高値!M275&gt;高値!K275,高値!M275&gt;高値!N275,高値!M275&gt;高値!O275),8,""))</f>
        <v>8</v>
      </c>
      <c r="AJ275" s="503" t="str">
        <f>IF(終値!A275="","",IF(AND(高値!N275&gt;高値!M275,高値!N275&gt;高値!L275,高値!N275&gt;高値!O275,高値!N275&gt;高値!P275),9,""))</f>
        <v/>
      </c>
      <c r="AK275" s="503" t="str">
        <f>IF(終値!A275="","",IF(AND(高値!O275&gt;高値!N275,高値!O275&gt;高値!M275,高値!O275&gt;高値!P275,高値!O275&gt;高値!Q275),10,""))</f>
        <v/>
      </c>
      <c r="AL275" s="503" t="str">
        <f>IF(終値!A275="","",IF(AND(高値!P275&gt;高値!O275,高値!P275&gt;高値!N275,高値!P275&gt;高値!Q275,高値!P275&gt;高値!R275),11,""))</f>
        <v/>
      </c>
      <c r="AM275" s="503">
        <f>IF(終値!A275="","",IF(AND(高値!Q275&gt;高値!P275,高値!Q275&gt;高値!O275,高値!Q275&gt;高値!R275,高値!Q275&gt;高値!S275),12,""))</f>
        <v>12</v>
      </c>
      <c r="AN275" s="503" t="str">
        <f>IF(終値!A275="","",IF(AND(高値!R275&gt;高値!Q275,高値!R275&gt;高値!P275,高値!R275&gt;高値!S275,高値!R275&gt;高値!T275),13,""))</f>
        <v/>
      </c>
      <c r="AO275" s="503" t="str">
        <f>IF(終値!A275="","",IF(AND(高値!S275&gt;高値!R275,高値!S275&gt;高値!Q275,高値!S275&gt;高値!T275,高値!S275&gt;高値!U275),14,""))</f>
        <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f>IF(終値!A275="","",IF(AND(高値!X275&gt;高値!W275,高値!X275&gt;高値!V275,高値!X275&gt;高値!Y275,高値!X275&gt;高値!Z275),19,""))</f>
        <v>19</v>
      </c>
      <c r="AU275" s="503" t="str">
        <f>IF(終値!A275="","",IF(AND(高値!Y275&gt;高値!X275,高値!Y275&gt;高値!W275,高値!Y275&gt;高値!Z275,高値!Y275&gt;高値!AA275),20,""))</f>
        <v/>
      </c>
      <c r="AV275" s="503" t="str">
        <f>IF(終値!A275="","",IF(AND(高値!Z275&gt;高値!Y275,高値!Z275&gt;高値!X275,高値!Z275&gt;高値!AA275,高値!Z275&gt;高値!AB275),21,""))</f>
        <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4</v>
      </c>
      <c r="BF275" s="503">
        <f t="shared" si="26"/>
        <v>11</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8</v>
      </c>
      <c r="BN275" s="503">
        <f t="shared" si="29"/>
        <v>12</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f>IF(終値!A276="","",IF(AND(安値!J276&lt;安値!I276,安値!J276&lt;安値!H276,安値!J276&lt;安値!K276,安値!J276&lt;安値!L276),5,""))</f>
        <v>5</v>
      </c>
      <c r="F276" s="503" t="str">
        <f>IF(終値!A276="","",IF(AND(安値!K276&lt;安値!J276,安値!K276&lt;安値!I276,安値!K276&lt;安値!L276,安値!K276&lt;安値!M276),6,""))</f>
        <v/>
      </c>
      <c r="G276" s="503" t="str">
        <f>IF(終値!A276="","",IF(AND(安値!L276&lt;安値!K276,安値!L276&lt;安値!J276,安値!L276&lt;安値!M276,安値!L276&lt;安値!N276),7,""))</f>
        <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f>IF(終値!A276="","",IF(AND(安値!S276&lt;安値!R276,安値!S276&lt;安値!Q276,安値!S276&lt;安値!T276,安値!S276&lt;安値!U276),14,""))</f>
        <v>14</v>
      </c>
      <c r="O276" s="503" t="str">
        <f>IF(終値!A276="","",IF(AND(安値!T276&lt;安値!S276,安値!T276&lt;安値!R276,安値!T276&lt;安値!U276,安値!T276&lt;安値!V276),15,""))</f>
        <v/>
      </c>
      <c r="P276" s="503" t="str">
        <f>IF(終値!A276="","",IF(AND(安値!U276&lt;安値!T276,安値!U276&lt;安値!S276,安値!U276&lt;安値!V276,安値!U276&lt;安値!W276),16,""))</f>
        <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f>IF(終値!A276="","",IF(AND(安値!AB276&lt;安値!AA276,安値!AB276&lt;安値!Z276,安値!AB276&lt;安値!AC276,安値!AB276&lt;安値!AD276),23,""))</f>
        <v>23</v>
      </c>
      <c r="X276" s="503" t="str">
        <f>IF(終値!A276="","",IF(AND(安値!AC276&lt;安値!AB276,安値!AC276&lt;安値!AA276,安値!AC276&lt;安値!AD276,安値!AC276&lt;安値!AE276),24,""))</f>
        <v/>
      </c>
      <c r="Y276" s="503" t="str">
        <f>IF(終値!A276="","",IF(AND(安値!AD276&lt;安値!AC276,安値!AD276&lt;安値!AB276,安値!AD276&lt;安値!AE276,安値!AD276&lt;安値!AF276),25,""))</f>
        <v/>
      </c>
      <c r="Z276" s="503" t="str">
        <f>IF(終値!A276="","",IF(AND(安値!AE276&lt;安値!AD276,安値!AE276&lt;安値!AC276,安値!AE276&lt;安値!AF276,安値!AE276&lt;安値!AG276),26,""))</f>
        <v/>
      </c>
      <c r="AA276" s="503">
        <f>IF(終値!A276="","",IF(AND(安値!AF276&lt;安値!AE276,安値!AF276&lt;安値!AD276,安値!AF276&lt;安値!AG276,安値!AF276&lt;安値!AH276),27,""))</f>
        <v>27</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f>IF(終値!A276="","",IF(AND(高値!J276&gt;高値!I276,高値!J276&gt;高値!H276,高値!J276&gt;高値!K276,高値!J276&gt;高値!L276),5,""))</f>
        <v>5</v>
      </c>
      <c r="AG276" s="503" t="str">
        <f>IF(終値!A276="","",IF(AND(高値!K276&gt;高値!J276,高値!K276&gt;高値!I276,高値!K276&gt;高値!L276,高値!K276&gt;高値!M276),6,""))</f>
        <v/>
      </c>
      <c r="AH276" s="503" t="str">
        <f>IF(終値!A276="","",IF(AND(高値!L276&gt;高値!K276,高値!L276&gt;高値!J276,高値!L276&gt;高値!M276,高値!L276&gt;高値!N276),7,""))</f>
        <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f>IF(終値!A276="","",IF(AND(高値!P276&gt;高値!O276,高値!P276&gt;高値!N276,高値!P276&gt;高値!Q276,高値!P276&gt;高値!R276),11,""))</f>
        <v>11</v>
      </c>
      <c r="AM276" s="503" t="str">
        <f>IF(終値!A276="","",IF(AND(高値!Q276&gt;高値!P276,高値!Q276&gt;高値!O276,高値!Q276&gt;高値!R276,高値!Q276&gt;高値!S276),12,""))</f>
        <v/>
      </c>
      <c r="AN276" s="503" t="str">
        <f>IF(終値!A276="","",IF(AND(高値!R276&gt;高値!Q276,高値!R276&gt;高値!P276,高値!R276&gt;高値!S276,高値!R276&gt;高値!T276),13,""))</f>
        <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f>IF(終値!A276="","",IF(AND(高値!X276&gt;高値!W276,高値!X276&gt;高値!V276,高値!X276&gt;高値!Y276,高値!X276&gt;高値!Z276),19,""))</f>
        <v>19</v>
      </c>
      <c r="AU276" s="503" t="str">
        <f>IF(終値!A276="","",IF(AND(高値!Y276&gt;高値!X276,高値!Y276&gt;高値!W276,高値!Y276&gt;高値!Z276,高値!Y276&gt;高値!AA276),20,""))</f>
        <v/>
      </c>
      <c r="AV276" s="503" t="str">
        <f>IF(終値!A276="","",IF(AND(高値!Z276&gt;高値!Y276,高値!Z276&gt;高値!X276,高値!Z276&gt;高値!AA276,高値!Z276&gt;高値!AB276),21,""))</f>
        <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f>IF(終値!A276="","",IF(AND(高値!AD276&gt;高値!AC276,高値!AD276&gt;高値!AB276,高値!AD276&gt;高値!AE276,高値!AD276&gt;高値!AF276),25,""))</f>
        <v>25</v>
      </c>
      <c r="BA276" s="503" t="str">
        <f>IF(終値!A276="","",IF(AND(高値!AE276&gt;高値!AD276,高値!AE276&gt;高値!AC276,高値!AE276&gt;高値!AF276,高値!AE276&gt;高値!AG276),26,""))</f>
        <v/>
      </c>
      <c r="BB276" s="503" t="str">
        <f>IF(終値!A276="","",IF(AND(高値!AF276&gt;高値!AE276,高値!AF276&gt;高値!AD276,高値!AF276&gt;高値!AG276,高値!AF276&gt;高値!AH276),27,""))</f>
        <v/>
      </c>
      <c r="BC276" s="503" t="str">
        <f>IF(終値!A276="","",IF(AND(高値!AG276&gt;高値!AF276,高値!AG276&gt;高値!AE276,高値!AG276&gt;高値!AH276,高値!AG276&gt;高値!AI276),28,""))</f>
        <v/>
      </c>
      <c r="BD276" s="503">
        <f t="shared" si="24"/>
        <v>4</v>
      </c>
      <c r="BE276" s="503">
        <f t="shared" si="25"/>
        <v>5</v>
      </c>
      <c r="BF276" s="503">
        <f t="shared" si="26"/>
        <v>14</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5</v>
      </c>
      <c r="BN276" s="503">
        <f t="shared" si="29"/>
        <v>11</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t="str">
        <f>IF(終値!A277="","",IF(AND(安値!H277&lt;安値!G277,安値!H277&lt;安値!F277,安値!H277&lt;安値!I277,安値!H277&lt;安値!J277),3,""))</f>
        <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f>IF(終値!A277="","",IF(AND(安値!L277&lt;安値!K277,安値!L277&lt;安値!J277,安値!L277&lt;安値!M277,安値!L277&lt;安値!N277),7,""))</f>
        <v>7</v>
      </c>
      <c r="H277" s="503" t="str">
        <f>IF(終値!A277="","",IF(AND(安値!M277&lt;安値!L277,安値!M277&lt;安値!K277,安値!M277&lt;安値!N277,安値!M277&lt;安値!O277),8,""))</f>
        <v/>
      </c>
      <c r="I277" s="503" t="str">
        <f>IF(終値!A277="","",IF(AND(安値!N277&lt;安値!M277,安値!N277&lt;安値!L277,安値!N277&lt;安値!O277,安値!N277&lt;安値!P277),9,""))</f>
        <v/>
      </c>
      <c r="J277" s="503" t="str">
        <f>IF(終値!A277="","",IF(AND(安値!O277&lt;安値!N277,安値!O277&lt;安値!M277,安値!O277&lt;安値!P277,安値!O277&lt;安値!Q277),10,""))</f>
        <v/>
      </c>
      <c r="K277" s="503">
        <f>IF(終値!A277="","",IF(AND(安値!P277&lt;安値!O277,安値!P277&lt;安値!N277,安値!P277&lt;安値!Q277,安値!P277&lt;安値!R277),11,""))</f>
        <v>11</v>
      </c>
      <c r="L277" s="503" t="str">
        <f>IF(終値!A277="","",IF(AND(安値!Q277&lt;安値!P277,安値!Q277&lt;安値!O277,安値!Q277&lt;安値!R277,安値!Q277&lt;安値!S277),12,""))</f>
        <v/>
      </c>
      <c r="M277" s="503" t="str">
        <f>IF(終値!A277="","",IF(AND(安値!R277&lt;安値!Q277,安値!R277&lt;安値!P277,安値!R277&lt;安値!S277,安値!R277&lt;安値!T277),13,""))</f>
        <v/>
      </c>
      <c r="N277" s="503">
        <f>IF(終値!A277="","",IF(AND(安値!S277&lt;安値!R277,安値!S277&lt;安値!Q277,安値!S277&lt;安値!T277,安値!S277&lt;安値!U277),14,""))</f>
        <v>14</v>
      </c>
      <c r="O277" s="503" t="str">
        <f>IF(終値!A277="","",IF(AND(安値!T277&lt;安値!S277,安値!T277&lt;安値!R277,安値!T277&lt;安値!U277,安値!T277&lt;安値!V277),15,""))</f>
        <v/>
      </c>
      <c r="P277" s="503" t="str">
        <f>IF(終値!A277="","",IF(AND(安値!U277&lt;安値!T277,安値!U277&lt;安値!S277,安値!U277&lt;安値!V277,安値!U277&lt;安値!W277),16,""))</f>
        <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f>IF(終値!A277="","",IF(AND(安値!AF277&lt;安値!AE277,安値!AF277&lt;安値!AD277,安値!AF277&lt;安値!AG277,安値!AF277&lt;安値!AH277),27,""))</f>
        <v>27</v>
      </c>
      <c r="AB277" s="503" t="str">
        <f>IF(終値!A277="","",IF(AND(安値!AG277&lt;安値!AF277,安値!AG277&lt;安値!AE277,安値!AG277&lt;安値!AH277,安値!AG277&lt;安値!AI277),28,""))</f>
        <v/>
      </c>
      <c r="AC277" s="503">
        <f>IF(終値!A277="","",IF(AND(高値!G277&gt;高値!F277,高値!G277&gt;高値!E277,高値!G277&gt;高値!H277,高値!G277&gt;高値!I277),2,""))</f>
        <v>2</v>
      </c>
      <c r="AD277" s="503" t="str">
        <f>IF(終値!A277="","",IF(AND(高値!H277&gt;高値!G277,高値!H277&gt;高値!F277,高値!H277&gt;高値!I277,高値!H277&gt;高値!J277),3,""))</f>
        <v/>
      </c>
      <c r="AE277" s="503" t="str">
        <f>IF(終値!A277="","",IF(AND(高値!I277&gt;高値!H277,高値!I277&gt;高値!G277,高値!I277&gt;高値!J277,高値!I277&gt;高値!K277),4,""))</f>
        <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f>IF(終値!A277="","",IF(AND(高値!T277&gt;高値!S277,高値!T277&gt;高値!R277,高値!T277&gt;高値!U277,高値!T277&gt;高値!V277),15,""))</f>
        <v>15</v>
      </c>
      <c r="AQ277" s="503" t="str">
        <f>IF(終値!A277="","",IF(AND(高値!U277&gt;高値!T277,高値!U277&gt;高値!S277,高値!U277&gt;高値!V277,高値!U277&gt;高値!W277),16,""))</f>
        <v/>
      </c>
      <c r="AR277" s="503" t="str">
        <f>IF(終値!A277="","",IF(AND(高値!V277&gt;高値!U277,高値!V277&gt;高値!T277,高値!V277&gt;高値!W277,高値!V277&gt;高値!X277),17,""))</f>
        <v/>
      </c>
      <c r="AS277" s="503">
        <f>IF(終値!A277="","",IF(AND(高値!W277&gt;高値!V277,高値!W277&gt;高値!U277,高値!W277&gt;高値!X277,高値!W277&gt;高値!Y277),18,""))</f>
        <v>18</v>
      </c>
      <c r="AT277" s="503" t="str">
        <f>IF(終値!A277="","",IF(AND(高値!X277&gt;高値!W277,高値!X277&gt;高値!V277,高値!X277&gt;高値!Y277,高値!X277&gt;高値!Z277),19,""))</f>
        <v/>
      </c>
      <c r="AU277" s="503" t="str">
        <f>IF(終値!A277="","",IF(AND(高値!Y277&gt;高値!X277,高値!Y277&gt;高値!W277,高値!Y277&gt;高値!Z277,高値!Y277&gt;高値!AA277),20,""))</f>
        <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f>IF(終値!A277="","",IF(AND(高値!AE277&gt;高値!AD277,高値!AE277&gt;高値!AC277,高値!AE277&gt;高値!AF277,高値!AE277&gt;高値!AG277),26,""))</f>
        <v>26</v>
      </c>
      <c r="BB277" s="503" t="str">
        <f>IF(終値!A277="","",IF(AND(高値!AF277&gt;高値!AE277,高値!AF277&gt;高値!AD277,高値!AF277&gt;高値!AG277,高値!AF277&gt;高値!AH277),27,""))</f>
        <v/>
      </c>
      <c r="BC277" s="503" t="str">
        <f>IF(終値!A277="","",IF(AND(高値!AG277&gt;高値!AF277,高値!AG277&gt;高値!AE277,高値!AG277&gt;高値!AH277,高値!AG277&gt;高値!AI277),28,""))</f>
        <v/>
      </c>
      <c r="BD277" s="503">
        <f t="shared" si="24"/>
        <v>4</v>
      </c>
      <c r="BE277" s="503">
        <f t="shared" si="25"/>
        <v>7</v>
      </c>
      <c r="BF277" s="503">
        <f t="shared" si="26"/>
        <v>11</v>
      </c>
      <c r="BG277" s="503">
        <f>IF($BE277="","",INDEX(安値!$E277:$CZ277,1,$BE277+1))</f>
        <v>0</v>
      </c>
      <c r="BH277" s="503">
        <f>IF($BF277="","",INDEX(安値!$E277:$CZ277,1,$BF277+1))</f>
        <v>3900</v>
      </c>
      <c r="BI277" s="503">
        <f>IF($BF277="","",MAX(INDEX(高値!$E277:$CZ277,1,$BE277+1):INDEX(高値!$E277:$CZ277,1,$BF277+1)))</f>
        <v>4005</v>
      </c>
      <c r="BJ277" s="503">
        <f>IF($BF277="","",AVERAGE(INDEX(終値!$E277:$CZ277,1,$BF277+1):INDEX(終値!$E277:$CZ277,1,$BF277+20))-2*STDEVP(INDEX(終値!$E277:$CZ277,1,$BF277+1):INDEX(終値!$E277:$CZ277,1,$BF277+20)))</f>
        <v>3762.1629252129205</v>
      </c>
      <c r="BK277" s="503">
        <f>IF($BE277="","",AVERAGE(INDEX(終値!$E277:$CZ277,1,$BE277+1):INDEX(終値!$E277:$CZ277,1,$BE277+20))-2*STDEVP(INDEX(終値!$E277:$CZ277,1,$BE277+1):INDEX(終値!$E277:$CZ277,1,$BE277+20)))</f>
        <v>3827.2255276298365</v>
      </c>
      <c r="BL277" s="503">
        <f t="shared" si="27"/>
        <v>4</v>
      </c>
      <c r="BM277" s="503">
        <f t="shared" si="28"/>
        <v>2</v>
      </c>
      <c r="BN277" s="503">
        <f t="shared" si="29"/>
        <v>15</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二番天井M▼</v>
      </c>
    </row>
    <row r="278" spans="2:72">
      <c r="B278" s="503" t="str">
        <f>IF(終値!A278="","",IF(AND(安値!G278&lt;安値!F278,安値!G278&lt;安値!E278,安値!G278&lt;安値!H278,安値!G278&lt;安値!I278),2,""))</f>
        <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f>IF(終値!A278="","",IF(AND(安値!L278&lt;安値!K278,安値!L278&lt;安値!J278,安値!L278&lt;安値!M278,安値!L278&lt;安値!N278),7,""))</f>
        <v>7</v>
      </c>
      <c r="H278" s="503" t="str">
        <f>IF(終値!A278="","",IF(AND(安値!M278&lt;安値!L278,安値!M278&lt;安値!K278,安値!M278&lt;安値!N278,安値!M278&lt;安値!O278),8,""))</f>
        <v/>
      </c>
      <c r="I278" s="503" t="str">
        <f>IF(終値!A278="","",IF(AND(安値!N278&lt;安値!M278,安値!N278&lt;安値!L278,安値!N278&lt;安値!O278,安値!N278&lt;安値!P278),9,""))</f>
        <v/>
      </c>
      <c r="J278" s="503" t="str">
        <f>IF(終値!A278="","",IF(AND(安値!O278&lt;安値!N278,安値!O278&lt;安値!M278,安値!O278&lt;安値!P278,安値!O278&lt;安値!Q278),10,""))</f>
        <v/>
      </c>
      <c r="K278" s="503">
        <f>IF(終値!A278="","",IF(AND(安値!P278&lt;安値!O278,安値!P278&lt;安値!N278,安値!P278&lt;安値!Q278,安値!P278&lt;安値!R278),11,""))</f>
        <v>11</v>
      </c>
      <c r="L278" s="503" t="str">
        <f>IF(終値!A278="","",IF(AND(安値!Q278&lt;安値!P278,安値!Q278&lt;安値!O278,安値!Q278&lt;安値!R278,安値!Q278&lt;安値!S278),12,""))</f>
        <v/>
      </c>
      <c r="M278" s="503" t="str">
        <f>IF(終値!A278="","",IF(AND(安値!R278&lt;安値!Q278,安値!R278&lt;安値!P278,安値!R278&lt;安値!S278,安値!R278&lt;安値!T278),13,""))</f>
        <v/>
      </c>
      <c r="N278" s="503">
        <f>IF(終値!A278="","",IF(AND(安値!S278&lt;安値!R278,安値!S278&lt;安値!Q278,安値!S278&lt;安値!T278,安値!S278&lt;安値!U278),14,""))</f>
        <v>14</v>
      </c>
      <c r="O278" s="503" t="str">
        <f>IF(終値!A278="","",IF(AND(安値!T278&lt;安値!S278,安値!T278&lt;安値!R278,安値!T278&lt;安値!U278,安値!T278&lt;安値!V278),15,""))</f>
        <v/>
      </c>
      <c r="P278" s="503" t="str">
        <f>IF(終値!A278="","",IF(AND(安値!U278&lt;安値!T278,安値!U278&lt;安値!S278,安値!U278&lt;安値!V278,安値!U278&lt;安値!W278),16,""))</f>
        <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f>IF(終値!A278="","",IF(AND(安値!AA278&lt;安値!Z278,安値!AA278&lt;安値!Y278,安値!AA278&lt;安値!AB278,安値!AA278&lt;安値!AC278),22,""))</f>
        <v>22</v>
      </c>
      <c r="W278" s="503" t="str">
        <f>IF(終値!A278="","",IF(AND(安値!AB278&lt;安値!AA278,安値!AB278&lt;安値!Z278,安値!AB278&lt;安値!AC278,安値!AB278&lt;安値!AD278),23,""))</f>
        <v/>
      </c>
      <c r="X278" s="503" t="str">
        <f>IF(終値!A278="","",IF(AND(安値!AC278&lt;安値!AB278,安値!AC278&lt;安値!AA278,安値!AC278&lt;安値!AD278,安値!AC278&lt;安値!AE278),24,""))</f>
        <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f>IF(終値!A278="","",IF(AND(高値!I278&gt;高値!H278,高値!I278&gt;高値!G278,高値!I278&gt;高値!J278,高値!I278&gt;高値!K278),4,""))</f>
        <v>4</v>
      </c>
      <c r="AF278" s="503" t="str">
        <f>IF(終値!A278="","",IF(AND(高値!J278&gt;高値!I278,高値!J278&gt;高値!H278,高値!J278&gt;高値!K278,高値!J278&gt;高値!L278),5,""))</f>
        <v/>
      </c>
      <c r="AG278" s="503" t="str">
        <f>IF(終値!A278="","",IF(AND(高値!K278&gt;高値!J278,高値!K278&gt;高値!I278,高値!K278&gt;高値!L278,高値!K278&gt;高値!M278),6,""))</f>
        <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f>IF(終値!A278="","",IF(AND(高値!V278&gt;高値!U278,高値!V278&gt;高値!T278,高値!V278&gt;高値!W278,高値!V278&gt;高値!X278),17,""))</f>
        <v>17</v>
      </c>
      <c r="AS278" s="503" t="str">
        <f>IF(終値!A278="","",IF(AND(高値!W278&gt;高値!V278,高値!W278&gt;高値!U278,高値!W278&gt;高値!X278,高値!W278&gt;高値!Y278),18,""))</f>
        <v/>
      </c>
      <c r="AT278" s="503" t="str">
        <f>IF(終値!A278="","",IF(AND(高値!X278&gt;高値!W278,高値!X278&gt;高値!V278,高値!X278&gt;高値!Y278,高値!X278&gt;高値!Z278),19,""))</f>
        <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4</v>
      </c>
      <c r="BE278" s="503">
        <f t="shared" si="25"/>
        <v>7</v>
      </c>
      <c r="BF278" s="503">
        <f t="shared" si="26"/>
        <v>11</v>
      </c>
      <c r="BG278" s="503">
        <f>IF($BE278="","",INDEX(安値!$E278:$CZ278,1,$BE278+1))</f>
        <v>0</v>
      </c>
      <c r="BH278" s="503">
        <f>IF($BF278="","",INDEX(安値!$E278:$CZ278,1,$BF278+1))</f>
        <v>3300</v>
      </c>
      <c r="BI278" s="503">
        <f>IF($BF278="","",MAX(INDEX(高値!$E278:$CZ278,1,$BE278+1):INDEX(高値!$E278:$CZ278,1,$BF278+1)))</f>
        <v>3405</v>
      </c>
      <c r="BJ278" s="503">
        <f>IF($BF278="","",AVERAGE(INDEX(終値!$E278:$CZ278,1,$BF278+1):INDEX(終値!$E278:$CZ278,1,$BF278+20))-2*STDEVP(INDEX(終値!$E278:$CZ278,1,$BF278+1):INDEX(終値!$E278:$CZ278,1,$BF278+20)))</f>
        <v>3191.8306751542882</v>
      </c>
      <c r="BK278" s="503">
        <f>IF($BE278="","",AVERAGE(INDEX(終値!$E278:$CZ278,1,$BE278+1):INDEX(終値!$E278:$CZ278,1,$BE278+20))-2*STDEVP(INDEX(終値!$E278:$CZ278,1,$BE278+1):INDEX(終値!$E278:$CZ278,1,$BE278+20)))</f>
        <v>3223.7975114179517</v>
      </c>
      <c r="BL278" s="503">
        <f t="shared" si="27"/>
        <v>2</v>
      </c>
      <c r="BM278" s="503">
        <f t="shared" si="28"/>
        <v>4</v>
      </c>
      <c r="BN278" s="503">
        <f t="shared" si="29"/>
        <v>17</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二番天井M▼</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f>IF(終値!A279="","",IF(AND(安値!I279&lt;安値!H279,安値!I279&lt;安値!G279,安値!I279&lt;安値!J279,安値!I279&lt;安値!K279),4,""))</f>
        <v>4</v>
      </c>
      <c r="E279" s="503" t="str">
        <f>IF(終値!A279="","",IF(AND(安値!J279&lt;安値!I279,安値!J279&lt;安値!H279,安値!J279&lt;安値!K279,安値!J279&lt;安値!L279),5,""))</f>
        <v/>
      </c>
      <c r="F279" s="503" t="str">
        <f>IF(終値!A279="","",IF(AND(安値!K279&lt;安値!J279,安値!K279&lt;安値!I279,安値!K279&lt;安値!L279,安値!K279&lt;安値!M279),6,""))</f>
        <v/>
      </c>
      <c r="G279" s="503">
        <f>IF(終値!A279="","",IF(AND(安値!L279&lt;安値!K279,安値!L279&lt;安値!J279,安値!L279&lt;安値!M279,安値!L279&lt;安値!N279),7,""))</f>
        <v>7</v>
      </c>
      <c r="H279" s="503" t="str">
        <f>IF(終値!A279="","",IF(AND(安値!M279&lt;安値!L279,安値!M279&lt;安値!K279,安値!M279&lt;安値!N279,安値!M279&lt;安値!O279),8,""))</f>
        <v/>
      </c>
      <c r="I279" s="503" t="str">
        <f>IF(終値!A279="","",IF(AND(安値!N279&lt;安値!M279,安値!N279&lt;安値!L279,安値!N279&lt;安値!O279,安値!N279&lt;安値!P279),9,""))</f>
        <v/>
      </c>
      <c r="J279" s="503" t="str">
        <f>IF(終値!A279="","",IF(AND(安値!O279&lt;安値!N279,安値!O279&lt;安値!M279,安値!O279&lt;安値!P279,安値!O279&lt;安値!Q279),10,""))</f>
        <v/>
      </c>
      <c r="K279" s="503">
        <f>IF(終値!A279="","",IF(AND(安値!P279&lt;安値!O279,安値!P279&lt;安値!N279,安値!P279&lt;安値!Q279,安値!P279&lt;安値!R279),11,""))</f>
        <v>11</v>
      </c>
      <c r="L279" s="503" t="str">
        <f>IF(終値!A279="","",IF(AND(安値!Q279&lt;安値!P279,安値!Q279&lt;安値!O279,安値!Q279&lt;安値!R279,安値!Q279&lt;安値!S279),12,""))</f>
        <v/>
      </c>
      <c r="M279" s="503" t="str">
        <f>IF(終値!A279="","",IF(AND(安値!R279&lt;安値!Q279,安値!R279&lt;安値!P279,安値!R279&lt;安値!S279,安値!R279&lt;安値!T279),13,""))</f>
        <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f>IF(終値!A279="","",IF(AND(安値!V279&lt;安値!U279,安値!V279&lt;安値!T279,安値!V279&lt;安値!W279,安値!V279&lt;安値!X279),17,""))</f>
        <v>17</v>
      </c>
      <c r="R279" s="503" t="str">
        <f>IF(終値!A279="","",IF(AND(安値!W279&lt;安値!V279,安値!W279&lt;安値!U279,安値!W279&lt;安値!X279,安値!W279&lt;安値!Y279),18,""))</f>
        <v/>
      </c>
      <c r="S279" s="503" t="str">
        <f>IF(終値!A279="","",IF(AND(安値!X279&lt;安値!W279,安値!X279&lt;安値!V279,安値!X279&lt;安値!Y279,安値!X279&lt;安値!Z279),19,""))</f>
        <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f>IF(終値!A279="","",IF(AND(安値!AC279&lt;安値!AB279,安値!AC279&lt;安値!AA279,安値!AC279&lt;安値!AD279,安値!AC279&lt;安値!AE279),24,""))</f>
        <v>24</v>
      </c>
      <c r="Y279" s="503" t="str">
        <f>IF(終値!A279="","",IF(AND(安値!AD279&lt;安値!AC279,安値!AD279&lt;安値!AB279,安値!AD279&lt;安値!AE279,安値!AD279&lt;安値!AF279),25,""))</f>
        <v/>
      </c>
      <c r="Z279" s="503" t="str">
        <f>IF(終値!A279="","",IF(AND(安値!AE279&lt;安値!AD279,安値!AE279&lt;安値!AC279,安値!AE279&lt;安値!AF279,安値!AE279&lt;安値!AG279),26,""))</f>
        <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f>IF(終値!A279="","",IF(AND(高値!M279&gt;高値!L279,高値!M279&gt;高値!K279,高値!M279&gt;高値!N279,高値!M279&gt;高値!O279),8,""))</f>
        <v>8</v>
      </c>
      <c r="AJ279" s="503" t="str">
        <f>IF(終値!A279="","",IF(AND(高値!N279&gt;高値!M279,高値!N279&gt;高値!L279,高値!N279&gt;高値!O279,高値!N279&gt;高値!P279),9,""))</f>
        <v/>
      </c>
      <c r="AK279" s="503" t="str">
        <f>IF(終値!A279="","",IF(AND(高値!O279&gt;高値!N279,高値!O279&gt;高値!M279,高値!O279&gt;高値!P279,高値!O279&gt;高値!Q279),10,""))</f>
        <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f>IF(終値!A279="","",IF(AND(高値!T279&gt;高値!S279,高値!T279&gt;高値!R279,高値!T279&gt;高値!U279,高値!T279&gt;高値!V279),15,""))</f>
        <v>15</v>
      </c>
      <c r="AQ279" s="503" t="str">
        <f>IF(終値!A279="","",IF(AND(高値!U279&gt;高値!T279,高値!U279&gt;高値!S279,高値!U279&gt;高値!V279,高値!U279&gt;高値!W279),16,""))</f>
        <v/>
      </c>
      <c r="AR279" s="503" t="str">
        <f>IF(終値!A279="","",IF(AND(高値!V279&gt;高値!U279,高値!V279&gt;高値!T279,高値!V279&gt;高値!W279,高値!V279&gt;高値!X279),17,""))</f>
        <v/>
      </c>
      <c r="AS279" s="503" t="str">
        <f>IF(終値!A279="","",IF(AND(高値!W279&gt;高値!V279,高値!W279&gt;高値!U279,高値!W279&gt;高値!X279,高値!W279&gt;高値!Y279),18,""))</f>
        <v/>
      </c>
      <c r="AT279" s="503">
        <f>IF(終値!A279="","",IF(AND(高値!X279&gt;高値!W279,高値!X279&gt;高値!V279,高値!X279&gt;高値!Y279,高値!X279&gt;高値!Z279),19,""))</f>
        <v>19</v>
      </c>
      <c r="AU279" s="503" t="str">
        <f>IF(終値!A279="","",IF(AND(高値!Y279&gt;高値!X279,高値!Y279&gt;高値!W279,高値!Y279&gt;高値!Z279,高値!Y279&gt;高値!AA279),20,""))</f>
        <v/>
      </c>
      <c r="AV279" s="503" t="str">
        <f>IF(終値!A279="","",IF(AND(高値!Z279&gt;高値!Y279,高値!Z279&gt;高値!X279,高値!Z279&gt;高値!AA279,高値!Z279&gt;高値!AB279),21,""))</f>
        <v/>
      </c>
      <c r="AW279" s="503">
        <f>IF(終値!A279="","",IF(AND(高値!AA279&gt;高値!Z279,高値!AA279&gt;高値!Y279,高値!AA279&gt;高値!AB279,高値!AA279&gt;高値!AC279),22,""))</f>
        <v>22</v>
      </c>
      <c r="AX279" s="503" t="str">
        <f>IF(終値!A279="","",IF(AND(高値!AB279&gt;高値!AA279,高値!AB279&gt;高値!Z279,高値!AB279&gt;高値!AC279,高値!AB279&gt;高値!AD279),23,""))</f>
        <v/>
      </c>
      <c r="AY279" s="503" t="str">
        <f>IF(終値!A279="","",IF(AND(高値!AC279&gt;高値!AB279,高値!AC279&gt;高値!AA279,高値!AC279&gt;高値!AD279,高値!AC279&gt;高値!AE279),24,""))</f>
        <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4</v>
      </c>
      <c r="BF279" s="503">
        <f t="shared" si="26"/>
        <v>7</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8</v>
      </c>
      <c r="BN279" s="503">
        <f t="shared" si="29"/>
        <v>15</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f>IF(終値!A280="","",IF(AND(安値!G280&lt;安値!F280,安値!G280&lt;安値!E280,安値!G280&lt;安値!H280,安値!G280&lt;安値!I280),2,""))</f>
        <v>2</v>
      </c>
      <c r="C280" s="503" t="str">
        <f>IF(終値!A280="","",IF(AND(安値!H280&lt;安値!G280,安値!H280&lt;安値!F280,安値!H280&lt;安値!I280,安値!H280&lt;安値!J280),3,""))</f>
        <v/>
      </c>
      <c r="D280" s="503" t="str">
        <f>IF(終値!A280="","",IF(AND(安値!I280&lt;安値!H280,安値!I280&lt;安値!G280,安値!I280&lt;安値!J280,安値!I280&lt;安値!K280),4,""))</f>
        <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f>IF(終値!A280="","",IF(AND(安値!P280&lt;安値!O280,安値!P280&lt;安値!N280,安値!P280&lt;安値!Q280,安値!P280&lt;安値!R280),11,""))</f>
        <v>11</v>
      </c>
      <c r="L280" s="503" t="str">
        <f>IF(終値!A280="","",IF(AND(安値!Q280&lt;安値!P280,安値!Q280&lt;安値!O280,安値!Q280&lt;安値!R280,安値!Q280&lt;安値!S280),12,""))</f>
        <v/>
      </c>
      <c r="M280" s="503" t="str">
        <f>IF(終値!A280="","",IF(AND(安値!R280&lt;安値!Q280,安値!R280&lt;安値!P280,安値!R280&lt;安値!S280,安値!R280&lt;安値!T280),13,""))</f>
        <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f>IF(終値!A280="","",IF(AND(安値!U280&lt;安値!T280,安値!U280&lt;安値!S280,安値!U280&lt;安値!V280,安値!U280&lt;安値!W280),16,""))</f>
        <v>16</v>
      </c>
      <c r="Q280" s="503" t="str">
        <f>IF(終値!A280="","",IF(AND(安値!V280&lt;安値!U280,安値!V280&lt;安値!T280,安値!V280&lt;安値!W280,安値!V280&lt;安値!X280),17,""))</f>
        <v/>
      </c>
      <c r="R280" s="503" t="str">
        <f>IF(終値!A280="","",IF(AND(安値!W280&lt;安値!V280,安値!W280&lt;安値!U280,安値!W280&lt;安値!X280,安値!W280&lt;安値!Y280),18,""))</f>
        <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f>IF(終値!A280="","",IF(AND(安値!AF280&lt;安値!AE280,安値!AF280&lt;安値!AD280,安値!AF280&lt;安値!AG280,安値!AF280&lt;安値!AH280),27,""))</f>
        <v>27</v>
      </c>
      <c r="AB280" s="503" t="str">
        <f>IF(終値!A280="","",IF(AND(安値!AG280&lt;安値!AF280,安値!AG280&lt;安値!AE280,安値!AG280&lt;安値!AH280,安値!AG280&lt;安値!AI280),28,""))</f>
        <v/>
      </c>
      <c r="AC280" s="503">
        <f>IF(終値!A280="","",IF(AND(高値!G280&gt;高値!F280,高値!G280&gt;高値!E280,高値!G280&gt;高値!H280,高値!G280&gt;高値!I280),2,""))</f>
        <v>2</v>
      </c>
      <c r="AD280" s="503" t="str">
        <f>IF(終値!A280="","",IF(AND(高値!H280&gt;高値!G280,高値!H280&gt;高値!F280,高値!H280&gt;高値!I280,高値!H280&gt;高値!J280),3,""))</f>
        <v/>
      </c>
      <c r="AE280" s="503" t="str">
        <f>IF(終値!A280="","",IF(AND(高値!I280&gt;高値!H280,高値!I280&gt;高値!G280,高値!I280&gt;高値!J280,高値!I280&gt;高値!K280),4,""))</f>
        <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f>IF(終値!A280="","",IF(AND(高値!N280&gt;高値!M280,高値!N280&gt;高値!L280,高値!N280&gt;高値!O280,高値!N280&gt;高値!P280),9,""))</f>
        <v>9</v>
      </c>
      <c r="AK280" s="503" t="str">
        <f>IF(終値!A280="","",IF(AND(高値!O280&gt;高値!N280,高値!O280&gt;高値!M280,高値!O280&gt;高値!P280,高値!O280&gt;高値!Q280),10,""))</f>
        <v/>
      </c>
      <c r="AL280" s="503" t="str">
        <f>IF(終値!A280="","",IF(AND(高値!P280&gt;高値!O280,高値!P280&gt;高値!N280,高値!P280&gt;高値!Q280,高値!P280&gt;高値!R280),11,""))</f>
        <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f>IF(終値!A280="","",IF(AND(高値!Y280&gt;高値!X280,高値!Y280&gt;高値!W280,高値!Y280&gt;高値!Z280,高値!Y280&gt;高値!AA280),20,""))</f>
        <v>20</v>
      </c>
      <c r="AV280" s="503" t="str">
        <f>IF(終値!A280="","",IF(AND(高値!Z280&gt;高値!Y280,高値!Z280&gt;高値!X280,高値!Z280&gt;高値!AA280,高値!Z280&gt;高値!AB280),21,""))</f>
        <v/>
      </c>
      <c r="AW280" s="503" t="str">
        <f>IF(終値!A280="","",IF(AND(高値!AA280&gt;高値!Z280,高値!AA280&gt;高値!Y280,高値!AA280&gt;高値!AB280,高値!AA280&gt;高値!AC280),22,""))</f>
        <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f>IF(終値!A280="","",IF(AND(高値!AG280&gt;高値!AF280,高値!AG280&gt;高値!AE280,高値!AG280&gt;高値!AH280,高値!AG280&gt;高値!AI280),28,""))</f>
        <v>28</v>
      </c>
      <c r="BD280" s="503">
        <f t="shared" si="24"/>
        <v>4</v>
      </c>
      <c r="BE280" s="503">
        <f t="shared" si="25"/>
        <v>2</v>
      </c>
      <c r="BF280" s="503">
        <f t="shared" si="26"/>
        <v>11</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4</v>
      </c>
      <c r="BM280" s="503">
        <f t="shared" si="28"/>
        <v>2</v>
      </c>
      <c r="BN280" s="503">
        <f t="shared" si="29"/>
        <v>9</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f>IF(終値!A281="","",IF(AND(安値!P281&lt;安値!O281,安値!P281&lt;安値!N281,安値!P281&lt;安値!Q281,安値!P281&lt;安値!R281),11,""))</f>
        <v>11</v>
      </c>
      <c r="L281" s="503" t="str">
        <f>IF(終値!A281="","",IF(AND(安値!Q281&lt;安値!P281,安値!Q281&lt;安値!O281,安値!Q281&lt;安値!R281,安値!Q281&lt;安値!S281),12,""))</f>
        <v/>
      </c>
      <c r="M281" s="503" t="str">
        <f>IF(終値!A281="","",IF(AND(安値!R281&lt;安値!Q281,安値!R281&lt;安値!P281,安値!R281&lt;安値!S281,安値!R281&lt;安値!T281),13,""))</f>
        <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f>IF(終値!A281="","",IF(AND(安値!AA281&lt;安値!Z281,安値!AA281&lt;安値!Y281,安値!AA281&lt;安値!AB281,安値!AA281&lt;安値!AC281),22,""))</f>
        <v>22</v>
      </c>
      <c r="W281" s="503" t="str">
        <f>IF(終値!A281="","",IF(AND(安値!AB281&lt;安値!AA281,安値!AB281&lt;安値!Z281,安値!AB281&lt;安値!AC281,安値!AB281&lt;安値!AD281),23,""))</f>
        <v/>
      </c>
      <c r="X281" s="503" t="str">
        <f>IF(終値!A281="","",IF(AND(安値!AC281&lt;安値!AB281,安値!AC281&lt;安値!AA281,安値!AC281&lt;安値!AD281,安値!AC281&lt;安値!AE281),24,""))</f>
        <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f>IF(終値!A281="","",IF(AND(高値!G281&gt;高値!F281,高値!G281&gt;高値!E281,高値!G281&gt;高値!H281,高値!G281&gt;高値!I281),2,""))</f>
        <v>2</v>
      </c>
      <c r="AD281" s="503" t="str">
        <f>IF(終値!A281="","",IF(AND(高値!H281&gt;高値!G281,高値!H281&gt;高値!F281,高値!H281&gt;高値!I281,高値!H281&gt;高値!J281),3,""))</f>
        <v/>
      </c>
      <c r="AE281" s="503" t="str">
        <f>IF(終値!A281="","",IF(AND(高値!I281&gt;高値!H281,高値!I281&gt;高値!G281,高値!I281&gt;高値!J281,高値!I281&gt;高値!K281),4,""))</f>
        <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f>IF(終値!A281="","",IF(AND(高値!W281&gt;高値!V281,高値!W281&gt;高値!U281,高値!W281&gt;高値!X281,高値!W281&gt;高値!Y281),18,""))</f>
        <v>18</v>
      </c>
      <c r="AT281" s="503" t="str">
        <f>IF(終値!A281="","",IF(AND(高値!X281&gt;高値!W281,高値!X281&gt;高値!V281,高値!X281&gt;高値!Y281,高値!X281&gt;高値!Z281),19,""))</f>
        <v/>
      </c>
      <c r="AU281" s="503" t="str">
        <f>IF(終値!A281="","",IF(AND(高値!Y281&gt;高値!X281,高値!Y281&gt;高値!W281,高値!Y281&gt;高値!Z281,高値!Y281&gt;高値!AA281),20,""))</f>
        <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f>IF(終値!A281="","",IF(AND(高値!AB281&gt;高値!AA281,高値!AB281&gt;高値!Z281,高値!AB281&gt;高値!AC281,高値!AB281&gt;高値!AD281),23,""))</f>
        <v>23</v>
      </c>
      <c r="AY281" s="503" t="str">
        <f>IF(終値!A281="","",IF(AND(高値!AC281&gt;高値!AB281,高値!AC281&gt;高値!AA281,高値!AC281&gt;高値!AD281,高値!AC281&gt;高値!AE281),24,""))</f>
        <v/>
      </c>
      <c r="AZ281" s="503" t="str">
        <f>IF(終値!A281="","",IF(AND(高値!AD281&gt;高値!AC281,高値!AD281&gt;高値!AB281,高値!AD281&gt;高値!AE281,高値!AD281&gt;高値!AF281),25,""))</f>
        <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11</v>
      </c>
      <c r="BF281" s="503">
        <f t="shared" si="26"/>
        <v>22</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2</v>
      </c>
      <c r="BN281" s="503">
        <f t="shared" si="29"/>
        <v>18</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t="str">
        <f>IF(終値!A282="","",IF(AND(安値!H282&lt;安値!G282,安値!H282&lt;安値!F282,安値!H282&lt;安値!I282,安値!H282&lt;安値!J282),3,""))</f>
        <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f>IF(終値!A282="","",IF(AND(安値!S282&lt;安値!R282,安値!S282&lt;安値!Q282,安値!S282&lt;安値!T282,安値!S282&lt;安値!U282),14,""))</f>
        <v>14</v>
      </c>
      <c r="O282" s="503" t="str">
        <f>IF(終値!A282="","",IF(AND(安値!T282&lt;安値!S282,安値!T282&lt;安値!R282,安値!T282&lt;安値!U282,安値!T282&lt;安値!V282),15,""))</f>
        <v/>
      </c>
      <c r="P282" s="503" t="str">
        <f>IF(終値!A282="","",IF(AND(安値!U282&lt;安値!T282,安値!U282&lt;安値!S282,安値!U282&lt;安値!V282,安値!U282&lt;安値!W282),16,""))</f>
        <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f>IF(終値!A282="","",IF(AND(高値!I282&gt;高値!H282,高値!I282&gt;高値!G282,高値!I282&gt;高値!J282,高値!I282&gt;高値!K282),4,""))</f>
        <v>4</v>
      </c>
      <c r="AF282" s="503" t="str">
        <f>IF(終値!A282="","",IF(AND(高値!J282&gt;高値!I282,高値!J282&gt;高値!H282,高値!J282&gt;高値!K282,高値!J282&gt;高値!L282),5,""))</f>
        <v/>
      </c>
      <c r="AG282" s="503" t="str">
        <f>IF(終値!A282="","",IF(AND(高値!K282&gt;高値!J282,高値!K282&gt;高値!I282,高値!K282&gt;高値!L282,高値!K282&gt;高値!M282),6,""))</f>
        <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f>IF(終値!A282="","",IF(AND(高値!O282&gt;高値!N282,高値!O282&gt;高値!M282,高値!O282&gt;高値!P282,高値!O282&gt;高値!Q282),10,""))</f>
        <v>10</v>
      </c>
      <c r="AL282" s="503" t="str">
        <f>IF(終値!A282="","",IF(AND(高値!P282&gt;高値!O282,高値!P282&gt;高値!N282,高値!P282&gt;高値!Q282,高値!P282&gt;高値!R282),11,""))</f>
        <v/>
      </c>
      <c r="AM282" s="503" t="str">
        <f>IF(終値!A282="","",IF(AND(高値!Q282&gt;高値!P282,高値!Q282&gt;高値!O282,高値!Q282&gt;高値!R282,高値!Q282&gt;高値!S282),12,""))</f>
        <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f>IF(終値!A282="","",IF(AND(高値!V282&gt;高値!U282,高値!V282&gt;高値!T282,高値!V282&gt;高値!W282,高値!V282&gt;高値!X282),17,""))</f>
        <v>17</v>
      </c>
      <c r="AS282" s="503" t="str">
        <f>IF(終値!A282="","",IF(AND(高値!W282&gt;高値!V282,高値!W282&gt;高値!U282,高値!W282&gt;高値!X282,高値!W282&gt;高値!Y282),18,""))</f>
        <v/>
      </c>
      <c r="AT282" s="503" t="str">
        <f>IF(終値!A282="","",IF(AND(高値!X282&gt;高値!W282,高値!X282&gt;高値!V282,高値!X282&gt;高値!Y282,高値!X282&gt;高値!Z282),19,""))</f>
        <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1</v>
      </c>
      <c r="BE282" s="503" t="str">
        <f t="shared" si="25"/>
        <v/>
      </c>
      <c r="BF282" s="503" t="str">
        <f t="shared" si="26"/>
        <v/>
      </c>
      <c r="BG282" s="503" t="str">
        <f>IF($BE282="","",INDEX(安値!$E282:$CZ282,1,$BE282+1))</f>
        <v/>
      </c>
      <c r="BH282" s="503" t="str">
        <f>IF($BF282="","",INDEX(安値!$E282:$CZ282,1,$BF282+1))</f>
        <v/>
      </c>
      <c r="BI282" s="503" t="str">
        <f>IF($BF282="","",MAX(INDEX(高値!$E282:$CZ282,1,$BE282+1):INDEX(高値!$E282:$CZ282,1,$BF282+1)))</f>
        <v/>
      </c>
      <c r="BJ282" s="503" t="str">
        <f>IF($BF282="","",AVERAGE(INDEX(終値!$E282:$CZ282,1,$BF282+1):INDEX(終値!$E282:$CZ282,1,$BF282+20))-2*STDEVP(INDEX(終値!$E282:$CZ282,1,$BF282+1):INDEX(終値!$E282:$CZ282,1,$BF282+20)))</f>
        <v/>
      </c>
      <c r="BK282" s="503" t="str">
        <f>IF($BE282="","",AVERAGE(INDEX(終値!$E282:$CZ282,1,$BE282+1):INDEX(終値!$E282:$CZ282,1,$BE282+20))-2*STDEVP(INDEX(終値!$E282:$CZ282,1,$BE282+1):INDEX(終値!$E282:$CZ282,1,$BE282+20)))</f>
        <v/>
      </c>
      <c r="BL282" s="503">
        <f t="shared" si="27"/>
        <v>3</v>
      </c>
      <c r="BM282" s="503">
        <f t="shared" si="28"/>
        <v>4</v>
      </c>
      <c r="BN282" s="503">
        <f t="shared" si="29"/>
        <v>10</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f>IF(終値!A283="","",IF(AND(安値!I283&lt;安値!H283,安値!I283&lt;安値!G283,安値!I283&lt;安値!J283,安値!I283&lt;安値!K283),4,""))</f>
        <v>4</v>
      </c>
      <c r="E283" s="503" t="str">
        <f>IF(終値!A283="","",IF(AND(安値!J283&lt;安値!I283,安値!J283&lt;安値!H283,安値!J283&lt;安値!K283,安値!J283&lt;安値!L283),5,""))</f>
        <v/>
      </c>
      <c r="F283" s="503" t="str">
        <f>IF(終値!A283="","",IF(AND(安値!K283&lt;安値!J283,安値!K283&lt;安値!I283,安値!K283&lt;安値!L283,安値!K283&lt;安値!M283),6,""))</f>
        <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f>IF(終値!A283="","",IF(AND(安値!P283&lt;安値!O283,安値!P283&lt;安値!N283,安値!P283&lt;安値!Q283,安値!P283&lt;安値!R283),11,""))</f>
        <v>11</v>
      </c>
      <c r="L283" s="503" t="str">
        <f>IF(終値!A283="","",IF(AND(安値!Q283&lt;安値!P283,安値!Q283&lt;安値!O283,安値!Q283&lt;安値!R283,安値!Q283&lt;安値!S283),12,""))</f>
        <v/>
      </c>
      <c r="M283" s="503" t="str">
        <f>IF(終値!A283="","",IF(AND(安値!R283&lt;安値!Q283,安値!R283&lt;安値!P283,安値!R283&lt;安値!S283,安値!R283&lt;安値!T283),13,""))</f>
        <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f>IF(終値!A283="","",IF(AND(安値!V283&lt;安値!U283,安値!V283&lt;安値!T283,安値!V283&lt;安値!W283,安値!V283&lt;安値!X283),17,""))</f>
        <v>17</v>
      </c>
      <c r="R283" s="503" t="str">
        <f>IF(終値!A283="","",IF(AND(安値!W283&lt;安値!V283,安値!W283&lt;安値!U283,安値!W283&lt;安値!X283,安値!W283&lt;安値!Y283),18,""))</f>
        <v/>
      </c>
      <c r="S283" s="503" t="str">
        <f>IF(終値!A283="","",IF(AND(安値!X283&lt;安値!W283,安値!X283&lt;安値!V283,安値!X283&lt;安値!Y283,安値!X283&lt;安値!Z283),19,""))</f>
        <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f>IF(終値!A283="","",IF(AND(安値!AC283&lt;安値!AB283,安値!AC283&lt;安値!AA283,安値!AC283&lt;安値!AD283,安値!AC283&lt;安値!AE283),24,""))</f>
        <v>24</v>
      </c>
      <c r="Y283" s="503" t="str">
        <f>IF(終値!A283="","",IF(AND(安値!AD283&lt;安値!AC283,安値!AD283&lt;安値!AB283,安値!AD283&lt;安値!AE283,安値!AD283&lt;安値!AF283),25,""))</f>
        <v/>
      </c>
      <c r="Z283" s="503" t="str">
        <f>IF(終値!A283="","",IF(AND(安値!AE283&lt;安値!AD283,安値!AE283&lt;安値!AC283,安値!AE283&lt;安値!AF283,安値!AE283&lt;安値!AG283),26,""))</f>
        <v/>
      </c>
      <c r="AA283" s="503">
        <f>IF(終値!A283="","",IF(AND(安値!AF283&lt;安値!AE283,安値!AF283&lt;安値!AD283,安値!AF283&lt;安値!AG283,安値!AF283&lt;安値!AH283),27,""))</f>
        <v>27</v>
      </c>
      <c r="AB283" s="503" t="str">
        <f>IF(終値!A283="","",IF(AND(安値!AG283&lt;安値!AF283,安値!AG283&lt;安値!AE283,安値!AG283&lt;安値!AH283,安値!AG283&lt;安値!AI283),28,""))</f>
        <v/>
      </c>
      <c r="AC283" s="503">
        <f>IF(終値!A283="","",IF(AND(高値!G283&gt;高値!F283,高値!G283&gt;高値!E283,高値!G283&gt;高値!H283,高値!G283&gt;高値!I283),2,""))</f>
        <v>2</v>
      </c>
      <c r="AD283" s="503" t="str">
        <f>IF(終値!A283="","",IF(AND(高値!H283&gt;高値!G283,高値!H283&gt;高値!F283,高値!H283&gt;高値!I283,高値!H283&gt;高値!J283),3,""))</f>
        <v/>
      </c>
      <c r="AE283" s="503" t="str">
        <f>IF(終値!A283="","",IF(AND(高値!I283&gt;高値!H283,高値!I283&gt;高値!G283,高値!I283&gt;高値!J283,高値!I283&gt;高値!K283),4,""))</f>
        <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f>IF(終値!A283="","",IF(AND(高値!N283&gt;高値!M283,高値!N283&gt;高値!L283,高値!N283&gt;高値!O283,高値!N283&gt;高値!P283),9,""))</f>
        <v>9</v>
      </c>
      <c r="AK283" s="503" t="str">
        <f>IF(終値!A283="","",IF(AND(高値!O283&gt;高値!N283,高値!O283&gt;高値!M283,高値!O283&gt;高値!P283,高値!O283&gt;高値!Q283),10,""))</f>
        <v/>
      </c>
      <c r="AL283" s="503" t="str">
        <f>IF(終値!A283="","",IF(AND(高値!P283&gt;高値!O283,高値!P283&gt;高値!N283,高値!P283&gt;高値!Q283,高値!P283&gt;高値!R283),11,""))</f>
        <v/>
      </c>
      <c r="AM283" s="503">
        <f>IF(終値!A283="","",IF(AND(高値!Q283&gt;高値!P283,高値!Q283&gt;高値!O283,高値!Q283&gt;高値!R283,高値!Q283&gt;高値!S283),12,""))</f>
        <v>12</v>
      </c>
      <c r="AN283" s="503" t="str">
        <f>IF(終値!A283="","",IF(AND(高値!R283&gt;高値!Q283,高値!R283&gt;高値!P283,高値!R283&gt;高値!S283,高値!R283&gt;高値!T283),13,""))</f>
        <v/>
      </c>
      <c r="AO283" s="503" t="str">
        <f>IF(終値!A283="","",IF(AND(高値!S283&gt;高値!R283,高値!S283&gt;高値!Q283,高値!S283&gt;高値!T283,高値!S283&gt;高値!U283),14,""))</f>
        <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f>IF(終値!A283="","",IF(AND(高値!X283&gt;高値!W283,高値!X283&gt;高値!V283,高値!X283&gt;高値!Y283,高値!X283&gt;高値!Z283),19,""))</f>
        <v>19</v>
      </c>
      <c r="AU283" s="503" t="str">
        <f>IF(終値!A283="","",IF(AND(高値!Y283&gt;高値!X283,高値!Y283&gt;高値!W283,高値!Y283&gt;高値!Z283,高値!Y283&gt;高値!AA283),20,""))</f>
        <v/>
      </c>
      <c r="AV283" s="503" t="str">
        <f>IF(終値!A283="","",IF(AND(高値!Z283&gt;高値!Y283,高値!Z283&gt;高値!X283,高値!Z283&gt;高値!AA283,高値!Z283&gt;高値!AB283),21,""))</f>
        <v/>
      </c>
      <c r="AW283" s="503">
        <f>IF(終値!A283="","",IF(AND(高値!AA283&gt;高値!Z283,高値!AA283&gt;高値!Y283,高値!AA283&gt;高値!AB283,高値!AA283&gt;高値!AC283),22,""))</f>
        <v>22</v>
      </c>
      <c r="AX283" s="503" t="str">
        <f>IF(終値!A283="","",IF(AND(高値!AB283&gt;高値!AA283,高値!AB283&gt;高値!Z283,高値!AB283&gt;高値!AC283,高値!AB283&gt;高値!AD283),23,""))</f>
        <v/>
      </c>
      <c r="AY283" s="503" t="str">
        <f>IF(終値!A283="","",IF(AND(高値!AC283&gt;高値!AB283,高値!AC283&gt;高値!AA283,高値!AC283&gt;高値!AD283,高値!AC283&gt;高値!AE283),24,""))</f>
        <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5</v>
      </c>
      <c r="BE283" s="503">
        <f t="shared" si="25"/>
        <v>4</v>
      </c>
      <c r="BF283" s="503">
        <f t="shared" si="26"/>
        <v>11</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2</v>
      </c>
      <c r="BN283" s="503">
        <f t="shared" si="29"/>
        <v>9</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f>IF(終値!A284="","",IF(AND(安値!H284&lt;安値!G284,安値!H284&lt;安値!F284,安値!H284&lt;安値!I284,安値!H284&lt;安値!J284),3,""))</f>
        <v>3</v>
      </c>
      <c r="D284" s="503" t="str">
        <f>IF(終値!A284="","",IF(AND(安値!I284&lt;安値!H284,安値!I284&lt;安値!G284,安値!I284&lt;安値!J284,安値!I284&lt;安値!K284),4,""))</f>
        <v/>
      </c>
      <c r="E284" s="503" t="str">
        <f>IF(終値!A284="","",IF(AND(安値!J284&lt;安値!I284,安値!J284&lt;安値!H284,安値!J284&lt;安値!K284,安値!J284&lt;安値!L284),5,""))</f>
        <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f>IF(終値!A284="","",IF(AND(安値!V284&lt;安値!U284,安値!V284&lt;安値!T284,安値!V284&lt;安値!W284,安値!V284&lt;安値!X284),17,""))</f>
        <v>17</v>
      </c>
      <c r="R284" s="503" t="str">
        <f>IF(終値!A284="","",IF(AND(安値!W284&lt;安値!V284,安値!W284&lt;安値!U284,安値!W284&lt;安値!X284,安値!W284&lt;安値!Y284),18,""))</f>
        <v/>
      </c>
      <c r="S284" s="503" t="str">
        <f>IF(終値!A284="","",IF(AND(安値!X284&lt;安値!W284,安値!X284&lt;安値!V284,安値!X284&lt;安値!Y284,安値!X284&lt;安値!Z284),19,""))</f>
        <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t="str">
        <f>IF(終値!A284="","",IF(AND(高値!G284&gt;高値!F284,高値!G284&gt;高値!E284,高値!G284&gt;高値!H284,高値!G284&gt;高値!I284),2,""))</f>
        <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f>IF(終値!A284="","",IF(AND(高値!S284&gt;高値!R284,高値!S284&gt;高値!Q284,高値!S284&gt;高値!T284,高値!S284&gt;高値!U284),14,""))</f>
        <v>14</v>
      </c>
      <c r="AP284" s="503" t="str">
        <f>IF(終値!A284="","",IF(AND(高値!T284&gt;高値!S284,高値!T284&gt;高値!R284,高値!T284&gt;高値!U284,高値!T284&gt;高値!V284),15,""))</f>
        <v/>
      </c>
      <c r="AQ284" s="503" t="str">
        <f>IF(終値!A284="","",IF(AND(高値!U284&gt;高値!T284,高値!U284&gt;高値!S284,高値!U284&gt;高値!V284,高値!U284&gt;高値!W284),16,""))</f>
        <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3</v>
      </c>
      <c r="BF284" s="503">
        <f t="shared" si="26"/>
        <v>17</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1</v>
      </c>
      <c r="BM284" s="503" t="str">
        <f t="shared" si="28"/>
        <v/>
      </c>
      <c r="BN284" s="503" t="str">
        <f t="shared" si="29"/>
        <v/>
      </c>
      <c r="BO284" s="503" t="str">
        <f>IF($BM284="","",INDEX(高値!$E284:$CZ284,1,$BM284+1))</f>
        <v/>
      </c>
      <c r="BP284" s="503" t="str">
        <f>IF($BN284="","",INDEX(高値!$E284:$CZ284,1,$BN284+1))</f>
        <v/>
      </c>
      <c r="BQ284" s="503" t="str">
        <f>IF($BN284="","",MIN(INDEX(安値!$E284:$CZ284,1,$BM284+1):INDEX(安値!$E284:$CZ284,1,$BN284+1)))</f>
        <v/>
      </c>
      <c r="BR284" s="503" t="str">
        <f>IF($BN284="","",AVERAGE(INDEX(終値!$E284:$CZ284,1,$BN284+1):INDEX(終値!$E284:$CZ284,1,$BN284+20))+2*STDEVP(INDEX(終値!$E284:$CZ284,1,$BN284+1):INDEX(終値!$E284:$CZ284,1,$BN284+20)))</f>
        <v/>
      </c>
      <c r="BS284" s="503" t="str">
        <f>IF($BM284="","",AVERAGE(INDEX(終値!$E284:$CZ284,1,$BM284+1):INDEX(終値!$E284:$CZ284,1,$BM284+20))+2*STDEVP(INDEX(終値!$E284:$CZ284,1,$BM284+1):INDEX(終値!$E284:$CZ284,1,$BM284+20)))</f>
        <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f>IF(終値!A285="","",IF(AND(安値!L285&lt;安値!K285,安値!L285&lt;安値!J285,安値!L285&lt;安値!M285,安値!L285&lt;安値!N285),7,""))</f>
        <v>7</v>
      </c>
      <c r="H285" s="503" t="str">
        <f>IF(終値!A285="","",IF(AND(安値!M285&lt;安値!L285,安値!M285&lt;安値!K285,安値!M285&lt;安値!N285,安値!M285&lt;安値!O285),8,""))</f>
        <v/>
      </c>
      <c r="I285" s="503" t="str">
        <f>IF(終値!A285="","",IF(AND(安値!N285&lt;安値!M285,安値!N285&lt;安値!L285,安値!N285&lt;安値!O285,安値!N285&lt;安値!P285),9,""))</f>
        <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f>IF(終値!A285="","",IF(AND(安値!T285&lt;安値!S285,安値!T285&lt;安値!R285,安値!T285&lt;安値!U285,安値!T285&lt;安値!V285),15,""))</f>
        <v>15</v>
      </c>
      <c r="P285" s="503" t="str">
        <f>IF(終値!A285="","",IF(AND(安値!U285&lt;安値!T285,安値!U285&lt;安値!S285,安値!U285&lt;安値!V285,安値!U285&lt;安値!W285),16,""))</f>
        <v/>
      </c>
      <c r="Q285" s="503" t="str">
        <f>IF(終値!A285="","",IF(AND(安値!V285&lt;安値!U285,安値!V285&lt;安値!T285,安値!V285&lt;安値!W285,安値!V285&lt;安値!X285),17,""))</f>
        <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f>IF(終値!A285="","",IF(AND(安値!AG285&lt;安値!AF285,安値!AG285&lt;安値!AE285,安値!AG285&lt;安値!AH285,安値!AG285&lt;安値!AI285),28,""))</f>
        <v>28</v>
      </c>
      <c r="AC285" s="503" t="str">
        <f>IF(終値!A285="","",IF(AND(高値!G285&gt;高値!F285,高値!G285&gt;高値!E285,高値!G285&gt;高値!H285,高値!G285&gt;高値!I285),2,""))</f>
        <v/>
      </c>
      <c r="AD285" s="503">
        <f>IF(終値!A285="","",IF(AND(高値!H285&gt;高値!G285,高値!H285&gt;高値!F285,高値!H285&gt;高値!I285,高値!H285&gt;高値!J285),3,""))</f>
        <v>3</v>
      </c>
      <c r="AE285" s="503" t="str">
        <f>IF(終値!A285="","",IF(AND(高値!I285&gt;高値!H285,高値!I285&gt;高値!G285,高値!I285&gt;高値!J285,高値!I285&gt;高値!K285),4,""))</f>
        <v/>
      </c>
      <c r="AF285" s="503" t="str">
        <f>IF(終値!A285="","",IF(AND(高値!J285&gt;高値!I285,高値!J285&gt;高値!H285,高値!J285&gt;高値!K285,高値!J285&gt;高値!L285),5,""))</f>
        <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f>IF(終値!A285="","",IF(AND(高値!O285&gt;高値!N285,高値!O285&gt;高値!M285,高値!O285&gt;高値!P285,高値!O285&gt;高値!Q285),10,""))</f>
        <v>10</v>
      </c>
      <c r="AL285" s="503" t="str">
        <f>IF(終値!A285="","",IF(AND(高値!P285&gt;高値!O285,高値!P285&gt;高値!N285,高値!P285&gt;高値!Q285,高値!P285&gt;高値!R285),11,""))</f>
        <v/>
      </c>
      <c r="AM285" s="503" t="str">
        <f>IF(終値!A285="","",IF(AND(高値!Q285&gt;高値!P285,高値!Q285&gt;高値!O285,高値!Q285&gt;高値!R285,高値!Q285&gt;高値!S285),12,""))</f>
        <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f>IF(終値!A285="","",IF(AND(高値!U285&gt;高値!T285,高値!U285&gt;高値!S285,高値!U285&gt;高値!V285,高値!U285&gt;高値!W285),16,""))</f>
        <v>16</v>
      </c>
      <c r="AR285" s="503" t="str">
        <f>IF(終値!A285="","",IF(AND(高値!V285&gt;高値!U285,高値!V285&gt;高値!T285,高値!V285&gt;高値!W285,高値!V285&gt;高値!X285),17,""))</f>
        <v/>
      </c>
      <c r="AS285" s="503" t="str">
        <f>IF(終値!A285="","",IF(AND(高値!W285&gt;高値!V285,高値!W285&gt;高値!U285,高値!W285&gt;高値!X285,高値!W285&gt;高値!Y285),18,""))</f>
        <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3</v>
      </c>
      <c r="BE285" s="503">
        <f t="shared" si="25"/>
        <v>7</v>
      </c>
      <c r="BF285" s="503">
        <f t="shared" si="26"/>
        <v>15</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3</v>
      </c>
      <c r="BN285" s="503">
        <f t="shared" si="29"/>
        <v>10</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f>IF(終値!A286="","",IF(AND(安値!L286&lt;安値!K286,安値!L286&lt;安値!J286,安値!L286&lt;安値!M286,安値!L286&lt;安値!N286),7,""))</f>
        <v>7</v>
      </c>
      <c r="H286" s="503" t="str">
        <f>IF(終値!A286="","",IF(AND(安値!M286&lt;安値!L286,安値!M286&lt;安値!K286,安値!M286&lt;安値!N286,安値!M286&lt;安値!O286),8,""))</f>
        <v/>
      </c>
      <c r="I286" s="503" t="str">
        <f>IF(終値!A286="","",IF(AND(安値!N286&lt;安値!M286,安値!N286&lt;安値!L286,安値!N286&lt;安値!O286,安値!N286&lt;安値!P286),9,""))</f>
        <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f>IF(終値!A286="","",IF(AND(安値!R286&lt;安値!Q286,安値!R286&lt;安値!P286,安値!R286&lt;安値!S286,安値!R286&lt;安値!T286),13,""))</f>
        <v>13</v>
      </c>
      <c r="N286" s="503" t="str">
        <f>IF(終値!A286="","",IF(AND(安値!S286&lt;安値!R286,安値!S286&lt;安値!Q286,安値!S286&lt;安値!T286,安値!S286&lt;安値!U286),14,""))</f>
        <v/>
      </c>
      <c r="O286" s="503" t="str">
        <f>IF(終値!A286="","",IF(AND(安値!T286&lt;安値!S286,安値!T286&lt;安値!R286,安値!T286&lt;安値!U286,安値!T286&lt;安値!V286),15,""))</f>
        <v/>
      </c>
      <c r="P286" s="503">
        <f>IF(終値!A286="","",IF(AND(安値!U286&lt;安値!T286,安値!U286&lt;安値!S286,安値!U286&lt;安値!V286,安値!U286&lt;安値!W286),16,""))</f>
        <v>16</v>
      </c>
      <c r="Q286" s="503" t="str">
        <f>IF(終値!A286="","",IF(AND(安値!V286&lt;安値!U286,安値!V286&lt;安値!T286,安値!V286&lt;安値!W286,安値!V286&lt;安値!X286),17,""))</f>
        <v/>
      </c>
      <c r="R286" s="503" t="str">
        <f>IF(終値!A286="","",IF(AND(安値!W286&lt;安値!V286,安値!W286&lt;安値!U286,安値!W286&lt;安値!X286,安値!W286&lt;安値!Y286),18,""))</f>
        <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f>IF(終値!A286="","",IF(AND(安値!AB286&lt;安値!AA286,安値!AB286&lt;安値!Z286,安値!AB286&lt;安値!AC286,安値!AB286&lt;安値!AD286),23,""))</f>
        <v>23</v>
      </c>
      <c r="X286" s="503" t="str">
        <f>IF(終値!A286="","",IF(AND(安値!AC286&lt;安値!AB286,安値!AC286&lt;安値!AA286,安値!AC286&lt;安値!AD286,安値!AC286&lt;安値!AE286),24,""))</f>
        <v/>
      </c>
      <c r="Y286" s="503" t="str">
        <f>IF(終値!A286="","",IF(AND(安値!AD286&lt;安値!AC286,安値!AD286&lt;安値!AB286,安値!AD286&lt;安値!AE286,安値!AD286&lt;安値!AF286),25,""))</f>
        <v/>
      </c>
      <c r="Z286" s="503">
        <f>IF(終値!A286="","",IF(AND(安値!AE286&lt;安値!AD286,安値!AE286&lt;安値!AC286,安値!AE286&lt;安値!AF286,安値!AE286&lt;安値!AG286),26,""))</f>
        <v>26</v>
      </c>
      <c r="AA286" s="503" t="str">
        <f>IF(終値!A286="","",IF(AND(安値!AF286&lt;安値!AE286,安値!AF286&lt;安値!AD286,安値!AF286&lt;安値!AG286,安値!AF286&lt;安値!AH286),27,""))</f>
        <v/>
      </c>
      <c r="AB286" s="503" t="str">
        <f>IF(終値!A286="","",IF(AND(安値!AG286&lt;安値!AF286,安値!AG286&lt;安値!AE286,安値!AG286&lt;安値!AH286,安値!AG286&lt;安値!AI286),28,""))</f>
        <v/>
      </c>
      <c r="AC286" s="503" t="str">
        <f>IF(終値!A286="","",IF(AND(高値!G286&gt;高値!F286,高値!G286&gt;高値!E286,高値!G286&gt;高値!H286,高値!G286&gt;高値!I286),2,""))</f>
        <v/>
      </c>
      <c r="AD286" s="503">
        <f>IF(終値!A286="","",IF(AND(高値!H286&gt;高値!G286,高値!H286&gt;高値!F286,高値!H286&gt;高値!I286,高値!H286&gt;高値!J286),3,""))</f>
        <v>3</v>
      </c>
      <c r="AE286" s="503" t="str">
        <f>IF(終値!A286="","",IF(AND(高値!I286&gt;高値!H286,高値!I286&gt;高値!G286,高値!I286&gt;高値!J286,高値!I286&gt;高値!K286),4,""))</f>
        <v/>
      </c>
      <c r="AF286" s="503" t="str">
        <f>IF(終値!A286="","",IF(AND(高値!J286&gt;高値!I286,高値!J286&gt;高値!H286,高値!J286&gt;高値!K286,高値!J286&gt;高値!L286),5,""))</f>
        <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f>IF(終値!A286="","",IF(AND(高値!N286&gt;高値!M286,高値!N286&gt;高値!L286,高値!N286&gt;高値!O286,高値!N286&gt;高値!P286),9,""))</f>
        <v>9</v>
      </c>
      <c r="AK286" s="503" t="str">
        <f>IF(終値!A286="","",IF(AND(高値!O286&gt;高値!N286,高値!O286&gt;高値!M286,高値!O286&gt;高値!P286,高値!O286&gt;高値!Q286),10,""))</f>
        <v/>
      </c>
      <c r="AL286" s="503" t="str">
        <f>IF(終値!A286="","",IF(AND(高値!P286&gt;高値!O286,高値!P286&gt;高値!N286,高値!P286&gt;高値!Q286,高値!P286&gt;高値!R286),11,""))</f>
        <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f>IF(終値!A286="","",IF(AND(高値!S286&gt;高値!R286,高値!S286&gt;高値!Q286,高値!S286&gt;高値!T286,高値!S286&gt;高値!U286),14,""))</f>
        <v>14</v>
      </c>
      <c r="AP286" s="503" t="str">
        <f>IF(終値!A286="","",IF(AND(高値!T286&gt;高値!S286,高値!T286&gt;高値!R286,高値!T286&gt;高値!U286,高値!T286&gt;高値!V286),15,""))</f>
        <v/>
      </c>
      <c r="AQ286" s="503" t="str">
        <f>IF(終値!A286="","",IF(AND(高値!U286&gt;高値!T286,高値!U286&gt;高値!S286,高値!U286&gt;高値!V286,高値!U286&gt;高値!W286),16,""))</f>
        <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f>IF(終値!A286="","",IF(AND(高値!X286&gt;高値!W286,高値!X286&gt;高値!V286,高値!X286&gt;高値!Y286,高値!X286&gt;高値!Z286),19,""))</f>
        <v>19</v>
      </c>
      <c r="AU286" s="503" t="str">
        <f>IF(終値!A286="","",IF(AND(高値!Y286&gt;高値!X286,高値!Y286&gt;高値!W286,高値!Y286&gt;高値!Z286,高値!Y286&gt;高値!AA286),20,""))</f>
        <v/>
      </c>
      <c r="AV286" s="503" t="str">
        <f>IF(終値!A286="","",IF(AND(高値!Z286&gt;高値!Y286,高値!Z286&gt;高値!X286,高値!Z286&gt;高値!AA286,高値!Z286&gt;高値!AB286),21,""))</f>
        <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7</v>
      </c>
      <c r="BF286" s="503">
        <f t="shared" si="26"/>
        <v>13</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3</v>
      </c>
      <c r="BN286" s="503">
        <f t="shared" si="29"/>
        <v>9</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二番底W形成</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f>IF(終値!A287="","",IF(AND(安値!I287&lt;安値!H287,安値!I287&lt;安値!G287,安値!I287&lt;安値!J287,安値!I287&lt;安値!K287),4,""))</f>
        <v>4</v>
      </c>
      <c r="E287" s="503" t="str">
        <f>IF(終値!A287="","",IF(AND(安値!J287&lt;安値!I287,安値!J287&lt;安値!H287,安値!J287&lt;安値!K287,安値!J287&lt;安値!L287),5,""))</f>
        <v/>
      </c>
      <c r="F287" s="503" t="str">
        <f>IF(終値!A287="","",IF(AND(安値!K287&lt;安値!J287,安値!K287&lt;安値!I287,安値!K287&lt;安値!L287,安値!K287&lt;安値!M287),6,""))</f>
        <v/>
      </c>
      <c r="G287" s="503" t="str">
        <f>IF(終値!A287="","",IF(AND(安値!L287&lt;安値!K287,安値!L287&lt;安値!J287,安値!L287&lt;安値!M287,安値!L287&lt;安値!N287),7,""))</f>
        <v/>
      </c>
      <c r="H287" s="503">
        <f>IF(終値!A287="","",IF(AND(安値!M287&lt;安値!L287,安値!M287&lt;安値!K287,安値!M287&lt;安値!N287,安値!M287&lt;安値!O287),8,""))</f>
        <v>8</v>
      </c>
      <c r="I287" s="503" t="str">
        <f>IF(終値!A287="","",IF(AND(安値!N287&lt;安値!M287,安値!N287&lt;安値!L287,安値!N287&lt;安値!O287,安値!N287&lt;安値!P287),9,""))</f>
        <v/>
      </c>
      <c r="J287" s="503" t="str">
        <f>IF(終値!A287="","",IF(AND(安値!O287&lt;安値!N287,安値!O287&lt;安値!M287,安値!O287&lt;安値!P287,安値!O287&lt;安値!Q287),10,""))</f>
        <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f>IF(終値!A287="","",IF(AND(安値!R287&lt;安値!Q287,安値!R287&lt;安値!P287,安値!R287&lt;安値!S287,安値!R287&lt;安値!T287),13,""))</f>
        <v>13</v>
      </c>
      <c r="N287" s="503" t="str">
        <f>IF(終値!A287="","",IF(AND(安値!S287&lt;安値!R287,安値!S287&lt;安値!Q287,安値!S287&lt;安値!T287,安値!S287&lt;安値!U287),14,""))</f>
        <v/>
      </c>
      <c r="O287" s="503" t="str">
        <f>IF(終値!A287="","",IF(AND(安値!T287&lt;安値!S287,安値!T287&lt;安値!R287,安値!T287&lt;安値!U287,安値!T287&lt;安値!V287),15,""))</f>
        <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f>IF(終値!A287="","",IF(AND(安値!AB287&lt;安値!AA287,安値!AB287&lt;安値!Z287,安値!AB287&lt;安値!AC287,安値!AB287&lt;安値!AD287),23,""))</f>
        <v>23</v>
      </c>
      <c r="X287" s="503" t="str">
        <f>IF(終値!A287="","",IF(AND(安値!AC287&lt;安値!AB287,安値!AC287&lt;安値!AA287,安値!AC287&lt;安値!AD287,安値!AC287&lt;安値!AE287),24,""))</f>
        <v/>
      </c>
      <c r="Y287" s="503" t="str">
        <f>IF(終値!A287="","",IF(AND(安値!AD287&lt;安値!AC287,安値!AD287&lt;安値!AB287,安値!AD287&lt;安値!AE287,安値!AD287&lt;安値!AF287),25,""))</f>
        <v/>
      </c>
      <c r="Z287" s="503" t="str">
        <f>IF(終値!A287="","",IF(AND(安値!AE287&lt;安値!AD287,安値!AE287&lt;安値!AC287,安値!AE287&lt;安値!AF287,安値!AE287&lt;安値!AG287),26,""))</f>
        <v/>
      </c>
      <c r="AA287" s="503">
        <f>IF(終値!A287="","",IF(AND(安値!AF287&lt;安値!AE287,安値!AF287&lt;安値!AD287,安値!AF287&lt;安値!AG287,安値!AF287&lt;安値!AH287),27,""))</f>
        <v>27</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f>IF(終値!A287="","",IF(AND(高値!K287&gt;高値!J287,高値!K287&gt;高値!I287,高値!K287&gt;高値!L287,高値!K287&gt;高値!M287),6,""))</f>
        <v>6</v>
      </c>
      <c r="AH287" s="503" t="str">
        <f>IF(終値!A287="","",IF(AND(高値!L287&gt;高値!K287,高値!L287&gt;高値!J287,高値!L287&gt;高値!M287,高値!L287&gt;高値!N287),7,""))</f>
        <v/>
      </c>
      <c r="AI287" s="503" t="str">
        <f>IF(終値!A287="","",IF(AND(高値!M287&gt;高値!L287,高値!M287&gt;高値!K287,高値!M287&gt;高値!N287,高値!M287&gt;高値!O287),8,""))</f>
        <v/>
      </c>
      <c r="AJ287" s="503" t="str">
        <f>IF(終値!A287="","",IF(AND(高値!N287&gt;高値!M287,高値!N287&gt;高値!L287,高値!N287&gt;高値!O287,高値!N287&gt;高値!P287),9,""))</f>
        <v/>
      </c>
      <c r="AK287" s="503">
        <f>IF(終値!A287="","",IF(AND(高値!O287&gt;高値!N287,高値!O287&gt;高値!M287,高値!O287&gt;高値!P287,高値!O287&gt;高値!Q287),10,""))</f>
        <v>10</v>
      </c>
      <c r="AL287" s="503" t="str">
        <f>IF(終値!A287="","",IF(AND(高値!P287&gt;高値!O287,高値!P287&gt;高値!N287,高値!P287&gt;高値!Q287,高値!P287&gt;高値!R287),11,""))</f>
        <v/>
      </c>
      <c r="AM287" s="503" t="str">
        <f>IF(終値!A287="","",IF(AND(高値!Q287&gt;高値!P287,高値!Q287&gt;高値!O287,高値!Q287&gt;高値!R287,高値!Q287&gt;高値!S287),12,""))</f>
        <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f>IF(終値!A287="","",IF(AND(高値!W287&gt;高値!V287,高値!W287&gt;高値!U287,高値!W287&gt;高値!X287,高値!W287&gt;高値!Y287),18,""))</f>
        <v>18</v>
      </c>
      <c r="AT287" s="503" t="str">
        <f>IF(終値!A287="","",IF(AND(高値!X287&gt;高値!W287,高値!X287&gt;高値!V287,高値!X287&gt;高値!Y287,高値!X287&gt;高値!Z287),19,""))</f>
        <v/>
      </c>
      <c r="AU287" s="503" t="str">
        <f>IF(終値!A287="","",IF(AND(高値!Y287&gt;高値!X287,高値!Y287&gt;高値!W287,高値!Y287&gt;高値!Z287,高値!Y287&gt;高値!AA287),20,""))</f>
        <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5</v>
      </c>
      <c r="BE287" s="503">
        <f t="shared" si="25"/>
        <v>4</v>
      </c>
      <c r="BF287" s="503">
        <f t="shared" si="26"/>
        <v>8</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6</v>
      </c>
      <c r="BN287" s="503">
        <f t="shared" si="29"/>
        <v>10</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f>IF(終値!A288="","",IF(AND(安値!G288&lt;安値!F288,安値!G288&lt;安値!E288,安値!G288&lt;安値!H288,安値!G288&lt;安値!I288),2,""))</f>
        <v>2</v>
      </c>
      <c r="C288" s="503" t="str">
        <f>IF(終値!A288="","",IF(AND(安値!H288&lt;安値!G288,安値!H288&lt;安値!F288,安値!H288&lt;安値!I288,安値!H288&lt;安値!J288),3,""))</f>
        <v/>
      </c>
      <c r="D288" s="503" t="str">
        <f>IF(終値!A288="","",IF(AND(安値!I288&lt;安値!H288,安値!I288&lt;安値!G288,安値!I288&lt;安値!J288,安値!I288&lt;安値!K288),4,""))</f>
        <v/>
      </c>
      <c r="E288" s="503" t="str">
        <f>IF(終値!A288="","",IF(AND(安値!J288&lt;安値!I288,安値!J288&lt;安値!H288,安値!J288&lt;安値!K288,安値!J288&lt;安値!L288),5,""))</f>
        <v/>
      </c>
      <c r="F288" s="503" t="str">
        <f>IF(終値!A288="","",IF(AND(安値!K288&lt;安値!J288,安値!K288&lt;安値!I288,安値!K288&lt;安値!L288,安値!K288&lt;安値!M288),6,""))</f>
        <v/>
      </c>
      <c r="G288" s="503">
        <f>IF(終値!A288="","",IF(AND(安値!L288&lt;安値!K288,安値!L288&lt;安値!J288,安値!L288&lt;安値!M288,安値!L288&lt;安値!N288),7,""))</f>
        <v>7</v>
      </c>
      <c r="H288" s="503" t="str">
        <f>IF(終値!A288="","",IF(AND(安値!M288&lt;安値!L288,安値!M288&lt;安値!K288,安値!M288&lt;安値!N288,安値!M288&lt;安値!O288),8,""))</f>
        <v/>
      </c>
      <c r="I288" s="503" t="str">
        <f>IF(終値!A288="","",IF(AND(安値!N288&lt;安値!M288,安値!N288&lt;安値!L288,安値!N288&lt;安値!O288,安値!N288&lt;安値!P288),9,""))</f>
        <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f>IF(終値!A288="","",IF(AND(安値!AE288&lt;安値!AD288,安値!AE288&lt;安値!AC288,安値!AE288&lt;安値!AF288,安値!AE288&lt;安値!AG288),26,""))</f>
        <v>26</v>
      </c>
      <c r="AA288" s="503" t="str">
        <f>IF(終値!A288="","",IF(AND(安値!AF288&lt;安値!AE288,安値!AF288&lt;安値!AD288,安値!AF288&lt;安値!AG288,安値!AF288&lt;安値!AH288),27,""))</f>
        <v/>
      </c>
      <c r="AB288" s="503" t="str">
        <f>IF(終値!A288="","",IF(AND(安値!AG288&lt;安値!AF288,安値!AG288&lt;安値!AE288,安値!AG288&lt;安値!AH288,安値!AG288&lt;安値!AI288),28,""))</f>
        <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f>IF(終値!A288="","",IF(AND(高値!I288&gt;高値!H288,高値!I288&gt;高値!G288,高値!I288&gt;高値!J288,高値!I288&gt;高値!K288),4,""))</f>
        <v>4</v>
      </c>
      <c r="AF288" s="503" t="str">
        <f>IF(終値!A288="","",IF(AND(高値!J288&gt;高値!I288,高値!J288&gt;高値!H288,高値!J288&gt;高値!K288,高値!J288&gt;高値!L288),5,""))</f>
        <v/>
      </c>
      <c r="AG288" s="503" t="str">
        <f>IF(終値!A288="","",IF(AND(高値!K288&gt;高値!J288,高値!K288&gt;高値!I288,高値!K288&gt;高値!L288,高値!K288&gt;高値!M288),6,""))</f>
        <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f>IF(終値!A288="","",IF(AND(高値!V288&gt;高値!U288,高値!V288&gt;高値!T288,高値!V288&gt;高値!W288,高値!V288&gt;高値!X288),17,""))</f>
        <v>17</v>
      </c>
      <c r="AS288" s="503" t="str">
        <f>IF(終値!A288="","",IF(AND(高値!W288&gt;高値!V288,高値!W288&gt;高値!U288,高値!W288&gt;高値!X288,高値!W288&gt;高値!Y288),18,""))</f>
        <v/>
      </c>
      <c r="AT288" s="503" t="str">
        <f>IF(終値!A288="","",IF(AND(高値!X288&gt;高値!W288,高値!X288&gt;高値!V288,高値!X288&gt;高値!Y288,高値!X288&gt;高値!Z288),19,""))</f>
        <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f>IF(終値!A288="","",IF(AND(高値!AC288&gt;高値!AB288,高値!AC288&gt;高値!AA288,高値!AC288&gt;高値!AD288,高値!AC288&gt;高値!AE288),24,""))</f>
        <v>24</v>
      </c>
      <c r="AZ288" s="503" t="str">
        <f>IF(終値!A288="","",IF(AND(高値!AD288&gt;高値!AC288,高値!AD288&gt;高値!AB288,高値!AD288&gt;高値!AE288,高値!AD288&gt;高値!AF288),25,""))</f>
        <v/>
      </c>
      <c r="BA288" s="503" t="str">
        <f>IF(終値!A288="","",IF(AND(高値!AE288&gt;高値!AD288,高値!AE288&gt;高値!AC288,高値!AE288&gt;高値!AF288,高値!AE288&gt;高値!AG288),26,""))</f>
        <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2</v>
      </c>
      <c r="BF288" s="503">
        <f t="shared" si="26"/>
        <v>7</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4</v>
      </c>
      <c r="BN288" s="503">
        <f t="shared" si="29"/>
        <v>17</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f>IF(終値!A289="","",IF(AND(安値!I289&lt;安値!H289,安値!I289&lt;安値!G289,安値!I289&lt;安値!J289,安値!I289&lt;安値!K289),4,""))</f>
        <v>4</v>
      </c>
      <c r="E289" s="503" t="str">
        <f>IF(終値!A289="","",IF(AND(安値!J289&lt;安値!I289,安値!J289&lt;安値!H289,安値!J289&lt;安値!K289,安値!J289&lt;安値!L289),5,""))</f>
        <v/>
      </c>
      <c r="F289" s="503" t="str">
        <f>IF(終値!A289="","",IF(AND(安値!K289&lt;安値!J289,安値!K289&lt;安値!I289,安値!K289&lt;安値!L289,安値!K289&lt;安値!M289),6,""))</f>
        <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f>IF(終値!A289="","",IF(AND(安値!P289&lt;安値!O289,安値!P289&lt;安値!N289,安値!P289&lt;安値!Q289,安値!P289&lt;安値!R289),11,""))</f>
        <v>11</v>
      </c>
      <c r="L289" s="503" t="str">
        <f>IF(終値!A289="","",IF(AND(安値!Q289&lt;安値!P289,安値!Q289&lt;安値!O289,安値!Q289&lt;安値!R289,安値!Q289&lt;安値!S289),12,""))</f>
        <v/>
      </c>
      <c r="M289" s="503" t="str">
        <f>IF(終値!A289="","",IF(AND(安値!R289&lt;安値!Q289,安値!R289&lt;安値!P289,安値!R289&lt;安値!S289,安値!R289&lt;安値!T289),13,""))</f>
        <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f>IF(終値!A289="","",IF(AND(安値!AC289&lt;安値!AB289,安値!AC289&lt;安値!AA289,安値!AC289&lt;安値!AD289,安値!AC289&lt;安値!AE289),24,""))</f>
        <v>24</v>
      </c>
      <c r="Y289" s="503" t="str">
        <f>IF(終値!A289="","",IF(AND(安値!AD289&lt;安値!AC289,安値!AD289&lt;安値!AB289,安値!AD289&lt;安値!AE289,安値!AD289&lt;安値!AF289),25,""))</f>
        <v/>
      </c>
      <c r="Z289" s="503" t="str">
        <f>IF(終値!A289="","",IF(AND(安値!AE289&lt;安値!AD289,安値!AE289&lt;安値!AC289,安値!AE289&lt;安値!AF289,安値!AE289&lt;安値!AG289),26,""))</f>
        <v/>
      </c>
      <c r="AA289" s="503">
        <f>IF(終値!A289="","",IF(AND(安値!AF289&lt;安値!AE289,安値!AF289&lt;安値!AD289,安値!AF289&lt;安値!AG289,安値!AF289&lt;安値!AH289),27,""))</f>
        <v>27</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f>IF(終値!A289="","",IF(AND(高値!N289&gt;高値!M289,高値!N289&gt;高値!L289,高値!N289&gt;高値!O289,高値!N289&gt;高値!P289),9,""))</f>
        <v>9</v>
      </c>
      <c r="AK289" s="503" t="str">
        <f>IF(終値!A289="","",IF(AND(高値!O289&gt;高値!N289,高値!O289&gt;高値!M289,高値!O289&gt;高値!P289,高値!O289&gt;高値!Q289),10,""))</f>
        <v/>
      </c>
      <c r="AL289" s="503" t="str">
        <f>IF(終値!A289="","",IF(AND(高値!P289&gt;高値!O289,高値!P289&gt;高値!N289,高値!P289&gt;高値!Q289,高値!P289&gt;高値!R289),11,""))</f>
        <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f>IF(終値!A289="","",IF(AND(高値!X289&gt;高値!W289,高値!X289&gt;高値!V289,高値!X289&gt;高値!Y289,高値!X289&gt;高値!Z289),19,""))</f>
        <v>19</v>
      </c>
      <c r="AU289" s="503" t="str">
        <f>IF(終値!A289="","",IF(AND(高値!Y289&gt;高値!X289,高値!Y289&gt;高値!W289,高値!Y289&gt;高値!Z289,高値!Y289&gt;高値!AA289),20,""))</f>
        <v/>
      </c>
      <c r="AV289" s="503" t="str">
        <f>IF(終値!A289="","",IF(AND(高値!Z289&gt;高値!Y289,高値!Z289&gt;高値!X289,高値!Z289&gt;高値!AA289,高値!Z289&gt;高値!AB289),21,""))</f>
        <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f>IF(終値!A289="","",IF(AND(高値!AE289&gt;高値!AD289,高値!AE289&gt;高値!AC289,高値!AE289&gt;高値!AF289,高値!AE289&gt;高値!AG289),26,""))</f>
        <v>26</v>
      </c>
      <c r="BB289" s="503" t="str">
        <f>IF(終値!A289="","",IF(AND(高値!AF289&gt;高値!AE289,高値!AF289&gt;高値!AD289,高値!AF289&gt;高値!AG289,高値!AF289&gt;高値!AH289),27,""))</f>
        <v/>
      </c>
      <c r="BC289" s="503" t="str">
        <f>IF(終値!A289="","",IF(AND(高値!AG289&gt;高値!AF289,高値!AG289&gt;高値!AE289,高値!AG289&gt;高値!AH289,高値!AG289&gt;高値!AI289),28,""))</f>
        <v/>
      </c>
      <c r="BD289" s="503">
        <f t="shared" si="24"/>
        <v>4</v>
      </c>
      <c r="BE289" s="503">
        <f t="shared" si="25"/>
        <v>4</v>
      </c>
      <c r="BF289" s="503">
        <f t="shared" si="26"/>
        <v>11</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9</v>
      </c>
      <c r="BN289" s="503">
        <f t="shared" si="29"/>
        <v>19</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t="str">
        <f>IF(終値!A290="","",IF(AND(安値!H290&lt;安値!G290,安値!H290&lt;安値!F290,安値!H290&lt;安値!I290,安値!H290&lt;安値!J290),3,""))</f>
        <v/>
      </c>
      <c r="D290" s="503">
        <f>IF(終値!A290="","",IF(AND(安値!I290&lt;安値!H290,安値!I290&lt;安値!G290,安値!I290&lt;安値!J290,安値!I290&lt;安値!K290),4,""))</f>
        <v>4</v>
      </c>
      <c r="E290" s="503" t="str">
        <f>IF(終値!A290="","",IF(AND(安値!J290&lt;安値!I290,安値!J290&lt;安値!H290,安値!J290&lt;安値!K290,安値!J290&lt;安値!L290),5,""))</f>
        <v/>
      </c>
      <c r="F290" s="503" t="str">
        <f>IF(終値!A290="","",IF(AND(安値!K290&lt;安値!J290,安値!K290&lt;安値!I290,安値!K290&lt;安値!L290,安値!K290&lt;安値!M290),6,""))</f>
        <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f>IF(終値!A290="","",IF(AND(安値!P290&lt;安値!O290,安値!P290&lt;安値!N290,安値!P290&lt;安値!Q290,安値!P290&lt;安値!R290),11,""))</f>
        <v>11</v>
      </c>
      <c r="L290" s="503" t="str">
        <f>IF(終値!A290="","",IF(AND(安値!Q290&lt;安値!P290,安値!Q290&lt;安値!O290,安値!Q290&lt;安値!R290,安値!Q290&lt;安値!S290),12,""))</f>
        <v/>
      </c>
      <c r="M290" s="503" t="str">
        <f>IF(終値!A290="","",IF(AND(安値!R290&lt;安値!Q290,安値!R290&lt;安値!P290,安値!R290&lt;安値!S290,安値!R290&lt;安値!T290),13,""))</f>
        <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f>IF(終値!A290="","",IF(AND(安値!Y290&lt;安値!X290,安値!Y290&lt;安値!W290,安値!Y290&lt;安値!Z290,安値!Y290&lt;安値!AA290),20,""))</f>
        <v>20</v>
      </c>
      <c r="U290" s="503" t="str">
        <f>IF(終値!A290="","",IF(AND(安値!Z290&lt;安値!Y290,安値!Z290&lt;安値!X290,安値!Z290&lt;安値!AA290,安値!Z290&lt;安値!AB290),21,""))</f>
        <v/>
      </c>
      <c r="V290" s="503" t="str">
        <f>IF(終値!A290="","",IF(AND(安値!AA290&lt;安値!Z290,安値!AA290&lt;安値!Y290,安値!AA290&lt;安値!AB290,安値!AA290&lt;安値!AC290),22,""))</f>
        <v/>
      </c>
      <c r="W290" s="503">
        <f>IF(終値!A290="","",IF(AND(安値!AB290&lt;安値!AA290,安値!AB290&lt;安値!Z290,安値!AB290&lt;安値!AC290,安値!AB290&lt;安値!AD290),23,""))</f>
        <v>23</v>
      </c>
      <c r="X290" s="503" t="str">
        <f>IF(終値!A290="","",IF(AND(安値!AC290&lt;安値!AB290,安値!AC290&lt;安値!AA290,安値!AC290&lt;安値!AD290,安値!AC290&lt;安値!AE290),24,""))</f>
        <v/>
      </c>
      <c r="Y290" s="503" t="str">
        <f>IF(終値!A290="","",IF(AND(安値!AD290&lt;安値!AC290,安値!AD290&lt;安値!AB290,安値!AD290&lt;安値!AE290,安値!AD290&lt;安値!AF290),25,""))</f>
        <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f>IF(終値!A290="","",IF(AND(高値!G290&gt;高値!F290,高値!G290&gt;高値!E290,高値!G290&gt;高値!H290,高値!G290&gt;高値!I290),2,""))</f>
        <v>2</v>
      </c>
      <c r="AD290" s="503" t="str">
        <f>IF(終値!A290="","",IF(AND(高値!H290&gt;高値!G290,高値!H290&gt;高値!F290,高値!H290&gt;高値!I290,高値!H290&gt;高値!J290),3,""))</f>
        <v/>
      </c>
      <c r="AE290" s="503" t="str">
        <f>IF(終値!A290="","",IF(AND(高値!I290&gt;高値!H290,高値!I290&gt;高値!G290,高値!I290&gt;高値!J290,高値!I290&gt;高値!K290),4,""))</f>
        <v/>
      </c>
      <c r="AF290" s="503" t="str">
        <f>IF(終値!A290="","",IF(AND(高値!J290&gt;高値!I290,高値!J290&gt;高値!H290,高値!J290&gt;高値!K290,高値!J290&gt;高値!L290),5,""))</f>
        <v/>
      </c>
      <c r="AG290" s="503">
        <f>IF(終値!A290="","",IF(AND(高値!K290&gt;高値!J290,高値!K290&gt;高値!I290,高値!K290&gt;高値!L290,高値!K290&gt;高値!M290),6,""))</f>
        <v>6</v>
      </c>
      <c r="AH290" s="503" t="str">
        <f>IF(終値!A290="","",IF(AND(高値!L290&gt;高値!K290,高値!L290&gt;高値!J290,高値!L290&gt;高値!M290,高値!L290&gt;高値!N290),7,""))</f>
        <v/>
      </c>
      <c r="AI290" s="503" t="str">
        <f>IF(終値!A290="","",IF(AND(高値!M290&gt;高値!L290,高値!M290&gt;高値!K290,高値!M290&gt;高値!N290,高値!M290&gt;高値!O290),8,""))</f>
        <v/>
      </c>
      <c r="AJ290" s="503">
        <f>IF(終値!A290="","",IF(AND(高値!N290&gt;高値!M290,高値!N290&gt;高値!L290,高値!N290&gt;高値!O290,高値!N290&gt;高値!P290),9,""))</f>
        <v>9</v>
      </c>
      <c r="AK290" s="503" t="str">
        <f>IF(終値!A290="","",IF(AND(高値!O290&gt;高値!N290,高値!O290&gt;高値!M290,高値!O290&gt;高値!P290,高値!O290&gt;高値!Q290),10,""))</f>
        <v/>
      </c>
      <c r="AL290" s="503" t="str">
        <f>IF(終値!A290="","",IF(AND(高値!P290&gt;高値!O290,高値!P290&gt;高値!N290,高値!P290&gt;高値!Q290,高値!P290&gt;高値!R290),11,""))</f>
        <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f>IF(終値!A290="","",IF(AND(高値!X290&gt;高値!W290,高値!X290&gt;高値!V290,高値!X290&gt;高値!Y290,高値!X290&gt;高値!Z290),19,""))</f>
        <v>19</v>
      </c>
      <c r="AU290" s="503" t="str">
        <f>IF(終値!A290="","",IF(AND(高値!Y290&gt;高値!X290,高値!Y290&gt;高値!W290,高値!Y290&gt;高値!Z290,高値!Y290&gt;高値!AA290),20,""))</f>
        <v/>
      </c>
      <c r="AV290" s="503" t="str">
        <f>IF(終値!A290="","",IF(AND(高値!Z290&gt;高値!Y290,高値!Z290&gt;高値!X290,高値!Z290&gt;高値!AA290,高値!Z290&gt;高値!AB290),21,""))</f>
        <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4</v>
      </c>
      <c r="BE290" s="503">
        <f t="shared" si="25"/>
        <v>4</v>
      </c>
      <c r="BF290" s="503">
        <f t="shared" si="26"/>
        <v>11</v>
      </c>
      <c r="BG290" s="503">
        <f>IF($BE290="","",INDEX(安値!$E290:$CZ290,1,$BE290+1))</f>
        <v>659</v>
      </c>
      <c r="BH290" s="503">
        <f>IF($BF290="","",INDEX(安値!$E290:$CZ290,1,$BF290+1))</f>
        <v>657</v>
      </c>
      <c r="BI290" s="503">
        <f>IF($BF290="","",MAX(INDEX(高値!$E290:$CZ290,1,$BE290+1):INDEX(高値!$E290:$CZ290,1,$BF290+1)))</f>
        <v>697</v>
      </c>
      <c r="BJ290" s="503">
        <f>IF($BF290="","",AVERAGE(INDEX(終値!$E290:$CZ290,1,$BF290+1):INDEX(終値!$E290:$CZ290,1,$BF290+20))-2*STDEVP(INDEX(終値!$E290:$CZ290,1,$BF290+1):INDEX(終値!$E290:$CZ290,1,$BF290+20)))</f>
        <v>653.47803239319853</v>
      </c>
      <c r="BK290" s="503">
        <f>IF($BE290="","",AVERAGE(INDEX(終値!$E290:$CZ290,1,$BE290+1):INDEX(終値!$E290:$CZ290,1,$BE290+20))-2*STDEVP(INDEX(終値!$E290:$CZ290,1,$BE290+1):INDEX(終値!$E290:$CZ290,1,$BE290+20)))</f>
        <v>661.11697071440062</v>
      </c>
      <c r="BL290" s="503">
        <f t="shared" si="27"/>
        <v>4</v>
      </c>
      <c r="BM290" s="503">
        <f t="shared" si="28"/>
        <v>2</v>
      </c>
      <c r="BN290" s="503">
        <f t="shared" si="29"/>
        <v>6</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f>IF(終値!A291="","",IF(AND(安値!L291&lt;安値!K291,安値!L291&lt;安値!J291,安値!L291&lt;安値!M291,安値!L291&lt;安値!N291),7,""))</f>
        <v>7</v>
      </c>
      <c r="H291" s="503" t="str">
        <f>IF(終値!A291="","",IF(AND(安値!M291&lt;安値!L291,安値!M291&lt;安値!K291,安値!M291&lt;安値!N291,安値!M291&lt;安値!O291),8,""))</f>
        <v/>
      </c>
      <c r="I291" s="503" t="str">
        <f>IF(終値!A291="","",IF(AND(安値!N291&lt;安値!M291,安値!N291&lt;安値!L291,安値!N291&lt;安値!O291,安値!N291&lt;安値!P291),9,""))</f>
        <v/>
      </c>
      <c r="J291" s="503" t="str">
        <f>IF(終値!A291="","",IF(AND(安値!O291&lt;安値!N291,安値!O291&lt;安値!M291,安値!O291&lt;安値!P291,安値!O291&lt;安値!Q291),10,""))</f>
        <v/>
      </c>
      <c r="K291" s="503">
        <f>IF(終値!A291="","",IF(AND(安値!P291&lt;安値!O291,安値!P291&lt;安値!N291,安値!P291&lt;安値!Q291,安値!P291&lt;安値!R291),11,""))</f>
        <v>11</v>
      </c>
      <c r="L291" s="503" t="str">
        <f>IF(終値!A291="","",IF(AND(安値!Q291&lt;安値!P291,安値!Q291&lt;安値!O291,安値!Q291&lt;安値!R291,安値!Q291&lt;安値!S291),12,""))</f>
        <v/>
      </c>
      <c r="M291" s="503" t="str">
        <f>IF(終値!A291="","",IF(AND(安値!R291&lt;安値!Q291,安値!R291&lt;安値!P291,安値!R291&lt;安値!S291,安値!R291&lt;安値!T291),13,""))</f>
        <v/>
      </c>
      <c r="N291" s="503">
        <f>IF(終値!A291="","",IF(AND(安値!S291&lt;安値!R291,安値!S291&lt;安値!Q291,安値!S291&lt;安値!T291,安値!S291&lt;安値!U291),14,""))</f>
        <v>14</v>
      </c>
      <c r="O291" s="503" t="str">
        <f>IF(終値!A291="","",IF(AND(安値!T291&lt;安値!S291,安値!T291&lt;安値!R291,安値!T291&lt;安値!U291,安値!T291&lt;安値!V291),15,""))</f>
        <v/>
      </c>
      <c r="P291" s="503" t="str">
        <f>IF(終値!A291="","",IF(AND(安値!U291&lt;安値!T291,安値!U291&lt;安値!S291,安値!U291&lt;安値!V291,安値!U291&lt;安値!W291),16,""))</f>
        <v/>
      </c>
      <c r="Q291" s="503">
        <f>IF(終値!A291="","",IF(AND(安値!V291&lt;安値!U291,安値!V291&lt;安値!T291,安値!V291&lt;安値!W291,安値!V291&lt;安値!X291),17,""))</f>
        <v>17</v>
      </c>
      <c r="R291" s="503" t="str">
        <f>IF(終値!A291="","",IF(AND(安値!W291&lt;安値!V291,安値!W291&lt;安値!U291,安値!W291&lt;安値!X291,安値!W291&lt;安値!Y291),18,""))</f>
        <v/>
      </c>
      <c r="S291" s="503" t="str">
        <f>IF(終値!A291="","",IF(AND(安値!X291&lt;安値!W291,安値!X291&lt;安値!V291,安値!X291&lt;安値!Y291,安値!X291&lt;安値!Z291),19,""))</f>
        <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f>IF(終値!A291="","",IF(AND(安値!AB291&lt;安値!AA291,安値!AB291&lt;安値!Z291,安値!AB291&lt;安値!AC291,安値!AB291&lt;安値!AD291),23,""))</f>
        <v>23</v>
      </c>
      <c r="X291" s="503" t="str">
        <f>IF(終値!A291="","",IF(AND(安値!AC291&lt;安値!AB291,安値!AC291&lt;安値!AA291,安値!AC291&lt;安値!AD291,安値!AC291&lt;安値!AE291),24,""))</f>
        <v/>
      </c>
      <c r="Y291" s="503" t="str">
        <f>IF(終値!A291="","",IF(AND(安値!AD291&lt;安値!AC291,安値!AD291&lt;安値!AB291,安値!AD291&lt;安値!AE291,安値!AD291&lt;安値!AF291),25,""))</f>
        <v/>
      </c>
      <c r="Z291" s="503" t="str">
        <f>IF(終値!A291="","",IF(AND(安値!AE291&lt;安値!AD291,安値!AE291&lt;安値!AC291,安値!AE291&lt;安値!AF291,安値!AE291&lt;安値!AG291),26,""))</f>
        <v/>
      </c>
      <c r="AA291" s="503">
        <f>IF(終値!A291="","",IF(AND(安値!AF291&lt;安値!AE291,安値!AF291&lt;安値!AD291,安値!AF291&lt;安値!AG291,安値!AF291&lt;安値!AH291),27,""))</f>
        <v>27</v>
      </c>
      <c r="AB291" s="503" t="str">
        <f>IF(終値!A291="","",IF(AND(安値!AG291&lt;安値!AF291,安値!AG291&lt;安値!AE291,安値!AG291&lt;安値!AH291,安値!AG291&lt;安値!AI291),28,""))</f>
        <v/>
      </c>
      <c r="AC291" s="503">
        <f>IF(終値!A291="","",IF(AND(高値!G291&gt;高値!F291,高値!G291&gt;高値!E291,高値!G291&gt;高値!H291,高値!G291&gt;高値!I291),2,""))</f>
        <v>2</v>
      </c>
      <c r="AD291" s="503" t="str">
        <f>IF(終値!A291="","",IF(AND(高値!H291&gt;高値!G291,高値!H291&gt;高値!F291,高値!H291&gt;高値!I291,高値!H291&gt;高値!J291),3,""))</f>
        <v/>
      </c>
      <c r="AE291" s="503" t="str">
        <f>IF(終値!A291="","",IF(AND(高値!I291&gt;高値!H291,高値!I291&gt;高値!G291,高値!I291&gt;高値!J291,高値!I291&gt;高値!K291),4,""))</f>
        <v/>
      </c>
      <c r="AF291" s="503" t="str">
        <f>IF(終値!A291="","",IF(AND(高値!J291&gt;高値!I291,高値!J291&gt;高値!H291,高値!J291&gt;高値!K291,高値!J291&gt;高値!L291),5,""))</f>
        <v/>
      </c>
      <c r="AG291" s="503">
        <f>IF(終値!A291="","",IF(AND(高値!K291&gt;高値!J291,高値!K291&gt;高値!I291,高値!K291&gt;高値!L291,高値!K291&gt;高値!M291),6,""))</f>
        <v>6</v>
      </c>
      <c r="AH291" s="503" t="str">
        <f>IF(終値!A291="","",IF(AND(高値!L291&gt;高値!K291,高値!L291&gt;高値!J291,高値!L291&gt;高値!M291,高値!L291&gt;高値!N291),7,""))</f>
        <v/>
      </c>
      <c r="AI291" s="503" t="str">
        <f>IF(終値!A291="","",IF(AND(高値!M291&gt;高値!L291,高値!M291&gt;高値!K291,高値!M291&gt;高値!N291,高値!M291&gt;高値!O291),8,""))</f>
        <v/>
      </c>
      <c r="AJ291" s="503">
        <f>IF(終値!A291="","",IF(AND(高値!N291&gt;高値!M291,高値!N291&gt;高値!L291,高値!N291&gt;高値!O291,高値!N291&gt;高値!P291),9,""))</f>
        <v>9</v>
      </c>
      <c r="AK291" s="503" t="str">
        <f>IF(終値!A291="","",IF(AND(高値!O291&gt;高値!N291,高値!O291&gt;高値!M291,高値!O291&gt;高値!P291,高値!O291&gt;高値!Q291),10,""))</f>
        <v/>
      </c>
      <c r="AL291" s="503" t="str">
        <f>IF(終値!A291="","",IF(AND(高値!P291&gt;高値!O291,高値!P291&gt;高値!N291,高値!P291&gt;高値!Q291,高値!P291&gt;高値!R291),11,""))</f>
        <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f>IF(終値!A291="","",IF(AND(高値!T291&gt;高値!S291,高値!T291&gt;高値!R291,高値!T291&gt;高値!U291,高値!T291&gt;高値!V291),15,""))</f>
        <v>15</v>
      </c>
      <c r="AQ291" s="503" t="str">
        <f>IF(終値!A291="","",IF(AND(高値!U291&gt;高値!T291,高値!U291&gt;高値!S291,高値!U291&gt;高値!V291,高値!U291&gt;高値!W291),16,""))</f>
        <v/>
      </c>
      <c r="AR291" s="503" t="str">
        <f>IF(終値!A291="","",IF(AND(高値!V291&gt;高値!U291,高値!V291&gt;高値!T291,高値!V291&gt;高値!W291,高値!V291&gt;高値!X291),17,""))</f>
        <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f>IF(終値!A291="","",IF(AND(高値!AB291&gt;高値!AA291,高値!AB291&gt;高値!Z291,高値!AB291&gt;高値!AC291,高値!AB291&gt;高値!AD291),23,""))</f>
        <v>23</v>
      </c>
      <c r="AY291" s="503" t="str">
        <f>IF(終値!A291="","",IF(AND(高値!AC291&gt;高値!AB291,高値!AC291&gt;高値!AA291,高値!AC291&gt;高値!AD291,高値!AC291&gt;高値!AE291),24,""))</f>
        <v/>
      </c>
      <c r="AZ291" s="503" t="str">
        <f>IF(終値!A291="","",IF(AND(高値!AD291&gt;高値!AC291,高値!AD291&gt;高値!AB291,高値!AD291&gt;高値!AE291,高値!AD291&gt;高値!AF291),25,""))</f>
        <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6</v>
      </c>
      <c r="BE291" s="503">
        <f t="shared" si="25"/>
        <v>7</v>
      </c>
      <c r="BF291" s="503">
        <f t="shared" si="26"/>
        <v>11</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2</v>
      </c>
      <c r="BN291" s="503">
        <f t="shared" si="29"/>
        <v>6</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二番天井M形成</v>
      </c>
    </row>
    <row r="292" spans="2:72">
      <c r="B292" s="503" t="str">
        <f>IF(終値!A292="","",IF(AND(安値!G292&lt;安値!F292,安値!G292&lt;安値!E292,安値!G292&lt;安値!H292,安値!G292&lt;安値!I292),2,""))</f>
        <v/>
      </c>
      <c r="C292" s="503">
        <f>IF(終値!A292="","",IF(AND(安値!H292&lt;安値!G292,安値!H292&lt;安値!F292,安値!H292&lt;安値!I292,安値!H292&lt;安値!J292),3,""))</f>
        <v>3</v>
      </c>
      <c r="D292" s="503" t="str">
        <f>IF(終値!A292="","",IF(AND(安値!I292&lt;安値!H292,安値!I292&lt;安値!G292,安値!I292&lt;安値!J292,安値!I292&lt;安値!K292),4,""))</f>
        <v/>
      </c>
      <c r="E292" s="503" t="str">
        <f>IF(終値!A292="","",IF(AND(安値!J292&lt;安値!I292,安値!J292&lt;安値!H292,安値!J292&lt;安値!K292,安値!J292&lt;安値!L292),5,""))</f>
        <v/>
      </c>
      <c r="F292" s="503" t="str">
        <f>IF(終値!A292="","",IF(AND(安値!K292&lt;安値!J292,安値!K292&lt;安値!I292,安値!K292&lt;安値!L292,安値!K292&lt;安値!M292),6,""))</f>
        <v/>
      </c>
      <c r="G292" s="503">
        <f>IF(終値!A292="","",IF(AND(安値!L292&lt;安値!K292,安値!L292&lt;安値!J292,安値!L292&lt;安値!M292,安値!L292&lt;安値!N292),7,""))</f>
        <v>7</v>
      </c>
      <c r="H292" s="503" t="str">
        <f>IF(終値!A292="","",IF(AND(安値!M292&lt;安値!L292,安値!M292&lt;安値!K292,安値!M292&lt;安値!N292,安値!M292&lt;安値!O292),8,""))</f>
        <v/>
      </c>
      <c r="I292" s="503" t="str">
        <f>IF(終値!A292="","",IF(AND(安値!N292&lt;安値!M292,安値!N292&lt;安値!L292,安値!N292&lt;安値!O292,安値!N292&lt;安値!P292),9,""))</f>
        <v/>
      </c>
      <c r="J292" s="503">
        <f>IF(終値!A292="","",IF(AND(安値!O292&lt;安値!N292,安値!O292&lt;安値!M292,安値!O292&lt;安値!P292,安値!O292&lt;安値!Q292),10,""))</f>
        <v>10</v>
      </c>
      <c r="K292" s="503" t="str">
        <f>IF(終値!A292="","",IF(AND(安値!P292&lt;安値!O292,安値!P292&lt;安値!N292,安値!P292&lt;安値!Q292,安値!P292&lt;安値!R292),11,""))</f>
        <v/>
      </c>
      <c r="L292" s="503" t="str">
        <f>IF(終値!A292="","",IF(AND(安値!Q292&lt;安値!P292,安値!Q292&lt;安値!O292,安値!Q292&lt;安値!R292,安値!Q292&lt;安値!S292),12,""))</f>
        <v/>
      </c>
      <c r="M292" s="503" t="str">
        <f>IF(終値!A292="","",IF(AND(安値!R292&lt;安値!Q292,安値!R292&lt;安値!P292,安値!R292&lt;安値!S292,安値!R292&lt;安値!T292),13,""))</f>
        <v/>
      </c>
      <c r="N292" s="503">
        <f>IF(終値!A292="","",IF(AND(安値!S292&lt;安値!R292,安値!S292&lt;安値!Q292,安値!S292&lt;安値!T292,安値!S292&lt;安値!U292),14,""))</f>
        <v>14</v>
      </c>
      <c r="O292" s="503" t="str">
        <f>IF(終値!A292="","",IF(AND(安値!T292&lt;安値!S292,安値!T292&lt;安値!R292,安値!T292&lt;安値!U292,安値!T292&lt;安値!V292),15,""))</f>
        <v/>
      </c>
      <c r="P292" s="503" t="str">
        <f>IF(終値!A292="","",IF(AND(安値!U292&lt;安値!T292,安値!U292&lt;安値!S292,安値!U292&lt;安値!V292,安値!U292&lt;安値!W292),16,""))</f>
        <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f>IF(終値!A292="","",IF(AND(安値!AD292&lt;安値!AC292,安値!AD292&lt;安値!AB292,安値!AD292&lt;安値!AE292,安値!AD292&lt;安値!AF292),25,""))</f>
        <v>25</v>
      </c>
      <c r="Z292" s="503" t="str">
        <f>IF(終値!A292="","",IF(AND(安値!AE292&lt;安値!AD292,安値!AE292&lt;安値!AC292,安値!AE292&lt;安値!AF292,安値!AE292&lt;安値!AG292),26,""))</f>
        <v/>
      </c>
      <c r="AA292" s="503" t="str">
        <f>IF(終値!A292="","",IF(AND(安値!AF292&lt;安値!AE292,安値!AF292&lt;安値!AD292,安値!AF292&lt;安値!AG292,安値!AF292&lt;安値!AH292),27,""))</f>
        <v/>
      </c>
      <c r="AB292" s="503" t="str">
        <f>IF(終値!A292="","",IF(AND(安値!AG292&lt;安値!AF292,安値!AG292&lt;安値!AE292,安値!AG292&lt;安値!AH292,安値!AG292&lt;安値!AI292),28,""))</f>
        <v/>
      </c>
      <c r="AC292" s="503" t="str">
        <f>IF(終値!A292="","",IF(AND(高値!G292&gt;高値!F292,高値!G292&gt;高値!E292,高値!G292&gt;高値!H292,高値!G292&gt;高値!I292),2,""))</f>
        <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f>IF(終値!A292="","",IF(AND(高値!Q292&gt;高値!P292,高値!Q292&gt;高値!O292,高値!Q292&gt;高値!R292,高値!Q292&gt;高値!S292),12,""))</f>
        <v>12</v>
      </c>
      <c r="AN292" s="503" t="str">
        <f>IF(終値!A292="","",IF(AND(高値!R292&gt;高値!Q292,高値!R292&gt;高値!P292,高値!R292&gt;高値!S292,高値!R292&gt;高値!T292),13,""))</f>
        <v/>
      </c>
      <c r="AO292" s="503" t="str">
        <f>IF(終値!A292="","",IF(AND(高値!S292&gt;高値!R292,高値!S292&gt;高値!Q292,高値!S292&gt;高値!T292,高値!S292&gt;高値!U292),14,""))</f>
        <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f>IF(終値!A292="","",IF(AND(高値!X292&gt;高値!W292,高値!X292&gt;高値!V292,高値!X292&gt;高値!Y292,高値!X292&gt;高値!Z292),19,""))</f>
        <v>19</v>
      </c>
      <c r="AU292" s="503" t="str">
        <f>IF(終値!A292="","",IF(AND(高値!Y292&gt;高値!X292,高値!Y292&gt;高値!W292,高値!Y292&gt;高値!Z292,高値!Y292&gt;高値!AA292),20,""))</f>
        <v/>
      </c>
      <c r="AV292" s="503" t="str">
        <f>IF(終値!A292="","",IF(AND(高値!Z292&gt;高値!Y292,高値!Z292&gt;高値!X292,高値!Z292&gt;高値!AA292,高値!Z292&gt;高値!AB292),21,""))</f>
        <v/>
      </c>
      <c r="AW292" s="503" t="str">
        <f>IF(終値!A292="","",IF(AND(高値!AA292&gt;高値!Z292,高値!AA292&gt;高値!Y292,高値!AA292&gt;高値!AB292,高値!AA292&gt;高値!AC292),22,""))</f>
        <v/>
      </c>
      <c r="AX292" s="503">
        <f>IF(終値!A292="","",IF(AND(高値!AB292&gt;高値!AA292,高値!AB292&gt;高値!Z292,高値!AB292&gt;高値!AC292,高値!AB292&gt;高値!AD292),23,""))</f>
        <v>23</v>
      </c>
      <c r="AY292" s="503" t="str">
        <f>IF(終値!A292="","",IF(AND(高値!AC292&gt;高値!AB292,高値!AC292&gt;高値!AA292,高値!AC292&gt;高値!AD292,高値!AC292&gt;高値!AE292),24,""))</f>
        <v/>
      </c>
      <c r="AZ292" s="503" t="str">
        <f>IF(終値!A292="","",IF(AND(高値!AD292&gt;高値!AC292,高値!AD292&gt;高値!AB292,高値!AD292&gt;高値!AE292,高値!AD292&gt;高値!AF292),25,""))</f>
        <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f>IF(終値!A292="","",IF(AND(高値!AG292&gt;高値!AF292,高値!AG292&gt;高値!AE292,高値!AG292&gt;高値!AH292,高値!AG292&gt;高値!AI292),28,""))</f>
        <v>28</v>
      </c>
      <c r="BD292" s="503">
        <f t="shared" si="24"/>
        <v>5</v>
      </c>
      <c r="BE292" s="503">
        <f t="shared" si="25"/>
        <v>3</v>
      </c>
      <c r="BF292" s="503">
        <f t="shared" si="26"/>
        <v>7</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12</v>
      </c>
      <c r="BN292" s="503">
        <f t="shared" si="29"/>
        <v>19</v>
      </c>
      <c r="BO292" s="503">
        <f>IF($BM292="","",INDEX(高値!$E292:$CZ292,1,$BM292+1))</f>
        <v>1625</v>
      </c>
      <c r="BP292" s="503">
        <f>IF($BN292="","",INDEX(高値!$E292:$CZ292,1,$BN292+1))</f>
        <v>1594</v>
      </c>
      <c r="BQ292" s="503">
        <f>IF($BN292="","",MIN(INDEX(安値!$E292:$CZ292,1,$BM292+1):INDEX(安値!$E292:$CZ292,1,$BN292+1)))</f>
        <v>1581</v>
      </c>
      <c r="BR292" s="503">
        <f>IF($BN292="","",AVERAGE(INDEX(終値!$E292:$CZ292,1,$BN292+1):INDEX(終値!$E292:$CZ292,1,$BN292+20))+2*STDEVP(INDEX(終値!$E292:$CZ292,1,$BN292+1):INDEX(終値!$E292:$CZ292,1,$BN292+20)))</f>
        <v>1595.7985506485284</v>
      </c>
      <c r="BS292" s="503">
        <f>IF($BM292="","",AVERAGE(INDEX(終値!$E292:$CZ292,1,$BM292+1):INDEX(終値!$E292:$CZ292,1,$BM292+20))+2*STDEVP(INDEX(終値!$E292:$CZ292,1,$BM292+1):INDEX(終値!$E292:$CZ292,1,$BM292+20)))</f>
        <v>1608.0140141029185</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t="str">
        <f>IF(終値!A293="","",IF(AND(安値!H293&lt;安値!G293,安値!H293&lt;安値!F293,安値!H293&lt;安値!I293,安値!H293&lt;安値!J293),3,""))</f>
        <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f>IF(終値!A293="","",IF(AND(安値!P293&lt;安値!O293,安値!P293&lt;安値!N293,安値!P293&lt;安値!Q293,安値!P293&lt;安値!R293),11,""))</f>
        <v>11</v>
      </c>
      <c r="L293" s="503" t="str">
        <f>IF(終値!A293="","",IF(AND(安値!Q293&lt;安値!P293,安値!Q293&lt;安値!O293,安値!Q293&lt;安値!R293,安値!Q293&lt;安値!S293),12,""))</f>
        <v/>
      </c>
      <c r="M293" s="503" t="str">
        <f>IF(終値!A293="","",IF(AND(安値!R293&lt;安値!Q293,安値!R293&lt;安値!P293,安値!R293&lt;安値!S293,安値!R293&lt;安値!T293),13,""))</f>
        <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f>IF(終値!A293="","",IF(AND(安値!AF293&lt;安値!AE293,安値!AF293&lt;安値!AD293,安値!AF293&lt;安値!AG293,安値!AF293&lt;安値!AH293),27,""))</f>
        <v>27</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f>IF(終値!A293="","",IF(AND(高値!K293&gt;高値!J293,高値!K293&gt;高値!I293,高値!K293&gt;高値!L293,高値!K293&gt;高値!M293),6,""))</f>
        <v>6</v>
      </c>
      <c r="AH293" s="503" t="str">
        <f>IF(終値!A293="","",IF(AND(高値!L293&gt;高値!K293,高値!L293&gt;高値!J293,高値!L293&gt;高値!M293,高値!L293&gt;高値!N293),7,""))</f>
        <v/>
      </c>
      <c r="AI293" s="503" t="str">
        <f>IF(終値!A293="","",IF(AND(高値!M293&gt;高値!L293,高値!M293&gt;高値!K293,高値!M293&gt;高値!N293,高値!M293&gt;高値!O293),8,""))</f>
        <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f>IF(終値!A293="","",IF(AND(高値!Q293&gt;高値!P293,高値!Q293&gt;高値!O293,高値!Q293&gt;高値!R293,高値!Q293&gt;高値!S293),12,""))</f>
        <v>12</v>
      </c>
      <c r="AN293" s="503" t="str">
        <f>IF(終値!A293="","",IF(AND(高値!R293&gt;高値!Q293,高値!R293&gt;高値!P293,高値!R293&gt;高値!S293,高値!R293&gt;高値!T293),13,""))</f>
        <v/>
      </c>
      <c r="AO293" s="503" t="str">
        <f>IF(終値!A293="","",IF(AND(高値!S293&gt;高値!R293,高値!S293&gt;高値!Q293,高値!S293&gt;高値!T293,高値!S293&gt;高値!U293),14,""))</f>
        <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f>IF(終値!A293="","",IF(AND(高値!W293&gt;高値!V293,高値!W293&gt;高値!U293,高値!W293&gt;高値!X293,高値!W293&gt;高値!Y293),18,""))</f>
        <v>18</v>
      </c>
      <c r="AT293" s="503" t="str">
        <f>IF(終値!A293="","",IF(AND(高値!X293&gt;高値!W293,高値!X293&gt;高値!V293,高値!X293&gt;高値!Y293,高値!X293&gt;高値!Z293),19,""))</f>
        <v/>
      </c>
      <c r="AU293" s="503" t="str">
        <f>IF(終値!A293="","",IF(AND(高値!Y293&gt;高値!X293,高値!Y293&gt;高値!W293,高値!Y293&gt;高値!Z293,高値!Y293&gt;高値!AA293),20,""))</f>
        <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11</v>
      </c>
      <c r="BF293" s="503">
        <f t="shared" si="26"/>
        <v>27</v>
      </c>
      <c r="BG293" s="503">
        <f>IF($BE293="","",INDEX(安値!$E293:$CZ293,1,$BE293+1))</f>
        <v>3555</v>
      </c>
      <c r="BH293" s="503">
        <f>IF($BF293="","",INDEX(安値!$E293:$CZ293,1,$BF293+1))</f>
        <v>3205</v>
      </c>
      <c r="BI293" s="503">
        <f>IF($BF293="","",MAX(INDEX(高値!$E293:$CZ293,1,$BE293+1):INDEX(高値!$E293:$CZ293,1,$BF293+1)))</f>
        <v>4245</v>
      </c>
      <c r="BJ293" s="503">
        <f>IF($BF293="","",AVERAGE(INDEX(終値!$E293:$CZ293,1,$BF293+1):INDEX(終値!$E293:$CZ293,1,$BF293+20))-2*STDEVP(INDEX(終値!$E293:$CZ293,1,$BF293+1):INDEX(終値!$E293:$CZ293,1,$BF293+20)))</f>
        <v>2861.0604947161955</v>
      </c>
      <c r="BK293" s="503">
        <f>IF($BE293="","",AVERAGE(INDEX(終値!$E293:$CZ293,1,$BE293+1):INDEX(終値!$E293:$CZ293,1,$BE293+20))-2*STDEVP(INDEX(終値!$E293:$CZ293,1,$BE293+1):INDEX(終値!$E293:$CZ293,1,$BE293+20)))</f>
        <v>3146.3839703664339</v>
      </c>
      <c r="BL293" s="503">
        <f t="shared" si="27"/>
        <v>3</v>
      </c>
      <c r="BM293" s="503">
        <f t="shared" si="28"/>
        <v>6</v>
      </c>
      <c r="BN293" s="503">
        <f t="shared" si="29"/>
        <v>12</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v>
      </c>
    </row>
    <row r="294" spans="2:72">
      <c r="B294" s="503" t="str">
        <f>IF(終値!A294="","",IF(AND(安値!G294&lt;安値!F294,安値!G294&lt;安値!E294,安値!G294&lt;安値!H294,安値!G294&lt;安値!I294),2,""))</f>
        <v/>
      </c>
      <c r="C294" s="503" t="str">
        <f>IF(終値!A294="","",IF(AND(安値!H294&lt;安値!G294,安値!H294&lt;安値!F294,安値!H294&lt;安値!I294,安値!H294&lt;安値!J294),3,""))</f>
        <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f>IF(終値!A294="","",IF(AND(安値!L294&lt;安値!K294,安値!L294&lt;安値!J294,安値!L294&lt;安値!M294,安値!L294&lt;安値!N294),7,""))</f>
        <v>7</v>
      </c>
      <c r="H294" s="503" t="str">
        <f>IF(終値!A294="","",IF(AND(安値!M294&lt;安値!L294,安値!M294&lt;安値!K294,安値!M294&lt;安値!N294,安値!M294&lt;安値!O294),8,""))</f>
        <v/>
      </c>
      <c r="I294" s="503" t="str">
        <f>IF(終値!A294="","",IF(AND(安値!N294&lt;安値!M294,安値!N294&lt;安値!L294,安値!N294&lt;安値!O294,安値!N294&lt;安値!P294),9,""))</f>
        <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f>IF(終値!A294="","",IF(AND(安値!U294&lt;安値!T294,安値!U294&lt;安値!S294,安値!U294&lt;安値!V294,安値!U294&lt;安値!W294),16,""))</f>
        <v>16</v>
      </c>
      <c r="Q294" s="503" t="str">
        <f>IF(終値!A294="","",IF(AND(安値!V294&lt;安値!U294,安値!V294&lt;安値!T294,安値!V294&lt;安値!W294,安値!V294&lt;安値!X294),17,""))</f>
        <v/>
      </c>
      <c r="R294" s="503" t="str">
        <f>IF(終値!A294="","",IF(AND(安値!W294&lt;安値!V294,安値!W294&lt;安値!U294,安値!W294&lt;安値!X294,安値!W294&lt;安値!Y294),18,""))</f>
        <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f>IF(終値!A294="","",IF(AND(安値!AA294&lt;安値!Z294,安値!AA294&lt;安値!Y294,安値!AA294&lt;安値!AB294,安値!AA294&lt;安値!AC294),22,""))</f>
        <v>22</v>
      </c>
      <c r="W294" s="503" t="str">
        <f>IF(終値!A294="","",IF(AND(安値!AB294&lt;安値!AA294,安値!AB294&lt;安値!Z294,安値!AB294&lt;安値!AC294,安値!AB294&lt;安値!AD294),23,""))</f>
        <v/>
      </c>
      <c r="X294" s="503" t="str">
        <f>IF(終値!A294="","",IF(AND(安値!AC294&lt;安値!AB294,安値!AC294&lt;安値!AA294,安値!AC294&lt;安値!AD294,安値!AC294&lt;安値!AE294),24,""))</f>
        <v/>
      </c>
      <c r="Y294" s="503">
        <f>IF(終値!A294="","",IF(AND(安値!AD294&lt;安値!AC294,安値!AD294&lt;安値!AB294,安値!AD294&lt;安値!AE294,安値!AD294&lt;安値!AF294),25,""))</f>
        <v>25</v>
      </c>
      <c r="Z294" s="503" t="str">
        <f>IF(終値!A294="","",IF(AND(安値!AE294&lt;安値!AD294,安値!AE294&lt;安値!AC294,安値!AE294&lt;安値!AF294,安値!AE294&lt;安値!AG294),26,""))</f>
        <v/>
      </c>
      <c r="AA294" s="503" t="str">
        <f>IF(終値!A294="","",IF(AND(安値!AF294&lt;安値!AE294,安値!AF294&lt;安値!AD294,安値!AF294&lt;安値!AG294,安値!AF294&lt;安値!AH294),27,""))</f>
        <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f>IF(終値!A294="","",IF(AND(高値!Q294&gt;高値!P294,高値!Q294&gt;高値!O294,高値!Q294&gt;高値!R294,高値!Q294&gt;高値!S294),12,""))</f>
        <v>12</v>
      </c>
      <c r="AN294" s="503" t="str">
        <f>IF(終値!A294="","",IF(AND(高値!R294&gt;高値!Q294,高値!R294&gt;高値!P294,高値!R294&gt;高値!S294,高値!R294&gt;高値!T294),13,""))</f>
        <v/>
      </c>
      <c r="AO294" s="503" t="str">
        <f>IF(終値!A294="","",IF(AND(高値!S294&gt;高値!R294,高値!S294&gt;高値!Q294,高値!S294&gt;高値!T294,高値!S294&gt;高値!U294),14,""))</f>
        <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f>IF(終値!A294="","",IF(AND(高値!AC294&gt;高値!AB294,高値!AC294&gt;高値!AA294,高値!AC294&gt;高値!AD294,高値!AC294&gt;高値!AE294),24,""))</f>
        <v>24</v>
      </c>
      <c r="AZ294" s="503" t="str">
        <f>IF(終値!A294="","",IF(AND(高値!AD294&gt;高値!AC294,高値!AD294&gt;高値!AB294,高値!AD294&gt;高値!AE294,高値!AD294&gt;高値!AF294),25,""))</f>
        <v/>
      </c>
      <c r="BA294" s="503" t="str">
        <f>IF(終値!A294="","",IF(AND(高値!AE294&gt;高値!AD294,高値!AE294&gt;高値!AC294,高値!AE294&gt;高値!AF294,高値!AE294&gt;高値!AG294),26,""))</f>
        <v/>
      </c>
      <c r="BB294" s="503">
        <f>IF(終値!A294="","",IF(AND(高値!AF294&gt;高値!AE294,高値!AF294&gt;高値!AD294,高値!AF294&gt;高値!AG294,高値!AF294&gt;高値!AH294),27,""))</f>
        <v>27</v>
      </c>
      <c r="BC294" s="503" t="str">
        <f>IF(終値!A294="","",IF(AND(高値!AG294&gt;高値!AF294,高値!AG294&gt;高値!AE294,高値!AG294&gt;高値!AH294,高値!AG294&gt;高値!AI294),28,""))</f>
        <v/>
      </c>
      <c r="BD294" s="503">
        <f t="shared" si="24"/>
        <v>4</v>
      </c>
      <c r="BE294" s="503">
        <f t="shared" si="25"/>
        <v>7</v>
      </c>
      <c r="BF294" s="503">
        <f t="shared" si="26"/>
        <v>16</v>
      </c>
      <c r="BG294" s="503">
        <f>IF($BE294="","",INDEX(安値!$E294:$CZ294,1,$BE294+1))</f>
        <v>0</v>
      </c>
      <c r="BH294" s="503">
        <f>IF($BF294="","",INDEX(安値!$E294:$CZ294,1,$BF294+1))</f>
        <v>1367</v>
      </c>
      <c r="BI294" s="503">
        <f>IF($BF294="","",MAX(INDEX(高値!$E294:$CZ294,1,$BE294+1):INDEX(高値!$E294:$CZ294,1,$BF294+1)))</f>
        <v>1435</v>
      </c>
      <c r="BJ294" s="503">
        <f>IF($BF294="","",AVERAGE(INDEX(終値!$E294:$CZ294,1,$BF294+1):INDEX(終値!$E294:$CZ294,1,$BF294+20))-2*STDEVP(INDEX(終値!$E294:$CZ294,1,$BF294+1):INDEX(終値!$E294:$CZ294,1,$BF294+20)))</f>
        <v>1299.4110982137122</v>
      </c>
      <c r="BK294" s="503">
        <f>IF($BE294="","",AVERAGE(INDEX(終値!$E294:$CZ294,1,$BE294+1):INDEX(終値!$E294:$CZ294,1,$BE294+20))-2*STDEVP(INDEX(終値!$E294:$CZ294,1,$BE294+1):INDEX(終値!$E294:$CZ294,1,$BE294+20)))</f>
        <v>1301.5084092389279</v>
      </c>
      <c r="BL294" s="503">
        <f t="shared" si="27"/>
        <v>3</v>
      </c>
      <c r="BM294" s="503">
        <f t="shared" si="28"/>
        <v>12</v>
      </c>
      <c r="BN294" s="503">
        <f t="shared" si="29"/>
        <v>24</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f>IF(終値!A295="","",IF(AND(安値!L295&lt;安値!K295,安値!L295&lt;安値!J295,安値!L295&lt;安値!M295,安値!L295&lt;安値!N295),7,""))</f>
        <v>7</v>
      </c>
      <c r="H295" s="503" t="str">
        <f>IF(終値!A295="","",IF(AND(安値!M295&lt;安値!L295,安値!M295&lt;安値!K295,安値!M295&lt;安値!N295,安値!M295&lt;安値!O295),8,""))</f>
        <v/>
      </c>
      <c r="I295" s="503" t="str">
        <f>IF(終値!A295="","",IF(AND(安値!N295&lt;安値!M295,安値!N295&lt;安値!L295,安値!N295&lt;安値!O295,安値!N295&lt;安値!P295),9,""))</f>
        <v/>
      </c>
      <c r="J295" s="503" t="str">
        <f>IF(終値!A295="","",IF(AND(安値!O295&lt;安値!N295,安値!O295&lt;安値!M295,安値!O295&lt;安値!P295,安値!O295&lt;安値!Q295),10,""))</f>
        <v/>
      </c>
      <c r="K295" s="503">
        <f>IF(終値!A295="","",IF(AND(安値!P295&lt;安値!O295,安値!P295&lt;安値!N295,安値!P295&lt;安値!Q295,安値!P295&lt;安値!R295),11,""))</f>
        <v>11</v>
      </c>
      <c r="L295" s="503" t="str">
        <f>IF(終値!A295="","",IF(AND(安値!Q295&lt;安値!P295,安値!Q295&lt;安値!O295,安値!Q295&lt;安値!R295,安値!Q295&lt;安値!S295),12,""))</f>
        <v/>
      </c>
      <c r="M295" s="503" t="str">
        <f>IF(終値!A295="","",IF(AND(安値!R295&lt;安値!Q295,安値!R295&lt;安値!P295,安値!R295&lt;安値!S295,安値!R295&lt;安値!T295),13,""))</f>
        <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f>IF(終値!A295="","",IF(AND(安値!V295&lt;安値!U295,安値!V295&lt;安値!T295,安値!V295&lt;安値!W295,安値!V295&lt;安値!X295),17,""))</f>
        <v>17</v>
      </c>
      <c r="R295" s="503" t="str">
        <f>IF(終値!A295="","",IF(AND(安値!W295&lt;安値!V295,安値!W295&lt;安値!U295,安値!W295&lt;安値!X295,安値!W295&lt;安値!Y295),18,""))</f>
        <v/>
      </c>
      <c r="S295" s="503" t="str">
        <f>IF(終値!A295="","",IF(AND(安値!X295&lt;安値!W295,安値!X295&lt;安値!V295,安値!X295&lt;安値!Y295,安値!X295&lt;安値!Z295),19,""))</f>
        <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f>IF(終値!A295="","",IF(AND(安値!AC295&lt;安値!AB295,安値!AC295&lt;安値!AA295,安値!AC295&lt;安値!AD295,安値!AC295&lt;安値!AE295),24,""))</f>
        <v>24</v>
      </c>
      <c r="Y295" s="503" t="str">
        <f>IF(終値!A295="","",IF(AND(安値!AD295&lt;安値!AC295,安値!AD295&lt;安値!AB295,安値!AD295&lt;安値!AE295,安値!AD295&lt;安値!AF295),25,""))</f>
        <v/>
      </c>
      <c r="Z295" s="503" t="str">
        <f>IF(終値!A295="","",IF(AND(安値!AE295&lt;安値!AD295,安値!AE295&lt;安値!AC295,安値!AE295&lt;安値!AF295,安値!AE295&lt;安値!AG295),26,""))</f>
        <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f>IF(終値!A295="","",IF(AND(高値!N295&gt;高値!M295,高値!N295&gt;高値!L295,高値!N295&gt;高値!O295,高値!N295&gt;高値!P295),9,""))</f>
        <v>9</v>
      </c>
      <c r="AK295" s="503" t="str">
        <f>IF(終値!A295="","",IF(AND(高値!O295&gt;高値!N295,高値!O295&gt;高値!M295,高値!O295&gt;高値!P295,高値!O295&gt;高値!Q295),10,""))</f>
        <v/>
      </c>
      <c r="AL295" s="503" t="str">
        <f>IF(終値!A295="","",IF(AND(高値!P295&gt;高値!O295,高値!P295&gt;高値!N295,高値!P295&gt;高値!Q295,高値!P295&gt;高値!R295),11,""))</f>
        <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f>IF(終値!A295="","",IF(AND(高値!T295&gt;高値!S295,高値!T295&gt;高値!R295,高値!T295&gt;高値!U295,高値!T295&gt;高値!V295),15,""))</f>
        <v>15</v>
      </c>
      <c r="AQ295" s="503" t="str">
        <f>IF(終値!A295="","",IF(AND(高値!U295&gt;高値!T295,高値!U295&gt;高値!S295,高値!U295&gt;高値!V295,高値!U295&gt;高値!W295),16,""))</f>
        <v/>
      </c>
      <c r="AR295" s="503" t="str">
        <f>IF(終値!A295="","",IF(AND(高値!V295&gt;高値!U295,高値!V295&gt;高値!T295,高値!V295&gt;高値!W295,高値!V295&gt;高値!X295),17,""))</f>
        <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f>IF(終値!A295="","",IF(AND(高値!AA295&gt;高値!Z295,高値!AA295&gt;高値!Y295,高値!AA295&gt;高値!AB295,高値!AA295&gt;高値!AC295),22,""))</f>
        <v>22</v>
      </c>
      <c r="AX295" s="503" t="str">
        <f>IF(終値!A295="","",IF(AND(高値!AB295&gt;高値!AA295,高値!AB295&gt;高値!Z295,高値!AB295&gt;高値!AC295,高値!AB295&gt;高値!AD295),23,""))</f>
        <v/>
      </c>
      <c r="AY295" s="503" t="str">
        <f>IF(終値!A295="","",IF(AND(高値!AC295&gt;高値!AB295,高値!AC295&gt;高値!AA295,高値!AC295&gt;高値!AD295,高値!AC295&gt;高値!AE295),24,""))</f>
        <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f>IF(終値!A295="","",IF(AND(高値!AG295&gt;高値!AF295,高値!AG295&gt;高値!AE295,高値!AG295&gt;高値!AH295,高値!AG295&gt;高値!AI295),28,""))</f>
        <v>28</v>
      </c>
      <c r="BD295" s="503">
        <f t="shared" si="24"/>
        <v>4</v>
      </c>
      <c r="BE295" s="503">
        <f t="shared" si="25"/>
        <v>7</v>
      </c>
      <c r="BF295" s="503">
        <f t="shared" si="26"/>
        <v>11</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4</v>
      </c>
      <c r="BM295" s="503">
        <f t="shared" si="28"/>
        <v>9</v>
      </c>
      <c r="BN295" s="503">
        <f t="shared" si="29"/>
        <v>15</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f>IF(終値!A296="","",IF(AND(安値!L296&lt;安値!K296,安値!L296&lt;安値!J296,安値!L296&lt;安値!M296,安値!L296&lt;安値!N296),7,""))</f>
        <v>7</v>
      </c>
      <c r="H296" s="503" t="str">
        <f>IF(終値!A296="","",IF(AND(安値!M296&lt;安値!L296,安値!M296&lt;安値!K296,安値!M296&lt;安値!N296,安値!M296&lt;安値!O296),8,""))</f>
        <v/>
      </c>
      <c r="I296" s="503" t="str">
        <f>IF(終値!A296="","",IF(AND(安値!N296&lt;安値!M296,安値!N296&lt;安値!L296,安値!N296&lt;安値!O296,安値!N296&lt;安値!P296),9,""))</f>
        <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f>IF(終値!A296="","",IF(AND(安値!V296&lt;安値!U296,安値!V296&lt;安値!T296,安値!V296&lt;安値!W296,安値!V296&lt;安値!X296),17,""))</f>
        <v>17</v>
      </c>
      <c r="R296" s="503" t="str">
        <f>IF(終値!A296="","",IF(AND(安値!W296&lt;安値!V296,安値!W296&lt;安値!U296,安値!W296&lt;安値!X296,安値!W296&lt;安値!Y296),18,""))</f>
        <v/>
      </c>
      <c r="S296" s="503" t="str">
        <f>IF(終値!A296="","",IF(AND(安値!X296&lt;安値!W296,安値!X296&lt;安値!V296,安値!X296&lt;安値!Y296,安値!X296&lt;安値!Z296),19,""))</f>
        <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f>IF(終値!A296="","",IF(AND(安値!AE296&lt;安値!AD296,安値!AE296&lt;安値!AC296,安値!AE296&lt;安値!AF296,安値!AE296&lt;安値!AG296),26,""))</f>
        <v>26</v>
      </c>
      <c r="AA296" s="503" t="str">
        <f>IF(終値!A296="","",IF(AND(安値!AF296&lt;安値!AE296,安値!AF296&lt;安値!AD296,安値!AF296&lt;安値!AG296,安値!AF296&lt;安値!AH296),27,""))</f>
        <v/>
      </c>
      <c r="AB296" s="503" t="str">
        <f>IF(終値!A296="","",IF(AND(安値!AG296&lt;安値!AF296,安値!AG296&lt;安値!AE296,安値!AG296&lt;安値!AH296,安値!AG296&lt;安値!AI296),28,""))</f>
        <v/>
      </c>
      <c r="AC296" s="503" t="str">
        <f>IF(終値!A296="","",IF(AND(高値!G296&gt;高値!F296,高値!G296&gt;高値!E296,高値!G296&gt;高値!H296,高値!G296&gt;高値!I296),2,""))</f>
        <v/>
      </c>
      <c r="AD296" s="503" t="str">
        <f>IF(終値!A296="","",IF(AND(高値!H296&gt;高値!G296,高値!H296&gt;高値!F296,高値!H296&gt;高値!I296,高値!H296&gt;高値!J296),3,""))</f>
        <v/>
      </c>
      <c r="AE296" s="503" t="str">
        <f>IF(終値!A296="","",IF(AND(高値!I296&gt;高値!H296,高値!I296&gt;高値!G296,高値!I296&gt;高値!J296,高値!I296&gt;高値!K296),4,""))</f>
        <v/>
      </c>
      <c r="AF296" s="503">
        <f>IF(終値!A296="","",IF(AND(高値!J296&gt;高値!I296,高値!J296&gt;高値!H296,高値!J296&gt;高値!K296,高値!J296&gt;高値!L296),5,""))</f>
        <v>5</v>
      </c>
      <c r="AG296" s="503" t="str">
        <f>IF(終値!A296="","",IF(AND(高値!K296&gt;高値!J296,高値!K296&gt;高値!I296,高値!K296&gt;高値!L296,高値!K296&gt;高値!M296),6,""))</f>
        <v/>
      </c>
      <c r="AH296" s="503" t="str">
        <f>IF(終値!A296="","",IF(AND(高値!L296&gt;高値!K296,高値!L296&gt;高値!J296,高値!L296&gt;高値!M296,高値!L296&gt;高値!N296),7,""))</f>
        <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f>IF(終値!A296="","",IF(AND(高値!Q296&gt;高値!P296,高値!Q296&gt;高値!O296,高値!Q296&gt;高値!R296,高値!Q296&gt;高値!S296),12,""))</f>
        <v>12</v>
      </c>
      <c r="AN296" s="503" t="str">
        <f>IF(終値!A296="","",IF(AND(高値!R296&gt;高値!Q296,高値!R296&gt;高値!P296,高値!R296&gt;高値!S296,高値!R296&gt;高値!T296),13,""))</f>
        <v/>
      </c>
      <c r="AO296" s="503" t="str">
        <f>IF(終値!A296="","",IF(AND(高値!S296&gt;高値!R296,高値!S296&gt;高値!Q296,高値!S296&gt;高値!T296,高値!S296&gt;高値!U296),14,""))</f>
        <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f>IF(終値!A296="","",IF(AND(高値!X296&gt;高値!W296,高値!X296&gt;高値!V296,高値!X296&gt;高値!Y296,高値!X296&gt;高値!Z296),19,""))</f>
        <v>19</v>
      </c>
      <c r="AU296" s="503" t="str">
        <f>IF(終値!A296="","",IF(AND(高値!Y296&gt;高値!X296,高値!Y296&gt;高値!W296,高値!Y296&gt;高値!Z296,高値!Y296&gt;高値!AA296),20,""))</f>
        <v/>
      </c>
      <c r="AV296" s="503" t="str">
        <f>IF(終値!A296="","",IF(AND(高値!Z296&gt;高値!Y296,高値!Z296&gt;高値!X296,高値!Z296&gt;高値!AA296,高値!Z296&gt;高値!AB296),21,""))</f>
        <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f>IF(終値!A296="","",IF(AND(高値!AG296&gt;高値!AF296,高値!AG296&gt;高値!AE296,高値!AG296&gt;高値!AH296,高値!AG296&gt;高値!AI296),28,""))</f>
        <v>28</v>
      </c>
      <c r="BD296" s="503">
        <f t="shared" si="24"/>
        <v>3</v>
      </c>
      <c r="BE296" s="503">
        <f t="shared" si="25"/>
        <v>7</v>
      </c>
      <c r="BF296" s="503">
        <f t="shared" si="26"/>
        <v>17</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5</v>
      </c>
      <c r="BN296" s="503">
        <f t="shared" si="29"/>
        <v>12</v>
      </c>
      <c r="BO296" s="503">
        <f>IF($BM296="","",INDEX(高値!$E296:$CZ296,1,$BM296+1))</f>
        <v>163</v>
      </c>
      <c r="BP296" s="503">
        <f>IF($BN296="","",INDEX(高値!$E296:$CZ296,1,$BN296+1))</f>
        <v>184</v>
      </c>
      <c r="BQ296" s="503">
        <f>IF($BN296="","",MIN(INDEX(安値!$E296:$CZ296,1,$BM296+1):INDEX(安値!$E296:$CZ296,1,$BN296+1)))</f>
        <v>152</v>
      </c>
      <c r="BR296" s="503">
        <f>IF($BN296="","",AVERAGE(INDEX(終値!$E296:$CZ296,1,$BN296+1):INDEX(終値!$E296:$CZ296,1,$BN296+20))+2*STDEVP(INDEX(終値!$E296:$CZ296,1,$BN296+1):INDEX(終値!$E296:$CZ296,1,$BN296+20)))</f>
        <v>188.60117280554388</v>
      </c>
      <c r="BS296" s="503">
        <f>IF($BM296="","",AVERAGE(INDEX(終値!$E296:$CZ296,1,$BM296+1):INDEX(終値!$E296:$CZ296,1,$BM296+20))+2*STDEVP(INDEX(終値!$E296:$CZ296,1,$BM296+1):INDEX(終値!$E296:$CZ296,1,$BM296+20)))</f>
        <v>181.67114019495</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f>IF(終値!A297="","",IF(AND(安値!L297&lt;安値!K297,安値!L297&lt;安値!J297,安値!L297&lt;安値!M297,安値!L297&lt;安値!N297),7,""))</f>
        <v>7</v>
      </c>
      <c r="H297" s="503" t="str">
        <f>IF(終値!A297="","",IF(AND(安値!M297&lt;安値!L297,安値!M297&lt;安値!K297,安値!M297&lt;安値!N297,安値!M297&lt;安値!O297),8,""))</f>
        <v/>
      </c>
      <c r="I297" s="503" t="str">
        <f>IF(終値!A297="","",IF(AND(安値!N297&lt;安値!M297,安値!N297&lt;安値!L297,安値!N297&lt;安値!O297,安値!N297&lt;安値!P297),9,""))</f>
        <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f>IF(終値!A297="","",IF(AND(安値!S297&lt;安値!R297,安値!S297&lt;安値!Q297,安値!S297&lt;安値!T297,安値!S297&lt;安値!U297),14,""))</f>
        <v>14</v>
      </c>
      <c r="O297" s="503" t="str">
        <f>IF(終値!A297="","",IF(AND(安値!T297&lt;安値!S297,安値!T297&lt;安値!R297,安値!T297&lt;安値!U297,安値!T297&lt;安値!V297),15,""))</f>
        <v/>
      </c>
      <c r="P297" s="503" t="str">
        <f>IF(終値!A297="","",IF(AND(安値!U297&lt;安値!T297,安値!U297&lt;安値!S297,安値!U297&lt;安値!V297,安値!U297&lt;安値!W297),16,""))</f>
        <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f>IF(終値!A297="","",IF(AND(安値!AA297&lt;安値!Z297,安値!AA297&lt;安値!Y297,安値!AA297&lt;安値!AB297,安値!AA297&lt;安値!AC297),22,""))</f>
        <v>22</v>
      </c>
      <c r="W297" s="503" t="str">
        <f>IF(終値!A297="","",IF(AND(安値!AB297&lt;安値!AA297,安値!AB297&lt;安値!Z297,安値!AB297&lt;安値!AC297,安値!AB297&lt;安値!AD297),23,""))</f>
        <v/>
      </c>
      <c r="X297" s="503" t="str">
        <f>IF(終値!A297="","",IF(AND(安値!AC297&lt;安値!AB297,安値!AC297&lt;安値!AA297,安値!AC297&lt;安値!AD297,安値!AC297&lt;安値!AE297),24,""))</f>
        <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f>IF(終値!A297="","",IF(AND(高値!I297&gt;高値!H297,高値!I297&gt;高値!G297,高値!I297&gt;高値!J297,高値!I297&gt;高値!K297),4,""))</f>
        <v>4</v>
      </c>
      <c r="AF297" s="503" t="str">
        <f>IF(終値!A297="","",IF(AND(高値!J297&gt;高値!I297,高値!J297&gt;高値!H297,高値!J297&gt;高値!K297,高値!J297&gt;高値!L297),5,""))</f>
        <v/>
      </c>
      <c r="AG297" s="503" t="str">
        <f>IF(終値!A297="","",IF(AND(高値!K297&gt;高値!J297,高値!K297&gt;高値!I297,高値!K297&gt;高値!L297,高値!K297&gt;高値!M297),6,""))</f>
        <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f>IF(終値!A297="","",IF(AND(高値!P297&gt;高値!O297,高値!P297&gt;高値!N297,高値!P297&gt;高値!Q297,高値!P297&gt;高値!R297),11,""))</f>
        <v>11</v>
      </c>
      <c r="AM297" s="503" t="str">
        <f>IF(終値!A297="","",IF(AND(高値!Q297&gt;高値!P297,高値!Q297&gt;高値!O297,高値!Q297&gt;高値!R297,高値!Q297&gt;高値!S297),12,""))</f>
        <v/>
      </c>
      <c r="AN297" s="503" t="str">
        <f>IF(終値!A297="","",IF(AND(高値!R297&gt;高値!Q297,高値!R297&gt;高値!P297,高値!R297&gt;高値!S297,高値!R297&gt;高値!T297),13,""))</f>
        <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f>IF(終値!A297="","",IF(AND(高値!AC297&gt;高値!AB297,高値!AC297&gt;高値!AA297,高値!AC297&gt;高値!AD297,高値!AC297&gt;高値!AE297),24,""))</f>
        <v>24</v>
      </c>
      <c r="AZ297" s="503" t="str">
        <f>IF(終値!A297="","",IF(AND(高値!AD297&gt;高値!AC297,高値!AD297&gt;高値!AB297,高値!AD297&gt;高値!AE297,高値!AD297&gt;高値!AF297),25,""))</f>
        <v/>
      </c>
      <c r="BA297" s="503" t="str">
        <f>IF(終値!A297="","",IF(AND(高値!AE297&gt;高値!AD297,高値!AE297&gt;高値!AC297,高値!AE297&gt;高値!AF297,高値!AE297&gt;高値!AG297),26,""))</f>
        <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7</v>
      </c>
      <c r="BF297" s="503">
        <f t="shared" si="26"/>
        <v>14</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4</v>
      </c>
      <c r="BN297" s="503">
        <f t="shared" si="29"/>
        <v>11</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t="str">
        <f>IF(終値!A298="","",IF(AND(安値!H298&lt;安値!G298,安値!H298&lt;安値!F298,安値!H298&lt;安値!I298,安値!H298&lt;安値!J298),3,""))</f>
        <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f>IF(終値!A298="","",IF(AND(安値!L298&lt;安値!K298,安値!L298&lt;安値!J298,安値!L298&lt;安値!M298,安値!L298&lt;安値!N298),7,""))</f>
        <v>7</v>
      </c>
      <c r="H298" s="503" t="str">
        <f>IF(終値!A298="","",IF(AND(安値!M298&lt;安値!L298,安値!M298&lt;安値!K298,安値!M298&lt;安値!N298,安値!M298&lt;安値!O298),8,""))</f>
        <v/>
      </c>
      <c r="I298" s="503" t="str">
        <f>IF(終値!A298="","",IF(AND(安値!N298&lt;安値!M298,安値!N298&lt;安値!L298,安値!N298&lt;安値!O298,安値!N298&lt;安値!P298),9,""))</f>
        <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f>IF(終値!A298="","",IF(AND(安値!S298&lt;安値!R298,安値!S298&lt;安値!Q298,安値!S298&lt;安値!T298,安値!S298&lt;安値!U298),14,""))</f>
        <v>14</v>
      </c>
      <c r="O298" s="503" t="str">
        <f>IF(終値!A298="","",IF(AND(安値!T298&lt;安値!S298,安値!T298&lt;安値!R298,安値!T298&lt;安値!U298,安値!T298&lt;安値!V298),15,""))</f>
        <v/>
      </c>
      <c r="P298" s="503" t="str">
        <f>IF(終値!A298="","",IF(AND(安値!U298&lt;安値!T298,安値!U298&lt;安値!S298,安値!U298&lt;安値!V298,安値!U298&lt;安値!W298),16,""))</f>
        <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f>IF(終値!A298="","",IF(AND(安値!AF298&lt;安値!AE298,安値!AF298&lt;安値!AD298,安値!AF298&lt;安値!AG298,安値!AF298&lt;安値!AH298),27,""))</f>
        <v>27</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f>IF(終値!A298="","",IF(AND(高値!K298&gt;高値!J298,高値!K298&gt;高値!I298,高値!K298&gt;高値!L298,高値!K298&gt;高値!M298),6,""))</f>
        <v>6</v>
      </c>
      <c r="AH298" s="503" t="str">
        <f>IF(終値!A298="","",IF(AND(高値!L298&gt;高値!K298,高値!L298&gt;高値!J298,高値!L298&gt;高値!M298,高値!L298&gt;高値!N298),7,""))</f>
        <v/>
      </c>
      <c r="AI298" s="503" t="str">
        <f>IF(終値!A298="","",IF(AND(高値!M298&gt;高値!L298,高値!M298&gt;高値!K298,高値!M298&gt;高値!N298,高値!M298&gt;高値!O298),8,""))</f>
        <v/>
      </c>
      <c r="AJ298" s="503">
        <f>IF(終値!A298="","",IF(AND(高値!N298&gt;高値!M298,高値!N298&gt;高値!L298,高値!N298&gt;高値!O298,高値!N298&gt;高値!P298),9,""))</f>
        <v>9</v>
      </c>
      <c r="AK298" s="503" t="str">
        <f>IF(終値!A298="","",IF(AND(高値!O298&gt;高値!N298,高値!O298&gt;高値!M298,高値!O298&gt;高値!P298,高値!O298&gt;高値!Q298),10,""))</f>
        <v/>
      </c>
      <c r="AL298" s="503" t="str">
        <f>IF(終値!A298="","",IF(AND(高値!P298&gt;高値!O298,高値!P298&gt;高値!N298,高値!P298&gt;高値!Q298,高値!P298&gt;高値!R298),11,""))</f>
        <v/>
      </c>
      <c r="AM298" s="503">
        <f>IF(終値!A298="","",IF(AND(高値!Q298&gt;高値!P298,高値!Q298&gt;高値!O298,高値!Q298&gt;高値!R298,高値!Q298&gt;高値!S298),12,""))</f>
        <v>12</v>
      </c>
      <c r="AN298" s="503" t="str">
        <f>IF(終値!A298="","",IF(AND(高値!R298&gt;高値!Q298,高値!R298&gt;高値!P298,高値!R298&gt;高値!S298,高値!R298&gt;高値!T298),13,""))</f>
        <v/>
      </c>
      <c r="AO298" s="503" t="str">
        <f>IF(終値!A298="","",IF(AND(高値!S298&gt;高値!R298,高値!S298&gt;高値!Q298,高値!S298&gt;高値!T298,高値!S298&gt;高値!U298),14,""))</f>
        <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f>IF(終値!A298="","",IF(AND(高値!X298&gt;高値!W298,高値!X298&gt;高値!V298,高値!X298&gt;高値!Y298,高値!X298&gt;高値!Z298),19,""))</f>
        <v>19</v>
      </c>
      <c r="AU298" s="503" t="str">
        <f>IF(終値!A298="","",IF(AND(高値!Y298&gt;高値!X298,高値!Y298&gt;高値!W298,高値!Y298&gt;高値!Z298,高値!Y298&gt;高値!AA298),20,""))</f>
        <v/>
      </c>
      <c r="AV298" s="503" t="str">
        <f>IF(終値!A298="","",IF(AND(高値!Z298&gt;高値!Y298,高値!Z298&gt;高値!X298,高値!Z298&gt;高値!AA298,高値!Z298&gt;高値!AB298),21,""))</f>
        <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7</v>
      </c>
      <c r="BF298" s="503">
        <f t="shared" si="26"/>
        <v>14</v>
      </c>
      <c r="BG298" s="503">
        <f>IF($BE298="","",INDEX(安値!$E298:$CZ298,1,$BE298+1))</f>
        <v>0</v>
      </c>
      <c r="BH298" s="503">
        <f>IF($BF298="","",INDEX(安値!$E298:$CZ298,1,$BF298+1))</f>
        <v>3096</v>
      </c>
      <c r="BI298" s="503">
        <f>IF($BF298="","",MAX(INDEX(高値!$E298:$CZ298,1,$BE298+1):INDEX(高値!$E298:$CZ298,1,$BF298+1)))</f>
        <v>3290</v>
      </c>
      <c r="BJ298" s="503">
        <f>IF($BF298="","",AVERAGE(INDEX(終値!$E298:$CZ298,1,$BF298+1):INDEX(終値!$E298:$CZ298,1,$BF298+20))-2*STDEVP(INDEX(終値!$E298:$CZ298,1,$BF298+1):INDEX(終値!$E298:$CZ298,1,$BF298+20)))</f>
        <v>3086.8398924731791</v>
      </c>
      <c r="BK298" s="503">
        <f>IF($BE298="","",AVERAGE(INDEX(終値!$E298:$CZ298,1,$BE298+1):INDEX(終値!$E298:$CZ298,1,$BE298+20))-2*STDEVP(INDEX(終値!$E298:$CZ298,1,$BE298+1):INDEX(終値!$E298:$CZ298,1,$BE298+20)))</f>
        <v>3104.0319928516683</v>
      </c>
      <c r="BL298" s="503">
        <f t="shared" si="27"/>
        <v>4</v>
      </c>
      <c r="BM298" s="503">
        <f t="shared" si="28"/>
        <v>6</v>
      </c>
      <c r="BN298" s="503">
        <f t="shared" si="29"/>
        <v>9</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f>IF(終値!A299="","",IF(AND(安値!I299&lt;安値!H299,安値!I299&lt;安値!G299,安値!I299&lt;安値!J299,安値!I299&lt;安値!K299),4,""))</f>
        <v>4</v>
      </c>
      <c r="E299" s="503" t="str">
        <f>IF(終値!A299="","",IF(AND(安値!J299&lt;安値!I299,安値!J299&lt;安値!H299,安値!J299&lt;安値!K299,安値!J299&lt;安値!L299),5,""))</f>
        <v/>
      </c>
      <c r="F299" s="503" t="str">
        <f>IF(終値!A299="","",IF(AND(安値!K299&lt;安値!J299,安値!K299&lt;安値!I299,安値!K299&lt;安値!L299,安値!K299&lt;安値!M299),6,""))</f>
        <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f>IF(終値!A299="","",IF(AND(安値!P299&lt;安値!O299,安値!P299&lt;安値!N299,安値!P299&lt;安値!Q299,安値!P299&lt;安値!R299),11,""))</f>
        <v>11</v>
      </c>
      <c r="L299" s="503" t="str">
        <f>IF(終値!A299="","",IF(AND(安値!Q299&lt;安値!P299,安値!Q299&lt;安値!O299,安値!Q299&lt;安値!R299,安値!Q299&lt;安値!S299),12,""))</f>
        <v/>
      </c>
      <c r="M299" s="503" t="str">
        <f>IF(終値!A299="","",IF(AND(安値!R299&lt;安値!Q299,安値!R299&lt;安値!P299,安値!R299&lt;安値!S299,安値!R299&lt;安値!T299),13,""))</f>
        <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f>IF(終値!A299="","",IF(AND(安値!U299&lt;安値!T299,安値!U299&lt;安値!S299,安値!U299&lt;安値!V299,安値!U299&lt;安値!W299),16,""))</f>
        <v>16</v>
      </c>
      <c r="Q299" s="503" t="str">
        <f>IF(終値!A299="","",IF(AND(安値!V299&lt;安値!U299,安値!V299&lt;安値!T299,安値!V299&lt;安値!W299,安値!V299&lt;安値!X299),17,""))</f>
        <v/>
      </c>
      <c r="R299" s="503" t="str">
        <f>IF(終値!A299="","",IF(AND(安値!W299&lt;安値!V299,安値!W299&lt;安値!U299,安値!W299&lt;安値!X299,安値!W299&lt;安値!Y299),18,""))</f>
        <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f>IF(終値!A299="","",IF(AND(安値!Z299&lt;安値!Y299,安値!Z299&lt;安値!X299,安値!Z299&lt;安値!AA299,安値!Z299&lt;安値!AB299),21,""))</f>
        <v>21</v>
      </c>
      <c r="V299" s="503" t="str">
        <f>IF(終値!A299="","",IF(AND(安値!AA299&lt;安値!Z299,安値!AA299&lt;安値!Y299,安値!AA299&lt;安値!AB299,安値!AA299&lt;安値!AC299),22,""))</f>
        <v/>
      </c>
      <c r="W299" s="503" t="str">
        <f>IF(終値!A299="","",IF(AND(安値!AB299&lt;安値!AA299,安値!AB299&lt;安値!Z299,安値!AB299&lt;安値!AC299,安値!AB299&lt;安値!AD299),23,""))</f>
        <v/>
      </c>
      <c r="X299" s="503">
        <f>IF(終値!A299="","",IF(AND(安値!AC299&lt;安値!AB299,安値!AC299&lt;安値!AA299,安値!AC299&lt;安値!AD299,安値!AC299&lt;安値!AE299),24,""))</f>
        <v>24</v>
      </c>
      <c r="Y299" s="503" t="str">
        <f>IF(終値!A299="","",IF(AND(安値!AD299&lt;安値!AC299,安値!AD299&lt;安値!AB299,安値!AD299&lt;安値!AE299,安値!AD299&lt;安値!AF299),25,""))</f>
        <v/>
      </c>
      <c r="Z299" s="503" t="str">
        <f>IF(終値!A299="","",IF(AND(安値!AE299&lt;安値!AD299,安値!AE299&lt;安値!AC299,安値!AE299&lt;安値!AF299,安値!AE299&lt;安値!AG299),26,""))</f>
        <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f>IF(終値!A299="","",IF(AND(高値!S299&gt;高値!R299,高値!S299&gt;高値!Q299,高値!S299&gt;高値!T299,高値!S299&gt;高値!U299),14,""))</f>
        <v>14</v>
      </c>
      <c r="AP299" s="503" t="str">
        <f>IF(終値!A299="","",IF(AND(高値!T299&gt;高値!S299,高値!T299&gt;高値!R299,高値!T299&gt;高値!U299,高値!T299&gt;高値!V299),15,""))</f>
        <v/>
      </c>
      <c r="AQ299" s="503" t="str">
        <f>IF(終値!A299="","",IF(AND(高値!U299&gt;高値!T299,高値!U299&gt;高値!S299,高値!U299&gt;高値!V299,高値!U299&gt;高値!W299),16,""))</f>
        <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f>IF(終値!A299="","",IF(AND(高値!X299&gt;高値!W299,高値!X299&gt;高値!V299,高値!X299&gt;高値!Y299,高値!X299&gt;高値!Z299),19,""))</f>
        <v>19</v>
      </c>
      <c r="AU299" s="503" t="str">
        <f>IF(終値!A299="","",IF(AND(高値!Y299&gt;高値!X299,高値!Y299&gt;高値!W299,高値!Y299&gt;高値!Z299,高値!Y299&gt;高値!AA299),20,""))</f>
        <v/>
      </c>
      <c r="AV299" s="503" t="str">
        <f>IF(終値!A299="","",IF(AND(高値!Z299&gt;高値!Y299,高値!Z299&gt;高値!X299,高値!Z299&gt;高値!AA299,高値!Z299&gt;高値!AB299),21,""))</f>
        <v/>
      </c>
      <c r="AW299" s="503" t="str">
        <f>IF(終値!A299="","",IF(AND(高値!AA299&gt;高値!Z299,高値!AA299&gt;高値!Y299,高値!AA299&gt;高値!AB299,高値!AA299&gt;高値!AC299),22,""))</f>
        <v/>
      </c>
      <c r="AX299" s="503">
        <f>IF(終値!A299="","",IF(AND(高値!AB299&gt;高値!AA299,高値!AB299&gt;高値!Z299,高値!AB299&gt;高値!AC299,高値!AB299&gt;高値!AD299),23,""))</f>
        <v>23</v>
      </c>
      <c r="AY299" s="503" t="str">
        <f>IF(終値!A299="","",IF(AND(高値!AC299&gt;高値!AB299,高値!AC299&gt;高値!AA299,高値!AC299&gt;高値!AD299,高値!AC299&gt;高値!AE299),24,""))</f>
        <v/>
      </c>
      <c r="AZ299" s="503" t="str">
        <f>IF(終値!A299="","",IF(AND(高値!AD299&gt;高値!AC299,高値!AD299&gt;高値!AB299,高値!AD299&gt;高値!AE299,高値!AD299&gt;高値!AF299),25,""))</f>
        <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4</v>
      </c>
      <c r="BF299" s="503">
        <f t="shared" si="26"/>
        <v>11</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14</v>
      </c>
      <c r="BN299" s="503">
        <f t="shared" si="29"/>
        <v>19</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f>IF(終値!A300="","",IF(AND(安値!I300&lt;安値!H300,安値!I300&lt;安値!G300,安値!I300&lt;安値!J300,安値!I300&lt;安値!K300),4,""))</f>
        <v>4</v>
      </c>
      <c r="E300" s="503" t="str">
        <f>IF(終値!A300="","",IF(AND(安値!J300&lt;安値!I300,安値!J300&lt;安値!H300,安値!J300&lt;安値!K300,安値!J300&lt;安値!L300),5,""))</f>
        <v/>
      </c>
      <c r="F300" s="503" t="str">
        <f>IF(終値!A300="","",IF(AND(安値!K300&lt;安値!J300,安値!K300&lt;安値!I300,安値!K300&lt;安値!L300,安値!K300&lt;安値!M300),6,""))</f>
        <v/>
      </c>
      <c r="G300" s="503">
        <f>IF(終値!A300="","",IF(AND(安値!L300&lt;安値!K300,安値!L300&lt;安値!J300,安値!L300&lt;安値!M300,安値!L300&lt;安値!N300),7,""))</f>
        <v>7</v>
      </c>
      <c r="H300" s="503" t="str">
        <f>IF(終値!A300="","",IF(AND(安値!M300&lt;安値!L300,安値!M300&lt;安値!K300,安値!M300&lt;安値!N300,安値!M300&lt;安値!O300),8,""))</f>
        <v/>
      </c>
      <c r="I300" s="503" t="str">
        <f>IF(終値!A300="","",IF(AND(安値!N300&lt;安値!M300,安値!N300&lt;安値!L300,安値!N300&lt;安値!O300,安値!N300&lt;安値!P300),9,""))</f>
        <v/>
      </c>
      <c r="J300" s="503" t="str">
        <f>IF(終値!A300="","",IF(AND(安値!O300&lt;安値!N300,安値!O300&lt;安値!M300,安値!O300&lt;安値!P300,安値!O300&lt;安値!Q300),10,""))</f>
        <v/>
      </c>
      <c r="K300" s="503">
        <f>IF(終値!A300="","",IF(AND(安値!P300&lt;安値!O300,安値!P300&lt;安値!N300,安値!P300&lt;安値!Q300,安値!P300&lt;安値!R300),11,""))</f>
        <v>11</v>
      </c>
      <c r="L300" s="503" t="str">
        <f>IF(終値!A300="","",IF(AND(安値!Q300&lt;安値!P300,安値!Q300&lt;安値!O300,安値!Q300&lt;安値!R300,安値!Q300&lt;安値!S300),12,""))</f>
        <v/>
      </c>
      <c r="M300" s="503" t="str">
        <f>IF(終値!A300="","",IF(AND(安値!R300&lt;安値!Q300,安値!R300&lt;安値!P300,安値!R300&lt;安値!S300,安値!R300&lt;安値!T300),13,""))</f>
        <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f>IF(終値!A300="","",IF(AND(安値!V300&lt;安値!U300,安値!V300&lt;安値!T300,安値!V300&lt;安値!W300,安値!V300&lt;安値!X300),17,""))</f>
        <v>17</v>
      </c>
      <c r="R300" s="503" t="str">
        <f>IF(終値!A300="","",IF(AND(安値!W300&lt;安値!V300,安値!W300&lt;安値!U300,安値!W300&lt;安値!X300,安値!W300&lt;安値!Y300),18,""))</f>
        <v/>
      </c>
      <c r="S300" s="503" t="str">
        <f>IF(終値!A300="","",IF(AND(安値!X300&lt;安値!W300,安値!X300&lt;安値!V300,安値!X300&lt;安値!Y300,安値!X300&lt;安値!Z300),19,""))</f>
        <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f>IF(終値!A300="","",IF(AND(安値!AC300&lt;安値!AB300,安値!AC300&lt;安値!AA300,安値!AC300&lt;安値!AD300,安値!AC300&lt;安値!AE300),24,""))</f>
        <v>24</v>
      </c>
      <c r="Y300" s="503" t="str">
        <f>IF(終値!A300="","",IF(AND(安値!AD300&lt;安値!AC300,安値!AD300&lt;安値!AB300,安値!AD300&lt;安値!AE300,安値!AD300&lt;安値!AF300),25,""))</f>
        <v/>
      </c>
      <c r="Z300" s="503" t="str">
        <f>IF(終値!A300="","",IF(AND(安値!AE300&lt;安値!AD300,安値!AE300&lt;安値!AC300,安値!AE300&lt;安値!AF300,安値!AE300&lt;安値!AG300),26,""))</f>
        <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f>IF(終値!A300="","",IF(AND(高値!M300&gt;高値!L300,高値!M300&gt;高値!K300,高値!M300&gt;高値!N300,高値!M300&gt;高値!O300),8,""))</f>
        <v>8</v>
      </c>
      <c r="AJ300" s="503" t="str">
        <f>IF(終値!A300="","",IF(AND(高値!N300&gt;高値!M300,高値!N300&gt;高値!L300,高値!N300&gt;高値!O300,高値!N300&gt;高値!P300),9,""))</f>
        <v/>
      </c>
      <c r="AK300" s="503" t="str">
        <f>IF(終値!A300="","",IF(AND(高値!O300&gt;高値!N300,高値!O300&gt;高値!M300,高値!O300&gt;高値!P300,高値!O300&gt;高値!Q300),10,""))</f>
        <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f>IF(終値!A300="","",IF(AND(高値!S300&gt;高値!R300,高値!S300&gt;高値!Q300,高値!S300&gt;高値!T300,高値!S300&gt;高値!U300),14,""))</f>
        <v>14</v>
      </c>
      <c r="AP300" s="503" t="str">
        <f>IF(終値!A300="","",IF(AND(高値!T300&gt;高値!S300,高値!T300&gt;高値!R300,高値!T300&gt;高値!U300,高値!T300&gt;高値!V300),15,""))</f>
        <v/>
      </c>
      <c r="AQ300" s="503" t="str">
        <f>IF(終値!A300="","",IF(AND(高値!U300&gt;高値!T300,高値!U300&gt;高値!S300,高値!U300&gt;高値!V300,高値!U300&gt;高値!W300),16,""))</f>
        <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f>IF(終値!A300="","",IF(AND(高値!AA300&gt;高値!Z300,高値!AA300&gt;高値!Y300,高値!AA300&gt;高値!AB300,高値!AA300&gt;高値!AC300),22,""))</f>
        <v>22</v>
      </c>
      <c r="AX300" s="503" t="str">
        <f>IF(終値!A300="","",IF(AND(高値!AB300&gt;高値!AA300,高値!AB300&gt;高値!Z300,高値!AB300&gt;高値!AC300,高値!AB300&gt;高値!AD300),23,""))</f>
        <v/>
      </c>
      <c r="AY300" s="503" t="str">
        <f>IF(終値!A300="","",IF(AND(高値!AC300&gt;高値!AB300,高値!AC300&gt;高値!AA300,高値!AC300&gt;高値!AD300,高値!AC300&gt;高値!AE300),24,""))</f>
        <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4</v>
      </c>
      <c r="BF300" s="503">
        <f t="shared" si="26"/>
        <v>7</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8</v>
      </c>
      <c r="BN300" s="503">
        <f t="shared" si="29"/>
        <v>14</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t="str">
        <f>IF(終値!A301="","",IF(AND(安値!H301&lt;安値!G301,安値!H301&lt;安値!F301,安値!H301&lt;安値!I301,安値!H301&lt;安値!J301),3,""))</f>
        <v/>
      </c>
      <c r="D301" s="503">
        <f>IF(終値!A301="","",IF(AND(安値!I301&lt;安値!H301,安値!I301&lt;安値!G301,安値!I301&lt;安値!J301,安値!I301&lt;安値!K301),4,""))</f>
        <v>4</v>
      </c>
      <c r="E301" s="503" t="str">
        <f>IF(終値!A301="","",IF(AND(安値!J301&lt;安値!I301,安値!J301&lt;安値!H301,安値!J301&lt;安値!K301,安値!J301&lt;安値!L301),5,""))</f>
        <v/>
      </c>
      <c r="F301" s="503" t="str">
        <f>IF(終値!A301="","",IF(AND(安値!K301&lt;安値!J301,安値!K301&lt;安値!I301,安値!K301&lt;安値!L301,安値!K301&lt;安値!M301),6,""))</f>
        <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f>IF(終値!A301="","",IF(AND(安値!P301&lt;安値!O301,安値!P301&lt;安値!N301,安値!P301&lt;安値!Q301,安値!P301&lt;安値!R301),11,""))</f>
        <v>11</v>
      </c>
      <c r="L301" s="503" t="str">
        <f>IF(終値!A301="","",IF(AND(安値!Q301&lt;安値!P301,安値!Q301&lt;安値!O301,安値!Q301&lt;安値!R301,安値!Q301&lt;安値!S301),12,""))</f>
        <v/>
      </c>
      <c r="M301" s="503" t="str">
        <f>IF(終値!A301="","",IF(AND(安値!R301&lt;安値!Q301,安値!R301&lt;安値!P301,安値!R301&lt;安値!S301,安値!R301&lt;安値!T301),13,""))</f>
        <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f>IF(終値!A301="","",IF(AND(安値!Y301&lt;安値!X301,安値!Y301&lt;安値!W301,安値!Y301&lt;安値!Z301,安値!Y301&lt;安値!AA301),20,""))</f>
        <v>20</v>
      </c>
      <c r="U301" s="503" t="str">
        <f>IF(終値!A301="","",IF(AND(安値!Z301&lt;安値!Y301,安値!Z301&lt;安値!X301,安値!Z301&lt;安値!AA301,安値!Z301&lt;安値!AB301),21,""))</f>
        <v/>
      </c>
      <c r="V301" s="503" t="str">
        <f>IF(終値!A301="","",IF(AND(安値!AA301&lt;安値!Z301,安値!AA301&lt;安値!Y301,安値!AA301&lt;安値!AB301,安値!AA301&lt;安値!AC301),22,""))</f>
        <v/>
      </c>
      <c r="W301" s="503">
        <f>IF(終値!A301="","",IF(AND(安値!AB301&lt;安値!AA301,安値!AB301&lt;安値!Z301,安値!AB301&lt;安値!AC301,安値!AB301&lt;安値!AD301),23,""))</f>
        <v>23</v>
      </c>
      <c r="X301" s="503" t="str">
        <f>IF(終値!A301="","",IF(AND(安値!AC301&lt;安値!AB301,安値!AC301&lt;安値!AA301,安値!AC301&lt;安値!AD301,安値!AC301&lt;安値!AE301),24,""))</f>
        <v/>
      </c>
      <c r="Y301" s="503" t="str">
        <f>IF(終値!A301="","",IF(AND(安値!AD301&lt;安値!AC301,安値!AD301&lt;安値!AB301,安値!AD301&lt;安値!AE301,安値!AD301&lt;安値!AF301),25,""))</f>
        <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f>IF(終値!A301="","",IF(AND(高値!G301&gt;高値!F301,高値!G301&gt;高値!E301,高値!G301&gt;高値!H301,高値!G301&gt;高値!I301),2,""))</f>
        <v>2</v>
      </c>
      <c r="AD301" s="503" t="str">
        <f>IF(終値!A301="","",IF(AND(高値!H301&gt;高値!G301,高値!H301&gt;高値!F301,高値!H301&gt;高値!I301,高値!H301&gt;高値!J301),3,""))</f>
        <v/>
      </c>
      <c r="AE301" s="503" t="str">
        <f>IF(終値!A301="","",IF(AND(高値!I301&gt;高値!H301,高値!I301&gt;高値!G301,高値!I301&gt;高値!J301,高値!I301&gt;高値!K301),4,""))</f>
        <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f>IF(終値!A301="","",IF(AND(高値!L301&gt;高値!K301,高値!L301&gt;高値!J301,高値!L301&gt;高値!M301,高値!L301&gt;高値!N301),7,""))</f>
        <v>7</v>
      </c>
      <c r="AI301" s="503" t="str">
        <f>IF(終値!A301="","",IF(AND(高値!M301&gt;高値!L301,高値!M301&gt;高値!K301,高値!M301&gt;高値!N301,高値!M301&gt;高値!O301),8,""))</f>
        <v/>
      </c>
      <c r="AJ301" s="503" t="str">
        <f>IF(終値!A301="","",IF(AND(高値!N301&gt;高値!M301,高値!N301&gt;高値!L301,高値!N301&gt;高値!O301,高値!N301&gt;高値!P301),9,""))</f>
        <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f>IF(終値!A301="","",IF(AND(高値!X301&gt;高値!W301,高値!X301&gt;高値!V301,高値!X301&gt;高値!Y301,高値!X301&gt;高値!Z301),19,""))</f>
        <v>19</v>
      </c>
      <c r="AU301" s="503" t="str">
        <f>IF(終値!A301="","",IF(AND(高値!Y301&gt;高値!X301,高値!Y301&gt;高値!W301,高値!Y301&gt;高値!Z301,高値!Y301&gt;高値!AA301),20,""))</f>
        <v/>
      </c>
      <c r="AV301" s="503" t="str">
        <f>IF(終値!A301="","",IF(AND(高値!Z301&gt;高値!Y301,高値!Z301&gt;高値!X301,高値!Z301&gt;高値!AA301,高値!Z301&gt;高値!AB301),21,""))</f>
        <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f>IF(終値!A301="","",IF(AND(高値!AG301&gt;高値!AF301,高値!AG301&gt;高値!AE301,高値!AG301&gt;高値!AH301,高値!AG301&gt;高値!AI301),28,""))</f>
        <v>28</v>
      </c>
      <c r="BD301" s="503">
        <f t="shared" si="24"/>
        <v>4</v>
      </c>
      <c r="BE301" s="503">
        <f t="shared" si="25"/>
        <v>4</v>
      </c>
      <c r="BF301" s="503">
        <f t="shared" si="26"/>
        <v>11</v>
      </c>
      <c r="BG301" s="503">
        <f>IF($BE301="","",INDEX(安値!$E301:$CZ301,1,$BE301+1))</f>
        <v>2975</v>
      </c>
      <c r="BH301" s="503">
        <f>IF($BF301="","",INDEX(安値!$E301:$CZ301,1,$BF301+1))</f>
        <v>3075</v>
      </c>
      <c r="BI301" s="503">
        <f>IF($BF301="","",MAX(INDEX(高値!$E301:$CZ301,1,$BE301+1):INDEX(高値!$E301:$CZ301,1,$BF301+1)))</f>
        <v>3425</v>
      </c>
      <c r="BJ301" s="503">
        <f>IF($BF301="","",AVERAGE(INDEX(終値!$E301:$CZ301,1,$BF301+1):INDEX(終値!$E301:$CZ301,1,$BF301+20))-2*STDEVP(INDEX(終値!$E301:$CZ301,1,$BF301+1):INDEX(終値!$E301:$CZ301,1,$BF301+20)))</f>
        <v>3246.0632095598585</v>
      </c>
      <c r="BK301" s="503">
        <f>IF($BE301="","",AVERAGE(INDEX(終値!$E301:$CZ301,1,$BE301+1):INDEX(終値!$E301:$CZ301,1,$BE301+20))-2*STDEVP(INDEX(終値!$E301:$CZ301,1,$BE301+1):INDEX(終値!$E301:$CZ301,1,$BE301+20)))</f>
        <v>3030.4115872155144</v>
      </c>
      <c r="BL301" s="503">
        <f t="shared" si="27"/>
        <v>4</v>
      </c>
      <c r="BM301" s="503">
        <f t="shared" si="28"/>
        <v>2</v>
      </c>
      <c r="BN301" s="503">
        <f t="shared" si="29"/>
        <v>7</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二番底W形成</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f>IF(終値!A302="","",IF(AND(安値!I302&lt;安値!H302,安値!I302&lt;安値!G302,安値!I302&lt;安値!J302,安値!I302&lt;安値!K302),4,""))</f>
        <v>4</v>
      </c>
      <c r="E302" s="503" t="str">
        <f>IF(終値!A302="","",IF(AND(安値!J302&lt;安値!I302,安値!J302&lt;安値!H302,安値!J302&lt;安値!K302,安値!J302&lt;安値!L302),5,""))</f>
        <v/>
      </c>
      <c r="F302" s="503" t="str">
        <f>IF(終値!A302="","",IF(AND(安値!K302&lt;安値!J302,安値!K302&lt;安値!I302,安値!K302&lt;安値!L302,安値!K302&lt;安値!M302),6,""))</f>
        <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f>IF(終値!A302="","",IF(AND(安値!P302&lt;安値!O302,安値!P302&lt;安値!N302,安値!P302&lt;安値!Q302,安値!P302&lt;安値!R302),11,""))</f>
        <v>11</v>
      </c>
      <c r="L302" s="503" t="str">
        <f>IF(終値!A302="","",IF(AND(安値!Q302&lt;安値!P302,安値!Q302&lt;安値!O302,安値!Q302&lt;安値!R302,安値!Q302&lt;安値!S302),12,""))</f>
        <v/>
      </c>
      <c r="M302" s="503" t="str">
        <f>IF(終値!A302="","",IF(AND(安値!R302&lt;安値!Q302,安値!R302&lt;安値!P302,安値!R302&lt;安値!S302,安値!R302&lt;安値!T302),13,""))</f>
        <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f>IF(終値!A302="","",IF(AND(安値!V302&lt;安値!U302,安値!V302&lt;安値!T302,安値!V302&lt;安値!W302,安値!V302&lt;安値!X302),17,""))</f>
        <v>17</v>
      </c>
      <c r="R302" s="503" t="str">
        <f>IF(終値!A302="","",IF(AND(安値!W302&lt;安値!V302,安値!W302&lt;安値!U302,安値!W302&lt;安値!X302,安値!W302&lt;安値!Y302),18,""))</f>
        <v/>
      </c>
      <c r="S302" s="503" t="str">
        <f>IF(終値!A302="","",IF(AND(安値!X302&lt;安値!W302,安値!X302&lt;安値!V302,安値!X302&lt;安値!Y302,安値!X302&lt;安値!Z302),19,""))</f>
        <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f>IF(終値!A302="","",IF(AND(安値!AD302&lt;安値!AC302,安値!AD302&lt;安値!AB302,安値!AD302&lt;安値!AE302,安値!AD302&lt;安値!AF302),25,""))</f>
        <v>25</v>
      </c>
      <c r="Z302" s="503" t="str">
        <f>IF(終値!A302="","",IF(AND(安値!AE302&lt;安値!AD302,安値!AE302&lt;安値!AC302,安値!AE302&lt;安値!AF302,安値!AE302&lt;安値!AG302),26,""))</f>
        <v/>
      </c>
      <c r="AA302" s="503" t="str">
        <f>IF(終値!A302="","",IF(AND(安値!AF302&lt;安値!AE302,安値!AF302&lt;安値!AD302,安値!AF302&lt;安値!AG302,安値!AF302&lt;安値!AH302),27,""))</f>
        <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f>IF(終値!A302="","",IF(AND(高値!R302&gt;高値!Q302,高値!R302&gt;高値!P302,高値!R302&gt;高値!S302,高値!R302&gt;高値!T302),13,""))</f>
        <v>13</v>
      </c>
      <c r="AO302" s="503" t="str">
        <f>IF(終値!A302="","",IF(AND(高値!S302&gt;高値!R302,高値!S302&gt;高値!Q302,高値!S302&gt;高値!T302,高値!S302&gt;高値!U302),14,""))</f>
        <v/>
      </c>
      <c r="AP302" s="503" t="str">
        <f>IF(終値!A302="","",IF(AND(高値!T302&gt;高値!S302,高値!T302&gt;高値!R302,高値!T302&gt;高値!U302,高値!T302&gt;高値!V302),15,""))</f>
        <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f>IF(終値!A302="","",IF(AND(高値!AA302&gt;高値!Z302,高値!AA302&gt;高値!Y302,高値!AA302&gt;高値!AB302,高値!AA302&gt;高値!AC302),22,""))</f>
        <v>22</v>
      </c>
      <c r="AX302" s="503" t="str">
        <f>IF(終値!A302="","",IF(AND(高値!AB302&gt;高値!AA302,高値!AB302&gt;高値!Z302,高値!AB302&gt;高値!AC302,高値!AB302&gt;高値!AD302),23,""))</f>
        <v/>
      </c>
      <c r="AY302" s="503" t="str">
        <f>IF(終値!A302="","",IF(AND(高値!AC302&gt;高値!AB302,高値!AC302&gt;高値!AA302,高値!AC302&gt;高値!AD302,高値!AC302&gt;高値!AE302),24,""))</f>
        <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4</v>
      </c>
      <c r="BF302" s="503">
        <f t="shared" si="26"/>
        <v>11</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13</v>
      </c>
      <c r="BN302" s="503">
        <f t="shared" si="29"/>
        <v>22</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f>IF(終値!A303="","",IF(AND(安値!I303&lt;安値!H303,安値!I303&lt;安値!G303,安値!I303&lt;安値!J303,安値!I303&lt;安値!K303),4,""))</f>
        <v>4</v>
      </c>
      <c r="E303" s="503" t="str">
        <f>IF(終値!A303="","",IF(AND(安値!J303&lt;安値!I303,安値!J303&lt;安値!H303,安値!J303&lt;安値!K303,安値!J303&lt;安値!L303),5,""))</f>
        <v/>
      </c>
      <c r="F303" s="503" t="str">
        <f>IF(終値!A303="","",IF(AND(安値!K303&lt;安値!J303,安値!K303&lt;安値!I303,安値!K303&lt;安値!L303,安値!K303&lt;安値!M303),6,""))</f>
        <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f>IF(終値!A303="","",IF(AND(安値!P303&lt;安値!O303,安値!P303&lt;安値!N303,安値!P303&lt;安値!Q303,安値!P303&lt;安値!R303),11,""))</f>
        <v>11</v>
      </c>
      <c r="L303" s="503" t="str">
        <f>IF(終値!A303="","",IF(AND(安値!Q303&lt;安値!P303,安値!Q303&lt;安値!O303,安値!Q303&lt;安値!R303,安値!Q303&lt;安値!S303),12,""))</f>
        <v/>
      </c>
      <c r="M303" s="503" t="str">
        <f>IF(終値!A303="","",IF(AND(安値!R303&lt;安値!Q303,安値!R303&lt;安値!P303,安値!R303&lt;安値!S303,安値!R303&lt;安値!T303),13,""))</f>
        <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f>IF(終値!A303="","",IF(AND(安値!V303&lt;安値!U303,安値!V303&lt;安値!T303,安値!V303&lt;安値!W303,安値!V303&lt;安値!X303),17,""))</f>
        <v>17</v>
      </c>
      <c r="R303" s="503" t="str">
        <f>IF(終値!A303="","",IF(AND(安値!W303&lt;安値!V303,安値!W303&lt;安値!U303,安値!W303&lt;安値!X303,安値!W303&lt;安値!Y303),18,""))</f>
        <v/>
      </c>
      <c r="S303" s="503" t="str">
        <f>IF(終値!A303="","",IF(AND(安値!X303&lt;安値!W303,安値!X303&lt;安値!V303,安値!X303&lt;安値!Y303,安値!X303&lt;安値!Z303),19,""))</f>
        <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f>IF(終値!A303="","",IF(AND(安値!AC303&lt;安値!AB303,安値!AC303&lt;安値!AA303,安値!AC303&lt;安値!AD303,安値!AC303&lt;安値!AE303),24,""))</f>
        <v>24</v>
      </c>
      <c r="Y303" s="503" t="str">
        <f>IF(終値!A303="","",IF(AND(安値!AD303&lt;安値!AC303,安値!AD303&lt;安値!AB303,安値!AD303&lt;安値!AE303,安値!AD303&lt;安値!AF303),25,""))</f>
        <v/>
      </c>
      <c r="Z303" s="503" t="str">
        <f>IF(終値!A303="","",IF(AND(安値!AE303&lt;安値!AD303,安値!AE303&lt;安値!AC303,安値!AE303&lt;安値!AF303,安値!AE303&lt;安値!AG303),26,""))</f>
        <v/>
      </c>
      <c r="AA303" s="503">
        <f>IF(終値!A303="","",IF(AND(安値!AF303&lt;安値!AE303,安値!AF303&lt;安値!AD303,安値!AF303&lt;安値!AG303,安値!AF303&lt;安値!AH303),27,""))</f>
        <v>27</v>
      </c>
      <c r="AB303" s="503" t="str">
        <f>IF(終値!A303="","",IF(AND(安値!AG303&lt;安値!AF303,安値!AG303&lt;安値!AE303,安値!AG303&lt;安値!AH303,安値!AG303&lt;安値!AI303),28,""))</f>
        <v/>
      </c>
      <c r="AC303" s="503">
        <f>IF(終値!A303="","",IF(AND(高値!G303&gt;高値!F303,高値!G303&gt;高値!E303,高値!G303&gt;高値!H303,高値!G303&gt;高値!I303),2,""))</f>
        <v>2</v>
      </c>
      <c r="AD303" s="503" t="str">
        <f>IF(終値!A303="","",IF(AND(高値!H303&gt;高値!G303,高値!H303&gt;高値!F303,高値!H303&gt;高値!I303,高値!H303&gt;高値!J303),3,""))</f>
        <v/>
      </c>
      <c r="AE303" s="503" t="str">
        <f>IF(終値!A303="","",IF(AND(高値!I303&gt;高値!H303,高値!I303&gt;高値!G303,高値!I303&gt;高値!J303,高値!I303&gt;高値!K303),4,""))</f>
        <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f>IF(終値!A303="","",IF(AND(高値!N303&gt;高値!M303,高値!N303&gt;高値!L303,高値!N303&gt;高値!O303,高値!N303&gt;高値!P303),9,""))</f>
        <v>9</v>
      </c>
      <c r="AK303" s="503" t="str">
        <f>IF(終値!A303="","",IF(AND(高値!O303&gt;高値!N303,高値!O303&gt;高値!M303,高値!O303&gt;高値!P303,高値!O303&gt;高値!Q303),10,""))</f>
        <v/>
      </c>
      <c r="AL303" s="503" t="str">
        <f>IF(終値!A303="","",IF(AND(高値!P303&gt;高値!O303,高値!P303&gt;高値!N303,高値!P303&gt;高値!Q303,高値!P303&gt;高値!R303),11,""))</f>
        <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f>IF(終値!A303="","",IF(AND(高値!T303&gt;高値!S303,高値!T303&gt;高値!R303,高値!T303&gt;高値!U303,高値!T303&gt;高値!V303),15,""))</f>
        <v>15</v>
      </c>
      <c r="AQ303" s="503" t="str">
        <f>IF(終値!A303="","",IF(AND(高値!U303&gt;高値!T303,高値!U303&gt;高値!S303,高値!U303&gt;高値!V303,高値!U303&gt;高値!W303),16,""))</f>
        <v/>
      </c>
      <c r="AR303" s="503" t="str">
        <f>IF(終値!A303="","",IF(AND(高値!V303&gt;高値!U303,高値!V303&gt;高値!T303,高値!V303&gt;高値!W303,高値!V303&gt;高値!X303),17,""))</f>
        <v/>
      </c>
      <c r="AS303" s="503" t="str">
        <f>IF(終値!A303="","",IF(AND(高値!W303&gt;高値!V303,高値!W303&gt;高値!U303,高値!W303&gt;高値!X303,高値!W303&gt;高値!Y303),18,""))</f>
        <v/>
      </c>
      <c r="AT303" s="503">
        <f>IF(終値!A303="","",IF(AND(高値!X303&gt;高値!W303,高値!X303&gt;高値!V303,高値!X303&gt;高値!Y303,高値!X303&gt;高値!Z303),19,""))</f>
        <v>19</v>
      </c>
      <c r="AU303" s="503" t="str">
        <f>IF(終値!A303="","",IF(AND(高値!Y303&gt;高値!X303,高値!Y303&gt;高値!W303,高値!Y303&gt;高値!Z303,高値!Y303&gt;高値!AA303),20,""))</f>
        <v/>
      </c>
      <c r="AV303" s="503" t="str">
        <f>IF(終値!A303="","",IF(AND(高値!Z303&gt;高値!Y303,高値!Z303&gt;高値!X303,高値!Z303&gt;高値!AA303,高値!Z303&gt;高値!AB303),21,""))</f>
        <v/>
      </c>
      <c r="AW303" s="503">
        <f>IF(終値!A303="","",IF(AND(高値!AA303&gt;高値!Z303,高値!AA303&gt;高値!Y303,高値!AA303&gt;高値!AB303,高値!AA303&gt;高値!AC303),22,""))</f>
        <v>22</v>
      </c>
      <c r="AX303" s="503" t="str">
        <f>IF(終値!A303="","",IF(AND(高値!AB303&gt;高値!AA303,高値!AB303&gt;高値!Z303,高値!AB303&gt;高値!AC303,高値!AB303&gt;高値!AD303),23,""))</f>
        <v/>
      </c>
      <c r="AY303" s="503" t="str">
        <f>IF(終値!A303="","",IF(AND(高値!AC303&gt;高値!AB303,高値!AC303&gt;高値!AA303,高値!AC303&gt;高値!AD303,高値!AC303&gt;高値!AE303),24,""))</f>
        <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5</v>
      </c>
      <c r="BE303" s="503">
        <f t="shared" si="25"/>
        <v>4</v>
      </c>
      <c r="BF303" s="503">
        <f t="shared" si="26"/>
        <v>11</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2</v>
      </c>
      <c r="BN303" s="503">
        <f t="shared" si="29"/>
        <v>9</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t="str">
        <f>IF(終値!A304="","",IF(AND(安値!H304&lt;安値!G304,安値!H304&lt;安値!F304,安値!H304&lt;安値!I304,安値!H304&lt;安値!J304),3,""))</f>
        <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f>IF(終値!A304="","",IF(AND(安値!P304&lt;安値!O304,安値!P304&lt;安値!N304,安値!P304&lt;安値!Q304,安値!P304&lt;安値!R304),11,""))</f>
        <v>11</v>
      </c>
      <c r="L304" s="503" t="str">
        <f>IF(終値!A304="","",IF(AND(安値!Q304&lt;安値!P304,安値!Q304&lt;安値!O304,安値!Q304&lt;安値!R304,安値!Q304&lt;安値!S304),12,""))</f>
        <v/>
      </c>
      <c r="M304" s="503" t="str">
        <f>IF(終値!A304="","",IF(AND(安値!R304&lt;安値!Q304,安値!R304&lt;安値!P304,安値!R304&lt;安値!S304,安値!R304&lt;安値!T304),13,""))</f>
        <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f>IF(終値!A304="","",IF(AND(安値!Z304&lt;安値!Y304,安値!Z304&lt;安値!X304,安値!Z304&lt;安値!AA304,安値!Z304&lt;安値!AB304),21,""))</f>
        <v>21</v>
      </c>
      <c r="V304" s="503" t="str">
        <f>IF(終値!A304="","",IF(AND(安値!AA304&lt;安値!Z304,安値!AA304&lt;安値!Y304,安値!AA304&lt;安値!AB304,安値!AA304&lt;安値!AC304),22,""))</f>
        <v/>
      </c>
      <c r="W304" s="503" t="str">
        <f>IF(終値!A304="","",IF(AND(安値!AB304&lt;安値!AA304,安値!AB304&lt;安値!Z304,安値!AB304&lt;安値!AC304,安値!AB304&lt;安値!AD304),23,""))</f>
        <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f>IF(終値!A304="","",IF(AND(高値!J304&gt;高値!I304,高値!J304&gt;高値!H304,高値!J304&gt;高値!K304,高値!J304&gt;高値!L304),5,""))</f>
        <v>5</v>
      </c>
      <c r="AG304" s="503" t="str">
        <f>IF(終値!A304="","",IF(AND(高値!K304&gt;高値!J304,高値!K304&gt;高値!I304,高値!K304&gt;高値!L304,高値!K304&gt;高値!M304),6,""))</f>
        <v/>
      </c>
      <c r="AH304" s="503" t="str">
        <f>IF(終値!A304="","",IF(AND(高値!L304&gt;高値!K304,高値!L304&gt;高値!J304,高値!L304&gt;高値!M304,高値!L304&gt;高値!N304),7,""))</f>
        <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f>IF(終値!A304="","",IF(AND(高値!W304&gt;高値!V304,高値!W304&gt;高値!U304,高値!W304&gt;高値!X304,高値!W304&gt;高値!Y304),18,""))</f>
        <v>18</v>
      </c>
      <c r="AT304" s="503" t="str">
        <f>IF(終値!A304="","",IF(AND(高値!X304&gt;高値!W304,高値!X304&gt;高値!V304,高値!X304&gt;高値!Y304,高値!X304&gt;高値!Z304),19,""))</f>
        <v/>
      </c>
      <c r="AU304" s="503" t="str">
        <f>IF(終値!A304="","",IF(AND(高値!Y304&gt;高値!X304,高値!Y304&gt;高値!W304,高値!Y304&gt;高値!Z304,高値!Y304&gt;高値!AA304),20,""))</f>
        <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f>IF(終値!A304="","",IF(AND(高値!AG304&gt;高値!AF304,高値!AG304&gt;高値!AE304,高値!AG304&gt;高値!AH304,高値!AG304&gt;高値!AI304),28,""))</f>
        <v>28</v>
      </c>
      <c r="BD304" s="503">
        <f t="shared" si="24"/>
        <v>2</v>
      </c>
      <c r="BE304" s="503">
        <f t="shared" si="25"/>
        <v>11</v>
      </c>
      <c r="BF304" s="503">
        <f t="shared" si="26"/>
        <v>21</v>
      </c>
      <c r="BG304" s="503">
        <f>IF($BE304="","",INDEX(安値!$E304:$CZ304,1,$BE304+1))</f>
        <v>6951</v>
      </c>
      <c r="BH304" s="503">
        <f>IF($BF304="","",INDEX(安値!$E304:$CZ304,1,$BF304+1))</f>
        <v>7597</v>
      </c>
      <c r="BI304" s="503">
        <f>IF($BF304="","",MAX(INDEX(高値!$E304:$CZ304,1,$BE304+1):INDEX(高値!$E304:$CZ304,1,$BF304+1)))</f>
        <v>8246</v>
      </c>
      <c r="BJ304" s="503">
        <f>IF($BF304="","",AVERAGE(INDEX(終値!$E304:$CZ304,1,$BF304+1):INDEX(終値!$E304:$CZ304,1,$BF304+20))-2*STDEVP(INDEX(終値!$E304:$CZ304,1,$BF304+1):INDEX(終値!$E304:$CZ304,1,$BF304+20)))</f>
        <v>6362.8968548261946</v>
      </c>
      <c r="BK304" s="503">
        <f>IF($BE304="","",AVERAGE(INDEX(終値!$E304:$CZ304,1,$BE304+1):INDEX(終値!$E304:$CZ304,1,$BE304+20))-2*STDEVP(INDEX(終値!$E304:$CZ304,1,$BE304+1):INDEX(終値!$E304:$CZ304,1,$BE304+20)))</f>
        <v>7219.2772369164813</v>
      </c>
      <c r="BL304" s="503">
        <f t="shared" si="27"/>
        <v>3</v>
      </c>
      <c r="BM304" s="503">
        <f t="shared" si="28"/>
        <v>5</v>
      </c>
      <c r="BN304" s="503">
        <f t="shared" si="29"/>
        <v>18</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二番天井M形成</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f>IF(終値!A305="","",IF(AND(安値!L305&lt;安値!K305,安値!L305&lt;安値!J305,安値!L305&lt;安値!M305,安値!L305&lt;安値!N305),7,""))</f>
        <v>7</v>
      </c>
      <c r="H305" s="503" t="str">
        <f>IF(終値!A305="","",IF(AND(安値!M305&lt;安値!L305,安値!M305&lt;安値!K305,安値!M305&lt;安値!N305,安値!M305&lt;安値!O305),8,""))</f>
        <v/>
      </c>
      <c r="I305" s="503" t="str">
        <f>IF(終値!A305="","",IF(AND(安値!N305&lt;安値!M305,安値!N305&lt;安値!L305,安値!N305&lt;安値!O305,安値!N305&lt;安値!P305),9,""))</f>
        <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f>IF(終値!A305="","",IF(AND(安値!S305&lt;安値!R305,安値!S305&lt;安値!Q305,安値!S305&lt;安値!T305,安値!S305&lt;安値!U305),14,""))</f>
        <v>14</v>
      </c>
      <c r="O305" s="503" t="str">
        <f>IF(終値!A305="","",IF(AND(安値!T305&lt;安値!S305,安値!T305&lt;安値!R305,安値!T305&lt;安値!U305,安値!T305&lt;安値!V305),15,""))</f>
        <v/>
      </c>
      <c r="P305" s="503" t="str">
        <f>IF(終値!A305="","",IF(AND(安値!U305&lt;安値!T305,安値!U305&lt;安値!S305,安値!U305&lt;安値!V305,安値!U305&lt;安値!W305),16,""))</f>
        <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f>IF(終値!A305="","",IF(AND(安値!AA305&lt;安値!Z305,安値!AA305&lt;安値!Y305,安値!AA305&lt;安値!AB305,安値!AA305&lt;安値!AC305),22,""))</f>
        <v>22</v>
      </c>
      <c r="W305" s="503" t="str">
        <f>IF(終値!A305="","",IF(AND(安値!AB305&lt;安値!AA305,安値!AB305&lt;安値!Z305,安値!AB305&lt;安値!AC305,安値!AB305&lt;安値!AD305),23,""))</f>
        <v/>
      </c>
      <c r="X305" s="503" t="str">
        <f>IF(終値!A305="","",IF(AND(安値!AC305&lt;安値!AB305,安値!AC305&lt;安値!AA305,安値!AC305&lt;安値!AD305,安値!AC305&lt;安値!AE305),24,""))</f>
        <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f>IF(終値!A305="","",IF(AND(安値!AG305&lt;安値!AF305,安値!AG305&lt;安値!AE305,安値!AG305&lt;安値!AH305,安値!AG305&lt;安値!AI305),28,""))</f>
        <v>28</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f>IF(終値!A305="","",IF(AND(高値!I305&gt;高値!H305,高値!I305&gt;高値!G305,高値!I305&gt;高値!J305,高値!I305&gt;高値!K305),4,""))</f>
        <v>4</v>
      </c>
      <c r="AF305" s="503" t="str">
        <f>IF(終値!A305="","",IF(AND(高値!J305&gt;高値!I305,高値!J305&gt;高値!H305,高値!J305&gt;高値!K305,高値!J305&gt;高値!L305),5,""))</f>
        <v/>
      </c>
      <c r="AG305" s="503" t="str">
        <f>IF(終値!A305="","",IF(AND(高値!K305&gt;高値!J305,高値!K305&gt;高値!I305,高値!K305&gt;高値!L305,高値!K305&gt;高値!M305),6,""))</f>
        <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f>IF(終値!A305="","",IF(AND(高値!P305&gt;高値!O305,高値!P305&gt;高値!N305,高値!P305&gt;高値!Q305,高値!P305&gt;高値!R305),11,""))</f>
        <v>11</v>
      </c>
      <c r="AM305" s="503" t="str">
        <f>IF(終値!A305="","",IF(AND(高値!Q305&gt;高値!P305,高値!Q305&gt;高値!O305,高値!Q305&gt;高値!R305,高値!Q305&gt;高値!S305),12,""))</f>
        <v/>
      </c>
      <c r="AN305" s="503" t="str">
        <f>IF(終値!A305="","",IF(AND(高値!R305&gt;高値!Q305,高値!R305&gt;高値!P305,高値!R305&gt;高値!S305,高値!R305&gt;高値!T305),13,""))</f>
        <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f>IF(終値!A305="","",IF(AND(高値!V305&gt;高値!U305,高値!V305&gt;高値!T305,高値!V305&gt;高値!W305,高値!V305&gt;高値!X305),17,""))</f>
        <v>17</v>
      </c>
      <c r="AS305" s="503" t="str">
        <f>IF(終値!A305="","",IF(AND(高値!W305&gt;高値!V305,高値!W305&gt;高値!U305,高値!W305&gt;高値!X305,高値!W305&gt;高値!Y305),18,""))</f>
        <v/>
      </c>
      <c r="AT305" s="503" t="str">
        <f>IF(終値!A305="","",IF(AND(高値!X305&gt;高値!W305,高値!X305&gt;高値!V305,高値!X305&gt;高値!Y305,高値!X305&gt;高値!Z305),19,""))</f>
        <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f>IF(終値!A305="","",IF(AND(高値!AB305&gt;高値!AA305,高値!AB305&gt;高値!Z305,高値!AB305&gt;高値!AC305,高値!AB305&gt;高値!AD305),23,""))</f>
        <v>23</v>
      </c>
      <c r="AY305" s="503" t="str">
        <f>IF(終値!A305="","",IF(AND(高値!AC305&gt;高値!AB305,高値!AC305&gt;高値!AA305,高値!AC305&gt;高値!AD305,高値!AC305&gt;高値!AE305),24,""))</f>
        <v/>
      </c>
      <c r="AZ305" s="503" t="str">
        <f>IF(終値!A305="","",IF(AND(高値!AD305&gt;高値!AC305,高値!AD305&gt;高値!AB305,高値!AD305&gt;高値!AE305,高値!AD305&gt;高値!AF305),25,""))</f>
        <v/>
      </c>
      <c r="BA305" s="503" t="str">
        <f>IF(終値!A305="","",IF(AND(高値!AE305&gt;高値!AD305,高値!AE305&gt;高値!AC305,高値!AE305&gt;高値!AF305,高値!AE305&gt;高値!AG305),26,""))</f>
        <v/>
      </c>
      <c r="BB305" s="503">
        <f>IF(終値!A305="","",IF(AND(高値!AF305&gt;高値!AE305,高値!AF305&gt;高値!AD305,高値!AF305&gt;高値!AG305,高値!AF305&gt;高値!AH305),27,""))</f>
        <v>27</v>
      </c>
      <c r="BC305" s="503" t="str">
        <f>IF(終値!A305="","",IF(AND(高値!AG305&gt;高値!AF305,高値!AG305&gt;高値!AE305,高値!AG305&gt;高値!AH305,高値!AG305&gt;高値!AI305),28,""))</f>
        <v/>
      </c>
      <c r="BD305" s="503">
        <f t="shared" si="24"/>
        <v>4</v>
      </c>
      <c r="BE305" s="503">
        <f t="shared" si="25"/>
        <v>7</v>
      </c>
      <c r="BF305" s="503">
        <f t="shared" si="26"/>
        <v>14</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5</v>
      </c>
      <c r="BM305" s="503">
        <f t="shared" si="28"/>
        <v>4</v>
      </c>
      <c r="BN305" s="503">
        <f t="shared" si="29"/>
        <v>11</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2026-08-05T04:50:49Z</dcterms:modified>
</cp:coreProperties>
</file>